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_rels/workbook.xml.rels" ContentType="application/vnd.openxmlformats-package.relationship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0"/>
  </bookViews>
  <sheets>
    <sheet name="Sheet1" sheetId="1" state="visible" r:id="rId2"/>
  </sheets>
  <calcPr iterateCount="100" refMode="A1" iterate="false" iterateDelta="0.0001"/>
  <extLst>
    <ext xmlns:loext="http://schemas.libreoffice.org/" uri="{7626C862-2A13-11E5-B345-FEFF819CDC9F}">
      <loext:extCalcPr stringRefSyntax="CalcA1ExcelA1"/>
    </ext>
  </extLst>
</workbook>
</file>

<file path=xl/sharedStrings.xml><?xml version="1.0" encoding="utf-8"?>
<sst xmlns="http://schemas.openxmlformats.org/spreadsheetml/2006/main" count="3119" uniqueCount="3107">
  <si>
    <t xml:space="preserve">pergunta</t>
  </si>
  <si>
    <t xml:space="preserve">title</t>
  </si>
  <si>
    <t xml:space="preserve">a</t>
  </si>
  <si>
    <t xml:space="preserve">answer</t>
  </si>
  <si>
    <t xml:space="preserve">resposta</t>
  </si>
  <si>
    <r>
      <rPr>
        <sz val="11"/>
        <color rgb="FF000000"/>
        <rFont val="Calibri"/>
        <family val="0"/>
        <charset val="1"/>
      </rPr>
      <t xml:space="preserve">Email marketing - Wikipedia  Email marketing  Jump to : navigation , search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September 2014 ) ( Learn how and when to remove this template message )         This article possibly contains original research . Please improve it by verifying the claims made and adding inline citations . Statements consisting only of original research should be removed . ( January 2015 ) ( Learn how and when to remove this template message )    ( Learn how and when to remove this template message )       Part of a series on     Internet marketing       Search engine optimization   Local search engine optimisation   Social media marketing   Email marketing   Referral marketing   Content marketing   Native advertising       Search engine marketing       Pay - per - click   Cost per impression   Search analytics   Web analytics       Display advertising       Ad blocking   Contextual advertising   Behavioral targeting       Affiliate marketing       Cost per action   Revenue sharing       Mobile advertising                 Email marketing is the act of sending a commercial message , typically to a group of people , using email . In its broadest sense , every email sent to a potential or current customer could be considered email marketing . It usually involves using email to send advertisements , request business , or solicit sales or donations , and is meant to build loyalty , trust , or brand awareness . Marketing emails can be sent to a purchased lead list or a current customer database . The term usually refers to sending email messages with the purpose of enhancing a merchant 's relationship with current or previous customers , encouraging customer loyalty and repeat business , acquiring new customers or convincing current customers to purchase something immediately , and sharing third - party ads .     Contents  ( hide )   1 History   2 Types   2.1 Transactional emails   2.2 Direct emails   2.2. 1 Mobile email marketing       3 Comparison to traditional mail   3.1 Advantages   3.2 Disadvantages     4 Opt - in email advertising   5 Legal requirements   5.1 Australia   5.2 Canada   5.3 European Union   5.4 United States     6 See also   7 References      History   Email marketing has evolved rapidly alongside the technological growth of the 21st century . Prior to this growth , when emails were novelties to the majority of customers , email marketing was not as effective . In 1978 , Gary Thuerk of Digital Equipment Corporation ( DEC ) sent out the first mass email to approximately 400 potential clients via the Advanced Research Projects Agency Network ( ARPANET ) . This email resulted in $13 million worth of sales in DEC products , and highlighted the potential of marketing through mass emails . However , as email marketing developed as an effective means of direct communication , users began blocking out content from emails with filters and blocking programs . In order to effectively communicate a message through email , marketers had to develop a way of pushing content through to the end user , without being cut out by automatic filters and spam removing software . This resulted in the birth of triggered marketing emails , which are sent to specific users based on their tracked online browsing patterns .   Historically , it has been difficult to measure the effectiveness of marketing campaigns because target markets can not be adequately defined . Email marketing carries the benefit of allowing marketers to identify returns on investment and measure and improve efficiency . Email marketing allows marketers to see feedback from users in real time , and to monitor how effective their campaign is in achieving market penetration , revealing a communication channel 's scope . At the same time , however , it also means that the more personal nature of certain advertising methods , such as television advertisements , can not be captured .   Types   Email marketing can be carried out through different types of emails :   Transactional emails   Transactional emails are usually triggered based on a customer 's action with a company . To be qualified as transactional or relationship messages , these communications ' primary purpose must be `` to facilitate , complete , or confirm a commercial transaction that the recipient has previously agreed to enter into with the sender '' along with a few other narrow definitions of transactional messaging . Triggered transactional messages include dropped basket messages , password reset emails , purchase or order confirmation emails , order status emails , reorder emails , and email receipts .   The primary purpose of a transactional email is to convey information regarding the action that triggered it . But , due to their high open rates ( 51.3 % compared to 36.6 % for email newsletters ) , transactional emails are an opportunity to introduce or extend the email relationship with customers or subscribers ; to anticipate and answer questions ; or to cross-sell or up - sell products or services .   Many email newsletter software vendors offer transactional email support , which gives companies the ability to include promotional messages within the body of transactional emails . There are also software vendors that offer specialized transactional email marketing services , which include providing targeted and personalized transactional email messages and running specific marketing campaigns ( such as customer referral programs ) .   Direct emails   Direct email involves sending an email solely to communicate a promotional message ( for example , a special offer or a product catalog ) . Companies usually collect a list of customer or prospect email addresses to send direct promotional messages to , or they rent a list of email addresses from service companies . Safe mail marketing is also used .  Mobile email marketing  Email marketing develops large amounts of traffic through smartphones and tablets . Marketers are researching ways to advertise to more users and to make them view advertising for longer . However , the rate of delivery is still relatively low due to better filtering - out of advertising and users having multiple email accounts for different purposes . Because emails are generated according to the tracked behavior of consumers , it is possible to send advertising which is based on the recipient 's behavior . Because of this , modern email marketing is perceived more often as a pull strategy rather than a push strategy .   Comparison to traditional mail   There are both advantages and disadvantages to using email marketing in comparison to traditional advertising mail .   Advantages   Email marketing is popular with companies for several reasons :    An exact return on investment can be tracked ( `` track to basket '' ) and has proven to be high when done properly . Email marketing is often reported as second only to search marketing as the most effective online marketing tactic .   Email marketing is significantly cheaper and faster than traditional mail , mainly because of the high cost and time required in a traditional mail campaign for producing the artwork , printing , addressing , and mailing .   Businesses and organizations who send a high volume of emails can use an ESP ( email service provider ) to gather information about the behavior of the recipients . The insights provided by consumer response to email marketing help businesses and organizations understand and make use of consumer behavior .   Email provides a cost - effective method to test different marketing content , including visual , creative , marketing copy , and multimedia assets . The data gathered by testing in the email channel can then be used across all channels of marketing campaigns , both print and digital .   Advertisers can reach substantial numbers of email subscribers who have opted in ( i.e. , consented ) to receive the email .   Almost half of American Internet users check or send email on a typical day , with emails delivered between 1 am and 5 am local time outperforming those sent at other times in open and click rates .   Email is popular with digital marketers , rising an estimated 15 % in 2009 to £ 292 million in the UK .   If compared to standard email , direct email marketing produces higher response rate and higher average order value for e-commerce businesses .    Disadvantages   As of mid-2016 email deliverability is still an issue for legitimate marketers . According to the report , legitimate email servers averaged a delivery rate of 73 % in the U.S. ; six percent were filtered as spam , and 22 % were missing . This lags behind other countries : Australia delivers at 90 % , Canada at 89 % , Britain at 88 % , France at 84 % , Germany at 80 % and Brazil at 79 % .   Additionally , consumers receive on average circa 90 emails per day .   Companies considering the use of an email marketing program must make sure that their program does not violate spam laws such as the United States ' Controlling the Assault of Non-Solicited Pornography and Marketing Act ( CAN - SPAM ) , the European Privacy and Electronic Communications Regulations 2003 , or their Internet service provider 's acceptable use policy .   Opt - in email advertising   Opt - in email advertising , or permission marketing , is a method of advertising via email whereby the recipient of the advertisement has consented to receive it . This method is one of several developed by marketers to eliminate the disadvantages of email marketing .   Opt - in email marketing may evolve into a technology that uses a handshake protocol between the sender and receiver . This system is intended to eventually result in a high degree of satisfaction between consumers and marketers . If opt - in email advertising is used , the material that is emailed to consumers will be `` anticipated '' . It is assumed that the recipient wants to receive it , which makes it unlike unsolicited advertisements sent to the consumer . Ideally , opt - in email advertisements will be more personal and relevant to the consumer than untargeted advertisements .   A common example of permission marketing is a newsletter sent to an advertising firm 's customers . Such newsletters inform customers of upcoming events or promotions , or new products . In this type of advertising , a company that wants to send a newsletter to their customers may ask them at the point of purchase if they would like to receive the newsletter .   With a foundation of opted - in contact information stored in their database , marketers can send out promotional materials automatically using autoresponders -- known as drip marketing . They can also segment their promotions to specific market segments .   Legal requirements   Australia   The Australian Spam Act 2003 is enforced by the Australian Communications and Media Authority , widely known as `` ACMA '' . The act defines the term unsolicited electronic messages , states how unsubscribe functions must work for commercial messages , and gives other key information . Fines range with 3 fines of AU $110,000 being issued to Virgin Blue Airlines ( 2011 ) , Tiger Airways Holdings Limited ( 2012 ) and Cellar master Wines Pty Limited ( 2013 ) .   Canada   The `` Canada Anti-Spam Law '' ( CASL ) went into effect on July 1 , 2014 . CASL requires an explicit or implicit opt - in from users , and the maximum fines for noncompliance are CA $ 1 million for individuals and $10 million for businesses .   European Union   In 2002 the European Union ( EU ) introduced the Directive on Privacy and Electronic Communications . Article 13 of the Directive prohibits the use of personal email addresses for marketing purposes . The Directive establishes the opt - in regime , where unsolicited emails may be sent only with prior agreement of the recipient ; this does not apply to business email addresses .   The directive has since been incorporated into the laws of member states . In the UK it is covered under the Privacy and Electronic Communications ( EC Directive ) Regulations 2003 and applies to all organizations that send out marketing by some form of electronic communication .   United states   The CAN - SPAM Act of 2003 was passed by Congress as a direct response of the growing number of complaints over spam e-mails . Congress determined that the US government was showing an increased interest in the regulation of commercial electronic mail nationally , that those who send commercial e-mails should not mislead recipients over the source or content of them , and that all recipients of such emails have a right to decline them . The act authorizes a US $16,000 penalty per violation for spamming each individual recipient . However , it does not ban spam emailing outright , but imposes laws on using deceptive marketing methods through headings which are `` materially false or misleading '' . In addition there are conditions which email marketers must meet in terms of their format , their content and labeling . As a result , many commercial email marketers within the United States utilize a service or special software to ensure compliance with the act . A variety of older systems exist that do not ensure compliance with the act . To comply with the act 's regulation of commercial email , services also typically require users to authenticate their return address and include a valid physical address , provide a one - click unsubscribe feature , and prohibit importing lists of purchased addresses that may not have given valid permission .   In addition to satisfying legal requirements , email service providers ( ESPs ) began to help customers establish and manage their own email marketing campaigns . The service providers supply email templates and general best practices , as well as methods for handling subscriptions and cancellations automatically . Some ESPs will provide insight and assistance with deliverability issues for major email providers . They also provide statistics pertaining to the number of messages received and opened , and whether the recipients clicked on any links within the messages .   The CAN - SPAM Act was updated with some new regulations including a no - fee provision for opting out , further definition of `` sender '' , post office or private mail boxes count as a `` valid physical postal address '' and definition of `` person '' . These new provisions went into effect on July 7 , 2008 .   See also    CAUCE -- Coalition Against Unsolicited Commercial Email   Customer engagement   Suppression list   Email spam - Unsolicited email marketing    References    Jump up ^ `` spam unsolicited e-mail '' . Retrieved September 19 , 2016 .   Jump up ^ `` PUBLIC LAW 108 -- 187 -- DEC . 16 , 2003 117 STAT. 2699 '' ( PDF ) . U.S Government GPO .   Jump up ^ ADIKESAVAN , T. MANAGEMENT INFORMATION SYSTEMS BEST PRACTICES AND APPLICATIONS IN BUSINESS . ISBN 8120348966 . Retrieved July 10 , 2015 .   Jump up ^ MECLABS , content : MarketingSherpa , design : Scott McDaniel , code : Steve Beger , ( January 21 , 2009 ) . `` New Survey Data : Email 's ROI Makes Tactic Key for Marketers in 2009 '' . MarketingSherpa.com . Retrieved August 12 , 2017 .   Jump up ^ Pew Internet &amp; American Life Project , `` Tracking surveys '' , March 2000 -- March 2009   Jump up ^ How Scheduling Affects Rates . Mailermailer.com ( July 2012 ) . Retrieved on July 28 , 2013 .   Jump up ^ BtoB Magazine , `` Early Email Blasts Results in Higher Click &amp; Open Rates '' Archived 2011 - 11 - 22 at the Wayback Machine. , September 2011   Jump up ^ UK e-mail marketing predicted to rise 15 % . MediaWeek.co.uk ( 13 October 2009 )   Jump up ^ `` Why Email Marketing is King '' . Harvard Business Review ( 21 August 2012 )   Jump up ^ Roberts , A. `` Email deliverability is on the decline : report '' , ClickZ   Jump up ^ Radicati , Sara . `` Email Statistics Report , 2014 - 2018 '' ( PDF ) . The Radicati Group , Inc .   Jump up ^ `` Consumer Information '' . Consumer Information . Retrieved August 12 , 2017 .   ^ Jump up to : Fairhead , N. ( 2003 ) `` All hail the brave new world of permission marketing via email '' ( Media 16 , August 2003 )   Jump up ^ Dilworth , Dianna ( 2007 ) . `` Ruth 's Chris Steak House sends sizzling e-mails for special occasions '' . DMNews . Retrieved February 19 , 2008 .   Jump up ^ O'Brian J. &amp; Montazemia , A. ( 2004 ) Management Information Systems ( Canada : McGraw - Hill Ryerson Ltd . )   Jump up ^ `` Spam : enforcement actions '' . Australian Communications and Media Authority . Australian Communications and Media Authority . Archived from the original on February 29 , 2016 . Retrieved August 15 , 2015 .   Jump up ^ Moorcraft , Bethan . `` Law could force idle brokers back to dark ages '' . Insurance Business . Retrieved August 12 , 2017 .   Jump up ^ `` Canada 's law on spam '' . Government of Canada . Retrieved July 19 , 2014 ...   Jump up ^ The Privacy and Electronic Communications ( EC Directive ) Regulations 2003 Archived November 14 , 2006 , at the Wayback Machine ... Opsi.gov.uk . Retrieved on July 28 , 2013 .   Jump up ^ `` CAN - SPAM Act : A Compliance Guide for Business '' . FTC.gov . BCP Business Center . Retrieved August 10 , 2017 .   Jump up ^ `` FTC Approves New Rule Provision Under The CAN - SPAM Act '' . FTC.gov . June 24 , 2011 .   Jump up ^ `` 16 CFR Part 316 Definitions and Implementation Under the CAN -- SPAM Act ; Final Rule '' ( PDF ) . FTC.gov . May 21 , 2008 .   Retrieved from `` https://en.wikipedia.org/w/index.php?title=Email_marketing&amp;oldid=814071202 '' Categories :   Advertising by medium   Email   Digital marketing   Market research   Marketing techniques   Online advertising   Spamming   Hidden categories :   Webarchive template wayback links   Wikipedia indefinitely semi-protected pages   Articles needing additional references from September 2014   All articles needing additional references   Articles that may contain original research from January 2015   All articles that may contain original research   Articles with multiple maintenance issues   All articles with unsourced statements   Articles with unsourced statements from August 2017   Articles with unsourced statements from July 2015   All Wikipedia articles needing clarification   Wikipedia articles needing clarification from August 2017   Articles with unsourced statements from March 2016           Talk                           View source                 Contents                   About Wikipedia                                             বাংলা   Български   Català   Čeština   Español   فارسی   Français   Italiano   ಕನ್ನಡ   ქართული   Македонски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Svenska   தமிழ்   తెలుగు   ไทย   Türkçe   Українська   Tiếng Việt   </t>
    </r>
    <r>
      <rPr>
        <sz val="11"/>
        <color rgb="FF000000"/>
        <rFont val="Noto Sans CJK SC"/>
        <family val="2"/>
      </rPr>
      <t xml:space="preserve">中文  </t>
    </r>
    <r>
      <rPr>
        <sz val="11"/>
        <color rgb="FF000000"/>
        <rFont val="Calibri"/>
        <family val="0"/>
        <charset val="1"/>
      </rPr>
      <t xml:space="preserve">18 more  Edit links   This page was last edited on 6 December 2017 , at 19 : 06 .         About Wikipedia                    </t>
    </r>
  </si>
  <si>
    <t xml:space="preserve">which is the most common use of opt-in e-mail marketing</t>
  </si>
  <si>
    <t xml:space="preserve"> A common example of permission marketing is a newsletter sent to an advertising firm 's customers . Such newsletters inform customers of upcoming events or promotions , or new products . In this type of advertising , a company that wants to send a newsletter to their customers may ask them at the point of purchase if they would like to receive the newsletter . </t>
  </si>
  <si>
    <t xml:space="preserve">The Mother ( How I Met Your Mother ) - wikipedia  The Mother ( How I Met Your Mother )  Jump to : navigation , search    Tracy McConnell     How I Met Your Mother character     The Mother appearing in `` The Locket ''     First appearance   `` Lucky Penny ( unseen ) '' `` Something New '' ( seen )     Last appearance   `` Last Forever ''     Created by   Carter Bays Craig Thomas     Portrayed by   Cristin Milioti     Information     Aliases   The Mother     Gender   Female     Spouse ( s )   Ted Mosby     Significant other ( s )   Max ( deceased former boyfriend ) Louis ( ex-boyfriend )     Children   Penny Mosby ( daughter , born in 2015 , played by Lyndsy Fonseca ) Luke Mosby ( son , born in 2017 , played by David Henrie )     Nationality   American     Tracy McConnell , better known as `` The Mother '' , is the title character from the CBS television sitcom How I Met Your Mother . The show , narrated by Future Ted , tells the story of how Ted Mosby met The Mother . Tracy McConnell appears in 8 episodes from `` Lucky Penny '' to `` The Time Travelers '' as an unseen character ; she was first seen fully in `` Something New '' and was promoted to a main character in season 9 . The Mother is played by Cristin Milioti .   The story of how Ted met The Mother is the framing device behind the series ; many facts about her are revealed throughout the series , including the fact that Ted once unwittingly owned her umbrella before accidentally leaving it behind in her apartment . Ted and The Mother meet at the Farhampton train station following Barney Stinson and Robin Scherbatsky 's wedding ; this scene is shown in `` Last Forever '' , the series finale . The Mother 's death from an unspecified terminal illness in 2024 , also revealed in the series finale , received a mixed reaction from fans .   An alternate ending was released in the ninth season DVD . In the alternate ending , Tracy Mosby is still living when Ted is telling the story in 2030 . In the video , future Ted is heard saying , `` ... When I think how lucky I am to wake up next to your mom every morning , I ca n't help but be amazed how easy it all really was ... '' , indirectly stating that The Mother is alive . The video ends right after the train passes at Farhampton station and credits start rolling , implying that Ted never went back to Robin as he lived a successful married life with Tracy Mosby .     Contents  ( hide )   1 Casting   2 Character history   2.1 Name     3 Death   4 Notes   5 References      Casting ( edit )   During its first eight seasons , the successful sitcom How I Met Your Mother often hinted at the unseen character of The Mother . Well - known actresses often made guest appearances on the show . Many fans expected that another would play one of the most - wanted roles in Hollywood , but creators Carter Bays and Craig Thomas wanted an unknown . Using Anne Hathaway and Amy Adams as examples , Thomas said that `` We did n't want it to be a big famous star because we did n't want the wider audience to have associations with whatever actress this would be ... The whole idea is that Ted 's never seen this woman before , so it better feel that way to the audience '' , similar to how Cobie Smulders being cast as Robin Scherbatsky had `` kept the show alive '' when it began . Bays and Thomas also did not want a large casting call .   They chose Cristin Milioti after seeing her on 30 Rock and Once ; her musical ability was also helpful , as The Mother had been described as a band member . After competing for the role against at least two others , Milioti filmed her first scene -- for the last episode of season 8 -- having never watched How I Met Your Mother ; she recalled , `` I had ignorance on my side . So I did n't know what it meant . '' Milioti learned of the character 's importance only after binge watching the show during the summer .   Character history ( edit )   The Mother was born on September 19 , 1984 .   The Mother , joined by her roommate Kelly awaits the arrival of her boyfriend Max only to receive a call informing her of his death . After the funeral service , she returns to the apartment to open Max 's last gift to her -- a ukulele . The Mother spends the next few years grieving the passing of the man she believes was her one true love .   In `` Wait for It '' , it is revealed that the short story of how they met involved her yellow umbrella . In `` No Tomorrow '' , Ted finds the umbrella at a club and takes it home after attending a St. Patrick 's Day party which she also attended , as it had been two and a half years since the death of Max , her late boyfriend . She is still grieving , but her roommate Kelly encourages her to go out and date again , bringing her to the same bar where Ted and Barney are celebrating . The two women run into Mitch , her old orchestra instructor ; The Mother offers to give Mitch her cello for his work at a school and they head to her apartment . After they start talking , Mitch encourages her to pursue her dreams . The Mother expresses her desire to end poverty by taking up economics in college .   On his first day of teaching as Professor Mosby , as seen in the season 4 finale `` The Leap '' , he is seen in front of the classroom of students , one of which Future Ted says is the titular mother . But in the first episode of season 5 , `` Definitions '' , it is revealed that he was actually in the wrong classroom -- Economics instead of Architecture . At the same time in `` How Your Mother Met Me '' , the Mother sits her first session in Economics 305 and meets another graduate student named Cindy ( Rachel Bilson ) , whom she offers to move in with her as her roommate . They see Ted enter the room , but when he announces the subject , The Mother thinks she is in the wrong room and runs off . She heads back to the room after seeing Ted scramble to his actual classroom .   Later , in `` Girls Versus Suits '' , Ted dates Cindy , not knowing that her roommate is his future wife . Throughout the episode , Ted notes that Cindy had spent most of their first date talking jealously about her roommate . When in Cindy and the mother 's apartment he picks up many of The Mother 's belongings , attempting to show how compatible he and Cindy are ( thinking the items are Cindy 's ) and glimpses the mother 's foot as she disappears into her room after taking a shower . Ted finds out at this time that she plays bass guitar in a band . Ted forgets to take the yellow umbrella with him when he goes out and Future Ted mentions , `` this is how your mother got her yellow umbrella back . '' In `` How Your Mother Met Me '' , it is revealed that , after Ted left the apartment , the Mother had discovered the umbrella and , upon going to question Cindy , finds her in a state . As she tried to console her , Cindy said that she was a much better match for Ted , and began to lovingly list all of the reasons that Ted would find the mother attractive , before spontaneously kissing her , revealing that her jealousy towards her roommate was actually a crush . While this incident made Cindy realise that she is a lesbian , it also made the Mother decide to go back into dating , as the kiss was her first in a long time .   Some time after this , a man named Darren approaches The Mother and is welcomed into her band named Superfreakonomics . Darren gradually takes over the band .   In the season 6 opener `` Big Days '' it is revealed Ted meets his future wife `` the day of '' the wedding at which he is the best man . In the episode `` False Positive '' Robin asks Ted to be her future best man , should she ever get married . In the episode `` Challenge Accepted '' , it is revealed that Ted meets the mother of his children the day of Barney 's wedding . In the last episode of season 7 , `` The Magician 's Code '' it is shown that Barney will marry Robin , and Ted will meet the mother `` the day of '' their wedding . On the premiere of season 8 , Ted 's wife appears after Barney and Robin 's wedding , outside at the `` Farhampton '' station while holding a yellow umbrella and her bass guitar .   In the season 8 episode `` Band or DJ ? , '' Ted runs into Cindy on the subway and tells her that the band Barney and Robin hired to play at their wedding cancelled at the last minute . The end result of the encounter is that Cindy 's ( now ex - ) roommate 's band plays at Barney and Robin 's wedding .   The Mother is first shown meeting Louis in `` How Your Mother Met Me '' as she is left to carry the band equipment while the now - lead band member Darren talks to his fans . Later at MacLaren 's Pub , she tells him she 's not yet ready to date . Louis asks her to give him a call if she changes her mind and they begin dating not long after .   The Mother meets all of Ted 's best friends ( Barney , Lily , Marshall and Robin ) before she meets him . The Mother is responsible for convincing Barney to pursue Robin , as revealed through a flashback in `` Platonish '' . In `` The Locket '' , Tracy meets Lily on a train journey .   In `` Bass Player Wanted '' , the Mother picks up a hitchhiking Marshall , carrying his son Marvin , on her way to Farhampton Inn . On their way , it is revealed that the Mother is a bass player in the band , that is scheduled to play at the wedding reception . But the band 's leader , Darren , forced her to quit . The Mother ultimately decides to confront Darren and retake the band . She ends up alone at the bar , and while practicing a speech to give Darren , Darren walks up to her furious the groom 's best man punched him for `` no reason . '' Amused by this , the Mother laughs , and Darren quits the band in anger .   In `` How Your Mother Met Me '' , it is shown that after this incident , the Mother returns to Louis ' summer cottage not far from the Farhampton Inn where she has been staying for the duration of the wedding weekend . As she walks in the door , Louis proposes to her , but she goes outside to think about it for a few minutes . She declines Louis ' proposal and leaves his cottage , going to check in at Farhampton Inn . On her room 's balcony , she plays the ukulele and sings `` La Vie en Rose '' . Ted hears her singing from his room next door .   In `` Gary Blauman '' , Ted and the Mother are on their first date . Ted picks her up at her New York City apartment and they proceed to walk to a Scottish - Mexican fusion restaurant for dinner . On the way there , Ted is telling her a story when they nearly have a run - in with Louis . She says that she is in the `` weirdest place on earth '' right now and that it is too soon for her to be dating . Ted walks her back to her apartment . They say goodnight and Ted begins to walk away . The Mother then stops him and asks him to finish the story he was telling her . When the story is over , they say goodnight again . The Mother takes a step towards Ted and they kiss for the first time , before deciding to carry on their date .   In a flashforward in `` The Lighthouse '' , Ted proposes to the Mother at the top of the lighthouse near Farhampton Inn . She immediately accepts . In another flashfoward in `` Unpause '' , the Mother is revealed to be pregnant with their second child , Luke , in the year 2017 . She goes into labor while she and Ted are staying at Farhampton .   Name ( edit )   The Mother 's real name is not revealed until the series finale , `` Last Forever '' . When Ted meets her at the Farhampton train station , she reveals that her name is Tracy McConnell . In the season 1 episode `` Belly Full of Turkey '' , Ted meets a stripper named Tracy and says `` ... that , kids , is the true story of how I met your mother '' . The children react in surprise and appear to believe Ted before he admits he is joking , which led some fans to correctly guess that The Mother 's name is Tracy .   Death ( edit )  See also : Last Forever  In the series finale , it is revealed that six years prior to Ted telling the story to his children , Tracy died in 2024 from an undisclosed illness . In the finale the characters do not directly state that the mother is dead . Ted says that she `` became sick '' and his children saying that she has been `` gone '' for six years . Many fans expressed considerable disappointment to The Mother 's death . Milioti cried when she learned her character was supposed to die , but came to accept the ending was what the writers had planned from the beginning . Bill Kuchman from Popculturology said that The Mother was `` an amazing character '' and that `` over the course of this final season HIMYM made us care about Tracy . Kuchman said that `` asking fans to drop all of that with a simple line about The Mother getting sick and passing away was a very difficult request '' , that the finale `` advanced too quickly '' and that `` HIMYM was a victim of its own success on this issue '' .   A petition was started , aiming to rewrite and reshoot the finale . The petition has over 20,000 signatures and considerable online news coverage . On April 5 , 2014 , Carter Bays announced on Twitter that an alternate ending would be included on the Season 9 DVD . No new material was shot for this scene . In the alternate ending , the mother is still living when Ted is telling the story in 2030 .   Notes ( edit )    Jump up ^ The Mother celebrates her 21st birthday on the day that `` Pilot '' is set . The pilot is set on September 19 , 2005 .    References ( edit )    ^ Jump up to : Debnath , Neela ( 7 September 2014 ) . `` How I Met Your Mother alternative finale leaks online ahead of DVD release '' . The Independent . Retrieved 15 February 2015 .   Jump up ^ Kreps , Daniel ( September 6 , 2014 ) . `` Watch the Happier ' How I Met Your Mother ' Alternate Ending '' . Rolling Stone .   Jump up ^ MacGregor , Rachel ( September 23 , 2014 ) . `` 8 reasons why How I Met Your Mother should 've used its alternative ending '' . Metro UK .   Jump up ^ Stransky , Tanner ( 2013 - 05 - 13 ) . `` ' How I Met Your Mother ' : Burning questions about the mother '' . Entertainment Weekly .   ^ Jump up to : Fallon , Kevin ( 2013 - 05 - 14 ) . `` ' How I Met Your Mother ' Mother Revealed : Meet Cristin Milioti '' . The Daily Beast .   Jump up ^ Fallon , Kevin ( 2015 - 11 - 03 ) . `` How Cristin Milioti Met ' Fargo ' -- And Left ' How I Met Your Mother ' Behind '' . The Daily Beast .   ^ Jump up to : `` How Your Mother Met Me '' . How I Met Your Mother . Season 9 . Episode 16 . January 27 , 2014 .   Jump up ^ `` Pilot '' . How I Met Your Mother . Season 1 . Episode 1 . September 19 , 2005 . CBS .   ^ Jump up to : Kuchman , Bill ( April 4 , 2014 ) . `` ' How I Met Your Mother ' ' Last Forever ' Recap : A Divisive Finale and What It Means for ' HIMYM ' '' . Retrieved July 7 , 2014 .   Jump up ^ Rullo , Samantha ( 10 March 2014 ) . `` What is The Mother 's Name on ' How I Met Your Mother ' ? Episode Title Might Hold the Secret '' . Retrieved July 7 , 2014 .   Jump up ^ `` HIMYM Tomatometer Watch : Series Finale Currently Rotten - Majority of critics disappointed by ' Last Forever ' '' . Rotten Tomatoes. April 2 , 2014 . Retrieved April 3 , 2014 .   Jump up ^ http://abcnews.go.com/Entertainment/cristin-milioti-sobbed-found-characters-fate-met-mother/story?id=25947923   Jump up ^ Kuchman , Bill ( March 31 , 2014 ) . `` ' HIMYM ' Finale Instant Reaction '' . Retrieved July 7 , 2014 .   Jump up ^ Guerrero , Danger ( April 4 , 2014 ) . `` Now There 's A Petition To ' Rewrite And Reshoot ' The ' How I Met Your Mother ' Ending '' . Retrieved July 7 , 2014 .   Jump up ^ Maresca , Rachel ( April 3 , 2014 ) . `` ' How I Met Your Mother ' series finale sparks online petition from fans who want ending changed '' . New York Daily News . Retrieved July 7 , 2014 .   Jump up ^ Update for those who 've been asking : Alt # himym ending will be on s9 DVD and also in the series box set . https://twitter.com/CarterBays/status/452299544995184640   Jump up ^ James , Lauren ( April 5 , 2014 ) . `` ' How I Met Your Mother ' May Get Alternate Ending After Petition , Says Carter Bays '' . Contact Music . Retrieved July 7 , 2014 .   Jump up ^ Kreps , Daniel ( September 6 , 2014 ) . `` Watch the Happier ' How I Met Your Mother ' Alternate Ending '' . Rolling Stone . Retrieved November 16 , 2014 .      ( hide )         How I Met Your Mother     Episodes     Season 1   Season 2   Season 3   Season 4   Season 5   Season 6   Season 7   Season 8   Season 9       Characters     Ted Mosby   Marshall Eriksen   Lily Aldrin   Barney Stinson   Robin Scherbatsky   The Mother ( Tracy McConnell )       Soundtracks     How I Met Your Music       Related articles     Awards and nominations   The Bro Code   Cheerleader effect   `` Nothing Suits Me Like a Suit ''      Retrieved from `` https://en.wikipedia.org/w/index.php?title=The_Mother_(How_I_Met_Your_Mother)&amp;oldid=802354471 '' Categories :   How I Met Your Mother characters   Fictional characters introduced in 2013   Fictional female musicians   Hidden categories :   Pages using deprecated image syntax   Pages using infobox character with unknown parameters           Talk                                           Contents                   About Wikipedia                                           Español   Italiano   Magyar   Tiếng Việt   Edit links   This page was last edited on 25 September 2017 , at 17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</si>
  <si>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i.met your mother who is the mother</t>
  </si>
  <si>
    <t xml:space="preserve"> Tracy McConnell , better known as `` The Mother '' , is the title character from the CBS television sitcom How I Met Your Mother . The show , narrated by Future Ted , tells the story of how Ted Mosby met The Mother . Tracy McConnell appears in 8 episodes from `` Lucky Penny '' to `` The Time Travelers '' as an unseen character ; she was first seen fully in `` Something New '' and was promoted to a main character in season 9 . The Mother is played by Cristin Milioti . </t>
  </si>
  <si>
    <t xml:space="preserve">Human fertilization - wikipedia  Human fertilization  Jump to : navigation , search    Part of a series on     Human growth and development         Stages       Human embryogenesis   Fetus   Infant   Toddler   Early childhood   Child   Preadolescence   Adolescence   Adult   Middle age   Old age       Biological milestones       Fertilization   Childbirth   Walking   Language acquisition   Puberty   Menopause   Ageing   Death       Development and psychology       Pre - and perinatal   Infant and child   Adolescent   Youth   Young adult   Adult   Maturity       Developmental stage theories       Attachment   Ecological   Psychosocial   Psychosexual development   Moral   Cognitive   Cultural - historical   Evolutionary         Human body portal                  The acrosome reaction for a sea urchin , a similar process . Note that the picture shows several stages of one and the same spermatozoon - only one penetrates the ovum Illustration depicting ovulation and fertilization .  Human fertilization is the union of a human egg and sperm , usually occurring in the ampulla of the fallopian tube . The result of this union is the production of a zygote cell , or fertilized egg , initiating prenatal development . Scientists discovered the dynamics of human fertilization in the nineteenth century .   The process of fertilization involves a sperm fusing with an ovum . The most common sequence begins with ejaculation during copulation , follows with ovulation , and finishes with fertilization . Various exceptions to this sequence are possible , including artificial insemination , in vitro fertilization , external ejaculation without copulation , or copulation shortly after ovulation . Upon encountering the secondary oocyte , the acrosome of the sperm produces enzymes which allow it to burrow through the outer jelly coat of the egg . The sperm plasma then fuses with the egg 's plasma membrane , the sperm head disconnects from its flagellum and the egg travels down the Fallopian tube to reach the uterus .   In vitro fertilization ( IVF ) is a process by which egg cells are fertilized by sperm outside the womb , in vitro .     Contents  ( hide )   1 Anatomy   1.1 Corona radiata   1.2 Cone of attraction and perivitelline membrane   1.3 Sperm preparation   1.4 Zona pellucida   1.4. 1 Cortical reaction       2 Fusion   2.1 Cell membranes   2.2 Transformations   2.3 Replication   2.4 Mitosis     3 Fertilization age   4 Diseases   5 See also   6 References   7 External links      Anatomy ( edit )   Corona radiata ( edit )   The sperm binds through the corona radiata , a layer of follicle cells on the outside of the secondary oocyte . Fertilization occurs when the nucleus of both a sperm and an egg fuse to form a diploid cell , known as zygote . The successful fusion of gametes forms a new organism .   Cone of attraction and perivitelline membrane ( edit )   Where the spermatozoon is about to pierce , the yolk ( ooplasm ) is drawn out into a conical elevation , termed the cone of attraction or reception cone . Once the spermatozoon has entered , the peripheral portion of the yolk changes into a membrane , the perivitelline membrane , which prevents the passage of additional spermatozoa .   Sperm preparation ( edit )  Further information : Acrosome reaction  At the beginning of the process , the sperm undergoes a series of changes , as freshly ejaculated sperm is unable or poorly able to fertilize . The sperm must undergo capacitation in the female 's reproductive tract over several hours , which increases its motility and destabilizes its membrane , preparing it for the acrosome reaction , the enzymatic penetration of the egg 's tough membrane , the zona pellucida , which surrounds the oocyte .   Zona pellucida ( edit )   After binding to the corona radiata the sperm reaches the zona pellucida , which is an extra-cellular matrix of glycoproteins . A special complementary molecule on the surface of the sperm head binds to a ZP3 glycoprotein in the zona pellucida . This binding triggers the acrosome to burst , releasing enzymes that help the sperm get through the zona pellucida .   Some sperm cells consume their acrosome prematurely on the surface of the egg cell , facilitating the penetration by other sperm cells . As a population , sperm cells have on average 50 % genome similarity so the premature acrosomal reactions aid fertilization by a member of the same cohort . It may be regarded as a mechanism of kin selection .   Recent studies have shown that the egg is not passive during this process .  Cortical reaction ( edit )  Once the sperm cells find their way past the zona pellucida , the cortical reaction occurs . Cortical granules inside the secondary oocyte fuse with the plasma membrane of the cell , causing enzymes inside these granules to be expelled by exocytosis to the zona pellucida . This in turn causes the glyco - proteins in the zona pellucida to cross-link with each other -- i.e. the enzymes cause the ZP2 to hydrolyse into ZP2f -- making the whole matrix hard and impermeable to sperm . This prevents fertilization of an egg by more than one sperm . The cortical reaction and acrosome reaction are both essential to ensure that only one sperm will fertilize an egg .   Fusion ( edit )  Fertilization and implantation in humans .  After the sperm enters the cytoplasm of the oocyte ( also called ovocyte ) , the tail and the outer coating of the sperm disintegrate and the cortical reaction takes place , preventing other sperm from fertilizing the same egg . The oocyte now undergoes its second meiotic division producing the haploid ovum and releasing a polar body . The sperm nucleus then fuses with the ovum , enabling fusion of their genetic material .   Cell membranes ( edit )   The fusion of cell membranes of the secondary oocyte and sperm takes place .   Transformations ( edit )   In preparation for the fusion of their genetic material both the oocyte and the sperm undergo transformations as a reaction to the fusion of cell membranes .   The oocyte completes its second meiotic division . This results in a mature ovum . The nucleus of the oocyte is called a pronucleus in this process , to distinguish it from the nuclei that are the result of fertilization .   The sperm 's tail and mitochondria degenerate with the formation of the male pronucleus . This is why all mitochondria in humans are of maternal origin . Still , a considerable amount of RNA from the sperm is delivered to the resulting embryo and likely influences embryo development and the phenotype of the offspring .   Replication ( edit )   The pronuclei migrate toward the center of the oocyte , rapidly replicating their DNA as they do so to prepare the zygote for its first mitotic division .   Mitosis ( edit )   Usually 23 chromosomes from spermatozoon and 23 chromosomes from egg cell fuse ( half of spermatozoons carry X chromosome and the other half Y chromosome ) . Their membranes dissolve , leaving no barriers between the male and female chromosomes . During this dissolution , a mitotic spindle forms between them . The spindle captures the chromosomes before they disperse in the egg cytoplasm . Upon subsequently undergoing mitosis ( which includes pulling of chromatids towards centrioles in anaphase ) the cell gathers genetic material from the male and female together . Thus , the first mitosis of the union of sperm and oocyte is the actual fusion of their chromosomes .   Each of the two daughter cells resulting from that mitosis has one replica of each chromatid that was replicated in the previous stage . Thus , they are genetically identical .   Fertilization age ( edit )   Fertilization is the event most commonly used to mark the zero point in descriptions of prenatal development of the embryo or fetus . The resultant age is known as fertilization age , fertilizational age , embryonic age , fetal age or ( intrauterine ) developmental ( IUD ) age .   Gestational age , in contrast , takes the beginning of the last menstrual period ( LMP ) as the zero point . By convention , gestational age is calculated by adding 14 days to fertilization age and vice versa . In fact , however , fertilization usually occurs within a day of ovulation , which , in turn , occurs on average 14.6 days after the beginning of the preceding menstruation ( LMP ) . There is also considerable variability in this interval , with a 95 % prediction interval of the ovulation of 9 to 20 days after menstruation even for an average woman who has a mean LMP - to - ovulation time of 14.6 . In a reference group representing all women , the 95 % prediction interval of the LMP - to - ovulation is 8.2 to 20.5 days .   The average time to birth has been estimated to be 268 days ( 38 weeks and two days ) from ovulation , with a standard deviation of 10 days or coefficient of variation of 3.7 % .   Fertilization age is sometimes used postnatally ( after birth ) as well to estimate various risk factors . For example , it is a better predictor than postnatal age for risk of intraventricular hemorrhage in premature babies treated with extracorporeal membrane oxygenation .   Diseases ( edit )   Various disorders can arise from defects in the fertilization process .    Polyspermy results from multiple sperm fertilizing an egg .    However , some researchers have found that in rare pairs of fraternal twins , their origin might have been from the fertilization of one egg cell from the mother and eight sperm cells from the father . This possibility has been investigated by computer simulations of the fertilization process .   See also ( edit )    Spontaneous conception , the unassisted conception of a subsequent child after prior use of assisted reproductive technology    References ( edit )    Jump up ^ Garrison , Fielding . An Introduction to the History of Medicine , pages 566 - 567 ( Saunders 1921 ) .   Jump up ^ `` Archived copy '' . Archived from the original on 2011 - 12 - 22 . Retrieved 2016 - 01 - 24 .   Jump up ^ http://www.americanpregnancy.org/preventingpregnancy/pregnancyfaqmyths.html   Jump up ^ Lawyers Guide to Forensic Medicine SBN 978 - 1 - 85941 - 159 - 9 By Bernard Knight - Page 188 `` Pregnancy is well known to occur from such external ejaculation ... ''   Jump up ^ `` Fertilization of the Ovum '' . Gray 's Anatomy . Retrieved 2010 - 10 - 16 .   Jump up ^ `` Fertilization '' . Retrieved 28 July 2010 .   Jump up ^ Angier , Natalie ( 2007 - 06 - 12 ) . `` Sleek , Fast and Focused : The Cells That Make Dad Dad '' . The New York Times .   Jump up ^ Suzanne Wymelenberg , Science and Babies , National Academy Press , page 17   Jump up ^ Richard E. Jones and Kristin H. Lopez , Human Reproductive Biology , Third Edition , Elsevier , 2006 , page 238   Jump up ^ `` Fertilization : The Cortical Reaction '' . Boundless . Boundless . Retrieved 14 March 2013 .   Jump up ^ Jodar , M. ; Selvaraju , S. ; Sendler , E. ; Diamond , M.P. ; Krawetz , S.A. ; for the Reproductive Medicine Networks ( 2013 ) . `` The presence , role and clinical use of spermatozoal RNAs '' . Human Reproduction Update. 19 ( 6 ) : 604 -- 624 . doi : 10.1093 / humupd / dmt031 . PMC 3796946 . PMID 23856356 .   ^ Jump up to : Marieb , Elaine M. Human Anatomy and Physiology , 5th ed . pp. 1119 - 1122 ( 2001 ) . ISBN 0 - 8053 - 4989 - 8   Jump up ^ https://www.genderselectionauthority.com/blog/five-facts-about-xx-or-xy   Jump up ^ Wagner F , Erdösová B , Kylarová D ( December 2004 ) . `` Degradation phase of apoptosis during the early stages of human metanephros development '' . Biomed Pap Med Fac Univ Palacky Olomouc Czech Repub. 148 ( 2 ) : 255 -- 6 . doi : 10.5507 / bp. 2004.054 . PMID 15744391 .   Jump up ^ Robinson , H.P. ; Fleming , J.E.E. ( 1975 ) . `` A Critical Evaluation of Sonar `` crown - Rump Length '' Measurements `` . BJOG : an International Journal of Obstetrics and Gynaecology. 82 ( 9 ) : 702 -- 710 . doi : 10.1111 / j. 1471 - 0528.1975. tb00710. x .   ^ Jump up to : Geirsson RT ( May 1991 ) . `` Ultrasound instead of last menstrual period as the basis of gestational age assignment '' . Ultrasound Obstet Gynecol. 1 ( 3 ) : 212 -- 9 . doi : 10.1046 / j. 1469 - 0705.1991. 01030212. x . PMID 12797075 .   Jump up ^ Derived from a standard deviation in this interval of 2.6 , as given in : Fehring RJ , Schneider M , Raviele K ( 2006 ) . `` Variability in the phases of the menstrual cycle '' . J Obstet Gynecol Neonatal Nurs. 35 ( 3 ) : 376 -- 84 . doi : 10.1111 / j. 1552 - 6909.2006. 00051. x . PMID 16700687 .   Jump up ^ Jukic AM , Baird DD , Weinberg CR , McConnaughey DR , Wilcox AJ ( 2013 ) . `` Length of human pregnancy and contributors to its natural variation '' . Hum . Reprod. 28 ( 10 ) : 2848 -- 55 . doi : 10.1093 / humrep / det297 . PMC 3777570 . PMID 23922246 .   Jump up ^ Jobe , Alan H ( 2004 ) . `` Post-conceptional age and IVH in ECMO patients '' . The Journal of Pediatrics. 145 ( 2 ) : A2 . doi : 10.1016 / j. jpeds. 2004.07. 010 .    External links ( edit )    Fertilization ( Conception )      ( hide )         Human physiology of sexual reproduction     Menstrual cycle     Menarche   Menstruation   Follicular phase   Ovulation   Luteal phase       Gametogenesis     Spermatogenesis ( spermatogonium   spermatocyte   spermatid   sperm )   Oogenesis ( oogonium   oocyte   ootid   ovum )   Germ cell ( gonocyte   gamete )       Human sexual behavior     Sexual arousal   Sexual intercourse   Masturbation   Erection   Orgasm   Ejaculation   Insemination   Fertilisation / Fertility   Implantation   Pregnancy   Postpartum period   Mechanics of sex       Life span     Prenatal development / Sexual dimorphism / Sexual differentiation ( Feminization   Virilization )   Puberty ( Gonadarche   Pubarche   Menarche   Spermarche   Adrenarche )   Maternal age / Paternal age   Climacteric ( Menopause   Late - onset hypogonadism )   Tanner scale       Egg     Ovum   Oviposition   Oviparity   Ovoviviparity   Vivipary       Reproductive endocrinology and infertility     Hypothalamic -- pituitary -- gonadal axis   Hypothalamic -- pituitary -- prolactin axis   Andrology   Hormone       Breast     Thelarche   Breast development   Lactation   Breastfeeding      Retrieved from `` https://en.wikipedia.org/w/index.php?title=Human_fertilization&amp;oldid=831042507 '' Categories :   Fertility   Hidden categories :   All articles with unsourced statements   Articles with unsourced statements from June 2014           Talk                                           Contents                   About Wikipedia                                             Bosanski   Čeština   فارسی   Français   Hrvatski   Latviešu   नेपाली   Polski   Português   Русский   Slovenčina  5 more  Edit links   This page was last edited on 18 March 2018 , at 11 : 37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</si>
  <si>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type of fertilisation takes place in humans</t>
  </si>
  <si>
    <t xml:space="preserve"> The process of fertilization involves a sperm fusing with an ovum . The most common sequence begins with ejaculation during copulation , follows with ovulation , and finishes with fertilization . Various exceptions to this sequence are possible , including artificial insemination , in vitro fertilization , external ejaculation without copulation , or copulation shortly after ovulation . Upon encountering the secondary oocyte , the acrosome of the sperm produces enzymes which allow it to burrow through the outer jelly coat of the egg . The sperm plasma then fuses with the egg 's plasma membrane , the sperm head disconnects from its flagellum and the egg travels down the Fallopian tube to reach the uterus . </t>
  </si>
  <si>
    <t xml:space="preserve">List of National Football League career quarterback wins leaders - wikipedia  List of National Football League career quarterback wins leaders  Jump to : navigation , search    NFL lists     Current season ( show )   2017 season       Quarterbacks ( show )   Starting quarterbacks by touchdowns / touchdowns ( playoffs ) / yardage / 5000 yard seasons / completion   by team BUF   MIA   NE   NYJ   BAL   CIN   CLE   PIT   HOU   IND   JAX   TEN   DEN   KC   LAC   OAK   DAL   NYG   PHI   WAS   CHI   DET   GB   MIN   ATL   CAR   NO   TB   ARI   LAR   SF   SEA     Most wins   Playoff records     Most consecutive starts   Most consecutive games with touchdown pass     Win -- loss records 2012         Running backs ( show )   Career rushing attempts leaders   Career rushing yards leaders   Career rushing touchdowns leaders   Annual rushing yards leaders   Annual rushing touchdowns leaders   2,000 - yard club   1,000 - yard duos       Receivers ( show )   Career receptions leaders   Career receiving yards leaders   Career receiving touchdowns leaders   Annual receptions leaders   Annual receiving yards leaders   Annual receiving touchdowns leaders       Defense ( show )   Career sacks leaders   Annual sacks leaders   Career interceptions leaders   Annual interceptions leaders       Special teams ( show )   Longest field goals   Career field goals leaders   Career punting yards leaders   Career punt return yards leaders   Career kickoff return yards leaders   Annual field goals leaders   Annual punting yards leaders   Annual punt return yards leaders   Annual kickoff return yards leaders       Other lists ( show )   Most consecutive starts ( and games played )   Career all - purpose yards leaders   Career scoring leaders   Brett Favre 's career achievements   Peyton Manning 's career achievements                   The following is a list of the top National Football League ( NFL ) quarterbacks in wins . In the NFL , the quarterback is the only position that is credited with records of wins and losses .   Active quarterback Tom Brady holds the records for most wins with 220 , most regular season wins with 195 , and most postseason wins with 25 , as of Week 16 of the 2017 NFL season . Having played the entirety of his career with the New England Patriots , each of Brady 's win records also apply to wins with a single team .   Among retired players , the record for most wins is held by Peyton Manning with 200 . In his final professional game , Manning set the then - record for wins , surpassing Brett Favre who retired with 199 wins . Other previous record - holders include John Elway ( 162 ) , Fran Tarkenton ( 130 ) , and Johnny Unitas ( 124 ) . Otto Graham holds the record for the highest winning percentage with a minimum of 35 wins at . 788 ( 61 wins to 16 losses ) .     Contents  ( hide )   1 Quarterbacks with most total wins in NFL history   2 Next in Line   3 Quarterbacks with most regular season wins in NFL history   4 See also   5 References      Quarterbacks with most total wins in NFL history ( edit )   This sortable table shows the top 100 NFL quarterbacks in order of total wins , both regular season and playoffs , since the start of the modern era , 1950 . The table also shows every team that a quarterback played for . If two quarterbacks have the same number of wins , the player with the highest winning percentage is ranked first .   When sorting teams :    Players are listed in order of number of wins for team .    The following are grouped together    Arizona , Phoenix and St. Louis Cardinals   Los Angeles and St. Louis Rams   Los Angeles and San Diego Chargers   Oakland and Los Angeles Raiders   Tennessee Titans and Houston Oilers   Indianapolis and Baltimore Colts   ( except 1950 Baltimore Colts , a separate franchise which folded )      To reset the table to its default sorting settings , simply reload the page .   Updated through the December 31 games .     Active player     Winning percentage ≥ . 600     Winning percentage ≥ . 700     Hall of Fame     Quarterbacks ranked by total wins , then winning percentage   Rank   Quarterback   Seasons   Teams   Regular Season   Playoffs   Career wins   Career losses   Ties   Win Pct   Updated through                 Tom Brady   2000 -- present   New England a ! New England   196   55   25   9   221   64   0   . 775   Week 17       Peyton Manning   1998 -- 2011   Indianapolis A ! Indianapolis Colts   141   67   9   10   200   92   0   . 685       2012 -- 2015   Denver B ! Denver   45   12   5         Brett Favre   1991   Atlanta F ! Atlanta   0   0       199   123   0   . 618       1992 -- 2007   Green Bay a ! Green Bay   160   93   12   10     2008   NY Jets E ! New York Jets   9   7         2009 -- 2010   Minnesota F ! Minnesota   17   12           John Elway   1983 -- 1998   Denver A ! Denver   148   82   14   7   162   89     . 645       5   Dan Marino   1983 -- 1999   Miami a ! Miami   147   93   8   10   155   103   0   . 601       6   Ben Roethlisberger   2004 -- present   Pittsburgh A ! Pittsburgh   135   63   13   7   148   70   0   . 679   Week 17     7   Drew Brees   2001 -- 2005   San Diego Chargers   30   28   0     148   111   0   . 571       2006 -- present   New Orleans a ! New Orleans   112   78   6     Week 17     8   Joe Montana   1979 -- 1992   San Francisco a ! San Francisco   100   39   14   5   133   54   0   . 711       1993 -- 1994   Kansas City E ! Kansas City   17   8         9   Fran Tarkenton   1961 -- 1966 1972 -- 1978   Minnesota a ! Minnesota   91   73   6   5   130   114   6   . 533       1967 -- 1971   NY Giants E ! New York Giants   33   36         10   Johnny Unitas   1956 -- 1972   Indianapolis B ! Baltimore Colts   117   61   6     124   66     . 649       1973   San Diego Chargers             11   Terry Bradshaw   1970 -- 1983   Pittsburgh b ! Pittsburgh   107   51   14   5   121   56   0   . 684       12   Eli Manning   2004 -- present   NY Giants a ! New York Giants   111   103   8     119   107   0   . 527   2017 season     13   Jim Kelly   1986 -- 1996   Buffalo A ! Buffalo   101   59   9   8   110   67   0   . 621       14   Philip Rivers   2004 -- present   San Diego / Los Angeles Chargers   106   86     5   110   91   0   . 547   2017 season     15   Donovan McNabb   1999 -- 2009   Philadelphia a ! Philadelphia   92   49   9   7   107   69     . 607         Washington I ! Washington   5   8         2011   Minnesota J ! Minnesota     5         16   Troy Aikman   1989 -- 2000   Dallas A ! Dallas   94   71   11     105   75   0   . 583       17   Warren Moon   1984 -- 1993   Tennessee B ! Houston Oilers   70   69     6   105   108   0   . 493       1994 -- 1996   Minnesota D ! Minnesota   21   18   0       1997 -- 1998   Seattle E ! Seattle   11   13         1999 -- 2000   Kansas City J ! Kansas City   0           18   Aaron Rodgers   2005 -- present   Green Bay b ! Green Bay   94   48   9   7   103   55   0   . 652   2017 season     19   Ken Stabler   1970 -- 1979   Oakland a ! Oakland Raiders   69   26   7     103   54     . 655       1980 -- 1981   Tennessee E ! Houston Oilers   16   12   0       1982 -- 1984   New Orleans D ! New Orleans   11   11         20   Bart Starr   1956 -- 1971   Green Bay c ! Green Bay   94   57   9     103   58   6   . 635       21   Steve Young   1985 -- 1986   Tampa Bay F ! Tampa Bay     16       102   55   0   . 650       1987 -- 1999   San Francisco b ! San Francisco   91   33   8   6     22   Joe Flacco   2008 -- present   Baltimore Ravens A ! Baltimore Ravens   92   62   10   5   102   67   0   . 604   2017 season     23   Phil Simms   1979 -- 1993   NY Giants b ! New York Giants   95   64   6     101   68   0   . 598       24   Dave Krieg   1980 -- 1991   Seattle a ! Seattle   70   49       101   83   0   . 549       1992 -- 1993   Kansas City F ! Kansas City   13   8   0       1994   Detroit F ! Detroit   5     0       1995   Arizona H ! Arizona Cardinals     12           Chicago F ! Chicago   6   6         1997 -- 1998   Tennessee M ! Tennessee Oilers   0   0         25   Drew Bledsoe   1993 -- 2001   New England C ! New England   63   60       101   98   0   . 508       2002 -- 2004   Buffalo D ! Buffalo   23   25         2005 -- 2006   Dallas F ! Dallas   12   10         26   Len Dawson   1957 -- 1959   Pittsburgh M ! Pittsburgh   0         99   60   8   . 617       1960 -- 1961   Cleveland J ! Cleveland     0         1962 -- 1975   Kansas City A ! Dallas Texans / Kansas City   93   56   5       27   Bob Griese   1967 -- 1980   Miami b ! Miami   92   56   6   5   98   61     . 614       28   Matt Ryan   2008 -- present   Atlanta A ! Atlanta   95   63     5   98   68   0   . 590   Week 17     29   Roger Staubach   1969 -- 1979   Dallas B ! Dallas   85   29   11   6   96   35   0   . 733       30   Steve McNair   1995 -- 2005   Tennessee a ! Houston Oilers / Tennessee Oilers / Titans   76   55   5     96   67   0   . 589       2006 -- 2007   Baltimore Ravens B ! Baltimore Ravens   15   7   0       31   Ken Anderson   1971 -- 1986   Cincinnati A ! Cincinnati   91   81       93   85   0   . 522       32   Carson Palmer   2004 -- 2010   Cincinnati D ! Cincinnati   46   51   0     93   91     . 505       2011 -- 2012   Oakland G ! Oakland Raiders   8   16           2013 -- present   Arizona B ! Arizona Cardinals   38   21       2017 season     33   Vinny Testaverde   1987 -- 1992   Tampa Bay C ! Tampa Bay   24   48       92   126     . 422       1993 -- 1995   Cleveland F ! Cleveland   16   15         1996 -- 1997   Baltimore Ravens C ! Baltimore Ravens   8   20         1998 -- 2003 2005   NY Jets C ! New York Jets   35   26           Dallas G ! Dallas   5   10         2006   New England G ! New England   0   0         2007   Carolina D ! Carolina             34   Matt Hasselbeck   1999 -- 2000   Green Bay x ! Green Bay   0   0       91   80   0   . 532       2001 -- 2010   Seattle b ! Seattle   69   62   6   5     2011 -- 2012   Tennessee G ! Tennessee Titans   11   10         2013 -- 2015   Indianapolis F ! Indianapolis Colts   5           35   Alex Smith   2005 -- 2012   San Francisco E ! San Francisco   38   36       90   66     . 576       2013 -- present   Kansas City B ! Kansas City   50   26       Week 17     36   Dan Fouts   1973 -- 1987   San Diego Chargers   86   84       89   88     . 503       37   Jim Hart   1966 -- 1983   Arizona A ! St. Louis Cardinals   87   88       87   88   5   . 497       1984   Washington Y ! Washington   0   0         38   Roman Gabriel   1962 -- 1972   Los Angeles Rams   74   39   0     86   66   7   . 563       1973 -- 1977   Philadelphia H ! Philadelphia   12   25         39   Craig Morton   1965 -- 1974   Dallas E ! Dallas   32   14       86   67     . 562       1974 -- 1976   NY Giants K ! New York Giants   8   25         1977 -- 1982   Denver c ! Denver   41   23         40   Randall Cunningham   1985 -- 1995   Philadelphia b ! Philadelphia   63   43       85   58     . 594       1997 -- 1999   Minnesota g ! Minnesota   16   7         2000   Dallas J ! Dallas               Baltimore Ravens F ! Baltimore Ravens     0         41   Bobby Layne   1948   Chicago H ! Chicago   0   0       84   62   5   . 573       1949   New York Bulldogs     10         1950 -- 1958   Detroit B ! Detroit   53   29         1958 -- 1962   Pittsburgh D ! Pittsburgh   27   22         42   Kerry Collins   1995 -- 1998   Carolina C ! Carolina   22   20       84   103   0   . 449       1998   New Orleans F ! New Orleans     5         1999 -- 2003   NY Giants D ! New York Giants   35   33         2004 -- 2005   Oakland H ! Oakland Raiders   7   21         2006 -- 2010   Tennessee E ! Tennessee Titans   15   17   0       2011   Indianapolis z ! Indianapolis Colts   0           43   Joe Theismann   1974 -- 1985   Washington a ! Washington   77   47   6     83   49   0   . 629       44   Mark Brunell   1994   Green Bay x ! Green Bay   0   0       83   78   0   . 516       1995 -- 2003   Jacksonville a ! Jacksonville   63   54         2004 -- 2006   Washington F ! Washington   15   18         2008 -- 2009   New Orleans J ! New Orleans   0           2010 -- 2011   NY Jets H ! New York Jets   0   0         45   Boomer Esiason   1984 -- 1992 1997   Cincinnati C ! Cincinnati   62   61       83   95   0   . 466       1993 -- 1995   NY Jets D ! New York Jets   15   27           Arizona I ! Arizona Cardinals     5         46   John Hadl   1962 -- 1972   San Diego Chargers   59   54   0     82   77   9   . 515       1973 -- 1974   LA Rams E ! Los Angeles Rams   15     0       1974 -- 1975   Green Bay d ! Green Bay   7   12         1976 -- 1977   Tennessee K ! Houston Oilers     5         47   Tony Romo   2004 -- 2016   Dallas C ! Dallas   78   49       80   53   0   . 602       48   Rich Gannon   1987 -- 1992   Minnesota E ! Minnesota   19   16       80   59   0   . 576       1993   Washington L ! Washington             1995 -- 1998   Kansas City G ! Kansas City   11   8         1999 -- 2004   Oakland C ! Oakland Raiders   45   29         49   Jim Plunkett   1971 -- 1975   New England D ! New England   23   38       80   74   0   . 519       1976 -- 1977   San Francisco G ! San Francisco   11   15         1979 -- 1986   Oakland D ! Oakland / LA Raiders   38   19   8       50   Joe Ferguson   1973 -- 1984   Buffalo B ! Buffalo   77   86       80   95   0   . 457       1985 -- 1986   Detroit G ! Detroit             1988 -- 1989   Tampa Bay I ! Tampa Bay   0           1990   Indianapolis H ! Indianapolis Colts   0   0         51   Y.A. Tittle   1950   Baltimore Colts     6       78   54   5   . 588       1951 -- 1960   San Francisco d ! San Francisco   45   31   0       1961 -- 1964   NY Giants F ! New York Giants   32   13   0       52   Ron Jaworski   1974 -- 1976   LA Rams H ! Los Angeles Rams     0     0   77   73     . 513       1977 -- 1986   Philadelphia A ! Philadelphia   69   67           Miami F ! Miami   0   0         1989   Kansas City H ! Kansas City             53   Kurt Warner   1998 -- 2003   LA Rams D ! St. Louis Rams   35   15   5     76   53   0   . 589         NY Giants k ! New York Giants   5           2005 -- 2009   Arizona E ! Arizona Cardinals   27   30         54   Brad Johnson   1994 -- 1998 2005 -- 2006   Minnesota C ! Minnesota   28   18   0     76   56   0   . 576       1999 -- 2000   Washington E ! Washington   17   10         2001 -- 2004   Tampa Bay B ! Tampa Bay   26   23         2007 -- 2008   Dallas J ! Dallas             55   John Brodie   1957 -- 1973   San Francisco C ! San Francisco   74   76       76   79   8   . 491       56   Steve Grogan   1975 -- 1990   New England b ! New England   75   60   0     75   63   0   . 543       57   Jay Cutler   2006 -- 2008   Denver F ! Denver   17   20       75   80   0   . 484       2009 -- 2016   Chicago A ! Chicago   51   51           2017 -- present   Miami D ! Miami   6   8       2017 season     58   Russell Wilson   2012 -- present   Seattle C ! Seattle   65   30   8     73   34     . 681   2017 season     59   Jake Plummer   1997 -- 2002   Arizona D ! Arizona Cardinals   30   52       71   71   0   . 500       2003 -- 2006   Denver D ! Denver   39   15         60   Daryle Lamonica   1963 -- 1966   Buffalo E ! Buffalo     0       70   21   6   . 753       1967 -- 1974   Oakland B ! Oakland Raiders   62   16     5     61   Jim McMahon   1982 -- 1988   Chicago B ! Chicago   46   15       70   33   0   . 680       1989   San Diego Chargers     7         1990 -- 1992   Philadelphia I ! Philadelphia   9           1993   Minnesota H ! Minnesota   8     0       1994   Arizona J ! Arizona Cardinals   0           1995 -- 1996   Green Bay x ! Green Bay   0   0         62   Sonny Jurgensen   1957 -- 1963   Philadelphia G ! Philadelphia   17   22       69   73   7   . 487       1964 -- 1974   Washington B ! Washington   52   51         63   Chris Chandler   1988 -- 1989   Indianapolis E ! Indianapolis Colts   10   6       69   86   0   . 445       1990 -- 1991   Tampa Bay K ! Tampa Bay   0   6         1991 -- 1993   Arizona G ! Phoenix Cardinals   5   12         1994   LA Rams k ! Los Angeles Rams St. Louis Rams     6         1995 -- 1996   Tennessee H ! Houston Oilers   11   14         1997 -- 2001   Atlanta D ! Atlanta   34   33         2002 -- 2004   Chicago G ! Chicago   5   8         64   Jim Harbaugh   1987 -- 1993   Chicago D ! Chicago   35   30   0     68   77   0   . 469       1994 -- 1997   Indianapolis D ! Indianapolis Colts   20   26         1998   Baltimore Ravens E ! Baltimore Ravens   5   7         1998 -- 2000   San Diego Chargers   6   11         65   Danny White   1976 -- 1988   Dallas D ! Dallas   62   30   5   5   67   35   0   . 657       66   Earl Morrall   1956   San Francisco J ! San Francisco           67   38     . 634       1957 -- 1958   Pittsburgh F ! Pittsburgh   6   7         1958 -- 1964   Detroit D ! Detroit   15   11         1965 -- 1967   NY Giants J ! New York Giants   8   12         1968 -- 1971   Indianapolis C ! Baltimore Colts   22           1972 -- 1976   Miami c ! Miami   11       0     67   Jack Kemp   1957   Pittsburgh H ! Pittsburgh   0   0       67   41     . 617       1960 -- 1962   Los Angeles / San Diego Chargers   22   6   0       1962 -- 1969   Buffalo C ! Buffalo   43   31         68   Jim Everett   1986 -- 1993   LA Rams B ! Los Angeles Rams   46   59       66   92   0   . 418       1994 -- 1996   New Orleans C ! New Orleans   17   30         1997   San Diego Chargers     0         69   Charlie Conerly   1948 -- 1961   NY Giants C ! New York Giants   65   39   0     65   41     . 612       70   Cam Newton   2011 -- present   Carolina A ! Carolina   62   45       65   48     . 575   Week 17     71   Jay Schroeder   1985 -- 1987   Washington D ! Washington   24   7       64   40   0   . 615       1988 -- 1992   Oakland F ! LA Raiders   32   25         1993   Cincinnati G ! Cincinnati   0           1994   Arizona F ! Arizona Cardinals   5           72   Joe Namath   1965 -- 1976   NY Jets A ! New York Jets   60   61       64   64     . 500       1977   LA Rams I ! Los Angeles Rams             73   Norm Van Brocklin   1949 -- 1957   LA Rams C ! Los Angeles Rams   42   20       63   38     . 624       1958 -- 1960   Philadelphia F ! Philadelphia   19   16     0     74   Andy Dalton   2011 -- present   Cincinnati B ! Cincinnati   63   44   0     63   48     . 566   2017 season     75   Michael Vick   2001 -- 2006   Atlanta C ! Atlanta   38   28       63   54     . 538       2009 -- 2013   Philadelphia E ! Philadelphia   20   20   0       2014   NY Jets G ! New York Jets             2015   Pittsburgh G ! Pittsburgh             76   Trent Dilfer   1994 -- 1999   Tampa Bay A ! Tampa Bay   38   38       63   56   0   . 529       2000   Baltimore Ravens D ! Baltimore Ravens   7       0     2001 -- 2004   Seattle F ! Seattle   8           2005   Cleveland G ! Cleveland     7         2007   San Francisco K ! San Francisco     5         77   Billy Kilmer   1967 -- 1970   New Orleans E ! New Orleans   11   29       63   57     . 525       1971 -- 1978   Washington C ! Washington   50   23     5     78   Otto Graham   1950 -- 1955   Cleveland A ! Cleveland   57   13       61   16     . 788       79   Jake Delhomme   1999 , 2002   New Orleans G ! New Orleans           61   43   0   . 587       2003 -- 2009   Carolina B ! Carolina   53   37   5         Cleveland I ! Cleveland             2011   Houston Texans x ! Houston Texans   0   0         80   Jeff Garcia   1999 -- 2003   San Francisco F ! San Francisco   35   36       60   62   0   . 492         Cleveland H ! Cleveland     7         2005   Detroit H ! Detroit             2006 , 2009   Philadelphia J ! Philadelphia   5           2007 -- 2008   Tampa Bay D ! Tampa Bay   14   10   0       2011   Houston Texans x ! Houston Texans   0   0         81   Matthew Stafford   2009 -- present   Detroit A ! Detroit   60   65   0     60   68   0   . 469   2017 season     82   Steve Bartkowski   1975 -- 1985   Atlanta B ! Atlanta   55   66       60   71   0   . 458       1986   LA Rams G ! Los Angeles Rams             83   Charley Johnson   1961 -- 1969   Arizona C ! St. Louis Cardinals   36   28       59   57   8   . 508       1970 -- 1971   Tennessee J ! Houston Oilers     11         1972 -- 1975   Denver E ! Denver   20   18         84   Dan Pastorini   1971 -- 1979   Tennessee C ! Houston Oilers   53   54       59   63   0   . 484       1980   Oakland I ! Oakland Raiders             1981   LA Rams L ! Los Angeles Rams               Philadelphia K ! Philadelphia   0   0         85   Frank Ryan   1958 -- 1961   LA Rams F ! Los Angeles Rams   5   5       58   29     . 661       1962 -- 1968   Cleveland D ! Cleveland   52   22         1969 -- 1970   Washington x ! Washington   0   0         86   Neil O'Donnell   1991 -- 1995   Pittsburgh C ! Pittsburgh   39   22       58   49   0   . 542       1996 -- 1997   NY Jets F ! New York Jets   8   12         1998   Cincinnati F ! Cincinnati     9         1999 -- 2003   Tennessee I ! Tennessee Titans   6           87   Brian Sipe   1974 -- 1983   Cleveland B ! Cleveland   57   55   0     57   56   0   . 504       88   Milt Plum   1957 -- 1961   Cleveland E ! Cleveland   33   16   0     56   42   6   . 567       1962 -- 1967   Detroit C ! Detroit   23   25         1968   LA Rams m ! Los Angeles Rams   0   0         1969   NY Giants m ! New York Giants   0   0         89   Bobby Hebert   1985 -- 1992   New Orleans B ! New Orleans   49   26   0     56   47   0   . 544       1993 -- 1996   Atlanta E ! Atlanta   7   18         90   Tommy Kramer   1977 -- 1989   Minnesota B ! Minnesota   54   56       56   58   0   . 491       1990   New Orleans I ! New Orleans   0   0         91   Bernie Kosar   1985 -- 1993   Cleveland C ! Cleveland   53   51       56   58     . 491       1993   Dallas K ! Dallas   0           1994 -- 1996   Miami F ! Miami   0           92   Trent Green   1997 -- 1998   Washington H ! Washington   6   8       56   59   0   . 487       2000 &amp; 2008   LA Rams J ! St. Louis Rams             2001 -- 2006   Kansas City C ! Kansas City   48   40   0       2007   Miami G ! Miami   0   5         93   Jeff Hostetler   1985 -- 1992   NY Giants G ! New York Giants   16   9     0   55   33   0   . 625       1993 -- 1996   Oakland E ! LA / Oakland Raiders   33   22         1997   Washington K ! Washington             94   Ed Brown   1954 -- 1961   Chicago C ! Chicago   41   25   0     55   39   5   . 581       1962 -- 1965   Pittsburgh E ! Pittsburgh   14   13         1965   Indianapolis G ! Baltimore Colts   0   0         95   George Blanda   1949 -- 1958   Chicago E ! Chicago   8   12       55   51     . 519       1960 -- 1966   Tennessee D ! Houston Oilers   44   38         1967 -- 1975   Oakland J ! Oakland Raiders     0         96   Steve DeBerg   1978 -- 1980   San Francisco H ! San Francisco   7   28       54   89     . 378       1981 -- 1983   Denver G ! Denver   5   6   0       1984 -- 1987 , 1992 -- 1993   Tampa Bay E ! Tampa Bay   8   29         1988 -- 1991   Kansas City D ! Kansas City   31   20         1993   Miami e ! Miami             1998   Atlanta G ! Atlanta   0           97   Stan Humphries   1989 -- 1990   Washington J ! Washington           53   34   0   . 609       1992 -- 1997   San Diego Chargers   47   29         98   Norm Snead   1961 -- 1963   Washington G ! Washington   9   30       52   100   7   . 349       1964 -- 1970   Philadelphia D ! Philadelphia   28   50         1971   Minnesota I ! Minnesota     0         1972 -- 1974 , 1976   NY Giants H ! New York Giants   11   14         1974 -- 1975   San Francisco I ! San Francisco     6         99   Ken O'Brien   1984 -- 1992   NY Jets B ! New York Jets   50   55   0     50   61     . 451       1993   Philadelphia N ! Philadelphia   0           100   Jon Kitna   1997 -- 2000   Seattle D ! Seattle   18   15   0     50   75   0   . 401       2001 -- 2005   Cincinnati E ! Cincinnati   18   28         2006 -- 2008   Detroit E ! Detroit   10   26         2010 -- 2011   Dallas H ! Dallas     5         Rank   Quarterback   Seasons   Teams           Career wins   Career losses   Ties   Win Pct   Updated through     Regular Season   Playoffs     ^ * Note : Bobby Layne is listed as having started all 12 games for the Bulldogs ( NFL ) in 1949 . The record for that team is 1 -- 10 -- 1 . Combined with his official post -- 1949 won -- loss -- tied record of 80 -- 51 -- 4 ( 0.607 ) , his overall estimated won -- loss -- tied record is 81 -- 61 -- 5 ( 0.568 ) .   ^ † Note : The 1950 Baltimore Colts are a defunct NFL team , not part of the current Colts franchise .    Charlie Conerly is estimated to have gone 7 -- 8 -- 0 as a starter from 1948 -- 1949 . Combined with his official post-1949 won - loss - tied record of 58 -- 31 -- 1 ( 0.650 ) , his overall estimated won - loss - tied record is 65 -- 39 -- 1 ( 0.624 ) .   Otto Graham also started 53 games for the Cleveland Browns when they were in the All - America Football Conference ( 1946 -- 1949 ) . He finished his professional career ( AAFC and NFL ) with a 105 -- 17 -- 4 regular - season record ( 84.0 % win rate ) . Graham took his team to the championship game in all ten of his professional seasons winning seven of them ( 4 AAFC and 3 NFL ) .    Next in Line ( edit )     Next 3 Active Quarterbacks in line     Quarterback   Seasons Played   Teams   Regular Season   Playoffs   Career wins   Career losses   Ties   Win Pct   Updated through               Schaub , Matt Matt Schaub   2004 -- present   4 teams , currently Atlanta   47   45       48   46   0   . 511   backup     Fitzpatrick , Ryan Ryan Fitzpatrick   2005 -- present   7 teams , currently Tampa Bay   48   70       48   70   0   . 407   backup     Luck , Andrew Andrew Luck   2012 -- present   Indianapolis Colts   43   27       46   30   0   . 605   2017 season     Quarterbacks with most regular season wins in NFL history ( edit )     Active Player     Hall of Fame QB     Updated through the 2017 season .        Rank   Quarterback   Wins       Tom Brady   196       Brett Favre   186     Peyton Manning       John Elway   148     5   Dan Marino   147     6   Drew Brees   142     7   Ben Roethlisberger   135     8   Fran Tarkenton   124     9   Johnny Unitas   118     10   Joe Montana   117     11   Eli Manning   111     12   Terry Bradshaw   107     13   Philip Rivers   106     14   Warren Moon   102     15   Jim Kelly   101     16   Dave Krieg   98     Drew Bledsoe     Donovan McNabb     19   Ken Stabler   96     20   Phil Simms   95     Matt Ryan     22   Bart Starr   94     Len Dawson     Troy Aikman     Steve Young     Aaron Rodgers     27   Bob Griese   92     Carson Palmer     Joe Flacco     30   Ken Anderson   91     Steve McNair     32   Vinny Testaverde   90     33   Alex Smith   88         Rank   Quarterback   Wins     34   Jim Hart   87     35   Roman Gabriel   86     Dan Fouts     37   Roger Staubach   85     Matt Hasselbeck     39   John Hadl   82     Randall Cunningham     41   Bobby Layne   81     Craig Morton     Kerry Collins     44   Boomer Esiason   80     45   Joe Ferguson   79     46   Y.A. Tittle   78     Mark Brunell     Tony Romo     49   Joe Theismann   77     50   Rich Gannon   76     51   Steve Grogan   75     52   John Brodie   74     53   Ron Jaworski   73     Jay Cutler     55   Jim Plunkett   72     Brad Johnson     57   Sonny Jurgensen   69     Jake Plummer     59   Jim McMahon   67     Chris Chandler     Kurt Warner     62   Daryle Lamonica   66     Jim Harbaugh     64   Charlie Conerly   65     Jack Kemp     Russell Wilson         Rank   Quarterback   Wins     67   Jim Everett   64     68   Earl Morrall   63     Andy Dalton     70   Joe Namath   62     Danny White     Cam Newton     73   Norm Van Brocklin   61     Billy Kilmer     Jay Schroeder     Michael Vick     77   Matthew Stafford   60     78   Charley Johnson   59     Steve Bartkowski     80   Trent Dilfer   58     Jeff Garcia     82   Otto Graham   57     Frank Ryan     Brian Sipe     85   Milt Plum   56     Dan Pastorini     Bobby Hebert     Trent Green     Jake Delhomme     90   Ed Brown   55     Neil O'Donnell     92   Tommy Kramer   54     93   George Blanda   53     Steve DeBerg     Bernie Kosar     96   Norm Snead   52     97   Jeff Hostetler   51     98   Ken O'Brien   50     Stan Humphries     Jon Kitna        See also ( edit )    List of National Football League records ( individual ) # QB Wins   NFL starting quarterback playoff records   List of most consecutive starts by a National Football League quarterback    References ( edit )    Jump up ^ `` Tom Brady Statistics '' . Pro Football Reference.com . Retrieved 2009 - 09 - 14 .   Jump up ^ `` Peyton Manning Statistics '' . pPro Football Reference.com . Retrieved 2009 - 09 - 14 .   Jump up ^ `` Brett Favre Statistics '' . Pro Football Reference.com . Retrieved 2009 - 09 - 14 .   Jump up ^ `` John Elway Statistics '' . Pro Football Reference.com . Retrieved 2009 - 09 - 14 .   Jump up ^ `` Dan Marino Statistics '' . Pro Football Reference.com . Retrieved 2009 - 09 - 14 .   Jump up ^ `` Ben Roethlisberger Statistics '' . Pro Football Reference.com . Retrieved 2010 - 10 - 14 .   Jump up ^ `` Drew Brees Statistics '' . Pro Football Reference.com . Retrieved 2009 - 12 - 01 .   Jump up ^ `` Joe Montana Statistics '' . Pro Football Reference.com . Retrieved 2009 - 09 - 14 .   Jump up ^ `` Fran Tarkenton Statistics '' . Pro Football Reference.com . Retrieved 2009 - 09 - 14 .   Jump up ^ `` Johnny Unitas Statistics '' . Pro Football Reference.com . Archived from the original on 2013 - 11 - 08 . Retrieved 2009 - 09 - 14 .   Jump up ^ `` Terry Bradshaw Statistics '' . Pro Football Reference.com . Retrieved 2009 - 09 - 14 .   Jump up ^ `` Eli Manning Statistics '' . Pro Football Reference.com . Retrieved 2010 - 10 - 14 .   Jump up ^ `` Jim Kelly Statistics '' . Pro Football Reference.com . Retrieved 2009 - 09 - 14 .   Jump up ^ `` Philip Rivers Statistics '' . Pro Football Reference.com . Retrieved 2011 - 12 - 08 .   Jump up ^ `` Donovan McNabb Statistics '' . Pro Football Reference.com . Retrieved 2009 - 09 - 14 .   Jump up ^ `` Troy Aikman Statistics '' . Pro Football Reference.com . Retrieved 2009 - 09 - 14 .   Jump up ^ `` Warren Moon Statistics '' . Pro Football Reference.com . Retrieved 2009 - 09 - 14 .   Jump up ^ `` Aaron Rodgers Statistics '' . Pro Football Reference.com . Retrieved 2011 - 12 - 08 .   Jump up ^ `` Ken Stabler Statistics '' . Pro Football Reference.com . Retrieved 2009 - 09 - 14 .   Jump up ^ `` Bart Starr Statistics '' . Pro Football Reference.com . Retrieved 2009 - 09 - 14 .   Jump up ^ `` Steve Young Statistics '' . Pro Football Reference.com . Retrieved 2009 - 09 - 14 .   Jump up ^ `` Joe Flacco Statistics '' . Pro Football Reference.com . Retrieved 2012 - 08 - 08 .   Jump up ^ `` Phil Simms Statistics '' . Pro Football Reference.com . Retrieved 2009 - 09 - 14 .   Jump up ^ `` Dave Krieg Statistics '' . Pro Football Reference.com . Retrieved 2009 - 09 - 14 .   Jump up ^ `` Drew Bledsoe Statistics '' . Pro Football Reference.com . Retrieved 2009 - 09 - 14 .   Jump up ^ `` Len Dawson Statistics '' . Pro Football Reference.com . Retrieved 2009 - 09 - 14 .   Jump up ^ `` Bob Griese Statistics '' . Pro Football Reference.com . Retrieved 2009 - 09 - 14 .   Jump up ^ `` Matt Ryan Statistics '' . Pro Football Reference.com . Retrieved 2011 - 12 - 08 .   Jump up ^ `` Roger Staubach Statistics '' . Pro Football Reference.com . Retrieved 2012 - 09 - 22 .   Jump up ^ `` Steve McNair Statistics '' . Pro Football Reference.com . Retrieved 2009 - 09 - 14 .   Jump up ^ `` Ken Anderson Statistics '' . Pro Football Reference.com . Retrieved 2009 - 09 - 14 .   Jump up ^ `` Carson Palmer Statistics '' . Pro Football Reference.com . Retrieved 2010 - 10 - 14 .   Jump up ^ `` Vinny Testaverde Statistics '' . Pro Football Reference.com . Retrieved 2009 - 09 - 14 .   Jump up ^ `` Matt Hasselbeck Statistics '' . Pro Football Reference.com . Retrieved 2009 - 12 - 28 .   Jump up ^ `` Alex Smith Statistics '' . Pro Football Reference.com . Retrieved 2012 - 08 - 08 .   Jump up ^ `` Dan Fouts Statistics '' . Pro Football Reference.com . Retrieved 2009 - 09 - 14 .   Jump up ^ `` Jim Hart Statistics '' . Pro Football Reference.com . Retrieved 2009 - 09 - 14 .   Jump up ^ `` Roman Gabriel Statistics '' . Pro Football Reference.com . Retrieved 2009 - 09 - 14 .   Jump up ^ `` Craig Morton Statistics '' . Pro Football Reference.com . Retrieved 2009 - 09 - 14 .   Jump up ^ `` Randall Cunningham Statistics '' . Pro Football Reference.com . Archived from the original on 2010 - 02 - 02 . Retrieved 2009 - 09 - 14 .   ^ Jump up to : `` Bobby Layne Statistics '' . Pro Football Reference.com . Retrieved 2009 - 09 - 14 .   Jump up ^ ``</t>
  </si>
  <si>
    <t xml:space="preserve">who had the most wins in the nfl</t>
  </si>
  <si>
    <t xml:space="preserve"> Active quarterback Tom Brady holds the records for most wins with 220 , most regular season wins with 195 , and most postseason wins with 25 , as of Week 16 of the 2017 NFL season . Having played the entirety of his career with the New England Patriots , each of Brady 's win records also apply to wins with a single team . </t>
  </si>
  <si>
    <r>
      <rPr>
        <sz val="11"/>
        <color rgb="FF000000"/>
        <rFont val="Calibri"/>
        <family val="0"/>
        <charset val="1"/>
      </rPr>
      <t xml:space="preserve">Pom Klementieff - wikipedia  Pom Klementieff  Jump to : navigation , search    Pom Klementieff     Klementieff in 2017       ( 1986 - 05 - 03 ) 3 May 1986 ( age 31 ) Quebec City , Quebec , Canada     Nationality   French     Occupation   Actress     Years active   2007 -- present     Pom Klementieff ( born 3 May 1986 ) is a French actress . She was trained at the Cours Florent drama school in Paris and has appeared in such films as Loup ( 2009 ) , Sleepless Night ( 2011 ) and Hacker 's Game ( 2015 ) . She plays the role of Mantis in the film Guardians of the Galaxy Vol. 2 ( 2017 ) and will appear in the same role in the film Avengers : Infinity War ( 2018 ) .     Contents  ( hide )   1 Early life   2 Career   3 Filmography   4 See also   5 References   6 External links      Early life ( edit )   Pom Klementieff was born in Quebec City , Quebec , Canada , to a Korean mother and French - Russian father , who was working there as a consul with the French government . She had a brother who committed suicide . Her parents chose the name `` Pom '' because it is similar in pronunciation to the Korean words for both `` spring '' ( </t>
    </r>
    <r>
      <rPr>
        <sz val="11"/>
        <color rgb="FF000000"/>
        <rFont val="Noto Sans CJK SC"/>
        <family val="2"/>
      </rPr>
      <t xml:space="preserve">봄 </t>
    </r>
    <r>
      <rPr>
        <sz val="11"/>
        <color rgb="FF000000"/>
        <rFont val="Calibri"/>
        <family val="0"/>
        <charset val="1"/>
      </rPr>
      <t xml:space="preserve">) and `` tiger '' ( </t>
    </r>
    <r>
      <rPr>
        <sz val="11"/>
        <color rgb="FF000000"/>
        <rFont val="Noto Sans CJK SC"/>
        <family val="2"/>
      </rPr>
      <t xml:space="preserve">범 </t>
    </r>
    <r>
      <rPr>
        <sz val="11"/>
        <color rgb="FF000000"/>
        <rFont val="Calibri"/>
        <family val="0"/>
        <charset val="1"/>
      </rPr>
      <t xml:space="preserve">) . Klementieff lived in Canada for one year before her family traveled extensively due to her father 's job , and she lived in Japan and the Ivory Coast before settling in France . Klementieff later said that travelling at an early age gave her a `` gypsy soul '' .   Klementieff 's father died of cancer when she was 5 , and her mother was schizophrenic and unable to care for children , so Klementieff was raised by her paternal uncle and aunt . Her uncle , whom she described as `` like my second father '' , died on her 18th birthday . Klementieff briefly attended law school after her uncle 's death to appease her aunt , but did not find the career path appealing . She also worked as a waitress and saleswoman in France . She started acting at age 19 at the Cours Florent drama school in Paris . A few months into her education , she won a theater competition that awarded her free classes for two years with the school 's top teachers .   Career ( edit )  Klementieff in 2018  Klementieff 's first professional acting job was the French independent film Après lui ( 2007 ) , portraying the stepdaughter of the protagonist played by Catherine Deneuve . Filming for her scenes took three days . During one scene , Klementieff was supposed to push someone down a set of stairs but accidentally fell down the stairs herself , and director Gaël Morel kept that shot in the final film . Her first leading role was in Loup ( 2009 ) , a French film about a tribe of reindeer herders in the Siberian mountains . During filming , Klementieff stayed in a camp , hours from the nearest village , where temperatures dropped well below zero . During filming she befriended nomads who lived there , worked with real wolves , rode reindeer , and swam with a horse in a lake .   Klementieff made her Hollywood debut in Spike Lee 's Oldboy ( 2013 ) , a remake of the South Korean film of the same name . She portrayed Haeng - Bok , the bodyguard of the antagonist played by Sharlto Copley . A fan of the original film , Klementieff heard about the part through Roy Lee , a producer with the remake , and took boxing lessons after learning the role involved martial arts . After showcasing her boxing skills during her audition , Lee asked her to go home and come back wearing a more feminine outfit and make - up , like her character in the film . She contributed some of her own clothes to the character 's wardrobe , and trained three hours a day for two months for an on - screen fight with star Josh Brolin . Klementieff came up with the name Haeng - Bok , Korean for `` happiness '' , herself after Lee asked her to research possible names for the character .   Klementieff moved to Los Angeles after Oldboy was filmed and began pursuing more Hollywood auditions . She continued taekwondo after the film , and has a purple belt as of the summer of 2014 . Her next acting role was the film Hacker 's Game ( 2015 ) , in which she plays a hacker she compared to Lisbeth Salander from the novel The Girl with the Dragon Tattoo . Klementieff used her boxing skills again in the film , and due to the movie 's low budget , she had to do her own make - up and chose her own wardrobe . It was her idea to dye her hair purple for the role , to which the directors first objected but later acquiesced . She joined the Marvel Cinematic Universe with her role as Mantis in Guardians of the Galaxy Vol. 2 ( 2017 ) and will appear in the same role in the film Avengers : Infinity War ( 2018 ) .   Filmography ( edit )     Year   Title   Role   Notes     2007   Après lui   Emilie       2008   The Easy Way   NHI       2009   Loup   Nastazya       2009   Pigalle , la nuit   Sandra   TV series ( eight episodes )     2011   Borderline   Naomi       2011   Sleepless Night   Lucy       2011   Delicacy   Waitress       2011   Love Lasts Three Years   Julia       2011   Silhouettes   Valerie       2012   Radiostars   The pizza girl       2012   Porn in the Hood   Tia       2012   À l'ombre du palmier   Le modèle   Short film     2012   El Turrrf   Pom   Short film     2013   Paris à tout prix   Jess       2013   Oldboy   Haeng - Bok       2014   RossFit     Short film     2015   Hacker 's Game   Loise       2016   Seed   Cat   Short film     2017   Ingrid Goes West   Harley Chung       2017   Newness   Bethany       2017   Guardians of the Galaxy Vol. 2   Mantis       2017   Alteration   Elsa   Short film     2018   Avengers : Infinity War   Mantis   Post-production     2019   Untitled Avengers film   Post-production     See also ( edit )    Biography portal    References ( edit )    Jump up ^ `` Qui es - tu Pom Klementieff ? / Who are you Pom Klementieff ? '' . Première ( in French ) . France . 7 July 2012 . Archived from the original on 1 January 2018 . Retrieved 1 January 2018 . Additional WebCitation archive on 1 January 2018 .   Jump up ^ Klementieff , Pom ( @ pomklementieff ) ( 28 July 2016 ) . `` I 'm French . NOT Canadian - French '' ( Tweet ) . Archived from the original on 30 April 2017 . Retrieved 30 April 2017 -- via Twitter .   ^ Jump up to : `` Actress Pom Klementieff from Spike Lee 's Oldboy '' . Filler Magazine . 2 ( 5 ) . Summer 2014 . Archived from the original on December 6 , 2013 . Retrieved 2 July 2014 .   ^ Jump up to : Han , Steve ( November 2013 ) . `` Korean French Actress Pom Klementieff Makes US Debut in ' Oldboy ' Remake '' . KoreAm . Archived from the original on 2014 - 07 - 14 . Retrieved 5 July 2014 . So I told ( filmmaker Spike Lee ) , my father died when I was 5 . My mother , she is schizophrenic , so she could n't take care of me and my brother , who committed suicide a few months before the audition ( for Lee 's remake of Oldboy ) .   ^ Jump up to : Chang , Mina ( 2 July 2013 ) . `` Q&amp;A with Pom Klementieff '' . Anthem Magazine . Archived from the original on 7 January 2014 . Retrieved 5 July 2014 .   ^ Jump up to : De Ville , Reece ( April 7 , 2014 ) . `` Interview : Oldboy 's ass kicking , earth moving Pom Klementieff '' . TheDigitalFix.com . Archived from the original on July 23 , 2017 . Retrieved July 5 , 2014 .   Jump up ^ Romano , Nick ( 28 January 2017 ) . `` Avengers : Infinity War adds Mantis from Guardians of the Galaxy 2 '' . Entertainment Weekly . Archived from the original on January 29 , 2017 . Retrieved 28 January 2017 .    External links ( edit )       Wikimedia Commons has media related to Pom Klementieff .      Pom Klementieff on IMDb   Pom Klementieff at AllMovie   Pettit , Stephanie ( 5 May 2017 ) . `` Meet Pom Klementieff , the Actress Behind the Buzzed - About New Character Mantis in Guardians of the Galaxy Vol. 2 '' . People . Retrieved 3 October 2017 .            VIAF : 166829042   LCCN : no2014090484   ISNI : 0000 0003 7182 9433   BNF : cb162591522 ( data )      Retrieved from `` https://en.wikipedia.org/w/index.php?title=Pom_Klementieff&amp;oldid=829523540 '' Categories :   1986 births   Living people   21st - century French actresses   Actresses from Quebec City   Alumni of the Cours Florent   French film actresses   French people of Korean descent   French people of Russian descent   French television actresses   Actresses of Korean descent   Hidden categories :   CS1 French - language sources ( fr )   Articles with hCards   Wikipedia articles with VIAF identifiers   Wikipedia articles with LCCN identifiers   Wikipedia articles with ISNI identifiers   Wikipedia articles with BNF identifiers           Talk                                           Contents                   About Wikipedia                                                 Беларуская   Cymraeg   Deutsch   Español   فارسی   Français   </t>
    </r>
    <r>
      <rPr>
        <sz val="11"/>
        <color rgb="FF000000"/>
        <rFont val="Noto Sans CJK SC"/>
        <family val="2"/>
      </rPr>
      <t xml:space="preserve">한국어   </t>
    </r>
    <r>
      <rPr>
        <sz val="11"/>
        <color rgb="FF000000"/>
        <rFont val="Calibri"/>
        <family val="0"/>
        <charset val="1"/>
      </rPr>
      <t xml:space="preserve">Հայերեն   Italiano   עברית   </t>
    </r>
    <r>
      <rPr>
        <sz val="11"/>
        <color rgb="FF000000"/>
        <rFont val="Noto Sans CJK SC"/>
        <family val="2"/>
      </rPr>
      <t xml:space="preserve">日本 語   </t>
    </r>
    <r>
      <rPr>
        <sz val="11"/>
        <color rgb="FF000000"/>
        <rFont val="Calibri"/>
        <family val="0"/>
        <charset val="1"/>
      </rPr>
      <t xml:space="preserve">Polski   Português   Русский   Türkçe   </t>
    </r>
    <r>
      <rPr>
        <sz val="11"/>
        <color rgb="FF000000"/>
        <rFont val="Noto Sans CJK SC"/>
        <family val="2"/>
      </rPr>
      <t xml:space="preserve">中文  </t>
    </r>
    <r>
      <rPr>
        <sz val="11"/>
        <color rgb="FF000000"/>
        <rFont val="Calibri"/>
        <family val="0"/>
        <charset val="1"/>
      </rPr>
      <t xml:space="preserve">7 more  Edit links   This page was last edited on 9 March 2018 , at 04 : 09 .         About Wikipedia                    </t>
    </r>
  </si>
  <si>
    <t xml:space="preserve">who played mantis guardians of the galaxy 2</t>
  </si>
  <si>
    <t xml:space="preserve"> Pom Klementieff ( born 3 May 1986 ) is a French actress . She was trained at the Cours Florent drama school in Paris and has appeared in such films as Loup ( 2009 ) , Sleepless Night ( 2011 ) and Hacker 's Game ( 2015 ) . She plays the role of Mantis in the film Guardians of the Galaxy Vol. 2 ( 2017 ) and will appear in the same role in the film Avengers : Infinity War ( 2018 ) . </t>
  </si>
  <si>
    <t xml:space="preserve">History of the Acadians - wikipedia  History of the Acadians  Not to be confused with History of Acadia . Acadian flag  The Acadians ( French : Acadiens ) are the descendants of the French settlers , and sometimes the Indigenous peoples , of parts of Acadia ( French : Acadie ) in the northeastern region of North America comprising what is now the Canadian Maritime Provinces of New Brunswick , Nova Scotia , and Prince Edward Island , Gaspé , in Quebec , and to the Kennebec River in southern Maine .   The history of the Acadians was significantly influenced by the six colonial wars that took place in Acadia during the 17th and 18th century ( see the four French and Indian Wars , Father Rale 's War and Father Le Loutre 's War ) . Eventually , the last of the colonial wars -- the French and Indian War -- resulted in the British Expulsion of the Acadians from the region . After the war , many Acadians came out of hiding or returned to Acadia from the British Colonies . Others remained in France and some migrated from there to Louisiana , where they became known as Cajuns , a corruption of the word Acadiens or Acadians . The nineteenth century saw the beginning of the Acadian Renaissance and the publication of Evangeline , which helped galvanize Acadian identity . In the last century Acadians have made achievements in the areas of equal language and cultural rights as a minority group in the Maritime provinces of Canada .     Contents  ( hide )   1 As French colonials   1.1 Port Royal Habitation ( 1604 - 1613 )   1.2 Arrival of the first European families   1.3 Civil war   1.4 English colony ( 1654 -- 1667 )   1.5 Post Treaty of Breda     2 Colonial Wars   2.1 French and Indian War   2.1. 1 Acadian and Mi'kmaq resistance     2.2 Re-establishing in Nova Scotia     3 Nineteenth century   3.1 Acadian renaissance     4 Twentieth century   4.1 The Quiet Revolution   4.2 Antonine Maillet     5 Twenty - first century   5.1 Acadian Remembrance Day   5.2 Acadian World Congress     6 Notes   7 See also   8 References   9 External links   10 Further reading      As French colonials ( edit )   Port Royal Habitation ( 1604 - 1613 ) ( edit )  Main article : Habitation at Port - Royal Portrait of Captain Samuel Argall  Pierre Dugua , Sieur de Monts built the Habitation at Port - Royal in 1605 as a replacement for his initial attempt at colonizing Saint Croix Island ( present day Maine ) . The trading monopoly of de Monts was cancelled in 1607 , and most of the French settlers returned to France , although some remained with the natives . Jean de Biencourt de Poutrincourt et de Saint - Just led a second expedition to Port Royal in 1610 .   Arrival of the first European families ( edit )   The survival of the Acadian settlements was based on successful cooperation with the Indigenous peoples of the region . In the early years of Acadian settlement , this included a small number of recorded marriages between Acadian settlers and Indigenous women . Some records have survived showing marriages between Acadian settlers and Indigenous women in formal Roman Catholic rites , for example , the marriage of Charles La Tour to a Mi'kmaw woman in 1626 . There were also reported instances of Acadian settlers marrying Indigenous spouses according to Mi'kmaq rites , and subsequently living in Mi'kmaq communities . Many settlers also brought French wives with them to Acadia , such as La Tour 's second wife , Françoise - Marie Jacquelin , who joined him in Acadia in 1640 .   Governor Isaac de Razilly 's administration at LaHave , Nova Scotia , prepared the ground for the arrival of the first recorded migrant families on board the Saint Jehan , which left La Rochelle on 1 April 1636 . There were a number of sailings from the French Atlantic Coast to Acadia between 1632 and 1636 , but this is the only one for which a detailed passenger list has survived . Nicolas Denys , who was stationed across the LaHave River at Port Rossingol ( Liverpool Bay ) , acted as agent for the Saint Jehan . After a 35 - day crossing of the Atlantic , the Saint Jehan arrived on 6 May 1636 at LaHave , Nova Scotia . There were seventy - eight passengers and eighteen crew members . With this ship , Acadia began a slow shift from being primarily a matter of explorers and traders , of men , to a colony of permanent settlers , including women and children . While the presence of European women is a signal that settlement was seriously contemplated , there were yet so few of them in this group of migrants that they did not immediately affect the status of Acadia as basically a colony of European transients . By the end of the year , the migrants were moved from LaHave and re-established at Port Royal . At Port Royal in 1636 , Pierre Martin and Catherine Vigneau , who had arrived on the Saint Jehan , were the first European parents to have a child in Acadia . The first - born child was Mathieu Martin . In part because of this distinction , Mathieu Martin later became the Seigneury of Cobequid ( 1699 ) .   Kennedy ( 2014 ) argues that the emigrants from the Vienne region of France carried to Acadia their customs and social structure . They were frontier people , who dispersed their settlements based on kinship . They optimized use of farmland and emphasized trading for a profit . They were hierarchical and politically active . The French and the Acadian villages were similar in terms of prosperity , egalitarianism , and independent - mindedness . Kennedy says the emergence of a distinct Acadian identity emerged from the gradual adaptation of traditional French methods , institutions , and ideas to the North American environmental and political situations .   Civil War ( edit )  Siege of St. John ( 1645 ) - d'Aulnay defeats La Tour in Acadia Main article : Acadian Civil War  With the death of Isaac de Razilly , Acadia was plunged into what some historians have described as a civil war ( 1640 -- 1645 ) . Acadia had two legitimate Lieutenant Governors . The war was between Port Royal , where Governor Charles de Menou d'Aulnay de Charnisay was stationed , and present - day Saint John , New Brunswick , where Governor Charles de Saint - Étienne de la Tour was stationed .   In the war , there were four major battles . La Tour attacked d'Aulnay at Port Royal in 1640 . In response to the attack , D'Aulnay sailed out of Port Royal to establish a five - month blockade of La Tour 's fort at Saint John , which La Tour eventually defeated ( 1643 ) . La Tour attacked d'Aulnay again at Port Royal in 1643 . D'Aulnay and Port Royal ultimately won the war against La Tour with the 1645 siege of Saint John . After d'Aulnay died ( 1650 ) , La Tour re-established himself in Acadia .   English colony ( 1654 -- 1667 ) ( edit )   In 1654 , war between France and England broke out . Led by Major Robert Sedgwick , a flotilla from Boston , under orders from Cromwell , arrived in Acadia to chase the French out . The flotilla seized La Tour 's fort , then Port - Royal . La Tour , nevertheless , managed to find himself in England , where , with the support of John Kirke , succeeded in receiving from Cromwell a part of Acadia , along with Sir Thomas Temple . La Tour returned to Cap - de-Sable where he remained until his death in 1666 at the age of 70 .   During the English occupation of Acadia , Jean - Baptiste Colbert , Louis XIV 's minister , forbade the Acadians from returning to France . As a result of the English occupation , no new French families settled in Acadia between 1654 and 1670 .   Post Treaty of Breda ( edit )  Marker commemorating the Dutch conquest of Acadia ( 1674 ) , which they renamed New Holland . This is the spot where Jurriaen Aernoutsz buried a bottle at the capital of Acadia , Fort Pentagouet , Castine , Maine .  The Treaty of Breda , signed 31 July 1667 , returned Acadia to France . A year later , Marillon du Bourg arrived to take possession of the territory for France . The son of LeBorgne , Alexandre LeBorgne , was named provisionary governor and lieutenant - general of Acadia . He married Marie Motin - La Tour , the eldest child of the marriage between La Tour and d'Aulnay's widow .   In 1670 , the new governor of Acadia , the chevalier Hubert d'Andigny , chevalier de Grandfontaine , was responsible for the first census undertaken in Acadia . The results did not include those Acadians living with local First Nations . It revealed that there were approximately sixty Acadian families with approximately 300 inhabitants in total . These inhabitants were predominantly engaged in aboiteau farming along the shores of the present day Bay of Fundy . No serious attempt was made to increase the population of Acadia .   In the spring of 1671 , more than fifty colonists left La Rochelle aboard the l'Oranger . Others arrived from Canada ( New France ) or were retired soldiers . During this time , a number of colonists married with the local First Nations . Some of the first to marry were Charles de Saint - Étienne de La Tour , Martin , Pierré Lejeune -- Briard , Jehan Lambert , Petitpas and Guidry . The capitan , Vincent de Saint - Castin , the commander at Pentagoet , married Marie Pidikiwamiska , the daughter of an Abenakis chief .   In 1674 , the Dutch briefly conquered Acadia , renaming the colony New Holland .   During the last decades of the seventeenth century , Acadians migrated from the capital , Port Royal , and established what would become the other major Acadian settlements before the Expulsion of the Acadians : Grand Pré , Chignecto , Cobequid and Pisiguit . Although not common , on occasion epidemics ravished the population of Ile St. - Jean , Ile Royale and Acadia . In 1732 / 33 more than 150 people died of smallpox on Ile Royale .   The history of the settlers of Ile St. - Jean prior to the expulsion includes extreme hardship . For almost every good harvest year it seems that there was one in which crops failed . In one or two instances widespread fires destroyed crops , livestock and farms . Famine and starvation were common and frequently occasioned desperate pleas for supplies from Louisbourg , Québec and even France itself . In 1756 , famine on Ile St. - Jean prompted authorities to relocate some families to Québec .   Prior to the founding of Halifax ( 1749 ) , Port Royal / Annapolis Royal was the capital of Acadia and later Nova Scotia for most of the previous 150 years . During that time the British made six attempts to conquer Acadia by defeating the capital . They finally defeated the French in the Siege of Port Royal ( 1710 ) . Over the following fifty years , the French and their allies made six unsuccessful military attempts to regain the capital .   Colonial wars ( edit )  Acadians at Annapolis Royal by Samuel Scott , 1751 ; earliest known image of Acadians Main article : Military history of the Acadians  There was already a long history of Acadian and Wabanaki Confederacy resistance to the British occupation of Acadia during the four French and Indian Wars and two local wars ( Father Rale 's War and Father Le Loutre 's War ) before the Expulsion of the Acadians . The Mi'kmaq and the Acadians were allies through Catholicism and through numerous inter-marriages . The Mi'kmaq held the military strength in Acadia even after the conquest of 1710 . They primarily resisted the British occupation of Acadia and were joined in their efforts on numerous occasions by Acadians .   While many Acadians traded with the New England Protestants , Acadians ' participation in the wars clearly indicated that many were reluctant to be ruled by the British . During the first colonial war , King William 's War ( 1688 -- 97 ) , the crews of the very successful French privateer Pierre Maisonnat dit Baptiste were primarily Acadian . The Acadians resisted during the Raid on Chignecto ( 1696 ) . During Queen Anne 's War , Mi'kmaq and Acadians resisted during the Raid on Grand Pré , Piziquid and Chignecto in 1704 . The Acadians also assisted the French in protecting the capital in the Siege of Port Royal ( 1707 ) and the final Conquest of Acadia . The Acadians and Mi'kmaq were also successful in the Battle of Bloody Creek ( 1711 ) .  Acadians by Samuel Scott , Annapolis Royal , 1751  During Father Rale 's War , the Maliseet raided numerous vessels on the Bay of Fundy while the Mi'kmaq engaged in the Raid on Canso , Nova Scotia ( 1723 ) . In the latter engagement , the Mi'kmaq were aided by Acadians . During King George 's War , Abbe Jean - Louis Le Loutre led many efforts which involved both Acadians and Mi'kmaq to recapture the capital such as the Siege of Annapolis Royal ( 1744 ) . During this siege , French officer Marin had taken British prisoners and stopped with them further up the bay at Cobequid . While at Cobequid , an Acadian said that the French soldiers should have `` left their ( the English ) carcasses behind and brought their skins '' . Le Loutre was also joined by prominent Acadian resistance leader Joseph Broussard ( Beausoleil ) . Broussard and other Acadians were involved in supporting the French soldiers in the Battle of Grand Pré .   During Father Le Loutre 's War , the conflict continued . The Mi'kmaq attacked New England Rangers in the Siege of Grand Pré and Battle at St. Croix . Upon the founding of Dartmouth , Nova Scotia , Broussard and the Mi'kmaq conducted numerous raids on the village , such as the Raid on Dartmouth ( 1751 ) , to try to stop the Protestant migration into Nova Scotia . ( Similarly , during the French and Indian War , Mi'kmaq , Acadians and Maliseet also engaged in numerous raids on Lunenburg , Nova Scotia , to stop the migration , such as the Raid on Lunenburg ( 1756 ) . ) Le Loutre and Broussard also worked together to resist the British occupation of Chignecto ( 1750 ) and then later they fought together with Acadians in the Battle of Beausejour ( 1755 ) . ( As early as the summer of 1751 , La Valiere reported , approximately 250 Acadians had already enrolled in the local militia at Fort Beausejour . )   When Charles Lawrence took over the post following Hopson 's return to England , he took a stronger stance . He was not only a government official but a military leader for the region . Lawrence came up with a military solution for the forty - five years of an unsettled British conquest of Acadia . The French and Indian War ( and Seven Years ' War in Europe ) began in 1754 . Lawrence 's primary objectives in Acadia were to defeat the French fortifications at Beausejour and Louisbourg . The British saw many Acadians as a military threat in their allegiance to the French and Mi'kmaq . The British also wanted to interrupt the Acadian supply lines to Fortress Louisbourg , which , in turn , supplied the Mi'kmaq .   French and Indian War ( edit )  Main article : Great Upheaval St. John River Campaign : Raid on Grimrose ( present day Gagetown , New Brunswick ) . This is the only contemporaneous image of the Expulsion of the Acadians .  The British Conquest of Acadia happened in 1710 . Over the next forty - five years the Acadians refused to sign an unconditional oath of allegiance to Britain . During this time period Acadians participated in various militia operations against the British and maintained vital supply lines to the French Fortress of Louisbourg and Fort Beausejour . During the French and Indian War , the British sought to neutralize any military threat Acadians posed and to interrupt the vital supply lines Acadians provided to Louisbourg by deporting Acadians from Acadia .   Many Acadians might have signed an unconditional oath to the British monarchy had the circumstances been better , while other Acadians did not sign because they were clearly anti-British . For the Acadians who might have signed an unconditional oath , there were numerous reasons why they did not . The difficulty was partly religious , in that the British monarch was the head of the ( Protestant ) Church of England . Another significant issue was that an oath might commit male Acadians to fight against France during wartime . A related concern was whether their Mi'kmaq neighbours might perceive this as acknowledging the British claim to Acadia rather than the Mi'kmaq . As a result , signing an unconditional oath might have put Acadian villages in danger of attack from Mi'kmaq .   In the Grand Dérangement ( the Great Upheaval ) , more than 12,000 Acadians ( three - fourths of the Acadian population in Nova Scotia ) were expelled from the colony between 1755 and 1764 . The British destroyed around 6,000 Acadian houses and dispersed the Acadians among the 13 colonies from Massachusetts to Georgia . The single event that involved the most deaths of Acadians was the sinking of the Duke William . Although there were no purposeful attempts to separate families , this did occur in the chaos of the eviction .  Siege of Louisbourg ( 1758 ) Acadian and Mi'kmaq resistance ( edit ) Marquis de Boishébert - Charles Deschamps de Boishébert et de Raffetot ( 1753 )  With the Expulsion of the Acadians during the French and Indian War , the Mi'kmaq and Acadian resistance intensified . After the Expulsion began , much of the resistance was led by Charles Deschamps de Boishébert et de Raffetot . The Acadians and Mi'kmaq again engaged victoriously in the Battle of Petitcodiac ( 1755 ) and the Battle of Bloody Creek ( 1757 ) . Acadians who were being deported from Annapolis Royal , Nova Scotia , on the ship Pembroke defeated the British crew and sailed to land . There was also resistance during the St. John River Campaign . Boishebert also ordered the Raid on Lunenburg ( 1756 ) . In the spring of 1756 , a wood - gathering party from Fort Monckton ( former Fort Gaspareaux ) , was ambushed and nine of them were scalped .   In the April 1757 , a band of Acadian and Mi'kmaq raided a warehouse near Fort Edward , killing thirteen British soldiers and , after taking what provisions they could carry , setting fire to the building . A few days later , the same partisans also raided Fort Cumberland .   Some Acadians escaped into the woods and lived with the Mi'kmaq ; some bands of partisans fought the British , including a group led by Joseph Broussard , known as `` Beausoleil '' , along the Petitcodiac River of New Brunswick . Some followed the coast northward , facing famine and disease . Some were recaptured , facing deportation or imprisonment at Fort Beausejour ( renamed Fort Cumberland ) until 1763 .   Some Acadians became indentured servants in the British colonies . Massachusetts passed a law in November 1755 placing the Acadians under the custody of `` justices of the peace and overseers of the poor '' ; Pennsylvania , Maryland , and Connecticut adopted similar laws . The Province of Virginia under Robert Dinwiddie initially agreed to resettle about one thousand Acadians who arrived in the colony but later ordered most deported to England , writing that the `` French people '' were `` intestine enemies '' that were `` murdering and scalping our frontier Settlers '' .   In 1758 , after the fall of Louisbourg , over 3,000 Acadians were deported to northern France . Resettlement attempts were tried in Châtellerault , Nantes , and Belle Île off Brittany . The French islands of St. Pierre and Miquelon near Newfoundland became a safe harbor for many Acadian families until they were once again deported by the British in 1778 and 1793 .   Re-establishing in Nova Scotia ( edit )   After the end of the Seven Years ' War in 1763 , Acadians were allowed to return to Nova Scotia as long as they did not settle in any one area in large numbers ; they were not permitted to resettle in the areas of Port Royal or Grand - Pré . Some Acadians resettled along the Nova Scotia coast and remain scattered across Nova Scotia to this day . Many dispersed Acadians looked for other homes . Beginning in 1764 , groups of Acadians began to arrive in Louisiana ( which had passed to Spanish control in 1762 ) . They eventually became known as Cajuns .   Beginning in the 1770s , many Acadians were encouraged to return through the policies of Nova Scotia Governor Michael Francklin , who guaranteed Catholic worship , land grants and issued a promise that there would be no second expulsion ( At this time , Nova Scotia included present - day New Brunswick ) . However the fertile Acadian dykelands had been resettled by New England Planters , who were soon followed by Loyalists who further occupied former Acadian lands . Returning Acadians and those families who had escaped expulsion had to settle in other parts of Nova Scotia and New Brunswick , in most cases isolated and infertile lands . The new Acadian settlements were forced to focus more on fishery and later forestry .   Milestones of Acadian return and resettlement included :    1767 St. Pierre et Miquelon   1772 census   1774 Founding of Saint - Anne 's church ; the Acadian school at Rustico and the abby Jean - Louis Beaubien ; the Trappistines in Tracadie   1785 Displacement from Fort Sainte - Anne to the upper Saint John River valley ( Madawaska )    Nineteenth century ( edit )   Milestones of Acadian return and resettlement included :    Jean - Mandé Sigogne ( 6 April 1763 -- 9 November 1844 ) was a French Catholic priest , who moved to Canada after the Revolution and became known for his missionary work among the Acadians of Nova Scotia .   1836 Simon d'Entremont and Frédéric Robichaud , MLAs in N.S.   1846 Amand Landry , MLA in N.B.   1847 , Longfellow publishes Evangeline   1854 , Stanislaw - Francois Poirier , MLA in P.E.I   1854 , the seminary Saint - Thomas in Memramcook , New Brunswick , becomes the first upper - level school for Acadians   1859 , the first history of Acadia is published in French by Edme Rameau de Saint - Père ; Acadians begin to become aware of their own existence    Acadian Renaissance ( edit )  Le Moniteur Acadien - first Acadian newspaper ( 1867 )   1864 founding of the Farmers ' Bank of Rustico , the earliest known community bank in Canada , under the leadership of Rev. Georges - Antoine Belcourt   1867 , first Acadian newspaper , Le Moniteur Acadien ( The Acadian Monitor ) is published by Israël Landry   1871 , Common Schools Act of 1871 prohibiting the teaching of religion in the classroom   1875 , the death of Louis Mailloux , 19 years old , in Caraquet by government forces only stokes Acadian nationalism   1880 , the Society of Saint John the Baptiste invites Francophones from all over North America to a congress in Quebec City   July 20 -- 21 , 1881 , Acadian leaders organize the first Acadian National Convention in Memramcook , New Brunswick , which had for its goal to take care of the general interests of the Acadian population . More than 5,000 Acadians participated in the convention . It was decided that August 15 , the Feast of the Assumption of the Virgin Mary , would be chosen to celebrate Acadian culture as National Acadian Day . Other debates at the convention centered around education , agriculture , emigration , colonization , and newspapers , and these same issues would arise at subsequent conventions .   At the second convention , on August 15 , 1884 , in Miscouche , Prince Edward Island , the Acadian flag , an anthem - Ave Maris Stella , and a motto - L'union fait la force were adopted .   1885 , John A. Macdonald nominates Pascal Poirier from Shediac as the first Acadian senator ; a second Acadian newspaper published , Le Courrier des Provinces Maritimes   1887 , the newspaper L'Evangéline begins being published from Digby , later , in 1905 , moves to Moncton   1890 , third Acadian convention    Twentieth century ( edit )   Milestones of the Acadian Renaissance    1912 , Monsigneur Edouard LeBlanc is the first Acadian bishop in The Maritimes   1917 , the Conservative Aubin - Edmond Arsenault becomes the first Acadian premier of P.E.I.   1920 , 2nd Acadian bishop , Mgr Alexandre Chiasson in Chatham and later Bathurst ; la Société nationale de l'Assomption undertakes a campaign to build a commemorative church in Grand - Pré , Nova Scotia   1923 , Pierre - Jean Véniot becomes the first Acadian premier of N.B. but was not elected   1936 , the first Caisse Populaire Acadien in Petit - Rocher is founded ; the committee France - Acadie is founded   1955 , the first Tintamarre occurs .      An Acadian home along Cabot Trail , Cape Breton , Nova Scotia , 1938     An Acadian lady spinning wool , 1938     An Acadian lady making a rug , 1938     The quiet revolution ( edit )   Louis Robichaud , popularly known as `` P'tit - Louis '' , was the first elected Acadian Premier of New Brunswick , serving from 1960 to 1970 . First elected to the legislature in 1952 , he became provincial Liberal leader in 1958 and led his party to victory in 1960 , 1963 , and 1967 .   Robichaud modernized the province 's hospitals and public schools and introduced a wide range of reforms in an era that became known as the quiet revolution . To carry out these reforms , Robichaud restructured the municipal tax regime , expanded the government and sought to ensure that the quality of health care , education and social services was the same across the province -- a programme he called equal opportunity , is still a buzzword in New Brunswick .   Critics accused of Robichaud 's government of `` robbing Peter to pay Pierre '' with the assumption being that rich municipalities were Anglophone ones and poor municipalities were Francophone ones . While it was true that the wealthier municipalities were predominantly in certain English - speaking areas , areas with significantly inferior services were to be found across the province in all municipalities .   Robichaud was instrumental in the formation of New Brunswick 's only French - speaking university , the Université de Moncton , in 1963 , which serves the Acadian population of the Maritime provinces .   His government also passed an act in 1969 making New Brunswick officially bilingual . `` Language rights '' , he said when he introduced the legislation , `` are more than legal rights . They are precious cultural rights , going deep into the revered past and touching the historic traditions of all our people . ''   1977 , official opening of the Acadian Historic Village in Caraquet , New Brunswick .   Antonine Maillet ( edit )   Born 1929 in Bouctouche , Antonine Maillet is an Acadian novelist , playwright , and scholar . Maillet received a BA and MA from the Université de Moncton , followed by a Ph. D. in literature in 1970 from the Université Laval . Maillet won the 1972 Governor General 's Award for Fiction for Don l'Orignal . In 1979 , Maillet published Pélagie - la - Charrette , for which she won the prix Goncourt . Maillet 's character `` La Sagouine '' ( from her book of the same name ) is the inspiration for `` Le Pays de la Sagouine '' in her hometown of Bouctouche .   Twenty - first century ( edit )   In 2003 , at the request of Acadian representatives , a proclamation was issued in the name of Queen Elizabeth II , acting as the Canadian monarch , officially acknowledging the deportation and establishing July 28 as a day of commemoration . The day of commemoration is observed by the Government of Canada , as the successor of the British Government .   Acadian remembrance day ( edit )   The Fédération des Associations de Familles Acadiennnes of New Brunswick and the Société Saint - Thomas d'Aquin of Prince Edward Island has resolved that December 13 each year shall be commemorated as `` Acadian Remembrance Day '' in remembrance of all Acadians who died as a result of the deportation . The date December 13 was chosen to commemorate the sinking of the Duke William and the nearly 2000 Acadians deported from Île - Saint Jean who perished in the North Atlantic from hunger , disease and drowning in 1758 . The event has been commemorated annually since 2004 and participants mark the event by wearing a black star .   Acadian World Congress ( edit )   Beginning in 1994 , the Acadian community gathered for an Acadian World Congress in New Brunswick . The congress has been held every 5 years since then : in Louisiana in 1999 , in Nova Scotia in 2004 , in the Acadian Peninsula of New Brunswick in 2009 . The 5th Acadian World Congress was hosted in 2014 by a gathering of 40 different communities located in three different provinces and different states in two countries . Northwestern New Brunswick and Témiscouata , Quebec , in Canada as well as Northern Maine in the United States joined hands to host the 5th CMA .   Notes ( edit )    Jump up ^ For information of métis Acadians see : John Parmenter and Mark Power Robison . The Perils and possibilities of wartime neutrality on the edges of empire : Iroquois and Acadians between the French and British in North America , 1744 - 1760 . Diplomatic History . Vol. 31 , No. 2 ( April 2007 ) , p. 182 ; Faragher , A Great and Noble Scheme , 35 - 48 , 146 - 67 , 179 - 81 , 203 , 271 - 77 ; Daniel Paul , We were not the savages : Micmac perspectives on the collision o European and Aboriginal Civilizations. 1993 . 38 - 67 , 86 , 97 - 104 ; Plank , Unsettled Conquest , 23 - 39 , 70 - 98 , 111 - 14 , 122 - 38 ; Mark Power Robison , Maritime frontiers : The evolution of empire ni Nova Scotia , 1713 - 1758 ( Ph. D. diss . University of Colorado at Boulder , 2000 ) , 53 - 84 ; William Wicken , `` 26 Augusts 1726 : A case study in Mi'kmaq - New England Relationships in the Early 18th Century '' Acadiensis XXIII , No. 1 . ( Autumn , 1995 ) : 20 - 21 ; William Wicken , `` Re-examining Mi'kmaq - Acadian Relations , 1635 - 1755 '' in Vingt Ans Apres : Habitants et Marchands Twenty Years Later . Ed . Sylvie Depatie et al. ( Montreal and Kingston , ON , 1998 ) , 93 - 109 .   Jump up ^ Located on an island in the Saint Croix River between present - day Maine and New Brunswick , the Saint Croix settlement failed because the surrounding river became impassable in the winter . It cut off the settlers from necessary supplies of fresh food , water , and fuel wood .   Jump up ^ Griffiths , N. 1600 - 1650 . `` Fish , Fur and Folk '' , in Buckner , P. and Reid J. ( eds ) , The Atlantic Region to Confederation : A History , Toronto University Press . 1994 . p. 56 .   Jump up ^ Buckner , P. and Reid J. ( eds ) , The Atlantic Region to Confederation : A History , Toronto University Press . 1994 .   Jump up ^ Griffiths , N.E.S. `` From Migrant to Acadian : A North American Border People , 1604 - 1755 '' McGill - Queen 's Press - MQUP , 2005 . p. 36 .   ^ Jump up to : Naomi Griffiths , From Migrant to Acadian : a North American border people , 1604 - 1755 , Montreal : McGill - Queen 's University Press , 2005 . p. 54 - 55   Jump up ^ Griffith , 2005 , p. 50   Jump up ^ Griffith , 2005 , p. 193   Jump up ^ Gregory M.W. Kennedy . Something of a Peasant Paradise ? Comparing Rural Societies in Acadie and the Loudunais , 1604 - 1755 ( MQUP , 2014 )   ^ Jump up to : M.A. MacDonald , Fortune &amp; La Tour : The civil war in Acadia , Toronto : Methuen. 1983   Jump up ^ Griffith , 2005 , p. 47   Jump up ^ Brenda Dunn , p. 19   Jump up ^ Brenda Dunn . A History of Port Royal , Annapolis Royal : 1605 - 1800 . Nimbus Publishing , 2004 . p. 20   ^ Jump up to : `` The Deportation of the Acadians from Ile St. - Jean , 1758 '' by Earle Lockerby , Acadiensis Vol . XXVII , No. 2 Spring / Printemps 1998   Jump up ^ During the 144 years prior to the founding of Halifax ( 1749 ) , Port Royal / Annapolis Royal was the capital of Acadia during 112 of those years ( 78 % of the time ) . The other locations that served as the Capital of Acadia are : LaHave , Nova Scotia ( 1632 - 1636 ) ; present day Castine , Maine ( 1657 - 1667 ) ; Beaubassin ( 1678 - 1684 ) ; Jemseg , New Brunswick ( 1690 - 1691 ) ; present day Fredericton , New Brunswick ( 1691 - 1694 ) , and present day Saint John , New Brunswick ( 1695 - 1699 ) . ( See Brenda Dunn . Port Royal / Annapolis Royal . 2004 . Nimbus Publishing )   ^ Jump up to : Faragher , John Mack , A Great and Noble Scheme New York ; W.W. Norton &amp; Company , 2005 . pp. 110 -- 112 ISBN 0 - 393 - 05135 - 8   ^ Jump up to : Geoffery Plank . An Unsettled Conquest . University of Pennsylvania . 2001 . pp. 67 - 72   Jump up ^ John Grenier . The Far Reaches of Empire . pp. 46 - 73 .   Jump up ^ ( William Pote 's Journal , 1745 , p. 34 )   Jump up ^ Winthrop Pickard Bell . ( 1961 ) . The `` Foreign Protestants '' and the Settlement of Nova Scotia ; Mather Byles DesBrisay ( 1895 ) . History of the county of Lunenburg .   Jump up ^ Faragher , p. 271   Jump up ^ Stephen Patterson , Colonial Wars and Aboriginal Peoples ,   Jump up ^ John Grenier , Far Reaches of Empire : War in Nova Scotia 1710 - 1760 . Oklahoma University Press . 2008 .   Ju</t>
  </si>
  <si>
    <t xml:space="preserve">what indian tribe did the acadians form friendships and alliances with</t>
  </si>
  <si>
    <t xml:space="preserve"> The survival of the Acadian settlements was based on successful cooperation with the Indigenous peoples of the region . In the early years of Acadian settlement , this included a small number of recorded marriages between Acadian settlers and Indigenous women . Some records have survived showing marriages between Acadian settlers and Indigenous women in formal Roman Catholic rites , for example , the marriage of Charles La Tour to a Mi'kmaw woman in 1626 . There were also reported instances of Acadian settlers marrying Indigenous spouses according to Mi'kmaq rites , and subsequently living in Mi'kmaq communities . Many settlers also brought French wives with them to Acadia , such as La Tour 's second wife , Françoise - Marie Jacquelin , who joined him in Acadia in 1640 . </t>
  </si>
  <si>
    <t xml:space="preserve">Deputy chief Minister of Jammu and Kashmir - Wikipedia  Deputy chief Minister of Jammu and Kashmir       Deputy Chief Minister of Jammu and Kashmir     Incumbent Vacant since 20 June 2018     Appointer   Governor of Jammu and Kashmir     Inaugural holder   Bakshi Ghulam Mohammad ( as Deputy Prime Minister )     Formation   5 March 1948     The Deputy Chief Minister of Jammu and Kashmir is a part of the government of the north Indian state of Jammu and Kashmir .   List of Deputy Chief Ministers of Jammu and Kashmir ( edit )     Sr.No .   Name   Took office   Left office   Political Party       Bakshi Ghulam Mohammad   5 March 1948   9 August 1953   Jammu &amp; Kashmir National Conference       Mirza Mohammad Afzal Beg     1977   Jammu &amp; Kashmir National Conference       Devi Das Thakur   1984   1986   Jammu &amp; Kashmir National Conference       Mangat Ram Sharma   2002   2006   Indian National Congress       Muzaffar Hussain Baig   2006   2008   Jammu and Kashmir Peoples Democratic Party     6   Tara Chand   5 January 2009   24 December 2014   Indian National Congress     7   Nirmal Kumar Singh   1 March 2015   6 January 2016   Bharatiya Janata Party     4 April 2016   29 April 2018   Bharatiya Janata Party     8   Kavinder Gupta   30 April 2018   19 June 2018   Bharatiya Janata Party     See also ( edit )    List of Chief Ministers of Jammu and Kashmir   Government of Jammu and Kashmir    References ( edit )             Deputy Chief Ministers of Indian states       Bihar   Goa   Jammu and Kashmir   Karnataka   Kerala   Maharashtra   Rajasthan   Tamil Nadu   Delhi ( NCT )           Chief Ministers   Incumbent Chief Ministers   Prime Ministers           This article about government in India is a stub . You can help Wikipedia by expanding it .            Retrieved from `` https://en.wikipedia.org/w/index.php?title=Deputy_Chief_Minister_of_Jammu_and_Kashmir&amp;oldid=846661163 '' Categories :   Government of Jammu and Kashmir   Deputy chief ministers of Jammu and Kashmir   Indian government stubs   Hidden categories :   Use dmy dates from April 2018   Use Indian English from April 2018   All Wikipedia articles written in Indian English   All stub articles           Talk                                                             About Wikipedia                                           हिन्दी   Edit links   This page was last edited on 20 June 2018 , at 04 : 27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</si>
  <si>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deputy cm of j and k</t>
  </si>
  <si>
    <t xml:space="preserve">   Deputy Chief Minister of Jammu and Kashmir     Incumbent Vacant since 20 June 2018     Appointer   Governor of Jammu and Kashmir     Inaugural holder   Bakshi Ghulam Mohammad ( as Deputy Prime Minister )     Formation   5 March 1948   </t>
  </si>
  <si>
    <r>
      <rPr>
        <sz val="11"/>
        <color rgb="FF000000"/>
        <rFont val="Calibri"/>
        <family val="0"/>
        <charset val="1"/>
      </rPr>
      <t xml:space="preserve">Nashville sound - wikipedia  Nashville sound  Jump to : navigation , search    Nashville sound     Stylistic origins   Country music , pop music     Cultural origins   1950s Nashville , Tennessee     Typical instruments   Guitar , strings , bass , drum , banjo , vocals     Derivative forms   Countrypolitan , country pop     Other topics     Country musicians -- List of years in country music     The Nashville sound originated during the mid 1950s as a subgenre of American country music , replacing the chart dominance of the rough honky tonk music which was most popular in the 1940s and 1950s with `` smooth strings and choruses '' , `` sophisticated background vocals '' and `` smooth tempos '' . It was an attempt `` to revive country sales , which had been devastated by the rise of rock ' n ' roll . ''     Contents  ( hide )   1 Origins   2 Countrypolitan   3 Country pop   4 Examples of the Nashville sound   5 Examples of Countrypolitan   6 See also   7 References      Origins ( edit )   The Nashville sound was pioneered by staff at Decca Records , RCA Records and Columbia Records in Nashville , Tennessee , including manager Steve Sholes , record producers Chet Atkins , Owen Bradley , and Bob Ferguson , and recording engineer Bill Porter . They invented the form by replacing elements of the popular honky tonk style ( fiddles , steel guitar , nasal lead vocals ) with `` smooth '' elements from 1950s pop music ( string sections , background vocals , crooning lead vocals ) , and using `` slick '' production , and pop music structures . The producers relied on a small group of studio musicians known as the Nashville A-Team , whose quick adaptability and creative input made them vital to the hit - making process . The Anita Kerr Quartet was the main vocal backing group in the early 1960s . In 1960 , Time magazine reported that Nashville had `` nosed out Hollywood as the nation 's second biggest ( after New York ) record - producing center . ''   The term `` Nashville Sound '' was first mentioned in an article about Jim Reeves in 1958 in the Music Reporter and again in 1960 in a Time magazine article about Reeves . Other observers have identified several recordings that helped establish the early Nashville sound . Country historian Rich Kienzle says that `` Gone '' , a Ferlin Husky hit recorded in November 1956 , `` may well have pointed the way to the Nashville sound . '' Writer Colin Escott proclaims Jim Reeves ' `` Four Walls '' , recorded February 1957 , to be the `` first ' Nashville sound ' record '' , and Chet Atkins , the RCA - based producer and guitarist most often credited with being the sound 's primary artistic brainchild , pointed to his production of Don Gibson 's `` Oh Lonesome Me '' late that same year .   In an essay published in Heartaches by the Number : Country Music 's 500 Greatest Singles , David Cantwell argues that Elvis Presley 's rock and roll recording of `` Do n't Be Cruel '' in July 1956 was the record that sparked the beginning of the era now called the Nashville sound .   Regarding the Nashville sound , the record producer Owen Bradley stated , `` Now we 've cut out the fiddle and steel guitar and added choruses to country music . But it ca n't stop there . It always has to keep developing to keep fresh . ''   Countrypolitan ( edit )  Lynn Anderson  In the early 1960s , the Nashville sound began to be challenged by the rival Bakersfield sound on the country side and by the British Invasion on the pop side ; compounding these problems were the sudden deaths , in separate airplane crashes , of Patsy Cline and Jim Reeves , two of the Nashville Sound 's biggest stars . Nashville 's pop song structure became more pronounced and it morphed into what was called Countrypolitan - a smoother sound typified through the use of lush string arrangements with a real orchestra and often , background vocals provided by a choir . Countrypolitan was aimed straight at mainstream markets and it sold well throughout the later 1960s into the early 1970s . Among the architects of this sound were producers Billy Sherrill ( who was instrumental in shaping Tammy Wynette 's early career ) and Glenn Sutton . Artists who typified the countrypolitan sound initially included Wynette , Glen Campbell ( who recorded in Hollywood and not Nashville ) , Lynn Anderson , Charlie Rich , and Charley Pride , the latter being a rare example of a top - selling African - American country performer .   The Bakersfield sound , and later outlaw country , dominated country music among aficionados while countrypolitan reigned on the pop charts .   Upon being asked what the Nashville sound was , Chet Atkins would put his hand into his pocket , shake his loose change , and say `` That 's what it is . It 's the sound of money '' .   Country pop ( edit )  Main article : Country pop  By the late 1970s and 1980s , many pop music singers picked up the countrypolitan style and created what is known as country pop , the fusion of country music and soft rock .   Examples of the Nashville sound ( edit )   Classic examples of Nashville sound recordings :    `` Four Walls '' by Jim Reeves ( 1957 )   `` Gone '' by Ferlin Husky ( 1957 )   `` A Fallen Star '' by Jimmy C. Newman ( 1957 )   `` The Three Bells '' by The Browns ( 1959 )   `` He 'll Have to Go '' by Jim Reeves ( 1960 )   `` Last Date '' by Floyd Cramer ( 1960 )   `` I 'm Sorry '' by Brenda Lee ( 1960 )   `` I Fall to Pieces '' by Patsy Cline ( 1961 )   `` Hello Fool '' by Ralph Emery ( 1961 )   `` A Little Bitty Tear '' , `` Call Me Mister In - Between '' , and `` It 's Just My Funny Way of Laughin ' '' by Burl Ives ( 1962 ) ( Ives was not a country singer , but a folk singer . )   `` The End of the World '' by Skeeter Davis ( 1963 ) This record was a mainstream pop chart hit .   `` Here Comes My Baby '' by Dottie West ( 1964 )   `` Make the World Go Away '' by Eddy Arnold ( 1965 )   `` Misty Blue '' by Wilma Burgess ( 1966 )   `` Danny Boy '' by Ray Price ( 1967 )    Examples of Countrypolitan ( edit )    `` ( I Never Promised You a ) Rose Garden '' by Lynn Anderson ( 1971 )   `` Help Me Make It Through the Night '' by Sammi Smith ( 1971 )   `` Kiss an Angel Good Morning '' by Charley Pride   `` Eleven Roses '' by Hank Williams , Jr. ( 1972 )   `` Behind Closed Doors '' by Charlie Rich ( 1973 )   `` Good News '' by Jody Miller ( 1973 )   `` The Most Beautiful Girl '' by Charlie Rich ( 1973 )   `` Paper Roses '' by Marie Osmond ( 1973 )   `` Rhinestone Cowboy '' by Glen Campbell ( 1975 )   `` He Stopped Loving Her Today '' by George Jones ( 1980 )   `` Slow Hand '' by Conway Twitty ( 1982 )   The music of Ronnie Milsap   `` Lady '' , `` You Decorated My Life '' and similar songs by Kenny Rogers   `` When I Think About Cheatin ' '' by Gretchen Wilson ( 2004 )      See also ( edit )    The Nashville A-Team   Nashville Sounds , a baseball team that borrows its name from the style    References ( edit )    Jump up ^ Byworth , Tony , ed. ( 2006 ) . The Illustrated Encyclopedia of Country Music . London : Flame Tree Publishing . pp. 7 , 115 -- 117 , 169 . ISBN 978 - 1 - 84451 - 406 - 9 .   ^ Jump up to : Dawidoff , Nicholas ( 1997 ) . In the Country of Country . Great Britain : Faber and Faber . pp. 48 -- 50 . ISBN 0 - 571 - 19174 - 6 .   ^ Jump up to : The Tennessee Encyclopedia . Nashville Recording Industry . Accessed April 9 , 2016 .   ^ Jump up to : Sanjek , Russell . ( 1988 ) . `` American Popular Music and Its Business : the first four hundred years '' . Oxford University Press . ISBN 0 - 19 - 504311 - 1 .   Jump up ^ http://countrymusichalloffame.com/site/explore-history-postelvis.aspx   Jump up ^ Bill Ivey , Encyclopedia of Country Music   ^ Jump up to : `` The `` Nashville Sound '' Begins `` . Retrieved August 8 , 2011 .   Jump up ^ Du Noyer , Paul ( 2003 ) . The Illustrated Encyclopedia of Music ( 1st ed . ) . Fulham , London : Flame Tree Publishing . p. 14 . ISBN 1 - 904041 - 96 - 5 .   Jump up ^ http://www.emusic.com/features/spotlight/286_200709.html      ( hide )         Country music genres       Alternative country   Americana   Australian country   Bakersfield sound   Bluegrass   Bro - country   Canadian country   Country folk   Country pop   Country rap   Country rock   Cowpunk   Southern soul   Honky tonk   Nashville sound   Neotraditional country   Outlaw country   Progressive country   Red Dirt   Rockabilly   Texas country   Western swing       Country music portal    Retrieved from `` https://en.wikipedia.org/w/index.php?title=Nashville_sound&amp;oldid=787335589 '' Categories :   Country music genres   Pop music genres   Nashville , Tennessee   Music of Tennessee           Talk                                           Contents                   About Wikipedia                                             Deutsch   Español   Français   </t>
    </r>
    <r>
      <rPr>
        <sz val="11"/>
        <color rgb="FF000000"/>
        <rFont val="Noto Sans CJK SC"/>
        <family val="2"/>
      </rPr>
      <t xml:space="preserve">한국어   </t>
    </r>
    <r>
      <rPr>
        <sz val="11"/>
        <color rgb="FF000000"/>
        <rFont val="Calibri"/>
        <family val="0"/>
        <charset val="1"/>
      </rPr>
      <t xml:space="preserve">Bahasa Indonesia   မြန်မာဘာသာ   Nederlands   </t>
    </r>
    <r>
      <rPr>
        <sz val="11"/>
        <color rgb="FF000000"/>
        <rFont val="Noto Sans CJK SC"/>
        <family val="2"/>
      </rPr>
      <t xml:space="preserve">日本 語   </t>
    </r>
    <r>
      <rPr>
        <sz val="11"/>
        <color rgb="FF000000"/>
        <rFont val="Calibri"/>
        <family val="0"/>
        <charset val="1"/>
      </rPr>
      <t xml:space="preserve">Norsk   Português   Simple English   Svenska   Edit links   This page was last edited on 24 June 2017 , at 20 : 25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</si>
  <si>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nashville sound brought a polished and cosmopolitan sound to country music by</t>
  </si>
  <si>
    <t xml:space="preserve"> In the early 1960s , the Nashville sound began to be challenged by the rival Bakersfield sound on the country side and by the British Invasion on the pop side ; compounding these problems were the sudden deaths , in separate airplane crashes , of Patsy Cline and Jim Reeves , two of the Nashville Sound 's biggest stars . Nashville 's pop song structure became more pronounced and it morphed into what was called Countrypolitan - a smoother sound typified through the use of lush string arrangements with a real orchestra and often , background vocals provided by a choir . Countrypolitan was aimed straight at mainstream markets and it sold well throughout the later 1960s into the early 1970s . Among the architects of this sound were producers Billy Sherrill ( who was instrumental in shaping Tammy Wynette 's early career ) and Glenn Sutton . Artists who typified the countrypolitan sound initially included Wynette , Glen Campbell ( who recorded in Hollywood and not Nashville ) , Lynn Anderson , Charlie Rich , and Charley Pride , the latter being a rare example of a top - selling African - American country performer . </t>
  </si>
  <si>
    <t xml:space="preserve">List of Premier League broadcasters - wikipedia  List of Premier League broadcasters  Jump to : navigation , search  This is a list of television broadcasters which provide coverage of the Premier League , English football 's top level competition , which is the most watched league in the world . The main broadcasters in the United Kingdom are Sky Sports , who broadcast 126 of the 168 televised games in the UK , and BT Sport . The BBC shows weekly highlights of the Premier League on its Match of the Day and Match of the Day 2 programmes on Saturdays and Sundays .   The 168 UK televised games are also broadcast across the world ; the remaining 212 matches that are n't broadcast live in the UK are all broadcast elsewhere around the world . English - speaking countries ( excluding the UK ) are able to carry what is known as the ' International feed ' or ' World feed ' audio ; this is full match commentary provided by the Premier League . In Asia , and select other countries around the world , there is also a fully produced studio broadcast where pre , half time and post-match analysis is offered . This is currently hosted by John Dykes .   The 3 : 00pm ( UK time ) Saturday kick - offs are not allowed to be shown live in the UK due to the hours of 2.45 pm - 5.15 pm being ' blocked broadcasting hours ' , as requested by the FA and enforced by UEFA . In Ireland , a different situation applies ; a package of only one Saturday 3 : 00pm kick off each week ( along with one game on the final Sunday ) is sold as an addition to the UK live rights packages , this package is currently held by Sky Sports . While there is no rule prohibiting the screening of the other 3 : 00pm games in Ireland , the Premier League does not make the rights to these games available to Irish broadcasters , due to the overlap in reception that is possible in Northern Ireland and mainland England and not 's total match completely absolute live in total all interviews season the paradox that total matches live other will only be seen on streaming sites of he Premier League TV .     Contents  ( hide )   1 Broadcasters   1.1 Broadcasters by region   1.1. 1 African broadcasters   1.1. 2 Asian broadcasters   1.1. 3 European broadcasters   1.1. 4 Latin American broadcasters   1.1. 5 Middle Eastern and North African broadcasters   1.1. 6 North American and Caribbean broadcasters   1.1. 7 Oceanian broadcasters       2 References   3 External links      Broadcasters ( edit )   These are the countries and channels that broadcast the Premier League for 2016 - 19 :   Broadcasters by region ( edit )  African broadcasters ( edit )      Language   Broadcaster     Sub-saharan Africa   English French   Supersport Kwesé Sports Canal+    Asian broadcasters ( edit )    Country   Language   Broadcasters     Afghanistan   Afghan   Ariana TV     Bhutan   English   STAR Sports     India     Maldives     Nepal     Sri Lanka     Bangladesh   English   STAR Sports Gazi TV     Pakistan   English   STAR Sports PTV Sports     China ( mainland )   Mandarin   CCTV CSPN BTV SMG SZMG GDTV GZTV CBG SDTV XJTV TJTV FMG DLTV JSBC ZZTV HBTV Tencent LeSports PPTV Super Sports     Hong Kong   English Cantonese   now TV LeSports     Indonesia   English Indonesian   beIN Sports RCTI MNCTV     Japan   Japanese   J Sports NHK Sportsnavi     Kazakhstan   Kazakh   Setanta Sports     Kyrgyzstan   Kyrgyz   KTRK Sport     Macau   English Cantonese Portuguese   Super Sports     Mongolia   Mongolian   Sansar HD SPS Premier Sports Channel     South Korea   English Korean   SBS Sports SPOTV     Malaysia &amp; Brunei   English Malay &amp; Cantonese   Astro     Myanmar   English Burmese   Sky Net     Philippines   English Tagalog   beIN Sports     Singapore   English   Singtel TV     Taiwan   Mandarin English   Eleven Sports     Thailand , Laos &amp; Cambodia   Thai English   beIN Sports PPTV     Tajikistan   Tajik   Varzish TV Football TV     Uzbekistan   Uzbek   UZ Report TV Futbol TV     Vietnam   Vietnamese English   K+ TTTV , BDTV ( VTVCab ) FPT Telecom    European broadcasters ( edit )    Country   Language   Broadcasters     Albania   Albanian   SuperSport     Kosovo     Serbia   Serbian Croatian Macedonian Slovenian   Sport Klub     Croatia     Bosnia and Herzegovina     Montenegro     Macedonia     Slovenia     Andorra   Spanish   Movistar+     Armenia   Armenian   Armenia 2     Austria   German   DAZN     Azerbaijan   Azerbaijani   AzTV     Belarus   Belarusian   Beltelradio     Belgium   Dutch French   Play Sports VOO Sport     Bulgaria   Bulgarian   Diema Sport     Cyprus   Greek   CytaVision     Czech Republic   Czech   Digi Sport     Denmark   Danish   TV3 Sport 6'eren     Estonia   Estonian   Viasat Sport Baltic     Finland   Finnish   Viasat Sport     France   French   SFR Sport     Georgia   Georgian   Silknet     Germany   German   DAZN     Greece   Greek   Cosmote Sport     Hungary   Hungarian   Spíler TV     Iceland   Icelandic   Stöð 2 Sport     Ireland   English   Sky Sports BT Sport     Italy   Italian   SKY Sport     Latvia   Latvian   Viasat Sport Baltic     Liechtenstein   German   DAZN     Lithuania   Lithuanian   Viasat Sport Baltic     Luxembourg   French   VOO Sport     Malta   English   GO Sports     Netherlands   Dutch   Ziggo Sport Totaal     Norway   English / Norwegian   TV2     Poland   Polish   NC+     Portugal   Portuguese   Sport TV     Romania   Romanian   Eurosport 1 Telekom Sport     Russia   Russian   Match TV     San Marino   Italian   SKY Sport     Slovakia   Czech   Digi Sport     Spain   Spanish   Movistar+     Sweden   Swedish   Viasat Sport     Switzerland   German French   DAZN SFR Sport     Turkey   Turkish   S Sport     Ukraine   Ukrainian   Football TV Сhannel     United Kingdom   English   Sky Sports BT Sport BBC Sport ( Highlights only )    Latin American broadcasters ( edit )    Country   Language   Broadcasters     Brazil   Portuguese   ESPN Brasil     Argentina   Spanish   DirecTV Sports ESPN     Chile     Colombia     Ecuador     Peru     Uruguay     Venezuela     Bolivia   Spanish   ESPN ( 3 matches )     Paraguay     Costa Rica   Spanish   SKY Sports     Dominican Republic     El Salvador     Guatemala     Honduras     Mexico     Nicaragua     Panama    Middle Eastern and North African broadcasters ( edit )    Country   Language   Broadcasters     Israel   Hebrew   Sport 1     Middle East and North Africa   Arabic English French   beIN Sports    North American and Caribbean broadcasters ( edit )    Country   Language   Broadcasters     Canada   English   TSN Sportsnet     Caribbean   English   Flow Sports     United States ( including Puerto Rico &amp; the U.S. Virgin Islands )   English Spanish   NBC Sports Network Telemundo    Oceanian broadcasters ( edit )    Country   Language   Broadcasters     Australia   English   Optus Sport SBS     New Zealand   English   beIN Sports     Pacific Islands   English   Sky Pacific     Papua New Guinea   English   Digicel Play     References ( edit )    Jump up ^ `` Who is the Premier League 's best ? '' . FIFA. 11 December 2007 . Retrieved 7 April 2011 .   Jump up ^ `` BT Sport '' . Premier League . Retrieved 29 July 2013 .   Jump up ^ `` BBC Sport '' . Premier League . Retrieved 29 July 2013 .   Jump up ^ http://www.uefa.com/news/newsid=19817.html   Jump up ^ `` Premier League international rights deals for 2016 - 19 '' . Premier League . Retrieved 15 May 2016 .    External links ( edit )    Premier League official website              Broadcasters in European Football ( UEFA )     Domestic leagues     Albania   Andorra   Armenia   Austria   Azerbaijan   Belarus   Belgium   Bosnia and Herzegovina   Bulgaria   Croatia   Cyprus   Czech Republic   Denmark   England   Estonia   Faroe Islands   Finland   France   Georgia   Germany   Greece   Hungary   Iceland   Israel   Italy   Kosovo   Kazakhstan   Latvia   Lithuania   Luxembourg   Macedonia   Malta   Moldova   Montenegro   Netherlands   Northern Ireland   Norway   Poland   Portugal   Republic of Ireland   Romania   Russia   San Marino   Scotland   Serbia   Slovakia   Slovenia   Spain   Sweden   Switzerland   Turkey   Ukraine   Wales       Domestic cups     Albania   Andorra   Armenia   Austria   Azerbaijan   Belarus   Belgium   Bosnia and Herzegovina   Bulgaria   Croatia   Cyprus   Czech Republic   Denmark   England   Estonia   Faroe Islands   Finland   France   Georgia   Germany   Greece   Hungary   Iceland   Israel   Italy   Kazakhstan   Latvia   Liechtenstein   Lithuania   Luxembourg   Macedonia   Malta   Moldova   Montenegro   Netherlands   Northern Ireland   Norway   Poland   Portugal   Republic of Ireland   Romania   Russia   San Marino   Scotland   Serbia   Slovakia   Slovenia   Spain   Sweden   Switzerland   Turkey   Ukraine   Wales       League Cups     England   Finland   France   Hungary   Iceland   Israel   Northern Ireland   Portugal   Republic of Ireland   Scotland   Wales       UEFA competitions     Champions League   Europa League   Super Cup                 Premier League     Seasons     1992 -- 93   1993 -- 94   1994 -- 95   1995 -- 96   1996 -- 97   1997 -- 98   1998 -- 99   1999 -- 2000   2000 -- 01   2001 -- 02   2002 -- 03   2003 -- 04   2004 -- 05   2005 -- 06   2006 -- 07   2007 -- 08   2008 -- 09   2009 -- 10   2010 -- 11   2011 -- 12   2012 -- 13   2013 -- 14   2014 -- 15   2015 -- 16   2016 -- 17   2017 -- 18       Clubs      2017 -- 18     AFC Bournemouth   Arsenal   Brighton &amp; Hove Albion   Burnley   Chelsea   Crystal Palace   Everton   Huddersfield Town   Leicester City   Liverpool   Manchester City   Manchester United   Newcastle United   Southampton   Stoke City   Swansea City   Tottenham Hotspur   Watford   West Bromwich Albion   West Ham United       Former     Aston Villa   Barnsley   Birmingham City   Blackburn Rovers   Blackpool   Bolton Wanderers   Bradford City   Cardiff City   Charlton Athletic   Coventry City   Derby County   Fulham   Hull City   Ipswich Town   Leeds United   Middlesbrough   Norwich City   Nottingham Forest   Oldham Athletic   Portsmouth   Queens Park Rangers   Reading   Sheffield United   Sheffield Wednesday   Sunderland   Swindon Town   Wigan Athletic   Wimbledon   Wolverhampton Wanderers          Competition     Teams   winners     Players   foreign   foreign scorers   winners     Managers       Stadia   Founding   Broadcasting foundation   Broadcasters   Referees       Statistics and awards     Records   All - time table   Hat - tricks   Highest scores   Golden Boot   Golden Glove   Manager of the Season   Player of the Season   Manager of the Month   Player of the Month   Goal of the Month   Players with 500 + appearances   Players with 100 + goals   Top scorers by season   Goalkeepers with 100 + clean sheets   10 Seasons Awards   20 Seasons Awards       Finances     Richest clubs :   Deloitte list   Forbes ' list     Team owners   Transfer records   Game 39   Premier League -- Football League gulf       Associated competitions     Asia Trophy   FA Community Shield   FA Cup   EFL Cup   UEFA Champions League   UEFA Europa League   Premier League 2   U18 Premier League   Premier League International Cup                         Association football on television     Broadcasters by top level league      Americas     Superliga Argentina ( Argentina )   Campeonato Brasileiro Série A ( Brazil )   Major League Soccer ( MLS Cup ) ( United States / Canada )   Liga MX ( Mexico )       Europe     Armenian Premier League ( Armenia )   Belgian Pro League ( Belgium )   Bundesliga ( Germany )   Ekstraklasa ( Poland )   Eredivisie ( Netherlands )   Czech First League ( Czech Republic )   La Liga ( Spain )   Liga I ( Romania )   Ligue 1 ( France )   Nemzeti Bajnokság I ( Hungary )   Premier League ( England )   Primeira Liga ( Portugal )   Russian Premier League ( Russia )   Scottish Premiership ( Scotland )   Serie A ( Italy )   Vala SuperLiga ( Kosovo )   Slovenian PrvaLiga ( Slovenia )   Super League Greece ( Greece )   Ukrainian Premier League ( Ukraine )       Other     Ligue 1 ( Algeria )   A-League ( Australia )   Thai League ( Thailand )          Broadcast contracts by country      Americas     Canada ( history )   United States   Central America   South America   Brazil       Asia     Japan   Middle East   Philippines   Thailand       Europe     Albania   Denmark   Belgium   Bosnia and Herzegovina   Croatia   France   Germany   Greece   Ireland   Israel   Italy   Kosovo   Montenegro   Netherlands   Portugal   Romania   Russia   Serbia   Spain   Sweden   United Kingdom ( commentators , history )       Oceania     Australia   New Zealand          Broadcasters by event      Americas     Copa Libertadores       Europe     UEFA Champions League   UEFA Europa League       FIFA World Cup     1998   2002   2006     2014   2018       UEFA Euro     2000     2008   2012   2016   2020          Dedicated channels      Canada     beIN Sports   EuroWorld Sport   Fox Sports World Canada   Sportsnet World       France     beIN Sports   Canal+ Sport   SFR Sports 1   OM TV   OL TV   Girondins TV       Italy     Premium Calcio   Sky Calcio   Inter Channel   Juventus Channel   Milan Channel       Spain     beIN Sports   beIN LaLiga   M. Fútbol   M. Partidazo   Real Madrid TV   Barça TV       United Kingdom     Sky Sports 1   BT Sport 1   Arsenal TV   Celtic TV   Chelsea TV   LFC TV   MUTV   Rangers TV       United States     beIN Sports   Fox Soccer Plus   GOL TV   MLS Direct Kick     ESPN Deportes   Fox Deportes   Univision Deportes Network          Individual network coverage      A-League     Fox Sports FC   Shoot Out   Thursday FC   The World Game       Bundesliga     Soccer Made in Germany       Major League Soccer     ESPN   MLS Game of the Week   MLS Primetime Thursday   MLS Soccer Saturday   MLS Soccer Sunday     Fox Soccer   NBCSN   TSN       Ligue 1     Téléfoot       Premier League     Monday Night Football   Super Sunday   Match of the Day   Match of the Day 2   The Premier League Show   Match of the Day ( U.S. TV series )   The Premiership   Soccer Central Matchday         Retrieved from `` https://en.wikipedia.org/w/index.php?title=List_of_Premier_League_broadcasters&amp;oldid=808611916 '' Categories :   Premier League on television   Premier League lists   Association football on television   Hidden categories :   EngvarB from May 2014   Use dmy dates from May 2014           Talk                                           Contents                   About Wikipedia                                           Bahasa Indonesia   Edit links   This page was last edited on 3 November 2017 , at 23 : 38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</si>
  <si>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channel is the premier league on in france</t>
  </si>
  <si>
    <t xml:space="preserve">   Country   Language   Broadcasters     Albania   Albanian   SuperSport     Kosovo     Serbia   Serbian Croatian Macedonian Slovenian   Sport Klub     Croatia     Bosnia and Herzegovina     Montenegro     Macedonia     Slovenia     Andorra   Spanish   Movistar+     Armenia   Armenian   Armenia 2     Austria   German   DAZN     Azerbaijan   Azerbaijani   AzTV     Belarus   Belarusian   Beltelradio     Belgium   Dutch French   Play Sports VOO Sport     Bulgaria   Bulgarian   Diema Sport     Cyprus   Greek   CytaVision     Czech Republic   Czech   Digi Sport     Denmark   Danish   TV3 Sport 6'eren     Estonia   Estonian   Viasat Sport Baltic     Finland   Finnish   Viasat Sport     France   French   SFR Sport     Georgia   Georgian   Silknet     Germany   German   DAZN     Greece   Greek   Cosmote Sport     Hungary   Hungarian   Spíler TV     Iceland   Icelandic   Stöð 2 Sport     Ireland   English   Sky Sports BT Sport     Italy   Italian   SKY Sport     Latvia   Latvian   Viasat Sport Baltic     Liechtenstein   German   DAZN     Lithuania   Lithuanian   Viasat Sport Baltic     Luxembourg   French   VOO Sport     Malta   English   GO Sports     Netherlands   Dutch   Ziggo Sport Totaal     Norway   English / Norwegian   TV2     Poland   Polish   NC+     Portugal   Portuguese   Sport TV     Romania   Romanian   Eurosport 1 Telekom Sport     Russia   Russian   Match TV     San Marino   Italian   SKY Sport     Slovakia   Czech   Digi Sport     Spain   Spanish   Movistar+     Sweden   Swedish   Viasat Sport     Switzerland   German French   DAZN SFR Sport     Turkey   Turkish   S Sport     Ukraine   Ukrainian   Football TV Сhannel     United Kingdom   English   Sky Sports BT Sport BBC Sport ( Highlights only )   </t>
  </si>
  <si>
    <r>
      <rPr>
        <sz val="11"/>
        <color rgb="FF000000"/>
        <rFont val="Calibri"/>
        <family val="0"/>
        <charset val="1"/>
      </rPr>
      <t xml:space="preserve">Java development Kit - wikipedia  Java development Kit  Jump to : navigation , search  Java Development Kit ( JDK )   Developer ( s )   Oracle Corporation         Stable release   10.0. 1 / 17 April 2018 ; 1 day ago ( 2018 - 04 - 17 )         Operating system   Windows NT , macOS , Linux , Solaris     Platform   IA - 32 , x64 , ARM , SPARC     Type   Software development kit     License   Sun License ( most of it also under GPL )     Website   www.oracle.com/technetwork/java/index.html     The Java Development Kit ( JDK ) is an implementation of either one of the Java Platform , Standard Edition , Java Platform , Enterprise Edition , or Java Platform , Micro Edition platforms released by Oracle Corporation in the form of a binary product aimed at Java developers on Solaris , Linux , macOS or Windows . The JDK includes a private JVM and a few other resources to finish the development of a Java Application . Since the introduction of the Java platform , it has been by far the most widely used Software Development Kit ( SDK ) . On 17 November 2006 , Sun announced that they would release it under the GNU General Public License ( GPL ) , thus making it free software . This happened in large part on 8 May 2007 , when Sun contributed the source code to the OpenJDK .     Contents  ( hide )   1 JDK contents   2 Ambiguity between a JDK and an SDK   3 Other JDKs   4 See also   5 References   6 External links      JDK contents ( edit )   The JDK has as its primary components a collection of programming tools , including :    appletviewer -- this tool can be used to run and debug Java applets without a web browser   apt -- the annotation - processing tool   extcheck -- a utility that detects JAR file conflicts   idlj -- the IDL - to - Java compiler . This utility generates Java bindings from a given Java IDL file .   jabswitch -- the Java Access Bridge . Exposes assistive technologies on Microsoft Windows systems .   java -- the loader for Java applications . This tool is an interpreter and can interpret the class files generated by the javac compiler . Now a single launcher is used for both development and deployment . The old deployment launcher , jre , no longer comes with Sun JDK , and instead it has been replaced by this new java loader .   javac -- the Java compiler , which converts source code into Java bytecode   javadoc -- the documentation generator , which automatically generates documentation from source code comments   jar -- the archiver , which packages related class libraries into a single JAR file . This tool also helps manage JAR files .   javafxpackager -- tool to package and sign JavaFX applications   jarsigner -- the jar signing and verification tool   javah -- the C header and stub generator , used to write native methods   javap -- the class file disassembler   javaws -- the Java Web Start launcher for JNLP applications   JConsole -- Java Monitoring and Management Console   jdb -- the debugger   jhat -- Java Heap Analysis Tool ( experimental )   jinfo -- This utility gets configuration information from a running Java process or crash dump . ( experimental )   jmap Oracle jmap - Memory Map -- This utility outputs the memory map for Java and can print shared object memory maps or heap memory details of a given process or core dump . ( experimental )   jmc -- Java Mission Control   jps -- Java Virtual Machine Process Status Tool lists the instrumented HotSpot Java Virtual Machines ( JVMs ) on the target system . ( experimental )   jrunscript -- Java command - line script shell .   jstack -- utility that prints Java stack traces of Java threads ( experimental )   jstat -- Java Virtual Machine statistics monitoring tool ( experimental )   jstatd -- jstat daemon ( experimental )   keytool -- tool for manipulating the keystore   pack200 -- JAR compression tool   policytool -- the policy creation and management tool , which can determine policy for a Java runtime , specifying which permissions are available for code from various sources .   VisualVM -- visual tool integrating several command - line JDK tools and lightweight performance and memory profiling capabilities   wsimport -- generates portable JAX - WS artifacts for invoking a web service .   xjc -- Part of the Java API for XML Binding ( JAXB ) API . It accepts an XML schema and generates Java classes .    Experimental tools may not be available in future versions of the JDK .   The JDK also comes with a complete Java Runtime Environment , usually called a private runtime , due to the fact that it is separated from the `` regular '' JRE and has extra contents . It consists of a Java Virtual Machine and all of the class libraries present in the production environment , as well as additional libraries only useful to developers , such as the internationalization libraries and the IDL libraries .   Copies of the JDK also include a wide selection of example programs demonstrating the use of almost all portions of the Java API .   Ambiguity between a JDK and an SDK ( edit )   The JDK forms an extended subset of a software development kit ( SDK ) . It includes `` tools for developing , debugging , and monitoring Java applications '' . Oracle strongly suggests to now use the term JDK to refer to the Java SE Development Kit . The Java EE SDK is available with or without the JDK , by which they specifically mean the Java SE 7 JDK .   Other JDKs ( edit )   In addition to the most widely used JDK discussed in this article , there are other JDKs commonly available for a variety of platforms , some of which started from the Sun JDK source and some that did not . All adhere to the basic Java specifications , but often differ in explicitly unspecified areas , such as garbage collection , compilation strategies , and optimization techniques . They include :   In development or in maintenance mode :    Azul Systems Zing , low latency JDK for Linux ;   Azul Systems / OpenJDK - based Zulu for Linux , Windows , Mac OS X , embedded and the cloud ;   OpenJDK / IcedTea ;   GNU 's Classpath and GCJ ( The GNU Compiler for Java ) ;   Aicas JamaicaVM ;   IBM J9 JDK , for AIX , Linux , Windows , MVS , OS / 400 , Pocket PC , z / OS ;    Not being maintained or discontinued :    Apache Harmony   Apple 's Mac OS Runtime for Java JVM / JDK for Classic Mac OS   Blackdown Java -- Port of Sun 's JDK for Linux   Oracle Corporation 's JRockit JDK , for Windows , Linux , and Solaris ;    See also ( edit )    Free software portal   Java portal   Computer programming portal     Classpath ( Java )   Java platform   Java version history    References ( edit )    Jump up ^ `` Java SE 7 Features and Enhancements '' . Oracle Corporation . Retrieved 1 January 2013 .   Jump up ^ `` OpenJDK homepage '' . Oracle Corporation and / or its affiliates . Retrieved 1 January 2013 .   Jump up ^ `` Sun 's May 8th announcement of source code for JDK '' .   Jump up ^ `` JDK 5.0 Java Annotation Processing Tool ( APT ) - related APIs &amp; Developer Guides -- from Sun Microsystems '' . Retrieved 2012 - 08 - 05 .   Jump up ^ `` Java SE Downloads '' . Oracle . Retrieved 10 July 2013 .   Jump up ^ `` Java EE 7 SDK distributions require JDK 7 '' `` Java Platform , Enterprise Edition 7 SDK - Installation Instructions '' . Installing the Software . Oracle . Retrieved 10 July 2013 .   Jump up ^ `` Azul Zing product page '' .   Jump up ^ `` Azul Zulu download page '' .   Jump up ^ `` developerWorks : IBM developer kits : Downloads '' . Retrieved 2012 - 08 - 05 .   Jump up ^ `` Support at Apple '' . Archived from the original on 13 December 2007 .   Jump up ^ `` Java Linux Contact Information '' . Archived from the original on 7 August 2007 . Retrieved 2012 - 08 - 05 .   Jump up ^ `` Java - Linux Latest Information '' . Archived from the original on 19 October 1996 . Retrieved 2012 - 08 - 05 .   Jump up ^ `` JRockit Family Download page '' . Retrieved 2012 - 08 - 05 .    External links ( edit )    Oracle Java SE   IBM Java technology JDK   Open source JDK 7 project   Open source JDK project   Community support   GNU Classpath -- a Free software JDK alternative   Javadoc Developer Kit ( JDK ) Search Engine   Oracle 's Java SE Support Roadmap      ( hide )         Java     Platforms     Java language   JVM   Micro Edition   Standard Edition   Enterprise Edition   Java Card   Android SDK         Oracle technologies     Squawk   Java Development Kit   OpenJDK   Java virtual machine   JavaFX   Maxine VM       Platform technologies     Applets   Servlets   MIDlets   JSP   Web Start ( JNLP )       Major third - party technologies     Blackdown   Eclipse   GNU Classpath   GWT   Harmony   Hibernate   IcedTea   Jazelle   Spring   Struts   TopLink   WildFly       History     Java version history   Java Community Process   Sun Microsystems   Free Java implementations       Major JVM languages     BeanShell   Clojure   Groovy   Oxygene   JRuby   Jython   Kotlin   Processing   Rhino   Scala   Tcl / Java       Conferences     JavaOne   Devoxx      Retrieved from `` https://en.wikipedia.org/w/index.php?title=Java_Development_Kit&amp;oldid=837037556 '' Categories :   Java ( programming language )   Software development kits   Oracle software   Sun Microsystems software   Hidden categories :   Use dmy dates from July 2013   All articles with unsourced statements   Articles with unsourced statements from January 2013   Articles containing potentially dated statements from 2009   All articles containing potentially dated statements   Wikipedia articles needing clarification from October 2010   Articles with unsourced statements from December 2011           Talk                                           Contents                   About Wikipedia                                           Wikibooks         Čeština   Deutsch   Español   فارسی   Français   </t>
    </r>
    <r>
      <rPr>
        <sz val="11"/>
        <color rgb="FF000000"/>
        <rFont val="Noto Sans CJK SC"/>
        <family val="2"/>
      </rPr>
      <t xml:space="preserve">한국어   </t>
    </r>
    <r>
      <rPr>
        <sz val="11"/>
        <color rgb="FF000000"/>
        <rFont val="Calibri"/>
        <family val="0"/>
        <charset val="1"/>
      </rPr>
      <t xml:space="preserve">Italiano   Magyar   Nederlands   </t>
    </r>
    <r>
      <rPr>
        <sz val="11"/>
        <color rgb="FF000000"/>
        <rFont val="Noto Sans CJK SC"/>
        <family val="2"/>
      </rPr>
      <t xml:space="preserve">日本 語   </t>
    </r>
    <r>
      <rPr>
        <sz val="11"/>
        <color rgb="FF000000"/>
        <rFont val="Calibri"/>
        <family val="0"/>
        <charset val="1"/>
      </rPr>
      <t xml:space="preserve">Polski   Português   Русский   Shqip   Suomi   Svenska   தமிழ்   ไทย   Türkçe   Українська   Tiếng Việt   </t>
    </r>
    <r>
      <rPr>
        <sz val="11"/>
        <color rgb="FF000000"/>
        <rFont val="Noto Sans CJK SC"/>
        <family val="2"/>
      </rPr>
      <t xml:space="preserve">中文  </t>
    </r>
    <r>
      <rPr>
        <sz val="11"/>
        <color rgb="FF000000"/>
        <rFont val="Calibri"/>
        <family val="0"/>
        <charset val="1"/>
      </rPr>
      <t xml:space="preserve">14 more  Edit links   This page was last edited on 18 April 2018 , at 10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</si>
  <si>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use of jdk in java</t>
  </si>
  <si>
    <t xml:space="preserve"> The Java Development Kit ( JDK ) is an implementation of either one of the Java Platform , Standard Edition , Java Platform , Enterprise Edition , or Java Platform , Micro Edition platforms released by Oracle Corporation in the form of a binary product aimed at Java developers on Solaris , Linux , macOS or Windows . The JDK includes a private JVM and a few other resources to finish the development of a Java Application . Since the introduction of the Java platform , it has been by far the most widely used Software Development Kit ( SDK ) . On 17 November 2006 , Sun announced that they would release it under the GNU General Public License ( GPL ) , thus making it free software . This happened in large part on 8 May 2007 , when Sun contributed the source code to the OpenJDK . </t>
  </si>
  <si>
    <r>
      <rPr>
        <sz val="11"/>
        <color rgb="FF000000"/>
        <rFont val="Calibri"/>
        <family val="0"/>
        <charset val="1"/>
      </rPr>
      <t xml:space="preserve">Learner 's permit - wikipedia  Learner 's permit  Jump to : navigation , search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September 2012 ) ( Learn how and when to remove this template message )         The examples and perspective in this article may not represent a worldwide view of the subject . You may improve this article , discuss the issue on the talk page , or create a new article , as appropriate . ( April 2015 ) ( Learn how and when to remove this template message )         This article is written like a manual or guidebook . Please help rewrite this article from a descriptive , neutral point of view , and remove advice or instruction . ( August 2016 ) ( Learn how and when to remove this template message )    ( Learn how and when to remove this template message )     A driver 's permit , learner 's permit , learner 's license or provisional license , is a restricted license that is given to a person who is learning to drive , but has not yet satisfied the requirement to obtain a driver 's license . Having a driver 's permit for a certain length of time is usually one of the requirements ( along with driver 's education and a road test ) for applying for a full driver 's license . To get a learner 's permit , one must typically pass a written permit test , traffic , and rules of the road .     Contents  ( hide )   1 Australia   2 Belgium   3 Canada   4 France   5 Germany   6 Hong Kong   7 India   8 Ireland   9 New Zealand   10 Norway   11 Singapore   12 South Africa   13 Sweden   14 United Kingdom   15 United States   15.1 Learner 's permits   15.2 Intermediate license     16 References      Australia ( edit )   Laws regarding learner 's permits in Australia differ between states . However , all states require a number of hours supervised driving to be undertaken and for the permit to be held for a set period . The age to get a Learner Permit is 16 in all states and territories except the ACT where it is 15 and 9 months . When a person is on their learners permit , they have to log 50 -- 120 hours depending on the state they are in , and must obtain at least 5 night hours . They can be supervised or taught in their log book hours by any person / persons holding a full license . They must sign the log book for allocated hours .   Belgium ( edit )   A provisional learners license can be obtained after passing a theoretical exam less than three years prior . The minimum age for a learners permit is 17 years . The learner needs to be accompanied by a designated person with a valid driving license . The vehicle needs to bear a clearly visible , predesignated `` learners '' sign , sporting the letter `` L '' .   Canada ( edit )   In Canada , the minimum age varies from province to province and may be 14 or 16 . In Ontario , a G1 License is issued to new drivers at the age of 16 after completing a written test . G1 license restrictions include :    Have time and / or road restrictions , and the learner must drive with a fully licensed driver of at least 4 years . After one year with a G2 , the learner may upgrade to their full G class license by taking another road test , which has a major highway component . A similar program is in effect for motorcycles , the M class license .    In Nova Scotia , a beginner 's permit ( L ) is issued to new drivers after the age of 16 after a written test . The L license restrictions include :    A fully licensed driver must sit in the seat adjacent the new driver   There can not be additional other passengers   The learner must have a blood alcohol count of 0   No time or road restrictions    In Alberta , a learners permit is issued to those who complete a knowledge test , an eye exam and one who is 14 years of age or older . They 're then put into a GDL program with restrictions . Some include : having a 0 blood alcohol level , fully licensed driver in passenger seat , no more people than there are seats , and must hold the license for a one - year minimum before upgrading .   In Alberta , one has to pass a basic road test after having a learner 's permit for at least a year and at or over the age of 16 , then can apply for a Class 5 GDL license , which carries some of the same restrictions , but no longer requires a fully licensed Class 5 non-GDL driver in the passenger seat . Once the person becomes 18 and holds the Class 5 GDL license for at least 2 years , they can do an advanced road test which if they pass , they 'll become a fully licensed Class 5 driver .   France ( edit )  See also : Driving licence in France  In France , exists a Graduated driver licensing for people between the age of 15 and 17 and half , for B Driving licence .   Some restriction exist ; one of the main condition is that a fully agreed licensed must accompany the learner .   With 18 , the learner 's permit can apply to a normal driving license , that it can pass more easily due to its previous experience ; additionally , its probation license is reduced from three to two years .   This Graduated driver licensing is valid only within France , so it 's not possible to cross their border with the Graduated driver licensing .   For people over 18 , a system similar to the Graduated driver licensing exists , but rules are slightly different , for instance it does not provide the reduction from three to two years for the probation licence .   Furthermore , any person who initially gets a driving license , for the first one , has to mind following restrictions for two or three years known as permis probatoire . The permis probatoire starting with specific issue :    Speed is reduced for new drivers : 110 km / h instead of 130 on motorways , 100 km / h instead of 110 , and 80 instead of 90 on rural roads .   The permis probatoire has only six points , and the driver access to 12 points when the driver passes its three year term    Points   When   General case   Apprentissage anticipé case     Driving licence passed   6   6     After one year   + 2 → 8 ( if no point loss )   + 3 → 9 ( if no point loss )     After two years   + 2 → 10 ( if no point loss )   + 3 → 12 ( if no point loss )     After three years   + 2 → 12 ( if no point loss )       Some training to road traffic safety might help to recover points .   Germany ( edit )   Since 2010 , it 's possible to get a learner 's permit at 17 in Germany . The only restriction is that a fully licensed and previously stated driver who is at least 30 years old must accompany the learner ( but is not allowed to intervene in the drive ) . That does not apply to light motorcycles , which can be driven freely with this license .   Furthermore , any person who initially gets a driving license has to mind following restrictions for 2 years starting with its issue :    The driver must have a blood alcohol count of 0 ( this applies at least until the age of 21 )   Any penalties are stricter than for advanced drivers    With 18 , the learner 's permit will be automatically replaced by a normal driving license - no further test is needed . These legal circumstances in Germany are comparable to those in Austria in that matter - thus , it 's possible to cross their border with a learner 's permit .   Hong Kong ( edit )   In Hong Kong any person aged 18 or above can apply for a Learner 's Driving License for private cars , light goods vehicle and motorcycles . For other types of vehicle the age required is 21 and the applicant must have a valid private car or light goods vehicle driving license for 3 years . Unlike other jurisdictions , a learner must be supervised by an approved driving instructor instead of an ordinary fully licensed driver , or attending an approved driving school to learn to drive ( except motorcycles , which learners can drive on their own , but motorcycle learners must pass a motorcycle course from an approved driving school before they can learn to drive on road ) . L - plate is also required when the learner is practicing .   India ( edit )   In India , the minimum age at which a provisional licence is valid is 18 ( and 16 for riding a gear less scooter ) . When driving under a provisional license , the learner must be accompanied by a driver who holds a full driving license . The supervisor has to be in view of the road and be in a position to control the vehicle . The provisional license is available only after passing the theory test . A full licence can be acquired only after passing the driving test . Once the learner has passed the theory test , they may take the practical driving test . Once the practical driving test has been taken and passed , a full driving licence will be automatically issued . While it is possible to take both tests immediately after each other , most learner drivers take a period between taking the theory and applying for a practical test to carry out driving lessons , either with their supervisor or a professional Driving school .   The vehicle being driven by the learner must also be fitted with L - plates on both the back and front of the vehicle . This tells other road users that the vehicle is being operated by a driver without their full license and that they may make mistakes easily and that the driver may not be fully competent yet . The L - plate consists of a white square plate with a large red L in the middle .   Ireland ( edit )   In Ireland the learner may perform a theory test at the age of 16 which tests their knowledge of traffic situations and road signs . Upon passing this test the learner will receive a learner 's permit which permits them to drive on the road accompanied by a full licensed driver who has had their license for more than two years . The only restrictions are that the learner driver can not drive on motorways and must visibly display ' L ' plates at all times . They must have held their learner 's permit for 6 months before they can apply to perform road test to obtain their full license . This is known as the ' six - month rule ' .   New Zealand ( edit )   In New Zealand any person 16 years or over can sit a learner 's licensing test , which is a theory multiple choice test on road rules . Once they have passed this , they may drive with an adult who has had their full license for at least two years . They must display L plates at all times when driving . They may drive up to the speed of 100 km / h in allowed areas . They may carry passengers with an adult in the car that has had their full licence for more than two years . After at least 6 months have passed , they take a road test in order to receive their restricted license . On a restricted license , the learner may only drive between 5am and 10pm , with no passengers other than their dependent children , spouse , or persons holding a full license for more than 2 years . A learner may only drive between 5am and 10pm . Learners who sit the practical test in an automatic car are only legally allowed to drive an automatic while restricted . People can also sit a full license road test after 18 months or a year if they have undertaken a defensive driving course . In March 2010 the New Zealand Government announced changes to licence regulations which included raising the minimum age for a learner 's licence to 16 , since September 2011 the minimum age to attempt to obtain a learners licence is the age of 16 .   Norway ( edit )   In Norway , the learner may drive as long the learner is over 16 years of age , have passed a basic course in the rules of the road and first aid , and a person 25 or above who has had their driver 's license for more than 5 years is present .   Singapore ( edit )   In Singapore , any persons aged 18 or above may obtain a provisional driving licence for a fee of S $25.00 after passing the Basic Theory Test . The provisional driving licence is valid for 6 months if the PDL licence is obtained before 1 December 2017 . From 1 December 2017 , the validity of a PDL licence is 2 years from the date of payment , with no change of cost . It permits the holder to drive on public roads ( with a few exceptions ) in the presence of a Certified Driving Instructor . A car driven by a learner must display an L - plate on the front and rear of the car . Passing the Final Theory Test enables a learner to apply for the Practical Driving Test and it is valid for 2 years . A valid provisional driving licence , passed FTT and a photo ID must be presented to be allowed to take the practical test . Should a learner 's provisional driving licence expire before the date of their practical test , he or she will have to renew it at the same cost . Expired PDL are not accepted and taking the practical tests will be rejected .   A Qualified Driving Licence ( QDL ) is awarded to a person who has passed the practical test and made a one - time payment of S $50.00 . Any person who has possessed a QDL for a period of less than a year is required to display a probation plate at the top right of their front and rear windscreens . The probation plate is made of a reflective material and consists of an orange triangle on a yellow background . Failure to do so may cause the offending driver to receive a fine for the first time and then subsequently revoked from driving . See Driving licence in Singapore for detailed requirements of each class of licence .   South Africa ( edit )   A South African learners license consists of three sections with the following criteria required :    Rules of the road - There are 30 questions in this category with 22 being the pass mark   Vehicle controls - There are 8 questions in this section , the required pass mark is 6   Road signs , road markings and traffic signals - There are 30 questions in this category with a pass mark of 23    There are primarily three codes to choose from :    Code 1 - This is for motorcycles , motorised tricycle or quadrucycle not more than 125cc and the driver should be 16 or older on the date of the test . If the motorcycle engine in above 125cc , the driver will need to be 17 years or older .   Code 2 - This is for motor vehicles , bus and minibus or goods vehicle up to a maximum vehicle mass of 3500 kg . The driver will need to be 17 years or older on the date of the test .   Code 3 - This is for motor vehicles exceeding a gross vehicle mass of 3500 kg . The driver will need to be 18 years or older to apply for a learners license in this category .    The following documents will need to be presented when applying for a learners license :    Identity card or passport   2 Recent passport size photographs ( colour or black and white )    In South Africa , any person who is of the minimum required age and holds a valid ID document may sit a learner 's licence exam . The minimum required age varies by vehicle class and has the following minimum age restrictions :    for a motorcycle ( without a sidecar ) with an engine not exceeding 125 cc -- 16 years   for light motor vehicles with a mass not exceeding 3 500 kilograms -- 17 years   for all other vehicles ( also motorcycles with an engine exceeding 125 cc ) -- 18 years    The Learner 's Licence exam is a 68 question multiple choice exam with questions spread over three sections : Rules of the road ( 30 questions ) ; Signs , signals and road markings ( 30 questions ) , and vehicle controls ( 8 questions ) . The holder of a learner 's licence is allowed to drive only when supervised by a licensed driver . If the category of vehicle being driven requires a professional driving permit , the licensed driver must also hold a professional driving permit . South African Learners must carry their Learner 's Licence with them whenever they are driving a vehicle and have L plates on the rear window . The Learner 's Licence is valid for 24 months .   Sweden ( edit )   In Sweden , the minimum age is 16 years old to get a basic car learner 's permit ; 17 years and six months are required for more advanced light vehicle combinations and up to 23 years for heavy vehicle combinations . Körkortslag 4kap 2 §   United Kingdom ( edit )   In the United Kingdom , the minimum age at which a provisional licence is valid is 17 ( 16 for driving a tractor , riding a moped , or those receiving Disability Mobility Allowance ) . When driving under a provisional licence , the learner must be accompanied by a driver who has held a full driving licence for three years , and who is 21 or over . The supervisor has to be in view of the road , however the road safety act 1988 states that the supervisor does not have to be in the passenger seat , although the passenger in the front seat does have to be over the age of 15 . A full licence can be acquired as soon as the provisional licence is received , unlike many other countries where applicants must wait a minimum of 6 -- 12 months with this being said , before getting a full license . The provisional licence is available without taking a test , although to get a full , unrestricted licence - the applicant must take a written ' Theory ' test containing fifty multiple choice questions and fourteen - clip hazard perception test , both of which are done on a computer at one of the many DSA ( Driving Standards Agency ) Test centres . Once the learner has passed the theory test , they may take the practical driving test , however the practical driving test has to be done within 2 years of completing the theory test , as the theory test certificate expires 2 years after receiving it . Once the practical driving test has been taken and passed a full driving licence will be automatically issued . While it is possible to take both tests immediately after each other , most learner drivers take a period between taking the theory and applying for a practical test to carry out driving lessons , either with their supervisor or a professional Driving school .   The vehicle being driven by the learner must also be fitted with L - plates on both the back and front of the vehicle . This tells other road users that the vehicle is being operated by a driver without their full licence and that they may make mistakes easily and that the driver may not be fully competent yet . The L - plate consists of a white square plate ( often tied to the vehicle or attached by magnets ) with a large red L in the middle . In Wales the L - plate or the D - plate may be used due to bilingual laws in effect in Wales . If the vehicle is operated by multiple named drivers ( As specified by the car insurance policy ) , then the L - Plate should be removed and stored if the current driver holds a full licence . When the learner has passed , they can get a non-compulsory ' P ' plate , which shows that they have just passed their test , and so may not have much experience on the road . The P plate has a white background , with a green ' P ' .   In the UK , provisional licence holders are disallowed from driving on motorways until they pass the practical test .   After gaining a full licence , the driver is subject to a probationary period ; 6 or more penalty points accumulated within 2 years of passing the test , will lead to a revocation of the licence and both test will need to be retaken .   In Northern Ireland for one year after the passing of a driving test , the driver is defined as a `` restricted driver '' who must not exceed 45 mph ( 72 km / h ) and must display an `` R - plate '' consisting of an amber sans - serif R on a white background .   United states ( edit )   In the United States , it is typical for states to have graduated driver 's license programs through which a driver first obtains a learner 's permit , qualifies for an intermediate driver 's license , and then ultimately qualifies for a full driver 's license . The rules governing learner 's permits can vary significantly by state .   Learner 's permits ( edit )   In order for a minor to receive a learner 's permit , sometimes called an instructional permit , states typically require that the minor have signed permission from a parent or guardian . In the state of New Hampshire , a permit is not given but the young driver may begin to drive with a parent or guardian , or an adult 25 years of age , at the age of 15 and a half .   Typically , a driver operating with a learner 's permit must be accompanied by an adult licensed driver who is at least 21 years of age or older and in the passenger seat of the vehicle at all times .   In some states , permit holders are allowed to drive to and from school or work with a permit , without a supervising driver . In Indiana , Iowa , Texas , Rhode Island , Maryland and Kentucky , a permit holder between 17 and 18 may legally drive unaccompanied only if heading to work or to school .   After a legally defined period of driving supervised with a permit , usually between six and twelve months , and upon reaching the requisite age , the holder of a learner 's permit can apply for a provisional license . Obtaining a provisional license allows certain restrictions to be lifted from the driver , such as the times that they are allowed to drive , and the number of people allowed in the car .   The permit holder is required to document specific hours of driving under the permit before qualifying for an intermediate license , such as fifty hours of practice .   Intermediate license ( edit )   An intermediate or provisional license allows the driver to drive a vehicle without supervision by a licensed driver . Driving is typically permitted during a limited range of mostly daylight hours , as well as to and from school , work and religious activities . Some states may require a road test before allowing a learner 's permit holder to obtain an intermediate license .   In order to qualify for a provisional license the applicant must typically be at least the age of 16 and must have previously held an learner 's permit for at least six months . These requirements vary by state . For example , in Florida the prior period for holding a learner 's permit is twelve months .   In many states the period of driving on a learner 's permit is shortened if the applicant is above the age of eighteen . For example , in Oklahoma if a driver is 18 or older a learner 's permit must only be held for one month before the driver qualifies for an intermediate license . Some states allow drivers over the age of twenty - one to bypass the entire graduated licensing process . For example , in Colorado , a driver over the age of twenty - one may apply for and pass the tests for a permit and a full driver 's license on the same day and , if successful in passing the tests , may obtain a full driver 's license as soon as the driver passes a scheduled driving test .   Intermediate drivers are normally restricted in their transportation of passengers , especially minor passengers , without supervision . In some states , such as California , Nebraska , Oregon , Maine , New York , Florida , Kansas , Illinois , Oklahoma and Arizona , permitted drivers may legally drive family members under the age of 21 without adult supervision if they possess a signed note from a legal guardian .   References ( edit )    Jump up ^ https://www.service-public.fr/particuliers/vosdroits/F21012   Jump up ^ https://www.service-public.fr/particuliers/vosdroits/F2390   Jump up ^ https://www.permisapoints.fr/permis-a-points/permis-probatoire/   Jump up ^ https://www.service-public.fr/particuliers/vosdroits/F2390   Jump up ^ ( NDLS , National Driver Licensing Service , 2017 )   Jump up ^ `` About your licence '' . NZ Transport Agency . 30 September 2011 . Retrieved 14 October 2011 .   Jump up ^ John Hartevelt , Hank Schouten and NZPA ( 2 March 2010 ) . `` Government to raise driving age '' . Stuff.co.nz . Retrieved 14 October 2011 .   Jump up ^ `` Øvelseskjøring ( Practise driving ) '' ( in Norwegian ) . Norwegian Public Roads Administration ( Statens Vegvesen ) . Retrieved 24 March 2018 .   Jump up ^ `` When can I apply for my Learners Licence ? What requirements do I need to meet ? - Page 3 '' . Retrieved 13 October 2015 .   Jump up ^ `` Restrictions and Requirements - Light Motor Vehicle - African License '' . African Licence . Retrieved 13 October 2015 .   Jump up ^ `` Preparation - Light Motor Vehicle - African License '' . African Licence . Retrieved 13 October 2015 .   Jump up ^ `` Services '' . Retrieved 13 October 2015 .   Jump up ^ `` What the Licence Permits - Light Motor Vehicle - African License '' . African Licence . Retrieved 13 October 2015 .   Jump up ^ `` Körkortslag ( 1998 : 488 ) '' . Retrieved 13 October 2015 .   Jump up ^ `` Driving tests , motorcycle tests and learning to drive '' . Retrieved 13 October 2015 .   Jump up ^ `` Theory test for cars and motorcycles '' . Retrieved 13 October 2015 .   Jump up ^ `` Penalty points ( endorsements ) '' . Retrieved 13 October 2015 .   Jump up ^ Oleen , Brooke ; Teigen , Ann ( September 2011 ) . `` Teen Driving '' ( PDF ) . National Conference of State Legislatures . Retrieved 5 December 2017 .   ^ Jump up to : Larson , Aaron ( 3 July 2017 ) . `` How do Graduated Driver 's License Programs and Permits Work '' . ExpertLaw . Retrieved 5 December 2017 .   Jump up ^ See , e.g. , `` Instructional Permit ( CP ) '' . Georgia Department of Driver Services . Retrieved 5 December 2017 .   Jump up ^ See , e.g. `` Important Information About Learner 's Permits '' ( PDF ) . Department of Motor Vehicles . State of New York . Retrieved 5 December 2017 . , `` Learner 's Permit '' . Utah Department of Public Safety . Retrieved 5 December 2017 .   Jump up ^ `` Learning to Drive '' . Division of Motor Vehicles . New Hampshire Department of Safety . Retrieved 5 December 2017 .   ^ Jump up to : `` Graduated Driver 's Licensing '' . AAA . Retrieved 5 December 2017 .   Jump up ^ `` Teen Drivers Overview '' . National Conference of State Legislatures. April 2017 . Retrieved 5 December 2017 .   Jump up ^ See , eg. , `` Graduated Driver Licensing Program '' . drive.ky.gov . State of Kentucky . Retrieved 5 December 2017 . , `` Teenage &amp; Adult Driver Responsibility Act ( TADRA ) '' . Georgia Department of Driver Services . State of Georgia . Retrieved 5 December 2017 .   Jump up ^ `` Licensing Requirements for Teens , Graduated Driver License Laws and Driving Curfews '' . Florida Highway Safety and Motor Vehicles . State of Florida . Retrieved 5 December 2017 .   Jump up ^ `` Graduated Driver License ( GDL ) '' . Oklahoma Department of Public Safety . Retrieved 5 December 2017 .   Jump up ^ `` FAQ - Driver License '' . Colorado Department of Revenue . Retrieved 5 December 2017 .   Retrieved from `` https://en.wikipedia.org/w/index.php?title=Learner%27s_permit&amp;oldid=837013508 '' Categories :   Identity documents   Traffic law   Driving licences   Hidden categories :   CS1 Norwegian - language sources ( no )   Articles needing additional references from September 2012   All articles needing additional references   Articles with limited geographic scope from April 2015   Wikipedia articles needing style editing from August 2016   All articles needing style editing   Articles with multiple maintenance issues   Wikipedia articles needing clarification from December 2017   All articles with unsourced statements   Articles with unsourced statements from July 2016   Articles with unsourced statements from December 2017           Talk                                           Contents                   About Wikipedia                                           </t>
    </r>
    <r>
      <rPr>
        <sz val="11"/>
        <color rgb="FF000000"/>
        <rFont val="Noto Sans CJK SC"/>
        <family val="2"/>
      </rPr>
      <t xml:space="preserve">日本 語   </t>
    </r>
    <r>
      <rPr>
        <sz val="11"/>
        <color rgb="FF000000"/>
        <rFont val="Calibri"/>
        <family val="0"/>
        <charset val="1"/>
      </rPr>
      <t xml:space="preserve">Simple English   Edit links   This page was last edited on 18 April 2018 , at 05 : 40 .         About Wikipedia                    </t>
    </r>
  </si>
  <si>
    <t xml:space="preserve">who needs to be in the car with a permit driver</t>
  </si>
  <si>
    <t xml:space="preserve"> Typically , a driver operating with a learner 's permit must be accompanied by an adult licensed driver who is at least 21 years of age or older and in the passenger seat of the vehicle at all times . </t>
  </si>
  <si>
    <t xml:space="preserve">God 's Not Dead : a Light in Darkness - Wikipedia  God 's Not Dead : a Light in Darkness     God 's Not Dead : A Light in Darkness     Theatrical release poster     Directed by   Michael Mason     Produced by     David A.R. White   Michael Scott   Brittany Yost   Elizabeth Travis   Alysoun Wolfe       Written by   Michael Mason     Starring     David A.R. White   John Corbett   Shane Harper   Ted McGinley   Tatum O'Neal       Music by   Pancho Burgos - Goizueta     Cinematography   Brian Shanley     Edited by   Joseph Sandoval     Production company   Pure Flix     Distributed by   Pure Flix Entertainment     Release date     March 30 , 2018 ( 2018 - 03 - 30 )               Running time   106 minutes     Country   United States     Language   English     Box office   $5.7 million     God 's Not Dead : A Light in Darkness is a 2018 American Christian drama film written and directed by Michael Mason . It is the third installment of the God 's Not Dead series , following the 2014 film and its 2016 sequel . It stars David A.R. White , John Corbett , Shane Harper , Benjamin Onyango , Ted McGinley , Jennifer Taylor , Tatum O'Neal , Shwayze and Cissy Houston .   Principal photography was completed in Little Rock , Arkansas in December 2017 . It was released in the United States on March 30 , 2018 . Unlike the first two films , A Light in Darkness was a box office bomb , making less in its entire theatrical run ( $5.7 million ) than the others grossed in their respective opening weekends ( $9.7 million and $7.6 million ) .     Contents  ( hide )   1 Plot summary   2 Cast   3 Production   4 Reception   4.1 Box office   4.2 Critical response     5 References   6 External links      Plot summary ( edit )   After a bunch of protests by college students against the church of St. James , the college starts the process of shutting down the church much to the dismay of Reverend Dave and his partner Jude . When informed of the decision to shut down the church and to replace it with a building to expand the school , Dave and Jude begin the process of suing the college to save St. James . Things get worse when college student Adam Richertson , a struggling Christian , in protest , tosses a brick into the church , igniting a fire that fatally wounds Jude . Reverend Dave is forced to come to grips with the loss of his dear friend . Adam is horrified by his actions and contemplates whether to confess to the crime , leading him to rediscover his faith in God .   During the lawsuit , Dave seeks the help of his estranged brother , attorney Pearce Hill , who tries to explain to Dave that it is not a case worth fighting for . Dave refuses to listen to his brother 's advice and continues the case into court . After failing to reach a settlement with the college , the trial date is set for the lawsuit . At the same time , Adam sends an anonymous text to Reverend Dave confessing to the church fire and a furious Dave assaults him when confronting him . This severely wounds his lawsuit 's case and leads to Adam being arrested and charged as a felony case .   After seeking God 's help in church through prayer , Reverend Dave eventually realizes that his case has only made things worse and that St. James is not the right church for God and his followers . He drops his lawsuit , reaches an out - of - court settlement with the college , and after talking with a repentant Adam and consulting with Jude 's family , ultimately asks to have the criminal charges against Adam dropped . He then announces to his college protesters that while St. James will be torn down , he will reopen a new church not far from the school for future followers .   Cast ( edit )    Jennifer Taylor as Meg Harvey   John Corbett as Pearce Hill   Tatum O'Neal as Barbara Solomon   Ted McGinley as Thomas Ellsworth   Shane Harper as Josh Wheaton   David A.R. White as Reverend Dave Hill   Benjamin Onyango as Reverend Jude   Cissy Houston as lead choir vocalist   Samantha Boscarino as Keaton   Mike C. Manning as Adam Richertson   Shwayze    Production ( edit )   Principal photography took place in December 2017 around Little Rock , Arkansas .   Reception ( edit )   Box Office ( edit )   In the United States and Canada , God 's Not Dead : A Light in Darkness was released on March 30 , 2018 , alongside Acrimony and Ready Player One , and was projected to gross $4 -- 6 million from 1,685 theaters in its opening weekend . It ended up debuting to just $2.6 million , finishing 12th at the box office and marking the lowest opening of the series . Deadline Hollywood noted the film suffered from being the third film of a trilogy and also said religious audiences saw the film as `` a cash grab and not a movie promoting a Christian message anymore '' , and were more inclined to go to other faith - based films in theaters like I Can Only Imagine and Paul , Apostle of Christ . It fell 58 % in its second weekend to $1.1 million , finishing 17th . By the end of its North American run the film grossed a total of $5.5 million , less than other two films grossed simply in their opening weekends ( $9.7 million and $7.6 million , respectively ) .   Critical response ( edit )   On review aggregator website Rotten Tomatoes , the film has an approval rating of 13 % based on 15 reviews , and an average rating of 2.7 / 10 . On Metacritic , the film has a weighted average score of 33 out of 100 , based on 9 critics , indicating `` generally unfavorable reviews . '' Audiences polled by CinemaScore gave the film an average grade of `` A -- '' on an A+ to F scale , though as with the second film , Deadline Hollywood noted that `` faith - based films have an easy time gaining an A on CinemaScore '' .   References ( edit )    Jump up ^ `` God 's Not Dead : A Light in Darkness ( 2018 ) '' . Box Office Mojo . Retrieved May 31 , 2018 .   Jump up ^ Truitt , Brian ( December 19 , 2017 ) . `` Watch the fiery trailer for the faith - based film ' God 's Not Dead : A Light in Darkness ' '' . USA Today . Retrieved December 20 , 2017 .   Jump up ^ `` Pure Flix Announces Theatrical Release Date For GOD 'S NOT DEAD : A LIGHT IN DARKNESS '' ( Press release ) . Pure Flix . PR Newswire . December 19 , 2017 . Retrieved December 20 , 2017 .   Jump up ^ D'Alessandro , Anthony ; Tartaglione , Nancy ( March 27 , 2018 ) . `` Steven Spielberg 's ' Ready Player One ' To Get Its Game On With $140 M+ Global Start '' . Deadline Hollywood . Retrieved March 27 , 2018 .   Jump up ^ D'Alessandro , Anthony ( April 1 , 2018 ) . `` Audiences Plug Into ' Ready Player One ' : Steven Spielberg Movie Looking At $53 M+ 4 - Day Score -- Early Sunday Update '' . Deadline Hollywood . Retrieved April 1 , 2018 .   Jump up ^ D'Alessandro , Anthony ( April 8 , 2018 ) . `` ' A Quiet Place ' Screams To $50 M+ Opening ; ' Blockers ' Breaks Through To $21 M+ -- Early Sunday Update '' . Deadline Hollywood . Retrieved April 8 , 2018 .   Jump up ^ `` God 's Not Dead Movies at the Box Office '' . Box Office Mojo . Retrieved April 15 , 2018 .   Jump up ^ `` God 's Not Dead : A Light in Darkness ( 2018 ) '' . Rotten Tomatoes . Fandango . Retrieved April 6 , 2018 .   Jump up ^ `` God 's Not Dead : A Light in Darkness Reviews '' . Metacritic . Retrieved April 6 , 2018 .   Jump up ^ Brad Brevet ( March 31 , 2018 ) . `` ' Ready Player One ' Hopes to End March 2018 with a Bang , Not a Whimper '' . Box Office Mojo . Retrieved April 2 , 2018 .   Jump up ^ D'Alessandro , Anthony ( April 4 , 2016 ) . `` Batman V Superman 's Knock - Down , Drag - Out Fight with the Box Office : 2nd Weekend At $52 M+ , - 68 % '' . Deadline Hollywood . Retrieved April 2 , 2018 .    External links ( edit )    Official website   God 's Not Dead : A Light in Darkness on IMDb   God 's Not Dead : A Light in Darkness at Rotten Tomatoes   God 's Not Dead : A Light in Darkness at Metacritic      hide         God 's Not Dead films       God 's Not Dead ( 2014 )   God 's Not Dead 2 ( 2016 )   God 's Not Dead : A Light in Darkness ( 2018 )      Retrieved from `` https://en.wikipedia.org/w/index.php?title=God%27s_Not_Dead:_A_Light_in_Darkness&amp;oldid=845133328 '' Categories :   2018 films   English - language films   2010s drama films   American drama films   American films   American sequel films   Films about Christianity   Films about Evangelicalism   Films shot in Arkansas   Pure Flix Entertainment films   Hidden categories :   Use mdy dates from December 2017   Official website different in Wikidata and Wikipedia           Talk                                           Contents                   About Wikipedia                                           Bahasa Indonesia   Edit links   This page was last edited on 9 June 2018 , at 16 : 40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</si>
  <si>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god's not dead a light in the darkness release date</t>
  </si>
  <si>
    <t xml:space="preserve"> Principal photography was completed in Little Rock , Arkansas in December 2017 . It was released in the United States on March 30 , 2018 . Unlike the first two films , A Light in Darkness was a box office bomb , making less in its entire theatrical run ( $5.7 million ) than the others grossed in their respective opening weekends ( $9.7 million and $7.6 million ) . </t>
  </si>
  <si>
    <r>
      <rPr>
        <sz val="11"/>
        <color rgb="FF000000"/>
        <rFont val="Calibri"/>
        <family val="0"/>
        <charset val="1"/>
      </rPr>
      <t xml:space="preserve">President of the United Nations General Assembly - wikipedia  President of the United Nations General Assembly  Jump to : navigation , search    President of the United Nations General Assembly     Emblem of the United Nations     Incumbent Miroslav Lajčák     Appointer   United Nations General Assembly     Term length   1 year     Inaugural holder   Paul - Henri Spaak     Formation   1946     Website   List of Presidents of the UN General Assembly     The President of the United Nations General Assembly is a position voted for by representatives in the United Nations General Assembly ( UNGA ) on a yearly basis . The President presides over the sessions of the General Assembly .   Miroslav Lajčák of Slovakia has been elected as the United Nations General Assembly President of its 72nd session beginning in September 2017 .     Contents  ( hide )   1 Election   2 List of presidents   3 See also   4 References   5 External links      Election ( edit )  A map of the world showing the home countries of Presidents of the United Nations General Assembly up until the 69th session of the General Assembly in 2014 - 15 , with historical member states in inset .  The session of the assembly is scheduled for every year starting in September -- any special , or emergency special , assemblies over the next year will be headed by the President of the UN General Assembly .   The presidency rotates annually between the five geographic groups : African , Asia - Pacific , Eastern European , Latin American and Caribbean , and Western European and other States .   Because of their powerful stature globally , some of the largest , most powerful countries have never held the presidency , such as the People 's Republic of China , France , Japan , Russia , the United Kingdom , and the United States . In particular , it is customary that no permanent member of the United Nations Security Council ever serves as General Assembly president .   The only country that had a national elected as President of the United Nations General Assembly twice is Argentina ; all the other member states had been represented only once by their nationals holding this office . This does not include special and emergency special sessions of the General Assembly .   List of Presidents ( edit )     Year elected   Name of President   UN member state   Region   Sessions     1946   Paul - Henri Spaak   Belgium   WES   First     1947   Oswaldo Aranha   Brazil   LAS   First special Second     1948.1 ! 1948   José Arce   Argentina   LAS   Second special     1948.2 ! 1948   Herbert Vere Evatt   Australia   COS   Third     1949   Carlos P. Romulo   Philippines   EAS   Fourth     1950   Nasrollah Entezam   Iran   EAS   Fifth     1951   Luis Padilla Nervo   Mexico   LAS   Sixth     1952   Lester B. Pearson   Canada   COS   Seventh     1953   Vijaya Lakshmi Pandit   India   COS   Eighth , First woman president     1954   Eelco van Kleffens   Netherlands   WES   Ninth     1955   José Maza Fernández   Chile   LAS   Tenth     1956.1 ! 1956   Rudecindo Ortega ( de )   Chile   LAS   First emergency special Second emergency special     1956.2 ! 1956   Wan Waithayakon   Thailand   EAS   Eleventh     1957   Leslie Munro   New Zealand   COS   Twelfth Third emergency special     1958   Charles Malik   Lebanon   MES   Thirteenth     1959   Víctor Andrés Belaúnde   Peru   LAS   Fourteenth Fourth emergency special     1960   Frederick Boland   Ireland   WES   Fifteenth Third special     1961   Mongi Slim   Tunisia   MES   Sixteenth     1962   Muhammad Zafarullah Khan   Pakistan   COS   Seventeenth Fourth special     1963   Carlos Sosa Rodríguez ( es )   Venezuela   LAS   Eighteenth     1964   Alex Quaison - Sackey   Ghana   COS   Nineteenth     1965   Amintore Fanfani   Italy   WES   Twentieth     1966   Abdul Rahman Pazhwak   Afghanistan   Asia   Twenty - first Fifth special Fifth emergency special     1967   Corneliu Mănescu   Romania   EEG   Twenty - second     1968   Emilio Arenales Catalán   Guatemala   GRULAC   Twenty - third     1969   Angie Brooks   Liberia   Africa   Twenty - fourth     1970   Edvard Hambro   Norway   WEOG   Twenty - fifth     1971   Adam Malik   Indonesia   Asia   Twenty - sixth     1972   Stanisław Trepczyński   Poland   EEG   Twenty - seventh     1973   Leopoldo Benites   Ecuador   GRULAC   Twenty - eighth Sixth special       Abdelaziz Bouteflika   Algeria   Africa   Twenty - ninth Seventh special       Gaston Thorn   Luxembourg   WEOG   Thirtieth     1976   Hamilton Shirley Amerasinghe   Sri Lanka   Asia   Thirty - first     1977   Lazar Mojsov   Yugoslavia   EEG   Thirty - second Eighth special Ninth special Tenth special     1978   Indalecio Liévano   Colombia   GRULAC   Thirty - third     1979   Salim Ahmed Salim   United Republic of Tanzania   Africa   Thirty - fourth Sixth emergency special Seventh emergency special Eleventh special     1980   Rüdiger von Wechmar   Federal Republic of Germany   WEOG   Thirty - fifth Eighth emergency special     1981   Ismat T. Kittani   Iraq   Asia   Thirty - sixth Seventh emergency special -- Continuation Ninth emergency special Twelfth special     1982   Imre Hollai   Hungary   EEG   Thirty - seventh       Jorge Illueca   Panama   GRULAC   Thirty - eighth     1984   Paul J.F. Lusaka   Zambia   Africa   Thirty - ninth     1985   Jaime de Piniés   Spain   WEOG   Fortieth Thirteenth special     1986   Humayun Rashid Choudhury   Bangladesh   Asia   Forty - first Fourteenth special       Peter Florin   German Democratic Republic   EEG   Forty - second Fifteenth special       Dante Caputo   Argentina   GRULAC   Forty - third       Joseph Nanven Garba   Nigeria   Africa   Forty - fourth Sixteenth special Seventeenth special Eighteenth special       Guido de Marco   Malta   WEOG   Forty - fifth     1991   Samir Shihabi   Saudi Arabia   Asia   Forty - sixth       Stoyan Ganev   Bulgaria   EEG   Forty - seventh       Rudy Insanally   Guyana   GRULAC   Forty - eighth       Amara Essy   Ivory Coast   Africa   Forty - ninth     1995   Diogo de Freitas do Amaral   Portugal   WEOG   Fiftieth       Razali Ismail   Malaysia   Asia   Fifty - first Tenth emergency special Nineteenth special       Hennadiy Udovenko   Ukraine   EEG   Fifty - second Tenth emergency special -- Continuation Twentieth special     1998   Didier Opertti   Uruguay   GRULAC   Fifty - third Tenth emergency special -- Continuation Twenty - first special     1999   Theo - Ben Gurirab   Namibia   Africa   Fifty - fourth Twenty - second special Twenty - third special Twenty - fourth special     2000   Harri Holkeri   Finland   WEOG   Fifty - fifth Tenth emergency special -- Continuation Twenty - fifth special Twenty - sixth special       Han Seung - soo   Republic of Korea   Asia   Fifty - sixth Tenth emergency special -- Continuation     2002   Jan Kavan   Czech Republic   EEG   Fifty - seventh Tenth emergency special -- Continuation     2003   Julian Hunte   Saint Lucia   GRULAC   Fifty - eighth Tenth emergency special -- Continuation       Jean Ping   Gabon   Africa   Fifty - ninth     2005   Jan Eliasson   Sweden   WEOG   Sixtieth     2006   Haya Rashed Al - Khalifa   Bahrain   Asia   Sixty - first Tenth emergency special -- Continuation     2007   Srgjan Kerim   Republic of Macedonia   EEG   Sixty - second     2008   Miguel d'Escoto Brockmann   Nicaragua   GRULAC   Sixty - third     2009   Ali Treki   Libya   Africa   Sixty - fourth       Joseph Deiss   Switzerland   WEOG   Sixty - fifth     2011   Nassir Al - Nasser   Qatar   Asia - Pacific   Sixty - sixth     2012   Vuk Jeremić   Serbia   EEG   Sixty - seventh ( election )     2013   John William Ashe   Antigua and Barbuda   GRULAC   Sixty - eighth     2014   Sam Kutesa   Uganda   Africa   Sixty - ninth     2015   Mogens Lykketoft   Denmark   WEOG   Seventieth     2016   Peter Thomson   Fiji   Asia - Pacific   Seventy - first ( election )     2017   Miroslav Lajčák   Slovakia   EEG   Seventy - second     Abbreviations :    Pre-1966     COS : Commonwealth Seat   EAS : Eastern European and Asian Seat   LAS : Latin American Seat   MES : Middle Eastern Seat   WES : Western European Seat     Since 1966     Africa : African Group   Asia - Pacific : Asian Group , since 2011 the Asia - Pacific Group   EEG : Eastern European Group   GRULAC : Latin American and Caribbean Group   WEOG : Western European and Others Group    See also ( edit )    President of the United Nations Security Council    References ( edit )    Jump up ^ `` UN : About the General Assembly '' . Retrieved 2009 - 09 - 16 .   Jump up ^ Presidents of the General Assembly of the United Nations . Un.org . Retrieved on 2013 - 12 - 06 .   Jump up ^ United Nations document GA / 11105   Jump up ^ `` Asian Group of nations at UN changes its name to Asia - Pacific Group '' , Radio New Zealand International , 31 August 2011 .    External links ( edit )       Wikinews has news related to : United Nations      UN : List of UN General Assembly presidents   UN General Assembly President Election Reform .   UNelections.org .   More news on UN elections and appointments .              Presidents of the United Nations General Assembly     1940s     Spaak ( BEL )   Aranha ( BRA )   Arce ( ARG )   Evatt ( AUS )   Rómulo ( PHI )       1950s     Entezam ( IRI )   Nervo ( MEX )   Pearson ( CAN )   Pandit ( IND )   van Kleffens ( NED )   Maza ( CHI )   Ortega ( CHI )   Prince Wan Waithayakon ( THA )   Munro ( NZL )   Malik ( LIB )   Belaúnde ( PER )       1960s     Boland ( IRL )   Slim ( TUN )   Khan ( PAK )   Rodriguez ( VEN )   Quaison - Sackey ( GHA )   Fanfani ( ITA )   Pazhwak ( AFG )   Mănescu ( ROM )   Catalán ( GUA )   Brooks ( LBR )       1970s     Hambro ( NOR )   Malik ( INA )   Trepczyński ( POL )   Benites ( ECU )   Bouteflika ( ALG )   Thorn ( LUX )   Amerasinghe ( SRI )   Mojsov ( YUG )   Liévano ( COL )   Salim ( TAN )       1980s     von Wechmar ( BRD )   Kittani ( IRQ )   Hollai ( HUN )   Illueca ( PAN )   Lusaka ( ZAM )   Piniés ( ESP )   Choudhury ( BAN )   Florin ( DDR )   Caputo ( ARG )   Garba ( NGR )       1990s     de Marco ( MLT )   Shihabi ( KSA )   Ganev ( BUL )   Insanally ( GUY )   Essy ( CIV )   Freitas ( POR )   Ismail ( MAS )   Udovenko ( UKR )   Opertti ( URU )   Gurirab ( NAM )       2000s     Holkeri ( FIN )   Han ( KOR )   Kavan ( CZE )   Hunte ( LCA )   Ping ( GAB )   Eliasson ( SWE )   Al - Khalifa ( BAH )   Kerim ( MKD )   d'Escoto ( NIC )   Treki ( LIB )       2010s     Deiss ( SUI )   Nasser ( QAT )   Jeremić ( SRB )   Ashe ( ANT )   Kutesa ( UGA )   Lykketoft ( DEN )   Thomson ( FIJ )   Lajčák ( SVK )                 Permanent Representatives to the United Nations     Africa     Liberia   Morocco   Tanzania       Americas     Barbados   Canada   Chile   Colombia   Guyana   Honduras   Panama   United States       Asia     Afghanistan   China   India   Indonesia   Iran   Iraq   Israel   Pakistan   Philippines   Sri Lanka   Syria       Europe     Belgium   Belarus   Croatia   Finland   France   Germany   Italy   Lithuania   Luxembourg   Russia   Sweden   United Kingdom   Ukraine       Oceania     Australia   New Zealand       Permanent Observers     Holy See   Palestine   Sovereign Military Order of Malta       Related articles     Current Permanent Representatives   UN Members   General Assembly   Security Council President                 United Nations       António Guterres , Secretary - General   Amina J. Mohammed , Deputy Secretary - General   Peter Thomson , General Assembly President       United Nations System      United Nations Charter     Preamble       Principal organs     General Assembly   President     Security Council   Members     Economic and Social Council   Secretariat   Secretary - General   Deputy Secretary - General   Under - Secretary - General     International Court of Justice   statute     Trusteeship Council       Secretariat Offices and Departments     Headquarters   Envoy on Youth   Spokesperson for the Secretary - General   Geneva   Palace of Nations   Nairobi   Vienna   Economic and Social Affairs   Political Affairs   Public Information   Dag Hammarskjöld Library     Safety and Security   Palestinian Rights   Peacekeeping Operations   Internal Oversight   Legal Affairs   Developing Countries   Sport for Development and Peace   Disarmament Affairs   Outer Space Affairs   Partnerships   Coordination of Humanitarian Affairs   UN organizations by location   United Nations Office for Developing Countries       Programmes and specialized agencies     FAO   ICAO   IFAD   ILO   IMO   ITC   IPCC   IAEA   MINURSO   UNIDO   ITU   UNAIDS   SCSL   UNCTAD   UNCITRAL   UNCDF   UNDG   UNDP   UNDPI   UNDPKO   peacekeeping     UNEP   OzonAction   UNEP / GRID - Arendal   UNEP - WCMC     UNESCO   UNFIP   UNFPA   UN-HABITAT   OHCHR   UNHCR   UNHRC   UNICEF   UNICRI   UNIDIR   UNITAR   UN-Oceans   UNODC   UNOPS   UNOSAT   UNRISD   UNRWA   UNU   UNU - OP   UNU - CRIS     UNV   UN Women   UNWTO   UPU   WFP   WHO   WIPO   WMO          Members / observers     Full members   Founding members   UNSC Permanent members     Observers   European Union         History     League of Nations   Four Policemen   Declaration by United Nations   Peacekeeping missions   history   timeline     Enlargement       Resolutions     Security Council vetoes   General Assembly   66th   67th     Security Council   Cyprus   Iran   Iraq   Israel   Lebanon   Nagorno - Karabakh   North Korea   Palestine   Syria   Western Sahara         Elections     Secretary - General ( 2006   2016 )   International Court of Justice 2011   General Assembly President ( 2012   2016 )   Security Council ( 2015   2016 )       Related     Bretton Woods system   Comprehensive Nuclear - Test - Ban Treaty   Criticism   Delivering as One   Flag   Honour Flag     Four Nations Initiative   Genocide Convention   UN Global Compact   ICC   International Years   UN laissez - passer   Military Staff Committee   Official languages   Organisation for the Prohibition of Chemical Weapons   Peacekeeping   Treaty Series   UN Day   Universal Declaration of Human Rights   Millennium Declaration   Summit   Development Goals     Security Council veto power   UN reform   Security Council reform     UN Art Collection   UN Memorial Cemetery Korea       Other     Outline   UN television film series ( 1964 -- 1966 )   In popular culture      Retrieved from `` https://en.wikipedia.org/w/index.php?title=President_of_the_United_Nations_General_Assembly&amp;oldid=807429262 '' Categories :   Lists of Permanent Representatives to the United Nations   Permanent Representatives to the United Nations   Presidents of the United Nations General Assembly           Talk                                           Contents                   About Wikipedia                                                   Български   Dansk   Deutsch   Español   Français   </t>
    </r>
    <r>
      <rPr>
        <sz val="11"/>
        <color rgb="FF000000"/>
        <rFont val="Noto Sans CJK SC"/>
        <family val="2"/>
      </rPr>
      <t xml:space="preserve">한국어   </t>
    </r>
    <r>
      <rPr>
        <sz val="11"/>
        <color rgb="FF000000"/>
        <rFont val="Calibri"/>
        <family val="0"/>
        <charset val="1"/>
      </rPr>
      <t xml:space="preserve">Bahasa Indonesia   Italiano   Nederlands   Norsk   Português   Русский   Simple English   Slovenščina   Soomaaliga   کوردی   Srpskohrvatski / српскохрватски   Suomi   Türkçe   Українська   اردو   Tiếng Việt   </t>
    </r>
    <r>
      <rPr>
        <sz val="11"/>
        <color rgb="FF000000"/>
        <rFont val="Noto Sans CJK SC"/>
        <family val="2"/>
      </rPr>
      <t xml:space="preserve">中文   </t>
    </r>
    <r>
      <rPr>
        <sz val="11"/>
        <color rgb="FF000000"/>
        <rFont val="Calibri"/>
        <family val="0"/>
        <charset val="1"/>
      </rPr>
      <t xml:space="preserve">Edit links   This page was last edited on 27 October 2017 , at 22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</si>
  <si>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current president of un general assembly</t>
  </si>
  <si>
    <t xml:space="preserve"> Miroslav Lajčák of Slovakia has been elected as the United Nations General Assembly President of its 72nd session beginning in September 2017 . </t>
  </si>
  <si>
    <t xml:space="preserve">Powerball - wikipedia  Powerball  Jump to : navigation , search This article is about the U.S. lottery game . For the Australian lottery game , see Powerball ( Australia ) . For other uses , see Powerball ( disambiguation ) .  Powerball   Powerball logo     Formation   April 19 , 1992 ; 25 years ago ( 1992 - 04 - 19 )     Location     United States       Owner   Multi-State Lottery Association     Website   powerball.com     Powerball is an American lottery game offered by 44 states , the District of Columbia , Puerto Rico and the US Virgin Islands . It is coordinated by the Multi-State Lottery Association ( MUSL ) , a nonprofit organization formed by an agreement with US lotteries . Powerball 's minimum advertised jackpot is $40 million ( annuity ) ; Powerball 's annuity is paid in 30 graduated installments or winners may choose a lump sum payment instead . One lump sum payment will be less than the total of the 30 annual payments because of the time value of money .   Drawings for Powerball are held every Wednesday and Saturday evening at 10 : 59 p.m. Eastern Time . Since October 7 , 2015 , the game has used a 5 / 69 ( white balls ) + 1 / 26 ( Powerballs ) matrix from which winning numbers are chosen , resulting in odds of 1 in 292,201,338 of winning a jackpot per play . Each play costs $2 , or $3 with the Power Play option . ( Originally , Powerball plays cost $1 ; when PowerPlay began , such games were $2 . ) The official cutoff for ticket sales is 10 : 00 p.m. Eastern Time ; some lotteries cut off sales earlier . The drawings are usually held at the Florida Lottery 's studio in Tallahassee .   On January 13 , 2016 , Powerball produced the largest lottery jackpot in history ; the $1.586 billion jackpot was split by three tickets sold in Chino Hills , California , in Munford , Tennessee , and in Melbourne Beach , Florida .     Contents  ( hide )   1 Powerball members   1.1 Mega Millions and Powerball     2 History   2.1 1988 precursor : Lotto * America   2.2 Powerball begins   2.3 2009 : Florida became host to drawings   2.4 2010 cross-sell expansion   2.5 2012 format change   2.6 2015 format change     3 Playing the game   3.1 Basic game   3.2 Power Play   3.3 Prizes and odds   3.4 Jackpot accumulation and payment options   3.5 Claiming prizes   3.6 Secondary prizes     4 Notable wins   5 Fortune cookie payout   6 Computers and slot machines   7 See also   8 References   9 External links      Powerball members ( edit )  U.S. lotteries . As of 2016 , all states with lotteries ( in blue ) plus the District of Columbia , Puerto Rico and the US Virgin Islands offer Powerball .  Powerball replaced Lotto * America in April 1992 ; Mega Millions replaced The Big Game 10 years later . ( See below for the evolution of the name Mega Millions . )   Mega Millions and Powerball ( edit )     Lottery   Powerball   Mega Millions     Arizona   000000001994 - 04 - 04 - 0000 April 4 , 1994   000000002010 - 04 - 18 - 0000 April 18 , 2010     Arkansas   000000002009 - 10 - 31 - 0000 October 31 , 2009   000000002010 - 01 - 31 - 0000 January 31 , 2010     California   000000002013 - 04 - 08 - 0000 April 8 , 2013   000000002005 - 06 - 22 - 0000 June 22 , 2005     Connecticut   000000001995 - 11 - 28 - 0000 November 28 , 1995   000000002010 - 01 - 31 - 0000 January 31 , 2010     Colorado   000000002001 - 08 - 02 - 0000 August 2 , 2001   000000002010 - 05 - 16 - 0000 May 16 , 2010     Delaware   000000001991 - 01 - 14 - 0000 January 14 , 1991   000000002010 - 01 - 31 - 0000 January 31 , 2010     District of Columbia   000000001988 - 02 - 13 - 0000 February 13 , 1988   000000002010 - 01 - 31 - 0000 January 31 , 2010     Florida   000000002009 - 01 - 04 - 0000 January 4 , 2009   000000002013 - 05 - 15 - 0000 May 15 , 2013     Georgia   000000002010 - 01 - 31 - 0000 January 31 , 2010   000000001996 - 09 - 06 - 0000 September 6 , 1996     Idaho   000000001990 - 02 - 01 - 0000 February 1 , 1990   000000002010 - 01 - 31 - 0000 January 31 , 2010     Illinois   000000002010 - 01 - 31 - 0000 January 31 , 2010   000000001996 - 09 - 06 - 0000 September 6 , 1996     Indiana   000000001990 - 10 - 14 - 0000 October 14 , 1990   000000002010 - 01 - 31 - 0000 January 31 , 2010     Iowa   000000001988 - 02 - 13 - 0000 February 13 , 1988   000000002010 - 01 - 31 - 0000 January 31 , 2010     Kansas   000000001988 - 02 - 13 - 0000 February 13 , 1988   000000002010 - 01 - 31 - 0000 January 31 , 2010     Kentucky   000000001991 - 01 - 10 - 0000 January 10 , 1991   000000002010 - 01 - 31 - 0000 January 31 , 2010     Louisiana   000000001995 - 03 - 05 - 0000 March 5 , 1995   000000002011 - 11 - 16 - 0000 November 16 , 2011     Maine   000000002004 - 07 - 30 - 0000 July 30 , 2004   000000002010 - 05 - 09 - 0000 May 9 , 2010     Maryland   000000002010 - 01 - 31 - 0000 January 31 , 2010   000000001996 - 09 - 06 - 0000 September 6 , 1996     Massachusetts   000000002010 - 01 - 31 - 0000 January 31 , 2010   000000001996 - 09 - 06 - 0000 September 6 , 1996     Michigan   000000002010 - 01 - 31 - 0000 January 31 , 2010   000000001996 - 09 - 06 - 0000 September 6 , 1996     Minnesota   000000001990 - 08 - 14 - 0000 August 14 , 1990   000000002010 - 01 - 31 - 0000 January 31 , 2010     Missouri   000000001988 - 02 - 13 - 0000 February 13 , 1988   000000002010 - 01 - 31 - 0000 January 31 , 2010     Montana   000000001989 - 11 - 09 - 0000 November 9 , 1989   000000002010 - 03 - 01 - 0000 March 1 , 2010     Nebraska   000000001994 - 07 - 21 - 0000 July 21 , 1994   000000002010 - 03 - 20 - 0000 March 20 , 2010     New Hampshire   000000001995 - 11 - 05 - 0000 November 5 , 1995   000000002010 - 01 - 31 - 0000 January 31 , 2010     New Jersey   000000002010 - 01 - 31 - 0000 January 31 , 2010   000000001999 - 05 - 01 - 0000 May 1999     New Mexico   000000001996 - 10 - 20 - 0000 October 20 , 1996   000000002010 - 01 - 31 - 0000 January 31 , 2010     New York   000000002010 - 01 - 31 - 0000 January 31 , 2010   000000002002 - 05 - 17 - 0000 May 17 , 2002     North Carolina   000000002006 - 05 - 30 - 0000 May 30 , 2006   000000002010 - 01 - 31 - 0000 January 31 , 2010     North Dakota   000000002004 - 03 - 25 - 0000 March 25 , 2004   000000002010 - 01 - 31 - 0000 January 31 , 2010     Ohio   000000002010 - 04 - 16 - 0000 April 16 , 2010   000000002002 - 05 - 17 - 0000 May 17 , 2002     Oklahoma   000000002006 - 01 - 12 - 0000 January 12 , 2006   000000002010 - 01 - 31 - 0000 January 31 , 2010     Oregon   000000001988 - 02 - 13 - 0000 February 13 , 1988   000000002010 - 03 - 28 - 0000 March 28 , 2010     Pennsylvania   000000002002 - 06 - 29 - 0000 June 29 , 2002   000000002010 - 01 - 31 - 0000 January 31 , 2010     Puerto Rico   000000002014 - 09 - 28 - 0000 September 28 , 2014   Not offered     Rhode Island   000000001988 - 02 - 13 - 0000 February 13 , 1988   000000002010 - 01 - 31 - 0000 January 31 , 2010     South Carolina   000000002002 - 10 - 06 - 0000 October 6 , 2002   000000002010 - 01 - 31 - 0000 January 31 , 2010     South Dakota   000000001990 - 11 - 15 - 0000 November 15 , 1990   000000002010 - 05 - 16 - 0000 May 16 , 2010     Tennessee   000000002004 - 04 - 21 - 0000 April 21 , 2004   000000002010 - 01 - 31 - 0000 January 31 , 2010     Texas   000000002010 - 01 - 31 - 0000 January 31 , 2010   000000002003 - 12 - 05 - 0000 December 5 , 2003     US Virgin Islands   000000002010 - 11 - 14 - 0000 November 14 , 2010   000000002002 - 01 - 01 - 0000 2002     Vermont   000000002003 - 07 - 01 - 0000 July 1 , 2003   000000002010 - 01 - 31 - 0000 January 31 , 2010     Virginia   000000002010 - 01 - 31 - 0000 January 31 , 2010   000000001996 - 09 - 06 - 0000 September 6 , 1996     Washington   000000002010 - 01 - 31 - 0000 January 31 , 2010   000000002002 - 06 - 01 - 0000 June 2002     West Virginia   000000001988 - 02 - 13 - 0000 February 13 , 1988   000000002010 - 01 - 31 - 0000 January 31 , 2010     Wisconsin   000000001989 - 08 - 10 - 0000 August 10 , 1989   000000002010 - 01 - 31 - 0000 January 31 , 2010     Wyoming   000000002014 - 08 - 24 - 0000 August 24 , 2014 ( both games )     Alabama , Alaska , Hawaii , Mississippi , Nevada and Utah do not sell lottery tickets . In 2013 , Wyoming became the 44th state to establish a lottery ; the next year , it began , initially offering both Mega Millions and Powerball .   History ( edit )   1988 precursor : Lotto * America ( edit )   Powerball 's predecessor began in 1988 ; the multi-state game was known as Lotto * America . The game , and name , were changed to Powerball on April 19 , 1992 ; its first drawing was held April 22 .   Powerball begins ( edit )   When it was launched in 1992 Powerball became the first game to use two drums . Using two drums to draw numbers from offers more manipulation by simultaneously allowing high jackpot odds , numerous prize levels and low overall odds of winning ( as explained later , a ticket can win by matching only one number ) . The two - drum concept was suggested by Steve Caputo of the Oregon Lottery . The two - drum concept has since been used by The Big Game ( now Mega Millions ) in the US , Australia 's Powerball , Thunderball in the UK , Eurojackpot and EuroMillions ( unlike most two - drum games , Euromillions selects two numbers called `` Lucky Stars '' from the 2nd drum ; jackpot winners must make a total of seven matches ) .   Through 2008 , Powerball drawings usually were held at Screenscape Studios in West Des Moines , Iowa . The drawings ' host was longtime Iowa radio personality Mike Pace , who had hosted MUSL drawings since Lotto * America began in 1988 . In 1996 , Powerball went `` on the road '' for the first time , holding five remote drawings at the Summer Olympics in Atlanta . A few weeks later , Georgia became the only jurisdiction to leave Powerball ( Maine , which joined MUSL in 1990 , left when Powerball began ) . In August 1996 , Georgia joined the then - new The Big Game , then the other major U.S. lottery group . It planned to sell tickets for both games for the rest of 1996 ; but within days Georgia was removed from MUSL , not to return until the 2010 cross-sell expansion .   On November 2 , 1997 , the annuity was changed from 20 to 25 yearly payments ; the cash option was added . The annuity comprises 30 graduated payments , increasing 5 % annually .   In 1998 , Florida was given permission by its government to participate in a multi-state game . It was set to offer Powerball ; but in early 1999 , new governor Jeb Bush prevented Florida from joining since he believed Powerball would hurt the existing Florida Lottery games . In 2008 , Governor Charlie Crist finally allowed Florida to join MUSL , on Jan 4 , 2009 .   On March 7 , 2001 , an optional multiplier ( called Power Play ) was added , allowing players to multiply non-jackpot winnings by up to five by paying an extra $1 per game . A wheel was introduced to select the Power Play multiplier for each drawing ( the next year , the 1x was removed from the Power Play wheel . )   2009 : Florida became host to drawings ( edit )   With the start of Powerball sales in Florida on January 4 , 2009 ( with its first drawing on January 7 ) , the matrices changed to 5 / 59 + 1 / 39 ( adding four white ball numbers and dropping three red balls ) . This changed the jackpot probability from 1 : 146 million to 1 : 195 million ; the overall probability became 1 : 35 .   Based on statistical projections , the average jackpot win increased from $95 million to $141 million . Over 3.5 million additional prizes were expected to be won yearly due to the change in probability . The starting jackpot increased to $20 million , with minimum rollovers of $5 million . The jackpot contribution increased from 30.3 % to 32.5 % of total sales . The Power Play option was modified ; second prize , usually $200,000 , was given an automatic 5x multiplier , making the 5 + 0 prize $1 million cash . The bonus second prize if the jackpot exceeded its previous record by $25 million , triggered only twice , was eliminated with the 2012 format change .   The conditions for Florida joining Powerball included a move of the live drawings from Iowa to Universal Studios in Orlando . The three hosts rotating announcing duties from Universal Studios were Tracy Wiu , Elizabeth Hart and Scott Adams ( MUSL headquarters remained in Iowa , where its other draws are held ) . The wheel that was used to determine the Power Play multiplier was retired when the drawings moved to Florida ; a random number generator ( RNG ) was used until the 2012 format change .   Arkansas became the 33rd MUSL member on October 31 , 2009 , the last to join before the 2010 cross-sell expansion . The Ohio Lottery added Powerball on April 16 , 2010 ; it joined Mega Millions ( along with New York ) years earlier , when The Big Game added Mega Millions to its name .   2010 cross-sell expansion ( edit )   In March 2009 , it was reported that New Jersey , already a Mega Millions member , sought permission to join Powerball . Shortly after , discussions were revealed about allowing each US lottery to offer both games . On Oct 13 , the Mega Millions consortium and MUSL reached an agreement in principle to cross-sell Mega Millions and Powerball . In Nov , MUSL signed an agreement to start streaming Powerball drawings online .   On Jan 31 , 2010 , the date of the cross-sell expansion , Mega Millions and MUSL each added lotteries ; eight Powerball members added Mega Millions by May . The Montana Lottery joined Mega Millions on March 1 . Nebraska added Mega Millions on March 20 ; Oregon followed on March 28 ; Arizona joined Mega Millions on April 18 ; Maine added Mega Millions on May 9 ; Colorado and South Dakota joined Mega Millions on May 16 . The U.S. Virgin Islands joined Mega Millions in Oct 2010 .   Before the agreement , the only places that sold both Mega Millions and Powerball tickets were retailers straddling a border ; one retailer on the Sharon , Pennsylvania / Masury , Ohio border sold both Mega Millions ( via the Ohio Lottery ) and Powerball ( Pennsylvania ) before the agreement and continued to be the only retailer to sell tickets for both lotteries .   Illinois joining Powerball on the expansion date , it became the second multi-jurisdictional lottery game ( after Mega Millions , which Illinois already participated in ) whose drawings were carried nationally . Both games ' drawings were simulcast via Chicago cable superstation WGN - TV through its national WGN America feed . WGN - TV aired Illinois Lottery drawings nationally from 1992 to 2015 after acquiring broadcast rights from Chicago 's Fox owned - and - operated station WFLD in 1988 , which took the rights from WGN - TV in 1987 . Powerball drawings were aired on WGN - TV and WGN America on Wednesday and Saturday immediately following the station 's 9pm ( Central Time ) newscast with the Mega Millions drawings being aired Tue and Fri evenings after the newscast . WGN served as a default carrier of Mega Millions or Powerball where no local television station carries either multi-jurisdictional lottery 's drawings .   On March 13 , 2010 , New Jersey became the first previous Mega Millions - only member ( just before the cross-selling expansion ) to produce a jackpot - winning Powerball ticket . It was worth over $211 million in annuity payments ; it was sold in Morris Plains . On May 28 , 2010 , North Carolina became the first previous MUSL member ( just before the cross-selling expansion ) to produce a jackpot - winning Mega Millions ticket ; that jackpot was $12 million ( annuity ) .   On June 2 , 2010 , Ohio won a Powerball jackpot ; it became the first lottery selling either Mega Millions or Powerball ( when 2010 began ) to provide a jackpot - winning ticket for its newer game . The ticket was worth a $261 million annuity ; it was sold in Sunbury . Ohio 's second Powerball jackpot - winning ticket , sold for the June 23 , 2010 drawing , was part of another first ; since Montana also provided a jackpot winner for that drawing , it was the first time a jackpot was shared through lotteries which sold competing games before the cross-selling expansion , as Montana sold only Powerball before the expansion date .   2012 format change ( edit )   On January 15 , 2012 , the price of each basic Powerball play doubled to $2 , while PowerPlay games became $3 ; the minimum jackpot doubled to $40 million . A non-jackpot play matching the five white balls won $1 million . The red balls decreased from 39 to 35 . The drawings were moved from Universal Studios Orlando to the Florida Lottery 's studios in Tallahassee . Sam Arlen served as host , with Alexa Fuentes substituting .   These changes were made to increase the frequency of nine - figure jackpots ; a Powerball spokesperson believed a $500 million jackpot was feasible ( it became a reality within the year , ) and that the 1st $1 billion jackpot in US history would occur by 2012 Less than three months after the Powerball changes , Mega Millions ' jackpot reached $656,000,000 despite remaining a $1 - per - play game . The random Power Play multiplier was retired for a set , fixed dollar amount payout . The $25 million rollover `` cap '' ( creating larger 5 + 0 prizes ) was eliminated .   California joined on April 8 , 2013 ; it has never offered the Power Play option , as all payouts in California Lottery drawing games , by law , are parimutuel . Mega Millions , which became available in California in 2005 , offers its Megaplier in its other 45 jurisdictions .   On January 22 , 2014 , the variable Power Play option returned ( 2x - 5x ) for multiplying non-jackpot prizes .   In October 2014 , Puerto Rico joined Powerball ; the first mainly Spanish - speaking jurisdiction offering the game ; as of 2016 it had not joined Mega Millions .   2015 format change ( edit )   On Oct 4 , 2015 , the Powerball format changed again ; the white - ball pool increased from 59 to 69 while the Powerball pool decreased from 35 to 26 . While this improved the chance of winning any prize to 1 in 24 , it also lengthened the jackpot odds to 1 in 292,201,338 . The 4 + 1 prize became $50,000 ; the 10x PowerPlay became available in drawings with a jackpot of under $150 million . Three months later , the format produced a $1.5 billion jackpot , double the previous record , after 20 consecutive rollovers .   Playing the game ( edit )   Basic game ( edit )   The minimum Powerball bet is $2 . In each game , players select five numbers from a set of 69 white balls and one number from 26 red Powerballs ; the red ball number can be the same as one of the white balls . The drawing order of the five white balls is irrelevant ; all tickets show the white ball numbers in ascending order . Players can not use the drawn Powerball to match two of their white numbers , or vice versa . Players can select their own numbers , or have the terminal pseudorandomly select the numbers ( called `` quick pick '' , `` easy pick '' , etc . ) .   In each drawing , winning numbers are selected using two ball machines : one containing the white balls and the other containing the red Powerballs . Five white balls are drawn from the first machine and the red ball from the second machine . Games matching at least three white balls or the red Powerball win .   Two identical machines are used for each drawing , randomly selected from four sets . The model of machine used is the Halogen , manufactured by Smartplay International of Edgewater Park , New Jersey . There are eight ball sets ( four of each color ) ; one set of each color is randomly selected before a drawing . The balls are mixed by a turntable at the bottom of the machine that propels the balls around the chamber . When the machine selects a ball , the turntable slows to catch it , sends it up the shaft , and then down the rail to the display .   The double matrixes and probabilities in the game 's history :     Starting date   Pick 5 of   Pick 1 of   Jackpot chance   Power Play multipliers     April 22 , 1992   45   45   1 : 54,979,154   none †     November 5 , 1997   49   42   1 : 80,089,127   none †     March 7 , 2001   49   42   1 : 80,089,127   1 × - 5 ×     October 9 , 2002   53   42   1 : 120,526,769   2 × - 5 ×     August 28 , 2005   55   42   1 : 146,107,961   2 × - 5 ×     January 7 , 2009   59   39   1 : 195,249,054   2 × - 5 ×     January 15 , 2012   59   35   1 : 175,223,510   none     January 19 , 2014   59   35   1 : 175,223,510   2 × - 5 ×     October 7 , 2015   69   26   1 : 292,201,338   2 × - 5 × ; 10 × ‡     † Power Play was introduced in 2001 . ‡ 10 × available if jackpot is under $150 million .   While Mega Millions and Powerball each have similar jackpot odds despite having a different double matrix ( Mega Millions is 5 / 75 + 1 / 15 ) , since Powerball is $2 per play , it now takes $584,402,676 ( not counting Power Play side bets ) on average to produce a jackpot - winning ticket .   Power Play ( edit )   For an additional $1 per game , a player may activate the Power Play option . Activating it multiplies lower - tier winnings ( base prize $50,000 or less ) by up to 5 , or 10 when the jackpot is under $150 million . Power Play is drawn separate from the 6 numbers . The 5 + 0 prize is automatically doubled to $2 million if Power Play is activated .   The dilemma for players is whether to maximize the chance at the jackpot or increase lower - tier winnings . If a player selects a fixed amount of money to spend on tickets at a certain time , the player will give up one guess of the winning set of numbers every two times this player activates Power Play in respect of one of the purchased tickets .   Power Play , when it began in 2001 , was drawn with a special wheel . In 2006 and 2007 , MUSL replaced one of the 5 × spaces on the Power Play wheel with a 10 × . During each month - long promotion , MUSL guaranteed that there would be at least one drawing with a 10 × multiplier . The promotion returned in 2008 ; the ball landed in the 10 × space twice . After being absent in 2009 , the 10 × multiplier returned in May 2010 ( after the Power Play drawing was changed to RNG . ) The promotion was extended for the only time , as the 10 × multiplier was not drawn until June 12 . The second prize 5 × guarantee continued ; the 10 × applied to all non-jackpot prizes , as in previous promotions .   Power Play ′ s success has led to similar multipliers in other games , most notably Megaplier , available through all Mega Millions members except California . The 2012 Powerball changes resulted in all eight lower - tier levels having `` fixed '' Power Play prizes .   On Jan 19 , 2014 , PowerPlay was modified ; it used 30 balls with the following distribution :    2x ( 15 )   3x ( 9 )   4x / 5x : 3 each    On Oct 4 , 2015 , PowerPlay changed again , using 42 or 43 † balls as follows :    2x ( 24 )   3x ( 13 )   4x ( 3 )   5x ( 2 )   10x ( 1 ) †    † 10x available when jackpot is under $150 million .   Prizes and odds ( edit )   Payouts as of October 7 , 2015 :     Matches   Prize   Power Play 2x ( 1 in 1.75 )   Power Play 3x ( 1 in 3.23 )   Power Play 4x ( 1 in 14 )   Power Play 5x ( 1 in 21 )   Odds of winning     PB only ( 0 + 1 )   $4   $8   $12   $16   $20   1 in 38.32 §     1 number plus PB ( 1 + 1 )   $4   $8   $12   $16   $20   1 in 91.98     2 + 1   $7   $14   $21   $28   $35   1 in 701.33     3 + 0   $7   $14   $21   $28   $35   1 in 579.76     3 + 1   $100   $200   $300   $400   $500   1 in 14,494.11     4 + 0   $100   $200   $300   $400   $500   1 in 36,525.17     4 + 1   $50,000   $100,000   $150,000   $200,000   $250,000   1 in 913,129.18     5 + 0   $1,000,000   $2,000,000   1 in 11,688,053.52     5 + 1   Jackpot   1 in 292,201,338     Overall odds of winning a prize are 1 in 24.87 .   Former prizes / odds ( January 19 , 2014 -- October 3 , 2015 ) :     Matches   Prize   Power Play 2x ( 1 in 2 )   Power Play 3x ( 1 in 3 1 / 3 )   Power Play 4x ( 1 in 10 )   Power Play 5x ( 1 in 10 )   Odds of winning     PB only   $4   $8   $12   $16   $20   1 in 55.41     1 number plus PB   $4   $8   $12   $16   $20   1 in 110.81     2 numbers plus PB   $7   $14   $21   $28   $35   1 in 706.43     3 numbers ; no PB   $7   $14   $21   $28   $35   1 in 360.14     3 numbers plus PB   $100   $200   $300   $400   $500   1 in 12,244.83     4 numbers ; no PB   $100   $200   $300   $400   $500   1 in 19,087.53     4 numbers plus PB   $10,000   $20,000   $30,000   $40,000   $50,000   1 in 648,975.96     5 numbers ; no PB   $1,000,000   $2,000,000   1 in 5,153,632.65     5 numbers plus PB   Jackpot   1 in 175,223,510.00     Overall odds of winning were 1 in 31.85 .    ^ Jump up to : California 's prize amounts are always parimutuel because its state penal code distinguishes between a `` lottery '' which can not be broken and a `` banked game '' whose bank theoretically could be broken . Only a `` lottery '' was authorized by the state Lottery Act . Therefore , Power Play is not offered in California .   ^ Jump up to : $2,000,000 fixed for match 5 + 0 with Power Play as of 2012 format change .   ^ Jump up to : Power Play multipliers do not apply to jackpot . Jackpot is split among multiple winners .    § Odds of winning 0 + 1 prize are 1 : 38.32 instead of 1 : 26 as there is the possibility of also matching at least one white ball .   All non-jackpot prizes are fixed amounts ( except in California ) ; they may be reduced and paid on a parimutuel basis , with each member paying differing amounts for the same prize tier , if the liability exceeds the funds in the prize pool for any game member .   Jackpot accumulation and payment options ( edit )   Jackpot winners have the option of receiving their prize in cash ( in two installments ; one from the winning jurisdiction , then the combined funds from the other members ) or as a graduated annuity paid in 30 yearly installments . Each annuity payment is 5 % higher than in the previous year to adjust for inflation .   The advertised estimated jackpot represents the total payments that would be paid to jackpot winner ( s ) should they accept the annuity option . This estimate is based on the funds accumulated in the jackpot pool rolled over from prior drawings , expected sales for the next drawing , and market interest rates for the securities that would be used to fund the annuity . The estimated jackpot usually is 32.5 % of the ( non-Power Play ) revenue of each base ( $1 ) play , submitted by game members to accumulate into a prize pool to fund the jackpot . If the jackpot is not won in a particular drawing , the prize pool carries over to the next drawing , accumulating until there is a jackpot winner . This prize pool is the cash that is paid to a jackpot winner if they choose cash . If the winner chooses the annuity , current market rates are used to calculate the graduated payment schedule and the initial installment is paid . The remaining funds in the prize pool are invested to generate the income required to fund the remaining installments . If there are multiple jackpot winners for a drawing , the jackpot prize pool is divided equally for all such plays .   MUSL and its members accept all investment risk and are contractually obligated and liable to the winner to make all scheduled payments to annuity winners . If a jackpot ticket is not claimed , the funds in the prize pool are returned to members in proportion to the amount they contributed to the prize pool . The members have different rules regulating how unclaimed funds are used .   When the Powerball jackpot is won , the next jackpot is guaranteed to be $40 million ( annuity ) . If a jackpot is not won , the minimum rollover is $10 million . The cash in the jackpot pool is guaranteed to be the current value of the annuity . If revenue from ticket sales falls below expectations , game members must contribute additional funds to the jackpot pool to cover the shortage ; the most likely scenario where this can occur is if the jackpot is won in consecutive drawings .   Claiming prizes ( edit )   A winning ticket must be claimed in the jurisdiction in which it was purchased , regardless of residence . The minimum age to play Powerball is 18 , except in Nebraska ( 19 ) ; and Arizona , Iowa , and Louisiana ( 21 ) .   Generally , Powerball players do not have to choose cash or annuity unless they win a jackpot ( then they usually have 60 days to choose . ) Exceptions include Florida and Missouri ; the 60 - day `` clock '' starts with the drawing , so a jackpot winner who wishes to take the cash option needs to make immediate plans to claim their prize . New Jersey and Texas require the cash / annuity choice to be made when playing ; in New Jersey , an annuity ticket can be changed to cash after winning , while in Texas , the choice is binding ( when the cash option was introduced in 1997 , all Powerball players had to make the choice when playing . This regulation was phased out by 1999 . ) All Powerball prizes must be claimed within a period ranging from 90 days to a year , depending on where the ticket was bought .   Powerball winnings in California and Pennsylvania are subject to Federal income tax only . There is no state income tax in Florida , South Dakota , Texas , Washington and Wyoming , and only on interest and dividends in Tennessee and New Hampshire . Winnings from tickets purchased outside of one 's home state may be subject to the income tax laws of both states ( with possible credit based on the two jurisdictions . )   Secondary prizes ( edit )   Unlike the jackpot pool , other prizes are the responsibility and liability of each participating lottery . All revenue for Powerball ticket sales not used for jackpots is retained by each member ; none of this revenue is shared with other lotteries . Members are liable only for the payment of secondary prizes sold there .   Since the secondary prizes are defined in fixed amounts ( except in California ) , if the liability for a given prize level exceed the funds in the prize pool for that level the amount of the prize may be reduced and the prize pool be distributed on a parimutuel basis and result in a prize lower than the fixed amounts given in the prize tables . Because the secondary prize pools are calculated independently , it is possible lower - tier prizes will differ among the game members .   Notable wins ( edit )  Main article : Lottery jackpot records § United States  Because the quoted jackpot amount is an annuity of 30 graduated annual payments , its cash value relative to the annuity fluctuates . The actual ratio depends on projected interest rates and other factors . MUSL starts with the cash value , built from a percentage of sales , and then calculates the advertised jackpot amount from that value , based on the average costs of the three best securities bids .   On August 23 , 2017 , the owner of a Powerball ticket sold in Chicopee , Massachusetts won more than $750 million , one of the largest prizes in the lottery 's history .   On January 13 , 2016 , the world 's largest lottery jackpot , an annuity of approximately $1.586 billion , was split among three Powerball tickets in Chino Hills , California , Melbourne Beach , Florida and Munford , Tennessee , each worth $528.8 million . Since there is no income tax in Florida or Tennessee ( and California does not tax lottery winnings ) , the cash option after Federal withholdings is $187.2 million each .   On May 18 , 2013 , the world 's largest one - ticket jackpot , an annuity of approximately $590.5 million ( $607 million today ) , was won by a Powerball ticket sold in Zephyrhills , Florida . On June 5 , Florida Lottery officials announced the winner : Gloria C. MacKenzie , 84 , who purchased the `` quick pick '' ticket at a Publix supermarket . MacKenzie chose the cash option of approximately $370.8 million , before Federal withholding ; Florida does not have a state income tax .   Other winners in excess of $250 million : On December 25 , 2002 , Jack Whittaker , president of a construction firm in Putnam County , West Virginia , won $314.9 million ( $419 million today ) , then a new record for a single ticket in an American lottery . Whittaker chose the cash option of $170 million , receiving approximately $83 million after West Virginia and Federal withholdings .   On October 19 , 2005 , the West family of Jacksonville , Oregon won $340 million ( $417 million today ) . The Wests chose the cash payout of $164.4 million ( before withholdings ) , smaller than Whittaker 's cash payout in 2002 due to a then - recent change in the annuity structure .   A jackpot of $365 million ( $434 million today ) was won on February 18 , 2006 by one ticket in Nebraska . It was shared by eight people who worke</t>
  </si>
  <si>
    <t xml:space="preserve">when do they pull the powerball numbers 2016</t>
  </si>
  <si>
    <t xml:space="preserve"> Drawings for Powerball are held every Wednesday and Saturday evening at 10 : 59 p.m. Eastern Time . Since October 7 , 2015 , the game has used a 5 / 69 ( white balls ) + 1 / 26 ( Powerballs ) matrix from which winning numbers are chosen , resulting in odds of 1 in 292,201,338 of winning a jackpot per play . Each play costs $2 , or $3 with the Power Play option . ( Originally , Powerball plays cost $1 ; when PowerPlay began , such games were $2 . ) The official cutoff for ticket sales is 10 : 00 p.m. Eastern Time ; some lotteries cut off sales earlier . The drawings are usually held at the Florida Lottery 's studio in Tallahassee . </t>
  </si>
  <si>
    <t xml:space="preserve">Solar eclipse of August 21 , 2017 - Wikipedia  Solar eclipse of August 21 , 2017  Jump to : navigation , search    Solar eclipse of August 21 , 2017     Totality as seen from Simpsonville , South Carolina     Map     Type of eclipse     Nature   Total     Gamma   0.4367     Magnitude   1.0306     Maximum eclipse     Duration   160 sec ( 2 m 40 s )       37 ° 00 ′ N 87 ° 42 ′ W ﻿ / ﻿ 37 ° N 87.7 ° W ﻿ / 37 ; - 87.7     Max . width of band   115 km ( 71 mi )     Times ( UTC )     ( P1 ) Partial begin   15 : 46 : 48     ( U1 ) Total begin   16 : 48 : 32     Greatest eclipse   18 : 26 : 40     ( U4 ) Total end   20 : 01 : 35     ( P4 ) Partial end   21 : 04 : 19     References     Saros   145 ( 22 of 77 )     Catalog # ( SE5000 )   9546     The solar eclipse of August 21 , 2017 , dubbed `` The Great American Eclipse '' by the media , was a total solar eclipse visible within a band across the entire contiguous United States , passing from the Pacific to the Atlantic coasts . As a partial solar eclipse , it was visible on land from Nunavut in northern Canada to as far south as northern South America . In northwestern Europe and Africa , it was partially visible in the late evening . In Asia , it was visible only at the eastern extremity , the Chukchi Peninsula .  Play media Video of the eclipse second contact in Simpsonville , South Carolina . Crowd reaction is heard on audio .  Prior to this event , no solar eclipse had been visible across the entire contiguous United States since June 8 , 1918 ; not since the February 1979 eclipse had a total eclipse been visible from anywhere in the mainland United States . The path of totality touched 14 states , and the rest of the U.S. had a partial eclipse . The area of the path of totality was about 16 percent of the area of the United States , with most of this area over the ocean , not land . The event 's shadow began to cover land on the Oregon coast as a partial eclipse at 4 : 05 p.m. UTC ( 9 : 05 a.m. PDT ) , with the total eclipse beginning there at 5 : 16 p.m. UTC ( 10 : 16 a.m. PDT ) ; the total eclipse 's land coverage ended along the South Carolina coast at about 6 : 44 p.m. UTC ( 2 : 44 p.m. EDT ) . Visibility as a partial eclipse in Honolulu , Hawaii began with sunrise at 4 : 20 p.m. UTC ( 6 : 20 a.m. HST ) and ended by 5 : 25 p.m. UTC ( 7 : 25 a.m. HST ) .   This total solar eclipse marked the first such event in the smartphone and social media era in America . Information , personal communication , and photography were widely available as never before , capturing popular attention and enhancing the social experience .   Marriage proposals took place coinciding with the eclipse , and at least one wedding was also planned and took place to coincide with the eclipse . Logistical problems were expected with the influx of visitors , especially for smaller communities . The sale of counterfeit eclipse glasses was also anticipated to be a hazard for eye injuries .   Future total solar eclipses will cross the United States in April 2024 ( 12 states ) and August 2045 ( 10 states ) , and annular solar eclipses -- wherein the Moon appears smaller than the Sun -- will occur in October 2023 ( 9 states ) and June 2048 ( 9 states ) .     Contents  ( hide )   1 Visibility   2 Other celestial bodies   3 Other eclipses over the United States   4 Total eclipse viewing events   4.1 Oregon   4.2 Idaho   4.3 Wyoming   4.4 Nebraska   4.5 Kansas   4.6 Missouri   4.7 Illinois   4.8 Kentucky   4.9 Tennessee   4.10 North Carolina   4.11 Georgia   4.12 South Carolina     5 Viewing from outside the United States   5.1 Canada   5.2 Mexico , Central America , Caribbean islands , South America   5.3 Russia   5.4 Europe   5.5 West Africa     6 Media and scientific coverage   7 Counterfeit eclipse glasses   8 Eye damage   9 Planning   10 Post-eclipse traffic problems   11 Impact on solar power   12 Commemorative stamp   13 Videos   14 Gallery   14.1 Totality   14.2 Transition   14.3 Partial   14.4 Images produced by natural pinholes   14.5 Views outside of the US     15 Related eclipses   15.1 Solar eclipses 2015 -- 2018   15.2 Saros series 145   15.3 Metonic series     16 See also   17 References   18 Further reading   19 External links      Visibility ( edit )     Play media Time - lapse footage of Falls Park on the Reedy in Greenville , South Carolina during the eclipse   Play media Video of shadow bands on the ground as seen in Simpsonville , South Carolina .     The total eclipse had a magnitude of 1.0306 and was visible within a narrow corridor 70 miles ( 110 km ) wide , crossing fourteen of the contiguous United States : Oregon , Idaho , Montana , Wyoming , Nebraska , Kansas , Iowa , Missouri , Illinois , Kentucky , Tennessee , Georgia , North Carolina , and South Carolina . It was first seen from land in the U.S. shortly after 10 : 15 a.m. PDT ( 17 : 15 UTC ) at Oregon 's Pacific coast , and then it progressed eastward through Salem , Oregon ; Idaho Falls , Idaho ; Casper , Wyoming ; Lincoln , Nebraska ; Kansas City , Missouri ; St. Louis , Missouri ; Hopkinsville , Kentucky ; Nashville , Tennessee ; Columbia , South Carolina about 2 : 41 p.m. ; and finally Charleston , South Carolina . A partial eclipse was seen for a greater time period , beginning shortly after 9 : 00 a.m. PDT along the Pacific Coast of Oregon . Weather forecasts predicted clear skies in Western U.S. and some Eastern states , but clouds in the Midwest and East Coast .     Animation of the eclipse shadow . The dot in the center represents the path of totality .   View of the lunar shadow tracking across Earth from the Deep Space Climate Observatory ( DSCOVR ) satellite     The longest ground duration of totality was 2 minutes 41.6 seconds at about 37 ° 35 ′ 0 '' N 89 ° 7 ′ 0 '' W ﻿ / ﻿ 37.58333 ° N 89.11667 ° W ﻿ / 37.58333 ; - 89.11667 in Giant City State Park , just south of Carbondale , Illinois , and the greatest extent ( width ) was at 36 ° 58 ′ 0 '' N 87 ° 40 ′ 18 '' W ﻿ / ﻿ 36.96667 ° N 87.67167 ° W ﻿ / 36.96667 ; - 87.67167 near the village of Cerulean , Kentucky , located in between Hopkinsville and Princeton . This was the first total solar eclipse visible from the Southeastern United States since the solar eclipse of March 7 , 1970 . Two NASA WB - 57F flew above the clouds , prolonging the observation time spent in the umbra . A partial solar eclipse was seen from the much broader path of the Moon 's penumbra , including all of North America , particularly areas just south of the totality pass , where the eclipse lasted about 3 -- 5 hours , northern South America , Western Europe , and some of Africa and north - east Asia .   At one location in Wyoming , a small group of astronomers used telescopic lenses to photograph the sun as it was in partial eclipse , while the ISS was also seen to briefly transit the sun .   Other celestial bodies ( edit )     During totality stars and 4 planets were visible , including Regulus close to the Sun . Mars was 8 degrees to the right , and Venus 34 degrees right . Mercury was 10 degrees left , and Jupiter 51 degrees left .   Solar eclipse and star - system Regulus ( upper left ) viewed from Cullowhee , NC .     During the eclipse for a long span of its path of totality , several bright stars and four planets were visible . The star - system Regulus was visible slightly to the west of the Sun . Mars was 8 degrees to the right , and Venus 34 degrees right . Mercury was 10 degrees left , and Jupiter 51 degrees left .   Other eclipses over the United States ( edit )   This was the first total solar eclipse visible from the United States since that of July 11 , 1991 -- which was seen only from part of Hawaii -- and the first visible from the contiguous United States since 1979 . An eclipse of comparable length ( up to 3 minutes , 8 seconds , with the longest eclipse being 6 minutes and 54 seconds ) occurred over the contiguous United States on March 7 , 1970 along the southern portions of the Eastern Seaboard , from Florida to Virginia .   The path of totality of the solar eclipse of February 26 , 1979 crossed only the states of Washington , Oregon , Idaho , Montana , and North Dakota . Many enthusiasts traveled to the Pacific Northwest to view the eclipse , since it would be the last chance to view such an eclipse in the contiguous United States for almost four decades .   Some American scientists and interested amateurs who wanted to experience a total eclipse participated in a four - day Atlantic Ocean cruise to view the solar eclipse of July 10 , 1972 as it passed near Nova Scotia . ( This is referenced in the Carly Simon hit song `` You 're So Vain '' in the lyric , `` Then you flew your Lear Jet up to Nova Scotia to see the total eclipse of the Sun . '' ) Organizers of the cruise advertised in astronomical journals and in planetarium announcements , emphasizing the rarity of the event .  The path of totality across the United States  The August 2017 eclipse was the first with a path of totality crossing the Pacific and Atlantic coasts of the U.S. since 1918 . Also , its path of totality made landfall exclusively within the United States , making it the first such eclipse since the country 's declaration of independence in 1776 . Prior to this , the path of totality of the eclipse of June 13 , 1257 , was the last to make landfall exclusively on lands currently part of the United States .   The path of the 2017 eclipse crosses with the path of the upcoming total solar eclipse of April 8 , 2024 , with the intersection of the two paths being in southern Illinois in Makanda Township at Cedar Lake , just south of Carbondale . An area of about 9,000 square miles , including the cities of Makanda , Carbondale , Cape Girardeau , Missouri , and Paducah , Kentucky , will thus experience two total solar eclipses within a span of less than seven years . The cities of Benton , Carbondale , Chester , Harrisburg , Marion , and Metropolis in Illinois ; Cape Girardeau , Farmington , and Perryville in Missouri , as well as Paducah , Kentucky , will also be in the path of the 2024 eclipse , thereby earning the distinction of witnessing two total solar eclipses in seven years .   The solar eclipse of August 12 , 2045 will have a very similar path of totality over the U.S. to the 2017 eclipse : about 400 km ( 250 mi ) to the southwest , also crossing the Pacific and Atlantic coasts of the country ; however , totality will be more than twice as long .   Total eclipse viewing events ( edit )   Oregon ( edit )  Viewing the eclipse at Oregon State University Campers on a field near Madras , Oregon , three days before the eclipse Totality over Timothy Lake , Oregon Diamond ring effect and some prominences at the end of totality in Oregon   Corvallis -- The Corvallis campus of Oregon State University hosted `` OSU150 Space Grant Festival : A Total Eclipse Experience '' , a weekend - long celebration of the eclipse . A watch party was also hosted on campus the day of the eclipse .   Huntington -- Historic Farewell Bend State Recreation Area hosted the RASC : Yukon Centre ( Yukon Astronomical Society ) and the RASC : Okanagan Centre . Solar viewing and presentations on the eclipse were given along with a dark - sky presentation .   Keizer -- The Salem - Keizer Volcanoes , a Class A baseball team , played a morning game against the visiting Hillsboro Hops that featured the first ever `` eclipse delay '' in baseball history .   Madras -- The city sponsored a four - day Solarfest at two locations .   Prineville -- Symbiosis Gathering hosted a seven - day eclipse festival which included rave - style music dubbed `` Oregon Eclipse '' .   Rickreall -- The Polk County Fairgrounds organized a series of events and an eclipse gathering .   Salem -- The Oregon Museum of Science and Industry hosted an event at the Oregon State Fairgrounds .    Idaho ( edit )  A display of books related to eclipses and astronomy Total eclipse from Weiser , Idaho   Arco -- High altitude balloon launches by the USC Astronautical Engineering department and NASA .   Craters of the Moon -- The National Monument and Preserve hosted NASA presentations , evening star parties hosted by the Idaho Falls Astronomical Society , and presentations by the New Mexico Chapter of the Charlie Bates Solar Astronomy Project .   Idaho Falls -- Free entertainment and educational seminars and an eclipse - watching event at the Museum of Idaho ( an official NASA viewing site ) and elsewhere , and a free eclipse - watching event at Melaleuca Field .   Rexburg -- Brigham Young University Idaho offered a series of eclipse - related educational events .   Weiser -- The city sponsored a five - day festival prior to the eclipse .    Wyoming ( edit )  People watching and photographing the eclipse in Yellowstone National Park   Casper -- The Astronomical League , an alliance of amateur astronomy clubs , held its annual Astrocon conference , and there were other public events , called Wyoming Eclipse Festival 2017 .   Fort Laramie -- Fort Laramie held an eclipse viewing event , which included a Special `` Great American Eclipse '' Program .    Nebraska ( edit )  A crowd observes the eclipse in Ravenna , Nebraska   Alliance -- Entertainment and educational seminars were offered . ABC News reported live from Carhenge during totality .   Auburn -- Nemaha County Hospital hosted an eclipse viewing event , including sharing safety tips from Lifetime Vision Center .   Beatrice -- Homestead National Monument of America -- Events were held with representatives from NASA on Saturday , Sunday and the day of the eclipse .   Grand Island -- Stuhr Museum hosted an eclipse viewing event , including the launch of a NASA eclipse observing balloon .   Lincoln -- At Haymarket Park , the Lincoln Saltdogs , an independent baseball team in the American Association , defeated the Gary SouthShore RailCats 8 - 5 in a special eclipse game , with 6,956 in attendance . The game was paused for 26 minutes in the middle of the third inning to observe the eclipse . The Saltdogs players wore special eclipse - themed uniforms that were auctioned off after the game .    Kansas ( edit )    Atchison -- Benedictine College hosted thousands in its football stadium . There were students from schools from Kansas , Missouri , Nebraska , and Oklahoma attending , plus numerous other guests who heard from , amongst others , astronomers from the Vatican Observatory .    Missouri ( edit )    Columbia -- The Cosmo Park and the Gans Creek Park were open for the eclipse . There was a watch party on campus for the students of the University of Missouri , and the MU Health Care system released eye safety information .   Kansas City -- A 5 - mile ( 8 km ) bicycle ride from downtown KCMO ( where totality only lasted about 30 seconds ) to Macken Park in North Kansas City ( where totality lasted 1 minute 13 seconds ) was organized by KC Pedal Party Club , a local Meetup group .   Lathrop -- The city celebrated its 150th anniversary with an eclipse festival .   Parkville -- TotalEclipseofthePark -- August 20 educational program featuring NASA Glenn Research Center Hall of Famer Lynn Bondurant , ' 61 , and August 21 watch party organized by Park University .   Potosi -- Hora Eclipse , an Israeli folkdance camp coordinated with the eclipse , was held at YMCA Trout Lodge and Camp Lakewood , near the Mark Twain National Forest . More information at the event 's website , especially its post-mortem page .   St. Clair -- An event organized by the St. Clair City Chamber of Commerce .   St. Joseph -- An event organized by Front Page Science was held at Rosecrans Memorial Airport .   St. Louis -- David Tipper hosted his Tipper &amp; Friends 4321 electronic music event at Astral Valley Art Park featuring 5 days of music , art , and eclipse viewing .    Illinois ( edit )    Carbondale -- Southern Illinois University sponsored many eclipse related educational events , including the two day Crossroads Astronomy , Science and Technology Expo , and viewing at Saluki Stadium . Amtrak ran a special train , the Eclipse Express , from Chicago to Carbondale . NASA EDGE was there broadcasting live from Southern Illinois University Carbondale with a four - hour and thirty - minute show ( 11 : 45 a.m. -- 4 : 15 p.m. EDT ) .   Carterville -- A three - day rock festival called Moonstock was headlined by Ozzy Osbourne , who performed during the eclipse .   Goreville -- View the eclipse with the University of Illinois Astronomy Department .    Kentucky ( edit )  An eclipse photographer in Madisonville , Kentucky   Bowling Green -- Western Kentucky University hosted thousands of K - 12 students in its football stadium . At Bowling Green Ballpark , the Bowling Green Hot Rods , a Class A baseball team , played an eclipse game against the visiting West Michigan Whitecaps .   Hopkinsville -- A four - day eclipse festival was held at Jefferson Davis State Historic Site .    Tennessee ( edit )  Totality from Tennessee Technological University in Cookeville , Tennessee NASA TV 's live coverage was being watched by 4.4 million people at 1 : 40 EDT , accounting for 87 % of all traffic to U.S. federal government websites   Athens -- The City of Athens hosted `` Total Eclipse of the Park '' at Athens Regional Park , including entertainment , food , and vendors .   Clarksville -- Austin Peay State University presented several educational events , including an appearance by astronaut Rhea Seddon .   Cookeville -- Tennessee Technological University hosted a solar eclipse viewing party at Tucker Stadium . Cookeville hosted special events from Saturday to Monday .   McMinnville -- celebrated the eclipse by hosting BLACKOUT 2017 , an eclipse viewing event held in the city square . In addition to the viewing , a selection of food trucks and musical acts which features The Pink Floyd Appreciation Society band who performed Pink Floyd 's The Dark Side of the Moon in its entirety prior to the totality event .   Memphis -- At AutoZone Park , the Memphis Redbirds , a Class AAA baseball team , played an eclipse game against the visiting New Orleans Baby Cakes .   Nashville -- offered many special events , including the Music City Eclipse Science &amp; Technology Festival at the Adventure Science Center . The Italian Lights Festival hosted the largest Eclipse Viewing Party in Nashville , a free NASA - Certified Eclipse Event held at the Bicentennial Mall . Two astrophysicists from NASA 's Jet Propulsion Laboratory emceed the countdown .    North Carolina ( edit )    Bryson City -- Planetarium shows were offered , as well as rides on the Great Smoky Mountains Railroad to an eclipse location .   Cullowhee -- The eclipse was visible in totality , and classes were cancelled for several hours during the first day of classes at Western Carolina University .   Rosman -- Pisgah Astronomical Research Institute ( PARI ) hosted a viewing event . The event at PARI has garnered international attention and the visitors included amateur astronomers .    Georgia ( edit )    Athens -- Viewing at Sanford Stadium at the University of Georgia .   Blairsville -- Get off the Grid Festival on three days preceding the eclipse .   Elberty County - Approximately 400 people gathered at the Georgia Guidestones .    South Carolina ( edit )    Anderson - Viewing at the Green Pond Landing on Lake Hartwell with food trucks , astronomer , and music . Unfortunately clouds blocked the sun at the time of totality .   Charleston - The College of Charleston hosted NASA 's `` eclipse headquarters '' broadcast as part of an afternoon eclipse viewing celebration on the green behind the campus library .   Clemson -- Viewing at Clemson University .   Columbia -- The South Carolina State Museum hosted four days of educational events , including an appearance by Apollo 16 astronaut Charles Duke . At Spirit Communications Park , the Columbia Fireflies , a Class A baseball team , played an eclipse game against the visiting Rome Braves .   Greenville -- Viewing at Furman University . Events include streaming coverage from NASA , educational activities , and live music . At Fluor Field , the Greenville Drive , a Class A baseball team , played an eclipse game against the visiting West Virginia Power .   Sumter -- Viewing at Dillon Park . Eclipse viewing glasses given away for free .    Viewing from outside the United States ( edit )  Boundaries of the sunset partial eclipse in Western Europe  Canada ( edit )   A partial eclipse was visible across the width of Canada , ranging from 89 percent in Victoria , British Columbia to 11 percent in Resolute , Nunavut . In Ottawa , viewing parties were held at the Canada Aviation and Space Museum . In Toronto , viewing parties were held at the CNE and the Ontario Science Centre   Mexico , central America , Caribbean islands , South America ( edit )   A partial eclipse was visible from Central America , Mexico , the Caribbean islands , and ships and aircraft in and above the adjacent oceans , as well as the northern countries of South America such as Colombia , Venezuela , and several others .   Russia ( edit )   A partial eclipse was visible only in the Chukchi Peninsula . In Anadyr , the maximum obscuration was 27.82 % .   Europe ( edit )   In northwestern Europe , a partial eclipse was visible in the evening or at sunset . Only those in Iceland , Ireland , Northern Ireland , Scotland and the Portuguese Azores archipelago saw the eclipse from beginning to end ; in the rest of the UK , Norway , the Netherlands , Belgium , France , Spain , and Portugal , sunset occurred before the end of the eclipse . In Germany , the beginning of the eclipse was visible just at sunset only in the extreme northwest of the country . In all regions east of the orange line on the map , the eclipse was not visible .   West Africa ( edit )   In some locations in West Africa and western North Africa , a partial eclipse was seen just before and during sunset .   Media and scientific coverage ( edit )  The Moon 's umbra , as seen from the International Space Station  A large number of media outlets broadcast coverage of the eclipse , including television and internet outlets . NASA announced plans to offer streaming coverage through its NASA TV and NASA Edge outlets , using cameras stationed on the ground along the path of totality , along with cameras on high - altitude balloons , jets , and coverage from the International Space Station ; NASA stated that `` never before will a celestial event be viewed by so many and explored from so many vantage points -- from space , from the air , and from the ground . '' ABC , CBS , and NBC announced that they would respectively broadcast live television specials to cover the eclipse with correspondents stationed across the path of totality , along with CNN , Fox News Channel , Science , and The Weather Channel . The PBS series Nova presented streaming coverage on Facebook hosted by Miles O'Brien , and aired a special episode chronicling the event -- `` Eclipse Over America '' -- later in the day ( which marked the fastest production turnaround time in Nova history ) .   Other institutions and services also announced plans to stream their perspectives of the eclipse , including the Exploratorium in San Francisco , the Elephant Sanctuary of Hohenwald , Tennessee , the Slooh robotic telescope app , and The Virtual Telescope Project . The Eclipse Ballooning Project , a consortium of schools and colleges that sent 50 high - altitude balloons into the sky during the eclipse to conduct experiments , provided streams of footage and GPS tracking of its launches . Contact with one balloon with $13,000 of scientific equipment , launched under the aegis of the LGF Museum of Natural History near Vale , Oregon , was lost at 20,000 feet ( 6,100 m ) . Given that the balloon was believed to have burst at 100,000 feet ( 30,000 m ) , it could have parachuted down anywhere from eastern Oregon to Caldwell , Idaho ( most likely ) to Sun Valley , Idaho ; a $1,000 reward is offered for its recovery .   The National Solar Observatory organized Citizen CATE volunteers to man 60 identical telescopes and instrumentation packages along the totality path to study changes in the corona over the duration of the eclipse .   In orbit , the satellites Lunar Reconnaissance Orbiter , the International Space Station , the Solar Dynamics Observatory , the Moderate Resolution Imaging Spectroradiometer , Solar and Heliospheric Observatory , and Hinode gathered data from the eclipse .   A viewing party was held at the White House , during which President Donald Trump appeared on the Truman Balcony with First Lady Melania Trump . With the sun partially eclipsed , President Trump looked briefly in the general direction of the sun before using solar viewing glasses .   The rapper Joey Badass boasted of watching the solar eclipse without viewing glasses , considering that `` our ancestors ai n't have no fancy eyewear ( and ) they ai n't all go blind '' . Unlike the US president , he did not wear viewing glasses during the entire eclipse . Later , he complained of vision problems and had to cancel his Cleveland , Chicago &amp; Toronto shows on the Everybody Tour , due to `` unforeseen circumstances '' .   The eclipse generated reports of abnormal behavior in animal and plant life . Some farm animals including domestic chickens came out from under their coops and began grooming , usually an evening activity . Horses also displayed increased whinnying , running , and jumping after the event . Cicadas were reported to grow louder before going silent during totality . Various birds were also observed flying in unusually large formations . Flowers such as the Hibiscus closed their petals which typically happens at night , before opening again after the solar event .   NASA reported over 90 million page views of the eclipse on its websites , making it the agency 's biggest online event ever , beating the previous web traffic record about seven times over .   Counterfeit eclipse glasses ( edit )  See also : Solar viewer  In the months leading up to the eclipse , many counterfeit glasses were put up for sale . Effective eclipse glasses must not only block most visible light , but most UV and infrared light as well . For visible light , the user should only be able to see the Sun , sunglint reflected off shiny metal , halogen bulbs , the filament in unfrosted incandescent bulbs , and similarly intense sources . Determining whether the glasses effectively block enough UV and infrared light requires the use of spectrophotometer , which is a rather expensive piece of lab equipment .   The eye 's retina lacks pain receptors , and thus damage can occur without one 's awareness .   The American Astronomical Society ( AAS ) said products meeting the ISO 12312 - 2 standard avoid risk to one 's eyes , and issued a list of reputable vendors of eclipse glasses . The organization warned against products claiming ISO certification or even citing the same number , but not tested by an accredited laboratory . Another problem was counterfeits of reputable vendors ' products , some even claiming the company 's name such as with American Paper Optics which published information detailing the differences between its glasses and counterfeits .   Andrew Lund , the owner of a company which produces eclipse glasses , noted that not all counterfeit glasses were necessarily unsafe . He stated to Quartz that the counterfeits he tested blocked the majority of harmful light spectrum , concluding that `` the IP is getting ripped off , but the good news is there are no long - term harmful effects . '' As one example , the Springdale Library in metropolitan Pittsburgh , Pennsylvania , accidentally passed out dozens of pairs of counterfeit eclipse glasses , but as of August 23 had not received any reports of eye damage .   On July 27 , 2017 , Amazon required all eclipse viewing products sold on its website have a submission of origin and safety information , and proof of an accredited ISO certification . In mid-August 2017 , Amazon recalled and pulled listings for eclipse viewing glasses that `` may not comply with industry standards '' , and gave refunds to customers who had purchased them .   Eye damage ( edit )   Short - term damage includes solar keratitis , which is similar to sunburn of the cornea . Symptoms usually occur within twenty - four hours and include eye pain and light sensitivity .   Long - term or permanent damage includes solar retinopathy , which occurs when the sun burns a hole in the retina , usually at the fovea ( the focus of the retina ) . Symptoms can occur as long as several weeks after the incident , and can include loss of central vision and / or other vision , as well as eye pain and light sensitivity , afterimages , and changes in color vision .   Depending on the severity of damage , vision problems can last for several months or be permanent .   Dr. Avnish Deobhakta , an ophthalmologist in New York , states that , `` `` If you 're looking at the sun you 're actually focusing , intentionally , the light of the sun onto the spot ( fovea ) where you want the most precise vision . ''   Following a total eclipse in the United Kingdom in 1999 , at least 14 cases of permanent damage were confirmed .   One story of solar eclipse danger was illustrated by the case of Mr. Tomososki , who damaged his eyesight when viewing a 1962 eclipse , leaving him with a pea - sized blind spot for the rest of his life . During the 2017 eclipse he warned the country to not make the mistake he did . While some can recover , the danger of an eclipse comes in part because the excitement can override the instinct to not look at the sun .   Planning ( edit )  A message board on U.S. Route 64 in North Carolina alerting drivers of the eclipse  Officials inside and near the path of totality planned -- sometimes for years -- for the sudden influx of people . Smaller towns struggled to arrange viewing sites and logistics for what could have been a tourism boom or a disaster .   In the American West , illegal camping was a major concern , including near cities like Jackson Hole , Wyoming . Idaho 's Office of Emergency Management said Idaho was a prime viewing state , and advised jurisdictions to prepare for service load increases ; nearly every hotel and motel room , campground , and in some cases backyards for nearly 100 miles ( 160 km ) north and south of the path of totality had been reserved several months , if not years , in advance . The state anticipated up to 500,000 visitors to join its 1.6 million residents .   Oregon deployed six National Guard aircraft and 150 soldiers because the influx of visitors coincided with the state 's fire season . Hospital staffing , and supplies of blood and anti -- snake bite antidote , were augmented along the totality line .   In Oregon , there were reports of hoteliers canceling existing reservations made at the regular market rate and increasing their rate , sometimes threefold or more , for guests staying to view the eclipse . The Oregon Department of Justice ( DOJ ) investigated various complaints and reached settlements with affected customers of at least 10 hotels in the state . These settlements included refunds to the customers and fines paid to the DOJ .   Post-eclipse traffic problems ( edit )   Although traffic to areas within the path of totality was somewhat spread out over the days prior to the eclipse , there were widespread traffic problems across the United States after the event ended . Michael Zeiler , an eclipse cartographer , had estimated that between 1.85 million and 7.4 million people would travel to the path of the eclipse .   In Oregon , an estimated one million people were expected to arrive that the Oregon National Guard was called in to help manage traffic in Madras along US 26 and US 97 . Madras Municipal Airport received more than 400 mostly personal planes that queued for hours while waiting to leave after the eclipse .   Officials in Idaho , where the totality path crossed the center of the state , began planning for the eclipse a year in advance . The state Transportation Department suspended construction projects along Interstate 15 , which traverses Eastern Idaho , from August 18 -- 22 in order to have all lanes open ; their counterparts in neighboring Utah , where many were expected to travel the 220 miles ( 350 km ) north via the highway from the Salt Lake City metropolitan area , did the same . On the morning of the eclipse , many drivers left before dawn , creating traffic volume along I - 15 normally not seen until morning rush hour ; northbound traffic on the interstate in Box Elder County north of Salt La</t>
  </si>
  <si>
    <t xml:space="preserve">when do the eclipse supposed to take place</t>
  </si>
  <si>
    <t xml:space="preserve">   Solar eclipse of August 21 , 2017     Totality as seen from Simpsonville , South Carolina     Map     Type of eclipse     Nature   Total     Gamma   0.4367     Magnitude   1.0306     Maximum eclipse     Duration   160 sec ( 2 m 40 s )       37 ° 00 ′ N 87 ° 42 ′ W ﻿ / ﻿ 37 ° N 87.7 ° W ﻿ / 37 ; - 87.7     Max . width of band   115 km ( 71 mi )     Times ( UTC )     ( P1 ) Partial begin   15 : 46 : 48     ( U1 ) Total begin   16 : 48 : 32     Greatest eclipse   18 : 26 : 40     ( U4 ) Total end   20 : 01 : 35     ( P4 ) Partial end   21 : 04 : 19     References     Saros   145 ( 22 of 77 )     Catalog # ( SE5000 )   9546   </t>
  </si>
  <si>
    <t xml:space="preserve">Dubai - Wikipedia  Dubai  Jump to : navigation , search This article is about the city . For other uses , see Dubai ( disambiguation ) .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2016 ) ( Learn how and when to remove this template message )         This article has an unclear citation style . The references used may be made clearer with a different or consistent style of citation , footnoting , or external linking . the proper template is used consistently , dates are sometimes given in ISO 8301 format and many references need to complete information about their author , date or access date . ( May 2017 ) ( Learn how and when to remove this template message )         This article cites its sources but does not provide page references . You can help to improve it by introducing citations that are more precise . ( November 2016 ) ( Learn how and when to remove this template message )         This article needs to be updated . Please update this article to reflect recent events or newly available information . ( December 2016 )    ( Learn how and when to remove this template message )       Dubai دبي     Metropolis     Dubai     Clockwise from top left : skyline with Burj Khalifa ; Burj Al Arab ; satellite image showing Palm Jumeirah and The World Islands ; Dubai Marina ; and Sheik Zayed Road .        Flag   Coat of arms        Dubai Dubai Show map of United Arab Emirates Show map of Asia Show all Location of Dubai within the UAE     Coordinates : 25 ° 15 ′ 47 '' N 55 ° 17 ′ 50 '' E ﻿ / ﻿ 25.26306 ° N 55.29722 ° E ﻿ / 25.26306 ; 55.29722 Coordinates : 25 ° 15 ′ 47 '' N 55 ° 17 ′ 50 '' E ﻿ / ﻿ 25.26306 ° N 55.29722 ° E ﻿ / 25.26306 ; 55.29722     Country   United Arab Emirates     Emirate   Dubai     Founded by   Ubaid bin Saeed and Maktum bin Butti Al Maktoum     Seat   Dubai     Subdivisions   Towns and villages ( show )   Jebel Ali   Al Aweer   Al Lusayli   Marqab   Al Faq   Ud al - Bayda   Urqub Juwayza       Government     Type   Absolute monarchy     Emir   Mohammed bin Rashid Al Maktoum     Crown Prince   Hamdan bin Mohammed bin Rashid Al Maktoum     Area     Total   4,114 km ( 1,588 sq mi )     Population ( 12 January 2018 )     Total   2,983,248       Nationalities : 43.3 % Indian 23 % Emirati 17 % Pakistani 7.5 % Bangladeshi 4.2 % Filipino 1.5 % Sri Lankan 0.3 % American 5.2 % other countries     Time zone   UAE Standard Time ( UTC + 4 )     Nominal GDP   2016 estimate     Total   USD 108 billion     Per capita   USD 28,396     Website   Dubai Municipality Dubai Tourism         This article contains Arabic text . Without proper rendering support , you may see question marks , boxes , or other symbols .    ْUmm Hurair Road in Dubai  Dubai ( / duːˈbaɪ / doo - BY ; Arabic : دبي ‎ Dubay , Gulf pronunciation : ( dʊˈbɑj ) ) is the largest and most populous city in the United Arab Emirates ( UAE ) . It is located on the southeast coast of the Persian Gulf and is the capital of the Emirate of Dubai , one of the seven emirates that make up the country . Abu Dhabi and Dubai are the only two emirates to have veto power over critical matters of national importance in the country 's Federal Supreme Council . The city of Dubai is located on the emirate 's northern coastline and heads the Dubai - Sharjah - Ajman metropolitan area . Dubai will host World Expo 2020 .   Dubai emerged as a global city and business hub of the Middle East . It is also a major transport hub for passengers and cargo . By the 1960s , Dubai 's economy was based on revenues from trade and , to a smaller extent , oil exploration concessions , but oil was not discovered until 1966 . Oil revenue first started to flow in 1969 . Dubai 's oil revenue helped accelerate the early development of the city , but its reserves are limited and production levels are low : today , less than 5 % of the emirate 's revenue comes from oil .   The Emirate 's Western - style model of business drives its economy with the main revenues now coming from tourism , aviation , real estate , and financial services . Dubai was recently named the best destination for Muslim travellers by Salam Standard . Dubai has recently attracted world attention through many innovative large construction projects and sports events . The city has become iconic for its skyscrapers and high - rise buildings , in particular the world 's tallest building , the Burj Khalifa . Dubai has been criticised for human rights violations concerning the city 's largely South Asian and Filipino workforce . Dubai 's property market experienced a major deterioration in 2008 -- 09 following the financial crisis of 2007 -- 08 , but the emirate 's economy has made a return to growth , with a projected 2015 budget surplus .   As of 2012 , Dubai was the 22nd most expensive city in the world and the most expensive city in the Middle East . In 2014 , Dubai 's hotel rooms were rated as the second most expensive in the world , after Geneva . In 2013 , U.S. global consulting firm Mercer rated Dubai the best place to live in the Middle East .     Contents  ( hide )   1 Etymology   2 History   2.1 Pre-oil Dubai   2.2 Oil era   2.3 Reaching the UAE 's Act of Union   2.4 Modern Dubai     3 Geography   4 Climate   5 Governance and politics   5.1 Law enforcement   5.2 Sharia laws     6 Human rights   7 Demographics   7.1 Ethnicity and languages   7.2 Religion   7.2. 1 Minorities       8 Economy   8.1 Tourism and retail   8.1. 1 Ski Dubai     8.2 Expo 2020     9 Cityscape   9.1 Architecture   9.1. 1 Burj Al Arab   9.1. 2 Burj Khalifa     9.2 Artificial Islands   9.2. 1 Palm Jumeirah     9.3 Dubai Miracle Garden     10 Transportation   10.1 Road   10.2 Air   10.3 Metro rail   10.4 Palm Jumeirah Monorail   10.5 Tram   10.6 High speed rail   10.7 Waterways     11 Culture   11.1 Food   11.1. 1 Dubai Food Festival     11.2 Entertainment   11.3 Dubai Shopping Festival   11.4 Media   11.5 Sports   11.5. 1 Cricket     11.6 Dress code     12 Education   13 Healthcare   14 Notable people   15 International relations   15.1 Twin towns and sister cities     16 See also   17 References   18 Further reading   19 External links      Etymology ( edit )   Many theories have been proposed as to the origin of the word `` Dubai '' . One theory suggests the word was used to describe the souq , which was similar to the souq in Ba . An Arabic proverb says `` Daba Dubai '' ( Arabic : دبا دبي ‎ ) , meaning `` They came with a lot of money . '' According to Fedel Handhal , a scholar on the UAE 's history and culture , the word Dubai may have come from the word daba ( Arabic : دبا ‎ ) ( a past tense derivative of yadub ( Arabic : يدب ‎ ) , which means `` to creep '' ) , referring to the slow flow of Dubai Creek inland . The poet and scholar Ahmad Mohammad Obaid traces it to the same word , but to its alternative meaning of `` baby locust '' ( Arabic : جراد ‎ ) due to the abundant nature of locusts in the area before settlement . An inhabitant or native of the city is a Dubaian .   History ( edit )  Main articles : History of Dubai and Timeline of Dubai Typical scene in old Dubai , Old District of Al Bastakiya  Although stone tools have been found at many archaeological sites , little is known about the UAE 's early inhabitants as only a few settlements have been found . Many ancient towns in the area were trading centres between the Eastern and Western worlds . The remnants of an ancient mangrove swamp , dated at 7000 BC , were discovered during the construction of sewer lines near Dubai Internet City . The area was covered with sand about 5,000 years ago as the coast retreated inland , becoming part of the city 's present coastline . Pre-Islamic ceramics have been found from the 3rd and 4th centuries . Prior to the introduction of Islam to the area , the people in this region worshiped Bajir ( or Bajar ) . After the spread of Islam in the region , the Umayyad Caliph of the eastern Islamic world invaded south - east Arabia and drove out the Sassanians . Excavations by the Dubai Museum in the region of Al - Jumayra ( Jumeirah ) found several artefacts from the Umayyad period .   The earliest recorded mention of Dubai is in 1095 in the Book of Geography by the Andalusian - Arab geographer Abu Abdullah al - Bakri . The Venetian pearl merchant Gasparo Balbi visited the area in 1580 and mentioned Dubai ( Dibei ) for its pearling industry .   Dubai is thought to have been established as a fishing village in the early 18th century and was , by 1822 , a town of some 7 -- 800 members of the Baniyas tribe and subject to the rule of Sheikh Tahnoon of Abu Dhabi .   In 1833 , following tribal feuding , members of the Al Bu Falasa tribe seceded from Abu Dhabi and established themselves in Dubai . The exodus from Abu Dhabi was led by Ubaid bin Saeed and Maktum bin Butti who became joint leaders of Dubai until Ubaid died in 1836 , leaving Maktum to establish the Maktoum dynasty .   Dubai signed the first treaty of Perpetual Maritime Truce in 1820 along with other Trucial States , which was followed by a further treaty in 1853 . It also -- like its neighbours on the Trucial Coast -- entered into an exclusivity agreement in which the United Kingdom took responsibility for the emirate 's security in 1892 .   Two catastrophes struck the town during the 1800s . First , in 1841 , a smallpox epidemic broke out in the Bur Dubai locality , forcing residents to relocate east to Deira . Then , in 1894 , fire swept through Deira , burning down most homes . However , the town 's geographical location continued to attract traders and merchants from around the region . The emir of Dubai was keen to attract foreign traders and lowered trade tax brackets , which lured traders away from Sharjah and Bandar Lengeh , the region 's main trade hubs at the time . Persian merchants naturally looked across to the Arab shore of the Persian Gulf finally making their homes in Dubai . They continued to trade with Lingah , however , as do many of the dhows in Dubai Creek today , and they named their district Bastakiya , after the Bastak region in southern Persia .   Pre-oil Dubai ( edit )  Typical Bastakiya street in Deira  Dubai 's geographical proximity to Iran made it an important trade location . The town of Dubai was an important port of call for foreign tradesmen , chiefly those from Iran , many of whom eventually settled in the town . By the beginning of the 20th century , it was an important port .   Dubai was known for its pearl exports until the 1930s ; the pearl trade was damaged irreparably by the Great Depression in the 1930s and the innovation of cultured pearls . With the collapse of the pearling industry , Dubai fell into a deep depression and many residents starved or migrated to other parts of the Persian Gulf .   In the early days since its inception , Dubai was constantly at odds with Abu Dhabi . In 1947 , a border dispute between Dubai and Abu Dhabi on the northern sector of their mutual border escalated into war . Arbitration by the British and the creation of a buffer frontier running south eastwards from the coast at Ras Hasian resulted in a temporary cessation of hostilities .   Despite a lack of oil , Dubai 's ruler from 1958 , Sheikh Rashid bin Saeed Al Maktoum , used revenue from trading activities to build infrastructure . Private companies were established to build and operate infrastructure , including electricity , telephone services and both the ports and airport operators . An airport of sorts ( a runway built on salt flats ) was established in Dubai in the 1950s and , in 1959 , the emirate 's first hotel , the Airlines Hotel , was constructed . This was followed by the Ambassador and Carlton Hotels in 1968 .  The Al Ras district in Deira , Dubai in the 1960s  On 7 April 1961 , the Dubai - based MV Dara , a five thousand ton British flagged vessel that plied the route between Basra ( Iraq ) , Kuwait and Bombay ( India ) , was caught in unusually high winds off Dubai . Early the next morning in heavy seas off Umm al - Quwain , an explosion tore out the second class cabins and started fires . The captain gave the order to abandon ship but two lifeboats capsized and a second explosion occurred . A flotilla of small boats from Dubai , Sharjah , Ajman and Umm al - Quwain picked up survivors but in all 238 lives were lost in the disaster .   In 1962 the British Political Agent noted that `` Many new houses and blocks of offices and flats are being built ... the Ruler is determined , against advice ( from the British ) to press on with the construction of a jet airport ... More and more European and Arab firms are opening up and the future looks bright . ''   In 1962 , with expenditure on infrastructure projects already approaching levels some thought imprudent , Sheikh Rashid approached his brother in law , the Ruler of Qatar , for a loan to build the first bridge crossing Dubai 's creek . This crossing was finished in May 1963 and was paid for by a toll levied on the crossing from the Dubai side of the creek to the Deira side .   BOAC was originally reluctant to start regular flights between Bombay and Dubai , fearing a lack of demand for seats . However , by the time the asphalt runway of Dubai Airport was constructed in 1965 , opening Dubai to both regional and long haul traffic , a number of foreign airlines were competing for landing rights . In 1970 a new airport terminal building was constructed which included Dubai 's first duty - free shops .   Oil era ( edit )  View of Downtown Dubai from Burj Khalifa  After years of exploration following large finds in neighbouring Abu Dhabi , oil was eventually discovered in territorial waters off Dubai in 1966 , albeit in far smaller quantities . The first field was named ' Fateh ' or ' good fortune ' . This led the emirate to grant concessions to international oil companies , thus leading to a massive influx of foreign workers , mainly Asians and Middle easterners . Between 1968 and 1975 the city 's population grew by over 300 % .   As part of the infrastructure for pumping and transporting oil from the Fateh field , located offshore of the Jebel Ali area of Dubai , a number of 50,000 gallon storage tanks were built , known locally as ' Kazzans ' , by welding them together on the beach and then digging them out and floating them to drop onto the seabed at the Fateh field . These were constructed by the Chicago Bridge and Iron Company , which gave the beach its local name ( Chicago Beach ) until the Chicago Beach Hotel was demolished and replaced by the Jumeirah Beach Hotel in the late 1990s .   Dubai had already embarked on a period of infrastructural development and expansion . Oil revenue , flowing from 1969 onwards supported a period of growth with Sheikh Rashid embarking on a policy of building infrastructure and a diversified trading economy before the emirate 's limited reserves were depleted . Oil accounted for 24 % of GDP in 1990 , but had reduced to 7 % of GDP by 2004 .   Critically , one of the first major projects Sheikh Rashid embarked upon when oil revenue started to flow was the construction of Port Rashid , a deep water free port constructed by British company Halcrow . Originally intended to be a four - berth port , it was extended to sixteen berths as construction was ongoing . The project was an outstanding success , with shipping queuing to access the new facilities . The port was inaugurated on 5 October 1972 , although its berths were each pressed into use as soon as they had been built . Port Rashid was to be further expanded in 1975 to add a further 35 berths before the larger port of Jebel Ali was constructed .   Port Rashid was the first of a swath of projects designed to create a modern trading infrastructure , including roads , bridges , schools and hospitals .   Reaching the UAE 's Act of union ( edit )  Adi Bitar in a meeting with Sheiks Rashid Al Maktoum , Mohammad Al Maktoum , and Maktoum Al Maktoum in Dubai , 1968  Dubai and the other ' trucial states ' had long been a British protectorate where the British took care of foreign policy and defence , as well as arbitrating between the rulers of the Eastern Gulf . This was to change with PM Harold Wilson 's announcement , on 16 January 1968 , that all British troops were to be withdrawn from ' East of Aden ' . The decision was to pitch the coastal emirates , together with Qatar and Bahrain , into fevered negotiations to fill the political vacuum that the British withdrawal would leave behind .   The principle of union was first agreed between the ruler of Abu Dhabi , Sheikh Zayed bin Sultan Al Nahyan , and Sheikh Rashid of Dubai on 18 February 1968 meeting in an encampment at Argoub Al Sedirah , near Al Semeih , a desert stop between the two emirates . The two agreed to work towards bringing the other emirates , including Qatar and Bahrain , into the union . Over the next two years , negotiations and meetings of the rulers followed - often stormy - as a form of union was thrashed out . The nine - state union was never to recover from the October 1969 meeting where heavy - handed British intervention resulted in a walk - out by Qatar and Ras Al Khaimah . Bahrain and Qatar were to drop out of talks , leaving six emirates to agree on union on 18 July 1971 .   On 2 December 1971 , Dubai , together with Abu Dhabi , Sharjah , Ajman , Umm al - Quwain and Fujairah joined in the Act of Union to form the United Arab Emirates . The seventh emirate , Ras Al Khaimah , joined the UAE on 10 February 1972 , following Iran 's annexation of the RAK - claimed Tunbs islands .   In 1973 , Dubai joined the other emirates to adopt a uniform currency : the UAE dirham . In that same year , the prior monetary union with Qatar was dissolved and the UAE Dirham was introduced throughout the Emirates .   Modern Dubai ( edit )  Dubai Palm Jumeirah and Marina in 2011  During the 1970s , Dubai continued to grow from revenues generated from oil and trade , even as the city saw an influx of immigrants fleeing the Lebanese civil war . Border disputes between the emirates continued even after the formation of the UAE ; it was only in 1979 that a formal compromise was reached that ended disagreements . The Jebel Ali port was established in 1979 . JAFZA ( Jebel Ali Free Zone ) was built around the port in 1985 to provide foreign companies unrestricted import of labour and export capital . Dubai airport and the aviation industry also continued to grow .   The Gulf War of 1990 had a negative financial effect on the city , as depositors withdrew their money and traders withdrew their trade , but subsequently , the city recovered in a changing political climate and thrived . Later in the 1990s , many foreign trading communities -- first from Kuwait , during the Gulf War , and later from Bahrain , during the Shia unrest -- moved their businesses to Dubai . Dubai provided refuelling bases to allied forces at the Jebel Ali Free Zone during the Gulf War , and again during the 2003 Invasion of Iraq . Large increases in oil prices after the Gulf War encouraged Dubai to continue to focus on free trade and tourism .   Geography ( edit )  Main article : Geography of Dubai See also : List of communities in Dubai Play media This time - lapse video shows the rate of Dubai 's growth at one frame per year from 2000 through 2011 . In the false - color satellite images making up the video , bare desert is tan , plant - covered land is red , water is black and urban areas are silver . Sand dunes on the city outskirts Abras across the Dubai Creek  Dubai is situated on the Persian Gulf coast of the United Arab Emirates and is roughly at sea level ( 16 m or 52 ft above ) . The emirate of Dubai shares borders with Abu Dhabi in the south , Sharjah in the northeast , and the Sultanate of Oman in the southeast . Hatta , a minor exclave of the emirate , is surrounded on three sides by Oman and by the emirates of Ajman ( in the west ) and Ras Al Khaimah ( in the north ) . The Persian Gulf borders the western coast of the emirate . Dubai is positioned at 25 ° 16 ′ 11 '' N 55 ° 18 ′ 34 '' E ﻿ / ﻿ 25.2697 ° N 55.3095 ° E ﻿ / 25.2697 ; 55.3095 and covers an area of 1,588 sq mi ( 4,110 km ) , which represents a significant expansion beyond its initial 1,500 sq mi ( 3,900 km ) designation due to land reclamation from the sea .   Dubai lies directly within the Arabian Desert . However , the topography of Dubai is significantly different from that of the southern portion of the UAE in that much of Dubai 's landscape is highlighted by sandy desert patterns , while gravel deserts dominate much of the southern region of the country . The sand consists mostly of crushed shell and coral and is fine , clean and white . East of the city , the salt - crusted coastal plains , known as sabkha , give way to a north - south running line of dunes . Farther east , the dunes grow larger and are tinged red with iron oxide .   The flat sandy desert gives way to the Western Hajar Mountains , which run alongside Dubai 's border with Oman at Hatta . The Western Hajar chain has an arid , jagged and shattered landscape , whose mountains rise to about 1,300 metres ( 4,265 feet ) in some places . Dubai has no natural river bodies or oases ; however , Dubai does have a natural inlet , Dubai Creek , which has been dredged to make it deep enough for large vessels to pass through . Dubai also has multiple gorges and waterholes , which dot the base of the Western Al Hajar mountains . A vast sea of sand dunes covers much of southern Dubai and eventually leads into the desert known as The Empty Quarter . Seismically , Dubai is in a very stable zone -- the nearest seismic fault line , the Zagros Fault , is 200 kilometres ( 124 miles ) from the UAE and is unlikely to have any seismic impact on Dubai . Experts also predict that the possibility of a tsunami in the region is minimal because the Persian Gulf waters are not deep enough to trigger a tsunami .   The sandy desert surrounding the city supports wild grasses and occasional date palms . Desert hyacinths grow in the sabkha plains east of the city , while acacia and ghaf trees grow in the flat plains within the proximity of the Western Al Hajar mountains . Several indigenous trees such as the date palm and neem as well as imported trees such as the eucalypts grow in Dubai 's natural parks . The houbara bustard , striped hyena , caracal , desert fox , falcon and Arabian oryx are common in Dubai 's desert . Dubai is on the migration path between Europe , Asia and Africa , and more than 320 migratory bird species pass through the emirate in spring and autumn . The waters of Dubai are home to more than 300 species of fish , including the hammour . The typical marine life off the Dubai coast includes tropical fish , jellyfish , coral , dugong , dolphins , whales and sharks . Various types of turtles can also be found in the area including the hawksbill turtle and green turtle , which are listed as endangered species .   Dubai Creek runs northeast - southwest through the city . The eastern section of the city forms the locality of Deira and is flanked by the emirate of Sharjah in the east and the town of Al Aweer in the south . The Dubai International Airport is located south of Deira , while the Palm Deira is located north of Deira in the Persian Gulf . Much of Dubai 's real - estate boom is concentrated to the west of Dubai Creek , on the Jumeirah coastal belt . Port Rashid , Jebel Ali , Burj Al Arab , the Palm Jumeirah and theme - based free - zone clusters such as Business Bay are all located in this section . Dubai is notable for sculpted artificial island complexes including the Palm Islands and The World archipelago .   Climate ( edit )  Main article : Climate of Dubai  Dubai has a hot desert climate . Summers in Dubai are extremely hot , windy , and humid , with an average high around 41 ° C ( 106 ° F ) and overnight lows around 30 ° C ( 86 ° F ) in the hottest month , August . Most days are sunny throughout the year . Winters are warm with an average high of 24 ° C ( 75 ° F ) and overnight lows of 14 ° C ( 57 ° F ) in January , the coldest month . Precipitation , however , has been increasing in the last few decades , with accumulated rain reaching 94.3 mm ( 3.71 in ) per year . Dubai summers are also known for the very high humidity level , which can make it very uncomfortable for many with exceptionally high dewpoints in summer . The highest recorded temperature in the UAE is 52.1 ° C ( 126 ° F ) , reached in July 2002 .     ( hide ) Climate data for Dubai     Month   Jan   Feb   Mar   Apr   May   Jun   Jul   Aug   Sep   Oct   Nov   Dec   Year     Record high ° C ( ° F )   31.8 ( 89.2 )   37.9 ( 100.2 )   41.3 ( 106.3 )   43.5 ( 110.3 )   47.0 ( 116.6 )   48.5 ( 119.3 )   52.1 ( 125.8 )   51.3 ( 124.3 )   45.1 ( 113.2 )   42.4 ( 108.3 )   41.0 ( 105.8 )   35.0 ( 95 )   52.1 ( 125.8 )     Average high ° C ( ° F )   25.4 ( 77.7 )   24.8 ( 76.6 )   29.1 ( 84.4 )   35.7 ( 96.3 )   39.4 ( 102.9 )   41.7 ( 107.1 )   44.3 ( 111.7 )   43.6 ( 110.5 )   41.3 ( 106.3 )   37.9 ( 100.2 )   30.7 ( 87.3 )   27.8 ( 82 )   33.4 ( 92.1 )     Daily mean ° C ( ° F )   21.1 ( 70 )   20.6 ( 69.1 )   24.8 ( 76.6 )   30.1 ( 86.2 )   33.4 ( 92.1 )   35.8 ( 96.4 )   38.7 ( 101.7 )   38.5 ( 101.3 )   35.2 ( 95.4 )   32.6 ( 90.7 )   25.4 ( 77.7 )   23.4 ( 74.1 )   29.97 ( 85.94 )     Average low ° C ( ° F )   16.5 ( 61.7 )   16.6 ( 61.9 )   20.4 ( 68.7 )   24.4 ( 75.9 )   27.4 ( 81.3 )   30.0 ( 86 )   33.1 ( 91.6 )   33.3 ( 91.9 )   29.0 ( 84.2 )   27.2 ( 81 )   20.0 ( 68 )   19.0 ( 66.2 )   22.5 ( 72.5 )     Record low ° C ( ° F )   6.1 ( 43 )   6.9 ( 44.4 )   9.0 ( 48.2 )   13.4 ( 56.1 )   15.1 ( 59.2 )   18.2 ( 64.8 )   20.4 ( 68.7 )   23.1 ( 73.6 )   16.5 ( 61.7 )   15.0 ( 59 )   11.8 ( 53.2 )   8.2 ( 46.8 )   6.1 ( 43 )     Average precipitation mm ( inches )   18.8 ( 0.74 )   25.0 ( 0.984 )   22.1 ( 0.87 )   7.2 ( 0.283 )   0.4 ( 0.016 )   0.0 ( 0 )   0.0 ( 0 )   0.0 ( 0 )   0.0 ( 0 )   ( 0.043 )   2.7 ( 0.106 )   16.2 ( 0.638 )   93.5 ( 3.68 )     Average precipitation days   2.0   4.7   4.0   2.6   0.3   0.0   0.0   0.5   0.1   0.2   1.3   3.8   19.5     Average relative humidity ( % )   65   65   63   55   53   58   56   57   60   60   61   64   59.8     Mean monthly sunshine hours   254.2   229.6   254.2   294.0   344.1   342.0   322.4   316.2   309.0   303.8   285.0   254.2   3,508.7     Percent possible sunshine   75   75   68   75   85   81   74   78   86   82   86   75   78.3     Source # 1 : Dubai Meteorological Office     Source # 2 : climatebase.ru ( extremes , sun ) , NOAA ( humidity , 1974 -- 1991 )       Climate data for Dubai     Month   Jan   Feb   Mar   Apr   May   Jun   Jul   Aug   Sep   Oct   Nov   Dec   Year     Average sea temperature ° C ( ° F )   23.4 ( 74.2 )   21.9 ( 71.4 )   23.2 ( 73.8 )   25.5 ( 77.9 )   28.8 ( 8.8 )   31.6 ( 88.8 )   32.7 ( 90.9 )   33.5 ( 92.3 )   33.1 ( 91.5 )   31.3 ( 88.4 )   28.6 ( 83.4 )   25.4 ( 77.8 )   28.3 ( 76.6 )     Average Ultraviolet index   6   8   10   11 +   11 +   11 +   11 +   11 +   11   8   6   5   9.1     Source # 1 : seatemperature.org     Source # 2 : Weather Atlas     Governance and Politics ( edit )  Main articles : Al Maktoum , Government of Dubai , Dubai Municipality , and Politics of the United Arab Emirates Mohammed bin Rashid Al Maktoum , the Emir of Dubai  Dubai has been ruled by the Al Maktoum family since 1833 ; the emirate is an absolute monarchy with no elections ( other than the few thousand Dubai citizens participating in the electoral college for the Federal National Council of the UAE ) . The ruler , His Highness Sheikh Mohammed bin Rashid Al Maktoum , is also the Vice President and Prime Minister of the United Arab Emirates and member of the Supreme Council of the Union ( SCU ) . Dubai appoints 8 members in two - term periods to the Federal National Council ( FNC ) of the UAE , the supreme federal legislative body .   The Dubai Municipality ( DM ) was established by the then - ruler of Dubai , Rashid bin Saeed Al Maktoum , in 1954 for purposes of city planning , citizen services and upkeep of local facilities . DM is chaired by Hamdan bin Rashid Al Maktoum , deputy ruler of Dubai , and comprises several departments such as the Roads Department , Planning and Survey Department , Environment and Public Health Department and Financial Affairs Department . In 2001 , Dubai Municipality embarked on an e-Government project with the intention of providing 40 of its city services through its web portal , ( dubai.ae ) . Thirteen such services were launched by October 2001 , while several other services were expected to be operational in the future . Dubai Municipality is also in charge of the city 's sanitation and sewage infrastructure .   The UAE has a Minister of Happiness , appointed by Mohammed Bin Rashid Al Maktoum . The UAE has also appointed a Minister of Tolerance to promote tolerance as a fundamental value of the UAE , a country filled with a diverse range of faiths and ethnicities , and also a Minister for Youth Affairs .   Law enforcement ( edit )   The Dubai Police Force , founded in 1956 in the locality of Naif , has law enforcement jurisdiction over the emirate . The force is under direct command of Mohammed bin Rashid al Maktoum .  Dubai Police operates a fleet of exotic cars .  Dubai and Ras al Khaimah are the only emirates that do not conform to the federal judicial system of the United Arab Emirates . The emirate 's judicial courts comprise the Court of First Instance , the Court of Appeal , and the Court of Cassation . The Court of First Instance consists of the Civil Court , which hears all civil claims ; the Criminal Court , which hears claims originating from police complaints ; and Sharia Court , which is responsible for matters between Muslims . Non-Muslims do not appear before the Sharia Court . The Court of Cassation is the supreme court of the emirate and hears disputes on matters of law only .   Sharia laws ( edit )   Kissing in certain places is illegal and can result in deportation . Sometimes , certain narrow exemptions to Islamic law are made for adult non-Muslims . Adult non-Muslims are allowed to consume alcohol in licensed venues , typically within hotels , or at home with the possession of an alcohol license . Restaurants outside hotels in Dubai are typically not permitted to sell alcohol . Like other parts of the world , drinking and driving is illegal .   Human rights ( edit )  Main article : Human rights in Dubai  Human rights organisations have heavily criticised violations of human rights in Dubai . In a notorious case , a Norwegian businesswoman who claimed to have been raped was arrested and sentenced to sixteen months in prison for having extra-marital sex .   Some of the 250,000 foreign labourers in the city have been alleged to live in conditions described by Human Rights Watch as `` less than humane '' . The mistreatment of foreign workers was a subject of the difficult - to - make documentary , Slaves in Dubai ( 2009 ) . The Dubai government has denied labour injustices and stated that the watchdog 's ( Human Rights Watch ) accusations were ' misguided ' . The filmmaker explained in interviews how it was necessary to go undercover to avoid discovery by the authorities , who impose high fines on reporters attempting to document human rights abuses , including the conditions of construction workers . Towards the end of March 2006 , the government had announced steps to allow construction unions . UAE labour minister Ali al - Kaabi said : `` Labourers will be allowed to form unions . ''   Demographics ( edit )     Historical population     Year   Pop .   ± %     1822   1,200   --     1900   10,000   + 733.3 %     1930   20,000   + 100.0 %     1940   38,000   + 90.0 %     1960   40,000   + 5.3 %     1968   58,971   + 47.4 %       183,000   + 210.3 %     1985   370,800   + 102.6 %     1995   674,000   + 81.8 %     2005   1,204,000   + 78.6 %     2014   2,250,000   + 86.9 %     2016   2,502,715   + 11.2 %     c - census ; e-estimate    Main article : Demographics of Dubai  Ethnicity and languages ( edit )  Main article : Emirati people See also : Indians in the United Arab Emirates , Pakistanis in the United Arab Emirates , Filipinos in the United Arab Emirates , Bangladeshis in the United Arab Emirates , and Expatriates in the United Arab Emirates  According to the census conducted by the Stat</t>
  </si>
  <si>
    <t xml:space="preserve">what is the name of the sea surrounding dubai</t>
  </si>
  <si>
    <t xml:space="preserve"> Dubai ( / duːˈbaɪ / doo - BY ; Arabic : دبي ‎ Dubay , Gulf pronunciation : ( dʊˈbɑj ) ) is the largest and most populous city in the United Arab Emirates ( UAE ) . It is located on the southeast coast of the Persian Gulf and is the capital of the Emirate of Dubai , one of the seven emirates that make up the country . Abu Dhabi and Dubai are the only two emirates to have veto power over critical matters of national importance in the country 's Federal Supreme Council . The city of Dubai is located on the emirate 's northern coastline and heads the Dubai - Sharjah - Ajman metropolitan area . Dubai will host World Expo 2020 . </t>
  </si>
  <si>
    <r>
      <rPr>
        <sz val="11"/>
        <color rgb="FF000000"/>
        <rFont val="Calibri"/>
        <family val="0"/>
        <charset val="1"/>
      </rPr>
      <t xml:space="preserve">List of National Basketball Association career scoring leaders - wikipedia  List of National Basketball Association career scoring leaders  Jump to : navigation , search      This article 's lead section does not adequately summarize key points of its contents . Please consider expanding the lead to provide an accessible overview of all important aspects of the article . Please discuss this issue on the article 's talk page . ( March 2018 )    Kareem Abdul - Jabbar has scored the most career points in NBA history .  This article provides two lists :    A list of National Basketball Association players by total career regular season points scored .   A progressive list of scoring leaders showing how the record increased through the past seasons .      Contents  ( hide )   1 Scoring Leaders   2 Progressive list of scoring leaders   3 See also   4 References   5 External links      Scoring leaders ( edit )   The following is a list of National Basketball Association players by total career regular season points scored .    Statistics accurate as of April 5 , 2018 .        Active NBA player     *   Inducted into the Naismith Memorial Basketball Hall of Fame     †   Not yet eligible for Hall of Fame consideration       Rank   Player   Position ( s )   Team ( s ) played for ( years )   Total points   Games played   Points per game average   Field goals made   Three - point field goals made   Free throws made       Abdul - Jabbar , Kareem Kareem Abdul - Jabbar *     Milwaukee Bucks ( 1969 -- 1975 ) Los Angeles Lakers ( 1975 -- 1989 )   38,387   1,560   24.6   15,837     6,712       Malone , Karl Karl Malone *   PF   Utah Jazz ( 1985 -- 2003 ) Los Angeles Lakers ( 2003 -- 2004 )   36,928   1,476   25.0   13,528   85   9,787       Bryant , Kobe Kobe Bryant   SG   Los Angeles Lakers ( 1996 -- 2016 )   33,643   1,346   25.0   11,719   1,827   8,378       Jordan , Michael Michael Jordan *   SG   Chicago Bulls ( 1984 -- 1993 , 1995 -- 1998 ) Washington Wizards ( 2001 -- 2003 )   32,292   1,072   30.1   12,192   581   7,327     5   Chamberlain , Wilt Wilt Chamberlain *     Philadelphia / San Francisco Warriors ( 1959 -- 1965 ) Philadelphia 76ers ( 1965 -- 1968 ) Los Angeles Lakers ( 1968 -- 1973 )   31,419   1,045   30.1   12,681   0   6,057     6   Nowitzki , Dirk Dirk Nowitzki ^   PF / C   Dallas Mavericks ( 1999 -- present )   31,187   1,471   21.2   11,034   1,918   7,201     7   James , LeBron LeBron James ^   SF / PF   Cleveland Cavaliers ( 2003 -- 2010 , 2014 -- present ) Miami Heat ( 2010 -- 2014 )   30,925   1,139   27.2   11,240   1,607   6,838     8   O'Neal , Shaquille Shaquille O'Neal *     Orlando Magic ( 1992 -- 1996 ) Los Angeles Lakers ( 1996 -- 2004 ) Miami Heat ( 2004 -- 2008 ) Phoenix Suns ( 2008 -- 2009 ) Cleveland Cavaliers ( 2009 -- 2010 ) Boston Celtics ( 2010 -- 2011 )   28,596   1,207   23.7   11,330     5,935     9   Malone , Moses Moses Malone *     Buffalo Braves ( 1976 ) Houston Rockets ( 1976 -- 1982 ) Philadelphia 76ers ( 1982 -- 1986 , 1993 -- 1994 ) Washington Bullets ( 1986 -- 1988 ) Atlanta Hawks ( 1988 -- 1991 ) Milwaukee Bucks ( 1991 -- 1993 ) San Antonio Spurs ( 1994 -- 1995 )   27,409   1,329   20.6   9,435   8   8,531     10   Hayes , Elvin Elvin Hayes *   PF / C   San Diego / Houston Rockets ( 1968 -- 1972 , 1981 -- 1984 ) Baltimore / Capital / Washington Bullets ( 1972 -- 1981 )   27,313   1,303   21.0   10,976   5   5,356     11   Olajuwon , Hakeem Hakeem Olajuwon *     Houston Rockets ( 1984 -- 2001 ) Toronto Raptors ( 2001 -- 2002 )   26,946   1,238   21.8   10,749   25   5,423     12   Robertson , Oscar Oscar Robertson *   PG   Cincinnati Royals ( 1960 -- 1970 ) Milwaukee Bucks ( 1970 -- 1974 )   26,710   1,040   25.7   9,508   0   7,694     13   Wilkins , Dominique Dominique Wilkins *   SF   Atlanta Hawks ( 1982 -- 1994 ) Los Angeles Clippers ( 1994 ) Boston Celtics ( 1994 -- 1995 ) San Antonio Spurs ( 1996 -- 1997 ) Orlando Magic ( 1999 )   26,668   1,074   24.8   9,963   711   6,031     14   Duncan , Tim Tim Duncan   PF / C   San Antonio Spurs ( 1997 -- 2016 )   26,496   1,392   19.0   10,285   30   5,896     15   Pierce , Paul Paul Pierce   SF / SG   Boston Celtics ( 1999 -- 2013 ) Brooklyn Nets ( 2013 -- 2014 ) Washington Wizards ( 2014 -- 2015 ) Los Angeles Clippers ( 2015 -- 2017 )   26,397   1,343   19.7   8,668   2,143   6,918     16   Havlicek , John John Havlicek *   SF / SG   Boston Celtics ( 1962 -- 1978 )   26,395   1,270   20.8   10,513   0   5,369     17   Garnett , Kevin Kevin Garnett   PF / C   Minnesota Timberwolves ( 1995 -- 2007 , 2015 -- 2016 ) Boston Celtics ( 2007 -- 2013 ) Brooklyn Nets ( 2013 -- 2015 )   26,071   1,462   17.8   10,505   174   4,887     18   English , Alex Alex English *   SF   Milwaukee Bucks ( 1976 -- 1978 ) Indiana Pacers ( 1978 -- 1980 ) Denver Nuggets ( 1980 -- 1990 ) Dallas Mavericks ( 1990 -- 1991 )   25,613   1,193   21.5   10,659   18   4,277     19   Anthony , Carmelo Carmelo Anthony ^   SF   Denver Nuggets ( 2003 -- 2011 ) New York Knicks ( 2011 -- 2017 ) Oklahoma City Thunder ( 2017 -- present )   25,374   1,051   24.1   9,073   1,336   5,892     20   Miller , Reggie Reggie Miller *   SG   Indiana Pacers ( 1987 -- 2005 )   25,279   1,389   18.2   8,241   2,560   6,237     21   West , Jerry Jerry West *   PG / SG   Los Angeles Lakers ( 1960 -- 1974 )   25,192   932   27.0   9,016   0   7,160     22   Carter , Vince Vince Carter ^   SG / SF   Toronto Raptors ( 1999 -- 2004 ) New Jersey Nets ( 2004 -- 2009 ) Orlando Magic ( 2009 -- 2010 ) Phoenix Suns ( 2010 -- 2011 ) Dallas Mavericks ( 2011 -- 2014 ) Memphis Grizzlies ( 2014 -- 2017 ) Sacramento Kings ( 2017 -- present )   24,850   1,402   17.7   8,984   2,103   4,779     23   Ewing , Patrick Patrick Ewing *     New York Knicks ( 1985 -- 2000 ) Seattle SuperSonics ( 2000 -- 2001 ) Orlando Magic ( 2001 -- 2002 )   24,815   1,183   21.0   9,702   19   5,392     24   Allen , Ray Ray Allen *   SG   Milwaukee Bucks ( 1996 -- 2003 ) Seattle SuperSonics ( 2003 -- 2007 ) Boston Celtics ( 2007 -- 2012 ) Miami Heat ( 2012 -- 2014 )   24,505   1,300   18.9   8,567   2,973   4,398     25   Iverson , Allen Allen Iverson *   SG / PG   Philadelphia 76ers ( 1996 -- 2006 , 2009 -- 2010 ) Denver Nuggets ( 2006 -- 2008 ) Detroit Pistons ( 2008 -- 2009 ) Memphis Grizzlies ( 2009 )   24,368   914   26.7   8,467   1,059   6,375     26   Barkley , Charles Charles Barkley *   PF   Philadelphia 76ers ( 1984 -- 1992 ) Phoenix Suns ( 1992 -- 1996 ) Houston Rockets ( 1996 -- 2000 )   23,757   1,073   22.1   8,435   538   6,349     27   Parish , Robert Robert Parish *     Golden State Warriors ( 1976 -- 1980 ) Boston Celtics ( 1980 -- 1994 ) Charlotte Hornets ( 1994 -- 1996 ) Chicago Bulls ( 1996 -- 1997 )   23,334   1,611   14.5   9,614   0   4,106     28   Dantley , Adrian Adrian Dantley *   SF   Buffalo Braves ( 1976 -- 1977 ) Indiana Pacers ( 1977 ) Los Angeles Lakers ( 1977 -- 1979 ) Utah Jazz ( 1979 -- 1986 ) Detroit Pistons ( 1986 -- 1989 ) Dallas Mavericks ( 1989 -- 1990 ) Milwaukee Bucks ( 1991 )   23,177   955   24.3   8,169   7   6,832     29   Baylor , Elgin Elgin Baylor *   SF   Minneapolis / Los Angeles Lakers ( 1958 -- 1971 )   23,149   846   27.4   8,693   0   5,763     30   Drexler , Clyde Clyde Drexler *   SG   Portland Trail Blazers ( 1983 -- 1995 ) Houston Rockets ( 1995 -- 1998 )   22,195   1,086   20.4   8,335   827   4,698     31   Wade , Dwyane Dwyane Wade ^   SG   Miami Heat ( 2003 -- 2016 , 2018 -- present ) Chicago Bulls ( 2016 -- 2017 ) Cleveland Cavaliers ( 2017 -- 2018 )   22,058   979   22.5   8,028   462   5,540     32   Payton , Gary Gary Payton *   PG   Seattle SuperSonics ( 1990 -- 2003 ) Milwaukee Bucks ( 2003 ) Los Angeles Lakers ( 2003 -- 2004 ) Boston Celtics ( 2004 -- 2005 ) Miami Heat ( 2005 -- 2007 )   21,813   1,335   16.3   8,708   1,132   3,265     33   Bird , Larry Larry Bird *   SF / PF   Boston Celtics ( 1979 -- 1992 )   21,791   897   24.3   8,591   649   3,960     34   Greer , Hal Hal Greer *   SG / PG   Syracuse Nationals / Philadelphia 76ers ( 1958 -- 1973 )   21,586   1,122   19.2   8,504   0   4,578     35   Bellamy , Walt Walt Bellamy *     Chicago Packers / Zephyrs / Baltimore Bullets ( 1961 -- 1965 ) New York Knicks ( 1965 -- 1968 ) Detroit Pistons ( 1968 -- 1970 ) Atlanta Hawks ( 1970 -- 1974 ) New Orleans Jazz ( 1974 )   20,941   1,043   20.1   7,914   0   5,113     36   Pettit , Bob Bob Pettit *   PF / C   Milwaukee / St. Louis Hawks ( 1954 -- 1965 )   20,880   792   26.4   7,349   0   6,182     37   Durant , Kevin Kevin Durant ^   SF / SG   Seattle SuperSonics / Oklahoma City Thunder ( 2007 -- 2016 ) Golden State Warriors ( 2016 -- present )   20,815   767   27.1   7,058   1,425   5,274     38   Robinson , David David Robinson *     San Antonio Spurs ( 1989 -- 2003 )   20,790   987   21.1   7,365   25   6,035     39   Gasol , Pau Pau Gasol ^   C / PF   Memphis Grizzlies ( 2001 -- 2008 ) Los Angeles Lakers ( 2008 -- 2014 ) Chicago Bulls ( 2014 -- 2016 ) San Antonio Spurs ( 2016 -- present )   20,759   1,193   17.4   7,932   172   4,723     40   Gervin , George George Gervin *   SG / SF   San Antonio Spurs ( 1976 -- 1985 ) Chicago Bulls ( 1985 -- 1986 )   20,708   791   26.2   8,045   77   4,541     41   Richmond , Mitch Mitch Richmond *   SG   Golden State Warriors ( 1988 -- 1991 ) Sacramento Kings ( 1991 -- 1998 ) Washington Wizards ( 1999 -- 2001 ) Los Angeles Lakers ( 2001 -- 2002 )   20,497   976   21.0   7,305   1,326   4,561     42   Johnson , Joe Joe Johnson ^   SG / SF   Boston Celtics ( 2001 -- 2002 ) Phoenix Suns ( 2002 -- 2005 ) Atlanta Hawks ( 2005 -- 2012 ) Brooklyn Nets ( 2012 -- 2016 ) Miami Heat ( 2016 ) Utah Jazz ( 2016 -- 2018 ) Houston Rockets ( 2018 -- present )   20,386   1,272   16.0   7,815   1,976   2,780     43   Chambers , Tom Tom Chambers   PF   San Diego Clippers ( 1981 -- 1983 ) Seattle SuperSonics ( 1983 -- 1988 ) Phoenix Suns ( 1988 -- 1993 ) Utah Jazz ( 1993 -- 1995 ) Charlotte Hornets ( 1997 ) Philadelphia 76ers ( 1997 )   20,049   1,107   18.1   7,378   227   5,066     44   Jamison , Antawn Antawn Jamison   PF / SF   Golden State Warriors ( 1999 -- 2003 ) Dallas Mavericks ( 2003 -- 2004 ) Washington Wizards ( 2004 -- 2010 ) Cleveland Cavaliers ( 2010 -- 2012 ) Los Angeles Lakers ( 2012 -- 2013 ) Los Angeles Clippers ( 2013 -- 2014 )   20,042   1,083   18.5   7,679   1,163   3,521     45   Stockton , John John Stockton *   PG   Utah Jazz ( 1984 -- 2003 )   19,711   1,504   13.1   7,039   845   4,788     46   King , Bernard Bernard King *   SF   New Jersey Nets ( 1977 -- 1979 , 1993 ) Utah Jazz ( 1979 ) Golden State Warriors ( 1980 -- 1982 ) New York Knicks ( 1982 -- 1985 , 1987 ) Washington Bullets ( 1987 -- 1991 )   19,655   874   22.5   7,830   23   3,972     47   Robinson , Clifford Clifford Robinson   PF / SF   Portland Trail Blazers ( 1989 -- 1997 ) Phoenix Suns ( 1997 -- 2001 ) Detroit Pistons ( 2001 -- 2003 ) Golden State Warriors ( 2003 -- 2005 ) New Jersey Nets ( 2005 -- 2007 )   19,591   1,380   14.2   7,389   1,253   3,560     48   Davis , Walter Walter Davis   SG / SF   Phoenix Suns ( 1977 -- 1988 ) Denver Nuggets ( 1988 -- 1991 , 1991 -- 1992 ) Portland Trail Blazers ( 1991 )   19,521   1,033   18.9   8,118   157   3,128     49   Cummings , Terry Terry Cummings   PF   San Diego Clippers ( 1982 -- 1984 ) Milwaukee Bucks ( 1984 -- 1989 , 1995 -- 1996 ) San Antonio Spurs ( 1989 -- 1995 ) Seattle SuperSonics ( 1996 -- 1997 ) Philadelphia 76ers ( 1997 -- 1998 ) New York Knicks ( 1998 ) Golden State Warriors ( 1999 -- 2000 )   19,460   1,183   16.4   8,045   44   3,326     50   Lanier , Bob Bob Lanier *     Detroit Pistons ( 1970 -- 1980 ) Milwaukee Bucks ( 1980 -- 1984 )   19,248   959   20.1   7,761     3,724     Progressive list of scoring leaders ( edit )   This is a progressive list of scoring leaders showing how the record increased through the years .    Statistics accurate as of March 23 , 2018 .        Active NBA player     *   Inducted into the Naismith Memorial Basketball Hall of Fame     †   Not yet eligible for Hall of Fame consideration      Only players with at least 50 win shares are shown for 1st time eligible Hall of Fame consideration .   Win Shares is a player statistic which attempts to divvy up credit for team success to the individuals on the team .    Team abbreviations Team ( s ) listed is the one player was on when he established the record .   ATL   Atlanta Hawks   DET   Detroit Pistons   MIL   Milwaukee Bucks   PHX   Phoenix Suns     BOS   Boston Celtics   FTW   Fort Wayne Pistons   MIN   Minnesota Timberwolves   PHW   Philadelphia Warriors     BUF   Buffalo Braves   GSW   Golden State Warriors   MNL   Minneapolis Lakers   SAS   San Antonio Spurs     CHI   Chicago Bulls   HOU   Houston Rockets   NOJ   New Orleans Jazz   SDR   San Diego Rockets     CHS   Chicago Stags   IND   Indiana Pacers   NOP   New Orleans Pelicans   SFW   San Francisco Warriors     CLE   Cleveland Cavaliers   KCO   Kansas City - Omaha Kings   OKC   Oklahoma City Thunder   STL   St. Louis Hawks     DAL   Dallas Mavericks   LAL   Los Angeles Lakers   ORL   Orlando Magic   SYR   Syracuse Nationals     DEN   Denver Nuggets   MIA   Miami Heat   PHI   Philadelphia 76ers   UTA   Utah Jazz     Scoring Leader at the end of every season   Season   Year - by - year leader   Points   Active player points leader   Total points   Career points record   Total points   Single - season points record   Points   Season     1946 -- 47   Joe Fulks * 000PHW   1,389   Joe Fulks * 000PHW   1,389   Joe Fulks * 000PHW   1,389   Joe Fulks * 000PHW   1,389   1946 -- 47     1947 -- 48   Max Zaslofsky 000CHS   1,007   2,338   2,338   1947 -- 48     1948 -- 49   George Mikan * 000MNL   1,698   3,898   3,898   George Mikan * 000MNL   1,698   1948 -- 49     1949 -- 50   1,865   4,863   4,863   1,865   1949 -- 50     1950 -- 51   1,932   6,099   6,099   1,932   1950 -- 51     1951 -- 52   Paul Arizin * 000PHW   1,674   7,021   7,021   1951 -- 52     1952 -- 53   Neil Johnston * 000PHW   1,564   George Mikan * 000MNL   8,460   George Mikan * 000MNL   8,460   1952 -- 53     1953 -- 54   1,759   9,766   9,766   1953 -- 54     1954 -- 55   1,631   Max Zaslofsky 000FTW   7,902   1954 -- 55     1955 -- 56   Bob Pettit * 000STL   1,849   George Mikan * 000MNL   10,156   10,156   1955 -- 56     1956 -- 57   Paul Arizin * 000PHW   1,817   Ed Macauley * 000STL   10,150   1956 -- 57     1957 -- 58   George Yardley * 000DET   2,001   Dolph Schayes * 000SYR   11,764   Dolph Schayes * 000SYR   11,764   George Yardley * 000DET   2,001   1957 -- 58     1958 -- 59   Bob Pettit * 000STL   2,105   13,298   13,298   Bob Pettit * 000STL   2,105   1958 -- 59     1959 -- 60   Wilt Chamberlain * 000PHW 1959 -- 62 000SFW 1962 -- 65 000PHI 1965 -- 66   2,707   14,987   14,987   Wilt Chamberlain * 000PHW   2,707   1959 -- 60     1960 -- 61   3,033   16,855   16,855   3,033   1960 -- 61     1961 -- 62   4,029   17,677   17,677   4,029   1961 -- 62     1962 -- 63   3,586   18,304   18,304   1962 -- 63     1963 -- 64   2,948   Bob Pettit * 000STL   19,756   Bob Pettit * 000STL   19,756   1963 -- 64     1964 -- 65   2,534   20,880   20,880   1964 -- 65     1965 -- 66   2,649   Wilt Chamberlain * 000PHI 1965 -- 68 000LAL 1968 -- 73   21,486   Wilt Chamberlain * 000PHI 1965 -- 68 000LAL 1968 -- 73   21,486   1965 -- 66     1966 -- 67   Rick Barry * 000SFW   2,775   23,442   23,442   1966 -- 67     1967 -- 68   Dave Bing * 000DET   2,142   25,434   25,434   1967 -- 68     1968 -- 69   Elvin Hayes * 000SDR   2,327   27,098   27,098   1968 -- 69     1969 -- 70   Kareem Abdul - Jabbar * 000MIL   2,361   27,426   27,426   1969 -- 70     1970 -- 71   2,596   29,122   29,122   1970 -- 71     1971 -- 72   2,822   30,335   30,335   1971 -- 72     1972 -- 73   Tiny Archibald * 000KCO   2,719   31,419   31,419   1972 -- 73     1973 -- 74   Bob McAdoo * 000BUF   2,261   Oscar Robertson * 000MIL   26,710   1973 -- 74     1974 -- 75   2,831   John Havlicek * 000BOS   22,389   1974 -- 75     1975 -- 76   2,427   23,678   1975 -- 76     1976 -- 77   Pete Maravich * 000NOJ   2,273   25,073   1976 -- 77     1977 -- 78   George Gervin * 000SAS   2,232   26,395   1977 -- 78     1978 -- 79   2,365   Kareem Abdul - Jabbar * 000LAL   22,141   1978 -- 79     1979 -- 80   2,585   24,175   1979 -- 80     1980 -- 81   Adrian Dantley * 000UTA   2,452   26,270   1980 -- 81     1981 -- 82   George Gervin * 000SAS   2,551   28,088   1981 -- 82     1982 -- 83   Alex English * 000DEN   2,326   29,810   1982 -- 83     1983 -- 84   Adrian Dantley * 000UTA   2,418   31,527   Kareem Abdul - Jabbar * 000LAL   31,527   1983 -- 84     1984 -- 85   Michael Jordan * 000CHI   2,313   33,262   33,262   1984 -- 85     1985 -- 86   Alex English * 000DEN   2,414   35,108   35,108   1985 -- 86     1986 -- 87   Michael Jordan * 000CHI   3,041   36,474   36,474   1986 -- 87     1987 -- 88   2,868   37,639   37,639   1987 -- 88     1988 -- 89   2,633   38,387   38,387   1988 -- 89     1989 -- 90   2,753   Moses Malone * 000ATL 1989 -- 91 000MIL 1991 -- 93 000PHI 1993 -- 94 000SAS 1994 -- 95   24,868   1989 -- 90     1990 -- 91   2,580   25,737   1990 -- 91     1991 -- 92   2,404   27,016   1991 -- 92     1992 -- 93   2,541   27,066   1992 -- 93     1993 -- 94   David Robinson * 000SAS   2,383   27,360   1993 -- 94     1994 -- 95   Shaquille O'Neal * 000ORL   2,315   27,409   1994 -- 95     1995 -- 96   Michael Jordan * 000CHI   2,491   Michael Jordan * 000CHI   24,489   1995 -- 96     1996 -- 97   2,431   26,920   1996 -- 97     1997 -- 98   2,357   29,277   1997 -- 98     1998 -- 99   Shaquille O'Neal * 000LAL   1,289   Karl Malone * 000UTA 1998 -- 2003 000LAL 2003 -- 04   28,946   1998 -- 99     1999 -- 00   2,344   31,041   1999 -- 00     2000 -- 01   Jerry Stackhouse 00DET   2,380   32,919   2000 -- 01     2001 -- 02   Paul Pierce 000BOS   2,144   34,707   2001 -- 02     2002 -- 03   Kobe Bryant 000LAL   2,461   36,374   2002 -- 03     2003 -- 04   Kevin Garnett 000MIN   1,987   36,928   2003 -- 04     2004 -- 05   Allen Iverson * 000PHI   2,302   Reggie Miller * 000IND   25,279   2004 -- 05     2005 -- 06   Kobe Bryant 000LAL   2,832   Shaquille O'Neal * 000MIA 2005 -- 08 000PHO 2008 -- 09 000CLE 2009 -- 10 000BOS 2010 -- 11   24,764   2005 -- 06     2006 -- 07   2,430   25,454   2006 -- 07     2007 -- 08   2,323   26,286   2007 -- 08     2008 -- 09   Dwyane Wade ^ 000MIA   2,386   27,619   2008 -- 09     2009 -- 10   Kevin Durant ^ 000OKC   2,472   28,255   2009 -- 10     2010 -- 11   2,161   28,596   2010 -- 11     2011 -- 12   1,850   Kobe Bryant 000LAL   29,484   2011 -- 12     2012 -- 13   2,280   31,617   2012 -- 13     2013 -- 14   2,593   31,700   2013 -- 14     2014 -- 15   James Harden ^ 000HOU   2,217   32,482   2014 -- 15     2015 -- 16   2,376   33,643   2015 -- 16     2016 -- 17   Russell Westbrook ^ 000OKC   2,558   Dirk Nowitzki ^ 000DAL   30,260   2016 -- 17     2017 -- 18   Lebron James ^ 000CLE   2,138   31,187   Abdul - Jabbar * 0 35 yrs   38,387   Chamberlain * 059 yrs   4,029   2017 -- 18     Season   Year - by - Year Leader   Points   Active Player Points Leader   Total points   Career Points Record   Total points   Single Season Points Record   Points   Season       See also ( edit )    List of National Basketball Association annual scoring leaders   List of National Basketball Association career playoff scoring leaders   National Basketball Association portal    References ( edit )    ^ Jump up to : `` NBA Progressive Leaders and Records for Points '' . Basketball-Reference.com . Retrieved 25 March 2015 .   ^ Jump up to : A player is not eligible for induction into the Naismith Memorial Basketball Hall of Fame until he has been fully retired for three calendar years .   Jump up ^ American Basketball Association ( ABA ) teams other than those admitted into the NBA in 1976 are not included ; each year is linked to an article about that particular NBA season .   Jump up ^ Average is rounded to the nearest tenth .   Jump up ^ First adopted in the 1979 -- 80 season .   Jump up ^ Previously known as Lew Alcindor prior to an official name change on May 1 , 1971 .   Jump up ^ Previously written as Akeem Olajuwon prior to an official spelling change on March 9 , 1991 .   Jump up ^ `` NBA Win Shares '' . Basketball-reference.com . Retrieved 8 April 2016 .    External links ( edit )    Basketball-Reference.com enumeration of NBA career leaders in points scored      ( hide )         National Basketball Association statistical leaders     Players      Career      Regular season     Points   Franchise     Rebounds   Assists   Steals   Blocks   Turnovers   Three - point field goals   Free throws   Seasons   Games   Minutes       Playoffs     Points   Rebounds   Assists   Steals   Blocks   Turnovers   Three - point field goals   Free throws   Games   Minutes          Annual     Points   Rebounds   Assists   Steals   Blocks   Minutes   Field goal percentage   Three - point field goals   Three - point field goal percentage   Free throw percentage       Season     Points   Rookie     Rebounds   Rookie         Game     Points   Playoffs     Rebounds   Assists   Steals   Blocks       Misc     Tallest players   Shortest players   Oldest and youngest players   Highest - paid players          Teams     Winningest teams   All - time win - loss records   Winning streaks   Losing streaks       Misc     Highest - scoring games   Records   Regular season   Playoffs   All - Star Game        Retrieved from `` https://en.wikipedia.org/w/index.php?title=List_of_National_Basketball_Association_career_scoring_leaders&amp;oldid=834470586 '' Categories :   National Basketball Association lists   National Basketball Association statistical leaders   Hidden categories :   Wikipedia introduction cleanup from March 2018   All pages needing cleanup   Articles covered by WikiProject Wikify from March 2018   All articles covered by WikiProject Wikify   Articles with hCards           Talk                                           Contents                   About Wikipedia                                           Bosanski   Deutsch   Eesti   Español   Français   Italiano   Latviešu   Polski   Русский   Українська   Vèneto   </t>
    </r>
    <r>
      <rPr>
        <sz val="11"/>
        <color rgb="FF000000"/>
        <rFont val="Noto Sans CJK SC"/>
        <family val="2"/>
      </rPr>
      <t xml:space="preserve">中文  </t>
    </r>
    <r>
      <rPr>
        <sz val="11"/>
        <color rgb="FF000000"/>
        <rFont val="Calibri"/>
        <family val="0"/>
        <charset val="1"/>
      </rPr>
      <t xml:space="preserve">5 more  Edit links   This page was last edited on 5 April 2018 , at 22 : 09 .         About Wikipedia                    </t>
    </r>
  </si>
  <si>
    <t xml:space="preserve">who holds the nba record for most points in a career</t>
  </si>
  <si>
    <t xml:space="preserve">   Rank   Player   Position ( s )   Team ( s ) played for ( years )   Total points   Games played   Points per game average   Field goals made   Three - point field goals made   Free throws made       Abdul - Jabbar , Kareem Kareem Abdul - Jabbar *     Milwaukee Bucks ( 1969 -- 1975 ) Los Angeles Lakers ( 1975 -- 1989 )   38,387   1,560   24.6   15,837     6,712       Malone , Karl Karl Malone *   PF   Utah Jazz ( 1985 -- 2003 ) Los Angeles Lakers ( 2003 -- 2004 )   36,928   1,476   25.0   13,528   85   9,787       Bryant , Kobe Kobe Bryant   SG   Los Angeles Lakers ( 1996 -- 2016 )   33,643   1,346   25.0   11,719   1,827   8,378       Jordan , Michael Michael Jordan *   SG   Chicago Bulls ( 1984 -- 1993 , 1995 -- 1998 ) Washington Wizards ( 2001 -- 2003 )   32,292   1,072   30.1   12,192   581   7,327     5   Chamberlain , Wilt Wilt Chamberlain *     Philadelphia / San Francisco Warriors ( 1959 -- 1965 ) Philadelphia 76ers ( 1965 -- 1968 ) Los Angeles Lakers ( 1968 -- 1973 )   31,419   1,045   30.1   12,681   0   6,057     6   Nowitzki , Dirk Dirk Nowitzki ^   PF / C   Dallas Mavericks ( 1999 -- present )   31,187   1,471   21.2   11,034   1,918   7,201     7   James , LeBron LeBron James ^   SF / PF   Cleveland Cavaliers ( 2003 -- 2010 , 2014 -- present ) Miami Heat ( 2010 -- 2014 )   30,925   1,139   27.2   11,240   1,607   6,838     8   O'Neal , Shaquille Shaquille O'Neal *     Orlando Magic ( 1992 -- 1996 ) Los Angeles Lakers ( 1996 -- 2004 ) Miami Heat ( 2004 -- 2008 ) Phoenix Suns ( 2008 -- 2009 ) Cleveland Cavaliers ( 2009 -- 2010 ) Boston Celtics ( 2010 -- 2011 )   28,596   1,207   23.7   11,330     5,935     9   Malone , Moses Moses Malone *     Buffalo Braves ( 1976 ) Houston Rockets ( 1976 -- 1982 ) Philadelphia 76ers ( 1982 -- 1986 , 1993 -- 1994 ) Washington Bullets ( 1986 -- 1988 ) Atlanta Hawks ( 1988 -- 1991 ) Milwaukee Bucks ( 1991 -- 1993 ) San Antonio Spurs ( 1994 -- 1995 )   27,409   1,329   20.6   9,435   8   8,531     10   Hayes , Elvin Elvin Hayes *   PF / C   San Diego / Houston Rockets ( 1968 -- 1972 , 1981 -- 1984 ) Baltimore / Capital / Washington Bullets ( 1972 -- 1981 )   27,313   1,303   21.0   10,976   5   5,356     11   Olajuwon , Hakeem Hakeem Olajuwon *     Houston Rockets ( 1984 -- 2001 ) Toronto Raptors ( 2001 -- 2002 )   26,946   1,238   21.8   10,749   25   5,423     12   Robertson , Oscar Oscar Robertson *   PG   Cincinnati Royals ( 1960 -- 1970 ) Milwaukee Bucks ( 1970 -- 1974 )   26,710   1,040   25.7   9,508   0   7,694     13   Wilkins , Dominique Dominique Wilkins *   SF   Atlanta Hawks ( 1982 -- 1994 ) Los Angeles Clippers ( 1994 ) Boston Celtics ( 1994 -- 1995 ) San Antonio Spurs ( 1996 -- 1997 ) Orlando Magic ( 1999 )   26,668   1,074   24.8   9,963   711   6,031     14   Duncan , Tim Tim Duncan   PF / C   San Antonio Spurs ( 1997 -- 2016 )   26,496   1,392   19.0   10,285   30   5,896     15   Pierce , Paul Paul Pierce   SF / SG   Boston Celtics ( 1999 -- 2013 ) Brooklyn Nets ( 2013 -- 2014 ) Washington Wizards ( 2014 -- 2015 ) Los Angeles Clippers ( 2015 -- 2017 )   26,397   1,343   19.7   8,668   2,143   6,918     16   Havlicek , John John Havlicek *   SF / SG   Boston Celtics ( 1962 -- 1978 )   26,395   1,270   20.8   10,513   0   5,369     17   Garnett , Kevin Kevin Garnett   PF / C   Minnesota Timberwolves ( 1995 -- 2007 , 2015 -- 2016 ) Boston Celtics ( 2007 -- 2013 ) Brooklyn Nets ( 2013 -- 2015 )   26,071   1,462   17.8   10,505   174   4,887     18   English , Alex Alex English *   SF   Milwaukee Bucks ( 1976 -- 1978 ) Indiana Pacers ( 1978 -- 1980 ) Denver Nuggets ( 1980 -- 1990 ) Dallas Mavericks ( 1990 -- 1991 )   25,613   1,193   21.5   10,659   18   4,277     19   Anthony , Carmelo Carmelo Anthony ^   SF   Denver Nuggets ( 2003 -- 2011 ) New York Knicks ( 2011 -- 2017 ) Oklahoma City Thunder ( 2017 -- present )   25,374   1,051   24.1   9,073   1,336   5,892     20   Miller , Reggie Reggie Miller *   SG   Indiana Pacers ( 1987 -- 2005 )   25,279   1,389   18.2   8,241   2,560   6,237     21   West , Jerry Jerry West *   PG / SG   Los Angeles Lakers ( 1960 -- 1974 )   25,192   932   27.0   9,016   0   7,160     22   Carter , Vince Vince Carter ^   SG / SF   Toronto Raptors ( 1999 -- 2004 ) New Jersey Nets ( 2004 -- 2009 ) Orlando Magic ( 2009 -- 2010 ) Phoenix Suns ( 2010 -- 2011 ) Dallas Mavericks ( 2011 -- 2014 ) Memphis Grizzlies ( 2014 -- 2017 ) Sacramento Kings ( 2017 -- present )   24,850   1,402   17.7   8,984   2,103   4,779     23   Ewing , Patrick Patrick Ewing *     New York Knicks ( 1985 -- 2000 ) Seattle SuperSonics ( 2000 -- 2001 ) Orlando Magic ( 2001 -- 2002 )   24,815   1,183   21.0   9,702   19   5,392     24   Allen , Ray Ray Allen *   SG   Milwaukee Bucks ( 1996 -- 2003 ) Seattle SuperSonics ( 2003 -- 2007 ) Boston Celtics ( 2007 -- 2012 ) Miami Heat ( 2012 -- 2014 )   24,505   1,300   18.9   8,567   2,973   4,398     25   Iverson , Allen Allen Iverson *   SG / PG   Philadelphia 76ers ( 1996 -- 2006 , 2009 -- 2010 ) Denver Nuggets ( 2006 -- 2008 ) Detroit Pistons ( 2008 -- 2009 ) Memphis Grizzlies ( 2009 )   24,368   914   26.7   8,467   1,059   6,375     26   Barkley , Charles Charles Barkley *   PF   Philadelphia 76ers ( 1984 -- 1992 ) Phoenix Suns ( 1992 -- 1996 ) Houston Rockets ( 1996 -- 2000 )   23,757   1,073   22.1   8,435   538   6,349     27   Parish , Robert Robert Parish *     Golden State Warriors ( 1976 -- 1980 ) Boston Celtics ( 1980 -- 1994 ) Charlotte Hornets ( 1994 -- 1996 ) Chicago Bulls ( 1996 -- 1997 )   23,334   1,611   14.5   9,614   0   4,106     28   Dantley , Adrian Adrian Dantley *   SF   Buffalo Braves ( 1976 -- 1977 ) Indiana Pacers ( 1977 ) Los Angeles Lakers ( 1977 -- 1979 ) Utah Jazz ( 1979 -- 1986 ) Detroit Pistons ( 1986 -- 1989 ) Dallas Mavericks ( 1989 -- 1990 ) Milwaukee Bucks ( 1991 )   23,177   955   24.3   8,169   7   6,832     29   Baylor , Elgin Elgin Baylor *   SF   Minneapolis / Los Angeles Lakers ( 1958 -- 1971 )   23,149   846   27.4   8,693   0   5,763     30   Drexler , Clyde Clyde Drexler *   SG   Portland Trail Blazers ( 1983 -- 1995 ) Houston Rockets ( 1995 -- 1998 )   22,195   1,086   20.4   8,335   827   4,698     31   Wade , Dwyane Dwyane Wade ^   SG   Miami Heat ( 2003 -- 2016 , 2018 -- present ) Chicago Bulls ( 2016 -- 2017 ) Cleveland Cavaliers ( 2017 -- 2018 )   22,058   979   22.5   8,028   462   5,540     32   Payton , Gary Gary Payton *   PG   Seattle SuperSonics ( 1990 -- 2003 ) Milwaukee Bucks ( 2003 ) Los Angeles Lakers ( 2003 -- 2004 ) Boston Celtics ( 2004 -- 2005 ) Miami Heat ( 2005 -- 2007 )   21,813   1,335   16.3   8,708   1,132   3,265     33   Bird , Larry Larry Bird *   SF / PF   Boston Celtics ( 1979 -- 1992 )   21,791   897   24.3   8,591   649   3,960     34   Greer , Hal Hal Greer *   SG / PG   Syracuse Nationals / Philadelphia 76ers ( 1958 -- 1973 )   21,586   1,122   19.2   8,504   0   4,578     35   Bellamy , Walt Walt Bellamy *     Chicago Packers / Zephyrs / Baltimore Bullets ( 1961 -- 1965 ) New York Knicks ( 1965 -- 1968 ) Detroit Pistons ( 1968 -- 1970 ) Atlanta Hawks ( 1970 -- 1974 ) New Orleans Jazz ( 1974 )   20,941   1,043   20.1   7,914   0   5,113     36   Pettit , Bob Bob Pettit *   PF / C   Milwaukee / St. Louis Hawks ( 1954 -- 1965 )   20,880   792   26.4   7,349   0   6,182     37   Durant , Kevin Kevin Durant ^   SF / SG   Seattle SuperSonics / Oklahoma City Thunder ( 2007 -- 2016 ) Golden State Warriors ( 2016 -- present )   20,815   767   27.1   7,058   1,425   5,274     38   Robinson , David David Robinson *     San Antonio Spurs ( 1989 -- 2003 )   20,790   987   21.1   7,365   25   6,035     39   Gasol , Pau Pau Gasol ^   C / PF   Memphis Grizzlies ( 2001 -- 2008 ) Los Angeles Lakers ( 2008 -- 2014 ) Chicago Bulls ( 2014 -- 2016 ) San Antonio Spurs ( 2016 -- present )   20,759   1,193   17.4   7,932   172   4,723     40   Gervin , George George Gervin *   SG / SF   San Antonio Spurs ( 1976 -- 1985 ) Chicago Bulls ( 1985 -- 1986 )   20,708   791   26.2   8,045   77   4,541     41   Richmond , Mitch Mitch Richmond *   SG   Golden State Warriors ( 1988 -- 1991 ) Sacramento Kings ( 1991 -- 1998 ) Washington Wizards ( 1999 -- 2001 ) Los Angeles Lakers ( 2001 -- 2002 )   20,497   976   21.0   7,305   1,326   4,561     42   Johnson , Joe Joe Johnson ^   SG / SF   Boston Celtics ( 2001 -- 2002 ) Phoenix Suns ( 2002 -- 2005 ) Atlanta Hawks ( 2005 -- 2012 ) Brooklyn Nets ( 2012 -- 2016 ) Miami Heat ( 2016 ) Utah Jazz ( 2016 -- 2018 ) Houston Rockets ( 2018 -- present )   20,386   1,272   16.0   7,815   1,976   2,780     43   Chambers , Tom Tom Chambers   PF   San Diego Clippers ( 1981 -- 1983 ) Seattle SuperSonics ( 1983 -- 1988 ) Phoenix Suns ( 1988 -- 1993 ) Utah Jazz ( 1993 -- 1995 ) Charlotte Hornets ( 1997 ) Philadelphia 76ers ( 1997 )   20,049   1,107   18.1   7,378   227   5,066     44   Jamison , Antawn Antawn Jamison   PF / SF   Golden State Warriors ( 1999 -- 2003 ) Dallas Mavericks ( 2003 -- 2004 ) Washington Wizards ( 2004 -- 2010 ) Cleveland Cavaliers ( 2010 -- 2012 ) Los Angeles Lakers ( 2012 -- 2013 ) Los Angeles Clippers ( 2013 -- 2014 )   20,042   1,083   18.5   7,679   1,163   3,521     45   Stockton , John John Stockton *   PG   Utah Jazz ( 1984 -- 2003 )   19,711   1,504   13.1   7,039   845   4,788     46   King , Bernard Bernard King *   SF   New Jersey Nets ( 1977 -- 1979 , 1993 ) Utah Jazz ( 1979 ) Golden State Warriors ( 1980 -- 1982 ) New York Knicks ( 1982 -- 1985 , 1987 ) Washington Bullets ( 1987 -- 1991 )   19,655   874   22.5   7,830   23   3,972     47   Robinson , Clifford Clifford Robinson   PF / SF   Portland Trail Blazers ( 1989 -- 1997 ) Phoenix Suns ( 1997 -- 2001 ) Detroit Pistons ( 2001 -- 2003 ) Golden State Warriors ( 2003 -- 2005 ) New Jersey Nets ( 2005 -- 2007 )   19,591   1,380   14.2   7,389   1,253   3,560     48   Davis , Walter Walter Davis   SG / SF   Phoenix Suns ( 1977 -- 1988 ) Denver Nuggets ( 1988 -- 1991 , 1991 -- 1992 ) Portland Trail Blazers ( 1991 )   19,521   1,033   18.9   8,118   157   3,128     49   Cummings , Terry Terry Cummings   PF   San Diego Clippers ( 1982 -- 1984 ) Milwaukee Bucks ( 1984 -- 1989 , 1995 -- 1996 ) San Antonio Spurs ( 1989 -- 1995 ) Seattle SuperSonics ( 1996 -- 1997 ) Philadelphia 76ers ( 1997 -- 1998 ) New York Knicks ( 1998 ) Golden State Warriors ( 1999 -- 2000 )   19,460   1,183   16.4   8,045   44   3,326     50   Lanier , Bob Bob Lanier *     Detroit Pistons ( 1970 -- 1980 ) Milwaukee Bucks ( 1980 -- 1984 )   19,248   959   20.1   7,761     3,724   </t>
  </si>
  <si>
    <t xml:space="preserve">Once Upon a Time ( season 6 ) - wikipedia  Once Upon a Time ( season 6 )       Once Upon a Time ( season 6 )     DVD cover     Starring     Ginnifer Goodwin   Jennifer Morrison   Lana Parrilla   Josh Dallas   Emilie de Ravin   Colin O'Donoghue   Jared S. Gilmore   Rebecca Mader   Robert Carlyle       Country of origin   United States     No. of episodes   22     Release     Original network   ABC     Original release   September 25 , 2016 ( 2016 - 09 - 25 ) -- May 14 , 2017 ( 2017 - 05 - 14 )     Season chronology     ← Previous Season 5 Next → Season 7     List of Once Upon a Time episodes     The sixth season of the American ABC fantasy - drama Once Upon a Time was ordered on March 3 , 2016 . It debuted on September 25 , 2016 , and concluded on May 14 , 2017 . In January 2017 , it was stated that the sixth season would end the main storyline , and for a seventh season , the series would be softly rebooted with a new storyline .   Existing fictional characters introduced to the series during the season include Aladdin , Princess Jasmine , the Count of Monte Cristo , Captain Nemo , Lady Tremaine , Beowulf , Tiger Lily and the Tin Man . Original new characters include Gideon , the Black Fairy , Mary Lydgate , and Robert . The show also reintroduced Jafar and Dr. Arthur Lydgate , who previously appeared in Once Upon a Time in Wonderland .   This season also marks the final appearance of Emma Swan ( Jennifer Morrison ) as a series regular . Morrison announced she would be departing the series after the sixth - season finale , but if the series receives a seventh season renewal she has agreed to appear in at least one episode . After serving as a series regular for two seasons , Rebecca Mader also announced that season six would be her last on the show as a regular . Shortly after , Adam Horowitz and Edward Kitsis announced that original cast members Ginnifer Goodwin , Josh Dallas , and Jared Gilmore , as well as Emilie de Ravin who joined the main cast in season two , would also exit the show at the end of the season .   Contents    1 Premise   2 Cast and characters   2.1 Regular   2.2 Recurring   2.3 Guest     3 Episodes   4 Production   4.1 Development   4.1. 1 Musical episode     4.2 Casting     5 Ratings   6 References   7 External links    Premise ( edit )   The residents of Storybrooke are faced with threats from the Evil Queen and Mr. Hyde , both with different agendas following the arrival of refugees from the Land of Untold Stories . This leads to events to test Emma 's savior abilities that results in the arrival of the Black Fairy to begin the Final Battle that was prophesied centuries ago . As dark and light collides , a new , and darker curse is unleashed , leading to the fall of all the realms with magic . The Final Battle is fought and won , leading to the heroes earning their happy beginnings , but a new adventure begins in the far future for an adult Henry involving his daughter Lucy , and another curse looming across the New Enchanted Forest inhabitants .   Cast and characters ( edit )  Main article : List of Once Upon a Time characters  Regular ( edit )    Ginnifer Goodwin as Snow White / Mary Margaret Blanchard   Jennifer Morrison as Emma Swan   Lana Parrilla as Evil Queen / Regina Mills   Josh Dallas as Prince Charming / David Nolan   Emilie de Ravin as Belle / Lacey   Colin O'Donoghue as Captain Hook / Killian Jones   Jared S. Gilmore as Henry Mills   Rebecca Mader as Wicked Witch of the West / Zelena   Robert Carlyle as Rumplestiltskin / Mr. Gold    Recurring ( edit )    Beverley Elliott as Widow Lucas / Granny   Raphael Sbarge as Jiminy Cricket / Dr. Archie Hopper   Lee Arenberg as Dreamy / Grumpy / Leroy   David Paul Grove as Doc   Gabe Khouth as Sneezy / Mr. Clark   Faustino Di Bauda as Sleepy / Walter   Mig Macario as Bashful   Geoff Gustafson as Stealthy   Tony Amendola as Geppetto / Marco   Keegan Connor Tracy as the Blue Fairy / Mother Superior   Eion Bailey as Pinocchio / August Booth   David Anders as Victor Frankenstein / Dr. Whale   Jessy Schram as Cinderella / Ashley Boyd   Tim Phillipps as Prince Thomas / Sean Herman   Gabrielle Rose as Ruth   Alan Dale as King George / Albert Spencer   Jaime Murray as Fiona / the Black Fairy   Giles Matthey as Gideon / Morpheus   Sean Maguire as Robin of Locksley   Tony Perez as Prince Henry   Rose McIver as Tinker Bell   JoAnna Garcia Swisher as Ariel   Gil McKinney as Prince Eric   Giancarlo Esposito as Magic Mirror / Sidney Glass   Chris Gauthier as William Smee   Hank Harris as Dr. Henry Jekyll   Sam Witwer as Mr. Hyde   Deniz Akdeniz as Aladdin   Karen David as Princess Jasmine   Olivia Steele Falconer as Violet   Tzi Ma as the Dragon   Patrick Fischler as Isaac Heller   Sara Tomko as Tiger Lily   Wil Traval as the Sheriff of Nottingham / Keith    Guest ( edit )    Oded Fehr as Jafar   Tarun Keram as Emir   Jordyn Ashley Olson as the Oracle   Craig Horner as Edmond Dantès / Count of Monte Cristo   Andrea Brooks as Charlotte   Andrew Kavadas as Baron Danglars   Lisa Banes as Lady Tremaine   Mekenna Melvin as Clorinda Tremaine   Goldie Hoffman as Tisbe Tremaine   Max Lloyd - Jones as Jacob   Jarod Joseph as Gus / Billy   Jonny Coyne as Dr. Arthur Lydgate   Elizabeth Blackmore as Mary Lydgate   Reilly Jacob as Tom Sawyer   Cedric De Souza as the Sultan   Kate Dion - Richard as Goldilocks   Faran Tahir as Captain Nemo   Nick Eversman as First Mate Liam Jones II   Paul Johansson as Gabriel / the Woodcutter   Nick Hunnings as Jack   Tammy Gillis as Jill   Mckenna Grace as young Emma   Rustin Gresiuk as teen August / Pinocchio   Jack Davies as young Pinocchio     David Cubitt as Robert   Tara Wilson as young Ruth   Luke Roessler as young David / young James   Brandon Spink as young Baelfire   Torstein Bjørklund as Beowulf   Zahf Paroo as Prince Achmed   Charles Mesure as Blackbeard   Anton Starkman as young Gideon   Grayson Gabriel as Roderick   Mason McKenzie as young Roderick     Isabella Blake - Thomas as young Zelena   Alex Désert as Stanum / Tin Man   Austin Obiajunwa as young Stanum     Stephen Lord as Malcolm   Andrew J. West as adult Henry Mills   Alison Fernandez as Lucy    Episodes ( edit )  See also : List of Once Upon a Time episodes    No . overall   No. in season   Title   Directed by   Written by   Original air date   US viewers ( millions )     112     `` The Savior ''   Eagle Egilsson   Edward Kitsis &amp; Adam Horowitz   September 25 , 2016 ( 2016 - 09 - 25 )   3.99     In the past , Aladdin , a `` Savior '' , is taunted by Jafar over the inevitable downfall of all Saviors . In Storybrooke , refugees arrive from the Land of Untold Stories . Emma experiences tremors and visions ; an arrested Hyde helps her receive an oracle 's vision of a hooded figure killing her . Guided by Morpheus , Gold enters Belle 's dreams to lift the sleeping curse ; he tries to renew their love , but she rejects him . `` Morpheus '' reveals he is really their unborn son , and desired this outcome . Belle wakes and leaves Gold . Henry convinces Regina that Hades may have lied about Robin Hood 's soul having been destroyed . Zelena moves in with Regina but , after learning her sister blames her for Robin Hood 's death , moves out and is approached by the Evil Queen .     113     `` A Bitter Draught ''   Ron Underwood   Andrew Chambliss &amp; Dana Horgan   October 2 , 2016 ( 2016 - 10 - 02 )   3.72     In the past in the Enchanted Forest , the Evil Queen offers to aid the revenge plot of Edmond Dantes , The Count of Monte Cristo , if he kills Snow and David . When he falls in love with Snow 's handmaiden , he reneges and flees with her to the Land of Untold Stories to save her from poison . In Storybrooke , the Evil Queen recruits Zelena and uses Edmond 's heart to set him against Snow and David ; Regina kills Edmond to save the others , and realizes she retains the capacity for darkness . The Evil Queen declares that the undesirable `` untold stories '' will be played out . She gives David evidence that his father 's death was not accidental . Belle lives on Hook 's ship ; in a deal with Gold , the Evil Queen will not harm her or the baby . Emma tells Archie about her visions and notes that Regina is n't present in them and could be the hooded figure .     114     `` The Other Shoe ''   Steve Pearlman   Jane Espenson &amp; Jerome Schwartz   October 9 , 2016 ( 2016 - 10 - 09 )   4.11     In the past in the Enchanted Forest , Cinderella meets Prince Thomas at the ball , but flees when she believes he loves her stepsister Clorinda ; Clorinda actually plans to elope with Thomas ' footman , Jacob , but her mother , Lady Tremaine , abducts her to the Land of Untold Stories after forcing Cinderella to betray Clorinda 's location . In Storybrooke , Ashley hopes to reconcile with Clorinda . Aided by the Evil Queen , Tremaine lures Ashley into a trap for her and Jacob . Ashley protects Jacob ; Clorinda reunites with him and forgives Cinderella , while Tremaine is arrested . Emma struggles to control her magic . Whale helps Jekyll recreate his serum , while the Evil Queen and Hyde form an alliance and she releases him . Snow White wants normality , but David secretly investigates his father 's death ; Gold provides information in exchange for David delivering a message to Belle .     115     `` Strange Case ''   Alrick Riley   David H. Goodman &amp; Nelson Soler   October 16 , 2016 ( 2016 - 10 - 16 )   3.53     In the past in Victorian England , Jekyll petitions the Academy of Science for membership but Dr. Lydgate rejects him . Rumplestiltskin arrives and magically perfects Jekyll 's serum ; Jekyll transforms into Hyde , who blackmails Lydgate for Jekyll 's membership . Mary is Lydgate 's daughter and Jekyll 's unrequited love ; she and Hyde fall in love . Jekyll accidentally fatally defenestrates Mary ; he frames Hyde . In Storybrooke , Gold imprisons Belle on the ship to protect her from Hyde ; but it is Jekyll who tries to kill Belle in revenge for Rumplestiltskin 's role in Mary 's death . Hook saves Belle by killing Jekyll , and Hyde dies of identical wounds ; Regina asks Emma to kill her if necessary to stop the Evil Queen . Gold warns Belle that their child will need his protection . Mary Margaret resumes teaching , and her assistant Shirin inspires her to draw on her life as Snow . Shirin is secretly Princess Jasmine , working with the Oracle to search for Aladdin .     116   5   `` Street Rats ''   Norman Buckley   Edward Kitsis &amp; Adam Horowitz   October 23 , 2016 ( 2016 - 10 - 23 )   3.40     In the past in Agrabah , Aladdin seeks a magical weapon for Jasmine , to save the kingdom from Jafar ; he is the weapon and a Savior . Jafar tempts Aladdin with magical shears that can sever him from his fate as the Savior and from his resulting death . Aladdin rejects Jafar and saves Jasmine . In Storybrooke , the Oracle is murdered . Emma helps Jasmine , hoping Aladdin 's survival ensures her own . Having faked his death , Aladdin reveals himself to Emma and confesses that he doomed Agrabah by using the shears , which he gives to her ; she asks Hook to dispose of them , but he secretly keeps them . The Evil Queen impersonates Archie to learn of Emma 's visions , and convinces Zelena to turn Archie back into a cricket .     117   6   `` Dark Waters ''   Robert Duncan   Andrew Chambliss &amp; Brigitte Hales   October 30 , 2016 ( 2016 - 10 - 30 )   3.06     During the Dark Curse , Captain Nemo abducts Hook and invites him to join the crew `` family '' of his submarine , Nautilus , in their quest for the `` Mysterious Island '' , which is the Land of Untold Stories . Hook discovers the first mate is his half - brother , Liam , and decides to leave to avoid confrontation ; but Liam attacks him , instead mortally wounding Nemo , who steps in . In the present , Archie is freed . Henry confronts Hook over lying about the shears , and Liam imprisons them on Nautilus . Hook opens up and Henry accepts him as family ; they save each other and dispose of the shears . Modern medicine saves Nemo ; he , Liam , and Hook make amends . Emma and Aladdin discuss being a Savior . Jasmine reveals that Agrabah vanished . Snow supports Belle at her ultrasound . The Evil Queen seduces Gold and offers the retrieved shears in exchange for help taking Snow 's heart .     118   7   `` Heartless ''   Ralph Hemecker   Jane Espenson   November 6 , 2016 ( 2016 - 11 - 06 )   3.56     In the past , fugitive Snow and shepherd David separately travel to Longbourn ; she to flee the kingdom and he to sell his struggling farm . Without ever seeing each other 's faces , David saves Snow from a bounty hunter and she repays him with money to save the farm , deciding not to flee . Their hands touch and a magical sapling is created . In the present , the Evil Queen threatens to destroy Storybrooke with River of Lost Souls water unless Mary Margaret and David hand over their hearts . They learn the sapling could stop the Queen , who destroys it just after they find it . But it has shown them their previous meeting , and they conclude that their love can endure anything ; they surrender themselves . The Queen casts a sleeping curse on their hearts ; because they share Snow 's heart , the curse affects them both ; each can wake the other but immediately succumbs to the curse , so they can never be awake together . Regina uses Gold 's relationship with the Queen to separate the latter from Zelena , who earns Gold 's enmity by exposing his schemes to Belle .     119   8   `` I 'll Be Your Mirror ''   Jennifer Lynch   Jerome Schwartz &amp; Leah Fong   November 13 , 2016 ( 2016 - 11 - 13 )   3.40     Regina and Emma try to magically trap the Evil Queen in the World Behind the Mirror , but she traps them there , where the Dragon is already imprisoned . Henry prepares for a date with Violet ; the Queen impersonates Regina and tries to manipulate him but he recognizes her . Emma and Regina discover Sidney was building a mirror portal out of the world and try and finish it , but the Evil Queen forces the Dragon to attack Emma and Regina , using his heart , and tries to make Henry kill the Dragon with the Hammer of Hephaestus ; he instead uses it to free his mothers . Mary Margaret and David adjust to living in shifts . Belle asks Zelena to help her escape Storybrooke via magical portal , and they form an alliance with Aladdin and Jasmine . Aladdin steals the Genie 's lamp and the Sorcerer 's wand from Gold 's shop , but Gold takes the wand back from Zelena and puts a magical tracking device on Belle . He asks the Queen to kill Zelena , as the connection between his and Zelena 's hearts protects her from him .     120   9   `` Changelings ''   Mairzee Almas   David H. Goodman &amp; Brian Ridings   November 27 , 2016 ( 2016 - 11 - 27 )   3.28     In the Enchanted Forest , while served by Belle , Rumplestiltskin abducts a baby to use as bait for the Black Fairy , the mother who abandoned him ; she escapes without answering his questions . In the present , Belle receives advice from her unborn child while Gold becomes increasingly unhinged . Resenting Gold 's order to attack Zelena , the Evil Queen accelerates Belle 's pregnancy ; Mother Superior delivers Belle 's son , Gideon , and sends him into hiding ; Gold vows to find him . As the Genie has been freed , Aladdin takes his place . Zelena and Regina continue to feud . Emma obtains the sword from her vision .     121   10   `` Wish You Were Here ''   Ron Underwood   Edward Kitsis &amp; Adam Horowitz   December 4 , 2016 ( 2016 - 12 - 04 )   3.27     The Black Fairy abducts Gideon . Emma discovers the sword can kill the Evil Queen without hurting Regina . The Queen steals the lamp and wishes Emma to an alternate reality where she was never the Savior ; Regina follows her . David and his allies take the lamp from the Queen , who is turned into a serpent by the hooded figure , revealed to be the adult Gideon . Jasmine wishes herself and Aladdin to Agrabah . In the `` wish realm '' , Emma lives as a princess until Regina traumatically restores her memory . Regina frees Rumplestiltskin in exchange for a magic bean , but the portal to Storybrooke closes while Regina is distracted by the appearance of Robin Hood .     122   11   `` Tougher Than the Rest ''   Billy Gierhart   Edward Kitsis &amp; Adam Horowitz   March 5 , 2017 ( 2017 - 03 - 05 )   3.03     In 1990 Minnesota , a young Emma is told by a teenager that she has the power to change her fate . In present day , after they miss their way out of the Wish realm , Emma and Regina find another option for escape when they come across August , who agrees to help create a new portal . Regina goes to find Robin Hood to see if he would 've been better off without her . After Regina finds Robin , they 're caught by the Sheriff of Nottingham and later by the Wish realm Rumple . Robin believes Regina when she tells him about their being in an alternate reality . Emma discovers that August was the teenager she met back in Minnesota and inspires him to complete the portal . Emma , Regina , and Robin return to Storybrooke , where Gideon explains to Gold and Belle his intention to kill Emma so that he can acquire her savior powers and kill the Black Fairy , a move that has David furious and Belle concerned . Emma and Gideon finally meet for the battle , but Emma survives , choosing her own fate . Gideon retreats , proclaiming this far from over . Gold and Belle decide to work together for the good of their son .     123   12   `` Murder Most Foul ''   Morgan Beggs   Jerome Schwartz &amp; Jane Espenson   March 12 , 2017 ( 2017 - 03 - 12 )   3.06     The events of how Robert , the father of David and James , was murdered are detailed in a flashback , in which Robert learns what happened to James after he ran away from King George . With help from Rumple , he tracks him to Pleasure Island , but their reunion is cut short by King George , who orders Robert 's execution . His death affects David in the present day after he sees visions of Robert and asks Hook to help him , despite his being reformed . When Hook becomes concerned that David is taking this investigation too far by going after Albert , he intervenes and brings David back to sanity . Hook is also worried about whether David will give him his blessing to marry Emma , but David does . Meanwhile , Regina tries to get the Wish Realm Robin assimilated into Storybrooke , but soon questions why he agreed to follow her , as it turns out that he had something else planned after he steals a chest from the vault . The truth as to who really murdered Robert is revealed when August gives Hook missing pages he took from Henry 's book . When Hook sees an illustration of David 's dad , he recognizes him and recalls murdering him during a robbery in the Enchanted Forest so that there was no witness to his crime .     124   13   `` Ill - Boding Patterns ''   Ron Underwood   Andrew Chambliss &amp; Dana Horgan   March 19 , 2017 ( 2017 - 03 - 19 )   2.71     During the First Ogres War , Beowulf leads a fearsome charge on the battlefield in the Enchanted Forest of old . After every last soldier had been slain , Beowulf surrenders to death just as Rumplestiltskin intervenes , killing all the ogres . Hailed as a hero in the village , Beowulf is irked by Rumple 's new title . He creates a ruse to lead Rumple to his demise . Fearing he would not be able to follow through on protecting the villagers without Dark Magic , Rumple bestows his dagger upon Baelfire as an insurance policy . Following a turbulent exchange and threat to frame Rumplestiltskin as a murderer , Beowulf retreats . Feeling the pressure of his threat , Bae commands his father to kill him . Rumple later doses Bae with a memory potion to erase the ordeal from his mind and restore his innocence . In Storybrooke , Rumple recognizes a familiar pattern in Gideon , who makes strides in his quest to kill Emma Swan at the cost of The Blue Fairy 's vitality . Hook worries about the repercussions of telling Emma his newly unveiled secret . Meanwhile , Emma unknowingly forces a proposal after happening upon Hook 's engagement ring . Robin of Locksley attempts to flee the town , but to no avail . The Evil Queen escapes her reptilian confinement and indoctrinates Robin .     125   14   `` Page 23 ''   Kate Woods   David H. Goodman &amp; Brigitte Hales   March 26 , 2017 ( 2017 - 03 - 26 )   2.85     In the Enchanted Forest , The Evil Queen is in search of a spell that will help her end Snow White for good , but her father has love in mind for his daughter and leads her on a quest to Cupid 's Arrow . However , The Evil Queen rebrands the arrow to follow hatred and discovers that the person she despises the most is herself . In Storybrooke , The Evil Queen and Regina face off in a final confrontation . Just when Regina wins the upper hand , she remembers the Evil Queen 's self - loating and evenly splits the light and the darkness in their hearts , to share their love and hate and allow the Evil Queen to reform . After Emma calls off the engagement , Hook decides to board the Nautilus with Captain Nemo . Hook later changes his mind following a conversation with Snow but , before he can return , Gideon hijacks the vessel and sends it out of Storybrooke .     126   15   `` A Wondrous Place ''   Steve Pearlman   Jane Espenson &amp; Jerome Schwartz   April 2 , 2017 ( 2017 - 04 - 02 )   2.80     At a loss for hope , Regina suggests a `` girls ' night out '' for Emma with her and Snow . While at the bar , she confides in the mixologist and sheds a tear . Meanwhile , the Nautilus is transported to the Enchanted Forest , where Aladdin and Jasmine board . They have yet to locate Agrabah and are growing weary . After Hook and Jasmine confide in one another , the vessel is irrevocably damaged and Jasmine uses a genie wish to relocate the group to the island where Jafar is located . They discover a cabana belonging to Ariel and Prince Eric . Ariel has collected a genie lamp that houses Jafar . Jasmine is able to sway him into divulging the location of the hidden Agrabah before defeating him with magic dust . Through true love 's kiss , Aladdin and Jasmine , along with Hook and Ariel , are transported to the restored city and Aladdin 's genie curse is broken . Ariel supplies Hook with a means to reach Emma . Emma receives the message and Gideon , no longer masquerading as the mixologist , threatens that he will use her tears to keep Hook from returning to Storybrooke unless she helps him kill the Black Fairy . Flashbacks to Ariel and Jasmine 's first meeting show the princess falter under Jafar 's trickery .     127   16   `` Mother 's Little Helper ''   Billy Gierhart   Story by : Edward Kitsis &amp; Adam Horowitz Teleplay by : Paul Karp   April 9 , 2017 ( 2017 - 04 - 09 )   2.60     In Storybrooke , Gold reveals to Emma and Snow that the Black Fairy is his mother and that the Dark Curse Regina cast was created by the Black Fairy . Emma agrees to help Gideon kill the Black Fairy , but is double - crossed by Gideon and left to die at the hands of a giant spider . Gideon opens a portal with the sword , allowing the Black Fairy to slip through into Storybrooke . Meanwhile in the Enchanted Forest , Hook wagers the Jolly Roger for a magic bean in a game of cards with Blackbeard . As Blackbeard and Hook go through the portal , it malfunctions thanks to Gideon and the duo ends up in Neverland , on the run from the remnants of Peter Pan 's Lost Boys . Back in Storybrooke , Henry experiences a disorienting shift in his Author powers , so he and Regina seek help from the only person who can aid them : the previous Author , Isaac . Isaac reveals to Regina and Henry that they are nearing the end of the story in which the savior must fight the Final Battle . Flashbacks reveal the abuses the Black Fairy inflicted on Gideon and that the Black Fairy ripped out Gideon 's heart and is controlling him to kill Emma .     128   17   `` Awake ''   Sharat Raju   Andrew Chambliss &amp; Leah Fong   April 16 , 2017 ( 2017 - 04 - 16 )   2.51     Regina works feverishly to wake Snow and Charming from the Sleeping Curse . Gold comes face to face with the Black Fairy , the powerful enemy Emma must fight in the Final Battle . Hook , still in Neverland , meets up with Tiger Lily , who gives him a piece of an ancient fairy wand to aid Emma in defeating the Black Fairy . Gold confronts the Black Fairy over her manipulating Gideon with his heart and she maintains that Storybrooke would be destroyed if the two of them fought . A pixie flower allows Emma to open a doorway to Neverland and rescue Hook , who then re-proposes properly . The townsfolk gather around Emma 's sleeping parents and each take small amounts of the Sleeping Curse unto themselves , diluting it and allowing Snow and David to finally reunite . In 1993 , a pixie flower awakens Snow and Charming from their cursed selves , but an awakened Rumplestiltskin tells them they must make a difficult decision to ensure that Emma fulfills her destiny as the Savior .     129   18   `` Where Bluebirds Fly ''   Michael Schultz   David H. Goodman &amp; Brigitte Hales   April 23 , 2017 ( 2017 - 04 - 23 )   2.69     In Zelena 's past , her childhood friend Stanum asks for her help in finding the Crimson Heart , a magical artifact that would be able to restore his human form after having been cursed by the Wicked Witch of the North to slowly turn into tin . Zelena 's refusal to give up her magic leads to her betraying Stanum , as she keeps the Heart and leaves him to become the Tin Man . In the Present , The Black Fairy tempts Zelena with an offer to join her , only to have Zelena oppose her instead . Regina is brought into the chaos by trying to stop her sister and they find the Black Fairy and Gideon in the crystal mines , with the Black Fairy tricking Zelena into utilizing her unstable Dark Magic to strengthen her for the Final Battle . Realizing that there is nothing left for her back in Oz , Zelena decides to help the residents fight back against the Black Fairy by using the Crimson Heart to give up her magic , thereby undoing the mess she made in the mines . Emma then uses her magic and one of the crystals to bring Mother Superior out of her coma with some help from Regina and Zelena .     130   19   `` The Black Fairy ''   Alrick Riley   Jerome Schwartz &amp; Dana Horgan   April 30 , 2017 ( 2017 - 04 - 30 )   3.05     The origin of Rumplestiltskin 's true destiny is revealed , as his mother Fiona learns from the Blue Fairy and Tiger Lily that he was destined to become The Savior . When Fiona fears for her son and chooses power over protecting Rumple , it results in her becoming the Black Fairy , and the Blue Fairy banishing her to the Dark Realm . In the Present , as everyone looks for the missing wand , Gold brings Gideon and Emma into the Dream World to search for Gideon 's heart , where the events of the flashbacks unfold . Gold then confronts Fiona , but she reveals the real reason behind why he was abandoned . Gold later retrieves Gideon 's heart and tells everyone that the Black Fairy is dead , paving the way for Emma and Hook 's wedding . However , Gold and Fiona make a deal that will see the Final Battle go forward , with Emma being the Savior that will fight in it . Meanwhile , Regina helps Zelena adjust to life without her powers .     131   20   `` The Song in Your Heart ''   Ron Underwood   David H. Goodman &amp; Andrew Chambliss   May 7 , 2017 ( 2017 - 05 - 07 )   2.87     In the past , Snow makes a wish that grants the entire Enchanted Forest the ability to use the gift of song as a strength , which also spreads to Oz as well . When Regina becomes affected by the wish , she finds a way to end it before the first curse takes place , but the Blue Fairy , who granted Snow the wish , tells Snow and David that the wish will be part of Emma 's destiny . In Emma 's past , her chance to make use of her talent is held back by being told she 'll be alone . This would come back to taunt Emma in the present day , as Fiona returns to use that weakness to take Emma 's heart before unleashing a new curse on her wedding day , with help from Gold by freezing her family . When Henry discovers the page in the book that reveals the song in Emma 's heart will make her stronger , not only does it embolden Emma , it stops Fiona from crushing her heart , but Fiona still tells Emma that the battle will continue . On their wedding day , Emma and Hook finally marry , just in time for the dark clouds of the Black Fairy 's curse to erupt from the clock tower and engulf them at 6 : 00 PM , setting up the final battle .     132 133   21 22   `` The Final Battle ''   Steve Pearlman Ralph Hemecker   Edward Kitsis &amp; Adam Horowitz   May 14 , 2017 ( 2017 - 05 - 14 )   2.95     Fiona 's curse alters Storybrooke , institutionalizing Emma and leaving only Henry and Gold `` awake , '' while sending Emma 's other allies to their home realms . The Final Battle begins over Emma 's belief ; if she stops believing in the realms of story , they will be consumed by the Darkness and cease to exist . If all the realms are destroyed , Fiona would gain unchecked powers and be able to break the Laws of Magic at will . In the Enchanted Forest , the banished characters gather at Regina 's castle ; David and Hook obtain a magic bean and the Evil Queen sacrifices herself , holding off the Darkness to delay the group 's destruction . Fiona convinces Emma to destroy the book , but Henry hand - draws one that restores her belief in time to save everyone in the castle . Gold kills Fiona , who had hidden Belle and turned her into a coward ; this breaks the Curse , which restores everyone 's memories and reunites them in Storybrooke . However , Gideon is still under orders to kill Emma . Gold attempts to free Gideon 's heart ; however , a spell cast by the Black Fairy prevents him from doing so . Emma lays down her sword , allowing Gideon to impale her ; this releases Emma 's light magic and ends the battle . With both Gold and Emma having chosen good , Gideon is returned to infancy and the realms are restored , and those who died in the crisis are revived . The characters embark on their `` happy beginnings . '' Many years later in the New Enchanted Forest , an adult Henry vanishes while defending his daughter Lucy from an unidentified entity . Guided by Tiger Lily , Lucy travels to Seattle , where Henry no longer remembers her .     Production ( edit )   Development ( edit )   Executive producers Adam Horowitz and Edward Kitsis announced that they were ending the half - season arc structure that was seen in seasons three through five , with Horowitz saying , `` We 're also planning a 22 - episode story as opposed to breaking it up into two halves this year . It has been really exciting and fun . '' Kitsis added : `` We are changing around what we 're doing this year and going back to that season 1 mentality of small town stories and smaller arcs . '' This season will focus on Storybrooke as the main setting , but will also show new realms and there will be the exploration of the Savior 's mythology . Kitsis and Horowitz hired two directors from their Freeform series Dead of Summer , Norman Buckley , Mairzee Almas , and Michael Schultz helm episodes of the season . Jennifer Lynch directed the eighth episode of the season , `` I 'll Be Your Mirror '' .   In January 2017 , ABC president Channing Dungey had been the first to suggest that the current narrative of the show would end with season six , regardless of whether or not there is a season seven . Shortly after this news , Jennifer Morrison revealed that the contracts for the original main cast members were expiring in April , expressing uncertainty about the future of the show and her participation in it beyond the current season . Robert Carlyle also expressed that he 'd have to make a decision about his future on the show by the end of that month . In March 2017 , several sources had reported that four of the current main cast members in particular - Morrison , Carlyle , Lana Parrilla , and Colin O'Donoghue - were in negotiations to renew their contracts for a potential seventh season . In April 2017 , Horowitz and Kitsis confirmed that a group of characters will indeed have their stories wrapped up by the end of the season in acknowledging the potential cast changes , saying : `` We planned this finale from the beginning of the year , so whoever stays and whoever goes ... all those questions have already been dealt with . The audience does not have to fear ( anything feeling ) incomplete . '' On May 8 , Morrison confirmed that she had declined an offer to remain on the show and that the sixth season would be her last , signaling </t>
  </si>
  <si>
    <t xml:space="preserve">once upon a time season 6 episode list</t>
  </si>
  <si>
    <t xml:space="preserve">   No . overall   No. in season   Title   Directed by   Written by   Original air date   US viewers ( millions )     112     `` The Savior ''   Eagle Egilsson   Edward Kitsis &amp; Adam Horowitz   September 25 , 2016 ( 2016 - 09 - 25 )   3.99     In the past , Aladdin , a `` Savior '' , is taunted by Jafar over the inevitable downfall of all Saviors . In Storybrooke , refugees arrive from the Land of Untold Stories . Emma experiences tremors and visions ; an arrested Hyde helps her receive an oracle 's vision of a hooded figure killing her . Guided by Morpheus , Gold enters Belle 's dreams to lift the sleeping curse ; he tries to renew their love , but she rejects him . `` Morpheus '' reveals he is really their unborn son , and desired this outcome . Belle wakes and leaves Gold . Henry convinces Regina that Hades may have lied about Robin Hood 's soul having been destroyed . Zelena moves in with Regina but , after learning her sister blames her for Robin Hood 's death , moves out and is approached by the Evil Queen .     113     `` A Bitter Draught ''   Ron Underwood   Andrew Chambliss &amp; Dana Horgan   October 2 , 2016 ( 2016 - 10 - 02 )   3.72     In the past in the Enchanted Forest , the Evil Queen offers to aid the revenge plot of Edmond Dantes , The Count of Monte Cristo , if he kills Snow and David . When he falls in love with Snow 's handmaiden , he reneges and flees with her to the Land of Untold Stories to save her from poison . In Storybrooke , the Evil Queen recruits Zelena and uses Edmond 's heart to set him against Snow and David ; Regina kills Edmond to save the others , and realizes she retains the capacity for darkness . The Evil Queen declares that the undesirable `` untold stories '' will be played out . She gives David evidence that his father 's death was not accidental . Belle lives on Hook 's ship ; in a deal with Gold , the Evil Queen will not harm her or the baby . Emma tells Archie about her visions and notes that Regina is n't present in them and could be the hooded figure .     114     `` The Other Shoe ''   Steve Pearlman   Jane Espenson &amp; Jerome Schwartz   October 9 , 2016 ( 2016 - 10 - 09 )   4.11     In the past in the Enchanted Forest , Cinderella meets Prince Thomas at the ball , but flees when she believes he loves her stepsister Clorinda ; Clorinda actually plans to elope with Thomas ' footman , Jacob , but her mother , Lady Tremaine , abducts her to the Land of Untold Stories after forcing Cinderella to betray Clorinda 's location . In Storybrooke , Ashley hopes to reconcile with Clorinda . Aided by the Evil Queen , Tremaine lures Ashley into a trap for her and Jacob . Ashley protects Jacob ; Clorinda reunites with him and forgives Cinderella , while Tremaine is arrested . Emma struggles to control her magic . Whale helps Jekyll recreate his serum , while the Evil Queen and Hyde form an alliance and she releases him . Snow White wants normality , but David secretly investigates his father 's death ; Gold provides information in exchange for David delivering a message to Belle .     115     `` Strange Case ''   Alrick Riley   David H. Goodman &amp; Nelson Soler   October 16 , 2016 ( 2016 - 10 - 16 )   3.53     In the past in Victorian England , Jekyll petitions the Academy of Science for membership but Dr. Lydgate rejects him . Rumplestiltskin arrives and magically perfects Jekyll 's serum ; Jekyll transforms into Hyde , who blackmails Lydgate for Jekyll 's membership . Mary is Lydgate 's daughter and Jekyll 's unrequited love ; she and Hyde fall in love . Jekyll accidentally fatally defenestrates Mary ; he frames Hyde . In Storybrooke , Gold imprisons Belle on the ship to protect her from Hyde ; but it is Jekyll who tries to kill Belle in revenge for Rumplestiltskin 's role in Mary 's death . Hook saves Belle by killing Jekyll , and Hyde dies of identical wounds ; Regina asks Emma to kill her if necessary to stop the Evil Queen . Gold warns Belle that their child will need his protection . Mary Margaret resumes teaching , and her assistant Shirin inspires her to draw on her life as Snow . Shirin is secretly Princess Jasmine , working with the Oracle to search for Aladdin .     116   5   `` Street Rats ''   Norman Buckley   Edward Kitsis &amp; Adam Horowitz   October 23 , 2016 ( 2016 - 10 - 23 )   3.40     In the past in Agrabah , Aladdin seeks a magical weapon for Jasmine , to save the kingdom from Jafar ; he is the weapon and a Savior . Jafar tempts Aladdin with magical shears that can sever him from his fate as the Savior and from his resulting death . Aladdin rejects Jafar and saves Jasmine . In Storybrooke , the Oracle is murdered . Emma helps Jasmine , hoping Aladdin 's survival ensures her own . Having faked his death , Aladdin reveals himself to Emma and confesses that he doomed Agrabah by using the shears , which he gives to her ; she asks Hook to dispose of them , but he secretly keeps them . The Evil Queen impersonates Archie to learn of Emma 's visions , and convinces Zelena to turn Archie back into a cricket .     117   6   `` Dark Waters ''   Robert Duncan   Andrew Chambliss &amp; Brigitte Hales   October 30 , 2016 ( 2016 - 10 - 30 )   3.06     During the Dark Curse , Captain Nemo abducts Hook and invites him to join the crew `` family '' of his submarine , Nautilus , in their quest for the `` Mysterious Island '' , which is the Land of Untold Stories . Hook discovers the first mate is his half - brother , Liam , and decides to leave to avoid confrontation ; but Liam attacks him , instead mortally wounding Nemo , who steps in . In the present , Archie is freed . Henry confronts Hook over lying about the shears , and Liam imprisons them on Nautilus . Hook opens up and Henry accepts him as family ; they save each other and dispose of the shears . Modern medicine saves Nemo ; he , Liam , and Hook make amends . Emma and Aladdin discuss being a Savior . Jasmine reveals that Agrabah vanished . Snow supports Belle at her ultrasound . The Evil Queen seduces Gold and offers the retrieved shears in exchange for help taking Snow 's heart .     118   7   `` Heartless ''   Ralph Hemecker   Jane Espenson   November 6 , 2016 ( 2016 - 11 - 06 )   3.56     In the past , fugitive Snow and shepherd David separately travel to Longbourn ; she to flee the kingdom and he to sell his struggling farm . Without ever seeing each other 's faces , David saves Snow from a bounty hunter and she repays him with money to save the farm , deciding not to flee . Their hands touch and a magical sapling is created . In the present , the Evil Queen threatens to destroy Storybrooke with River of Lost Souls water unless Mary Margaret and David hand over their hearts . They learn the sapling could stop the Queen , who destroys it just after they find it . But it has shown them their previous meeting , and they conclude that their love can endure anything ; they surrender themselves . The Queen casts a sleeping curse on their hearts ; because they share Snow 's heart , the curse affects them both ; each can wake the other but immediately succumbs to the curse , so they can never be awake together . Regina uses Gold 's relationship with the Queen to separate the latter from Zelena , who earns Gold 's enmity by exposing his schemes to Belle .     119   8   `` I 'll Be Your Mirror ''   Jennifer Lynch   Jerome Schwartz &amp; Leah Fong   November 13 , 2016 ( 2016 - 11 - 13 )   3.40     Regina and Emma try to magically trap the Evil Queen in the World Behind the Mirror , but she traps them there , where the Dragon is already imprisoned . Henry prepares for a date with Violet ; the Queen impersonates Regina and tries to manipulate him but he recognizes her . Emma and Regina discover Sidney was building a mirror portal out of the world and try and finish it , but the Evil Queen forces the Dragon to attack Emma and Regina , using his heart , and tries to make Henry kill the Dragon with the Hammer of Hephaestus ; he instead uses it to free his mothers . Mary Margaret and David adjust to living in shifts . Belle asks Zelena to help her escape Storybrooke via magical portal , and they form an alliance with Aladdin and Jasmine . Aladdin steals the Genie 's lamp and the Sorcerer 's wand from Gold 's shop , but Gold takes the wand back from Zelena and puts a magical tracking device on Belle . He asks the Queen to kill Zelena , as the connection between his and Zelena 's hearts protects her from him .     120   9   `` Changelings ''   Mairzee Almas   David H. Goodman &amp; Brian Ridings   November 27 , 2016 ( 2016 - 11 - 27 )   3.28     In the Enchanted Forest , while served by Belle , Rumplestiltskin abducts a baby to use as bait for the Black Fairy , the mother who abandoned him ; she escapes without answering his questions . In the present , Belle receives advice from her unborn child while Gold becomes increasingly unhinged . Resenting Gold 's order to attack Zelena , the Evil Queen accelerates Belle 's pregnancy ; Mother Superior delivers Belle 's son , Gideon , and sends him into hiding ; Gold vows to find him . As the Genie has been freed , Aladdin takes his place . Zelena and Regina continue to feud . Emma obtains the sword from her vision .     121   10   `` Wish You Were Here ''   Ron Underwood   Edward Kitsis &amp; Adam Horowitz   December 4 , 2016 ( 2016 - 12 - 04 )   3.27     The Black Fairy abducts Gideon . Emma discovers the sword can kill the Evil Queen without hurting Regina . The Queen steals the lamp and wishes Emma to an alternate reality where she was never the Savior ; Regina follows her . David and his allies take the lamp from the Queen , who is turned into a serpent by the hooded figure , revealed to be the adult Gideon . Jasmine wishes herself and Aladdin to Agrabah . In the `` wish realm '' , Emma lives as a princess until Regina traumatically restores her memory . Regina frees Rumplestiltskin in exchange for a magic bean , but the portal to Storybrooke closes while Regina is distracted by the appearance of Robin Hood .     122   11   `` Tougher Than the Rest ''   Billy Gierhart   Edward Kitsis &amp; Adam Horowitz   March 5 , 2017 ( 2017 - 03 - 05 )   3.03     In 1990 Minnesota , a young Emma is told by a teenager that she has the power to change her fate . In present day , after they miss their way out of the Wish realm , Emma and Regina find another option for escape when they come across August , who agrees to help create a new portal . Regina goes to find Robin Hood to see if he would 've been better off without her . After Regina finds Robin , they 're caught by the Sheriff of Nottingham and later by the Wish realm Rumple . Robin believes Regina when she tells him about their being in an alternate reality . Emma discovers that August was the teenager she met back in Minnesota and inspires him to complete the portal . Emma , Regina , and Robin return to Storybrooke , where Gideon explains to Gold and Belle his intention to kill Emma so that he can acquire her savior powers and kill the Black Fairy , a move that has David furious and Belle concerned . Emma and Gideon finally meet for the battle , but Emma survives , choosing her own fate . Gideon retreats , proclaiming this far from over . Gold and Belle decide to work together for the good of their son .     123   12   `` Murder Most Foul ''   Morgan Beggs   Jerome Schwartz &amp; Jane Espenson   March 12 , 2017 ( 2017 - 03 - 12 )   3.06     The events of how Robert , the father of David and James , was murdered are detailed in a flashback , in which Robert learns what happened to James after he ran away from King George . With help from Rumple , he tracks him to Pleasure Island , but their reunion is cut short by King George , who orders Robert 's execution . His death affects David in the present day after he sees visions of Robert and asks Hook to help him , despite his being reformed . When Hook becomes concerned that David is taking this investigation too far by going after Albert , he intervenes and brings David back to sanity . Hook is also worried about whether David will give him his blessing to marry Emma , but David does . Meanwhile , Regina tries to get the Wish Realm Robin assimilated into Storybrooke , but soon questions why he agreed to follow her , as it turns out that he had something else planned after he steals a chest from the vault . The truth as to who really murdered Robert is revealed when August gives Hook missing pages he took from Henry 's book . When Hook sees an illustration of David 's dad , he recognizes him and recalls murdering him during a robbery in the Enchanted Forest so that there was no witness to his crime .     124   13   `` Ill - Boding Patterns ''   Ron Underwood   Andrew Chambliss &amp; Dana Horgan   March 19 , 2017 ( 2017 - 03 - 19 )   2.71     During the First Ogres War , Beowulf leads a fearsome charge on the battlefield in the Enchanted Forest of old . After every last soldier had been slain , Beowulf surrenders to death just as Rumplestiltskin intervenes , killing all the ogres . Hailed as a hero in the village , Beowulf is irked by Rumple 's new title . He creates a ruse to lead Rumple to his demise . Fearing he would not be able to follow through on protecting the villagers without Dark Magic , Rumple bestows his dagger upon Baelfire as an insurance policy . Following a turbulent exchange and threat to frame Rumplestiltskin as a murderer , Beowulf retreats . Feeling the pressure of his threat , Bae commands his father to kill him . Rumple later doses Bae with a memory potion to erase the ordeal from his mind and restore his innocence . In Storybrooke , Rumple recognizes a familiar pattern in Gideon , who makes strides in his quest to kill Emma Swan at the cost of The Blue Fairy 's vitality . Hook worries about the repercussions of telling Emma his newly unveiled secret . Meanwhile , Emma unknowingly forces a proposal after happening upon Hook 's engagement ring . Robin of Locksley attempts to flee the town , but to no avail . The Evil Queen escapes her reptilian confinement and indoctrinates Robin .     125   14   `` Page 23 ''   Kate Woods   David H. Goodman &amp; Brigitte Hales   March 26 , 2017 ( 2017 - 03 - 26 )   2.85     In the Enchanted Forest , The Evil Queen is in search of a spell that will help her end Snow White for good , but her father has love in mind for his daughter and leads her on a quest to Cupid 's Arrow . However , The Evil Queen rebrands the arrow to follow hatred and discovers that the person she despises the most is herself . In Storybrooke , The Evil Queen and Regina face off in a final confrontation . Just when Regina wins the upper hand , she remembers the Evil Queen 's self - loating and evenly splits the light and the darkness in their hearts , to share their love and hate and allow the Evil Queen to reform . After Emma calls off the engagement , Hook decides to board the Nautilus with Captain Nemo . Hook later changes his mind following a conversation with Snow but , before he can return , Gideon hijacks the vessel and sends it out of Storybrooke .     126   15   `` A Wondrous Place ''   Steve Pearlman   Jane Espenson &amp; Jerome Schwartz   April 2 , 2017 ( 2017 - 04 - 02 )   2.80     At a loss for hope , Regina suggests a `` girls ' night out '' for Emma with her and Snow . While at the bar , she confides in the mixologist and sheds a tear . Meanwhile , the Nautilus is transported to the Enchanted Forest , where Aladdin and Jasmine board . They have yet to locate Agrabah and are growing weary . After Hook and Jasmine confide in one another , the vessel is irrevocably damaged and Jasmine uses a genie wish to relocate the group to the island where Jafar is located . They discover a cabana belonging to Ariel and Prince Eric . Ariel has collected a genie lamp that houses Jafar . Jasmine is able to sway him into divulging the location of the hidden Agrabah before defeating him with magic dust . Through true love 's kiss , Aladdin and Jasmine , along with Hook and Ariel , are transported to the restored city and Aladdin 's genie curse is broken . Ariel supplies Hook with a means to reach Emma . Emma receives the message and Gideon , no longer masquerading as the mixologist , threatens that he will use her tears to keep Hook from returning to Storybrooke unless she helps him kill the Black Fairy . Flashbacks to Ariel and Jasmine 's first meeting show the princess falter under Jafar 's trickery .     127   16   `` Mother 's Little Helper ''   Billy Gierhart   Story by : Edward Kitsis &amp; Adam Horowitz Teleplay by : Paul Karp   April 9 , 2017 ( 2017 - 04 - 09 )   2.60     In Storybrooke , Gold reveals to Emma and Snow that the Black Fairy is his mother and that the Dark Curse Regina cast was created by the Black Fairy . Emma agrees to help Gideon kill the Black Fairy , but is double - crossed by Gideon and left to die at the hands of a giant spider . Gideon opens a portal with the sword , allowing the Black Fairy to slip through into Storybrooke . Meanwhile in the Enchanted Forest , Hook wagers the Jolly Roger for a magic bean in a game of cards with Blackbeard . As Blackbeard and Hook go through the portal , it malfunctions thanks to Gideon and the duo ends up in Neverland , on the run from the remnants of Peter Pan 's Lost Boys . Back in Storybrooke , Henry experiences a disorienting shift in his Author powers , so he and Regina seek help from the only person who can aid them : the previous Author , Isaac . Isaac reveals to Regina and Henry that they are nearing the end of the story in which the savior must fight the Final Battle . Flashbacks reveal the abuses the Black Fairy inflicted on Gideon and that the Black Fairy ripped out Gideon 's heart and is controlling him to kill Emma .     128   17   `` Awake ''   Sharat Raju   Andrew Chambliss &amp; Leah Fong   April 16 , 2017 ( 2017 - 04 - 16 )   2.51     Regina works feverishly to wake Snow and Charming from the Sleeping Curse . Gold comes face to face with the Black Fairy , the powerful enemy Emma must fight in the Final Battle . Hook , still in Neverland , meets up with Tiger Lily , who gives him a piece of an ancient fairy wand to aid Emma in defeating the Black Fairy . Gold confronts the Black Fairy over her manipulating Gideon with his heart and she maintains that Storybrooke would be destroyed if the two of them fought . A pixie flower allows Emma to open a doorway to Neverland and rescue Hook , who then re-proposes properly . The townsfolk gather around Emma 's sleeping parents and each take small amounts of the Sleeping Curse unto themselves , diluting it and allowing Snow and David to finally reunite . In 1993 , a pixie flower awakens Snow and Charming from their cursed selves , but an awakened Rumplestiltskin tells them they must make a difficult decision to ensure that Emma fulfills her destiny as the Savior .     129   18   `` Where Bluebirds Fly ''   Michael Schultz   David H. Goodman &amp; Brigitte Hales   April 23 , 2017 ( 2017 - 04 - 23 )   2.69     In Zelena 's past , her childhood friend Stanum asks for her help in finding the Crimson Heart , a magical artifact that would be able to restore his human form after having been cursed by the Wicked Witch of the North to slowly turn into tin . Zelena 's refusal to give up her magic leads to her betraying Stanum , as she keeps the Heart and leaves him to become the Tin Man . In the Present , The Black Fairy tempts Zelena with an offer to join her , only to have Zelena oppose her instead . Regina is brought into the chaos by trying to stop her sister and they find the Black Fairy and Gideon in the crystal mines , with the Black Fairy tricking Zelena into utilizing her unstable Dark Magic to strengthen her for the Final Battle . Realizing that there is nothing left for her back in Oz , Zelena decides to help the residents fight back against the Black Fairy by using the Crimson Heart to give up her magic , thereby undoing the mess she made in the mines . Emma then uses her magic and one of the crystals to bring Mother Superior out of her coma with some help from Regina and Zelena .     130   19   `` The Black Fairy ''   Alrick Riley   Jerome Schwartz &amp; Dana Horgan   April 30 , 2017 ( 2017 - 04 - 30 )   3.05     The origin of Rumplestiltskin 's true destiny is revealed , as his mother Fiona learns from the Blue Fairy and Tiger Lily that he was destined to become The Savior . When Fiona fears for her son and chooses power over protecting Rumple , it results in her becoming the Black Fairy , and the Blue Fairy banishing her to the Dark Realm . In the Present , as everyone looks for the missing wand , Gold brings Gideon and Emma into the Dream World to search for Gideon 's heart , where the events of the flashbacks unfold . Gold then confronts Fiona , but she reveals the real reason behind why he was abandoned . Gold later retrieves Gideon 's heart and tells everyone that the Black Fairy is dead , paving the way for Emma and Hook 's wedding . However , Gold and Fiona make a deal that will see the Final Battle go forward , with Emma being the Savior that will fight in it . Meanwhile , Regina helps Zelena adjust to life without her powers .     131   20   `` The Song in Your Heart ''   Ron Underwood   David H. Goodman &amp; Andrew Chambliss   May 7 , 2017 ( 2017 - 05 - 07 )   2.87     In the past , Snow makes a wish that grants the entire Enchanted Forest the ability to use the gift of song as a strength , which also spreads to Oz as well . When Regina becomes affected by the wish , she finds a way to end it before the first curse takes place , but the Blue Fairy , who granted Snow the wish , tells Snow and David that the wish will be part of Emma 's destiny . In Emma 's past , her chance to make use of her talent is held back by being told she 'll be alone . This would come back to taunt Emma in the present day , as Fiona returns to use that weakness to take Emma 's heart before unleashing a new curse on her wedding day , with help from Gold by freezing her family . When Henry discovers the page in the book that reveals the song in Emma 's heart will make her stronger , not only does it embolden Emma , it stops Fiona from crushing her heart , but Fiona still tells Emma that the battle will continue . On their wedding day , Emma and Hook finally marry , just in time for the dark clouds of the Black Fairy 's curse to erupt from the clock tower and engulf them at 6 : 00 PM , setting up the final battle .     132 133   21 22   `` The Final Battle ''   Steve Pearlman Ralph Hemecker   Edward Kitsis &amp; Adam Horowitz   May 14 , 2017 ( 2017 - 05 - 14 )   2.95     Fiona 's curse alters Storybrooke , institutionalizing Emma and leaving only Henry and Gold `` awake , '' while sending Emma 's other allies to their home realms . The Final Battle begins over Emma 's belief ; if she stops believing in the realms of story , they will be consumed by the Darkness and cease to exist . If all the realms are destroyed , Fiona would gain unchecked powers and be able to break the Laws of Magic at will . In the Enchanted Forest , the banished characters gather at Regina 's castle ; David and Hook obtain a magic bean and the Evil Queen sacrifices herself , holding off the Darkness to delay the group 's destruction . Fiona convinces Emma to destroy the book , but Henry hand - draws one that restores her belief in time to save everyone in the castle . Gold kills Fiona , who had hidden Belle and turned her into a coward ; this breaks the Curse , which restores everyone 's memories and reunites them in Storybrooke . However , Gideon is still under orders to kill Emma . Gold attempts to free Gideon 's heart ; however , a spell cast by the Black Fairy prevents him from doing so . Emma lays down her sword , allowing Gideon to impale her ; this releases Emma 's light magic and ends the battle . With both Gold and Emma having chosen good , Gideon is returned to infancy and the realms are restored , and those who died in the crisis are revived . The characters embark on their `` happy beginnings . '' Many years later in the New Enchanted Forest , an adult Henry vanishes while defending his daughter Lucy from an unidentified entity . Guided by Tiger Lily , Lucy travels to Seattle , where Henry no longer remembers her .   </t>
  </si>
  <si>
    <t xml:space="preserve">Gun laws in Georgia - wikipedia  Gun laws in Georgia  Jump to : navigation , search  Gun laws in the state of Georgia regulate the sale , possession , and use of firearms and ammunition in the state of Georgia in the United States . It does not however affect the laws of other states . The Georgia Constitution , like many other state constitutions , guarantees to its citizen the right to keep and bear arms . Article one , section one , paragraph VII of the Georgia Constitution states : `` The right of the People to keep and bear arms shall not be infringed , but the General Assembly shall have the power to prescribe the manner in which arms may be borne . ''  Location of Georgia in the United States    Contents  ( hide )   1 Overview   2 Summary table   3 See also   4 References      Overview ( edit )   On June 8 , 2010 , Senate Bill 308 was signed by Governor Sonny Perdue reforming and clarifying many of Georgia 's Gun Laws , while leaving certain restrictions in place .   Georgia is a `` shall issue '' state , with the Georgia Weapons Carry License application to be submitted through the probate court of the county of residence .   Georgia reciprocates in recognizing firearms licenses with the following states : Alabama , Alaska , Arizona , Arkansas , Colorado , Florida , Idaho , Indiana , Iowa , Kansas , Kentucky , Louisiana , Maine , Michigan , Mississippi , Missouri , Montana , New Hampshire , North Carolina , North Dakota , Ohio , Oklahoma , Pennsylvania , South Carolina , South Dakota , Tennessee , Texas , Utah , Virginia , West Virginia , Wisconsin , and Wyoming .   South Carolina H3799 was signed by Gov Haley on June 3 , 2016 , allowing reciprocity with Georgia CCW permits .   There are a number of ways a firearm can be carried without a permit . No permit is needed :    To carry a firearm in a person 's home , place of business , or vehicle   To carry a long gun in a fully open and exposed manner   To carry an unloaded firearm in a case   To carry a firearm in someone else 's vehicle , provided you would qualify for a permit   To carry a firearm while fishing or hunting , if you have a valid fishing or hunting license    State preemption laws prohibit localities from regulating the ownership , transportation , and possession of firearms . Georgia also has a law preventing localities from enacting ordinances or lawsuits to classify gun ranges as nuisances . This means that local parks , offices , etc. of non-Federal government agencies may not prohibit those with a valid Georgia Weapons License from carrying . Federal regulations continue to prohibit carrying weapons on Corps of Engineers and US Postal Service property .  Beyond a few exceptions , a person may not carry a handgun openly in Georgia without having a valid GWCL  Firearm regulations are uniform throughout the state , and a firearms permit is valid throughout the state , in all areas other than in a few specially - defined areas . These specially - defined prohibited areas include :    In a government building , where ingress into such building is restricted or screened by security personnel and overseen by a POST certified swore peace officer   In a courthouse   In a jail or prison   In a place of worship , unless the governing body or authority of the place of worship permits the carrying of weapons or long guns by license holders   In a state mental health facility   On the premises of a nuclear power facility   Within 150 feet ( 46 m ) of any polling place , only during an election .   On school grounds ( incl . building and grounds ) , unless carrying or picking up a student , or permitted in writing by an official of the school , however weapons may be securely stored in vehicles parked on school grounds .    As exceptions to the above list , a person may keep their firearm in a locked compartment of their vehicle at any of the above places except nuclear power facilities . Also , a person may approach security or management of any of the above places ( except schools and nuclear power facilities ) and ask them for directions on removing , securing , storing , or temporarily surrendering the weapon .   As of July 1 , 2006 , Georgia became a `` Stand Your Ground '' state , and requires no duty to retreat before using deadly force in self - defense , or defense of others .   Georgia law allows private firearm sales between residents without requiring any processing through an FFL .   A Kennesaw , GA city ordinance requires that all homeowners own a firearm and ammunition ( Sec 34 - 1a ) . No one has ever been charged with violating this ordinance . An amendment exempts those who conscientiously object to owning a firearm , convicted felons , those who can not afford a firearm , and those with a mental or physical disability that would prevent them from owning a firearm .   As of the 23rd of April , 2014 , Georgia 's gun laws were drastically revised when Governor Nathan Deal signed House Bill 60 , or the Safe Carry Protection Act , into action . The Safe Carry Protection Act changed many of the currently enacted gun laws in place beforehand .   In 2017 , the Georgia legislature passed HB 280 , which allows for concealed carry permit holders to carry concealed handguns on public college campuses . Governor Nathan Deal signed it into law on May 4 , 2017 . The law took effect July 1 , 2017 on all University System of Georgia Campuses , including universities , colleges , and trade schools under the University System . Under HB280 any Georgia Weapons Licensee may carry on University System of Georgia property if they are carrying concealed . They may not carry in any dormitory or Greek house owned by the University System , in any athletic venue used for intercollegiate sports , in any daycare facility on campus with limited entry ( gated ) , in any classroom with a currently enrolled high school student , in any private office space , or in any room currently in use for disciplinary proceedings . HB280 does not remove the prohibition against carry on private university and college property under Georgia Law .   Summary table ( edit )     Subject / Law   Long guns   Handguns   Relevant Statutes   Notes     State Permit to Purchase ?   No   No   None       Firearm registration ?   No   No   None       Assault weapon law ?   No   No   None       Magazine Capacity Restriction ?   No   No   None       Owner license required ?   No   No   None       Carry permits required ?   No   Yes   O.C.G.A § 16 - 11 - 129   Concealed or open carry allowed with permit . See also O.C.G.A § 43 -- 38 -- 10 which is a special permit for armed security guards .     Open Carry ?   Yes   Yes   O.C.G.A § 16 - 11 - 126   Open carry of handguns allowed with a license issued under O.C.G.A § 16 - 11 - 129 .     State Preemption of local restrictions ?   Yes   Yes   O.C.G.A § 16 - 11 - 173   Despite state preemption , several localities continue to have local gun restrictions . Recent court rulings have resulted in many of these ordinances being withdrawn .     NFA weapons restricted ?   No   No   None       Peaceable Journey laws ?   No   No   None   Federal rules observed .     Background checks required for private sales ?   No   No   None       See also ( edit )    Georgia ( U.S. state ) portal     Law of Georgia ( U.S. state )   Safe Carry Protection Act    References ( edit )    ^ Jump up to : See O.C.G.A. § 16 - 11 - 129   ^ Jump up to : `` A Bill To Be Entitled An Act '' . Legis.state.ga.us . Retrieved November 23 , 2011 .   Jump up ^ `` See O.C.G.A. § 16 - 11 - 129 '' . web.lexisnexis.com . Retrieved 2015 - 08 - 24 .   Jump up ^ NRA - ILA . `` NRA - ILA Georgia : Pro-Gun Reciprocity Legislation Signed Into Law '' . NRA - ILA . Retrieved 2017 - 04 - 06 .   Jump up ^ `` Georgia 's Firearm Permit Reciprocity Georgia Department of Public Safety '' . dps.georgia.gov . Retrieved 2015 - 08 - 24 .   Jump up ^ House Bill 492 ( AS PASSED HOUSE AND SENATE )   Jump up ^ `` See O.C.G.A. § 16 - 11 - 130.1 '' . web.lexisnexis.com . Retrieved 2015 - 08 - 24 .   Jump up ^ `` Senate Bill 396 , Georgia General Assembly '' . Legis.state.ga.us . Retrieved November 23 , 2011 .   Jump up ^ http://www.legis.ga.gov/Legislation/20132014/144825.pdf Line 45 states name directly .   Jump up ^ http://college.usatoday.com/2014/07/14/georgias-guns-everywhere-law-stirs-controversy-among-students-teachers/   Jump up ^ NRA - ILA . `` NRA - ILA Georgia : Governor Deal Signs Campus Carry Legislation into Law '' . NRA - ILA . Retrieved 2017 - 05 - 05 .   Jump up ^ https://www.usg.edu/assets/usg/docs/USG_HB_280_Guidance_%28003%29.pdf      ( hide )         Gun laws in the United States by state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District of Columbia         American Samoa   Guam   Northern Mariana Islands   Puerto Rico   U.S. Virgin Islands      Retrieved from `` https://en.wikipedia.org/w/index.php?title=Gun_laws_in_Georgia&amp;oldid=801284260 '' Categories :   Georgia ( U.S. state ) law   United States gun laws by state           Talk                                           Contents                   About Wikipedia                                           Add links   This page was last edited on 18 September 2017 , at 19 : 49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</si>
  <si>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a georgia concealed carry permit valid</t>
  </si>
  <si>
    <t xml:space="preserve"> Georgia reciprocates in recognizing firearms licenses with the following states : Alabama , Alaska , Arizona , Arkansas , Colorado , Florida , Idaho , Indiana , Iowa , Kansas , Kentucky , Louisiana , Maine , Michigan , Mississippi , Missouri , Montana , New Hampshire , North Carolina , North Dakota , Ohio , Oklahoma , Pennsylvania , South Carolina , South Dakota , Tennessee , Texas , Utah , Virginia , West Virginia , Wisconsin , and Wyoming . </t>
  </si>
  <si>
    <r>
      <rPr>
        <sz val="11"/>
        <color rgb="FF000000"/>
        <rFont val="Calibri"/>
        <family val="0"/>
        <charset val="1"/>
      </rPr>
      <t xml:space="preserve">Maze Runner : the Death Cure - wikipedia  Maze Runner : the Death Cure  Jump to : navigation , search For the book the film is based on , see The Death Cure .    Maze Runner : The Death Cure     Theatrical release poster     Directed by   Wes Ball     Produced by     Ellen Goldsmith - Vein   Wyck Godfrey   Marty Bowen   Joe Hartwick , Jr .   Wes Ball   Lee Stollman       Screenplay by   T.S. Nowlin     Based on   The Death Cure by James Dashner     Starring     Dylan O'Brien   Kaya Scodelario   Thomas Brodie - Sangster   Nathalie Emmanuel   Giancarlo Esposito   Aidan Gillen   Walton Goggins   Ki Hong Lee   Barry Pepper   Will Poulter   Patricia Clarkson       Music by   John Paesano     Cinematography   Gyula Pados     Edited by   Dan Zimmerman     Production company     Gotham Group   Temple Hill Entertainment   Oddball Entertainment       Distributed by   20th Century Fox     Release date     January 11 , 2018 ( 2018 - 01 - 11 ) ( Seoul )   January 26 , 2018 ( 2018 - 01 - 26 ) ( United States )             Running time   142 minutes     Country   United States     Budget   $62 million     Box office   $272.6 million     Maze Runner : The Death Cure ( also known simply as The Death Cure ) is a 2018 American dystopian science fiction action film directed by Wes Ball and written by T.S. Nowlin , based on the novel The Death Cure written by James Dashner . It is the sequel to the 2015 film Maze Runner : The Scorch Trials and the third and final installment in the Maze Runner film series . The film stars Dylan O'Brien , Kaya Scodelario , Thomas Brodie - Sangster , Dexter Darden , Nathalie Emmanuel , Giancarlo Esposito , Aidan Gillen , Walton Goggins , Ki Hong Lee , Jacob Lofland , Katherine McNamara , Barry Pepper , Will Poulter , Rosa Salazar , and Patricia Clarkson .   Maze Runner : The Death Cure was originally set to be released on February 17 , 2017 , in the United States by 20th Century Fox , but the studio rescheduled the film 's release for January 26 , 2018 in theatres and IMAX , allowing time for O'Brien to recover from injuries he sustained during filming . The film received mixed reviews from critics and has grossed over $272 million worldwide .     Contents  ( hide )   1 Plot   2 Cast   3 Production   3.1 Filming     4 Release   5 Reception   5.1 Box office   5.2 Critical response     6 References   7 External links      Plot ( edit )   Thomas , Newt , and Frypan are the last of the free `` Gladers '' immune to the Flare virus that has ravaged the world 's population . Against the orders of Vince , who now leads The Right Arm resistance , the three leave their camp to rescue their immune friend Minho , who is being tortured by the organization WCKD in hopes of developing a cure for the virus . Heading for the `` Last City '' , where WCKD 's headquarters is located , the group is attacked by Cranks , humans infected with the Flare . However , they are saved by Jorge and Brenda , who join them .   The group makes it to the wall of the Last City , which protects the city from Cranks . Outside the wall , people are rallying in protest to be let into the city . When WCKD opens fire at the protesters , the group is captured by a contingent of masked men and are taken to a hideout . One of the masked men is revealed to be Gally , who has survived being killed by Minho at the end of The Maze Runner . Gally takes them to see Lawrence , a rebellion leader for those outside the walls , who grants them permission to enter the Last City through a secret entrance . Gally leads Thomas and Newt through to the city and , spotting Teresa , Gally tells Thomas that she can get them into WCKD headquarters . The three capture her and she agrees to help them .   Thomas , Newt , and Gally escort Teresa inside WCKD headquarters and toward the location of the Immunes . Gally looks after the Immune children and stays to find a serum that can treat the Flare , while Thomas , Newt , and Teresa go to find Minho . They are caught and chased by a vengeful Janson , who leads WCKD 's troops . Teresa lets them escape to find Minho , before rushing to do a blood test on Thomas ' blood , which she obtained when removing trackers from the Gladers .   Gally gets the serum and takes the Immune children outside to a bus where Brenda is waiting . While Gally makes his way back into WCKD headquarters to find Thomas , Brenda is forced to leave with the Immune children in a bus as WCKD forces close in on them . Thomas and Newt reunite with Minho in the medical wing . They are chased by Janson before escaping . Teresa discovers that Thomas ' blood can cure the Flare . She shares her discovery with WCKD 's leader Ava Paige , both agreeing that they must find Thomas . Brenda and the Immune children are cornered by WCKD authorities but are saved by Frypan . Meanwhile , Lawrence rallies his rebels outside the city before blowing a hole in the city wall , allowing his allies and the infected people to storm the city . Outside the headquarters , Gally finds Thomas , Minho , and Newt . Sending Minho and Gally ahead , Newt gives Thomas a necklace with a silver cylinder pendant before passing out . Teresa transmits her voice throughout the city , telling Thomas that his blood can save Newt if he will only return to WCKD . Newt , nearly completely subsumed by the Flare , regains consciousness and attacks Thomas , while begging Thomas to kill him . Left with no other option , Thomas kills Newt .   Thomas makes his way back to WCKD and confronts Ava , who stresses that WCKD 's intentions are good . However , she is killed by Janson , who is turning into a Crank . Janson knocks Thomas out and drags him to a lab where Teresa is ready to extract his blood . However , he reveals that he and WCKD are only truly interested in curing those whom they please , which results in Teresa turning on him . After a fight , Janson is killed , allowing Thomas and Teresa to escape to the rooftop where an aircraft piloted by Jorge and Vince is waiting . Thomas makes it aboard , but Teresa is killed when the headquarters comes apart after being hit by a building collapsing owing to the rebels ' attacks .   The group reunites with the rest of the Immunes and The Right Arm , escaping to a safe haven that was revealed by Ava , where the remaining population can live in safety . There , Thomas discovers that the pendant Newt gave to him had a note in it . Still traumatized by Teresa 's death , he reads the note , in which Newt tells him to look after himself and everyone , before thanking Thomas for being his friend .   Cast ( edit )    Dylan O'Brien as Thomas   Kaya Scodelario as Teresa   Thomas Brodie - Sangster as Newt   Dexter Darden as Frypan   Nathalie Emmanuel as Harriet   Giancarlo Esposito as Jorge   Aidan Gillen as Janson   Walton Goggins as Lawrence   Ki Hong Lee as Minho   Jacob Lofland as Aris   Katherine McNamara as Sonya   Barry Pepper as Vince   Will Poulter as Gally   Rosa Salazar as Brenda   Patricia Clarkson as Ava Paige    Production ( edit )   In March 2015 , it was confirmed that T.S. Nowlin , who co-wrote the first and wrote the second film , would adapt Maze Runner : The Death Cure . On September 16 , 2015 , it was confirmed that Ball would return to direct the final film .   Filming ( edit )   Principal photography began on March 14 , 2016 , in Vancouver , British Columbia . Previously it was revealed at San Diego Comic - Con International that filming would begin in February 2016 .   On March 18 , 2016 , it was reported that actor Dylan O'Brien was injured on set and was hospitalized . James Dashner announced via Twitter that the production was postponed after the accident . It was said that the producers were `` looking to '' resume filming around mid-May . According to the Directors Guild of Canada 's production list , the film was scheduled to resume filming on May 9 , and complete principal photography on July 26 . However , on April 29 , 2016 , production was shut down indefinitely as O'Brien's injuries were more serious than previously thought .   Filming resumed on March 6 , 2017 in Cape Town , South Africa . In May 2017 , it was announced that Walton Goggins would play the part of Lawrence , described as `` an unusual and dangerous character who is part - revolutionary , part - anarchist , and a voice for the voiceless people . '' Principal photography wrapped on June 3 , 2017 .   Release ( edit )   It was originally scheduled to be released in the United States on February 17 , 2017 . However , due to Dylan O'Brien's injuries , the studio said that it was unlikely that this date was going to be met . On May 27 , 2016 , 20th Century Fox rescheduled the film for January 12 , 2018 , allowing time for Dylan O'Brien to fully recover .   On April 22 , 2017 , the studio delayed the release date once again , to February 9 , 2018 , in order to allow more time for post-production ; months later , on August 25 , the studio moved the release forward two weeks . The film premiered on January 26 , 2018 in theatres and IMAX .   Reception ( edit )   Box Office ( edit )   As of February 28 , 2018 , Maze Runner : The Death Cure has grossed $56.6 million in the United States and Canada , and $216.1 million in other territories , for a worldwide total of $272.6 million , against a production budget of $62 million .   In the United States and Canada , The Death Cure was released alongside the wide expansion of Hostiles , and was expected to gross around $20 million from 3,786 theaters in its opening weekend . The film made $1.5 million from Thursday night previews , in between the $1.1 million made by the first film and $1.7 million by the second , and $8.4 million on its first day . It ended up opening to $24.2 million , down from the previous film but still finishing atop the box office . In its second weekend the film dropped 58 % to $10.2 million , finishing second behind Jumanji : Welcome to the Jungle .   A week prior to its North American release , the film debuted in South Korea , Australia and Taiwan , grossing $15.1 million over its opening weekend . During the first two weeks of international release , the film dominated the international box office taking $62.6 and $35.2 million respectively , and outpacing the two previous films .   Critical response ( edit )   On review aggregator Rotten Tomatoes , the film has an approval rating of 43 % based on 140 reviews , and an average rating of 5.1 / 10 . The website 's critical consensus reads , `` Maze Runner : The Death Cure may offer closure to fans of the franchise , but for anyone who has n't already been hooked , this bloated final installment is best left unseen . '' On Metacritic , the film has a weighted average score of 51 out of 100 , based on 37 critics , indicating `` mixed or average reviews '' . Audiences polled by CinemaScore gave the film an average grade of `` B + '' on an A+ to F scale .   References ( edit )    Jump up ^ `` MAZE RUNNER : THE DEATH CURE ( 2018 ) ( 12A ) '' . British Board of Film Classification . January 17 , 2018 . Retrieved January 17 , 2018 .   ^ Jump up to : `` Maze Runner : The Death Cure ( 2018 ) '' . Box Office Mojo . Retrieved March 1 , 2018 .   Jump up ^ Busch , Anita ( March 4 , 2015 ) . `` ' Maze Runner : The Death Cure ' Sets T.S. Nowlin To Pen '' . Deadline Hollywood . Retrieved March 10 , 2015 .   Jump up ^ `` The Maze Runner 3 to begin filming in Vancouver in March '' . Vancity Buzz . January 18 , 2016 . Retrieved February 8 , 2016 .   Jump up ^ A. , Aliza ( March 9 , 2016 ) . `` ' The Maze Runner : Death Cure ' News And Updates : Filming Confirmed ; Release Date Set On February '' . jobsnhire.com . Retrieved March 12 , 2016 .   Jump up ^ Defy Media ( @ ClevverTV ) ( July 9 , 2015 ) . `` The script for Death Cure is currently being worked on &amp; will begin filming in February # ScorchTrials # ScorchSneakPeek '' ( Tweet ) . Retrieved July 10 , 2015 -- via Twitter .   Jump up ^ Zumberge , Marianne ( March 18 , 2016 ) . `` ' Maze Runner ' Star Dylan O'Brien Injured on Set '' . Variety . Retrieved March 18 , 2016 .   Jump up ^ `` Maze Runner Star Dylan O'Brien Healing Very Well After On - Set Accident , Will Return to Work in About Six Weeks -- E ! '' . E !. April 5 , 2016 . Retrieved May 1 , 2016 .   ^ Jump up to : `` Dylan O'Brien's Injuries Force ' Maze Runner ' Sequel to Extend Production Shut Down '' . Yahoo . Retrieved May 1 , 2016 .   Jump up ^ `` Maze Runner : The Death Cure Resumes Filming In February '' . August 29 , 2016 . Retrieved August 31 , 2016 .   Jump up ^ Ian Bailey ( September 4 , 2016 ) . `` Maze Runner film production leaving B.C. for South Africa '' . The Globe and Mail . Retrieved September 5 , 2016 .   Jump up ^ @ wesball ( March 2 , 2017 ) . `` Big day today . Shot two scenes in 7 hours ( that 's a short day for me ) . Also prelit a set for tomorrow . Then watched dailies ... Pretty stuff '' ( Tweet ) -- via Twitter .   Jump up ^ Hipes , Patrick ( May 10 , 2017 ) . `` Walton Goggins Set For ' Maze Runner : The Death Cure ' '' . Deadline Hollywood .   Jump up ^ @ wesball ( June 4 , 2017 ) . `` That 's a wrap ! Thanks to a great cast and crew for a hell of an experience '' ( Tweet ) -- via Twitter .   Jump up ^ Chitwood , Adam ( April 18 , 2015 ) . `` MAZE RUNNER : THE DEATH CURE Set for 2017 Release ; Miraculously Not Being Split into Two Movies '' . Collider.com . Retrieved June 29 , 2015 .   Jump up ^ `` Past , present and future releases to Past , Present and Future Releases UK Recent and Upcoming Movie '' . www.launchingfilms.com . Retrieved April 1 , 2017 .   Jump up ^ McNary , Dave ( May 28 , 2016 ) . `` Dylan O'Brien's ' Maze Runner : Death Cure ' Release Pushed Back to 2018 '' . Retrieved August 31 , 2016 .   Jump up ^ @ wesball ( April 22 , 2017 ) . `` Hey maze fans . Do n't worry . Release date shifted 4 weeks . It 's a good thing . I get four more weeks of vfx finals , sound mixing , editing '' ( Tweet ) -- via Twitter .   Jump up ^ Anthony , D'Allessandro ( April 22 , 2017 ) . `` ' Deadpool 2 ' , ' New Mutants ' &amp; ' Dark Phoenix ' Find 2018 Dates Among Fox 's Slew of Release Changes &amp; Additions '' . Retrieved April 23 , 2017 .   Jump up ^ Dave , McNary ( August 25 , 2017 ) . `` Steven Spielberg 's Pentagon Papers Movie Re-Titled ' The Post ' '' . Variety . Retrieved August 26 , 2017 .   ^ Jump up to : McNary , Dave ( January 23 , 2018 ) . `` Box Office : ' Maze Runner : The Death Cure ' Races Toward $20 Million Opening '' . Variety . Retrieved January 23 , 2018 .   ^ Jump up to : D'Alessandro , Anthony ( January 28 , 2018 ) . `` Fox Controls Close To 40 % Of Weekend B.O. Led By ' Maze Runner ' &amp; Oscar Holdovers ; ' Hostiles ' Gallops Past $10 M '' . Deadline Hollywood . Retrieved January 28 , 2018 .   Jump up ^ D'Alessandro , Anthony ( February 4 , 2018 ) . `` ' Jumanji ' Poised To Be Dwayne Johnson 's Highest Grossing Pic of All - Time Stateside After Super Bowl Weekend Rebound '' . Deadline Hollywood . Retrieved February 4 , 2018 .   Jump up ^ McNary , Dave ( January 28 , 2018 ) . `` Box Office : ' Maze Runner : The Death Cure ' Dominates With $62.6 Million Internationally '' . Variety . Retrieved February 5 , 2018 .   Jump up ^ McNary , Dave ( February 4 , 2018 ) . `` ' Maze Runner : The Death Cure ' Sprints to $35 Million at International Box Office '' . Variety . Retrieved February 5 , 2018 .   Jump up ^ `` Maze Runner : The Death Cure ( 2018 ) '' . Rotten Tomatoes . Retrieved February 18 , 2018 .   Jump up ^ `` Maze Runner : The Death Cure reviews '' . Metacritic . Retrieved January 28 , 2018 .    External links ( edit )    Official website   Maze Runner : The Death Cure on IMDb              The Maze Runner series by James Dashner     Main trilogy     The Maze Runner   The Scorch Trials   The Death Cure       Prequels     The Kill Order   The Fever Code       Film series     The Maze Runner   Maze Runner : The Scorch Trials   Maze Runner : The Death Cure                 Films directed by Wes Ball       The Maze Runner ( 2014 )   Maze Runner : The Scorch Trials ( 2015 )   Maze Runner : The Death Cure ( 2018 )      Retrieved from `` https://en.wikipedia.org/w/index.php?title=Maze_Runner:_The_Death_Cure&amp;oldid=828322653 '' Categories :   2018 films   2010s action thriller films   2010s adventure films   2010s mystery films   2010s science fiction films   2010s teen films   20th Century Fox films   American films   American action thriller films   American science fiction action films   American science fiction thriller films   American sequel films   Films about revenge   Films based on American novels   Films based on science fiction novels   Films directed by Wes Ball   Films shot in South Africa   IMAX films   The Maze Runner   Post-apocalyptic films   Science fiction adventure films   Teen mystery films   Hidden categories :   All pages needing factual verification   Wikipedia articles needing factual verification from February 2018   Use mdy dates from February 2018   Articles containing potentially dated statements from February 2018   All articles containing potentially dated statements           Talk                                           Contents                   About Wikipedia                                             Čeština   Dansk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Magyar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Türkçe   Українська   Tiếng Việt   </t>
    </r>
    <r>
      <rPr>
        <sz val="11"/>
        <color rgb="FF000000"/>
        <rFont val="Noto Sans CJK SC"/>
        <family val="2"/>
      </rPr>
      <t xml:space="preserve">中文  </t>
    </r>
    <r>
      <rPr>
        <sz val="11"/>
        <color rgb="FF000000"/>
        <rFont val="Calibri"/>
        <family val="0"/>
        <charset val="1"/>
      </rPr>
      <t xml:space="preserve">14 more  Edit links   This page was last edited on 1 March 2018 , at 21 : 52 .         About Wikipedia                    </t>
    </r>
  </si>
  <si>
    <t xml:space="preserve">when did the new maze runner movie come out</t>
  </si>
  <si>
    <t xml:space="preserve"> Maze Runner : The Death Cure was originally set to be released on February 17 , 2017 , in the United States by 20th Century Fox , but the studio rescheduled the film 's release for January 26 , 2018 in theatres and IMAX , allowing time for O'Brien to recover from injuries he sustained during filming . The film received mixed reviews from critics and has grossed over $272 million worldwide . </t>
  </si>
  <si>
    <t xml:space="preserve">Box lacrosse - wikipedia  Box lacrosse   Box lacrosse   A box lacrosse goaltender     Highest governing body   Federation of International Lacrosse     Nicknames   Boxla , box , indoor     First played   1930s in Canada     Characteristics     Contact   Collision     Team members   5 runners and a goalie     Box lacrosse , also known as boxla , box , or indoor lacrosse , is an indoor version of lacrosse played mostly in North America . The game originated in Canada in the 1930s , where it is more popular than field lacrosse and is the national summer sport . Box lacrosse is played between two teams of five players and one goalie each , and is traditionally played on an ice hockey rink once the ice has been removed or covered . The playing area is called a box , in contrast to the open playing field of field lacrosse . The object of the game is to use a lacrosse stick to catch , carry , and pass the ball in an effort to score by shooting a solid rubber lacrosse ball into the opponent 's goal .   The highest levels of box lacrosse are the National Lacrosse League ( NLL ) ( professional ) , Box Lacrosse League ( semi-pro ) , Senior A divisions of the Canadian Lacrosse Association ( semi-pro ) , the Western Lacrosse Association ( semi-pro ) , and Major Series Lacrosse ( semi-pro ) .   While there are 59 total members of the Federation of International Lacrosse ( FIL ) , only fifteen have competed in international box lacrosse competition . Only Canada , the Iroquois Nationals and the United States have finished in the top three places at the World Indoor Lacrosse Championships .   Contents    1 History   2 Rules   2.1 Players , equipment and officials   2.1. 1 Goaltender   2.1. 2 Defenders   2.1. 3 Transition   2.1. 4 Forwards     2.2 Playing area   2.3 Duration and tie - breaking methods   2.4 Ball in and out of play   2.5 Penalties   2.5. 1 Fighting       3 International competition   4 Women   5 See also   6 References   6.1 Footnotes   6.2 Bibliography     7 External links    History ( edit )  Ball players , painted by George Catlin , illustrates various Native Americans playing lacrosse .  Lacrosse is a traditional indigenous people 's game and was first encountered by Europeans when French Jesuit missionaries in the St. Lawrence Valley witnessed the game in the 1630s . Lacrosse for centuries was seen as a key element of cultural identity and spiritual healing to Native Americans . It originated as a field game and was adopted first by Canadian , American , and English athletes as a field game , eventually settling on a 10 v 10 format .   Box lacrosse is a modern version of the game that was invented in Canada during the 1920s and 1930s . The roots of indoor lacrosse are obscure , but its invention has been attributed to one Paddy Brennan , a field lacrosse player and referee from Montreal , who , being annoyed by the constant slowing of play from balls going out of bounds in the field game , experimented with indoor games at the Mount Royal Arena during the early 1920s .   Joseph Cattarinich and Leo Dandurand , owners of the National Hockey League 's Montreal Canadiens in the 1920s , led the participating ice hockey arena owners to introduce the new sport . In the 1930s , 6 v 6 indoor lacrosse came to be played in the summer in unused hockey rinks . Canadians adopted the new version of the sport quickly . Eventually , it became the more popular version of the sport in Canada , supplanting field lacrosse . The form was also adopted as the primary version of the game played on Native American reservations in the US and Canada by Iroquois and other Native peoples . It is the only sport in which the American indigenous people are sanctioned to compete internationally , participating as the Iroquois Nationals . However , many field lacrosse enthusiasts viewed the new version of the sport with negativity .   The first professional box lacrosse games were held in 1931 . That summer , the arena owners formed the International Lacrosse League , featuring four teams : the Montreal Canadiens , Montreal Maroons , Toronto Maple Leafs , and Cornwall Colts . The league lasted only two seasons . In the wake of the original International Lacrosse League opened the American Box Lacrosse League featuring six teams : two in New York City , and one each in Brooklyn , Toronto , Boston , and Baltimore . The league played to small crowds on outdoor fields such as Yankee Stadium and Fenway Park , before closing midway through its inaugural season . Lacrosse was officially declared Canada 's National Summer Sport with the passage of the National Sports Act ( Bill C - 212 ) on May 12 , 1994 .   The first box lacrosse match conducted in Australia came about as part of a fund raising appeal for the Queen Victoria Hospital in Melbourne . The Victorian Lacrosse Association was approached by the appeal committee to stage a lacrosse match as part of a multi sport carnival at the Plaza ( Wattle Path Palais ) ballroom at St Kilda on 1 July 1931 . After a lightning six - a-side ( outdoor ) tournament format was successfully carried out a few weeks prior , it was decided to play six - a-side for this exhibition game between MCC and a composite team from other clubs , with players wearing rubber shoes and using a softer ball for the match . Newspaper articles at the time suggest that the sport may have even been created in Australia , with P.J. Lally of the famous Canadian lacrosse stick manufacturing company requesting a copy of the rules of the game from the VLA Secretary . By 1933 , box lacrosse matches were being played in Adelaide , Brisbane , and Perth . This new version of the game however did not overtake the traditional version of lacrosse in popularity in Australia as happened in Canada .   The Canadian Lacrosse Association began sponsoring box lacrosse . In 1932 , the Mann Cup , the most prestigious lacrosse trophy in Canada , was contended for under box lacrosse rules for the first time . Previously , the national senior men 's lacrosse championship , awarded since 1901 , was competed for under field lacrosse rules . The Mann Cup is an annual tournament that presents the champion of the Western Lacrosse Association and Major Series Lacrosse in a best of seven national championship . A few years later , in 1937 , the Minto Cup , began being awarded under box lacrosse rules to the junior men 's champions . Currently the Canadian Lacrosse Association oversees the Mann Cup , the Minto Cup , the Presidents Cup ( Senior B national championship ) the Founders Cup ( Junior B national championship ) all under box lacrosse rules .   Briefly in 1939 , a professional box lacrosse league started up in California , called the Pacific Coast Lacrosse Association . This four team league also folded shortly after opening . Professional box lacrosse did not return to the United States again until 1968 when the Portland Adanacs and Detroit Olympics franchises played in the National Lacrosse Association , a circuit that folded after one summer season seaso .  National Lacrosse League action during an All - Star Game in 2005  A new professional indoor lacrosse league was created in the 1970s with the formation of the original National Lacrosse League . This league opened in 1974 with teams in Montreal , Toronto , Rochester , Syracuse , Philadelphia , and Maryland . For the 1975 season , Rochester moved to Boston , Syracuse moved to Quebec City , and Toronto moved to Long Island . Thus , by its second year , the original NLL was playing in all major league arenas : the Colisée de Québec , the Montreal Forum , the Boston Garden , Nassau Coliseum , the Spectrum , and the Capital Centre . When the two wealthier ' 75 NLL franchises , Philadelphia and Maryland , finished out of the playoffs , and with Montreal losing access to the fabled Montreal Forum in the upcoming season due to the 1976 Montreal Olympic Games , the league folded after two seasons due to financial uncertainty .   The rebirth of professional box lacrosse in the United States came on March 13 , 1986 , with the formation of the Eagle Pro Box Lacrosse League , which was incorporated by Russ Cline and Chris Fritz . The league originated with four teams : the Philadelphia Wings , New Jersey Saints , Washington Wave , and Baltimore Thunder , and unlike box lacrosse generally , was played during the winter . The league rebranded itself as the Major Indoor Lacrosse League ( MILL ) immediately after its inaugural season , and in 1998 renamed itself again , this time to the NLL . In 1998 , the NLL entered into the Canadian market for the first time with the Ontario Raiders . Although 5 of the league 's 9 teams are based in American cities , more than two - thirds of the players are Canadian .   Rules ( edit )   Players , equipment and officials ( edit )  Windsor Clippers ( OJBLL ) runner in 2014 .  During play , a team consists of six players : a goaltender and five `` runners '' . A runner is any non-goalkeeper position player , including forwards , transition players , and defenders . Runners usually specialize in one of these roles and substitute off the field when the ball moves from one end to the other . When the sport originated teams played with six runners . However , in 1953 the sixth runner , a position called rover , was eliminated . The goalkeeper can be replaced by another runner , often when a delayed penalty has been called on the other team or at the end of games by teams that are behind to help score goals .   A player 's lacrosse stick must be between 40 inches ( 1.0 m ) and 46 inches ( 1.2 m ) in length ( youth levels may use shorter sticks ) . In most box lacrosse leagues , the use of a traditional wooden stick is allowed . However , almost no lacrosse players use wooden sticks anymore , preferring aluminum or another metal , and a plastic head . In the NLL , wooden lacrosse sticks are not allowed . Besides a lacrosse stick , each player must also wear a certain amount of protective equipment , including a lacrosse helmet with facemask , lacrosse gloves , arm and shoulder pads , and back / kidney pads . Rib pads are optional in some leagues .   In some box leagues , especially the NLL , the five `` runners '' wear helmets specifically designed for box lacrosse . These helmets consist of a hockey helmet with a box lacrosse face mask attached instead of a hockey cage .   During a typical game the number of officials can range from one to three , depending on the league and level of play . In most games there are at least two referees : a lead official and a trail official . In NLL games there are three officials per game .  Goaltender ( edit ) See also : Goaltender ( box lacrosse ) St. Catharines Spartans ( OJBLL ) goalie in 2014 .  The goaltender 's responsibility is to prevent the opposition from scoring goals by directly defending the net . Box lacrosse goaltenders equipment includes upper body gear ( measuring no more than 3 inches ( 7.6 cm ) up and 5 inches ( 13 cm ) out off the shoulder -- much larger than similar gear for field lacrosse or ice hockey goaltenders ) , large shin guards that must measure no more than 11 inches ( 28 cm ) at the knee , 9 inches ( 23 cm ) at the top of the shin and 7 inches ( 18 cm ) at the ankle , and a field lacrosse helmet or ice hockey goalie mask .   The 9 feet ( 2.7 m ) to 9 feet 3 inches ( 2.82 m ) radius area surrounding the net is called the `` crease '' . Players except for the goaltender may not enter the crease while playing the ball . Punishments for crease infractions include a change of possession , resetting of the time - clock , or a possible two - minute penalty depending on the infraction . Opposing players may not make contact with the goaltender while he is in the crease . Once he leaves the crease , however , he loses all goaltender privileges .   Even as box lacrosse grows in the United States , the American goalkeeper is a rarity . The skills required to be a successful field lacrosse goaltender and a successful box lacrosse goaltender are very different and do not lend well to one another .  Defenders ( edit )  A defender is a player position whose primary responsibility is to prevent the opposing team from scoring . Unlike in field lacrosse where some defensive players carry longer sticks , all box lacrosse defenders play with a maximum 46 inches ( 1.2 m ) long stick . Defensive tactics include cross checking ( where a player uses the shaft of his stick to push the opposition player off balance ) , body checking ( where a player makes contact with the opposition player in order to slow him down ) , and stick checking ( where a player makes contact with the opposition player 's stick in order to knock the ball loose ) .  Transition ( edit )  A transition player is a player whose responsibility is primarily to play during defensive situations with an offensive mindset . The goal of this player is to create fastbreaks and scoring opportunities .  Forwards ( edit )  A forward is a player position on the field whose responsibility is primarily offensive . Typically , a forward is dominant throwing with one hand or the other , and will primarily play on that side of the floor . Some players , known as creasemen , do not focus on one side or the other . These players instead focus their offensive attention near the crease area in front of the goaltender .   Playing area ( edit )  Detailed diagram illustrating the differences and similarities between Canadian Lacrosse Association and National Lacrosse League box lacrosse playing areas  The playing area of box lacrosse is typically an ice hockey rink during the summer months . The playing surface is usually the concrete floor underneath the melted ice . Generally the playing area is 180 feet ( 55 m ) to 200 feet ( 61 m ) in length and 80 feet ( 24 m ) to 90 feet ( 27 m ) in width . The NLL plays on artificial turf placed on top of the ice . Some leagues , and teams that have dedicated box lacrosse arenas ( such as the Iroquois ) , have outfitted their playing surface with artificial turf similar to the NLL .   Box lacrosse goal dimensions are traditionally 4 feet ( 1.2 m ) wide by 4 feet ( 1.2 m ) tall . In the NLL , the dimensions are slightly larger at 4 feet 9 inches ( 1.45 m ) wide by 4 feet ( 1.2 m ) tall . These nets are significantly smaller than field lacrosse nets which measure 6 feet ( 1.8 m ) wide by 6 feet ( 1.8 m ) tall .   Duration and tie - breaking methods ( edit )   A traditional game played under the rules of the Canadian Lacrosse Association consists of three periods of 20 minutes each ( similar to ice hockey ) , with the teams changing ends each period . The NLL plays four 15 - minute quarters rather than three periods . If the game is tied at the end of regulation play , a 5 - minute overtime ( 15 in NLL ) can be played . Overtime may or may not be sudden victory , depending on the league .   Ball in and out of play ( edit )  Referee placing the ball while opponents line up for a face - off .  Each period , and after each goal scored , play is restarted with a face - off . If a ball travels over the boards and outside of the playing area , play is restarted by possession being awarded to the opposing team to that which last touched the ball .   During play , teams may substitute players in and out freely . Sometimes this is referred to as `` on the fly '' substitution . Substitution must occur within the designated exchange area in front of the players bench in order to be legal . The sport utilizes a shot clock and the attacking team must take a shot on goal within 30 seconds of gaining possession of the ball . In addition , players must advance the ball from their own defensive end to the offensive half of the floor within 10 seconds ( 8 in NLL ) .   Penalties ( edit )   For most penalties , the offending player is sent to the penalty box and his team has to play without him and with one less player for a short amount of time . Most penalties last for two minutes unless a major penalty has been assessed . The team that has taken the penalty is said to be playing shorthanded while the other team is on the power play .   A two - minute minor penalty is often called for lesser infractions such as slashing , tripping , elbowing , roughing , too many players , illegal equipment , holding , or interference . Five - minute major penalties are called for especially violent instances of most minor infractions that result in intentional injury to an opponent , as well as for fighting . Players are released from the penalty box when either the penalty time expires , or the opposition scores a goal ( or three goals for the instance of a major penalty ) .   At the officials ' discretion a ten - minute misconduct penalty may be assessed . These are served in full by the penalized player , but his team may immediately substitute another player on the playing area unless a minor or major penalty is assessed in conjunction with the misconduct ( a `` two - and - ten '' or `` five - and - ten '' ) . In that case , the team designates another player to serve the minor or major ; both players go to the penalty box , but only the designee may not be replaced , and he is released upon the expiration of the two or five minutes . In addition , game misconducts are assessed for deliberate intent to inflict severe injury on an opponent . A player who receives a game misconduct is ejected and may not return to play . Receiving two major penalties in a game will result in a game misconduct .  A fight during a lacrosse game between two players on the Toronto Rock and Calgary Roughnecks  A penalty shot , where a player from the non-offending team is given an attempt to score a goal without opposition from any defending players except the goaltender , may be awarded under certain circumstances . By rule , teams must have at least three runners in play . If a team commits a third penalty resulting in a `` three man down '' situation a penalty shot is awarded in favor of having the offending player serve in the penalty box . A penalty shot may also be awarded , at the referee 's discretion , if a defensive player causes a foul to prevent a goal ( by throwing his stick , holding , tripping , or by deliberately displacing the goal , or a defensive player intentionally falls and covers a ball in his own team 's crease ) . In the NLL , a penalty shot is awarded against any team taking a too - many - men penalty in the final two minutes of the game or overtime .  Fighting ( edit )  Similar to fighting in ice hockey , fighting is tolerated in professional box lacrosse . Professional players are not automatically subject to ejection , but incur a five - minute major penalty . In Canadian Lacrosse Association play , players are assessed a five - minute major penalty plus a game misconduct . Fighting in youth or club level box lacrosse is typically penalized with expulsion and suspensions . In 1990 , when the Six Nations created the new Mohawk lacrosse league , fighting was specifically targeted as unacceptable . Violators were ejected from the game in which the altercation occurred and given a minimum three game suspension .   International competition ( edit )   Box lacrosse is the most popular version of the sport in the Czech Republic . It is also played to a marginal degree in Australia , primarily by players who have played field lacrosse . Club level box lacrosse leagues in the United States have increased the number of players exposed to the sport , including the : Baltimore Indoor Lacrosse League , the Philadelphia Box Lacrosse Association , and the Metro Area Box Lacrosse League .   The first world championship of box lacrosse , `` The Nations in 1980 '' , was staged in several arenas in British Columbia , Canada in July 1980 involving teams representing the United States , Australia , Canada East , Canada West and the Iroquois Nationals . Canada West ( Coquitlam Adanacs ) defeated the Iroquois in the nationally televised world championship game from Pacific Coliseum in Vancouver . This was the first time in history that Indigenous peoples of the Americas people represented themselves in an athletic world championship competition .   The second international box lacrosse tournament was held in 2003 , with the inaugural World Indoor Lacrosse Championships . The competitors were national teams from Australia , Canada , the Czech Republic , the Iroquois Nationals , Scotland , and the United States .   The 2015 WILC was hosted by the Onondaga Nation which marks the first time an international sporting event has been held on indigenous land . 13 teams competed in the championship : Australia , Canada , Czech Republic , England , Finland , Germany , Iroquois Nationals , Ireland , Israel , Serbia , Switzerland , Turkey , and the United States .   Canada , Iroquois Nationals and the United States have won gold , silver , and bronze respectively in each of the World Indoor Lacrosse Championships held . Canada has yet to lose an international game in box lacrosse .   Other international tournaments have been played . Annually , the European Lacrosse Federation holds the Aleš Hřebeský Memorial tournament in Prague . This is the largest European box lacrosse tournament . In 2002 and 2004 , the Heritage Cup was played between the United States and Canada featuring mostly players that were members of NLL teams .   Women ( edit )   Historically , box lacrosse has been exclusively a men 's sport . Women who played the sport of lacrosse typically played the women 's field lacrosse version . Recently , Ontario , Alberta , Nova Scotia and British Columbia have established girls ' and women 's box lacrosse leagues .   During the 2003 NLL season , goaltender Ginny Capicchioni appeared in two preseason and one regular season games to become the only woman to make an appearance in the NLL .   See also ( edit )    Canada portal   Sports portal     Lacrosse in Canada   Sports in Canada   Major Indoor Lacrosse League / National Lacrosse League ( 1997 -- present )   Major Series Lacrosse ( 1887 -- present )   Western Lacrosse Association ( 1932 -- present )    References ( edit )   Footnotes ( edit )    Jump up ^ Vennum , p. 9   Jump up ^ Barrie , Don . `` Lacrosse on ice sounds nice '' . The Peterborough Examiner . Retrieved 2013 - 02 - 14 .   ^ Jump up to : Fisher , p. 157   Jump up ^ Fisher , p. 120   Jump up ^ Vennum , p. 281   ^ Jump up to : Hu , Winnie ( July 13 , 2007 ) . `` Indians Widen Old Outlet in Youth Lacrosse '' . New York Times . Retrieved 2008 - 10 - 31 .   Jump up ^ Fryling , Kevin ( 2006 - 07 - 27 ) . `` Nike deal promotes Native American wellness , lacrosse '' . University of Buffalo Reporter . Retrieved 2006 - 07 - 28 .   Jump up ^ Fisher , p. 161 - 164   Jump up ^ `` 1931 International Lacrosse Federation Game Program '' . Wamper 's Bible of Lacrosse . Retrieved 2015 - 10 - 25 .   Jump up ^ Fisher , p. 158   Jump up ^ Fisher , p. 160   Jump up ^ Marlatt , Craig I.W. `` Symbols , Facts , &amp; Lists : Official Symbols '' . CanadaInfo . Retrieved 2008 - 10 - 23 .   Jump up ^ `` National Sports of Canada '' . Sport Canada . May 12 , 1994 . Archived from the original on 2008 - 09 - 14 . Retrieved 2008 - 11 - 09 . It 's a rougher adaptation of the original field versions of lacrosse with elements similar to hockey and basketball . It has the speed , agility , flexibilty , coordination and main aspect of scoring on a net from hockey , the offensive set up ( 2 - 2 - 1 ) `` house '' when attacking the other team 's goal , a shot clock of 30 seconds to shoot on the net , and regular setting of `` picks '' similar to basketball . Box lacrosse defenders are allowed to block attackers from getting near their goal by cross checking , a technique that is not allowed in field lacrosse . Box Lacrosse is known to be the fastest sport on two feet and one of the most brutal sports known to man .   Jump up ^ `` M.C.C. STILL UNDEFEATED . '' The Australasian . Melbourne . 27 June 1931 . p. 49 . Retrieved 24 October 2015 -- via National Library of Australia .   Jump up ^ `` LACROSSE '' . The Argus . Melbourne . 9 June 1931 . p. 13 . Retrieved 24 October 2015 -- via National Library of Australia .   Jump up ^ `` LACROSSE '' . The Australasian . Melbourne . 11 July 1931 . p. 50 . Retrieved 24 October 2015 -- via National Library of Australia .   Jump up ^ `` LACROSSE '' . The Telegraph ( FIRST EDITION ed . ) . Brisbane. 4 September 1931 . p. 12 . Retrieved 24 October 2015 -- via National Library of Australia .   Jump up ^ `` LACROSSE '' . The West Australian . Perth. 24 May 1932 . p. 14 . Retrieved 26 September 2012 -- via National Library of Australia .   Jump up ^ `` LACROSSE '' . The West Australian . Perth. 14 June 1932 . p. 14 . Retrieved 26 September 2012 -- via National Library of Australia .   Jump up ^ `` UNJUSTIFIED CRITICISM OF LACROSSE REFEREES '' . The Advertiser . Adelaide. 10 June 1932 . p. 11 . Retrieved 26 September 2012 -- via National Library of Australia .   Jump up ^ `` LACROSSE '' . The Brisbane Courier. 4 July 1933 . p. 7 . Retrieved 26 September 2012 -- via National Library of Australia .   Jump up ^ `` LACROSSE '' . Western Mail . Perth. 27 July 1933 . p. 19 . Retrieved 26 September 2012 -- via National Library of Australia .   Jump up ^ `` LACROSSE '' . The West Australian . Perth. 5 July 1932 . p. 4 . Retrieved 26 September 2012 -- via National Library of Australia .   Jump up ^ `` The Mann Cup : Canada 's signature lacrosse event '' . cbc.ca . Retrieved 2007 - 08 - 15 .   Jump up ^ `` WLA Lacrosse Association '' . British Columbia Lacrosse Association . Archived from the original on April 9 , 2008 . Retrieved 2008 - 11 - 04 .   Jump up ^ `` Major Series Lacrosse '' . Ontario Lacrosse Association . Archived from the original on 2009 - 06 - 09 . Retrieved 2008 - 11 - 04 .   Jump up ^ `` Men 's Box Lacrosse National Championships '' . Canadian Lacrosse Association . Retrieved 2008 - 11 - 04 .   Jump up ^ Fisher , p. 165 - 166   ^ Jump up to : Shillington , Stan . `` A Place In Sport History '' . AdanacLacrosse.com . Archived from the original on October 10 , 2007 . Retrieved 2008 - 10 - 28 .   Jump up ^ `` National Lacrosse League : History '' . Major League Sports Almanac . Archived from the original on 2009 - 10 - 22 . Retrieved 2008 - 11 - 04 .   Jump up ^ `` NLL Pro Stats : 1974 and 1975 '' . Wamper 's Bible of Lacrosse . Archived from the original on February 14 , 2009 . Retrieved 2008 - 11 - 04 .   ^ Jump up to : `` Lax 101 : League History '' . NLL.com . Archived from the original on 2008 - 10 - 14 . Retrieved 2008 - 10 - 27 .   ^ Jump up to : `` National Lacrosse League Rulebook '' ( PDF ) . NLL.com . Archived from the original ( PDF ) on 2008 - 12 - 17 . Retrieved 2008 - 10 - 27 .   Jump up ^ NLL Team Rosters on Pointstreak.com , as of March 25 , 2007   Jump up ^ `` OLA Lacrosse History : 1953 '' . Thistles Lacrosse History . October 8 , 2008 . Archived from the original on 2009 - 10 - 26 . Retrieved 2008 - 10 - 28 .   ^ Jump up to : `` Box Lacrosse : The Game '' . Canadian Lacrosse Association . Retrieved 2008 - 10 - 28 .   Jump up ^ Vennum , p. 287   Jump up ^ `` Box Lacrosse Equipment Guideline '' . Zone4Laxx.com . Archived from the original on 2008 - 11 - 21 . Retrieved 2008 - 10 - 28 .   Jump up ^ `` What 's the Deal With Box Helmets ? Archived April 7 , 2014 , at the Wayback Machine . '' Lacrosselime.com. 25 February 2014 . Retrieved March 3 , 2014 .   Jump up ^ `` Officials Forms : Referee Floor Positioning diagrams in PowerPoint '' . Canadian Lacrosse Association . Retrieved 2008 - 11 - 10 .   ^ Jump up to : `` The American Goalie '' . NLL.com . October 8 , 2008 . Archived from the original on 2008 - 10 - 08 . Retrieved 2008 - 10 - 28 .   ^ Jump up to : `` Canadian Lacrosse Association has developed the Parents and Players Guide to Box Lacrosse '' ( PDF ) . Canadian Lacrosse Association . Archived from the original ( PDF ) on October 25 , 2006 . Retrieved 2008 - 11 - 04 .   Jump up ^ `` Lax 101 : Terms of the Turf '' . NLL.com . Archived from the original on 2008 - 10 - 14 . Retrieved 2008 - 11 - 06 .   Jump up ^ `` 2008 National Lacrosse League Media Guide '' ( PDF ) . NLL.com . Archived from the original ( PDF ) on 2008 - 10 - 31 . Retrieved 2008 - 11 - 06 .   Jump up ^ `` Floor Diagram and Line Markings for CLA Play '' ( PDF ) . Canadian Lacrosse Association . Archived from the original ( PDF ) on March 4 , 2009 . Retrieved 2008 - 11 - 04 .   Jump up ^ `` Rules of Men 's Field Larosse '' ( PDF ) . International Lacrosse Federation . Archived from the original ( PDF ) on January 6 , 2007 . Retrieved 2007 - 03 - 30 .   Jump up ^ `` Canadian Box Lacrosse Rules '' ( PDF ) . Nepean Knights Minor Lacrosse Association . Archived from the original ( PDF ) on 2007 - 07 - 10 . Retrieved 2008 - 11 - 10 .   Jump up ^ Vennum , p. 234 - 235   ^ Jump up to : `` European Lacrosse Federation -- Men 's Box Lacrosse '' . EuropeanLacrosse.org . Archived from the original on 2008 - 10 - 09 . Retrieved 2008 - 10 - 28 .   Jump up ^ `` Williamstown Lacrosse Club history '' . Williamstown Lacrosse Club . Archived from the original on 2009 - 02 - 13 . Retrieved 2008 - 11 - 06 .   Jump up ^ `` Baltimore Indoor Lacrosse League '' . Baltimore Indoor Lacrosse League . Archived from the original on 2009 - 02 - 14 . Retrieved 2008 - 10 - 31 .   Jump up ^ `` Philadelphia Box Lacrosse Association FAQ 's '' . PhillyBoxLacrosse.org . Retrieved 2008 - 10 - 31 .   Jump up ^ `` Metro Area Box Lacrosse League '' . www.mabll.com . Retrieved 2010 - 04 - 04 .   Jump up ^ `` 2003 World Indoor Lacrosse Championships '' . Outsider 's Guide . Archived from the original on 2009 - 02 - 15 . Retrieved 2008 - 11 - 04 .   Jump up ^ `` WILC 2015 '' . Archived from the original on 2015 - 02 - 15 . Retrieved 2015 - 11 - 29 .   Jump up ^ Elliot , Danielle ( 24 September 2015 ) . `` Native America 's Team : four Onondaga brothers shatter records and perceptions '' . Guardian ( UK ) .   Jump up ^ `` WILC 2015 '' . Federation of International Lacrosse . Retrieved 15 November 2017 .   Jump up ^ Joe , Fee ( October 5 , 2002 ) . `` American outburst rocks Canadians in Heritage Cup '' . Outsider 's Guide . Archived from the original on February 14 , 2009 . Retrieved 2008 - 11 - 04 .   Jump up ^ Philly , R.A. ( October 16 , 2004 ) . `` Canadians swipe Heritage Cup , 17 - 8 '' . Outsider 's Guide . Archived from the original on February 15 , 2009 . Retrieved 2008 - 11 - 04 .   Jump up ^ Fisher , p. 200   Jump up ^ `` Ontario Girls Box Lacrosse Website '' . OntarioGirlsBoxLacrosse.com . Archived from the original on 2009 - 02 - 13 . Retrieved 2008 - 11 - 06 .   Jump up ^ `` BC Women 's Lacrosse Website '' . BCWomensLacrosse.com . Archived from the original on 2009 - 02 - 13 . Retrieved 2008 - 11 - 06 .   Jump up ^ `` Lacrosse : First Woman Plays In League Game '' . New York Times . April 14 , 2003 . Retrieved 2008 - 11 - 06 .    Bibliography ( edit )    Fisher , Donald M. ( 2002 ) . Lacrosse : A History of the Game . JHU Press . ISBN 0 - 8018 - 6938 - 2 .   Vennum , Thomas ( 2008 ) . American Indian Lacrosse : Little Brother of War . JHU Press . ISBN 0 - 8018 - 8764 - X .   `` Thistles Lacrosse History '' . Bible of Lacrosse . Archived from the original on 2009 - 10 - 22 . Retrieved 2009 - 02 - 27 .   `` 1931 Video First Box Lacrosse Game -- Toronto at Montreal '' . Bible of Lacrosse . Archived from the original on 2008 - 08 - 20 . Retrieved 2009 - 02 - 27 .    External links ( edit )       Wikimedia Commons has media related to Box lacrosse .      Box Lacrosse at Lacrosse-Information.com   The Latest in Box Lacrosse at Box Lacrosse.Org              Box lacrosse leagues     Senior      Professional     National Lacrosse League       Semi-Pro     Arena Lacrosse League   Box Lacrosse League       Major     Major Series Lacrosse   Western Lacrosse Association       CDN Senior B     Can - Am   Nova Scotia   Ontario   Prairie Gold   Quebec   Rocky Mountain   Three Nations   West Coast       CDN Senior C     Circuit Québécois   Prince George   Rocky Mountain C   Thompson Okanagan   Victoria   West Central          Canadian Junior      Junior A     British Columbia   Ontario   Rocky Mountain       Junior B     British Columbia   East Coast   First Nations   Ontario   Pacific Northwest   Prairie Gold   Rocky Mountain   Thompson Okanagan       Other     Ontario Jr. C   Québec Jr. C   Rocky Mountain ( Tier II &amp; III )          Defunct     Canadian Lacrosse League   Montreal Junior Lacrosse League   National Lacrosse Association   National Lacrosse League ( 1974 -- 1975 )   North American Lacrosse League   Professional Lacrosse League                 Lacrosse     Overview     H</t>
  </si>
  <si>
    <t xml:space="preserve">how many players on a box lacrosse team</t>
  </si>
  <si>
    <t xml:space="preserve"> During play , a team consists of six players : a goaltender and five `` runners '' . A runner is any non-goalkeeper position player , including forwards , transition players , and defenders . Runners usually specialize in one of these roles and substitute off the field when the ball moves from one end to the other . When the sport originated teams played with six runners . However , in 1953 the sixth runner , a position called rover , was eliminated . The goalkeeper can be replaced by another runner , often when a delayed penalty has been called on the other team or at the end of games by teams that are behind to help score goals . </t>
  </si>
  <si>
    <r>
      <rPr>
        <sz val="11"/>
        <color rgb="FF000000"/>
        <rFont val="Calibri"/>
        <family val="0"/>
        <charset val="1"/>
      </rPr>
      <t xml:space="preserve">List of Olympic Games host cities - wikipedia  List of Olympic Games host cities  Jump to : navigation , search  This is a list of host cities of the Olympic Games , both summer and winter , since the modern Olympics began in 1896 . Since then , summer games have usually -- but not always -- celebrated a four - year period known as an Olympiad . There have been 28 Summer Olympic Games held in 24 cities , and 23 Winter Olympic Games held in 20 cities . In addition , three summer and two winter editions of the Games were scheduled to take place but later cancelled due to war : Berlin ( summer ) in 1916 ; Tokyo / Helsinki ( summer ) and Sapporo / Garmisch - Partenkirchen ( winter ) in 1940 ; and London ( summer ) and Cortina d'Ampezzo , Italy ( winter ) in 1944 . The 1906 Summer Olympics were officially sanctioned and held in Athens . However , in 1949 , the International Olympic Committee ( IOC ) , decided to unrecognize the 1906 Games . Four cities have been chosen by the IOC to host upcoming Olympic Games : Tokyo for the 2020 Summer Olympics , Beijing for the 2022 Winter Olympics , Paris for the 2024 Summer Olympics , and Los Angeles for the 2028 Summer Olympics .   In 2022 , Beijing will become the only city that has held both the summer and the winter Olympic Games . Nine cities will have hosted the Olympic Games more than once : Athens ( 1896 and 2004 Summer Olympics ) , Paris ( 1900 , 1924 and 2024 Summer Olympics ) , London ( 1908 , 1948 and 2012 Summer Olympics ) , St. Moritz ( 1928 and 1948 Winter Olympics ) , Lake Placid ( 1932 and 1980 Winter Olympics ) , Los Angeles ( 1932 , 1984 and 2028 Summer Olympics ) , Innsbruck ( 1964 and 1976 Winter Olympics ) , Tokyo ( 1964 and 2020 Summer Olympics ) and Beijing ( 2008 Summer Olympics and 2022 Winter Olympics ) . In addition , Stockholm hosted the 1912 Summer Olympics and the equestrian portion of the 1956 Summer Olympics . London became the first city to have hosted three Games with the 2012 Summer Olympics . Paris will become the second city to do this with the 2024 Summer Olympics , followed by Los Angeles as the third in 2028 . The United States has hosted a total of eight Olympic Games , more than any other country , followed by France with five editions . Canada , Germany , Italy , Japan , and the United Kingdom have each hosted three Games .   The Games have primarily been hosted in the continents of Europe ( 36 editions ) and North America ( 12 editions ) ; eight Games have been hosted in Asia and two have been hosted in Oceania . In 2016 , Rio de Janeiro became South America 's first Olympic host city , while the African continent has yet to hold the Games . Other major geographic regions which have never hosted the Olympics include the Middle East , the Indian subcontinent , the Caribbean , and Southeast Asia .   Host cities are selected by the IOC membership , usually seven years in advance . The selection process lasts approximately two years . In the first stage , any city in the world may submit an application to become a host city . After 10 months , the Executive Board of the IOC decides which applicant city will become official candidates as based on the recommendation of a working group that reviews the applications . In a second stage , the candidate cities are investigated thoroughly by an Evaluation Commission , which then submits a final short list of cities to be considered for selection . The host city is then chosen by vote of the IOC session , a general meeting of IOC members .     Contents  ( hide )   1 Olympic Games host cities   1.1 Host cities for multiple Summer and Winter Olympic Games   1.2 Number of Olympic Games by country   1.3 Number of Olympic Games by continent   1.4 Unsuccessful cities     2 See also   3 Notes   4 References   5 External links      Olympic Games host cities ( edit )    For individual summer and winter lists , see List of modern Summer Olympic Games and List of Winter Olympic Games .      City   Country   Continent   Summer ( Olympiad )   Winter   Year   Opening Ceremony   Closing Ceremony     Athens   Greece   Europe   S005 I     1896   000000002018 - 04 - 06 - 0000 April 6   000000002018 - 04 - 15 - 0000 April 15     Paris   France   Europe   S005 II     1900   000000002018 - 05 - 14 - 0000 May 14   000000002018 - 10 - 28 - 0000 October 28     St. Louis   United States   North America   S005 III     1904   000000002018 - 07 - 01 - 0000 July 1   000000002018 - 11 - 23 - 0000 November 23     London   United Kingdom   Europe   S005 IV     1908   000000002018 - 04 - 27 - 0000 April 27   000000002018 - 10 - 31 - 0000 October 31     Stockholm   Sweden   Europe   S005 V     1912   000000002018 - 05 - 05 - 0000 May 5   000000002018 - 07 - 22 - 0000 July 22     Berlin   Germany   Europe   S006 VI     1916   Cancelled due to WWI     Antwerp   Belgium   Europe   S007 VII     1920   000000002018 - 04 - 20 - 0000 April 20   000000002018 - 09 - 12 - 0000 September 12     Chamonix   France   Europe     W001 I   1924   000000002018 - 01 - 25 - 0000 January 25   000000002018 - 02 - 04 - 0000 February 4     Paris   France   Europe   S008 VIII     000000002018 - 05 - 04 - 0000 May 4   000000002018 - 07 - 27 - 0000 July 27     St. Moritz   Switzerland   Europe     W002 II   1928   000000002018 - 02 - 11 - 0000 February 11   000000002018 - 02 - 19 - 0000 February 19     Amsterdam   Netherlands   Europe   S009 IX     000000002018 - 05 - 17 - 0000 May 17   000000002018 - 08 - 12 - 0000 August 12     Lake Placid   United States   North America     W003 III   1932   000000002018 - 02 - 04 - 0000 February 4   000000002018 - 02 - 15 - 0000 February 15     Los Angeles   United States   North America   S010 X     000000002018 - 07 - 30 - 0000 July 30   000000002018 - 08 - 14 - 0000 August 14     Garmisch - Partenkirchen   Nazi Germany   Europe     W004 IV   1936   000000002018 - 02 - 06 - 0000 February 6   000000002018 - 02 - 16 - 0000 February 16     Berlin   Nazi Germany   Europe   S011 XI     000000002018 - 08 - 01 - 0000 August 1   000000002018 - 08 - 16 - 0000 August 16     Sapporo Garmisch - Partenkirchen   Empire of Japan Nazi Germany   Asia Europe     W005a V   1940   Cancelled due to WWII     Tokyo Helsinki   Empire of Japan Finland   Asia Europe   S012 XII       Cortina d'Ampezzo   Italy   Europe     W005b V   1944     London   United Kingdom   Europe   S013 XIII       St. Moritz   Switzerland   Europe     W005c V   1948   000000002018 - 01 - 30 - 0000 January 30   000000002018 - 02 - 08 - 0000 February 8     London   United Kingdom   Europe   S014 XIV     000000002018 - 07 - 29 - 0000 July 29   000000002018 - 08 - 14 - 0000 August 14     Oslo   Norway   Europe     W006 VI   1952   000000002018 - 02 - 14 - 0000 February 14   000000002018 - 02 - 25 - 0000 February 25     Helsinki   Finland   Europe   S015 XV     000000002018 - 07 - 19 - 0000 July 19   000000002018 - 08 - 03 - 0000 August 3     Cortina d'Ampezzo   Italy   Europe     W007 VII   1956   000000002018 - 01 - 26 - 0000 January 26   000000002018 - 02 - 05 - 0000 February 5     Melbourne Stockholm   Australia Sweden   Oceania Europe   S016 XVI     000000002018 - 11 - 22 - 0000 November 22 000000002018 - 06 - 10 - 0000 June 10   000000002018 - 12 - 08 - 0000 December 8 000000002018 - 06 - 17 - 0000 June 17     Squaw Valley   United States   North America     W008 VIII   1960   000000002018 - 02 - 18 - 0000 February 18   000000002018 - 02 - 28 - 0000 February 28     Rome   Italy   Europe   S017 XVII     000000002018 - 08 - 25 - 0000 August 25   000000002018 - 09 - 11 - 0000 September 11     Innsbruck   Austria   Europe     W009 IX   1964   000000002018 - 01 - 29 - 0000 January 29   000000002018 - 02 - 09 - 0000 February 9     Tokyo   Japan   Asia   S018 XVIII     000000002018 - 10 - 10 - 0000 October 10   000000002018 - 10 - 24 - 0000 October 24     Grenoble   France   Europe     W010 X   1968   000000002018 - 02 - 06 - 0000 February 6   000000002018 - 02 - 18 - 0000 February 18     Mexico City   Mexico   North America   S019 XIX     000000002018 - 10 - 12 - 0000 October 12   000000002018 - 10 - 27 - 0000 October 27     Sapporo   Japan   Asia     W011 XI   1972   000000002018 - 02 - 03 - 0000 February 3   000000002018 - 02 - 13 - 0000 February 13     Munich   West Germany   Europe   S020 XX     000000002018 - 08 - 26 - 0000 August 26   000000002018 - 09 - 11 - 0000 September 11     Innsbruck   Austria   Europe     W012 XII   1976   000000002018 - 02 - 04 - 0000 February 4   000000002018 - 02 - 15 - 0000 February 15     Montreal   Canada   North America   S021 XXI     000000002018 - 07 - 17 - 0000 July 17   000000002018 - 08 - 01 - 0000 August 1     Lake Placid   United States   North America     W013 XIII   1980   000000002018 - 02 - 12 - 0000 February 12   000000002018 - 02 - 24 - 0000 February 24     Moscow   Soviet Union   Europe   S022 XXII     000000002018 - 07 - 19 - 0000 July 19   000000002018 - 08 - 03 - 0000 August 3     Sarajevo   Yugoslavia   Europe     W014 XIV   1984   000000002018 - 02 - 07 - 0000 February 7   000000002018 - 02 - 19 - 0000 February 19     Los Angeles   United States   North America   S023 XXIII     000000002018 - 07 - 28 - 0000 July 28   000000002018 - 08 - 12 - 0000 August 12     Calgary   Canada   North America     W015 XV   1988   000000002018 - 02 - 13 - 0000 February 13   000000002018 - 02 - 28 - 0000 February 28     Seoul   South Korea   Asia   S024 XXIV     000000002018 - 09 - 17 - 0000 September 17   000000002018 - 10 - 02 - 0000 October 2     Albertville   France   Europe     W016 XVI   1992   000000002018 - 02 - 08 - 0000 February 8   000000002018 - 02 - 23 - 0000 February 23     Barcelona   Spain   Europe   S025 XXV     000000002018 - 07 - 25 - 0000 July 25   000000002018 - 08 - 09 - 0000 August 9     Lillehammer   Norway   Europe     W017 XVII   1994   000000002018 - 02 - 12 - 0000 February 12   000000002018 - 02 - 27 - 0000 February 27     Atlanta   United States   North America   S026 XXVI       000000002018 - 07 - 19 - 0000 July 19   000000002018 - 08 - 04 - 0000 August 4     Nagano   Japan   Asia     W018 XVIII   1998   000000002018 - 02 - 07 - 0000 February 7   000000002018 - 02 - 22 - 0000 February 22     Sydney   Australia   Oceania   S027 XXVII     2000   000000002018 - 09 - 15 - 0000 September 15   000000002018 - 10 - 01 - 0000 October 1     Salt Lake City   United States   North America     W019 XIX   2002   000000002018 - 02 - 08 - 0000 February 8   000000002018 - 02 - 24 - 0000 February 24     Athens   Greece   Europe   S028 XXVIII       000000002018 - 08 - 13 - 0000 August 13   000000002018 - 08 - 29 - 0000 August 29     Torino   Italy   Europe     W020 XX   2006   000000002018 - 02 - 10 - 0000 February 10   000000002018 - 02 - 26 - 0000 February 26     Beijing   China   Asia   S029 XXIX     2008   000000002018 - 08 - 08 - 0000 August 8   000000002018 - 08 - 24 - 0000 August 24     Vancouver   Canada   North America     W021 XXI     000000002018 - 02 - 12 - 0000 February 12   000000002018 - 02 - 28 - 0000 February 28     London   United Kingdom   Europe   S030 XXX     2012   000000002018 - 07 - 27 - 0000 July 27   000000002018 - 08 - 12 - 0000 August 12     Sochi   Russia   Europe     W022 XXII   2014   000000002018 - 02 - 07 - 0000 February 7   000000002018 - 02 - 23 - 0000 February 23     Rio de Janeiro   Brazil   South America   S031 XXXI     2016   000000002018 - 08 - 05 - 0000 August 5   000000002018 - 08 - 21 - 0000 August 21     Pyeongchang   South Korea   Asia     W023 XXIII   2018   000000002018 - 02 - 09 - 0000 February 9   000000002018 - 02 - 25 - 0000 February 25     Tokyo   Japan   Asia   S032 XXXII     2020   000000002018 - 07 - 24 - 0000 July 24   000000002018 - 08 - 09 - 0000 August 9     Beijing   China   Asia     W024 XXIV   2022   000000002018 - 02 - 04 - 0000 February 4   000000002018 - 02 - 20 - 0000 February 20     Paris   France   Europe   S033 XXXIII     2024   000000002018 - 07 - 26 - 0000 July 26   000000002018 - 08 - 11 - 0000 August 11     TBD   TBD       W025 XXV   2026   ( TBD )     Los Angeles   United States   North America   S034 XXXIV     2028   000000002018 - 07 - 21 - 0000 July 21   000000002018 - 08 - 06 - 0000 August 6     Host cities for multiple Summer and winter Olympic Games ( edit )   List of cities that hosted multiple editions of the Olympic Games   City   Country   Continent   Summer Olympics   Winter Olympics   Total     London   United Kingdom   Europe   3 ( 1908 , 1948 , 2012 )   0       Paris   France   Europe   3 ( 1900 , 1924 , 2024 )   0     Los Angeles   United States   North America   3 ( 1932 , 1984 , 2028 )   0     Athens   Greece   Europe   2 ( 1896 , 2004 )   0       Tokyo   Japan   Asia   2 ( 1964 , 2020 )   0     Beijing   China   Asia   1 ( 2008 )   1 ( 2022 )     St. Moritz   Switzerland   Europe   0   2 ( 1928 , 1948 )     Innsbruck   Austria   Europe   0   2 ( 1964 , 1976 )     Lake Placid   United States   North America   0   2 ( 1932 , 1980 )      The 1906 Intercalated Games are not officially recognized by the IOC as an official Olympic Games .    Number of Olympic Games by country ( edit )  Nations that have hosted or will host the Summer Olympics 5 times 4 times ( no entry ) 3 times 2 times 1 time Never held games Nations that have hosted or will host the Winter Olympics 4 times or more 3 times 2 times 1 time Never held games  List of countries ranked by the number of times they hosted the Olympic Games   Rank   Country   Continent   Summer Olympics   Winter Olympics   Total       United States   North America   5 ( 1904 , 1932 , 1984 , 1996 , 2028 )   4 ( 1932 , 1960 , 1980 , 2002 )   9       France   Europe   3 ( 1900 , 1924 , 2024 )   3 ( 1924 , 1968 , 1992 )   6       Japan   Asia   2 ( 1940 , 1964 , 2020 )   2 ( 1940 , 1972 , 1998 )         United Kingdom   Europe   3 ( 1908 , 1944 , 1948 , 2012 )   0       Canada   North America   1 ( 1976 )   2 ( 1988 , 2010 )     Italy   Europe   1 ( 1960 )   2 ( 1944 , 1956 , 2006 )     German Empire / Nazi Germany / West Germany / Germany   Europe   2 ( 1916 , 1936 , 1972 )   1 ( 1936 , 1940 )     8   China   Asia   1 ( 2008 )   1 ( 2022 )       South Korea   Asia   1 ( 1988 )   1 ( 2018 )     Soviet Union / Russia   Europe   1 ( 1980 )   1 ( 2014 )     Greece   Europe   2 ( 1896 , 2004 )   0     Australia   Oceania   2 ( 1956 , 2000 )   0     Norway   Europe   0   2 ( 1952 , 1994 )     Austria   Europe   0   2 ( 1964 , 1976 )     Switzerland   Europe   0   2 ( 1928 , 1940 , 1948 )     Sweden   Europe   2 ( 1912 , 1956 ( equestrian events only ) )   0     17   Brazil   South America   1 ( 2016 )   0       Spain   Europe   1 ( 1992 )   0     SFR Yugoslavia / Bosnia and Herzegovina   Europe   0   1 ( 1984 )     Mexico   North America   1 ( 1968 )   0     Finland   Europe   1 ( 1940 , 1952 )   0     Netherlands   Europe   1 ( 1928 )   0     Belgium   Europe   1 ( 1920 )   0     Number of Olympic Games by continent ( edit )     Rank   Continent   Summer Olympics   Winter Olympics   Total       Europe   17 ( 1896 , 1900 , 1908 , 1912 , 1920 , 1924 , 1928 , 1936 , 1940 , 1944 , 1948 , 1952 , 1960 , 1972 , 1980 , 1992 , 2004 , 2012 , 2024 )   14 ( 1924 , 1928 , 1936 , 1940 , 1944 , 1948 , 1952 , 1956 , 1964 , 1968 , 1976 , 1984 , 1992 , 1994 , 2006 , 2014 )   31       North America   7 ( 1904 , 1932 , 1968 , 1976 , 1984 , 1996 , 2028 )   6 ( 1932 , 1960 , 1980 , 1988 , 2002 , 2010 )   13       Asia   4 ( 1940 , 1964 , 1988 , 2008 , 2020 )   4 ( 1940 , 1972 , 1998 , 2018 , 2022 )   8       Oceania   2 ( 1956 , 2000 )   0       5   South America   1 ( 2016 )   0       6   Africa   0   0   0     Unsuccessful cities ( edit )       This section does not cite any sources . Please help improve this section by adding citations to reliable sources . Unsourced material may be challenged and removed . ( February 2018 ) ( Learn how and when to remove this template message )       Country   City   Bids     United States   Detroit   7     Hungary   Budapest   6     Turkey   Istanbul   5     Spain   Madrid       Argentina   Buenos Aires       Switzerland   Lausanne       United States   Philadelphia   5     United States   Chicago       United States   Minneapolis       Cuba   Havana       Belgium   Brussels       Azerbaijan   Baku       Qatar   Doha       Spain   Seville       Yugoslavia   Belgrade       Puerto Rico   San Juan       Australia   Brisbane       Slovakia   Poprad       United States   Boston       See also ( edit )    Olympics portal     List of Commonwealth Games host cities    Notes ( edit )    Originally awarded to Chicago , but moved to St. Louis to coincide with the World 's Fair .   The 1906 Games were sanctioned and treated as an Olympic Games when held , and they were recognized as an Olympic Games by the IOC until 1949   The 1908 Games were originally given to Rome , but were moved to London when Mount Vesuvius erupted .   The sailing events in 1920 were held in Ostend , Belgium and in Amsterdam , Netherlands .   The 1940 winter games were originally awarded to Sapporo , but were moved to Garmisch - Partenkirchen before being cancelled .   The 1940 summer games were originally awarded to Tokyo , but were moved to Helsinki before being cancelled .   Equestrian events were held in Stockholm , Sweden . Stockholm had to bid for the equestrian competition separately ; it received its own Olympic flame and had its own formal invitations and opening and closing ceremonies , just like the regular Summer Olympics .   Russia / Soviet Union spans the continents of Europe and Asia . However , the Russian National Olympic Committee is part of the European Olympic Committees . Also , Moscow is on the European side of the most commonly recognized boundary between Europe and Asia . ( Sochi is in Asia per the usual geographic boundary , being just south of the Greater Caucasus ' western end ; but political approximations of the continental boundary place it in Europe . )   Equestrian events were held in China 's Hong Kong SAR . Although Hong Kong 's separate NOC conducted the equestrian competition , it was an integral part of the Beijing Games ( unlike the 1956 Stockholm equestrian competition it was not conducted under a separate Hong Kong bid , separate flame , etc . ) .    References ( edit )    Jump up ^ Findling , John E. ; Pelle , Kimberly D. ( 2004 ) . Encyclopedia of the Modern Olympic Movement . Greenwood Publishing Group . p. 41 . ISBN 978 - 0 - 313 - 32278 - 5 .   Jump up ^ Group , Taylor Francis ( 2003 ) . The Europa World Yearbook . Taylor and Francis Group . p. 247 . ISBN 978 - 1 - 85743 - 227 - 5 .   Jump up ^ `` Choice of the Host City '' . olympic.org . International Olympic Committee . Retrieved 2009 - 06 - 04 .   ^ Jump up to : Durántez , Conrado ( April -- May 1997 ) . `` The Olympic Movement , a twentieth - century phenomenon '' ( PDF ) . Olympic Review . XXVI ( 14 ) : 56 -- 57 .   Jump up ^ `` Antwerp 1920 '' . olympic.org . Retrieved 23 January 2011 .   Jump up ^ `` Chamonix 1924 '' . olympic.org . Retrieved 23 January 2011 .   Jump up ^ `` Paris 1924 '' . olympic.org . Retrieved 23 January 2011 .   Jump up ^ `` St. Moritz 1928 '' . olympic.org . Retrieved 23 January 2011 .   Jump up ^ `` Amsterdam 1928 '' . olympic.org . Retrieved 23 January 2011 .   Jump up ^ `` Lake Placid 1932 '' . olympic.org . Retrieved 23 January 2011 .   Jump up ^ `` Los Angeles 1932 '' . olympic.org . Retrieved 23 January 2011 .   Jump up ^ `` Garmisch - Partenkirchen 1936 '' . olympic.org . Retrieved 23 January 2011 .   Jump up ^ `` Berlin 1936 '' . olympic.org . Retrieved 23 January 2011 .   Jump up ^ `` St Louis 1904 '' . International Olympic Committee . Retrieved 2008 - 07 - 29 .   Jump up ^ `` St. Louis gets Olympic Games ; International Committee Sanctions the Change for the World 's Fair in 1904 '' ( PDF ) . The New York Times . 1903 - 02 - 12 . Retrieved 2008 - 07 - 29 .   Jump up ^ The 2nd International Olympic Games In Athens 1906 , Karl Lennartz , Journal of Olympic History , Dec. 2001 / Jan. 2002   Jump up ^ `` Rome Games moved to London '' . realclearsports.com . Retrieved 23 January 2011 .   Jump up ^ `` Stockholm / Melbourne 1956 '' . Swedish Olympic Committee . Archived from the original on 2008 - 10 - 09 . Retrieved 2008 - 08 - 01 .   Jump up ^ Tim Pile ( June 25 , 2008 ) . `` Hong Kong saddles up for the Olympics '' . London : The Daily Telegraph . Retrieved 2008 - 07 - 29 .   Jump up ^ `` 2008 Beijing Olympic home page '' . International Olympic Committee . Retrieved 2008 - 05 - 04 .    External links ( edit )    `` The Olympic Games '' . olympic.org . International Olympic Committee . Retrieved 2009 - 06 - 05 .              Summer Olympic Games host cities       1896 : Athens   1900 : Paris   1904 : St. Louis   1908 : London   1912 : Stockholm   1916 : None   1920 : Antwerp   1924 : Paris   1928 : Amsterdam   1932 : Los Angeles   1936 : Berlin   1940 : None   1944 : None   1948 : London   1952 : Helsinki   1956 : Melbourne   1960 : Rome   1964 : Tokyo   1968 : Mexico City   1972 : Munich   1976 : Montreal   1980 : Moscow   1984 : Los Angeles   1988 : Seoul   1992 : Barcelona   1996 : Atlanta   2000 : Sydney   2004 : Athens   2008 : Beijing   2012 : London   2016 : Rio de Janeiro   2020 : Tokyo   2024 : Paris   2028 : Los Angeles       Cancelled due to World War I ; Cancelled due to World War II               Winter Olympic Games host cities       1924 : Chamonix   1928 : St. Moritz   1932 : Lake Placid   1936 : Garmisch - Partenkirchen   1940 : Cancelled due to World War II   1944 : Cancelled due to World War II   1948 : St. Moritz   1952 : Oslo   1956 : Cortina d'Ampezzo   1960 : Squaw Valley   1964 : Innsbruck   1968 : Grenoble   1972 : Sapporo   1976 : Innsbruck   1980 : Lake Placid   1984 : Sarajevo   1988 : Calgary   1992 : Albertville   1994 : Lillehammer   1998 : Nagano   2002 : Salt Lake City   2006 : Turin   2010 : Vancouver   2014 : Sochi   2018 : Pyeongchang   2022 : Beijing   2026 : TBD   2030 : TBD                 Olympic Games       Ceremonies   Charter   Participating nations   Summer Olympics   Winter Olympics     Host cities   Bids   Venues     IOC   NOCs   Country codes     Medal   Medal tables   Medalists   Ties   Diploma     Scandals and controversies   Colonialism   Doping     Sports   Symbols   Torch relays   Pierre de Coubertin medal     Women   Deaths   WWI     Olympic video games       Summer Games     1896 Athens   1900 Paris   1904 St. Louis   1908 London   1912 Stockholm   1916 Berlin   1920 Antwerp   1924 Paris   1928 Amsterdam   1932 Los Angeles   1936 Berlin   1940 Tokyo   1944 London   1948 London   1952 Helsinki   1956 Melbourne   1960 Rome   1964 Tokyo   1968 Mexico City   1972 Munich   1976 Montreal   1980 Moscow   1984 Los Angeles   1988 Seoul   1992 Barcelona   1996 Atlanta   2000 Sydney   2004 Athens   2008 Beijing   2012 London   2016 Rio de Janeiro   2020 Tokyo   2024 Paris   2028 Los Angeles   2032 TBD         Winter Games     1924 Chamonix   1928 St. Moritz   1932 Lake Placid   1936 Garmisch - Partenkirchen   1940 Sapporo   1944 Cortina d'Ampezzo   1948 St. Moritz   1952 Oslo   1956 Cortina d'Ampezzo   1960 Squaw Valley   1964 Innsbruck   1968 Grenoble   1972 Sapporo   1976 Innsbruck   1980 Lake Placid   1984 Sarajevo   1988 Calgary   1992 Albertville   1994 Lillehammer   1998 Nagano   2002 Salt Lake City   2006 Turin   2010 Vancouver   2014 Sochi   2018 Pyeongchang   2022 Beijing   2026 TBD   2030 TBD         Ancient Olympic Games   Intercalated Games   1906     Paralympic Games   Youth Olympic Games        Olympics portal   Retrieved from `` https://en.wikipedia.org/w/index.php?title=List_of_Olympic_Games_host_cities&amp;oldid=843272486 '' Categories :   Olympics - related lists   Lists of host cities   Lists of Olympic venues   Hidden categories :   CS1 : Julian -- Gregorian uncertainty   Articles needing additional references from February 2018   All articles needing additional references           Talk                                           Contents                   About Wikipedia                                             বাংলা   Català   Ελληνικά   فارسی   Français   Қазақша   Latviešu   Македонски   Norsk   Português   Română   Русский   தமிழ்   Українська   اردو   Tiếng Việt   </t>
    </r>
    <r>
      <rPr>
        <sz val="11"/>
        <color rgb="FF000000"/>
        <rFont val="Noto Sans CJK SC"/>
        <family val="2"/>
      </rPr>
      <t xml:space="preserve">中文  </t>
    </r>
    <r>
      <rPr>
        <sz val="11"/>
        <color rgb="FF000000"/>
        <rFont val="Calibri"/>
        <family val="0"/>
        <charset val="1"/>
      </rPr>
      <t xml:space="preserve">9 more  Edit links   This page was last edited on 28 May 2018 , at 01 : 40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</si>
  <si>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are the upcoming olympics to be held</t>
  </si>
  <si>
    <t xml:space="preserve"> This is a list of host cities of the Olympic Games , both summer and winter , since the modern Olympics began in 1896 . Since then , summer games have usually -- but not always -- celebrated a four - year period known as an Olympiad . There have been 28 Summer Olympic Games held in 24 cities , and 23 Winter Olympic Games held in 20 cities . In addition , three summer and two winter editions of the Games were scheduled to take place but later cancelled due to war : Berlin ( summer ) in 1916 ; Tokyo / Helsinki ( summer ) and Sapporo / Garmisch - Partenkirchen ( winter ) in 1940 ; and London ( summer ) and Cortina d'Ampezzo , Italy ( winter ) in 1944 . The 1906 Summer Olympics were officially sanctioned and held in Athens . However , in 1949 , the International Olympic Committee ( IOC ) , decided to unrecognize the 1906 Games . Four cities have been chosen by the IOC to host upcoming Olympic Games : Tokyo for the 2020 Summer Olympics , Beijing for the 2022 Winter Olympics , Paris for the 2024 Summer Olympics , and Los Angeles for the 2028 Summer Olympics . </t>
  </si>
  <si>
    <r>
      <rPr>
        <sz val="11"/>
        <color rgb="FF000000"/>
        <rFont val="Calibri"/>
        <family val="0"/>
        <charset val="1"/>
      </rPr>
      <t xml:space="preserve">Three seconds rule - Wikipedia  Three seconds rule  Jump to : navigation , search Not to be confused with the Five - second rule of food hygiene , or the two - second rule regarding safe driving , both sometimes known as the three - second rule .  The three seconds rule ( also referred to as the three - second rule or three in the key , with often termed a lane violation ) requires that in basketball , a player shall not remain in the opponents ' restricted area for more than three consecutive seconds while their team is in control of a live ball in the frontcourt and the game clock is running .   The three - second rule was introduced in 1936 and was expressed as such : no offensive player with the ball could remain in the Key with or without the ball , for more than three seconds .   The three - second rule came about in part following a game at Madison Square Garden between the University of Kentucky ( UK ) and New York University ( NYU ) in 1935 , won by NYU 23 - 22 . The university of Kentucky team did not take their own referee , a common practice at the time , despite advice to the UK coach Adolph Rupp from Notre Dame coach George Keogan , who had lost to NYU the week prior and who warned Rupp of the discrepancies in officiating between the Midwest and the East . The game was rough . UK was unable to run its normal offense ( which consisted of using screens ) without being called for a foul . New York University 's Irving Terjesen and Irwin Klein combined to guard one of UK 's major players , Leroy Edwards , allowing him to score a mere 6 points ( the lowest output of his career ) . The New York Post reacted with alarm : `` The score says that NYU is the best college basketball team in the country and that the East still is supreme . But if Frank Lane , the referee from the Midwest , had worked the game , it 's safe to assume big Leroy Edwards would have been given a fantastic number of foul shots . Minor mayhem was committed on the person of Edwards by Terjesen and Klein . Something will have to be done or the game will become entirely too rough . ''   See also ( edit )    Defensive three - second violation   Basketball Key   Five - second rule    References ( edit )    Jump up ^ Rule 5 ( Violations ) , Article 26 . `` Official Basketball Rules 2014 '' ( pdf ) . International Basketball Federation . 2014 . Retrieved 2014 - 03 - 02 .   Jump up ^ New York Post , quoted in Laudeman , Tev ( 1972 ) . The Rupp Years : The University of Kentucky 's Golden Era of Basketball . Louisville : Louisville Courier - Journal . ASIN B0006C4AOO . , cited in `` Leroy Edwards '' . bigbluehistory.net . Retrieved December 22 , 2014 .              Basketball ( outline )     General topics     History of basketball   James Naismith   Variations of basketball   Leagues   Statistics   Glossary of terms   Index of articles         Rules     Bonus   Jump ball   Officials   Turnover     Violation   3 seconds   Offense   Defense     5 seconds   Basket interference   Carrying   Double dribble   Goaltending   Shot clock   Traveling       Foul   Flagrant   Personal   Technical         Game play     Air ball   Alley - oop   Assist   Backboard shattering   Ball hog   Block   Buzzer beater   Cherry picking   Dribble   Crossover     Dunk   Euro step   Fadeaway   Fast break   Fly     Flop   Jump shot   Layup   Finger roll     Field goal   Four - point play   Free throw   Hook shot   Moves   Pick and roll   Positions   Posterized   Playbook   Rebound   Point   Screen   Back screen     Slashing   Steal   Three - pointer   Three - point play   Uncontested shot       Strategy      General     Sixth man       Offense     Continuity offense   Flex   Shuffle   UCLA High Post   Wheel     Dribble drive motion   Four corners   Motion   Princeton   Run and gun   Grinnell System   Nellie Ball   Small ball     Triangle       Defense     1 - 2 - 1 - 1   1 -- 3 -- 1   2 -- 3 zone   Amoeba   Box - and - one   Double team   Full - court press   Hack - a-Shaq   Jordan Rules   Line   Man - to - man   Match - up zone   Triangle - and - two   Zone          Equipment     Backboard   Ball   Breakaway rim   Court   Half court     Key   Net   Possession arrow   Whistle       Clothing     Basketball sleeve   Finger sleeve   Air Jordan   Chuck Taylor All - Stars       Miscellaneous     100 - point scorers   50 -- 40 -- 90 club   AAU All - Americans   AAU champions   Mikan Drill   Player tracking   Shootaround   Tip drill   Winning streaks           This basketball - related article is a stub . You can help Wikipedia by expanding it .            Retrieved from `` https://en.wikipedia.org/w/index.php?title=Three_seconds_rule&amp;oldid=812463632 '' Categories :   Rules of basketball   1936 introductions   Basketball stubs               Talk                                                             About Wikipedia                                           Ελληνικά   Français   </t>
    </r>
    <r>
      <rPr>
        <sz val="11"/>
        <color rgb="FF000000"/>
        <rFont val="Noto Sans CJK SC"/>
        <family val="2"/>
      </rPr>
      <t xml:space="preserve">日本 語   </t>
    </r>
    <r>
      <rPr>
        <sz val="11"/>
        <color rgb="FF000000"/>
        <rFont val="Calibri"/>
        <family val="0"/>
        <charset val="1"/>
      </rPr>
      <t xml:space="preserve">Polski   Русский   Türkçe   Edit links   This page was last edited on 28 November 2017 , at 00 : 01 .         About Wikipedia                    </t>
    </r>
  </si>
  <si>
    <t xml:space="preserve">when did the nba 3 second rule start</t>
  </si>
  <si>
    <t xml:space="preserve"> The three - second rule was introduced in 1936 and was expressed as such : no offensive player with the ball could remain in the Key with or without the ball , for more than three seconds . </t>
  </si>
  <si>
    <r>
      <rPr>
        <sz val="11"/>
        <color rgb="FF000000"/>
        <rFont val="Calibri"/>
        <family val="0"/>
        <charset val="1"/>
      </rPr>
      <t xml:space="preserve">Plus and minus signs - wikipedia  Plus and minus signs  Jump to : navigation , search For these two signs conjoined as the symbol `` ± '' , see Plus - minus sign . `` Minus '' redirects here . For the mathematical operation represented by the minus sign , see Subtraction . For other uses , see Minus ( disambiguation ) . `` Positive sign '' and `` Negative sign '' redirect here . For uses in astrology , see Positive sign ( astrology ) and Negative sign ( astrology ) .    + −     Plus and minus signs        Punctuation     apostrophe   ' '     brackets   ( ) ( ) ( ) ⟨ ⟩     colon   :     comma   , ، </t>
    </r>
    <r>
      <rPr>
        <sz val="11"/>
        <color rgb="FF000000"/>
        <rFont val="Noto Sans CJK SC"/>
        <family val="2"/>
      </rPr>
      <t xml:space="preserve">、     </t>
    </r>
    <r>
      <rPr>
        <sz val="11"/>
        <color rgb="FF000000"/>
        <rFont val="Calibri"/>
        <family val="0"/>
        <charset val="1"/>
      </rPr>
      <t xml:space="preserve">dash   ‒ -- -- ―     ellipsis   ... ... ⋯ ᠁ ฯ     exclamation mark   !     full stop , period   .     guillemets   `` '' `` ''     hyphen   ‐     hyphen - minus   -     question mark   ?     quotation marks   ' ' `` '' ' ' `` ''     semicolon   ;     slash , stroke , solidus   / ⧸ ⁄           Word dividers     interpunct       space             General typography     ampersand   &amp;     asterisk   *     at sign   @     backslash   \     basis point   ‱     bullet       caret       dagger   † ‡     degree   °     ditto mark   ''     equals sign   =     inverted exclamation mark   ¡     inverted question mark   ¿     komejirushi , kome , reference mark   ※     multiplication sign   ×     number sign , pound , hash   #     numero sign   No     obelus   ÷     ordinal indicator   o a     percent , per mil   % ‰     plus and minus   + −     pilcrow   ¶     prime   ′ '' ′′′     section sign   §     tilde   ~     underscore , understrike   _     vertical bar , pipe , broken bar   ‖ ¦           Intellectual property     copyright   ©     sound - recording copyright   ℗     registered trademark   ®     service mark   SM     trademark   TM           Currency     currency sign   ¤    currency symbols  ؋ ​ ₳ ​ ฿ ​ ₿ ​ ₵ ​ ¢ ​ ₡ ​ ₢ ​ $ ​ ₫ ​ ₯ ​ ֏ ​ ₠ ​ € ​ ƒ ​ ₣ ​ ₲ ​ ₴ ​ ₭ ​ ₺ ​ ₾ ​ ₼ ​ M ​ ₥ ​ ₦ ​ ₧ ​ ₱ ​ ₰ ​ £ ​ </t>
    </r>
    <r>
      <rPr>
        <sz val="11"/>
        <color rgb="FF000000"/>
        <rFont val="Noto Sans CJK SC"/>
        <family val="2"/>
      </rPr>
      <t xml:space="preserve">元 圆 圓 ​ </t>
    </r>
    <r>
      <rPr>
        <sz val="11"/>
        <color rgb="FF000000"/>
        <rFont val="Calibri"/>
        <family val="0"/>
        <charset val="1"/>
      </rPr>
      <t xml:space="preserve">ریال ​ ៛ ​ ₽ ​ ₹ Rs ​ ₪ ​ ৳ ​ ₸ ​ ₮ ​ ₩ ​ ¥ </t>
    </r>
    <r>
      <rPr>
        <sz val="11"/>
        <color rgb="FF000000"/>
        <rFont val="Noto Sans CJK SC"/>
        <family val="2"/>
      </rPr>
      <t xml:space="preserve">円         </t>
    </r>
    <r>
      <rPr>
        <sz val="11"/>
        <color rgb="FF000000"/>
        <rFont val="Calibri"/>
        <family val="0"/>
        <charset val="1"/>
      </rPr>
      <t xml:space="preserve">Uncommon typography     asterism   ⁂     fleuron , hedera   ❧     index , fist   ☞     interrobang   ‽     irony punctuation   ⸮     lozenge   ◊     tie   ⁀        Related         Diacritics   Logic symbols     Whitespace characters       In other scripts       Chinese   Hebrew   Japanese   Korean           Portal     Book                   The plus and minus signs ( + and − ) are mathematical symbols used to represent the notions of positive and negative as well as the operations of addition and subtraction . Their use has been extended to many other meanings , more or less analogous . Plus and minus are Latin terms meaning `` more '' and `` less '' , respectively .     Contents  ( hide )   1 History   2 Plus sign   3 Minus sign   4 Use in elementary education   5 Use as a qualifier   6 Uses in computing   7 Other uses   8 Character codes   8.1 Alternative plus sign     9 See also   10 References and footnotes      History ( edit )   Though the signs now seem as familiar as the alphabet or the Hindu - Arabic numerals , they are not of great antiquity . The Egyptian hieroglyphic sign for addition , for example , resembled a pair of legs walking in the direction in which the text was written ( Egyptian could be written either from right to left or left to right ) , with the reverse sign indicating subtraction :                 or                 Nicole Oresme 's manuscripts from the 14th century show what may be one of the earliest uses of the plus sign `` + '' .   In Europe in the early 15th century the letters `` P '' and `` M '' were generally used . The symbols ( P with line p̄ for più , i.e. , plus , and M with line m̄ for meno , i.e. , minus ) appeared for the first time in Luca Pacioli 's mathematics compendium , Summa de arithmetica , geometria , proportioni et proportionalità , first printed and published in Venice in 1494 . The + is a simplification of the Latin `` et '' ( comparable to the ampersand &amp; ) . The − may be derived from a tilde written over m when used to indicate subtraction ; or it may come from a shorthand version of the letter m itself . In his 1489 treatise Johannes Widmann referred to the symbols − and + as minus and mer ( Modern German mehr ; `` more '' ) : `` was − ist , das ist minus , und das + ist das mer '' . They were n't used for addition and subtraction here , but to indicate surplus and deficit ; their first use in their modern sense appears in a book by Henricus Grammateus in 1518 .   Robert Recorde , the designer of the equals sign , introduced plus and minus to Britain in 1557 in The Whetstone of Witte : `` There be other 2 signes in often use of which the first is made thus + and betokeneth more : the other is thus made -- and betokeneth lesse . ''   Plus sign ( edit )  `` + '' redirects here . For other uses , see + ( disambiguation ) .  The plus sign ( + ) is a binary operator that indicates addition , as in 2 + 3 = 5 . It can also serve as a unary operator that leaves its operand unchanged ( + x means the same as x ) . This notation may be used when it is desired to emphasize the positiveness of a number , especially when contrasting with the negative ( + 5 versus − 5 ) .   The plus sign can also indicate many other operations , depending on the mathematical system under consideration . Many algebraic structures have some operation which is called , or is equivalent to , addition . It is conventional to use the plus sign to only denote commutative operations . Moreover , the symbolism has been extended to very different operations ; plus can also mean :    exclusive or ( usually written ⊕ ) : 1 + 1 = 0 , 1 + 0 = 1   logical disjunction ( usually written ∨ ) : 1 + 1 = 1 , 1 + 0 = 1    Minus sign ( edit )  `` − '' redirects here . It is not to be confused with Hyphen , Hyphen - minus , or Dash .  The minus sign ( − ) has three main uses in mathematics :    The subtraction operator : A binary operator to indicate the operation of subtraction , as in 5 − 3 = 2 . Subtraction is the inverse of addition .   Directly in front of a number ( numeric literal ) and when it is not a subtraction operator it means a negative number . For instance − 5 is negative 5 .   A unary operator that acts as an instruction to replace the operand by its additive inverse . For example , if x is 3 , then − x is − 3 , but if x is − 3 , then − x is 3 . Similarly , − ( − 2 ) is equal to 2 . The above is a special case of this .    All three uses can be referred to as `` minus '' in everyday speech . In most English - speaking countries , − 5 ( for example ) is normally pronounced `` minus five '' , but in modern US usage it is instead usually pronounced `` negative five '' ; here , `` minus '' may be used by speakers born before 1950 , and is still popular in some contexts , but `` negative '' is usually taught as the only correct reading . Further , some few textbooks in the United States encourage − x to be read as `` the opposite of x '' or `` the additive inverse of x '' to avoid giving the impression that − x is necessarily negative .   In some contexts , different glyphs are used for these meanings ; for instance in the computer language APL and the expression language used by Texas Instruments graphing calculators ( definitely at least the early models including the TI - 81 and TI - 82 ) a raised minus sign is used in negative numbers ( as in 2 − 5 shows 3 ) , but such usage is uncommon .   In mathematics and most programming languages , the rules for the order of operations mean that − 5 is equal to − 25 : Powers bind more strongly than the unary minus , which binds more strongly than multiplication or division . However , in some programming languages and Microsoft Excel in particular , unary operators bind strongest , so in those cases − 5 ^ 2 is 25 but 0 − 5 ^ 2 is − 25 .   Use in elementary education ( edit )   Some elementary teachers use raised plus and minus signs before numbers to show they are positive or negative numbers . For example , subtracting − 5 from 3 might be read as `` positive three take away negative 5 '' and be shown as    3 − 5 becomes 3 + 5 = 8 ,    or even as    3 − 5 becomes 3 + 5 = 8 .    Use as a qualifier ( edit )   In grading systems ( such as examination marks ) , the plus sign indicates a grade one level higher and the minus sign a grade lower . For example , B − ( `` B minus '' ) is one grade lower than B. Sometimes this is extended to two plus or minus signs ; for example A++ is two grades higher than A .   Positive and negative are sometimes abbreviated as + ve and − ve .   In mathematics the one - sided limit x → a means x approaches a from the right , and x → a means x approaches a from the left . For example , when calculating what x is when x approaches 0 , because x → + ∞ when x → 0 but x → − ∞ when x → 0 .   Blood types are often qualified with a plus or minus to indicate the presence or absence of the Rh factor ; for instance , A+ means A-type blood with the Rh factor present , while B − means B - type blood with the Rh factor absent .   In music , augmented chords are symbolized with a plus sign , although this practice is not universal as there are other methods for spelling those chords . For example , `` C + '' is read `` C augmented chord '' . Also used as superscript .   Uses in computing ( edit )   As well as the normal mathematical usage plus and minus may be used for a number of other purposes in computing .   Plus and minus signs are often used in tree view on a computer screen to show if a folder is collapsed or not .   In some programming languages , concatenation of strings is written `` a '' + `` b '' , and results in `` ab '' .   In most programming languages , subtraction and negation are indicated with the ASCII hyphen - minus character , - . In APL a raised minus sign ( Unicode U + 00AF ) is used to denote a negative number , as in _̄ 3 . While in J a negative number is denoted by an underscore , as in _5 .   In C and some other computer programming languages , two plus signs indicate the increment operator and two minus signs a decrement . For example , x++ means `` increment the value of x by one '' and x -- means `` decrement the value of x by one '' . By extension , `` + + '' is sometimes used in computing terminology to signify an improvement , as in the name of the language C++ .   In regular expressions , `` + '' is used to indicate `` 1 or more '' in a pattern to be matched . For example , `` x + '' means `` one or more of the letter x '' .   There is no concept of negative zero in mathematics , but in computing − 0 may have a separate representation from zero . In the IEEE floating - point standard , 1 / − 0 is negative infinity ( − ∞ ) whereas 1 / 0 is positive infinity ( ∞ ) .   Other uses ( edit )   In chemistry , the minus sign ( rather than an en dash ) is used for a single covalent bond between two atoms , as in the skeletal formula .   Subscripted plus and minus signs are used as diacritics in the International Phonetic Alphabet to indicate advanced or retracted articulations of speech sounds .   The minus sign is also used as tone letter in the orthographies of Dan , Krumen , Karaboro , Mwan , Wan , Yaouré , Wè , Nyabwa and Godié . The Unicode character used for the tone letter ( U + 02D7 ) is different from the mathematical minus sign .   In the algebraic notation used to record games of chess , the plus sign ( + ) is used to denote a move that puts the opponent into check . A double plus ( + + ) is sometimes used to denote double check . Combinations of the plus and minus signs are used to evaluate a move ( + / − , + / = , = / + , − / + ) .   Character codes ( edit )  Plus , minus , and hyphen - minus .    Read   Character   Unicode   ASCII   in URL   HTML notations     Plus   +   U + 002B   &amp; # 43 ;   % 2B   &amp;plus ;     Minus   −   U + 2212     % E2 % 88 % 92   &amp;minus ; &amp; # x2212 ; &amp; # 8722 ;     Hyphen - minus   -   U + 002D   &amp; # 45 ;   % 2D       Small Hyphen - minus   -   U + FE63     % EF % B9 % A3   &amp; # xfe63 ; &amp; # 65123 ;     Full - width Plus   +   U + FF0B     % EF % BC % 8B   &amp; # xff0b ; &amp; # 65291 ;     Full - width Hyphen - minus   -   U + FF0D     % EF % BC % 8D   &amp; # xff0d ; &amp; # 65293 ;     The hyphen - minus sign ( - ) is the ASCII alternative / version of the minus sign , and doubles as a hyphen . It is usually shorter in length than the plus sign and sometimes at a different height . It can be used as a substitute for the true minus sign when the character set is limited to ASCII . Most programming languages and other computer readable languages do this , since ASCII is generally available as a subset of most character encodings , while U + 2212 is a Unicode feature only .   There is a commercial minus sign ( ⁒ ) , which looks somewhat like an obelus , at U + 2052 ( HTML &amp; # x2052 ;) .   The &amp;plus ; entity is HTML 5 .  For detailed distinctions between minus signs and dashes , see Dash § Similar Unicode characters .  Alternative plus sign ( edit )  See also : Up tack  A Jewish tradition that dates from at least the 19th century is to write plus using a symbol like an inverted T . This practice was adopted into Israeli schools and is still commonplace today in elementary schools ( including secular schools ) but in fewer secondary schools . It is also used occasionally in books by religious authors , but most books for adults use the international symbol `` + '' . The reason for this practice is that it avoids the writing of a symbol `` + '' that looks like a Christian cross . Unicode has this symbol at position U + FB29 + HEBREW LETTER ALTERNATIVE PLUS SIGN .   See also ( edit )    Graft - chimaera for the meaning of + in botanical names   List of international call prefixes that + can represent the numbers required to dial out of a country as seen in a phone number   Table of mathematical symbols   En dash , a dash that looks similar to the subtraction symbol but is used for different purposes   Asterisk , the star mark ⟨ ⟩ denoting unattested linguistic reconstructions , is sometimes replaced by a superscript plus ⟨ ⟩        Look up plus sign in Wiktionary , the free dictionary .         Look up minus sign in Wiktionary , the free dictionary .     References and footnotes ( edit )    Jump up ^ Karpinski , Louis C. ( 1917 ) . `` Algebraical Developments Among the Egyptians and Babylonians '' . The American Mathematical Monthly . 24 ( 6 ) : 257 -- 265 . doi : 10.2307 / 2973180 . MR 1518824 .   Jump up ^ The birth of symbols -- Zdena Lustigova , Faculty of Mathematics and Physics Charles University , Prague Archived 2013 - 07 - 08 at Archive.is   Jump up ^ Ley , Willy ( April 1965 ) . `` Symbolically Speaking '' . For Your Information . Galaxy Science Fiction . pp. 57 -- 67 .   Jump up ^ Stallings , Lynn ( May 2000 ) . `` A brief history of algebraic notation '' . School Science and Mathematics . Retrieved 13 April 2009 .   Jump up ^ Sangster , Alan ; Stoner , Greg ; McCarthy , Patricia ( 2008 ) . `` The market for Luca Pacioli 's Summa Arithmetica '' ( PDF ) . Accounting Historians Journal . 35 ( 1 ) : 111 -- 134 ( p. 115 ) .   Jump up ^ Cajori , Florian ( 1928 ) . `` Origin and meanings of the signs + and - '' . A History of Mathematical Notations , Vol. 1 . The Open Court Company , Publishers .   Jump up ^ Wright , D. Franklin ; New , Bill D. ( 2000 ) . Intermediate Algebra ( 4th ed . ) . Thomson Learning . p. 1 . The minus sign or bar , -- , is thought to be derived from the habit of early scribes of using a bar to represent the letter m   Jump up ^ `` plus '' . Oxford English Dictionary ( 3rd ed . ) . Oxford University Press . September 2005 . ( Subscription or UK public library membership required . )   Jump up ^ Smith , D.E. ( 1951 ) . History of Mathematics. 1 . Courier Dover Publications . pp. 258 , 330 . ISBN 0486204308 .   Jump up ^ Earliest Uses of Various Mathematical Symbols   Jump up ^ Cajori , Florian ( 2007 ) , A History of Mathematical Notations , Cosimo , p. 164 , ISBN 9781602066847 .   Jump up ^ Fraleigh , John B. ( 1989 ) . A First Course in Abstract Algebra ( 4 ed . ) . United States : Addison - Wesley . p. 52 . ISBN 0 - 201 - 52821 - 5 .   Jump up ^ Henri Picciotto . The Algebra Lab . Creative Publications . p. 9 . ISBN 978 - 0 - 88488 - 964 - 9 .   Jump up ^ Schwartzman , Steven ( 1994 ) . The words of mathematics . The Mathematical Association of America . p. 136 .   Jump up ^ Wheeler , Ruric E. ( 2001 ) . Modern Mathematics ( 11 ed . ) . p. 171 .   Jump up ^ `` Microsoft Office Excel Calculation operators and precedence '' . Archived from the original on 2009 - 08 - 11 . Retrieved 2009 - 07 - 29 .   Jump up ^ Grant P. Wiggins ; Jay McTighe ( 2005 ) . Understanding by design . ACSD Publications . p. 210 . ISBN 1 - 4166 - 0035 - 3 .   Jump up ^ Castledine , George ; Close , Ann ( 2009 ) . Oxford Handbook of Adult Nursing . Oxford University Press . p. xvii . ISBN 9780191039676 ...   Jump up ^ Hartell , Rhonda L. , ed. ( 1993 ) , The Alphabets of Africa . Dakar : UNESCO and SIL .   ^ Jump up to : Kaufmann Kohler ( 1901 -- 1906 ) . `` Cross '' . In Cyrus Adler ; et al. Jewish Encyclopedia . CS1 maint : Explicit use of et al. ( link )   ^ Jump up to : Christian - Jewish Dialogue : Theological Foundations By Peter von der Osten - Sacken ( 1986 -- Fortress Press ) ISBN 0 - 8006 - 0771 - 6 `` In Israel the plus sign used in mathematics is represented by a horizontal stroke with a vertical hook instead of the sign otherwise used all over the world , because the latter is reminiscent of a cross . '' ( Page 96 )   Jump up ^ Unicode U + FB29 reference page This form of the plus sign is also used on the control buttons at individual seats on board the El Al Israel Airlines aircraft .   Retrieved from `` https://en.wikipedia.org/w/index.php?title=Plus_and_minus_signs&amp;oldid=837938555 '' Categories :   Elementary arithmetic   Mathematical symbols   Addition   Subtraction   Hidden categories :   Webarchive template archiveis links   CS1 maint : Explicit use of et al .           Talk                         Read                   Contents                   About Wikipedia                                             Čeština   Español   فارسی   Français   Galego   </t>
    </r>
    <r>
      <rPr>
        <sz val="11"/>
        <color rgb="FF000000"/>
        <rFont val="Noto Sans CJK SC"/>
        <family val="2"/>
      </rPr>
      <t xml:space="preserve">한국어   </t>
    </r>
    <r>
      <rPr>
        <sz val="11"/>
        <color rgb="FF000000"/>
        <rFont val="Calibri"/>
        <family val="0"/>
        <charset val="1"/>
      </rPr>
      <t xml:space="preserve">IsiXhosa   עברית   </t>
    </r>
    <r>
      <rPr>
        <sz val="11"/>
        <color rgb="FF000000"/>
        <rFont val="Noto Sans CJK SC"/>
        <family val="2"/>
      </rPr>
      <t xml:space="preserve">日本 語   </t>
    </r>
    <r>
      <rPr>
        <sz val="11"/>
        <color rgb="FF000000"/>
        <rFont val="Calibri"/>
        <family val="0"/>
        <charset val="1"/>
      </rPr>
      <t xml:space="preserve">Polski   Português   Русский   தமிழ்   ไทย   Türkçe   Українська   </t>
    </r>
    <r>
      <rPr>
        <sz val="11"/>
        <color rgb="FF000000"/>
        <rFont val="Noto Sans CJK SC"/>
        <family val="2"/>
      </rPr>
      <t xml:space="preserve">中文  </t>
    </r>
    <r>
      <rPr>
        <sz val="11"/>
        <color rgb="FF000000"/>
        <rFont val="Calibri"/>
        <family val="0"/>
        <charset val="1"/>
      </rPr>
      <t xml:space="preserve">9 more  Edit links   This page was last edited on 23 April 2018 , at 23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</si>
  <si>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were the plus and minus signs first recorded</t>
  </si>
  <si>
    <t xml:space="preserve"> In Europe in the early 15th century the letters `` P '' and `` M '' were generally used . The symbols ( P with line p̄ for più , i.e. , plus , and M with line m̄ for meno , i.e. , minus ) appeared for the first time in Luca Pacioli 's mathematics compendium , Summa de arithmetica , geometria , proportioni et proportionalità , first printed and published in Venice in 1494 . The + is a simplification of the Latin `` et '' ( comparable to the ampersand &amp; ) . The − may be derived from a tilde written over m when used to indicate subtraction ; or it may come from a shorthand version of the letter m itself . In his 1489 treatise Johannes Widmann referred to the symbols − and + as minus and mer ( Modern German mehr ; `` more '' ) : `` was − ist , das ist minus , und das + ist das mer '' . They were n't used for addition and subtraction here , but to indicate surplus and deficit ; their first use in their modern sense appears in a book by Henricus Grammateus in 1518 . </t>
  </si>
  <si>
    <t xml:space="preserve">Bob 's your uncle - wikipedia  Bob 's your uncle  Jump to : navigation , search For other uses , see Bob 's your uncle ( disambiguation ) .  ... And Bob 's your uncle is an expression of unknown origin , that means `` and there it is '' or `` and there you have it . '' It is commonly used in Great Britain and Commonwealth countries . Typically , someone says it to conclude a set of simple instructions or when a result is reached . The meaning is similar to that of the French expression `` et voilà ! ''   `` Bob 's your uncle '' is an exclamation that is used when `` everything is all right '' and the simple means of obtaining the successful result is explained . For example : `` left over right ; right over left , and Bob 's your uncle -- a reef knot . '' Sometimes the phrase is followed with `` and Nellie 's your aunt '' or `` and Fanny 's your aunt . '' It is sometimes elaborately phrased Robert is your mother 's brother or similar for comic effect .   Origin ( edit )   A.J. Langguth and others have suggested that the expression arose after Conservative Prime Minister Robert `` Bob '' Cecil appointed his nephew Arthur Balfour as Chief Secretary for Ireland in 1887 , an act which was apparently both surprising and unpopular . Whatever other qualifications Balfour might have had , `` Bob 's your uncle '' was seen as the conclusive one . Regardless of the origin , the meaning has become acknowledging , announcing , or explaining a result or outcome that is achieved more easily than might be imagined .   It is suggested in Shantaram by Gregory David Roberts that Frederick Roberts , 1st Earl Roberts was known as Uncle Bobs and that the phrase referred to him .   See also ( edit )    All Sir Garnet   Nepotism    References ( edit )       Look up Bob 's your uncle in Wiktionary , the free dictionary .      Jump up ^ Langguth , A.J. ( 1981 ) . Saki : Life of Hector Hugh Munro .   Jump up ^ Trahair , R.C.S. ( 1994 ) . From Aristotelian to Reaganomics : A Dictionary of Eponyms With Biographies in the Social Science . Greenwood Publishing Group . p. 72 . Retrieved 30 July 2012 .   Jump up ^ Bernstein , Jonathan ( 2006 ) . Knickers in a Twist : A Dictionary of British Slang . Canongate U.S. p. 65 . Retrieved 4 August 2012 .   Jump up ^ Shantaram https://books.google.co.uk/books?id=5JaxSJlpGmAC&amp;pg=PT446&amp;lpg=PT446&amp;dq=shantaram+bob%27s+your+uncle&amp;source=bl&amp;ots=z_Lg_8ZlBQ&amp;sig=D6VNb6c98gOVWZNXxfPTOO_iE0s&amp;hl=en&amp;sa=X&amp;ved=0ahUKEwisr-j52e_VAhUsLsAKHersAdMQ6AEIXTAJ#v=onepage&amp;q=shantaram%20bob's%20your%20uncle&amp;f=false    Further reading ( edit )    Turner - Lord , Jann ( 1992 ) . Bob 's your uncle : a dictionary of slang for British mystery fans . Fithian Press . p. 62 . 9781564740229 .   Retrieved from `` https://en.wikipedia.org/w/index.php?title=Bob%27s_your_uncle&amp;oldid=802574284 '' Categories :   British English idioms   Hidden categories :   Use dmy dates from July 2013           Talk                                                             About Wikipedia                                           Add links   This page was last edited on 27 September 2017 , at 01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</si>
  <si>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phrase bob's your uncle come from</t>
  </si>
  <si>
    <t xml:space="preserve"> ... And Bob 's your uncle is an expression of unknown origin , that means `` and there it is '' or `` and there you have it . '' It is commonly used in Great Britain and Commonwealth countries . Typically , someone says it to conclude a set of simple instructions or when a result is reached . The meaning is similar to that of the French expression `` et voilà ! '' </t>
  </si>
  <si>
    <t xml:space="preserve">The one with the proposal - wikipedia  The one with the proposal  Jump to : navigation , search    `` The One with the Proposal ''     Friends episode     Episode no .   Season 6 Episode 24 / 25     Directed by   Kevin S. Bright     Written by   Scott Silveri &amp; Shana Goldberg - Meehan ( Part 1 ) Andrew Reich &amp; Ted Cohen ( Part 2 )     Production code   225573 ( Part 1 ) 225574 ( Part 2 )     Original air date   May 18 , 2000     Guest appearance ( s )       Tom Selleck as Richard       Episode chronology        ← Previous `` The One with the Ring ''   Next → `` The One with Monica 's Thunder ''        Friends ( season 6 ) List of Friends episodes     `` The One with the Proposal '' is a double length episode of the television situation comedy Friends . It first aired on May 18 , 2000 , as the finale to the sixth season . It is normally transmitted as a whole episode in a one - hour slot , but when it is split for a half - hour slot the episodes are differentiated by having the title suffixed with Part One and Part Two . The episode was selected for Volume 4 of the `` Best of Friends '' DVD series , and when the series left the air in 2004 , several articles and viewer polls included this episode as one of the 10 best of the series ' 236 episodes .     Contents  ( hide )   1 Plot   1.1 Part One   1.2 Part Two     2 Production   3 Reception   3.1 Awards and nominations     4 References   5 External links      Plot ( edit )   Part one ( edit )   Ross is being questioned by his friends about his relationship with Elizabeth ( Alexandra Holden ) ; mainly asking if the relationship is going anywhere . Ross quickly claims he and Elizabeth are great together , and his friends are all wrong ... until he sees her having a water balloon fight with her buddies . Deciding she is too young , he breaks off the relationship . Afterward , Ross questions his decision , until Elizabeth confirms her immaturity by dropping water balloons on his head from her upstairs window .   Rachel takes Phoebe and Joey to a charity event helping children , including a silent auction . While Phoebe is obviously over-drinking ( Phoebe : `` The more I drink , the less there is for the kids to drink ! '' ) , Joey has bigger problems ; misunderstanding the silent auction process , Joey thought that bidders guessed an item 's worth , with the prize going to the person with the closest guess . ( Rachel : Why would a charity give away a free boat ? Joey : I do n't know ... charity ? ) Joey `` guesses '' $20,000 and `` wins '' a yacht . Rachel and Joey try to convince the next highest bidder to buy the boat , but in the process of persuading the man of the boat 's virtues , Joey changes his mind and wants it for himself , although he can barely afford it .   After weeks of preparation , Chandler is ready to propose to Monica . While at a restaurant , Chandler begins his proposal however before he can ask the question Monica 's ex-boyfriend Richard ( Tom Selleck ) walks in and the moment is lost . When the others come home from the charity event , they constantly ask to see Monica 's hand , thinking Chandler proposed already . Feeling that Monica will figure out that Chandler plans to propose ( Chandler : `` Who walks into a room and asks to see a person 's hands ? ! '' ) , Joey suggests that Chandler pretend he does n't care about marriage and never wants to get married . Meanwhile , Richard approaches Monica at work and declares his love for her .   Part two ( edit )   The episode began with Richard telling Monica that he 's never gotten over her and that he wants to marry and have children with her . Monica is left confused and when Chandler talks about how he hates marriage and ca n't see why anyone should get married she starts to feel unsure about their whole relationship . After Joey confirms to Monica that Chandler seemingly has no interest in getting married , Monica decides enough is enough and goes to meet Richard - she describes his apartment as `` a grown - up 's apartment '' and talks to him about the unfairness of the situation . Joey meanwhile tells Chandler how his plan has backfired on him and he is now in serious danger of losing Monica for good , and he leaves on a frantic search intending to propose when he finds her . After Monica leaves Richard 's apartment , Chandler comes and asks for Monica - he starts off by saying that Richard is a very bad man and he had his chances but he blew them . He also says that he and Monica are meant to be together and now Richard has blown Chandler 's chances , revealing he 'd intended to propose . Richard advises Chandler to go to Monica , warning that if he succeeds in winning her back , he must never let her go .   After searching all day , Chandler hurries back to his apartment and when he gets there , Joey meets him in the hall , claiming Monica has left him because of his commitment issues . When Chandler enters their apartment , afraid of Monica actually leaving , he discovers that it 's far from being abandoned , there are candles lit all over and Monica is kneeling to propose . In the midst of proposing to Chandler , she cries from sheer emotion , saying , `` There 's a reason why girls do n't do this ! '' Instead , Chandler gets on his knees and proposes to her and Monica says yes . They then open the door to Joey , Rachel , and Phoebe , who have been waiting to celebrate . At first , they hesitate , feeling Ross should be there to share the moment , then decide that after three marriages , Ross can afford to miss one engagement celebration . End credits play while Monica and Chandler dance to Eric Clapton 's `` Wonderful Tonight . ''   Production ( edit )   According to the producers ' DVD commentary for this episode , the original plot for Ross was to have Elizabeth announce that she was pregnant , ultimately resolving at the end of the following season when it would be revealed that Ross was not the father of the baby . This idea was ultimately rejected by the producers since it would be investing a lot of time in a secondary character without a payoff . It would have also have been difficult to use the cliffhanger for Rachel 's pregnancy .   Sources suggest that David Schwimmer was actually out of the country filming Band of Brothers when the final scenes of the episode were filmed , hence why Ross is not there when the friends hug Monica and Chandler on hearing their announcement .   The producers decided to end the episode on a romantic moment rather than the usual joke . They also took care over the script before approaching Selleck to return as Richard , as the actor would only return if it seemed feasible .   The episode very nearly served as the series finale , given that NBC and Warner Bros. were in negotiations over the show 's future up until four days before the episode aired . The series ' stars demanded $750,000 salary for each actor per episode and agreed to a contract for two additional seasons , an agreement that later stretched into a further two seasons at $1 million salary for each of the stars .   Reception ( edit )   Entertainment Weekly listed Chandler and Monica 's proposal scene in their `` 26 Great ' I Love You 's '' .   Awards and nominations ( edit )    Primetime Emmy Award for Outstanding Multi-Camera Picture Editing for a Series ( nominated )    References ( edit )    ^ Jump up to : Highlights from television 's most popular sitcom 's 10 memorable season , '' The Plain Dealer ( Cleveland , OH ) , May 6 , 2004 , page F1 .   Jump up ^ Michael Pritchard . `` Here 's an overview of the best ' Friends ' episodes , '' The Press of Atlantic City ( NJ ) , May 2 , 2004 , page G1 ( named as # 6 in NBC 's viewer poll of the 10 best episodes ) .   Jump up ^ Chip Chandler . `` Some ' Friends ' episodes you will never forget , '' Amarillo Globe - News ( TX ) , May 2 , 2004 : `` One of the series ' most emotionally satisfying episodes ... ''   Jump up ^ Karla Peterson . `` Friends , indeed : Ten years ago , no one told us it was gon na be this way - now our Thursday - night pals , with all their warmth and warts , must leave TV , '' San Diego Union - Tribune ( CA ) , May 3 , 2004 , page D1 .   Jump up ^ Jae - Ha Kim &amp; Phil Rosenthal . `` The ones we remember : In a look back at a decade of love and laughs , what stands out are a football that siblings fought over , a ring placed on Monica 's finger and the night Rachel found her lobster , '' Chicago Sun - Times ( IL ) , May 5 , 2004 , page 64 .   ^ Jump up to : Friends Season 6 DVD audio commentary .   Jump up ^ Phil Rosenthal . `` No turning back : These six threatened to leave us many times over the decade , but now it 's their day , their week , their month -- heck , even their year , '' Chicago Sun - Times , May 6 , 2004   Jump up ^ Gonzalez , Sandra ( 9 December 2016 ) . `` 26 Great TV ' I Love You 's - Monica to Chandler / Chandler to Rachel in The One With the Proposal on Friends '' . Entertainment Weekly . Retrieved September 3 , 2013 .   Jump up ^ Associated Press . `` ' Sopranos , ' ' West Wing ' lead Emmy nods , '' The Dallas Morning News , July 23 , 2000 , page 6C .    External links ( edit )    `` The One with the Proposal : Part 1 '' on IMDb   `` The One with the Proposal : Part 1 '' at TV.com   `` The One with the Proposal : Part 2 '' on IMDb   `` The One with the Proposal : Part 2 '' at TV.com      ( hide )         Friends     Characters     Chandler Bing   Phoebe Buffay   Monica Geller   Ross Geller   Rachel Green   Joey Tribbiani       Episodes      Season 1     `` The Pilot '' ( 1.01 )   `` The One with the Sonogram at the End '' ( 1.02 )   `` The One with George Stephanopoulos '' ( 1.04 )       Season 2     `` The One with the Lesbian Wedding '' ( 2.11 )   `` The One After the Superbowl '' ( 2.12 -- 2.13 )   `` The One with the Prom Video '' ( 2.14 )   `` The One Where Dr. Ramoray Dies '' ( 2.18 )       Season 3     `` The One Where No One 's Ready '' ( 3.02 )       Season 4     `` The One with the Embryos '' ( 4.12 )   `` The One with Ross 's Wedding '' ( 4.23 -- 4.24 )       Season 5     `` The One After Ross Says Rachel '' ( 5.01 )   `` The One Hundredth '' ( 5.03 )   `` The One with All the Thanksgivings '' ( 5.08 )   `` The One with the Girl Who Hits Joey '' ( 5.15 )   `` The One Where Rachel Smokes '' ( 5.18 )   `` The One Where Ross Ca n't Flirt '' ( 5.19 )   `` The One with the Ride - Along '' ( 5.20 )       Season 6     `` The One After Vegas '' ( 6.01 )   `` The One with the Apothecary Table '' ( 6.11 )   `` The One with the Proposal '' ( 6.24 -- 6.25 )       Season 7     `` The One with Monica and Chandler 's Wedding '' ( 7.23 -- 7.24 )       Season 8     `` The One with Rachel 's Date '' ( 8.05 )   `` The One with the Rumor '' ( 8.09 )       Season 9   --     Season 10     `` The Last One '' ( 10.17 -- 10.18 )          Related articles     Music   `` I 'll Be There for You ''     Joey   Mad About You   Awards and nominations   Friends ... ' Til the End      Retrieved from `` https://en.wikipedia.org/w/index.php?title=The_One_with_the_Proposal&amp;oldid=804200917 '' Categories :   2000 American television episodes   Friends ( season 6 ) episodes   Television episodes in multiple parts   Hidden categories :   Tv.com template using numeric id   Redirects to sections           Talk                                           Contents                   About Wikipedia                                           Add links   This page was last edited on 7 October 2017 , at 12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</si>
  <si>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one where chandler and monica get engaged</t>
  </si>
  <si>
    <t xml:space="preserve"> After searching all day , Chandler hurries back to his apartment and when he gets there , Joey meets him in the hall , claiming Monica has left him because of his commitment issues . When Chandler enters their apartment , afraid of Monica actually leaving , he discovers that it 's far from being abandoned , there are candles lit all over and Monica is kneeling to propose . In the midst of proposing to Chandler , she cries from sheer emotion , saying , `` There 's a reason why girls do n't do this ! '' Instead , Chandler gets on his knees and proposes to her and Monica says yes . They then open the door to Joey , Rachel , and Phoebe , who have been waiting to celebrate . At first , they hesitate , feeling Ross should be there to share the moment , then decide that after three marriages , Ross can afford to miss one engagement celebration . End credits play while Monica and Chandler dance to Eric Clapton 's `` Wonderful Tonight . '' </t>
  </si>
  <si>
    <t xml:space="preserve">So You Think You Can dance : the next Generation ( US tv series ) - wikipedia  So You Think You Can dance : the next Generation ( US tv series )  Jump to : navigation , search    So You Think You Can Dance : The Next Generation     Season 13     Broadcast from   May 30 -- September 12 , 2016     Judges   Nigel Lythgoe Paula Abdul Jason Derulo Maddie Ziegler     Host ( s )   Cat Deeley     Broadcaster   Fox     Winner     Leon `` Kida '' Burns     Genre ( s )   Hip - Hop         Runner - up     J.T. Church     Chronology       ◀   2016   ▶       So You Think You Can Dance : The Next Generation is the 13th season of So You Think You Can Dance , an American dance competition show . The show premiered on Monday , May 30 , 2016 in a new format featuring dancers between ages 8 to 13 at the time of their auditions . The season was broadcast on Fox in the United States , one show each week on Mondays , as it was the previous season . The top prize remained $250,000 , and Cat Deeley continued as host .   Auditions were held in Los Angeles , CA , Chicago , IL and New York City . 100 dancers were selected by the judges for the Dance Academy portion of the season , in which 10 finalists were selected by , and paired with , `` all - stars '' from previous seasons , who mentored and performed with them during the live performance episodes .     Contents  ( hide )   1 Judges   2 Format   3 Auditions   4 Dance Academy   5 Finals   5.1 Top 10 Finalists   5.1. 1 Elimination chart     5.2 Performances   5.2. 1 Top 10 ( July 11 , 2016 )   5.2. 2 July 18 , 2016   5.2. 3 July 25 , 2016 ( final 9 )   5.2. 4 August 1 , 2016 ( final 8 )   5.2. 5 August 22 , 2016 ( final 6 )   5.2. 6 August 29 , 2016 ( final 5 )   5.2. 7 September 5 , 2016 ( final 4 ) : No elimination   5.2. 8 September 12 , 2016 : Finale -- Results       6 Ratings   6.1 U.S. Nielsen ratings     7 See also   8 References   9 External links      Judges ( edit )   Series creator and executive producer Nigel Lythgoe , along with new permanent members Paula Abdul and Jason Derulo , returned as members of the permanent judging panel and judge the audition rounds . After this , the fourth judge , 14 - year - old dancer Maddie Ziegler , joined the show .   Format ( edit )   Season 13 featured a significant shift in format in that the contestants were all between the ages of 8 and 13 at the time of their auditions . Approximately 100 dancers were selected from the auditions for the next segment of the season , the Dance Academy . From these , the top 50 were chosen , and finally the top 10 were selected as finalists by a So You Think You Can Dance `` all - star '' who provided mentorship during the live shows and participated as a duet partner with his or her contestant in performances .   Auditions ( edit )   Open auditions for season 13 were held in three cities beginning in February 2016 .     Air Date   Audition Venue   City   Audition Date     May 30 , 2016   Orpheum Theatre   Los Angeles , CA   February 27 , 2016     June 6 , 2016   Lou Conte Dance Studio   Chicago , IL   March 11 , 2016     June 13 , 2016   Broadway Dance Center   New York City   March 18 , 2016     During the audition round , the judges interviewed each auditioner , watched a brief audition and gave feedback , while the auditioner 's family sat at the side of the stage and often participated in the interviews . Offstage , Cat Deeley chatted with contestants and judges . Approximately 100 dancers were sent through to the Academy .   Dance Academy ( edit )   Dance Academy week was split among two episodes . The June 20 episode covered the first day of the Academy . The first task for the 10 all - stars was to watch solo dances by each of the competitors who were sent through from the auditions . From these , each all - star selected five dancers ( at least three from their own dance style ) , from the large number of auditioners , to join their `` team '' . If a dancer was selected by more than one all - star , he or she could choose which all - star 's team to join . Choreographer Warren Carlyle and the all - stars then taught the 50 remaining competitors a Broadway couples dance routine in 90 minutes , and dancers from each team were paired with dancers from another team . After all of the couples danced , each all - star was required to cut one dancer from his or her team , leaving a total of 40 contestants . Throughout the episode , Maddie Ziegler and Cat Deeley interviewed successful competitors .   The June 27 episode covered days two and three of Academy week . On day two , the all - stars each narrowed down their teams to three and then two dancers , based first on a hip - hop routine for pairs choreographed by Tabitha and Napoleon D'umo , and then on a contemporary routine , created by Travis Wall , danced simultaneously by the remaining three members of each team . On the last day , the last two dancers from each team danced a solo just for their own all - star . Each all - star then selected one finalist , making a total of 10 finalists that he or she will mentor through the finals round . The all - stars and their finalists are :       Contemporary     Kathryn McCormick : season 6 , 3rd place -- Tate   Robert Roldan : season 7 , 3rd place -- J.T.   Sasha Mallory : season 8 runner - up -- Jordan     Ballroom     Jenna Johnson : season 10 , top 8 -- Jake   Paul Karmiryan , season 10 , top 6 -- Ruby   Jonathan Platero , season 5 , top 16 -- Daniela       Tap     Gaby Diaz , season 12 winner -- Emma     Hip - Hop     Marko Germar ° , season 8 , top 3 ( replacing Joshua Allen ) -- Sheaden   Comfort Fedoke , season 4 , top 8 -- Tahani   Du - Shaunt `` Fik - Shun '' Stegall , season 10 winner -- Kida     ° Although Marko competed in season 8 as a contemporary / jazz dancer , he stepped in , before the first live show , to mentor hip - hop dancer Sheaden after Joshua withdrew from the show .       Finals ( edit )   Top 10 Finalists ( edit )     Finalist   Age   Home town   Dance style   All - star mentor   Placement     Leon `` Kida '' Burns   14   Sacramento , California   Hip Hop   Du - Shaunt `` Fik - Shun '' Stegall   First     J.T. Church   10   Haymarket , Virginia   Jazz   Robert Roldan   Second     Tate McRae   13   Calgary , Alberta , Canada   Contemporary / Ballet   Kathryn McCormick   Third     Emma Hellenkamp   11   San Diego , California   Tap   Gaby Diaz   Fourth     Tahani Anderson   13   Victorville , California   Hip Hop   Comfort Fedoke   Fifth     Ruby Castro   12   Miami , Florida   Ballroom   Paul Karmiryan   Sixth     Jake Monreal   12   Miami , Florida   Ballroom   Jenna Johnson   Seventh     Jordan Nata'e Wandick   14   Bakersfield , California   Contemporary / Jazz   Sasha Mallory     Sheaden Gabriel   12   Murrieta , California   Hip Hop   Marko Germar   Ninth     Daniela Avanzini   11   Atlanta , Georgia   Ballroom   Jonathan Platero   Tenth    Elimination chart ( edit )  Legend   Female   Male   Bottom 2 contestants   Eliminated       Result show date :   7 / 18   7 / 25   8 / 1   8 / 22   8 / 29   9 / 12     Contestant   Results     Leon `` Kida '' Burns             Winner     J.T. Church             Runner - Up     Tate McRae             3rd Place     Emma Hellenkamp             4th Place     Tahani Anderson           Elim       Ruby Castro     Btm 2     Elim       Jake Monreal       Elim       Jordan Nata'e Wandick       Elim       Sheaden Gabriel   Btm 2   Elim       Daniela Avanzini   Elim       Performances ( edit )  Top 10 ( July 11 , 2016 ) ( edit )  The live shows were all two - hour broadcasts . The first live show , on July 11 , 2016 , opened with a group dance by all ten contestants dancing with their all - stars and all together , futuristically dressed in white . In the middle of the show there was a contemporary group dance by the all - stars , and the show ended with a group hip - hop dance by all of the top - ten contestants . During the show , each contestant performed one solo and one duet with his or her all - star ; both dances were in the contestant 's primary dance style . At the beginning of the show , host Cat Deeley announced that all - star Joshua Allen has been replaced by Marko Germar , to mentor and partner with hip - hop dancer Sheaden Gabriel . Maddie Ziegler observed the contestants ' rehearsals and joined the judging panel , during the broadcast , giving the contestants `` relatable feedback '' and offering encouraging words about their performances .     Dancers   Style   Music   Choreographer ( s )     Top 10 and all - stars   Multiple styles   `` Prodigy '' -- Nathan Lanier   Christopher Scott     Leon `` Kida '' Burns Du - Shaunt `` Fik - Shun '' Stegall   Hip - hop   `` Winning '' -- Fingazz   Christopher Scott     Tate McRae Kathryn McCormick   Contemporary   `` Goldenheart '' -- Dawn Richard   Tyce Diorio     Jake Monreal Jenna Johnson   Cha - cha - cha   `` Toca Toca Radio Edit '' -- Fly Project   Jean - Marc Généreux     Sheaden Gabriel Marko Germar   Hip hop   `` Why I 'm Here ( Original Mix ) '' -- Statik Link feat . Young Live   Christopher `` Pharside '' Jennings Krystal `` Phoenix '' Meraz     Jordan Nata'e Wandick Sasha Mallory   Contemporary   `` The Light That Never Fails '' -- Andra Day   Brian Friedman     Emma Hellenkamp Gaby Diaz   Tap   `` Watch Me Do '' -- Meghan Trainor   Anthony Morigerato     Ruby Castro Paul Karmiryan   Cha - cha - cha   `` How Deep Is Your Love '' -- Calvin Harris &amp; Disciples   Jean - Marc Généreux     Tahani Anderson Comfort Fedoke   Hip - hop   `` Cut It '' -- O.T. Genasis feat . Young Dolph   Luther Brown     Daniela Avanzini Jonathan Platero   Salsa   `` Latinos '' -- Proyecto Uno   Oksana Platero     J.T. Church Robert Roldan   Contemporary   `` Stand in the Light '' -- Jordan Smith   Mandy Moore     All - stars   Contemporary   `` Unsteady ( Erich Lee Gravity Remix ) '' -- X Ambassadors   Mandy Moore     Top 10   Hip - hop   `` Move ( If You Wanna ) '' -- MIMS   Willdabeast Janelle Ginestra      Solos :      Dancer   Style   Music     Emma Hellenkamp   Tap   `` Impossible '' -- Lion Babe     Tahani Anderson   Hip - hop   `` Anyway '' -- Chris Brown feat . Tayla Parx     J.T. Church   Jazz   '' Dance with Me Tonight '' -- Olly Murs     Ruby Castro   Paso Doble   `` Unstoppable '' -- E.S. Posthumus     Daniela Avanzini   Jive   '' Proud Mary '' -- Tina Turner     Leon `` Kida '' Burns   Hip - hop   `` Ants '' -- edIT     Jordan Nata'e Wandick   Contemporary   `` Freedom '' -- Anthony Hamilton &amp; Elayna Boynton     Tate McRae   Contemporary   `` The Beginning '' -- Factor Eight     Sheaden Gabriel   Hip - hop   `` Look at Me Now '' -- Chris Brown feat . Lil Wayne &amp; Busta Rhymes     Jake Monreal   Cha - cha - cha   `` I Like It Like That '' -- Tito Nieves    July 18 , 2016 ( edit )  Derulo was unavailable this week , but all - star Stephen `` tWitch '' Boss took his place at the judging table ; Ziegler continued to attend and comment at the contestants ' rehearsals . The show opened with a group Bollywood - style number danced by all of the contestants and all - stars . In the middle of the show , the all - stars performed a piece inspired by Romeo and Juliet . Contestants were paired with each other to dance two routines ; each dancer performed at least one routine outside of his or her primary style . The kids also performed duets with their all - stars . Daniela and her partner Sheaden were ranked in the bottom two , based on the previous week 's voting , and Daniela was eliminated .     Dancers   Style   Music   Choreographer ( s )   Result     Contestants and all - stars   Bollywood   `` Let 's Nacho '' -- Kapoor &amp; Sons ( Since 1921 ) soundtrack   Nakul Dev Mahajan   N / A     Jordan Nata'e Wandick Ruby Castro   African jazz   `` Breath Connect Us All '' -- Professor Trance &amp; The Energizers   Sean Cheesman   Safe     J.T. Church Emma Hellenkamp   Hip hop   `` Dessert ( Remix ) '' -- Dawin featuring Silentó   Tabitha and Napoleon D'umo   Safe     Tahani Anderson Jake Monreal   Contemporary   `` Tell Your Heart to Beat Again '' -- Danny Gokey   Bonnie Story   Safe     Daniela Avanzini Sheaden Gabriel   Cha - cha - cha   `` I Love It '' -- Icona Pop featuring Charli XCX   Umario Diallo   Bottom 2 Daniela eliminated     Leon `` Kida '' Burns Tate McRae   Hip hop   `` Manolo '' -- Trip Lee featuring Lecrae   Tabitha and Napoleon D'umo   Safe     All - stars   Contemporary   `` Move Your Body '' -- Sia   Nick Florez and RJ Durell   N / A     J.T. Church Emma Hellenkamp   Broadway   `` The Jet Song '' -- from West Side Story ; Dave Grusin   Spencer Liff   Safe     Jordan Nata'e Wandick Ruby Castro   Contemporary   `` My Own '' -- Whitaker   Dee Caspary   Safe     Leon `` Kida '' Burns Tate McRae   Jazz   `` I Do What I Love '' -- Ellie Goulding   Nick Florez and RJ Durell   Safe     Daniela Avanzini Sheaden Gabriel   Broadway   `` Rich Man 's Frug '' -- from Sweet Charity   Spencer Liff   Bottom 2 Daniela eliminated     Tahani Anderson Jake Monreal   Jive   `` Jailhouse Rock '' -- J - Lew and the Crew   Emma Slater and Sasha Farber   Safe      Duets choreographed by all - stars :      Dancers   Style   Music     Sheaden and Marko   Hip hop   `` Treasure ( Bruno Mars song ) '' -- Bruno Mars     Tate and Kathryn   Contemporary   `` Do n't Panic '' -- Clairity     Kida and Fik - Shun   Hip - hop   `` TRNSTTR ( Lucian Remix ) '' -- Black Coast featuring M. Maggie     Ruby and Paul   Ballroom   `` Muchacho '' -- Jonny Good     Jordan and Sasha   Contemporary   `` Pure4Sure '' -- Sunless ' 97     Emma and Gaby   Tap   `` Boogie Shoes '' -- KC and the Sunshine Band     Jake and Jenna   Ballroom   `` Ai n't Your Mama '' -- Jennifer Lopez     Tahani and Comfort   Hip - hop   `` Pep Rally '' -- Missy Elliott     Daniela and Jonathan   Ballroom   `` Marchina ( Remix 14 ) '' -- DJ DLVG     J.T. and Robert   Contemporary   `` Change is Everything '' -- Son Lux    July 25 , 2016 ( final 9 ) ( edit )  The show began again with a dance that included all the contestants and all - stars . During the course of the broadcast , there was also a group number for the kids and later one for the all - stars . The remaining nine contestants performed full - length routines with their all - stars in their own primary styles ( or similar styles ) , and each did a short solo in his or her primary style . The kids each gave a campaign speech as if they were running for US President . Tate McRae , who is Canadian , qupped in her speech : `` The only wall that should be shared between Canada and the United States should be Travis Wall . '' Sheaden was eliminated , based on the previous week 's voting . The show has been promoting the sixth annual National Dance Day , `` an annual celebration that encourages Americans to embrace dance as a fun and positive way to maintain good health and combat obesity '' , which is scheduled to take place on Saturday , July 30 , 2016 .     Dancers   Style   Music   Choreographer ( s )   Result     Contestants and all - stars   Jazz   `` Me Too '' -- Meghan Trainor   Brian Friedman   N / A     Jake and Jenna   Samba   `` Hip Hip Chin Chin '' ( Maxim Illion Mix ) -- Club Des Belugas   Dmitry Chaplin and Jenya Shatilova   Safe     Kida and Fik - Shun   Hip - hop   `` Panda '' -- Desiigner   Dave Scott   Safe     Tate and Kathryn   Contemporary   `` Get Here '' -- Brenda Russell ( Oleta Adams cover )   Brian Friedman   Safe     Jordan and Sasha   Jazz   `` Sax '' -- Fleur East   Ray Leeper   Safe     Sheaden and Marko   Hip - hop   `` Down in the DM '' -- Yo Gotti   Luther Brown   Eliminated     Ruby and Paul   Argentine Tango   `` Malevo '' -- Electro Dub Tango   Miriam Larici and Leonardo Barrionuevo   Bottom 2     Tahani and Comfort   Dancehall   `` Get Busy '' -- Sean Paul   Laure Courtellemont   Safe     J.T. and Robert   Contemporary   `` The Mirror '' -- Alexandre Desplat   Travis Wall   Safe     Emma and Gaby   Tap   `` Salute '' -- Little Mix   Chloe Arnold   Safe     Contestants   Contemporary   `` Wolf '' -- Tailor   Jaci Royal   N / A     All - stars   Contemporary   `` Send in the Clowns '' -- from A Little Night Music ( Sarah Vaughan and the Count Basie Orchestra )   Travis Wall   N / A      Solos :      Dancer   Style   Music     Tahani   Hip - hop   `` Run the World ( Girls ) '' -- Beyoncé     Sheaden   Hip - hop   `` Lean On '' -- Major Lazer featuring MØ and DJ Snake     Ruby   Samba   `` The Girl 's Gone Wild '' -- Travis Tritt     J.T.   Jazz   `` Unsteady ( Erich Lee Gravity Remix ) '' -- X Ambassadors     Tate   Contemporary   `` Lorikeet '' -- Ship Shape     Emma   Tap   `` Expensive '' -- Tori Kelly featuring Daye Jack     Jordan   Contemporary   `` Confident '' -- Demi Lovato     Jake   Cha Cha Cha   `` It 's a Man 's Man 's Man 's World '' -- Seal     Kida   Hip - hop   `` Lazarus '' -- Trip Lee featuring Thi'si    August 1 , 2016 ( final 8 ) ( edit )  The show began with a group toy - themed hip - hop routine for all of the contestants and all - stars . Later , all 10 all - stars danced a contemporary routine based on a snow - globe . Each of the contestants danced a routine in their primary style with their all - star and then paired with another contestant for a routine in a new genre . Jake and Jordan were eliminated , based on the previous week 's voting .     Dancers   Style   Music   Choreographer ( s )   Result     Contestants and all - stars   Hip - hop   `` Ai n't Playing With Ya '' -- District 78   Pharside Jennings &amp; Phoenix Meraz   N / A     Emma and Gaby   Tap   `` Walk Like an Egyptian '' -- The Bangles ( The Puppini Sisters cover )   Anthony Morigerato   Safe     Tahani and Comfort   Lyrical hip - hop   `` I 'm Going Down '' -- Rose Royce   Tabitha and Napoleon D'umo   Safe     Ruby and Paul   Pasodoble   `` Echelon '' -- Jack Trammell   Jean Marc Genereux   Safe     Jordan and Sasha   Contemporary   `` Amazing Grace ( Premier Video Appearance ) '' -- Harlem Gospel Choir   Sean Cheesman   Eliminated     Jake and Jenna   Jive   `` Land of 1000 Dances '' -- Chris Kenner ( Wilson Pickett cover )   Jean Marc Genereux   Eliminated     J.T. and Robert   Jazz   `` Friend Like Me '' -- from Aladdin ( Ne - Yo cover )   Mandy Moore   Safe     Kida and Fik - Shun   Hip - hop   `` The Buzz '' -- Hermitude featuring Big K.R.I.T. , Mataya &amp; Young Tapz   Misha Gabriel   Safe     Tate and Kathryn   Contemporary   `` She Used to Be Mine '' -- Sara Bareilles   Travis Wall   Safe     All - stars   Contemporary   `` A Star in a Stoneboat '' -- Kevin Keller Trio   Tyce Diorio   N / A      Contestant duets      Dancers   Style   Music   Choreographer ( s )     Jordan and Jake   Hip - hop   `` Bad Man '' -- Missy Elliott featuring Vybz Kartel &amp; M.I.A.   Pharside Jennings &amp; Phoenix Meraz     Tahani and J.T.   Cha - cha - cha   `` Bom Bom '' ( Radio Edit ) -- Sam and the Womp   Emma Slater and Sasha Farber     Emma and Tate   Broadway   `` Act One : Trouble '' -- from Smokey Joe 's Cafe : The Songs of Leiber and Stoller   Sean Cheesman     Ruby and Kida   Contemporary   `` Over the Rainbow '' -- from The Wizard of Oz ( Shawn McDonald cover )   Mandy Moore    August 22 , 2016 ( final 6 ) ( edit )  The show began with a group contemporary routine for all of the contestants and all - stars . Later , four of the female all - stars danced a contemporary routine , and Comfort and the five male all - stars danced a hip - hop number . Each of the contestants danced a routine in their primary style with their all - star , paired with another contestant for a routine in a new genre , and also performed a short solo dance in their own genre . Ruby was eliminated , based on the previous week 's voting .     Dancers   Style   Music   Choreographer ( s )   Result     Contestants and all - stars   Contemporary   `` What the World Needs Now is Love '' -- Hal David and Burt Bacharach ( Will Young cover )   Travis Wall   N / A     Kida and Fik - Shun   Hip - hop   `` Blow a Check '' -- Zoey Dollaz   Luther Brown   Safe     Tate and Kathryn   Contemporary   `` Rise Up '' -- Andra Day   Mandy Moore   Safe     Ruby and Paul   Jive   `` Rip It Up '' -- Little Richard   Mark Ballas   Eliminated     Emma and Gaby   Tap   `` We Will Rock You '' -- Queen   Nick Young   Safe     J.T. and Robert   Broadway   `` Mr. Bojangles '' -- Jerry Jeff Walker ( Robbie Williams cover )   Al Blackstone   Safe     Tahani and Comfort   Hip - hop   `` BANJI '' -- Sharaya J   Jamal Sims   Safe     Four all - star women   Contemporary   `` This Is Not the End '' -- Clare Maguire   Mandy Moore   N / A     All - star men and Comfort   Hip - hop   `` Dangerous '' -- Busta Rhymes   Luther Brown   N / A      Contestant duets      Dancers   Style   Music   Choreographer ( s )     Emma and J.T.   Contemporary   `` I Will Not Forget You '' -- Max Richter   Travis Wall     Kida and Tate   Pasodoble   `` Diablo Rojo '' -- Rodrigo y Gabriela   Mark Ballas     Ruby and Tahani   Broadway   `` Stand By Me '' -- Ben E. King ( Joseph Leo Bwarie cover )   Al Blackstone      Solos :      Dancer   Style   Music     Ruby   Tango   `` Libertango '' -- Astor Piazzolla     Tahani   Hip - hop   `` Bring Em Out '' -- T.I.     Tate   Contemporary   `` Trophy '' -- NAO featuring A.K. Paul     J.T.   Jazz   `` Feeling Good '' -- from The Roar of the Greasepaint -- The Smell of the Crowd ( Michael Bublé cover )     Emma   Tap   `` Foc '' -- Rodrigo y Gabriela     Kida   Hip - hop   `` Boogie Bruthas '' -- Fingazz    August 29 , 2016 ( final 5 ) ( edit )  The show began with a group routine for all of the contestants and all - stars . Each of the contestants then danced with his or her all - star in their primary style . Two groups of all - stars danced separately : first a contemporary routine and then a Broadway number . In the second half of the show , the contestants each choreographed a duet with his or her all - star in their own genre , choosing the concept , music , costumes and make - up . Finally , judge Maddie Ziegler performed a dramatic contemporary routine paired with choreographer Travis Wall . Tahani was eliminated based on the previous week 's voting .     Dancers   Style   Music   Choreographer ( s )   Result     Contestants and all - stars   Contemporary   `` I Miss You '' -- Bjork   Nick Florez and RJ Durell   N / A     Tate and Kathryn   Contemporary   `` This Gift '' -- Glen Hansard   Stacey Tookey   Safe     Kida and Fik - Shun   Hip - hop ; Krump   `` All the Way Up '' -- Fat Joe and Remy Ma featuring French Montana and Infared   Pharside and Phoenix   Safe     Emma and Gaby   Tap   `` On the Sunny Side of the Street '' -- Jimmy McHugh and Dorothy Fields ( Ella Fitzgerald and Count Basie version )   Savion Glover   Safe     J.T. and Robert   Contemporary   `` I 'll Keep You Safe '' -- Sleeping at Last   Stacey Tookey   Safe     Tahani and Comfort   Hip - hop   `` WTF ( Where They From ) '' -- Missy Elliott featuring Pharrell Williams   Dave Scott   Eliminated     Five all - stars : Jenna , Sasha , Kathryn , Marko and Paul   Contemporary   `` Feel Again '' -- OneRepublic   Theresa Stone   N / A     The other five all - stars : Gaby , Comfort , Fik - Shun , Robert and Jonathan   Broadway   `` The Way You Look Tonight '' -- Jerome Kern and Dorothy Fields , from the film Swing Time ( Maroon 5 cover )   Al Blackstone   N / A     Maddie Ziegler and Travis Wall   Contemporary   `` Cage of Bones '' -- Son Lux   Travis Wall   N / A      Duets choreographed by the contestants      Dancers   Style   Music   Concept     Tate and Kathryn   Contemporary   `` Footprints '' -- Jeff Grace   Unmasked : Remove your mask to show your imperfections / true self     Kida and Fik - shun   Hip - hop   `` I Can Make Ya '' -- Fingazz   Manipulator : Robot Kida teaches robot Fik - shun to loosen up     J.T. and Robert   Jazz   `` Count on Me '' -- Bruno Mars   Friendship : Friends can always count on each other     Tahani and Comfort   Hip - hop   `` No Flex Zone '' -- Rae Sremmurd   No Flex Zone : Cool Tahani schools nerdy Comfort     Emma and Gaby   Tap   `` Rather Be '' -- Clean Bandit ( Pentatonix cover )   Here With You : Two friends who would rather be together than anywhere else    September 5 , 2016 ( final 4 ) : no Elimination ( edit )  The final four competed on Labor Day . Audience voting after this show was combined with the votes from the August 29 show to determine the results of the season , so there was no elimination this week . The show again opened with a group number for the remaining contestants and the all - stars . The four contestants danced another routine , and later so did the all - stars . Each contestant performed a duet with an all - star who was not his or her mentor , in a new genre , and each also danced a solo in his or her own genre . Finally , the contestants each reprised their favorite routine of the season with their usual all - stars .     Dancers   Style   Music   Choreographer ( s )     Contestants and all - stars     `` You Do n't Own Me '' -- Lesley Gore ( Son Lux featuring Hanna Benn cover )   Travis Wall     Top 4 contestants   Broadway   `` Ease on Down the Road '' -- Charlie Smalls ( Diana Ross and Michael Jackson in The Wiz )   Tabitha and Napoleon D'umo     Kida and Sasha   African Jazz   `` Din Daa Daa '' ( Radio Edit ) -- George Kranz ( Kevin Aviance cover )   Sean Cheesman     Tate and Jonathan   Salsa   `` Robi - Rob 's Boriqua Anthem '' -- C + C Music Factory featuring El General   Stephanie Stevenson     Emma and Jenna   Contemporary   `` How Long Will I Love You ? '' -- Mike Scott ( Ellie Goulding cover )   Jaci Royal     J.T. and Marko   Bollywood   `` Malhari '' -- Bajirao Mastani soundtrack   Nakul Dev Mahajan     Tate and Kathryn   Contemporary   `` She Used to Be Mine '' -- Sara Bareilles   Travis Wall     All - stars , excluding Sasha   Jazz   `` Feathery '' -- Milky Chance   Mandy Korpinen and Elizabeth Petrin     Kida and Fik - Shun   Hip - hop   `` Winning '' -- Fingazz   Christopher Scott     J.T. and Robert   Contemporary   `` The Mirror '' -- Alexandre Desplat   Travis Wall     Emma and Gaby   Tap   `` Walk Like an Egyptian '' -- The Bangles ( The Puppini Sisters cover )   Anthony Morigerato      Solos :      Dancer   Style   Music     Emma   Tap   `` Someone Who Can Dance '' -- Icona Pop     J.T.   Jazz   `` Ghost of Sky '' ( Epic Dub ) -- Steed Lord     Tate   Contemporary   `` Easy '' ( Switch Screens ) -- Son Lux featuring Lorde     Kida   Hip - hop   `` Earned It '' ( Marian Hill Remix ) -- The Weeknd    September 12 , 2016 : finale -- results ( edit )  The episode began with a group dance for all the contestants and all - stars that began with the Top 4 contestants waking up and getting ready for the big day . There were also new group dances for the hip - hop finalists and their all - stars ; the ballroom finalists and their all - stars ; and the contemporary finalists ( plus Emma ) and their all stars . In addition , there was a new group routine for all the finalists plus Maddie Ziegler , and Cat Deely chose to reprise her favorite all - stars routine . During the course of the broadcast , each of the Top 4 reprised their favorite solo of the season , each judge chose two favorite routines to see again , each of the all - stars chose a favorite duet to reprise , and other duets were reprised as described below . Results were announced during the last hour of the show as follows : Emma placed 4th , Tate was 3rd , J.T. was runner - up , and Kida won the $250,000 top prize and will be featured on the cover of Dance Spirit magazine .     Dancers   Style   Music   Choreographer ( s )     Top 4 contestants , joined by Top 10 and all - stars   Hip - hop   `` Brand New '' -- Ben Rector   Christopher Scott and Jamal Sims     Kida and Fik - shun   Hip - hop   `` I Can Make Ya '' -- Fingazz   Kida ( Nigel 's pick )     Sheaden and Marko   Hip hop   `` Treasure ( Bruno Mars song ) '' -- Bruno Mars       Tate and Jonathan   Salsa   `` Robi - Rob 's Boriqua Anthem '' -- C + C Music Factory featuring El General   Stephanie Stevenson ( Maddie 's pick )     Jordan and Sasha   Contemporary   `` The Light That Never Fails '' -- Andra Day   Brian Friedman ( Paula 's pick )     Jake and Jenna   Ballroom   `` Ai n't Your Mama '' -- Jennifer Lopez       Emma and Gaby   Tap   `` Salute '' -- Little Mix   Chloe Arnold ( Jason 's pick )     Kida , Fik - Shun , Sheaden , Marko , Tahani and Comfort   Hip - hop   `` Ai n't No Time '' -- Future   Luther Brown     Tate and Kathryn   Contemporary   `` This Gift '' -- Glen Hansard   Stacey Tookey ( Kathryn 's pick )     Top 10 and Maddie   Contemporary   `` Small '' -- Lamb   Mandy Moore     J.T. and Robert   Broadway   `` Mr. Bojangles '' -- Jerry Jeff Walker ( Robbie Williams cover )   Al Blackstone ( Nigel 's pick )     Jake , Jenna , Ruby , Paul , Daniela and Jonathan   Ballroom   `` A Little Party Never Killed Nobody ( All We Got ) '' -- Fergie , Q - Tip and GoonRock   Dmitry Chaplin and Jenya Shatilova     Tahani and Comfort   Hip - hop   `` Pep Rally '' -- Missy Elliott     Special performance by Sergei Polunin   Ballet   `` Diane et Actéon '' -- Cesare Pugni from La Esmeralda   Sergei Polunin     Ruby and Paul   Argentine Tango   `` Malevo '' -- Electro Dub Tango   Miriam Larici and Leonardo Barrionuevo ( Paula 's pick )     All - stars , excluding Sasha   Jazz   `` Feathery '' -- Milky Chance   Mandy Korpinen and Elizabeth Petrin ( Cat 's pick )     Kida and Fik - Shun   Hip - hop   `` The Buzz '' -- Hermitude featuring Big K.R.I.T. , Mataya &amp; Young Tapz   Misha Gabriel ( Fik - Shun 's pick )     Tate , Kathryn , Sasha , Jordan , J.T. , Robert , Emma and Gaby   Contemporary   `` Burgs '' -- Mt . Wolf   Travis Wall     Daniela and Jonathan   Ballroom   `` Marchina ( Remix 14 ) '' -- DJ DLVG       Ruby and Paul   Ballroom   `` Muchacho '' -- Jonny Good       Tahani and Comfort   Lyrical hip - hop   `` I 'm Going Down '' -- Rose Royce   Tabitha and Napoleon D'umo ( Jason 's pick )     Emma and Gaby   Tap   `` We Will Rock You '' -- Queen   Nick Young ( Gaby 's pick )     Kida and Tate   Hip hop   `` Manolo '' -- Trip Lee featuring Lecrae   Tabitha and Napoleon D'umo ( Maddie 's pick )     J.T. and Robert   Contemporary   `` Stand in the Light '' -- Jordan Smith   Mandy Moore ( Robert 's pick )      Solos ( contestants ' choice ) :      Dancer   Style   Music     J.T.   Jazz   `` Feeling Good '' -- from The Roar of the Greasepaint -- The Smell of the Crowd ( Michael Bublé cover )     Tate   Contemporary   `` Trophy '' -- NAO featuring A.K. Paul     Emma   Tap   `` Expensive '' -- Tori Kelly featuring Daye Jack     Kida   Hip - hop   `` Boogie Bruthas '' -- Fingazz     Ratings ( edit )   US nielsen ratings ( edit )     Show   Episode   First Air Date   Rating ( 18 -- 49 )   Share ( 18 -- 49 )   Viewers ( millions )   Rank ( timeslot )   Rank ( night )   Rank ( week )       Auditions # 1   May 30 , 2016 ( 2016 - 05 - 30 )   1.0     3.75             Auditions # 2   June 6 , 2016 ( 2016 - 06 - 06 )   1.0     4.08             Auditions # 3   June 13 , 2016 ( 2016 - 06 - 13 )   0.9     3.52     6         Academy # 1   June 20 , 2016 ( 2016 - 06 - 20 )   0.8     3.23   3 ( tie )   4 ( tie )       5   Academy # 2   June 27 , 2016 ( 2016 - 06 - 27 )   0.9     3.04   3 ( tie )   4 ( tie )       6   Top 10 Perform   July 11 , 2016 ( 2016 - 07 - 11 )   0.7     2.89     5 ( tie )       7   Top 10 Perform + Elimination   July 18 , 2016 ( 2016 - 07 - 18 )   0.7     2.66   3 ( tie )   4 ( tie )       8   Top 9 Perform + Elimination   July 25 , 2016 ( 2016 - 07 - 25 )   0.7     2.57   3 ( tie )   5 ( tie )       9   Top 8 Perform + Elimination   August 1 , 2016 ( 2016 - 08 - 01 )   0.7     2.68     6 ( tie )       10   Top 6 Perform + Elimination   August 22 , 2016 ( 2016 - 08 - 22 )   0.7     2.62     6       11   Top 5 Perform + Elimination   August 29 , 2016 ( 2016 - 08 - 29 )   0.7     2.57     6 ( tie )       12   Final 4   September 5 , 2016 ( 2016 - 09 - 05 )   0.5     2.37     8       13   Season Finale   September 12 , 2016 ( 2016 - 09 - 12 )   0.7     2.27     8       Notes :    July 4 , 2016 : broadcast was a rerun of Academy # 2 .   August 8 , 2016 : broadcast was a rerun of Top 9 Perform + Elimination .   August 15 , 2016 : broadcast was a rerun of Top 8 Perform + Elimination .    See also ( edit )    List of So You Think You Can Dance finalists    References ( edit )    ^ Jump up to : Connolly , Kelly . `` So You Think You Can Dance : Go behind the scenes of the ' fierce ' new season '' , Entertainment Weekly , May 9 , 2016   Jump up ^ Cutler , Jacqueline . `` ' So You Think You Can Dance : The Next Generation ' : The auditions , the judges and the dancers take Manhattan '' , New Yor</t>
  </si>
  <si>
    <t xml:space="preserve">who won so you think you can dance 2016</t>
  </si>
  <si>
    <t xml:space="preserve">   So You Think You Can Dance : The Next Generation     Season 13     Broadcast from   May 30 -- September 12 , 2016     Judges   Nigel Lythgoe Paula Abdul Jason Derulo Maddie Ziegler     Host ( s )   Cat Deeley     Broadcaster   Fox     Winner     Leon `` Kida '' Burns     Genre ( s )   Hip - Hop         Runner - up     J.T. Church     Chronology       ◀   2016   ▶     </t>
  </si>
  <si>
    <t xml:space="preserve">Bates Motel ( TV series ) - wikipedia  Bates Motel ( TV series )  Jump to : navigation , search Not to be confused with the 1987 film Bates Motel .    Bates Motel         Genre     Mystery   Psychological horror   Drama       Based on   Characters from Psycho by Robert Bloch     Developed by     Carlton Cuse   Kerry Ehrin   Anthony Cipriano       Starring     Vera Farmiga   Freddie Highmore   Max Thieriot   Olivia Cooke   Nicola Peltz   Nestor Carbonell   Kenny Johnson       Composer ( s )   Chris Bacon     Country of origin   United States     Original language ( s )   English     No. of seasons   5     No. of episodes   50 ( list of episodes )     Production     Executive producer ( s )     Mark Wolper   Roy Lee   John Powers Middleton   Kerry Ehrin   Carlton Cuse   Vera Farmiga   Tucker Gates       Producer ( s )     Justis Greene   Steve Kornacki   Alyson Evans   Scott Kosar   Erica Lipez   Christopher Nelson   Tim Southam   Jamie Kaye Wheeler       Location ( s )   Vancouver , British Columbia     Cinematography     Thomas Yatsko   John S. Bartley       Editor ( s )     Christopher Nelson   Sarah Boyd   Ryan Neatha Johnson   Vikash Patel   Edward Warschilka       Running time   40 -- 47 minutes     Production company ( s )     American Genre   Carlton Cuse Productions ( 2013 -- 2015 )   Cuse Productions ( 2016 -- 2017 )   Kerry Ehrin Productions   Universal Television       Distributor     A&amp;E Networks   NBCUniversal Television Distribution       Release     Original network   A&amp;E     Picture format   1080i ( 16 : 9 HDTV )     Audio format   5.1 surround sound     Original release   March 18 , 2013 ( 2013 - 03 - 18 ) -- April 24 , 2017 ( 2017 - 04 - 24 )     External links     Website     Bates Motel is an American psychological horror drama television series that aired from March 18 , 2013 to April 24 , 2017 . It was developed by Carlton Cuse , Kerry Ehrin , and Anthony Cipriano , and is produced by Universal Television and American Genre for the cable network A&amp;E .   The series , a contemporary prequel to Alfred Hitchcock 's 1960 film Psycho ; based on Robert Bloch 's 1959 novel of the same name , depicts the lives of Norman Bates ( Freddie Highmore ) and his mother Norma ( Vera Farmiga ) prior to the events portrayed in the novel and film , albeit in a different fictional town ( White Pine Bay , Oregon , as opposed to Fairvale , California ) and in a modern - day setting . However , the final season loosely adapts the plot of Psycho . Max Thieriot and Olivia Cooke both starred as part of the main cast throughout the series ' run . After recurring in the first season , Nestor Carbonell was added to the main cast from season two onward .   The series begins in Arizona with the death of Norma 's husband , after which Norma purchases the Seafairer motel located in a coastal Oregon town so that she and Norman can start a new life . Subsequent seasons follow Norman as his mental illness becomes dangerous , and Norma as she struggles to protect her son , and those around him , from himself . The series was filmed outside Vancouver in Aldergrove , British Columbia , along with other locations within the Fraser Valley of British Columbia .   A&amp;E chose to skip a pilot of the series , opting to go straight - to - series by ordering a 10 - episode first season . On June 15 , 2015 , the series was renewed for a fourth and fifth season , making Bates Motel A&amp;E 's longest - running original scripted drama series in the channel 's history . The series ' lead actors , Vera Farmiga and Freddie Highmore , received particular praise for their performances in the series , with the former receiving a Primetime Emmy Award nomination and winning a Saturn Award for Best Actress on Television . Bates Motel also won three People 's Choice Awards for Favorite Cable TV Drama , and for Favorite Cable TV Actress ( Farmiga ) and Actor ( Highmore ) .     Contents  ( hide )   1 Series overview   1.1 Season 1   1.2 Season 2   1.3 Season 3   1.4 Season 4   1.5 Season 5     2 Cast and characters   3 Production   3.1 Development   3.2 Casting   3.3 Filming     4 Reception   4.1 Critical response   4.2 Ratings   4.3 Awards and nominations     5 Home media   6 International broadcast   7 Merchandising   8 See also   9 References   10 External links      Series overview ( edit )  Main article : List of Bates Motel episodes    Season   Episodes   Originally aired     First aired   Last aired         10   March 18 , 2013 ( 2013 - 03 - 18 )   May 20 , 2013 ( 2013 - 05 - 20 )         10   March 3 , 2014 ( 2014 - 03 - 03 )   May 5 , 2014 ( 2014 - 05 - 05 )         10   March 9 , 2015 ( 2015 - 03 - 09 )   May 11 , 2015 ( 2015 - 05 - 11 )         10   March 7 , 2016 ( 2016 - 03 - 07 )   May 16 , 2016 ( 2016 - 05 - 16 )       5   10   February 20 , 2017 ( 2017 - 02 - 20 )   April 24 , 2017 ( 2017 - 04 - 24 )     Season 1 ( edit )  Main article : Bates Motel ( season 1 )  The first season follows Norma and Norman Bates as they buy a motel after Norman 's father dies . On one of the first nights of the two owning the motel , the former owner breaks in and sexually assaults Norma . Norman knocks the attacker out , and Norma stabs him to death . She decides it 's best not to call the police and to cover up the murder . She and Norman dispose of the body . He complicates the cover - up by keeping a belt that belonged to the victim . When the town sheriff and his deputy notice that a man has gone missing , Norma and Norman must keep them from digging too far .   Season 2 ( edit )  Main article : Bates Motel ( season 2 )  The second season follows the aftermath of Norman 's teacher 's murder , as her mysterious past comes to light . Meanwhile , Norma finds herself making dangerous decisions in order to keep the motel running and preventing the impending bypass . Bradley 's search for her father 's killer leads to the extremes , and Dylan learns the disturbing truth about his parentage .   Season 3 ( edit )  Main article : Bates Motel ( season 3 )  The third season focuses on Norman 's waning deniability about what 's happening to him , and the lengths he will go to gain control of his fragile psyche . The dramatic events of last season leave Norma more aware of her son 's mental fragility and fearful of what he is capable of . Meanwhile , Sheriff Romero begins to distance himself from the Bates family after he suspects Norma is lying to him about her husband 's death .   Season 4 ( edit )  Main article : Bates Motel ( season 4 )  The fourth season follows Norma as she becomes increasingly fearful of Norman , going to great lengths to find him the professional help he needs . This complicates their once unbreakable trust as Norman struggles to maintain his grip on reality . Meanwhile , Sheriff Romero once again finds himself drawn into Norma and Norman 's lives . He agrees to marry Norma because his insurance will enable her to place Norman in an expensive psychiatric hospital . His generosity backfires , however , when Norman learns of the marriage . Norman bitterly resents Romero for coming between him and his mother and at one point threatens the sheriff with an axe .   Season 5 ( edit )  Main article : Bates Motel ( season 5 )  The fifth season begins two years after the death of Norma . Publicly happy and well - adjusted , Norman struggles at home , where his blackouts are increasing and `` Mother '' threatens to take him over completely . Meanwhile , Dylan and Emma find themselves drawn back into Norman 's world , and Romero hungers for revenge against his stepson , Norman .   Cast and characters ( edit )  Main article : List of Bates Motel characters   Vera Farmiga as Norma Louise Bates   Freddie Highmore as Norman Bates   Max Thieriot as Dylan Massett   Olivia Cooke as Emma Decody   Nicola Peltz as Bradley Martin ( main season 1 ; recurring seasons 2 -- 3 )   Nestor Carbonell as Sheriff Alex Romero ( recurring season 1 ; main seasons 2 -- 5 )   Kenny Johnson as Caleb Calhoun ( recurring seasons 2 and 5 ; main season 3 ; guest season 4 )    Production ( edit )   Development ( edit )  The cast promoting the series at the Paley Center for Media , 2013 ( left to right ) Thieriot , Peltz , Highmore , Farmiga , and Carbonell  On January 12 , 2012 , it was reported that A&amp;E were developing a television series titled Bates Motel that would serve as a prequel to the Alfred Hitchcock film Psycho . The first script was written by Anthony Cipriano . In March 2012 , Carlton Cuse and Kerry Ehrin joined the project as executive producers and head writers . Cuse has cited the drama series Twin Peaks as a key inspiration for Bates Motel , stating , `` We pretty much ripped off Twin Peaks ... If you wanted to get that confession , the answer is yes . I loved that show . They only did 30 episodes . Kerry ( Ehrin ) and I thought we 'd do the 70 that are missing . '' On July 2 , 2012 , A&amp;E gave Bates Motel a straight - to - series order . Chris Bacon was hired to score the music for the series in January 2013 .   Casting ( edit )   On August 27 , 2012 , Vera Farmiga was the first to be cast in the leading role of Norma Louise Bates . On September 14 , 2012 , Freddie Highmore was cast as Norman Bates . That same day , Max Thieriot was cast as Norman 's half - brother , Dylan Massett . Shortly after , on September 19 , 2012 , Nicola Peltz was cast as Bradley Martin , a possible love interest for Norman . Finally , on September 20 , 2012 , Olivia Cooke was the final main cast member to join the series , in the role of Emma Decody , Norman 's best friend . Nestor Carbonell was cast in a recurring role as Sheriff Alex Romero in the first season , but was upgraded to the main cast at the beginning of the second season . In July 2014 , Kenny Johnson , who recurred as Norma 's brother Caleb Calhoun in the second season , was promoted to a series regular for the third season . It was announced on July 22 , 2016 at San Diego Comic - Con International that Rihanna would appear in the iconic role of Marion Crane for the fifth and final season .   Filming ( edit )   A replica of the original Bates Motel set from the film Psycho was built on location at approximately 1054 272nd Street in Aldergrove , British Columbia , where portions of the series were filmed . The original house and motel is located in Universal Studios , Hollywood , Los Angeles . Additional filming for the series took place in multiple areas in British Columbia , including Steveston , Coquitlam , Horseshoe Bay , West Vancouver and Fort Langley . In February 2017 , after filming was completed for the series , the Bates Motel exterior set in Aldergrove was demolished .   Reception ( edit )   Critical response ( edit )   The first season of Bates Motel received a score of 66 on Metacritic , indicating `` generally favorable reviews '' . Review aggregator Rotten Tomatoes reported that 81 % of 37 critics gave the first season a positive review . The site 's consensus reads , `` Bates Motel utilizes mind manipulation and suspenseful fear tactics , on top of consistently sharp character work and wonderfully uncomfortable familial relationships . '' The second season of Bates Motel received a score of 67 out of 100 on Metacritic , from 11 reviews , indicating `` generally favorable reviews '' . Rotten Tomatoes reported an 86 % rating from 12 reviews for the second season . The site 's consensus reads , `` Bates Motel reinvents a classic thriller with believable performances and distinguished writing . ''   The third season of Bates Motel received a score of 72 out of 100 on Metacritic , from 5 reviews , indicating `` generally favorable reviews '' . Rotten Tomatoes reported a 92 % rating from 12 reviews . The site 's consensus reads , `` Bates Motel further blurs lines around TV 's creepiest taboo mother / son relationship , uncomfortably darkening its already fascinating tone . '' The fourth season of Bates Motel was met with positive reviews from critics . Rotten Tomatoes reported a 100 % positive rating from 8 reviews . The fifth and final season of Bates Motel received a score of 81 out of 100 on Metacritic , from 8 reviews , indicating `` universal acclaim '' . Rotten Tomatoes reported a 100 % rating from 8 reviews .   Ratings ( edit )     Season   Time slot ( ET )   Eps   Premiered   Ended   Average viewers ( in millions )     Date   Premiere viewers ( in millions )   Date   Finale viewers ( in millions )       Monday 10 p.m.   10   March 18 , 2013   3.04   May 20 , 2013   2.70   2.70       10   March 3 , 2014   3.07   May 5 , 2014   2.30   2.30       Monday 9 p.m.   10   March 9 , 2015   2.14   May 11 , 2015   1.67   1.80       10   March 7 , 2016   1.55   May 16 , 2016   1.50   1.45     5   Monday 10 p.m.   10   February 20 , 2017   1.34   April 24 , 2017   1.41   1.29     Awards and nominations ( edit )  Main article : List of awards and nominations received by Bates Motel  Home media ( edit )     Season   Episodes   Release date   Special features   Ref .       10   September 17 , 2013     Deleted Scenes   Paley Center Panel Discussion with the Cast and Creative Team           10   October 7 , 2014     Deleted Scenes   Bates Motel : After Hours -- Season 2 Premiere   Bates Motel : After Hours -- Season 2 Finale   Origins of a Psycho : Inside Bates Motel           10   October 13 , 2015     Deleted Scenes   A Broken Psyche : Creating Norma - n           10   October 18 , 2016     Deleted Scenes         5   10   September 19 , 2017     Gag Reel   Bates Motel : Closed for Business   Bates Motel : The Checkout         1 , 2 , 3 , 4 , and 5 The Complete Series   50   September 19 , 2017     Paley Center Panel Discussion with the Cast and Creative Team   Bates Motel : After Hours -- Season 2 Premiere   Bates Motel : After Hours -- Season 2 Finale   Origins of a Psycho : Inside Bates Motel   Deleted Scenes   A Broken Psyche : Creating Norma - n   Gag Reel   Bates Motel : Closed for Business   Bates Motel : The Checkout         International broadcast ( edit )   In Canada , the series airs only on the U.S. network A&amp;E , which is available through most Canadian cable and satellite companies . In Australia , the series premiered on Fox8 on May 26 , 2013 . In the UK and Ireland , it premiered on Universal Channel on April 2 , 2014 . In Jamaica , it premiered on CVM TV on August 11 , 2014 . In the Middle East , it premiered on OSN First HD in mid-2014 . The second season premiered on January 5 , 2015 . In the Philippines , Bates Motel began airing on Jack TV on August 12 , 2013 . In South Africa , the series premiered on MNet on June 21 , 2013 . The series premiered in India on Colors Infinity on November 6 , 2015 .   Merchandising ( edit )   NBCUniversal partnered with Hot Topic , the American retailer of pop culture merchandise , to introduce a collection of clothing and accessories inspired by Bates Motel . The merchandise , including items such as bathrobes and bloody shower curtains , became available at Hot Topic 's website and select stores on March 18 , 2014 . As of 2018 , the merchandise is no longer available through Hot Topic .   See also ( edit )    Television in the United States portal   2010s portal    References ( edit )    Jump up ^ `` A&amp;E Network to Premiere New Original Scripted Drama Series ' Bates Motel ' on Monday , March 18 at 10PM ET / PT '' . The Futon Critic . Retrieved January 4 , 2013 .   Jump up ^ Langmann , Kurt . `` ' Psycho ' prequel shot in Aldergrove '' . Aldergrove Star . Archived from the original on October 21 , 2012 . Retrieved January 2 , 2013 .   Jump up ^ `` BATES MOTEL Set in Aldergrove is Spitting Image of Alfred Hitchcock 's Set in Psycho -- Updated '' . YVR Shoots . Archived from the original on November 27 , 2012 . Retrieved January 2 , 2013 .   ^ Jump up to : `` A&amp;E Network Orders ' Bates Motel ' to Series '' . A&amp;E . July 2 , 2012 . Archived from the original on October 6 , 2013 . Retrieved November 19 , 2012 .   Jump up ^ McNamara , Mary ( March 18 , 2013 ) . `` Review : ' Bates Motel ' a twisty , moody modern prequel to ' Psycho ' '' . Los Angeles Times . Archived from the original on April 27 , 2013 . Retrieved November 19 , 2012 .   Jump up ^ Danzis , Alan ( March 18 , 2013 ) . `` ' Bates Motel ' : An Intriguing Contemporary Prequel To ' Psycho ' '' . Starpulse . Archived from the original on March 22 , 2013 . Retrieved April 16 , 2013 .   Jump up ^ Stanley , Alessandra ( March 17 , 2013 ) . `` Mother , as She Lives and Breathes '' . The New York Times . Archived from the original on June 24 , 2013 .   Jump up ^ Garvin , Glenn ( March 17 , 2013 ) . `` Tension builds in The Lake , but dies at the Bates Motel '' . Miami Herald . Archived from the original on October 21 , 2013 .   Jump up ^ Goldberg , Lesley ( June 15 , 2015 ) . `` ' Bates Motel ' Renewed for Two More Seasons at A&amp;E ; ' Returned ' Cancelled '' . The Hollywood Reporter . Archived from the original on June 17 , 2015 .   Jump up ^ Goldberg , Lesley ( January 12 , 2012 ) . `` TCA : ' Psycho ' Prequel Series ' Bates Motel ' in the Works at A&amp;E '' . The Hollywood Reporter . Archived from the original on May 19 , 2015 .   Jump up ^ Semigran , Aly ( January 12 , 2012 ) . `` A&amp;E developing ' Psycho ' prequel TV series '' . Entertainment Weekly . Archived from the original on April 3 , 2015 .   Jump up ^ Goldman , Eric ( March 9 , 2012 ) . `` Lost Showrunner Carlton Cuse Joins Psycho Prequel '' . IGN . Archived from the original on May 8 , 2016 .   Jump up ^ Haithman , Diane ( May 10 , 2013 ) . `` Carlton Cuse At ' Bates Motel ' Panel : `` We Pretty Much Ripped Off ' Twin Peaks ' '' `` . Deadline.com . Archived from the original on June 7 , 2013 . Retrieved May 11 , 2013 .   Jump up ^ Goldberg , Lesley ( July 2 , 2012 ) . `` A&amp;E Orders Carlton Cuse 's ' Psycho ' Prequel ' Bates Motel ' Straight to Series '' . The Hollywood Reporter . Archived from the original on April 26 , 2014 .   Jump up ^ `` Chris Bacon to Score ' Bates Motel ' '' . Film Music Reporter . January 12 , 2013 .   Jump up ^ Hibberd , James ( August 27 , 2012 ) . `` Norman Bates ' mother cast in A&amp;E 's ' Psycho ' series '' . Entertainment Weekly . Archived from the original on August 20 , 2014 .   Jump up ^ Keck , William ( September 14 , 2012 ) . `` Keck 's Exclusives : Bates Motel Casts Its Norman -- Today 's News : Our Take '' . TV Guide . Archived from the original on October 18 , 2014 .   Jump up ^ Goldberg , Lesley ( September 14 , 2012 ) . `` A&amp;E 's ' Bates Motel ' Adds Max Thieriot as Norman 's Brother '' . The Hollywood Reporter . Archived from the original on November 27 , 2014 .   Jump up ^ Goldberg , Lesley ( September 19 , 2012 ) . `` ' Bates Motel ' Adds ' Last Airbender ' Actress as Love Interest for Norman ( Exclusive ) '' . The Hollywood Reporter . Archived from the original on November 27 , 2014 .   Jump up ^ Jeffery , Morgan ( September 20 , 2012 ) . `` ' Psycho ' TV prequel ' Bates Motel ' adds ' Blackout ' star Olivia Cooke '' . Digital Spy . Archived from the original on October 29 , 2013 .   Jump up ^ Andreeva , Nellie ( October 2 , 2012 ) . `` Mike Vogel &amp; Nestor Carbonell Join A&amp;E 's ' Bates Motel ' , Trio To Recur On ' Shameless ' '' . Deadline.com . Archived from the original on June 11 , 2016 .   Jump up ^ `` Bates Motel -- Season 3 -- Kenny Johnson upped to Regular '' . SpoilerTV . Archived from the original on February 24 , 2015 . Retrieved February 23 , 2015 .   Jump up ^ Goldberg , Lesley ( July 22 , 2016 ) . `` Comic - Con : ' Bates Motel ' Taps Rihanna for Famous ' Psycho ' Role '' . The Hollywood Reporter . Archived from the original on July 24 , 2016 . Retrieved July 24 , 2016 .   Jump up ^ Turnquist , Kristi ( March 2013 ) . `` ' Bates Motel ' : What 's going on in that bucolic Oregon coastal town '' . OregonLive.com . Archived from the original on September 28 , 2013 .   Jump up ^ Gittins , Susan ( November 15 , 2012 ) . `` BATES MOTEL Set in Aldergrove is Spitting Image of Alfred Hitchcock 's Set in Psycho -- Updated '' . YVR Shoots . Archived from the original on November 27 , 2012 .   Jump up ^ Brown , Scott ( February 4 , 2017 ) . `` Hollywood North : The Bates Motel gets hit by the wrecking ball ( gallery ) '' . The Vancouver Sun . Archived from the original on February 23 , 2017 . Retrieved February 23 , 2017 .   Jump up ^ `` Bates Motel : Season 1 Reviews '' . Metacritic . March 18 , 2013 . Archived from the original on March 22 , 2013 . Retrieved March 22 , 2013 .   Jump up ^ `` Bates Motel : Season 1 ( 2013 ) '' . Rotten Tomatoes . Archived from the original on March 7 , 2014 . Retrieved October 10 , 2013 .   Jump up ^ `` Bates Motel : Season 2 Reviews '' . Metacritic . Archived from the original on March 14 , 2014 . Retrieved March 15 , 2014 .   Jump up ^ `` Bates Motel : Season 2 ( 2014 ) '' . Rotten Tomatoes . Archived from the original on October 6 , 2014 . Retrieved March 15 , 2014 .   Jump up ^ `` Bates Motel : Season 3 Reviews '' . Metacritic . Archived from the original on March 9 , 2015 . Retrieved March 10 , 2015 .   Jump up ^ `` Bates Motel : Season 3 ( 2015 ) '' . Rotten Tomatoes . Archived from the original on March 10 , 2015 . Retrieved March 10 , 2015 .   Jump up ^ `` Bates Motel : Season 4 ( 2016 ) '' . Rotten Tomatoes . Archived from the original on March 27 , 2016 . Retrieved March 11 , 2016 .   Jump up ^ `` Bates Motel : Season 5 Reviews '' . Metacritic . Archived from the original on February 23 , 2017 . Retrieved February 25 , 2017 .   Jump up ^ `` Bates Motel : Season 5 ( 2017 ) '' . Rotten Tomatoes . Archived from the original on September 1 , 2015 . Retrieved March 15 , 2017 .   Jump up ^ Webb Mitovich , Matt ( February 22 , 2013 ) . `` Ratings -- Bates Motel Series Premiere on A&amp;E '' . TVLine . Archived from the original on March 22 , 2013 . Retrieved March 22 , 2013 .   Jump up ^ Bibel , Sara ( May 21 , 2013 ) . `` Monday Cable Ratings : ' WWE Raw ' &amp; ' Love &amp; Hip Hop Atlanta ' Win Night ; ' Bates Motel ' , ' Defiance ' , ' Warehouse 13 ' &amp; More '' . TV by the Numbers . Archived from the original on June 7 , 2013 . Retrieved May 21 , 2013 .   Jump up ^ Patten , Dominic ( May 21 , 2013 ) . `` A&amp;E 's ' Bates Motel ' Rises In Finale '' . Deadline.com . Archived from the original on April 2 , 2015 . Retrieved March 10 , 2015 .   Jump up ^ Bibel , Sara ( March 4 , 2014 ) . `` Monday Cable Ratings : ' WWE Raw ' Wins Night , ' Bates Motel ' , ' Teen Wolf ' , ' Single Ladies ' , ' Switched at Birth ' &amp; More '' . TV by the Numbers . Archived from the original on March 7 , 2014 . Retrieved March 4 , 2014 .   Jump up ^ Kondolojy , Amanda ( May 6 , 2014 ) . `` Monday Cable Ratings : NBA Playoffs Lead Night + ' Love &amp; Hip Hop Atlanta ' , ' Monday Night RAW ' , ' The Boondocks ' &amp; More '' . TV by the Numbers . Archived from the original on May 6 , 2014 . Retrieved May 6 , 2014 .   Jump up ^ `` Bates Motel : Season Two Ratings '' . TV Series Finale . May 6 , 2014 . Archived from the original on March 16 , 2015 . Retrieved March 10 , 2015 .   Jump up ^ Kondolojy , Amanda ( March 10 , 2015 ) . `` Monday Cable Ratings : ' Monday Night RAW ' Tops Night + ' Love &amp; Hip - Hop ' , ' Better Call Saul ' , ' Black Ink Crew ' &amp; More '' . TV by the Numbers . Archived from the original on March 12 , 2015 . Retrieved March 10 , 2015 .   Jump up ^ Bibel , Sara ( May 12 , 2015 ) . `` Monday Cable Ratings : NBA Playoffs Wins Night , ' Love &amp; Hip Hop Atlanta ' , ' WWE Raw ' , ' Teen Mom ' , ' Bates Motel ' &amp; More '' . TV by the Numbers . Archived from the original on May 14 , 2015 . Retrieved May 12 , 2015 .   Jump up ^ `` Bates Motel : Season Three Ratings '' . TV Series Finale . May 13 , 2015 . Archived from the original on May 23 , 2015 . Retrieved May 14 , 2015 .   Jump up ^ Welch , Alex ( March 8 , 2016 ) . `` Monday cable ratings : ' WWE Raw ' wins the night '' . TV by the Numbers . Archived from the original on March 9 , 2016 . Retrieved March 9 , 2016 .   Jump up ^ Welch , Alex ( May 17 , 2016 ) . `` Monday cable ratings : ' Love &amp; Hip Hip : Atlanta ' rises '' . TV by the Numbers . Archived from the original on May 18 , 2016 . Retrieved May 17 , 2016 .   Jump up ^ `` Bates Motel : Season Four Ratings '' . TV Series Finale . May 17 , 2016 . Archived from the original on May 17 , 2016 . Retrieved May 17 , 2016 .   Jump up ^ Welch , Alex ( February 22 , 2017 ) . `` Monday cable ratings : ' WWE Monday Night Raw ' holds steady , ' Bates Motel ' premieres low '' . TV by the Numbers . Archived from the original on February 23 , 2017 . Retrieved February 22 , 2017 .   Jump up ^ Welch , Alex ( April 25 , 2017 ) . `` Monday cable ratings : ' Bates Motel ' series finale rises , ' WWE Raw ' dips '' . TV by the Numbers . Archived from the original on April 25 , 2017 . Retrieved April 25 , 2017 .   Jump up ^ `` Bates Motel : Season Five Ratings '' . TV Series Finale . May 6 , 2017 . Archived from the original on March 18 , 2017 . Retrieved May 7 , 2016 .   Jump up ^ Lambert , David ( June 27 , 2013 ) . `` Bates Motel -- Season 1 of the Modern ' Psycho ' Re-Imagining on DVD and Blu - ray '' . TV Shows on DVD . Archived from the original on January 11 , 2014 . Retrieved January 11 , 2014 .   Jump up ^ Lambert , David ( July 15 , 2013 ) . `` Bates Motel -- Blu - rays , DVD for Season 2 : Street Date , Pricing , Bonus Material '' . TV Shows on DVD . Archived from the original on July 20 , 2014 . Retrieved July 16 , 2014 .   Jump up ^ Lambert , David ( July 21 , 2015 ) . `` Bates Motel -- Universal Checks in With ' Season 3 ' Announcements on DVD , Blu - ray '' . TV Shows on DVD . Archived from the original on September 21 , 2015 . Retrieved November 23 , 2016 .   Jump up ^ Lambert , David ( July 26 , 2016 ) . `` Bates Motel -- Street Date , Pricing , Extras for ' Season 4 ' on DVD , Blu - ray Disc '' . TV Shows on DVD . Archived from the original on November 1 , 2016 . Retrieved November 23 , 2016 .   Jump up ^ http://www.tvshowsondvd.com/releases/Bates-Motel-Season-5/17481   Jump up ^ Lambert , David ( July 18 , 2017 ) . `` Bates Motel - The Complete Series '' . TV Shows on DVD . Archived from the original on July 18 , 2017 . Retrieved July 18 , 2017 .   Jump up ^ `` FOX8 Secures Highly Anticipated `` Bates Motel '' `` . Foxtel.com . March 20 , 2013 . Archived from the original on April 5 , 2013 . Retrieved April 28 , 2013 .   Jump up ^ `` Universal Channel Sets UK Premiere Date For ' Bates Motel ' '' . TVWise . August 9 , 2013 . Archived from the original on August 16 , 2013 . Retrieved August 23 , 2013 .   Jump up ^ `` January 2015 Programming Highlights '' . OSN.com . Archived from the original on January 14 , 2015 . Retrieved January 11 , 2015 .   Jump up ^ `` Bates Motel : Fri at 21 : 30 '' . MNet . August 9 , 2013 . Archived from the original on December 2 , 2013 .   Jump up ^ `` NBCUniversal Television Consumer Products and Retailer Hot Topic Introduce New Product Line Inspired by the A&amp;E Hit Original Series ' Bates Motel ' '' . The Futon Critic . March 18 , 2014 . Retrieved March 27 , 2014 .    External links ( edit )       Wikiquote has quotations related to : Bates Motel ( TV series )      Official website   Bates Motel on IMDb   Bates Motel at TV.com              Bates Motel     Episodes     Season 1   Season 2   Season 3   Season 4   Season 5       Characters     Norma Louise Bates   Norman Bates   Marion Crane       Related articles     Awards and nominations         Awards for Bates Motel                People 's Choice Award for Favorite Cable TV Drama       Pretty Little Liars ( 2012 )   Leverage ( 2013 )   The Walking Dead ( 2014 )   Pretty Little Liars ( 2015 -- 16 )   Bates Motel ( 2017 )                    Psycho     Novels     Psycho ( 1959 )   Psycho II ( 1982 )   Psycho House ( 1990 )   Psycho : Sanitarium ( 2016 )       Films     Psycho ( 1960 )   Psycho II ( 1983 )   Psycho III ( 1986 )   Psycho ( 1998 )       Television      Films     Bates Motel ( 1987 )   Psycho IV : The Beginning ( 1990 )       Series     Bates Motel ( 2013 -- 17 )          Characters     Norman Bates   Norma Bates   Marion Crane   Lila Crane   Emma Spool       Miscellaneous     Alfred Hitchcock and the Making of Psycho   Hitchcock ( 2012 )   Robert Bloch 's Psychos   The Psycho Legacy ( 2010 )   `` The Murder ''   `` Motorpsycho Nitemare ''   Psycho : Music from and Inspired by the Motion Picture       Psycho               Robert Bloch     Novels     Psycho   American Gothic   Psycho II   Night of the Ripper   Psycho House       Short story collections     The Opener of the Way   Pleasant Dreams : Nightmares   The Early Fears   Flowers from the Moon and Other Lunacies       Short stories     `` That Hell - Bound Train ''   `` The Shambler from the Stars ''   `` A Toy for Juliette ''       Screenplays     The Cabinet of Caligari   Strait - Jacket   The Night Walker   The Skull   The Psychopath   Torture Garden   The Deadly Bees   The House That Dripped Blood   Asylum       Teleplays     `` What Are Little Girls Made Of ? ''   `` Wolf in the Fold ''   `` Catspaw ''   `` The Sorcerer 's Apprentice ''   The Dead Do n't Die   The Return of Captain Nemo       Adaptations     Psycho ( 1960 )   Psycho ( 1998 )   Bates Motel ( 2013 -- 2017 )       Anthologies edited     Robert Bloch 's Psychos       Related Articles     De Vermis Mysteriis   `` Out of the Aeons ''   The Prowler in the City at the Edge of the World   Robert Harrison Blake   Star vampire                 Carlton Cuse     Creator     The Adventures of Brisco County , Jr. ( 1993 - 1994 )   Nash Bridges ( 1996 - 2001 )   Martial Law ( 1998 - 2000 )   Bates Motel ( 2013 - 2017 )   The Returned ( 2015 )   Colony ( 2016 - )       Showrunner and Producer     Lost ( 2004 -- 2010 )   The Strain ( 2014 -- 17 )       Writer     San Andreas ( 2015 )   Rampage ( 2018 )                 A&amp;E original programming     Former      1980s debuts     An Evening at the Improv ( 1982 -- 96 )   Caroline 's Comedy Hour ( 1989 -- 95 )       1990s debuts     Agatha Christie 's Poirot ( 1990 -- 2004 )   America 's Castles ( 1998 -- 2005 )   American Justice ( 1992 -- 2005 )   Ancient Mysteries ( 1994 -- 98 )   Breakfast with the Arts ( 1991 -- 2007 )   City Confidential ( 1998 -- 2005 )   Live by Request ( 1996 -- 2004 )   Mysteries of the Bible ( 1994 -- 98 )       2000s debuts     100 Centre Street ( 2001 -- 02 )   Airline ( 2004 -- 05 )   The Andromeda Strain ( 2008 )   Bearing Witness ( 2005 )   The Beast ( 2009 -- 10 )   Big Spender ( 2006 )   Billy the Exterminator ( 2009 -- 12 )   The Cleaner ( 2008 -- 09 )   Committed ( 2004 -- 05 )   Confessions of a Matchmaker ( 2007 -- 08 )   Crime 360 ( 2008 -- 09 )   Criss Angel Mindfreak ( 2005 -- 10 )   Dallas SWAT / Detroit SWAT ( 2006 -- 07 )   Dog the Bounty Hunter ( 2004 -- 12 )   Driving Force ( 2006 -- 07 )   Family Plots ( 2004 -- 05 )   Fatherhood ( 2005 -- 06 )   Flip This House ( 2005 -- 09 )   Gene Simmons Family Jewels ( 2006 -- 12 )   God or the Girl ( 2006 )   Hoarders ( 2009 -- 16 )   Inked ( 2005 -- 06 )   The Jacksons : A Family Dynasty ( 2009 -- 10 )   King of Cars ( 2006 -- 07 )   Manhunters : Fugitive Task Force ( 2008 )   Move This House ( 2005 -- 07 )   A Nero Wolfe Mystery ( 2001 -- 02 )   Obsessed ( 2009 -- 10 )   Paranormal State ( 2007 -- 11 )   Parking Wars ( 2008 -- 12 )   Private Sessions ( 2007 -- 11 )   Psychic Kids ( 2008 -- 10 )   Rollergirls ( 2006 )   Rookies ( 2008 -- 09 )   Sell This House ( 2003 -- 11 )   Sons of Hollywood ( 2007 )   Steven Seagal : Lawman ( 2009 -- 10 )   Tattoo Highway ( 2009 )   The Two Coreys ( 2007 -- 08 )   We Mean Business ( 2008 )       2010s debuts     8 Minutes ( 2015 )   American Hoggers ( 2011 -- 13 )   Bad Ink ( 2013 -- 14 )   Barry 'd Treasure ( 2014 )   Barter Kings ( 2012 -- 13 )   Bates Motel ( 2013 -- 17 )   Be the Boss ( 2012 )   Beyond Scared Straight ( since 2011 )   Brandi &amp; Jarrod : Married to the Job ( 2014 )   Breakout Kings ( 2011 -- 12 )   Cajun Justice ( 2012 )   Coma ( 2012 )   Country Bucks ( 2014 -- 15 )   Damien ( 2016 )   Duck Dynasty ( 2012 -- 2017 )   The First 48 : Missing Persons ( 2011 -- 13 )   Flipped Off ( 2012 )   Flipping Vegas ( 2011 -- 14 )   The Glades ( 2010 -- 13 )   The Governor 's Wife ( 2013 )   Growing Up Twisted ( 2010 )   Heavy ( 2011 )   The Killer Speaks ( 2013 )   Kirstie Alley 's Big Life ( 2010 )   Longmire ( 2012 -- 14 )   Modern Dads ( 2013 )   Panic 911 ( 2012 -- 13 )   Paranormal Cops ( 2010 )   Relapse ( 2011 )   The Returned ( 2015 )   Shipping Wars ( 2012 - 15 )   Southie Rules ( 2013 )   Storage Wars : New York ( 2013 -- 14 )   Storage Wars : Texas ( 2011 -- 14 )   Teach : Tony Danza ( 2010 )   Those Who Kill ( 2014 )   Unforgettable ( 2015 - 16 )          Current     Akil the Fugitive Hunter ( since 2017 )   Behind Bars : Rookie Year ( since 2015 )   Big S</t>
  </si>
  <si>
    <t xml:space="preserve">who plays norman bates in the tv show</t>
  </si>
  <si>
    <t xml:space="preserve"> Freddie Highmore as Norman Bates </t>
  </si>
  <si>
    <t xml:space="preserve">Left - and right - hand traffic - wikipedia  Left - and right - hand traffic  Jump to : navigation , search Countries by handedness of traffic , c. 2017 Right - hand traffic Left - hand traffic Change of traffic directions at the Thai -- Lao Friendship Bridge  The terms left - hand traffic ( LHT ) and right - hand traffic ( RHT ) refer to regulations requiring all bidirectional traffic , unless otherwise directed , to keep to the left side or to the right side of the road , respectively . This is so fundamental to traffic flow that it is sometimes referred to as the rule of the road .   One hundred and sixty - three countries and territories use RHT , with the remaining seventy - six countries and territories using LHT . Countries that use LHT account for about a sixth of the world 's area and a quarter of its roads . In the early 1900s some countries including Canada , Spain , and Brazil had different rules in different parts of the country . During the 1900s many countries standardised within their jurisdictions , and changed from LHT to RHT , mostly to conform with regional custom . In 1919 , 104 of the world 's territories were LHT and an equal number were RHT . From 1919 to 1986 , 34 of the LHT territories switched to RHT .   Many of the countries with LHT are former British colonies in the Caribbean , Southern Africa , Southeast Asia , South Asia , Australia , and New Zealand . Japan , Thailand , Nepal , Bhutan , Mozambique , Suriname , East Timor , and Indonesia are among those LHT countries outside the former British Empire . In Europe , only four countries still drive on the left : the United Kingdom , Ireland , Malta , and Cyprus , all of which are on islands that have no direct road connections with countries driving on the right .   Nearly all countries use one side or the other throughout their entire territory . Most exceptions are due to historical considerations and / or involve islands with no road connection to the main part of a country . China is RHT except the Special Administrative Regions of China of Hong Kong and Macau . The United States is RHT except the United States Virgin Islands . The United Kingdom is LHT , but its overseas territories of Gibraltar and British Indian Ocean Territory are RHT .   According to the International Regulations for Preventing Collisions at Sea , water traffic is RHT . For aircraft the US Federal Aviation Regulations provide for passing on the right , both in the air and on water .   On a double - track railways , rail traffic generally runs to one side of a line , not always the same side as road traffic . Thus in Belgium , China , France ( apart from the former German Alsace and Lorraine ) , Sweden ( apart from Malmö and further south ) , Switzerland and Italy for example , the railways use LHT , while the roads use RHT , often because of the influence of the British on early railway systems . In countries such as Indonesia , it is the reverse ( RHT for railways and LHT for roads ) . Light rail vehicles generally operate on the same side as road traffic in a country .   There is no technical reason to prefer one side over the other . In healthy populations , traffic safety is thought to be the same regardless of handedness , although some researchers have speculated that LHT may be safer for ageing populations since humans are more commonly right - eye dominant than left - eye dominant .   Contents    1 History   1.1 Changing sides   1.1. 1 Europe   1.1. 2 Asia and the Pacific   1.1. 3 Africa       2 Changing sides at borders   3 Road vehicle configurations   3.1 Driver seating position   3.2 Headlamps and other lighting equipment   3.2. 1 Rear fog lamps     3.3 Crash Testing differences     4 Worldwide distribution by country   5 Traffic behaviour   6 Gallery   7 See also   8 References   9 External links    History ( edit )  Left - hand traffic in Vienna , Austria circa 1930 .  Ancient Greek , Egyptian , and Roman troops kept to the left when marching . In 1998 , archaeologists found a well - preserved double track leading to a Roman quarry near Swindon , in southern England . The grooves in the road on the left side ( viewed facing down the track away from the quarry ) were much deeper than those on the right side , suggesting LHT , at least at this location , since carts would exit the quarry heavily loaded , and enter it empty .   The first reference in English law to an order for LHT was in 1756 , with regard to London Bridge .  Hong Kong drives on the left . Mainland China drives on the right .  Some historians , such as C. Northcote Parkinson , believed that ancient travellers on horseback or on foot generally kept to the left , since most people were right handed . If two men riding on horseback were to start a fight , each would edge toward the left . In the year 1300 , Pope Boniface VIII directed pilgrims to keep left .   In the late 1700s , traffic in the United States was RHT based on teamsters ' use of large freight wagons pulled by several pairs of horses . The wagons had no driver 's seat , so the ( typically right - handed ) postilion held his whip in his right hand and thus sat on the left rear horse . Seated on the left , the driver preferred that other wagons pass him on the left so that he could be sure to keep clear of the wheels of oncoming wagons .   In France , traditionally foot traffic had kept right , while carriage traffic kept left . Following the French Revolution , all traffic kept right . Following the Napoleonic Wars , the French imposed RHT on parts of Europe . During the colonial period , RHT was introduced by the French in New France , French West Africa , the Maghreb , French Indochina , the West Indies , French Guiana and the Réunion , among others .   Meanwhile , LHT was introduced by the British in Atlantic Canada , Australia , New Zealand , the East Africa Protectorate , British India , Southern Rhodesia and the Cape Colony ( now Zimbabwe and South Africa ) , British Malaya ( now Malaysia , Brunei and Singapore ) , British Guiana , and British Hong Kong . LHT was also introduced by the Portuguese Empire in Portuguese Macau , Colonial Brazil , East Timor , Portuguese Mozambique , and Angola .   The first keep - right law for driving in the United States was passed in 1792 and applied to the Philadelphia and Lancaster Turnpike . New York formalized RHT in 1804 , New Jersey in 1813 and Massachusetts in 1821 .   Changing sides ( edit )  Traffic moves from left to right in Stockholm , Sweden , on 3 September 1967 Europe ( edit )  Influential in Europe was the 1920 Paris Convention , which advised driving on the right - hand side of the road , in order to harmonise traffic across a continent with many borders . This was despite the fact that left - hand traffic was still widespread : in 1915 for example , LHT was introduced everywhere in the Austro - Hungarian Empire . However , three years later the Empire was split up into several countries , and they all changed eventually to RHT , notably including when Nazi Germany introduced RHT with almost immediate effect in Czechoslovakia in 1938 - 39 .   Sweden was LHT from about 1734 to 1967 , despite having land borders with RHT countries , and approximately 90 percent of cars being left - hand drive ( LHD ) vehicles . A referendum was held in 1955 , with an overwhelming majority voting against a change to RHT . Nevertheless , some years later the government ordered a conversion , which took place at 5 am on Sunday , 3 September 1967 . The accident rate dropped sharply after the change , but soon rose back to near its original level . The day was known as Dagen H ( `` H - Day '' ) , the ' H ' being for Högertrafik ( `` right traffic '' ) . When Iceland switched the following year , it was known as H - dagurinn , again meaning `` H - Day '' .   In the late 1960s , the UK Department for Transport considered switching to RHT , but declared it unsafe and too costly for such a built - up nation . Road building standards , for motorways in particular , allow asymmetrically designed road junctions , where merge and diverge lanes differ in length .  Asia and the Pacific ( edit )  China adopted RHT in 1946 . Taiwan changed to driving on the right at the same time . Hong Kong and Macau continue to be LHT .   Both North Korea and South Korea switched to RHT in September 1945 after liberation from Japan which was defeated and surrendered by the Allies .   Myanmar switched to RHT in 1970 .   Samoa , a former German colony , had been RHT for more than a century . It switched to LHT in 2009 , being the first territory in almost 30 years to switch . The move was legislated in 2008 to allow Samoans to use cheaper right hand drive ( RHD ) vehicles imported from Australia , New Zealand or Japan , and to harmonise with other South Pacific nations . A political party , The People 's Party , was formed to try to protest against the change , a protest group which launched a legal challenge , and an estimated 18,000 people attending demonstrations against it . The motor industry was also opposed , as 14,000 of Samoa 's 18,000 vehicles are designed for RHT and the government has refused to meet the cost of conversion . After months of preparation , the switch from right to left happened in an atmosphere of national celebration . There were no reported incidents . At 05 : 50 local time , Monday 7 September , a radio announcement halted traffic , and an announcement at 6 : 00 ordered traffic to switch to LHT . The change coincided with more restrictive enforcement of speeding and seat - belt laws . That day and the following day were declared public holidays , to reduce traffic . The change included a three - day ban on alcohol sales , while police mounted dozens of checkpoints , warning drivers to drive slowly .   The Philippines was mostly LHT during its Spanish and American colonial periods , as well as during the Commonwealth era . During the Japanese occupation the Philippines remained LHT , also because LHT had been required by the Japanese ; but during the Battle of Manila the liberating American forces drove their tanks to the right for easier facilitation of movement . RHT was formally finalised by Executive Order No. 34 signed by President Sergio Osmeña on 10 March 1945 .  Africa ( edit )  A number of non-contiguous former British colonies in West Africa originally drove LHT and switched to RHT in the early 1970s to match the surrounding countries . Sierra Leone switched to RHT in 1971 , Nigeria in 1972 and Ghana in 1974 . Before this period The Gambia , a country entirely contained within RHT Senegal , had officially switched to RHT in 1965 .   Rwanda , a former Belgian colony in central Africa , is RHT but is considering switching to LHT , to bring the country in line with other members of the East African Community ( EAC ) . A survey , carried out in 2009 , indicated that 54 % of Rwandans were in favour of the switch . Reasons cited were the perceived lower costs of RHD vehicles as opposed to LHD versions of the same model , easier maintenance and the political benefit of harmonisation of traffic regulations with other EAC countries . The same survey also indicated that RHD cars are 16 to 49 per cent cheaper than their LHD equivalents . In 2014 an internal report from consultants to the Ministry of Infrastructure recommended a switch to LHT . In 2015 , the ban on RHD vehicles was lifted ; RHD trucks from neighbouring countries cost $1000 less than LHD models imported from Europe .   Changing sides at borders ( edit )  A road sign in the British county of Kent placed on the right - hand side of the road . Border between Sweden and Norway in 1934  While most LHT jurisdictions are on islands , there are cases where vehicles may be driven from LHT across a border into a RHT area .   LHT Thailand has three RHT neighbours : Cambodia , Laos , Myanmar . Most of its borders use a simple traffic light to do the switch , but there are also interchanges which enable the switch while keeping up a continuous flow of traffic .   There are four road border crossing points between Hong Kong and Mainland China . In 2006 , the daily average number of vehicle trips recorded at Lok Ma Chau was 31,100 . The next largest is Man Kam To , where there is no changeover system and the border roads on the mainland side Wenjindu intersect as one - way streets with a main road .   The Takutu River Bridge ( which links LHT Guyana and RHT Brazil ) is the only border in the Americas where traffic changes sides .   Although the United Kingdom is separated from Continental Europe by the English Channel , the level of cross-Channel traffic is very high ; the Channel Tunnel alone carries 3.5 million vehicles per year , by rail , between the UK and France .   Road vehicle configurations ( edit )   Driver seating position ( edit )  Bolivia is RHT , with the exception of Yungas Road which is LHT to help drivers see their outer wheel .  In RHT jurisdictions , vehicles are configured with LHD , with the driver sitting on the left side . In LHT jurisdictions , the reverse is true . The driver 's side , the side closest to the centre of the road , is sometimes called the offside , while the passenger side , the side closest to the side of the road , is sometimes called the nearside .   Historically there was less consistency in the relationship of the position of the driver to the handedness of traffic . Most American cars produced before 1910 were RHD . In 1908 Henry Ford standardised the Model T as LHD in RHT America , arguing that with RHD and RHT , the passenger was obliged to `` get out on the street side and walk around the car '' and that with steering from the left , the driver `` is able to see even the wheels of the other car and easily avoids danger . '' By 1915 other manufacturers followed Ford 's lead , due to the popularity of the Model T .   In specialised cases , the driver will sit on the nearside , or kerbside . Examples include :    Where the driver needs a good view of the nearside , e.g. street sweepers , or vehicles driven along unstable road edges .   Where it is more convenient for the driver to be on the nearside , e.g. delivery vehicles . The Grumman LLV postal delivery truck is widely used with RHD configurations in RHT North America . Some Unimogs are designed to be switch between LHD and RHD to permit operators to work on the more convenient side of the truck .    Generally , the convention is to mount a motorcycle on the left , and kickstands are usually on the left which makes it more convenient to mount on the safer kerbside as is the case in LHT . Some jurisdictions prohibit fitting a sidecar to a motorcycle 's offside .   Headlamps and other lighting equipment ( edit )  Main article : Headlamp Bird 's - eye view of low beam light pattern for RH traffic , with long seeing range on the right and short cutoff on the left so oncoming drivers are not dazzled .  Most low - beam headlamps produce an asymmetrical beam distribution suitable for use on only one side of the road . Low beam headlamps for use in LH - traffic countries throw most of their light forward - leftward ; those for RH - traffic countries throw most of their light forward - rightward , thus illuminating obstacles and road signs an adequate distance ahead on the driver 's own side of the road while limiting glare to oncoming traffic on the other side of the road .   Within Europe , headlamps designed and approved for use on one side of the road must be adaptable to produce adequate illumination with controlled glare for temporarily driving on the other side of the road , as for example on holiday or in transit . This adaptation may be achieved by affixing masking strips or prismatic lenses to a designated part of the lens or by moving all or part of the headlamp optic so all or part of the beam is shifted or the asymmetrical portion is occluded . Some varieties of the projector - type headlamp can be fully adjusted to produce a proper LH - or RH - traffic beam by shifting a lever or other movable element in or on the lamp assembly . Some vehicles adjust the headlamps automatically when the car 's GPS detects that the vehicle has moved from LH to RH traffic or vice versa .  Headlamp sold in Sweden not long before Dagen H change from left - to right - hand traffic . Opaque decal blocks lens portion that would provide low beam upkick to the right , and bears warning `` Not to be removed before 3 September 1967 '' .  Because blackout strips and adhesive prismatic lenses reduce the safety performance of the headlamps , most countries require all vehicles registered or used on a permanent or semi-permanent basis within the country to be equipped with headlamps designed for the correct traffic - handedness .   Without sidecars attached , motorcycles , motor scooters , mopeds , and bicycles are almost symmetric with their handlebars in the centre . However , motorcycles are often equipped with automotive - type asymmetrical - beam headlamps that likewise require adjustments or replacement when brought into a country with opposite traffic - handedness .  Rear fog lamps ( edit )  Within the European Union , vehicles must be equipped with one or two rear - facing red rear fog lamps . A single rear fog lamp must be located between the vehicle 's longitudinal centreline and the outer extent of the driver 's side of the vehicle . When importing a vehicle to a country which drives on the opposite side of the road , this sometimes requires the purchase and installation of local - market lighting components .   Crash testing differences ( edit )   Some crash test results indicate that the RHD variant of a vehicle primarily developed for a LHD country may not protect the driver as well as the LHD variant , although differences in testing methodology could also cause the results to vary .   One of the possible causes of this difference in crash test results is the RHD variant will not be an exact mirror image of the LHD variant . The number of differences in chassis , bodywork and parts needed to produce the RHD variant will be minimised to reduce the cost . The RHD vehicle is usually a variant of the LHD markets , due to potentially lower sales volumes of the RHD variant . When minimising the changes needed for the RHD variant , there is a possibility that key strengthening structures that would protect the driver in a crash may not be transferred to the driver side in the RHD variant . ( There are no easily reference - able sources for LHD variant performing less well in crash testing than the RHD variant where the vehicle is primarily manufactured for / in RHD markets ) .   It is commonplace in Europe for only the LHD variant of a vehicle to be tested under the Euro NCAP crash testing scheme , although the result will be used in the promotion of the RHD variant in European countries which operate LHT .   Worldwide distribution by country ( edit )   Of the 193 countries currently recognised by the United Nations ( and the unrecognised Palestine ) , 140 use RHT and 54 use LHT . A country and its territories and dependencies is counted once .     Country   Road traffic   Road switched sides   Multi-track rail traffic generally   Notes     Afghanistan   RHT     RHT / LHT   Was LHT until the 1950s , in line with neighbouring British Raj and later Pakistan .     Albania   RHT     RHT       Algeria   RHT     RHT       Andorra   RHT           Angola   RHT   1928         Antigua and Barbuda   LHT           Argentina   RHT   10 June 1945   LHT   The anniversary on 10 June is still observed each year as Día de la Seguridad Vial ( road safety day ) . The Metrotranvía Mendoza uses RHT .     Armenia   RHT     RHT       Australia   LHT     LHT   Commonwealth . Includes Christmas Island , Cocos Islands , Norfolk Island     Austria   RHT   1921 in Vorarlberg , 1930 in North Tyrol , 1935 in Carinthia and East Tyrol , 1938 in the rest of the country .   RHT   Originally LHT , like most of former Austria - Hungary .     Azerbaijan   RHT     RHT       Bahamas   LHT       In Bahamas LHD vehicles are common due to the import of used cars from nearby USA .     Bahrain   RHT   1967     Former British protectorate . Switched to same side as neighbours .     Bangladesh   LHT     LHT       Barbados   LHT           Belgium   RHT   1899   LHT   The Brussels Metro uses RHT .     Belarus   RHT     RHT       Belize   RHT   1961     Former British colony . Switched to same side as neighbours .     Benin   RHT           Bhutan   LHT       Under British protection before 1949 .     Bolivia   RHT           Botswana   LHT           Brazil   RHT   1928   RHT   A Portuguese colony until the early 19th century , switched some states still using LHT to RHT in 1928 . Most metro systems use RHT .     Brunei   LHT           Bosnia and Herzegovina   RHT     RHT   Switched sides after the collapse of Austria - Hungary .     Bulgaria   RHT     RHT       Burkina Faso   RHT           Burundi   RHT       Considering switching to LHT in line with neighbours Tanzania , Kenya and Uganda .     Cambodia   RHT       RHT implemented while part of French Indochina . RHD cars , many of which were smuggled from Thailand , were banned from 2001 , even though they accounted for 80 % of vehicles in the country .     Cameroon   RHT   1961         Canada   RHT   1920s   RHT   Territories now in Canada have always been RHT , except British Columbia , which changed to RHT in stages from 1920 to 1923 , and New Brunswick , Nova Scotia , and Prince Edward Island which changed in 1922 , 1923 , and 1924 respectively . Newfoundland and Labrador changed to RHT in 1947 while still a dominion of the British Empire , two years before joining Canada .     Cape Verde   RHT   1928         Central African Republic   RHT           Chad   RHT           Chile   RHT   1916   LHT   The Santiago Metro uses RHT .     China   RHT   1946   RHT / LHT   At one time , northern provinces were RHT due to American influence , while southern provinces were LHT due to British influence . LHT was uniform in the 1930s . Hong Kong and Macau are all on LHT .     Colombia   RHT     RHT       Comoros   RHT           Congo   RHT           Democratic Republic of Congo   RHT           Costa Rica   RHT           Côte d'Ivoire   RHT           Croatia   RHT     RHT   Istria and Dalmatia were RHT , while Croatia - Slavonia was LHT when Croatia was part of Austria - Hungary . The LHT regions switched to RHT on joining the Kingdom of Yugoslavia .     Cuba   RHT           Cyprus   LHT       Former British colony .     Czech Republic   RHT   1939   RHT   Was LHT , like most of former Austria - Hungary , switched during the German occupation of Czechoslovakia .     Denmark   RHT     RHT   Includes Faroe Islands and Greenland     Djibouti   RHT           Dominica   LHT       Former British colony .     Dominican Republic   RHT           East Timor   LHT   1976     Originally LHT , like its colonial power Portugal . Switched to RHT with Portugal in 1928 . Under the Indonesian occupation of East Timor , changed back to LHT in 1976 .     Ecuador   RHT     LHT   The Quito Metro and Cuenca tram system will use RHT     Egypt   RHT     LHT   Road vehicles are RHT due to French influence , but railway system was built by British companies .     El Salvador   RHT           Equatorial Guinea   RHT           Eritrea   RHT   1964         Estonia   RHT     RHT       Ethiopia   RHT   1964   LHT   The Addis Ababa Light Rail runs on the right .     Fiji   LHT           Finland   RHT   1858   RHT / LHT   Formerly ruled by LHT Sweden , switched to RHT as the Grand Duchy of Finland by Russian decree . Majority of Helsinki commuter rail uses LHT .     France   RHT   1792   LHT / RHT   Includes French Polynesia , New Caledonia , Saint Pierre and Miquelon , Wallis and Futuna , French Guiana , Réunion , Saint Barthélemy , Collectivity of Saint Martin , Guadeloupe , Mayotte . Railways in Alsace and Lorraine use RHT as a former part of German Empire . CDGVAL uses RHT . Most metro systems use RHT , except for the Lyon Metro .     Gabon   RHT           Gambia   RHT   1965         Georgia   RHT     RHT   About 40 % vehicles in Georgia are RHD due to low cost of used cars from Japan .     Germany   RHT     RHT       Ghana   RHT       Former British colony . When changing to RHT a Twi language slogan was `` Nifa , Nifa Enan '' or `` Right , Right , Fourth '' .     Greece   RHT     RHT       Grenada   LHT           Guatemala   RHT           Guinea   RHT           Guinea - Bissau   RHT   1928         Guyana   LHT           Haiti   RHT           Honduras   RHT           Hungary   RHT   1941   RHT   Originally LHT , like most of Austria - Hungary .     Iceland   RHT   1968     The day of the switch was known as H - dagurinn . Most passenger cars were already LHD .     Iran   RHT     RHT       Iraq   RHT     LHT       India   LHT     LHT   Former British colony .     Indonesia   LHT     RHT   The Jakarta MRT will use LHT .     Ireland   LHT     LHT   Former British Dominion .     Israel   RHT     LHT   The Jerusalem Light Rail uses RHT .     Italy   RHT   1920s   LHT   Until 1927 the countryside was RHT while cities were LHT . Rome changed to RHT in 1924 and Milan in 1926 . Alfa Romeo and Lancia did not produce LHD cars until as late as 1950 and 1953 respectively , as many drivers favoured the RHD layout even in RHT as this offered the driver a clearer view of the edge of the road in mountainous regions at a time when many such roads lacked barriers or walls . The metro systems in Brescia , Genoa , Milan , and Turin use RHT , as well as all tram systems .     Jamaica   LHT           Japan   LHT     LHT   Post-World War II Okinawa was ruled by the United States Civil Administration of the Ryukyu Islands and was RHT . It was returned to Japan in 1972 went LHT in 1978 . The conversion operation was known as 730 ( Nana - San - Maru , which means Nana ( 7 ) - San ( 3 ) - Maru ( 0 ) ) . Okinawa is one of few places to have changed from RHT to LHT in the late 20th century .     Jordan   RHT       RHT , despite the Mandate for Palestine and the Transjordan memorandum being under British rule till 1946 .     Kazakhstan   RHT     RHT       Kenya   LHT       British colony until 1963 .     Kiribati   LHT           North Korea and South Korea   RHT   1946   LHT   Korea had been LHT because of the influence of Japan in the 1900s . Switched to RHT under Soviet and American occupation after 1945 . Most metro systems in South Korea use RHT ( exceptions include Seoul Subway Line 1 and the Bundang Line ) ; metro system in Pyongyang uses a mixture of RHT and LHT .     Kuwait   RHT           Kyrgyzstan   RHT     RHT   Former part of RHT Soviet Union . In 2012 , over 20,000 cheaper used RHD cars were imported from Japan .     Laos   RHT     LHT   RHT implemented while part of French Indochina .     Latvia   RHT     RHT       Lebanon   RHT       Former French mandate .     Lesotho   LHT           Liberia   RHT           Libya   RHT           Liechtenstein   RHT     RHT       Lithuania   RHT     RHT       Luxembourg   RHT     RHT       Macedonia   RHT     RHT       Madagascar   RHT           Malawi   LHT           Malaysia   LHT     LHT   Former British colony .     Maldives   LHT           Mali   RHT           Malta   LHT       British colony until 1964 .     Marshall Islands   RHT           Mauritania   RHT       Mining roads between Fdérik and Zouérat are LHT .     Mauritius   LHT       Former British colony . Island nation .     Mexico   RHT     RHT       Micronesia   RHT           Moldova   RHT     RHT       Monaco   RHT     LHT       Mongolia   RHT     RHT       Montenegro   RHT     RHT       Morocco   RHT     RHT       Mozambique   LHT     LHT       Myanmar   RHT   1970   LHT   Much of infrastructure still geared to LHT , most cars are pre-owned RHD vehicles , imported from Japan .     Netherlands   RHT   1906   RHT   Rotterdam was LHT until 1917 . Includes Curaçao , Sint Maarten , and Aruba     Namibia   LHT   1918     RHT as a German colony . After South Africa occupied German South - West Africa during World War I , switched to LHT . South - West Africa was made a South African mandate by the League of Nations , and the new rule of the road was established in law .     Nauru   LHT   1918         Nepal   LHT           New Zealand   LHT     LHT   Includes territories Niue and Cook Islands     Nicaragua   RHT           Niger   RHT           Nigeria   RHT   1972   LHT   Former British colony . Switched to RHT as it is surrounded by former French RHT colonies .     Norway   RHT     RHT       Oman   RHT       Not a party to the Vienna Convention on Road Traffic and bans all foreign - registered RHD vehicles .     Palau   RHT     RHT       Palestine   RHT           Pakistan   LHT     LHT       Panama   RHT   1943         Papua New Guinea   LHT           Paraguay   RHT   1945         Peru   RHT     LHT       Philippines   RHT   1946   RHT   LHT up until the Battle of Manila in 1945     Poland   RHT     RHT   Partitions of Poland belonging to the German Empire and the Russian Empire were RHT . Partitions that were part of Austria - Hungary were LHT and changed to RHT in the 1920s .     Portugal   RHT   1928   LHT   Colonies Goa , Macau and Mozambique , which had land borders with LHT countries , did not switch and continue to drive on the left . The Porto Metro uses RHT .     Qatar   RHT           Romania   RHT     RHT       Russia   RHT     RHT   In the Russian Far East RHD vehicles are common due to the import of used cars from nearby Japan . Railway between Moscow and Ryazan is LHT . Sormovskaya line in Nizhny Novgorod Metro also uses LHT .     Rwanda   RHT       Former Belgian mandate . Considering switching to LHT like its neighbours Tanzania , Kenya and Uganda .     Saint Kitts and Nevis   LHT           Saint Lucia   LHT           Saint Vincent and the Grenadines   LHT           Samoa   LHT   2009     Switched to LHT to allow the import of cars more cheaply from Australia , New Zealand and Japan .     San Marino   RHT           São Tomé and Príncipe   RHT   1928         Saudi Arabia   RHT     LHT   The Makkah Metro uses RHT .     Senegal   RHT           Serbia   RHT     RHT   Vojvodina was LHT while part of Austria - Hungary .     Seychelles   LHT           Sierra Leone   RHT   1971     Importation of RHD vehicles was banned in 2013 .     Singapore   LHT     LHT   Former British colony .     Slovakia   RHT   1939 -- 41   RHT       Slovenia   RHT     LHT       Solomon Islands   LHT           Somalia   RHT   1968         South Africa   LHT     LHT   Former British colony .     South Sudan   RHT   1973     Was LHT during the period of British colonial rule . Split from Sudan in 2011 after the majority of the population voted for independence .     Spain   RHT   1924   RHT   Up to the 1920s Barcelona was RHT , and Madrid was LHT until 1924 . The Madrid and Bilbao metro systems use LHT .     Sri Lanka   LHT     LHT   Former British Colony .     Sudan   RHT   1973     Former British Colony .     Suriname   LHT           Swaziland   LHT           Sweden   RHT   3 September 1967   LHT   The day of the switch was known as Dagen H. Most passenger cars were already LHD . The tram systems in Gothenburg and Norrköping use RHT ; the tram system in Stockholm is mostly RHT but some LHT . The railways in Malmö uses RHT due to the connection to Denmark .     Switzerland   RHT     LHT   The tram system in Zurich and the Lausanne Metro use RHT .     Syria   RHT           Taiwan   RHT   1946   LHT   Was LHT during the period of Japanese rule . The government of the Republic of China changed Taiwan to RHT in 1946 along with the rest of China . Most metro systems use RHT .     Tajikistan   RHT     RHT       Tanzania   LHT           Thailand   LHT     LHT   One of the few LHT countries not a former British colony . Shares long land border with RHT Laos and Cambodia .     Togo   RHT           Tonga   LHT           Trinidad and Tobago   LHT       Former British colony .     Tunisia   RHT     LHT   French RHT was enforced in the French protectorate of Tunisia from 1881 .     Turkey   RHT     RHT       Turkmenistan   RHT     RHT       Tuvalu   LHT           Uganda   LHT           Ukraine   RHT   1922   RHT   West Ukraine was LHT , like most of former Austria - Hungary . Carpathian Ruthenia remained LHT as part of Czechoslovakia before switching in 1941 as part of Hungary . The rest of Ukraine , having been part of the Russian Empire , already drove on the right . Some sections of Kryvyi Rih Metrotram use LHT due to tramcars have doors only on right side , which makes it impossible to use RHT at stations with island platforms .     United Arab Emirates   RHT     RHT</t>
  </si>
  <si>
    <t xml:space="preserve">when did usa start driving on the right</t>
  </si>
  <si>
    <t xml:space="preserve"> In the late 1700s , traffic in the United States was RHT based on teamsters ' use of large freight wagons pulled by several pairs of horses . The wagons had no driver 's seat , so the ( typically right - handed ) postilion held his whip in his right hand and thus sat on the left rear horse . Seated on the left , the driver preferred that other wagons pass him on the left so that he could be sure to keep clear of the wheels of oncoming wagons . </t>
  </si>
  <si>
    <r>
      <rPr>
        <sz val="11"/>
        <color rgb="FF000000"/>
        <rFont val="Calibri"/>
        <family val="0"/>
        <charset val="1"/>
      </rPr>
      <t xml:space="preserve">Central nervous system - wikipedia  Central nervous system  Jump to : navigation , search    Central Nervous System     Schematic diagram showing the central nervous system in yellow , peripheral in orange     Details     Lymph   224     Identifiers     Latin   Systema nervosum centrale pars centralis systematis nervosi     Acronym ( s )   CNS     MeSH   D002490     TA   A14. 1.00. 001     FMA   55675     Anatomical terminology ( edit on Wikidata )     The central nervous system ( CNS ) is the part of the nervous system consisting of the brain and spinal cord . The central nervous system is so named because it integrates information it receives from , and coordinates and influences the activity of , all parts of the bodies of bilaterally symmetric animals -- that is , all multicellular animals except sponges and radially symmetric animals such as jellyfish -- and it contains the majority of the nervous system . Many consider the retina and the optic nerve ( cranial nerve II ) , as well as the olfactory nerves ( cranial nerve I ) and olfactory epithelium as parts of the CNS , synapsing directly on brain tissue without intermediate ganglia . As such , the olfactory epithelium is the only central nervous tissue in direct contact with the environment , which opens up for therapeutic treatments . The CNS is contained within the dorsal body cavity , with the brain housed in the cranial cavity and the spinal cord in the spinal canal . In vertebrates , the brain is protected by the skull , while the spinal cord is protected by the vertebrae . The brain and spinal cord are both enclosed in the meninges . In central nervous systems , the interneuronal space is filled with a large amount of supporting non-nervous cells called neuroglial cells .     Contents  ( hide )   1 Structure   1.1 White and gray matter   1.2 Spinal cord   1.2. 1 Cranial nerves     1.3 Brain   1.3. 1 Brainstem   1.3. 2 Cerebellum   1.3. 3 Diencephalon   1.3. 4 Cerebrum     1.4 Difference from the peripheral nervous system     2 Development   2.1 Evolution   2.1. 1 Planaria   2.1. 2 Arthropoda   2.1. 3 Chordata   2.1. 3.1 Mammals         3 Clinical significance   3.1 Diseases     4 References   5 External links      Structure ( edit )  Main article : Neuroanatomy  The central nervous system consists of the two major structures : the brain and spinal cord . The brain is encased in the skull , and protected by the cranium . The spinal cord is continuous with the brain and lies caudally to the brain , and is protected by the vertebrae . The spinal cord reaches from the base of the skull , continues through or starting below the foramen magnum , and terminates roughly level with the first or second lumbar vertebra , occupying the upper sections of the vertebral canal .   White and gray matter ( edit )  Main articles : Gray matter and White matter Dissection of a brain with labels showing the clear division between white and gray matter .  Microscopically , there are differences between the neurons and tissue of the central nervous system and the peripheral nervous system . The central nervous system is divided in white and gray matter . This can also be seen macroscopically on brain tissue . The white matter consists of axons and oligodendrocytes , while the gray matter consists of neurons and unmyelinated fibers . Both tissues include a number of glial cells ( although the white matter contains more ) , which are often referred to as supporting cells of the central nervous system . Different forms of glial cells have different functions , some acting almost as scaffolding for neuroblasts to climb during neurogenesis such as bergmann glia , while others such as microglia are a specialized form of macrophage , involved in the immune system of the brain as well as the clearance of various metabolites from the brain tissue . Astrocytes may be involved with both clearance of metabolites as well as transport of fuel and various beneficial substances to neurons from the capillaries of the brain . Upon CNS injury astrocytes will proliferate , causing gliosis , a form of neuronal scar tissue , lacking in functional neurons .   The brain ( cerebrum as well as midbrain and hindbrain ) consists of a cortex , composed of neuron - bodies constituting gray matter , while internally there is more white matter that form tracts and commissures . Apart from cortical gray matter there is also subcortical gray matter making up a large number of different nuclei .   Spinal cord ( edit )  Main article : Spinal cord Diagram of the columns and of the course of the fibers in the spinal cord . Sensory synapses occur in the dorsal spinal cord ( above in this image ) , and motor nerves leave through the ventral ( as well as lateral ) horns of the spinal cord as seen below in the image . Different ways in which the central nervous system can be activated without engaging the cortex , and making us aware of the actions . The above example shows the process in which the pupil dilates during dim light , activating neurons in the spinal cord . The second example shows the constriction of the pupil as a result of the activation of the Eddinger - Westphal nucleus ( a cerebral ganglion ) .  From and to the spinal cord are projections of the peripheral nervous system in the form of spinal nerves ( sometimes segmental nerves ) . The nerves connect the spinal cord to skin , joints , muscles etc. and allow for the transmission of efferent motor as well as afferent sensory signals and stimuli . This allows for voluntary and involuntary motions of muscles , as well as the perception of senses . All in all 31 spinal nerves project from the brain stem , some forming plexa as they branch out , such as the brachial plexa , sacral plexa etc . Each spinal nerve will carry both sensory and motor signals , but the nerves synapse at different regions of the spinal cord , either from the periphery to sensory relay neurons that relay the information to the CNS or from the CNS to motor neurons , which relay the information out .   The spinal cord relays information up to the brain through spinal tracts through the `` final common pathway '' to the thalamus and ultimately to the cortex .     Schematic image showing the locations of a few tracts of the spinal cord .     Reflexes may also occur without engaging more than one neuron of the central nervous system as in the below example of a short reflex .    Cranial nerves ( edit )  Apart from the spinal cord , there are also peripheral nerves of the PNS that synapse through intermediaries or ganglia directly on the CNS . These 12 nerves exist in the head and neck region and are called cranial nerves . Cranial nerves bring information to the CNS to and from the face , as well as to certain muscles ( such as the trapezius muscle , which is innervated by accessory nerves as well as certain cervical spinal nerves ) .   Two pairs of cranial nerves ; the olfactory nerves and the optic nerves are often considered structures of the central nervous system . This is because they do not synapse first on peripheral ganglia , but directly on central nervous neurons . The olfactory epithelium is significant in that it consists of central nervous tissue expressed in direct contact to the environment , allowing for administration of certain pharmaceuticals and drugs .  A peripheral nerve myelinated by Schwann cells ( left ) and a CNS neuron myelinated by an oligodendrocyte ( right )  Brain ( edit )  Main article : Brain  Rostrally to the spinal cord lies the brain . The brain makes up the largest portion of the central nervous system , and is often the main structure referred to when speaking of the nervous system . The brain is the major functional unit of the central nervous system . While the spinal cord has certain processing ability such as that of spinal locomotion and can process reflexes , the brain is the major processing unit of the nervous system .  Brainstem ( edit ) Main article : Brainstem  The brainstem consists of the medulla , the pons and the midbrain . The medulla can be referred to as an extension of the spinal cord , and its organization and functional properties are similar to those of the spinal cord . The tracts passing from the spinal cord to the brain pass through here .   Regulatory functions of the medulla nuclei include control of the blood pressure and breathing . Other nuclei are involved in balance , taste , hearing and control of muscles of the face and neck .   The next structure rostral to the medulla is the pons , which lies on the ventral anterior side of the brainstem . Nuclei in the pons include pontine nuclei which work with the cerebellum and transmit information between the cerebellum and the cerebral cortex . In the dorsal posterior pons lie nuclei that have to do with breathing , sleep and taste .   The midbrain ( or mesencephalon ) is situated above and rostral to the pons , and includes nuclei linking distinct parts of the motor system , among others the cerebellum , the basal ganglia and both cerebral hemispheres . Additionally parts of the visual and auditory systems are located in the mid brain , including control of automatic eye movements .   The brainstem at large provides entry and exit to the brain for a number of pathways for motor and autonomic control of the face and neck through cranial nerves , and autonomic control of the organs is mediated by the tenth cranial ( vagus ) nerve . A large portion of the brainstem is involved in such autonomic control of the body . Such functions may engage the heart , blood vessels , pupillae , among others .   The brainstem also hold the reticular formation , a group of nuclei involved in both arousal and alertness .  Cerebellum ( edit ) Main article : Cerebellum  The cerebellum lies behind the pons . The cerebellum is composed of several dividing fissures and lobes . Its function includes the control of posture , and the coordination of movements of parts of the body , including the eyes and head as well as the limbs . Further it is involved in motion that has been learned and perfected though practice , and will adapt to new learned movements . Despite its previous classification as a motor structure , the cerebellum also displays connections to areas of the cerebral cortex involved in language as well as cognitive functions . These connections have been shown by the use of medical imaging techniques such as fMRI and PET .   The body of the cerebellum holds more neurons than any other structure of the brain including that of the larger cerebrum ( or cerebral hemispheres ) , but is also more extensively understood than other structures of the brain , and includes fewer types of different neurons . It handles and processes sensory stimuli , motor information as well as balance information from the vestibular organ .  Diencephalon ( edit ) Main articles : Diencephalon , Thalamus , and Hypothalamus  The two structures of the diencephalon worth noting are the thalamus and the hypothalamus . The thalamus acts as a linkage between incoming pathways from the peripheral nervous system as well as the optical nerve ( though it does not receive input from the olfactory nerve ) to the cerebral hemispheres . Previously it was considered only a `` relay station '' , but it is engaged in the sorting of information that will reach cerebral hemispheres ( neocortex ) .   Apart from its function of sorting information from the periphery , the thalamus also connects the cerebellum and basal ganglia with the cerebrum . In common with the aforementioned reticular system the thalamus is involved in wakefullness and consciousness , such as though the SCN .   The hypothalamus engages in functions of a number of primitive emotions or feelings such as hunger , thirst and maternal bonding . This is regulated partly through control of secretion of hormones from the pituitary gland . Additionally the hypothalamus plays a role in motivation and many other behaviors of the individual .  Cerebrum ( edit ) Main articles : Cerebrum , Cerebral cortex , Basal ganglia , Amygdala , and Hippocampus  The cerebrum of cerebral hemispheres make up the largest visual portion of the human brain . Various structures combine to form the cerebral hemispheres , among others : the cortex , basal ganglia , amygdala and hippocampus . The hemispheres together control a large portion of the functions of the human brain such as emotion , memory , perception and motor functions . Apart from this the cerebral hemispheres stand for the cognitive capabilities of the brain .   Connecting each of the hemispheres is the corpus callosum as well as several additional commissures . One of the most important parts of the cerebral hemispheres is the cortex , made up of gray matter covering the surface of the brain . Functionally , the cerebral cortex is involved in planning and carrying out of everyday tasks .   The hippocampus is involved in storage of memories , the amygdala plays a role in perception and communication of emotion , while the basal ganglia play a major role in the coordination of voluntary movement .   Difference from the peripheral nervous system ( edit )  A map over the different structures of the nervous systems in the body , showing the CNS , PNS , and ENS .  This differentiates the central nervous system from the peripheral nervous system , which consists of neurons , axons and Schwann cells . Oligodendrocytes and Schwann cells have similar functions in the central and peripheral nervous system respectively . Both act to add myelin sheaths to the axons , which acts as a form of insulation allowing for better and faster proliferation of electrical signals along the nerves . Axons in the central nervous system are often very short ( barely a few millimeters ) and do not need the same degree of isolation as peripheral nerves do . Some peripheral nerves can be over 1m in length , such as the nerves to the big toe . To ensure signals move at sufficient speed , myelination is needed .   The way in which the Schwann cells and oligodendrocytes myelinate nerves differ . A Schwann cell usually myelinates a single axon , completely surrounding it . Sometimes they may myelinate many axons , especially when in areas of short axons . Oligodendrocytes usually myelinate several axons . They do this by sending out thin projections of their cell membrane which envelop and enclose the axon .   Development ( edit )  Top ; CNS as seen in a median section of a 5 week old embryo . Bottom ; CNS seen in a median section of a 3 month old embryo . Main article : Neural development  During early development of the vertebrate embryo , a longitudinal groove on the neural plate gradually deepens and the ridges on either side of the groove ( the neural folds ) become elevated , and ultimately meet , transforming the groove into a closed tube called the neural tube . The formation of the neural tube is called neurulation . At this stage , the walls of the neural tube contain proliferating neural stem cells in a region called the ventricular zone . The neural stem cells , principally radial glial cells , multiply and generate neurons through the process of neurogenesis , forming the rudiment of the central nervous system .   The neural tube gives rise to both brain and spinal cord . The anterior ( or ' rostral ' ) portion of the neural tube initially differentiates into three brain vesicles ( pockets ) : the prosencephalon at the front , the mesencephalon , and , between the mesencephalon and the spinal cord , the rhombencephalon . ( By six weeks in the human embryo ) the prosencephalon then divides further into the telencephalon and diencephalon ; and the rhombencephalon divides into the metencephalon and myelencephalon . The spinal cord is derived from the posterior or ' caudal ' portion of the neural tube .   As a vertebrate grows , these vesicles differentiate further still . The telencephalon differentiates into , among other things , the striatum , the hippocampus and the neocortex , and its cavity becomes the first and second ventricles . Diencephalon elaborations include the subthalamus , hypothalamus , thalamus and epithalamus , and its cavity forms the third ventricle . The tectum , pretectum , cerebral peduncle and other structures develop out of the mesencephalon , and its cavity grows into the mesencephalic duct ( cerebral aqueduct ) . The metencephalon becomes , among other things , the pons and the cerebellum , the myelencephalon forms the medulla oblongata , and their cavities develop into the fourth ventricle .     Diagram depicting the main subdivisions of the embryonic vertebrate brain , later forming forebrain , midbrain and hindbrain .     Development of the neural tube       Central nervous system   Brain   Prosencephalon   Telencephalon    Rhinencephalon , Amygdala , Hippocampus , Neocortex , Basal ganglia , Lateral ventricles      Diencephalon    Epithalamus , Thalamus , Hypothalamus , Subthalamus , Pituitary gland , Pineal gland , Third ventricle      Brain stem   Mesencephalon    Tectum , Cerebral peduncle , Pretectum , Mesencephalic duct      Rhombencephalon   Metencephalon    Pons , Cerebellum      Myelencephalon   Medulla oblongata     Spinal cord     Evolution ( edit )  Top : the lancelet , regarded an archetypal vertebrate , lacking a true brain . Middle : an early vertebrate . Bottom : spindle diagram of the evolution of vertebrates . See also : Encephalization and Archicortex Planaria ( edit )  Planarians , members of the phylum Platyhelminthes ( flatworms ) , have the simplest , clearly defined delineation of a nervous system into a central nervous system ( CNS ) and a peripheral nervous system ( PNS ) . Their primitive brains , consisting of two fused anterior ganglia , and longitudinal nerve cords form the CNS ; the laterally projecting nerves form the PNS . A molecular study found that more than 95 % of the 116 genes involved in the nervous system of planarians , which includes genes related to the CNS , also exist in humans . Like planarians , vertebrates have a distinct CNS and PNS , though more complex than those of planarians .  Arthropoda ( edit )  In arthropods , the ventral nerve cord , the subesophageal ganglia and the supraesophageal ganglia are usually seen as making up the CNS .  Chordata ( edit )  The CNS of chordates differs from that of other animals in being placed dorsally in the body , above the gut and notochord / spine . The basic pattern of the CNS is highly conserved throughout the different species of vertebrates and during evolution . The major trend that can be observed is towards a progressive telencephalisation : the telencephalon of reptiles is only an appendix to the large olfactory bulb , while in mammals it makes up most of the volume of the CNS . In the human brain , the telencephalon covers most of the diencephalon and the mesencephalon . Indeed , the allometric study of brain size among different species shows a striking continuity from rats to whales , and allows us to complete the knowledge about the evolution of the CNS obtained through cranial endocasts .  Mammals ( edit )  Mammals -- which appear in the fossil record after the first fishes , amphibians , and reptiles -- are the only vertebrates to possess the evolutionarily recent , outermost part of the cerebral cortex known as the neocortex . The neocortex of monotremes ( the duck - billed platypus and several species of spiny anteaters ) and of marsupials ( such as kangaroos , koalas , opossums , wombats , and Tasmanian devils ) lack the convolutions -- gyri and sulci -- found in the neocortex of most placental mammals ( eutherians ) . Within placental mammals , the size and complexity of the neocortex increased over time . The area of the neocortex of mice is only about 1 / 100 that of monkeys , and that of monkeys is only about 1 / 10 that of humans . In addition , rats lack convolutions in their neocortex ( possibly also because rats are small mammals ) , whereas cats have a moderate degree of convolutions , and humans have quite extensive convolutions . Extreme convolution of the neocortex is found in dolphins , possibly related to their complex echolocation .   Clinical significance ( edit )   Diseases ( edit )  Main article : Central nervous system disease  There are many central nervous system diseases and conditions , including infections of the central nervous system such as encephalitis and poliomyelitis , early - onset neurological disorders including ADHD and autism , late - onset neurodegenerative diseases such as Alzheimer 's disease , Parkinson 's disease , and essential tremor , autoimmune and inflammatory diseases such as multiple sclerosis and acute disseminated encephalomyelitis , genetic disorders such as Krabbe 's disease and Huntington 's disease , as well as amyotrophic lateral sclerosis and adrenoleukodystrophy . Lastly , cancers of the central nervous system can cause severe illness and , when malignant , can have very high mortality rates . Symptoms depend on the size , growth rate , location and malignancy of tumors and can include alterations in motor control , hearing loss , headaches and changes in cognitive ability and autonomic functioning .   Specialty professional organizations recommend that neurological imaging of the brain be done only to answer a specific clinical question and not as routine screening .   References ( edit )    Jump up ^ Farlex Partner Medical Dictionary , Farlex 2012 .   ^ Jump up to : Purves , Dale ( 2000 ) . Neuroscience , Second Edition . Sunderland , MA : Sinauer Associates . ISBN 9780878937424 .   Jump up ^ `` Medical Subject Headings ( MeSH ) : Optic Nerve '' . National Library of Medicine . Retrieved 28 September 2013 .   ^ Jump up to : Estomih Mtui , M.J. Turlough FitzGerald , Gregory Gruener . Clinical neuroanatomy and neuroscience ( 6th ed . ) . Edinburgh : Saunders . p. 38 . ISBN 978 - 0 - 7020 - 3738 - 2 .   ^ Jump up to : Gizurarson S ( 2012 ) . `` Anatomical and histologica \ ) = \ factors affecting intranasal drug and vaccine delivery '' . Current Drug Delivery . 9 ( 6 ) : 566 -- 582 . doi : 10.2174 / 156720112803529828 . PMC 3480721 . PMID 22788696 .   ^ Jump up to : Maton , Anthea ; Jean Hopkins ; Charles William McLaughlin ; Susan Johnson ; Maryanna Quon Warner ; David LaHart ; Jill D. Wright ( 1993 ) . Human Biology and Health . Englewood Cliffs , New Jersey , USA : Prentice Hall . pp. 132 -- 144 . ISBN 0 - 13 - 981176 - 1 .   ^ Jump up to : Arthur F. Dalley , Keith L. Moore , Anne M.R. Agur ( 2010 ) . Clinically oriented anatomy ( 6th ed. , ( International ed . ) . ed . ) . Philadelphia ( etc . ) : Lippincott Williams &amp; Wilkins , Wolters Kluwer . pp. 48 -- 55,464,700,822,824 , 1075 . ISBN 978 - 1 - 60547 - 652 - 0 .   ^ Jump up to : Kandel ER , Schwartz JH ( 2012 ) . Principles of neural science ( 5 . ed . ) . Appleton &amp; Lange : McGraw Hill . pp. 338 -- 343 . ISBN 978 - 0 - 07 - 139011 - 8 .   ^ Jump up to : Huijzen , R. Nieuwenhuys , J. Voogd , C. van ( 2007 ) . The human central nervous system ( 4th ed . ) . Berlin : Springer . p. 3 . ISBN 978 - 3 - 540 - 34686 - 9 .   Jump up ^ Gilbert , Scott F. ; College , Swarthmore ; Helsinki , the University of ( 2014 ) . Developmental biology ( Tenth ed . ) . Sunderland , Mass. : Sinauer . ISBN 978 - 0878939787 .   Jump up ^ Rakic , P ( October 2009 ) . `` Evolution of the neocortex : a perspective from developmental biology '' . Nature Reviews . Neuroscience. 10 ( 10 ) : 724 -- 35 . doi : 10.1038 / nrn2719 . PMC 2913577 . PMID 19763105 .   Jump up ^ Hickman , Jr. , Cleveland P. ; Larry S. Roberts ; Susan L. Keen ; Allan Larson ; Helen L'Anson ; David J. Eisenhour ( 2008 ) . Integrated Princinples of Zoology : Fourteenth Edition . New York , NY , USA : McGraw - Hill Higher Education . p. 733 . ISBN 978 - 0 - 07 - 297004 - 3 .   Jump up ^ Campbell , Neil A. ; Jane B. Reece ; Lisa A. Urry ; Michael L. Cain ; Steven A. Wasserman ; Peter V. Minorsky ; Robert B. Jackson ( 2008 ) . Biology : Eighth Edition . San Francisco , CA , USA : Pearson / Benjamin Cummings . p. 1065 . ISBN 978 - 0 - 8053 - 6844 - 4 .   Jump up ^ Mineta K , Nakazawa M , Cebria F , Ikeo K , Agata K , Gojobori T ( 2003 ) . `` Origin and evolutionary process of the CNS elucidated by comparative genomics analysis of planarian ESTs '' . PNAS. 100 ( 13 ) : 7666 -- 7671 . doi : 10.1073 / pnas. 1332513100 . PMC 164645 . PMID 12802012 .   Jump up ^ Romer , A.S. ( 1949 ) : The Vertebrate Body . W.B. Saunders , Philadelphia . ( 2nd ed. 1955 ; 3rd ed. 1962 ; 4th ed. 1970 )   ^ Jump up to : Bear , Mark F. ; Barry W. Connors ; Michael A. Paradiso ( 2007 ) . Neuroscience : Exploring the Brain : Third Edition . Philadelphia , PA , USA : Lippincott Williams &amp; Wilkins . pp. 196 -- 199 . ISBN 978 - 0 - 7817 - 6003 - 4 .   Jump up ^ Kent , George C. ; Robert K. Carr ( 2001 ) . Comparative Anatomy of the Vertebrates : Ninth Edition . New York , NY , USA : McGraw - Hill Higher Education . p. 409 . ISBN 0 - 07 - 303869 - 5 .   Jump up ^ American College of Radiology ; American Society of Neuroradiology ( 2010 ) . `` ACR - ASNR practice guideline for the performance of computed tomography ( CT ) of the brain '' . Agency for Healthcare Research and Quality . Reston , VA , USA : American College of Radiology . Retrieved 9 September 2012    External links ( edit )       Wikimedia Commons has media related to Central nervous system .      Overview of the Central Nervous System , Neuroscience Online ( electronic neuroscience textbook )   High - Resolution Cytoarchitectural Primate Brain Atlases   Explaining the human nervous system .   The Department of Neuroscience at Wikiversity   Central nervous system histology              Nervous system     Central nervous system     Meninges   Spinal cord   Brain   Rhombencephalon   Medulla   Pons   Cerebellum     Midbrain   Forebrain   Diencephalon   Retina   Optic nerve     Cerebrum     Limbic system         Peripheral nervous system      Somatic     Sensory nerve   Motor nerve   Cranial nerve   Spinal nerve       Autonomic     Sympathetic   Parasympathetic   Enteric                    Nervous tissue     CNS      Tissue Types     Grey matter   White matter   Projection fibers   Association fiber   Commissural fiber   Lemniscus   Funiculus   Fasciculus   Nerve tract   Decussation   Commissure     Neuropil   Meninges       Cell Types      Neuronal     Pyramidal   Purkinje   Granule       Glial      insulating :     Myelination : Oligodendrocyte       other     Astrocyte   Radial glial cell     Ependymal cells   Tanycyte     Microglia                PNS      General     Dorsal   Root   Ganglion   Ramus     Ventral   Root   Ramus     Ramus communicans   Gray   White     Autonomic ganglion ( Preganglionic nerve fibers   Postganglionic nerve fibers )       Connective tissues     Epineurium   Perineurium   Endoneurium   Nerve fascicle       Neuroglia     Myelination : Schwann cell   Neurilemma   Myelin incisure   Node of Ranvier   Internodal segment     Satellite glial cell          Neurons / nerve fibers      Parts      Soma     Axon hillock       Axon     Telodendron   Axon terminals   Axoplasm   Axolemma   Neurofibril / neurofilament       Dendrite       Nissl body   Dendritic spine   Apical dendrite / Basal dendrite            Types     Bipolar   Unipolar   Pseudounipolar   Multipolar   Interneuron   Renshaw         Afferent nerve fiber / Sensory neuron     GSA   GVA   SSA   SVA   fibers   Ia or Aα   Ib or Golgi or Aα   II or Aβ and Aγ   III or Aδ or fast pain   IV or C or slow pain         Efferent nerve fiber / Motor neuron     GSE   GVE   SVE   Upper motor neuron   Lower motor neuron   α motorneuron   β motorneuron   γ motorneuron            Termination      Synapse     Electrical synapse / Gap junction   Chemical synapse   Synaptic vesicle   Active zone   Postsynaptic density     Autapse   Ribbon synapse   Neuromuscular junction       Sensory receptors     Meissner 's corpuscle   Merkel nerve ending   Pacinian corpuscle   Ruffini ending   Muscle spindle   Free nerve ending   Nociceptor   Olfactory receptor neuron   Photoreceptor cell   Hair cell   Taste bud                GND : 4067637 - 7   NDL : 00989651      Retrieved from `` https://en.wikipedia.org/w/index.php?title=Central_nervous_system&amp;oldid=843023739 '' Categories :   Central nervous system   Neuroscience   Hidden categories :   Pages with unresolved properties   Articles with inconsistent citation formats   All articles with unsourced statements   Articles with unsourced statements from December 2013   Pages using multiple image with manual scaled images   Wikipedia articles with GND identifiers   Use dmy dates from April 2017           Talk                                           Contents                   About Wikipedia                                                 Afrikaans     ܐܪܡܝܐ   অসমীয়া   Asturianu   বাংলা   Bân - lâm - gú   Беларуская   Беларуская ( тарашкевіца ) ‎   Български   Bosanski   Brezhoneg   Català   Čeština   Dansk   Deutsch   ދިވެހިބަސް   Eesti   Ελληνικά   Español   Esperanto   Euskara   فارسی   Français   Galego   </t>
    </r>
    <r>
      <rPr>
        <sz val="11"/>
        <color rgb="FF000000"/>
        <rFont val="Noto Sans CJK SC"/>
        <family val="2"/>
      </rPr>
      <t xml:space="preserve">客家 語 </t>
    </r>
    <r>
      <rPr>
        <sz val="11"/>
        <color rgb="FF000000"/>
        <rFont val="Calibri"/>
        <family val="0"/>
        <charset val="1"/>
      </rPr>
      <t xml:space="preserve">/ Hak - kâ - ngî   </t>
    </r>
    <r>
      <rPr>
        <sz val="11"/>
        <color rgb="FF000000"/>
        <rFont val="Noto Sans CJK SC"/>
        <family val="2"/>
      </rPr>
      <t xml:space="preserve">한국어   </t>
    </r>
    <r>
      <rPr>
        <sz val="11"/>
        <color rgb="FF000000"/>
        <rFont val="Calibri"/>
        <family val="0"/>
        <charset val="1"/>
      </rPr>
      <t xml:space="preserve">Հայերեն   हिन्दी   Hrvatski   Ido   Bahasa Indonesia   Íslenska   Italiano   עברית   Basa Jawa   Қазақша   Kreyòl ayisyen   Кыргызча   Latina   Latviešu   Lietuvių   Lingála   Magyar   Македонски   Bahasa Melayu   Монгол   Nederlands   </t>
    </r>
    <r>
      <rPr>
        <sz val="11"/>
        <color rgb="FF000000"/>
        <rFont val="Noto Sans CJK SC"/>
        <family val="2"/>
      </rPr>
      <t xml:space="preserve">日本 語   </t>
    </r>
    <r>
      <rPr>
        <sz val="11"/>
        <color rgb="FF000000"/>
        <rFont val="Calibri"/>
        <family val="0"/>
        <charset val="1"/>
      </rPr>
      <t xml:space="preserve">Norsk   Norsk nynorsk   Occitan   Oʻzbekcha / ўзбекча   Polski   Português   Română   Русский   Scots   Simple English   Slovenčina   Slovenščina   کوردی   Српски / srpski   Srpskohrvatski / српскохрватски   Suomi   Svenska   Tagalog   தமிழ்   తెలుగు   ไทย   Türkçe   Українська   اردو   Tiếng Việt   </t>
    </r>
    <r>
      <rPr>
        <sz val="11"/>
        <color rgb="FF000000"/>
        <rFont val="Noto Sans CJK SC"/>
        <family val="2"/>
      </rPr>
      <t xml:space="preserve">粵語   中文  </t>
    </r>
    <r>
      <rPr>
        <sz val="11"/>
        <color rgb="FF000000"/>
        <rFont val="Calibri"/>
        <family val="0"/>
        <charset val="1"/>
      </rPr>
      <t xml:space="preserve">67 more  Edit links   This page was last edited on 26 May 2018 , at 10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</si>
  <si>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name some components of the central nervous system (cns)</t>
  </si>
  <si>
    <t xml:space="preserve"> The central nervous system ( CNS ) is the part of the nervous system consisting of the brain and spinal cord . The central nervous system is so named because it integrates information it receives from , and coordinates and influences the activity of , all parts of the bodies of bilaterally symmetric animals -- that is , all multicellular animals except sponges and radially symmetric animals such as jellyfish -- and it contains the majority of the nervous system . Many consider the retina and the optic nerve ( cranial nerve II ) , as well as the olfactory nerves ( cranial nerve I ) and olfactory epithelium as parts of the CNS , synapsing directly on brain tissue without intermediate ganglia . As such , the olfactory epithelium is the only central nervous tissue in direct contact with the environment , which opens up for therapeutic treatments . The CNS is contained within the dorsal body cavity , with the brain housed in the cranial cavity and the spinal cord in the spinal canal . In vertebrates , the brain is protected by the skull , while the spinal cord is protected by the vertebrae . The brain and spinal cord are both enclosed in the meninges . In central nervous systems , the interneuronal space is filled with a large amount of supporting non-nervous cells called neuroglial cells . </t>
  </si>
  <si>
    <t xml:space="preserve">The Price Is Right ( U.S. game show ) - Wikipedia  The Price Is Right ( U.S. game show )  Jump to : navigation , search This article is about the current version of the series . For the overall franchise , see The Price Is Right . For the original version , see The Price Is Right ( 1956 U.S. game show ) . For other uses , see The Price Is Right ( disambiguation ) . `` Come on down ! '' redirects here . For other uses , see Come on down ! ( disambiguation ) .    The Price Is Right         Genre   Game show     Created by     Bob Stewart   Mark Goodson   Bill Todman       Directed by     Marc Breslow ( 1972 -- 86 )   Paul Alter ( 1986 -- 2001 )   Bart Eskander ( 2000 -- 09 )   Rich DiPirro ( 2009 -- 11 )   Michael Dimich ( 2011 -- 12 )   Ryan Polito ( 2012 -- 13 )   Adam Sandler ( 2013 -- present )       Presented by     Bob Barker ( 1972 -- 2007 )   Drew Carey ( 2007 -- present )   Nighttime : Dennis James ( 1972 -- 77 )   Bob Barker ( 1977 -- 80 )   Tom Kennedy ( 1985 -- 86 )       Narrated by     Johnny Olson ( 1972 -- 85 )   Rod Roddy ( 1986 -- 2003 )   Rich Fields ( 2004 -- 10 )   George Gray ( 2011 -- present )       Composer ( s )   Edd Kalehoff     Country of origin   United States     Original language ( s )   English     No. of seasons   46     No. of episodes     8,000 ( as of April 7 , 2014 )   Nighttime ( 1972 -- 80 ) : 300   Nighttime ( 1985 -- 86 ) : 170       Production     Location ( s )   CBS Television City     Running time     38 -- 48 minutes ( 1975 -- present )   22 -- 26 minutes ( 1972 -- 75 ; 1972 -- 80 Nighttime ; 1985 -- 86 Nighttime )       Production company ( s )     Mark Goodson - Bill Todman Productions ( 1972 -- 84 )   Price Productions ( 1972 -- 80 Nighttime ; 1985 -- 86 Nighttime ; 1972 -- 94 )   Mark Goodson Productions ( 1984 -- 2007 )   All American Television ( 1996 -- 98 )   Pearson Television ( 1999 -- 2002 )   FremantleMedia ( 2002 -- present )   in association with CBS       Distributor     FremantleMedia for CBS   Viacom Enterprises ( 1972 -- 80 Nighttime )   The Television Program Source ( 1985 -- 86 Nighttime )       Release     Original network     CBS   Syndicated ( 1972 -- 80 Nighttime ; 1985 -- 86 Nighttime )       Picture format     NTSC ( 480i ) ( 1972 -- 2008 )   HDTV ( 1080i ) ( 2008 -- present )       Audio format     Mono ( 1972 -- 88 )   CBS StereoSound ( 1988 -- 97 )   Digital Stereo ( 1997 -- 2013 )   5.1 Surround ( 2013 -- present )       Original release     September 4 , 1972 ( 1972 - 09 - 04 ) -- present   Nighttime :   September 10 , 1972 ( 1972 - 09 - 10 ) -- September 13 , 1980 ( 1980 - 09 - 13 ) ( weekly )   September 9 , 1985 ( 1985 - 09 - 09 ) -- September 5 , 1986 ( 1986 - 09 - 05 ) ( daily )       Chronology     Preceded by   The Price Is Right ( 1956 -- 65 )     Related shows   The New Price Is Right ( 1994 -- 95 )     External links     www.priceisright.com     Production website   www.cbs.com/shows/the_price_is_right/     The Price Is Right is an American television game show created by Bob Stewart , Mark Goodson and Bill Todman . The show revolves around contestants competing to identify accurate pricing of merchandise to win cash and prizes . Contestants are selected from the studio audience when the announcer proclaims the show 's famous catchphrase , `` Come on down ! ''   The program premiered on September 4 , 1972 on CBS . Bob Barker was the series ' longest - running host from its 1972 debut until his retirement in June 2007 , when Drew Carey took over . Barker was accompanied by a series of announcers , beginning with Johnny Olson , followed by Rod Roddy and then Rich Fields . In April 2011 , George Gray became the announcer . The show has used several models , most notably Anitra Ford , Janice Pennington , Dian Parkinson , Holly Hallstrom and Kathleen Bradley . While retaining some elements of the original version of the show , the 1972 version has added many new distinctive gameplay elements .   The Price Is Right has aired over 8,000 episodes since its debut and is one of the longest - running network series in United States television history . In a 2007 article , TV Guide named The Price Is Right the `` greatest game show of all time . '' The show 's 46th season premiered on September 18 , 2017 .     Contents  ( hide )   1 Gameplay   1.1 One Bid   1.2 Pricing games   1.3 Showcase Showdown   1.4 The Showcase     2 Personnel   2.1 Hosts   2.2 Announcers   2.3 Models   2.4 Production staff     3 Production   3.1 Audience and contestant selection   3.2 Taping   3.3 Production company     4 Broadcast history   4.1 Syndicated productions   4.1. 1 1972 -- 1980   4.1. 2 1985 -- 86   4.1. 3 The New Price Is Right     4.2 CBS primetime specials and series   4.3 Gameshow Marathon     5 Reality web show spinoffs   5.1 Road to Price   5.2 The Price is Right Male Model Search     6 Documentary Film   7 Prizes   7.1 Automobiles   7.2 Winnings records     8 Reception   8.1 Awards   8.2 Critical reaction     9 Controversy   9.1 Lawsuits   9.2 Plinko board incident   9.3 40th anniversary     10 Merchandise   10.1 DVD release   10.2 Board games   10.3 Computer and electronic games   10.4 Slot machines   10.5 Scratch - off tickets   10.6 Live casino game     11 References   11.1 Works cited     12 External links      Gameplay ( edit )   The gameplay of the show consists of four distinct competition elements , in which nine preliminary contestants ( or six , depending on the episode 's running time ) are eventually narrowed to two finalists who compete in the game 's final element , the `` Showcase '' .   One bid ( edit )   At the beginning of the show , four contestants are called from the audience by the announcer to take a spot on the front row behind bidding podiums , which are embedded into the front edge of the stage . This area is known as `` Contestants ' Row '' . The announcer shouts `` Come on down ! '' after calling each selected contestant 's name , a phrase which has become a trademark of the show . The four contestants in Contestants ' Row compete in a bidding round to determine which contestant will play the next pricing game ( the round is known as `` One Bid , '' which gets its name and format from one of two types of bidding rounds that existed on the 1950s version of the show ) . A prize is shown and each contestant gives a single bid for the item . In the first One - Bid game of each episode , bidding begins with the contestant on the viewer 's left - to - right . In subsequent One - Bid rounds , the order of bidding still moves from the viewer 's left - to - right , but it begins with the contestant most recently called down . Contestants are instructed to bid in whole dollars since the retail price of the item is rounded to the nearest dollar and another contestant 's bid can not be duplicated . If a contestant thinks the others have overbid , he or she bids $1 on the item . The contestant whose bid is closest to the actual retail price of the prize without going over wins that prize and gets to play the subsequent pricing game . If all four contestants overbid , short buzzer tones sound , the lowest bid is announced and the bids are erased . The host then instructs the contestants to re-bid below the lowest previous bid . If a contestant bids the actual retail price , a bell rings and the contestant wins a cash bonus in addition to the prize . From the introduction of the bonus in 1977 until 1998 , the `` perfect bid '' bonus was $100 ; it was permanently increased to the current $500 in 1998 . On The Price Is Right $1,000,000 Spectacular , the bonus was $1,000 . After each pricing game , another contestant is called to `` come on down '' to fill the spot of the contestant that won the previous round . The newest contestant bids first in each One Bid round . Contestants who fail to win a One Bid round -- thus never making it onstage to play a pricing game -- receive consolation prizes , currently $300 , often sponsored by companies revealed by the announcer near the end of the show , before the Showcase .   Pricing games ( edit )  See also : List of The Price Is Right pricing games  After winning the One Bid , the contestant joins the host onstage for the opportunity to win additional prizes or cash by playing a pricing game . After the pricing game ends , a new contestant is selected for Contestants ' Row and the process is repeated . Six pricing games are played on each hour - long episode ; three games per episode were played in the original half - hour format . Pricing game formats vary widely , ranging from simple dilemma games in which a contestant chooses one of two options to win to complex games of chance or skill in which guessing prices increases the odds of winning . On a typical hour - long episode , two games are played for a car , one game is played for a cash prize and the other three games offer expensive household merchandise or trips . Usually , at least one of the six games involves the pricing of grocery items , while another usually involves smaller prizes that can be used to win a larger prize package . Originally , five pricing games were in the rotation . Since then , more games have been created and added to the rotation and , starting with the 60 - minute expansion in 1975 , the rate at which games premiered increased . Some pricing games were eventually discontinued , while others have been a mainstay since the show 's debut in 1972 . As of 2017 , the rotation is among 77 games . On the 1994 syndicated version hosted by Doug Davidson , the rules of several games were modified and other aesthetic changes were made . Notably , the grocery products used in some games on the daytime version were replaced by small merchandise prizes , generally valued at less than $100 . Beginning in 2008 , episodes of The Price Is Right $1,000,000 Spectacular featured rule changes to some pricing games which rewarded a $1 million bonus to the contestant if specific goals were achieved while playing the pricing game .   Showcase Showdown ( edit )  `` Showcase Showdown '' redirects here . For the band , see Showcase Showdown ( band ) .  Since the show 's expansion to 60 minutes in 1975 , each episode features two playings of the Showcase Showdown , occurring after the third and sixth pricing games . Each playing features the three contestants who played the preceding pricing games spinning `` The Big Wheel '' to determine who advances to the Showcase , the show 's finale . The contestants play in the order of the value of his or her winnings thus far ( including the One Bid ) , with the contestant who has won the most spinning last .   The wheel contains 20 sections showing values from 5 ¢ to $1.00 , in increments of five cents . Contestants are allowed a maximum of two spins . The first contestant spins the wheel and may choose to stop with his or her score or spin again , adding the value of the second spin to their first . The second contestant then spins the wheel and tries to match or beat the leader 's score ; if he or she fails to do so , the contestant must spin again . If the second contestant 's first spin matches or beats the score of the first contestant , he or she has the option of stopping or spinning again . The third contestant then spins ; if his or her score is less than the leader then he or she will be required to spin again . In the event the second or third contestant 's first spin ties the score of the leader , he or she will be given the option of spinning again as an alternative to entering a `` spin - off '' as described below .   If their total score of any contestant is less than that of the current leader , is beaten by the score of any subsequent contestant , or over $1.00 , the contestant is eliminated from the game . The contestant whose score is nearest to $1.00 without going over advances to the Showcase at the end of the episode . Any spin that fails to make at least one complete revolution does not count ; the contestant is given the opportunity to spin again , and if the contestant has visible difficulty in physically performing the task , the host can assist them .   If the first two contestants both spin twice and go over $1.00 , the last contestant automatically advances to the Showcase and is given only one spin to determine their score ; this is to ensure that a contestant advances to the showcase , avoiding a potential `` triple over '' scenario in which no one would advance . Any contestant whose score equals $1.00 ( from either the first spin or the sum of two spins ) receives a $1,000 bonus and , since December 1978 , is allowed a bonus spin . The contestant wins an additional $10,000 for landing on either 5 ¢ or 15 ¢ ( which are adjacent to the $1.00 space and painted green ) , or an additional $25,000 for landing on $1.00 . From December 1978 to September 22 , 2008 , the bonuses were $5,000 and $10,000 for landing on a green section and the $1.00 , respectively . If the wheel stops on any other amount or fails to make at least one revolution , the contestant wins no more money . The wheel is positioned on 5 ¢ prior to the bonus spin so that it can not land on a winning prize without making a complete revolution .   Two or more contestants who are tied with the leading score compete in a `` spin - off '' . Each contestant is allowed one additional spin and the contestant with the higher score advances to the Showcase . Multiple spin - offs are played until the tie is broken . Those who hit $1.00 in their spin - off spin still get $1,000 and a bonus spin . If two or more contestants tie with a score of $1.00 , their bonus spins also determine their spin - off score . Only the spin - off score , not any bonus money won , determines which contestant moves on to the Showcase ; thus , a person who wins the $10,000 bonus for landing on 15 ¢ would still lose the spin - off if their opponent lands on 20 ¢ or more . A tie in a bonus spin spin - off means the ensuing second spin - off will be spun with no bonuses available . Each spin must make one complete revolution in order to qualify . If a player 's bonus spin spin - off does not make a complete revolution , the contestant must spin again , and the spin will be scored as in a second round of a spin - off ( no bonuses ) .   The Showcase ( edit )   At the end of the episode , the two contestants with the highest winnings , or since 1975 on hour - long episodes , the two Showcase Showdown winners , advance to the Showcase . A `` showcase '' of prizes ( currently two or three prizes ) is presented and the top winner has the option of placing a bid on the total value of the showcase or passing the showcase to the runner - up , who is then required to bid . A second showcase is then presented and the contestant who had not bid on the first showcase makes his or her bid . Unlike the One Bid , the contestant bidding on the second showcase may bid the same amount as their opponent on the first showcase , since the two contestants are bidding on different prize packages . The contestant who has bid nearer to the price of their own showcase without going over wins the prizes in his or her showcase .   Any contestant who overbids is disqualified regardless of their opponent 's result . A double overbid results in neither contestant winning a showcase . Since 1974 , any contestant who comes within a specified amount from the actual retail price of their own showcase without going over wins both showcases . Until 1998 , the amount was less than $100 . In 1998 , it became the current $250 or less .   Personnel ( edit )   Hosts ( edit )  Bob Barker ( host from September 1972 to June 2007 ) Drew Carey ( host since October 2007 )  Bob Barker began hosting The Price Is Right on September 4 , 1972 and completed a 35 - year tenure on June 15 , 2007 . Barker was hired as host while still hosting the stunt comedy show Truth or Consequences . His retirement coincided with his 50th year as a television host . His final show aired on June 15 , 2007 and was repeated in primetime , leading into the network 's coverage of the 34th Daytime Emmy Awards . In addition to hosting , Barker became Executive Producer of the show in March 1988 when Frank Wayne died and continued as such until his retirement , gaining significant creative control over the series between 2000 and his 2007 retirement . He also was responsible for creating several of the show 's pricing games , as well as launching The Price Is Right $1,000,000 Spectacular primetime spin - off . Reruns of Barker 's final season were aired throughout the summer from the Monday after his final show ( June 18 , 2007 ) until the Friday before Drew Carey 's debut as host ( October 12 , 2007 ) , when the season 35 finale was re-aired . During his time as host , Barker missed only one taping of four episodes ; Dennis James , then hosting the syndicated nighttime version of the show , filled in for him on these shows in December 1974 . After he became a noted animal rights advocate in 1981 shortly after the death of his wife Dorothy Jo , Barker signed off each broadcast , informing viewers with the public service message , `` Help control the pet population : have your pets spayed or neutered . '' Carey continued the tradition upon becoming the new host .   On October 31 , 2006 , Barker announced that he would retire from the show at the end of season 35 . In March 2007 , CBS and FremantleMedia began a search for the next host of the show . Carey , who was hosting Power of 10 at the time , was chosen and , in a July 23 , 2007 interview on Late Show with David Letterman , made the announcement . Carey 's first show aired October 15 , 2007 . Barker has made several guest appearances since Carey took over as host : on the April 16 , 2009 episode to promote his autobiography , Priceless Memories ; on the December 12 , 2013 , as part of `` Pet Adoption Week '' that coincided with his 90th birthday ; and on the episode which aired on April Fools ' Day in 2015 , hosting the first One Bid and pricing game as part of April Fool 's Day .   The 2013 April Fools ' show featured Carey and announcer George Gray modeling the prizes while the show 's models performed hosting and announcing duties for the day . On the April Fools ' Day episode in 2014 , Craig Ferguson , Carey 's former castmate from The Drew Carey Show , and Shadoe Stevens hosted and announced , swapping places with Carey and Gray respectively , who performed the same roles on the previous night 's episode of The Late Late Show .   Announcers ( edit )   Johnny Olson , the announcer for many Goodson - Todman shows of the era , was the program 's original announcer until his death in October 1985 . Olson was replaced by Rod Roddy in February 1986 , who remained with the program until shortly before his death in October 2003 . Los Angeles meteorologist Rich Fields took over as the announcer in April 2004 and stayed on until the end of season 38 in August 2010 . Following a change of direction and a search for an announcer with more experience in improvisational comedy , veteran TV host George Gray was confirmed as the show 's current announcer on the April 18 , 2011 episode . After Olson 's and Roddy 's deaths in 1985 and 2003 , respectively and Fields ' departure in 2010 , a number of announcers auditioned before a permanent replacement was hired . In addition to Roddy , Gene Wood , Rich Jeffries , and Bob Hilton auditioned to replace Olson . Former Family Feud announcer Burton Richardson , Paul Boland , and former Supermarket Sweep announcer Randy West substituted for Roddy during his illnesses . In addition to West and Richardson , Daniel Rosen , Art Sanders , Roger Rose , Don Bishop and current Wheel of Fortune announcer Jim Thornton also auditioned for the role eventually filled by Fields . Richardson substituted for Fields while he recovered from laryngitis in December 2006 . In addition to Gray , TV host JD Roberto , comedians Jeff B. Davis , Brad Sherwood , and David H. Lawrence XVII , and actor / comedian Steve White also auditioned for the role .   Models ( edit )  Main article : The Price Is Right models  To help display its many prizes , the show has featured several models who were known , during Barker 's time on the show , as `` Barker 's Beauties '' . Some longer - tenured Barker 's Beauties included Kathleen Bradley ( 1990 -- 2000 ) , Holly Hallstrom ( 1977 -- 1995 ) , Dian Parkinson ( 1975 -- 1993 ) , and Janice Pennington ( 1972 -- 2000 ) . Pennington and Bradley were both dismissed from the program in 2000 , allegedly because they had given testimony on Hallstrom 's behalf in the wrongful termination litigation she pursued against Barker and the show . Following the departures of Nikki Ziering , Heather Kozar and Claudia Jordan in the 2000s , producers decided to use a rotating cast of models ( up to ten ) until the middle of season 37 , after which the show reverted to five regular models . Since March 2008 , the models include Rachel Reynolds , Amber Lancaster and Gwendolyn Osbourne ; Manuela Arbeláez joined the cast in April 2009 , replacing Brandi Sherwood and James O'Halloran joined the cast in December 2014 . Carey does not use a collective name for the models , but refers to them by name , hoping that the models will be able to use the show as a `` springboard '' to further their careers . In a change from previous policy , the models appearing on a given episode are named individually in the show 's credits and are formally referred as `` The Price Is Right models '' when collectively grouped at events . Since season 37 , the show often uses a guest model for certain prizes , often crossing over from another CBS property or come courtesy of the company providing the prize . Some such models have been male , especially for musical instruments , tools , trucks and motorcycles , and used in guest appearances during the Showcase . Owing to the traditionally female demographic of daytime television shows , along with the pregnancies of Reynolds and Osbourne , CBS announced that the game show would add a male model for a week during season 41 , fitting with other countries with the franchise that have used an occasional male model . The show held an internet search for the man in an online competition that featured Mike Richards , the show 's executive producer , Reynolds , Lancaster , Osbourne and Arbeláez serving as judges and mentors during the web series , narrated by Gray . Viewers selected the winner in October 2012 . On October 5 , 2012 , CBS announced that the winner of the male model online competition was Rob Wilson of Boston , Massachusetts . Wilson appeared as a model on episodes through April 15 , 2014 . This contest was scheduled to be repeated in 2014 , with auditions taking place during the FIFA World Cup break between May and July 2014 . On December 8 , 2014 , CBS announced that the winner of the second male model online competition was James O'Halloran .   Production staff ( edit )   The game show production team of Mark Goodson and Bill Todman was responsible for producing the original as well as the revival versions of the game show . Goodson - Todman staffer Bob Stewart is credited with creating the original version of The Price Is Right . Roger Dobkowitz was the producer from 1984 to 2008 , having worked with the program as a production staffer since the show 's debut after graduating from San Francisco State University . Occasionally , Dobkowitz appeared on - camera when answering a question posed by the host , usually relating to the show 's history or records . When he left the show at the end of season 36 , Variety reported that it was unclear whether he was retiring or was fired , although Carey indicated in a later interview with Esquire that Dobkowitz was fired . As of 2011 , the show uses multiple producers , all long - time staffers . Adam Sandler ( not to be confused with the actor ) is the producer of the show . Stan Blits , who joined the show in 1980 and Sue MacIntyre are the co-producers . Kathy Greco joined the show in 1975 and became producer in 2008 ; she announced her retirement October 8 , 2010 on the show 's website , effective at the end of the December 2010 tapings . Her last episode as producer , which aired January 27 , 2011 , featured a theme in tribute to her . The show 's official website featured a series of videos including an interview with Greco as a tribute to her 35 years in the days leading up to her final episode . Frank Wayne , a Goodson - Todman staffer since the 1950s , was the original executive producer of the CBS version of the show . Barker assumed that role after Wayne 's death in March 1988 , as previously stated . Previous producers have included Jay Wolpert , Barbara Hunter and Phil Wayne Rossi ( Wayne 's son ) . Michael Dimich assumed the director 's chair in June 2011 . Marc Breslow , Paul Alter , Bart Eskander and Rich DiPirro each served long stints previously as director . Former associate directors Andrew Felsher and Fred Witten , as well as technical director Glenn Koch , have directed episodes strictly on a fill - in basis . Sandler began directing episodes in 2012 , and became the official director in 2013 . Aside from Barker , the show 's production staff remained intact after Carey became host . FremantleMedia executive Syd Vinnedge was named the program 's new executive producer , with Richards becoming co-executive producer after Dobkowitz 's departure . Richards was a candidate to replace Barker as host in 2007 , before Carey was ultimately chosen . Richards succeeded Vinnedge as executive producer when the 2009 -- 10 season started , with Tracy Verna Soiseth joining Richards as co-executive producer in 2010 . Vinnedge remains credited as an executive consultant to the show .   Production ( edit )   Audience and contestant selection ( edit )   Many audience members arrive early on the day of a taping , and often camp out the night before to attend . Most have already received tickets for that day 's show , although some hope to get same - day tickets . Audience members are then given the iconic name tags with a temporary identification number , which is also written on the person 's ticket . A Social Security Number ( or some national I.D. number for non-U.S. audience members ) is also required to be submitted . Audience members are eventually brought through in groups of twelve for brief interviews with the production staff . Contrary to popular belief , contestant names are not chosen at random ; rather , the interviews determine possible selections for the nine contestants per taping from among the pool of approximately 325 audience members . Since 1988 , the minimum age for audience members has been 18 ; prior to 1988 , teenagers and children as young as 12 were present in the audience . With few exceptions , anyone at least 18 years old who attends a taping of the show has the potential to become a contestant . Those ineligible include current candidates for political office , employees of CBS Corporation or its affiliates , RTL Group or any firm involved in offering prizes for the show . Contestants who have appeared on a different game show within the previous year or either two other game shows or any version of The Price Is Right itself within the past ten years are also ineligible . The show 's staff alerts potential contestants -- in person , on the show 's website and on the tickets themselves -- to dress in `` street clothes '' and not to wear costumes , such as those used to attract attention on Let 's Make a Deal , another show that featured contestants selected from the audience . Those who have attended tapings in June 2008 noted that producers disallowed audience members from wearing fake eyeglasses designed to look similar to those worn by Carey , a restriction that has since been relaxed . Instead , contestants will often wear shirts with hand - decorated slogans . Members of the Armed Forces are often in uniform . Cell phones , tape recorders , backpacks , price lists and portable electronic devices are not allowed in the studio . Prospective contestants obtain tickets by contacting a third - party ticketing operator via the show 's website , which is promoted on - air during the broadcast . Prior to 2011 , ticketing was directly through CBS , originally via mail , with online ticket access added in 2005 . The mail practice ended after CBS began outsourcing ticketing to the third - party operator .   Occasionally , episodes are taped with special audience restrictions . For Memorial Day in 1991 , an episode was taped with an audience composed entirely of those who had served in the Armed Forces . Similar primetime episodes were taped in 2002 , honoring each branch of the United States military and a sixth episode honoring police officers and firefighters . An annual military episode has been taped starting Season 38 in 2008 , originally on Veteran 's Day , but moved in Season 41 ( 2013 ) to Independence Day , features an all - military audience , a Marine band playing the winner 's service anthem , and contestants being called by rank . The 2008 episode contained a unique rule in which each One Bid featured one contestant from the Army , Navy , Air Force and Marines , and One Bid winners also won a $1,000 gift card . As each contestant won his / her way onstage , he / she was replaced by a member of the same branch of service . Most civilian attendees were retired or disabled veterans or family members of military . The 2009 version eliminated the service member from the same branch replacing another after advancing from Contestants ' Row rule . Additionally , members from the United States Coast Guard were invited to the show .   Beginning in 2009 , some episodes have featured special themes with two contestants competing as teams , such as married or engaged couples for Valentine 's Day and the `` Ultimate Wedding Shower '' episode . There have also been episodes with children who are minors ( normally not allowed to compete ) teamed with a parent ( for Mother 's Day and Father 's Day ) or grandparent ( for Grandparents Day ) , as well as teen drivers and students for `` Ultimate Spring Break '' and `` Back to School '' . In these cases the adult player ( not the minor ) must make all final decisions in the game play , such as when calling numbers or prices .   Two taped episodes had to be replaced as a contestant was related to a CBS employee and therefore ineligible to be on the show . The other contestants who appeared on that episode were awarded their prizes , but the episode was never aired and can not be shown because of policies imposed by Barker over prizes on the show . There have been similar instances over the years of ineligible contestants appearing on stage , but these individuals were not edited out of the final broadcast since it was discovered in post-production . Usually , these episodes air with a disclaimer from the announcer added in post-production that one of the contestants was found ineligible ( not specifying which one ) . Standards and Practices guidelines for game shows state that if an ineligible contestant wins a One - Bid and the other contestants on Contestants ' Row at the time do not win a subsequent One - Bid , they are not considered to have made an appearance on the show and are immediately eligible again once the error has been discovered .   Taping ( edit )   Except for the 30th Anniversary Special , which was taped at Harrah 's Rio in Las Vegas , Nevada , The Price Is Right has been taped in Studio 33 in CBS Television City in Hollywood , California for its entire run . The studio , which is also used for other television productions , was renamed the Bob Barker Studio in the host 's honor on the ceremonial 5,000 th episode taped in March 1998 . When Carey became host , there was talk of the show traveling in the future . The program is usually produced in about an hour , although if there is a guest involved , some tapings will last longer because of question and answer sessions by the audience and the guest , which the host usually moderates . Two episodes are usually taped each day , normally with three taping days per week ( Monday through Wednesday , with one episode taped at 12 : 00 pm and another at 4 : 00 pm ) . The program is taped in advance of its airdate . For example , the show broadcast on February 28 , 2008 was taped on January 16 . As with many other shows that start production in the summer , the lead time varies during the season , as many as fifteen weeks to as little as one day . The audience is entertained by the announcer before taping begins and in case of guests , the guest will answer questions</t>
  </si>
  <si>
    <t xml:space="preserve">who's the director of the price is right</t>
  </si>
  <si>
    <t xml:space="preserve"> The game show production team of Mark Goodson and Bill Todman was responsible for producing the original as well as the revival versions of the game show . Goodson - Todman staffer Bob Stewart is credited with creating the original version of The Price Is Right . Roger Dobkowitz was the producer from 1984 to 2008 , having worked with the program as a production staffer since the show 's debut after graduating from San Francisco State University . Occasionally , Dobkowitz appeared on - camera when answering a question posed by the host , usually relating to the show 's history or records . When he left the show at the end of season 36 , Variety reported that it was unclear whether he was retiring or was fired , although Carey indicated in a later interview with Esquire that Dobkowitz was fired . As of 2011 , the show uses multiple producers , all long - time staffers . Adam Sandler ( not to be confused with the actor ) is the producer of the show . Stan Blits , who joined the show in 1980 and Sue MacIntyre are the co-producers . Kathy Greco joined the show in 1975 and became producer in 2008 ; she announced her retirement October 8 , 2010 on the show 's website , effective at the end of the December 2010 tapings . Her last episode as producer , which aired January 27 , 2011 , featured a theme in tribute to her . The show 's official website featured a series of videos including an interview with Greco as a tribute to her 35 years in the days leading up to her final episode . Frank Wayne , a Goodson - Todman staffer since the 1950s , was the original executive producer of the CBS version of the show . Barker assumed that role after Wayne 's death in March 1988 , as previously stated . Previous producers have included Jay Wolpert , Barbara Hunter and Phil Wayne Rossi ( Wayne 's son ) . Michael Dimich assumed the director 's chair in June 2011 . Marc Breslow , Paul Alter , Bart Eskander and Rich DiPirro each served long stints previously as director . Former associate directors Andrew Felsher and Fred Witten , as well as technical director Glenn Koch , have directed episodes strictly on a fill - in basis . Sandler began directing episodes in 2012 , and became the official director in 2013 . Aside from Barker , the show 's production staff remained intact after Carey became host . FremantleMedia executive Syd Vinnedge was named the program 's new executive producer , with Richards becoming co-executive producer after Dobkowitz 's departure . Richards was a candidate to replace Barker as host in 2007 , before Carey was ultimately chosen . Richards succeeded Vinnedge as executive producer when the 2009 -- 10 season started , with Tracy Verna Soiseth joining Richards as co-executive producer in 2010 . Vinnedge remains credited as an executive consultant to the show . </t>
  </si>
  <si>
    <t xml:space="preserve">The bridge on the River Kwai - wikipedia  The bridge on the River Kwai  Jump to : navigation , search This article is about the film . For the novel , see The Bridge over the River Kwai .    The Bridge on the River Kwai     British theatrical release poster     Directed by   David Lean     Produced by   Sam Spiegel     Screenplay by     Carl Foreman   Michael Wilson       Based on   The Bridge over the River Kwai by Pierre Boulle     Starring     William Holden   Jack Hawkins   Alec Guinness       Music by   Malcolm Arnold     Cinematography   Jack Hildyard     Edited by   Peter Taylor     Production company   Horizon Pictures     Distributed by   Columbia Pictures     Release date     2 October 1957 ( 1957 - 10 - 02 ) ( United Kingdom )   14 December 1957 ( 1957 - 12 - 14 ) ( United States )             Running time   161 minutes     Country   United Kingdom United States     Language   English     Budget   $2.8 million     Box office   $30.6 million ( initial release )     The Bridge on the River Kwai is a 1957 British - American epic war film directed by David Lean and starring William Holden , Jack Hawkins , and Alec Guinness , and featuring Sessue Hayakawa . Based on the novel Le Pont de la Rivière Kwai ( 1952 ) by Pierre Boulle , the film is a work of fiction , but borrows the construction of the Burma Railway in 1942 -- 1943 for its historical setting . The movie was filmed in Ceylon ( now Sri Lanka ) . The bridge in the film was near Kitulgala .   Carl Foreman was the initial screenwriter , but Lean replaced him with Michael Wilson . Both writers had to work in secret , as they were on the Hollywood blacklist and had fled to England in order to continue working . As a result , Boulle , who did not speak English , was credited and received the Academy Award for Best Adapted Screenplay ; many years later , Foreman and Wilson posthumously received the Academy Award .   The film was widely praised , winning seven Academy Awards ( including Best Picture ) at the 30th Academy Awards . In 1997 , the film was deemed `` culturally , historically , or aesthetically significant '' and selected for preservation in the National Film Registry by the United States Library of Congress . It has been included on the American Film Institute 's list of best American films ever made . In 1999 , the British Film Institute voted The Bridge on the River Kwai the 11th greatest British film of the 20th Century .     Contents  ( hide )   1 Plot   2 Cast   3 Historical parallels   4 Japanese views of the book and movie   5 Production   5.1 Screenplay   5.2 Filming   5.3 Music and soundtrack     6 Box office performance   7 Awards and honours   7.1 Awards   7.2 Recognition   7.2. 1 American Film Institute recognition       8 First TV broadcast   9 Restorations   10 In popular culture   11 See also   12 References   13 Bibliography   14 External links      Plot ( edit )   In early 1943 , World War II British POWs arrive by train at a Japanese prison camp in Burma . The commandant , Colonel Saito ( Sessue Hayakawa ) , informs them that all prisoners , regardless of rank , are to work on the construction of a railway bridge over the River Kwai that will connect Bangkok and Rangoon . The senior British officer , Lieutenant Colonel Nicholson ( Alec Guinness ) , informs Saito that the Geneva Conventions exempt officers from manual labour . He later informs his officers that he had no intention of attempting an escape and forbids them from doing so , not because it 's supposedly impossible , as Saito claims , but because they had been ordered by headquarters to surrender and an escape attempt could be seen as a treasonous defiance of orders .   At the following morning 's assembly , Nicholson orders his officers to remain behind when the enlisted men are sent off to work . Saito slaps him across the face with his copy of the conventions and threatens to have them shot , but Nicholson refuses to back down . When Major Clipton ( James Donald ) , the British medical officer , intervenes , telling Saito there are too many witnesses for him to get away with murdering the officers , Saito leaves the officers standing all day in the intense tropical heat . That evening , the officers are placed in a punishment hut , while Nicholson is locked in an iron box .   Meanwhile , three prisoners attempt to escape . Two are shot dead , but United States Navy Commander Shears ( William Holden ) , a survivor of the sinking of the USS Houston , gets away , although badly wounded . He stumbles into a village of natives who nurse him back to health and then help him leave by boat .   Despite confinement in an outside shed called `` the oven '' , Nicholson refuses to compromise . Meanwhile , the prisoners are working as little as possible and sabotaging whatever they can at the construction site . Should Saito fail to meet his deadline , he would be obliged to commit ritual suicide . Desperate , Saito uses the anniversary of Japan 's victory in the Russo - Japanese War as an excuse to save face and announces a general amnesty , releasing Nicholson and his officers from manual labour .   Nicholson conducts an inspection and is shocked by the poor job being done by his men . Over the protests of some of his officers , he allows Captain Reeves ( Peter Williams ) and Major Hughes ( John Boxer ) to design and build a proper bridge , despite its military value to the Japanese , for the sake of maintaining his men 's morale . The Japanese engineers had chosen a poor site , so the original construction is abandoned and a new bridge is begun downstream .   Shears is enjoying his hospital stay in Ceylon with a beautiful nurse ( Ann Sears ) , when British Major Warden ( Jack Hawkins ) informs him that the U.S. Navy has transferred him over to the British to join a commando mission to destroy the bridge before it 's completed . Shears is appalled at the idea of returning to a place from which he nearly died during escape . He confesses he is not an officer , but merely had appropriated an officer 's uniform prior to his capture , expecting that this revelation will invalidate the transfer order . However , Warden responds he already knew the truth and tells Shears that the American Navy 's desire to avoid dealing with the embarrassment of his actions is the very reason they agreed to his transfer . Assured that he will be allowed to retain the privileges of being an officer and accepting that he actually has no choice , Shears relents and `` volunteers '' for the mission . The commando team consists of four men .   Meanwhile , Nicholson drives his men hard to complete the bridge on time . For him , its completion will exemplify the ingenuity and hard work of the British Army for generations , long after the war 's end . When he asks that their Japanese counterparts join in as well , a resigned Saito replies that he has already given the order .   The commandos parachute in , with one man killed on landing , leaving three to complete the mission . Later , Warden is wounded in an encounter with a Japanese patrol and has to be carried on a litter . He , Shears , and Canadian Lieutenant Joyce ( Geoffrey Horne ) reach the river in time with the assistance of Siamese women bearers and their village chief , Khun Yai . Under cover of darkness , Shears and Joyce plant explosives on the bridge towers below the water line .   A train carrying soldiers and important dignitaries is scheduled to be the first use of the bridge the following day , so Warden waits to destroy both . However , at daybreak the commandos are horrified to see that the water level has dropped , exposing the wire connecting the explosives to the detonator . Making a final inspection , Nicholson spots the wire and brings it to Saito 's attention . As the train is heard approaching , they hurry down to the riverbank to investigate . The commandos are shocked that their own man is about to uncover the plot .   Joyce , manning the detonator , breaks cover and stabs Saito to death . Aghast , Nicholson yells for help , while attempting to stop Joyce from reaching the detonator . As he wrestles with Nicholson , Joyce tells Nicholson that he is a British officer under orders to destroy the bridge . When Joyce is shot dead by Japanese fire , Shears swims across the river , but is fatally wounded as he reaches Nicholson . Recognising the dying Shears , Nicholson exclaims , `` What have I done ? '' Warden fires his mortar , mortally wounding Nicholson . The dazed colonel stumbles towards the detonator and collapses on the plunger just in time to blow up the bridge and send the train hurtling into the river below . Witnessing the carnage , Clipton shakes his head muttering , `` Madness ! ... Madness ! ''   Cast ( edit )  Chandran Rutnam and William Holden while shooting The Bridge on the River Kwai .   William Holden as Commander Shears   Alec Guinness as Lieutenant Colonel Nicholson   Jack Hawkins as Major Warden   Sessue Hayakawa as Colonel Saito   James Donald as Major Clipton   Geoffrey Horne as Lieutenant Joyce   André Morell as Colonel Green   Peter Williams as Captain Reeves   John Boxer as Major Hughes   Percy Herbert as Private Grogan   Harold Goodwin as Private Baker   Ann Sears as Nurse   Henry Okawa as Captain Kanematsu   K. Katsumoto as Lieutenant Miura   M.R.B. Chakrabandhu as Yai   Vilaiwan Seeboonreaung as Siamese girl   Ngamta Suphaphongs as Siamese girl   Javanart Punynchoti as Siamese girl   Kannikar Dowklee as Siamese girl    Historical parallels ( edit )  A picture of the railroad bridge over the River Kwai in April 2017 . The curved - shaped truss spans are the originals on the bridge ( constructed by the Japanese military during WWII ) while the two trapezoidal - shaped bridge spans were provided by Japan as war reparations after the war ended in 1945 ( to replace two curved - shaped truss spans that fell into the river after the bridge was attacked and bombed by Allied aircraft . )  The largely fictional film plot is loosely based on the building in 1943 of one of the railway bridges over the Mae Klong -- renamed Khwae Yai in the 1960s -- at a place called Tha Ma Kham , five kilometres from the Thai town of Kanchanaburi .   According to the Commonwealth War Graves Commission :   The notorious Burma - Siam railway , built by Commonwealth , Dutch and American prisoners of war , was a Japanese project driven by the need for improved communications to support the large Japanese army in Burma . During its construction , approximately 13,000 prisoners of war died and were buried along the railway . An estimated 80,000 to 100,000 civilians also died in the course of the project , chiefly forced labour brought from Malaya and the Dutch East Indies , or conscripted in Siam ( Thailand ) and Burma . Two labour forces , one based in Siam and the other in Burma , worked from opposite ends of the line towards the centre .   The incidents portrayed in the film are mostly fictional , and though it depicts bad conditions and suffering caused by the building of the Burma Railway and its bridges , historically the conditions were much worse than depicted . The real senior Allied officer at the bridge was British Lieutenant Colonel Philip Toosey . Some consider the film to be an insulting parody of Toosey . On a BBC Timewatch programme , a former prisoner at the camp states that it is unlikely that a man like the fictional Nicholson could have risen to the rank of lieutenant colonel , and , if he had , due to his collaboration he would have been `` quietly eliminated '' by the other prisoners . Julie Summers , in her book The Colonel of Tamarkan , writes that Pierre Boulle , who had been a prisoner of war in Thailand , created the fictional Nicholson character as an amalgam of his memories of collaborating French officers . He strongly denied the claim that the book was anti-British , although many involved in the film itself ( including Alec Guinness ) felt otherwise .   Toosey was very different from Nicholson and was certainly not a collaborator who felt obliged to work with the Japanese . Toosey in fact did as much as possible to delay the building of the bridge . While Nicholson disapproves of acts of sabotage and other deliberate attempts to delay progress , Toosey encouraged this : termites were collected in large numbers to eat the wooden structures , and the concrete was badly mixed .   In an interview that forms part of the 1969 BBC2 documentary `` Return to the River Kwai '' made by former POW John Coast , Boulle outlined the reasoning that led him to conceive the character of Nicholson . A transcript of the interview and the documentary as a whole can be found in the new edition of John Coast 's book Railroad of Death . Coast 's documentary sought to highlight the real history behind the film ( partly through getting ex-POWs to question its factual basis , for example Dr Hugh de Wardener and Lt - Col Alfred Knights ) , which angered many former POWs . The documentary itself was described by one newspaper reviewer when it was shown on Boxing Day 1974 ( The Bridge on the River Kwai had been shown on BBC1 on Christmas Day 1974 ) as `` Following the movie , this is a rerun of the antidote . ''   Some of the characters in the film use the names of real people who were involved in the Burma Railway . Their roles and characters , however , are fictionalised . For example , a Sergeant - Major Risaburo Saito was in real life second in command at the camp . In the film , a Colonel Saito is camp commandant . In reality , Risaburo Saito was respected by his prisoners for being comparatively merciful and fair towards them . Toosey later defended him in his war crimes trial after the war , and the two became friends .   The bridge described in the book did n't actually cross the River Kwai . Pierre Boulle had never been to the bridge . He knew that the ' death railway ' ran parallel to the River Kwae for many miles , and he therefore assumed that it was the Kwae which it crossed just north of Kanchanaburi . This was an incorrect assumption ; the bridge actually crossed the Mae Klong river . The destruction of the bridge as depicted in the film is also entirely fictional . In fact , two bridges were built : a temporary wooden bridge and a permanent steel / concrete bridge a few months later . Both bridges were used for two years , until they were destroyed by Allied bombing . The steel bridge was repaired and is still in use today .   Ernest Gordon , a survivor of the POW camps and railway construction described in the movie , stated in his book Through the Valley of the Kwai recounting his experiences as a POW : `` In Pierre Boulle 's book The Bridge over the River Kwai and the film which was based on it , the impression was given that British officers not only took part in building the bridge willingly , but finished in record time to demonstrate to the enemy their superior efficiency . This was an entertaining story . But I am writing a factual account , and in justice to these men -- living and dead -- who worked on that bridge , I must make it clear that we never did so willingly . We worked at bayonet point and under bamboo lash , taking any risk to sabotage the operation whenever the opportunity arose . ''   Japanese views of the book and movie ( edit )   The Japanese resented the implication in the movie that their engineers were less capable than British engineers . In fact , Japanese engineers had been surveying the route of the railway since 1937 and were highly organized . In essence , viewers disliked the `` glorification of the superiority of Western civilization '' represented in the movie , illustrated by the British being able to build a bridge that the Japanese could not . The film also contains a scene where Colonel Nicholson , while inspecting the bridge construction progress , refers to the Japanese overseeing them as `` barbarians '' . In the version of the movie edited for DVD in 2000 , the reference is overdubbed with a water splash sound .   Production ( edit )   Screenplay ( edit )   The screenwriters , Carl Foreman and Michael Wilson , were on the Hollywood blacklist and , even though living in exile in England , could only work on the film in secret . The two did not collaborate on the script ; Wilson took over after Lean was dissatisfied with Foreman 's work . The official credit was given to Pierre Boulle ( who did not speak English ) , and the resulting Oscar for Best Screenplay ( Adaptation ) was awarded to him . Only in 1984 did the Academy rectify the situation by retroactively awarding the Oscar to Foreman and Wilson , posthumously in both cases . Subsequent releases of the film finally gave them proper screen credit . David Lean himself also claimed that producer Sam Spiegel cheated him out of his rightful part in the credits since he had had a major hand in the script .   The film was relatively faithful to the novel , with two major exceptions . Shears , who is a British commando officer like Warden in the novel , became an American sailor who escapes from the POW camp . Also , in the novel , the bridge is not destroyed : the train plummets into the river from a secondary charge placed by Warden , but Nicholson ( never realising `` what have I done ? '' ) does not fall onto the plunger , and the bridge suffers only minor damage . Boulle nonetheless enjoyed the film version though he disagreed with its climax .   Filming ( edit )  The bridge at Kitulgala , Sri Lanka , before the explosion seen in the film . A photo of Kitulgala , Sri Lanka in 2004 , where the bridge was made for the film .  Many directors were considered for the project , among them : John Ford , William Wyler , Howard Hawks , Fred Zinnemann , and Orson Welles ( who was also offered a starring role ) .   The film was an international co-production between companies in Britain and the United States .   Director David Lean clashed with his cast members on multiple occasions , particularly Alec Guinness and James Donald , who thought the novel was anti-British . Lean had a lengthy row with Guinness over how to play the role of Nicholson ; Guinness wanted to play the part with a sense of humour and sympathy , while Lean thought Nicholson should be `` a bore . '' On another occasion , Lean and Guinness argued over the scene where Nicholson reflects on his career in the army . Lean filmed the scene from behind Guinness , and exploded in anger when Guinness asked him why he was doing this . After Guinness was done with the scene , Lean said `` Now you can all fuck off and go home , you English actors . Thank God that I 'm starting work tomorrow with an American actor ( William Holden ) . ''   Alec Guinness later said that he subconsciously based his walk while emerging from `` the Oven '' on that of his eleven - year - old son Matthew , who was recovering from polio at the time , a disease that left him temporarily paralyzed from the waist down . Guinness later reflected on the scene , calling it the `` finest piece of work '' he had ever done .   Lean nearly drowned when he was swept away by the river current during a break from filming .   The filming of the bridge explosion was to be done on 10 March 1957 , in the presence of S.W.R.D. Bandaranaike , then Prime Minister of Ceylon , and a team of government dignitaries . However , cameraman Freddy Ford was unable to get out of the way of the explosion in time , and Lean had to stop filming . The train crashed into a generator on the other side of the bridge and was wrecked . It was repaired in time to be blown up the next morning , with Bandaranaike and his entourage present .   The producers nearly suffered a catastrophe following the filming of the bridge explosion . To ensure they captured the one - time event , multiple cameras from several angles were used . Ordinarily , the film would have been taken by boat to London , but due to the Suez crisis this was impossible ; therefore the film was taken by air freight . When the shipment failed to arrive in London , a worldwide search was undertaken . To the producers ' horror the film containers were found a week later on an airport tarmac in Cairo , sitting in the hot sun . Although it was not exposed to sunlight , the heat - sensitive colour film stock should have been hopelessly ruined ; however , when processed the shots were perfect and appeared in the film .   Music and soundtrack ( edit )     The Bridge on the River Kwai ( Original Soundtrack Recording )     First edition vinyl cover     Soundtrack album by Various     Released   1957     Recorded   October 21 , 1957     Genre   Soundtrack     Length   44 : 49     Label   Columbia     Producer   Various       Professional ratings     Review scores     Source   Rating     AllMusic       Discogs       British composer Malcolm Arnold recalled that he had `` ten days to write around forty - five minutes worth of music '' - much less time than he was used to . He described the music for The Bridge on the River Kwai as the `` worst job I ever had in my life '' from the point of view of time .   A memorable feature of the film is the tune that is whistled by the POWs -- the first strain of the march `` Colonel Bogey '' -- when they enter the camp . Gavin Young recounts meeting Donald Wise , a former prisoner of the Japanese who worked on the Burma Railway . Young : `` Donald , did anyone whistle Colonel Bogey ... as they did in the film ? '' Wise : `` I never heard it in Thailand . We had n't much breath left for whistling . But in Bangkok I was told that David Lean , the film 's director , became mad at the extras who played the prisoners -- us -- because they could n't march in time . Lean shouted at them , ' For God 's sake , whistle a march to keep time to . ' And a bloke called George Siegatz ... -- an expert whistler -- began to whistle Colonel Bogey , and a hit was born . ''   The march was written in 1914 by Kenneth J. Alford , a pseudonym of British Bandmaster Frederick J. Ricketts . The Colonel Bogey strain was accompanied by a counter-melody using the same chord progressions , then continued with film composer Malcolm Arnold 's own composition , `` The River Kwai March , '' played by the off - screen orchestra taking over from the whistlers , though Arnold 's march was not heard in completion on the soundtrack . Mitch Miller had a hit with a recording of both marches .   In many tense , dramatic scenes , only the sounds of nature are used . An example of this is when commandos Warden and Joyce hunt a fleeing Japanese soldier through the jungle , desperate to prevent him from alerting other troops . Arnold won an Academy Award for the film 's score .     The Bridge on the River Kwai ( Original Soundtrack Recording )     No .   Title   Performer ( s )   Length     1 .   `` Overture '' ( feat . Royal Philharmonic Orchestra )   Malcolm Arnold   4 : 24     2 .   `` Colonel Bogey March '' ( feat . Royal Philharmonic Orchestra )   Malcolm Arnold   2 : 52     3 .   `` Shear 's Escape '' ( feat . Royal Philharmonic Orchestra )   Malcolm Arnold   3 : 58     4 .   `` Nicholson 's Victory '' ( feat . Royal Philharmonic Orchestra )   Malcolm Arnold   4 : 45     5 .   `` Sunset '' ( feat . Royal Philharmonic Orchestra )   Malcolm Arnold   3 : 54     6 .   `` Working on the Bridge '' ( feat . Royal Philharmonic Orchestra )   Malcolm Arnold   2 : 58     7 .   `` Trek to the Bridge '' ( feat . Royal Philharmonic Orchestra )   Malcolm Arnold   8 : 28     8 .   `` Camp Concert Dance '' ( feat . Royal Philharmonic Orchestra )   Malcolm Arnold   2 : 36     9 .   `` Finale '' ( feat . Royal Philharmonic Orchestra )   Malcolm Arnold   2 : 12     10 .   `` River Kwai March '' ( feat . Royal Philharmonic Orchestra )   Malcolm Arnold   2 : 58     11 .   `` I Give My Heart ( To No One But You ) '' ( feat . Royal Philharmonic Orchestra )   Malcolm Arnold   3 : 16     12 .   `` Dance Music ''   Malcolm Arnold   4 : 54     13 .   `` The River Kwai March / Colonel Bogey March '' ( feat . Mitch Miller &amp; his orchestra )   Malcolm Arnold   2 : 28     Box office performance ( edit )   Variety reported that this film was the No. 1 moneymaker of 1958 , with a US take of $ 18,000,000 . The second highest moneymaker of 1958 was Peyton Place at $12,000,000 ; in third place was Sayonara at $10,500,000 .   The movie was re-released in 1964 and earned an estimated $2.6 million in North American rentals .   Awards and honours ( edit )   Awards ( edit )     List of awards and nominations     Date of ceremony   Award / Film festival     Recipient ( s ) and nominee ( s )   Result   Ref ( s )     March 26 , 1958   Academy Awards   Best Picture   Sam Spiegel   Won       Best Director   David Lean   Won     Best Actor   Alec Guinness   Won     Best Actor in a Supporting Role   Sessue Hayakawa   Nominated     Best Adapted Screenplay   Michael Wilson , Carl Foreman , Pierre Boulle   Won     Best Music , Scoring   Malcolm Arnold   Won     Best Film Editing   Peter Taylor   Won     Best Cinematography   Jack Hildyard   Won     1958   British Academy Film Awards   Best British Film   David Lean and Sam Spiegel   Won       Best Film from any Source   David Lean and Sam Spiegel   Won     Best British Actor   Alec Guinness   Won     1957   Directors Guild of America   Directors Guild of America Award for Outstanding Directorial Achievement in Motion Pictures   David Lean , Assistants : Gus Agosti &amp; Ted Sturgis   Won       February 22 , 1958   Golden Globe Awards   Best Motion Picture -- Drama   David Lean and Sam Spiegel   Won       Best Director   David Lean   Won     Best Actor -- Drama   Alec Guinness   Won     Best Supporting Actor   Sessue Hayakawa   Nominated     May 4 , 1959   Grammy Awards   Grammy Award for Best Soundtrack Album , Dramatic Picture Score or Original Cast   Malcolm Arnold   Won       1957   New York Film Critics Circle Awards   New York Film Critics Circle Awards for Best Film   N / A   Won       New York Film Critics Circle Awards for Best Director   David Lean   Won     New York Film Critics Circle Awards for Best Actor   Alec Guinness   Won     Recognition ( edit )   The film received highly positive reviews , with Guinness being widely praised for his performance .   The film has been selected for preservation in the United States National Film Registry .   Channel 4 held a poll in 2005 to find the 100 Greatest War Movies : The Bridge on the River Kwai came in at # 10 , behind Black Hawk Down and in front of The Dam Busters .   The British Film Institute placed The Bridge on the River Kwai as the eleventh greatest British film .  American Film Institute recognition ( edit )   1998 -- AFI 's 100 Years ... 100 Movies -- # 13   2001 -- AFI 's 100 Years ... 100 Thrills -- # 58   2003 -- AFI 's 100 Years ... 100 Heroes and Villains   Commander Shears - Nominated Villain     2005 -- AFI 's 100 Years ... 100 Movie Quotes   `` Madness . Madness '' -- Nominated     2006 -- AFI 's 100 Years ... 100 Cheers -- # 14   2007 -- AFI 's 100 Years ... 100 Movies ( 10th Anniversary Edition ) -- # 36    First TV broadcast ( edit )   The 167 - minute film was first telecast , uncut , by ABC - TV in colour on the evening of 25 September 1966 , as a three hours - plus ABC Movie Special . The telecast of the film lasted more than three hours because of the commercial breaks . It was still highly unusual at that time for a television network to show such a long film in one evening ; most films of that length were still generally split into two parts and shown over two evenings . But the unusual move paid off for ABC -- the telecast drew huge ratings . On the evenings of 28 and 29 January 1973 , ABC broadcast another David Lean colour spectacular , Lawrence of Arabia , but that broadcast was split into two parts over two evenings , due to the film 's nearly four - hour length .   Restorations ( edit )   The film was restored in 1992 by Columbia Pictures . The separate dialogue , music and effects were located and remixed with newly recorded `` atmospheric '' sound effects . The image was restored by OCS , Freeze Frame , and Pixel Magic with George Hively editing .   On 2 November 2010 Columbia Pictures released a newly restored The Bridge on the River Kwai for the first time on Blu - ray . According to Columbia Pictures , they followed an all - new 4K digital restoration from the original negative with newly restored 5.1 audio . The original negative for the feature was scanned at 4k ( roughly four times the resolution in High Definition ) , and the colour correction and digital restoration were also completed at 4k . The negative itself manifested many of the kinds of issues one would expect from a film of this vintage : torn frames , embedded emulsion dirt , scratches through every reel , colour fading . Unique to this film , in some ways , were other issues related to poorly made optical dissolves , the original camera lens and a malfunctioning camera . These problems resulted in a number of anomalies that were very difficult to correct , like a ghosting effect in many scenes that resembles colour mis - registration , and a tick - like effect with the image jumping or jerking side - to - side . These issues , running throughout the film , were addressed to a lesser extent on various previous DVD releases of the film and might not have been so obvious in standard definition .   In popular Culture ( edit )    Balu Mahendra , the Tamil film director , saw the shooting of this film at Kitulgala , Sri Lanka during his school trip and was inspired to become a film director .   In 1962 , Spike Milligan and Peter Sellers , with Peter Cook and Jonathan Miller , released the LP record Bridge On the River Wye ( Parlophone LP PMC 1190 , PCS 3036 ( November 1962 ) ) . This spoof of the film was based on the script for the 1957 Goon Show episode `` An African Incident '' . Shortly before its release , for legal reasons , producer George Martin edited out the ' K ' every time the word ' Kwai ' was spoken .   The comedy team of Wayne and Shuster performed a sketch titled `` Kwai Me a River '' on their 27 March 1967 TV show , in which an officer in the British Dental Corps is captured by the Japanese and , despite being comically unintimidated by any abuse the commander of the POW camp inflicts on him , is forced to build a ( dental ) `` bridge on the river Kwai '' for the commander and plans to include an explosive in the appliance to detonate in his mouth .    See also ( edit )    List of American films of 1957     Film portal     BFI Top 100 British films   List of historical drama films   List of historical drama films of Asia   To End All Wars ( film )   Return from the River Kwai ( 1989 film )   Siam -- Burma Death Railway ( film )    References ( edit )    Jump up ^ `` The Bridge on the River Kwai ( 1957 ) '' . British Film Institute . Retrieved 7 July 2014 .   ^ Jump up to : Sheldon Hall , Epics , Spectacles , and Blockbusters : A Hollywood History Wayne State University Press , 2010 p 161   Jump up ^ Aljean Harmetz ( March 16 , 1985 ) . `` Oscars Go to Writers of ' Kwai ' '' . The New York Times .   Jump up ^ On the AFI 's 100 Years ... 100 Movies lists , in 1998 ( # 13 ) and 2007 ( # 36 )   Jump up ^ Roger Ebert . `` Great Movies : The First 100 '' . Retrieved February 25 , 2013 .   Jump up ^ `` Remembering the railway : The Bridge on the River Kwai , www.hellfire-pass.commemoration.gov.au . Retrieved 09 - 24 - 2015 .   ^ Jump up to : `` The Colonel of Tamarkan : Philip Toosey and the Bridge on the River Kwai '' , published by the National Army Museum on 03 - 04 - 2012 . Retrieved 09 - 24 - 2015 .   Jump up ^ Reading Room Manchester . `` CWGC - Cemetery Details '' . cwgc.org . Retrieved 10 March 2016 .   Jump up ^ `` links for research , Allied POWs under the Japanese '' . mansell.com . Retrieved 10 March 2016 .   ^ Jump up to : Summer , Julie ( 2005 ) . The Colonel of Tamarkan . Simon &amp; Schuster Ltd . ISBN 0 - 7432 - 6350 - 2 .   Jump up ^ Brownlow , Kevin ( 1996 ) . David Lean : A Biography . New York : St. Martin 's Press . ISBN 0 - 312 - 14578 - 0 . pp. 391 and 766n   Jump up ^ Davies , Peter N. ( 1991 ) . The Man Behind the Bridge . Continuum International Publishing Group . ISBN 0 - 485 - 11402 - X .   Jump up ^ Coast , John ( 2014 ) . Railroad of Death . Myrmidon . ISBN 978 - 1 - 905802 - 93 - 7 .   Jump up ^ `` Boxing Day ( TV Listing ) '' . The Guardian . London . 24 December 1974 . p. 14 .   Jump up ^ Gordon , Ernest ( 1962 ) . Through the Valley of the Kwai . New York : Harper &amp; Row Publishers .   Jump up ^ Summers , Julie ( 2012 ) , `` The Colonel of Tamarkan : Philip Toosey and the Bridge on the River Kwai , p. 6 http://www.nam.a</t>
  </si>
  <si>
    <t xml:space="preserve">bridge on the river kwai fact or fiction</t>
  </si>
  <si>
    <t xml:space="preserve"> The Bridge on the River Kwai is a 1957 British - American epic war film directed by David Lean and starring William Holden , Jack Hawkins , and Alec Guinness , and featuring Sessue Hayakawa . Based on the novel Le Pont de la Rivière Kwai ( 1952 ) by Pierre Boulle , the film is a work of fiction , but borrows the construction of the Burma Railway in 1942 -- 1943 for its historical setting . The movie was filmed in Ceylon ( now Sri Lanka ) . The bridge in the film was near Kitulgala . </t>
  </si>
  <si>
    <t xml:space="preserve">Commonwealth of Nations - wikipedia  Commonwealth of Nations  Jump to : navigation , search `` The Commonwealth '' redirects here . It is not to be confused with the Commonwealth of Independent States . For other uses , see Commonwealth ( disambiguation ) .    Commonwealth of Nations     Flag Logo     Member states of the Commonwealth     Headquarters   Marlborough House , London , England , United Kingdom     Working language   English     Type   Intergovernmental organisation     Member states   52 states ( show )   Antigua and Barbuda   Australia   Bahamas   Bangladesh   Barbados   Belize   Botswana   Brunei   Cameroon   Canada   Cyprus   Dominica   Fiji   Ghana   Grenada   Guyana   India   Jamaica   Kenya   Kiribati   Lesotho   Malawi   Malaysia   Malta   Mauritius   Mozambique   Namibia   Nauru   New Zealand   Nigeria   Pakistan   Papua New Guinea   Rwanda   Saint Kitts and Nevis   Saint Lucia   Saint Vincent and the Grenadines   Samoa   Seychelles   Sierra Leone   Singapore   Solomon Islands   South Africa   Sri Lanka   Swaziland   Tanzania   Tonga   Trinidad and Tobago   Tuvalu   Uganda   United Kingdom   Vanuatu   Zambia       Leaders     Head   Elizabeth II     Secretary - General   Patricia Scotland     Chair - in - Office   Joseph Muscat     Establishment     Balfour Declaration   19 November 1926     Statute of Westminster   11 December 1931     London Declaration   28 April 1949     Area     Total   29,958,050 km ( 11,566,870 sq mi )     Population     2016 estimate   2,418,964,000     Density   75 / km ( 194.2 / sq mi )     GDP ( PPP )   2014 estimate     Total   $14.623 trillion     Per capita   $6,222     GDP ( nominal )   2014 estimate     Total   $10.450 trillion     Per capita   $4,446     Website thecommonwealth.org     The Commonwealth of Nations ( formerly the British Commonwealth ) , also known as simply the Commonwealth , is an intergovernmental organisation of 52 member states that are mostly former territories of the British Empire . The Commonwealth operates by intergovernmental consensus of the member states , organised through the Commonwealth Secretariat and non-governmental organisations , organised through the Commonwealth Foundation .   The Commonwealth dates back to the mid-20th century with the decolonisation of the British Empire through increased self - governance of its territories . It was formally constituted by the London Declaration in 1949 , which established the member states as `` free and equal '' . The symbol of this free association is Queen Elizabeth II who is the Head of the Commonwealth , but this role does not carry any power with it . While there are over 31 republics and five monarchies who have a different monarch , the Queen is the ceremonial head of state and reigning constitutional monarch of 16 members of the Commonwealth , known as Commonwealth realms but retains a crown legally distinct from the other realms with the position as monarch being separate from that of Head of the Commonwealth .   Member states have no legal obligation to one another . Instead , they are united by language , history , culture and their shared values of democracy , free speech , human rights , and the rule of law . These values are enshrined in the Commonwealth Charter and promoted by the quadrennial Commonwealth Games .   The Commonwealth covers more than 29,958,050 km ( 11,566,870 sq mi ) -- equivalent to 20 % of the world 's land area . It spans all six inhabited continents . With an estimated population of 2.419 billion people , nearly a third of the world population , the Commonwealth in 2014 produced a nominal gross domestic product ( GDP ) of $10.45 trillion , representing 14 % of the gross world product when measured nominally and 17 % of the gross world product when measured in purchasing power parity ( PPP ) .     Contents  ( hide )   1 History   1.1 Origin   1.2 Dominions   1.3 Decolonisation and self - governance   1.4 Declining roles   1.5 Republics   1.6 New Commonwealth   1.7 Plan G and inviting Europe to join     2 Structure   2.1 Head of the Commonwealth   2.2 Commonwealth Heads of Government Meeting   2.3 Commonwealth Secretariat   2.4 Commonwealth citizenship and high commissioners     3 Membership   3.1 Criteria   3.2 Members   3.3 Applicants   3.4 Suspension   3.5 Termination     4 Politics   4.1 Objectives and activities   4.2 Competence   4.3 Proposed free movement policy     5 Economy   5.1 Trade     6 Commonwealth Family   6.1 Commonwealth Foundation   6.2 Commonwealth Games   6.3 Commonwealth War Graves Commission   6.4 Commonwealth of Learning   6.5 The Commonwealth Local Government Forum     7 Culture   7.1 Sport   7.2 Literature   7.2. 1 English as official language     7.3 Political system   7.4 Symbols   7.5 Recognition     8 See also   9 Notes   10 References   11 Further reading   11.1 Primary sources     12 External links      History ( edit )   Origin ( edit )  Main articles : British Empire and Historiography of the British Empire The prime ministers of five members at the 1944 Commonwealth Prime Ministers ' Conference . ( L-R ) Mackenzie King ( Canada ) ; Jan Smuts ( South Africa ) ; Winston Churchill ( United Kingdom ) ; Peter Fraser ( New Zealand ) ; John Curtin ( Australia )  Queen Elizabeth II , in her address to Canada on Dominion Day in 1959 , pointed out that the confederation of Canada on 1 July 1867 had been the birth of the `` first independent country within the British Empire '' . She declared : `` So , it also marks the beginning of that free association of independent states which is now known as the Commonwealth of Nations . '' As long ago as 1884 , however , Lord Rosebery , while visiting Australia , had described the changing British Empire -- as some of its colonies became more independent -- as a `` Commonwealth of Nations '' . Conferences of British and colonial prime ministers occurred periodically from the first one in 1887 , leading to the creation of the Imperial Conferences in 1911 .   The Commonwealth developed from the imperial conferences . A specific proposal was presented by Jan Smuts in 1917 when he coined the term `` the British Commonwealth of Nations '' and envisioned the `` future constitutional relations and readjustments in essence '' at the Paris Peace Conference of 1919 by delegates from the Dominions as well as Britain . The term first received imperial statutory recognition in the Anglo - Irish Treaty of 1921 , when the term British Commonwealth of Nations was substituted for British Empire in the wording of the oath taken by members of parliament of the Irish Free State .   Dominions ( edit )   In the Balfour Declaration at the 1926 Imperial Conference , Britain and its dominions agreed they were `` equal in status , in no way subordinate one to another in any aspect of their domestic or external affairs , though united by common allegiance to the Crown , and freely associated as members of the British Commonwealth of Nations . '' These aspects to the relationship were formalised by the Statute of Westminster in 1931 , which applied to Canada without the need for ratification , but Australia , New Zealand , and Newfoundland had to ratify the statute for it to take effect . Newfoundland never did , as on 16 February 1934 , with the consent of its parliament , the government of Newfoundland voluntarily ended and governance reverted to direct control from London . Newfoundland later joined Canada as its 10th province in 1949 . Australia and New Zealand ratified the Statute in 1942 and 1947 respectively .   Although the Union of South Africa was not among the Dominions that needed to adopt the Statute of Westminster for it to take effect , two laws -- the Status of the Union Act , 1934 , and the Royal Executive Functions and Seals Act of 1934 -- were passed to confirm South Africa 's status as a sovereign state .   Decolonisation and self - governance ( edit )  Main article : List of countries that have gained independence from the United Kingdom  After World War II ended , the British Empire was gradually dismantled . Most of its components have become independent countries , whether Commonwealth realms or republics , and members of the Commonwealth . There remain the 14 mainly self - governing British overseas territories which retain some political association with the United Kingdom . In April 1949 , following the London Declaration , the word `` British '' was dropped from the title of the Commonwealth to reflect its changing nature .   Burma ( also known as Myanmar , 1948 ) and Aden ( 1967 ) are the only states that were British colonies at the time of the war not to have joined the Commonwealth upon independence . Former British protectorates and mandates that did not become members of the Commonwealth are Egypt ( independent in 1922 ) , Iraq ( 1932 ) , Transjordan ( 1946 ) , British Palestine ( part of which became the state of Israel in 1948 ) , Sudan ( 1956 ) , British Somaliland ( which united with the former Italian Somaliland in 1960 to form the Somali Republic ) , Kuwait ( 1961 ) , Bahrain ( 1971 ) , Oman ( 1971 ) , Qatar ( 1971 ) , and the United Arab Emirates ( 1971 ) .   Declining roles ( edit )   The postwar Commonwealth was given a fresh mission by Queen Elizabeth in her Christmas Day 1953 broadcast , where she envisioned the Commonwealth as `` an entirely new conception -- built on the highest qualities of the Spirit of Man : friendship , loyalty , and the desire for freedom and peace . '' Hoped for success was reinforced by such achievements as climbing Mount Everest in 1953 , breaking the four minute mile in 1954 , and in 1966 a solo circumnavigation of the globe . However , the humiliation of the Suez Crisis of 1956 badly hurt morale of Britain and the Commonwealth as a whole . More broadly , there was the loss of a central role of the British Empire : the defence of the Empire . That role was no longer militarily or financially feasible , as Britain 's withdrawal from Greece in 1947 had painfully demonstrated . Britain itself was now just one part of the NATO military alliance in which the Commonwealth had no role apart from Canada . The ANZUS treaty of 1955 linked Australia , New Zealand , and the United States in a defensive alliance , with Britain and the Commonwealth left out . The second major function of the Empire made London the financial centre of the system . After the Second World War , the British treasury was so weak that it could not operate independently of the United States . The loss of defence and financial roles , furthermore , undermined Joseph Chamberlain 's early 20th century vision of a world empire that could combine Imperial preference , mutual defence , and social growth arm . Furthermore , Britain 's cosmopolitan role in world affairs became increasingly limited , especially with the losses of India and Singapore . While British elites at first hoped the Commonwealth would preserve and project British influence , they gradually lost their enthusiasm , argues Krishnan Srinivasan . Early enthusiasm waned as British policies came under fire in Commonwealth meetings . Public opinion became troubled as immigration from non-white member states became large - scale .   Republics ( edit )   On 18 April 1949 , Ireland formally became a republic in accordance with the Irish Republic of Ireland Act 1948 . Because it did this , it was automatically excluded from the Commonwealth . While Ireland had not actively participated in the Commonwealth since the early 1930s and was content to leave the Commonwealth , other dominions wished to become republics without losing Commonwealth ties . The issue came to a head in April 1949 at a Commonwealth prime ministers ' meeting in London . Under the London Declaration , India agreed that , when it became a republic in January 1950 , it would accept the British Sovereign as a `` symbol of the free association of its independent member nations and as such the Head of the Commonwealth '' . Upon hearing this , King George VI told the Indian politician Krishna Menon : `` So , I 've become ' as such ' '' . The other Commonwealth countries recognised India 's continuing membership of the association . At Pakistan 's insistence , India was not regarded as an exceptional case and it was assumed that other states would be accorded the same treatment as India .   The London Declaration is often seen as marking the beginning of the modern Commonwealth . Following India 's precedent , other nations became republics , or constitutional monarchies with their own monarchs , while some countries retained the same monarch as the United Kingdom , but their monarchies developed differently and soon became fully independent of the British monarchy . The monarch is regarded as a separate legal personality in each realm , even though the same person is monarch of each realm .   New Commonwealth ( edit )   Planners in the interwar period , like Lord Davies , who had also taken `` a prominent part in building up the League of Nations Union '' in the United Kingdom , in 1932 founded the New Commonwealth Society , of which British section Winston Churchill became the president . This new society was aimed at the creation of an international air force to be the arm of the League of Nations , to allow nations to disarm and safeguard the peace .   The term New Commonwealth has been used in Great Britain ( especially in the 1960s and 1970s ) to refer to recently decolonised countries , predominantly non-white and developing . It was often used in debates about immigration from these countries . Britain and the pre-1945 dominions became informally known as the Old Commonwealth , or more pointedly as the white Commonwealth .   Plan G and inviting Europe to join ( edit )   At a time when Germany and France , together with Belgium , Italy , Luxembourg , and the Netherlands , were planning for what later became the European Union , and newly independent African countries were joining the Commonwealth , new ideas were floated to prevent Britain from becoming isolated in economic affairs . British trade with the Commonwealth was four times larger than trade with Europe . The British government under Prime Minister Anthony Eden considered in 1956 and 1957 a `` plan G '' to create a European free trade zone while also protecting the favoured status of the Commonwealth . Britain also considered inviting Scandinavian and other European countries to join the Commonwealth so it would become a major economic common market . At one point in October 1956 Eden and French Prime Minister Guy Mollet discussed having France join the Commonwealth . Nothing came of any of the proposals .   Structure ( edit )   Head of the Commonwealth ( edit )  Main article : Head of the Commonwealth Queen Elizabeth II , Head of the Commonwealth  Under the formula of the London Declaration , Queen Elizabeth II is the Head of the Commonwealth , a title that is by law a part of Elizabeth 's royal titles in each of the Commonwealth realms , the 16 members of the Commonwealth that recognise the Queen as their monarch . However , when the monarch dies , the successor to the crown does not automatically become Head of the Commonwealth . The position is symbolic , representing the free association of independent members , the majority of which ( 31 ) are republics , and five have monarchs of different royal houses ( Brunei , Lesotho , Malaysia , Swaziland , and Tonga ) .   Commonwealth Heads of government meeting ( edit )  Main article : Commonwealth Heads of Government Meeting  The main decision - making forum of the organisation is the biennial Commonwealth Heads of Government Meeting ( CHOGM ) , where Commonwealth heads of government , including ( amongst others ) prime ministers and presidents , assemble for several days to discuss matters of mutual interest . CHOGM is the successor to the Meetings of Commonwealth Prime Ministers and , earlier , the Imperial Conferences and Colonial Conferences , dating back to 1887 . There are also regular meetings of finance ministers , law ministers , health ministers , etc . Members in arrears , as special members before them , are not invited to send representatives to either ministerial meetings or CHOGMs .   The head of government hosting the CHOGM is called the Commonwealth Chairperson - in - Office and retains the position until the following CHOGM . After the most recent CHOGM , in Valletta , Malta , from 26 to 29 November 2015 Malta 's prime minister , Joseph Muscat , became the Chairperson - in - Office and will continue to hold the title until the next CHOGM .   Commonwealth Secretariat ( edit )  Main article : Commonwealth Secretariat Marlborough House , London , the headquarters of the Commonwealth Secretariat , the Commonwealth 's principal intergovernmental institution  The Commonwealth Secretariat , established in 1965 , is the main intergovernmental agency of the Commonwealth , facilitating consultation and co-operation among member governments and countries . It is responsible to member governments collectively . The Commonwealth of Nations is represented in the United Nations General Assembly by the secretariat as an observer . The secretariat organises Commonwealth summits , meetings of ministers , consultative meetings and technical discussions ; it assists policy development and provides policy advice , and facilitates multilateral communication among the member governments . It also provides technical assistance to help governments in the social and economic development of their countries and in support of the Commonwealth 's fundamental political values .   The secretariat is headed by the Commonwealth Secretary - General who is elected by Commonwealth heads of government for no more than two four - year terms . The secretary - general and two deputy secretaries - general direct the divisions of the Secretariat . The present secretary - general is Patricia Scotland , Baroness Scotland of Asthal , from Dominica , who took office on 1 April 2016 , succeeding Kamalesh Sharma of India ( 2008 -- 2016 ) . The first secretary - general was Arnold Smith of Canada ( 1965 -- 75 ) , followed by Sir Shridath Ramphal of Guyana ( 1975 -- 90 ) , Chief Emeka Anyaoku of Nigeria ( 1990 -- 99 ) , and Don McKinnon of New Zealand ( 2000 - 2008 ) .   Commonwealth citizenship and High commissioners ( edit )  Main article : Commonwealth citizen  In recognition of their shared heritage and culture , Commonwealth countries are not considered to be `` foreign '' to each other , although the technical extent of this concept varies in different countries . For example , in Australia , for the purpose of considering certain constitutional and legal provisions no distinction is made between Commonwealth and foreign countries : in the High Court case of Sue v Hill , other Commonwealth countries were held to be foreign powers ; similarly , in Nolan v Minister for Immigration and Ethnic Affairs , the nationals of other Commonwealth realms were held to be ' aliens ' . Nevertheless , the closer association amongst Commonwealth countries is reflected at least in the diplomatic protocols of the Commonwealth countries . For example , when engaging bilaterally with one another , Commonwealth governments exchange high commissioners instead of ambassadors . Between two Commonwealth realms , they represent the head of government rather than the head of state .   In addition , some members treat resident citizens of other Commonwealth countries preferentially to citizens of non-Commonwealth countries . Britain and several others , mostly in the Caribbean , grant the right to vote to Commonwealth citizens who reside in those countries . In non-Commonwealth countries in which their own country is not represented , Commonwealth citizens may seek consular assistance at the British embassy . Other alternatives can also occur such as an emergency consular services agreement between Canada and Australia that began in 1986 .   Membership ( edit )  Members of the Commonwealth shaded according to their political status . Commonwealth realms are shown in blue , republics in pink , and members with their own monarchy are displayed in green .  Criteria ( edit )  Main article : Commonwealth of Nations membership criteria  The criteria for membership of the Commonwealth of Nations have developed over time from a series of separate documents . The Statute of Westminster 1931 , as a fundamental founding document of the organisation , laid out that membership required dominionhood . The 1949 London Declaration ended this , allowing republican and indigenous monarchic members on the condition that they recognised the British monarch as the `` Head of the Commonwealth '' . In the wake of the wave of decolonisation in the 1960s , these constitutional principles were augmented by political , economic , and social principles . The first of these was set out in 1961 , when it was decided that respect for racial equality would be a requirement for membership , leading directly to the withdrawal of South Africa 's re-application ( which they were required to make under the formula of the London Declaration upon becoming a republic ) . The 14 points of the 1971 Singapore Declaration dedicated all members to the principles of world peace , liberty , human rights , equality , and free trade .   These criteria were unenforceable for two decades , until , in 1991 , the Harare Declaration was issued , dedicating the leaders to applying the Singapore principles to the completion of decolonisation , the end of the Cold War , and the end of apartheid in South Africa . The mechanisms by which these principles would be applied were created , and the manner clarified , by the 1995 Millbrook Commonwealth Action Programme , which created the Commonwealth Ministerial Action Group ( CMAG ) , which has the power to rule on whether members meet the requirements for membership under the Harare Declaration . Also in 1995 , an Inter-Governmental Group was created to finalise and codify the full requirements for membership . Upon reporting in 1997 , as adopted under the Edinburgh Declaration , the Inter-Governmental Group ruled that any future members would have to have a direct constitutional link with an existing member .   In addition to this new rule , the former rules were consolidated into a single document . These requirements are that members must accept and comply with the Harare principles , be fully sovereign states , recognise the monarch of the Commonwealth realms as the Head of the Commonwealth , accept the English language as the means of Commonwealth communication , and respect the wishes of the general population with regard to Commonwealth membership . These requirements had undergone review , and a report on potential amendments was presented by the Committee on Commonwealth Membership at the 2007 Commonwealth Heads of Government Meeting . New members were not admitted at this meeting , though applications for admission were considered at the 2009 CHOGM .   New members must `` as a general rule '' have a direct constitutional link to an existing member . In most cases , this is due to being a former colony of the United Kingdom , but some have links to other countries , either exclusively or more directly ( e.g. Samoa to New Zealand , Papua New Guinea to Australia , and Namibia to South Africa ) . The first member to be admitted without having any constitutional link to the British Empire or a Commonwealth member was Mozambique , a former Portuguese colony , in 1995 following its first democratic elections and South Africa 's re-admission in 1994 . Mozambique 's controversial entry led to the Edinburgh Declaration and the current membership guidelines . In 2009 , Rwanda became the second Commonwealth member admitted not to have any such constitutional links . It was a Belgian trust territory that had been a German colony until World War I. Consideration for its admission was considered an `` exceptional circumstance '' by the Commonwealth Secretariat .   Members ( edit )  Main article : Member states of the Commonwealth of Nations Flags of the members of the Commonwealth in Parliament Square , London The Commonwealth flag flying at the Parliament of Canada in Ottawa  The Commonwealth comprises 52 countries , across all continents . The members have a combined population of 2.3 billion people , almost a third of the world population , of which 1.26 billion live in India and 94 % live in Asia and Africa combined . After India , the next - largest Commonwealth countries by population are Pakistan ( 180 million ) , Nigeria ( 170 million ) , Bangladesh ( 156 million ) , the United Kingdom ( 63 million ) and South Africa ( 52 million ) . Tuvalu is the smallest member , with about 10,000 people .   The land area of the Commonwealth nations is about 31,500,000 km ( 12,200,000 sq mi ) , or about 21 % of the total world land area . The three largest Commonwealth nations by area are Canada at 9,984,670 km ( 3,855,100 sq mi ) , Australia at 7,617,930 km ( 2,941,300 sq mi ) , and India at 3,287,263 km ( 1,269,219 sq mi ) . In 2016 , the Commonwealth members had a combined gross domestic product of over $9 trillion , 78 % of which is accounted for by the four largest economies : United Kingdom ( $2.629 trillion ) , India ( $2.256 trillion ) , Canada ( $1.529 trillion ) , and Australia ( $1.258 trillion ) .   The status of `` Member in Arrears '' is used to denote those that are in arrears in paying subscription dues . The status was originally known as `` special membership '' , but was renamed on the Committee on Commonwealth Membership 's recommendation . There are currently no Members in Arrears . The most recent Member in Arrears , Nauru , returned to full membership in June 2011 . Nauru has alternated between special and full membership since joining the Commonwealth , depending on its financial situation .   Applicants ( edit )  See also : Commonwealth of Nations membership criteria § Prospective members  In 1997 the Commonwealth Heads of Government agreed that , to become a member of the Commonwealth , an applicant country should , as a rule , have had a constitutional association with an existing Commonwealth member ; that it should comply with Commonwealth values , principles and priorities as set out in the Harare Declaration ; and that it should accept Commonwealth norms and conventions .   South Sudan ( 2013 ) and The Gambia ( 2017 ) are the only countries specifically expressing an interest in joining or rejoining the Commonwealth . A senior Commonwealth source argued in 2006 that `` many people have assumed an interest from Israel , but there has been no formal approach '' . The State of Palestine is also a potential candidate for membership .   President Yahya Jammeh unilaterally withdrew The Gambia from the Commonwealth in October 2013 . However , newly elected president Adama Barrow has pledged to return the country to the organisation and the Commonwealth Secretariat has said that it would welcome an application to re-join .   Other eligible applicants could be any of the remaining inhabited British overseas territories , Crown dependencies , Australian external territories and the Associated States of New Zealand if they become fully independent . Many such jurisdictions are already directly represented within the Commonwealth , particularly through the Commonwealth Family . There are also former British possessions that have not become independent , for example , Hong Kong , which still participates in some of the institutions within the Commonwealth Family . All three Crown dependencies regard the existing situation as unsatisfactory and have lobbied for change . The States of Jersey have called on the UK Foreign Secretary to request that the Commonwealth Heads of Government `` consider granting associate membership to Jersey and the other Crown Dependencies as well as any other territories at a similarly advanced stage of autonomy '' . Jersey has proposed that it be accorded `` self - representation in all Commonwealth meetings ; full participation in debates and procedures , with a right to speak where relevant and the opportunity to enter into discussions with those who are full members ; and no right to vote in the Ministerial or Heads of Government meetings , which is reserved for full members '' . The States of Guernsey and the Government of the Isle of Man have made calls of a similar nature for a more integrated relationship with the Commonwealth , including more direct representation and enhanced participation in Commonwealth organisations and meetings , including Commonwealth Heads of Government Meetings . The Chief Minister of the Isle of Man has said : `` A closer connection with the Commonwealth itself would be a welcome further development of the Island 's international relationships '' .   At the time of the Suez Crisis in 1956 , in the face of colonial unrest and international tensions , French Premier Guy Mollet proposed to British Prime Minister Anthony Eden that their two countries be joined in a `` union '' . When that proposal was turned down , Mollet suggested that France joined the Commonwealth , possibly with `` a common citizenship arrangement on the Irish basis . '' Talks regarding a form of union faded away with the end of the Suez crisis .   Suspension ( edit )  Main article : Suspension from the Commonwealth of Nations  In recent years , the Commonwealth has suspended several members `` from the Councils of the Commonwealth '' for `` serious or persistent violations '' of the Harare Declaration , particularly in abrogating their responsibility to have democratic government . This is done by the Commonwealth Ministerial Action Group ( CMAG ) , which meets regularly to address potential breaches of the Harare Declaration . Suspended members are not represented at meetings of Commonwealth leaders and ministers , although they remain members of the organisation . Currently , there are no suspended members .   Nigeria was suspended between 11 November 1995 and 29 May 1999 , following its execution of Ken Saro - Wiwa on the eve of the 1995 CHOGM . Pakistan was the second country to be suspended , on 18 October 1999 , following the military coup by Pervez Musharraf . The Commonwealth 's longest suspension came to an end on 22 May 2004 , when Pakistan 's suspension was lifted following the restoration of the country 's constitution . Pakistan was suspended for a second time , far more briefly , for six months from 22 November 2007 , when Musharraf called a state of emergency . Zimbabwe was suspended in 2002 over concerns regarding the electoral and land reform policies of Robert Mugabe 's ZANU - PF government , before it withdrew from the organisation in 2003 .   The declaration of a Republic in Fiji in 1987 , after military coups designed to deny Indo - Fijians political power , was not accompanied by an application to remain . Commonwealth membership was held to have lapsed until 1997 , after discriminatory provisions in the republican constitution were repealed and reapplication for membership made . Fiji has since been suspended twice , with the first imposed from 6 June 2000 to 20 December 2001 after another coup . Fiji was suspended yet again in December 2006 , following the most recent coup . At first , the suspension applied only to membership on the Councils of the Commonwealth . After failing to meet a Commonwealth deadline for setting a date for national elections by 2010 , Fiji was `` fully suspended '' on 1 September 2009 . The Secretary - General of the Commonwealth , Kamalesh Sharma , confirmed that full suspension meant that Fiji would be excluded from Commonwealth meetings , sporting events and the technical assistance programme ( with an exception for assistance in re-establishing democracy ) . Sharma stated that Fiji would remain a member of the Commonwealth during its suspension , but would be excluded from emblematic representation by the secretariat . On 19 March 2014 Fiji 's full suspension was amended to a suspension from councils of the Commonwealth by the Commonwealth Ministerial Action Group , permitting Fiji to join a number of Commonwealth activities , including the Commonwealth Games . Fiji 's suspension was lifted in September 2014 . The Commonwealth Ministerial Action Group fully reinstated Fiji as a member following elections in September 2014 .   Most recently , during 2013 and 2014 , international pressure mounted to suspend Sri Lanka from the Commonwealth , citing grave human rights violations by the government of President Mahinda Rajapaksa . There were also calls</t>
  </si>
  <si>
    <t xml:space="preserve">is hong kong a part of the commonwealth</t>
  </si>
  <si>
    <t xml:space="preserve"> The transfer of sovereignty over Hong Kong in 1997 ended the colony 's ties to the Commonwealth through the United Kingdom . The government of Hong Kong , as a special administrative region of China , did not pursue membership . Hong Kong has nevertheless continued to participate in some of the organisations of the Commonwealth family , such as the Commonwealth Lawyers Association ( hosted the Commonwealth Lawyers Conference in 1983 and 2009 ) , the Commonwealth Parliamentary Association ( and the Westminster Seminar on Parliamentary Practice and Procedures ) , the Association of Commonwealth Universities and the Commonwealth Association of Legislative Counsel . </t>
  </si>
  <si>
    <r>
      <rPr>
        <sz val="11"/>
        <color rgb="FF000000"/>
        <rFont val="Calibri"/>
        <family val="0"/>
        <charset val="1"/>
      </rPr>
      <t xml:space="preserve">Pulse - wikipedia  Pulse  This article is about heartbeats . For other uses , see Pulse ( disambiguation ) .      This article needs additional citations for verification . Please help improve this article by adding citations to reliable sources . Unsourced material may be challenged and removed . ( December 2008 ) ( Learn how and when to remove this template message )       Pulse     Diagram of the rise and lower of blood pressure from a pulse .     Organisms   Animalia *     Biological system   Circulatory system     Health   Unaffected †     Action   Involuntary     Method   Heart pumps blood using reciprocating method causing inconstant blood flow throughout the circulatory system that can be recognized . ( See Cardiac cycle )     Frequency   60 -- 100 per minute ( Humans )     Duration   0.6 -- 1 second ( Humans )      Animalia with the exception of Porifera , Cnidaria , Ctenophora , Platyhelminthes , Bryozoan , Amphioxus .  † Trials with calves using pulseless artificial hearts showed no adverse effects .      Pulse evaluation at the radial artery . Recommended points to evaluate pulse  In medicine , a pulse represents the tactile arterial palpation of the heartbeat by trained fingertips . The pulse may be palpated in any place that allows an artery to be compressed near the surface of the body , such as at the neck ( carotid artery ) , wrist ( radial artery ) , at the groin ( femoral artery ) , behind the knee ( popliteal artery ) , near the ankle joint ( posterior tibial artery ) , and on foot ( dorsalis pedis artery ) . Pulse ( or the count of arterial pulse per minute ) is equivalent to measuring the heart rate . The heart rate can also be measured by listening to the heart beat by auscultation , traditionally using a stethoscope and counting it for a minute . The radial pulse is commonly measured using three fingers . This has a reason : the finger closest to the heart is used to occlude the pulse pressure , the middle finger is used get a crude estimate of the blood pressure , and the finger most distal to the heart ( usually the ring finger ) is used to nullify the effect of the ulnar pulse as the two arteries are connected via the palmar arches ( superficial and deep ) . The study of the pulse is known as sphygmology .   Contents    1 Physiology   2 Characteristics of pulse   2.1 Rate   2.2 Rhythm   2.3 Volume   2.3. 1 Hypokinetic pulse   2.3. 2 Hyperkinetic pulse     2.4 Force   2.5 Tension   2.6 Form   2.7 Equality   2.8 Condition of arterial wall   2.9 Radio - femoral delay     3 Patterns   4 Common palpable sites   4.1 Upper limb   4.2 Lower limb   4.3 Head and neck   4.4 Torso     5 History   6 See also   7 References    Physiology ( edit )   Claudius Galen was perhaps the first physiologist to describe the pulse . The pulse is an expedient tactile method of determination of systolic blood pressure to a trained observer . Diastolic blood pressure is non-palpable and unobservable by tactile methods , occurring between heartbeats .   Pressure waves generated by the heart in systole move the arterial walls . Forward movement of blood occurs when the boundaries are pliable and compliant . These properties form enough to create a palpable pressure wave .   The heart rate may be greater or lesser than the pulse rate depending upon physiologic demand . In this case , the heart rate is determined by auscultation or audible sounds at the heart apex , in which case it is not the pulse . The pulse deficit ( difference between heart beats and pulsations at the periphery ) is determined by simultaneous palpation at the radial artery and auscultation at the PMI , near the heart apex . It may be present in case of premature beats or atrial fibrillation .   Pulse velocity , pulse deficits and much more physiologic data are readily and simplistically visualized by the use of one or more arterial catheters connected to a transducer and oscilloscope . This invasive technique has been commonly used in intensive care since the 1970s .   The rate of the pulse is observed and measured by tactile or visual means on the outside of an artery and is recorded as beats per minute or BPM .   The pulse may be further indirectly observed under light absorbances of varying wavelengths with assigned and inexpensively reproduced mathematical ratios . Applied capture of variances of light signal from the blood component hemoglobin under oxygenated vs. deoxygenated conditions allows the technology of pulse oximetry .   Characteristics of pulse ( edit )   Rate ( edit )  Main article : Heart rate  Normal pulse rates at rest , in beats per minute ( BPM ) :       Infant heartbeat Infant heartbeat     Problems playing this file ? See media help .       newborn ( 0 -- 3 months old )   infants ( 3 -- 6 months )   infants ( 6 -- 12 months )   children ( 1 -- 10 years )   children over 10 years &amp; adults , including seniors   well - trained adult athletes     99 - 149   89 -- 119   79 - 119   69 -- 129   59 -- 99   39 -- 59     The pulse rate can be used to check overall heart health and fitness level . Generally lower is better , but bradycardias can be dangerous . Symptoms of a dangerously slow heartbeat include weakness , loss of energy and fainting .   Rhythm ( edit )   A normal pulse is regular in rhythm and force . An irregular pulse may be due to sinus arrhythmia , ectopic beats , atrial fibrillation , paroxysmal atrial tachycardia , atrial flutter , partial heart block etc . Intermittent dropping out of beats at pulse is called `` intermittent pulse '' . Examples of regular intermittent ( regularly irregular ) pulse include pulsus bigeminus , second - degree atrioventricular block . An example of irregular intermittent ( irregularly irregular ) pulse is atrial fibrillation .   Volume ( edit )   The degree of expansion displayed by artery during diastolic and systolic state is called volume . It is also known as amplitude , expansion or size of pulse .  Hypokinetic pulse ( edit )  A weak pulse signifies narrow pulse pressure . It may be due to low cardiac output ( as seen in shock , congestive cardiac failure ) , hypovolemia , valvular heart disease ( such as aortic outflow tract obstruction , mitral stenosis , aortic arch syndrome ) etc .  Hyperkinetic pulse ( edit )  A bounding pulse signifies high pulse pressure . It may be due to low peripheral resistance ( as seen in fever , anemia , thyrotoxicosis , hyperkinetic heart syndrome ( de ) , A-V fistula , Paget 's disease , beriberi , liver cirrhosis ) , increased cardiac output , increased stroke volume ( as seen in anxiety , exercise , complete heart block , aortic regurgitation ) , decreased distensibility of arterial system ( as seen in atherosclerosis , hypertension and coarctation of aorta ) .   The strength of the pulse can also be reported :    0 = Absent   1 = Barely palpable   2 = Easily palpable   3 = Full   4 = Aneurysmal or bounding pulse    Force ( edit )   Also known as compressibility of pulse . It is a rough measure of systolic blood pressure .   Tension ( edit )   It corresponds to diastolic blood pressure . A low tension pulse ( pulsus mollis ) , the vessel is soft or impalpable between beats . In high tension pulse ( pulsus durus ) , vessels feel rigid even between pulse beats .   Form ( edit )   A form or contour of a pulse is palpatiory estimation of arteriogram . A quickly rising and quickly falling pulse ( pulsus celer ) is seen in aortic regurgitation . A slow rising and slowly falling pulse ( pulsus tardus ) is seen in aortic stenosis .   Equality ( edit )   Comparing pulses and different places gives valuable clinical information .   A discrepant or unequal pulse between left and right radial artery is observed in anomalous or aberrant course of artery , coarctation of aorta , aortitis , dissecting aneurysm , peripheral embolism etc . An unequal pulse between upper and lower extremities is seen in coarctation to aorta , aortitis , block at bifurcation of aorta , dissection of aorta , iatrogenic trauma and arteriosclerotic obstruction .   Condition of arterial wall ( edit )   A normal artery is not palpable after flattening by digital pressure . A thick radial artery which is palpable 7.5 -- 10 cm up the forearm is suggestive of arteriosclerosis .   Radio - femoral delay ( edit )   In coarctation of aorta , femoral pulse may be significantly delayed as compared to radial pulse ( unless there is coexisting aortic regurgitation ) . The delay can also be observed in supravalvar aortic stenosis .   Patterns ( edit )   Several pulse patterns can be of clinically significance . These include :    A dicrotic pulse is characterized by a percussion wave in systole and a prominent dicrotic wave in diastole . Physiologically , the dicrotic wave is the result of reflected waves from the lower extremities and aorta . Conditions associated with low cardiac output and high systemic vascular resistance can produce a dicrotic pulse .   Pulsus alternans : an ominous medical sign that indicates progressive systolic heart failure . To trained fingertips , the examiner notes a pattern of a strong pulse followed by a weak pulse over and over again . This pulse signals a flagging effort of the heart to sustain itself in systole .   Pulsus bigeminus : indicates a pair of hoofbeats within each heartbeat . Concurrent auscultation of the heart may reveal a gallop rhythm of the native heartbeat .   Pulsus bisferiens : an unusual physical finding typically seen in patients with aortic valve diseases . If the aortic valve does not normally open and close , trained fingertips will observe two pulses to each heartbeat instead of one .   Pulsus tardus et parvus , also pulsus parvus et tardus , slow - rising pulse and anacrotic pulse , is weak ( parvus ) , and late ( tardus ) relative to its expected characteristics . It is caused by a stiffened aortic valve that makes it progressively harder to open , thus requiring increased generation of blood pressure in the left ventricle . It is seen in aortic valve stenosis .   Pulsus paradoxus : a condition in which some heartbeats can not be detected at the radial artery during the inspiration phase of respiration . It is caused by an exaggerated decrease in blood pressure during this phase , and is diagnostic of a variety of cardiac and respiratory conditions of varying urgency .   Tachycardia : an elevated resting heart rate . In general an electrocardiogram ( ECG ) is required to identify the type of tachycardia .   Pulsatile This description of the pulse implies the intrinsic physiology of systole and diastole . Scientifically , systole and diastole are forces that expand and contract the pulmonary and systemic circulations .   A collapsing pulse is a sign of hyperdynamic circulation .    Common palpable sites ( edit )     Upper limb ( edit )  Front of right upper extremity   Axillary pulse : located inferiorly of the lateral wall of the axilla   Brachial pulse : located on the inside of the upper arm near the elbow , frequently used in place of carotid pulse in infants ( brachial artery )   Radial pulse : located on the lateral of the wrist ( radial artery ) . It can also be found in the anatomical snuff box .   Ulnar pulse : located on the medial of the wrist ( ulnar artery ) .    Chinese medicine has focused on the pulse in the upper limbs for several centuries . The concept of pulse diagnosis is essentially based on palpation and observations of the radial and ulnar volar pulses at the readily accessible wrist .   Lower limb ( edit )    Femoral pulse : located in the inner thigh , at the mid-inguinal point , halfway between the pubic symphysis and anterior superior iliac spine ( femoral artery ) .   Popliteal pulse : Above the knee in the popliteal fossa , found by holding the bent knee . The patient bends the knee at approximately 124 ° , and the physician holds it in both hands to find the popliteal artery in the pit behind the knee ( Popliteal artery ) .   Dorsalis pedis pulse : located on top of the foot , immediately lateral to the extensor of hallucis longus ( dorsalis pedis artery ) .   Tibialis posterior pulse : located on the medial side of the ankle , 2 cm inferior and 2 cm posterior to the medial malleolus ( posterior tibial artery ) . It is easily palpable over Pimenta 's Point .    Head and neck ( edit )  Arteries of the neck .   Carotid pulse : located in the neck ( carotid artery ) . The carotid artery should be palpated gently and while the patient is sitting or lying down . Stimulating its baroreceptors with low palpitation can provoke severe bradycardia or even stop the heart in some sensitive persons . Also , a person 's two carotid arteries should not be palpated at the same time . Doing so may limit the flow of blood to the head , possibly leading to fainting or brain ischemia . It can be felt between the anterior border of the sternocleidomastoid muscle , above the hyoid bone and lateral to the thyroid cartilage .   Facial pulse : located on the mandible ( lower jawbone ) on a line with the corners of the mouth ( facial artery ) .   Temporal pulse : located on the temple directly in front of the ear ( superficial temporal artery ) .    Although the pulse can be felt in multiple places in the head , people should not normally hear their heartbeats within the head . This is called pulsatile tinnitus , and it can indicate several medical disorders .   Torso ( edit )    Apical pulse : located in the 5th left intercostal space , 1.25 cm lateral to the mid-clavicular line . In contrast with other pulse sites , the apical pulse site is unilateral , and measured not under an artery , but below the heart itself ( more specifically , the apex of the heart ) . See also apex beat .    History ( edit )   The first person to accurately measure the pulse rate was Santorio Santorii who invented the pulsilogium , a form of pendulum , based on the work by Galileo Galilei . A century later another physician , de Lacroix , used the pulsilogium to test cardiac function .   See also ( edit )    Heart rate   Pulse meter   Tempo    References ( edit )       Wikimedia Commons has media related to Pulse .      Jump up ^ Temkin 165 ; BBC ( a )   Jump up ^ U.S. Department of Health and Human Services - National Ites of Health Pulse   Jump up ^ `` Pulse Rate Measurement '' . Healthwise . WebMD . Retrieved 14 March 2011 .   Jump up ^ `` www.meddean.luc.edu '' . Retrieved 2009 - 05 - 20 .   Jump up ^ `` Vascular Surgery , University of Kansas School of Medicine '' . Retrieved 2009 - 05 - 20 .   Jump up ^ Dennis , Mark ; Bowen , William Talbot ; Cho , Lucy ( 2016 ) . Mechanisms of Clinical Signs - EPub3 . Elsevier Health Sciences . p. 177 . ISBN 9780729585613 .   ^ Jump up to : McGee , Steven ( 2016 ) . Evidence - Based Physical Diagnosis E-Book . Elsevier Health Sciences . pp. 105 -- 106 . ISBN 9780323508711 .   Jump up ^ Li JC , Yuan Y , Qin W , et al. ( April 2007 ) . `` Evaluation of the tardus - parvus pattern in patients with atherosclerotic and nonatherosclerotic renal artery stenosis '' . J Ultrasound Med. 26 ( 4 ) : 419 -- 26 . PMID 17384038 .   Jump up ^ Toy , Eugene , et al. Case Files : Internal Medicine . McGraw - Hill Companies , Inc. 2007 . Page 43 . ISBN 0 - 07 - 146303 - 8 .   Jump up ^ Sanders , Roger C. ; Winter , Thomas Charles ( 2007 ) . Clinical Sonography : A Practical Guide . Lippincott Williams &amp; Wilkins . p. 219 . ISBN 9780781748698 .              Medical examination and history taking     Medical history     Chief complaint   History of the present illness   Systems review   Nursing assessment   Allergies   Medications     Past medical history   Family history   Social history   Psychiatric history   Progress notes   Mnemonics   SAMPLE   OPQRST   SOAP   COASTMAP         Physical examination      General / IPPA     Inspection   Auscultation   Palpation   Percussion       Vital signs     Temperature   Heart rate   Blood pressure   Respiratory rate       HEENT     Oral mucosa   TM   Eyes ( Ophthalmoscopy , Swinging - flashlight test )   Hearing ( Weber , Rinne )       Respiratory     Respiratory sounds   Cyanosis   Clubbing       Cardiovascular     Precordial examination   Peripheral vascular examination   Heart sounds     Other   Jugular venous pressure   Abdominojugular test   Carotid bruit   Ankle - brachial pressure index         Abdominal      Digestive     Liver span   Rectal   Murphy 's sign   Bowel sounds       Urinary     Murphy 's punch sign          Extremities / Joint     Back ( Straight leg raise )   Knee ( McMurray test )   Hip   Wrist ( Tinel sign , Phalen maneuver )   Shoulder ( Adson 's sign )   GALS screen       Neurological     Mental state   Mini -- mental state examination     Cranial nerve examination   Upper limb neurological examination       Neonatal     Apgar score   Ballard Maturational Assessment       Gynecological     Well - woman examination   Vaginal examination   Breast examination   Cervical motion tenderness          Assessment and plan     Medical diagnosis   Differential diagnosis                 Physiology of the cardiovascular system     Heart      Cardiac output     Cardiac cycle   Cardiac output   Heart rate   Stroke volume     Stroke volume   End - diastolic volume   End - systolic volume     Afterload   Preload   Frank -- Starling law   Cardiac function curve   Venous return curve   Wiggers diagram   Pressure volume diagram       Ultrasound     Fractional shortening = ( End - diastolic dimension   End - systolic dimension ) / End - diastolic dimension   Aortic valve area calculation   Ejection fraction   Cardiac index       Heart rate     Cardiac pacemaker   Chronotropic ( Heart rate )   Dromotropic ( Conduction velocity )   Inotropic ( Contractility )   Bathmotropic ( Excitability )   Lusitropic ( Relaxation )       Conduction     Conduction system   Cardiac electrophysiology   Action potential   cardiac   atrial   ventricular     Effective refractory period   Pacemaker potential   Electrocardiography   P wave   PR interval   QRS complex   QT interval   ST segment   T wave   U wave     Hexaxial reference system       Chamber pressure     Central venous   Right   atrial   ventricular     pulmonary artery   wedge     Left   atrial   ventricular     Aortic       Other     Ventricular remodeling          Vascular system / Hemodynamics      Blood flow     Compliance   Vascular resistance   Pulse   Perfusion       Blood pressure     Pulse pressure   Systolic   Diastolic     Mean arterial pressure   Jugular venous pressure   Portal venous pressure       Regulation of BP     Baroreflex   Kinin -- kallikrein system   Renin -- angiotensin system   Vasoconstrictors   Vasodilators   Autoregulation   Myogenic mechanism   Tubuloglomerular feedback   Cerebral autoregulation     Paraganglia   Aortic body   Carotid body   Glomus cell                      Symptoms and signs relating to the cardiovascular system ( R00 -- R03 , 785 )     Chest pain     Referred pain   Angina   Aerophagia       Auscultation     Heart sounds   Split S2   S3   S4   Gallop rhythm     Heart murmur   Systolic   Diastolic   Continuous     Pericardial friction rub   Heart click   Bruit   carotid         Pulse     Tachycardia   Bradycardia   Pulsus tardus et parvus   Pulsus paradoxus   doubled   Pulsus bisferiens   Dicrotic pulse   Pulsus bigeminus     Pulsus alternans   Pulse deficit       Vascular disease     Gangrene       Other     Palpitations   Apex beat     Cœur en sabot   Jugular venous pressure   Cannon A waves     Hyperaemia       Shock     Cardiogenic   Hypovolemic   Distributive   Septic   Neurogenic        Retrieved from `` https://en.wikipedia.org/w/index.php?title=Pulse&amp;oldid=853519745 '' Categories :   Cardiovascular physiology   Mathematics in medicine   Hidden categories :   Articles needing additional references from December 2008   All articles needing additional references   Articles with hAudio microformats   Interlanguage link template link number           Talk                                           Contents                   About Wikipedia                                                   Asturianu   Авар   Azərbaycanca   Беларуская   Беларуская ( тарашкевіца ) ‎   Български   Català   Čeština   Cymraeg   Dansk   Deutsch   Español   Esperanto   Euskara   فارسی   Français   Gaeilge   Galego   </t>
    </r>
    <r>
      <rPr>
        <sz val="11"/>
        <color rgb="FF000000"/>
        <rFont val="Noto Sans CJK SC"/>
        <family val="2"/>
      </rPr>
      <t xml:space="preserve">한국어   </t>
    </r>
    <r>
      <rPr>
        <sz val="11"/>
        <color rgb="FF000000"/>
        <rFont val="Calibri"/>
        <family val="0"/>
        <charset val="1"/>
      </rPr>
      <t xml:space="preserve">Հայերեն   हिन्दी   Hrvatski   Bahasa Indonesia   Íslenska   Italiano   עברית   ಕನ್ನಡ   ქართული   Қазақша   Кыргызча   Latviešu   Lëtzebuergesch   Lietuvių   Magyar   Македонски   മലയാളം   Nederlands   </t>
    </r>
    <r>
      <rPr>
        <sz val="11"/>
        <color rgb="FF000000"/>
        <rFont val="Noto Sans CJK SC"/>
        <family val="2"/>
      </rPr>
      <t xml:space="preserve">日本 語   </t>
    </r>
    <r>
      <rPr>
        <sz val="11"/>
        <color rgb="FF000000"/>
        <rFont val="Calibri"/>
        <family val="0"/>
        <charset val="1"/>
      </rPr>
      <t xml:space="preserve">Norsk   Norsk nynorsk   ਪੰਜਾਬੀ   Polski   Português   Română   Русский   Sicilianu   Simple English   سنڌي   Slovenčina   کوردی   Српски / srpski   Srpskohrvatski / српскохрватски   Suomi   Svenska   தமிழ்   Татарча / tatarça   ไทย   Türkçe   Українська   Tiếng Việt   Walon   </t>
    </r>
    <r>
      <rPr>
        <sz val="11"/>
        <color rgb="FF000000"/>
        <rFont val="Noto Sans CJK SC"/>
        <family val="2"/>
      </rPr>
      <t xml:space="preserve">中文  </t>
    </r>
    <r>
      <rPr>
        <sz val="11"/>
        <color rgb="FF000000"/>
        <rFont val="Calibri"/>
        <family val="0"/>
        <charset val="1"/>
      </rPr>
      <t xml:space="preserve">54 more  Edit links   This page was last edited on 5 August 2018 , at 09 : 29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</si>
  <si>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can pulse be felt in the body</t>
  </si>
  <si>
    <t xml:space="preserve"> In medicine , a pulse represents the tactile arterial palpation of the heartbeat by trained fingertips . The pulse may be palpated in any place that allows an artery to be compressed near the surface of the body , such as at the neck ( carotid artery ) , wrist ( radial artery ) , at the groin ( femoral artery ) , behind the knee ( popliteal artery ) , near the ankle joint ( posterior tibial artery ) , and on foot ( dorsalis pedis artery ) . Pulse ( or the count of arterial pulse per minute ) is equivalent to measuring the heart rate . The heart rate can also be measured by listening to the heart beat by auscultation , traditionally using a stethoscope and counting it for a minute . The radial pulse is commonly measured using three fingers . This has a reason : the finger closest to the heart is used to occlude the pulse pressure , the middle finger is used get a crude estimate of the blood pressure , and the finger most distal to the heart ( usually the ring finger ) is used to nullify the effect of the ulnar pulse as the two arteries are connected via the palmar arches ( superficial and deep ) . The study of the pulse is known as sphygmology . </t>
  </si>
  <si>
    <t xml:space="preserve">Falklands War - wikipedia  Falklands War  This article is about the 1982 war . For the 1770 diplomatic crisis , see Falklands Crisis ( 1770 ) .    Falklands War     Map outlining the British recapture of the islands        Date   2 April -- 14 June 1982 ( 2 months , 1 week and 5 days )     Location   Falkland Islands , South Georgia and the South Sandwich Islands and surrounding sea and airspace     Result   British victory     Territorial changes     Status quo ante bellum in South Georgia and the Falklands   Argentine occupation of Southern Thule ended          Belligerents     United Kingdom   Argentina     Commanders and leaders       Margaret Thatcher   Sir Terence Lewin   Sir John Fieldhouse   Sandy Woodward   Jeremy Moore   Julian Thompson   Tony Wilson       Leopoldo Galtieri   Jorge Anaya   Basilio Lami Dozo   Juan Lombardo   Ernesto Crespo   Mario Menéndez       Casualties and losses       255 killed   775 wounded   115 POWs   2 destroyers   2 frigates   1 LSL   1 LCU   1 container ship   24 helicopters   10 fighters   1 bomber ( interned in Brazil )       649 killed   1,657 wounded   11,313 POWs   1 cruiser   1 submarine   4 cargo vessels   2 patrol boats   1 spy trawler   25 helicopters   35 fighters   2 bombers   4 cargo aircraft   25 COIN aircraft   9 armed trainers       3 civilians killed by British shelling               Falklands War       Argentine invasion   South Georgia   Occupation     Paraquet   Black Buck   Belgrano   Sobral   Sheffield   Pebble Island   Mikado   Sutton   San Carlos   Ardent   Seal Cove   Antelope   Atlantic Conveyor   Coventry   Goose Green   Mount Kent   Top Malo House   Bluff Cove   Many Branch Point   Mount Harriet   Two Sisters   Glamorgan   Mount Longdon   Wireless Ridge   Mount Tumbledown   Port Stanley   Thule Island       The Falklands War ( Spanish : Guerra de las Malvinas ) , also known as the Falklands Conflict , Falklands Crisis , Malvinas War , South Atlantic Conflict , and the Guerra del Atlántico Sur ( Spanish for `` South Atlantic War '' ) , was a ten - week war between Argentina and the United Kingdom over two British dependent territories in the South Atlantic : the Falkland Islands , and its territorial dependency , the South Georgia and the South Sandwich Islands . It began on Friday , 2 April 1982 , when Argentina invaded and occupied the Falkland Islands ( and , the following day , South Georgia and the South Sandwich Islands ) in an attempt to establish the sovereignty it had claimed over them . On 5 April , the British government dispatched a naval task force to engage the Argentine Navy and Air Force before making an amphibious assault on the islands . The conflict lasted 74 days and ended with the Argentine surrender on 14 June 1982 , returning the islands to British control . In total , 649 Argentine military personnel , 255 British military personnel , and three Falkland Islanders died during the hostilities .   The conflict was a major episode in the protracted confrontation over the territories ' sovereignty . Argentina asserted ( and maintains ) that the islands are Argentine territory , and the Argentine government thus characterised its military action as the reclamation of its own territory . The British government regarded the action as an invasion of a territory that had been a Crown colony since 1841 . Falkland Islanders , who have inhabited the islands since the early 19th century , are predominantly descendants of British settlers , and strongly favour British sovereignty . Neither state officially declared war , although both governments declared the Islands a war zone . Hostilities were almost exclusively limited to the territories under dispute and the area of the South Atlantic where they lie .   The conflict has had a strong effect in both countries and has been the subject of various books , articles , films , and songs . Patriotic sentiment ran high in Argentina , but the outcome prompted large protests against the ruling military government , hastening its downfall . In the United Kingdom , the Conservative government , bolstered by the successful outcome , was re-elected with an increased majority the following year . The cultural and political effect of the conflict has been less in the UK than in Argentina , where it remains a common topic for discussion .   Diplomatic relations between the United Kingdom and Argentina were restored in 1989 following a meeting in Madrid , at which the two governments issued a joint statement . No change in either country 's position regarding the sovereignty of the Falkland Islands was made explicit . In 1994 , Argentina 's claim to the territories was added to its constitution .   Contents    1 Lead - up to the conflict   2 Argentine invasion   2.1 Initial British response   2.2 Position of third party countries     3 British Task Force   3.1 Recapture of South Georgia and the attack on Santa Fe   3.2 Black Buck raids   3.3 Escalation of the air war   3.4 Sinking of ARA General Belgrano   3.5 Sinking of HMS Sheffield   3.6 British special forces operations     4 Land battles   4.1 Landing at San Carlos -- Bomb Alley   4.2 Battle of Goose Green   4.3 Special forces on Mount Kent   4.4 Bluff Cove and Fitzroy   4.5 Fall of Stanley     5 Recapture of South Sandwich Islands   6 Casualties   6.1 Red Cross Box   6.2 British casualty evacuation     7 Aftermath   7.1 Military analysis   7.2 Memorials   7.3 Minefields     8 Press and publicity   8.1 Argentina   8.2 United Kingdom     9 Cultural impact   10 See also   11 Notes   12 References   13 Bibliography   13.1 Historiography     14 External links    Lead - up to the conflict ( edit )  Main article : Events leading to the Falklands War Lieutenant General Leopoldo Galtieri , leader of the Argentine Junta Admiral Jorge Anaya was the driving force in the Junta 's decision to invade .  In the period leading up to the war -- and , in particular , following the transfer of power between the military dictators General Jorge Rafael Videla and General Roberto Eduardo Viola late in March 1981 -- Argentina had been in the midst of a devastating economic stagnation and large - scale civil unrest against the military junta that had been governing the country since 1976 . In December 1981 there was a further change in the Argentine military regime , bringing to office a new junta headed by General Leopoldo Galtieri ( acting president ) , Air Brigadier Basilio Lami Dozo and Admiral Jorge Anaya . Anaya was the main architect and supporter of a military solution for the long - standing claim over the islands , calculating that the United Kingdom would never respond militarily .   By opting for military action , the Galtieri government hoped to mobilise the long - standing patriotic feelings of Argentines towards the islands , and thus divert public attention from the country 's chronic economic problems and the regime 's ongoing human rights violations of the Dirty War . Such action would also bolster its dwindling legitimacy . The newspaper La Prensa speculated in a step - by - step plan beginning with cutting off supplies to the islands , ending in direct actions late in 1982 , if the UN talks were fruitless .   The ongoing tension between the two countries over the islands increased on 19 March when a group of Argentine scrap metal merchants ( actually infiltrated by Argentine marines ) raised the Argentine flag at South Georgia Island , an act that would later be seen as the first offensive action in the war . The Royal Navy ice patrol vessel HMS Endurance was dispatched from Stanley to South Georgia on the 25th in response . The Argentine military junta , suspecting that the UK would reinforce its South Atlantic Forces , ordered the invasion of the Falkland Islands to be brought forward to 2 April .   The UK was initially taken by surprise by the Argentine attack on the South Atlantic islands , despite repeated warnings by Royal Navy captain Nicholas Barker and others . Barker believed that Defence Secretary John Nott 's 1981 review ( in which Nott described plans to withdraw the Endurance , the UK 's only naval presence in the South Atlantic ) had sent a signal to the Argentines that the UK was unwilling , and would soon be unable , to defend its territories and subjects in the Falklands .   Argentine invasion ( edit )  Main articles : 1982 invasion of the Falkland Islands , Invasion of South Georgia , Argentine air forces in the Falklands War , Argentine naval forces in the Falklands War , and Argentine ground forces in the Falklands War The Argentine destroyer ARA Santísima Trinidad landed Special Forces south of Stanley Argentinian soldiers in Port Stanley , 2 April 1982  On 2 April 1982 , Argentine forces mounted amphibious landings , known as Operation Rosario , on the Falkland Islands . The invasion was met with a nominal defence organised by the Falkland Islands ' Governor Sir Rex Hunt , giving command to Major Mike Norman of the Royal Marines . The events of the invasion included the landing of Lieutenant Commander Guillermo Sanchez - Sabarots ' Amphibious Commandos Group , the attack on Moody Brook barracks , the engagement between the troops of Hugo Santillan and Bill Trollope at Stanley , and the final engagement and surrender at Government House .   Initial British response ( edit )  Further information : British naval forces in the Falklands War , British ground forces in the Falklands War , and British air services in the Falklands War The cover of Newsweek magazine , 19 April 1982 , depicts HMS Hermes , flagship of the British Task Force . The title references the 1980 Star Wars sequel .  Word of the invasion first reached the UK from Argentine sources . A Ministry of Defence operative in London had a short telex conversation with Governor Hunt 's telex operator , who confirmed that Argentines were on the island and in control . Later that day , BBC journalist Laurie Margolis spoke with an islander at Goose Green via amateur radio , who confirmed the presence of a large Argentine fleet and that Argentine forces had taken control of the island . Operation Corporate was the codename given to the British military operations in the Falklands War . The commander of task force operations was Admiral Sir John Fieldhouse . Operations lasted from 1 April 1982 to 20 June 1982 . The British undertook a series of military operations as a means of recapturing the Falklands from Argentine occupation . The British government had taken action prior to the 2 April invasion . In response to events on South Georgia , the submarines HMS Splendid and HMS Spartan were ordered to sail south on 29 March , whereas the stores ship Royal Fleet Auxiliary ( RFA ) Fort Austin was dispatched from the Western Mediterranean to support HMS Endurance . Lord Carrington had wished to send a third submarine , but the decision was deferred due to concerns about the impact on operational commitments . Coincidentally , on 26 March , the submarine HMS Superb left Gibraltar and it was assumed in the press it was heading south . There has since been speculation that the effect of those reports was to panic the Argentine junta into invading the Falklands before nuclear - powered submarines could be deployed .   The following day , during a crisis meeting headed by the Prime Minister Margaret Thatcher , the Chief of the Naval Staff , Admiral Sir Henry Leach , advised them that `` Britain could and should send a task force if the islands are invaded '' . On 1 April , Leach sent orders to a Royal Navy force carrying out exercises in the Mediterranean to prepare to sail south . Following the invasion on 2 April , after an emergency meeting of the cabinet , approval was given to form a task force to retake the islands . This was backed in an emergency session of the House of Commons the next day .   On 6 April , the British Government set up a War Cabinet to provide day - to - day political oversight of the campaign . This was the critical instrument of crisis management for the British with its remit being to `` keep under review political and military developments relating to the South Atlantic , and to report as necessary to the Defence and Overseas Policy Committee '' . Until it was dissolved on 12 August , the War Cabinet met at least daily . Although Margaret Thatcher is described as dominating the War Cabinet , Lawrence Freedman notes in the Official History of the Falklands Campaign that she did not ignore opposition or fail to consult others . However , once a decision was reached she `` did not look back '' .   Position of third party countries ( edit )   On the evening of 3 April , the United Kingdom 's United Nations ambassador Sir Anthony Parsons put a draft resolution to the United Nations Security Council . The resolution , which condemned the hostilities and demanded the immediate Argentine withdrawal from the Islands , was adopted by the council the following day as United Nations Security Council Resolution 502 , which passed with ten votes in support , one against ( Panama ) and four abstentions ( China , the Soviet Union , Poland and Spain ) . The UK received further political support from member countries of the Commonwealth of Nations and the European Economic Community . The EEC also provided economic support by imposing economic sanctions on Argentina . Argentina itself was politically backed by a majority of countries in Latin America ( though not , crucially , Chile ) and some members of the Non-Aligned Movement .   The New Zealand government expelled the Argentinian ambassador following the invasion . The Prime Minister , Robert Muldoon , was in London when the war broke out and in an opinion piece published in The Times he said : `` The military rulers of Argentina must not be appeased ... New Zealand will back Britain all the way . '' Broadcasting on the BBC World Service , he told the Falkland Islanders : `` This is Rob Muldoon . We are thinking of you and we are giving our full and total support to the British Government in its endeavours to rectify this situation and get rid of the people who have invaded your country . '' On 20 May 1982 , he announced that New Zealand would make HMNZS Canterbury , a Leander - class frigate , available for use where the British thought fit to release a Royal Navy vessel for the Falklands . In the House of Commons afterwards , Margaret Thatcher said : `` ... the New Zealand Government and people have been absolutely magnificent in their support for this country ( and ) the Falkland Islanders , for the rule of liberty and of law '' .   The Sierra Leone government allowed Task force ships to refuel at Freetown .   VC10 transport aircraft landed at Banjul in The Gambia while flying between the UK and Ascension Island .   France allowed UK aircraft and warships use of its port and airfield facilities at Dakar in Senegal .   The war was an unexpected event in a world strained by the Cold War and the North -- South divide . The response of some countries was the effort to mediate the crisis and later as the war began , the support ( or criticism ) based in terms of anti-colonialism , political solidarity , historical relationships or realpolitik .   The United States was concerned that a protracted conflict could draw the Soviet Union on Argentina 's side , and initially tried to mediate an end to the conflict through `` shuttle diplomacy '' . However , when Argentina refused the U.S. peace overtures , U.S. Secretary of State Alexander Haig announced that the United States would prohibit arms sales to Argentina and provide material support for British operations . Both Houses of the U.S. Congress passed resolutions supporting the U.S. action siding with the United Kingdom .   The U.S. provided the United Kingdom with military equipment ranging from submarine detectors to the latest missiles . President Ronald Reagan approved the Royal Navy 's request to borrow the Sea Harrier - capable amphibious assault ship USS Iwo Jima ( LPH - 2 ) if the British lost an aircraft carrier . The United States Navy developed a plan to help the British man the ship with American military contractors , likely retired sailors with knowledge of Iwo Jima 's systems .   France provided dissimilar aircraft training so Harrier pilots could train against the French aircraft used by Argentina . French and British intelligence also worked to prevent Argentina from obtaining more Exocet missiles on the international market . At the same time Peru attempted to purchase 12 missiles for Argentina , in a failed secret operation .   Chile gave support to the UK in the form of intelligence about the Argentine military and early warning intelligence on Argentine air movements . Throughout the war , Argentina was afraid of a Chilean military intervention in Patagonia and kept some of its best mountain regiments away from the Falklands near the Chilean border as a precaution .   While France overtly backed the United Kingdom , a French technical team remained in Argentina throughout the war . French government sources have said that the French team was engaged in intelligence - gathering ; however , it simultaneously provided direct material support to the Argentines , identifying and fixing faults in Exocet missile launchers . According to the book Operation Israel , advisers from Israel Aerospace Industries were already in Argentina and continued their work during the conflict . The book also claims that Israel sold weapons and drop tanks in a secret operation in Peru . Peru also openly sent `` Mirages , pilots and missiles '' to Argentina during the war . Peru had earlier transferred ten Hercules transport planes to Argentina soon after the British Task Force had set sail in April 1982 . Nick van der Bijl records that , after the Argentine defeat at Goose Green , Venezuela and Guatemala offered to send paratroopers to the Falklands . Through Libya , under Muammar Gaddafi , Argentina received 20 launchers and 60 SA - 7 missiles , as well as machine guns , mortars and mines ; all in all , the load of four trips of two Boeing 707s of the AAF , refuelled in Recife with the knowledge and consent of the Brazilian government . Some of these clandestine logistics operations were mounted by the Soviet Union .   British task force ( edit )  Main article : British logistics in the Falklands War HMS Invincible , one of two aircraft carriers that the Royal Navy had available for the task force . Royal Navy Fleet Air Arm Sea Harrier FRS1 . The gloss paint scheme was altered to a duller one en route south .  The British government had no contingency plan for an invasion of the islands , and the task force was rapidly put together from whatever vessels were available . The nuclear - powered submarine Conqueror set sail from France on 4 April , whilst the two aircraft carriers Invincible and Hermes , in the company of escort vessels , left Portsmouth only a day later . On its return to Southampton from a world cruise on 7 April , the ocean liner SS Canberra was requisitioned and set sail two days later with 3 Commando Brigade aboard . The ocean liner Queen Elizabeth 2 was also requisitioned and left Southampton on 12 May with 5th Infantry Brigade on board . The whole task force eventually comprised 127 ships : 43 Royal Navy vessels , 22 Royal Fleet Auxiliary ships and 62 merchant ships .   The retaking of the Falkland Islands was considered extremely difficult . The U.S. Navy considered a successful counter-invasion by the British `` a military impossibility '' . Firstly , the British were significantly constrained by the disparity in deployable air cover . The British had 42 aircraft ( 28 Sea Harriers and 14 Harrier GR. 3s ) available for air combat operations , against approximately 122 serviceable jet fighters , of which about 50 were used as air superiority fighters and the remainder as strike aircraft , in Argentina 's air forces during the war . Crucially , the British lacked airborne early warning and control ( AEW ) aircraft . Planning also considered the Argentine surface fleet and the threat posed by Exocet - equipped vessels or the two Type 209 submarines .   By mid-April , the Royal Air Force had set up the airbase of RAF Ascension Island , co-located with Wideawake Airfield on the mid-Atlantic British overseas territory of Ascension Island , including a sizeable force of Avro Vulcan B Mk 2 bombers , Handley Page Victor K Mk 2 refuelling aircraft , and McDonnell Douglas Phantom FGR Mk 2 fighters to protect them . Meanwhile , the main British naval task force arrived at Ascension to prepare for active service . A small force had already been sent south to recapture South Georgia .   Encounters began in April ; the British Task Force was shadowed by Boeing 707 aircraft of the Argentine Air Force during their travel to the south . Several of these flights were intercepted by Sea Harriers outside the British - imposed exclusion zone ; the unarmed 707s were not attacked because diplomatic moves were still in progress and the UK had not yet decided to commit itself to armed force . On 23 April , a Brazilian commercial Douglas DC - 10 from VARIG Airlines en route to South Africa was intercepted by British Harriers who visually identified the civilian plane .   Recapture of South Georgia and the attack on Santa Fe ( edit )   The South Georgia force , Operation Paraquet , under the command of Major Guy Sheridan RM , consisted of Marines from 42 Commando , a troop of the Special Air Service ( SAS ) and Special Boat Service ( SBS ) troops who were intended to land as reconnaissance forces for an invasion by the Royal Marines . All were embarked on RFA Tidespring . First to arrive was the Churchill - class submarine HMS Conqueror on 19 April , and the island was over-flown by a radar - mapping Handley Page Victor on 20 April .   The first landings of SAS troops took place on 21 April , but -- with the southern hemisphere autumn setting in -- the weather was so bad that their landings and others made the next day were all withdrawn after two helicopters crashed in fog on Fortuna Glacier . On 23 April , a submarine alert was sounded and operations were halted , with Tidespring being withdrawn to deeper water to avoid interception . On 24 April , the British forces regrouped and headed in to attack .  The ARA Santa Fe ( as USS Catfish ) in 1956  On 25 April , after resupplying the Argentine garrison in South Georgia , the submarine ARA Santa Fe was spotted on the surface by a Westland Wessex HAS Mk 3 helicopter from HMS Antrim , which attacked the Argentine submarine with depth charges . HMS Plymouth launched a Westland Wasp HAS. Mk. 1 helicopter , and HMS Brilliant launched a Westland Lynx HAS Mk 2 . The Lynx launched a torpedo , and strafed the submarine with its pintle - mounted general purpose machine gun ; the Wessex also fired on Santa Fe with its GPMG . The Wasp from HMS Plymouth as well as two other Wasps launched from HMS Endurance fired AS - 12 ASM antiship missiles at the submarine , scoring hits . Santa Fe was damaged badly enough to prevent her from diving . The crew abandoned the submarine at the jetty at King Edward Point on South Georgia .   With Tidespring now far out to sea , and the Argentine forces augmented by the submarine 's crew , Major Sheridan decided to gather the 76 men he had and make a direct assault that day . After a short forced march by the British troops and a naval bombardment demonstration by two Royal Navy vessels ( Antrim and Plymouth ) , the Argentine forces surrendered without resistance . The message sent from the naval force at South Georgia to London was , `` Be pleased to inform Her Majesty that the White Ensign flies alongside the Union Jack in South Georgia . God Save the Queen . '' The Prime Minister , Margaret Thatcher , broke the news to the media , telling them to `` Just rejoice at that news , and congratulate our forces and the Marines ! ''   Black Buck raids ( edit )  Main article : Operation Black Buck RAF Avro Vulcan B. Mk. 2 strategic bomber  On 1 May , British operations on the Falklands opened with the `` Black Buck 1 '' attack ( of a series of five ) on the airfield at Stanley . A Vulcan bomber from Ascension flew on an 8,000 - nautical - mile ( 15,000 km ; 9,200 mi ) round trip dropping conventional bombs across the runway at Stanley and back to Ascension . The mission required repeated refuelling , and required several Victor K2 tanker aircraft operating in concert , including tanker to tanker refuelling . The overall effect of the raids on the war is difficult to determine , and the raids consumed precious tanker resources from Ascension , but also prevented Argentina from stationing fast jets on the islands .   The raids did minimal damage to the runway , and damage to radars was quickly repaired . As of 2014 the Royal Air Force Web site stated that all the three bombing missions had been successful , but historian Lawrence Freedman , who had access to classified documents , said in a 2005 book that the subsequent bombing missions were failures . Argentine sources said that the Vulcan raids influenced Argentina to withdraw some of its Mirage IIIs from Southern Argentina to the Buenos Aires Defence Zone . This was later described as propaganda by Falklands veteran Commander Nigel Ward . In any case , the effect of the Vulcan raids on Argentina 's deployment of defensive fighters was watered down when British officials made clear that there would be no strikes on air bases in Argentina .   Of the five Black Buck raids , three were against Stanley Airfield , with the other two anti-radar missions using Shrike anti-radiation missiles .   Escalation of the air War ( edit )  French - built Super Étendard of the Argentine Naval Aviation  The Falklands had only three airfields . The longest and only paved runway was at the capital , Stanley , and even that was too short to support fast jets ( although an arrestor gear was fitted in April to support Skyhawks ) . Therefore , the Argentines were forced to launch their major strikes from the mainland , severely hampering their efforts at forward staging , combat air patrols , and close air support over the islands . The effective loiter time of incoming Argentine aircraft was low , and they were later compelled to overfly British forces in any attempt to attack the islands .   The first major Argentine strike force comprised 36 aircraft ( A-4 Skyhawks , IAI Daggers , English Electric Canberras , and Mirage III escorts ) , and was sent on 1 May , in the belief that the British invasion was imminent or landings had already taken place . Only a section of Grupo 6 ( flying IAI Dagger aircraft ) found ships , which were firing at Argentine defences near the islands . The Daggers managed to attack the ships and return safely . This greatly boosted morale of the Argentine pilots , who now knew they could survive an attack against modern warships , protected by radar ground clutter from the Islands and by using a late pop up profile . Meanwhile , other Argentine aircraft were intercepted by BAE Sea Harriers operating from HMS Invincible . A Dagger and a Canberra were shot down .   Combat broke out between Sea Harrier FRS Mk 1 fighters of No. 801 Naval Air Squadron and Mirage III fighters of Grupo 8 . Both sides refused to fight at the other 's best altitude , until two Mirages finally descended to engage . One was shot down by an AIM - 9L Sidewinder air - to - air missile ( AAM ) , while the other escaped but was damaged and without enough fuel to return to its mainland air base . The plane made for Stanley , where it fell victim to friendly fire from the Argentine defenders .   As a result of this experience , Argentine Air Force staff decided to employ A-4 Skyhawks and Daggers only as strike units , the Canberras only during the night , and Mirage IIIs ( without air refuelling capability or any capable AAM ) as decoys to lure away the British Sea Harriers . The decoying would be later extended with the formation of the Escuadrón Fénix , a squadron of civilian jets flying 24 hours - a-day simulating strike aircraft preparing to attack the fleet . On one of these flights on 7 June , an Air Force Learjet 35A was shot down , killing the squadron commander , Vice Commodore Rodolfo De La Colina , the highest - ranking Argentine officer to die in the war . Stanley was used as an Argentine strongpoint throughout the conflict . Despite the Black Buck and Harrier raids on Stanley airfield ( no fast jets were stationed there for air defence ) and overnight shelling by detached ships , it was never out of action entirely . Stanley was defended by a mixture of surface - to - air missile ( SAM ) systems ( Franco - German Roland and British Tigercat ) and Swiss - built Oerlikon 35 mm twin anti-aircraft cannons . Lockheed Hercules transport night flights brought supplies , weapons , vehicles , and fuel , and airlifted out the wounded up until the end of the conflict .   The only Argentine Hercules shot down by the British was lost on 1 June when TC - 63 was intercepted by a Sea Harrier in daylight when it was searching for the British fleet north - east of the islands after the Argentine Navy retired its last SP - 2H Neptune due to airframe attrition .   Various options to attack the home base of the five Argentine Etendards at Río Grande were examined and discounted ( Operation Mikado ) , subsequently five Royal Navy submarines lined up , submerged , on the edge of Argentina 's 12 - nautical - mile ( 22 km ; 14 mi ) territorial limit to provide early warning of bombing raids on the British task force .   Sinking of ARA General Belgrano ( edit )  ARA General Belgrano , sinking Alferez Sobral  Two British naval task forces ( one of surface vessels and one of submarines ) and the Argentine fleet were operating in the neighbourhood of the Falklands and soon came into conflict . The first naval loss was the Second World War - vintage Argentine light cruiser ARA General Belgrano . The nuclear - powered submarine HMS Conqueror sank General Belgrano on 2 May . Three hundred and twenty - three members of General Belgrano 's crew died in the incident . More than 700 men were rescued from the open ocean despite cold seas and stormy weather . The losses from General Belgrano totalled nearly half of the Argentine deaths in the Falklands conflict and the loss of the ship hardened the stance of the Argentine government .   Regardless of controversies over the sinking -- including disagreement about the exact nature of the maritime exclusion zone and whether General Belgrano had been returning to port at the time of the sinking -- it had a crucial strategic effect : the elimination of the Argentine naval threat . After her loss , the entire Argentine fleet , with the exception of the conventional submarine ARA San Luis , returned to port and did not leave again during the fighting . The two escorting destroyers and the battle group centred on the aircraft carrier ARA Veinticinco de Mayo both withdrew from the area , ending the direct threat to the British fleet that their pincer movement had represented .   However , settling the controversy in 2003 , the ship 's captain Hector Bonzo confirmed that General Belgrano had actually been manoeuvering , not `` sailing away '' from the exclusion zone , and had orders to sink `` any British ship he could find '' . Further , Captain Bonzo stated that any suggestion that HMS Conqueror 's actions were a `` betrayal '' was utterly wrong ; rather , the submarine carried out its duties according to the accepted rules of war .   In a separate incident later that night , British forces engaged an Argentine patrol gunboat , the ARA Alferez Sobral , that was searching for the crew of the Argentine Air Force Canberra light bomber shot down on 1 May . Two Royal Navy Lynx helicopters fired four Sea Skua missiles at her . Badly damaged and with eight crew dead , Alferez Sobral managed to return to Puerto Deseado two days later . The Canberra 's crew were never found .   Sinking of HMS Sheffield ( edit )  HMS Sheffield  On 4 May , two days after the sinking of General Belgrano , the British lost the Type 42 destroyer HMS Sheffield to fire following an Exocet missile strike from the Argentine 2nd Naval Air Fighter / Attack Squadron . Sheffield had been ordered forward with two other Type 42s to provide a long - range radar and medium - high altitude missile picket far from the British carriers . She was struck amidships , with devastating effect , ultimately killing 20 crew members and severely injuring 24 others . The ship was abandoned several hours later , gutted and deformed by the fires that continued to </t>
  </si>
  <si>
    <t xml:space="preserve">why did argentina attack the falklands/malvinas islands</t>
  </si>
  <si>
    <t xml:space="preserve"> The Falklands War ( Spanish : Guerra de las Malvinas ) , also known as the Falklands Conflict , Falklands Crisis , Malvinas War , South Atlantic Conflict , and the Guerra del Atlántico Sur ( Spanish for `` South Atlantic War '' ) , was a ten - week war between Argentina and the United Kingdom over two British dependent territories in the South Atlantic : the Falkland Islands , and its territorial dependency , the South Georgia and the South Sandwich Islands . It began on Friday , 2 April 1982 , when Argentina invaded and occupied the Falkland Islands ( and , the following day , South Georgia and the South Sandwich Islands ) in an attempt to establish the sovereignty it had claimed over them . On 5 April , the British government dispatched a naval task force to engage the Argentine Navy and Air Force before making an amphibious assault on the islands . The conflict lasted 74 days and ended with the Argentine surrender on 14 June 1982 , returning the islands to British control . In total , 649 Argentine military personnel , 255 British military personnel , and three Falkland Islanders died during the hostilities . </t>
  </si>
  <si>
    <r>
      <rPr>
        <sz val="11"/>
        <color rgb="FF000000"/>
        <rFont val="Calibri"/>
        <family val="0"/>
        <charset val="1"/>
      </rPr>
      <t xml:space="preserve">Orbit of the Moon - wikipedia  Orbit of the Moon  Jump to : navigation , search   Not to be confused with Lunar orbit ( the orbit of an object around the Moon ) .    Orbit of the Moon       Diagram of the Moon 's orbit with respect to the Earth        Property   Value     Semi-major axis   384,748 km ( 239,071 mi )     Mean distance   385,000 km ( 239,000 mi )     Inverse sine parallax   384,400 km ( 238,900 mi )     Perigee ( i.e. min . distance from Earth )   362,600 km ( 225,300 mi ) ( avg . ) ( 356 400 -- 370 400 km )     Apogee ( i.e. max . distance from Earth )   405,400 km ( 251,900 mi ) ( avg . ) ( 404 000 -- 406 700 km )     Mean eccentricity   6998549006000000000 ♠ 0.054 9006 ( 0.026 -- 0.077 )     Mean obliquity   6.687 °     Mean inclination       of orbit to ecliptic   5.15 ° ( 4.99 -- 5.30 )     of lunar equator to ecliptic   1.543 °     Period of       orbit around Earth ( sidereal )   27.322 days     orbit around Earth ( synodic )   29.530 days     precession of nodes   18.5996 years     precession of line of apsides   8.8504 years        The Moon orbits Earth in the prograde direction and completes one revolution relative to the stars in about 27.322 days ( a sidereal month ) and one revolution relative to the Sun in about 29.530 days ( a synodic month ) . Earth and the Moon orbit about their barycentre ( common center of mass ) , which lies about 4,600 km ( 2,900 mi ) from Earth 's center ( about 3 / 4 of the radius of Earth ) . On average , the distance to the Moon is about 385,000 km ( 239,000 mi ) from Earth 's center , which corresponds to about 60 Earth radii . With a mean orbital velocity of 1.022 km / s ( 2,290 mph ) , the Moon covers a distance approximately its diameter , or about half a degree on the celestial sphere , each hour . The Moon differs from most satellites of other planets in that its orbit is close to the ecliptic plane instead of that of its primary ( in this case , the Earth 's equatorial plane ) . The Moon 's orbital plane is inclined by about 5.1 ° to the ecliptic plane , whereas the Moon 's equatorial plane is tilted by only 1.5 ° .     Contents  ( hide )   1 Properties   1.1 Elliptic shape   1.2 Elongation   1.3 Precession   1.4 Inclination   1.4. 1 Nodes   1.4. 2 Inclination to the equator and lunar standstill   1.4. 3 Scale model       2 History of observations and measurements   3 Lunar periods   4 Tidal evolution   5 Libration   6 Path of Earth and Moon around Sun   7 See also   8 References   9 External links      Properties ( edit )   The properties of the orbit described in this section are approximations . The Moon 's orbit around Earth has many irregularities ( perturbations ) , the study of which ( lunar theory ) has a long history .  Comparison of the Moon 's apparent size at lunar perigee -- apogee  Elliptic shape ( edit )   The orbit of the Moon is distinctly elliptical , with an average eccentricity of 0.0549 . The non-circular form of the lunar orbit causes variations in the Moon 's angular speed and apparent size as it moves towards and away from an observer on Earth . The mean angular movement relative to an imaginary observer at the Earth - Moon barycentre is 7001131760000000000 ♠ 13.176 ° per day to the east ( Julian day 2000 ) .   Elongation ( edit )   The Moon 's elongation is its angular distance east of the Sun at any time . At new moon , it is zero and the Moon is said to be in conjunction . At full moon , the elongation is 180 ° and it is said to be in opposition . In both cases , the Moon is in syzygy , that is , the Sun , Moon and Earth are nearly aligned . When elongation is either 90 ° or 270 ° , the Moon is said to be in quadrature .   Precession ( edit )  Apsidal precession -- the Moon 's orbit rotates once every 8.85 years . Orbital inclination -- the Moon 's orbit is inclined by 5.14 ° to the ecliptic . Earth 's lunar orbit perturbations  The orientation of the orbit is not fixed in space , but rotates over time . This orbital precession is also called apsidal precession and is the rotation of the Moon 's orbit within the orbital plane , i.e. the axes of the ellipse change direction . The Moon 's major axis -- the longest diameter of the orbit , joining its nearest and farthest points , the perigee and apogee , respectively -- makes one complete revolution every 8.85 Earth years , or 3,232.6054 days , as it rotates slowly in the same direction as the Moon itself ( direct motion ) . The Moon 's apsidal precession is distinct from the nodal precession of its orbital plane and axial precession of moon itself .   For the moon to make a complete rotation on its axis takes approximately 27.3 days . It takes the moon about this same time to orbit the earth ; this is why we always see the same side of the moon ( see tidal locking ) .   Inclination ( edit )   The mean inclination of the lunar orbit to the ecliptic plane is 5.145 ° . Theoretical considerations show that the present inclination relative to the ecliptic plane arose by tidal evolution from an earlier near - Earth orbit with a fairly constant inclination relative to Earth 's equator . It would require an inclination of this earlier orbit of about 10 ° to the equator to produce a present inclination of 5 ° to the ecliptic . It is thought that originally the inclination to the equator was near zero , but it could have been increased to 10 ° through the influence of planetesimals passing near the moon while falling to the earth . If this had not happened , the moon would now lie much closer to the ecliptic and eclipses would be much more frequent .   The rotational axis of the Moon is not perpendicular to its orbital plane , so the lunar equator is not in the plane of its orbit , but is inclined to it by a constant value of 6.688 ° ( this is the obliquity ) . As was discovered by Jacques Cassini in 1722 , the rotational axis of the Moon precesses with the same rate as its orbital plane , but is 180 ° out of phase ( see Cassini 's Laws ) . Therefore , the angle between the ecliptic and the lunar equator is always 1.543 ° , even though the rotational axis of the Moon is not fixed with respect to the stars .  Nodes ( edit ) Main article : Lunar node  The nodes are points at which the Moon 's orbit crosses the ecliptic . The Moon crosses the same node every 27.2122 days , an interval called the draconic or draconitic month . The line of nodes , the intersection between the two respective planes , has a retrograde motion : for an observer on Earth , it rotates westward along the ecliptic with a period of 18.60 years or 19.3549 ° per year . When viewed from the celestial north , the nodes move clockwise around Earth , opposite to Earth 's own spin and its revolution around the Sun . Lunar and solar eclipses can occur when the nodes align with the Sun , roughly every 173.3 days . Lunar orbit inclination also determines eclipses ; shadows cross when nodes coincide with full and new moon when the Sun , Earth , and Moon align in three dimensions .   In effect , this means that the `` tropical year '' on the moon is only 347 days long . This is called the draconic year or eclipse year . The `` seasons '' on the moon fit into this period . For about half of this draconic year , the sun is north of the lunar equator ( but at most 1.543 ° ) , and for the other half , it is south of the lunar equator . Obviously , the effect of these seasons is minor compared to the difference between lunar night and lunar day . At the lunar poles , instead of usual lunar days and nights of about 15 Earth days , the sun will be `` up '' for 173 days as it will be `` down '' ; polar sunrise and sunset takes 18 days each year . `` Up '' here means that the centre of the sun is above the horizon . Lunar polar sunrises and sunsets occur around the time of eclipses ( solar or lunar ) . For example , at the Solar eclipse of March 9 , 2016 , the moon was near its descending node , and the sun was near the point in the sky where the equator of the moon crosses the ecliptic . When the sun reaches that point , the centre of the sun sets at the lunar north pole and rises at the lunar south pole .  Inclination to the equator and lunar standstill ( edit ) Main article : Lunar standstill  Every 18.6 years , the angle between the Moon 's orbit and Earth 's equator reaches a maximum of 28 ° 36 ′ , the sum of Earth 's equatorial tilt ( 23 ° 27 ′ ) and the Moon 's orbital inclination ( 5 ° 09 ′ ) to the ecliptic . This is called major lunar standstill . Around this time , the Moon 's declination will vary from − 28 ° 36 ′ to + 28 ° 36 ′ . Conversely , 9.3 years later , the angle between the Moon 's orbit and Earth 's equator reaches its minimum of 18 ° 20 ′ . This is called a minor lunar standstill . The last lunar standstill was a minor standstill in October , 2015 . At that time the descending node was lined up with the equinox ( the point in the sky having right ascension zero and declination zero ) . The nodes are moving west by about 19 ° per year . The sun crosses a given node about 20 days earlier each year .   When the inclination of the Moon 's orbit to the Earth 's equator is at its minimum of 18 ° 20 ′ , the centre of the Moon 's disk will be above the horizon every day from latitudes less than 71 ° 40 ' ( 90 ° − 18 ° 20 ' ) north or south . When the inclination is at its maximum of 28 ° 36 ' , the centre of the Moon 's disk will be above the horizon every day only from latitudes less than 61 ° 24 ' ( 90 ° − 28 ° 36 ' ) north or south .   At higher latitudes , there will be a period of at least one day each month when the Moon does not rise , but there will also be a period of at least one day each month when the Moon does not set . This is similar to the seasonal behaviour of the Sun , but with a period of 27.2 days instead of 365 days . Note that a point on the Moon can actually be visible when it is about 34 arc minutes below the horizon , due to atmospheric refraction .   Because of the inclination of the moon 's orbit with respect to the earth 's equator , the moon is above the horizon at the North and South Pole for almost two weeks every month , even though the sun is below the horizon for six months at a time . The period from moonrise to moonrise at the poles is a tropical month , about 27.3 days , quite close to the sidereal period . When the sun is the furthest below the horizon ( winter solstice ) , the moon will be full when it is at its highest point . When the moon is in Gemini it will be above the horizon at the North Pole , and when it is in Sagittarius it will be up at the South Pole .   The moon 's light is used by zooplankton in the Arctic when the sun is below the horizon for months and must have been helpful to the animals that lived in Arctic and Antarctic regions when the climate was warmer .  Scale model ( edit )    Scale model of the Earth -- Moon system : Sizes and distances are to scale .     History of observations and measurements ( edit )   About 1000 BC , the Babylonians were the first human civilization known to have kept a consistent record of lunar observations . Clay tablets from that period , which have been found over the territory of present - day Iraq , are inscribed with cuneiform writing recording the times and dates of moonrises and moonsets , the stars that the Moon passed close by , and the time differences between rising and setting of both the Sun and the Moon around the time of the full moon . Babylonian astronomy discovered the three main periods of the Moon 's motion and used data analysis to build lunar calendars that extended well into the future . This use of detailed , systematic observations to make predictions based on experimental data may be classified as the first scientific study in human history . However , the Babylonians seem to have lacked any geometrical or physical interpretation of their data , and they could not predict future lunar eclipses ( although `` warnings '' were issued before likely eclipse times ) .   Ancient Greek astronomers were the first to introduce and analyze mathematical models of the motion of objects in the sky . Ptolemy described lunar motion by using a well - defined geometric model of epicycles and evection .   Sir Isaac Newton was the first to develop a complete theory of motion , mechanics . The sheer wealth of humanity 's observations of the lunar motion was the main testbed of his theory .   Lunar periods ( edit )  See also : Lunar month and Month    Name   Value ( days )   Definition     Sidereal month   7001273216620000000 ♠ 27.321 662   with respect to the distant stars ( 13.36874634 passes per solar orbit )     Synodic month   7001295305890000000 ♠ 29.530 589   with respect to the Sun ( phases of the Moon , 12.36874634 passes per solar orbit )     Tropical month   7001273215820000000 ♠ 27.321 582   with respect to the vernal point ( precesses in ~ 26,000 years )     Anomalistic month   7001275545500000000 ♠ 27.554 550   with respect to the perigee ( precesses in 3232.6054 days = 8.850578 years )     Draconic month   7001272122210000000 ♠ 27.212 221   with respect to the ascending node ( precesses in 6793.4765 days = 18.5996 years )     There are several different periods associated with the lunar orbit . The sidereal month is the time it takes to make one complete orbit around Earth with respect to the fixed stars . It is about 27.32 days . The synodic month is the time it takes the Moon to reach the same visual phase . This varies notably throughout the year , but averages around 29.53 days . The synodic period is longer than the sidereal period because the Earth -- Moon system moves in its orbit around the Sun during each sidereal month , hence a longer period is required to achieve a similar alignment of Earth , the Sun , and the Moon . The anomalistic month is the time between perigees and is about 27.55 days . The Earth -- Moon separation determines the strength of the lunar tide raising force .   The draconic month is the time from ascending node to ascending node . The time between two successive passes of the same ecliptic longitude is called the tropical month . The latter three periods are slightly different from the sidereal month .   The average length of a calendar month ( a twelfth of a year ) is about 30.4 days . This is not a lunar period , though the calendar month is historically related to the visible lunar phase .  The Moon 's distance from Earth and moon phases in 2014 . Moon phases : 0 ( 1 ) -- new moon , 0.25 -- first quarter , 0.5 -- full moon , 0.75 -- last quarter  Tidal evolution ( edit )  See also : Tide , Tidal acceleration , and Axial tilt § Long term  The gravitational attraction that the Moon exerts on Earth is the cause of tides in the sea ; the Sun has a lesser tidal influence . If Earth had a global ocean of uniform depth , the Moon would act to deform both the solid Earth ( by a small amount ) and the ocean in the shape of an ellipsoid with the high points roughly beneath the Moon and on the opposite side of Earth . However , because of the presence of the continents , Earth 's much faster rotation and varying ocean depths , this simplistic visualisation does not happen . Although the tidal flow period is generally synchronized to the Moon 's orbit around Earth , its relative timing varies greatly . In some places on Earth , there is only one high tide per day , whereas others such as Southampton have four , though this is somewhat rare .   The notional tidal bulges are carried ahead of the Earth -- Moon orientation by the continents as a result of Earth 's rotation . The eccentric mass of each bulge exerts a small amount of gravitational attraction on the Moon , with the bulge on the side of Earth closest to the Moon pulling in a direction slightly forward along the Moon 's orbit ( because Earth 's rotation has carried the bulge forward ) . The bulge on the side furthest from the Moon has the opposite effect , but because the gravitational attraction varies inversely with the square of distance , the effect is stronger for the near - side bulge . As a result , some of Earth 's angular ( or rotational ) momentum is gradually being transferred to the rotation of the Earth -- Moon pair around their mutual centre of mass , called the barycentre . This slightly faster rotation causes the Earth -- Moon distance to increase at approximately 38 millimetres per year . Conservation of angular momentum means that Earth 's axial rotation is gradually slowing , and because of this its day lengthens by approximately 23 microseconds every year ( excluding glacial rebound ) . Both figures are valid only for the current configuration of the continents . Tidal rhythmites from 620 million years ago show that , over hundreds of millions of years , the Moon receded at an average rate of 22 mm ( 0.87 in ) per year and the day lengthened at an average rate of 12 microseconds per year , both about half of their current values . See tidal acceleration for a more detailed description and references .   The Moon is gradually receding from Earth into a higher orbit , and calculations suggest that this would continue for about 50 billion years . By that time , Earth and the Moon would be in a mutual spin -- orbit resonance or tidal locking , in which the Moon will orbit Earth in about 47 days ( currently 27 days ) , and both the Moon and Earth would rotate around their axes in the same time , always facing each other with the same side . This has already happened to the Moon -- the same side always faces Earth -- and is also slowly happening to the Earth . However , the slowdown of Earth 's rotation is not occurring fast enough for the rotation to lengthen to a month before other effects change the situation : approximately 2.3 billion years from now , the increase of the Sun 's radiation will have caused Earth 's oceans to evaporate , removing the bulk of the tidal friction and acceleration .   Libration ( edit )  Main article : Libration Animation of the Moon as it cycles through its phases . The apparent wobbling of the Moon is known as libration .  The Moon is in synchronous rotation , meaning that it keeps the same face toward Earth at all times . This synchronous rotation is only true on average , because the Moon 's orbit has a definite eccentricity . As a result , the angular velocity of the Moon varies as it orbits Earth and hence is not always equal to the Moon 's rotational velocity . When the Moon is at its perigee , its rotation is slower than its orbital motion , and this allows us to see up to eight degrees of longitude of its eastern ( right ) far side . Conversely , when the Moon reaches its apogee , its rotation is faster than its orbital motion and this reveals eight degrees of longitude of its western ( left ) far side . This is referred to as longitudinal libration .   Because the lunar orbit is also inclined to Earth 's ecliptic plane by 5.1 ° , the rotational axis of the Moon seems to rotate towards and away from Earth during one complete orbit . This is referred to as latitudinal libration , which allows one to see almost 7 ° of latitude beyond the pole on the far side . Finally , because the Moon is only about 60 Earth radii away from Earth 's centre of mass , an observer at the equator who observes the Moon throughout the night moves laterally by one Earth diameter . This gives rise to a diurnal libration , which allows one to view an additional one degree 's worth of lunar longitude . For the same reason , observers at both of Earth 's geographical poles would be able to see one additional degree 's worth of libration in latitude .   Path of Earth and Moon around Sun ( edit )  Section of the Earth -- Moon system 's trajectory around the Sun ( to scale ) Orbital path of the Earth Orbital path of the Moon  When viewed from the north celestial pole ( i.e. , from the approximate direction of the star Polaris ) the Moon orbits Earth anticlockwise and Earth orbits the Sun anticlockwise , and the Moon and Earth rotate on their own axes anticlockwise .   The right - hand rule can be used to indicate the direction of the angular velocity . If the thumb of the right hand points to the north celestial pole , its fingers curl in the direction that the Moon orbits Earth , Earth orbits the Sun , and the Moon and Earth rotate on their own axes .   In representations of the Solar System , it is common to draw the trajectory of Earth from the point of view of the Sun , and the trajectory of the Moon from the point of view of Earth . This could give the impression that the Moon orbits Earth in such a way that sometimes it goes backwards when viewed from the Sun 's perspective . Because the orbital velocity of the Moon around Earth ( 1 km / s ) is small compared to the orbital velocity of Earth about the Sun ( 30 km / s ) , this never happens . There are no rearward loops in the Moon 's solar orbit .   Considering the Earth -- Moon system as a binary planet , its centre of gravity is within Earth , about 4,624 km ( 2,873 mi ) or 72.6 % of the Earth 's radius from the centre of the Earth . This centre of gravity remains on the line between the centres of the Earth and Moon as the Earth completes its diurnal rotation . The path of the Earth -- Moon system in its solar orbit is defined as the movement of this mutual centre of gravity around the sun . Consequently , Earth 's centre veers inside and outside the solar orbital path during each synodic month as the Moon moves in its orbit around the common centre of gravity .   The Sun 's gravitational effect on the Moon is more than twice that of Earth 's on the Moon ; consequently , the Moon 's trajectory is always convex ( as seen when looking Sunward at the entire Sun -- Earth -- Moon system from a great distance outside Earth -- Moon solar orbit ) , and is nowhere concave ( from the same perspective ) or looped . That is , the region enclosed by the Moon 's orbit of the Sun is a convex set .   See also ( edit )    Moon portal        Ernest William Brown   Double planet   List of orbits   ELP2000   Ephemeris   Jet Propulsion Laboratory Development Ephemeris       Lunar distance ( astronomy )   Lunar Laser Ranging Experiment   Lunar phase   Lunar theory       Milankovitch cycles   Orbital elements   Supermoon       References ( edit )    Jump up ^ The geometric mean distance in the orbit ( of ELP )   Jump up ^ M. Chapront - Touzé ; J. Chapront ( 1983 ) . `` The lunar ephemeris ELP - 2000 '' . Astronomy &amp; Astrophysics. 124 : 54 . Bibcode : 1983A&amp;A ... 124 ... 50C .   Jump up ^ The constant in the ELP expressions for the distance , which is the mean distance averaged over time   Jump up ^ M. Chapront - Touzé ; J. Chapront ( 1988 ) . `` ELP2000 - 85 : a semi-analytical lunar ephemeris adequate for historical times '' . Astronomy &amp; Astrophysics. 190 : 351 . Bibcode : 1988A&amp;A ... 190 ... 342C .   Jump up ^ This often quoted value for the mean distance is actually the inverse of the mean of the inverse of the distance , which is not the same as the mean distance itself .   ^ Jump up to : Jean Meeus , Mathematical astronomy morsels ( Richmond , VA : Willmann - Bell , 1997 ) 11 -- 12 .   Jump up ^ Lang , Kenneth R. ( 2011 ) , The Cambridge Guide to the Solar System , 2nd ed. , Cambridge University Press .   Jump up ^ `` Moon Fact Sheet '' . NASA . Retrieved 2014 - 01 - 08 .   ^ Jump up to : Martin C. Gutzwiller ( 1998 ) . `` Moon - Earth - Sun : The oldest three - body problem '' . Reviews of Modern Physics. 70 ( 2 ) : 589 -- 639 . Bibcode : 1998RvMP ... 70 ... 589G . doi : 10.1103 / RevModPhys. 70.589 .   Jump up ^ `` The Solar System : Earth and Moon The Institute for Creation Research '' . www.icr.org . Retrieved 2017 - 10 - 20 .   Jump up ^ Peter Goldreich ( Nov 1966 ) . `` History of the Lunar Orbit '' . Reviews of Geophysics . doi : 10.1029 / RG004i004p00411 . Jihad Touma &amp; Jack Wisdom ( Nov 1994 ) . `` Evolution of the Earth - Moon system '' . The Astronomical Journal . doi : 10.1086 / 117209 .   Jump up ^ Kaveh Pahlevan &amp; Alessandro Morbidelli ( Nov 26 , 2015 ) . `` Collisionless encounters and the origin of the lunar inclination '' . Nature . doi : 10.1038 / nature16137 .   Jump up ^ Jacob Aron ( Nov 28 , 2015 ) . `` Flying gold knocked the moon off course and ruined eclipses '' . New Scientist .   Jump up ^ `` View of the Moon '' . U. of Arkansas at Little Rock . Retrieved May 9 , 2016 .   Jump up ^ Calculated from arcsin ( 0.25 ° / 1.543 ° ) / 90 ° times 173 days , since the angular radius of the sun is about 0.25 ° .   Jump up ^ `` Moonlight helps plankton escape predators during Arctic winters '' . New Scientist . Jan 16 , 2016 .   Jump up ^ The periods are calculated from orbital elements , using the rate of change of quantities at the instant J2000 . The J2000 rate of change equals the coefficient of the first - degree term of VSOP polynomials . In the original VSOP87 elements , the units are arcseconds ( '' ) and Julian centuries . There are 1,296,000 '' in a circle , 36525 days in a Julian century . The sidereal month is the time of a revolution of longitude λ with respect to the fixed J2000 equinox . VSOP87 gives 1732559343.7306 '' or 1336.8513455 revolutions in 36525 days -- 27.321661547 days per revolution . The tropical month is similar , but the longitude for the equinox of date is used . For the anomalistic year , the mean anomaly ( λ - ω ) is used ( equinox does not matter ) . For the draconic month , ( λ - Ω ) is used . For the synodic month , the sidereal period of the mean Sun ( or Earth ) and the Moon . The period would be 1 / ( 1 / m - 1 / e ) . VSOP elements from Simon , J.L. ; Bretagnon , P. ; Chapront , J. ; Chapront - Touzé , M. ; Francou , G. ; Laskar , J. ( February 1994 ) . `` Numerical expressions for precession formulae and mean elements for the Moon and planets '' . Astronomy and Astrophysics. 282 ( 2 ) : 669 . Bibcode : 1994A&amp;A ... 282 ... 663S .   Jump up ^ Jean Meeus , Astronomical Algorithms ( Richmond , VA : Willmann - Bell , 1998 ) p 354 . From 1900 -- 2100 , the shortest time from one new moon to the next is 29 days , 6 hours , and 35 min , and the longest 29 days , 19 hours , and 55 min .   Jump up ^ C.D. Murray ; S.F. Dermott ( 1999 ) . Solar System Dynamics . Cambridge University Press . p. 184 .   Jump up ^ Dickinson , Terence ( 1993 ) . From the Big Bang to Planet X . Camden East , Ontario : Camden House . pp. 79 -- 81 . ISBN 0 - 921820 - 71 - 2 .   Jump up ^ Caltech Scientists Predict Greater Longevity for Planets with Life Archived 2012 - 03 - 30 at the Wayback Machine .   ^ Jump up to : The reference by H.L. Vacher ( 2001 ) ( details separately cited in this list ) describes this as ' convex outward ' , whereas older references such as `` The Moon 's Orbit Around the Sun , Turner , A.B. Journal of the Royal Astronomical Society of Canada , Vol. 6 , p. 117 , 1912JRASC ... 6 ... 117T '' ; and `` H Godfray , Elementary Treatise on the Lunar Theory '' describe the same geometry by the words concave to the sun .   ^ Jump up to : Aslaksen , Helmer ( 2010 ) . `` The Orbit of the Moon around the Sun is Convex ! '' . Retrieved 2006 - 04 - 21 .   Jump up ^ The Moon Always Veers Toward the Sun at MathPages   Jump up ^ Vacher , H.L. ( November 2001 ) . `` Computational Geology 18 -- Definition and the Concept of Set '' ( PDF ) . Journal of Geoscience Education . 49 ( 5 ) : 470 -- 479 . Retrieved 2006 - 04 - 21 .    External links ( edit )    View of the Moon Good diagrams of Moon , Earth , tilts of orbits and axes , courtesy of U. of Arkansas              The Moon     Physical properties     Internal structure   Topography   Atmosphere   Gravity field   Hill sphere     Magnetic field   Sodium tail   Moonlight   Earthshine           Orbit     Orbital elements   Distance   Perigee &amp; apogee     Nodes   Nodal period     Precession     Syzygy   New moon   Full moon   Eclipses   Lunar eclipse   Total penumbral lunar eclipse   Tetrad     Solar eclipse   Solar eclipses on the Moon   Eclipse cycle     Supermoon     Tide   Tidal force   Tidal locking   Tidal acceleration   Tidal range     Lunar mansion       Surface &amp; features     Selenography   Terminator   Hemispheres   Near side   Far side     Poles   North pole   South pole   Face       Maria   List     Mountains   Peak of eternal light     Valleys   Volcanic features   Domes   Calderas     Craters   List   Ray systems   Crater of eternal darkness   Shackleton crater   South Pole -- Aitken basin     Soil   Swirls     Rilles   Wrinkle ridges   Rocks   Lunar basalt 70017     Water   Space weathering   Micrometeorite   Sputtering     Quakes   Transient lunar phenomenon       Science     Observation   Libration   Lunar theory   Origin   Giant - impact hypothesis   Theia   Lunar magma ocean       Geology   Timescale   Late Heavy Bombardment     Lunar meteorites   KREEP     Experiments   Lunar laser ranging   ALSEP     Lunar sample displays   Apollo 11   Apollo 17         Exploration     Missions   Apollo program     Probes   Landing   Conspiracy theories     Colonization   Tourism       Time - telling     Lunar calendar   Lunisolar calendar   Month   Lunar month   Nodal period       Fortnight   Sennight   Lunar mansion       Phases &amp; names     New   Full   Names     Crescent   Super &amp; micro   Blood   Blue   Black   Dark   Wet   Tetrad       Related topics     Psychology   Lunar effect   Moon illusion   Pareidolia   Man in the Moon   Moon rabbit       Craters named after people   Memorials on the Moon   Moon in fiction   Moon in mythology   Hjúki and Bil     `` Moon is made of green cheese ''   Natural satellite   Double planet   Lilith ( hypothetical second moon )           Moon portal   Earth sciences portal   Solar System portal                 Earth 's location in the Universe     Included   Earth → Solar System → Local Interstellar Cloud → Local Bubble → Gould Belt → Orion Arm → Milky Way → Milky Way subgroup → Local Group → Virgo Supercluster → Laniakea Supercluster → Observable universe → Universe Each arrow ( → ) may be read as `` within '' or `` part of '' .     Related     Cosmic View ( 1957 essay )   To the Moon and Beyond ( 1964 film )   Cosmic Zoom ( 1968 film )   Powers of Ten ( 1968 and 1977 films )   Cosmic Voyage ( 1996 documentary )   Cosmic Eye ( 2012 )       Astronomy portal - Cosmology portal               Gravitational orbits     Types      General     Box   Capture   Circular   Elliptical / Highly elliptical   Escape   Graveyard   Horseshoe   Hyperbolic trajectory   Inclined / Non-inclined   Osculating   Parabolic trajectory   Parking   Synchronous   semi   sub     Transfer orbit       Geocentric     Geosynchronous   Geostationary   Sun - synchronous   Low Earth   Medium Earth   High Earth   Molniya   Near - equatorial   Orbit of the Moon   Polar   Tundra       About other points     Areosynchronous   Areostationary   Halo   Lissajous   Lunar   Heliocentric   Heliosynchronous          Parameters        Shape   Size       e Eccentricity   a Semi-major axis   b Semi-minor axis   Q , q Apsides       Orientation     i Inclination   Ω Longitude of the ascending node   ω Argument of periapsis   π Longitude of the periapsis       Position     M Mean anomaly   ν , θ , f True anomaly   E Eccentric anomaly   L Mean longitude   l True longitude       Variation     T Orbital period   n Mean motion   v Orbital speed   t Epoch          Maneuvers     Collision avoidance ( spacecraft )   Delta - v   Delta - v budget   Bi-elliptic transfer   Geostationary transfer   Gravity assist   Gravity turn   Hohmann transfer   Low energy transfer   Oberth effect   Inclination change   Phasing   Rocket equation   Rendezvous   Transposition , docking , and extraction       Orbital mechanics     Celestial coordinate system   Characteristic energy   Escape velocity   Ephemeris   Equatorial coordinate system   Ground track   Hill sphere   Interplanetary Transport Network   Kepler 's laws of planetary motion   Lagrangian point   n - body problem   Orbit equation   Orbital state vectors   Perturbation   Retrograde motion   Specific orbital energy   Specific relative angular momentum   Two - line elements         List of orbits      Retrieved from `` https://en.wikipedia.org/w/index.php?title=Orbit_of_the_Moon&amp;oldid=828269670 '' Categories :   Orbit of the Moon   Hidden categories :   Webarchive template wayback links   Articles containing video clips           Talk                                           Contents                   About Wikipedia                                             Беларуская   Català   Deutsch   Español   فارسی   Français   </t>
    </r>
    <r>
      <rPr>
        <sz val="11"/>
        <color rgb="FF000000"/>
        <rFont val="Noto Sans CJK SC"/>
        <family val="2"/>
      </rPr>
      <t xml:space="preserve">한국어   </t>
    </r>
    <r>
      <rPr>
        <sz val="11"/>
        <color rgb="FF000000"/>
        <rFont val="Calibri"/>
        <family val="0"/>
        <charset val="1"/>
      </rPr>
      <t xml:space="preserve">Հայերեն   Italiano   </t>
    </r>
    <r>
      <rPr>
        <sz val="11"/>
        <color rgb="FF000000"/>
        <rFont val="Noto Sans CJK SC"/>
        <family val="2"/>
      </rPr>
      <t xml:space="preserve">日本 語   </t>
    </r>
    <r>
      <rPr>
        <sz val="11"/>
        <color rgb="FF000000"/>
        <rFont val="Calibri"/>
        <family val="0"/>
        <charset val="1"/>
      </rPr>
      <t xml:space="preserve">Polski   Português   Русский   Svenska   Українська   اردو   </t>
    </r>
    <r>
      <rPr>
        <sz val="11"/>
        <color rgb="FF000000"/>
        <rFont val="Noto Sans CJK SC"/>
        <family val="2"/>
      </rPr>
      <t xml:space="preserve">中文  </t>
    </r>
    <r>
      <rPr>
        <sz val="11"/>
        <color rgb="FF000000"/>
        <rFont val="Calibri"/>
        <family val="0"/>
        <charset val="1"/>
      </rPr>
      <t xml:space="preserve">9 more  Edit links   This page was last edited on 1 March 2018 , at 15 : </t>
    </r>
  </si>
  <si>
    <t xml:space="preserve">how long does it take for the moon to go around earth</t>
  </si>
  <si>
    <t xml:space="preserve"> Orbit of the Moon       Diagram of the Moon 's orbit with respect to the Earth        Property   Value     Semi-major axis   384,748 km ( 239,071 mi )     Mean distance   385,000 km ( 239,000 mi )     Inverse sine parallax   384,400 km ( 238,900 mi )     Perigee ( i.e. min . distance from Earth )   362,600 km ( 225,300 mi ) ( avg . ) ( 356 400 -- 370 400 km )     Apogee ( i.e. max . distance from Earth )   405,400 km ( 251,900 mi ) ( avg . ) ( 404 000 -- 406 700 km )     Mean eccentricity   6998549006000000000 ♠ 0.054 9006 ( 0.026 -- 0.077 )     Mean obliquity   6.687 °     Mean inclination       of orbit to ecliptic   5.15 ° ( 4.99 -- 5.30 )     of lunar equator to ecliptic   1.543 °     Period of       orbit around Earth ( sidereal )   27.322 days     orbit around Earth ( synodic )   29.530 days     precession of nodes   18.5996 years     precession of line of apsides   8.8504 years      </t>
  </si>
  <si>
    <r>
      <rPr>
        <sz val="11"/>
        <color rgb="FF000000"/>
        <rFont val="Calibri"/>
        <family val="0"/>
        <charset val="1"/>
      </rPr>
      <t xml:space="preserve">Prime Minister of Mauritius - wikipedia  Prime Minister of Mauritius       Prime Minister of Mauritius     Coat of arms of Mauritius     Flag of Mauritius     Incumbent Pravind Jugnauth since 23 January 2017     Style   The Honourable     Residence   Clarisse House ( Official )     Nominator   The President who must appoint the MP supporting a clear majority in the National Assembly     Appointer   Ameenah Gurib     Term length   At The President 's Pleasure serving as long as the office holder has a majority in the National Assembly     Inaugural holder   Sir Seewoosagur Ramgoolam     Formation   12 March 1968 ; 50 years ago ( 1968 - 03 - 12 )     Salary   Rs 3.66 Million     Website   Prime Minister Office       Mauritius         This article is part of a series on the politics and government of Mauritius     Constitution     Presidency ( show )   Acting President   Barlen Vyapoory     Vice-President   Barlen Vyapoory         Government ( show )   Prime Minister   Pravind Jugnauth     Deputy Prime Minister   Ivan Collendavelloo     Cabinet       Legislature ( show )   National Assembly   Speaker : Maya Hanoomanjee     Leader of the Opposition   Xavier Luc Duval         Judiciary ( show )   Supreme Court       Elections ( show )   Political parties   Constituencies   Recent elections     Presidential : 2008       General : 2005     2014           Administrative divisions ( show )   Districts   Outer islands       Foreign relations ( show )   Minister of Foreign Affairs   Diplomatic missions     of Mauritius   to Mauritius       Passport   Visa requirements         Other countries   Atlas                   The Prime Minister of Mauritius ( French : Premier Ministre de Maurice ) is the head of government of Mauritius . He presides over the Cabinet of Ministers which advises the President of the Country and is collectively responsible to the National Assembly for any advice given and for all action done by or under the authority of any Minister in the execution of his office .   The position is the most powerful constitutional office of the Republic . This is mainly because the office is amalgamated with other functions whereby conventions , the office holder is also the Minister of Defense &amp; Home Affairs ( which makes the office holder responsible for law &amp; order , internal security , defense , the armed forces and intelligence services ) , the Leader of the National Assembly ( which makes the office holder responsible for setting the agenda for parliament ) and Minister for Rodrigues &amp; Dependencies ( which makes the office holder responsible for territorial occupancy , administration of local dependencies &amp; their defense ) . It is also inter-alia , the head of government and presides over the cabinet of Ministers . It is second in the order of precedence just after the president and enjoys relative importance in the public as the office holder is usually the leader of the party / alliance that wins an election .   The current Prime Minister of Mauritius , Pravind Jugnauth , leader of the MSM , was appointed by the President on 23 January 2017 following the resignation of coalition leader Sir Anerood Jugnauth who held the post following victory of his Alliance in the 2014 General Election. The official residence of the Prime Minister during his term in office is the Clarisse House , the Prime Minister 's Office is located in Port Louis . The longest serving prime minister is Anerood Jugnauth who held the office for 18th year as Prime Minister .   Contents    1 Overview   2 History   2.1 Pre-Independence   2.2 Independence   2.3 Republic     3 Oaths   4 See also   5 References    Overview ( edit )       This section needs expansion . You can help by adding to it . ( December 2012 )     The current Prime Minister 's portfolio includes , inter-alia , the following :    Law and Order   Civil Status , Citizenship   External Communications   Electoral Commissions and Electoral Affairs   Government Information Services   Meteorological Services   Mauritius Oceanography Institute   Human Rights   Strategic Policy    The Prime Minister is appointed by the President . He or She holds the second most senior position in the country , second only to the president . The Prime Minister is usually the leader of the largest party in the ruling coalition . The position of Prime Minister alongside with the office of Deputy Prime Minister is specified under CHAPTER VI Section 59 Part 1 of the Constitution of Mauritius .   After the country became a Republic on 12 March 1992 , the President became the Head of State . The President holds prerogative powers which includes summoning , prorogation and dissolution of parliament including appointment of the Prime Minister and Cabinet . The Prime Minister has the constitutional duty to advise him / her when to exercise these prerogatives .   History ( edit )  See also : List of Prime Ministers of Mauritius  Pre-independence ( edit )   During the British Mauritius period , it was the Chief Minister who was the head of government , executive powers was vested by the Governor , representative of the Monarch . The only Chief Minister which the country had known was Sir Seewoosagur Ramgoolam , from 26 September 1961 to 12 March 1968 .   Independence ( edit )   The office of the Prime Minister of Mauritius was created on 12 March 1968 when Mauritius became an independent state . Queen Elizabeth II remained as head of state as Queen of Mauritius , with her executive powers in Mauritius delegated to the governor - general .   After the 1967 General Election , Sir Seewoosagur Ramgoolam ( SSR ) became the first Prime Minister of Mauritius , he was re-elected in the 1976 General Election and remained in office . In the 1982 General Election , Sir Anerood Jugnauth ( SAJ ) coalition was elected , he became Prime Minister . However his alliance break up in 1983 and the 1983 General Election was held , SAJ formed another alliance , he was elected again and remain in office . In the 1987 General Election , another coalition concluded by SAJ won again , he remained in office . SAJ also won the 1991 General Election and remained the Prime Minister of Mauritius . The new leader of the Labour Party Dr. Navin Ramgoolam , became the Leader of the Opposition .   Republic ( edit )   After the country became a Republic on 12 March 1992 , the President became the Head of State . The President holds prerogative powers which includes summoning , prorogation and dissolution of parliament including appointment of the Prime Minister and Cabinet . The Prime Minister has the constitutional duty to advise him / her when to exercise these prerogatives .   On 12 March 1992 , Mauritius became a Republic State , with a new constitution in 1992 , the terms of the General Elections was regulated to 5 years . Since then , each 5 years elections take place and a new Prime Minister is elected . After the 1995 General Election , Dr. Navin Ramgoolam became Prime Minister of Mauritius for the first time . However , he lost the 2000 General Election . In 2000 , the Prime Minister 's office was shared between two leaders , Sir Anerood Jugnauth spent 3 years as Prime Minister and Paul Bérenger spent 2 years . After the 2005 General Election , Dr. Navin Ramgoolam became the Prime Minister of Mauritius again . In 2010 General Election , he was re-elected and remained in office . The 2014 General Election returned Sir Anerood Jugnauth to the Prime Minister 's office .   Oaths ( edit )   According to the third Schedule of the Constitution of Mauritius , an oath under this section shall be administered by the Prime Minister .   I , ... , being appointed Prime Minister / Minister / Junior Minister , do swear ( or solemnly affirm ) that I will to the best of my judgment , at all times when so required , freely give my counsel and advice to the President ( or any other person for the time being lawfully performing the functions of that office ) for the good management of the public affairs of Mauritius , and I do further swear ( or solemnly affirm ) that I will not on any account , at any time whatsoever , disclose the counsel , advice , opinion or vote of any particular Minister or Junior Minister and that I will not , except with the authority of the Cabinet and to such extent as may be required for the good management of the affairs of Mauritius , directly or indirectly reveal the business or proceedings of the Prime Minister / Minister / Junior Minister or any matter coming to my knowledge in my capacity as such and that in all things I will be a true and faithful Prime Minister / Minister / Junior Minister . ( So help me God . )   See also ( edit )    Mauritius portal   Politics portal     Spouse of the Prime Minister of Mauritius   List of Prime Ministers of Mauritius   President of Mauritius   Deputy Prime Minister of Mauritius   Vice Prime Minister of Mauritius   Leader of the Opposition ( Mauritius )   Government of Mauritius    References ( edit )       Wikimedia Commons has media related to Prime ministers of Mauritius .      Jump up ^ Walter , Karen ( 16 July 2017 ) . `` Salaires des dirigeants : le PM mieux payé que Putin et Modi '' . lexpress.mu ( in French ) . Retrieved 4 February 2018 .   Jump up ^ `` The Prime Minister '' . Government of Mauritius . Retrieved 26 December 2012 .   Jump up ^ `` Mauritius '' . Worldsstatesmen.org . Retrieved 26 December 2012 .   Jump up ^ Nohlen , D , Krennerich , M &amp; Thibaut , B ( 1999 ) Elections in Africa : A data handbook , p618 ISBN 0 - 19 - 829645 - 2   Jump up ^ `` Constitution of Mauritius '' ( PDF ) . Government of Mauritius . Archived from the original ( PDF ) on 24 September 2015 . Retrieved 26 December 2012 .              Prime Ministers of Mauritius ( List )     British Mauritius Chief Minister     Sir Seewoosagur Ramgoolam ( 1961 -- 1968 )         Mauritius ( 1968 -- 1992 )     Sir Seewoosagur Ramgoolam ( 1968 -- 1982 )   Sir Anerood Jugnauth ( 1982 -- 1992 )       Republic of Mauritius     Sir Anerood Jugnauth ( 1992 -- 1995 )   Dr. Navin Ramgoolam ( 1995 -- 2000 )   Sir Anerood Jugnauth ( 2000 -- 2003 )   Paul Bérenger ( 2003 -- 2005 )   Dr. Navin Ramgoolam ( 2005 -- 2014 )   Sir Anerood Jugnauth ( 2014 -- 2017 )   Pravind Jugnauth ( 2017 -- present )           Commons                 Heads of state and government of Africa     Heads of state      UN member states     Algeria   Angola   Benin   Botswana   Burkina Faso   Burundi   Cameroon   Cape Verde   Central African Republic   Chad   Comoros   Democratic Republic of the Congo   Republic of the Congo   Djibouti   Egypt   Equatorial Guinea   Eritrea   Ethiopia   Gabon   The Gambia   Ghana   Guinea   Guinea - Bissau   Ivory Coast   Kenya   Lesotho   Liberia   Libya   Madagascar   Malawi   Mali   Mauritania   Mauritius   Morocco   Mozambique   Namibia   Niger   Nigeria   Rwanda   São Tomé and Príncipe   Senegal   Seychelles   Sierra Leone   Somalia   South Africa   South Sudan   Sudan   Swaziland   Tanzania   Togo   Tunisia   Uganda   Zambia   Zimbabwe       Other states     Sahrawi Arab Democratic Republic   Somaliland          Heads of government      UN member states     Algeria   Angola   Benin   Botswana   Burkina Faso   Burundi   Cameroon   Cape Verde   Central African Republic   Chad   Comoros   Democratic Republic of the Congo   Republic of the Congo   Djibouti   Egypt   Equatorial Guinea   Eritrea   Ethiopia   Gabon   The Gambia   Ghana   Guinea   Guinea - Bissau   Ivory Coast   Kenya   Lesotho   Liberia   Libya   Madagascar   Malawi   Mali   Mauritania   Mauritius   Morocco   Mozambique   Namibia   Niger   Nigeria   Rwanda   São Tomé and Príncipe   Senegal   Seychelles   Sierra Leone   Somalia   South Africa   South Sudan   Sudan   Swaziland   Tanzania   Togo   Tunisia   Uganda   Zambia   Zimbabwe       Other states     Sahrawi Arab Democratic Republic   Somaliland          Defunct states and governments     Belgian Congo   Governor - General     Burundi   King   Prime Minister     Ethiopia   Emperor ( list )     Malawi   Prime Minister     Kenya   Prime Minister     Rwanda   King     Rhodesia   President   Prime Minister     Southern Rhodesia   Governor     South Africa   Governor - General   State President   Prime Minister     Sudan   Governor - General     Zanzibar   Sultan   Prime Minister     Zambia   Prime Minister     Zimbabwe   Prime Minister                   Prime minister     Prime Ministers by country     Abkhazia   Afghanistan   Albania   Algeria   Angola   Antigua and Barbuda   Armenia   Artsakh   Aruba   Australia   Azerbaijan   Bahamas   Bahrain   Bangladesh   Barbados   Belarus   Belgium   Belize   Bermuda   Bhutan   Bosnia and Herzegovina   Brazil   Bulgaria   Burkina Faso   Cambodia   Cameroon   Canada   Cape Verde   Central African Republic   Chad   Congo ( Kinshasa )   Cook Islands   Croatia   Cuba   Curaçao   Northern Cyprus   Czech Republic   Denmark   Djibouti   Dominica   East Timor   Egypt   Equatorial Guinea   Estonia   Faroe Islands   Fiji   Finland   France   Ghana   Georgia   Greece   Greenland   Grenada   Guinea   Guyana   Haiti   Hungary   Iceland   India   Indonesia   Iran   Iraq   Ireland   Israel   Italy   Jamaica   Japan   Jordan   Kazakhstan   Kenya   North Korea   South Korea   Kosovo   Kuwait   Kyrgyzstan   Laos   Latvia   Lebanon   Lithuania   Luxembourg   Macedonia   Malaysia   Malta   Mauritius   Moldova   Mongolia   Montenegro   Morocco   Myanmar ( Burma )   Nagorno - Karabakh   Namibia   Nepal   Netherlands   New Zealand   Niue   Norway   Pakistan   Papua New Guinea   Peru   Philippines   Poland   Portugal   Qatar   Romania   Russia   Rwanda   Saint Kitts and Nevis   Saint Lucia   Saint Vincent and the Grenadines   Samoa   São Tomé and Principe   Saudi Arabia   Senegal   Serbia   Seychelles   Singapore   Sint Maarten   Slovakia   Slovenia   Solomon Islands   Somalia   South Africa   South Ossetia   Spain   Sri Lanka   Sudan   Swaziland   Sweden   Syria   Taiwan ( Republic of China )   Tajikistan   Tanzania   Thailand   Tonga   Trinidad and Tobago   Tunisia   Turkmenistan   Turkey   Turks and Caicos Islands   Tuvalu   Uganda   Ukraine   United Arab Emirates   United Kingdom   Uzbekistan   Vanuatu   Vietnam   Yemen   Western Sahara   Zambia   Zimbabwe      Retrieved from `` https://en.wikipedia.org/w/index.php?title=Prime_Minister_of_Mauritius&amp;oldid=843271260 '' Categories :   Government of Mauritius   Mauritian politicians   History of Mauritius   Prime Ministers of Mauritius   Hidden categories :   CS1 French - language sources ( fr )   EngvarB from September 2014   Use dmy dates from September 2014   Articles containing French - language text   Articles to be expanded from December 2012   All articles to be expanded   Articles using small message boxes           Talk                                           Contents                   About Wikipedia                                                 Français   Galego   Polski   Українська   </t>
    </r>
    <r>
      <rPr>
        <sz val="11"/>
        <color rgb="FF000000"/>
        <rFont val="Noto Sans CJK SC"/>
        <family val="2"/>
      </rPr>
      <t xml:space="preserve">中文   </t>
    </r>
    <r>
      <rPr>
        <sz val="11"/>
        <color rgb="FF000000"/>
        <rFont val="Calibri"/>
        <family val="0"/>
        <charset val="1"/>
      </rPr>
      <t xml:space="preserve">Edit links   This page was last edited on 28 May 2018 , at 01 : 27 ( UTC ) .         About Wikipedia                    </t>
    </r>
  </si>
  <si>
    <t xml:space="preserve">who is the prime minister of republic of mauritius</t>
  </si>
  <si>
    <t xml:space="preserve">   Prime Minister of Mauritius     Coat of arms of Mauritius     Flag of Mauritius     Incumbent Pravind Jugnauth since 23 January 2017     Style   The Honourable     Residence   Clarisse House ( Official )     Nominator   The President who must appoint the MP supporting a clear majority in the National Assembly     Appointer   Ameenah Gurib     Term length   At The President 's Pleasure serving as long as the office holder has a majority in the National Assembly     Inaugural holder   Sir Seewoosagur Ramgoolam     Formation   12 March 1968 ; 50 years ago ( 1968 - 03 - 12 )     Salary   Rs 3.66 Million     Website   Prime Minister Office   </t>
  </si>
  <si>
    <t xml:space="preserve">2018 FA Cup final - wikipedia  2018 FA Cup final  Jump to : navigation , search  2018 FA Cup Final   The match programme cover     Event   2017 -- 18 FA Cup        Chelsea   Manchester United             0        Date   19 May 2018 ( 2018 - 05 - 19 )     Venue   Wembley Stadium , London     Man of the Match   Antonio Rüdiger ( Chelsea )     Referee   Michael Oliver ( Northumberland )     Attendance   87,647     Weather   21 ° C ( 70 ° F ) Sunny     ← 2017 2019 →     The 2018 FA Cup Final was the final match of the 2017 -- 18 FA Cup and the 137th final of the FA Cup , the world 's oldest football cup competition . It was played at Wembley Stadium in London , England on 19 May 2018 between Manchester United and Chelsea . It was the second successive final for Chelsea following their defeat by Arsenal the previous year .   As winners , Chelsea qualified for the group stage of the 2018 -- 19 UEFA Europa League , although they had qualified for that phase already via their league position . Chelsea also earned the right to play 2017 -- 18 Premier League champions Manchester City for the 2018 FA Community Shield .   The teams had met twice before in the FA Cup Final , winning one each between them . The first was in 1994 , which Manchester United won 4 -- 0 , and most recently in 2007 , when Chelsea -- then managed by current Manchester United boss José Mourinho -- won 1 -- 0 after extra time .   On 24 April 2018 , it was announced that Michael Oliver would officiate the match . It was notable for being the first Final to use the video assistant referee ( VAR ) system . As President of the Football Association , Prince William , Duke of Cambridge would normally attend the final , presenting the trophy to the winning captain at the conclusion of the game . In 2018 however , the final was scheduled for the same day as his brother 's wedding , for which he was serving as best man . It was announced on 15 May 2018 that the trophy would be presented by Jackie Wilkins , the widow of former Manchester United and Chelsea player Ray Wilkins , who died in April 2018 .     Contents  ( hide )   1 Route to the final   1.1 Chelsea   1.2 Manchester United     2 Pre-match   3 Match officials   4 Match   4.1 Summary   4.2 Details     5 Notes   6 References      Route to the final ( edit )   Chelsea ( edit )   In all results below , the score of the finalist is given first .     Round   Opposition   Score     3rd Replay   Norwich City ( A ) Norwich City ( H )   0 -- 0 1 -- 1 ( a.e.t. ) ( 5 -- 3 p )     4th   Newcastle United ( H )   3 -- 0     5th   Hull City ( H )   4 -- 0     QF   Leicester City ( A )   2 -- 1 ( a.e.t. )     SF   Southampton ( N )   2 -- 0     Key : ( H ) = Home venue ; ( A ) = Away venue ; ( N ) = Neutral venue .     Chelsea as a Premier League team entered in the third round of the FA Cup against Championship club Norwich City on 7 January at Carrow Road , which ended with a 0 -- 0 draw . The replay was held 11 days later and was a 1 -- 1 draw with goals from Michy Batshuayi in the 55th minute and Jamal Lewis in the 90th minute , going to extra time and then a penalty shootout that Chelsea won 5 -- 3 . In the fourth round , they met Premier League opposition Newcastle United at Stamford Bridge , and won 3 -- 0 with two goals from Batshuayi and a one from Marcos Alonso . In the fifth round , Chelsea faced another Championship team , Hull City , and won 4 -- 0 with Willian ( 2 ) , Pedro and Olivier Giroud scoring . In the quarter - finals , they visited the King Power Stadium to face Leicester City , where a goal for Chelsea from Álvaro Morata and a Leicester equaliser from Jamie Vardy took the game to extra time , in which substitute Pedro came off the bench and scored the winning goal to take Chelsea to the semi-finals at Wembley to face Southampton . In that match , goals from both strikers Giroud and Morata were enough to see off Southampton 2 -- 0 to bring Chelsea back to the FA Cup Final for the second successive season . Chelsea are seeking their eighth FA Cup triumph .   Manchester United ( edit )   In all results below , the score of the finalist is given first .     Round   Opposition   Score     3rd   Derby County ( H )   2 -- 0     4th   Yeovil Town ( A )   4 -- 0     5th   Huddersfield Town ( A )   2 -- 0     QF   Brighton &amp; Hove Albion ( H )   2 -- 0     SF   Tottenham Hotspur ( N )   2 -- 1     Key : ( H ) = Home venue ; ( A ) = Away venue ; ( N ) = Neutral venue .     Manchester United , also of the Premier League , entered in the third round and were drawn at home against Championship side Derby County and won 2 -- 0 with goals from Jesse Lingard and Romelu Lukaku . In the next round , they were drawn against League Two club Yeovil Town at Huish Park and won 4 -- 0 with goals from Marcus Rashford , Ander Herrera , Jesse Lingard and Lukaku . In the fifth round , Manchester United were drawn with fellow Premier League side Huddersfield Town away at Kirklees Stadium , and Lukaku scored both goals in a 2 -- 0 win . In the quarter - finals , they played Premier League Brighton &amp; Hove Albion at Old Trafford , and progressed due to goals by Lukaku and Nemanja Matić . In the semi-final at Wembley Stadium against Premier League club Tottenham Hotspur , Manchester United reached their 20th final after coming from behind to win 2 -- 1 with goals from Alexis Sánchez and Herrera . Manchester United were looking to match Arsenal 's record of 13 FA Cup wins .   Pre-match ( edit )   Tributes for former Chelsea and Manchester United midfielder Ray Wilkins , who died on 4 April , were held before the match on the hoardings and the screens in the stadium , as well as a feature in the match programme . Wilkins won the FA Cup with both sides , scoring for United in the initial 1983 FA Cup Final tie , and winning it three times as assistant manager of Chelsea -- in 2000 , 2009 and 2010 . The traditional performance of the hymn , `` Abide with Me '' was performed by the choir of the Royal Air Force and 14 individual fans of 14 different clubs with a flypast by 3 RAF Typhoons . The national anthem , `` God Save the Queen '' was performed by soprano Emily Haig who also performed it at the 2018 FA Women 's Cup Final .   Match officials ( edit )   The referee for the match was 33 - year - old Michael Oliver from Northumberland . He previously officiated when these two sides met in the previous season 's quarter - final , in which he sent off Manchester United 's Ander Herrera . His assistants were Ian Hussin from Liverpool and Lee Betts from Norfolk . The fourth official was Lee Mason of Lancashire , and the fifth official was Constantine Hatzidakis from Kent . For the first time in the final , there was a Video Assistant Referee ( VAR ) , Neil Swarbrick of Lancashire . His assistant was Mick McDonough , also of Northumberland .   Match ( edit )   Summary ( edit )  The game during the second half  After 21 minutes , Chelsea 's Eden Hazard entered Manchester United 's penalty area , where he was fouled by their defender Phil Jones . Hazard took the penalty kick himself , sending it past United goalkeeper David de Gea for the only goal of the game .   In the second half , Manchester United had more opportunities , forcing Chelsea goalkeeper Thibaut Courtois to make saves . Alexis Sánchez had a potential equaliser ruled out for offside after VAR confirmed the decision was correct and Paul Pogba missed a header late into the match .   It was the first time that José Mourinho lost a cup final in charge of an English team , at the seventh attempt , and the first domestic cup won by Antonio Conte , who lost the 2012 Coppa Italia Final with Juventus and the 2017 FA Cup Final for Chelsea .   BBC Sport correspondent Phil McNulty highlighted the performance of the Chelsea players Hazard , Courtois , N'Golo Kanté , Gary Cahill and Antonio Rüdiger , while criticising United trio Jones , Sánchez and Pogba .   Details ( edit )  19 May 2018 ( 2018 - 05 - 19 ) 17 : 15 BST    Chelsea   1 -- 0   Manchester United     Hazard 22 ' ( pen . )   Report      Wembley Stadium , London Attendance : 87,647 Referee : Michael Oliver ( Northumberland )    Chelsea   Manchester United                GK   13   Thibaut Courtois   90 + 3 '     CB   28   César Azpilicueta     CB   24   Gary Cahill ( c )     CB     Antonio Rüdiger     RM   15   Victor Moses     CM   14   Tiémoué Bakayoko     CM   7   N'Golo Kanté     CM     Cesc Fàbregas     LM     Marcos Alonso     CF   10   Eden Hazard     90 + 1 '     CF   18   Olivier Giroud     89 '     Substitutes :     GK     Willy Caballero     DF   21   Davide Zappacosta     DF   50   Trevoh Chalobah     MF   8   Ross Barkley     MF   11   Pedro     MF   22   Willian     90 + 1 '     FW   9   Álvaro Morata     89 '     Manager :     Antonio Conte                 GK     David de Gea     RB   25   Antonio Valencia ( c )   58 '     CB   12   Chris Smalling     CB     Phil Jones   21 '   87 '     LB   18   Ashley Young     CM   21   Ander Herrera     CM   31   Nemanja Matić     CM   6   Paul Pogba     RF   14   Jesse Lingard     73 '     CF   19   Marcus Rashford     73 '     LF   7   Alexis Sánchez     Substitutes :     GK   20   Sergio Romero     DF     Eric Bailly     DF   36   Matteo Darmian     MF   8   Juan Mata     87 '     MF   39   Scott McTominay     FW   9   Romelu Lukaku     73 '     FW   11   Anthony Martial     73 '     Manager :     José Mourinho           Man of the Match : Antonio Rüdiger ( Chelsea )   Assistant referees : Ian Hussin ( Liverpool ) Lee Betts ( Norfolk ) Fourth official : Lee Mason ( Lancashire ) Fifth official : Constantine Hatzidakis ( Kent ) Video assistant referee : Neil Swarbrick ( Lancashire ) Assistant video assistant referee : Mick McDonough ( Northumberland )     Match rules    90 minutes .   30 minutes of extra time if necessary .   Penalty shoot - out if scores still level .   Seven named substitutes .   Maximum of three substitutions , with a fourth allowed in extra time .       Notes ( edit )    Jump up ^ Although Tottenham Hotspur played their home games at Wembley in 2017 -- 18 , it was designated as a neutral venue for the semi-final .    References ( edit )    ^ Jump up to : `` Eden Hazard penalty wins Emirates FA Cup for Chelsea '' . TheFA.com . The Football Association . 19 May 2018 . Retrieved 24 May 2018 .   ^ Jump up to : `` Cup Final referee Michael Oliver humbled by wave of support '' . TheFA.com . The Football Association . 24 April 2018 . Retrieved 24 April 2018 .   Jump up ^ `` The website for the English football association , the Emirates FA Cup and the England football team '' . www.clubwembley.com . Retrieved 22 April 2018 .   Jump up ^ `` UEFA '' ( pdf ) . Retrieved 22 April 2018 .   Jump up ^ `` Premier League and Football League : Ups &amp; downs and European qualification '' . BBC Sport. 29 April 2018 . Retrieved 1 May 2018 .   Jump up ^ `` Kick - off time and match officials confirmed for Emirates FA Cup Final '' . TheFA.com . The Football Association . 24 April 2018 . Retrieved 24 April 2018 .   Jump up ^ Ship , Chris ( 27 March 2018 ) . `` Prince William will miss the FA Cup final to attend Harry and Meghan 's wedding '' . ITV News . Retrieved 27 April 2018 .   Jump up ^ `` FA Cup final : Ray Wilkins ' widow to present trophy to winners '' . BBC Sport. 15 May 2018 . Retrieved 15 May 2018 .   Jump up ^ Begley , Emlyn ( 17 January 2018 ) . `` Chelsea 1 -- 1 Norwich City ( 5 -- 3 pens ) '' . BBC Sport . Retrieved 22 April 2018 .   Jump up ^ Mullen , Andrew ( 28 January 2018 ) . `` Chelsea 3 -- 0 Newcastle United '' . BBC Sport . Retrieved 22 April 2018 .   ^ Jump up to : Begley , Emlyn ( 16 February 2018 ) . `` Chelsea 4 -- 0 Hull City '' . BBC Sport . Retrieved 22 April 2018 .   Jump up ^ Abraham , Timothy ( 22 April 2018 ) . `` Chelsea 2 -- 0 Southampton '' . BBC Sport . Retrieved 18 May 2018 .   Jump up ^ `` Manchester United 2 -- 0 Derby County '' . BBC Sport. 22 April 2018 . Retrieved 22 April 2018 .   Jump up ^ `` Yeovil Town 0 -- 4 Manchester United '' . BBC Sport. 22 April 2018 . Retrieved 22 April 2018 .   Jump up ^ `` Huddersfield Town 0 -- 2 Manchester United '' . BBC Sport. 17 February 2018 . Retrieved 22 April 2018 .   Jump up ^ `` Manchester United 2 -- 0 Brighton &amp; Hove Albion '' . BBC Sport. 17 March 2018 . Retrieved 22 April 2018 .   Jump up ^ `` Manchester United 2 -- 1 Tottenham Hotspur '' . BBC Sport. 21 April 2018 . Retrieved 22 April 2018 .   Jump up ^ Moallim , Mohamed ( 21 April 2018 ) . `` Jose Mourinho says he has `` too many critics '' ? as Man Utd equal another English football record `` . Squawka.com . Retrieved 22 April 2018 .   Jump up ^ Stone , Simon ( 2 May 2018 ) . `` FA Cup : Ray Wilkins ' family invited to final between Chelsea &amp; Man Utd '' . BBC Sport . Retrieved 2 May 2018 .   Jump up ^ `` Ray Wilkins 1956 -- 2018 '' . Chelsea Football Club . 4 April 2018 . Retrieved 5 April 2018 .   Jump up ^ `` Fan choir to sing Abide With Me before Chelsea vs Manchester United '' . Evening Standard . 17 May 2018 . Retrieved 18 May 2018 .   Jump up ^ `` Ray Wilkins tribute '' . The FA . Retrieved 18 May 2018 .   ^ Jump up to : McNulty , Phil ( 19 May 2018 ) . `` Chelsea 1 -- 0 Manchester United '' . BBC Sport . Retrieved 19 May 2018 .   Jump up ^ `` Rules of the FA Challenge Cup competition '' ( PDF ) . The Football Association . Retrieved 22 April 2018 .              FA Cup     Seasons     1871 -- 72   1872 -- 73   1873 -- 74   1874 -- 75   1875 -- 76   1876 -- 77   1877 -- 78   1878 -- 79   1879 -- 80   1880 -- 81   1881 -- 82   1882 -- 83   1883 -- 84   1884 -- 85   1885 -- 86   1886 -- 87   1887 -- 88   1888 -- 89   1889 -- 90   1890 -- 91   1891 -- 92   1892 -- 93   1893 -- 94   1894 -- 95   1895 -- 96   1896 -- 97   1897 -- 98   1898 -- 99   1899 -- 1900   1900 -- 01   1901 -- 02   1902 -- 03   1903 -- 04   1904 -- 05   1905 -- 06   1906 -- 07   1907 -- 08   1908 -- 09   1909 -- 10   1910 -- 11   1911 -- 12   1912 -- 13   1913 -- 14   1914 -- 15   1919 -- 20   1920 -- 21   1921 -- 22   1922 -- 23   1923 -- 24   1924 -- 25   1925 -- 26   1926 -- 27   1927 -- 28   1928 -- 29   1929 -- 30   1930 -- 31   1931 -- 32   1932 -- 33   1933 -- 34   1934 -- 35   1935 -- 36   1936 -- 37   1937 -- 38   1938 -- 39   1945 -- 46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1999 -- 2000   2000 -- 01   2001 -- 02   2002 -- 03   2003 -- 04   2004 -- 05   2005 -- 06   2006 -- 07   2007 -- 08   2008 -- 09   2009 -- 10   2010 -- 11   2011 -- 12   2012 -- 13   2013 -- 14   2014 -- 15   2015 -- 16   2016 -- 17   2017 -- 18   2018 -- 19       Qualifying rounds     1888 -- 89   1889 -- 90   1890 -- 91   1891 -- 92   1892 -- 93   1893 -- 94   1894 -- 95   1895 -- 96   1896 -- 97   1897 -- 98   1898 -- 99   1899 -- 1900   1900 -- 01   1901 -- 02   1902 -- 03   1903 -- 04   1904 -- 05   1905 -- 06   1906 -- 07   1907 -- 08   1908 -- 09   1909 -- 10   1910 -- 11   1911 -- 12   1912 -- 13   1913 -- 14   1914 -- 15   1919 -- 20   1920 -- 21   1921 -- 22   1922 -- 23   1923 -- 24   1924 -- 25   1925 -- 26   1926 -- 27   1927 -- 28   1928 -- 29   1929 -- 30   1930 -- 31   1931 -- 32   1932 -- 33   1933 -- 34   1934 -- 35   1935 -- 36   1936 -- 37   1937 -- 38   1938 -- 39   1945 -- 46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1999 -- 2000   2000 -- 01   2001 -- 02   2002 -- 03   2003 -- 04   2004 -- 05   2005 -- 06   2006 -- 07   2007 -- 08   2008 -- 09   2009 -- 10   2010 -- 11   2011 -- 12   2012 -- 13   2013 -- 14   2014 -- 15   2015 -- 16   2016 -- 17   2017 -- 18   2018 -- 19       Finals     1872   1873   1874   1875   1876   1877   1878   1879   1880   1881   1882   1883   1884   1885   1886   1887   1888   1889   1890   1891   1892   1893   1894   1895   1896   1897   1898   1899   1900   1901   1902   1903   1904   1905   1906   1907   1908   1909   1910   1911   1912   1913   1914   1915   1920   1921   1922   1923   1924   1925   1926   1927   1928   1929   1930   1931   1932   1933   1934   1935   1936   1937   1938   1939   1946   1947   1948   1949   1950   1951   1952   1953   1954   1955   1956   1957   1958   1959   1960   1961   1962   1963   1964   1965   1966   1967   1968   1969   1970   1971   1972   1973       1976   1977   1978   1979   1980   1981   1982     1984   1985   1986         1990   1991   1992   1993   1994   1995     1997   1998   1999   2000   2001   2002   2003     2005   2006   2007   2008   2009     2011   2012   2013   2014   2015   2016   2017   2018         History   Trophy   List of finals   Third - fourth place matches   Semi-finals   Final referees   Winning managers   Non-English clubs   Non-League clubs in the 5th Round                 2017 -- 18 in English football     `` 2016 -- 17 2018 -- 19 ''     National teams        Senior ( 2018 FIFA World Cup qualifying round , finals )   U21 ( UEFA Euro 2019 qualifying round )   U19 ( UEFA Euro 2018 qualifying round , finals )   U17 ( UEFA Euro 2018 finals )          League competitions      Level 1     Premier League       Levels 2 -- 4     English Football League ( Championship , League One , League Two , play - offs )       Levels 5 -- 6     National League ( National , North , South )       Levels 7 -- 8     Isthmian League ( Premier , North , South )   Northern Premier League ( Premier , North , South )   Southern League ( Premier , East , West )       Levels 9 -- 10     Combined Counties League ( Premier , One )   East Midlands Counties League ( level 10 only )   Eastern Counties League ( Premier , One )   Essex Senior League ( level 9 only )   Hellenic League ( Premier , One East , One West )   Midland League ( Premier , One )   Northern Counties East League ( Premier , One )   Northern League ( One , Two )   North West Counties League ( Premier , One )   Southern Combination League ( Premier , One )   Southern Counties East League ( Premier , One )   South West Peninsula League Premier Division ( level 10 only )   Spartan South Midlands League ( Premier , One )   United Counties League ( Premier , One )   Wessex League ( Premier , One )   Western League ( Premier , One )   West Midlands ( Regional ) League ( level 10 only )          Cup competitions      FA cups     FA Cup ( Qualifying Rounds , Final )   FA Community Shield   FA Trophy ( Final )   FA Vase ( Final )       EFL cups     EFL Cup ( Final )   EFL Trophy ( Final )          Youth competitions      Under - 23     Professional U23 Development League   Premier League Cup       Under - 18     Professional U18 Development League   FA Youth Cup             Club seasons     Premier League     AFC Bournemouth   Arsenal   Brighton &amp; Hove Albion   Burnley   Chelsea   Crystal Palace   Everton   Huddersfield Town   Leicester City   Liverpool   Manchester City   Manchester United   Newcastle United   Southampton   Stoke City   Swansea City   Tottenham Hotspur   Watford   West Bromwich Albion   West Ham United       Championship     Aston Villa   Barnsley   Birmingham City   Bolton Wanderers   Brentford   Bristol City   Burton Albion   Cardiff City   Derby County   Fulham   Hull City   Ipswich Town   Leeds United   Middlesbrough   Millwall   Norwich City   Nottingham Forest   Preston North End   Queens Park Rangers   Reading   Sheffield United   Sheffield Wednesday   Sunderland   Wolverhampton Wanderers       League One     AFC Wimbledon   Blackburn Rovers   Blackpool   Bradford City   Bristol Rovers   Bury   Charlton Athletic   Doncaster Rovers   Fleetwood Town   Gillingham   Milton Keynes Dons   Northampton Town   Oldham Athletic   Oxford United   Peterborough United   Plymouth Argyle   Portsmouth   Rochdale   Rotherham United   Scunthorpe United   Shrewsbury Town   Southend United   Walsall   Wigan Athletic       League Two     Accrington Stanley   Barnet   Cambridge United   Carlisle United   Cheltenham Town   Chesterfield   Colchester United   Coventry City   Crawley Town   Crewe Alexandra   Exeter City   Forest Green Rovers   Grimsby Town   Lincoln City   Luton Town   Mansfield Town   Morecambe   Newport County   Notts County   Port Vale   Stevenage   Swindon Town   Wycombe Wanderers   Yeovil Town            Summer 2017 transfers   Winter 2017 -- 18 transfers   Summer 2018 transfers                 Chelsea F.C. matches     FA Cup Finals     1915   1967   1970   1994   1997   2000   2002   2007   2009     2012   2017   2018       Football League War Cup Final     1945       League Cup Finals     1965   1972   1998   2005   2007   2008   2015       FA Community Shields     1955   1970   1997   2000   2005   2006   2007   2009     2012   2015   2017   2018       UEFA Champions League Finals     2008   2012       UEFA Cup Winners ' Cup Finals     1971   1998       UEFA Europa League Final     2013       UEFA Super Cups     1998   2012   2013       FIFA Club World Cup Final     2012       Full Members ' Cup Finals     1986   1990       Football League play - offs Final     1988 Second Division       Other matches     2006 MLS All - Star Game   2012 MLS All - Star Game                 Manchester United F.C. matches     FA Cup Finals     1909   1948   1957   1958   1963   1976   1977   1979     1985   1990   1994   1995     1999     2005   2007   2016   2018       League Cup Finals       1991   1992   1994   2003   2006   2009     2017       FA Community Shield     1908   1911   1948   1952   1956   1957   1963   1965   1967   1977     1985   1990   1993   1994     1997   1998   1999   2000   2001   2003     2007   2008   2009     2011   2013   2016       UEFA Champions League Finals     1968   1999   2008   2009   2011       European Cup Winners ' Cup Final     1991       UEFA Europa League Final     2017       UEFA Super Cup     1991   1999   2008   2017       Intercontinental Cup     1968   1999       FIFA Club World Cup Final     2008       Notable league matches     3 -- 5 v West Bromwich Albion ( 1978 )   Manchester United -- Arsenal brawl ( 1990 )   9 -- 0 v Ipswich Town ( 1995 )   8 -- 1 v Nottingham Forest ( 1999 )   Battle of Old Trafford ( 2003 )   Battle of the Buffet ( 2004 )   4 -- 3 v Manchester City ( 2009 )       Other matches     UEFA Celebration Match ( 2007 )   2010 MLS All - Star   2011 MLS All - Star   2013 A-League All Stars      Retrieved from `` https://en.wikipedia.org/w/index.php?title=2018_FA_Cup_Final&amp;oldid=842824259 '' Categories :   FA Cup Finals   2018 sports events in London   2017 -- 18 FA Cup   Chelsea F.C. matches   Manchester United F.C. matches   Events at Wembley Stadium   May 2018 sports events in the United Kingdom   Hidden categories :   Use dmy dates from April 2018           Talk                                           Contents                   About Wikipedia                                           فارسی   Bahasa Indonesia   Magyar   Nederlands   Русский   ไทย   Українська   Tiếng Việt   Edit links   This page was last edited on 24 May 2018 , at 22 : 40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</si>
  <si>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teams are in the fa cup final</t>
  </si>
  <si>
    <t xml:space="preserve"> The 2018 FA Cup Final was the final match of the 2017 -- 18 FA Cup and the 137th final of the FA Cup , the world 's oldest football cup competition . It was played at Wembley Stadium in London , England on 19 May 2018 between Manchester United and Chelsea . It was the second successive final for Chelsea following their defeat by Arsenal the previous year . </t>
  </si>
  <si>
    <t xml:space="preserve">A Midsummer Night 's Dream - wikipedia  A Midsummer Night 's Dream  Jump to : navigation , search This article is about Shakespeare 's play . For other uses , see A Midsummer Night 's Dream ( disambiguation ) . Oberon , Titania and Puck with Fairies Dancing by William Blake , c. 1786  A Midsummer Night 's Dream is a comedy written by William Shakespeare in 1595 / 96 . It portrays the events surrounding the marriage of Theseus , the Duke of Athens , to Hippolyta , the former queen of the Amazons . These include the adventures of four young Athenian lovers and a group of six amateur actors ( the mechanicals ) who are controlled and manipulated by the fairies who inhabit the forest in which most of the play is set . The play is one of Shakespeare 's most popular works for the stage and is widely performed across the world .     Contents  ( hide )   1 Characters   2 Plot   3 Sources   4 Date and text   5 Themes and motifs   5.1 Carnivalesque   5.2 Love   5.3 Problem with time   5.4 Loss of individual identity   5.5 Ambiguous sexuality   5.6 Feminism     6 Criticism and interpretation   6.1 Critical history   6.1. 1 17th century   6.1. 2 18th century   6.1. 3 19th century   6.1. 4 20th century       7 Performance history   7.1 17th and 18th centuries   7.2 The Victorian stage   7.3 20th and 21st centuries     8 Adaptations and cultural references   8.1 Literary   8.2 Musical versions   8.3 Ballets   8.4 Film adaptations   8.5 TV productions   8.6 Astronomy     9 Gallery   10 See also   11 Notes and references   11.1 Notes   11.2 References     12 Sources   12.1 Editions of A Midsummer Night 's Dream   12.2 Secondary sources     13 Further reading   14 External links      Characters ( edit )    Theseus -- Duke of Athens   Hippolyta -- Queen of the Amazons   Egeus -- father of Hermia   Hermia -- daughter of Egeus , in love with Lysander   Lysander -- in love with Hermia   Demetrius -- suitor to Hermia   Helena -- in love with Demetrius   Philostrate -- Master of the Revels     Peter Quince -- a carpenter   Nick Bottom -- a weaver   Francis Flute -- a bellows - mender   Tom Snout -- a tinker   Snug -- a joiner   Robin Starveling -- a tailor     Oberon -- King of the Fairies   Titania -- Queen of the Fairies   Robin Goodfellow -- a puck   Peasblossom , Cobweb , Moth , Mustardseed -- fairy servants to Titania   Indian changeling    Plot ( edit )  Hermia and Helena by Washington Allston , 1818  The play consists of four interconnecting plots , connected by a celebration of the wedding of Duke Theseus of Athens and the Amazon queen , Hippolyta , which is set simultaneously in the woodland and in the realm of Fairyland , under the light of the moon .   The play opens with Hermia , who is in love with Lysander , resistant to her father Egeus ' demand that she wed Demetrius , whom he has arranged for her to marry . Helena meanwhile pines unrequitedly for Demetrius . Enraged , Egeus invokes an ancient Athenian law before Duke Theseus , whereby a daughter must marry the suitor chosen by her father , or else face death . Theseus offers her another choice : lifelong chastity while worshipping the goddess Artemis as a nun .   Peter Quince and his fellow players Nick Bottom , Francis Flute , Robin Starveling , Tom Snout , and Snug plan to put on a play for the wedding of the Duke and the Queen , `` the most lamentable comedy and most cruel death of Pyramus and Thisbe . '' Quince reads the names of characters and bestows them on the players . Nick Bottom , who is playing the main role of Pyramus , is over-enthusiastic and wants to dominate others by suggesting himself for the characters of Thisbe , the Lion , and Pyramus at the same time . He would also rather be a tyrant and recites some lines of Ercles . Bottom is told by Quince that he would do the Lion so terribly as to frighten the duchess and ladies enough for the Duke and Lords to have the players hanged . Quince ends the meeting with `` at the Duke 's oak we meet . ''  The Quarrel of Oberon and Titania by Joseph Noel Paton  In a parallel plot line , Oberon , king of the fairies , and Titania , his queen , have come to the forest outside Athens . Titania tells Oberon that she plans to stay there until she has attended Theseus and Hippolyta 's wedding . Oberon and Titania are estranged because Titania refuses to give her Indian changeling to Oberon for use as his `` knight '' or `` henchman , '' since the child 's mother was one of Titania 's worshippers . Oberon seeks to punish Titania 's disobedience . He calls upon Robin `` Puck '' Goodfellow , his `` shrewd and knavish sprite , '' to help him concoct a magical juice derived from a flower called `` love - in - idleness , '' which turns from white to purple when struck by Cupid 's arrow . When the concoction is applied to the eyelids of a sleeping person , that person , upon waking , falls in love with the first living thing he perceives . He instructs Puck to retrieve the flower with the hope that he might make Titania fall in love with an animal of the forest and thereby shame her into giving up the little Indian boy . He says , `` And ere I take this charm from off her sight , / As I can take it with another herb , / I 'll make her render up her page to me . ''   Hermia and Lysander have escaped to the same forest in hopes of eloping . Helena , desperate to reclaim Demetrius 's love , tells Demetrius about the plan and he follows them in hopes of killing Lysander . Helena continually makes advances towards Demetrius , promising to love him more than Hermia . However , he rebuffs her with cruel insults against her . Observing this , Oberon orders Puck to spread some of the magical juice from the flower on the eyelids of the young Athenian man . Instead , Puck mistakes Lysander for Demetrius , not having actually seen either before , and administers the juice to the sleeping Lysander . Helena , coming across him , wakes him while attempting to determine whether he is dead or asleep . Upon this happening , Lysander immediately falls in love with Helena . Oberon sees Demetrius still following Hermia and is enraged . When Demetrius goes to sleep , Oberon sends Puck to get Helena while he charms Demetrius ' eyes . Upon waking up , he sees Helena . Now , both men are in pursuit of Helena . However , she is convinced that her two suitors are mocking her , as neither loved her originally . Hermia is at a loss to see why her lover has abandoned her , and accuses Helena of stealing Lysander away from her . The four quarrel with each other until Lysander and Demetrius become so enraged that they seek a place to duel to prove whose love for Helena is the greater . Oberon orders Puck to keep Lysander and Demetrius from catching up with one another and to remove the charm from Lysander so Lysander can return to love Hermia , while Demetrius continues to love Helena .  A drawing of Puck , Titania and Bottom in A Midsummer Night 's Dream from Act III , Scene ii by Charles Buchel  Meanwhile , Quince and his band of six labourers ( `` rude mechanicals , '' as they are described by Puck ) have arranged to perform their play about Pyramus and Thisbe for Theseus ' wedding and venture into the forest , near Titania 's bower , for their rehearsal . Bottom is spotted by Puck , who ( taking his name to be another word for a jackass ) transforms his head into that of a donkey . When Bottom returns for his next lines , the other workmen run screaming in terror : They claim that they are haunted , much to Bottom 's confusion . Determined to await his friends , he begins to sing to himself . Titania , having received the love - potion , is awakened by Bottom 's singing and immediately falls in love with him . She lavishes him with the attention of her and her fairies , and while she is in this state of devotion , Oberon takes the changeling . Having achieved his goals , Oberon releases Titania , orders Puck to remove the donkey 's head from Bottom , and arranges everything so Helena , Hermia , Demetrius and Lysander will all believe they have been dreaming when they awaken . Puck distracts Lysander and Demetrius from fighting over Helena 's love by mimicking their voices and leading them apart . Eventually , all four find themselves separately falling asleep in the glade . Once they fall asleep , Puck administers the love potion to Lysander again , claiming all will be well in the morning .   The fairies then disappear , and Theseus and Hippolyta arrive on the scene , during an early morning hunt . They wake the lovers and , since Demetrius no longer loves Hermia , Theseus over-rules Egeus 's demands and arranges a group wedding . The lovers decide that the night 's events must have been a dream . After they exit , Bottom awakes , and he too decides that he must have experienced a dream `` past the wit of man . ''   In Athens , Theseus , Hippolyta and the lovers watch the six workmen perform Pyramus and Thisbe . The performers are so terrible playing their roles that the guests laugh as if it were meant to be a comedy , and everyone retires to bed . Afterwards , Oberon , Titania , Puck , and other fairies enter , and bless the house and its occupants with good fortune . After all the other characters leave , Puck `` restores amends '' and suggests that what the audience experienced might just be a dream .   Sources ( edit )  A Midsummer Night 's Dream act IV , scene I. Engraving from a painting by Henry Fuseli , published 1796  It is unknown exactly when A Midsummer Night 's Dream was written or first performed , but on the basis of topical references and an allusion to Edmund Spenser 's Epithalamion , it is usually dated 1595 or early 1596 . Some have theorised that the play might have been written for an aristocratic wedding ( for example that of Elizabeth Carey , Lady Berkeley ) , while others suggest that it was written for the Queen to celebrate the feast day of St. John . No concrete evidence exists to support this theory . In any case , it would have been performed at The Theatre and , later , The Globe . Though it is not a translation or adaptation of an earlier work , various sources such as Ovid 's Metamorphoses and Chaucer 's `` The Knight 's Tale '' served as inspiration . According to John Twyning , the play 's plot of four lovers undergoing a trial in the woods was intended as a `` riff '' on Der Busant , a Middle High German poem .   According to Dorothea Kehler , the writing period can be placed between 1594 and 1596 , which means that Shakespeare had probably already completed Romeo and Juliet and had yet to start working on The Merchant of Venice . The play belongs to the early - middle period of the author , when Shakespeare devoted his attention to the lyricism of his works .   According to De Vere Family lore ( which may or may not actually be true ) , the wedding of Elizabeth De Vere to William Stanley , Sixth Earl of Derby , on June 26 , 1594 , at the Court of Greenwich , and occurring in the presence of Queen Elizabeth , this was the event to occasion Shakespeare 's first performance of A Midsummer Night 's Dream .   Date and text ( edit )  The title page from the first quarto , printed in 1600  The play was entered into the Register of the Stationers ' Company on 8 October 1600 by the bookseller Thomas Fisher , who published the first quarto edition later that year . A second quarto was printed in 1619 by William Jaggard , as part of his so - called False Folio . The play next appeared in print in the First Folio of 1623 . The title page of Q1 states that the play was `` sundry times publickely acted '' prior to 1600 . The first performance known with certainty occurred at Court on 1 January 1605 .   Themes and motifs ( edit )   Lovers Bliss   Prior to the Christian St. John 's Day , in Ancient Greece , marking Midsummer was an event called Adonia . It was the first festive day ( and night ) when Adonis was allowed to depart the underworld to spend six months with his paramour , Aphrodite. * It was considered a time to celebrate the first bliss of new and reunited lovers . The wedding of Theseus and Hippolyta and the mistaken and waylaid lovers , Titania and Bottom , even the erstwhile acting troupe , model various aspects ( and forms ) of love .   Carnivalesque ( edit )   Both David Wiles of the University of London and Harold Bloom of Yale University have strongly endorsed the reading of this play under the themes of Carnivalesque , Bacchanalia , and Saturnalia . Writing in 1998 , David Wiles stated that : `` The starting point for my own analysis will be the proposition that although we encounter A Midsummer Night 's Dream as a text , it was historically part of an aristocratic carnival . It was written for a wedding , and part of the festive structure of the wedding night . The audience who saw the play in the public theatre in the months that followed became vicarious participants in an aristocratic festival from which they were physically excluded . My purpose will be to demonstrate how closely the play is integrated with a historically specific upper - class celebration . ''   Love ( edit )  Hermia and Lysander by John Simmons ( 1870 )  David Bevington argues that the play represents the dark side of love . He writes that the fairies make light of love by mistaking the lovers and by applying a love potion to Titania 's eyes , forcing her to fall in love with an ass . In the forest , both couples are beset by problems . Hermia and Lysander are both met by Puck , who provides some comic relief in the play by confounding the four lovers in the forest . However , the play also alludes to serious themes . At the end of the play , Hippolyta and Theseus , happily married , watch the play about the unfortunate lovers , Pyramus and Thisbe , and are able to enjoy and laugh at it . Helena and Demetrius are both oblivious to the dark side of their love , totally unaware of what may have come of the events in the forest .   Problem with time ( edit )   There is a dispute over the scenario of the play as it is cited at first by Theseus that `` four happy days bring in another moon . '' The wood episode then takes place at a night of no moon , but Lysander asserts that there will be so much light in the very night they will escape that dew on the grass will be shining like liquid pearls . Also , in the next scene , Quince states that they will rehearse in moonlight , which creates a real confusion . It is possible that the Moon set during the night allowing Lysander to escape in the moonlight and for the actors to rehearse , then for the wood episode to occur without moonlight . Theseus 's statement can also be interpreted to mean `` four days until the next month . '' Another possibility is that , since each month there are roughly four consecutive nights that the moon is not seen due to its closeness to the sun in the sky ( the two nights before the moment of new moon , followed by the two following it ) , it may in this fashion indicate a liminal `` dark of the moon '' period full of magical possibilities . This is further supported by Hippolyta 's opening lines exclaiming `` And then the moon , like to a silver bow New - bent in heaven , shall behold the night of our solemnities . '' ; the thin crescent - shaped moon being the hallmark of the new moon 's return to the skies each month . The play also intertwines the Midsummer Eve of the title with May Day , furthering the idea of a confusion of time and the seasons . This is evidenced by Theseus commenting on some slumbering youths , that they `` observe The rite of May . ''   Loss of individual identity ( edit )  Edwin Landseer , Scene from A Midsummer Night 's Dream . Titania and Bottom ( 1848 )  Maurice Hunt , Chair of the English Department at Baylor University , writes of the blurring of the identities of fantasy and reality in the play that make possible `` that pleasing , narcotic dreaminess associated with the fairies of the play . '' By emphasising this theme , even in the setting of the play , Shakespeare prepares the reader 's mind to accept the fantastic reality of the fairy world and its happenings . This also seems to be the axis around which the plot conflicts in the play occur . Hunt suggests that it is the breaking down of individual identities that leads to the central conflict in the story . It is the brawl between Oberon and Titania , based on a lack of recognition for the other in the relationship , that drives the rest of the drama in the story and makes it dangerous for any of the other lovers to come together due to the disturbance of Nature caused by a fairy dispute . Similarly , this failure to identify and to distinguish is what leads Puck to mistake one set of lovers for another in the forest , placing the flower 's juice on Lysander 's eyes instead of Demetrius ' .   Victor Kiernan , a Marxist scholar and historian , writes that it is for the greater sake of love that this loss of identity takes place and that individual characters are made to suffer accordingly : `` It was the more extravagant cult of love that struck sensible people as irrational , and likely to have dubious effects on its acolytes . '' He believes that identities in the play are not so much lost as they are blended together to create a type of haze through which distinction becomes nearly impossible . It is driven by a desire for new and more practical ties between characters as a means of coping with the strange world within the forest , even in relationships as diverse and seemingly unrealistic as the brief love between Titania and Bottom : `` It was the tidal force of this social need that lent energy to relationships . ''   The aesthetics scholar David Marshall draws out this theme even further by noting that the loss of identity reaches its fullness in the description of the mechanicals and their assumption of other identities . In describing the occupations of the acting troupe , he writes `` Two construct or put together , two mend and repair , one weaves and one sews . All join together what is apart or mend what has been rent , broken , or sundered . '' In Marshall 's opinion , this loss of individual identity not only blurs specificities , it creates new identities found in community , which Marshall points out may lead to some understanding of Shakespeare 's opinions on love and marriage . Further , the mechanicals understand this theme as they take on their individual parts for a corporate performance of Pyramus and Thisbe . Marshall remarks that `` To be an actor is to double and divide oneself , to discover oneself in two parts : both oneself and not oneself , both the part and not the part . '' He claims that the mechanicals understand this and that each character , particularly among the lovers , has a sense of laying down individual identity for the greater benefit of the group or pairing . It seems that a desire to lose one 's individuality and find identity in the love of another is what quietly moves the events of A Midsummer Night 's Dream . As the primary sense of motivation , this desire is reflected even in the scenery depictions and the story 's overall mood .   Ambiguous sexuality ( edit )  The Awakening of the Fairy Queen Titania  In his essay `` Preposterous Pleasures : Queer Theories and A Midsummer Night 's Dream , '' Douglas E. Green explores possible interpretations of alternative sexuality that he finds within the text of the play , in juxtaposition to the proscribed social mores of the culture at the time the play was written . He writes that his essay `` does not ( seek to ) rewrite A Midsummer Night 's Dream as a gay play but rather explores some of its ' homoerotic significations ' ... moments of ' queer ' disruption and eruption in this Shakespearean comedy . '' Green states that he does not consider Shakespeare to have been a `` sexual radical , '' but that the play represented a `` topsy - turvy world '' or `` temporary holiday '' that mediates or negotiates the `` discontents of civilisation , '' which while resolved neatly in the story 's conclusion , do not resolve so neatly in real life . Green writes that the `` sodomitical elements , '' `` homoeroticism , '' `` lesbianism , '' and even `` compulsory heterosexuality '' in the story must be considered in the context of the `` culture of early modern England '' as a commentary on the `` aesthetic rigidities of comic form and political ideologies of the prevailing order . '' Aspects of ambiguous sexuality and gender conflict in the story are also addressed in essays by Shirley Garner and William W.E. Slights albeit all the characters are played by males .   Feminism ( edit )  Midsummer Eve by Edward Robert Hughes c. 1908  Male dominance is one thematic element found in A Midsummer Night 's Dream . In A Midsummer Night 's Dream , Lysander and Hermia escape into the woods for a night where they do not fall under the laws of Theseus or Egeus . Upon their arrival in Athens , the couples are married . Marriage is seen as the ultimate social achievement for women while men can go on to do many other great things and gain social recognition . In The Imperial Votaress , Louis Montrose draws attention to male and female gender roles and norms present in the comedy in connection with Elizabethan culture . In reference to the triple wedding , he says , `` The festive conclusion in A Midsummer Night 's Dream depends upon the success of a process by which the feminine pride and power manifested in Amazon warriors , possessive mothers , unruly wives , and wilful daughters are brought under the control of lords and husbands . '' He says that the consummation of marriage is how power over a woman changes hands from father to husband . A connection between flowers and sexuality is drawn . The juice employed by Oberon can be seen as symbolising menstrual blood as well as the sexual blood shed by virgins . While blood as a result of menstruation is representative of a woman 's power , blood as a result of a first sexual encounter represents man 's power over women .   There are points in the play , however , when there is an absence of patriarchal control . In his book Power on Display , Leonard Tennenhouse says the problem in A Midsummer Night 's Dream is the problem of `` authority gone archaic '' . The Athenian law requiring a daughter to die if she does not do her father 's will is outdated . Tennenhouse contrasts the patriarchal rule of Theseus in Athens with that of Oberon in the carnivalistic Faerie world . The disorder in the land of the fairies completely opposes the world of Athens . He states that during times of carnival and festival , male power is broken down . For example , what happens to the four lovers in the woods as well as Bottom 's dream represents chaos that contrasts with Theseus ' political order . However , Theseus does not punish the lovers for their disobedience . According to Tennenhouse , by forgiving the lovers , he has made a distinction between the law of the patriarch ( Egeus ) and that of the monarch ( Theseus ) , creating two different voices of authority . This distinction can be compared to the time of Elizabeth I , in which monarchs were seen as having two bodies : the body natural and the body politic . Elizabeth 's succession itself represented both the voice of a patriarch as well as the voice of a monarch : ( 1 ) her father 's will which stated that the crown should pass to her and ( 2 ) the fact that she was the daughter of a king .   Criticism and interpretation ( edit )   Critical History ( edit )  17th century ( edit ) Samuel Pepys , the first literary critic to comment on the play , found A Midsummer Night 's Dream to be `` the most insipid ridiculous play that ever I saw in my life . ''  Dorothea Kehler has attempted to trace the criticism of the work through the centuries . The earliest such piece of criticism was a 1662 entry in the diary of Samuel Pepys . He found the play to be `` the most insipid ridiculous play that ever I saw in my life . '' He did , however , admit that it had `` some good dancing and some handsome women , which was all my pleasure . '' The next critic to write on the play was John Dryden , writing in 1677 . He was preoccupied with the question of whether fairies should be depicted in theatrical plays , since they did not exist . He concluded that poets should be allowed to depict things which do not exist but derive from popular belief . And fairies are of this sort , as are pigmies and the extraordinary effects of magick . Based on this reasoning , Dryden defended the merits of three fantasy plays : A Midsummer Night 's Dream , The Tempest , and Ben Jonson 's Masque of Witches .  18th century ( edit )  Charles Gildon in the early 18th century recommended this play for its beautiful reflections , descriptions , similes , and topics . Gildon thought that Shakespeare drew inspiration from the works of Ovid and Virgil , and that he could read them in the original Latin and not in later translations . James Halliwell - Phillipps , writing in the 1840s , found that there were many inconsistencies in the play , but considered it the most beautiful poetical drama ever written . Henry Austin Clapp , writing in 1885 , commented on the inconsistency of the time depicted in the play , as it should take place in four days and nights and seems to last less than two , and felt that this added to the unrealistic quality of the play .  Horace Howard Furness defended A Midsummer Night 's Dream from claims of inconsistency , and felt this did not detract from the quality of the play .  Horace Howard Furness , defending the play in 1895 , felt that the apparent inconsistency did not detract from the play 's quality . In 1971 , Neil Taylor argued that there was a double time - scheme in the play , making it seem to last a minimum of four nights but to also be timeless . In 1977 , Anne Paolucci argued that the play lasts five days .   William Duff , writing in the 1770s , also recommended this play . He felt the depiction of the supernatural was among Shakespeare 's strengths , not weaknesses . He especially praised the poetry and wit of the fairies , and the quality of the verse involved . His contemporary Francis Gentleman , an admirer of Shakespeare , was much less appreciative of this play . He felt that the poetry , the characterisation , and the originality of the play were its strengths , but that its major weaknesses were a `` puerile '' ( childishly silly and immature ) plot and that it consists of an odd mixture of incidents . The connection of the incidents to each other seemed rather forced to Gentleman .   Edmond Malone , a Shakespearean scholar and critic of the late 18th century , found another supposed flaw in this particular play , its lack of a proper decorum . He found that the `` more exalted characters '' ( the aristocrats of Athens ) are subservient to the interests of those beneath them . In other words , the lower - class characters play larger roles than their betters and overshadow them . He found this to be a grave error of the writer . Malone thought that this play had to be an early and immature work of Shakespeare and , by implication , that an older writer would know better . Malone 's main argument seems to derive from the classism of his era . He assumes that the aristocrats had to receive more attention in the narrative and to be more important , more distinguished , and better than the lower class .  19th century ( edit ) William Hazlitt preferred reading A Midsummer Night 's Dream over watching it acted on stage .  According to Kehler , significant 19th - century criticism began in 1808 with August Wilhelm Schlegel . Schlegel perceived unity in the multiple plot lines . He noted that the donkey 's head is not a random transformation , but reflects Bottom 's true nature . He identified the tale of Pyramus and Thisbe as a burlesque of the Athenian lovers . In 1817 , William Hazlitt found the play to be better as a written work than a staged production . He found the work to be `` a delightful fiction '' but when staged , it is reduced to a dull pantomime . He concluded that poetry and the stage do not fit together . Kehler finds the comment to be more of an indication of the quality of the theatrical productions available to Hazlitt , rather than a true indication of the play 's supposed unsuitability to the stage . She notes that prior to the 1840s , all stage productions of this play were adaptations unfaithful to the original text .   In 1811 -- 1812 , Samuel Taylor Coleridge made two points of criticism about this play . The first was that the entire play should be seen as a dream . Second , that Helena is guilty of `` ungrateful treachery '' to Hermia . He thought that this was a reflection of the lack of principles in women , who are more likely to follow their own passions and inclinations than men . Women , in his view , feel less abhorrence for moral evil , though they are concerned with its outward consequences . Coleridge was probably the earliest critic to introduce gender issues to the analysis of this play . Kehler dismisses his views on Helena as indications of Coleridge 's own misogyny , rather than genuine reflections of Helena 's morality .  William Maginn thought Bottom a lucky man and was particularly amused that he treats Titania , the Queen of the Fairies , `` as carelessly as if she were the wench of the next - door tapster . ''  In 1837 , William Maginn produced essays on the play . He turned his attention to Theseus ' speech about `` the lunatic , the lover , and the poet '' and to Hippolyta 's response to it . He regarded Theseus as the voice of Shakespeare himself and the speech as a call for imaginative audiences . He also viewed Bottom as a lucky man on whom Fortune showered favours beyond measure . He was particularly amused by the way Bottom reacts to the love of the fairy queen : completely unfazed . Maginn argued that `` Theseus would have bent in reverent awe before Titania . Bottom treats her as carelessly as if she were the wench of the next - door tapster . '' Finally , Maginn thought that Oberon should not be blamed for Titania 's humiliation , which is the result of an accident . He viewed Oberon as angry with the `` caprices '' of his queen , but unable to anticipate that her charmed affections would be reserved for a weaver with a donkey 's head .   In 1839 , the philosopher Hermann Ulrici wrote that the play and its depiction of human life reflected the views of Platonism . In his view , Shakespeare implied that human life is nothing but a dream , suggesting influence from Plato and his followers who thought human reality is deprived of all genuine existence . Ulrici noted the way Theseus and Hippolyta behave here , like ordinary people . He agreed with Malone that this did not fit their stations in life , but viewed this behaviour as an indication of parody about class differences .   In 1849 , Charles Knight also wrote about the play and its apparent lack of proper social stratification . He thought that this play indicated Shakespeare 's maturity as a playwright , and that its `` Thesean harmony '' reflects proper decorum of character . He also viewed Bottom as the best - drawn character , with his self - confidence , authority , and self - love . He argued that Bottom stands as a representative of the whole human race . Like Hazlitt he felt that the work is best appreciated when read as a text , rather than acted on stage . He found the writing to be `` subtle and ethereal '' , and standing above literary criticism and its reductive reasoning .  Georg Gottfried Gervinus thought Hermia lacking in filial piety and devoid of conscience for running away with Lysander , himself not a shining beacon of virtue ( here seen wooing Helena ) .  Also in 1849 , Georg Gottfried Gervinus wrote extensively about the play . He denied the theory that this play should be seen as a dream . He argued that it should be seen as an ethical construct and an allegory . He thought that it was an allegorical depiction of the errors of sensual love , which is likened to a dream . In his view , Hermia lacks in filial obedience and acts as if devoid of conscience when she runs away with Lysander . Lysander is also guilty for disobeying and mocking his prospective father - in - law . Pyramus and Thisbe also lack in filial obedience , since they `` woo by moonlight '' behind their parents ' backs . The fairies , in his view , should be seen as `` personified dream gods '' . They represent the caprices of superficial love , and they lack in intellect , feeling , and ethics .   Gervinus also wrote on where the fairyland of the play</t>
  </si>
  <si>
    <t xml:space="preserve">where is a midsummer night's dream set</t>
  </si>
  <si>
    <t xml:space="preserve"> The play consists of four interconnecting plots , connected by a celebration of the wedding of Duke Theseus of Athens and the Amazon queen , Hippolyta , which is set simultaneously in the woodland and in the realm of Fairyland , under the light of the moon . </t>
  </si>
  <si>
    <t xml:space="preserve">List of Black Sails episodes - wikipedia  List of Black Sails episodes     Black Sails is an American television drama series created by Jon Steinberg and Robert Levine for Starz that debuted on January 25 , 2014 . It is produced by Film Afrika Worldwide and Platinum Dunes . It is written as a prequel to Robert Louis Stevenson 's novel Treasure Island . The series was renewed for a fourth season on July 31 , 2015 , before the third season had premiered . On July 20 , 2016 , Starz announced that the series ' fourth season would be its last ; the season premiered on January 29 , 2017 and concluded on April 2 , 2017 . During the course of the series , 38 episodes of Black Sails aired over four seasons .   Contents    1 Series overview   2 Episodes   2.1 Season 1 ( 2014 )   2.2 Season 2 ( 2015 )   2.3 Season 3 ( 2016 )   2.4 Season 4 ( 2017 )     3 References   4 External links    Series overview ( edit )     Season   Episodes   Originally aired     First aired   Last aired         8   January 25 , 2014 ( 2014 - 01 - 25 )   March 15 , 2014 ( 2014 - 03 - 15 )         10   January 24 , 2015 ( 2015 - 01 - 24 )   March 28 , 2015 ( 2015 - 03 - 28 )         10   January 23 , 2016 ( 2016 - 01 - 23 )   March 26 , 2016 ( 2016 - 03 - 26 )         10   January 29 , 2017 ( 2017 - 01 - 29 )   April 2 , 2017 ( 2017 - 04 - 02 )     Episodes ( edit )   Season 1 ( 2014 ) ( edit )     No . overall   No. in season   Title   Directed by   Written by   Original air date   US viewers ( millions )         `` I . ''   Neil Marshall   Jonathan E. Steinberg &amp; Robert Levine   January 25 , 2014 ( 2014 - 01 - 25 )   0.846     John Silver joins Captain Flint 's crew as the ship 's new cook while holding a highly valuable page of the Captain 's Log which he takes from the ship 's first cook who has stolen it from the captain . Meanwhile Captain Flint faces a potential mutiny from his crew and must work to secure their support and recruits his first mate Billy Bones 's help to overthrow the mutineer 's leader Singleton . Also Eleanor Guthrie tries to keep order on the lawless island of New Providence conducting her father 's business as the Royal Navy 's suspicions of the pirates grow stronger .         `` II . ''   Sam Miller   Jonathan E. Steinberg &amp; Robert Levine   February 1 , 2014 ( 2014 - 02 - 01 )   0.840     After Captain Flint reveals Singleton as the thief in front of his crew , he has Gates convince Billy who knows the truth about his captain that this is for the good of the ship . Meanwhile , Silver and Max are forced to hide in the brothel when they put themselves in danger as Captain Vane and his new partners Jack Rackham and Anne Bonny are determined to get a hold of the missing page in the hunt for the Spanish galleon , Urca de Lima . Also , Eleanor is given an ultimatum by Max and has to decide on wealth or love .         `` III . ''   Neil Marshall   Jonathan E. Steinberg &amp; Robert Levine   February 8 , 2014 ( 2014 - 02 - 08 )   0.671     Flint asks Gates to seek additional help from Captain Hornigold to borrow his ship , Royal Lion , in search of the Urca de Lima . Meanwhile , Silver and Billy tackle a morale problem when they work together on the finding out the remaining mutineers . During a captains meeting to strike a deal , Eleanor is impressed by Vane 's voice of reason and calm demeanor , which leads to them having an intimate encounter . However , once she finds out Max is raped by his crew , she punishes Vane by giving them an ultimatum . Also Gates is promoted from quartermaster to captaining his own ship .         `` IV . ''   Sam Miller   Brad Caleb Kane   February 15 , 2014 ( 2014 - 02 - 15 )   0.672     The Walrus suffers a disastrous undertaking when the crew takes on the mission careening the ship 's hull under the new quartermaster 's orders . Meanwhile , Silver warns Flint about Billy 's allegiance with Morley as the story of Mrs. Barlow comes to light . When Captain Bryson arrives in New Providence , Eleanor wants the cannon aboard his supply ship , Andromache for protection in the search for Urca de Lima . However , after he denies her , she turns to her father for help in persuading him despite betraying Mr. Scott 's wishes . Also , Vane is surprised to see a figure from his past .     5   5   `` V . ''   Marc Munden   Doris Egan   February 22 , 2014 ( 2014 - 02 - 22 )   0.744     Flint and his crew of the Walrus play a deadly game of naval warfare when they engage Captain Bryson and the Andromache on the open sea to gain precious cargo . Meanwhile , Richard forces his daughter 's hand about his business when he makes an announcement to the locals about his assets being liquidated , causing a mob to riot against Eleanor who seeks help from Hornigold . Rackham makes a career change for him and Vane when they become owners of the brothel . Also , Billy questions Flint about Mrs. Barlow and Bonny confesses to Max about her past with men .     6   6   `` VI . ''   T.J. Scott   Heather Bellson   March 1 , 2014 ( 2014 - 03 - 01 )   0.847     Capturing the Andromache proves to be a costly endeavor when Flint loses a few of his crew to Bryson 's men who are holed up in the hull . Meanwhile , Bonny decides to take a stand against Hamund and his men from harming Max . Eleanor gets a visit from an unlikely ally who needs her help and turns to Silver to form a plan . Billy reads a private letter from Mrs. Barlow asking for a pardon for Flint 's murderous actions aboard the Maria Aleyne , and asks Gates to confront him before the men learn of his betrayal . Vane reaches his destination from his self - made voyage .     7   7   `` VII . ''   Marc Munden   Michael Angeli   March 8 , 2014 ( 2014 - 03 - 08 )   0.703     Flint explains to Gates about Mrs. Barlow 's letter after Billy 's disappearance . Randell 's accusation of Silver being a thief causes problems when he is put in a tight spot with Dufresne , the new quartermaster . Eleanor suffers a loss when Mr. Scott wants nothing to do with her partnership with Flint and becomes a part of Captain Hornigold 's crew . When Rackham ca n't turn a profit , Max helps run his business at the brothel . In need of a new crew , Captain Vane makes a deal with the man from his past to borrow his men , but ends up fighting a battle to the death .     8   8   `` VIII . ''   T.J. Scott   Jonathan E. Steinberg &amp; Robert Levine   March 15 , 2014 ( 2014 - 03 - 15 )   0.762     The hunt for the Urca de Lima begins when Silver divulges the schedule to Flint , taking them to the ship 's location . Not satisfied with her share of the brothel 's profits , Mrs. Mapleton tries to blackmail Rackham that if he does not approve of the new profits sharing in the brothel , she will tell the locals what really happened to Mr. Noonan . Meanwhile , Vane makes his way back to New Providence with his new crew . Eleanor 's situation changes when a small band of men take over Hornigolds 's fort and start sinking supply ships in the bay . While managing the mutiny aboard the Walrus , Gates calls off the attack of the Ranger , putting his fate in Flint 's hands . The final scenes of the season show that the Walrus has beached itself upon the same isle as the Urca de Lima .     Season 2 ( 2015 ) ( edit )     No . overall   No. in season   Title   Directed by   Written by   Original air date   US viewers ( millions )     9     `` IX . ''   Steve Boyum   Jonathan E. Steinberg &amp; Robert Levine   January 24 , 2015 ( 2015 - 01 - 24 )   0.860     The Walrus crew is stranded on the beach with an army of Spanish soldiers standing between them and the gold on Urca de Lima . When going before his former crew to face judgment for his crimes , Flint devises a plan for survival to sneak aboard the warship and take out the watchman . Thinking he means to escape , Silver volunteers to go on the mission . Meanwhile , Eleanor struggles to maintain her hold on Nassau as a new threat arrives ; the murderous pirate Ned Low and his equally violent crew from his ship , Fancy . Also , Vane has a new position at the fort on New Providence , while Jack is reduced to being labeled a `` crew - killer '' and endures daily beatings .     10     `` X . ''   Clark Johnson   Michael Chernuchin   January 31 , 2015 ( 2015 - 01 - 31 )   0.746     A member of the Walrus crew unexpectedly returns , but finds himself crudely tethered down on a beach . Flint , still stuck in the bowels of the ship , sets his plan in motion to become captain in two days ' time by offering advice to Dufresne on a certain route to navigate the galleon through . Meanwhile , Silver tries to make himself indispensable to his crewmates by reading them gossip that the quiet cook Randall witnesses daily aboard the ship . Meeks asks Eleanor to depose of his captain , Ned Low since his unquenchable thirst for power is causing the crew to be reckless . After Jack learns about the intimate encounter between Max and Anne , he accepts it and later proposes his next money - making scheme with them .     11     `` XI . ''   Stefan Schwartz   Brad Caleb Kane   February 7 , 2015 ( 2015 - 02 - 07 )   0.691     When Flint returns to Nassau to retrieve the gold , he encounters a problem when he learns that Hornigold no longer commands the fort on the island , and anchors the Spanish warship in the bay directly in line with it . No longer a `` crew - killer '' , Rackham 's reputation is restored , but he is worried that Anne is being taking advantage of by Max , driving a wedge between them . Later , Vane is confronted by Ned Low , who learns of his intimate relationship with Eleanor and threatens her well - being after being provoked . This causes Vane to take action and devises a plan to board Low 's ship , kill him and steal his crew , but discovers he is carrying precious `` cargo '' in the brig .     12     `` XII . ''   Clark Johnson   Story by : Julie Siege Teleplay by : Jonathan E. Steinberg &amp; Dan Shotz   February 14 , 2015 ( 2015 - 02 - 14 )   0.752     Wanting to remove Vane from the fort , Flint sends a messenger to him issuing a warning . Eleanor tries to put an end to Flint 's plan to demolish the fort , giving him an ultimatum ; however , the final decision rests in his hands only . Meanwhile , Vane learns that Low 's special cargo is Abigail Ashe , daughter of the Carolina 's governor , and plots to ransom her off . Rackham admires what Max can do with the help of one of her ladies in order to gain him a ship and crew , making him a captain again . Silver , insuring his portion of the gold , makes use of his time on the island by playing to the locals with gossip , but in doing so , he is reunited with an old crew member from the Walrus who is badly malnourished .     13   5   `` XIII . ''   Alik Sakharov   Aaron Helbing &amp; Todd Helbing   February 21 , 2015 ( 2015 - 02 - 21 )   0.750     Flint begins the bombardment of Vane 's fort in earnest . After destroying a portion of the wall , Flint and Hornigold stage their crews on the beach , arming them to retake the fort . During the bombardment , it is shown through a series of flashbacks that not only had Flint wholly committed himself to Hamilton 's plan to retake Nassau and pardon the pirates , but has also begun an affair with him . While seeking the support from his commander , Flint is confronted by him and Lord Hamilton , who strip Flint of rank and expel him from the Royal Navy while giving Flint and Mrs Hamilton till nightfall to flee London , while Mr Hamilton is committed to a mental hospital . In the present , Ms Hamilton , now Ms Barlow , rides into town attempting to avert the bloodshed of the coming battle . She finally gets him alone and tells him of Abigail Ashe , the daughter of a once trusted friend , and that they should trade her for safety in the Colonies , thus gaining the support they need to finally make Mr Hamilton 's plan a reality . She leaves a copy of Marcus Aurelius with a dedication to Flint by Mr Hamilton , then leaves him to his thoughts just as Vane bursts into the room with a dagger intent on killing him .     14   6   `` XIV . ''   Michael Nankin   Heather Bellson   February 28 , 2015 ( 2015 - 02 - 28 )   0.778     To spare Flint exposure to his crew , Billy Bones decides to remain silent and not go ahead with his plans for revenge . However , he later states that he was captured and tortured by the British navy , with the option to denounce Flint for a pardon and a cahoot . Flint contracts his promise to capture the fort and kill Vane , and his promise to raid the Spanish gold , so that he can regain a legitimate reputation by following the plan by Eleanor and Miranda to return the daughter of the Carolina governor . Jack Rackham finally takes on his maiden voyage as a captain , but it takes a turn for the worse when his ship is boarded by rival pirates , who have a stronger crew and heavier weaponry . They give Rackham the option of a sharing term , and given the pitiful nature of it , Rackham decides to risk a confrontation with the rival captain .     15   7   `` XV . ''   Alik Sakharov   Lisa Schultz Boyd   March 7 , 2015 ( 2015 - 03 - 07 )   0.632     The pirates prepare to take a vote on whether Flint or Hornigold should become captain , causing Flint 's plans to take a halt . Billy secretly meets with Dufresne and declares his plan to gather at least ten men that oppose flint , to capture him and surrender him to the British , so that they may all receive full pardons for their piracy . John Silver comes to find out that Flint kept quiet about the fate of the crew of the Spanish gold , in which the entire crew died from a tropical disease , leaving the gold unprotected , after which Flint planned to start a secret expedition to gather the gold without any issues or opposition . Eleanor betrays Vane by releasing Abby , the daughter of the Carolina governor , to help along with the plan for pardons by Flint and Miranda .     16   8   `` XVI . ''   Steve Boyum   Story by : Marc Berzenski &amp; Maria Melnik Teleplay by : Jonathan E. Steinberg &amp; Robert Levine   March 14 , 2015 ( 2015 - 03 - 14 )   0.743     Billy 's trap to eliminate the traitors of the pirate crew succeeds , and Flint ends up winning against Hornigold in the election for the captain . After the election and its results against him , Hornigold departs from Nassau . Flint also leaves Nassau , but instead sails to Carolina to meet with the governor there in regards to his daughter ; Carolina is a place where pirates are believed to be most evil and the attitude towards them is extremely hostile . John Silver discusses the plan for the retrieval of the unguarded Spanish gold with Jack Rackham and his crew , deliberately ignoring the fact that a major trap is currently being laid for them . The mother of Max , the new madame of Nassau , reveals to Eleanor of Silver 's plan to retrieve the gold , on which they both agree that the plan goes against the free dream that they share for Nassau , to transform the pirate town into a legitimate location .     17   9   `` XVII . ''   Lukas Ettlin   Story by : Dan Shotz Teleplay by : Brad Caleb Kane   March 21 , 2015 ( 2015 - 03 - 21 )   0.653     As Silver and his party attempt to reclaim the Urca gold , Vane overtakes the plan to Silver 's surprise . However , Billy remains faithful to Flint 's cause , and Silver remains on board , hiding with a few of the survivors . The remaining traitors that were not captured join forces to capture Eleanor , and deliver her to the British navy as a pirate hostage , to receive their ten full pardons for their actions as pirates . Flint prepares to accept the conditions of Peter Ashe , the Carolina governor , to expose his whole story from London and allowing an inspection of the pirate port of Nassau , but Miranda comes to the realization that it was Peter who betrayed them so many years go , so she retracts her deal with the governor , causing Peter 's guards to capture Flint and kill her . Flint 's execution is later announced . Upon hearing the news of Flint 's upcoming execution , Vane believes that this would destroy the reputation of Nassau , and suggests an alliance with Billy to save Flint from being killed .     18   10   `` XVIII . ''   Steve Boyum   Jonathan E. Steinberg &amp; Robert Levine   March 28 , 2015 ( 2015 - 03 - 28 )   0.668     In Charles Town , the day of Captain Flint 's trial comes . Lord Ashe offers him a chance to avoid humiliation , but Flint declines , still bitter at Ashe for Mrs Barlow 's death . However , help for Flint arrives in the unlikeliest form : Charles Vane . Vane 's men launch their attack on the city and Flint and Vane fight their way out , with Flint murdering Ashe en route . They reach the ship to find Flint 's crew have regained leadership , but Flint orders Vane 's crew to be released - realising pirates have to unite against the world . Silver , after being tortured , is forced to have his leg cut off . When he finally awakens , he reveals the spy they hired to watch the Spanish soldiers sold the location to another crew . The crew of Jack Rackham . The ending scene pictures Max celebrating Jack 's successful attempt to bring the treasure back to Nassau .     Season 3 ( 2016 ) ( edit )     No . overall   No. in season   Title   Directed by   Written by   Original air date   US viewers ( millions )     19     `` XIX . ''   Alik Sakharov   Jonathan E. Steinberg &amp; Robert Levine   January 23 , 2016 ( 2016 - 01 - 23 )   0.843     A formidable new character is introduced . Flint and his crew wage war against anyone who has taken a stance against piracy . John Silver thinks this is becoming dangerous and reckless . Max has Anne persuade Jack to start repairs on New Providence Island 's fort , which is still in ruins after the events of Season 2 . Jack has sent Vane to take a ship , claiming there is much needed timber aboard . Vane finds slaves instead and angrily confronts Jack , who convinces Vane that slave labor is the only way to fix the fort . Back in England , Eleanor is offered a deal in exchange for her life and a new British threat emerges . Flint and the Walrus come across Hornigold and his crew and are forced to make a difficult decision .     20     `` XX . ''   Lukas Ettlin   Jonathan E. Steinberg &amp; Brad Caleb Kane   January 30 , 2016 ( 2016 - 01 - 30 )   0.759     The crew of the Walrus are forced to brace themselves against the elements . Blackbeard disagrees on an issue with Rackham , while Woodes Rogers and Eleanor begin to draft the terms that their partnership will be based upon . Bonny begins to worry about the future , what it entails , and where her relationship with Max will go .     21     `` XXI . ''   Stefan Schwartz   Jonathan E. Steinberg &amp; Dan Shotz   February 6 , 2016 ( 2016 - 02 - 06 )   0.501     While stranded at sea , tensions between Flint and Silver begin to rise , and Silver finds himself pushed to his limit by Flint . While the port of Nassau begins to prepare to defend itself against an invasion , Rackham takes the lead of the force . Max sorts out issues within her house , while at the same time , Vane has to make a difficult decision to ward off his own defeat .     22     `` XXII . ''   Steve Boyum   Jonathan E. Steinberg &amp; Lisa Schultz Boyd   February 13 , 2016 ( 2016 - 02 - 13 )   0.640     Flint and his crew are captured by islanders , marched to a hidden village and imprisoned . Rogers tells Eleanor he wants her as his counselor during his move onto Nassau . Jack blows up the fort so that Vane , aided by Teach , can escape . Flint identifies their captors as escaped slaves . On ship , Teach shows Vane that Eleanor is aboard a British vessel , and later wonders where his loyalties lie . Flint , Silver and Billy realize that they must convince their captors that their interests are aligned . Rogers and his men believe they have trapped the remaining pirates until a single ship begins moving across the bay . When it is closer to the British fleet , Vane lights the ship on fire and jumps overboard . At the village , Flint tells Silver that the islanders will kill them because they can not risk their secret being revealed . Under cover of darkness , Mr. Scott approaches the slaves who escaped from the fort but is challenged by two British sailors and gunfire is exchanged , injuring Mr. Scott . The slaves load him into a boat and make for the open ocean .     23   5   `` XXIII . ''   Alik Sakharov   Jonathan E. Steinberg &amp; Robert Levine   February 20 , 2016 ( 2016 - 02 - 20 )   0.679     As they begin to face certain death , Flint is forced into action by Silver to save themselves . Blackbeard helps Vane with his issues and shows him a better path forward , while a new threat arises for Eleanor and Woodes Rogers , putting their plans on hold . Max takes issues into her own hands and makes her own way forward .     24   6   `` XXIV . ''   Lukas Ettlin   Dan Shotz   February 27 , 2016 ( 2016 - 02 - 27 )   0.603     Flint decides to step forward to challenge Blackbeard , to determine the fate and the future of piracy . Woodes Rogers moves forward and makes an arrest , while Rackham is motivated after finding a new purpose and reason to go forward . Madi Scotts , the daughter of Maroons Queen and Mr. Scott , helps Silver as he 's being held captive .     25   7   `` XXV . ''   Rob Bailey   Marc Berzenski &amp; Josh Rothenberger   March 5 , 2016 ( 2016 - 03 - 05 )   0.658     Finally , Flint and Silver make their way to return to Nassau , and upon their arrival , they find that a legend has been created . Rackham and Bonny find themselves in a jeopardous situation after an unexpected change of terms takes place . Vane continues with his mission , and it begins to evolve , while Eleanor secretly confides her issues in Rogers .     26   8   `` XXVI . ''   Stefan Schwartz   Evan Bleiweiss   March 12 , 2016 ( 2016 - 03 - 12 )   0.677     While relocating a prisoner , Rogers finds himself under attack . Meanwhile , on the Walrus , violence erupts between the crew members of the ship , and Silver and Madi find themselves in a situation that puts them to a test . Billy finally finds a new role for himself in the upcoming battle , that may benefit both the battle and himself .     27   9   `` XXVII . ''   Steve Boyum   Story by : Brad Caleb Kane &amp; Tyler Van Patten Teleplay by : Brad Caleb Kane   March 19 , 2016 ( 2016 - 03 - 19 )   0.608     Eleanor visits Vane in prison and redoubles her commitment to his execution . Later , she visits Rogers , who has fallen ill with fever and is bedridden. Rogers grants her emergency power to govern New Providence Island until he recovers . On the Walrus , Flint and Silver attempt a risky maneuver to shake Captain Hornigold 's pursuit . Billy plots a way to buy time before Vane 's execution . Rogers becomes unresponsive ; Eleanor orders an expedited trial to execute Vane the next day . Flint and Silver discuss leadership styles . Billy prepares to rescue Vane , but things do n't go according to plan . Flint and Rackham plan how to best defend themselves , while Eleanor plans the British offensive . Teach is informed of the outcome of Vane 's execution .     28   10   `` XXVIII . ''   Alik Sakharov   Jonathan E. Steinberg &amp; Robert Levine   March 26 , 2016 ( 2016 - 03 - 26 )   0.644     As Flint buries the treasure , he is questioned by Silver about his true reasons for the war against the British and the tactics for the upcoming battle on the island . On the day of the attack , the British and Hornigold manage to take the beach with superior firepower , forcing Flint and his men to retreat . Meanwhile , Rackham and Bonny unite with the fleet of Blackbeard , who seeks revenge for the death of Charles Vane . In Nassau , Eleanor is confronted by an anonymous message , which demands the removal of the remains of Charles Vane and the gibbet from the market square . Rogers recovers and reassures Eleanor his support in overcoming her enemies . Silver sends Dobbs to the beach to kill Hornigold . Hornigold shoots Dobbs and is eventually killed by Flint . In Nassau , a pardoned pirate captain is murdered by Billy , as there was no reaction on the message with the black spot . With the help of Bonny and Rackham , Blackbeard 's fleet manage to force the British fleet to retreat . In Nassau , Billy creates the claim of responsibility for the murder and a warning , using the name `` Long John Silver '' .     Season 4 ( 2017 ) ( edit )     No . overall   No. in season   Title   Directed by   Written by   Original air date   US viewers ( millions )     29     `` XXIX . ''   Lukas Ettlin   Jonathan E. Steinberg &amp; Robert Levine   January 29 , 2017 ( 2017 - 01 - 29 )   0.738     The war for Nassau is well under way , as Flint and Blackbeard 's crews set to make landfall . The fort appears lightly armed but landfall still is n't as easy as they anticipated . Falling into a trap , Flint must recover and lead his crew to a successful retreat . Woodes Rogers and Eleanor Guthrie have married , but his divorce from his ex-wife is not without consequence . The pirate and slave forces have been severely decimated as 121 of them are captured and numerous others are dead .     30     `` XXX . ''   Alik Sakharov   Jonathan E. Steinberg &amp; Dan Shotz   February 5 , 2017 ( 2017 - 02 - 05 )   0.340     Long John Silver is captured by a former crewman of Blackbeard and tries to talk his way into freedom . Max finds out about Featherstone and Idelle 's involvement in the leaking of secrets to the pirates . Blackbeard begins a blockade of Nassau Harbour that Woodes Rogers devises a plan to counter . The remainder of Flint 's crew and Billy 's men raid a plantation of New Providence to gather supplies and more men for the war .     31     `` XXXI . ''   Roel Reiné   Jonathan E. Steinberg &amp; Brad Caleb Kane   February 12 , 2017 ( 2017 - 02 - 12 )   0.503     Rogers sets off for Port Royal in order to distract Blackbeard 's blockade and allow Eleanor to seek aid from her grandfather in Philadelphia . The alliance between Flint 's crew and the maroons is strained after Billy and his men turn their back on them . Flint reunites with Silver and gets reintroduced to Israel Hands . Blackbeard catches up to Rogers ' ship and a battle ensues . Flint and his men begin an attack on Nassau .     32     `` XXXII . ''   Marc Jobst   Peter Ocko &amp; Michael Russell Gunn   February 19 , 2017 ( 2017 - 02 - 19 )   0.483     The pirates have taken over Nassau as news of Captain Berringer 's death reaches Rogers who is en route back to Nassau. 42 captives from Teach 's crew are being transported to Port Royal , but have plans of taking control over the ship . Billy and Silver have words as they discuss the plans for Nassau going forward . Madi tries to talk the former slaves of the Uphill plantation into joining the pirates , but they have reason to worry as a new threat to their success is born .     33   5   `` XXXIII . ''   Alik Sakharov   Jonathan E. Steinberg &amp; Dan Shotz   February 26 , 2017 ( 2017 - 02 - 26 )   0.448     Eleanor and Flint strike a deal as Governor Rogers attempts to enter Nassau Harbour . Madi and Silver fight about what the deal between Eleanor and Flint means for the future of Nassau . Flint reveals some things about Mr. Scott to Eleanor that causes her discomfort . Rogers reverses course and sails towards Havana to seek aid from Spain . Jack and the escaped prisoners arrive in Nassau and tells Flint of his run in with Rogers .     34   6   `` XXXIV . ''   Steve Boyum   Jonathan E. Steinberg &amp; Robert Levine   March 5 , 2017 ( 2017 - 03 - 05 )   0.448     A dozen Spanish ships appear over the horizon heading into Nassau Harbour . Some pirates make escape on the Walrus . Silver tries to convince freed slave leader Julius to join forces and fight the Spanish together . Flint , Madi and Eleanor make refuge outside of Nassau as the Spanish troops invade . Survivors seek escape via the Walrus and the Rogers ' captured ship . The pirates plan their next move in the fight for Nassau .     35   7   `` XXXV . ''   Lukas Ettlin   Robert Levine &amp; Brad Caleb Kane   March 12 , 2017 ( 2017 - 03 - 12 )   0.505     Freed slaves from all over New Providence gather at the hidden village of the Maroons , as they plan how to take control of Nassau . Mrs. Hudson informs Governor Rogers that Eleanor was pregnant before she died . Jack and crew head to Philadelphia to enlist the help of Eleanor 's grandfather , who does n't react to their news as anticipated . Billy tries to get Rogers to split up Flint and Silver in order to for him to expel the pirates . Rogers talks to Madi who is apparently not dead .     36   8   `` XXXVI . ''   Uta Briesewitz   Story by : Jenniffer Castillo &amp; Jillian Molin Teleplay by : Tyler Van Patten   March 19 , 2017 ( 2017 - 03 - 19 )   0.473     Jack and Max get ready to depart Philadelphia and return to Nassau . Jack contemplates going through with a costly plan that is the only way he believes Nassau will become economic again . Flint and Silver also return to Nassau to retrieve Madi , but argue about which of their plans is the best . Woodes Rogers , puts his own plan into action as they come for Madi . Max speaks to Eleanor 's grandmother Marion Guthrie about Mrs. Guthrie 's plan for Nassau .     37   9   `` XXXVII . ''   Steve Boyum   Jonathan E. Steinberg &amp; Dan Shotz   March 26 , 2017 ( 2017 - 03 - 26 )   0.501     Flint and Silver 's crew follows Roger 's ship to Skeleton Island . On Skeleton Island , Flint and Dooley set off to hide the treasure , while Silver sends 6 men after them . A flashback is intermittent where Flint teaches Silver how to sword - fight . Roger 's tries to convince Madi to accept his treaty . Jack and his crew also set sail for Skeleton Island . Flint and Silver 's ship catches fire .     38   10   `` XXXVIII . ''   Jonathan E. Steinberg   Jonathan E. Steinberg &amp; Robert Levine   April 2 , 2017 ( 2017 - 04 - 02 )   0.568     Jack and his crew arrive at Skeleton Island and attempt to rescue any survivors in the aftermath of the ambush of Flint and Silver 's crew by Rogers . They sail behind Rogers and the Eurydice to engage them again in one final battle . The Eurydice has been seized and Flint and Silver go back to Skeleton Island to retrieve the treasure . Jack returns to Philadelphia to talk to Marion Guthrie about her buying out Woodes Rogers debts . Flint chooses to go to Savannah . Order , at least at the surface , is restored in Nassau .     References ( edit )    Jump up ^ `` Black Sails : Starz Series Starts January 25th '' . TV Series Finale . November 20 , 2013 . Retrieved November 21 , 2013 .   Jump up ^ Berman , Marc ( July 31 , 2015 ) . `` Starz Renews ' Black Sails ' and Jumps on the Binge - Watching Bandwagon '' . TV Media Insights . Retrieved July 31 , 2015 .   Jump up ^ Mitovich , Matt Webb ( July 20 , 2016 ) . `` Black Sails to End With Season 4 '' . TVLine . Retrieved July 20 , 2016 .   Jump up ^ `` Black Sails Season 4 Trailer from the New York Comic Con '' . ComingSoon . October 7 , 2016 . Retrieved October 8 , 2016 .   Jump up ^ Patten , Dominic . `` Starz 's ' Black Sails ' Debuts Ok '' . Deadline . Retrieved January 28 , 2014 .   Jump up ^ `` Saturday 's Cable Ratings &amp; Broadcast Finals : `` 48 Hours '' Tops Viewers , College Basketball Leads Demos `` . The Futon Critic . Retrieved February 4 , 2014 .   Jump up ^ Kondolojy , Amanda . `` Saturday Cable Ratings : College Basketball Tops Day + Olympics Coverage , ' Sanjay &amp; Craig ' &amp; More '' . TVByTheNumbers . Retrieved February 12 , 2014 .   Jump up ^ `` Saturday , February 15 , 2014 '' . Multichannel News . Retrieved March 10 , 2016 .   Jump up ^ `` Saturday 's Cable Ratings &amp; Broadcast Finals : NBC Tops Charts with Penultimate Night of Winter Games '' . The Futon Critic . Retrieved February 25 , 2014 .   Jump up ^ `` Saturday 's Cable Ratings &amp; Broadcast Finals : NBC Tops Demo Chart with NHL Coverage '' . The Futon Critic . Retrieved March 5 , 2014 .   Jump up ^ `` Sunday Cable Ratings : ' The Walking Dead ' Wins Night , ' Talking Dead ' , ' The Real Housewives of Atlanta ' , ' True Detective ' &amp; More '' . Retrieved March 12 , 2014 .   Jump up ^ TFC Staff ( March 18 , 2014 ) . `` Saturday 's Cable Ratings &amp; Broadcast Finals : Quartet of Newsmagazines Tops Charts '' . The Futon Critic . Retrieved March 18 , 2014 .   Jump up ^ Dominic Patten ( January 30 , 2015 ) . `` Starz 's ' Black Sails ' Ratings Steady In Season 2 Debut '' . Deadline . Retrieved January 31 , 2015 .   Jump up ^ Mitch Metcalf ( February 3 , 2015 ) . `` SHOWBUZZDAILY 's Top 25 Saturday Cable Originals : 1.31. 15 '' . Showbuzzdaily . Retrieved February 3 , 2015 .   Jump up ^ Mitch Metcalf ( February 10 , 2015 ) . `` SHOWBUZZDAILY 's Top 25 S</t>
  </si>
  <si>
    <t xml:space="preserve">when does the new series of black sails start</t>
  </si>
  <si>
    <t xml:space="preserve"> Black Sails is an American television drama series created by Jon Steinberg and Robert Levine for Starz that debuted on January 25 , 2014 . It is produced by Film Afrika Worldwide and Platinum Dunes . It is written as a prequel to Robert Louis Stevenson 's novel Treasure Island . The series was renewed for a fourth season on July 31 , 2015 , before the third season had premiered . On July 20 , 2016 , Starz announced that the series ' fourth season would be its last ; the season premiered on January 29 , 2017 and concluded on April 2 , 2017 . During the course of the series , 38 episodes of Black Sails aired over four seasons . </t>
  </si>
  <si>
    <t xml:space="preserve">Neil Armstrong - Wikipedia  Neil Armstrong    For other people named Neil Armstrong , see Neil Armstrong ( disambiguation ) .    Neil Armstrong     Armstrong in July 1969     USAF / NASA astronaut       Neil Alden Armstrong ( 1930 - 08 - 05 ) August 5 , 1930 Wapakoneta , Ohio , U.S.       August 25 , 2012 ( 2012 - 08 - 25 ) ( aged 82 ) Cincinnati , Ohio , U.S.     Previous occupation   Naval aviator , test pilot     Alma mater   Purdue University , B.S. 1955 University of Southern California , M.S. 1970     Rank   Lieutenant ( junior grade ) , United States Navy     Time in space   8 days , 14 hours , 12 minutes , and 30 seconds     Selection   1958 USAF Man In Space Soonest 1960 USAF Dyna - Soar 1962 NASA Group 2     Total EVAs       Total EVA time   2 hours 31 minutes     Missions   Gemini 8 , Apollo 11     Awards   Presidential Medal of Freedom Congressional Space Medal of Honor Congressional Gold Medal NASA Distinguished Service Medal NASA Exceptional Service Medal Air Medal ( 3 )     Neil Alden Armstrong ( August 5 , 1930 -- August 25 , 2012 ) was an American astronaut and aeronautical engineer who was the first person to walk on the Moon . He was also a naval aviator , test pilot , and university professor .   A graduate of Purdue University , Armstrong studied aeronautical engineering with his college tuition paid for by the U.S. Navy under the Holloway Plan . He became a midshipman in 1949 , and a naval aviator the following year . He saw action in the Korean War , flying the Grumman F9F Panther from the aircraft carrier USS Essex . In September 1951 , he was hit by anti-aircraft fire while making a low bombing run , and forced to bail out . After the war , he completed his bachelor 's degree at Purdue , and became a test pilot at the National Advisory Committee for Aeronautics ( NACA ) High - Speed Flight Station at Edwards Air Force Base in California . He was the project pilot on Century Series fighters , and flew the North American X-15 seven times . He was also a participant in the U.S. Air Force 's Man in Space Soonest and X-20 Dyna - Soar human spaceflight programs .   Armstrong joined the NASA Astronaut Corps in the second group , which was selected in 1962 . He made his first spaceflight as commander of Gemini 8 in March 1966 , becoming NASA 's first civilian astronaut to fly in space . During this mission with pilot David Scott , he performed the first docking of two spacecraft ; the mission was aborted after Armstrong used some of his reentry control fuel to prevent a dangerous spin caused by a stuck thruster . During training for Armstrong 's second and last spaceflight as commander of Apollo 11 , he had to eject from the Lunar Landing Research Vehicle moments before a fiery crash .   In July 1969 , Armstrong and Apollo 11 Lunar Module pilot Buzz Aldrin performed the first manned Moon landing , and spent two and a half hours outside the spacecraft while Michael Collins remained in lunar orbit in the Command / Service Module . When Armstrong stepped onto the lunar surface , he famously said : `` That 's one small step for ( a ) man , one giant leap for mankind . '' Along with Collins and Aldrin , Armstrong was awarded the Presidential Medal of Freedom by President Richard Nixon . President Jimmy Carter presented Armstrong with the Congressional Space Medal of Honor in 1978 , and Armstrong and his former crewmates received a Congressional Gold Medal in 2009 .   After he resigned from NASA in 1971 , Armstrong taught in the Department of Aerospace Engineering at the University of Cincinnati until 1979 . He served on the Apollo 13 accident investigation , and on the Rogers Commission , which investigated the Space Shuttle Challenger disaster . He acted as a spokesman for several businesses , and appeared in advertising for the automotive brand Chrysler starting in January 1979 .   Contents    1 Early years   2 Navy service   3 College years   4 Test pilot   5 Astronaut career   5.1 Gemini program   5.1. 1 Gemini 5   5.1. 2 Gemini 8   5.1. 3 Gemini 11     5.2 Apollo program   5.2. 1 Apollo 11   5.2. 1.1 Voyage to the Moon   5.2. 1.2 First Moon walk   5.2. 1.3 Return to Earth         6 Life after Apollo   6.1 Teaching   6.2 NASA commissions   6.3 Business activities   6.4 North Pole expedition   6.5 Television and film   6.6 Reclusiveness     7 Personal life   8 Illness and death   9 Legacy   10 Notes   11 References   12 Further reading   13 External links    Early years   Armstrong was born on August 5 , 1930 , near Wapakoneta , Ohio , to Stephen Koenig Armstrong and Viola Louise Engel . He was of German and Scottish ancestry , and had a younger sister , June , and a younger brother , Dean . His father worked as an auditor for the Ohio state government , and the family moved around the state repeatedly , living in sixteen towns over the next fourteen years . Armstrong 's love for flying grew during this time , having started early when his father took his two - year - old son to the Cleveland Air Races . When he was five or six , he experienced his first airplane flight in Warren , Ohio , when he and his father took a ride in a Ford Trimotor , also known as the `` Tin Goose '' .   His father 's last move was in 1944 , back to Wapakoneta . Armstrong attended Blume High School , and took flying lessons at the grassy Wapakoneta airfield . He earned a student flight certificate on his sixteenth birthday , then soloed in August , all before he had a driver 's license . He was active in the Boy Scouts and earned the rank of Eagle Scout . As an adult , he was recognized by the Boy Scouts of America with its Distinguished Eagle Scout Award and Silver Buffalo Award . On July 18 , 1969 , while flying toward the Moon , Armstrong greeted the Scouts . Among the few personal items that he carried with him to the Moon and back was a World Scout Badge .   In 1947 , at age 17 , Armstrong began studying aeronautical engineering at Purdue University . He was the second person in his family to attend college . He was also accepted to the Massachusetts Institute of Technology ( MIT ) , but an uncle who had attended MIT dissuaded him from attending , telling him that it was not necessary to go all the way to Cambridge , Massachusetts , for a good education . His college tuition was paid for under the Holloway Plan . Successful applicants committed to two years of study , followed by two years of flight training and one year of service in the U.S. Navy as an aviator , then completion of the final two years of their bachelor 's degree . He did not take courses in naval science , nor did he join the Naval Reserve Officers Training Corps at Purdue .   Navy Service  Ensign Neil Armstrong on May 23 , 1952  Armstrong 's call - up from the Navy arrived on January 26 , 1949 , requiring him to report to Naval Air Station Pensacola in Florida for flight training with class 5 - 49 . After passing the medical examinations , he became a midshipman on February 24 , 1949 . Flight training was conducted in a North American SNJ trainer , in which he soloed on September 9 , 1949 . On March 2 , 1950 , he made his first aircraft carrier landing on the USS Cabot , an achievement he considered comparable to his first solo flight . He was then sent to Naval Air Station Corpus Christi in Texas for training on the Grumman F8F Bearcat , culminating in a carrier landing on the USS Wright . On August 16 , 1950 , Armstrong was informed by letter that he was a fully qualified naval aviator . His mother and sister attended his graduation ceremony on August 23 , 1950 .   Armstrong 's assignment was to Fleet Aircraft Service Squadron 7 ( FASRON 7 ) at NAS San Diego ( now known as NAS North Island ) . On November 27 , 1950 , he was assigned to VF - 51 , an all - jet squadron , becoming its youngest officer , and made his first flight in a jet , a Grumman F9F Panther , on January 5 , 1951 . He was promoted to ensign on June 5 , 1951 , and made his first jet carrier landing on USS Essex two days later . On June 28 , 1951 , Essex had set sail for Korea , with VF - 51 aboard to act as ground - attack aircraft . VF - 51 flew ahead to Naval Air Station Barbers Point in Hawaii , where it conducted fighter - bomber training before rejoining the ship at the end of July .   On August 29 , 1951 , Armstrong saw action in the Korean War as an escort for a photo reconnaissance plane over Songjin . Five days later , on September 3 , he flew armed reconnaissance over the primary transportation and storage facilities south of the village of Majon - ni , west of Wonsan . Making a low bombing run at 350 mph ( 560 km / h ) , Armstrong 's F9F Panther was hit by anti-aircraft fire . While trying to regain control , he collided with a pole at a height of 20 feet ( 6 m ) , which sliced off 3 feet ( 1 m ) of the Panther 's right wing .  F9F - 2 Panthers over Korea , with Armstrong piloting S - 116 ( left )  Armstrong flew the plane back to friendly territory , but due to the loss of the aileron , ejection was his only safe option . He intended to eject over water and await rescue by Navy helicopters , but his parachute was blown back over land . A jeep driven by a roommate from flight school picked him up ; it is unknown what happened to the wreckage of his aircraft , F9F - 2 BuNo 125122 .   In all , Armstrong flew 78 missions over Korea for a total of 121 hours in the air , a third of them in January 1952 , with the final mission on March 5 , 1952 . Of 492 U.S. Navy personnel killed in the Korean War , 27 of them were from the Essex on this war cruise . Armstrong received the Air Medal for 20 combat missions , two gold stars for the next 40 , the Korean Service Medal and Engagement Star , the National Defense Service Medal and the United Nations Korea Medal . His regular commission was terminated on February 25 , 1952 , and he became an ensign in the United States Navy Reserve . On completion of his combat tour with Essex , he was assigned to a transport squadron , VR - 32 , in May 1952 . He was released from active duty on August 23 , 1952 , but remained in the reserves , and was promoted to lieutenant ( junior grade ) on May 9 , 1953 . As a reservist , he continued to fly , with VF - 724 at Naval Air Station Glenview in Illinois , and then , after moving to California , with VF - 773 at Naval Air Station Los Alamitos . He remained in the reserve for eight years , before resigning his commission on October 21 , 1960 .   College years   After his service with the Navy , Armstrong returned to Purdue . His previously earned good but not outstanding grades now improved , lifting his final Grade Point Average ( GPA ) to a respectable but not outstanding 4.8 out of 6.0 . He pledged the Phi Delta Theta fraternity , and lived in its fraternity house . He wrote and co-directed two musicals as part of the all - student revue . The first was a version of Snow White and the Seven Dwarves , co-directed with his girlfriend Joanne Alford from the Alpha Chi Omega sorority , with songs from the Walt Disney film , including Someday My Prince Will Come ; the second was titled The Land of Egelloc , with music from Gilbert and Sullivan but new lyrics . He was chairman of the Purdue Aero Flying Club , and flew the club 's aircraft , an Aeronca and a couple of Pipers , which were kept at nearby Aretz Airport in Lafayette , Indiana . Flying the Aeronca to Wapakoneta in 1954 , he damaged it in a rough landing in a farmer 's field , and it had to be hauled back to Lafayette on a trailer . He was a baritone player in the Purdue All - American Marching Band . Ten years later he was made an honorary member of Kappa Kappa Psi national band honorary fraternity . Armstrong graduated with a Bachelor of Science degree in Aeronautical Engineering in January 1955 . In 1970 he completed his Master of Science degree in Aerospace Engineering at the University of Southern California ( USC ) . He would eventually be awarded honorary doctorates by several universities .   Armstrong met Janet Elizabeth Shearon , who was majoring in home economics , at a party hosted by Alpha Chi Omega . According to the couple , there was no real courtship , and neither could remember the exact circumstances of their engagement . They were married on January 28 , 1956 , at the Congregational Church in Wilmette , Illinois . When he moved to Edwards Air Force Base , he lived in the bachelor quarters of the base , while Janet lived in the Westwood district of Los Angeles . After one semester , they moved into a house in Antelope Valley . Janet did not finish her degree , a fact she regretted later in life . The couple had three children : Eric , Karen , and Mark . In June 1961 , Karen was diagnosed with a malignant tumor of the middle part of her brain stem ; X-ray treatment slowed its growth , but her health deteriorated to the point where she could no longer walk or talk . She died of pneumonia , related to her weakened health , on January 28 , 1962 , aged two .   Test pilot   Following his graduation from Purdue , Armstrong became an experimental research test pilot . He applied at the National Advisory Committee for Aeronautics ( NACA ) High - Speed Flight Station at Edwards Air Force Base . NACA had no open positions , and forwarded his application to the Lewis Flight Propulsion Laboratory in Cleveland , where Armstrong made his first test flight on March 1 , 1955 . Armstrong 's stint at Cleveland lasted only a couple of months before a position at the High - Speed Flight Station became available , and he reported for work there on July 11 , 1955 .  Armstrong , 26 , as a test pilot at the NACA High - Speed Flight Station at Edwards AFB , California  On his first day , Armstrong was tasked with piloting chase planes during releases of experimental aircraft from modified bombers . He also flew the modified bombers , and on one of these missions had his first flight incident at Edwards . On March 22 , 1956 , he was in a Boeing B - 29 Superfortress , which was to air - drop a Douglas D - 558 - 2 Skyrocket . He sat in the right - hand pilot seat while the left - hand seat commander , Stan Butchart , flew the B - 29 .   As they climbed to 30,000 feet ( 9 km ) , the number - four engine stopped and the propeller began windmilling ( rotating freely ) in the airstream . Hitting the switch that would stop the propeller 's spinning , Butchart found it slowed but then started spinning again , this time even faster than the others ; if it spun too fast , it would break apart . Their aircraft needed to hold an airspeed of 210 mph ( 338 km / h ) to launch its Skyrocket payload , and the B - 29 could not land with the Skyrocket attached to its belly . Armstrong and Butchart brought the aircraft into a nose - down attitude to increase speed , then launched the Skyrocket . At the instant of launch , the number - four engine propeller disintegrated . Pieces of it damaged the number - three engine and hit the number - two engine . Butchart and Armstrong were forced to shut down the damaged number - three engine , along with the number - one engine , due to the torque it created . They made a slow , circling descent from 30,000 ft ( 9 km ) using only the number - two engine , and landed safely .   Armstrong served as project pilot on Century Series fighters , including the North American F - 100 Super Sabre A and C variants , the McDonnell F - 101 Voodoo , the Lockheed F - 104 Starfighter , the Republic F - 105 Thunderchief and the Convair F - 106 Delta Dart . He also flew the Douglas DC - 3 , Lockheed T - 33 Shooting Star , North American F - 86 Sabre , McDonnell Douglas F - 4 Phantom II , Douglas F5D - 1 Skylancer , Boeing B - 29 Superfortress , Boeing B - 47 Stratojet and Boeing KC - 135 Stratotanker , and was one of eight elite pilots involved in the Parasev paraglider research vehicle program . Over his career , he flew more than 200 different models of aircraft . His first flight in a rocket - powered aircraft was on August 15 , 1957 , in the Bell X-1 B , to an altitude of 11.4 miles ( 18.3 km ) . On landing , the poorly designed nose landing gear failed , as had happened on about a dozen previous flights of the Bell X-1B . He flew the North American X-15 seven times , including the first flight with the Q - ball system , the first flight of the number 3 X-15 airframe , and the first flight of the MH - 96 adaptive flight control system . He became an employee of the National Aeronautics and Space Administration ( NASA ) when it was established on October 1 , 1958 , absorbing NACA .   Armstrong was involved in several incidents that went down in Edwards folklore or were chronicled in the memoirs of colleagues . During his sixth X-15 flight on April 20 , 1962 , when Armstrong was testing the MH - 96 control system , he flew to a height of over 207,000 feet ( 63 km ) ( the highest he flew before Gemini 8 ) . He held up the aircraft nose for too long during its descent to demonstrate the MH - 96 's g - limiting performance , and the X-15 ballooned back up to around 140,000 feet ( 43 km ) . He flew past the landing field at Mach 3 ( 2,000 mph , 3,200 km / h ) at over 100,000 feet ( 30 km ) in altitude , and ended up 40 miles ( 64 km ) south of Edwards . After sufficient descent , he turned back toward the landing area , and landed , just missing Joshua trees at the south end . It was the longest X-15 flight in both flight time and length of the ground track .  Armstrong and X-15 - 1 after a research flight in 1960  Many of the test pilots at Edwards praised Armstrong 's engineering ability . Milt Thompson said he was `` the most technically capable of the early X-15 pilots '' . Bill Dana said Armstrong `` had a mind that absorbed things like a sponge '' . Those who flew for the Air Force tended to have a different opinion , especially people like Yeager and Pete Knight , who did not have engineering degrees . Knight said that pilot - engineers flew in a way that was `` more mechanical than it is flying '' , and gave this as the reason why some pilot - engineers got into trouble : their flying skills did not come naturally . Armstrong made seven flights in the X-15 between November 30 , 1960 , and July 26 , 1962 . He reached a top speed of Mach 5.74 ( 3,989 mph , 6,420 km / h ) in the X-15 - 1 , and left the Flight Research Center with a total of 2,400 flying hours .   On April 24 , 1962 , Armstrong flew for the only time with Chuck Yeager . Their job , flying a T - 33 , was to evaluate Smith Ranch Dry Lake in Nevada for use as an emergency landing site for the X-15 . In his autobiography , Yeager wrote that he knew the lake bed was unsuitable for landings after recent rains , but Armstrong insisted on flying out anyway . As they attempted a touch - and - go , the wheels became stuck and they had to wait for rescue . As Armstrong told the story , Yeager never tried to talk him out of it and they made a first successful landing on the east side of the lake . Then Yeager told him to try again , this time a bit slower . On the second landing , they became stuck , provoking Yeager to fits of laughter .   On May 21 , 1962 , Armstrong was involved in the `` Nellis Affair '' . He was sent in an F - 104 to inspect Delamar Dry Lake in southern Nevada , again for emergency landings . He misjudged his altitude , and did not realize that the landing gear had not fully extended . As he touched down , the landing gear began to retract ; Armstrong applied full power to abort the landing , but the ventral fin and landing gear door struck the ground , damaging the radio and releasing hydraulic fluid . Without radio communication , Armstrong flew south to Nellis Air Force Base , past the control tower , and waggled his wings , the signal for a no - radio approach . The loss of hydraulic fluid caused the tailhook to release , and upon landing , he caught the arresting wire attached to an anchor chain , and dragged the chain along the runway .   It took thirty minutes to clear the runway and rig another arresting cable . Armstrong telephoned Edwards and asked for someone to collect him . Milt Thompson was sent in an F - 104B , the only two - seater available , but a plane Thompson had never flown . With great difficulty , Thompson made it to Nellis , where a strong crosswind caused a hard landing and the left main tire suffered a blowout . The runway was again closed to clear it , and Bill Dana was sent to Nellis in a T - 33 , but he almost landed long . The Nellis base operations office then decided that to avoid any further problems , it would be best to find the three NASA pilots ground transport back to Edwards .   Astronaut career  Armstrong in an early Gemini spacesuit  In June 1958 , Armstrong was selected for the U.S. Air Force 's Man In Space Soonest program , but the Advanced Research Projects Agency ( ARPA ) cancelled its funding on August 1 , 1958 , and on November 5 , 1958 , it was superseded by Project Mercury , a civilian project run by NASA . As a NASA civilian test pilot , Armstrong was ineligible to become one of its astronauts at this time , as selection was restricted to military test pilots . In November 1960 , he was chosen as part of the pilot consultant group for the X-20 Dyna - Soar , a military space plane under development by Boeing for the U.S. Air Force , and on March 15 , 1962 , he was selected by the U.S. Air Force as one of seven pilot - engineers who would fly the X-20 when it got off the design board .   In April 1962 , NASA announced that applications were being sought for the second group of NASA astronauts for Project Gemini , a proposed two - man spacecraft . This time , selection was open to qualified civilian test pilots . Armstrong visited the Seattle World 's Fair in May 1962 , and attended a conference there on space exploration that was co-sponsored by NASA . After he returned from Seattle on June 4 , he applied to become an astronaut . His application arrived about a week past the June 1 , 1962 , deadline , but Dick Day , a flight simulator expert with whom Armstrong had worked closely at Edwards , saw the late arrival of the application and slipped it into the pile before anyone noticed . At Brooks Air Force Base at the end of June , Armstrong underwent a medical exam that many of the applicants described as painful and at times seemingly pointless .   NASA 's Director of Flight Crew Operations , Deke Slayton , called Armstrong on September 13 , 1962 , and asked whether he would be interested in joining the NASA Astronaut Corps as part of what the press dubbed `` the New Nine '' ; without hesitation , Armstrong said yes . The selections were kept secret until three days later , although newspaper reports had been circulating since earlier that year that he would be selected as the `` first civilian astronaut '' . Armstrong was one of two civilian pilots selected for this group ; the other was Elliot See , another former naval aviator . NASA publicly announced the selection of the second group at a press conference on September 17 , 1962 . Compared with the Mercury Seven astronauts , they were younger , and had more impressive academic credentials .   Gemini program  Gemini 5  On February 8 , 1965 , Armstrong and See were announced as the backup crew for Gemini 5 , with Armstrong as its commander , supporting the prime crew of Gordon Cooper and Pete Conrad . The purpose of the mission was to practice space rendezvous and to develop procedures and equipment for a long - duration flight of seven days . These would be required for a mission to the Moon . With two other flights ( Gemini 3 and Gemini 4 ) in preparation , there were six crews competing for simulator time , resulting in Gemini 5 being postponed . The mission lifted off on August 21 . Armstrong and See watched the launch at Cape Kennedy , and then flew to the Manned Spacecraft Center in Houston . The mission was generally successful , despite a problem with the fuel cells that prevented a rendezvous . Cooper and Conrad practiced a `` phantom rendezvous '' , carrying out the maneuver without a target .  Gemini 8 Main article : Gemini 8 Armstrong , 35 , suiting up for Gemini 8 in March 1966  The crew assignments for Gemini 8 were announced on September 20 , 1965 . Under the normal rotation system , the backup crew for one mission would become the prime crew for the third mission after , but Slayton designated David Scott as the pilot of Gemini 8 . Scott was the first member of the third group of astronauts , whose selection was announced on October 18 , 1963 , to receive a prime crew assignment . See was designated to command Gemini 9 . Henceforth , each Gemini mission would be commanded by a member of Armstrong 's group , with a member of Scott 's group as the pilot . Conrad would be Armstrong 's backup this time , with Richard F. Gordon Jr. as his pilot . Armstrong became the first American civilian in space ; Valentina Tereshkova of the Soviet Union had become the first civilian ( and first woman ) nearly three years earlier aboard Vostok 6 when it launched on June 16 , 1963 . Armstrong would also be the last of his group to fly in space , as See died in a T - 38 crash on February 28 , 1966 , that also took the life of crewmate Charles Bassett . They were replaced by the backup crew of Tom Stafford and Gene Cernan , while Jim Lovell and Buzz Aldrin moved up from the backup crew of Gemini 10 to become the backup for Gemini 9 , and would eventually fly Gemini 12 .   Gemini 8 launched on March 16 , 1966 . It was to be the most complex yet , with a rendezvous and docking with an unmanned Agena target vehicle , and the second American extravehicular activity ( EVA ) by Scott . In total , the mission was planned to last 75 hours and 55 orbits . After the Agena lifted off at 10 : 00 : 00 EST , the Titan II rocket carrying Armstrong and Scott ignited at 11 : 41 : 02 EST , putting them into an orbit from which they chased the Agena . They achieved the first - ever docking between two spacecraft in orbit . Contact with the crew was intermittent due to the lack of tracking stations covering their entire orbits . Out of contact with the ground , the docked spacecraft began to roll , and Armstrong attempted to correct this with the Orbital Attitude and Maneuvering System ( OAMS ) of the Gemini spacecraft . Following the earlier advice of Mission Control , they undocked , but found that the roll increased dramatically to the point where they were turning about once per second , indicating a problem with Gemini 's attitude control . Armstrong engaged the Reentry Control System ( RCS ) and turned off the OAMS . Mission rules dictated that once this system was turned on , the spacecraft had to re-enter at the next possible opportunity . It was later thought that damaged wiring caused one of the thrusters to become stuck in the on position .  Recovery of Gemini 8 from the western Pacific Ocean ; Armstrong sitting to the right  There were a few people in the Astronaut Office , including Walter Cunningham , who felt that Armstrong and Scott `` had botched their first mission '' . There was speculation that Armstrong could have salvaged the mission if he had turned on only one of the two RCS rings , saving the other for mission objectives . These criticisms were unfounded ; no malfunction procedures had been written , and it was only possible to turn on both RCS rings , not just one or the other . Gene Kranz wrote , `` the crew reacted as they were trained , and they reacted wrong because we trained them wrong . '' The mission planners and controllers had failed to realize that when two spacecraft are docked together , they must be considered to be one spacecraft . Kranz considered this the most important lesson . Armstrong himself was depressed that the mission had been cut short , canceling most mission objectives and robbing Scott of his EVA . The Agena was later re-used as a docking target by Gemini 10 . Armstrong and Scott received the NASA Exceptional Service Medal , and the Air Force awarded Scott the Distinguished Flying Cross as well . Scott was promoted to lieutenant colonel , and Armstrong received a $678 raise in pay to $21,653 a year ( equivalent to $163,319 in 2017 ) , making him NASA 's highest paid astronaut .  Gemini 11 Main article : Gemini 11  The final assignment for Armstrong in the Gemini program was as the back - up Command Pilot for Gemini 11 , announced two days after the landing of Gemini 8 . Having trained for two flights , Armstrong was quite knowledgeable about the systems and took on a teaching role for the rookie backup Pilot , William Anders . The launch was on September 12 , 1966 , with Conrad and Gordon on board , who successfully completed the mission objectives , while Armstrong served as a capsule communicator ( CAPCOM ) .   Following the flight , President Lyndon B. Johnson asked Armstrong and his wife to take part in a 24 - day goodwill tour of South America . Also on the tour , which took in 11 countries and 14 major cities , were Dick Gordon , George Low , their wives , and other government officials . In Paraguay , Armstrong greeted dignitaries in their local language , Guarani ; in Brazil he talked about the exploits of the Brazilian - born Alberto Santos - Dumont .   Apollo program   On January 27 , 1967 , the date of the Apollo 1 fire , Armstrong was in Washington , D.C. , with Cooper , Gordon , Lovell and Scott Carpenter for the signing of the United Nations Outer Space Treaty . The astronauts chatted with the assembled dignitaries until 18 : 45 , when Carpenter went to the airport , and the others returned to the Georgetown Inn , where they each found messages to phone the Manned Spacecraft Center . During these telephone calls , they learned of the deaths of Gus Grissom , Ed White and Roger Chaffee in the fire . Armstrong and the group spent the rest of the night drinking scotch and discussing what had happened .  Armstrong floats to the ground after ejecting from Lunar Landing Research Vehicle 1  On April 5 , 1967 , the same day the Apollo 1 investigation released its final report on the fire , Armstrong assembled with 17 other astronauts for a meeting with Slayton . The first thing Slayton said was , `` The guys who are going to fly the first lunar missions are the guys in this room . '' According to Cernan , one of the astronauts present , Armstrong showed no reaction to the statement . To Armstrong it came as no surprise -- the room was full of veterans of Project Gemini , the only people who could fly the lunar missions . Slayton talked about the planned missions and named Armstrong to the backup crew for Apollo 9 , which at that stage was planned to be a medium Earth orbit test of the Lunar Module -- Command / Service Module combination .   This crew assignment was officially announced on November 20 , 1967 . For crewmates , he was assigned Lovell and Aldrin , the crew of Gemini 12 . After design and manufacturing delays in the Lunar Module ( LM ) , Apollo 8 and Apollo 9 swapped prime and backup crews . Based on the normal crew rotation scheme , Armstrong would command Apollo 11 . There would be one change . Mike Collins on the Apollo 8 crew began experiencing trouble with his legs . Doctors diagnosed the problem as a bony growth between his fifth and sixth vertebrae , requiring surgery . Lovell took his place on the Apollo 8 crew , and , when he recovered , Collins joined Armstrong 's crew .   To give the astronauts experience with how the LM would fly on its final landing descent , NASA commissioned Bell Aircraft to build two Lunar Landing Research Vehicles ( LLRV ) , later augmented with three Lunar Landing Training Vehicles ( LLTV ) . Nicknamed the `` Flying Bedsteads '' , they simulated the Moon 's one - sixth of Earth 's gravity by using a turbofan engine to support five - sixths of the craft 's weight . On May 6 , 1968 , 100 feet ( 30 m ) above the ground , Armstrong 's controls started to degrade and the LLRV began rolling . He ejected safely . Later analysis suggested that if he had ejected half a second later , his parachute would not have opened in time . His only injury was from biting his tongue . The LLRV was completely destroyed . Even though he was nearly killed , Armstrong maintained that without the LLRV and LLTV , the lunar landings would not have been successful , as they gave commanders valuable experience in the behavior of lunar landing craft .   In addition to the LLRV training , NASA began lunar landing simulator training after Apollo 10 was completed . Aldrin and Armstrong worked with the instructors to train for the most feasible possibilities they could encounter during a real lunar landing . The pair only made time to go on o</t>
  </si>
  <si>
    <t xml:space="preserve">who is the first person who went to moon</t>
  </si>
  <si>
    <t xml:space="preserve"> Neil Alden Armstrong ( August 5 , 1930 -- August 25 , 2012 ) was an American astronaut and aeronautical engineer who was the first person to walk on the Moon . He was also a naval aviator , test pilot , and university professor . </t>
  </si>
  <si>
    <t xml:space="preserve">List of Lego films and TV series - wikipedia  List of Lego films and TV series  Jump to : navigation , search For stop - motion films made using Lego bricks , see Brickfilm .  This is a list of films and TV series made by The Lego Group and / or based on Lego proper .     Contents  ( hide )   1 History   2 Feature films   2.1 Theatrical films   2.2 Direct - to - video     3 Short films   3.1 TV specials     4 TV series   5 By theme series   6 References      History ( edit )   Brickfilms , videos using Lego , have existed since the 1970s . Starting in 2003 , Lego officially made their first film partnership to make films based on their toy property . They chose Bionicle as the property and they made a deal with Miramax to make a trilogy of Bionicle films . Over the years , after the trilogy ended , a new trilogy based on Bionicle was planned with Universal Pictures after the Miramax film contract ended and the first film in the new trilogy would be titled Bionicle : The Legend Reborn . But plans broke between Lego and Universal so they cancelled the fifth film in the series . But they continued on with a film titled Lego : The Adventures of Clutch Powers . The film received positive reviews from fans and critics and after the DVD release , a sequel was set to star Clutch as the hero again . A mini-sequel and a short film based on Clutch Powers were released and plans for a sequel are unknown .   In the summer of 2009 , Lego made a deal with Warner Bros. to make a film based on their property . It would feature many themes and characters and it would be released as the first Lego film in the theaters . In 2011 , Lego released Lego series on TV titled Lego Ninjago : Masters of Spinjitzu . Later , in 2012 , the untitled Lego film was titled `` Lego : The Piece of Resistance '' . Meanwhile , the Ninjago series received fame worldwide and was praised by many fans and critics for its storytelling and plot . The characters on the show had finally developed after the first season and a video game based on the show was released . The show would then be confirmed to exist in the same universe as `` Lego Clutch Powers '' as in one episode , Clutch Powers would be mentioned by Cole as one of the adventurers who discovered a mystical Snake tooth . He would then turn it into a trophy . This small easter egg would later be used by fans to speculate that the show and the movie take place in the same world .   Later in the year , Ninjago ended its second season still having positive feedback . A new show titled Legends of Chima would air in January 2013 . The show was faster and more productive than Ninjago and it received mixed reviews . In the same year , the `` Piece of Resistance '' film would be renamed `` The Lego Movie '' by Warner Bros. and it was released in February 2014 . The Lego Movie received wide acclaim from Lego fans and critics for its characters , plot , special effects and humor . Many actors from the Lego universe came to reprise their roles in the film . Due to the success of the film , a Ninjago film was announced to be released in 2017 , and a `` Lego Movie '' sequel was announced to be released in 2018 . In 2014 , Mixels also debuted . In late 2015 , Lego Nexo Knights was introduced , replacing Legends of Chima . On February 10 , 2017 , a spin - off film of The Lego Movie known as The Lego Batman Movie was released in theaters , only this time , the film 's story centers around The Lego Movie character and DC Comics superhero , Batman , and his `` adopted orphan son '' and apprentice sidekick , Robin .   Feature films ( edit )   Theatrical films ( edit )     Year   Title   Production studio ( s )   Notes     2014   The Lego Movie   Warner Animation Group   Released     2017   The Lego Batman Movie   Released     The Lego Ninjago Movie   Released     2019   The Lego Movie Sequel   In development     The Billion Brick Race     Direct - to - video ( edit )     Year   Title   Production studio ( s )   Notes     2003   Bionicle : Mask of Light   Creative Capers Entertainment         Bionicle 2 : Legends of Metru Nui   Prequel to Bionicle : Mask of Light     2005   Bionicle 3 : Web of Shadows   Sequel to Bionicle : Legends of Metru Nui     2009   Bionicle : The Legend Reborn   Threshold Animation Studios         Lego : The Adventures of Clutch Powers       Hero Factory : Rise of the Rookies   Hero Factory TV series episodes re-edited     2011   Hero Factory : Savage Planet     2013   Lego Batman : The Movie -- DC Super Heroes Unite   TT Animation   Based on the video game Lego Batman 2 : DC Super Heroes     2015   Lego DC Comics Super Heroes : Justice League vs. Bizarro League   Warner Bros. Animation       Lego DC Comics Super Heroes : Justice League : Attack of the Legion of Doom       2016   Lego DC Comics Super Heroes : Justice League : Cosmic Clash       Lego Scooby - Doo ! Haunted Hollywood       Lego DC Comics Super Heroes : Justice League : Gotham City Breakout       2017   Lego Scooby - Doo ! Blowout Beach Bash       Lego DC Super Hero Girls : Brain Drain       Short films ( edit )     Year   Title   Production studio ( s )   Notes       Jack Stone   Artworld UK   Released on VHS     Monty Python &amp; the Holy Grail in Lego   Spite Your Face Productions   Monty Python and the Holy Grail DVD release bonus feature     2005   Lego Star Wars : Revenge of the Brick   Treehouse Animation   Premiered on Cartoon Network     2008   Lego Indiana Jones and the Raiders of the Lost Brick   M2Film     2009   Lego Star Wars : The Quest for R2 - D2       Lego Clutch Powers : Bad Hair Day   Threshold Animation Studios   Lego : The Adventures of Clutch Powers DVD release bonus feature     Lego Star Wars : Bombad Bounty   M2Film   Premiered on Cartoon Network     2011   Lego City : A Clutch Powers 4 - D Adventure   Threshold Animation Studios   Shown in the Legoland theme parks     2016   The Master   Warner Animation Group   Shown in theaters with Storks     TV specials ( edit )     Year   Title   Production studio ( s )   Notes       Lego Atlantis : The Movie   Threshold Animation Studios   Premiered on Cartoon Network     2011   Lego Star Wars : The Padawan Menace       2012   Lego Star Wars : The Empire Strikes Out   Threshold Animation Studios     2013   Lego Marvel Super Heroes : Maximum Overload   Arc Productions   Originally aired as five - part miniseries     2014   `` Brick Like Me ''   Gracie Films / Film Roman / 20th Century Fox   The Simpsons TV series 550th episode     Lego DC Comics : Batman Be-Leaguered   Warner Bros. Animation   Premiered on Cartoon Network     2015   Lego Marvel Super Heroes : Avengers Reassembled !   Arc Productions   Premiered on Disney XD     Lego Scooby - Doo : Knight Time Terror   Warner Bros. Animation   Premiered on Cartoon Network     Lego Elves : Unite the Magic   Ja Film       2016   Lego Jurassic World : The Indominus Escape   YouTube TV       2017   Lego DC Super Hero Girls : Galactic Wonder         LEGO Marvel Super Heroes -- Guardians of the Galaxy : The Thanos Threat   Disney XD         TV series ( edit )     Original running   Title   Production studio ( s )   Notes       Edward and Friends   FilmFair   Based on the Fabuland theme     2002   Galidor : Defenders of the Outer Dimension   CinéGroupe Tom Lynch Company   Based on the Lego theme of the same name     2015   Lego Star Wars : Droid Tales   Wil Film       2013 -- 2014   Lego Star Wars : The Yoda Chronicles       2010 -- 2014   Lego Hero Factory   Threshold Animation Studios       2013 -- 2014   Legends of Chima   M2Film / Prime Focus / Wil Film   Was set to replace Ninjago , but the two coexisted     2014 -- 2016   Mixels   Cartoon Network Studios   Complete co-production with Cartoon Network ; first 2D animated series     2016   Lego Bionicle : The Journey to One   Volta   First BIONICLE series ; first series to be on Netflix     Ongoing     2011 --   Lego Ninjago : Masters of Spinjitzu   Wil Film       2012 --   Lego Friends of Heartlake City   M2Film       2015 --   Lego Nexo Knights   M2 Entertainment   Replaced Legends of Chima     2015 --   Lego Elves   Ja Film       2016 --   Lego Friends : The Power of Friendship   --       2016 --   Lego Star Wars : The Freemaker Adventures   Disney XD   First full - length LEGO Star Wars television series     Upcoming     TBA   Unikitty !   Warner Bros. Animation   Based on The Lego Movie . Second 2D animated series after Mixels     By theme series ( edit )   Bionicle series :    Bionicle : Mask of Light ( 2003 )   Bionicle 2 : Legends of Metru Nui ( 2004 )   Bionicle 3 : Web of Shadows ( 2005 )   Bionicle : The Legend Reborn ( 2009 )    Clutch Powers series :    Lego : The Adventures of Clutch Powers ( 2010 )   Lego Clutch Powers : Bad Hair Day ( 2010 )   Lego City : A Clutch Powers 4 - D Adventure ( 2011 )    Lego Star Wars series :    Lego Star Wars : Revenge of the Brick ( 2005 )   Lego Star Wars : The Quest for R2 - D2 ( 2009 )   Lego Star Wars : Bombad Bounty ( 2010 )   Lego Star Wars : The Padawan Menace ( 2011 )   Lego Star Wars : The Empire Strikes Out ( 2012 )   Lego Star Wars : The Yoda Chronicles ( 2013 )   Lego Star Wars : The New Yoda Chronicles ( 2014 )   Lego Star Wars : Droid Tales ( 2015 )   Lego Star Wars : The Resistance Rises ( 2016 )   Lego Star Wars : The Freemaker Adventures ( 2016 )    Lego Friends series :    Friends : New Girl in Town ( 2012 )   Friends : Stephanie 's Surprise Party ( 2013 )   Friends : Dolphin Cruise ( 2013 )   Friends : Country Girls ( 2014 )   Friends : Emma 's Dilemma ( 2014 )   Friends : Friends of the Jungle ( 2014 )   Friends : Andrea 's Big Moment ( 2015 )    The Lego Movie series :    The Lego Movie ( 2014 )   The Lego Movie : 4D - A New Adventure ( 2016 , shown at selected Legoland Parks )   The Lego Movie Sequel ( 2019 , to be released )   Unikitty ! ( 2017 )    Lego Super Heroes series :    Lego Batman : The Movie -- DC Super Heroes Unite ( 2013 )   Lego Marvel Super Heroes : Maximum Overload ( 2013 )   Lego DC Comics : Batman Be-Leaguered ( 2014 )   Lego DC Comics Super Heroes : Justice League vs. Bizarro League ( 2015 )   Lego DC Comics Super Heroes : Justice League : Attack of the Legion of Doom ( 2015 )   Lego Marvel Super Heroes : Avengers Reassembled ( 2015 )   Lego DC Comics Super Heroes : Justice League : Cosmic Clash ( 2016 )   Lego DC Comics Super Heroes : Justice League : Gotham City Breakout ( 2016 )   The Lego Batman Movie ( 2017 ) ( kind of The Lego Movie series )   Lego DC Super Hero Girls : Galactic Wonder ( 2017 )   Lego DC Super Hero Girls : Brain Drain ( 2017 )    Lego Ninjago series :    Lego Ninjago : Masters of Spinjitzu ( 2011 -- present )   The Lego Ninjago Movie ( 2017 , to be released ) ( kind of The Lego Movie series )    Hero Factory series :    Lego Hero Factory ( 2010 -- 2014 )   Hero Factory ( Universal Studios are trying to get the rights )    Lego Scooby - Doo series :    Knight Time Terror ( 2015 )   Haunted Hollywood ( 2016 )   Blowout Beach Bash ( 2017 )    Lego The Simpsons series    The Simpsons : `` Brick Like Me '' ( 2014 )    Other series :    Monty Python &amp; the Holy Grail in Lego ( 2001 )   Lego Indiana Jones and the Raiders of the Lost Brick ( 2008 )   Lego Atlantis : The Movie ( 2010 )   Legends of Chima ( 2013 - 2014 )   Mixels ( 2014 - 2016 )   Lego Nexo Knights ( 2015 -- present )   Lego Jurassic World : The Indominus Escape ( 2016 )    References ( edit )    ^ Jump up to : `` Warner Bros. DC Comics Movie Slate Fully Revealed ! '' . ComingSoon.net . Archived from the original on October 17 , 2014 . Retrieved October 19 , 2014 .   ^ Jump up to : Kit , Borys ( October 10 , 2014 ) . `` ' Lego Batman ' Spinoff Movie in the Works at Warner Bros. ( Exclusive ) '' . The Hollywood Reporter . Archived from the original on October 15 , 2014 . Retrieved October 19 , 2014 .   ^ Jump up to : Kit , Borys ( April 20 , 2015 ) . `` ' The Lego Batman Movie ' Gets Release Date '' . The Hollywood Reporter . Retrieved April 21 , 2015 .   Jump up ^ Siegel , Tatiana ; Kit , Borys ( March 28 , 2015 ) . `` New ' Lego ' Spinoff Movie in the Works From Jason Segel , ' Iron Man 3 ' Writer ( Exclusive ) '' . The Hollywood Reporter . Retrieved March 28 , 2015 .   Jump up ^ `` Archived copy '' . Archived from the original on 2015 - 10 - 11 . Retrieved 2015 - 10 - 07 .   Jump up ^ Gerding , Stephen ( May 18 , 2017 ) . `` EXCLUSIVE TRAILER : LEGO Scooby - Doo ! : Blowout Beach Bash '' . CBR.com . Retrieved May 20 , 2017 .   Jump up ^ Ching , Albert ( May 31 , 2017 ) . `` EXCLUSIVE : LEGO Meets DC Super Hero Girls in Brain Drain Trailer '' . CBR.com . Retrieved July 28 , 2017 .   Jump up ^ `` LEGO Batman learns to be a team player in ' Be-Leaguered ' '' . USA Today . Retrieved October 23 , 2014 .   Jump up ^ `` Ultron Crashes the Party in First ' LEGO Marvel Super Heroes : Avengers Reassembled ! ' Clip '' . Marvel . Retrieved November 13 , 2015 .   Jump up ^ Liu , Ed ( November 21 , 2015 ) . `` Cartoon Network Premieres for November 23 : `` Regular Show : The Movie , '' `` LEGO Scooby - Doo , '' and More `` . ToonZone . Retrieved November 21 , 2015 .   Jump up ^ Orange , B. Alan ( September 27 , 2016 ) . `` LEGO Jurassic World Indominus Escape Trailer : An All - New Animated Short '' . MovieWeb . Retrieved November 12 , 2016 .   Jump up ^ Trumbore , Dave ( 14 July 2017 ) . `` Marvel Confirms ' Spider - Man ' Cast , Release Date and ' Guardians of the Galaxy ' Season 3 '' . Collider . Retrieved 15 July 2017 .   Jump up ^ Kit , Borys ( February 27 , 2015 ) . `` ' Star Wars ' Saga Gets Lego Retelling on Disney XD ( Exclusive ) '' . The Hollywood Reporter . Retrieved June 9 , 2015 .   Jump up ^ Petski , Denise ( October 7 , 2016 ) . `` Netflix Orders Six New Kids Series Including ' LEGO Elves ' &amp; Avi Arad 's ' Super Monsters ' '' . deadline.com . Retrieved October 6 , 2016 .   Jump up ^ Spangler , Todd ( October 1 , 2015 ) . `` Netflix Orders 7 Original Kids ' Series , Including Lego 's ' Bionicle ' and DreamWorks ' ' Croods ' '' . Variety . Retrieved October 1 , 2016 .   Jump up ^ Nordyke , Kimberly ( May 10 , 2017 ) . `` ' Lego Movie 's ' Unikitty Gets Animated Series at Cartoon Network '' . The Hollywood Reporter . Retrieved May 10 , 2017 .      ( hide )         Lego       The Lego Group       History     Timeline   Interlego AG v Tyco Industries Inc   Kirkbi AG v Ritvik Holdings Inc       Product ranges      Current     Architecture   City   Creator   Disney Princess   Duplo   Elves   Friends   Ideas   Juniors   The Lego Batman Movie   The Lego Ninjago Movie   Mindstorms   Minecraft   Minifigures   Modular Buildings   Nexo Knights   Ninjago   Speed Champions   Star Wars   Super Heroes   Technic   Trains       Discontinued     4 +   Agents   Adventurers   Alpha Team   Aqua Raiders   Aquazone   Atlantis   Avatar : The Last Airbender   Baby   Batman   Belville   Bionicle   Cars   Castle   Dino   Dino Attack   Exo - Force   Fabuland   Fusion   Games   Harry Potter   Hero Factory   The Hobbit   Homemaker   Indiana Jones   Jurassic World   Legends of Chima   The Lego Movie   The Lord of the Rings   Mars Mission   Mickey Mouse   Mixels   Monster Fighters   Ninja   Paradisa   Pharaoh 's Quest   Pirates   Pirates of the Caribbean   Power Miners   Prince of Persia   Quatro   Racers   RoboRiders   Rock Raiders   Scooby - Doo   The Simpsons   Slizer / Throwbots   Space   Spider - Man   Speed Racer   SpongeBob SquarePants   Sports   Spybotics   Studios   Teenage Mutant Ninja Turtles   Time Cruisers   Toy Story   Ultra Agents   Vikings   Wild West   World Racers   Znap          Other products      Media     Films &amp; TV series   The Lego Movie   The Lego Batman Movie   The Lego Ninjago Movie   The Lego Movie Sequel     Software   Design byME   Lego Digital Designer   Lego Interactive   List of video games   Lego Universe     Lego Club Magazine        Board games   Serious Play       People     Ole Kirk Christiansen   Godtfred Kirk Christiansen   Kjeld Kirk Kristiansen   Jørgen Vig Knudstorp       Theme parks     Legoland   Billund   California   Deutschland   Florida   Japan   Malaysia   Windsor     Legoland Discovery Centre   Boston   Chicago   Dallas Fort Worth   Kansas City   Westchester         Events     BrickCon   BrickFair   BrickFest   Brickfête   Brick Fiesta   Brickworld   FIRST Lego League   FIRST Lego League Jr .     Robofest       In popular culture     A Lego Brickumentary   `` Brick Like Me ''   The Brick Testament       Related companies     Merlin Entertainments   TT Games   Traveller 's Tales   TT Fusion   TT Games Publishing         Other topics     Brickfilm   LDraw   MLCAD     Lego gun   Lego House   Lego tire   LUGNET   Minifigure           Portal   Book      Retrieved from `` https://en.wikipedia.org/w/index.php?title=List_of_Lego_films_and_TV_series&amp;oldid=803674018 '' Categories :   Lego films   Hidden categories :   Wikipedia articles needing clarification from May 2017           Talk                                           Contents                   About Wikipedia                                           Čeština   Français   Edit links   This page was last edited on 3 October 2017 , at 22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</si>
  <si>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 first lego movie come out</t>
  </si>
  <si>
    <t xml:space="preserve">   Year   Title   Production studio ( s )   Notes     2014   The Lego Movie   Warner Animation Group   Released     2017   The Lego Batman Movie   Released     The Lego Ninjago Movie   Released     2019   The Lego Movie Sequel   In development     The Billion Brick Race   </t>
  </si>
  <si>
    <t xml:space="preserve">Metal - wikipedia  Metal  Jump to : navigation , search This article is about metallic materials . For other uses , see Metal ( disambiguation ) .    Metallic elements     Alkali metals       lithium   sodium   potassium   rubidium   caesium   francium       Alkaline earth metals       beryllium   magnesium   calcium   strontium   barium   radium       Transition metals       scandium   titanium   vanadium   chromium   manganese   iron   cobalt   nickel   copper   zinc   yttrium   zirconium   niobium   molybdenum   technetium   ruthenium   rhodium   palladium   silver   cadmium   hafnium   tantalum   tungsten   rhenium   osmium   iridium   platinum   gold   mercury   rutherfordium   dubnium   seaborgium   bohrium   hassium   copernicium       Post-transition metals       aluminium   gallium   indium   tin   thallium   lead   bismuth   polonium   flerovium       Lanthanides       lanthanum   cerium   praseodymium   neodymium   promethium   samarium   europium   gadolinium   terbium   dysprosium   holmium   erbium   thulium   ytterbium   lutetium       Actinides       actinium   thorium   protactinium   uranium   neptunium   plutonium   americium   curium   berkelium   californium   einsteinium   fermium   mendelevium   nobelium   lawrencium       Elements which are possibly metals       meitnerium   darmstadtium   roentgenium   nihonium   moscovium   livermorium   tennessine       Elements which are sometimes considered metals       germanium   arsenic   antimony   astatine                   A metal ( from Greek μέταλλον métallon , `` mine , quarry , metal '' ) is a material ( an element , compound , or alloy ) that is typically hard when in solid state , opaque , shiny , and has good electrical and thermal conductivity . Metals are generally malleable -- that is , they can be hammered or pressed permanently out of shape without breaking or cracking -- as well as fusible ( able to be fused or melted ) and ductile ( able to be drawn out into a thin wire ) . About 91 of the 118 elements in the periodic table are metals ; the others are nonmetals or metalloids . Some elements appear in both metallic and non-metallic forms .   Astrophysicists use the term `` metal '' to collectively describe all elements other than hydrogen and helium , the simplest two , in a star . The star fuses smaller atoms , mostly hydrogen and helium , to make larger ones over its lifetime . In that sense , the metallicity of an object is the proportion of its matter made up of all heavier chemical elements , not just traditional metals .   Many elements and compounds that are not normally classified as metals become metallic under high pressures ; these are formed as metallic allotropes of non-metals .   The strength and resilience of metals has led to their frequent use in high - rise building and bridge construction , as well as most vehicles , many home appliances , tools , pipes , non-illuminated signs and railroad tracks . Precious metals were historically used as coinage .     Contents  ( hide )   1 In the periodic table   2 Structure and bonding   3 Properties   3.1 Chemical   3.2 Physical   3.3 Electrical   3.4 Mechanical     4 Alloys   5 Categories   5.1 Base metal   5.2 Ferrous metal   5.3 Noble metal   5.4 Precious metal   5.5 Heavy metal     6 Extraction   7 Recycling   8 Metallurgy   9 Applications   10 Trade   11 History   12 See also   13 References   14 External links      In the periodic table   The elements which are considered as metals under ordinary conditions are shown in yellow on the periodic table below . The remaining elements are shown either as nonmetals or as metalloids of intermediate character .     ( hide )         Metals -- nonmetals in the periodic table                 5   6   7   8   9   10   11   12   13   14   15   16   17   18     Group →     ↓ Period           He       Li   Be           O     Ne       Na   Mg     Al   Si       Cl   Ar         Ca     Sc   Ti   V   Cr   Mn   Fe   Co   Ni   Cu   Zn   Ga   Ge   As   Se   Br   Kr     5   Rb   Sr     Y   Zr   Nb   Mo   Tc   Ru   Rh   Pd   Ag   Cd   In   Sn   Sb   Te     Xe     6   Cs   Ba   La   Ce   Pr   Nd   Pm   Sm   Eu   Gd   Tb   Dy   Ho   Er   Tm   Yb   Lu   Hf   Ta     Re   Os   Ir   Pt   Au   Hg   Tl   Pb   Bi   Po   At   Rn     7   Fr   Ra   Ac   Th   Pa   U   Np   Pu   Am   Cm   Bk   Cf   Es   Fm   Md   No   Lr   Rf   Db   Sg   Bh   Hs   Mt   Ds   Rg   Cn   Nh   Fl   Mc   Lv   Ts   Og               Metal   Metalloid   Nonmetal   Unknown properties   Background color shows metal -- metalloid -- nonmetal trend in the periodic table           Structure and bonding  hcp and fcc close - packing of spheres  The atoms of metallic substances are typically arranged in one of three common crystal structures , namely body - centered cubic ( bcc ) , face - centered cubic ( fcc ) , and hexagonal close - packed ( hcp ) . In bcc , each atom is positioned at the center of a cube of eight others . In fcc and hcp , each atom is surrounded by twelve others , but the stacking of the layers differs . Some metals adopt different structures depending on the temperature .   Atoms of metals readily lose their outer shell electrons , resulting in a free flowing cloud of electrons within their otherwise solid arrangement . This provides the ability of metallic substances to easily transmit heat and electricity . While this flow of electrons occurs , the solid characteristic of the metal is produced by electrostatic interactions between each atom and the electron cloud . This type of bond is called a metallic bond .   Properties   Chemical   Metals are usually inclined to form cations through electron loss , reacting with oxygen in the air to form oxides over various timescales ( iron rusts over years , while potassium burns in seconds ) . Examples :    4 Na + O → 2 Na O ( sodium oxide )   2 Ca + O → 2 CaO ( calcium oxide )   4 Al + 3 O → 2 Al O ( aluminium oxide ) .    The transition metals ( such as iron , copper , zinc , and nickel ) are slower to oxidize because they form a passivating layer of oxide that protects the interior . Others , like palladium , platinum and gold , do not react with the atmosphere at all . Some metals form a barrier layer of oxide on their surface which can not be penetrated by further oxygen molecules and thus retain their shiny appearance and good conductivity for many decades ( like aluminium , magnesium , some steels , and titanium ) . The oxides of metals are generally basic , as opposed to those of nonmetals , which are acidic . Exceptions are largely oxides with very high oxidation states such as CrO , Mn O , and OsO , which have strictly acidic reactions .   Painting , anodizing or plating metals are good ways to prevent their corrosion . However , a more reactive metal in the electrochemical series must be chosen for coating , especially when chipping of the coating is expected . Water and the two metals form an electrochemical cell , and if the coating is less reactive than the coatee , the coating actually promotes corrosion .   Physical  Gallium crystals  Metals in general have high electrical conductivity , high thermal conductivity , and high density . Typically they are malleable and ductile , deforming under stress without cleaving . In terms of optical properties , metals are shiny and lustrous . Sheets of metal beyond a few micrometres in thickness appear opaque , but gold leaf transmits green light .   Although most metals have higher densities than most nonmetals , there is wide variation in their densities , lithium being the least dense solid element and osmium the densest . The alkali and alkaline earth metals in groups IA and II A are referred to as the light metals because they have low density , low hardness , and low melting points . The high density of most metals is due to the tightly packed crystal lattice of the metallic structure . The strength of metallic bonds for different metals reaches a maximum around the center of the transition metal series , as those elements have large amounts of delocalized electrons in tight binding type metallic bonds . However , other factors ( such as atomic radius , nuclear charge , number of bonds orbitals , overlap of orbital energies and crystal form ) are involved as well .   Electrical  Filling of the electronic states in various types of materials at equilibrium . Here , height is energy while width is the density of available states for a certain energy in the material listed . The shade follows the Fermi -- Dirac distribution ( black = all states filled , white = no state filled ) . In metals and semimetals the Fermi level E lies inside at least one band . In insulators and semiconductors the Fermi level is inside a band gap ; however , in semiconductors the bands are near enough to the Fermi level to be thermally populated with electrons or holes .  The electrical and thermal conductivities of metals originate from the fact that their outer electrons are delocalized . This situation can be visualized by seeing the atomic structure of a metal as a collection of atoms embedded in a sea of highly mobile electrons . The electrical conductivity , as well as the electrons ' contribution to the heat capacity and heat conductivity of metals can be calculated from the free electron model , which does not take into account the detailed structure of the ion lattice .   When considering the electronic band structure and binding energy of a metal , it is necessary to take into account the positive potential caused by the specific arrangement of the ion cores -- which is periodic in crystals . The most important consequence of the periodic potential is the formation of a small band gap at the boundary of the Brillouin zone . Mathematically , the potential of the ion cores can be treated by various models , the simplest being the nearly free electron model .   Mechanical   Mechanical properties of metals include ductility , i.e. their capacity for plastic deformation . Reversible elastic deformation in metals can be described by Hooke 's Law for restoring forces , where the stress is linearly proportional to the strain . Forces larger than the elastic limit , or heat , may cause a permanent ( irreversible ) deformation of the object , known as plastic deformation or plasticity . This irreversible change in atomic arrangement may occur as a result of :    The action of an applied force ( or work ) . An applied force may be tensile ( pulling ) force , compressive ( pushing ) force , shear , bending or torsion ( twisting ) forces .   A change in temperature ( heat ) . A temperature change may affect the mobility of the structural defects such as grain boundaries , point vacancies , line and screw dislocations , stacking faults and twins in both crystalline and non-crystalline solids . The movement or displacement of such mobile defects is thermally activated , and thus limited by the rate of atomic diffusion .   Hot metal work from a blacksmith .  Viscous flow near grain boundaries , for example , can give rise to internal slip , creep and fatigue in metals . It can also contribute to significant changes in the microstructure like grain growth and localized densification due to the elimination of intergranular porosity . Screw dislocations may slip in the direction of any lattice plane containing the dislocation , while the principal driving force for `` dislocation climb '' is the movement or diffusion of vacancies through a crystal lattice .   In addition , the nondirectional nature of metallic bonding is also thought to contribute significantly to the ductility of most metallic solids . When the planes of an ionic bond slide past one another , the resultant change in location shifts ions of the same charge into close proximity , resulting in the cleavage of the crystal ; such shift is not observed in covalently bonded crystals where fracture and crystal fragmentation occurs .   Alloys  Main article : Alloy  An alloy is a mixture of two or more elements in which the main component is a metal . Most pure metals are either too soft , brittle or chemically reactive for practical use . Combining different ratios of metals as alloys modifies the properties of pure metals to produce desirable characteristics . The aim of making alloys is generally to make them less brittle , harder , resistant to corrosion , or have a more desirable color and luster . Of all the metallic alloys in use today , the alloys of iron ( steel , stainless steel , cast iron , tool steel , alloy steel ) make up the largest proportion both by quantity and commercial value . Iron alloyed with various proportions of carbon gives low , mid and high carbon steels , with increasing carbon levels reducing ductility and toughness . The addition of silicon will produce cast irons , while the addition of chromium , nickel and molybdenum to carbon steels ( more than 10 % ) results in stainless steels .   Other significant metallic alloys are those of aluminium , titanium , copper and magnesium . Copper alloys have been known since prehistory -- bronze gave the Bronze Age its name -- and have many applications today , most importantly in electrical wiring . The alloys of the other three metals have been developed relatively recently ; due to their chemical reactivity they require electrolytic extraction processes . The alloys of aluminium , titanium and magnesium are valued for their high strength - to - weight ratios ; magnesium can also provide electromagnetic shielding . These materials are ideal for situations where high strength - to - weight ratio is more important than material cost , such as in aerospace and some automotive applications .   Alloys specially designed for highly demanding applications , such as jet engines , may contain more than ten elements .   Categories   Base metal  Main article : Base metal Zinc , a base metal , reacting with an acid  In chemistry , the term base metal is used informally to refer to a metal that is easily oxidized or corroded , and reacts easily with dilute hydrochloric acid ( HCl ) to form metal chloride and hydrogen . Examples include iron , nickel , lead and zinc . Copper is considered a base metal as it is oxidized relatively easily , although it does not react with HCl . Base metal is commonly used in opposition to noble metal .   In alchemy , a base metal was a common and inexpensive metal , as opposed to precious metals , mainly gold and silver . A longtime goal of the alchemists was the transmutation of base metals into precious metals .   In numismatics , coins in the past derived their value primarily from the precious metal content . Most modern currencies are fiat currency , allowing the coins to be made of base metal .   Ferrous metal  Main article : Ferrous metallurgy See also : Non-ferrous metals  The term `` ferrous '' is derived from the Latin word meaning `` containing iron '' . This can include pure iron , such as wrought iron , or an alloy such as steel . Ferrous metals are often magnetic , but not exclusively .   Noble metal  Main article : Noble metal  Noble metals are metals that are resistant to corrosion or oxidation , unlike most base metals . They tend to be precious metals , often due to perceived rarity . Examples include gold , platinum , silver , rhodium , iridium and palladium .   Precious metal  A gold nugget Main article : Precious metal  A precious metal is a rare metallic chemical element of high economic value .   Chemically , the precious metals are less reactive than most elements , have high luster and high electrical conductivity . Historically , precious metals were important as currency , but are now regarded mainly as investment and industrial commodities . Gold , silver , platinum and palladium each have an ISO 4217 currency code . The best - known precious metals are gold and silver . While both have industrial uses , they are better known for their uses in art , jewelry , and coinage . Other precious metals include the platinum group metals : ruthenium , rhodium , palladium , osmium , iridium , and platinum , of which platinum is the most widely traded .   The demand for precious metals is driven not only by their practical use , but also by their role as investments and a store of value . Palladium and platinum are , as of fall 2017 , valued at about three quarters the price of gold . Silver is substantially less expensive than these metals , but is often traditionally considered a precious metal for its role in coinage and jewelry .   Heavy metal  Main article : Heavy metal ( chemical element )  A heavy metal is any relatively dense metal or metalloid . More specific definitions have been proposed , but none have obtained widespread acceptance . Some heavy metals have niche uses , or are notably toxic ; some are essential in trace amounts .   Extraction  Main articles : Ore , Mining , and Extractive metallurgy  Metals are often extracted from the Earth by means of mining ores that are rich sources of the requisite elements , such as bauxite . Ore is located by prospecting techniques , followed by the exploration and examination of deposits . Mineral sources are generally divided into surface mines , which are mined by excavation using heavy equipment , and subsurface mines .   Once the ore is mined , the metals must be extracted , usually by chemical or electrolytic reduction . Pyrometallurgy uses high temperatures to convert ore into raw metals , while hydrometallurgy employs aqueous chemistry for the same purpose . The methods used depend on the metal and their contaminants .   When a metal ore is an ionic compound of that metal and a non-metal , the ore must usually be smelted -- heated with a reducing agent -- to extract the pure metal . Many common metals , such as iron , are smelted using carbon as a reducing agent . Some metals , such as aluminium and sodium , have no commercially practical reducing agent , and are extracted using electrolysis instead .   Sulfide ores are not reduced directly to the metal but are roasted in air to convert them to oxides .   Recycling   Demand for metals is closely linked to economic growth . During the 20th century , the variety of metals uses in society grew rapidly . Today , the development of major nations , such as China and India , and advances in technologies , are fuelling ever more demand . The result is that mining activities are expanding , and more and more of the world 's metal stocks are above ground in use , rather than below ground as unused reserves . An example is the in - use stock of copper . Between 1932 and 1999 , copper in use in the US rose from 73g to 238g per person .   Metals are inherently recyclable , so in principle , can be used over and over again , minimizing these negative environmental impacts and saving energy . For example , 95 % of the energy used to make aluminium from bauxite ore is saved by using recycled material . Levels of metals recycling are generally low . In 2010 , the International Resource Panel , hosted by the United Nations Environment Programme ( UNEP ) published reports on metal stocks that exist within society and their recycling rates .   The report authors observed that the metal stocks in society can serve as huge mines above ground . They warned that the recycling rates of some rare metals used in applications such as mobile phones , battery packs for hybrid cars and fuel cells are so low that unless future end - of - life recycling rates are dramatically stepped up these critical metals will become unavailable for use in modern technology .   Metallurgy  Main article : Metallurgy  Metallurgy is a domain of materials science that studies the physical and chemical behavior of metallic elements , their intermetallic compounds , and their mixtures , which are called alloys .   Applications   Some metals and metal alloys possess high structural strength per unit mass , making them useful materials for carrying large loads or resisting impact damage . Metal alloys can be engineered to have high resistance to shear , torque and deformation . However the same metal can also be vulnerable to fatigue damage through repeated use or from sudden stress failure when a load capacity is exceeded . The strength and resilience of metals has led to their frequent use in high - rise building and bridge construction , as well as most vehicles , many appliances , tools , pipes , non-illuminated signs and railroad tracks .   The two most commonly used structural metals , iron and aluminium , are also the most abundant metals in the Earth 's crust .   Metals are good conductors , making them valuable in electrical appliances and for carrying an electric current over a distance with little energy lost . Electrical power grids rely on metal cables to distribute electricity . Home electrical systems , for the most part , are wired with copper wire for its good conducting properties .   The thermal conductivity of metal is useful for containers to heat materials over a flame . Metal is also used for heat sinks to protect sensitive equipment from overheating .   The high reflectivity of some metals is important in the construction of mirrors , including precision astronomical instruments . This last property can also make metallic jewelry aesthetically appealing .   Some metals have specialized uses ; radioactive metals such as uranium and plutonium are used in nuclear power plants to produce energy via nuclear fission . Mercury is a liquid at room temperature and is used in switches to complete a circuit when it flows over the switch contacts . Shape memory alloy is used for applications such as pipes , fasteners and vascular stents .   Metals can be doped with foreign molecules -- organic , inorganic , biological and polymers . This doping entails the metal with new properties that are induced by the guest molecules . Applications in catalysis , medicine , electrochemical cells , corrosion and more have been developed .   Trade   The World Bank reports that China was the top importer of ores and metals in 2005 followed by the United States and Japan .   History   The nature of metals has fascinated humans for many centuries , because these materials provided people with tools of unsurpassed properties both in war and in their preparation and processing . Pure gold and silver have been known to humans since the Stone Age . Lead and silver were fused from their ores as early as the fourth millennium BC .   Ancient Latin and Greek writers such as Theophrastus , Pliny the Elder in his Natural History , or Pedanius Dioscorides , did not try to classify metals . The ancient Europeans never attained the concept `` metal '' as a distinct elementary substance with fixed , characteristic chemical and physical properties . Following Empedocles , all substances within the sublunary sphere were assumed to vary in their constituent classical elements of earth , water , air and fire . Following the Pythagoreans , Plato assumed that these elements could be further reduced to plane geometrical shapes ( triangles and squares ) bounding space and relating to the regular polyhedra in the sequence earth : cube , water : icosahedron , air : octahedron , fire : tetrahedron . However , this philosophical extension did not become as popular as the simple four elements , after it was rejected by Aristotle . Aristotle also rejected the atomic theory of Democritus , since he classified the implied existence of a vacuum necessary for motion as a contradiction ( a vacuum implies nonexistence , therefore can not exist ) . Aristotle did , however , introduce underlying antagonistic qualities ( or forces ) of dry vs. wet and cold vs. heat into the composition of each of the four elements . The word `` metal '' originally meant `` mines '' and only later gained the general meaning of products from materials obtained in mines . In the first centuries A.D. a relation between the planets and the existing metals was assumed as Gold : Sun , Silver : Moon , Electrum : Jupiter , Iron : Mars , Copper : Venus , Tin : Mercury , Lead : Saturn . After electrum was determined to be a combination of silver and gold , the relations Tin : Jupiter and Mercury : Mercury were substituted into the previous sequence .   Arabic and medieval alchemists believed that all metals , and in fact , all sublunar matter , were composed of the principle of sulfur , carrying the combustible property , and the principle of mercury , the mother of all metals and carrier of the liquidity or fusibility , and the volatility properties . These principles were not necessarily the common substances sulfur and mercury found in most laboratories . This theory reinforced the belief that the all metals were destined to become gold in the bowels of the earth through the proper combinations of heat , digestion , time , and elimination of contaminants , all of which could be developed and hastened through the knowledge and methods of alchemy . Paracelsus added the third principle of salt , carrying the nonvolatile and incombustible properties , in his tria prima doctrine . These theories retained the four classical elements as underlying the composition of sulfur , mercury and salt .   The first systematic text on the arts of mining and metallurgy was De la Pirotechnia by Vannoccio Biringuccio , which treats the examination , fusion , and working of metals . Sixteen years later , Georgius Agricola published De Re Metallica in 1555 , a clear and complete account of the profession of mining , metallurgy , and the accessory arts and sciences , as well as qualifying as the greatest treatise on the chemical industry through the sixteenth century . He gave the following description of a metal in his De Natura Fossilium ( 1546 ) .   Metal is a mineral body , by nature either liquid or somewhat hard . The latter may be melted by the heat of the fire , but when it has cooled down again and lost all heat , it becomes hard again and resumes its proper form . In this respect it differs from the stone which melts in the fire , for although the latter regain its hardness , yet it loses its pristine form and properties . Traditionally there are six different kinds of metals , namely gold , silver , copper , iron , tin and lead . There are really others , for quicksilver is a metal , although the Alchemists disagree with us on this subject , and bismuth is also . The ancient Greek writers seem to have been ignorant of bismuth , wherefore Ammonius rightly states that there are many species of metals , animals , and plants which are unknown to us . Stibium when smelted in the crucible and refined has as much right to be regarded as a proper metal as is accorded to lead by writers . If when smelted , a certain portion be added to tin , a bookseller 's alloy is produced from which the type is made that is used by those who print books on paper . Each metal has its own form which it preserves when separated from those metals which were mixed with it . Therefore neither electrum nor Stannum ( not meaning our tin ) is of itself a real metal , but rather an alloy of two metals . Electrum is an alloy of gold and silver , Stannum of lead and silver . And yet if silver be parted from the electrum , then gold remains and not electrum ; if silver be taken away from Stannum , then lead remains and not Stannum . Whether brass , however , is found as a native metal or not , can not be ascertained with any surety . We only know of the artificial brass , which consists of copper tinted with the colour of the mineral calamine . And yet if any should be dug up , it would be a proper metal . Black and white copper seem to be different from the red kind . Metal , therefore , is by nature either solid , as I have stated , or fluid , as in the unique case of quicksilver . But enough now concerning the simple kinds .   See also    Amorphous metal   ASM International ( society )   Ductility   Electric field screening   Metal theft   Metalworking   Properties of metals , metalloids and nonmetals   Properties and uses of metals   Solid   Spin transition   Steel   Structural steel   Transition metal    References    Jump up ^ μέταλλον Henry George Liddell , Robert Scott , A Greek - English Lexicon , on Perseus Digital Library   Jump up ^ metal , on Oxford Dictionaries   Jump up ^ metal . Encyclopædia Britannica   Jump up ^ John C. Martin . `` What we learn from a star 's metal content '' . New Analysis RR Lyrae Kinematics in the Solar Neighborhood . Retrieved September 7 , 2005 .   Jump up ^ Holleman , A.F. ; Wiberg , E. `` Inorganic Chemistry '' Academic Press : San Diego , 2001 . ISBN 0 - 12 - 352651 - 5 .   ^ Jump up to : Mortimer , Charles E. ( 1975 ) . Chemistry : A Conceptual Approach ( 3rd ed . ) . New York : : D. Van Nostrad Company .   Jump up ^ Ductility -- strength of materials   Jump up ^ Tunay , Olcay ; Kabdasli , Isik ; Arslan - Alaton , Idil ; Olmez - Hanci , Tugba ( 2010 - 10 - 12 ) . Chemical Oxidation Applications for Industrial Wastewaters . IWA Publishing . ISBN 9781843393078 .   Jump up ^ Walther , John V. ( 2013 - 02 - 15 ) . Earth 's Natural Resources . Jones &amp; Bartlett Publishers . ISBN 9781449632342 .   Jump up ^ Abdul - Rahman , Yahia ( 2014 - 11 - 10 ) . The Art of RF ( Riba - Free ) Islamic Banking and Finance : Tools and Techniques for Community - Based Banking . John Wiley &amp; Sons . ISBN 9781118770962 .   Jump up ^ Metal contamination . Editions Quae. 2006 . ISBN 9782759200115 .   Jump up ^ `` Los Alamos National Laboratory -- Sodium '' . Retrieved 2007 - 06 - 08 .   Jump up ^ `` Los Alamos National Laboratory -- Aluminum '' . Retrieved 2007 - 06 - 08 .   ^ Jump up to : The Recycling Rates of Metals : A Status Report Archived 2016 - 01 - 01 at the Wayback Machine . 2010 , International Resource Panel , United Nations Environment Programme   Jump up ^ Tread lightly : Aluminium attack Carolyn Fry , Guardian.co.uk , 22 February 2008 .   Jump up ^ Metal Stocks in Society : Scientific Synthesis Archived 2016 - 01 - 01 at the Wayback Machine . 2010 , International Resource Panel , United Nations Environment Programme   Jump up ^ Frank Kreith and Yogi Goswami , eds. ( 2004 ) . The CRC Handbook of Mechanical Engineering , 2nd edition . Boca Raton . p. 12 - 2 .   Jump up ^ Avnir , David ( 2014 ) . `` Molecularly doped metals '' . Acc . Chem. Res. 47 : 579 -- 592 . doi : 10.1021 / ar4001982 .   Jump up ^ Structure of merchandise imports   Jump up ^ Der Große Brockhaus ( in German ) . 7 : L - MIJ ( Sixteenth , altogether newly prepared ed . ) . Wiesbaden : Bibliographisches Institut &amp; F.A. Brockhaus. 1955 . p. 715 .   Jump up ^ John Maxson Stillman , The Story of Early Chemistry D. Appleton ( 1924 )   Jump up ^ Georgius Agricola , De Re Metallica ( 1556 ) Tr . Herbert Clark Hoover &amp; Lou Henry Hoover ( 1912 ) ; Footnote quoting De Natura Fossilium ( 1546 ) , p. 180    External links       Wikisource has the text of the 1879 American Cyclopædia article Metal .      The dictionary definition of metal at Wiktionary   Media related to Metals at Wikimedia Commons   Metal at Encyclopædia Britannica              Periodic table     Periodic table forms      Standard     18 - column   18 - column , large cells   32 - column , large cells       Alternative     Alternatives   Chemical Galaxy   Janet 's left step table       Extended     Extension beyond the 7th period   Fricke model   large cells     Pyykkö model            Sets of elements      By periodic table structure      Groups     1 ( Alkali metals )   2 ( Alkaline earth metals )       5   6   7   8   9   10   11   12   13   14   15 ( Pnictogens )   16 ( Chalcogens )   17 ( Halogens )   18 ( Noble gases )       Periods             5   6   7   8 +   Aufbau   Fricke   Pyykkö         Blocks     s - block   p - block   d - block   f - block   g - block   Aufbau principle          By metallicity      Metals     Alkali metals   Alkaline earth metals   Lanthanides   Actinides   Superactinides   Eka - superactinides   Transition metals   Post-transition metals       Metalloids     Lists of metalloids by source   Dividing line       Nonmetals     Polyatomic nonmetals   Diatomic nonmetals   Noble gases          Other sets     Nutritional elements   Platinum - group metals ( PGM )   Rare - earth elements   Refractory metals   Precious metals   Coinage metals   Noble metal   Heavy metals   Native metals   Transuranium elements   Transactinide elements   Major actinides   Minor actinides          Elements      Lists     By : Abundance ( in humans )   Atomic properties   Nuclear stability   Production   Symbol       Properties     Atomic weight   Crystal structure   Electron affinity   Electron configuration   Electronegativity   Allen   Pauling     Goldschmidt </t>
  </si>
  <si>
    <t xml:space="preserve">are pure metals made of atoms or ions</t>
  </si>
  <si>
    <t xml:space="preserve"> The atoms of metallic substances are typically arranged in one of three common crystal structures , namely body - centered cubic ( bcc ) , face - centered cubic ( fcc ) , and hexagonal close - packed ( hcp ) . In bcc , each atom is positioned at the center of a cube of eight others . In fcc and hcp , each atom is surrounded by twelve others , but the stacking of the layers differs . Some metals adopt different structures depending on the temperature . </t>
  </si>
  <si>
    <t xml:space="preserve">List of songs in Victorious - wikipedia  List of songs in Victorious       This article needs additional citations for verification . Please help improve this article by adding citations to reliable sources . Unsourced material may be challenged and removed . ( August 2012 ) ( Learn how and when to remove this template message )     The following is a list of songs featured in the television series Victorious .     Episode   Title   Performed by   Single   Season   Soundtrack     `` Pilot ''   `` Make It Shine ''   Tori Vega   Yes     Victorious     `` The Birthweek Song ''   `` You 're the Reason ''   Tori Vega   Yes     Victorious     `` Jade Dumps Beck ''   `` Chicago ''   Trina Vega   No     N / A     `` Tori the Zombie ''   `` Finally Falling ''   Tori Vega and Beck Oliver   Yes     Victorious     `` Survival of the Hottest ''   `` Make It Shine ''   `` Victorious '' Cast   No     N / A     `` Wi - Fi in the Sky ''   `` You 're the Reason ''   Trina Vega   No     N / A     `` The Great Ping Pong Scam ''   `` Tell Me That You Love Me ''   Tori Vega and Andre Harris   Yes     Victorious     `` Freak the Freak Out ''   `` Forever Baby ''   Robbie Shapiro and Rex Powers   No     N / A     `` Number One '' ( A.K.A. `` My World '' )   Hayley , Tara in a duet Sikowitz in a solo   No     N / A     `` Give It Up ''   Cat Valentine and Jade West   Yes     Victorious     `` Hate Me , Love Me ''   Hayley and Tara   No     N / A     `` Freak the Freak Out ''   Tori Vega   Yes     Victorious     `` Rex Dies ''   `` Forever Baby ''   Tori Vega , Robbie Shapiro and Rex Powers   No     N / A     `` The Diddly - Bops ''   `` Broken Glass ''   Robbie Shapiro   Yes     Victorious ( bonus track )     `` Favorite Food ''   `` Victorious '' Cast   No     Victorious     `` Nose Song ''   Andre Harris   No     N / A     `` You 're the Reason ''   Trina Vega   No     N / A     `` Song2You ''   Tori Vega and Andre Harris   Yes     Victorious     `` Wok Star ''   `` Fly Out of the Well ''   Daisy Lee   No     N / A     `` The Wood ''   `` Forever Baby ''   Tori Vega and Jade West   No     N / A     `` Beggin ' on Your Knees ''   `` Beggin ' on Your Knees ''   Tori Vega   Yes     Victorious     `` Ice Cream for Ke $ ha ''   `` Blow ''   Ke $ ha   Yes     Cannibal     `` Tori Gets Stuck ''   `` The Captain Is She ''   Tori Vega and Sikowitz   No     N / A     `` Prom Wrecker ''   `` Best Friend 's Brother ''   Tori Vega , Cat Valentine and Andre Harris   Yes     Victorious     `` Locked Up ! ''   `` All I Want Is Everything ''   Tori Vega , Cat Valentine , Jade West and Trina Vega   Yes     Victorious     `` I Want You Back ''   `` Victorious '' Cast   Yes     Victorious     `` Helen Back Again ''   `` ( You Have n't Seen the ) Best of Me ''   Trina Vega   No     N / A     `` Cat 's Broadway Song ''   Cat Valentine   No     N / A     `` Make It Shine ( Remix ) ''   Tori Vega and Andre Harris   No     N / A     `` Jade Gets Crushed ''   `` 365 Days ''   Tori Vega and Andre Harris   Yes     Victorious 3.0 ( bonus track )     `` Okay ''   Jade West   No     N / A     `` Terror on Cupcake Street ''   `` The Wheels on the Cupcake ''   `` Victorious '' Cast   No     N / A     `` A Christmas Tori ''   `` It 's Not Christmas Without You ''   Tori Vega , Cat Valentine and Jade West   Yes     Merry Nickmas !     `` The Breakfast Bunch ''   `` Run , Run , Run Away ''   Unknown Artist   No     N / A     `` In This Together ''   Nikki Watkins   No     N / A     `` Do n't You ( Forget About Me ) ''   Tori Vega   Yes     Victorious 2.0     `` The Gorilla Club ''   `` I 'm on Fire ''   Robbie Shapiro and Andre Harris   No     N / A     `` Andre 's Horrible Girl ''   `` Countdown ''   Tori Vega and Andre Harris   Yes     Victorious 2.0     `` Tori &amp; Jade 's Playdate ''   `` Take a Hint ''   Tori Vega and Jade West   Yes     Victorious 2.0     `` April Fools Blank ''   `` Shut Up n ' Dance ''   `` Victorious '' Cast   Yes     Victorious 2.0     `` Driving Tori Crazy ''   `` 5 Fingaz to the Face ''   `` Victorious '' Cast   Yes     Victorious 2.0     `` How Trina Got In ''   `` The Joke is on You ''   Trina Vega   No     N / A     `` Tori Goes Platinum ''   `` Make It in America ''   Tori Vega   Yes     Victorious 2.0     `` Cheer Me Up ( Only One 's Dancing ) ''   Tori Vega   Yes     Victorious 3.0 ( bonus track )     `` The Blonde Squad ''   `` I Think You ' re Swell ''   Robbie Shapiro   Yes     Victorious 2.0 ( bonus track )     `` Three Girls and a Moose ''   `` L.A. Boyz ''   Tori Vega and Cat Valentine   Yes     Victorious 3.0     `` Tori Fixes Beck and Jade ''   `` You Do n't Know Me ''   Jade West   Yes     Victorious 3.0     `` One Thousand Berry Balls ''   `` Here 's 2 Us ''   Tori Vega and Andre Harris   Yes     Victorious 3.0     `` The Bad Roommate ''   `` Faster Than Boyz ''   Tori Vega and Andre Harris   Yes     Victorious 3.0     `` Star - Spangled Tori ''   `` Star - Spangled Banner ''   Tori Vega   No     N / A     `` Bad Boys ''   Tori Vega   Yes     Victorious 3.0     References ( edit )             Victorious     Episodes     ' `` iParty with Victorious '' ( 2011 )       Discography     Victorious   Victorious 2.0   Victorious 3.0       Related articles     Characters   iCarly   Sam &amp; Cat   `` # TheKillerTunaJump ''          Retrieved from `` https://en.wikipedia.org/w/index.php?title=List_of_songs_in_Victorious&amp;oldid=822275932 '' Categories :   Victorious   Lists of songs   American television - related lists   Hidden categories :   Articles needing additional references from August 2012   All articles needing additional references           Talk                                                             About Wikipedia                                           Bahasa Indonesia   Bahasa Melayu   Edit links   This page was last edited on 25 January 2018 , at 12 : 45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</si>
  <si>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episode in victorious is give it up</t>
  </si>
  <si>
    <t xml:space="preserve">   Episode   Title   Performed by   Single   Season   Soundtrack     `` Pilot ''   `` Make It Shine ''   Tori Vega   Yes     Victorious     `` The Birthweek Song ''   `` You 're the Reason ''   Tori Vega   Yes     Victorious     `` Jade Dumps Beck ''   `` Chicago ''   Trina Vega   No     N / A     `` Tori the Zombie ''   `` Finally Falling ''   Tori Vega and Beck Oliver   Yes     Victorious     `` Survival of the Hottest ''   `` Make It Shine ''   `` Victorious '' Cast   No     N / A     `` Wi - Fi in the Sky ''   `` You 're the Reason ''   Trina Vega   No     N / A     `` The Great Ping Pong Scam ''   `` Tell Me That You Love Me ''   Tori Vega and Andre Harris   Yes     Victorious     `` Freak the Freak Out ''   `` Forever Baby ''   Robbie Shapiro and Rex Powers   No     N / A     `` Number One '' ( A.K.A. `` My World '' )   Hayley , Tara in a duet Sikowitz in a solo   No     N / A     `` Give It Up ''   Cat Valentine and Jade West   Yes     Victorious     `` Hate Me , Love Me ''   Hayley and Tara   No     N / A     `` Freak the Freak Out ''   Tori Vega   Yes     Victorious     `` Rex Dies ''   `` Forever Baby ''   Tori Vega , Robbie Shapiro and Rex Powers   No     N / A     `` The Diddly - Bops ''   `` Broken Glass ''   Robbie Shapiro   Yes     Victorious ( bonus track )     `` Favorite Food ''   `` Victorious '' Cast   No     Victorious     `` Nose Song ''   Andre Harris   No     N / A     `` You 're the Reason ''   Trina Vega   No     N / A     `` Song2You ''   Tori Vega and Andre Harris   Yes     Victorious     `` Wok Star ''   `` Fly Out of the Well ''   Daisy Lee   No     N / A     `` The Wood ''   `` Forever Baby ''   Tori Vega and Jade West   No     N / A     `` Beggin ' on Your Knees ''   `` Beggin ' on Your Knees ''   Tori Vega   Yes     Victorious     `` Ice Cream for Ke $ ha ''   `` Blow ''   Ke $ ha   Yes     Cannibal     `` Tori Gets Stuck ''   `` The Captain Is She ''   Tori Vega and Sikowitz   No     N / A     `` Prom Wrecker ''   `` Best Friend 's Brother ''   Tori Vega , Cat Valentine and Andre Harris   Yes     Victorious     `` Locked Up ! ''   `` All I Want Is Everything ''   Tori Vega , Cat Valentine , Jade West and Trina Vega   Yes     Victorious     `` I Want You Back ''   `` Victorious '' Cast   Yes     Victorious     `` Helen Back Again ''   `` ( You Have n't Seen the ) Best of Me ''   Trina Vega   No     N / A     `` Cat 's Broadway Song ''   Cat Valentine   No     N / A     `` Make It Shine ( Remix ) ''   Tori Vega and Andre Harris   No     N / A     `` Jade Gets Crushed ''   `` 365 Days ''   Tori Vega and Andre Harris   Yes     Victorious 3.0 ( bonus track )     `` Okay ''   Jade West   No     N / A     `` Terror on Cupcake Street ''   `` The Wheels on the Cupcake ''   `` Victorious '' Cast   No     N / A     `` A Christmas Tori ''   `` It 's Not Christmas Without You ''   Tori Vega , Cat Valentine and Jade West   Yes     Merry Nickmas !     `` The Breakfast Bunch ''   `` Run , Run , Run Away ''   Unknown Artist   No     N / A     `` In This Together ''   Nikki Watkins   No     N / A     `` Do n't You ( Forget About Me ) ''   Tori Vega   Yes     Victorious 2.0     `` The Gorilla Club ''   `` I 'm on Fire ''   Robbie Shapiro and Andre Harris   No     N / A     `` Andre 's Horrible Girl ''   `` Countdown ''   Tori Vega and Andre Harris   Yes     Victorious 2.0     `` Tori &amp; Jade 's Playdate ''   `` Take a Hint ''   Tori Vega and Jade West   Yes     Victorious 2.0     `` April Fools Blank ''   `` Shut Up n ' Dance ''   `` Victorious '' Cast   Yes     Victorious 2.0     `` Driving Tori Crazy ''   `` 5 Fingaz to the Face ''   `` Victorious '' Cast   Yes     Victorious 2.0     `` How Trina Got In ''   `` The Joke is on You ''   Trina Vega   No     N / A     `` Tori Goes Platinum ''   `` Make It in America ''   Tori Vega   Yes     Victorious 2.0     `` Cheer Me Up ( Only One 's Dancing ) ''   Tori Vega   Yes     Victorious 3.0 ( bonus track )     `` The Blonde Squad ''   `` I Think You ' re Swell ''   Robbie Shapiro   Yes     Victorious 2.0 ( bonus track )     `` Three Girls and a Moose ''   `` L.A. Boyz ''   Tori Vega and Cat Valentine   Yes     Victorious 3.0     `` Tori Fixes Beck and Jade ''   `` You Do n't Know Me ''   Jade West   Yes     Victorious 3.0     `` One Thousand Berry Balls ''   `` Here 's 2 Us ''   Tori Vega and Andre Harris   Yes     Victorious 3.0     `` The Bad Roommate ''   `` Faster Than Boyz ''   Tori Vega and Andre Harris   Yes     Victorious 3.0     `` Star - Spangled Tori ''   `` Star - Spangled Banner ''   Tori Vega   No     N / A     `` Bad Boys ''   Tori Vega   Yes     Victorious 3.0   </t>
  </si>
  <si>
    <r>
      <rPr>
        <sz val="11"/>
        <color rgb="FF000000"/>
        <rFont val="Calibri"/>
        <family val="0"/>
        <charset val="1"/>
      </rPr>
      <t xml:space="preserve">Active transport - wikipedia  Active transport  Jump to : navigation , search This article is about transport in cellular biology . For human transport systems , see active transportation .  Active transport is the movement of molecules across a membrane from a region of their lower concentration to a region of their higher concentration -- in the direction against the concentration gradient . Active transport requires cellular energy to achieve this movement . There are two types of active transport -- primary active transport that uses ATP , and secondary active transport that uses an electrochemical gradient . An example of active transport in human physiology is the uptake of glucose in the intestines .     Contents  ( hide )   1 Cellular transportation mechanisms   2 History   3 Background   4 Primary active transport   4.1 Model of active transport     5 Types of primary active transporters   6 Secondary active transport   6.1 Antiporter   6.2 Symporter     7 Bulk transport   8 See also   9 References   10 Notes   11 External links      Cellular transportation mechanisms ( edit )   Active transport is the movement of molecules across a membrane from a region of their lower concentration to a region of their higher concentration -- in the direction against the concentration gradient or other obstructing factor ( often a concentration gradient ) .   Unlike passive transport , which uses the kinetic energy and natural entropy of molecules moving down a gradient , active transport uses cellular energy to move them against a gradient , polar repulsion , or other resistance . Active transport is usually associated with accumulating high concentrations of molecules that the cell needs , such as ions , glucose and amino acids . If the process uses chemical energy , such as from adenosine triphosphate ( ATP ) , it is termed primary active transport . Secondary active transport involves the use of an electrochemical gradient . Examples of active transport include the uptake of glucose in the intestines in humans and the uptake of mineral ions into root hair cells of plants .   History ( edit )   In 1848 , the German physiologist Emil du Bois - Reymond suggested the possibility of active transport of substances across membranes .   Rosenberg ( 1948 ) formulated the concept of active transport based on energetic considerations , but later it would be redefined .   In 1997 , Jens Christian Skou , a Danish physician received the Nobel Prize in Chemistry for his research regarding the sodium - potassium pump   One category of cotransporters that is especially prominent in research regarding diabetes treatment is sodium glucose cotransporters . These transporters were discovered by scientists at that National Health Institute . These scientists had noticed a discrepancy in the absorption of glucose at different points in the kidney tubule of a rat . The gene was then discovered for intestinal glucose transport protein and linked to these membrane sodium glucose cotransport systems . The first of these membrane transport proteins was named SGLT1 followed by the discovery of SGLT2 . Robert Krane also played a prominent role in this field .   Background ( edit )   Specialized transmembrane proteins recognize the substance and allow it to move across the membrane when it otherwise would not , either because the phospholipid bilayer of the membrane is impermeable to the substance moved or because the substance is moved against the direction of its concentration gradient . There are two forms of active transport , primary active transport and secondary active transport . In primary active transport , the proteins involved are pumps that normally use the chemical energy in the form of ATP . Secondary active transport , however , makes use of potential energy , which is usually derived through exploitation of an electrochemical gradient . The energy created from one ion moving down its electrochemical gradient is used to power the transport of another ion moving against its electrochemical gradient . This involves pore - forming proteins that form channels across the cell membrane . The difference between passive transport and active transport is that the active transport requires energy , and moves substances against their respective concentration gradient , whereas passive transport requires no energy and moves substances in the direction of their respective concentration gradient .   In an antiporter , one substrate is transported in one direction across the membrane while another is cotransported in the opposite direction . In a symporter , two substrates are transported in the same direction across the membrane . Antiport and symport processes are associated with secondary active transport , meaning that one of the two substances is transported against its concentration gradient , utilizing the energy derived from the transport of another ion ( mostly Na , K or H ions ) down its concentration gradient .   If substrate molecules are moving from areas of lower concentration to areas of higher concentration ( i.e. , in the opposite direction as , or against the concentration gradient ) , specific transmembrane carrier proteins are required . These proteins have receptors that bind to specific molecules ( e.g. , glucose ) and transport them across the cell membrane . Because energy is required in this process , it is known as ' active ' transport . Examples of active transport include the transportation of sodium out of the cell and potassium into the cell by the sodium - potassium pump . Active transport often takes place in the internal lining of the small intestine .   Plants need to absorb mineral salts from the soil or other sources , but these salts exist in very dilute solution . Active transport enables these cells to take up salts from this dilute solution against the direction of the concentration gradient . For example , the molecules chlorine ( Cl ^ - ) and nitrate NO3 - exist in the cytosol of plant cells , and need to be transported into the vacuole . While the vacuole has channels for these ions , transportation of them is against the concentration gradient , and thus movement of these ions is driven by hydrogen pumps , or proton pumps   Primary active transport ( edit )  The action of the sodium - potassium pump is an example of primary active transport .  Primary active transport , also called direct active transport , directly uses metabolic energy to transport molecules across a membrane . Substances that are transported across the cell membrane by primary active transport include metal ions , such as Na , K , Mg , and Ca . These charged particles require ion pumps or ion channels to cross membranes and distribute through the body .   Most of the enzymes that perform this type of transport are transmembrane ATPases . A primary ATPase universal to all animal life is the sodium - potassium pump , which helps to maintain the cell potential . The sodium - potassium pump maintains the membrane potential by moving three Na+ ions out of the cell for every two K+ ions moved into the cell . Other sources of energy for Primary active transport are redox energy and photon energy ( light ) . An example of primary active transport using Redox energy is the mitochondrial electron transport chain that uses the reduction energy of NADH to move protons across the inner mitochondrial membrane against their concentration gradient . An example of primary active transport using light energy are the proteins involved in photosynthesis that use the energy of photons to create a proton gradient across the thylakoid membrane and also to create reduction power in the form of NADPH .   Model of active transport ( edit )   ATP hydrolysis is used to transport hydrogen ions against the electrochemical gradient ( from low to high hydrogen ion concentration ) . Phosphorylation of the carrier protein and the binding of a hydrogen ion induce a conformational ( shape ) change that drives the hydrogen ions to transport against the electrochemical gradient . Hydrolysis of the bound phosphate group and release of hydrogen ion then restores the carrier to its original conformation .   Types of primary active transporters ( edit )    P - type ATPase : sodium potassium pump , calcium pump , proton pump   F - ATPase : mitochondrial ATP synthase , chloroplast ATP synthase   V - ATPase : vacuolar ATPase   ABC ( ATP binding cassette ) transporter : MDR , CFTR , etc .    Adenosine Triphosphate - binding cassette transporters ( ABC transporters ) comprise a large and diverse protein family , often functioning as ATP - driven pumps . Usually , there are several domains involved in the overall transporter protein 's structure , including two nucleotide - binding domains that constitute the ATP - binding motif and two hydrophobic transmembrane domains that create the `` pore '' component . In broad terms , ABC transporters are involved in the import or export of molecules across a cell membrane ; yet within the protein family there is an extensive range of function .   In plants , ABC transporters are often found within cell and organelle membranes , such as the mitochondria , chloroplast , and plasma membrane . There is evidence to support that plant ABC transporters play a direct role in pathogen response , phytohormone transport , and detoxification . Furthermore , certain plant ABC transporters may function in actively exporting volatile compounds and antimicrobial metabolites .   In petunia flowers ( Petunia hybrida ) , the ABC transporter PhABCG1 is involved in the active transport of volatile organic compounds . PhABCG1 is expressed in the petals of open flowers . In general , volatile compounds may promote the attraction of seed - dispersal organisms and pollinators , as well as aid in defense , signaling , allelopathy , and protection . To study the protein PhABCG1 , transgenic petunia RNA interference lines were created with decreased PhABCG1 expression levels . In these transgenic lines , a decrease in emission of volatile compounds was observed . Thus , PhABCG1 is likely involved in the export of volatile compounds . Subsequent experiments involved incubating control and transgenic lines that expressed PhABCG1 to test for transport activity involving different substrates . Ultimately , PhABCG1 is responsible for the protein - mediated transport of volatile organic compounds , such as benezyl alcohol and methylbenzoate , across the plasma membrane .   Additionally in plants , ABC transporters may be involved in the transport of cellular metabolites . Pleiotropic Drug Resistance ABC transporters are hypothesized to be involved in stress response and export antimicrobial metabolites . One example of this type of ABC transporter is the protein NtPDR1 . This unique ABC transporter is found in Nicotiana tabacum BY2 cells and is expressed in the presence of microbial elicitors . NtPDR1 is localized in the root epidermis and aerial trichomes of the plant . Experiments using antibodies specifically targeting NtPDR1 followed by Western blotting allowed for this determination of localization . Furthermore , it is likely that the protein NtPDR1 actively transports out antimicrobial diterpene molecules , which are toxic to the cell at high levels .   Secondary active transport ( edit )  Secondary active transport  In secondary active transport , also known as coupled transport or cotransport , energy is used to transport molecules across a membrane ; however , in contrast to primary active transport , there is no direct coupling of ATP ; instead it relies upon the electrochemical potential difference created by pumping ions in / out of the cell . Permitting one ion or molecule to move down an electrochemical gradient , but possibly against the concentration gradient where it is more concentrated to that where it is less concentrated increases entropy and can serve as a source of energy for metabolism ( e.g. in ATP synthase ) . The energy derived from the pumping of protons across a cell membrane is frequently used as the energy source in secondary active transport . In humans , sodium ( Na ) is a commonly co-transported ion across the plasma membrane , whose electrochemical gradient is then used to power the active transport of a second ion or molecule against its gradient . In bacteria and small yeast cells , a commonly cotransported ion is hydrogen . Hydrogen pumps are also used to create an electrochemical gradient to carry out processes within cells such as in the electron transport chain , an important function of cellular respiration that happens in the mitochondrion of the cell .   In August 1960 , in Prague , Robert K. Crane presented for the first time his discovery of the sodium - glucose cotransport as the mechanism for intestinal glucose absorption . Crane 's discovery of cotransport was the first ever proposal of flux coupling in biology .   Cotransporters can be classified as symporters and antiporters depending on whether the substances move in the same or opposite directions .   Antiporter ( edit )  Function of symporters and antiporters .  In an antiporter two species of ion or other solutes are pumped in opposite directions across a membrane . One of these species is allowed to flow from high to low concentration which yields the entropic energy to drive the transport of the other solute from a low concentration region to a high one .   An example is the sodium - calcium exchanger or antiporter , which allows three sodium ions into the cell to transport one calcium out . This antiporter mechanism is important within the membranes of cardiac muscle cells in order to keep the calcium concentration in the cytoplasm low . Many cells also possess calcium ATPases , which can operate at lower intracellular concentrations of calcium and sets the normal or resting concentration of this important second messenger . But the ATPase exports calcium ions more slowly : only 30 per second versus 2000 per second by the exchanger . The exchanger comes into service when the calcium concentration rises steeply or `` spikes '' and enables rapid recovery . This shows that a single type of ion can be transported by several enzymes , which need not be active all the time ( constitutively ) , but may exist to meet specific , intermittent needs .   Symporter ( edit )   A symporter uses the downhill movement of one solute species from high to low concentration to move another molecule uphill from low concentration to high concentration ( against its concentration gradient ) . Both molecules are transported in the same direction .   An example is the glucose symporter SGLT1 , which co-transports one glucose ( or galactose ) molecule into the cell for every two sodium ions it imports into the cell . This symporter is located in the small intestines , heart , and brain . It is also located in the S3 segment of the proximal tubule in each nephron in the kidneys . Its mechanism is exploited in glucose rehydration therapy This mechanism uses the absorption of sugar through the walls of the intestine to pull water in along with it . Defects in SGLT2 prevent effective reabsorption of glucose , causing familial renal glucosuria .   Bulk transport ( edit )  Main articles : Endocytosis and Exocytosis  Endocytosis and exocytosis are both forms of bulk transport that move materials into and out of cells , respectively , via vesicles . In the case of endocytosis , the cellular membrane folds around the desired materials outside the cell . The ingested particle becomes trapped within a pouch , known as a vesicle , inside the cytoplasm . Often enzymes from lysosomes are then used to digest the molecules absorbed by this process . Substances that enter the cell via signal mediated endocytosis include proteins , hormones and growth factors . Viruses enter cells through a form of endocytosis that involves their outer membrane fusing with the membrane of the cell . This forces the viral DNA into the host cell .   Biologists distinguish two main types of endocytosis : pinocytosis and phagocytosis .    In pinocytosis , cells engulf liquid particles ( in humans this process occurs in the small intestine , where cells engulf fat droplets ) .   In phagocytosis , cells engulf solid particles .    Exocytosis involves the removal of substances through the fusion of the outer cell membrane and a vesicle membrane An example of exocytosis would be the transmission of neurotransmitters across a synapse between brain cells .   See also ( edit )    ATP - binding cassette transporter   Countercurrent exchange   Protein targeting   Translocation    References ( edit )    Jump up ^ `` The importance of homeostasis '' . Science . me . Retrieved 23 April 2013 .   Jump up ^ Du Bois - Reymond , E. ( 1848 -- 84 ) . Untersuchungen über thierische Elektricität Berlin : Reimer . ( Vol. 1 , Part 1 , 1848 ; Vol. 1 , Part 2 , 1849 ; Vol. 2 , Part 1 , 1860 ; Vol. 2 , Part 2 , 1884 ) .   Jump up ^ Rosenberg , T. ( 1948 ) . On accumulation and active transport in biological systems . I. Thermodynamic considerations . Acta Chem. Scand. 2 , 14 - 33 , ( 1 ) .   ^ Jump up to : `` Jens C. Skou - Biographical '' . Nobelprize.org . Nobel Media AB 2014 . Web . 11 Nov 2017   Jump up ^ Inzucchi , Silvio E et al. `` SGLT - 2 Inhibitors and Cardiovascular Risk : Proposed Pathways and Review of Ongoing Outcome Trials . '' Diabetes &amp; Vascular Disease Research 12.2 ( 2015 ) : 90 -- 100 . PMC . Web . 11 Nov. 2017   ^ Jump up to : Story of Discovery : SGLT2 Inhibitors : Harnessing the Kidneys to Help Treat Diabetes . '' National Institute of Diabetes and Digestive and Kidney Diseases , U.S. Department of Health and Human Services , www.niddk.nih.gov/news/research-updates/Pages/story-discovery-SGLT2-inhibitors-harnessing-kidneys-help-treat-diabetes.aspx .   Jump up ^ Active Transport Process . Buzzle.com ( 2010 - 05 - 14 ) . Retrieved on 2011 - 12 - 05 .   ^ Jump up to : Lodish H , Berk A , Zipursky SL , et al. Molecular Cell Biology . 4th edition . New York : W.H. Freeman ; 2000 . Section 15.6 , Cotransport by Symporters and Antiporters . Available from : https://www.ncbi.nlm.nih.gov/books/NBK21687/   Jump up ^ Lodish H , Berk A , Zipursky SL , et al. Molecular Cell Biology . 4th edition . New York : W.H. Freeman ; 2000 . Chapter 15 , Transport across Cell Membranes . Available from : https://www.ncbi.nlm.nih.gov/books/NBK21525/   Jump up ^ Active Transport Archived August 24 , 2011 , at the Wayback Machine ... Biologycorner.com . Retrieved on 2011 - 12 - 05 .   Jump up ^ Lodish H , Berk A , Zipursky SL , et al. Molecular Cell Biology . 4th edition . New York : W.H. Freeman ; 2000 . Section 15.6 , Cotransport by Symporters and Antiporters . Available from : https://www.ncbi.nlm.nih.gov/books/NBK21687   Jump up ^ Physiology : 7 / 7ch05 / 7ch05p11 - Essentials of Human Physiology   Jump up ^ Reese , Jane B. ; Urry , Lisa A. ; Cain , Michael L. ; Wasserman , Steven A. ; Minorsky , Peter V. ; Jackson , Robert B. ( 2014 ) . Tenth Edition , Campbell 's Biology . United States : Pearson Education Inc. p. 135 . ISBN 978 - 0 - 321 - 77565 - 8 -- via Tenth edition .   Jump up ^ Cooper , Geoffrey ( 2009 ) . The Cell : A Molecular Approach . Washington , DC : ASM PRESS . p. 65 . ISBN 9780878933006 .   ^ Jump up to : Kang , Joohyun ; Park , Jiyoung ( December 6 , 2011 ) . `` Plant ABC Transporters '' ( PDF ) . American Society of Plant Biologists . doi : 10.1199 / tab. 0153 .   ^ Jump up to : Adebesin , Funmilayo ( June 30 , 2017 ) . `` Emission of volatile organic compounds from petunia flowers is facilitated by an ABC transporter '' ( PDF ) . Plant Science . 356 : 1386 -- 1388 -- via Science Direct .   ^ Jump up to : Crouzet , Jerome ( April 7 , 2013 ) . `` NtPDR1 , a plasma membrane ABC transporter from Nicotiana tabacum , is involved in diterpene transport '' ( PDF ) . Plant Molecular Biology . 82 : 181 -- 192 -- via SpringerLink .   Jump up ^ Physiology : 7 / 7ch05 / 7ch05p12 - Essentials of Human Physiology   ^ Jump up to : Alberts B , Johnson A , Lewis J , et al. Molecular Biology of the Cell. 4th edition . New York : Garland Science ; 2002 . Carrier Proteins and Active Membrane Transport . Available from : https://www.ncbi.nlm.nih.gov/books/NBK26896/   Jump up ^ Alberts B , Johnson A , Lewis J , et al. Molecular Biology of the Cell. 4th edition . New York : Garland Science ; 2002 . Electron - Transport Chains and Their Proton Pumps . Available from : https://www.ncbi.nlm.nih.gov/books/NBK26904/   Jump up ^ Crane , Robert K. ; Miller , D. ; Bihler , I. ( 1961 ) . `` The restrictions on possible mechanisms of intestinal transport of sugars '' . In Kleinzeller , A. ; Kotyk , A. Membrane Transport and Metabolism . Proceedings of a Symposium held in Prague , August 22 -- 27 , 1960 . Prague : Czech Academy of Sciences . pp. 439 -- 449 .   Jump up ^ Wright EM , Turk E ( February 2004 ) . `` The sodium / glucose cotransport family SLC5 '' . Pflügers Arch. 447 ( 5 ) : 510 -- 8 . doi : 10.1007 / s00424 - 003 - 1063 - 6 . PMID 12748858 . Crane in 1961 was the first to formulate the cotransport concept to explain active transport ( 7 ) . Specifically , he proposed that the accumulation of glucose in the intestinal epithelium across the brush border membrane was coupled to downhill Na transport cross the brush border . This hypothesis was rapidly tested , refined and extended ( to ) encompass the active transport of a diverse range of molecules and ions into virtually every cell type .   Jump up ^ Boyd CA ( March 2008 ) . `` Facts , fantasies and fun in epithelial physiology '' . Exp . Physiol. 93 ( 3 ) : 303 -- 14 . doi : 10.1113 / expphysiol. 2007.037523 . PMID 18192340 . p. 304 . `` the insight from this time that remains in all current text books is the notion of Robert Crane published originally as an appendix to a symposium paper published in 1960 ( Crane et al. 1960 ) . The key point here was ' flux coupling ' , the cotransport of sodium and glucose in the apical membrane of the small intestinal epithelial cell . Half a century later this idea has turned into one of the most studied of all transporter proteins ( SGLT1 ) , the sodium -- glucose cotransporter .   Jump up ^ Yu , SP ; Choi , DW ( June 1997 ) . `` Na ( + ) - Ca2+ exchange currents in cortical neurons : concomitant forward and reverse operation and effect of glutamate '' . The European Journal of Neuroscience. 9 ( 6 ) : 1273 -- 81 . doi : 10.1111 / j. 1460 - 9568.1997. tb01482. x . PMID 9215711 .   Jump up ^ Strehler , EE ; Zacharias , DA ( January 2001 ) . `` Role of alternative splicing in generating isoform diversity among plasma membrane calcium pumps '' . Physiological Reviews . 81 ( 1 ) : 21 -- 50 . PMID 11152753 .   Jump up ^ Patterson , M ; Sneyd , J ; Friel , DD ( January 2007 ) . `` Depolarization - induced calcium responses in sympathetic neurons : relative contributions from Ca2+ entry , extrusion , ER / mitochondrial Ca2+ uptake and release , and Ca2+ buffering '' . The Journal of General Physiology. 129 ( 1 ) : 29 -- 56 . doi : 10.1085 / jgp. 200609660 . PMC 2151609 . PMID 17190902 .   Jump up ^ Wright , EM ; Loo , DD ; Panayotova - Heiermann , M ; Lostao , MP ; Hirayama , BH ; Mackenzie , B ; Boorer , K ; Zampighi , G ( November 1994 ) . `` ' Active ' sugar transport in eukaryotes '' . The Journal of Experimental Biology . 196 : 197 -- 212 . PMID 7823022 .   Jump up ^ Dyer , J ; Hosie , KB ; Shirazi - Beechey , SP ( July 1997 ) . `` Nutrient regulation of human intestinal sugar transporter ( SGLT2 ) expression '' . Gut. 41 ( 1 ) : 56 -- 9 . doi : 10.1136 / gut. 41.1. 56 . PMC 1027228 . PMID 9274472 .   Jump up ^ Zhou , L ; Cryan , EV ; D'Andrea , MR ; Belkowski , S ; Conway , BR ; Demarest , KT ( 1 October 2003 ) . `` Human cardiomyocytes express high level of Na+ / glucose cotransporter 1 ( SGLT2 ) '' . Journal of Cellular Biochemistry . 90 ( 2 ) : 339 -- 46 . doi : 10.1002 / jcb. 10631 . PMID 14505350 .   Jump up ^ Poppe , R ; Karbach , U ; Gambaryan , S ; Wiesinger , H ; Lutzenburg , M ; Kraemer , M ; Witte , OW ; Koepsell , H ( July 1997 ) . `` Expression of the Na+ - D - glucose cotransporter SGLT1 in neurons '' . Journal of Neurochemistry. 69 ( 1 ) : 84 -- 94 . doi : 10.1046 / j. 1471 - 4159.1997. 69010084. x . PMID 9202297 .   Jump up ^ Wright EM ( 2001 ) . `` Renal Na - glucose cotransporters '' . Am J Physiol Renal Physiol. 280 ( 1 ) : F10 -- 8 . PMID 11133510 .   Jump up ^ Loo , DD ; Zeuthen , T ; Chandy , G ; Wright , EM ( 12 November 1996 ) . `` Cotransport of water by the Na+ / glucose cotransporter '' . Proceedings of the National Academy of Sciences of the United States of America . 93 ( 23 ) : 13367 -- 70 . doi : 10.1073 / pnas. 93.23. 13367 . PMC 24099 . PMID 8917597 .   Jump up ^ Loo , Donald D. ; Zeuthan , Thomas ; Chandy , Grischa ; Wright , Ernest M. ( 1996 - 11 - 12 ) . `` Cotransport of water by Na+ / glucose cotransporter '' Proceedings of the National Academy of Sciences . 93 ( 23 ) : 13367 - 13370 . ISSN 0027 - 8424 . PMID 8917597 .   Jump up ^ Wright EM , Hirayama BA , Loo DF ( 2007 ) . `` Active sugar transport in health and disease '' . Journal of internal medicine . 261 ( 1 ) : 32 -- 43 . doi : 10.1111 / j. 1365 - 2796.2006. 01746. x . PMID 17222166 .   Jump up ^ Reece , Jane ; Urry , Lisa ; Cain , Michael ; Wasserman , Steven ; Minorsky , Peter ; Jackson , Robert ( 2014 ) . Tenth Addition Campbell Biology . United States of America : Pearson Education , Inc. p. 137 . ISBN 978 - 0 - 321 - 77565 - 8 -- via Tenth Addition .   Jump up ^ Transport into the Cell from the Plasma Membrane : Endocytosis -- Molecular Biology of the Cell -- NCBI Bookshelf . Ncbi.nlm.nih.gov ( 2011 - 10 - 03 ) . Retrieved on 2011 - 12 - 05 .   Jump up ^ Paston , Ira ; Willingham , Mark C. ( 1985 ) . Endocytosis . Springer , Boston , MA . pp 1 - 44 . doi : 10.1007 / 978 - 1 - 4615 - 6904 - 6_1 . ISBN 9781461569060 .   ^ Jump up to : Jahn , Reinhard , and Thomas C Sudhof . `` Membrane Fusion and Exocytosis . '' Membrane Fusion and Exocytosis Annual Review of Biochemistry , Annual Review of Biochemistry , July 1999 , www.annualreviews.org/doi/full/10.1146/annurev.biochem.68.1.863 .   Jump up ^ Cell : Two Major Process in Exchange Of Materials Between Cell And Environment Archived August 11 , 2010 , at the Wayback Machine ... Takdang Aralin ( 2009 - 10 - 26 ) . Retrieved on 2011 - 12 - 05 .   Jump up ^ Pinocytosis : Definition . biology-online.org   Jump up ^ Phagocytosis . Courses.washington.edu . Retrieved on 2011 - 12 - 05 .    Notes ( edit )    Lodish H. ; Berk A. ; Zipursky S.L. ; Matsudaira P. ; Baltimore D. ; Darnell J. ( 2000 ) . `` Section 15.6 Cotransport by Symporters and Antiporters '' . Molecular Cell Biology ( 4th ed . ) . New York : W.H. Freeman . ISBN 0 - 7167 - 3136 - 3 .    External links ( edit )    Secondary Active Transport      ( hide )         Membrane transport     Mechanisms for chemical transport through biological membranes     Passive transport     Simple diffusion ( or non-mediated transport )   Facilitated diffusion   Osmosis   Channels   Carriers       Active transport     Uniporter   Symporter   Antiporter   Primary active transport   Secondary active transport       Cytosis      Endocytosis     Efferocytosis   Non-specific , adsorptive pinocytosis   Phagocytosis   Pinocytosis   Potocytosis   Receptor - mediated endocytosis   Transcytosis       Exocytosis   Degranulation              NDL : 00570452      Retrieved from `` https://en.wikipedia.org/w/index.php?title=Active_transport&amp;oldid=839384184 '' Categories :   Membrane biology   Biological matter   Hidden categories :   Webarchive template wayback links           Talk                                           Contents                   About Wikipedia                                                   Bosanski   Català   Deutsch   Español   Euskara   فارسی   Français   Galego   </t>
    </r>
    <r>
      <rPr>
        <sz val="11"/>
        <color rgb="FF000000"/>
        <rFont val="Noto Sans CJK SC"/>
        <family val="2"/>
      </rPr>
      <t xml:space="preserve">한국어   </t>
    </r>
    <r>
      <rPr>
        <sz val="11"/>
        <color rgb="FF000000"/>
        <rFont val="Calibri"/>
        <family val="0"/>
        <charset val="1"/>
      </rPr>
      <t xml:space="preserve">Bahasa Indonesia   Italiano   עברית   Basa Jawa   Kreyòl ayisyen   Bahasa Melayu   Nederlands   </t>
    </r>
    <r>
      <rPr>
        <sz val="11"/>
        <color rgb="FF000000"/>
        <rFont val="Noto Sans CJK SC"/>
        <family val="2"/>
      </rPr>
      <t xml:space="preserve">日本 語   </t>
    </r>
    <r>
      <rPr>
        <sz val="11"/>
        <color rgb="FF000000"/>
        <rFont val="Calibri"/>
        <family val="0"/>
        <charset val="1"/>
      </rPr>
      <t xml:space="preserve">Polski   Português   Română   Русский   Simple English   Српски / srpski   Srpskohrvatski / српскохрватски   Suomi   Svenska   ไทย   Türkçe   Українська   </t>
    </r>
    <r>
      <rPr>
        <sz val="11"/>
        <color rgb="FF000000"/>
        <rFont val="Noto Sans CJK SC"/>
        <family val="2"/>
      </rPr>
      <t xml:space="preserve">中文  </t>
    </r>
    <r>
      <rPr>
        <sz val="11"/>
        <color rgb="FF000000"/>
        <rFont val="Calibri"/>
        <family val="0"/>
        <charset val="1"/>
      </rPr>
      <t xml:space="preserve">22 more  Edit links   This page was last edited on 3 May 2018 , at 02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</si>
  <si>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movement of molecules across a membrane powered by atp</t>
  </si>
  <si>
    <t xml:space="preserve"> Active transport is the movement of molecules across a membrane from a region of their lower concentration to a region of their higher concentration -- in the direction against the concentration gradient . Active transport requires cellular energy to achieve this movement . There are two types of active transport -- primary active transport that uses ATP , and secondary active transport that uses an electrochemical gradient . An example of active transport in human physiology is the uptake of glucose in the intestines . </t>
  </si>
  <si>
    <r>
      <rPr>
        <sz val="11"/>
        <color rgb="FF000000"/>
        <rFont val="Calibri"/>
        <family val="0"/>
        <charset val="1"/>
      </rPr>
      <t xml:space="preserve">Peter Minuit - wikipedia  Peter Minuit     Peter Minuit , Minnewit             3rd Director of New Netherland     In office 1626 -- 1631     Preceded by   Willem Verhulst     Succeeded by   Sebastiaen Jansen Krol         Personal details       1580 Wesel , Duchy of Cleves , Holy Roman Empire ( modern North Rhine - Westphalia , Germany )       1638 ( aged 58 ) St. Christopher     Peter Minuit , Pieter Minuit , Pierre Minuit , or Peter Minnewit ( between 1580 and 1585 -- August 5 , 1638 ) was a Walloon from Wesel , in present - day North Rhine - Westphalia , Germany , then part of the Duchy of Cleves . His surname means `` midnight '' in French . He was Director of the Dutch North American colony of New Netherland from 1626 until 1631 , and founded the Swedish colony of New Sweden on the Delaware Peninsula in 1638 .   Minuit is generally credited with orchestrating the purchase of Manhattan Island for the Dutch from the Lenape Native Americans . Manhattan later became the site of the Dutch city of New Amsterdam , and the borough of Manhattan of modern - day New York City . A common account states that Minuit purchased Manhattan for $24 worth of trinkets . A letter written by Dutch merchant Peter Schaghen to directors of the Dutch East India Company stated that Manhattan was purchased `` for the value of 60 guilders '' in goods , an amount worth approximately $1,050 in 2015 dollars .     Contents  ( hide )   1 Biography   1.1 Early life   1.2 As director of New Netherland   1.3 Establishing the New Sweden colony     2 Legacy   2.1 Places named after Minuit   2.2 In popular culture     3 See also   4 References   4.1 Notes     5 Further reading   6 External links      Biography ( edit )   Early life ( edit )   Peter Minuit was born sometime between 1580 and 1585 , into a Calvinist family that had moved from the city of Tournai ( presently part of Wallonia , Belgium ) in the Southern Netherlands , to Wesel in Germany , in order to avoid Spanish Catholic colonials , who were not favorably disposed toward Protestants .   His father , Johan , died in 1609 and Peter took over management of the household and his father 's business . Peter had a good reputation in Wesel , attested by the fact that he was several times appointed a guardian . He also assisted the poor during the Spanish occupation of 1614 -- 1619 .   Minuit married Gertrude Raedts on August 20 , 1613 . Gertrude was from a wealthy family and she probably helped Peter Minuit establish himself as a broker . A will drawn up in 1615 in the Dutch city of Utrecht , mentions `` Peter Minnewit '' as a diamond cutter . Whether he traded in other items is unknown .   By 1624 , the city was in an economic decline and in 1625 , he had left Wesel and like others , went to Holland . At first , Gertrude went to stay with her relatives in Cleve .   As director of New Netherland ( edit )       This section needs additional citations for verification . Please help improve this article by adding citations to reliable sources . Unsourced material may be challenged and removed . ( May 2017 ) ( Learn how and when to remove this template message )    1909 drawing of The Purchase of Manhattan Island  Minuit and his family joined the Dutch West India Company , probably in the mid-1620s , and was sent to New Netherland in 1625 to search for tradable goods other than the animal pelts that then were the major product coming from New Netherland . He returned in the same year , and in 1626 was appointed the new director of New Netherland , taking over from Willem Verhulst . He sailed to North America and arrived in the colony on May 4 , 1626 .   Minuit is credited with purchasing the island of Manhattan from the Native Americans in exchange for traded goods valued at 60 guilders . According to the writer Nathaniel Benchley , Minuit conducted the transaction with Seyseys , chief of the Canarsees , who were only too happy to accept valuable merchandise in exchange for an island that was mostly controlled by the Weckquaesgeeks .   The figure of 60 guilders comes from a letter by a representative of the Dutch States - General and member of the board of the Dutch West India Company , Pieter Janszoon Schagen , to the States - General in November 1626 . In 1846 , New York historian John Romeyn Brodhead converted the figure of Fl 60 ( or 60 guilders ) to US $ 23 . The popular account rounds this off to $24 . By 2006 sixty guilders in 1626 was worth approximately $1,000 in current dollars , according to the Institute for Social History of Amsterdam .   According to researchers at the National Library of the Netherlands , `` The original inhabitants of the area were unfamiliar with the European notions and definitions of ownership rights . For the Indians , water , air and land could not be traded . Such exchanges would also be difficult in practical terms because many groups migrated between their summer and winter quarters . It can be concluded that both parties probably went home with totally different interpretations of the sales agreement . ''   A contemporary purchase of rights in nearby Staten Island , to which Minuit also was party , involved duffel cloth , iron kettles , axe heads , hoes , wampum , drilling awls , `` Jew 's harps '' , and `` diverse other wares '' . `` If similar trade goods were involved in the Manhattan arrangement '' , Burrows and Wallace surmise , `` then the Dutch were engaged in high - end technology transfer , handing over equipment of enormous usefulness in tasks ranging from clearing land to drilling wampum . ''   Minuit conducted politics in a measure of democracy in the colony during his time in New Netherland . He was highest judge in the colony , but in both civil and criminal affairs he was assisted by a council of five colonists . This advisory body would advise the director and jointly with him would develop , administer , and adjudicate a body of laws to help govern the colony . In addition there was a schout - fiscal , half - sheriff , half - attorney - general , and the customs officer . During Minuit 's administration , several mills were built , trade grew exponentially , and the population grew to almost 300 .   In 1631 , the Dutch West India Company ( WIC ) suspended Minuit from his post for reasons that are unclear , but probably for ( perhaps unintentionally ) abetting the landowning patroons who were engaging in illegal fur trade and otherwise enriching themselves against the interests and orders of the West India Company . He arrived back in Europe in August 1632 to explain his actions , but was dismissed and was succeeded as director by Wouter van Twiller . It is possible that Minuit had become the victim of the internal disputes over the rights that the board of directors had given to the patroons .   Establishing the New Sweden colony ( edit )   After having lived in Cleves , Germany for several years , Minuit made arrangements with Samuel Blommaert and the Swedish government in 1636 or 1637 to create the first Swedish colony in the New World . Located on the lower Delaware River within territory earlier claimed by the Dutch , it was called New Sweden . Minuit and his company arrived on the Fogel Grip and Kalmar Nyckel at Swedes ' Landing ( now Wilmington , Delaware ) , in the spring of 1638 . They constructed Fort Christina later that year , then returned to Stockholm for a second load of colonists , and made a side trip to the Caribbean on the return to pick up a shipment of tobacco for resale in Europe to make the voyage profitable . During this voyage , Minuit drowned when the ship he was visiting ( at the invitation of it 's dutch captain , a friend of Minuit ) , The Flying Deer , was lost with all hands during a hurricane at St. Christopher ( today 's St. Kitts ) in the Caribbean . The losses suffered , such as goods , colonists , and Minuit , caused irreversible damage to Sweden 's colonization attempts . Two years later , Swedish Lt. Måns Nilsson Kling , whose rank was raised to captain , replaced him as governor . Nine expeditions to the colony were carried out before the Dutch captured it in 1655 .   Legacy ( edit )   Places named after Minuit ( edit )    The Staten Island Ferry Whitehall Terminal 's Peter Minuit Plaza , north of the South Ferry -- Whitehall Street station ( 1 , ​ 2 ​ , N , ​ R , and ​ W trains ) . Following the 400th anniversary celebrations of Henry Hudson 's voyage to Manhattan , a pavilion was opened there to honor the Dutch . Each night at midnight , LED lights around the pavilion 's perimeter glow in honor of Minuit .   A marker in Inwood Hill Park at the supposed site of the purchase of Manhattan   A granite flagstaff base in Battery Park , which depicts the historic purchase   A school and playground in East Harlem , which are named for him .   An apartment building at 25 Claremont Avenue in Manhattan , which bears his name above the front entrance   The Peter Minuit Chapter of the Daughters of the American Revolution   A memorial on Moltkestraße in Wesel , North Rhine - Westphalia , Germany    In popular culture ( edit )    The beginning lines of Rodgers and Hart 's 1939 song `` Give It Back to the Indians '' recount the sale of Manhattan : `` Old Peter Minuit had nothing to lose when he bought the isle of Manhattan / For twenty - six dollars and a bottle of booze , and they threw in the Bronx and Staten / Pete thought he had the best of the bargain , but the poor red man just grinned / And he grunted `` ugh ! '' ( meaning `` okay '' in his jargon ) for he knew poor Pete was skinned . ''   One version of Minuit was played by Groucho Marx in the 1957 comedy film The Story of Mankind .   Minuit is mentioned on the HBO drama Boardwalk Empire , where the character Edward Bader tells a joke featuring the line , `` ' 50 bucks ? ' the fella says . ' Peter Stuyvesant only paid 24 for the entire island of Manhattan ! ' '' , while Steve Buscemi 's ' character Enoch ' Nucky ' Thompson has to correct Bader and inform him that it was in fact Peter Minuit who bought Manhattan , not Stuyvesant .   Bob Dylan mentions Minuit in his song `` Hard Times in New York Town '' ( released on The Bootleg Series Volume 1 ) in the following line : Mister Hudson come a-sailing down the stream , / and old Mister Minuit paid for his dream . In the released recording of the song , however , Dylan spoonerizes `` Mister Minuit '' by mispronouncing his name as `` Minnie Mistuit . '' The official lyrics have the correct version of the name , except that Minuit is spelled `` Minuet . ''   Minuit is mentioned in the first episode , Uno , of the AMC drama Better Call Saul . Jimmy McGill ( the later titular Saul ) , while confronting lawyers at his brother 's law firm , accuses them of being `` like Peter Minuit '' and suggests that they `` throw in some beads and shells '' to the $26,000.00 being given to his brother .    See also ( edit )    Dutch colonization of the Americas   Dutch Empire   List of colonial governors of New Jersey   List of colonial governors of New York    References ( edit )   Notes ( edit )    ^ Jump up to : Nevius , James ; Nevius , Michelle ( 2014 ) . Footprints in New York : Tracing the Lives of Four Centuries of New Yorkers . Guilford , Conn. : Lyons Press . ISBN 9780762796366 .   Jump up ^ Soniak , Matt . `` Was Manhattan Really Bought for $24 ? '' . MentalFloss . Retrieved 2017 - 05 - 16 .   Jump up ^ http://www.iisg.nl/hpw/calculate.php . Retrieved 17 May 2017 . Missing or empty title = ( help )   ^ Jump up to : `` Peter Minuit '' , Wesel.de   Jump up ^ A Calvinistic Founder of America : Peter Minuit   ^ Jump up to : `` Peter Minuit '' , New Netherlands Institute   ^ Jump up to : `` Peter Minuit '' ( biography ) , Wesel , Germany , webpage : Wesel - Minuit .   Jump up ^ Benchley , Nathaniel . `` The $24 Swindle : The Indians who sold Manhattan were bilked , all right , but they did n't mind -- the land was n't theirs anyway . '' American Heritage , Vol. 11 , no . 1 ( Dec. 1959 ) .   Jump up ^ Peter Schaghen Letter with transcription . New Netherland Institute ( 1626 - 11 - 07 ) . Retrieved on 2015 - 02 - 16 .   Jump up ^ Nevius , Michelle ; Nevius , James ( 2009 ) . Inside the Apple : A Streetwise History of New York City . Simon and Schuster . p. 9 . ISBN 978 - 1 - 4165 - 8997 - 6 .   ^ Jump up to : Edwin G. Burrows and Mike Wallace , Gotham : A History of New York City to 1898 , ( 1999 : xivff )   Jump up ^ The International Institute for Social History , Amsterdam calculates its value as 60 guilders ( 1626 ) = € 678.91 ( 2006 ) , equal to about $1,000 in 2006 .   Jump up ^ Peter Minuit Biography - Facts , Birthday , Life Story . Biography.com ( 1940 - 10 - 27 ) . Retrieved on 2013 - 07 - 23 .   Jump up ^ Peter Minuit . Historyofholland.com . Retrieved on 2013 - 07 - 23 .   Jump up ^ Bente , Friedrich , 1858 - 1930 . American Lutheranism Volume 1 : Early History of American Lutheranism : Lutheran Swedes in Delaware . Concordia : 1919 , p. 11 .   Jump up ^ `` Peter Minuit Playground '' , New York City Department of Parks and Recreation   Jump up ^ The Annotated Bob Dylan . Reocities.com . Retrieved on 2013 - 07 - 23 .   Jump up ^ Songs The Official Bob Dylan Site Archived 2011 - 09 - 02 at the Wayback Machine ... Bobdylan.com . Retrieved on 2013 - 07 - 23 .    Further reading ( edit )    Arand , Tobias . Peter Minuit aus Wesel - Ein rheinischer Überseekaufmann im 17 . Jahrhundert ; in : Schöne Neue Welt . Rheinländer erobern Amerika , hg . v. Rheinischen Freilichtmuseum und Landesmuseum für Volkskunde in Kommern , Opladen 1981 , 13 - 42   Weslager , C.A. ( 1989 ) . A Man and his Ship : Peter Minuit and the Kalmar Nyckel . Wilmington , Delaware : Kalmar Nickel Foundation . ISBN 0 - 9625563 - 1 - 9 .   James Nevius , Michelle Nevius ( 2014 ) . Footprints in New York : Tracing the Lives of Four Centuries of New Yorkers . Lyons Press . ISBN 978 - 0 - 7627 - 9636 - 6 .   Michelle Nevius , James Nevius ( 2009 ) . Inside the Apple : A Streetwise History of New York City . Simon &amp; Schuster . ISBN 978 - 1 - 4165 - 8997 - 6 .   Russell Shorto ( 2004 ) . The Island at the Center of the World : The Epic Story of Dutch Manhattan and the Forgotten Colony that Shaped America . Random House . ISBN 1 - 4000 - 7867 - 9 .   Jacobs , Jaap. ( 2005 ) , New Netherland : A Dutch Colony in Seventeenth - Century America . Leiden : Brill Academic Publishers , ISBN 90 - 04 - 12906 - 5 .   Mickley , Joseph J. Some account of Willem Usselinx and Peter Minuit : Two individuals who were instrumental in establishing the first permanent colony in Delaware , The Historical Society of Delaware , 1881    External links ( edit )    Project Gutenberg 's Narrative New Netherland , edited by J. Franklin Jameson , includes a footnote about the life of Minuit , but gives an improbable birth date of 1550 .   `` The Canarsees '' , Angelfire   Edwin G. Burrows and Mike Wallace : Gotham , 1999 .   Kenneth T. Jackson , ed. : Encyclopedia of New York City ( 1995 )   Pieter ( later English spelling Peter ) Schaghen , `` Letter on the purchase of Manhattan Island '' ,   Arthur Elmore Bostwick ( 1900 ) . `` Minuit , Peter '' . Appletons ' Cyclopædia of American Biography .      Political offices     Preceded by Willem Verhulst   Director of New Netherland May 4 , 1626 -- 1631   Succeeded by Sebastiaen Jansen Krol     New title new colony   Governor of New Sweden March 29 , 1638 -- June 15 , 1638   Succeeded by Måns Nilsson Kling             BIBSYS : 5010398   GND : 118734105   ISNI : 0000 0000 8364 4880   LCCN : n93016439   SNAC : w6bp26kp   SUDOC : 184479487   VIAF : 22936745      Retrieved from `` https://en.wikipedia.org/w/index.php?title=Peter_Minuit&amp;oldid=845627939 '' Categories :   1589 births   1638 deaths   Governors of New Sweden   People from Wesel   Deaths in tropical cyclones   People who died at sea   Directors of New Netherland   German people of Walloon descent   Dutch people of Walloon descent   Dutch emigrants to New Netherland   Hidden categories :   Pages with citations lacking titles   Pages with citations having bare URLs   Webarchive template wayback links   Articles needing additional references from May 2017   All articles needing additional references   All articles with unsourced statements   Articles with unsourced statements from October 2015   Articles with unsourced statements from January 2018   Pages using New York City Subway service templates   Wikipedia articles with BIBSYS identifiers   Wikipedia articles with GND identifiers   Wikipedia articles with ISNI identifiers   Wikipedia articles with LCCN identifiers   Wikipedia articles with SNAC - ID identifiers   Wikipedia articles with SUDOC identifiers   Wikipedia articles with VIAF identifiers           Talk                                           Contents                   About Wikipedia                                                   Беларуская   Беларуская ( тарашкевіца ) ‎   Čeština   Dansk   Deutsch   Español   Esperanto   Euskara   Français   </t>
    </r>
    <r>
      <rPr>
        <sz val="11"/>
        <color rgb="FF000000"/>
        <rFont val="Noto Sans CJK SC"/>
        <family val="2"/>
      </rPr>
      <t xml:space="preserve">한국어   </t>
    </r>
    <r>
      <rPr>
        <sz val="11"/>
        <color rgb="FF000000"/>
        <rFont val="Calibri"/>
        <family val="0"/>
        <charset val="1"/>
      </rPr>
      <t xml:space="preserve">Bahasa Indonesia   Íslenska   Italiano   עברית   ქართული   Latina   Bahasa Melayu   Nederlands   Norsk   Occitan   Polski   Português   Русский   Slovenčina   Српски / srpski   Suomi   Svenska   Українська  20 more  Edit links   This page was last edited on 13 June 2018 , at 02 : 17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</si>
  <si>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sold manhattan to the dutch in 1626</t>
  </si>
  <si>
    <t xml:space="preserve"> Minuit is credited with purchasing the island of Manhattan from the Native Americans in exchange for traded goods valued at 60 guilders . According to the writer Nathaniel Benchley , Minuit conducted the transaction with Seyseys , chief of the Canarsees , who were only too happy to accept valuable merchandise in exchange for an island that was mostly controlled by the Weckquaesgeeks . </t>
  </si>
  <si>
    <r>
      <rPr>
        <sz val="11"/>
        <color rgb="FF000000"/>
        <rFont val="Calibri"/>
        <family val="0"/>
        <charset val="1"/>
      </rPr>
      <t xml:space="preserve">City of Stars - wikipedia  City of Stars  Jump to : navigation , search This article is about the Ryan Gosling and Emma Stone song . For the Logic song , see City of Stars ( Logic song ) .    `` City of Stars ''     Song by Ryan Gosling and Emma Stone     from the album La La Land : Original Motion Picture Soundtrack     Length   2 : 25     Label   Interscope     Composer ( s )   Justin Hurwitz     Lyricist ( s )     Benj Pasek   Justin Paul       La La Land : Original Motion Picture Soundtrack track listing        `` Herman 's Habit '' ( 5 )   `` City of Stars '' ( 6 )   `` Planetarium '' ( 7 )        `` City of Stars '' is a song performed by Ryan Gosling and Emma Stone from the film La La Land ( 2016 ) . The music of the song was composed by Justin Hurwitz while the lyrics were provided by Benj Pasek and Justin Paul . The song won numerous awards , including the award for Best Original Song at both the 74th Golden Globe Awards and 89th Academy Awards .     Contents  ( hide )   1 Context   2 Inspiration   3 Accolades   4 Charts   4.1 Weekly charts     5 See also   6 References   7 External links      Context ( edit )   In the film , the song is first sung by Gosling alone as the character of Sebastian as he sings and dances on the Hermosa Beach pier . Later in the film , it is reprised by Sebastian and Mia ( Stone ) during a montage of him getting ready to tour with Keith 's ( John Legend ) band .   Inspiration ( edit )   Justin Hurwitz , the composer of the song , discussed the writing of the song :     ``   ( The song ) started at the piano with me just working on demos for Damien , sending him ideas until something really sparked . It 's so funny that that and `` Audition '' are the two songs that people seem to be responding to the most , at least so far , because they had similar processes in the sense that they had probably the least amount of fussing at the piano demo stage . ( ... ) I was just composing it from an emotional place and thinking about the tone . I would say the tone is hopeful , but melancholy at the same time . And it kind of goes back - and - forth between cadencing in major and cadencing in minor , because I think that 's kind of what the song is about . You have these great moments and then you have these less great moments in life and in Los Angeles and we see it happen in the story . I was thinking about that idea a little bit and just trying to compose a melody that I thought was shapely and beautiful . I guess it has some jazz inflections , because it 's something Sebastian plays on the piano .   ''     Accolades ( edit )  Main article : List of accolades received by La La Land    Awards     Award   Date of ceremony     Result   Ref .     Hollywood Music in Media Awards   November 17 , 2016   Best Song -- Feature Film   Won       Critics ' Choice Awards   December 11 , 2016   Best Song   Won       St. Louis Gateway Film Critics Association   December 18 , 2016   Best Song   Won       Houston Film Critics Society   January 6 , 2017   Best Original Song   Won       Golden Globe Awards   January 8 , 2017   Best Original Song   Won       Satellite Awards   February 19 , 2017   Best Original Song   Won       Academy Awards   February 26 , 2017   Best Original Song   Won       Charts ( edit )   Weekly charts ( edit )     Chart ( 2017 )   Peak position     Austria ( Ö3 Austria Top 40 )   68     Belgium ( Ultratop 50 Flanders )   30     Belgium ( Ultratip Wallonia )   20     Canada ( Canadian Hot 100 )   89     France ( SNEP )   9     Greece Digital Songs ( Billboard )       Hungary ( Single Top 40 )   8     Ireland ( IRMA )   57     Italy ( FIMI )   51     Japan Hot Overseas ( Billboard )       Japan Radio Songs ( Billboard )       Portugal ( AFP )   45     Scotland ( Official Charts Company )   29     Spain ( PROMUSICAE )   14     South Korea International Chart ( Gaon )       Switzerland ( Schweizer Hitparade )   48     UK Singles ( Official Charts Company )   53     US Bubbling Under Hot 100 Singles ( Billboard )   8     See also ( edit )    Another Day of Sun   Audition ( The Fools Who Dream )    References ( edit )    Jump up ^ Tapley , Kristopher ( November 17 , 2016 ) . `` Listen to ' City of Stars ' From the ' La La Land ' Soundtrack , Arriving Dec. 9 '' . Variety . Retrieved January 9 , 2017 .   Jump up ^ Tapley , Kristopher ( August 31 , 2016 ) . `` ' La La Land ' Composer Justin Hurwitz Details the Film 's Songwriting Process '' . Variety . Retrieved January 14 , 2017 .   Jump up ^ `` Justin Timberlake &amp; Alexandre Desplat Among Winners At Hollywood Music In Media Awards '' . Deadline . November 18 , 2016 . Retrieved November 18 , 2016 .   Jump up ^ McNary , Dave ( November 2 , 2016 ) . `` ' La La Land ' Scores Three Hollywood Music in Media Nominations '' . Variety . Retrieved November 3 , 2016 .   Jump up ^ `` La La Land Leads with 12 Nominations for the 22nd Annual Critics ' Choice Awards '' . Critics ' Choice . December 1 , 2016 . Retrieved December 1 , 2016 .   Jump up ^ `` 2016 StLFCA Annual Award Nominations '' . St. Louis Gateway Film Critics Association . December 12 , 2016 . Retrieved December 12 , 2016 .   Jump up ^ `` Houston Film Critics Nominations for 2016 Films '' . MovieAwardsPlus.com . December 13 , 2016 . Retrieved December 15 , 2016 .   Jump up ^ `` Houston Film Critics Society Nominations -- ' The Nice Guys ' and Rebecca Hall Get a Deserved Boost '' . AwardsCircuit.com . December 13 , 2016 . Retrieved December 15 , 2016 .   Jump up ^ `` Golden Globes 2017 : The Complete List of Nominations '' . The Hollywood Reporter . December 12 , 2016 . Retrieved December 12 , 2016 .   Jump up ^ Kilday , Gregg ( November 29 , 2016 ) . `` Satellite Awards Nominees Revealed '' . The Hollywood Reporter . Retrieved November 29 , 2016 .   Jump up ^ Sheehan , Paul ( January 24 , 2017 ) . `` Oscar nominees list : 2017 Academy Award nominations '' . GoldDerby . Retrieved January 24 , 2017 .   Jump up ^ `` Austriancharts.at -- Ryan Gosling &amp; Emma Stone -- City of Stars '' ( in German ) . Ö3 Austria Top 40 . Retrieved February 9 , 2017 .   Jump up ^ `` Ultratop.be -- Ryan Gosling &amp; Emma Stone -- City of Stars '' ( in Dutch ) . Ultratop 50 . Retrieved February 11 , 2017 .   Jump up ^ `` Ultratop.be -- Ryan Gosling &amp; Emma Stone -- City of Stars '' ( in French ) . Ultratip . Retrieved February 4 , 2017 .   Jump up ^ `` Ryan Gosling -- Chart history '' Canadian Hot 100 for Ryan Gosling . Retrieved March 7 , 2017 .   Jump up ^ `` Le Top de la semaine : Top Singles Téléchargés - SNEP ( Week 5 , 2017 ) '' ( in French ) . Syndicat National de l'Édition Phonographique . Retrieved February 4 , 2017 .   Jump up ^ `` Greece Digital Song Sales , 4 February 2017 '' . billboard.com . Retrieved 3 February 2017 .   Jump up ^ `` Archívum -- Slágerlisták -- MAHASZ '' ( in Hungarian ) . Single ( track ) Top 40 lista . Magyar Hanglemezkiadók Szövetsége . Retrieved January 13 , 2017 .   Jump up ^ `` Chart Track : Week 5 , 2017 '' . Irish Singles Chart . Retrieved February 4 , 2017 .   Jump up ^ `` IRMA - Irish Charts '' . irma.ie .   Jump up ^ `` Classifica settimanale WK 6 '' ( in Italian ) . Federazione Industria Musicale Italiana . Retrieved February 11 , 2017 .   Jump up ^ `` Billboard Japan Hot Overseas '' ( in Japanese ) . Billboard Japan . 13 March 2017 . Retrieved 8 March 2017 .   Jump up ^ `` Billboard Japan Radio Songs '' ( in Japanese ) . Billboard Japan . 13 March 2017 . Retrieved 8 March 2017 .   Jump up ^ `` Portuguesecharts.com -- Ryan Gosling &amp; Emma Stone -- City of Stars '' . AFP Top 100 Singles . Retrieved February 9 , 2017 .   Jump up ^ `` Official Scottish Singles Sales Chart Top 100 '' . Official Charts Company . Retrieved January 28 , 2017 .   Jump up ^ `` Spanishcharts.com -- Ryan Gosling &amp; Emma Stone -- City of Stars '' Canciones Top 50 . Retrieved February 2 , 2017 .   Jump up ^ `` Gaon Digital Chart -- Issue date : 2016.12. 11 -- 2016.12. 17 '' . Gaon Chart . Retrieved February 16 , 2017 .   Jump up ^ `` Swisscharts.com -- Ryan Gosling , Emma Stone -- City of Stars '' . Swiss Singles Chart . Retrieved February 6 , 2017 .   Jump up ^ `` Official Singles Chart Top 100 '' . Official Charts Company . Retrieved January 28 , 2017 .   Jump up ^ `` Ryan Gosling &amp; Emma Stone -- Chart history '' Billboard Bubbling Under Hot 100 for Ryan Gosling &amp; Emma Stone . Retrieved January 25 , 2017 .    External links ( edit )    Lyrics of this song at MetroLyrics              Academy Award for Best Original Song     1934 -- 1940     `` The Continental ''   Music : Con Conrad   Lyrics : Herb Magidson ( 1934 )     `` Lullaby of Broadway ''   Music : Harry Warren   Lyrics : Al Dubin ( 1935 )     `` The Way You Look Tonight ''   Music : Jerome Kern   Lyrics : Dorothy Fields ( 1936 )     `` Sweet Leilani ''   Music and lyrics : Harry Owens ( 1937 )     `` Thanks for the Memory ''   Music : Ralph Rainger   Lyrics : Leo Robin ( 1938 )     `` Over the Rainbow ''   Music : Harold Arlen   Lyrics : E.Y. Harburg ( 1939 )     `` When You Wish upon a Star ''   Music : Leigh Harline   Lyrics : Ned Washington ( 1940 )         1941 -- 1950     `` The Last Time I Saw Paris ''   Music : Jerome Kern   Lyrics : Oscar Hammerstein II ( 1941 )     `` White Christmas ''   Music and Lyrics : Irving Berlin ( 1942 )     `` You 'll Never Know ''   Music : Harry Warren   Lyrics : Mack Gordon ( 1943 )     `` Swinging on a Star ''   Music : Jimmy Van Heusen   Lyrics : Johnny Burke ( 1944 )     `` It Might as Well Be Spring ''   Music : Richard Rodgers   Lyrics : Oscar Hammerstein II ( 1945 )     `` On the Atchison , Topeka and the Santa Fe ''   Music : Harry Warren   Lyrics : Johnny Mercer ( 1946 )     `` Zip - a-Dee - Doo - Dah ''   Music : Allie Wrubel   Lyrics : Ray Gilbert ( 1947 )     `` Buttons and Bows ''   Music : Jay Livingston   Lyrics : Ray Evans ( 1948 )     `` Baby , It 's Cold Outside ''   Music and Lyrics : Frank Loesser ( 1949 )     `` Mona Lisa ''   Music and Lyrics : Ray Evans and Jay Livingston ( 1950 )         1951 -- 1960     `` In the Cool , Cool , Cool of the Evening ''   Music : Hoagy Carmichael   Lyrics : Johnny Mercer ( 1951 )     `` High Noon ( Do Not Forsake Me , Oh My Darlin ' ) ''   Music : Dimitri Tiomkin   Lyrics : Ned Washington ( 1952 )     `` Secret Love ''   Music : Sammy Fain   Lyrics : Paul Francis Webster ( 1953 )     `` Three Coins in the Fountain ''   Music : Jule Styne   Lyrics : Sammy Cahn ( 1954 )     `` Love Is a Many Splendored Thing ''   Music : Sammy Fain   Lyrics : Paul Francis Webster ( 1955 )     `` Que Sera , Sera ( Whatever Will Be , Will Be ) ''   Music and lyrics : Jay Livingston and Ray Evans ( 1956 )     `` All the Way ''   Music : Jimmy Van Heusen   Lyrics : Sammy Cahn ( 1957 )     `` Gigi ''   Music : Frederick Loewe   Lyrics : Alan Jay Lerner ( 1958 )     `` High Hopes ''   Music : Jimmy Van Heusen   Lyrics : Sammy Cahn ( 1959 )     `` Never on Sunday ''   Music and lyrics : Manos Hatzidakis ( 1960 )         1961 -- 1970     `` Moon River ''   Music : Henry Mancini   Lyrics : Johnny Mercer ( 1961 )     `` Days of Wine and Roses ''   Music : Henry Mancini   Lyrics : Johnny Mercer ( 1962 )     `` Call Me Irresponsible ''   Music : Jimmy Van Heusen   Lyrics : Sammy Cahn ( 1963 )     `` Chim Chim Cher - ee ''   Music and lyrics : Richard M. Sherman and Robert B. Sherman ( 1964 )     `` The Shadow of Your Smile ''   Music : Johnny Mandel   Lyrics : Paul Francis Webster ( 1965 )     `` Born Free ''   Music : John Barry   Lyrics : Don Black ( 1966 )     `` Talk to the Animals ''   Music and lyrics : Leslie Bricusse ( 1967 )     `` The Windmills of Your Mind ''   Music : Michel Legrand   Lyrics : Alan and Marilyn Bergman ( 1968 )     `` Raindrops Keep Fallin ' on My Head ''   Music : Burt Bacharach   Lyrics : Hal David ( 1969 )     `` For All We Know ''   Music : Fred Karlin   Lyrics : Robb Royer and Jimmy Griffin ( 1970 )         1971 -- 1980     `` Theme from Shaft ''   Music and lyrics : Isaac Hayes ( 1971 )     `` The Morning After ''   Music and lyrics : Al Kasha and Joel Hirschhorn ( 1972 )     `` The Way We Were ''   Music : Marvin Hamlisch   Lyrics : Alan and Marilyn Bergman ( 1973 )     `` We May Never Love Like This Again ''   Music and lyrics : Al Kasha and Joel Hirschhorn ( 1974 )     `` I 'm Easy ''   Music and lyrics : Keith Carradine ( 1975 )     `` Evergreen ( Love Theme from A Star Is Born ) ''   Music : Barbra Streisand   Lyrics : Paul Williams ( 1976 )     `` You Light Up My Life ''   Music and lyrics : Joseph Brooks ( 1977 )     `` Last Dance ''   Music and lyrics : Paul Jabara ( 1978 )     `` It Goes Like It Goes ''   Music : David Shire   Lyrics : Norman Gimbel ( 1979 )     `` Fame ''   Music : Michael Gore   Lyrics : Dean Pitchford ( 1980 )         1981 -- 1990     `` Arthur 's Theme ( Best That You Can Do ) ''   Music and lyrics : Burt Bacharach , Carole Bayer Sager , Christopher Cross and Peter Allen ( 1981 )     `` Up Where We Belong ''   Music : Jack Nitzsche and Buffy Sainte - Marie   Lyrics : Will Jennings ( 1982 )     `` Flashdance ... What a Feeling ''   Music : Giorgio Moroder   Lyrics : Keith Forsey and Irene Cara ( 1983 )     `` I Just Called to Say I Love You ''   Music and lyrics : Stevie Wonder ( 1984 )     `` Say You , Say Me ''   Music and lyrics : Lionel Richie ( 1985 )     `` Take My Breath Away ''   Music : Giorgio Moroder   Lyrics : Tom Whitlock ( 1986 )     `` ( I 've Had ) The Time of My Life ''   Music : Franke Previte , John DeNicola and Donald Markowitz   Lyrics : Franke Previte ( 1987 )     `` Let the River Run ''   Music and lyrics : Carly Simon ( 1988 )     `` Under the Sea ''   Music : Alan Menken   Lyrics : Howard Ashman ( 1989 )     `` Sooner or Later ( I Always Get My Man ) ''   Music and Lyrics : Stephen Sondheim ( 1990 )         1991 -- 2000     `` Beauty and the Beast ''   Music : Alan Menken   Lyrics : Howard Ashman ( 1991 )     `` A Whole New World ''   Music : Alan Menken   Lyrics : Tim Rice ( 1992 )     `` Streets of Philadelphia ''   Music and lyrics : Bruce Springsteen ( 1993 )     `` Can You Feel the Love Tonight ''   Music : Elton John   Lyrics : Tim Rice ( 1994 )     `` Colors of the Wind ''   Music : Alan Menken   Lyrics : Stephen Schwartz ( 1995 )     `` You Must Love Me ''   Music : Andrew Lloyd Webber   Lyrics : Tim Rice ( 1996 )     `` My Heart Will Go On ''   Music : James Horner   Lyrics : Will Jennings ( 1997 )     `` When You Believe ''   Music and lyrics : Stephen Schwartz ( 1998 )     `` You 'll Be in My Heart ''   Music and lyrics : Phil Collins ( 1999 )     `` Things Have Changed ''   Music and lyrics : Bob Dylan ( 2000 )         2001 -- 2010     `` If I Did n't Have You ''   Music and lyrics : Randy Newman ( 2001 )     `` Lose Yourself ''   Music : Eminem , Jeff Bass and Luis Resto   Lyrics : Eminem ( 2002 )     `` Into the West ''   Music and lyrics : Fran Walsh , Howard Shore and Annie Lennox ( 2003 )     `` Al otro lado del río ''   Music and lyrics : Jorge Drexler ( 2004 )     `` It 's Hard out Here for a Pimp ''   Music and lyrics : Juicy J , Frayser Boy and DJ Paul ( 2005 )     `` I Need to Wake Up ''   Music and lyrics : Melissa Etheridge ( 2006 )     `` Falling Slowly ''   Music and lyrics : Glen Hansard and Markéta Irglová ( 2007 )     `` Jai Ho ''   Music : A.R. Rahman   Lyrics : Gulzar ( 2008 )     `` The Weary Kind ''   Music and lyrics : Ryan Bingham and T Bone Burnett ( 2009 )     `` We Belong Together ''   Music and lyrics : Randy Newman ( 2010 )         2011 -- present     `` Man or Muppet ''   Music and lyrics : Bret McKenzie ( 2011 )     `` Skyfall ''   Music and lyrics : Adele Adkins and Paul Epworth ( 2012 )     `` Let It Go ''   Music and lyrics : Kristen Anderson - Lopez and Robert Lopez ( 2013 )     `` Glory ''   Music and lyrics : John Stephens and Lonnie Lynn ( 2014 )     `` Writing 's on the Wall ''   Music and lyrics : James Napier and Sam Smith ( 2015 )     `` City of Stars ''   Music : Justin Hurwitz   Lyrics : Benj Pasek and Justin Paul ( 2016 )                   Critics ' Choice Movie Award for Best Song     1998 -- 2000     `` When You Believe ''   Music &amp; Lyrics : Stephen Schwartz ( 1998 )   `` Music of My Heart ''   Music &amp; Lyrics : Diane Warren ( 1999 )   `` My Funny Friend and Me ''   Music &amp; Lyrics : David Hartley , Sting ( 2000 )       2001 -- 2010     `` May It Be ''   Music &amp; Lyrics : Enya , Nicky Ryan , Roma Ryan ( 2001 )   `` Lose Yourself ''   Music &amp; Lyrics : Jeff Bass , Eminem , Luis Resto , ( 2002 )   `` A Mighty Wind ''   Music &amp; Lyrics : Christopher Guest , Eugene Levy , Michael McKean ( 2003 )   `` Old Habits Die Hard ''   Music &amp; Lyrics : Mick Jagger , David Stewart ( 2004 )   `` Hustle &amp; Flow ''   Music &amp; Lyrics : Terrence Howard ( 2005 )   `` Listen ''   Music &amp; Lyrics : Scott Cutler , Henry Krieger , Anne Preven ( 2006 )   `` Falling Slowly ''   Music &amp; Lyrics : Glen Hansard , Markéta Irglová ( 2007 )   `` The Wrestler ''   Music &amp; Lyrics : Bruce Springsteen ( 2008 )   `` The Weary Kind ''   Music &amp; Lyrics : Ryan Bingham and T Bone Burnett ( 2009 )   `` If I Rise ''   Music &amp; Lyrics : Rollo Armstrong , Dido , A.R. Rahman ( 2010 )       2011 -- 2020     `` Life 's a Happy Song ''   Music &amp; Lyrics : Bret McKenzie ( 2011 )   `` Skyfall ''   Music &amp; Lyrics : Adele , Paul Epworth ( 2012 )   `` Let It Go ''   Music &amp; Lyrics : Kristen Anderson - Lopez , Robert Lopez ( 2013 )   `` Glory ''   Music &amp; Lyrics : Common , John Legend ( 2014 )   `` See You Again ''   Music &amp; Lyrics : Andrew Cedar , DJ Frank E , Wiz Khalifa , Charlie Puth ( 2015 )   `` City of Stars ''   Music &amp; Lyrics : Justin Hurwitz , Benj Pasek and Justin Paul ( 2016 )                 Golden Globe Award for Best Original Song ( 2010s )       `` You Have n't Seen the Last of Me '' Music &amp; Lyrics by Diane Warren ( 2010 )   `` Masterpiece '' Music &amp; Lyrics by Madonna , Julie Frost and Jimmy Harry ( 2011 )   `` Skyfall '' by Adele Adkins and Paul Epworth ( 2012 )   `` Ordinary Love '' by U2 and Danger Mouse ( 2013 )   `` Glory '' by Common and John Legend ( 2014 )   `` Writing 's on the Wall '' by Sam Smith and Jimmy Napes ( 2015 )   `` City of Stars '' by Justin Hurwitz , Benj Pasek and Justin Paul ( 2016 )         Complete List   ( 1960s )   ( 1970s )   ( 1980s )   ( 1990s )   ( 2000s )   ( 2010s )      Retrieved from `` https://en.wikipedia.org/w/index.php?title=City_of_Stars&amp;oldid=802382499 '' Categories :   2016 songs   Best Original Song Academy Award - winning songs   Best Original Song Golden Globe winning songs   Hidden categories :   CS1 French - language sources ( fr )   CS1 Italian - language sources ( it )   CS1 Japanese - language sources ( ja )   Articles with hAudio microformats   Singlechart usages for Austria   Singlechart usages for Flanders   Singlechart usages for Wallonia Tip   Singlechart usages for Canada   Singlechart called without song   Singlechart usages for Hungarysingle   Singlechart usages for Ireland   Singlechart called without artist   Singlechart usages for Portugal   Singlechart usages for Scotland   Singlechart usages for Spain   Singlechart usages for Switzerland   Singlechart usages for UK   Singlechart usages for Billboardbubbling100           Talk                                           Contents                   About Wikipedia                                           Ελληνικά   Español   فارسی   Français   </t>
    </r>
    <r>
      <rPr>
        <sz val="11"/>
        <color rgb="FF000000"/>
        <rFont val="Noto Sans CJK SC"/>
        <family val="2"/>
      </rPr>
      <t xml:space="preserve">한국어   </t>
    </r>
    <r>
      <rPr>
        <sz val="11"/>
        <color rgb="FF000000"/>
        <rFont val="Calibri"/>
        <family val="0"/>
        <charset val="1"/>
      </rPr>
      <t xml:space="preserve">Bahasa Indonesia   Italiano   עברית   </t>
    </r>
    <r>
      <rPr>
        <sz val="11"/>
        <color rgb="FF000000"/>
        <rFont val="Noto Sans CJK SC"/>
        <family val="2"/>
      </rPr>
      <t xml:space="preserve">日本 語   </t>
    </r>
    <r>
      <rPr>
        <sz val="11"/>
        <color rgb="FF000000"/>
        <rFont val="Calibri"/>
        <family val="0"/>
        <charset val="1"/>
      </rPr>
      <t xml:space="preserve">Norsk   Português   Русский   </t>
    </r>
    <r>
      <rPr>
        <sz val="11"/>
        <color rgb="FF000000"/>
        <rFont val="Noto Sans CJK SC"/>
        <family val="2"/>
      </rPr>
      <t xml:space="preserve">中文   </t>
    </r>
    <r>
      <rPr>
        <sz val="11"/>
        <color rgb="FF000000"/>
        <rFont val="Calibri"/>
        <family val="0"/>
        <charset val="1"/>
      </rPr>
      <t xml:space="preserve">Edit links   This page was last edited on 25 September 2017 , at 20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</si>
  <si>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city of stars are you shining just for me meaning</t>
  </si>
  <si>
    <t xml:space="preserve">  ``   ( The song ) started at the piano with me just working on demos for Damien , sending him ideas until something really sparked . It 's so funny that that and `` Audition '' are the two songs that people seem to be responding to the most , at least so far , because they had similar processes in the sense that they had probably the least amount of fussing at the piano demo stage . ( ... ) I was just composing it from an emotional place and thinking about the tone . I would say the tone is hopeful , but melancholy at the same time . And it kind of goes back - and - forth between cadencing in major and cadencing in minor , because I think that 's kind of what the song is about . You have these great moments and then you have these less great moments in life and in Los Angeles and we see it happen in the story . I was thinking about that idea a little bit and just trying to compose a melody that I thought was shapely and beautiful . I guess it has some jazz inflections , because it 's something Sebastian plays on the piano .   ''  </t>
  </si>
  <si>
    <t xml:space="preserve">Ink Master - Wikipedia  Ink Master  Jump to : navigation , search    Ink Master     Title card from the first four seasons     Genre   Reality television     Presented by   Dave Navarro     Judges     Chris Núñez   Oliver Peck       Narrated by     Matt Knight ( season 1 )   Rick Robles ( season 2 -- present )       Theme music composer   Vanacore Music , Inc     Country of origin   United States     Original language ( s )   English     No. of seasons   9     No. of episodes   115     Production     Executive producer ( s )     Steven Weinstock   Glenda Hersh   Andrea Richter       Location ( s )   New York City     Camera setup   Multiple     Running time     41 -- 42 minutes   83 min . ( season 3 finale )   39 min . ( season 5 finale )   61 min . ( seasons 6 &amp; 7 finales )   62 min . ( season 8 finale )       Production company ( s )     Original Media ( 2012 -- 16 )   Truly Original ( 2017 -- present )       Release     Original network     Spike ( 2012 -- 17 )   The Paramount Network ( 2018 )       Picture format   480i ( SDTV ) 1080i ( HDTV )     Original release   January 17 , 2012 ( 2012 - 01 - 17 ) -- present     External links     Website   www.spike.com/shows/ink-master/     Ink Master is an American reality competition television series airing on Spike which premiered on January 17 , 2012 . The show features tattoo artists who compete in various challenges assessing their tattoo and other related artistic skills . They are judged by renowned tattoo artists and enthusiasts , with one or more contestants being eliminated each episode . The last contestant standing each season receives a $100,000 prize and the title of Ink Master . The show is produced by Original Media which also produced the reality show Miami Ink .   The sixth season of the show premiered on June 23 , 2015 . In May , the network renewed Ink Master for a seventh season which premiered on March 1 , 2016 . The eighth season of the tattoo reality competition Ink Master ( subtitled as Ink Master : Peck vs. Nuñez ) premiered on August 23 , 2016 on Spike . Season 8 had its first female winner . The show has been renewed for seasons 9 and 10 . Two spin - off shows , titled Ink Master : Redemption and Ink Master : Angels , have also been released . The series has also released a number of special standalone episodes generally themed around an upcoming event or holiday such as Halloween .     Contents  ( hide )   1 Show format   1.1 Basic format   1.2 Special format   1.3 Judging and Judges     2 Seasons   3 Specials   4 Spin offs   4.1 Ink Master : Redemption   4.2 Ink Master : Angels     5 See also   6 References   7 External links      Show format ( edit )   Basic format ( edit )   All episodes aside from the finales have the following format , with some minor variations to the application of the format :   First , there is a Flash Challenge that will be evaluated based on how well an artist met the skill of the week . Some Flash Challenges involve tattooing , but typically , flash challenges do not incorporate the act of tattooing ; but , instead , will require a non-related artistic skill ( i.e. painting , hair cutting , etching , burning , etc . ) The winner of the flash challenge wins the right to select their own human canvas in the elimination challenge , and , as of season two , pair up the other contestants with their human canvases .   After the Flash Challenge comes the Elimination Challenge , a further test of the skill of the week on a human canvas , typically incorporating a prominent style of tattooing . Once the contestants are paired up with their canvases , they are given the day to consult with their assignment . The next day , each contestant is given four to six hours to tattoo their design . Once completed , the contestants meet as a group with the judges and are critiqued one by one . The contestants then are dismissed , with four later being called back . The four typically represent a top two and bottom two for the week , though this breakdown can change . At the end of each episode , a winner is typically declared and one contestant is eliminated .   Special format ( edit )   For the finale of season one , the final challenge was a marathon tattooing of up to 18 hours . The season two finale did not share this format , and instead consisted of each of the three finalists meeting with his or her respective canvas for four six - hour sessions to create a final piece . This final piece did not require a specific tattoo genre or location for the artist to tattoo . Instead , the artists were able to choose those aspects for themselves , and the only restriction they faced was a time limit . The season three finale followed a similar format to the season two finale , but the artists were allowed five seven - hour sessions for a cumulative 35 - hour master canvas tattoo .   Judging and judges ( edit )     Judges   Background   Seasons             5   6   7   8   9     Dave Navarro   Jane 's Addiction guitarist   Main     Chris Nuñez   Former Miami Ink cast member   Main     Oliver Peck   Accomplished tattoo artist   Main     Musician Dave Navarro and tattoo artists Chris Núñez and Oliver Peck are the show 's primary judges ; Dave and Chris have appeared in all episodes to date ; however Oliver missed two episodes of season nine as he was having surgery after a heart attack . Some episodes incorporate a fourth guest judge , usually a well - known tattoo artist who has knowledge or reputation in the style of tattoo ( such as New School , Traditional , Japanese , Portrait , Black and Gray , etc . ) chosen for the week 's elimination challenge .   Season two judging was taken to a new level with audience voting participation through the Ink Master website , and also via Facebook voting . The audience vote affected the final ruling by the judges . Sebastian Murphy was eliminated from consideration by the judges in the season finale because he was the contestant whose work in the elimination challenges received the fewest votes by the audience .   Season three introduced the human canvas jury , in which the human canvases review each other 's tattoos and nominate for elimination the artist who did the worst piece .   Season four introduced the elimination challenge winner 's selection , where the challenge winner picks an artist for elimination from his / her perspective .   Season five brought back Joshua Hibbard and Jason Clay Dunn from season three , along with eight other pairs of rivals . The winner 's worst selection did not return for season five .   Seasons ( edit )     Season   Contestants   Winner   Runner Up   Third Place   Prizes   First Aired   Last Aired   Judges ( chair order )               10   Shane O'Neill   Tommy Helm   James Vaughn     Title of Ink Master   $100,000   Feature in Inked magazine     January 17 , 2012   March 6 , 2012   Oliver Peck   Dave Navarro   Chris Nuñez       16   Steve Tefft   Sarah Miller   Sebastian Murphy   October 9 , 2012   December 18 , 2012       16   Joey Hamilton   Jime Litwalk   Katherine `` Tatu Baby '' Flores   July 16 , 2013   October 8 , 2013       17   Scott Marshall   Walter `` Sausage '' Frank   Matti Hixson   February 25 , 2014   May 20 , 2014     5   16   Jason Clay Dunn   Cleen Rock One   Erik Siuda   September 2 , 2014   December 16 , 2014     6   18   Dave Kruseman   Chris Blinston   Matt O'Baugh     Title of Ink Master   $100,000   Feature in Inked magazine   2015 Dodge Challenger     June 23 , 2015   October 13 , 2015     7   16   Anthony Michaels   Cleen Rock One   Christian Buckingham     Title of Ink Master   $100,000   Feature in Inked magazine     March 1 , 2016   May 24 , 2016     8   18   Ryan Ashley Malarkey   Gian Karle Cruz   Kelly Doty     Title of Ink Master   $100,000   Feature in Inked magazine   Dodge Charger   A guest artist spot in either Nunez 's or Peck 's tattoo shop .     August 23 , 2016   December 6 , 2016     9   36   Old Town Ink ( Bubba Irwin &amp; DJ Tambe )   Black Cobra Tattoos ( Matt O'Baugh &amp; Katie McGowan )   Basilica Tattoo ( Christian Buckingham &amp; Noelin Wheeler )     Title of Ink Master   $200,000   Feature in Inked magazine   Title of `` Master Shop ''     June 6 , 2017   September 26 , 2017     Specials ( edit )   There have been various standalone holiday and special event themed episodes made that do not follow the series seasons . They have typically followed an upcoming or recently passed holiday . These episodes feature previous Ink Master contestants competing for smaller cash prizes .   Ink Master licensed a Dutch / Belgian edition called Ink Master : Meesters van de Lage Landen ( Masters of the Low Countries ) to Spike NL in 2017 . The format remains largely intact , filming takes place mainly around Amsterdam . The winner of the first season of this edition was the Belgian contestant `` Djoels ''   Spin offs ( edit )   Ink Master : Redemption ( edit )   Spin - off series Ink Master : Redemption premiered in September 2015 . The spin - off features canvases who are unhappy with the tattoo they received during the competition . After discussing their tattoo with Navarro , the canvases are given the chance to confront the artist who did the original piece . The artist is offered the chance for redemption by being able to consult with the canvas on a new tattoo ( or modification to improve their existing Ink Master piece ) . After reviewing the artist 's new drawing , the canvas is given a no - strings - attached choice to either proceed with the new tattoo or leave the shop . Episodes sometimes feature a twist , such as rival artists returning to draw a design for the same unhappy canvas , potentially stealing the original artist 's chance at redemption . Ink Master : Redemption was renewed for a second season to coincide with the premiere of season 7 of Ink Master .   Ink Master : Angels ( edit )   In June 2017 , Spike announced a new spin off series titled Ink Master : Angels . The premise follows four female contestants from the eighth season of Ink Master - season winner Ryan Ashley , Kelly Doty , Nikki Simpson and Gia Rose - as they travel around the United States to face other artists in tattoo challenges with a spot on season ten of Ink Master on the line . The show premiered on October 3 , 2017 .   See also ( edit )    Television portal     List of tattoo TV shows    References ( edit )    Jump up ^ `` Ink Master '' . Amazon.com . Retrieved January 5 , 2016 .   Jump up ^ Bibel , Sara ( May 27 , 2015 ) . `` ' Ink Master ' Renewed for Season 7 by Spike TV ; Network Orders Spin - Off ' Ink Master : Redemption ' '' . TV by the Numbers . Tribune Digital Ventures . Retrieved July 13 , 2015 .   Jump up ^ Leupp , Thomas . `` Ink Master TV '' . Hollywood.com . Retrieved 2014 - 05 - 13 .   Jump up ^ `` Ink Master season 9 : Judge Oliver Peck doing well after heart attack '' . cartermatt.com . Retrieved October 5 , 2017 .   Jump up ^ Ravindran , Manori . `` Renewed and returning : `` Real Housewives , '' `` Ink Master '' `` . Real Screen . Retrieved 17 May 2015 .   Jump up ^ `` A First Look At Ink Mster Season 8 '' . Youtube . Retrieved 14 June 2016 .   Jump up ^ `` Sneak Peek : HallowInk - Video Clips - Ink Master SPIKE.com '' . Spike.com . Retrieved 2016 - 05 - 01 .   Jump up ^ `` ' Ink Master ' Renewed for Season 7 by Spike TV ; Network Orders Spin - Off ' Ink Master : Redemption ' '' . TV By The Numbers by zap2it.com. 2015 - 05 - 27 . Retrieved 2016 - 05 - 01 .   Jump up ^ Petski , Denise ( 2015 - 10 - 14 ) . `` ' Ink Master : Redemption ' Renewed For Season 2 By Spike '' . Deadline . Retrieved 2016 - 05 - 01 .   Jump up ^ `` '' Ink Master : Angels '' Spreads Its Wings `` . Spike.com. 2017 - 06 - 05 . Retrieved 2017 - 09 - 27 .    External links ( edit )    Official website   Ink Master on IMDb   Ink Master at TV Guide   Retrieved from `` https://en.wikipedia.org/w/index.php?title=Ink_Master&amp;oldid=804447311 '' Categories :   2010s American television series   2012 American television series debuts   English - language television programs   Spike ( TV network ) shows   Ink Master   Tattooing television series   Hidden categories :   Official website different in Wikidata and Wikipedia           Talk                                           Contents                   About Wikipedia                                           Español   Français   Italiano   Português   Edit links   This page was last edited on 9 October 2017 , at 01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</si>
  <si>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have been the winners of ink master</t>
  </si>
  <si>
    <t xml:space="preserve">   Season   Contestants   Winner   Runner Up   Third Place   Prizes   First Aired   Last Aired   Judges ( chair order )               10   Shane O'Neill   Tommy Helm   James Vaughn     Title of Ink Master   $100,000   Feature in Inked magazine     January 17 , 2012   March 6 , 2012   Oliver Peck   Dave Navarro   Chris Nuñez       16   Steve Tefft   Sarah Miller   Sebastian Murphy   October 9 , 2012   December 18 , 2012       16   Joey Hamilton   Jime Litwalk   Katherine `` Tatu Baby '' Flores   July 16 , 2013   October 8 , 2013       17   Scott Marshall   Walter `` Sausage '' Frank   Matti Hixson   February 25 , 2014   May 20 , 2014     5   16   Jason Clay Dunn   Cleen Rock One   Erik Siuda   September 2 , 2014   December 16 , 2014     6   18   Dave Kruseman   Chris Blinston   Matt O'Baugh     Title of Ink Master   $100,000   Feature in Inked magazine   2015 Dodge Challenger     June 23 , 2015   October 13 , 2015     7   16   Anthony Michaels   Cleen Rock One   Christian Buckingham     Title of Ink Master   $100,000   Feature in Inked magazine     March 1 , 2016   May 24 , 2016     8   18   Ryan Ashley Malarkey   Gian Karle Cruz   Kelly Doty     Title of Ink Master   $100,000   Feature in Inked magazine   Dodge Charger   A guest artist spot in either Nunez 's or Peck 's tattoo shop .     August 23 , 2016   December 6 , 2016     9   36   Old Town Ink ( Bubba Irwin &amp; DJ Tambe )   Black Cobra Tattoos ( Matt O'Baugh &amp; Katie McGowan )   Basilica Tattoo ( Christian Buckingham &amp; Noelin Wheeler )     Title of Ink Master   $200,000   Feature in Inked magazine   Title of `` Master Shop ''     June 6 , 2017   September 26 , 2017   </t>
  </si>
  <si>
    <t xml:space="preserve">Deuces ( film ) - Wikipedia  Deuces ( film )  Jump to : navigation , search    Deuces         Directed by   Jamal Hill     Produced by     Otis Best   Justin Moritt   Ron Robinson       Written by     Jamal Hill   Curtis Bryant       Starring     Larenz Tate   Meagan Good   Lance Gross   Siya       Production companies     Flavor Unit Entertainment   BET       Distributed by   Netflix     Release date     April 1 , 2017 ( 2017 - 04 - 01 )               Country   United States     Language   English     Deuces is an American crime drama written and directed by Jamal Hill . The film stars Larenz Tate , Meagan Good , Lance Gross and Siya . The film is executive produced by Queen Latifah for her production company Flavor Unit Entertainment . Deuces premiered on Netflix on April 1 , 2017 .     Contents  ( hide )   1 Synopsis   2 Cast   3 References   4 External links      Synopsis ( edit )   Detective Jason Foster goes undercover to take down a crime ring that has been impenetrable by the police department for years . However , Foster finds himself drawn in by the unique persona of ringleader Stephen `` Deuces '' Brooks and the dual life that he leads . The mission is further complicated when Foster 's sister Janet also falls under Deuce 's spell .   Cast ( edit )    Larenz Tate as Stephen `` Deuces '' Brooks   Meagan Good as Janet Foster   Lance Gross as Jason Foster   Siya as Diggs   Antonique Smith as Tanya   La La Anthony as Detective Sonya Diaz   Rick Gonzalez as Papers   Rotimi as Face   Andra Fuller as Detective Solomon Garret    References ( edit )    Jump up ^ `` deucesthemovie on Twitter : `` Weekend ready ... that # FridayFeeling # DeucesTheMovie April 1st on @ netflix @ officialrickg @ LarenzTate @ FlavorUnitEnt '' `` . Twitter . 2017 - 03 - 24 . Retrieved 2017 - 04 - 02 .   Jump up ^ Whitney Friedlander ( 2015 - 04 - 23 ) . `` ' Punk 'd ' Ashton Kutcher Show Gets Revamped at BET '' . Variety . Retrieved 2015 - 10 - 11 .   Jump up ^ theshadefiles ( 2015 - 07 - 30 ) . `` Larenz Tate and Meagan Good New Movie Starring Siya Of Sisterhood Of Hip Hop Deuces ! ! ( Watch '' . The Shade Files . Retrieved 2015 - 10 - 11 .   Jump up ^ `` 2015 Grammy Nominated Songstress / Actress Antonique Smith Releases `` Higher '' Audio @ Top40-Charts.com `` . Top40-charts.com. 2015 - 09 - 14 . Retrieved 2015 - 10 - 18 .    External links ( edit )    Deuces on IMDb   Deuces at Rotten Tomatoes          This article about a 2010s crime drama film is a stub . You can help Wikipedia by expanding it .            Retrieved from `` https://en.wikipedia.org/w/index.php?title=Deuces_(film)&amp;oldid=815906240 '' Categories :   2017 films   English - language films   American drama films   American films   Hood films   Crime drama film stubs               Talk                                           Contents                   About Wikipedia                                           Add links   This page was last edited on 17 December 2017 , at 23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</si>
  <si>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year did the movie deuces come out</t>
  </si>
  <si>
    <t xml:space="preserve"> Deuces is an American crime drama written and directed by Jamal Hill . The film stars Larenz Tate , Meagan Good , Lance Gross and Siya . The film is executive produced by Queen Latifah for her production company Flavor Unit Entertainment . Deuces premiered on Netflix on April 1 , 2017 . </t>
  </si>
  <si>
    <t xml:space="preserve">Ministry of Youth Affairs and Sports - Wikipedia  Ministry of Youth Affairs and Sports  Jump to : navigation , search For other uses , see Ministry of Sports .  Ministry of Youth Affairs and Sports   Emblem of India     Agency overview     Jurisdiction   Republic of India     Headquarters   Shastri Bhawan , Dr. Rajendra Prasad Road , New Delhi - 110001 .     Annual budget   ₹ 1,943.21 crore ( US $300 million ) ( 2017 - 18 est . )     Minister responsible     Rajyavardhan Singh Rathore , Minister of State ( Independent Charge )       Agency executives     Amarendra Kumar Dubey , IAS , Youth Affairs Secretary   Rahul Bhatnagar , IAS , Sports Secretary       Child agency     Sports Authority of India       Website   yas.nic.in     The Ministry of Youth Affairs and Sports , a branch of the Government of India , which administers Department of youth affairs and Department of Sports in India . The ministry also overlooks the organisation of Commonwealth 2010 games . As of July 2016 , Minister of Youth Affairs and Sports is the Minister of State ( Independent Charge ) Rajyavardhan Singh Rathore   The ministry also gives the annual National Sports awards in various categories , including the Arjuna Award and Rajiv Gandhi Khel Ratna awards .     Contents  ( hide )   1 History   2 Department of Youth Affairs   2.1 Definition of Youth   2.2 Organisations   2.3 Programmes     3 Department of Sports   3.1 Organisations     4 Ministers of Youth Affairs and Sports   5 See also   6 References   7 External links      History ( edit )   The Ministry was set up as the Department of Sports at the time of organisation of 1982 Asian Games New Delhi . Its name was changed to the Department of Youth Affairs &amp; Sports during celebration of the International Youth Year , 1985 . It became a separate Ministry on 27 May 2000 . Subsequently , In 2008 , the Ministry has been bifurcated into Department of Youth Affairs and Department of Sports under two separate Secretaries .   Department of Youth Affairs ( edit )   Unlike the sports department , many of the functions of the department are related to other ministries , like Ministry of Education , Employment &amp; Training , Health and Family Welfare thus it functions largely as a facilitator for youth building .   It gives two awards , Tenzing Norgay National Adventure Award and Indira Gandhi NSS Award .   Definition of Youth ( edit )   The United Nations defines `` Youth '' as 15 -- 24 years and in the Commonwealth , it is 15 -- 29 years . In order to use a definition more in line with these international standards , the Draft NYP 2012 changes the definition from 13 -- 35 years to 16 -- 30 years . The draft NYP 2012 plans to divide the age bracket of 16 -- 30 years into three groups .   Organisations ( edit )    Nehru Yuva Kendra Sangathan   Rajiv Gandhi National Institute of Youth Development    Programmes ( edit )    Rashtriya Yuva Sashaktikaran Karyakram : Merge of schemes ( National Youth Corps , Youth Hostels etc . )   National Programme for Youth and Adolescent Development ( NPYAD ) : introduced 2008 - 09   National Service Scheme ( NSS )   National Youth Corps   International Youth Exchange Program   National Youth Festival   Urban Sports Infrastructure Scheme ( USIS ) : a pilot project in 2010 -- 11 to provide funding for infrastructure and improvements   Panchayat Yuva Krida Aur Khel Abhiyan   Promotion of Scouting &amp; Guiding : The national headquarters of The Bharat Scouts and Guides ( BSG ) is recognised by the Government of India as the apex body in the field of Scouting and Guiding in India .   Youth Hostels    Department of Sports ( edit )   The department also gives away the National sports awards , including Special Awards to Medal Winners in International Sports Events , Maulana Abul Kalam Azad Trophy , Dhyanchand Award for Lifetime achievement in Sports and Games , Arjuna Award , Dronacharya Award , Rajiv Gandhi Khel Ratna Award and Rashtriya Khel Protsahan Puraskar. . They also helped in bringing the FIFA U-17 World cup to India . A huge part of it was played by the advisors to the Sports Ministry - Rahul Rana ( Doon School ) and Arjun Dewan ( The Lawrence School ) .   Organisations ( edit )    Sports Authority of India   National Anti Doping Agency ( NADA )   Lakshmibai National Institute of Physical Education   National Dope Testing Laboratory ( NDTL )    Ministers of Youth Affairs and Sports ( edit )    Mamata Banerjee ( 1991 -- 1993 )   Uma Bharti ( 7 November 2000 -- 25 August 2002 )   Sunil Dutt ( 2004 -- 2005 )   Mani Shankar Aiyar ( 2005 -- 2009 )   M.S. Gill ( 28 May 2009 -- 18 January 2011 )   Ajay Maken ( 19 January 2011 -- 28 October 2012 )   Jitendra Singh ( 29 October 2012 -- 25 May 2014 )   Sarbananda Sonowal ( 20 May 2014 -- 23 May 2016 )   Jitendra Singh ( 23 May 2016 - 5 July 2016 )   Vijay Goel ( 5 July 2016 -- 2 September 2017 )   Rajyavardhan Singh Rathore ( 3 September 2017 - present )    See also ( edit )    Ministry of Sports    References ( edit )    Jump up ^ http://indiabudget.gov.in/ub2017-18/eb/stat3a.pdf   Jump up ^ `` Council Of Ministers_Who 's Who_india.gov.in ''   Jump up ^ `` Minister of Youth Affairs and Sports '' . Ministry of Youth Affairs and Sports . Retrieved 2014 - 08 - 13 .   Jump up ^ `` Portfolio of Modi government ministers : Vijay Goel appointed as the new Sports Minister '' , The Financial Express , 5 July 2016   Jump up ^ `` 2013 Rajiv Gandhi Khel Ratna and Arjuna Awards '' . Press Information Bureau , Ministry of Youth Affairs &amp; Sports . 22 August 2013 . Retrieved 2014 - 08 - 04 .   Jump up ^ `` Introduction '' . Ministry of Youth Affairs and Sports . Retrieved 2014 - 08 - 13 .   Jump up ^ `` Awards '' . Department of Youth Affairs . Retrieved 2014 - 08 - 13 .   Jump up ^ `` Youth '' . UNESCO . Retrieved 2014 - 08 - 13 .   Jump up ^ Prasad Joshi ( 13 February 2013 ) . `` Draft National Youth Policy 2012 seeks a shift in youth age bracket '' . Indian Express . Retrieved 2014 - 08 - 13 .   Jump up ^ `` Draft policy redefines 16 - 30 age group as youth '' . Deccan Herald . 31 May 2012 . Retrieved 2014 - 08 - 13 .   Jump up ^ `` Nehru Yuva Kendra Sangathan '' . National Portal of India . Retrieved 2014 - 08 - 13 .   Jump up ^ `` About RGNIYD '' . Rajiv Gandhi National Institute of Youth Development . Retrieved 2014 - 08 - 13 .   Jump up ^ `` Grants to NGOs '' . Press Information Bureau , Government of India . 27 July 2010 . Retrieved 26 June 2014 .   ^ Jump up to : `` Promotion of Scouting &amp; Guiding '' . Department of Youth Affairs , Ministry of Youth Affairs and Sports . Archived from the original on 14 August 2014 . Retrieved 2014 - 08 - 13 .   Jump up ^ `` About Department '' . Department of Youth Affairs . Archived from the original on 14 August 2014 . Retrieved 2014 - 08 - 13 .   Jump up ^ `` Urban Sports Infrastructure Scheme '' . Government of India , Press Information Bureau . 21 August 2012 . Retrieved 26 June 2014 .   Jump up ^ `` Objectives of PYKKA '' . Government of India , Press Information Bureau . 11 March 2013 . Retrieved 26 June 2014 .   Jump up ^ `` Awards '' . Ministry of Youth Affairs and Sports . Archived from the original on 14 August 2014 . Retrieved 2014 - 08 - 13 .   Jump up ^ `` National Sports Awards to be Presented on 31st August , 2013 '' . Press Information Bureau , Government of India . 30 August 2013 . Retrieved 2014 - 08 - 13 .   Jump up ^ `` C&amp;W : Cricket News '' . www.cricketandwicket.com . Retrieved 2017 - 06 - 05 .   Jump up ^ `` Sports Authority of India , Ministry of Youth Affairs and Sports '' . Retrieved 2014 - 08 - 13 .   Jump up ^ `` NADA : National Anti Doping Agency '' . Retrieved 2014 - 08 - 13 .   Jump up ^ `` LNIPE Gwalior MP '' . Archived from the original on 20 October 2014 . Retrieved 2014 - 08 - 13 .   Jump up ^ `` National Dope Testing Laboratory ( NDTL ) '' . Retrieved 2014 - 08 - 13 .   Jump up ^ `` Current Lok Sabha Members Biographical Sketch '' . Web.archive.org . Archived from the original on 12 November 2007 . Retrieved 2013 - 07 - 12 . CS1 maint : Unfit url ( link )   Jump up ^ http://indiatoday.intoday.in/story/rajyavardhan-singh-rathore-sports-minister-vijay-goel/1/1039873.html    External links ( edit )    Official website    Coordinates : 28 ° 36 ′ 57 '' N 77 ° 12 ′ 57 '' E ﻿ / ﻿ 28.615940 ° N 77.215747 ° E ﻿ / 28.615940 ; 77.215747     ( hide )         Government ministries of India     President ( List ) Government of India Prime Minister ( List Office ) Deputy Prime Minister Council of Ministers     Current     Agriculture and Farmers Welfare   AYUSH   Chemicals and Fertilizers   Civil Aviation   Coal   Commerce and Industry   Communications   Consumer Affairs   Culture   Defence   Drinking Water and Sanitation   Earth Sciences   Electronics and Information Technology   Environment , Forest and Climate Change   External Affiars   Finance   Food Processing Industries   Health and Family Welfare   Heavy Industries and Public Enterprises   Home Affairs   Housing and Urban Poverty Alleviation   Human Resource Development   Information and Broadcasting   Labour and Employment   Law and Justice   Micro , Small and Medium Enterprises   Mines   Minority Affairs   New and Renewable Energy   North East   Panchayati Raj   Parliamentary Affairs   Personnel , Public Grievances and Pensions   Petroleum   Power   Railways   Road Transport and Highways   Rural Development   Science and Technology   Shipping   Skill Development and Entrepreneurship   Social Justice and Empowerment   Statistics and Programme Implementation   Steel   Textiles   Tourism   Tribal Affairs   Urban Development   Water Resources   Women and Child Development       Defunct     Communications and Information Technology   Overseas Indian Affairs   Surface Transport       Ministers     Home Affairs   Finance   External Affairs   Defence   Railways   Health and Family Welfare   HRD   Information and Broadcasting   Labour and Employment   Parliamentary Affairs   Science and Technology   Tribal Affairs   North Eastern Region      Retrieved from `` https://en.wikipedia.org/w/index.php?title=Ministry_of_Youth_Affairs_and_Sports&amp;oldid=806968548 '' Categories :   Government ministries of India   Sports ministries   Sport in India   Children , young people and families ministries   Youth in India   Ministry of Youth Affairs and Sports   Youth sport in India   Hidden categories :   CS1 maint : Unfit url   Use Indian English from October 2016   All Wikipedia articles written in Indian English   Use dmy dates from October 2016   Official website not in Wikidata   Coordinates on Wikidata           Talk                                           Contents                   About Wikipedia                                           हिन्दी   Bahasa Indonesia   Русский   संस्कृतम्   اردو   Edit links   This page was last edited on 25 October 2017 , at 04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</si>
  <si>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present sport minister of india</t>
  </si>
  <si>
    <t xml:space="preserve"> The Ministry of Youth Affairs and Sports , a branch of the Government of India , which administers Department of youth affairs and Department of Sports in India . The ministry also overlooks the organisation of Commonwealth 2010 games . As of July 2016 , Minister of Youth Affairs and Sports is the Minister of State ( Independent Charge ) Rajyavardhan Singh Rathore </t>
  </si>
  <si>
    <t xml:space="preserve">List of most - followed Instagram accounts - wikipedia  List of most - followed Instagram accounts  Jump to : navigation , search Selena Gomez is the most followed individual on Instagram , with over 137 million followers .  This list contains the top 25 accounts with the most followers on the social photo - sharing platform Instagram . As of May 2018 , the most followed user is Instagram 's own account , with over 235 million followers . Selena Gomez is the most followed individual , with over 137 million followers . Ten accounts have exceeded 100 million followers on the site .     Contents  ( hide )   1 Top accounts   1.1 All - time   1.2 By country     2 See also   3 References      Top accounts   All - time   The following table lists the top 25 most followed accounts on Instagram , with each total rounded to the nearest million followers , as well as the profession of each user and country of origin .     Rank   Chg   Account name   Owner   Followers ( millions )   Profession   Country     1 .     @ instagram   Instagram   235   Social media platform   USA     2 .     @ selenagomez   Selena Gomez   137   Musician and actress   USA     3 .     @ cristiano   Cristiano Ronaldo   126   Footballer   POR     4 .     @ arianagrande   Ariana Grande   119   Musician and actress   USA     5 .     @ beyonce   Beyoncé   115   Musician and actress   USA     6 .     @ kimkardashian   Kim Kardashian   111   Reality TV personality   USA     7 .     @ kyliejenner   Kylie Jenner   109   Reality TV personality   USA     8 .     @ taylorswift   Taylor Swift   108   Musician and actress   USA     9 .     @ therock   Dwayne Johnson   107   Actor and professional wrestler   USA     10 .     @ justinbieber   Justin Bieber   100   Musician   CAN     11 .     @ neymarjr   Neymar   93   Footballer   BRA     12 .     @ leomessi   Lionel Messi   91   Footballer   ARG     13 .     @ kendalljenner   Kendall Jenner   90   Model   USA     14 .     @ natgeo   National Geographic   88   Magazine   USA     15 .     @ nickiminaj   Nicki Minaj   86   Musician   TRI     16 .     @ nike   Nike   77   Sportswear multinational corporation   USA     17 .     @ khloekardashian   Khloé Kardashian   76   Reality TV personality   USA     18 .     @ mileycyrus   Miley Cyrus   75   Musician and actress   USA     19 .     @ jlo   Jennifer Lopez   75   Musician and actress   USA     20 .     @ katyperry   Katy Perry   69   Musician   USA     21 .     @ ddlovato   Demi Lovato   67   Musician and actress   USA     22 .     @ kourtneykardash   Kourtney Kardashian   63   Reality TV personality   USA     23 .     @ badgalriri   Rihanna   62   Musician   BAR     24 .     @ victoriassecret   Victoria 's Secret   59   Lingerie retailer   USA     25 .     @ kevinhart4real   Kevin Hart   59   Comedian   USA     As of May 13 , 2018     By country   The following table lists the top 14 most followed accounts on Instagram by country of origin , with each total rounded to the nearest million followers , as well as the profession of each user .     Rank   Chg   Country   Account name   Owner   Followers ( millions )   Profession     1 .     United States   @ instagram   Instagram   235   Social media platform     2 .     Portugal   @ cristiano   Cristiano Ronaldo   126   Footballer     3 .     Canada   @ justinbieber   Justin Bieber   99   Musician     4 .     Brazil   @ neymarjr   Neymar   93   Footballer     5 .     Argentina   @ leomessi   Lionel Messi   91   Footballer     6 .     Trinidad and Tobago   @ nickiminaj   Nicki Minaj   86   Musician     7 .     Barbados   @ badgalriri   Rihanna   61   Musician     8 .     Spain   @ realmadrid   Real Madrid C.F.   58   Football club     9 .     Colombia   @ shakira   Shakira   47   Musician     10 .     United Kingdom   @ emmawatson   Emma Watson   46   Actress     11 .     Hong Kong   @ 9gag   9GAG   44   Social media platform     12 .     Sweden   @ iamzlatanibrahimovic   Zlatan Ibrahimović   32   Footballer     13 .     France   @ chanelofficial   Chanel   27   Clothing retailer     14 .     Indonesia   @ raffinagita1717   Raffi Ahmad &amp; Nagita Slavina   22   Presenter and musician     As of May 13 , 2018     See also    List of most - liked Instagram pictures   List of most - followed Twitter accounts   List of most - subscribed YouTube channels   List of most - viewed YouTube videos   List of most streamed artists on Spotify   List of most streamed songs on Spotify    References    ^ Jump up to : `` Top 100 Instagram Users by Followers - Socialblade Instagram Stats - Instagram Statistics '' . Socialblade . Retrieved October 3 , 2017 .   Jump up ^ Lenker , Maureen Lee ( November 29 , 2017 ) . `` Selena Gomez holds on to Instagram crown with most followers in 2017 '' . Entertainment Weekly . Retrieved February 6 , 2018 .   Jump up ^ `` @ chanelofficial '' . Instagram . Retrieved April 9 , 2018 .   Jump up ^ `` @ raffinagita1717 '' . Instagram . Retrieved April 9 , 2018 .              Facebook     Website     Features   Beacon   Bluetooth Beacon   Credits   EdgeRank   Graph Search   Instant Articles   Like button   Live   facebookcorewwwi. onion   Platform   Safety Check   Stories   Watch ( List of original programs )   Zero       Other products      Current     Atlas Solutions   Express Wi - Fi   Free Basics   Instagram   Hyperlapse   List of most liked pictures     Messenger   MSQRD   Oculus Rift   Onavo   tbh   WhatsApp   Workplace       Former     Camera   FriendFeed   Home   HTC First     M ( virtual assistant )   Paper   Poke ( app )   Riff   Slingshot   Wirehog          People      Founders     Mark Zuckerberg ( 28 % equity )   Dustin Moskovitz ( 7 % )   Eduardo Saverin ( 5 % , formerly )   Chris Hughes ( 1 % , formerly )   Andrew McCollum       Board     Mark Zuckerberg   Jim Breyer ( 11 % )   Peter Thiel ( 2 % )   Sheryl Sandberg   Marc Andreessen   Erskine Bowles   Susan Desmond - Hellmann   Donald E. Graham   Reed Hastings       Executive officers      Current     Mark Zuckerberg ( Chairman and CEO )   Sheryl Sandberg ( COO )   David Wehner ( CFO )   Mike Schroepfer ( CTO )       Former     Sean Parker ( 4 % , formerly )   Owen Van Natta   Gideon Yu   Adam D'Angelo   Chris Kelly   Bret Taylor   David Ebersman          Notable employees      Current     Chris Cox ( VP of Product )   Elliot Schrage ( VP of Global Communications , Marketing and Public Policy )   Lars Rasmussen ( Graph Search director )   John Carmack ( CTO of Oculus VR )   Hugo Barra ( VP of Oculus VR )   Naomi Gleit ( VP of social good )   Caryn Marooney ( VP of Communications )       Former     Blake Ross ( Director of Product )   Ted Ullyot ( VP , General Counsel , and Secretary )   Matt Cohler   Charlie Cheever   Randi Zuckerberg   Yishan Wong   George Hotz   Joe Lockhart   Andrei Alexandrescu ( research scientist )             Open source     Apache Cassandra   Apache Hive   Apache Thrift   Buck   FQL   Hack   HHVM   HipHop for PHP   MyRocks   Open Compute Project   Phabricator   React   RocksDB   Scribe   Tornado ( web server )       Mass media     The Facebook Effect   The Accidental Billionaires   The Social Network       Concepts     Activity stream   Social graph   Friending and following   Reblogging   Fan - gating   Facebook diplomacy   Facebook like button       Business     History   Timeline   Acquisitions   f8 conference   IPO   Censorship   Criticism   Cambridge Analytica data scandal     Litigation       Divisions     Facebook AI Research   Facebook Creative Labs       Related     Priscilla Chan ( wife of Mark Zuckerberg )   Chan Zuckerberg Initiative   Aquila Internet relay drone   Willow Village      Retrieved from `` https://en.wikipedia.org/w/index.php?title=List_of_most-followed_Instagram_accounts&amp;oldid=843654586 '' Categories :   21st century - related lists   Lists of Internet - related superlatives   Hidden categories :   Wikipedia indefinitely semi-protected pages   Use mdy dates from January 2018   Articles containing potentially dated statements from May 2018   All articles containing potentially dated statements           Talk                           View source                 Contents                   About Wikipedia                                           فارسی   Edit links   This page was last edited on 30 May 2018 , at 15 : 26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</si>
  <si>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has the most followers on instagram in the world</t>
  </si>
  <si>
    <t xml:space="preserve">   Rank   Chg   Account name   Owner   Followers ( millions )   Profession   Country     1 .     @ instagram   Instagram   235   Social media platform   USA     2 .     @ selenagomez   Selena Gomez   137   Musician and actress   USA     3 .     @ cristiano   Cristiano Ronaldo   126   Footballer   POR     4 .     @ arianagrande   Ariana Grande   119   Musician and actress   USA     5 .     @ beyonce   Beyoncé   115   Musician and actress   USA     6 .     @ kimkardashian   Kim Kardashian   111   Reality TV personality   USA     7 .     @ kyliejenner   Kylie Jenner   109   Reality TV personality   USA     8 .     @ taylorswift   Taylor Swift   108   Musician and actress   USA     9 .     @ therock   Dwayne Johnson   107   Actor and professional wrestler   USA     10 .     @ justinbieber   Justin Bieber   100   Musician   CAN     11 .     @ neymarjr   Neymar   93   Footballer   BRA     12 .     @ leomessi   Lionel Messi   91   Footballer   ARG     13 .     @ kendalljenner   Kendall Jenner   90   Model   USA     14 .     @ natgeo   National Geographic   88   Magazine   USA     15 .     @ nickiminaj   Nicki Minaj   86   Musician   TRI     16 .     @ nike   Nike   77   Sportswear multinational corporation   USA     17 .     @ khloekardashian   Khloé Kardashian   76   Reality TV personality   USA     18 .     @ mileycyrus   Miley Cyrus   75   Musician and actress   USA     19 .     @ jlo   Jennifer Lopez   75   Musician and actress   USA     20 .     @ katyperry   Katy Perry   69   Musician   USA     21 .     @ ddlovato   Demi Lovato   67   Musician and actress   USA     22 .     @ kourtneykardash   Kourtney Kardashian   63   Reality TV personality   USA     23 .     @ badgalriri   Rihanna   62   Musician   BAR     24 .     @ victoriassecret   Victoria 's Secret   59   Lingerie retailer   USA     25 .     @ kevinhart4real   Kevin Hart   59   Comedian   USA     As of May 13 , 2018   </t>
  </si>
  <si>
    <r>
      <rPr>
        <sz val="11"/>
        <color rgb="FF000000"/>
        <rFont val="Calibri"/>
        <family val="0"/>
        <charset val="1"/>
      </rPr>
      <t xml:space="preserve">Life or Something Like it - wikipedia  Life or Something Like it  Jump to : navigation , search    Life or Something Like It     Theatrical release poster     Directed by   Stephen Herek     Produced by   John Davis Arnon Milchan Toby Jaffe Chi - Li Wong     Written by   John Scott Shepherd Dana Stevens     Starring   Angelina Jolie Edward Burns     Music by   David Newman     Cinematography   Stephen H. Burum     Edited by   Trudy Ship     Production company   Aei Entertainment Regency Enterprises Davis Entertainment New Regency     Distributed by   20th Century Fox     Release date   April 26 , 2002     Running time   103 minutes     Country   United States     Language   English     Budget   $40 million     Box office   $16,872,671     Life or Something Like It is a 2002 romantic comedy / drama film directed by Stephen Herek . The film focuses on television reporter Lanie Kerrigan ( Angelina Jolie ) and her quest to find meaning in her life . The original music score was composed by David Newman . The film 's taglines are : `` Destiny is what you make of it '' and `` What if you had only 7 days to live ? ''     Contents  ( hide )   1 Plot   2 Cast   3 KOMO - TV   4 Reception   4.1 Box office     5 References   6 External links      Plot ( edit )   Lanie Kerrigan ( Angelina Jolie ) , a successful reporter for a Seattle television station , interviews a self - proclaimed prophet , Jack ( Tony Shalhoub ) , to find out if he really can predict football scores . Instead , Prophet Jack not only predicts the football score , and that it would hail the next day , but also that she would die in seven days , meaning the following Thursday . When his first two prophecies turn out to be correct , Kerrigan panics and again meets with Jack , asking him for another prophecy so that she can prove it wrong , which would imply uncertainty of her death . Jack tells her that there will be a relatively significant earthquake in San Francisco at 9 : 06 am ; she hopes that it will be wrong but again it also becomes reality . Now Lanie becomes sure of her upcoming death and is forced to reevaluate her life .   The remainder of the storyline - which runs for the week of the prophecy - revolves around her attempts at introspection . She seeks consolation in her famous baseball player boyfriend Cal Cooper ( Christian Kane ) , and in her family , but finds little there . Her lifelong ambition , that of appearing on network television , begins to look like a distant dream . In her desperation , she commits professional blunders , but ends up finding support in an unlikely source : her archenemy , the cameraman Pete Scanlon ( Edward Burns ) , with whom she once had casual sex . He introduces her to a new approach to life ; to live every moment of her life and to do whatever she always wanted to do .   Lanie implements Pete 's advice ; she moves in with Pete for a day , and he introduces her to his son Tommy ( Jesse James Rutherford ) , who lives with his mother , and they spend a whole day together with Tommy . That night they sleep together for the second time . The next day Lanie receives an opportunity for a job she always dreamed of in New York . She asks Pete to come with her , but he declines and tells her that her appetite for success and fame will never end . Lanie sadly leaves for New York .   Pete meets Jack and tells him how wrong he is , as Lanie got the job which Jack foretold she would not get . But Jack explains that he was right as Lanie will never be able to get the job as she 'll die before it begins . He again gives a prophecy of the death of a famous former baseball player in a plane crash . Pete receives the news of the death of the baseball player as foretold by Jack , and tries to call Lanie to warn her . When he can not reach her , he flies to New York .   Lanie - unconcerned with Jack 's prophecy - interviews her idol , famous media personality Deborah Connors ( Stockard Channing ) . Lanie realizes how petty the opening questions are and shares a heartfelt moment with Deborah live on air . The interview receives huge ratings . The network immediately offers her a position , but Lanie declines , realizing that she wants a life with Pete in Seattle .   As she leaves the studio , a police officer gets into a conflict with a man , who shoots a bullet into the air . Pete tries to warn Lanie across the street , but she is shot in the crossfire . Luckily , Lanie survives , and Pete tells her in the hospital that he has loved her since the first time he saw her , and Lanie says she loves him , too . Later , Pete , Lanie and Tommy watch Cal 's baseball game , while Lanie ( in a voiceover ) says that one part of her has died -- the part which did n't know how to live a life .   Cast ( edit )    Angelina Jolie as Lanie Kerrigan   Edward Burns as Pete Scanlon   Tony Shalhoub as Prophet Jack   Christian Kane as Cal Cooper   James Gammon as Pat Kerrigan   Melissa Errico as Andrea   Stockard Channing as Deborah Connors   Lisa Thornhill as Gwen   Gregory Itzin as Dennis   Veena Sood as Doctor    KOMO - TV ( edit )   The majority of the movie was shot on location in Seattle , Washington although portions were filmed in downtown Vancouver . The TV station in the movie , KQMO , was actually real - life Seattle TV station KOMO - TV ( the KOMO logo was altered on the set of KOMO 4 News and on several of KOMO 's news vehicles , in addition to a few mic flags ) .   Several KOMO personalities make cameo appearances ; among them are longtime anchors Dan Lewis and Margo Myers ( the latter moved to KIRO - TV in January 2005 ) , weather anchor and Front Runners host Steve Pool , and weekend weather anchor Theron Zahn . Other KOMO personalities who made brief cameo appearances include People Helper John Sharify , and reporter Michelle Esteban .   Additionally , Vancouver news anchors Pamela Martin and Jill Krop , at the time both employed with BCTV , appeared briefly in scenes shot in the BCTV studios .   Reception ( edit )   As of October 17 , 2014 , based on 121 reviews collected by the review aggregator website Rotten Tomatoes , Life or Something Like It has received an overall rating average of 28 % , with an average score of 4.5 out of 10 .   Jolie 's performance in the film earned her a Golden Raspberry Award nomination for Worst Actress .   Box Office ( edit )   The film was a commercial and financial loss , grossing only $16,872,671 against its $40,000,000 budget .   References ( edit )    Jump up ^ `` Life Or Something Like It ( 2002 ) - Box Office Mojo '' . boxofficemojo.com .    External links ( edit )       Wikiquote has quotations related to : Life or Something Like It      Life or Something Like It on IMDb   Life or Something Like It at AllMovie   Life or Something Like It at Rotten Tomatoes   Life or Something Like It at Box Office Mojo      ( hide )         Films directed by Stephen Herek       Critters ( 1986 )   Bill &amp; Ted 's Excellent Adventure ( 1989 )   Do n't Tell Mom the Babysitter 's Dead ( 1991 )   The Mighty Ducks ( 1992 )   The Three Musketeers ( 1993 )   Mr. Holland 's Opus ( 1995 )   101 Dalmatians ( 1996 )   Holy Man ( 1998 )   Rock Star ( 2001 )   Life or Something Like It ( 2002 )   Man of the House ( 2005 )   Picture This ( 2008 )   Dead like Me : Life After Death ( 2009 )   Into the Blue 2 : The Reef ( 2009 )   The Cutting Edge : Fire and Ice ( 2010 )   The Chaperone ( 2011 )   Jinxed ( 2013 )   Dolly Parton 's Coat of Many Colors ( 2015 )   The Great Gilly Hopkins ( 2015 )   Dolly Parton 's Christmas of Many Colors : Circle of Love ( 2016 )      Retrieved from `` https://en.wikipedia.org/w/index.php?title=Life_or_Something_Like_It&amp;oldid=799936084 '' Categories :   English - language films   2002 films   2000s romantic comedy films   American comedy - drama films   American romantic comedy films   American romantic drama films   American films   Films set in Seattle   Films shot in Vancouver   Films shot in Washington ( state )   Films set in Washington ( state )   Regency Enterprises films   20th Century Fox films   Davis Entertainment films   Films directed by Stephen Herek   Film scores by David Newman           Talk                                           Contents                   About Wikipedia                                           Wikiquote         বাংলা   Български   Català   Čeština   Deutsch   Español   فارسی   Français   Հայերեն   Italiano   </t>
    </r>
    <r>
      <rPr>
        <sz val="11"/>
        <color rgb="FF000000"/>
        <rFont val="Noto Sans CJK SC"/>
        <family val="2"/>
      </rPr>
      <t xml:space="preserve">日本 語   </t>
    </r>
    <r>
      <rPr>
        <sz val="11"/>
        <color rgb="FF000000"/>
        <rFont val="Calibri"/>
        <family val="0"/>
        <charset val="1"/>
      </rPr>
      <t xml:space="preserve">Plattdüütsch   Polski   Português   Русский   Suomi   Svenska   Türkçe   Edit links   This page was last edited on 10 September 2017 , at 18 : 13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</si>
  <si>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life or something like it filmed</t>
  </si>
  <si>
    <t xml:space="preserve"> The majority of the movie was shot on location in Seattle , Washington although portions were filmed in downtown Vancouver . The TV station in the movie , KQMO , was actually real - life Seattle TV station KOMO - TV ( the KOMO logo was altered on the set of KOMO 4 News and on several of KOMO 's news vehicles , in addition to a few mic flags ) . </t>
  </si>
  <si>
    <t xml:space="preserve">Karnataka Police - wikipedia  Karnataka Police  Jump to : navigation , search      This article needs additional citations for verification . Please help improve this article by adding citations to reliable sources . Unsourced material may be challenged and removed . ( September 2015 ) ( Learn how and when to remove this template message )       Karnataka State Police Department ಕರ್ನಾಟಕ ರಾಜ್ಯ ಪೊಲೀಸ್     Abbreviation   KSP         ಕರ್ನಾಟಕ ರಾಜ್ಯ ಪೊಲೀಸ್     Agency overview     Formed   1885 / 1965     Employees   80000     Legal personality   Governmental : Government agency     Jurisdictional structure     Operations jurisdiction *   State of Karnataka , IN         Map of Karnataka Police Department 's jurisdiction     Size   191,791 km2     Population   61,130,704     Legal jurisdiction   State of Karnataka     Governing body   ( ( Home Department , Government of Karnataka ) ) )     General nature     Law enforcement   Local civilian police       Operational structure     Headquarters   Karnataka State Police , Bengaluru -- 560001     Agency executive   Neelamani N Raju , IPS , Director General of Police , Karnataka State     Facilities     Stations   923 ( 2013 - 2014 )     Patrol Vehicles   Mahindra Bolero , Suzuki Ertiga , Chevrolet Tavera     Website     www.ksp.gov.in     Footnotes     * Divisional agency : Division of the country , over which the agency has usual operational jurisdiction .     The Karnataka State Police Department is the law enforcement agency for the Indian state of Karnataka . The department is headed by the Director General of Police .     Contents  ( hide )   1 Organization   2 Law and Order   3 State Intelligence Department   4 Crime and Technical Services Wing   5 Reserve police   6 Mounted police   7 Coastal Security Police   8 Forest Cell   9 Training   10 Special units   11 See also   12 References      Organization ( edit )   The district police administration is headed by a Superintendent of Police . A group of districts comprise a range , led by an Inspector General of Police . Police administration in Bengaluru is headed by a commissioner of police with the rank of Additional DGP . Mysuru , Mangaluru and Hubballi - Dharwad city are headed by an Inspector General of Police ( IGP ) while Belagavi is headed by a Deputy Inspector General of Police ( DIG ) .   The Director General and Inspector General of Police ( DG&amp;IGP ) is the head of the state 's police department , and under him are Additional Directors Generals of Police . Each Additional Director General of Police is in charge of a particular function : law and order , crime and technical services , administration , intelligence , the Karnataka State Reserve Police , recruitment and training .   There are five Commissionarates . The Bengaluru commissioner has the rank of Additional Director General of Police , and the commissioners in Hubballi - Dharwad , Mysuru and Mangaluru have the rank of Inspector General of Police while the Belagavi commissioner has the rank of Deputy Inspector General of Police . Six Inspectors General of Police are in charge of ranges , with several Inspectors General of Police in charge of specific functions . Each Range comprises three to six districts , and each district is headed by a Superintendent of Police .   Ranges and districts   Range   Districts     Southern Range , Mysuru   Mysuru , Kodagu , Mandya , Hassan and Chamarajanagara     Western Range , Mangaluru   Dakshina Kannada , Uttara Kannada , Chickmaglur , and Udupi     Eastern Range , Davangere   Chitradurga , Shivamogga , Haveri and Davangere     Central Range , Bengaluru   Tumkuru , Kolar , Bengaluru , Kolar Gold Fields , Chikkaballapura and Ramanagara     Northern Range , Belagavi   Belagavi , Vijapur , Dharwad , Bagalkot and Gadag     North Eastern Range , Kalburgi   Kalburgi , Bidar and Yadgiri     Ballari Range , Ballari   Ballari , Raichur , Koppal     The police stations are the lowest units of the police department . There are 906 police stations , 230 circle offices , 91 SDPOs and 31 DPOs ( including railway police ) . Police stations are headed by inspectors in towns and cities . There are two to four sub-inspectors in addition to assistant sub-inspectors , head constables and constables . Rural police stations are headed by a sub-inspector or two sub-inspectors covering law and order and crime , depending on the station 's importance . They are grouped into circles , comprising a sub-division . Sub-divisions are headed by Deputy Superintendents of Police and circles by Police Inspectors .   Law and order ( edit )   This wing is headed by an officer with the rank of Additional Director General of Police , Law and Order .   State Intelligence Department ( edit )   The Intelligence Department is headed by an Additional Director General of Police , assisted by two Inspectors General of Police and four Superintendents of Police at headquarters . The five Superintendents of Police in the Intelligence Divisions are in Bangalore , Mysore , Mangalore , Gulbarga and Belgaum , Bellary   Crime and technical services wing ( edit )   This wing is headed by the Additional Director General of Police , Crime and Technical Services . It includes the Fingerprint Bureau , Forensic Scientific Laboratory , Police Computer Wing and State Crime Record Bureau .   Reserve Police ( edit )   In the state , the police trace their origins to the former Mysore State Imperial Service . They consist of :    A District Armed Reserve ( DAR ) for each district   A City Armed Reserve ( CAR ) in Bangalore , Mysore , Mangalore and Hubli - Dharwad   A Special Task Force ( STF )   The Karnataka Armed Reserve Mounted Police , headquartered in Mysore   Coastal Security Police ( CSP )   Government Railway Police ( GRP )    The reserve police ( KSRP ) is headed by an Additional Director General of Police , assisted by an Inspector General and two Deputy Inspectors General of Police at headquarters . The Karnataka State Reserve Police consists of 12 battalions : four in Bangalore and one each in Mysore , Belgaum , Gulbarga , Mangalore , Shimoga , Shiggoan , Hasan and Tumakur   Mounted Police ( edit )   In 1951 the horses in the maharaja 's bodyguard were used for the Karnataka Armed Reserve Mounted Police , headquartered in Mysuru . The stables , fields and office buildings date to the maharajas ' time . Mounted police are used for traffic duty , night patrol , officer training and the Mysuru Dasara . The force is made up of 90 horses and 150 officers and men .   Mounted - police riders still practice tent pegging , and are also known for games , ceremonial parades and showmanship . Its riders have won a number of prizes in national and international equestrian competitions . The mounted police is headed by S.G. Mariba Shetti , who has won gold medals at the 1995 World Police Games in Australia ( 1995 ) and in 2001 in Indianapolis ( 2001 ) and has commanded the Dasara procession since 1977 .   Coastal Security Police ( edit )   The Coastal Security Police , established in 1999 , is headed by an Inspector General of Police followed by a Superintendent of Police and other staff . The CSP has jurisdiction over Karnataka 's coastal waters from Talapady in Dakshina Kannada to Sadashivgad in Uttara Kannada , about 320 kilometres ( 200 mi ) .   Forest Cell ( edit )   The Forest Cell assists the Karnataka Forest Department with their operations .   Training ( edit )   This wing is headed by the Director General of Police , Training , assisted by an Inspector General of Police ( Training ) and Deputy Inspector General of Police ( Training ) . Karnataka has ten training institutions :    Karnataka Police Academy ( Mysore )   Karnataka State Police Training School ( Channapatna )   Police Dr ( Bangalore )   Traffic Training Institute ( Bangalore )   Karnataka State Police Training Centre ( Gulbarga )   Special Branch Training Institute ( Bangalore )   Wireless Training Institute ( Bangalore )    Special units ( edit )   State - level units perform specialised police functions and assist civil - police units :    Criminal Investigation Department ( CID ) , Economic Offenses and Special Units : Headed by a Director General of Police , the unit oversees the Corps of Detectives , the Forest Cell , the Economic Offenses Unit and the Cyber Police Station .   Directorate of Civil - Rights Enforcement : Headed by an Additional Director General of Police , Civil Rights Enforcement , and assisted by an Inspector General of Police , a Deputy Inspector General of Police and a Superintendent of Police at headquarters . the wing has six field units ( each headed by a Superintendent of Police ) at the police ranges in Bangalore , Mangalore , Davangere , Belgaum , Gulbarga and Mysore . The directorate monitors and investigates cases registered under the Protection of Civil Rights Act 1955 and the Prevention of Atrocities Act , and is the watchdog of rights and benefits extended to the Scheduled Castes and Scheduled Tribes .   Communication , Logistic and Modernisation Wing : Headed by an Additional Director General of Police , the wing consists of a Police Wireless Unit and a Motor Transport Organisation ( both headed by a Superintendent of Police ) .   Planning &amp; Modernisation : Headed by an Inspector General of police , Planning and Modernisation , the wing receives consolidation proposals for the police department and submits them to the government for approval .   Police Housing &amp; Welfare : Headed by an Inspector General of Police , Grievance Cell and Human Rights    See also ( edit )    Police IT   Bangalore City Police    References ( edit )    Jump up ^ `` Karnataka State Police '' . Ksp.gov.in . Archived from the original on 10 January 2016 . Retrieved 4 May 2016 .        Wikimedia Commons has media related to Karnataka Police .               State agencies of Karnataka     Public Sector Undertakings     Karnataka State Road Transport Corporation ( KSRTC )   North Western Karnataka Road Transport Corporation ( NWKRTC )   Bangalore Metropolitan Transport Corporation   Chamundeshwari Electricity Supply Corporation ( CESC Mysore )   Mangalore Electricity Supply Company Limited ( MESCOM )   Tourism Development Corporation ( KSTDC )   Karnataka Power Corporation ( KPCL )   Karnataka Power Transmission Corporation ( KPTCL )   Forest Department   Karnataka Police   Karnataka Fire and Emergency Services   Karnataka State Handicrafts Development Corporation   Karnataka Public Works Department   Income Tax Department Karnataka &amp; Goa       Board     Karnataka State Pollution Control Board   Karnataka Secondary Education Examination Board   Bangalore Water Supply and Sewerage Board       Autonomous Bodies     Karnataka State Public Service Commission ( KSPSC )   Karnataka State Election Commission       Nodal Agencies     Bangalore Development Authority   Bangalore Metropolitan Region Development Authority   Mangalore Urban Development Authority   Mysore Urban Development Authority                 Law enforcement in India     Cross civil service : Indian Administrative Service , Indian Police Service and Indian Revenue Service     Union Home Ministry   Ministry of Home Affairs       State Home Departments     Bihar Home Department   Tamil Nadu Home Department   Uttar Pradesh Home Department   West Bengal Home Department       Federal Law Enforcement Agencies     Andaman and Nicobar Police   Border Security Force ( BSF )   Central Industrial Security Force ( CISF )   Central Reserve Police Force ( CRPF )   Chandigarh Police   Commando Battalion for Resolute Action ( COBRA )   Delhi Police   Dadra and Nagar Haveli Police   Daman and Diu Police   Home Guard   Indo - Tibetan Border Police ( ITBP )   Lakshadweep Police   National Security Guard ( NSG )   Puducherry Police   Railway Protection Force ( RPF )   Rapid Action Force ( RAF )   Special Protection Group ( SPG )       Central Intelligence Agencies     Bureau of Police Research and Development ( BPR&amp;D )   Directorate of Revenue Intelligence ( DRI )   Intelligence Bureau ( IB )   Joint Intelligence Committee ( JIC )   Research and Analysis Wing ( R&amp;AW )   National Technical Research Organisation       Central Investigative Agencies     Directorate General of Income Tax Investigation   Investigation Division of the Central Board of Direct Taxes   Chief Commissioner of Income Tax Central   Central Bureau of Investigation ( CBI )   Narcotics Control Bureau ( NCB )   National Investigation Agency ( NIA )       State police forces     Andhra Pradesh Police   Arunachal Pradesh Police   Assam Police   Bihar Police   Chhattisgarh Police   Goa Police   Gujarat Police   Haryana Police   Himachal Pradesh Police   Jammu and Kashmir Police   Jharkhand Police   Karnataka Police   Kerala Police   Madhya Pradesh Police   Maharashtra Police   Manipur Police   Meghalaya Police   Mizoram Police   Nagaland Police   Odisha Police   Punjab Police   Rajasthan Police   Sikkim Police   Tamil Nadu Police   Telangana Police   Tripura Police   Uttar Pradesh Police   Uttarakhand Police   West Bengal Police       Police Commissionerates      North India     Delhi Police       East India     Asansol -- Durgapur Police Commissionerate   Barrackpore Police Commissionerate   Bidhannagar Police Commissionerate   Chandannagar Police Commissionerate   Howrah Police Commissionerate   Kolkata Police   Siliguri Police Commissionerate       Central India     Bhubaneswar -- Cuttack Police Commissionerate       West India     Mumbai Police   Nagpur Police   Pune Police       South India     Bangalore City Police   Coimbatore City Police   Chennai Metropolitan Police   Hyderabad City Police   Kochi City Police   Kollam City Police   Nizamabad Police   Thrissur City Police   Thiruvananthapuram City Police   Vijayawada City Police   Visakhapatnam City Police         Retrieved from `` https://en.wikipedia.org/w/index.php?title=Karnataka_Police&amp;oldid=827735308 '' Categories :   Law enforcement agencies   Karnataka Police   Hidden categories :   EngvarB from May 2014   Use dmy dates from May 2014   Articles needing additional references from September 2015   All articles needing additional references   Pages using infobox law enforcement with automatic label pluralization           Talk                                           Contents                   About Wikipedia                                                 Add links   This page was last edited on 26 February 2018 , at 12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</si>
  <si>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highest post in police department of karnataka state is</t>
  </si>
  <si>
    <t xml:space="preserve"> The Director General and Inspector General of Police ( DG&amp;IGP ) is the head of the state 's police department , and under him are Additional Directors Generals of Police . Each Additional Director General of Police is in charge of a particular function : law and order , crime and technical services , administration , intelligence , the Karnataka State Reserve Police , recruitment and training . </t>
  </si>
  <si>
    <t xml:space="preserve">Public holidays in Spain - wikipedia  Public holidays in Spain  Jump to : navigation , search  If one of the `` national holidays '' happens to fall on a Sunday , twice in each month for two out of the seven holy months in the Spanish year , the regional governments -- the autonomous communities of Spain -- can choose an alternate holiday , or they can allow local authorities to choose . In practice , except for holidays falling on a Sunday , the regional governments can choose up to three holidays per year ; or they can choose fewer to allow for more options at the local level .   A puente ( bridge ) is sometimes made between weekends and holidays that fall on Tuesday or Thursday . The puente will then create a long weekend .   Since 2010 , Ceuta and Melilla , both autonomous cities of Spain , have declared the Muslim holiday of Eid al - Adha or Feast of the Sacrifice , as an official public holiday . It was the first time a non-Christian religious festival has been officially celebrated in Spain since the Reconquista .       Autonomous communities     Date   English name   Native name                                         January 1   New Year 's Day ( national holiday )   Año Nuevo   Y   Y   Y   Y   Y   Y   Y   Y   Y   Y   Y   Y   Y   Y   Y   Y   Y   Y     January 6   Epiphany ( national holiday )   Día de Reyes / Epifanía del Señor   Y   Y   Y   Y   Y   Y   Y   Y   Y   Y   Y   Y   Y   Y   Y   Y   Y   Y     February 28   Regional Holiday   Día de Andalucía   Y                                       March 1   Regional Holiday   Dia de les Illes Balears                     Y                     March 19   St. Joseph 's Day   San José       ML   Y   Y       Y   Y     Y   Y   Y   Y         Y     March or April   Maundy Thursday   Jueves Santo   Y   Y   Y   Y   Y   Y     Y   Y   Y   Y   Y   Y   Y   Y   Y   Y       Good Friday ( national holiday )   Viernes Santo   Y   Y   Y   Y   Y   Y   Y   Y   Y   Y   Y   Y   Y   Y   Y   Y   Y   Y     Easter Monday   Lunes de Pascua               Y       Y         Y     Y     Y     April 23   Regional Holiday   San Jorge ( Día de Aragón )     Y                                     Día de Castilla y León         Y                                 May 1   Labour Day ( national holiday )   Día del Trabajador   Y   Y   Y   Y   Y   Y   Y   Y   Y   Y   Y   Y   Y   Y   Y   Y   Y   Y     May 2   Regional Holiday   Fiesta de la Comunidad de Madrid                         Y                 May 17   Regional Holiday ( Galician Literature Day )   Día das Letras Galegas                   Y                       May 30   Regional Holiday   Día de Canarias             Y                             May 31   Regional Holiday   Día de la Región Castilla - La Mancha           Y                               May or June   Corpus Christi   Corpus Christi                         Y                 June 9   Regional Holiday   Día de la Región de Murcia                           Y               Día de La Rioja                       Y                   June 24   St. John 's Day   Sant Joan               Y                           July 25   Saint James   Santiago Apóstol                   Y                       August 15   Assumption ( national holiday )   Asunción   Y   Y   Y   Y   Y   Y   Y   Y   Y   Y   Y   Y   Y   Y   Y   Y   Y   Y     September 2   Municipal Holiday   Día de Ceuta       CE                                   September 8   Regional Holiday   Día de Asturias                               Y           Día de Extremadura                 Y                         September 11   National Day of Catalonia   Diada Nacional de Catalunya               Y                           September 15   Regional Holiday   Día de Cantabria                                   Y       October 9   Regional Holiday   Dia de la Comunitat Valenciana                                     Y     October 12   Fiesta Nacional de España ( national holiday )   Fiesta Nacional de España   Y   Y   Y   Y   Y   Y   Y   Y   Y   Y   Y   Y   Y   Y   Y   Y   Y   Y     October 25   Regional Holiday ( from 2011 )   Euskadi Eguna                                 Y         November 1   All Saints Day ( national holiday )   Día de todos los Santos   Y   Y   Y   Y   Y   Y   Y   Y   Y   Y   Y   Y   Y   Y   Y   Y   Y   Y     December 6   Constitution Day ( national holiday )   Día de la Constitución   Y   Y   Y   Y   Y   Y   Y   Y   Y   Y   Y   Y   Y   Y   Y   Y   Y   Y     December 8   Immaculate Conception ( national holiday )   Inmaculada Concepción   Y   Y   Y   Y   Y   Y   Y   Y   Y   Y   Y   Y   Y   Y   Y   Y   Y   Y     December 25   Christmas Day ( national holiday )   Navidad   Y   Y   Y   Y   Y   Y   Y   Y   Y   Y   Y   Y   Y   Y   Y   Y   Y   Y     December 26   St. Stephen 's Day   Sant Esteve               Y       Y                     Variable Islamic   Feast of the Sacrifice or Eid al - Adha   Celebración del Sacrificio       Y                                   References ( edit )    Jump up ^ `` Muslim Holiday in Ceuta and Melilla '' . Spainforvisitors.com . Retrieved 2011 - 09 - 03 .   Jump up ^ `` Public Holidays and Bank Holidays for Spain '' . Qppstudio.net . Retrieved 2011 - 09 - 03 .   Jump up ^ http://www.elmundo.es/elmundo/2010/11/12/espana/1289546348.html   Jump up ^ http://www.elcorreodigital.com/vizcaya/20091205/politica/fiesta-euskadi-nace-division-20091205.html    External links ( edit )    National and regional holidays in Spain from an expatriate perspective   Madrid Public holidays National &amp; regional              Public holidays in Europe     Sovereign states     Albania   Andorra   Armenia   Austria   Azerbaijan   Belarus   Belgium   Bosnia and Herzegovina   Bulgaria   Croatia   Cyprus   Czech Republic   Denmark   Estonia   Finland   France   Georgia   Germany   Greece   Hungary   Iceland   Ireland     Italy   Kazakhstan   Latvia   Liechtenstein   Lithuania   Luxembourg   Macedonia   Malta   Moldova   Monaco   Montenegro   Netherlands   Norway   Poland   Portugal   Romania   Russia   San Marino   Serbia   Slovakia   Slovenia   Spain   Sweden   Switzerland   Turkey   Ukraine   United Kingdom   Vatican City       States with limited recognition     Abkhazia   Artsakh   Kosovo   Northern Cyprus   South Ossetia   Transnistria       Dependencies and other entities     Åland   Faroe Islands   Gibraltar   Guernsey   Isle of Man   Jersey   Svalbard       Other entities     European Union                 Spain articles     History      Chronology     Prehistoric Iberia   Roman Hispania   Medieval Spain   Union   Expansion   Enlightenment   Reaction and revolution   First Republic   Restoration   Second Republic   Civil War   Spain under Franco   Transition to democracy   Contemporary Spain       By topic     Empire   Golden Age   Economic   Military          Geography        Autonomous cities   Autonomous communities   Climate   Comarcas   Earthquakes   Extreme points   Forests   Islands   Municipalities   National parks   Plazas de soberanía   Provinces          Politics        Constitution   Cortes Generales   Elections   Government   Prime Minister     Human rights   LGBT     Foreign relations   Military   Monarchy   Political parties          Economy        Agriculture   Banks   central   savings     Car industry   Communities   GDP   Unemployment   Median Income     Economic history   Energy   Financial crisis   Forestry   Taxation   Property bubble   Science and technology   Telecommunications   Tourism   Trade unions   Transport   Wine          Society        Crime   Demographics   Education   Health care   Immigration   Languages   Pensions   People   Religion   Time       Culture     Architecture   Art   Bullfighting   Cinema   Cuisine   jamón   paella   tapas   wine     Fiestas ( international   national )   Life in early 19th - century Spain   Literature   Media   Newspapers   Radio   TV     Music   Myths and legends   Nationalisms and regionalisms   Public holidays   Sport       Symbols     Anthem   Coat of arms   Flag   Toro de Osborne            Outline   Index     Book     Portal      Retrieved from `` https://en.wikipedia.org/w/index.php?title=Public_holidays_in_Spain&amp;oldid=790626160 '' Categories :   Public holidays in Spain   Lists of public holidays by country   Hidden categories :   All articles with unsourced statements   Articles with unsourced statements from June 2017           Talk                                                             About Wikipedia                                              Languages    Français   Lietuvių   Português   Русский   Edit links   This page was last edited on 15 July 2017 , at 00 : 29 .         About Wikipedia                    </t>
  </si>
  <si>
    <t xml:space="preserve">is it a bank holiday today in spain</t>
  </si>
  <si>
    <t xml:space="preserve">     Autonomous communities     Date   English name   Native name                                         January 1   New Year 's Day ( national holiday )   Año Nuevo   Y   Y   Y   Y   Y   Y   Y   Y   Y   Y   Y   Y   Y   Y   Y   Y   Y   Y     January 6   Epiphany ( national holiday )   Día de Reyes / Epifanía del Señor   Y   Y   Y   Y   Y   Y   Y   Y   Y   Y   Y   Y   Y   Y   Y   Y   Y   Y     February 28   Regional Holiday   Día de Andalucía   Y                                       March 1   Regional Holiday   Dia de les Illes Balears                     Y                     March 19   St. Joseph 's Day   San José       ML   Y   Y       Y   Y     Y   Y   Y   Y         Y     March or April   Maundy Thursday   Jueves Santo   Y   Y   Y   Y   Y   Y     Y   Y   Y   Y   Y   Y   Y   Y   Y   Y       Good Friday ( national holiday )   Viernes Santo   Y   Y   Y   Y   Y   Y   Y   Y   Y   Y   Y   Y   Y   Y   Y   Y   Y   Y     Easter Monday   Lunes de Pascua               Y       Y         Y     Y     Y     April 23   Regional Holiday   San Jorge ( Día de Aragón )     Y                                     Día de Castilla y León         Y                                 May 1   Labour Day ( national holiday )   Día del Trabajador   Y   Y   Y   Y   Y   Y   Y   Y   Y   Y   Y   Y   Y   Y   Y   Y   Y   Y     May 2   Regional Holiday   Fiesta de la Comunidad de Madrid                         Y                 May 17   Regional Holiday ( Galician Literature Day )   Día das Letras Galegas                   Y                       May 30   Regional Holiday   Día de Canarias             Y                             May 31   Regional Holiday   Día de la Región Castilla - La Mancha           Y                               May or June   Corpus Christi   Corpus Christi                         Y                 June 9   Regional Holiday   Día de la Región de Murcia                           Y               Día de La Rioja                       Y                   June 24   St. John 's Day   Sant Joan               Y                           July 25   Saint James   Santiago Apóstol                   Y                       August 15   Assumption ( national holiday )   Asunción   Y   Y   Y   Y   Y   Y   Y   Y   Y   Y   Y   Y   Y   Y   Y   Y   Y   Y     September 2   Municipal Holiday   Día de Ceuta       CE                                   September 8   Regional Holiday   Día de Asturias                               Y           Día de Extremadura                 Y                         September 11   National Day of Catalonia   Diada Nacional de Catalunya               Y                           September 15   Regional Holiday   Día de Cantabria                                   Y       October 9   Regional Holiday   Dia de la Comunitat Valenciana                                     Y     October 12   Fiesta Nacional de España ( national holiday )   Fiesta Nacional de España   Y   Y   Y   Y   Y   Y   Y   Y   Y   Y   Y   Y   Y   Y   Y   Y   Y   Y     October 25   Regional Holiday ( from 2011 )   Euskadi Eguna                                 Y         November 1   All Saints Day ( national holiday )   Día de todos los Santos   Y   Y   Y   Y   Y   Y   Y   Y   Y   Y   Y   Y   Y   Y   Y   Y   Y   Y     December 6   Constitution Day ( national holiday )   Día de la Constitución   Y   Y   Y   Y   Y   Y   Y   Y   Y   Y   Y   Y   Y   Y   Y   Y   Y   Y     December 8   Immaculate Conception ( national holiday )   Inmaculada Concepción   Y   Y   Y   Y   Y   Y   Y   Y   Y   Y   Y   Y   Y   Y   Y   Y   Y   Y     December 25   Christmas Day ( national holiday )   Navidad   Y   Y   Y   Y   Y   Y   Y   Y   Y   Y   Y   Y   Y   Y   Y   Y   Y   Y     December 26   St. Stephen 's Day   Sant Esteve               Y       Y                     Variable Islamic   Feast of the Sacrifice or Eid al - Adha   Celebración del Sacrificio       Y                                 </t>
  </si>
  <si>
    <t xml:space="preserve">Albert Popwell - wikipedia  Albert Popwell     Albert Popwell     Albert Popwell as Bank Robber in Dirty Harry       ( 1926 - 07 - 15 ) July 15 , 1926 New York City , New York , United States       April 9 , 1999 ( 1999 - 04 - 09 ) ( aged 72 ) Los Angeles , California , United States     Occupation   Actor     Years active   1943 -- 1995     Albert Popwell ( July 15 , 1926 -- April 9 , 1999 ) was an African American stage , television and film actor with a career spanning six decades .   Born in New York City , Popwell started as a professional dancer before taking up a career in acting . Popwell made his professional debut on Broadway at age 16 in The Pirate .   Contents    1 Career   2 Selected filmography   2.1 With Clint Eastwood   2.2 Other appearances     3 References   4 External links    Career ( edit )   Popwell was featured on many television series , but is perhaps best known for his appearances in films opposite Clint Eastwood , whom he acted with in five films , starting with Coogan 's Bluff and in the first four films of the Dirty Harry series . Popwell was a wounded bank robber at the receiving end of Eastwood 's `` Do you feel lucky ? '' monologue from Dirty Harry . Popwell was a murderous pimp in Magnum Force , appeared as Big Ed Mustapha in The Enforcer and as Harry 's detective colleague Horace King in Sudden Impact . He did not appear in the last film in the series , The Dead Pool , due to a scheduling conflict .   His final film role was opposite Sharon Stone in Scissors . He died eight years later , at age 72 , from complications following open heart surgery .   Selected filmography ( edit )   With Clint Eastwood ( edit )    Coogan 's Bluff ( 1968 ) - Wonderful Digby   Dirty Harry ( 1971 ) - Bank Robber ( uncredited )   Magnum Force ( 1973 ) - Pimp , J.J. Wilson   The Enforcer ( 1976 ) - Big Ed Mustapha   Sudden Impact ( 1983 ) - Horace King    Other appearances ( edit )    Journey to Shiloh ( 1968 ) - Samuel   The Peace Killers ( 1971 ) - Blackjack   Search ( 1972 ) - Griffin   Glass Houses ( 1972 )   Fuzz ( 1972 ) - Lewis   Blume in Love ( 1973 ) - Party Guest ( uncredited )   Cleopatra Jones ( 1973 ) - Matthew Johnson   Charley Varrick ( 1973 ) - Percy Randolph   Sleeper ( 1973 ) - Reprogramming Scientist ( uncredited )   The Single Girls ( 1974 ) - Morris   Lost in the Stars ( 1974 )   Emergency ! ( episode : `` 905 - Wild '' , failed pilot for spin - off , 1975 ) - Ofcr. II Les Taylor   Cleopatra Jones and the Casino of Gold ( 1975 ) - Matthew Johnson   The Streets of San Francisco ( episode : `` Poisoned Snow '' , 1975 ) - Nappy   Sanford and Son ( episode : `` Sanford and Gong '' , 1976 ) - Doctor Davis   The Buddy Holly Story ( 1978 ) - Eddie   Butterflies in Heat ( 1979 ) - Ned   Wonder Woman ( episode : `` The Deadly Dolphin '' , 1978 ) - Gaffer   Buck Rogers in the 25th Century ( episode : `` Cosmic Whiz Kid '' , 1979 ) - Koren   The A-Team ( episode : `` The Out - Of Towners '' , 1983 ) - Digger   Magnum , P.I. ( episode : `` Missing Melody '' , 1986 ) - David Crawford   Who 's That Girl ( 1987 ) - Parole Chairman   The Siege of Firebase Gloria ( 1989 ) - Jones   Wild at Heart ( 1990 ) - Barkeeper at Zanzibar ( scenes deleted )   Scissors ( 1991 ) - Officer ( uncredited )   A Last Goodbye ( 1995 ) - O.C. Lee ( final film role )    References ( edit )    ^ Jump up to : `` Albert Popwell , Dancer and Actor , 72 '' . The New York Times . April 26 , 1999 .   ^ Jump up to : `` Albert Popwell Filmography '' . The New York Times .   Jump up ^ `` Dirty Harry '' . American Film Institute .   Jump up ^ `` Scissors Cast '' . The New York Times .    External links ( edit )    Albert Popwell on IMDb   Albert Popwell at AllMovie   Albert Popwell at Find a Grave          WorldCat Identities   ISNI : 0000 0000 4510 0858   LCCN : n97869468   VIAF : 1773828      Retrieved from `` https://en.wikipedia.org/w/index.php?title=Albert_Popwell&amp;oldid=847897996 '' Categories :   1926 births   1999 deaths   American male film actors   American male stage actors   Male actors from New York City   African - American male actors   American male television actors   20th - century American male actors   Hidden categories :   Pages to import images to Wikidata   Articles with hCards   Find a Grave template with ID same as Wikidata   Wikipedia articles with ISNI identifiers   Wikipedia articles with LCCN identifiers   Wikipedia articles with VIAF identifiers           Talk                                    Search        Contents                   About Wikipedia                                           تۆرکجه   Dansk   Deutsch   فارسی   Français   Italiano   Nederlands   Svenska   Edit links   This page was last edited on 28 June 2018 , at 14 : 50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</si>
  <si>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the bank robber in dirty harry</t>
  </si>
  <si>
    <t xml:space="preserve"> Dirty Harry ( 1971 ) - Bank Robber ( uncredited ) </t>
  </si>
  <si>
    <t xml:space="preserve">List of wealthiest organizations - wikipedia  List of wealthiest organizations  This is a dynamic list and may never be able to satisfy particular standards for completeness . You can help by expanding it with reliably sourced entries .  The following is a list of the world 's wealthiest organizations .   Contents    1 Charitable foundations   2 Religious organizations   3 Educational institutions   4 Companies   5 See also   5.1 Individuals   5.2 Businesses     6 References    Charitable foundations ( edit )  Main article : List of wealthiest charitable foundations    Organization   Worth   Country     Bill &amp; Melinda Gates Foundation   $42.3 billion   United States     Stichting INGKA Foundation   $36.0 billion   Netherlands     Wellcome Trust   $25.9 billion   United Kingdom     Howard Hughes Medical Institute   $16.9 billion   United States     Kamehameha Schools   $11.1 billion ( 2016 )   United States     Ford Foundation   $11.2 billion   United States     J. Paul Getty Trust   $10.5 billion   United States     Mohammed bin Rashid Al Maktoum Foundation   $10.0 billion   United Arab Emirates     Azim Premji Foundation   $9.8 billion   India     Religious organizations ( edit )     Organization   Worth   Country   Notes     Catholic Church   $140 billion +   Vatican       The Church of Jesus Christ of Latter - Day Saints   $67 billion +   United States       Church of England   $7.8 billion   United Kingdom       Opus Dei ( part of the Catholic Church )   $2.8 billion   Italy       Church of Scientology   $2.0 billion   United States       Educational institutions ( edit )  See also : List of colleges and universities in the United States by endowment    Organization   Worth   Country   Notes     Harvard University   $37.6 billion   United States   See Harvard University endowment     Yale University   $25.6 billion   United States         University of Texas System   $24.1 billion   United States         Princeton University   $22.7 billion   United States         Stanford University   $22.2 billion   United States         Companies ( edit )     Organization   Assets   Country   Notes     HSBC   $2.57 trillion   United Kingdom       JPMorgan Chase   $2.5 trillion   United States       Bank of China   $2.4 trillion   China       Bank of America   $2.1 trillion   United States       Deutsche Bank   $1.8 trillion   Germany       Saudi Aramco   $1.3 trillion   Saudi Arabia       Royal Bank of Canada   $1.1 trillion   Canada       Toronto - Dominion Bank   $944.7 billion   Canada       Apple Inc .   $910 billion   United States       Credit Suisse   $820.8 billion   Switzerland       China National Petroleum Corporation   $634.8 billion   China       Berkshire Hathaway   $552.3 billion   United States       State Bank of India   $530.0 billion   India       Samsung   $529.5 billion   South Korea       General Electric   $493.1 billion   United States       Microsoft   $410.0 billion   United States       Life Insurance Corporation   $380.0 billion   India       State Grid Corporation of China   $351.4 billion   China       ExxonMobil   $349.5 billion   United States       Royal Dutch Shell   $340.25 billion   United Kingdom / Netherlands       Chevron Corporation   $266.0 billion   United States       BP   $261.8 billion   United Kingdom       Total S.A.   $224.5 billion   France       Sinopec   $220.0 billion   China       Walmart   $199.6 billion   United States       Eni   $163.5 billion   Italy       Johnson &amp; Johnson   $133.4 billion   United States       HDFC Bank   $130.0 billion   India       Tata Group   $126.0 billion   India       Reliance Industries   $120.0 billion   India       ConocoPhillips   $117.1 billion   United States       See also ( edit )   Individuals ( edit )    List of wealthiest historical figures   Forbes list of billionaires   List of wealthiest families   List of wealthiest animals    Businesses ( edit )    List of largest companies by revenue   List of largest employers   List of companies by profit and loss   List of public corporations by market capitalization   List of largest manufacturing companies by revenue   List of largest financial services companies by revenue   List of largest European companies by revenue   List of top earning travel companies    References ( edit )    Jump up ^ https://www.bizjournals.com/pacific/news/2016/01/05/kamehameha-schools-endowment-reaches-11-1b-annual.html   Jump up ^ http://content.time.com/time/magazine/article/0,9171,833509,00.html . Missing or empty title = ( help ) ( subscription required )   Jump up ^ Millar , Royce ; Schneiders , Ben ; Vedelago , Chris ( 2018 - 02 - 12 ) . `` Catholic Church 's massive wealth revealed '' . The Sydney Morning Herald . Retrieved 2018 - 02 - 12 .   Jump up ^ https://fox13now.com/2018/05/30/mormonleaks-lds-church-controls-billions-of-dollars-in-investment-funds/ . Missing or empty title = ( help )   Jump up ^ Henderson , Peter . `` Insight : Mormon church made wealthy by donations '' . U.S . Retrieved 2018 - 10 - 18 .   Jump up ^ `` Church of England doubles hedge fund investments '' . Financial Times . ( subscription required )   Jump up ^ `` Opus Dei sitting on fortune - Independent.ie '' . Independent.ie . Retrieved 2018 - 03 - 31 .   Jump up ^ Tom Gjelten ( 26 March 2015 ) . `` Church Of Scientology Calls New HBO Documentary ' Bigoted ' '' . NPR.org .   Jump up ^ Eric Thurm ( 30 March 2015 ) . `` 10 Things We Learned From Scientology Doc ' Going Clear ' '' . Rolling Stone .   ^ Jump up to : `` U.S. and Canadian Institutions Listed by Fiscal Year ( FY ) 2015 Endowment Market Value and Change * in Endowment Market Value from FY2014 to FY2015 '' ( PDF ) . nacubo.org . National Association of College and University Business Officers and Commonfund Institute . p. 2 . Retrieved 28 August 2016 .   Jump up ^ https://en.wikipedia.org/wiki/HSBC . Missing or empty title = ( help )   Jump up ^ `` 2017 Fourth Quarter Financial Supplement '' ( PDF ) . JPMorgan Chase &amp; Co .   Jump up ^ `` 2013 Annual Report '' ( PDF ) . bankofchina.com . Bank Of China ( BOC ) .   Jump up ^ `` Financial Statements for Bank of America Corp '' . Google Finance . Google .   Jump up ^ `` Deutsche Bank Annual Report 2015 - Facts and Figures '' . db.com . Deutsche Bank AG .   Jump up ^ `` Could Saudi Aramco Be Worth 20 Times Exxon ? '' . WSJ.com . Dow Jones &amp; Company , Inc .   Jump up ^ `` ROYAL BANK OF CANADA ANNUAL REPORT 2015 '' ( PDF ) . Retrieved 2017 - 01 - 21 .   Jump up ^ `` 2014 Financial Statements and Notes '' ( PDF ) . Retrieved 2014 - 04 - 24 .   Jump up ^ `` Annual Report 2015 '' ( PDF ) . credit-suisse.com . Credit Suisse Group . Retrieved 28 August 2016 .   Jump up ^ `` Microsoft Surpasses Exxon as 2nd Most Valuable Co '' . nytimes.com .              Extreme Wealth     Concepts     Billionaires   Capital accumulation   Distribution of wealth   Dynastic wealth   Economic inequality   Geography and wealth   High - net - worth individual   UHNWI     Millionaires   National wealth   Oligarchy   Overaccumulation   Paper wealth   Plutocracy   Plutonomy   Wealth   Wealth concentration   Wealth effect   Wealth management   Wealth and religion   Wealth tax         Lists of people     Female billionaires ‎   Wealthiest Americans   Richest royals   Wealthiest families   Wealthiest historical figures   Forbes list of billionaires       Lists of organizations     Companies by profit and loss   Largest companies by revenue   Largest financial services companies by revenue   Largest manufacturing companies by revenue   Public corporations by market capitalization   Wealthiest organizations       Other lists     Cities by number of billionaires   Countries by number of billionaires   Most expensive things   Wealthiest animals       See also     Business magnate   Business oligarch   Philanthropy   The Giving Pledge     The rich get richer and the poor get poorer   Upper class   Nouveau riche   Vieux riche     Religion and poverty      Retrieved from `` https://en.wikipedia.org/w/index.php?title=List_of_wealthiest_organizations&amp;oldid=865819845 '' Categories :   Lists of companies   Economy - related lists of superlatives   Hidden categories :   Pages with citations lacking titles   Pages with citations having bare URLs   Pages containing links to subscription - only content   Dynamic lists           Talk                                           Contents                   About Wikipedia                                             Edit links   This page was last edited on 26 October 2018 , at 11 : 16 ( UTC ) .         About Wikipedia                    </t>
  </si>
  <si>
    <t xml:space="preserve">what is the worth of the catholic church</t>
  </si>
  <si>
    <t xml:space="preserve">   Organization   Worth   Country   Notes     Catholic Church   $140 billion +   Vatican       The Church of Jesus Christ of Latter - Day Saints   $67 billion +   United States       Church of England   $7.8 billion   United Kingdom       Opus Dei ( part of the Catholic Church )   $2.8 billion   Italy       Church of Scientology   $2.0 billion   United States     </t>
  </si>
  <si>
    <t xml:space="preserve">Black Dirt region - wikipedia  Black Dirt region  Jump to : navigation , search Black dirt field near the village of Florida  The Black Dirt Region is located in southern Orange County , New York , United States and northern Sussex County , New Jersey . It is mostly located in the western section of the Town of Warwick , centered on the hamlet of Pine Island . Some sections spill over into adjacent portions of the towns of Chester , Goshen and Wawayanda in New York and parts of Wantage and Vernon , New Jersey . Before the region was drained in the early nineteenth century through drainage culverts and the construction of the Delaware and Hudson Canal , it was a densely - vegetated marsh known as the `` Drowned Lands of the Wallkill ''   The Black Dirt Region takes its name from the dark , extremely fertile soil left over from an ancient glacial lake bottom augmented by decades of past flooding of the Wallkill River . The 26,000 acres ( 10,400 ha ) of muck left over is the largest concentration of such soil in the United States outside the Florida Everglades .  The Black Dirt Region , viewed looking south from a hill in the Town of Goshen .    Contents  ( hide )   1 Geography   2 History   3 See also   4 References   5 Further reading   6 External links      Geography ( edit )   The area mostly consists of flat flood plain . The few areas that rise above the valley floor are known as `` islands '' , since they often were in times of heavy flooding . New Jersey 's Pochuck Mountain looms just to the south of the region , and the ridge continues into the region as a small upland area called Pochuck Neck ; there are two smaller hills within it known as Mounts Adam and Eve , rising to 900 and 1,060 feet ( 274 and 323 m ) respectively . The area is also very noticeable on satellite imagery by the color differential from its surroundings .   History ( edit )   Farmers generally avoided the area in the early years of settlement , because the soil , although rich , was frequently flooded and poorly drained . Instead , the land was used for pasturage , though sudden storms would often drown the stock . Starting in 1804 , talks began about the best way to drain the swampland . First , an attempt was made to clear the natural obstacles , but that proved too expensive . Instead , a drainage canal was constructed by General George D. Wickham through his property in 1835 . ( The former course is now a creek meandering parallel ) . Immigrants from Eastern Europe , particularly Poles and Volga Germans , had worked similar soils , known as `` chernozem '' , in their native countries and began farming the former swampland . In the mid-19th century they won a series of conflicts with downstream millers later dubbed `` the Muskrat and Beaver Wars '' , giving them the right to prevent a dam from being built on the drainage channel   They eventually began growing the pungent , highly prized black - dirt onion on the land , taking advantage of the relative proximity of New York City as a market . By the late 20th century the region was producing an average of 30,000 pounds of onion per acre . Today , due to changing popular tastes in onions and different economic realities , that staple is not as profitable as it was , and farmers in the region have been diversifying their crops to include lettuce , radish , potatoes , tomatoes , carrots , and , increasingly , sod . Development of the farmland is considered unlikely since the soil is very poor for building .   See also ( edit )    Hudson Valley portal     Terra preta   Vincent Kosuga    References ( edit )    ^ Jump up to : Gordon , John Steele ( December 1990 ) . `` Sowing the American Dream '' . American Heritage . 41 ( 8 ) . Retrieved 2007 - 08 - 26 . Orange County , with a total of twenty - six thousand acres , had more of it in one spot than any place else in the United States except the Florida Everglades .   Jump up ^ http://www.wikimapia.org/#lat=41.340828&amp;lon=-74.4273769&amp;z=12&amp;l=0&amp;m=b   Jump up ^ Snell , James ( 1881 ) . History of Sussex and Warren County , New Jersey . Retrieved 2007 - 08 - 26 ...    Further reading ( edit )   Pride and Produce . Cheetah Haysom 2015 . Drowned Lands Press , New York , NY . 978 - 0 - 692 - 59127 - 7 .   External links ( edit )    Drowned Lands Historical society   Annual Black Dirt Feast Year 2 Video   Annual Black Dirt Feast Year 3 Video      ( hide )         Goshen , New York     Municipalities     Village of Florida   Town of Goshen   Village of Goshen         Education     Goshen Central School District   Goshen Central High School   Goshen Intermediate School   Scotchtown Avenue Elementary School     Private   John S. Burke Catholic High School       Historic buildings and sites     1841 Goshen Courthouse   Church Park Historic District   District School No. 9   Dutchess Quarry Cave Site   Everett - Bradner House   George T. Wisner House   Good Time Park   Harness Racing Museum &amp; Hall of Fame   Historic Track   Sawyer Farmhouse   U.S. Post Office       Other     Black Dirt Region   Orange County Government Center      Retrieved from `` https://en.wikipedia.org/w/index.php?title=Black_Dirt_Region&amp;oldid=793364067 '' Categories :   Agriculture in the United States   Geography of Orange County , New York   Economy of Orange County , New York   History of Orange County , New York   Goshen , New York   Geography of Sussex County , New Jersey   Warwick , New York   Agriculture in New York ( state )   Agriculture in New Jersey   Soil in the United States   Chernozemye           Talk                                           Contents                   About Wikipedia                                           Português   Edit links   This page was last edited on 1 August 2017 , at 09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</si>
  <si>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best farming soil in the us and where did all the dirt come from</t>
  </si>
  <si>
    <t xml:space="preserve"> The Black Dirt Region takes its name from the dark , extremely fertile soil left over from an ancient glacial lake bottom augmented by decades of past flooding of the Wallkill River . The 26,000 acres ( 10,400 ha ) of muck left over is the largest concentration of such soil in the United States outside the Florida Everglades . </t>
  </si>
  <si>
    <r>
      <rPr>
        <sz val="11"/>
        <color rgb="FF000000"/>
        <rFont val="Calibri"/>
        <family val="0"/>
        <charset val="1"/>
      </rPr>
      <t xml:space="preserve">Tabla - wikipedia  Tabla  This article is about a musical instrument . For the Egyptian tablah , see goblet drum . For the Singaporean newspaper , see tabla !        Percussion instrument     Classification     Indian percussion instrument , goatskin heads with syahi     Playing range       Bolt tuned or rope tuned with dowels and hammer     Related instruments       Pakhavaj , mridangam , khol , dholak , nagara , madal , tbilat     The tabla is a membranophone percussion instrument originating from the Indian subcontinent , consisting of a pair of drums , used in traditional , classical , popular and folk music . It has been a particularly important instrument in Hindustani classical music since the 18th century , and remains in use in India , Pakistan , Afghanistan , Nepal , Bangladesh , and Sri Lanka . The name tabla likely comes from tabl , the Persian and Arabic word for drum . However , the ultimate origin of the musical instrument is contested by scholars , some tracing it to West Asia , others tracing it to the evolution of indigenous musical instruments of the Indian subcontinent .   The tabla consists of two single headed , barrel shaped small drums of slightly different size and shapes : daya also called dahina meaning right ( also called `` tabla '' ) , and baya also called bahina meaning left ( also called `` dagga '' ) . The daya tabla is played by the musician 's right hand ( dominant hand ) , and is about 15 centimetres ( ~ 6 in ) in diameter and 25 centimetres ( ~ 10 in ) high . The baya tabla is a bit bigger and deep kettledrum shaped , about 20 centimetres ( ~ 8 in ) in diameter and 25 centimetres ( ~ 10 in ) in height . Each is made of hollowed out wood or clay or brass , the daya drum laced with hoops , thongs and wooden dowels on its sides . The dowels and hoops are used to tighten the tension of the membrane . The daya is tuned to the ground note of the raga called Sa ( tonic in India music ) . The baya construction and tuning is about a fifth to an octave below that of the daya drum . The musician uses his hand 's heel pressure to change the pitch and tone colour of each drum during a performance .  Play media Tabla playing , a demo .  The playing technique is complex and involves extensive use of the fingers and palms in various configurations to create a wide variety of different sounds and rhythms , reflected in mnemonic syllables ( bol ) . In the Hindustani style tabla is played in two ways : band bol and khula bol . In the sense of classical music it is termed `` tali '' and `` khali '' . It is one of the main qawali instrument used by Sufi musicians of Bangladesh , Pakistan and India . The tabla is also an important instrument in the bhakti devotional traditions of Hinduism and Sikhism , such as during bhajan and kirtan singing .   Contents    1 Origins   1.1 Turk - Arab origins   1.2 Indian origins     2 History   3 Construction and features   4 Musical notation   5 Basic strokes   5.1 Tabla Taals   5.2 Rare Hindustani taals     6 See also   7 Notes   8 References   9 Further reading   10 External links    Origins ( edit )  An old tabla .  The history of tabla is unclear , and there are multiple theories regarding its origins . There are two groups of theories , one that traces its origins to Muslim and Moghul invaders of the Indian subcontinent , the other traces it to indigenous origins . However carvings in Bhaje caves provide a concrete evidence of Indian origins of Tabla .   Turk - Arab origins ( edit )   The first theory , very common during the colonial period scholarship , is based on the etymological links of the word tabla to Arabic word tabl which means `` drum '' . Beyond the root of the word , this proposal points to the abundant documentary evidence that the Muslim armies , as they invaded the Indian subcontinent , had hundreds of soldiers on camels and horses carrying paired drums . They would beat these drums to scare the residents , the non-Muslim armies , their elephants and chariots , that they intended to attack . Babur , the Turk founder of the Mughal Empire , is known to have used these paired drums carrying battalions in their military campaigns . However , this theory has had the flaw that the war drums did not look or sound anything like tabla , they were large paired drums and were called naqqara ( noise , chaos makers ) .   The second version of the Arab theory is that Amir Khusraw , a musician patronized by Sultan Alauddin Khalji invented the tabla when he cut an Awaj drum , which used to be hourglass shaped . This is , however , unlikely , as no painting or sculpture or document dated to his period supports it with evidence . If tabla had arrived , or had been invented under Arabic influence from the root word tabl , it would be in the list of musical instruments that were written down by Muslim historians , but such evidence is also absent . For example , Abul Fazi included a long list of musical instruments in his Ain - i - akbari written in the time of the 16th century Mughal Emperor Akbar , the generous patron of music . Abul Fazi 's list makes no mention of tabla .   The third version of the Arab theory credits the invention of tabla to the 18th century musician , with a similar sounding name Amir Khusru , where he is suggested to have cut a Pakhawaj into two to create tabla . This is not an entirely unreasonable theory , and miniature paintings of this era show instruments that sort of look like tabla , but this would mean that tabla emerged from within the Muslim community of Indian subcontinent and were not an Arabian import . However , scholars such as Neil Sorrell and Ram Narayan state that this legend of cutting a pakhawaj drum into two to make tabla drums `` can not be given any credence '' .   Indian origins ( edit )  Five Gandharvas ( celestial musicians ) from 4th - 5th century CE . Two of them are playing drums , but these do n't look like tabla . Other temple carvings do .  The Indian theory traces the origin of tabla to indigenous ancient civilization . This version states that this musical instrument acquired a new Arabic name during the Islamic rule , but it is an evolution of the ancient Indian puskara drums . The evidence of the hand held puskara is founded in many temple carvings , such as at the 6th and 7th century Muktesvara and Bhuvaneswara temples in India . These arts show drummers who are sitting , with two or three separate small drums , with their palm and fingers in a position as if they are playing those drums . However , it is not apparent in these carvings that those drums were made of the same material and skin , or played the same music , as the modern tabla .   The textual evidence for similar material and methods of construction as tabla comes from Sanskrit texts . The earliest discussion of tabla - like musical instrument building methods , including paste - patches , are found in the Hindu text Natyashastra . The Natyashastra also discusses how to play these drums . The South Indian text Silappatikaram , likely composed in the early centuries of 1st millennium CE , describes thirty types of drums along with many stringed and other instruments . These are named as Pushkara - name Tabla comes in later periods   History ( edit )  200 BCE carvings at Buddhist Bhaja Caves , Maharashtra , India showing a woman playing a pair of drums and another dancer performing .  Drums and Talas are mentioned in the Vedic era texts . A percussion musical instrument with two or three small drums , held with strings , called Pushkara ( also spelled Pushkala ) were in existence in pre-5th century Indian subcontinent along with other drums such as the Mridang , but these are not called tabla then . The pre-5th century paintings in the Ajanta Caves , for example , show a group of musicians playing small tabla - like upright seated drums , a kettle - shaped mridang drum and cymbals . Similar artwork with seated musicians playing drums , but carved in stone , are found in the Ellora Caves , and others .   A type of small Indian drums , along with many other musical instruments , are also mentioned in Tibetan and Chinese memoirs written by Buddhist monks who visited the Indian subcontinent in the 1st millennium CE . The pushkala are called rdzogs pa ( pronounced dzokpa ) in Tibetan literature . The pushkara drums are also mentioned in many ancient Jainism and Buddhism texts , such as Samavayasutra , Lalitavistara and Sutralamkara .  Some drums of central India that look like tabla , but are a different since they do not have Syahi which creates notation .  Various Hindu and Jain temples , such as the Eklingaji in Jaipur , Rajasthan show stone carvings of a person playing tabla - like small pair of drums . Small drums were popular during the Yadava rule ( 1210 to 1247 ) in the south , at the time when Sangita Ratnakara was written by Sarangadeva . There is recent iconography of the tabla dating back to 1799 . This theory is now obsolete with iconography carvings found in Bhaje caves providing solid proof that the tabla was used in ancient India . There are Hindu temple carvings of double hand drums resembling the tabla that date back to 500 BCE . The tabla was spread widely across ancient India . A Hoysaleshwara temple in Karnataka shows a carving of a woman playing a tabla in a dance performance .   The tabla uses a `` complex finger tip and hand percussive '' technique played from the top unlike the Pakhawaj and mridangam which mainly use the full palm , and are sideways in motion and are more limited in terms of sound complexity .   The origins of tabla repertoire and technique may be found in all three , and in physical structure there are also similar elements : the smaller pakhawaj head for the dayan , the naqqara kettledrum for the bayan , and the flexible use of the bass of the dholak .   Construction and features ( edit )       This section needs additional citations for verification . Please help improve this article by adding citations to reliable sources . Unsourced material may be challenged and removed . ( June 2009 ) ( Learn how and when to remove this template message )     The smaller drum , played with the dominant hand , is sometimes called dayan ( literally `` right '' side ) , dāhina , siddha or chattū , but is correctly called the `` tabla . '' It is made from a conical piece of mostly teak and rosewood hollowed out to approximately half of its total depth . The drum is tuned to a specific note , usually either the tonic , dominant or subdominant of the soloist 's key and thus complements the melody . The tuning range is limited although different dāyāñs are produced in different sizes , each with a different range . Cylindrical wood blocks , known as gatta , are inserted between the strap and the shell allowing tension to be adjusted by their vertical positioning . Fine tuning is achieved while striking vertically on the braided portion of the head using a small , heavy hammer .   The larger drum , played with the other hand , is called bāyāñ ( literally `` left '' ) duggī or dhāmā ( correctly called `` dagga '' ) , has a much deeper bass tone , much like its distant cousin , the kettle drum . The bāyāñ may be made of any of a number of materials . Brass is the most common , copper is more expensive , but generally held to be the best , while aluminum and steel are often found in inexpensive models . Sometimes wood is used , especially in old bāyāñs from the Punjab . Clay is also used , although not favored for durability ; these are generally found in the North - East region of Bengal .   The name of the head areas are :    chat , chanti , kinar , kinar ,   sur , maidan , lao , luv , medan   center : syahi , siaahi , gab    The head of each drum has a central area of `` tuning paste '' called the syahi ( lit . `` ink '' ; a.k.a. shāī or gāb ) . This is constructed using multiple layers of a paste made from starch ( rice or wheat ) mixed with a black powder of various origins . The precise construction and shaping of this area is responsible for modification of the drum 's natural overtones , resulting in the clarity of pitch ( see inharmonicity ) and variety of tonal possibilities unique to this instrument which has a bell - like sound . The skill required for the proper construction of this area is highly refined and is the main differentiating factor in the quality of a particular instrument .   For stability while playing , each drum is positioned on a toroidal bundle called chutta or guddi , consisting of plant fiber or another malleable material wrapped in cloth .   Musical notation ( edit )       This section needs additional citations for verification . Please help improve this article by adding citations to reliable sources . Unsourced material may be challenged and removed . ( March 2018 ) ( Learn how and when to remove this template message )     Indian music is traditionally practice - oriented and until the 20th century did not employ written notations as the primary media of instruction , understanding , or transmission . The rules of Indian music and compositions themselves are taught from a guru to a shishya , in person . Thus oral notation , such as the tabla stroke names , is very developed and exact . However , written notation is regarded as a matter of taste and is not standardized . Thus there is no universal system of written notation for the rest of the world to study Indian music .   Maula Bakhsh ( born as Chole Khan in 1833 ) was an Indian musician , singer and poet . His grandfather was Inayat Khan , founder of Universal Sufism . He developed the `` first system of notation for Indian music '' . He also founded the `` first Academy of Music in India '' in 1886 , based in Baroda that encompassed both Eastern and Western musical cultural traditions .   Basic strokes ( edit )  Ustad Zakir Hussain performing at Konark , Odisha  Some basic strokes with the dayan on the right side and the bayan on the left side are :    Ta : ( on dayan ) striking sharply with the index finger against the rim while simultaneously applying gentle pressure to the edge of the syahi with the ring finger to suppress the fundamental vibration mode   Ghe or ga : ( on bayan ) holding wrist down and arching the fingers over the syahi ; the middle and ring - fingers then strike the maidan ( resonant )   gha ( on bayan ) striking the index finger   Thin : ( on dayan ) placing the last two fingers of the right hand lightly against the syahi and striking on the border between the syahi and the maidan ( resonant )   Dha : combination of Na and ( Ga or Gha )   Dhin : combination of Tin and ( Ga or Gha )   Ka or kath : ( on bayan ) striking with the flat palm and fingers ( non resonant )   Na : ( on dayan ) striking the edge of the syahi with the last two fingers of the right hand   Te : ( on dayan ) striking the center of the syahi with the middle finger ( non resonant )   Tu Tun : ( on dayan ) striking the center of the syahi with the index finger to excite the fundamental vibration mode ( resonant )   Dhere dhere ( on dayan ) striking of syahi with palm     * Trak : it 's basicaly sound speed tirakit , strinking first and middle finger simultaneosuly then remeaning two fingers    Newly made tabla with hammer .     Tabla taals ( edit )   Some taals , for example Dhamaar , Ek , Jhoomra and Chau tals , lend themselves better to slow and medium tempos . Others flourish at faster speeds , pratham bhagati like Jhap or Rupak talas . Trital or Teental is one of the most popular , since it is as aesthetic at slower tempos as it is at faster speeds .   There are many taals in Hindustani music . Some of the more popular ones are :   hide   Name   Beats   Division   Vibhag  X : sam on first beat 2 , 3 , ... : talis or claps 0 : kal or khalis      Tintal ( or Trital or Teental )   16   4 + 4 + 4 + 4   X 2 0 3       Jhoomra   14   3 + 4 + 3 + 4   X 2 0 3     Tilwada   16   4 + 4 + 4 + 4   x 2 0 3     Dhamar   14   5 + 2 + 3 + 4   X 2 0 3     Ektal and Chautal   12   2 + 2 + 2 + 2 + 2 + 2   X 0 2 0 3 4     Jhaptal   10   2 + 3 + 2 + 3   X 2 0 3     Keherwa   8   4 + 4   X 0     Rupak ( Mughlai / Roopak )   7   3 + 2 + 2   0 X 2     Dadra   6   3 + 3   X 0     Rare Hindustani taals ( edit )     Name   Beats   Division   Vibhaga    X : sam on first beat 2 , 3 , ... : talis or claps 0 : kal or khalis    Adachoutal   14   2 + 2 + 2 + 2 + 2 + 2 + 2   X 2 0 3 0 4 0     Brahmtal   28   2 + 2 + 2 + 2 + 2 + 2 + 2 + 2 + 2 + 2 + 2 + 2 + 2 + 2   X 0 2 3 0 4 5 6 0 7 8 9 10 0     Dipchandi   14   3 + 4 + 3 + 4   X 2 0 3     Shikar   17   6 + 6 + 2 + 3   X 0 3 4     Sultal   10   2 + 2 + 2 + 2 + 2   x 0 2 3 0     teevra   7   3 + 2 + 2   x 2 3     Ussole e Fakhta   5   1 + 1 + 1 + 1 + 1   x 3     Farodast   14   3 + 4 + 3 + 4   X 2 0 3     Pancham Savari   15   3 + 4 + 4 + 4   x 2 0 3     Gaj jhampa   15   5 + 5 + 5   x 2 0 3     See also ( edit )    Indian classical music portal     Bongos   Damaru   Dangdut   Doumbek -- Arabian drum also known in Egypt as `` tabla '' , `` Egyptian tabla '' , or `` Alexandrian tabla '' .   Madal   Mridanga   Tbilat    Notes ( edit )    Jump up ^ In other languages : Bengali : তবলা , Dari : طبلا ‎ , Gujarati : તબલા , Hindi : तबला , Kannada : ತಬಲಾ , Malayalam : തബല , Marathi : तबला , Nepali : तबला , Odia : ତବଲା , Pashto : طبله ‎ , Punjabi : ਤਬਲਾ , Tamil : தபலா , Telugu : తబలా , Urdu : طبلہ ‬ ‎    References ( edit )    Jump up ^ Don Michael Randel ( 2003 ) . The Harvard Dictionary of Music . Harvard University Press . pp. 820 , 864 . ISBN 978 - 0 - 674 - 01163 - 2 .   ^ Jump up to : Tabla Encyclopædia Britannica   Jump up ^ Richard Emmert ; Yuki Minegishi ( 1980 ) . Musical voices of Asia : report of ( Asian Traditional Performing Arts 1978 ) . Heibonsha . p. 266 . Retrieved 25 December 2012 .   ^ Jump up to : Robert S. Gottlieb ( 1993 ) . Solo Tabla Drumming of North India . Motilal Banarsidass . pp. 1 -- 3 . ISBN 978 - 81 - 208 - 1093 - 8 .   Jump up ^ William Alves ( 2013 ) . Music of the Peoples of the World . Cengage Learning . p. 252 . ISBN 1 - 133 - 30794 - 9 .   ^ Jump up to : Neil Sorrell ; Ram Narayan ( 1980 ) . Indian Music in Performance : A Practical Introduction . Manchester University Press . pp. 40 -- 41 . ISBN 978 - 0 - 7190 - 0756 - 9 .   Jump up ^ Kamal Salhi ( 2013 ) . Music , Culture and Identity in the Muslim World : Performance , Politics and Piety . Routledge . pp. 183 -- 184 . ISBN 978 - 1 - 317 - 96310 - 3 .   Jump up ^ Denise Cush ; Catherine Robinson ; Michael York ( 2012 ) . Encyclopedia of Hinduism . Routledge . pp. 87 -- 88 . ISBN 978 - 1 - 135 - 18978 - 5 .   Jump up ^ Derek B. Scott ( 2009 ) . The Ashgate Research Companion to Popular Musicology . Ashgate Publishing . p. 289 . ISBN 978 - 0 - 7546 - 6476 - 5 .   ^ Jump up to : Matt Dean ( 2012 ) . The Drum : A History . Scarecrow . p. 104 . ISBN 978 - 0 - 8108 - 8170 - 9 .   Jump up ^ https://www.yogems.com/yopedia/a-complete-guide-to-tabla/   Jump up ^ http://www.indiamike.com/india/maharashtra-f37/bhaja-caves-and-the-tabla-connection-t227647/   Jump up ^ Peter Lavezzoli ( 2006 ) . The Dawn of Indian Music in the West . Bloomsbury Academic . pp. 37 -- 39 . ISBN 978 - 0 - 8264 - 1815 - 9 .   ^ Jump up to : Robert S. Gottlieb ( 1993 ) . Solo Tabla Drumming of North India . Motilal Banarsidass . pp. 2 -- 3 . ISBN 978 - 81 - 208 - 1093 - 8 .   Jump up ^ S Prajnanananda ( 1981 ) . A historical study of Indian music . Munshiram Manoharlal . p. 82 .   Jump up ^ Pashaura Singh ( 2000 ) . The Guru Granth Sahib : Canon , Meaning and Authority . Oxford University Press . pp. 135 -- 136 . ISBN 978 - 0 - 19 - 564894 - 2 .   Jump up ^ Bruno Nettl ; Ruth M. Stone ; James Porter ; et al. ( 1998 ) . The Garland Encyclopedia of World Music . Taylor &amp; Francis . p. 327 . ISBN 978 - 0 - 8240 - 4946 - 1 . CS1 maint : Explicit use of et al. ( link )   Jump up ^ P.S. Meshram ( 1981 ) . Indica , Volume 18 . Heras Institute of Indian History and Culture . pp. 57 -- 59 .   Jump up ^ The theory and practice of Tabla , Sadanand Naimpalli , Popular Prakashan   Jump up ^ Rowell , Lewis ( 2015 ) . Music and Musical Thought in Early India . University of Chicago Press . pp. 66 -- 68 . ISBN 978 - 0 - 226 - 73034 - 9 .   Jump up ^ Sir Monier Monier - Williams ; Ernst Leumann ; Carl Cappeller ( 2002 ) . A Sanskrit - English Dictionary : Etymologically and Philologically Arranged with Special Reference to Cognate Indo - European Languages . Motilal Banarsidass . pp. 638 -- 639 . ISBN 978 - 81 - 208 - 3105 - 6 .   Jump up ^ Anil de Silva - Vigier ; Otto Georg von Simson ( 1964 ) . Music . Volume 2 of Man through his art . New York Graphic Society . p. 22 . OCLC 71767819 . , Quote : `` To her left are two girls standing with cymbals in their hands , and two seated playing drums , one with a pair of upright drums like the modern Indian dhol , and the other , sitting cross-legged , with a drum held horizontally , like the modern mirdang . ''   Jump up ^ Lisa Owen ( 2012 ) . Carving Devotion in the Jain Caves at Ellora . BRILL Academic . pp. 24 -- 25 . ISBN 90 - 04 - 20629 - 9 .   Jump up ^ Pia Brancaccio ( 2010 ) . The Buddhist Caves at Aurangabad : Transformations in Art and Religion . BRILL Academic . p. 21 . ISBN 90 - 04 - 18525 - 9 .   Jump up ^ རྫོགས ་ པ ་ , Tibetan English Dictionary ( 2011 )   Jump up ^ Radha Kumud Mookerji ( 1989 ) . Ancient Indian Education : Brahmanical and Buddhist . Motilal Banarsidass . pp. 354 -- 355 . ISBN 978 - 81 - 208 - 0423 - 4 .   Jump up ^ ( 1 ) Frans Balthazar Solvyns , A Collection of Two Hundred and Fifty Coloured Etchings ( 1799 )   Jump up ^ web.mit.edu/chintanv/www/tabla/class_material/Introduction % 20to % 20Tabla. ppt   Jump up ^ `` Persée '' . Retrieved 20 February 2015 .   Jump up ^ `` tabla ( musical instrument ) -- '' . September 2015 .   Jump up ^ Stewart R. Unpublished thesis , UCLA , 1974   Jump up ^ Two Men and Music : Nationalism in the Making of an Indian Classical ... -- Janaki Bakhle Assistant Professor of History Columbia University -- Google Books . Books.google.co.uk. 2005 - 09 - 17 . Retrieved 2013 - 07 - 01 .   Jump up ^ http://chandrakantha.com/tablasite/bsicbols.htm#Tu    Further reading ( edit )    The Major Traditions of North Indian Tabla Drumming : A Survey Presentation Based on Performances by India 's Leading Artists , by Robert S. Gottlieb . Pub . Musikverlag E. Katzbichler , 1977 . ISBN 978 - 3 - 87397 - 300 - 8 .   The tabla of Lucknow : a cultural analysis of a musical tradition , by James Kippen . Cambridge University Press , 1988 . ISBN 0 - 521 - 33528 - 0 .   Solo Tabla Drumming of North India : Text &amp; commentary , by Robert S. Gottlieb , Motilal Banarsidass Publ. , 1993 . ISBN 81 - 208 - 1093 - 7 .   Fundamentals of Tabla , ( Volume 1 ) by David R. Courtney . Pub . Sur Sangeet Services , 1995 . ISBN 0 - 9634447 - 6 - X .   Advanced Theory of Tabla , ( Volume 2 ) by David R. Courtney . Pub . Sur Sangeet Services , 2000 . ISBN 0 - 9634447 - 9 - 4 .   Manufacture and Repair of Tabla , ( Volume 3 ) by David R. Courtney . Pub . Sur Sangeet Services , 2001 . ISBN 1 - 893644 - 02 - 2 .   Focus on the Kaidas of Tabla , ( Volume 4 ) by David R. Courtney . Pub . Sur Sangeet Services , 2002 . ISBN 1 - 893644 - 03 - 0 .   Theory and practice of tabla , by Sadanand Naimpalli . Popular Prakashan , 2005 . ISBN 81 - 7991 - 149 - 7 .    External links ( edit )       Wikimedia Commons has media related to Tabla .      On Covered Instruments ( puṣkara , ' drums ' ) , Chapter XXXII of the Nāṭyaśāstra      hide         Indian musical instruments     Wind ( Sushir )     Bansuri   Harmonium   Kombu   Nadaswaram   Pungi   Shankha   Shehnai   Shruti box   Venu         Plucked Stringed ( Tat )     Dotara   Ektara   Gottuvadhyam   Pena   Rudra veena   Santoor   Saraswati veena   Sarod   Seni Rebab   Sitar   Surbahar   Swarmandal   Tanpura   Veena   Vichitra veena   Yazh       Bowed Stringed ( Vitat )     Dilruba   Esraj   Sarangi   Sarinda   Taus   Violin       Membranous Percussion ( Avanaddh )     Chande   Chenda   Damaru   Dhaak   Duggi   Dhol   Dholak   Dholki   Edakka   Kanjira   Khamak   Khol   Madal   Mizhav   Mridangam   Nagada   Pakhawaj   Parai   Sambal   Tabla   Tavil       Non-Membranous Percussion ( Ghan )     Chimta   Ghatam   Ghungroo   Jal tarang   Kartal   Khanjani   Khartal   Manjira   Morsing       Other     Bharatiya Sangeet Vadya   Indian classical music   Jivari        Retrieved from `` https://en.wikipedia.org/w/index.php?title=Tabla&amp;oldid=857033146 '' Categories :   Battle drums   Directly struck membranophones   Hand drums   Pitched percussion   Hindustani musical instruments   Afghan musical instruments   Indian musical instruments   Pakistani musical instruments   Bangladeshi musical instruments   Nepalese musical instruments   Tabla players   Hidden categories :   Articles with missing files   Articles containing Bengali - language text   Articles containing Dari - language text   Articles containing Gujarati - language text   Articles containing Hindi - language text   Articles containing Kannada - language text   Articles containing Malayalam - language text   Articles containing Marathi - language text   Articles containing Nepali - language text   Articles containing Odia - language text   Articles containing Pashto - language text   Articles containing Punjabi - language text   Articles containing Tamil - language text   Articles containing Telugu - language text   Articles containing Urdu - language text   CS1 maint : Explicit use of et al .   Articles needing additional references from June 2009   All articles needing additional references   Articles needing additional references from March 2018   Use dmy dates from March 2018   Articles containing video clips           Talk                                           Contents                   About Wikipedia                                                 অসমীয়া   বাংলা   भोजपुरी   Български   Català   Čeština   Dansk   Deutsch   Eesti   Español   فارسی   Français   ગુજરાતી   </t>
    </r>
    <r>
      <rPr>
        <sz val="11"/>
        <color rgb="FF000000"/>
        <rFont val="Noto Sans CJK SC"/>
        <family val="2"/>
      </rPr>
      <t xml:space="preserve">한국어   </t>
    </r>
    <r>
      <rPr>
        <sz val="11"/>
        <color rgb="FF000000"/>
        <rFont val="Calibri"/>
        <family val="0"/>
        <charset val="1"/>
      </rPr>
      <t xml:space="preserve">Հայերեն   हिन्दी   Bahasa Indonesia   Italiano   עברית   ಕನ್ನಡ   Lietuvių   Magyar   മലയാളം   मराठी   Bahasa Melayu   Nederlands   नेपाली   </t>
    </r>
    <r>
      <rPr>
        <sz val="11"/>
        <color rgb="FF000000"/>
        <rFont val="Noto Sans CJK SC"/>
        <family val="2"/>
      </rPr>
      <t xml:space="preserve">日本 語   </t>
    </r>
    <r>
      <rPr>
        <sz val="11"/>
        <color rgb="FF000000"/>
        <rFont val="Calibri"/>
        <family val="0"/>
        <charset val="1"/>
      </rPr>
      <t xml:space="preserve">Norsk nynorsk   ଓଡ଼ିଆ   Oʻzbekcha / ўзбекча   ਪੰਜਾਬੀ   پښتو   Polski   Português   Runa Simi   Русский   संस्कृतम्   Sicilianu   සිංහල   Simple English   Suomi   Svenska   தமிழ்   తెలుగు   Türkçe   Українська   اردو   </t>
    </r>
    <r>
      <rPr>
        <sz val="11"/>
        <color rgb="FF000000"/>
        <rFont val="Noto Sans CJK SC"/>
        <family val="2"/>
      </rPr>
      <t xml:space="preserve">中文  </t>
    </r>
    <r>
      <rPr>
        <sz val="11"/>
        <color rgb="FF000000"/>
        <rFont val="Calibri"/>
        <family val="0"/>
        <charset val="1"/>
      </rPr>
      <t xml:space="preserve">40 more  Edit links   This page was last edited on 29 August 2018 , at 03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</si>
  <si>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pair of hand drums used in indian classical music is called</t>
  </si>
  <si>
    <t xml:space="preserve"> The tabla consists of two single headed , barrel shaped small drums of slightly different size and shapes : daya also called dahina meaning right ( also called `` tabla '' ) , and baya also called bahina meaning left ( also called `` dagga '' ) . The daya tabla is played by the musician 's right hand ( dominant hand ) , and is about 15 centimetres ( ~ 6 in ) in diameter and 25 centimetres ( ~ 10 in ) high . The baya tabla is a bit bigger and deep kettledrum shaped , about 20 centimetres ( ~ 8 in ) in diameter and 25 centimetres ( ~ 10 in ) in height . Each is made of hollowed out wood or clay or brass , the daya drum laced with hoops , thongs and wooden dowels on its sides . The dowels and hoops are used to tighten the tension of the membrane . The daya is tuned to the ground note of the raga called Sa ( tonic in India music ) . The baya construction and tuning is about a fifth to an octave below that of the daya drum . The musician uses his hand 's heel pressure to change the pitch and tone colour of each drum during a performance . </t>
  </si>
  <si>
    <t xml:space="preserve">Petty officer - wikipedia  Petty officer  Jump to : navigation , search      This article needs additional citations for verification . Please help improve this article by adding citations to reliable sources . Unsourced material may be challenged and removed . ( March 2010 ) ( Learn how and when to remove this template message )       Common military ranks in English     Navies   Armies   Air forces     Commissioned and Non-commissioned officers     Admiral of the fleet   Field marshal or General of the Army   Marshal of the air force     Admiral   General   Air chief marshal     Vice admiral   Lieutenant general   Air marshal     Rear admiral   Major general   Air vice-marshal     Commodore   Brigadier or Brigadier general   Air commodore     Captain   Colonel   Group captain     Commander   Lieutenant colonel   Wing commander     Lieutenant commander   Major or Commandant   Squadron leader     Lieutenant   Captain   Flight lieutenant     Sub-lieutenant   Lieutenant or First lieutenant   Flying officer     Ensign   Second lieutenant   Pilot officer     Midshipman   Officer cadet   Flight cadet     Enlisted grades     Warrant officer or Chief petty officer   Warrant officer or Sergeant major   Warrant officer     Petty officer   Sergeant   Sergeant     Leading seaman   Corporal or Bombardier   Corporal     Seaman   Private or Gunner or Trooper   Aircraftman     Talk View     A petty officer ( PO ) is a non-commissioned officer in many navies and is given the NATO rank denotion OR - 6 . In many nations , they are typically equal to a corporal or sergeant in comparison to other military branches . Often they may be superior to a seaman , generally the ( or one of the ) lowest ranks in a navy , and subordinate to a more senior non-commissioned officer , such as a chief petty officer .     Contents  ( hide )   1 Origin   2 Usage in Navies   2.1 Canada   2.2 India   2.3 United Kingdom   2.4 United States   2.5 Non English - speaking countries     3 See also   4 References      Origin ( edit )   The modern petty officer dates back to the Age of Sail . Petty officers rank between naval officers ( both commissioned and warrant ) and most enlisted sailors . These were men with some claim to officer rank , sufficient to distinguish them from ordinary ratings , without raising them so high as the sea officers . Several were warrant officers , in the literal sense of being appointed by warrant , and like the warrant sea officers , their superiors , they were usually among the specialists of the ship 's company . The Oxford English Dictionary suggests that the title derives from the Anglo - Norman and Middle French `` petit '' , meaning `` of small size , small , little '' .   Two of the petty officer 's rates , midshipman and master 's mate , were a superior petty officer with a more general authority , but they remained no more than ratings . However , it was quite possible for a warrant officer ( such as the armourer ) , in his role as a superior officer , to be court - martialed for striking a midshipman . This is because both were regarded as future sea officers , with the all - important social distinction of having the right to walk the quarterdeck . Midshipmen wore distinctive uniforms , master 's mates dressed respectably , and both behaved like officers . The master 's mate rating evolved into the rank of sub-lieutenant , and midshipman evolved into naval cadet .   Usage in navies ( edit )   Canada ( edit )   There are two petty officer ranks in the Royal Canadian Navy . Petty officer , 2nd class ( PO2 ) ( maître de deuxième classe or m2 in French ) is equivalent to a sergeant and petty officer , 1st class ( PO1 ) ( maître de première classe or m1 ) is equivalent to a warrant officer .   Petty officers are normally addressed as `` Petty Officer Bloggins '' or `` PO Bloggins '' , thereafter as `` PO '' . The `` 1st class '' and `` 2nd class '' designations are normally only used when such a distinction needs to be made , such as on a promotion parade or to distinguish two petty officers with similar names but different ranks . The NATO rank denotion for `` petty officer , 2nd class '' is OR - 6 ( petty officers , 2nd class with less than 3 years seniority are considered OR - 5 ) . The NATO rank denotion for `` petty officer , 1st class '' is OR - 7 .   India ( edit )   A petty officer is a non-commissioned officer in the Indian Navy , equivalent to the NATO rank enlisted grade of OR - 5 . They are equal in rank to a sub inspector of police in the Indian Police Services , or sergeant in the Indian Army and Indian Air Force . A petty officer is superior in rank to a leading rate and subordinate to a chief petty officer , as is the case in the majority of Commonwealth navies .   A petty officer has the ability to work as a leader , capable of taking charge of a group of personnel , and taking roles in the training and recruitment of new members of the Indian Navy .  A petty officer of the Royal Navy on parade in London in 2015 . The chevrons represent good conduct .  United kingdom ( edit )   In the Royal Navy , the rate of petty officer comes above that of leading rating and below that of chief petty officer . It is the equivalent of sergeant in the Royal Marines , British Army and Royal Air Force . Petty officer is the lowest of the senior rating grades . Petty officers , like all senior rates , wear `` fore and aft '' rig .  Relative Ranks in the Royal Navy , c1810            Ratings and other ranks of the British Armed Forces           Service Royal Navy Royal Marines Army Royal Air Force     OR - 1 Pte AC     OR - 2 AB Mne Pte LAC     OR - 3 Not Applicable LCpl LCpl SAC / SAC ( T ) / LCpl ( RAF Regt only )     OR - 4 LH Cpl Cpl Cpl     OR - 5 / OR - 6 PO Sgt Sgt Sgt     OR - 7 CPO CSgt SSgt / CSgt Chf Tech - Flt Sgt     OR - 8 WO2 WO2     OR - 9 WO1 WO1 WO1 WO / MAcr         United States ( edit )  Five United States Navy Reserve petty officers in uniform .  The title of petty officer in the United States Navy and United States Coast Guard has three separate `` classes '' ( 3rd class through 1st class ) and three senior grades ( chief petty officer , senior chief petty officer , master chief petty officer ) . Petty officer , first class is equivalent in paygrade to staff sergeant in the United States Army and Marine Corps , and technical sergeant in the United States Air Force . Petty officer , second class is equivalent in paygrade to sergeant in the United States Army and Marine Corps , and staff sergeant in the United States Air Force . Petty officer , third class is equivalent in paygrade to corporal in the United States Army ( or specialist ) , corporal in the United States Marine Corps , and senior airman in the United States Air Force .   Enlisted rank has two components : rate ( pay grade ) and rating ( job specialty ) . Both components are reflected in the title . A sailor in the rate of petty officer first class with a rating of yeoman , would be a Yeoman 1st Class ( abbreviated `` YN1 '' ) . In the Navy , it is acceptable to refer to Petty Officer as such , while in the Coast Guard , rating is always used .             United States enlisted ranks     Pay grade → Branch of service ↓   E-1   E-2   E-3   E-4   E-5   E-6   E-7   E-8   E-9     Army   PVT   PV2   PFC   SPC -- CPL   SGT   SSG   SFC   MSG -- 1SG   SGM -- CSM -- SMA     Marine Corps   Pvt   PFC   LCpl   Cpl   Sgt   SSgt   GySgt   MSgt -- 1stSgt   MGySgt -- SgtMaj -- SgtMajMarCor     Navy   SR   SA   SN   PO3   PO2   PO1   CPO   SCPO -- CMDCS   MCPO -- CMDCM -- FORCM , FLTCM -- MCPON     Air Force   AB   Amn   A1C   SrA   SSgt   TSgt   MSgt -- 1st Sgt   SMSgt -- 1st Sgt   CMSgt -- 1st Sgt -- CCM -- CMSAF     Coast Guard   SR   SA   SN   PO3   PO2   PO1   CPO   SCPO   MCPO -- CMC -- Area CMC , CGRF - MC -- MCPOCG     Non English - speaking countries ( edit )   In some countries the same term is used as for a non-commissioned officer ( NCO ) in land forces , e.g. `` suboficial '' in some Spanish - speaking countries . The Russian equivalent is Glavny Starshina .   See also ( edit )    Boatswain   List of United States Navy ratings   Royal Navy ratings rank insignia   United States Navy enlisted rates    References ( edit )    ^ Jump up to : Rodger , N.A.M. ( 1986 ) . The Wooden World : An Anatomy of the Georgian Navy . Annapolis , MD : Naval Institute Press . p. 24 . ISBN 0 - 87021 - 987 - 1 .   Jump up ^ Petty Officer , Oxford English Dictionary , Oxford University Press   Jump up ^ Lavery , Brian ( 1989 ) . Nelson 's Navy : The Ships , Men and Organization . Annapolis , Md : Naval Institute Press . p. 136 . ISBN 0 - 87021 - 258 - 3 .   Retrieved from `` https://en.wikipedia.org/w/index.php?title=Petty_officer&amp;oldid=807097820 '' Categories :   Military ranks of the Commonwealth   Military ranks of Australia   Military ranks of Canada   Military ranks of the Royal Navy   Military ranks of the United States Navy   Naval ranks   Hidden categories :   Articles needing additional references from March 2010   All articles needing additional references           Talk                                           Contents                   About Wikipedia                                           Deutsch   Ελληνικά   فارسی   Français   Italiano   Simple English   Edit links   This page was last edited on 25 October 2017 , at 21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</si>
  <si>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term petty officer come from</t>
  </si>
  <si>
    <t xml:space="preserve"> The modern petty officer dates back to the Age of Sail . Petty officers rank between naval officers ( both commissioned and warrant ) and most enlisted sailors . These were men with some claim to officer rank , sufficient to distinguish them from ordinary ratings , without raising them so high as the sea officers . Several were warrant officers , in the literal sense of being appointed by warrant , and like the warrant sea officers , their superiors , they were usually among the specialists of the ship 's company . The Oxford English Dictionary suggests that the title derives from the Anglo - Norman and Middle French `` petit '' , meaning `` of small size , small , little '' . </t>
  </si>
  <si>
    <t xml:space="preserve">Olympic symbols - wikipedia  Olympic symbols     Olympic Games         Main topics       Bids   Boycotts   Ceremonies   Charter   Host cities   IFs   IOC   Medal   Medal tables   Medalists   NOCs   Pierre de Coubertin medal   Scandals and controversies   Sports   Symbols   Torch relays   Venues   Women participation       Games       Summer   Winter     Summer Paralympic   Winter Paralympic     Youth   Deaflympics   Special     African   American   Asian   European   Pacific     Ancient   Intercalated                     The Olympic symbols are icons , flags and symbols used by the International Olympic Committee ( IOC ) to elevate the Olympic Games . Some -- such as the flame , fanfare , and theme -- are more commonly used during Olympic competition , but others , such as the flags , can be seen throughout the years .   Contents    1 Motto   2 Rings   3 Different Types Of Flags   3.1 Specific flags used   3.1. 1 Antwerp flag   3.1. 2 Oslo flag   3.1. 3 Seoul flag   3.1. 4 Rio de Janeiro flag   3.1. 5 Singapore flag   3.1. 6 Innsbruck flag       4 Flame and torch relay   5 Medals and diplomas   6 Anthems   7 Kotinos   8 Olympic salute   9 Mascots   10 Intellectual property   11 See also   12 References   13 External links    Motto ( edit )   The Olympic motto is the hendiatris Citius , Altius , Fortius , which is Latin for `` Faster , Higher , Stronger '' . It was proposed by Pierre de Coubertin upon the creation of the International Olympic Committee in 1894 . Coubertin borrowed it from his friend Henri Didon , a Dominican priest who was an athletics enthusiast . Coubertin said `` These three words represent a programme of moral beauty . The aesthetics of sport are intangible . '' The motto was introduced in 1924 at the Olympic Games in Paris . A more informal but well - known motto , also introduced by Coubertin , is `` The most important thing is not to win but to take part ! '' Coubertin got this motto from a sermon by the Bishop of Pennsylvania during the 1908 London Games .   Rings ( edit )  The five - ringed symbol of the Olympic Games  The rings are five interlocking rings , coloured blue , yellow , black , green , and red on a white field , known as the `` Olympic rings '' . The symbol was originally designed in 1912 by de Coubertin . He appears to have intended the rings to represent the five participating regions : Africa , Asia , America , Oceania and Europe . According to Coubertin , the colours of the rings together with the white of the background included the colours composing every competing nation 's flag at the time . Upon its initial introduction , Coubertin stated the following in the August 1912 edition of Olympique :   ... the six colours ( including the flag 's white background ) combined in this way reproduce the colours of every country without exception . The blue and yellow of Sweden , the blue and white of Greece , the tricolour flags of France , England , the United States , Germany , Belgium , Italy and Hungary , and the yellow and red of Spain are included , as are the innovative flags of Brazil and Australia , and those of ancient Japan and modern China . This , truly , is an international emblem .   In his article published in the Olympic Revue the official magazine of the International Olympic Committee in November 1992 , the American historian Robert Barney explains that the idea of the interlaced rings came to Pierre de Coubertin when he was in charge of the USFSA , an association founded by the union of two French sports associations and until 1925 , responsible for representing the International Olympic Committee in France : The emblem of the union was two interlaced rings ( like the vesica piscis typical interlaced marriage rings ) and originally the idea of Swiss psychiatrist Carl Jung : for him , the ring symbolized continuity and the human being .   The 1914 Congress was suspended due to the outbreak of World War I , but the symbol and flag were later adopted . They would first officially debut at the Games of the VII Olympiad in Antwerp , Belgium , in 1920 .   The symbol 's popularity and widespread use began during the lead - up to the 1936 Summer Olympics in Berlin . Carl Diem , president of the Organizing Committee of the 1936 Summer Olympics , wanted to hold a torchbearers ' ceremony in the stadium at Delphi , site of the famous oracle , where the Pythian Games were also held . For this reason he ordered construction of a milestone with the Olympic rings carved in the sides , and that a torchbearer should carry the flame along with an escort of three others from there to Berlin . The ceremony was celebrated but the stone was never removed . Later , two American authors , Lynn and Gray Poole , when visiting Delphi in the late 1950s , saw the stone and reported in their History of the Ancient Games that the Olympic rings design came from ancient Greece . This has become known as `` Carl Diem 's Stone '' . This created a myth that the symbol had an ancient Greek origin .   The current view of the International Olympic Committee ( IOC ) is that the symbol `` reinforces the idea '' that the Olympic Movement is international and welcomes all countries of the world to join . As can be read in the Olympic Charter , the Olympic symbol represents the union of the `` five continents '' of the world and the meeting of athletes from throughout the world at the Olympic Games . However , no continent is represented by any specific ring . Prior to 1951 , the official handbook stated that each colour corresponded to a particular continent : blue for Europe , yellow for Asia , black for Africa , green for Australia and Oceania and red for the Americas ; this was removed because there was no evidence that Coubertin had intended it ( the quotation above was probably an afterthought ) . Nevertheless , the logo of the Association of National Olympic Committees places the logo of each of its five continental associations inside the ring of the corresponding colour .   Different types of flags ( edit )  The Olympic flag The Olympic flag flying in Victoria , British Columbia , Canada , in recognition of the 2010 Winter Olympics in Vancouver  The Olympic flag was created by Pierre de Coubertin in 1925 .   The Olympic flag has a white background , with five interlaced rings in the centre : blue , yellow , black , green and red . This design is symbolic ; it represents the five continents of the world , united by Olympism , while the six colours are those that appear on all the national flags of the world at the present time .  -- Pierre de Coubertin ( 1931 )  Specific flags used ( edit )   There are specific Olympic flags that are displayed by cities that will be hosting the next Olympic games . During each Olympic closing ceremony in what is traditionally known as the Antwerp Ceremony , the flag is passed from the mayor of one host city to the next host , where it will then be taken to the new host and displayed at city hall . These flags should not be confused with the larger Olympic flags designed and created specifically for each games , which are flown over the host stadium and then retired . Because there is no specific flag for this purpose , the flags flown over the stadiums generally have subtle differences , including minor color variations , and , more noticeably , the presence ( or lack ) of white outlines around each ring .  Antwerp flag ( edit )  The first Olympic flag was presented to the Jr National Olympics at the 1920 Summer Olympics by the city of Antwerp , Belgium . At the end of the Games , the flag could not be found and a new Olympic flag had to be made for the 1924 Summer Olympics in Paris . Despite it being a replacement , the IOC officially still calls this the `` Antwerp Flag '' instead of the `` Paris Flag '' . It was passed on to the next organizing city of the Summer Olympics or Winter Olympics until the 1952 Winter Olympics in Oslo , Norway , when a separate Olympic flag was created to be used only at the Winter Olympics ( see below ) . The 1924 flag then continued to be used at the Summer Olympics until the Games of Seoul 1988 when it was retired .   In 1997 , at a banquet hosted by the US Olympic Committee , a reporter was interviewing Hal Haig Prieste who had won a bronze medal in platform diving as a member of the 1920 US Olympic team . The reporter mentioned that the IOC had not been able to find out what had happened to the original Olympic flag . `` I can help you with that , '' Prieste said , `` It 's in my suitcase . '' At the end of the Antwerp Olympics , spurred on by teammate Duke Kahanamoku , he climbed a flagpole and stole the Olympic flag . For 77 years the flag was stored away in the bottom of his suitcase . The flag was returned to the IOC by Prieste , by then 103 years old , in a special ceremony held at the 2000 Games in Sydney . The original Antwerp Flag is now on display at the Olympic Museum in Lausanne , Switzerland , with a plaque thanking him for donating it .  Oslo flag ( edit )  The Oslo flag was presented to the IOC by the mayor of Oslo , Norway , during the 1952 Winter Olympics . Since then , it has been passed to the next organizing city for the Winter Olympics . Currently , the actual Oslo flag is kept preserved in a special box , and a replica has been used during recent closing ceremonies instead .  Seoul flag ( edit ) Flag of South Korea alongside an Olympic Flag in Olympic Park , Seoul  As a successor to the Antwerp Flag , the Seoul flag was presented to the IOC at the 1988 Summer Olympics by the city of Seoul , South Korea , and has since then been passed on to the next organizing city of the Summer Olympics . The Seoul flag is currently on display at the Tokyo Metropolitan Government Building .  Rio de Janeiro flag ( edit )  As a successor to the Seoul Flag , the Rio flag was presented to the IOC at the 2016 Summer Olympics by the city of Rio de Janeiro , Brazil , and has since then been passed on to the next organizing city of the Summer Olympics , Tokyo .  Singapore flag ( edit )  For the inaugural Youth Olympic Games , an Olympic flag was created for the junior version of the Games . The flag is similar to the Olympic flag , but has the host city and year on it and was first presented to Singapore by IOC President Jacques Rogge . During the closing ceremony on 26 August 2010 , Singapore officials presented it to the next organizing committee , Nanjing 2014 .  Innsbruck flag ( edit )  For the inaugural winter Youth Olympic Games , an Olympic flag was presented to the IOC at the 2012 Winter Youth Olympics by the city of Innsbruck , Austria , and has since then been passed on to the next organizing city of the Winter Youth Olympics .   Flame and torch relay ( edit )  Main article : Olympic flame  The modern tradition of moving the Olympic flame via a relay system from Greece to the Olympic venue began with the Berlin Games in 1936 . Months before the Games are held , the Olympic flame is lit on a torch , with the rays of the Sun concentrated by a parabolic reflector , at the site of the Ancient Olympics in Olympia , Greece . The torch is then taken out of Greece , most often to be taken around the country or continent where the Games are held . The Olympic torch is carried by athletes , leaders , celebrities , and ordinary people alike , and at times in unusual conditions , such as being electronically transmitted via satellite for Montreal 1976 , submerged underwater without being extinguished for Sydney 2000 , or in space and at the North Pole for Sochi 2014 . On the final day of the torch relay , the day of the Opening Ceremony , the Flame reaches the main stadium and is used to light a cauldron situated in a prominent part of the venue to signify the beginning of the Games .   Medals and diplomas ( edit )   The Olympic medals awarded to winners are another symbol associated with the Olympic games . The medals are made of gold - plated silver -- for the gold medals -- silver , or bronze , and are awarded to the top three finishers in a particular event . Each medal for an Olympiad has a common design , decided upon by the organizers for the particular games . From 1928 until 2000 , the obverse side of the medals contained an image of Nike , the traditional goddess of victory , holding a palm in her left hand and a winner 's crown in her right . This design was created by Giuseppe Cassioli . For each Olympic games , the reverse side as well as the labels for each Olympiad changed , reflecting the host of the games .   In 2004 , the obverse side of the medals changed to make more explicit reference to the Greek character of the games . In this design , the goddess Nike flies into the Panathenic stadium , reflecting the renewal of the games . The design was by Greek jewelry designer Elena Votsi .   Olympic diplomas are given to competitors placing fourth , fifth , and sixth since 1949 , and to competitors placing seventh and eighth since 1981 .   Anthems ( edit )  Main article : Olympic Hymn  The `` Olympic Hymn '' , officially known as the `` Olympic Anthem '' , is played when the Olympic flag is raised . It was composed by Spyridon Samaras with words from a poem of the Greek poet and writer Kostis Palamas . Both the poet and the composer were the choice of Demetrius Vikelas , a Greek Pro-European and the first President of the IOC . The anthem was performed for the first time for the ceremony of opening of the 1896 Athens Olympic Games but was n't declared the official hymn by the IOC until 1958 . In the following years , every hosting nation commissioned the composition of a specific Olympic hymn for their own edition of the Games until the 1960 Winter Olympics in Squaw Valley .   Other notable Olympic anthems and fanfares include :  The composer of the 1952 Olympic Fanfare , Aarre Merikanto , at Helsinki Olympic Stadium during the games .   `` Olympische Hymne '' : A composition for orchestra and mixed chorus composed by Richard Strauss for the 1936 Berlin Summer Olympics .   The `` Olympic Fanfare '' for the 1952 Helsinki Summer Olympics was originally composed by Aarre Merikanto for the 1940 Summer Olympics , which were cancelled . Merikanto 's Fanfare won the fanfare contest organized in Finland in 1939 , but the score was lost for over a decade ; when rediscovered in 1951 , it was decided to use it in 1952 . It was recorded in 1953 .   `` Bugler 's Dream '' : Written in 1958 by Leo Arnaud as part of his Charge Suite , the theme is often thought of by Americans as the Olympic Theme '' due to its usage in television coverage by ABC and NBC , starting with the 1964 Olympics .   The `` Olympic March '' : The theme written by Yūji Koseki for the Tokyo 1964 Summer Olympics theme song .   `` Olympic Fanfare 1972 '' : The winning submission for the Munich 1972 Summer Olympics theme song , used as the TV signature tune of the German Olympic Center ( Deutsches Olympia - Zentrum , DOZ ) and the prelude to the medal ceremonies , composed by Herbert Rehbein . It was performed by the Orchestra of the Bavarian Broadcasting Company ( Orchester des Bayerischen Rundfunks ) and members of the Air Force Band Neubiberg , conducted by Willy Mattes .   `` Olympic Fanfare and Theme '' : Composed by John Williams for the Los Angeles 1984 Summer Olympics , the theme was performed in the opening ceremonies by the United States Army Herald Trumpets conducted by then - Captain David Deitrick . The first recording , performed by an orchestra composed of Los Angeles - area musicians , was released in its entirety on the LP and cassette album The Official Music of the XXIIIrd Olympiad Los Angeles 1984 , with a concurrent Japan - only CD release ( which went on to win a Grammy in 1985 ) . A slightly different arrangement of the piece was released on the Philips album By Request : The Best of John Williams and the Boston Pops Orchestra . In 1996 , an alternate version of `` Olympic Fanfare and Theme '' was released on the album Summon the Heroes for the Atlanta Olympic Games , replacing the first part of the piece with Arnaud 's Bugler 's Dream . The theme was also used in closing ceremony of the 2010 Olympic Games , as the nations ' flagbearers entered BC Place Stadium surrounding the Olympic flame and when the Olympic flag was brought into the stadium by Vancouver mayor Gregor Robertson .   `` The Olympic Spirit '' : The theme written by John Williams for the 1988 Olympics in Seoul and used in the corresponding NBC broadcasts .   `` Summon the Heroes '' : The theme written by John Williams for the 1996 Summer Olympics in Atlanta .   `` Theme from The Adventures of Brisco County , Jr . '' : The theme song to this television show , composed by Randy Edelman , has been used by NBC for teaser commercial and promo spots since the 1996 Summer Olympics .   `` Call of the Champions '' : The theme written by John Williams for the 2002 Salt Lake Winter Olympics .    Several other composers have contributed Olympic music , including Henry Mancini , Francis Lai , Marvin Hamlisch , Philip Glass , David Foster , Mikis Theodorakis , Ryuichi Sakamoto , Vangelis , Basil Poledouris , Michael Kamen , and Mark Watters.it had oath too : we swear that we will take part in the Olympic Games in loyal competition , respecting the regulations which govern them and desirous of participating in them in the true spirit of sportsmanship for the honour of our country and for the glory of sports .   Kotinos ( edit )  Main article : Olive wreath  The kotinos ( Greek : κότινος ) , is an olive branch , originally of wild olive - tree , intertwined to form a circle or a horse - shoe , introduced by Heracles . In the ancient Olympic Games there were no gold , silver , or bronze medals . There was only one winner per event , crowned with an olive wreath made of wild olive leaves from a sacred tree near the temple of Zeus at Olympia . Aristophanes in Plutus makes a sensible remark as to why victorious athletes are crowned with a wreath made of wild olive instead of gold . The victorious athletes were honoured , feted , and praised . Their deeds were heralded and chronicled so that future generations could appreciate their accomplishments .   Herodotus describes the following story which is relevant to the olive wreath . Xerxes was interrogating some Arcadians after the Battle of Thermopylae . He inquired why there were so few Greek men defending Thermopylae . The answer was `` All other men are participating in the Olympic Games '' . And when asked `` What is the prize for the winner ? '' , `` An olive - wreath '' came the answer . Then Tigranes , one of his generals uttered a most noble saying : `` Good heavens ! Mardonius , what kind of men are these against whom you have brought us to fight ? Men who do not compete for possessions , but for honour . ''   However , in later times , this was not their only reward ; the athlete was rewarded with a generous sum of money by his country . The kotinos tradition was renewed specifically for the Athens 2004 Games , although in this case it was bestowed together with the gold medal . Apart from its use in the awards ceremonies , the kotinos was chosen as the 2004 Summer Olympics emblem .   Olympic salute ( edit )  The Olympic Salute sculpted by Gra Rueb , sculpted for the 1928 Summer Olympics in Amsterdam .  The Olympic salute is a variant of the Roman salute , with the right arm and hand stretched and pointing upward , the palm outward and downward , with the fingers touching . However , unlike the Roman Salute , the arm is raised higher and at an angle to the right from the shoulder . The greeting is visible on the official posters of the games at Paris 1924 and Berlin 1936 .   The Olympic salute has fallen out of use since World War II because of its strong resemblance to the Nazi salute . It was used for the last time by the French team in the opening ceremony of the 1948 Winter Olympics .   Mascots ( edit )  See also : List of Olympic mascots  Since the 1968 Winter Olympics in Grenoble , France , the Olympic Games have had a mascot , usually an animal native to the area or occasionally human figures representing the cultural heritage . The first major mascot in the Olympic Games was Misha in the 1980 Summer Olympics in Moscow . Misha was used extensively during the opening and closing ceremonies , had a TV animated cartoon and appeared on several merchandise products . Nowadays , most of the merchandise aimed at young people focuses on the mascots , rather than the Olympic flag or organization logos .   Intellectual property ( edit )   The Olympic movement is very protective of its symbols ; as many jurisdictions have given the movement exclusive trademark rights to any interlocking arrangement of five rings , and usage of the word `` Olympic '' . The rings are not eligible for copyright protection , both because of their date of creation and because five circles arranged in a pattern do not reach the threshold of originality required to be copyrighted .   The movement has taken action against numerous groups alleged to have violated their trademarks , including the Gay Games ; the Minneapolis - based band The Hopefuls , formerly The Olympic Hopefuls ; the Redneck Olympics or Redneck Games ; Awana Clubs International , a Christian youth ministry who used the term for its competitive games ; and Wizards of the Coast , publisher at the time of the IOC 's complaint of the card game Legend of the Five Rings .   In 1938 , the Norwegian brewery Frydenlund patented a label for its root beer which featured the five Olympic rings . In 1952 , when Norway was to host the Winter Olympics , the Olympic Committee was notified by Norway 's Patent Office that it was Frydenlund who owned the rights to the rings in that country . Today , the successor company Ringnes AS owns the rights to use the patented five rings on its root beer . In addition , a few other companies have been successful in using the Olympic name , such as Olympic Paint , which has a paintbrush in the form of a torch as its logo , and the former Greek passenger carrier Olympic Airlines .   Certain other sporting organizations and events have been granted permission by the IOC to use the word `` Olympics '' in their name , such as the Special Olympics , an international sporting event held every four years for people with intellectual disabilities .   In recent years , organizing committees have also demanded the passing of laws to combat ambush marketing by non-official sponsors during the Games -- such as the London Olympic Games and Paralympic Games Act 2006 -- putting heavy restrictions on using any term or imagery that could constitute an unauthorized association with the games , including mere mentioning of the host city , the year , and others .   See also ( edit )    Paralympic symbols   Pierre de Coubertin medal   Olympiadane    References ( edit )    Jump up ^ `` What is the Olympic motto ? '' . International Olympic Committee . 2013 . Archived from the original on 18 September 2015 . Retrieved 19 September 2014 .   ^ Jump up to : `` Opening Ceremony '' ( pdf ) . International Olympic Committee . 2002 . p. 3 . Retrieved 23 August 2012 . ; `` Sport athlétique '' , 14 mars 1891 : `` ( ... ) dans une éloquente allocution il a souhaité que ce drapeau les conduise ' souvent à la victoire , à la lutte toujours ' . Il a dit qu'il leur donnait pour devise ces trois mots qui sont le fondement et la raison d'être des sports athlétiques : citius , altius , fortius , ' plus vite , plus haut , plus fort ' . '' , cited in Hoffmane , Simone La carrière du père Didon , Dominicain. 1840 - 1900 , Doctoral thesis , Université de Paris IV -- Sorbonne , 1985 , p. 926 ; cf . Michaela Lochmann , Les fondements pédagogiques de la devise olympique `` citius , altius , fortius ``   Jump up ^ Games of the VIII Olympiad - Paris 1924 Archived 3 March 2007 at the Wayback Machine .   Jump up ^ `` The Olympic Summer Games '' ( PDF ) . International Olympic Committee . October 2013 . Archived from the original ( PDF ) on 6 September 2015 . Retrieved 29 December 2015 .   Jump up ^ `` Olympics : Symbols and Traditions '' . Encyclopedia Britannica . Retrieved 2018 - 02 - 07 .   Jump up ^ Lennartz , Karl ( 2002 ) . `` The Story of the Rings '' ( PDF ) . Journal of Olympic History . 10 : 32 . Retrieved 30 November 2016 .   Jump up ^ Lennartz , Karl ( 2002 ) . `` The Story of the Rings '' ( PDF ) . Journal of Olympic History . 10 : 31 . Retrieved 7 January 2016 . De plus les six couleurs ainsi combinées reproduisent celles de toutes les nations sans exception . Le bleu et jaune de Suède , le bleu et blanc de Grèce , les tricolores français , anglais , américain , allemand , belge , italien , hongrois , le jaune et rouge d'Espagne voisinent avec les innovations brésilienne ou australienne , avec le vieux Japon et la jeune Chine . Voilà vraiment un emblème international .   Jump up ^ Robert Knight Barney ( November 1992 ) . `` This Great Symbol '' ( PDF ) . Olympic Review ( 301 ) . Retrieved 29 December 2015 .   Jump up ^ Findling , John E. ; Pele , Kimberly D. , eds. ( 30 March 2004 ) . Encyclopedia of the Modern Olympic Movement . Greenwood Press . pp. 65 , 75 . ISBN 978 - 0313322785 . Retrieved 29 December 2015 . ( Subscription required ( help ) ) .   Jump up ^ Poole , Lynn ; Poole , Gray Johnson ( 1963 - 01 - 01 ) . History of ancient Olympic games , . New York : I. Obolensky .   Jump up ^ `` Logos &amp; Mascots '' . 27 February 2007 . Retrieved 18 March 2007 .   Jump up ^ `` The Olympic symbols '' ( PDF ) . IOC. 2002 . Archived from the original ( PDF ) on 16 March 2007 . Retrieved 18 March 2007 . ( Broken link )   Jump up ^ `` Decision adopted by the Executive Committee '' ( PDF ) . Bulletin du Comité International Olympique ( Olympic Review ) . Lausanne : IOC ( 25 ) : 32 . January 1951 .   Jump up ^ `` The Olympic Flag '' . Extract from : Textes choisis II , p. 470 . ( written in 1931 ) . Archived from the original on 28 August 2008 . Retrieved 29 August 2008 .   Jump up ^ `` Olympic Charter '' ( PDF ) . The International Olympic Committee . 2 August 2015 . Retrieved 29 December 2015 .   Jump up ^ `` Vancouver 2010 : The Olympic Flags the Closing Ceremony of the Los Angeles 1984 Olympic Games , the flag was passed on to the next Olympic Games city , Seoul , and then retired . ( emphasis added ) '' . Retrieved 1 March 2010 .   Jump up ^ Sandomir , Richard ( 12 September 2000 ) . `` Missing Flag Returns to Glory , Courtesy of a Prankster '' . The New York Times . Retrieved 20 May 2010 .   Jump up ^ `` Después de ochenta años le remordió la conciencia '' ( After Eighty Years , Conscience Kicked Him ) ( in Spanish ) . Montevideo : La Red21 Radio . 12 September 2000 . Retrieved 29 December 2015 .   Jump up ^ `` Vancouver 2010 : The Olympic Flags and Emblem '' . Retrieved 1 March 2010 . Because it is so precious , and must be preserved for years to come , the Oslo flag is not used during the actual Closing Ceremony . Instead , a replica flag is traditionally used .   Jump up ^ `` Vancouver 2010 : The Olympic Flags and Emblem '' . Retrieved 1 March 2010 . The successor to the Antwerp Flag , the Seoul flag was presented to the IOC at the 1988 Olympic Games in the Seoul Summer Olympics , South Korea .   Jump up ^ `` Olympic Flag arrives in Tokyo ahead of 2020 Games '' . Retrieved 11 September 2016 . Rio Mayor Eduardo Paes handed the Flag over to Tokyo Governor Yuriko Koike during the Rio 2016 Closing Ceremony at the Maracanã Stadium on Sunday ( August 21 ) .   Jump up ^ `` Singapore 2010 Presented With Special Olympic Flag '' . Gamebids.com. 13 August 2010 . Retrieved 29 December 2015 .   Jump up ^ `` S'pore presented with special Olympic flag '' . Channel NewsAsia. 13 August 2010 . Archived from the original on 28 July 2012 .   Jump up ^ `` Olympic flag handed to mayor of Nanjing '' . Sina Corp. 27 August 2010 .   Jump up ^ Juergen Wagner ( 2 July 2003 ) . `` Olympic Games Winner Medal 2004 '' . Olympic-museum.de . Archived from the original on 11 January 2011 . Retrieved 31 December 2010 .   Jump up ^ Heikinheimo , Seppo ( 1985 ) . Aarre Merikanto : Säveltäjänkohtalo itsenäisessä Suomessa ( Aarre Merikanto : The fate of the composer in independent Finland ) ( in Finnish ) . Helsinki : WSOY . pp. 465 , 467 , 473 , 479 . ISBN 978 - 9510133194 .   Jump up ^ `` Herbert Rehbein '' . Songwriters Hall of Fame . 1993 . Retrieved 29 December 2015 .   Jump up ^ Guegold , William K. ( June 1996 ) . 100 Years of Olympic Music ( Music and Musicians of the Modern Olympic Games 1896 - 1996 ) . Golden Clef Publishing . pp. 56 -- 58 . ISBN 978 - 0965237109 .   Jump up ^ `` The John Williams Web Pages : Olympic Fanfare and Theme '' . Johnwilliams.org . Archived from the original on 19 July 2011 . Retrieved 31 December 2010 .   Jump up ^ http://www.altoriot.com/the-music-behind-nbcs-sochi-olympic-promos-the-greatest-sports-theme-no-one-can-name/   Jump up ^ Liddell , Henry George ; Scott , Robert ( 1940 ) . κότινος ( Olive Branch ) . A Greek -- English Lexicon ( in Greek ) . Clarendon Press .   Jump up ^ Pausanias , Description of Greece , 5.7. 7   Jump up ^ Aristophanes , Plutus , 585 .   Jump up ^ Herodotus , The Histories , Hdt . 8.26   ^ Jump up to : Droit , Jean ( 1924 ) . `` Paris 1924 - Jeux Olympiques '' . Olympic Games Museum . Archived from the original on 29 August 2010 . Retrieved 15 March 2010 .   Jump up ^ Schaap , Jeremy ( 2007 ) . Triumph : the untold story of Jesse Owens and Hitler 's Olympics . Houghton Mifflin Harcourt . pp. 163 -- 166 . ISBN 978 - 0 - 618 - 68822 - 7 . ( Subscription required ( help ) ) .   Jump up ^ `` Olympic Games 1936 Berlin : Poster '' . Olympic Games Museum . 1936 . Retrieved 29 December 2015 .   Jump up ^ `` The Official Olympic Salute Stopped Being Popularly Used After WWII Due to Strongly Resembling the `` Heil Hitler '' Salute `` . Today I Found Out . 2012 - 08 - 08 . Retrieved 2017 - 09 - 14 .   Jump up ^ https://www.youtube.com/watch?v=WfaFnZ6sEnY/%7Ctitle= Full St. Moritz 1948 Official film ; see 13 : 15 to 13 : 20   Jump up ^ `` Norwegian Patent Office record of the Frydenlund patent , showing the design '' . 1 November 1938 . Retrieved 20 November 2016 . Ringnes is the family name of the company 's founders .   Jump up ^ Anderson , Steve ( 18 July 2012 ) . `` The Debate : Have Olympic sponsorship regulations gone too far ? '' . The Debate ( blog ) ( The Independent ) . London . Archived from the original on 21 July 2012 . Retrieved 21 July 2012 .   Jump up ^ O'Sullivan , Feargus ( 13 June 2012 ) . `` The Pettiness of Olympic Branding '' . The Atlantic . Washington D.C . Retrieved 21 July 2012 .    External links ( edit )       Wikimedia Commons has media related to Olympic symbols .      PBS The Real Olympics , 2004 .   the Raising of the Olympic flag in London , 26 September 2008   Olympic Files - Mascots ( in Russian )   Bear Cub Misha Lover 's Association , 1980 Summer Olympics mascot Misha 's fan page ( in Japanese )              Olympic symbols       Olympic emblem   Olympic flag   Olympic flame   Final torchbearers   Torch relays   designs     Olympic Hymn   Olympic mascot   Olympic motto   Olympic Oath   Olympic Order   Olympic poster   Olive wreath                 International Olympic Committee     Associations     Association of National Olympic Committees   List of international sports federations   National Olympic Committee   Organizing Committees for the Olympic Games       Main topics     Charter   Congresses   Cup   Meetings   Members   Order   Presidents   Sports   Symbols       IOC sessions     117th   121st   123rd   125th   127th   128th   130th   131st   132nd   133rd   134th                 Olympic Games       Ceremonies   Charter   Participating nations   Summer Olympics   Winter Olympics     Host cities   Bids   Venues     IOC   NOCs   Country codes     Medal   Medal tables   Medalists   Ties   Diploma     Scandals and controversies   Colonialism   Doping     Sports   Symbols   Torch relays   Pierre de Coubertin medal     Women   Deaths   WWI     Olympic video games       Summer Games     1896 Athens   1900 Paris   1904 St. Louis   1908 London   1912 Stockholm   1916   1920 Antwerp   1924 Paris   1928 Amsterdam   1932 Los Angeles   1936 Berlin   1940   1944   1948 London   1952 Helsinki   1956 Melbourne   1960 Rome   1964 Tokyo   1968 Mexico City   1972 Munich   1976 Montreal   1980 Moscow   1984 Los Angeles   1988 Seoul   1992 Barcelona   1996 Atlanta   2000 Sydney   2004 Athens   2008 Beijing   2012 London   2016 Rio de Janeiro   2020 Tokyo   2024 Paris   2028 Los Angeles   2032 TBD         Winter Games     1924 Chamonix   1928 St. Moritz   1932 Lake Placid   1936 Garmisch - Parten</t>
  </si>
  <si>
    <t xml:space="preserve">what do the colors of the olympic rings mean</t>
  </si>
  <si>
    <t xml:space="preserve"> The rings are five interlocking rings , coloured blue , yellow , black , green , and red on a white field , known as the `` Olympic rings '' . The symbol was originally designed in 1912 by de Coubertin . He appears to have intended the rings to represent the five participating regions : Africa , Asia , America , Oceania and Europe . According to Coubertin , the colours of the rings together with the white of the background included the colours composing every competing nation 's flag at the time . Upon its initial introduction , Coubertin stated the following in the August 1912 edition of Olympique : </t>
  </si>
  <si>
    <t xml:space="preserve">Israel - wikipedia  Israel  Jump to : navigation , search This article is about the modern country . For other uses , see Israel ( disambiguation ) .  Coordinates : 31 ° N 35 ° E ﻿ / ﻿ 31 ° N 35 ° E ﻿ / 31 ; 35     State of Israel   מְדִינַת יִשְׂרָאֵל ( Hebrew )   دَوْلَة إِسْرَائِيل ( Arabic )       Flag Emblem     Anthem : `` Hatikvah '' ( Hebrew for `` The Hope '' )             Capital and largest city   Jerusalem ( internationally unrecognized ) 31 ° 47 ′ N 35 ° 13 ′ E ﻿ / ﻿ 31.783 ° N 35.217 ° E ﻿ / 31.783 ; 35.217     Official languages     Hebrew   Arabic       Ethnic groups ( 2016 )     74.8 % Jewish   20.8 % Arab   4.4 % other       Religion     74.8 % Jewish   17.6 % Muslim   2 % Christian   1.6 % Druze   4 % other       Demonym   Israeli     Government   Unitary parliamentary republic     President   Reuven Rivlin     Prime Minister   Benjamin Netanyahu     Legislature   Knesset     Independence     Declared   14 May 1948     Admission to UNO   11 May 1949     Area     Total   20,770 -- 22,072 km ( 8,019 -- 8,522 sq mi ) ( 150th )     Water   440 km ( 170 sq mi )     Water ( % )   2.1     Population     2017 estimate   8,753,100 ( 97th )     2008 census   7,412,200     Density   395 / km ( 1,023.0 / sq mi ) ( 34th )     GDP ( PPP )   2017 estimate     Total   $316.120 billion ( 54th )     Per capita   $36,379 ( 34th )     GDP ( nominal )   2017 estimate     Total   $339.990 billion ( 34th )     Per capita   $39,126 ( 24th )     Gini ( 2013 )   42.8 medium 47th     HDI ( 2015 )   0.899 very high 19th     Currency   New shekel ( ₪ ‎ ) ( ILS )     Time zone   IST ( UTC + 2 )     Summer ( DST )   IDT ( UTC + 3 )     Date format     אא - בב - גגגג ( AM ) ‎   dd - mm - yyyy ( CE )       Drives on the   right     Calling code   + 972     ISO 3166 code   IL     Internet TLD   . il     Website www.israel.org       ^ 20,770 is Israel within the Green Line . 22,072 includes the annexed Golan Heights and East Jerusalem .           This article contains Hebrew and Arabic text . Without proper rendering support , you may see question marks , boxes , or other symbols .     Israel ( / ˈɪzreɪəl / ; Hebrew : יִשְׂרָאֵל ‎ , Arabic : إِسْرَائِيل ‎ ‎ ) , officially the State of Israel ( Hebrew : מְדִינַת יִשְׂרָאֵל ‎ , Arabic : دَوْلَة إِسْرَائِيل ‎ ‎ ) , is a country in the Middle East , on the southeastern shore of the Mediterranean Sea and the northern shore of the Red Sea . It has land borders with Lebanon to the north , Syria to the northeast , Jordan on the east , the Palestinian territories of the West Bank and Gaza Strip to the east and west , respectively , and Egypt to the southwest . The country contains geographically diverse features within its relatively small area . Israel 's economy and technology center is Tel Aviv , while its seat of government and proclaimed capital is Jerusalem , although the state 's sovereignty over East Jerusalem is not recognised internationally .   The Kingdoms of Israel and Judah emerged during the Iron Age . The Neo-Assyrian Empire destroyed Israel around 720 BCE . The Jewish -- Babylonian war resulted in the Babylonian conquest of Judah in 586 BCE and the formation of the province of Yehud . During the Persian rule , the Jewish autonomous province , Yehud Medinata , had existed for two centuries until the conquest of Alexander the Great . The successful Maccabean Revolt against the Seleucid Empire led to an independent Jewish kingdom in 110 BCE , which came to an end in 63 BCE when Judea became a client state of the Roman Republic under the Herodian dynasty . Judea lasted as a Roman province until the subsequent failed Jewish revolts resulted in widespread destruction , the sack of Jerusalem , expulsion of Jewish population and the renaming of the region from Iudaea to Syria Palaestina . Jewish presence in the Land of Israel has persisted over the centuries . During the 19th century , national awakening among Jews led to the establishment of the Zionist movement followed by waves of immigration to Ottoman and later British Palestine .   In 1947 , the United Nations adopted a Partition Plan for Palestine recommending the creation of independent Arab and Jewish states and an internationalized Jerusalem . The plan was accepted by the Jewish Agency for Palestine , and rejected by Arab leaders . Next year , the Jewish Agency declared `` the establishment of a Jewish state in Eretz Israel , to be known as the State of Israel . '' Israel has since fought several wars with neighboring Arab states , in the course of which it has occupied territories including the West Bank , Golan Heights and the Gaza Strip ( still considered occupied after 2005 disengagement ) . It extended its laws to the Golan Heights and East Jerusalem , but not the West Bank . Israel 's occupation of the Palestinian territories is the world 's longest military occupation in modern times . Efforts to resolve the Israeli -- Palestinian conflict have not resulted in peace . However , peace treaties between Israel and both Egypt and Jordan have successfully been implemented .   The population of Israel , as defined by the Israel Central Bureau of Statistics , was estimated in 2017 to be 8,753,100 people . It is the world 's only Jewish - majority state , with 74.8 % being designated as Jewish . The country 's second largest population group are Arabs , at 20.8 % ( including most East Jerusalem Arabs ) . The great majority of Israeli Arabs are Sunni Muslims , including significant numbers of semi-settled Negev Bedouins ; the rest are Christians and Druze . Other minorities include Arameans , Armenians , Assyrians , Black Hebrew Israelites , Circassians , Maronites and Samaritans . Israel also hosts a significant population of non-citizen foreign workers and asylum seekers from Africa and Asia , including illegal migrants from Sudan , Eritrea and other Sub-Saharan Africans .   In its Basic Laws , Israel defines itself as a Jewish and democratic state . Israel is a representative democracy with a parliamentary system , proportional representation and universal suffrage . The prime minister is head of government and the Knesset is the legislature . Israel is a developed country and an OECD member , with the 34th - largest economy in the world by nominal gross domestic product as of 2016 . The country benefits from a highly skilled workforce and is among the most educated countries in the world with one of the highest percentages of its citizens holding a tertiary education degree . Israel has the highest standard of living in the Middle East , and has one of the highest life expectancies in the world .     Contents  ( hide )   1 Etymology   2 History   2.1 Prehistory   2.2 Antiquity   2.3 Classical period   2.4 Middle Ages and modern history   2.5 Zionism and British mandate   2.6 After World War II   2.7 Early years of the State of Israel   2.8 Further conflict and peace process     3 Geography and environment   3.1 Tectonics and seismicity   3.2 Climate     4 Demographics   4.1 Major urban areas   4.2 Language   4.3 Religion   4.4 Education     5 Government and politics   5.1 Legal system   5.2 Administrative divisions   5.3 Israeli - occupied territories   5.4 Foreign relations   5.5 International humanitarian efforts   5.6 Military     6 Economy   6.1 Science and technology   6.2 Transportation   6.3 Tourism   6.4 Energy     7 Culture   7.1 Literature   7.2 Music and dance   7.3 Cinema and theatre   7.4 Media   7.5 Museums   7.6 Cuisine   7.7 Sports     8 See also   9 Notes   10 References   11 Bibliography   12 External links      Etymology  The Merneptah Stele ( 13th century BCE ) . The majority of biblical archeologists translate a set of hieroglyphs as `` Israel , '' the first instance of the name in the record .  Upon independence in 1948 , the country formally adopted the name `` State of Israel '' ( Hebrew : מְדִינַת יִשְׂרָאֵל ‎ Medīnat Yisrā'el ( mediˈnat jisʁaˈʔel ) ; Arabic : دَوْلَة إِسْرَائِيل ‎ ‎ Dawlat Isrāʼīl ( dawlat ʔisraːˈʔiːl ) ) after other proposed historical and religious names including Eretz Israel ( `` the Land of Israel '' ) , Zion , and Judea , were considered but rejected . In the early weeks of independence , the government chose the term `` Israeli '' to denote a citizen of Israel , with the formal announcement made by Minister of Foreign Affairs Moshe Sharett .   The names Land of Israel and Children of Israel have historically been used to refer to the biblical Kingdom of Israel and the entire Jewish people respectively . The name `` Israel '' ( Standard Yisraʾel , Isrāʾīl ; Septuagint Greek : Ἰσραήλ Israēl ; ' El ( God ) persists / rules ' , though after Hosea 12 : 4 often interpreted as `` struggle with God '' ) in these phrases refers to the patriarch Jacob who , according to the Hebrew Bible , was given the name after he successfully wrestled with the angel of the Lord . Jacob 's twelve sons became the ancestors of the Israelites , also known as the Twelve Tribes of Israel or Children of Israel . Jacob and his sons had lived in Canaan but were forced by famine to go into Egypt for four generations , lasting 430 years , until Moses , a great - great grandson of Jacob , led the Israelites back into Canaan during the `` Exodus '' . The earliest known archaeological artifact to mention the word `` Israel '' as a collective is the Merneptah Stele of ancient Egypt ( dated to the late 13th century BCE ) .   The area is also known as the Holy Land , being holy for all Abrahamic religions including Judaism , Christianity , Islam and the Bahá'í Faith . From 1920 , the whole region was known as Palestine ( under British Mandate ) until the Israeli Declaration of Independence of 1948 . Through the centuries , the territory was known by a variety of other names , including Canaan , Djahy , Samaria , Judea , Yehud , Iudaea , Coele - Syria , Syria Palaestina and Southern Syria .   History  Main article : History of Israel  Prehistory  Further information : Prehistory of the Levant  The oldest evidence of early humans in the territory of modern Israel , dating to 1.5 million years ago , was found in Ubeidiya near the Sea of Galilee . Other notable Paleolithic sites include caves Tabun , Qesem and Manot . The oldest fossils of anatomically modern humans found outside Africa are the Skhul and Qafzeh hominins , who lived in the area that is now northern Israel 120,000 years ago . Around 10th millennium BCE , the Natufian culture existed in the area .   Antiquity  Main article : History of ancient Israel and Judah Further information : Israelites , Kingdom of Israel ( Samaria ) , and Kingdom of Judah The Large Stone Structure , archaeological site of ancient Jerusalem  The early history of the territory is unclear . Modern archaeology has largely discarded the historicity of the narrative in the Torah concerning the patriarchs , The Exodus , and the conquest described in the Book of Joshua , and instead views the narrative as constituting the Israelites ' inspiring national myth . Ancestors of the Israelites may have included ancient Semitic - speaking peoples native to Canaan . The Israelites and their culture , according to the modern archaeological account , did not overtake the region by force , but instead branched out of the Canaanite peoples and culture through the development of a distinct monolatristic -- and later monotheistic -- religion centered on Yahweh . The archaeological evidence indicates a society of village - like centres , but with more limited resources and a small population . Villages had populations of up to 300 or 400 , which lived by farming and herding , and were largely self - sufficient ; economic interchange was prevalent . Writing was known and available for recording , even in small sites .  Map of Israel and Judah in the 9th century BCE  While it is unclear if there was ever a United Monarchy , there is well accepted archeological evidence referring to `` Israel '' in the Merneptah Stele which dates to about 1200 BCE ; and the Canaanites are archeologically attested in the Middle Bronze Age . There is debate about the earliest existence of the Kingdoms of Israel and Judah and their extent and power , but historians agree that a Kingdom of Israel existed by ca . 900 BCE and that a Kingdom of Judah existed by ca . 700 BCE . The Kingdom of Israel was destroyed around 720 BCE , when it was conquered by the Neo-Assyrian Empire .   In 586 BCE , King Nebuchadnezzar II of Babylon conquered Judah . According to the Hebrew Bible , he destroyed Solomon 's Temple and exiled the Jews to Babylon . The defeat was also recorded in the Babylonian Chronicles . The Babylonian exile ended around 538 BCE under the rule of the Persian Cyrus the Great after he captured Babylon . The Second Temple was constructed around 520 BCE . As part of the Persian Empire , the former Kingdom of Judah became the province of Judah ( Yehud Medinata ) with different borders , covering a smaller territory . The population of the province was greatly reduced from that of the kingdom , archaeological surveys showing a population of around 30,000 people in the 5th to 4th centuries BCE .   Classical period  Main article : Second Temple period Further information : Hasmonean dynasty , Herodian dynasty , and Jewish -- Roman wars Portion of the Temple Scroll , one of the Dead Sea Scrolls written during the Second Temple period  With successive Persian rule , the autonomous province Yehud Medinata was gradually developing back into urban society , largely dominated by Judeans . The Greek conquests largely skipped the region without any resistance or interest . Incorporated into Ptolemaic and finally Seleucid empires , the southern Levant was heavily hellenized , building the tensions between Judeans and Greeks . The conflict erupted in 167 BCE with the Maccabean Revolt , which succeeded in establishing an independent Hasmonean Kingdom in Judah , which later expanded over much of modern Israel , as the Seleucids gradually lost control in the region .  Masada fortress , location of the final battle in the First Jewish -- Roman War  The Roman Empire invaded the region in 63 BCE , first taking control of Syria , and then intervening in the Hasmonean Civil War . The struggle between pro-Roman and pro-Parthian factions in Judea eventually led to the installation of Herod the Great and consolidation of the Herodian kingdom as a vassal Judean state of Rome . With the decline of the Herodian dynasty , Judea , transformed into a Roman province , became the site of a violent struggle of Jews against Greco - Romans , culminating in the Jewish -- Roman wars , ending in wide - scale destruction , expulsions , and genocide . Jewish presence in the region significantly dwindled after the failure of the Bar Kokhba revolt against the Roman Empire in 132 CE .   Nevertheless , there was a continuous small Jewish presence and Galilee became its religious center . The Mishnah and part of the Talmud , central Jewish texts , were composed during the 2nd to 4th centuries CE in Tiberias and Jerusalem . The region came to be populated predominantly by Greco - Romans on the coast and Samaritans in the hill - country . Christianity was gradually evolving over Roman paganism , when the area stood under Byzantine rule . Through the 5th and 6th centuries , the dramatic events of the repeated Samaritan revolts reshaped the land , with massive destruction to Byzantine Christian and Samaritan societies and a resulting decrease of the population . After the Persian conquest and the installation of a short - lived Jewish Commonwealth in 614 CE , the Byzantine Empire reconquered the country in 628 .   Middle ages and modern History  Further information : History of Jerusalem during the Middle Ages , Islamization of Palestine , and Old Yishuv Kfar Bar'am , an ancient Jewish village , abandoned some time between the 7th -- 13th centuries AD .  In 634 -- 641 CE , the region , including Jerusalem , was conquered by the Arabs who had just recently adopted Islam . Control of the region transferred between the Rashidun Caliphs , Umayyads , Abbasids , Fatimids , Seljuks , Crusaders , and Ayyubids throughout the next three centuries .   During the siege of Jerusalem by the First Crusade in 1099 , the Jewish inhabitants of the city fought side by side with the Fatimid garrison and the Muslim population who tried in vain to defend the city against the Crusaders . When the city fell , about 60,000 people were massacred , including 6,000 Jews seeking refuge in a synagogue . At this time , a full thousand years after the fall of the Jewish state , there were Jewish communities all over the country . Fifty of them are known and include Jerusalem , Tiberias , Ramleh , Ashkelon , Caesarea , and Gaza . According to Albert of Aachen , the Jewish residents of Haifa were the main fighting force of the city , and `` mixed with Saracen ( Fatimid ) troops '' , they fought bravely for close to a month until forced into retreat by the Crusader fleet and land army . However , Joshua Prawer expressed doubt over the story , noting that Albert did not attend the Crusades and that such a prominent role for the Jews is not mentioned by any other source .   In 1165 , Maimonides visited Jerusalem and prayed on the Temple Mount , in the `` great , holy house . '' In 1141 the Spanish - Jewish poet Yehuda Halevi issued a call for Jews to migrate to the Land of Israel , a journey he undertook himself . In 1187 Sultan Saladin , founder of the Ayyubid dynasty , defeated the Crusaders in the Battle of Hattin and subsequently captured Jerusalem and almost all of Palestine . In time , Saladin issued a proclamation inviting Jews to return and settle in Jerusalem , and according to Judah al - Harizi , they did : `` From the day the Arabs took Jerusalem , the Israelites inhabited it . '' Al - Harizi compared Saladin 's decree allowing Jews to re-establish themselves in Jerusalem to the one issued by the Persian king Cyrus the Great over 1,600 years earlier .  The 13th - century Ramban Synagogue in Jerusalem  In 1211 , the Jewish community in the country was strengthened by the arrival of a group headed by over 300 rabbis from France and England , among them Rabbi Samson ben Abraham of Sens. Nachmanides ( Ramban ) , the 13th - century Spanish rabbi and recognised leader of Jewry greatly praised the land of Israel and viewed its settlement as a positive commandment incumbent on all Jews . He wrote `` If the gentiles wish to make peace , we shall make peace and leave them on clear terms ; but as for the land , we shall not leave it in their hands , nor in the hands of any nation , not in any generation . ''   In 1260 , control passed to the Mamluk sultans of Egypt . The country was located between the two centres of Mamluk power , Cairo and Damascus , and only saw some development along the postal road connecting the two cities . Jerusalem , although left without the protection of any city walls since 1219 , also saw a flurry of new construction projects centred around the Al - Aqsa Mosque compound on the Temple Mount . In 1266 the Mamluk Sultan Baybars converted the Cave of the Patriarchs in Hebron into an exclusive Islamic sanctuary and banned Christians and Jews from entering , which previously would be able to enter it for a fee . The ban remained in place until Israel took control of the building in 1967 .  Jews at the Western Wall , 1870s  In 1470 , Isaac b . Meir Latif arrived from Italy and counted 150 Jewish families in Jerusalem . Thanks to Joseph Saragossi who had arrived in the closing years of the 15th century , Safed and its environs had developed into the largest concentration of Jews in Palestine . With the help of the Sephardic immigration from Spain , the Jewish population had increased to 10,000 by the early 16th century .   In 1516 , the region was conquered by the Ottoman Empire ; it remained under Turkish rule until the end of the First World War , when Britain defeated the Ottoman forces and set up a military administration across the former Ottoman Syria . In 1920 the territory was divided between Britain and France under the mandate system , and the British - administered area which included modern day Israel was named Mandatory Palestine .   Zionism and British Mandate  Further information : Zionism , Yishuv , Mandatory Palestine , and Balfour Declaration Theodor Herzl , visionary of the Jewish state  Since the existence of the earliest Jewish diaspora , many Jews have aspired to return to `` Zion '' and the `` Land of Israel '' , though the amount of effort that should be spent towards such an aim was a matter of dispute . The hopes and yearnings of Jews living in exile are an important theme of the Jewish belief system . After the Jews were expelled from Spain in 1492 , some communities settled in Palestine . During the 16th century , Jewish communities struck roots in the Four Holy Cities -- Jerusalem , Tiberias , Hebron , and Safed -- and in 1697 , Rabbi Yehuda Hachasid led a group of 1,500 Jews to Jerusalem . In the second half of the 18th century , Eastern European opponents of Hasidism , known as the Perushim , settled in Palestine .  `` Therefore I believe that a wonderous generation of Jews will spring into existence . The Maccabaeans will rise again . Let me repeat once more my opening words : The Jews wish to have a State , and they shall have one . We shall live at last as free men on our own soil , and die peacefully in our own home . The world will be freed by our liberty , enriched by our wealth , magnified by our greatness . And whatever we attempt there to accomplish for our own welfare will react with beneficent force for the good of humanity . '' Theodor Herzl ( 1896 ) . A Jewish State . Wikisource . ( scan )  The first wave of modern Jewish migration to Ottoman - ruled Palestine , known as the First Aliyah , began in 1881 , as Jews fled pogroms in Eastern Europe . Although the Zionist movement already existed in practice , Austro - Hungarian journalist Theodor Herzl is credited with founding political Zionism , a movement which sought to establish a Jewish state in the Land of Israel , thus offering a solution to the so - called Jewish question of the European states , in conformity with the goals and achievements of other national projects of the time . In 1896 , Herzl published Der Judenstaat ( The Jewish State ) , offering his vision of a future Jewish state ; the following year he presided over the First Zionist Congress .   The Second Aliyah ( 1904 -- 14 ) , began after the Kishinev pogrom ; some 40,000 Jews settled in Palestine , although nearly half of them left eventually . Both the first and second waves of migrants were mainly Orthodox Jews , although the Second Aliyah included socialist groups who established the kibbutz movement . During World War I , British Foreign Secretary Arthur Balfour sent the Balfour Declaration of 1917 to Baron Rothschild ( Walter Rothschild , 2nd Baron Rothschild ) , a leader of the British Jewish community , that stated that Britain intended for the creation of a Jewish `` national home '' within the Palestinian Mandate .   In 1918 , the Jewish Legion , a group primarily of Zionist volunteers , assisted in the British conquest of Palestine . Arab opposition to British rule and Jewish immigration led to the 1920 Palestine riots and the formation of a Jewish militia known as the Haganah ( meaning `` The Defense '' in Hebrew ) , from which the Irgun and Lehi , or the Stern Gang , paramilitary groups later split off . In 1922 , the League of Nations granted Britain a mandate over Palestine under terms which included the Balfour Declaration with its promise to the Jews , and with similar provisions regarding the Arab Palestinians . The population of the area at this time was predominantly Arab and Muslim , with Jews accounting for about 11 % , and Arab Christians at about 9.5 % of the population .   The Third ( 1919 -- 23 ) and Fourth Aliyahs ( 1924 -- 29 ) brought an additional 100,000 Jews to Palestine . The rise of Nazism and the increasing persecution of Jews in 1930s Europe led to the Fifth Aliyah , with an influx of a quarter of a million Jews . This was a major cause of the Arab revolt of 1936 -- 39 during which the British Mandate authorities alongside the Zionist militias of Haganah and Irgun killed 5,032 Arabs and wounded 14,760 , resulting in over ten percent of the adult male Palestinian Arab population killed , wounded , imprisoned or exiled . The British introduced restrictions on Jewish immigration to Palestine with the White Paper of 1939 . With countries around the world turning away Jewish refugees fleeing the Holocaust , a clandestine movement known as Aliyah Bet was organized to bring Jews to Palestine . By the end of World War II , the Jewish population of Palestine had increased to 33 % of the total population .   After world War II  Further information : Intercommunal conflict in Mandatory Palestine , United Nations Partition Plan for Palestine , and Israeli Declaration of Independence  After World War II , Britain found itself in intense conflict with the Jewish community over Jewish immigration limits , as well as continued conflict with the Arab community over limit levels . The Haganah joined Irgun and Lehi in an armed struggle against British rule . At the same time , hundreds of thousands of Jewish Holocaust survivors and refugees sought a new life far from their destroyed communities in Europe . The Yishuv attempted to bring these refugees to Palestine but many were turned away or rounded up and placed in detention camps in Atlit and Cyprus by the British .  UN Map , `` Palestine plan of partition with economic union ''  On 22 July 1946 , Irgun attacked the British administrative headquarters for Palestine , which was housed in the southern wing of the King David Hotel in Jerusalem . A total of 91 people of various nationalities were killed and 46 were injured . The hotel was the site of the Secretariat of the Government of Palestine and the Headquarters of the British Armed Forces in Palestine and Transjordan . The attack initially had the approval of the Haganah . It was conceived as a response to Operation Agatha ( a series of widespread raids , including one on the Jewish Agency , conducted by the British authorities ) and was the deadliest directed at the British during the Mandate era . It was characterized as one of the `` most lethal terrorist incidents of the twentieth century . '' In 1947 , the British government announced it would withdraw from Palestine , stating it was unable to arrive at a solution acceptable to both Arabs and Jews .   On 15 May 1947 , the General Assembly of the newly formed United Nations resolved that the United Nations Special Committee on Palestine be created `` to prepare for consideration at the next regular session of the Assembly a report on the question of Palestine . '' In the Report of the Committee dated 3 September 1947 to the General Assembly , the majority of the Committee in Chapter VI proposed a plan to replace the British Mandate with `` an independent Arab State , an independent Jewish State , and the City of Jerusalem ... the last to be under an International Trusteeship System . '' On 29 November 1947 , the General Assembly adopted Resolution 181 ( II ) recommending the adoption and implementation of the Plan of Partition with Economic Union . The plan attached to the resolution was essentially that proposed by the majority of the Committee in the report of 3 September . The Jewish Agency , which was the recognized representative of the Jewish community , accepted the plan . The Arab League and Arab Higher Committee of Palestine rejected it , and indicated that they would reject any other plan of partition . On the following day , 1 December 1947 , the Arab Higher Committee proclaimed a three - day strike , and Arab gangs began attacking Jewish targets . The Jews were initially on the defensive as civil war broke out , but in early April 1948 moved onto the offensive . The Arab Palestinian economy collapsed and 250,000 Palestinian Arabs fled or were expelled .  David Ben - Gurion proclaiming the Israeli Declaration of Independence on 14 May 1948  On 14 May 1948 , the day before the expiration of the British Mandate , David Ben - Gurion , the head of the Jewish Agency , declared `` the establishment of a Jewish state in Eretz - Israel , to be known as the State of Israel . '' The only reference in the text of the Declaration to the borders of the new state is the use of the term Eretz - Israel ( `` Land of Israel '' ) . The following day , the armies of four Arab countries -- Egypt , Syria , Transjordan and Iraq -- entered what had been British Mandatory Palestine , launching the 1948 Arab -- Israeli War ; contingents from Yemen , Morocco , Saudi Arabia and Sudan joined the war . The apparent purpose of the invasion was to prevent the establishment of the Jewish state at inception , and some Arab leaders talked about driving the Jews into the sea . According to Benny Morris , Jews felt that the invading Arab armies aimed to slaughter the Jews . The Arab league stated that the invasion was to restore law and order and to prevent further bloodshed .  Raising of the Ink Flag , marking the end of the 1948 Arab -- Israeli War  After a year of fighting , a ceasefire was declared and temporary borders , known as the Green Line , were established . Jordan annexed what became known as the West Bank , including East Jerusalem , and Egypt took control of the Gaza Strip . The United Nations estimated that more than 700,000 Palestinians were expelled by or fled from advancing Israeli forces during the conflict -- what would become known in Arabic as the Nakba ( `` catastrophe '' ) .   Early years of the state of Israel  Further information : Arab -- Israeli conflict  Israel was admitted as a member of the United Nations by majority vote on 11 May 1949 . Both Israel and Jordan were genuinely interested in a peace agreement but the British acted as a brake on the Jordanian effort in order to avoid damaging British interests in Egypt . In the early years of the state , the Labor Zionist movement led by Prime Minister David Ben - Gurion dominated Israeli politics . The Kibbutzim , or collective farming communities , played a pivotal role in establishing the new state .   Immigration to Israel during the late 1940s and early 1950s was aided by the Israeli Immigration Department and the non-government sponsored Mossad LeAliyah Bet ( `` Institution for Illegal Immigration '' ) . Both groups facilitated regular immigration logistics like arranging transportation , but the latter also engaged in clandestine operations in countries , particularly in the Middle East and Eastern Europe , where the lives of Jews were believed to be in danger and exit from those places was difficult . Mossad LeAliyah Bet was disbanded in 1953 . The immigration was in accordance with the One Million Plan . The immigrants came for differing reasons . Some believed in a Zionist ideology or did it for the promise of a better life in Israel , while others moved to escape persecution or were expelled .   An influx of Holocaust survivors and Jews from Arab and Muslim countries to Israel during the first three years increased the number of Jews from 700,000 to 1,400,000 . By 1958 , the population of Israel rose to two million . Between 1948 and 1970 , approximately 1,150,000 Jewish refugees relocated to Israel . Some new immigrants arrived as refugees with no possessions and were housed in temporary camps known as ma'abarot ; by 1952 , over 200,000 people were living in these tent cities . Jews of European background were often treated more favorably than Jews from Middle Eastern and North African countries -- housing units reserved for the latter were often re-designated for the former , with the result that Jews newly arrived from Arab lands generally ended up staying in transit camps for longer . Tensions that developed between the two groups over such discrimination persist to the present day . During this period , food , clothes and furniture had to be rationed in what became known as the austerity period . The need to solve the crisis led Ben - Gurion to sign a reparations agreement with West Germany that triggered mass protests by Jews angered at the idea that Israel could accept monetary compensation for the Holocaust .  Play media U.S. newsreel on the trial of Adolf Eichmann  During the 1950s , Israel was frequently attacked by Palestinian fedayeen , nearly always against civilians , mainly from the Egyptian - occupied Gaza Strip , leading to several Israeli counter-raids . In 1956 , Great Britain and</t>
  </si>
  <si>
    <t xml:space="preserve">where is israel located on the world map</t>
  </si>
  <si>
    <t xml:space="preserve"> Israel ( / ˈɪzreɪəl / ; Hebrew : יִשְׂרָאֵל ‎ , Arabic : إِسْرَائِيل ‎ ‎ ) , officially the State of Israel ( Hebrew : מְדִינַת יִשְׂרָאֵל ‎ , Arabic : دَوْلَة إِسْرَائِيل ‎ ‎ ) , is a country in the Middle East , on the southeastern shore of the Mediterranean Sea and the northern shore of the Red Sea . It has land borders with Lebanon to the north , Syria to the northeast , Jordan on the east , the Palestinian territories of the West Bank and Gaza Strip to the east and west , respectively , and Egypt to the southwest . The country contains geographically diverse features within its relatively small area . Israel 's economy and technology center is Tel Aviv , while its seat of government and proclaimed capital is Jerusalem , although the state 's sovereignty over East Jerusalem is not recognised internationally . </t>
  </si>
  <si>
    <t xml:space="preserve">Tinker Tailor Soldier Spy ( film ) - wikipedia  Tinker Tailor Soldier Spy ( film )  Jump to : navigation , search For the TV miniseries based on the novel , see Tinker Tailor Soldier Spy ( miniseries ) . For the novel by John LeCarré , see Tinker Tailor Soldier Spy .    Tinker Tailor Soldier Spy     British theatrical release poster     Directed by   Tomas Alfredson     Produced by     Tim Bevan   Eric Fellner   Robyn Slovo       Screenplay by   Bridget O'Connor Peter Straughan     Based on   Tinker Tailor Soldier Spy by John le Carré     Starring     Gary Oldman   Colin Firth   Tom Hardy   John Hurt   Toby Jones   Mark Strong   Benedict Cumberbatch   Ciarán Hinds       Music by   Alberto Iglesias     Cinematography   Hoyte van Hoytema     Edited by   Dino Jonsäter     Production company     StudioCanal   Karla Films   Paradis Films   Kinowelt Filmproduktion   Working Title Films       Distributed by   Focus Features     Release date     5 September 2011 ( 2011 - 09 - 05 ) ( Venice Film Festival )   16 September 2011 ( 2011 - 09 - 16 ) ( United Kingdom )             Running time   127 minutes     Country   France United Kingdom Germany     Language   English     Budget   $21 million     Box office   $80.6 million     Tinker Tailor Soldier Spy is a 2011 Cold War espionage film directed by Tomas Alfredson . The screenplay was written by Bridget O'Connor and Peter Straughan , based on John le Carré 's 1974 novel of the same name . The film , starring Gary Oldman as George Smiley , along with Colin Firth , Tom Hardy , John Hurt , Toby Jones , Mark Strong , Benedict Cumberbatch , and Ciarán Hinds , and featuring David Dencik , is set in London in the early 1970s and follows the hunt for a Soviet double agent at the top of the British secret service .   The film was produced and financed by France 's StudioCanal . It premiered in competition at the 68th Venice International Film Festival . It was a critical and commercial success , and was the highest - grossing film at the British box office for three consecutive weeks . It won the BAFTA Award for Best British Film . The film also received three Academy Awards nominations : Best Adapted Screenplay , Best Original Score , and for Oldman , Best Actor .   The novel had previously been adapted into the award - winning BBC TV miniseries Tinker Tailor Soldier Spy ( 1979 ) .     Contents  ( hide )   1 Plot   2 Cast   3 Production   3.1 Development   3.2 Casting   3.3 Filming   3.4 Post-production     4 Release   4.1 Critical response   4.2 Box office   4.3 Accolades     5 Possible sequel   6 References   7 External links      Plot ( edit )   In October 1973 , `` Control '' , head of British intelligence ( referred to as `` The Circus '' ) , sends agent Jim Prideaux to Budapest to meet a Hungarian general wishing to defect . Prideaux is shot and presumed killed . Amidst the international incident that follows , Control and his right - hand man George Smiley are forced into retirement ; Control dies of illness shortly after .   Percy Alleline becomes the new Chief , Bill Haydon his deputy and Roy Bland and Toby Esterhase as lieutenants . Despite Control and Smiley 's misgivings , their successors have already begun a secret operation -- `` Witchcraft '' -- to obtain highly sensitive information from the Soviet Union , which is in turn being traded with the CIA for American intelligence . Smiley is brought out of retirement by Cabinet Office civil servant Oliver Lacon to investigate a claim by Ricki Tarr , a British spy , that for years there has been a mole in a senior role in the Circus , as Control had suspected . Smiley chooses a trustworthy agent , Peter Guillam , and retired Special Branch officer Mendel to help him . He interviews former Circus analyst Connie Sachs , who was sacked by Alleline after deducing that Alexei Polyakov , a Soviet cultural attaché in London , was a spy .   Tarr tells Smiley that on a mission to Istanbul , he had an affair with Irina , a Soviet agent . She wanted to reveal the name of a mole in the top ranks of the Circus but when Tarr reported this to London , they ignored him and ordered him straight home , while the Soviets promptly kidnapped Irina . Concluding that the mole had intercepted his message , Tarr went into hiding , suspected of defecting and murdering the British station chief . Smiley sends Guillam to steal the Circus logbook for the night Tarr had called and he finds the pages for that night have been cut out , supporting Tarr 's story . Smiley interviews Prideaux , who reveals that after brutal interrogation , he was exchanged by the Soviets but sacked from the service . Prideaux says the purpose of the mission to Hungary was to get the name of the mole . Control had codenamed the suspects `` Tinker '' ( Alleline ) , `` Tailor '' ( Haydon ) , `` Soldier '' ( Bland ) , `` Poorman '' ( Esterhase ) and `` Beggarman '' ( Smiley ) .   Smiley learns that Alleline , Haydon , Bland and Esterhase have been meeting Polyakov -- the `` Witchcraft '' source -- at a safe house somewhere in London , where Polyakov gives them supposedly high - grade Soviet intelligence , in exchange for low - grade British material to help him maintain his cover with the Soviets . However , the mole is passing substantive material , including US intelligence , to Polyakov , his handler , whilst Polyakov 's material has just enough substance to persuade the CIA to share information with the British . Smiley blackmails the location of the safe house out of Esterhase , whose exile status makes him vulnerable to deportation . Smiley then has Tarr appear at the Paris office , implying he knows who the mole is . The mole is revealed to be Haydon when he meets Polyakov at the safe house , where Smiley captures him . The Circus plans to exchange Haydon with the Soviets but he is killed by Prideaux , who felt betrayed by him in the Budapest incident . Smiley returns to the Circus as its new chief .   Cast ( edit )    Gary Oldman as George Smiley ( `` Beggarman '' )   Colin Firth as Bill Haydon ( `` Tailor '' )   Tom Hardy as Ricki Tarr   Mark Strong as Jim Prideaux   Ciarán Hinds as Roy Bland ( `` Soldier '' )   Benedict Cumberbatch as Peter Guillam   David Dencik as Toby Esterhase ( `` Poorman '' )   Stephen Graham as Jerry Westerby   Simon McBurney as Oliver Lacon   Toby Jones as Percy Alleline ( `` Tinker '' )   John Hurt as Control   Kathy Burke as Connie Sachs   Roger Lloyd - Pack as Mendel   Svetlana Khodchenkova as Irina   Arthur Nightingale as Bryant   John le Carré as Christmas party guest   Christian McKay as Mackelvore   Konstantin Khabensky as Polyakov   Linda Marlowe as Mrs McCraig   Michael Sarne as Karla   Tomasz Kowalski as Boris   Stuart Graham as Minister   Zoltán Mucsi as Hungarian agent   Laura Carmichael as Sal    Production ( edit )   Development ( edit )   The project was initiated by Peter Morgan when he wrote a draft of the screenplay , which he offered to Working Title Films to produce . Morgan dropped out as the writer for personal reasons but still served as an executive producer . Following Morgan 's departure as writer , Working Title hired Peter Straughan and Bridget O'Connor to redraft the script . Park Chan - wook considered directing the film , but ultimately turned it down . Tomas Alfredson was confirmed to direct on 9 July 2009 . The production is his first English language film . The film was backed financially by France 's StudioCanal and had a budget corresponding to $21 million . The film is dedicated to O'Connor , who died of cancer during production .   Casting ( edit )   The director cast Gary Oldman in the role of George Smiley , and described the actor as having `` a great face '' and `` the quiet intensity and intelligence that 's needed '' . Many actors were connected to the other roles at various points , but only days before filming started , Oldman was still the only lead actor who officially had been contracted . David Thewlis was in talks for a role early on . Michael Fassbender was in talks at one point to star as Ricki Tarr , but the shooting schedule conflicted with his work on X-Men : First Class ; Tom Hardy was cast instead . On 17 September 2010 , Mark Strong was confirmed to have joined the cast . Jared Harris was cast but had to drop out because of scheduling conflicts with Sherlock Holmes : A Game of Shadows ; he was replaced by Toby Jones . John le Carré appears in a cameo as a guest in a party scene .   Filming ( edit )  Blythe House , the exterior of `` The Circus '' The Párizsi Udvar in Budapest , the setting for the Hungarian café scene .  Principal photography took place between 7 October and 22 December 2010 . Studio scenes were shot at a former army barracks in Mill Hill , North London . Blythe House in Kensington Olympia , West London , was used as the exterior for `` The Circus . '' The interior hall of Budapest 's Párizsi Udvar served as the location for the café scene , in which Jim Prideaux is shot . Empress Coach Works in Haggerston was used as the location for the Merlin safe house . Other scenes were filmed on Hampstead Heath and in Hampstead Ponds , where Smiley is shown swimming , and in the physics department of Imperial College London . The exterior shots of the Islay Hotel , a run - down hotel described in the film as being near Liverpool Street station , which Smiley uses as a base , were shot in Wilkin Street , London NW5 .   The events which take place in Czechoslovakia in the novel were moved to Hungary , because of the country 's 20 % rebate for film productions . The teams filmed in Budapest for five days . Right before Christmas , the team also filmed in Istanbul for nine days . The production reunited Alfredson with cinematographer Hoyte van Hoytema and editor Dino Jonsäter , with whom he had made his previous film Let the Right One In .   Post-production ( edit )   The film took six months to edit . The final song in the film , Julio Iglesias ' rendition of the French song `` La Mer '' , set against a visual montage of various characters and subplots being resolved as Smiley strides into Circus headquarters to assume command , was chosen because it was something the team thought George Smiley would listen to when he was alone ; Alfredson described the song as `` everything that the world of MI6 is n't '' . A scene where Smiley listens to the song was filmed , but eventually cut to avoid giving it too much significance .   Heard at a Circus office party , sung along to by the guests , is `` The Second Best Secret Agent in the Whole Wide World '' , composed by Sammy Cahn and Jimmy Van Heusen , and performed by Sammy Davis , Jr. , from the British spy spoof Licensed to Kill ( 1965 ) . At the same office Christmas function , the Circus staff sing the official `` State Anthem of the USSR '' , conducted by a figure dressed as Father Christmas but wearing a Lenin mask .   Release ( edit )  Gary Oldman at the Venice Film Festival for the premiere of the film  The film premiered in competition at the 68th Venice International Film Festival on 5 September 2011 . StudioCanal UK distributed the film in the United Kingdom , where it was released on 16 September 2011 . The US rights were acquired by Universal Pictures , which have a permanent first - look deal with Working Title , and they passed the rights to their subsidiary Focus Features . Focus planned to give the film a wide release in the United States on 9 December 2011 but pushed it to January 2012 , when it was given an 800 screen release .   Critical response ( edit )   Tinker Tailor Soldier Spy received generally positive reviews . The film scored 83 % on Rotten Tomatoes , based on 211 reviews , with an average rating of 7.8 / 10 . The site 's summary called the film `` a dense puzzle of anxiety , paranoia , and espionage that director Tomas Alfredson pieces together with utmost skill '' . Metacritic , which assigns a normalised rating in the 0 -- 100 range based on reviews from top mainstream critics , calculated an average score of 85 based on 42 reviews , indicating `` universal acclaim '' .   Jonathan Romney of The Independent wrote , `` The script is a brilliant feat of condensation and restructuring : writers Peter Straughan and the late Bridget O'Connor realise the novel is overtly about information and its flow , and reshape its daunting complexity to highlight that '' . David Gritten of The Daily Telegraph declared the film `` a triumph '' and gave it a five star rating , as did his colleague , Sukhdev Sandhu . Stateside , Peter Travers of Rolling Stone wrote , `` As Alfredson directs the expert script by Peter Straughan and Bridget O'Connor , the film emerges as a tale of loneliness and desperation among men who can never disclose their secret hearts , even to themselves . It 's easily one of the year 's best films . '' M. Enois Duarte of High - Def Digest also praised the film as a `` brilliant display of drama , mystery and suspense , one which regards its audience with intelligence '' .   Detractors of the film included Peter Hitchens of The Mail on Sunday , who wrote that the plot would be too baffling for viewers who had not read the book , and that the film 's makers had `` needlessly messed it up '' . David Edwards of the Daily Mirror wrote , `` The big question -- and one le Carré himself asked when the film was announced -- is whether such a hefty novel can fit comfortably into a feature - length production . In answering this , the writers have pared things back , meaning it 's far pacier than the seven - part TV show . Unfortunately , the plot is every bit as bewildering with an overload of spy - speak , a few too many characters to keep track of and a final act that ends with a whimper , rather than a bang . '' The Telegraph 's Guy Stagg , meanwhile , thought that the movie needed a car chase in the middle . Writing in The Atlantic , le Carré admirer James Parker favourably contrasted Smiley with the James Bond franchise but found this Tinker Tailor adaptation `` problematic '' compared to the 1979 BBC mini-series . He wrote : `` To strip down or minimalize le Carré , however , is to sacrifice the almost Tolkienesque grain and depth of his created world : the decades - long backstory , the lingo , the arcana , the liturgical repetitions of names and functions '' .   Box office ( edit )   The film topped the British box office chart for three consecutive weeks and earned $80,630,608 worldwide .   Accolades ( edit )     ( show ) List of awards and nominations     Award   Date of ceremony   Category   Recipient ( s ) and nominee ( s )   Result     Academy Awards   26 February 2012   Best Actor   Gary Oldman   Nominated     Best Adapted Screenplay   Bridget O'Connor , Peter Straughan   Nominated     Best Original Score   Alberto Iglesias   Nominated     Amanda Award   17 August 2012   Best Foreign Film   Tomas Alfredson   Nominated     American Society of Cinematographers   12 February 2012   Best Cinematography in a Feature Film   Hoyte van Hoytema   Nominated     Art Directors Guild   4 February 2012   Period Film   Maria Djurkovic ( Production Designer )   Nominated     British Academy Film Awards   12 February 2012   Best Film     Nominated     Outstanding British Film     Won     Best Actor in a Leading Role   Gary Oldman   Nominated     Best Director   Tomas Alfredson   Nominated     Best Adapted Screenplay   Bridget O'Connor , Peter Straughan   Won     Best Original Music   Alberto Iglesias   Nominated     Best Cinematography   Hoyte van Hoytema   Nominated     Best Editing   Dino Jonsater   Nominated     Best Production Design   Maria Djurkovic , Tatiana MacDonald   Nominated     Best Costume Design   Jacqueline Durran   Nominated     Best Sound     Nominated     Outstanding British Contribution to Cinema   John Hurt   Won     British Film Bloggers Circle Awards   21 February 2012   Best Film     Nominated     Best British Film     Nominated     Best Actor   Gary Oldman   Nominated     Best Director   Tomas Alfredson   Nominated     Best Adapted Screenplay     Won     British Independent Film Awards   4 December 2011   Best British Independent Film   Tinker Tailor Soldier Spy   Nominated     Best Director of a British Independent Film   Tomas Alfredson   Nominated     Best Performance by an Actor in a British Independent Film   Gary Oldman   Nominated     Best Technical Achievement   Maria Djurkovic ( Production Design )   Won     Best Supporting Actress   Kathy Burke   Nominated     Best Supporting Actor   Tom Hardy   Nominated     Benedict Cumberbatch   Nominated     British Film Institute   4 December 2011   Top Ten Films     Won     Best Film     10th Place     Burgundy Film Critics Awards   24 February 2013   Best Foreign Film   Tomas Alfredson   Won     Ciak d'oro   6 June 2012   Best Foreign Film   Tomas Alfredson   Runner - up     Chicago Film Critics Association   19 December 2011   Best Actor   Gary Oldman   Nominated     Best Adapted Screenplay   Bridget O'Connor , Peter Straughan   Nominated     Crime Thriller Awards   18 September 2012   Best Film     Won     Conch Awards   19 September 2012   Best Film Soundtrack   Stephen Griffiths   Won     Best Film Mix Facility   Goldcrest Post Production   Nominated     Best Sound Design &amp; Editorial Team   Andy Shelley and Stephen Griffiths   Nominated     Denver Film Critics Society   11 January 2012   Best Cast     Nominated     Best Original Score   Alberto Iglesias   Nominated     Dublin Film Critics Circle Awards   23 December 2011   Top Ten Films     Won     Best Film     4th Place     Top Ten Directors   Tomas Alfredson   Won     Best Director   Tomas Alfredson   4th Place     Top Ten Actors   Gary Oldman   Won     Best Actor   Gary Oldman   3rd Place     Empire Awards   25 March 2012   Best Film     Nominated     Best British Film     Won     Best Actor   Gary Oldman   Won     Best Director   Tomas Alfredson   Nominated     Best Thriller     Won     European Film Awards   1 December 2012   Best Actor   Gary Oldman   Nominated     Best Production Design   Maria Djurkovic   Won     Best Cinematography   Hoyte van Hoytema   Nominated     Best Original Score   Alberto Iglesias   Won     People 's Choice Award -- Best European Film   Tomas Alfredson   Won     Evening Standard British Film Awards   7 February 2012   Best Film     Nominated     Best Actor   Gary Oldman   Nominated     Best Technical Achievement   Maria Djurkovic   Nominated     Alexander Walker Special Award   John Hurt   Won     Golden Trailer Awards   31 May 2012   Best Drama Trailer     Nominated     Best Thriller Trailer     Nominated     Best Independent Poster     Won     Best Drama Poster     Nominated     Georgia Film Critics Association   16 January 2012   Best Film     Nominated     Best Director   Tomas Alfredson   Nominated     Best Actor in a Leading Role   Gary Oldman   Nominated     Best Supporting Actor   Tom Hardy   Nominated     Best Ensemble Cast     Won     Best Adapted Screenplay   Bridget O'Connor , Peter Straughan   Nominated     Best Cinematography   Hoyte van Hoytema   Nominated     Best Production Design   Maria Djurkovic   Nominated     Gotham Independent Film Awards   18 November 2011   Gotham Tribute Award   Gary Oldman   Won     Hollywood Film Festival   24 October 2011   Best Composer   Alberto Iglesias   Won     International Chinephile Society   22 February 2012   Best Cast     Runner - up     Best Adapted Screenplay   Bridget O'Connor , Peter Straughan   Won     Best Production Design   Maria Djurkovic   Runner - up     Best Original Score   Alberto Iglesias   Runner - up     International Federation of Film Critics Award   10 September 2012   Grand Prix for the best film   Tomas Alfredson   9th Place     International Online Film Critics ' Poll   20 December 2012   Best Film -- Motion Picture     Won     Top Ten Films     Won     Best Director   Tomas Alfredson   Won     Best Actor in a Leading Role   Gary Oldman   Won     Best Ensemble Cast     Won     Best Adapted Screenplay   Bridget O'Connor , Peter Straughan   Won     Best Cinematography   Hoyte van Hoytema   Nominated     Best Production Design   Maria Djurkovic   Won     Best Editing   Dino Jonsäter   Nominated     Best Original Score   Alberto Iglesias   Nominated     Irish Film and Television Awards   11 February 2012   Best International Film     Won     Actor in a Lead Role in a Feature Film   Ciarán Hinds   Nominated     International Actor   Gary Oldman   Nominated     Italian Online Film Actors &amp; Dubbers Award   1 September 2012   Best Foreign Actor   Gary Oldman   Won     Best Foreign Supporting Actor   Tom Hardy   Nominated     Best Foreign Cast     Won     Best Male Dubber   Stefano De Sando   Won     Public Choice Award for Best Performance   Gary Oldman   Won     Italy Screenplay Prize   13 July 2012   Best Film     Won     Top Ten Films     Won     Best Adapted Screenplay -- International   Bridget O'Connor , Peter Straughan   Won     Special Award for Best Director   Tomas Alfredson   Won     Special Award for Best Performance   Gary Oldman   Won     Las Vegas Film Critics Society   13 December 2011   Best Actor   Gary Oldman   Nominated     Best Screenplay   Bridget O'Connor , Peter Straughan   Nominated     Best Art Direction   Maria Djurkovic   Nominated     Best Cinematography     Nominated     Best Editing   Dino Jonsater   Nominated     London Film Critics Circle Award   19 January 2012   Top Ten Film     Won     Best Film     4th Place     Best British Film     Nominated     Best Actor   Gary Oldman   Nominated     Best British Actor   Gary Oldman   Nominated     Best Screenplay   Bridget O'Connor , Peter Straughan   Nominated     Best Technical Achievement   Maria Djurkovic   Won     Los Angeles Film Critics Association   11 December 2011   Best Art Direction   Maria Djurkovic   Runner - up     Metacritic Awards   5 January 2012   Best Reviewed Drama     3rd Place     Best Reviewed Thriller     Won     Movie Farm Awards   12 February 2012   Best Actor   Gary Oldman   Won     Music &amp; Sound Awards     Best Original Composition in a Film   Alberto Iglesias   Won     Online Film Critics Society Awards   2 January 2012   Best Actor   Gary Oldman   Nominated     Best Adapted Screenplay     Won     Best Editing   Dino Jonsater   Nominated     Online Film &amp; Television Association   5 February 2012   Best Actor   Gary Oldman   Nominated     Best Adapted Screenplay     Won     Best Production Design   Maria Djurkovic   Nominated     Best Cast     Won     Best Casting   Jina Jay   Won     Palm Springs International Film Festival   15 January 2012   Best International Star   Gary Oldman   Won     Phoenix Film Critics Society   27 December 2011   Best Actor   Gary Oldman   Nominated     Premio Cinema Ludus   19 November 2012   Gran Prix for Best Film   Tomas Alfredson   Won     Prix for Best Actor   Gary Oldman   Won     Best European Film     Won     Best European Director   Tomas Alfredson   Won     Best European Actor   Gary Oldman   Won     Best European Screenplay   Bridget O'Connor , Peter Straughan   Won     Best European Technical Achievement   Maria Djurkovic   Won     Best Producer   Tim Bevan , Eric Fellner   Won     Richard Attenborough Regional Film Awards   2 February 2012   Best British Film of the year     Won     Best Actor of the year   Gary Oldman   Nominated     Best British Actor of the year   Gary Oldman   Won     Best Screenplay   Bridget O'Connor , Peter Straughan   Won     San Francisco Film Critics Circle   25 March 2012   Best Actor   Gary Oldman   Won     Best Adapted Screenplay   Bridget O'Connor , Peter Straughan   Won     Satellite Award   18 December 2011   Best Film -- Motion Picture     Nominated     Best Director   Tomas Alfredson   Nominated     Best Actor -- Motion Picture   Gary Oldman   Nominated     Spanish Film Music Critics Awards   29 June 2012   Best Spanish Composer   Alberto Iglesias   Won     Stockholm Film Festival   20 November 2011   FIPRESCI Award     Won     Sydney Film Critics   21 December 2011   Top Twenty Unreleased Films     Won     Best Unreleased Film     4th Place     Total Film Hotlist   3 August 2012   Hottest Film     Nominated     Hottest Actor   Benedict Cumberbatch   Nominated     Hottest Actor   Tom Hardy   Nominated     Venice Film Festival   10 September 2011   Golden Lion     Nominated     Virgin Media Movie Awards   1 March 2012   Best Film     Nominated     Washington D.C. Area Film Critics Association   5 December 2011   Best Adapted Screenplay   Bridget O'Connor , Peter Straughan   Nominated     YouMovie Awards   30 June 2012   Best Film     Won     Best Drama Film     Won     Best Thriller     Won     Best Actor in a Leading Role   Gary Oldman   Won     Best Supporting Actor   Benedict Cumberbatch   Nominated     Best Supporting Actor   Colin Firth   Nominated     Best Cast     Won     Best Villain   Colin Firth   Nominated     Best Director   Tomas Alfredson   Won     Best Trailer     Won     Best Cinematography   Hoyte Van Hoytema   Nominated     Best Art Direction   Maria Djurkovic   Nominated     Best Screenplay   Bridget O'Connor , Peter Straughan   Won     Best Costume Design   Jaqueline Durran   Nominated     World Soundtrack Academy   20 October 2012   Best Score of the Year   Alberto Iglesias   Won     Best Composer of the Year   Alberto Iglesias   Won     Possible sequel ( edit )   While doing press for Working Title 's Les Misérables film adaptation , producer Eric Fellner stated that fellow producer Tim Bevan was working with writer Straughan and director Alfredson on developing a sequel to Tinker Tailor Soldier Spy . Fellner did not specify whether or not the sequel would be based on The Honourable Schoolboy or Smiley 's People , the two remaining Smiley novels in Le Carré 's Karla trilogy . While doing press for Dawn of the Planet of the Apes in 2014 , Oldman stated that talk of a sequel , an adaptation of Smiley 's People , had since disappeared ; while also stressing that he would still like to see the film produced . However , in July 2016 Oldman confirmed that the sequel was in its early stages , stating , `` There is a script , but I do n't know when we will shoot . ''   References ( edit )    Jump up ^ `` Tinker , Tailor , Soldier , Spy ( 2011 ) - Box Office Mojo '' . boxofficemojo.com .   Jump up ^ Radish , Christina ( 14 October 2010 ) . `` Screenwriter Peter Morgan Exclusive Interview '' . Collider . Retrieved 21 October 2010 .   Jump up ^ Lee , Rachel ( 29 March 2012 ) . `` Park Chan - wook stalks a thriller with ' Stoker ' '' . Korea JoongAng Daily . Retrieved 17 April 2012 .   Jump up ^ de Semlyen , Phil ( 9 July 2009 ) . `` Tomas Alfredson to Direct Tinker , Tailor '' . Empire . Retrieved 26 September 2011 .   Jump up ^ `` Tomas Alfredson to direct Tinker , Tailor , Soldier , Spy '' . Screen Daily . 9 July 2009 . Retrieved 26 September 2011 .   ^ Jump up to : Tutt , Louise ( 8 December 2011 ) . `` How to tailor a spy classic '' . Screen International . Retrieved 11 December 2011 .   Jump up ^ Hoskin , Peter ; Mason , Simon ( 23 October 2010 ) . `` Interview -- Tomas Alfredson : outside the frame '' . The Spectator . Retrieved 23 March 2011 .   Jump up ^ White , James ( 8 July 2010 ) . `` Cast Confirmed For Tinker , Tailor '' . Empire . Retrieved 26 September 2011 .   Jump up ^ Goldberg , Matt ( 3 September 2010 ) . `` Tom Hardy Replaces Michael Fassbender in Tinker , Tailor , Soldier , Spy '' . Collider . Retrieved 26 September 2011 .   Jump up ^ Anderton , Ethan ( 17 September 2010 ) . `` Mark Strong Lands a Role in ' Tinker , Tailor , Soldier , Spy ' '' . FirstShowing . Retrieved 26 September 2011 .   Jump up ^ Goldberg , Matt ( 22 October 2010 ) . `` Jones Replaces Harris in Tinker , Tailor , Soldier , Spy ; Hurt , Graham , Lloyd - Pack , Dencik , and Burke Join Cast '' . Collider . Retrieved 23 March 2011 .   Jump up ^ Solomons , Jason ( August 20 , 2011 ) . `` Trailer Trash : John Le Carré makes a cameo at an MI6 Christmas party '' . The Observer .   Jump up ^ `` Tinker , Tailor , Soldier , Spy '' . Screenbase . Retrieved 23 March 2011 .   Jump up ^ `` Film London -- September 2011 -- Blythe House '' . Film London . Retrieved 21 September 2011 .   Jump up ^ Goundry , Nick ( 13 September 2011 ) . `` Tinker Tailor Soldier Spy films Cold War Europe in London , Budapest and Istanbul '' . The Location Guide . Retrieved 12 March 2012 .   Jump up ^ Ramachandran , Naman ( 7 December 2010 ) . `` Alfredson shoots ' Tinker , Tailor , Soldier , Spy ' '' . Cineuropa . Retrieved 1 June 2011 .   Jump up ^ Gradvall , Jan ( 3 December 2011 ) . `` Tomas Alfredson : Jag avskyr intryck just nu '' . di.se ( in Swedish ) . Retrieved 11 December 2011 . Julio Iglesisas version av La Mer blir allt som MI6 - världen inte är .   Jump up ^ French , Phillip ( 17 September 2012 ) . `` Tinker Tailor Soldier Spy -- review '' . The Guardian . Retrieved 6 February 2012 .   Jump up ^ `` Venezia 68 : Tinker , Tailor , Soldier , Spy -- Tomas Alfredson '' . labiennale.org . Venice Biennale . Retrieved 27 August 2011 .   Jump up ^ `` Tinker , Tailor , Soldier , Spy '' . Screenrush.co.uk . Tiger Global . Retrieved 1 June 2011 .   Jump up ^ Brevet , Brad ( 29 August 2011 ) . `` Ugh , No ' Tinker , Tailor , Soldier , Spy ' Until December '' . Retrieved 2 September 2011 .   Jump up ^ Staff ( 2011 ) . `` Tinker Tailor Soldier Spy '' . Rotten Tomatoes . Retrieved 7 July 2012 .   Jump up ^ `` Tinker Tailor Soldier Spy '' . Metacritic . CBS Interactive . Retrieved 29 May 2012 .   Jump up ^ Romney , Jonathan ( 18 September 2011 ) . `` Tinker Tailor Soldier Spy '' . The Independent . London : INM . ISSN 0951 - 9467 . OCLC 185201487 . Retrieved 26 September 2011 .   Jump up ^ Gritten , David ( 5 September 2011 ) . `` Venice Film Festival : Tinker , Tailor , Soldier , Spy -- first review '' . The Daily Telegraph . London . ISSN 0307 - 1235 . OCLC 49632006 . Retrieved 26 September 2011 .   Jump up ^ Sandhu , Sukhdev ( 15 September 2011 ) . `` Tinker , Tailor , Soldier , Spy -- review '' . The Daily Telegraph . London . Retrieved 22 October 2011 .   Jump up ^ Travers , Peter ( 8 December 2011 ) . `` Tinker Tailor Soldier Spy '' . Rolling Stone . Retrieved 17 March 2012 .   Jump up ^ Duarte , M. Enois ( 20 March 2012 ) . `` Tinker Tailor Soldier Spy ( Blu - ray ) '' . High - Def Digest . Retrieved 20 March 2012 .   Jump up ^ Peter Hitchens ( 21 September 2011 ) . `` Tinker , Tailor , Soldier , Travesty '' . The Mail on Sunday . Retrieved 25 September 2011 .   Jump up ^ Edwards , David ( 16 September 2011 ) . `` Tinker Tailor Soldier Spy movie review : Thriller is impressive -- but not so entertaining '' . Daily Mirror . London . ISSN 9975 - 9950 . OCLC 223228477 . Retrieved 26 September 2011 .   Jump up ^ Guy Staff . `` Tinker , Tailor , Soldier , Spy would have been so much better with a high speed car chase '' . The Telegraph . Retrieved 29 March 2016 .   Jump up ^ Parker , James ( December 2011 ) . `` The Anti -- James Bond '' . The Atlantic . Retrieved 6 February 2012 .   Jump up ^ `` Tinker , Tailor , Soldier , Spy : United Kingdom '' . Box Office Mojo . Amazon.com . Retrieved 14 October 2011 .   Jump up ^ `` Tinker , Tailor , Soldier , Spy '' . Box Office Mojo . Amazon . Retrieved 14 October 2011 .   Jump up ^ Eng , David ( 20 June 2012 ) . `` 2012 Amandaprisen , Norwegian Film Awards -- nominations '' . Chino Kino . Retrieved 18 August 2013 .   Jump up ^ `` The American Society of Cinematographers Nominates '' . The ASC. 11 January 2011 . Retrieved 15 January 2012 .   Jump up ^ Kilday , Gregg ( 3 January 2012 ) . `` Art Directors Nominate Movies as Different as ' Harry Potter ' and ' The Girl with the Dragon Tattoo ' '' . The Hollywood Reporter . Retrieved 15 January 2012 .   Jump up ^ `` Amour vince il premio della critica di Borgogna '' . Film e dvd . Retrieved 18 August 2013 .   Jump up ^ `` International Online Film Critics Poll unveil nominees '' . Flickering Myth. 1 December 2012 . Retrieved 18 August 2013 .   Jump up ^ `` International Online Film Critics Poll declares 3rd edition winners '' . Flickering Myth. 20 December 2012 . Retrieved 18 August 2013 .   Jump up ^ `` I vincitori del Premio Cinema Ludus 2012 '' . cinemaitaliano.info .   Jump up ^ Ferraro , Pietro . Il Cinemaniaco ( 11 June 2012 )   Jump up ^ Carla Cicognini , Cineblog.it ( 30 June 2012 )   Jump up ^ Chitwood , Adam ( 11 December 2012 ) . `` Producer Eric Fellner Talks ; Says Tomas Alfredson and Screenwriter Peter Straughan are Working on it `` As We Speak '' `` . Collider . Retrieved 11 December 2012 .   Jump up ^ `` Keri Russell and Gary Oldman Talk DAWN OF THE PLANET OF THE APES '' . Collider. 26 April 2014 .   Jump up ^ `` Gary Oldman to return in ' Tinker Tailor So</t>
  </si>
  <si>
    <t xml:space="preserve">who played smiley in tinker tailor soldier spy</t>
  </si>
  <si>
    <t xml:space="preserve"> Tinker Tailor Soldier Spy is a 2011 Cold War espionage film directed by Tomas Alfredson . The screenplay was written by Bridget O'Connor and Peter Straughan , based on John le Carré 's 1974 novel of the same name . The film , starring Gary Oldman as George Smiley , along with Colin Firth , Tom Hardy , John Hurt , Toby Jones , Mark Strong , Benedict Cumberbatch , and Ciarán Hinds , and featuring David Dencik , is set in London in the early 1970s and follows the hunt for a Soviet double agent at the top of the British secret service . </t>
  </si>
  <si>
    <t xml:space="preserve">Micrometer - wikipedia  Micrometer  Jump to : navigation , search This article is about the measuring device . For the unit of length , see Micrometre . Modern micrometer with a reading of 1.639 mm ± 0.005 mm . Assuming no zero error , this is also the measurement . Outside , inside , and depth micrometers  A micrometer ( / maɪˈkrɒmɪtər / my - KROM - i - tər ) , sometimes known as a micrometer screw gauge , is a device incorporating a calibrated screw widely used for precise measurement of components in mechanical engineering and machining as well as most mechanical trades , along with other metrological instruments such as dial , vernier , and digital calipers . Micrometers are usually , but not always , in the form of calipers ( opposing ends joined by a frame ) , which is why micrometer caliper is another common name . In Newton 's second law of motion , he clearly stated that the solution to appropriating micrometer methods was to assume that the change in momentum is brought about by and external resultant force and this resultant force is proportional to the change in momentum which it constitutes . The spindle is a very accurately machined screw and the object to be measured is placed between the spindle and the anvil . The spindle is moved by turning the ratchet knob or thimble until the object to be measured is lightly touched by both the spindle and the anvil .   Micrometers are also used in telescopes or microscopes to measure the apparent diameter of celestial bodies or microscopic objects . The micrometer used with a telescope was invented about 1638 by William Gascoigne , an English astronomer .   Colloquially the word micrometer is often shortened to mike or mic ( / ˈmaɪk / MYKE ) .     Contents  ( hide )   1 History of the device and its name   2 Types   2.1 Basic types   2.2 Specialized types     3 Operating principles   4 Parts   5 Reading   5.1 Customary / Imperial system   5.2 Metric system   5.3 Vernier     6 Torque repeatability via torque - limiting ratchets or sleeves   7 Calibration : testing and adjusting   7.1 Zeroing   7.2 Testing   7.3 Adjustment     8 See also   9 References   9.1 Bibliography     10 External links      History of the device and its name ( edit )  Gascoigne 's Micrometer as drawn by Robert Hooke  The word micrometer is a neoclassical coinage from Greek micros , meaning ' small ' , and metron , meaning ' measure ' . The Merriam - Webster Collegiate Dictionary says that English got it from French and that its first known appearance in English writing was in 1670 . Neither the metre nor the micrometre ( μm ) nor the micrometer ( device ) as we know them today existed at that time . However , the people of that time did have much need for , and interest in , the ability to measure small things and small differences . The word was no doubt coined in reference to this endeavor , even if it did not refer specifically to its present - day senses .   The first ever micrometric screw was invented by William Gascoigne in the 17th century , as an enhancement of the vernier ; it was used in a telescope to measure angular distances between stars and the relative sizes of celestial objects .   Henry Maudslay built a bench micrometer in the early 19th century that was jocularly nicknamed `` the Lord Chancellor '' among his staff because it was the final judge on measurement accuracy and precision in the firm 's work . In 1844 details of Whitworth 's workshop micrometer were published . This was described as having a strong frame of cast iron , the opposite ends of which were two highly finished steel cylinders , which traversed longitudinally by action of screws . The ends of the cylinders where they met was of hemispherical shape . One screw was fitted with a wheel graduated to measure to the ten thousandth of an inch . His object was to furnish ordinary mechanics with an instrument which , while it afforded very accurate indications , was yet not very liable to be deranged by the rough handling of the workshop .   The first documented development of handheld micrometer - screw calipers was by Jean Laurent Palmer of Paris in 1848 ; the device is therefore often called palmer in French , tornillo de Palmer ( `` Palmer screw '' ) in Spanish , and calibro Palmer ( `` Palmer caliper '' ) in Italian . ( Those languages also use the micrometer cognates : micromètre , micrómetro , micrometro . ) The micrometer caliper was introduced to the mass market in anglophone countries by Brown &amp; Sharpe in 1867 , allowing the penetration of the instrument 's use into the average machine shop . Brown &amp; Sharpe were inspired by several earlier devices , one of them being Palmer 's design . In 1888 Edward W. Morley added to the precision of micrometric measurements and proved their accuracy in a complex series of experiments .   The culture of toolroom accuracy and precision , which started with interchangeability pioneers including Gribeauval , Tousard , North , Hall , Whitney , and Colt , and continued through leaders such as Maudslay , Palmer , Whitworth , Brown , Sharpe , Pratt , Whitney , Leland , and others , grew during the Machine Age to become an important part of combining applied science with technology . Beginning in the early 20th century , one could no longer truly master tool and die making , machine tool building , or engineering without some knowledge of the science of metrology , as well as the sciences of chemistry and physics ( for metallurgy , kinematics / dynamics , and quality ) .   Types ( edit )   Basic types ( edit )  Large micrometer caliper .  Specialized types ( edit )  Another large micrometer in use .  Each type of micrometer caliper can be fitted with specialized anvils and spindle tips for particular measuring tasks . For example , the anvil may be shaped in the form of a segment of screw thread , in the form of a v - block , or in the form of a large disc .    Universal micrometer sets come with interchangeable anvils , such as flat , spherical , spline , disk , blade , point , and knife - edge . The term universal micrometer may also refer to a type of micrometer whose frame has modular components , allowing one micrometer to function as outside mic , depth mic , step mic , etc. ( often known by the brand names Mul - T - Anvil and Uni-Mike ) .   Blade micrometers have a matching set of narrow tips ( blades ) . They allow , for exam ple , the m easuring of a narrow o - ring groove .   Pitch - diameter micrometers ( aka thread mics ) have a matching set of thre   Limit mics have two anvils and two spindles , and are used like a snap gauge . The part being checked must pass through the first gap and must stop at the second gap in order to be within specification . The two gaps accurately reflect the top and bottom of th e tolerance range .   Bore micrometer , typically a three - anvil head on a micrometer base used to accurately measure inside diameters .   Tube micrometers have a cylindrical anvil positioned perpendicularly to a spindle and is used to measure the thickness of tubes .   Micrometer stops are micrometer heads that are mounted on the table of a manual milling machine , bedways of a lathe , or other machine tool , in place of simple stops . They help the operator to position the table or carriage precisely . Stops can also be used to actuate kickout mechanisms or limit switches to halt an automatic feed system .   Ball micrometers have ball - shaped ( spherical ) anvils . They may have one flat and one ball anvil , in which case they are used for measuring tube wall thickness , distance of a hole to an edge , and other distances where one anvil must be placed against a rounded surface . They differ in application from tube micrometers in that they may be used to measure against rounded surfaces which are not tubes , but the ball anvil may also not be able to fit into smaller tubes as easily as a tube micrometer . Ball micrometers with a pair of balls can be used when single - tangential - point contact is desired on both sides . The most common example is in measuring the pitch diameter of screw threads ( which is also done with conical anvils or the 3 - wire method , the latter of which uses similar geometry as the pair - of - balls approach ) .   Bench micrometers are tools for inspection use whose accuracy and precision are around half a micrometre ( 20 millionths of an inch , `` a fifth of a tenth '' in machinist jargon ) and whose repeatability is around a quarter micrometre ( `` a tenth of a tenth '' ) . An example is the Pratt &amp; Whitney Supermicrometer brand .   Digit mics are the type with mechanical digits that roll over .   Digital mics are the type that uses an encoder to detect the distance and displays the result on a digital screen .   V mics are outside mics with a small V - block for an anvil . They are useful for measuring the diameter of a circle from three points evenly spaced around it ( versus the two points of a standard outside micrometer ) . An example of when this is necessary is measuring the diameter of 3 - flute endmills and twist drills .    Operating principles ( edit )  Animation of a micrometer used to measure an black object . The measurement is 4.140 mm ± 0.005 mm .  Micrometers use the principle of a screw to amplify small distances ( that are too small to measure directly ) into large rotations of the screw that are big enough to read from a scale . The accuracy of a micrometer derives from the accuracy of the thread - forms that are central to the core of its design . In some cases it is a differential screw . The basic operating principles of a micrometer are as follows :    The amount of rotation of an accurately made screw can be directly and precisely correlated to a certain amount of axial movement ( and vice versa ) , through the constant known as the screw 's lead ( / ˈliːd / ) . A screw 's lead is the distance it moves forward axially with one complete turn ( 360 ° ) . ( In most threads ( that is , in all single - start threads ) , lead and pitch refer to essentially the same concept . )   With an appropriate lead and major diameter of the screw , a given amount of axial movement will be amplified in the resulting circumferential movement .    For example , if the lead of a screw is 1 mm , but the major diameter ( here , outer diameter ) is 10 mm , then the circumference of the screw is 10π , or about 31.4 mm . Therefore , an axial movement of 1 mm is amplified ( magnified ) to a circumferential movement of 31.4 mm . This amplification allows a small difference in the sizes of two similar measured objects to correlate to a larger difference in the position of a micrometer 's thimble . In some micrometers , even greater accuracy is obtained by using a differential screw adjuster to move the thimble in much smaller increments than a single thread would allow .   In classic - style analog micrometers , the position of the thimble is read directly from scale markings on the thimble and sleeve ( for names of parts see next section ) . A vernier scale is often included , which allows the position to be read to a fraction of the smallest scale mark . In digital micrometers , an electronic readout displays the length digitally on an LCD on the instrument . There also exist mechanical - digit versions , like the style of car odometers where the numbers `` roll over '' .   Parts ( edit )  The parts of a micrometer caliper , labeled . ( Notice also that there is a handy decimal - fraction equivalents chart printed right on the frame of this inch - reading micrometer . )  A micrometer is composed of :    Frame   The C - shaped body that holds the anvil and barrel in constant relation to each other . It is thick because it needs to minimize flexion , expansion , and contraction , which would distort the measurement . The frame is heavy and consequently has a high thermal mass , to prevent substantial heating up by the holding hand / fingers . It is often covered by insulating plastic plates which further reduce heat transference . Explanation : if one holds the frame long enough so that it heats up by 10 ° C , then the increase in length of any 10 cm linear piece of steel is of magnitude 1 / 100 mm . For micrometers this is their typical accuracy range . Micrometers typically have a specified temperature at which the measurement is correct ( often 20 ° C ( 68 ° F ) , which is generally considered `` room temperature '' in a room with HVAC ) . Toolrooms are generally kept at 20 ° C ( 68 ° F ) .   Anvil   The shiny part that the spindle moves toward , and that the sample rests against .   Sleeve / barrel / stock   The stationary round component with the linear scale on it , sometimes with vernier markings . In some instruments the scale is marked on a tight - fitting but movable cylindrical sleeve fitting over the internal fixed barrel . This allows zeroing to be done by slightly altering the position of the sleeve .   Lock nut / lock - ring / thimble lock   The knurled component ( or lever ) that one can tighten to hold the spindle stationary , such as when momentarily holding a measurement .   Screw   ( not seen ) The heart of the micrometer , as explained under `` Operating principles '' . It is inside the barrel . This references the fact that the usual name for the device in German is Messschraube , literally `` measuring screw '' .   Spindle   The shiny cylindrical component that the thimble causes to move toward the anvil .   Thimble   The component that one 's thumb turns . Graduated markings .   Ratchet stop   ( not shown in illustration ) Device on end of handle that limits applied pressure by slipping at a calibrated torque .    Reading ( edit )   Customary / Imperial system ( edit )  Micrometer thimble showing a reading of 0.2760 in ± 0.0005 in .  The spindle of a micrometer graduated for the Imperial and US customary measurement systems has 40 threads per inch , so that one turn moves the spindle axially 0.025 inch ( 1 ÷ 40 = 0.025 ) , equal to the distance between adjacent graduations on the sleeve . The 25 graduations on the thimble allow the 0.025 inch to be further divided , so that turning the thimble through one division moves the spindle axially 0.001 inch ( 0.025 ÷ 25 = 0.001 ) . Thus , the reading is given by the number of whole divisions that are visible on the scale of the sleeve , multiplied by 25 ( the number of thousandths of an inch that each division represents ) , plus the number of that division on the thimble which coincides with the axial zero line on the sleeve . The result will be the diameter expressed in thousandths of an inch . As the numbers 1 , 2 , 3 , etc. , appear below every fourth sub-division on the sleeve , indicating hundreds of thousandths , the reading can easily be taken .   Suppose the thimble were screwed out so that graduation 2 , and three additional sub-divisions , were visible on the sleeve ( as shown in the image ) , and that graduation 1 on the thimble coincided with the axial line on the sleeve . The reading would then be 0.2000 + 0.075 + 0.001 , or . 276 inch .   Metric system ( edit )  Micrometer thimble with a reading of 5.779 mm ± 0.005 mm .  The spindle of an ordinary metric micrometer has 2 threads per millimetre , and thus one complete revolution moves the spindle through a distance of 0.5 millimeter . The longitudinal line on the sleeve is graduated with 1 millimetre divisions and 0.5 millimetre subdivisions . The thimble has 50 graduations , each being 0.01 millimetre ( one - hundredth of a millimetre ) . Thus , the reading is given by the number of millimetre divisions visible on the scale of the sleeve plus the particular division on the thimble which coincides with the axial line on the sleeve .   Suppose that the thimble were screwed out so that graduation 5 , and one additional 0.5 subdivision were visible on the sleeve ( as shown in the image ) , and that graduation 28 on the thimble coincided with the axial line on the sleeve . The reading then would be 5.00 + 0.5 + 0.28 = 5.78 mm .   Vernier ( edit )  Micrometer sleeve with vernier scale reading 5.783 mm ± 0.005 mm .  Some micrometers are provided with a vernier scale on the sleeve in addition to the regular graduations . These permit measurements within 0.001 millimetre to be made on metric micrometers , or 0.0001 inches on inch - system micrometers .   The additional digit of these micrometers is obtained by finding the line on the sleeve vernier scale which exactly coincides with one on the thimble . The number of this coinciding vernier line represents the additional digit .   Thus , the reading for metric micrometers of this type is the number of whole millimeters ( if any ) and the number of hundredths of a millimeter , as with an ordinary micrometer , and the number of thousandths of a millimeter given by the coinciding vernier line on the sleeve vernier scale .   For example , a measurement of 5.783 millimetres would be obtained by reading 5.5 millimetres on the sleeve , and then adding 0.28 millimetre as determined by the thimble . The vernier would then be used to read the 0.003 ( as shown in the image ) .   Inch micrometers are read in a similar fashion .   Note : 0.01 millimetre = 0.000393 inch , and 0.002 millimetre = 0.000078 inch ( 78 millionths ) or alternatively , 0.0001 inch = 0.00254 millimetres . Therefore , metric micrometers provide smaller measuring increments than comparable inch unit micrometers -- the smallest graduation of an ordinary inch reading micrometer is 0.001 inch ; the vernier type has graduations down to 0.0001 inch ( 0.00254 mm ) . When using either a metric or inch micrometer , without a vernier , smaller readings than those graduated may of course be obtained by visual interpolation between graduations .   Torque repeatability via torque - limiting ratchets or sleeves ( edit )       This section possibly contains original research . Please improve it by verifying the claims made and adding inline citations . Statements consisting only of original research should be removed . ( September 2016 ) ( Learn how and when to remove this template message )     A micrometer reading is not accurate if the thimble is over - or under - torqued . A useful feature of many micrometers is the inclusion of a torque - limiting device on the thimble -- either a spring - loaded ratchet or a friction sleeve . Without this device , workers may overtighten the micrometer on the work , causing the mechanical advantage of the screw to tighten the screw threads or squeeze the material , giving an inaccurate measurement . However , with a thimble that will ratchet or friction slip at a certain torque , the micrometer will not continue to advance once sufficient resistance is encountered . This results in greater accuracy and repeatability of measurements -- most especially for low - skilled or semi-skilled workers , who may not have developed the light , consistent touch of a skilled user .   It might seem that there would be no such thing as too little torque on the thimble , because if zero tightening of the threads is the goal , then the less torque , the better . However , there is a practical limit on this ideal . Some tiny amount of torque , although very slight , is involved in the normal hand movements of well - practiced micrometer use . It is light but not truly zero , because zero is impractical for a skillful feel of how the contact is being made . And the calibration reflects this amount , as tiny as it is . If one then changes to an `` afraid to even touch it '' sort of gingerliness , one is being inconsistent with the norm that the calibration reflects , resulting in a reading that is 1 to 3 tenths too big ( on a typical metal part ) .   Related to this torque topic is interuser variation in what is normal . It is important to try not to have an idiosyncratic touch , because although it works perfectly well for intrauser consistency , it interferes with interuser consistency . Some people use a rather heavy touch as a matter of habit , and this is fine in that they can get highly accurate readings as long as they calibrate their micrometer accordingly . The problem arises when they use someone else 's micrometer , or when someone uses theirs . The heavy - touch user gets false - small readings , and the normal - touch user gets false - big readings . This may not arise in one - person shops , but teams of workers sharing company - owned instruments must be capable of interpersonal consistency to do close - tolerance work successfully . There is a good and easy way to synchronize on this topic : it is simply to get used to the `` feel '' of how much torque it takes to slip the typical friction sleeve or click the typical ratchet thimble -- and then incorporate that same feel into every use of a micrometer , even those that have no sleeve or ratchet . This is proper training for the machining trade , although it is not uncommon to encounter coworkers who were not well trained on this point . In many cases it seems that in drilling the `` do n't overtorque '' idea into trainees ' heads , an opposite extreme is mistakenly taught , where the user thinks the goal is to compete with everyone else on who can generate the lightest touch . Individuals naturally differ in their touch , so such a competition is not as effective at generating interuser consistency as is `` imagining that every thimble has a sleeve to slip . ''   Bench micrometers of the `` super-mic '' class entirely obviate this interuser variation by having the user dial the handwheel until a needle reads zero on a gauge , producing the same pressure on every reading .   Calibration : testing and adjusting ( edit )   Zeroing ( edit )   On most micrometers , a small pin spanner is used to turn the sleeve relative to the barrel , so that its zero line is repositioned relative to the markings on the thimble . There is usually a small hole in the sleeve to accept the spanner 's pin . This calibration procedure will cancel a zero error : the problem that the micrometer reads nonzero when its jaws are closed .   Testing ( edit )   A standard one - inch micrometer has readout divisions of . 001 inch and a rated accuracy of + / - . 0001 inch ( `` one tenth '' , in machinist parlance ) . Both the measuring instrument and the object being measured should be at room temperature for an accurate measurement ; dirt , abuse , and low operator skill are the main sources of error .   The accuracy of micrometers is checked by using them to measure gauge blocks , rods , or similar standards whose lengths are precisely and accurately known . If the gauge block is known to be 0.7500 '' ± . 00005 '' ( `` seven - fifty plus or minus fifty millionths '' , that is , `` seven hundred fifty thou plus or minus half a tenth '' ) , then the micrometer should measure it as 0.7500 `` . If the micrometer measures 0.7503 '' , then it is out of calibration . Cleanliness and low ( but consistent ) torque are especially important when calibrating -- each tenth ( that is , ten - thousandth of an inch ) , or hundredth of a millimeter , `` counts '' ; each is important . A mere spec of dirt , or a mere bit too much squeeze , obscure the truth of whether the instrument is able to read correctly . The solution is simply conscientiousness -- cleaning , patience , due care and attention , and repeated measurements ( good repeatability assures the calibrator that his / her technique is working correctly ) .   Calibration typically checks the error at 3 to 5 points along the range . Only one can be adjusted to zero . If the micrometer is in good condition , then they are all so near to zero that the instrument seems to read essentially `` - on '' all along its range ; no noticeable error is seen at any locale . In contrast , on a worn - out micrometer ( or one that was poorly made to begin with ) , one can `` chase the error up and down the range '' , that is , move it up or down to any of various locales along the range , by adjusting the sleeve , but one can not eliminate it from all locales at once .   Calibration can also include the condition of the tips ( flat and parallel ) , any ratchet , and linearity of the scale . Flatness and parallelism are typically measured with a gauge called an optical flat , a disc of glass or plastic ground with extreme accuracy to have flat , parallel faces , which allows light bands to be counted when the micrometer 's anvil and spindle are against it , revealing their amount of geometric inaccuracy .   Commercial machine shops , especially those that do certain categories of work ( military or commercial aerospace , nuclear power industry , and others ) , are required by various standards organizations ( such as ISO , ANSI , ASME , ASTM , SAE , AIA , the U.S. military , and others ) to calibrate micrometers and other gauges on a schedule ( often annually ) , to affix a label to each gauge that gives it an ID number and a calibration expiration date , to keep a record of all the gauges by ID number , and to specify in inspection reports which gauge was used for a particular measurement .   Not all calibration is an affair for metrology labs . A micrometer can be calibrated on - site anytime , at least in the most basic and important way ( if not comprehensively ) , by measuring a high - grade gauge block and adjusting to match . Even gauges that are calibrated annually and within their expiration timeframe should be checked this way every month or two , if they are used daily . They usually will check out OK as needing no adjustment .   The accuracy of the gauge blocks themselves is traceable through a chain of comparisons back to a master standard such as the international prototype meter . This bar of metal , like the international prototype kilogram , is maintained under controlled conditions at the International Bureau of Weights and Measures headquarters in France , which is one of the principal measurement standards laboratories of the world . These master standards have extreme - accuracy regional copies ( kept in the national laboratories of various countries , such as NIST ) , and metrological equipment makes the chain of comparisons . Because the definition of the meter is now based on a light wavelength , the international prototype meter is not quite as indispensable as it once was . But such master gauges are still important for calibrating and certifying metrological equipment . Equipment described as `` NIST traceable '' means that its comparison against master gauges , and their comparison against others , can be traced back through a chain of documentation to equipment in the NIST labs . Maintaining this degree of traceability requires some expense , which is why NIST - traceable equipment is more expensive than non-NIST - traceable . But applications needing the highest degree of quality control mandate the cost .   Adjustment ( edit )   A micrometer that has been zeroed and tested and found to be off might be restored to accuracy by further adjustment . If the error originates from the parts of the micrometer being worn out of shape and size , then restoration of accuracy by this means is not possible ; rather , repair ( grinding , lapping , or replacing of parts ) is required . For standard kinds of instruments , in practice it is easier and faster , and often no more expensive , to buy a new one rather than pursue refurbishment   See also ( edit )    Filar micrometer   Vernier scale    References ( edit )    Jump up ^ Encyclopedia Americana ( 1988 ) `` Micrometer '' Encyclopedia Americana 19 : 500 ISBN 0 - 7172 - 0119 - 8 ( set )   Jump up ^ `` micrometer '' . Merriam - Webster Dictionary .   Jump up ^ `` Whitworth 's workshop micrometer '' , The Practical Mechanic and Engineer 's magazine , Nov 1844 , pp43 - 44   Jump up ^ Roe 1916 : 212 .   Jump up ^ Roe 1916 : 210 - 213 , 215 .   Jump up ^ * Loo Kang , Wee ; Hwee Tiang , Ning ( 2014 ) , `` Vernier caliper and micrometer computer models using Easy Java Simulation and its pedagogical design feature - ideas to augment learning with real instruments '' , Physics Education , 49 ( 5 ) , arXiv : 1408.3803 , doi : 10.1088 / 0031 - 9120 / 49 / 5 / 493   Jump up ^ US patent 343478 , McArthur , Duncan , `` Micrometer Calipers '' , issued 1880 - 02 - 08   Jump up ^ M.M. Lanz &amp; Betancourt , translated from the original French ( 1817 ) . Analytical essay on the construction of machines . London : R. Ackermann . pp. 14 -- 15 , 181 Plate 1 fig D3 .   Jump up ^ `` Micrometer Heads Series 110 - Differential Screw Translator ( extra-Fine Feeding ) Type '' . Product Catalog . Mitutoyo , U.S.A . Retrieved December 11 , 2012 .   Jump up ^ Waitelet , Ermand L. ( 1964 ) . `` Micrometer with adjustable barrel sleeve . US 3131482 A '' . Google patents . Retrieved 26 August 2016 .   Jump up ^ `` Precision Measuring and Gaging '' . www.waybuilder.net . Archived from the original on 26 August 2016 .   Jump up ^ http://www.starrett.com/download/222_p1_5.pdf GENERAL MICROMETER INFORMATION   Jump up ^ http://www.mahr.de/index.php?NodeID=13120 MICROMETER ACCURACY : Drunken Threads and Slip - sticks   Jump up ^ BS EN ISO 3650 : `` Geometrical product specifications ( GPS ) . Length standards . Gauge blocks '' ( 1999 )   Jump up ^ http://ittc.sname.org/2006_recomm_proc/7.6-02-04.res.pdf ITTC -- Recommended Procedures : Sample Work Instructions Calibration of Micrometers .   Jump up ^ ASME B89. 1.13 - 2013 Micrometers .    Bibliography ( edit )    Roe , Joseph Wickham ( 1916 ) , English and American Tool Builders , New Haven , Connecticut : Yale University Press , LCCN 16011753 . Reprinted by McGraw - Hill , New York and London , 1926 ( LCCN 27 - 24075 ) ; and by Lindsay Publications , Inc. , Bradley , Illinois , ( ISBN 978 - 0 - 917914 - 73 - 7 ) .   ISO 3611 : `` Geometrical product specifications ( GPS ) . Dimensional measuring equipment . Micrometers for external measurements . Design and metrological characteristics '' ( 2010 )   BS 870 : `` Specification for external micrometers '' ( 2008 )   BS 959 : `` Specification for internal micrometers ( including stick micrometers ) '' ( 2008 )   BS 6468 : `` Specification for depth micrometers '' ( 2008 )    External links ( edit )       Wikimedia Commons has media related to Micrometer .      Print files including lessons and quizzes for teachers and students of the subject matter .   Simulator to practice reading and interpreting one - thousandth of a millimeter outside micrometer   How to read a micrometer screw gauge              Metalworking        ( hide )         Tools     Cutting machines     Bandsaw   Cold saw   Laser   Miter saw   Plasma   Water jet cutter       Cutting tools     Broach   Burr   Chisel   Counterbore   Countersink   End mill   File   Hand scraper   Milling cutter   Nibbler   Reamer   Shears   Tipped tool   Tool bit       Forming tools     Brake   Die   English wheel   Hydraulic press   Machine press   Punch press   Screw press   Stamping press       Hand tools     Clamp   Combination square   Drift pin   Hacksaw   Hammer   Hand scraper   Machinist square   Needlegun scaler   Piercing saw   Pliers   Punch   Scriber   Tap and die   Tongs   Vise   Workbench   Wrench       Machine tooling     Angle plate   Chuck   Collet   Fixture   Indexing head   Jig   Lathe center   Machine taper   Magnetic base   Mandrel   Rotary table   Wiggler       Measuring instruments     Bore gauge   Caliper   Center gauge   Dial indicator   Engineer 's blue   Engineer 's spirit level   Feeler gauge   Gauge   Gauge block   Go / no go gauge   Height gauge   Machinist square   Marking blue   Marking gauge   Marking out   Micrometer   Optical comparator   Radius gauge   Ruler   Sine bar   Straightedge   Surface plate   Tape measure   Thread pitch gauge   Vernier scale       Smithing tools     Anvil   Forge   Fuller   Hardy tools   Pritchel   Steam hammer   Swage block   Trip hammer            Casting   Fabrication   Forming   Jewellery   Machining   Metallurgy   Smithing   Tools and terminology   Welding                 Measuring and alignment tools       architect 's scale   beam compass   calipers   chalk box   combination square   compass   coordinate - measuring machine   Diagonal scale   drafting machine   engineer 's scale   flat spline   French curve   Gunter 's chain   jig   laser level   laser line level   laser measuring tool   lesbian rule   measuring rod   micrometer   plumb - bob   protractor   Radius gauge   ruler   set square   sliding T bevel   speed square   spirit level   steel square   stencil   straightedge   T - square   tape measure   theodolite   Thread pitch gauge   try square   Vernier scale   vise   weighing scale   winding sticks   yardsti</t>
  </si>
  <si>
    <t xml:space="preserve">is the micrometer screw gauge used for measurement of inner diameter of tube</t>
  </si>
  <si>
    <t xml:space="preserve"> Tube micrometers have a cylindrical anvil positioned perpendicularly to a spindle and is used to measure the thickness of tubes . </t>
  </si>
  <si>
    <t xml:space="preserve">Temperance `` Bones '' Brennan - wikipedia  Temperance `` Bones '' Brennan  For the character in Kathy Reichs ' novels , see Temperance Brennan .    Temperance `` Bones '' Brennan     Bones character     Photograph of Brennan , as portrayed by Emily Deschanel .     First appearance   September 13 , 2005 ( 1x01 , `` Pilot '' )     Last appearance   March 28 , 2017 ( 12x12 , `` The End in the End '' )     Created by   Hart Hanson     Portrayed by   Emily Deschanel     Information     Nickname ( s )   Bones ( By Seeley &amp; Parker Booth ) Tempe ( By Max Keenan , Russ Brennan and Jared Booth ) Bren / Dr. B ( By some co-workers ) Joy ( name by birth )     Aliases   Wanda Moosejaw Roxy Scallion Natasha ( of Boris and Natasha )     Gender   Female     Occupation   Anthropologist , Forensic anthropologist , Kinesiologist , Author     Title   Doctor ( 3 × Ph. D . )     Family   Father : Max Keenan ( deceased ) Mother : Christine Brennan ( deceased ) Brother : Russ Brennan     Spouse ( s )   Seeley Booth ( Husband , 2 children )     Children   Christine Angela Booth ( daughter , with Seeley ) Hank Booth II ( son , with Seeley ) Parker Booth ( Stepson )     Relatives   Brother - in - Law : Jared Booth ( deceased ) Sister - in - Law : Amy Hollister Step - Niece : Hayley Hollister Step - Niece : Emma Hollister Second Cousin : Margaret Whitesell     Temperance `` Bones '' Brennan , Ph. D. ( born Joy Keenan ) is a fictional character portrayed by Emily Deschanel in the American Fox television series Bones . An anthropologist , forensic anthropologist , and kinesiologist , she is described in the series as a leading authority in the field of forensic anthropology . Brennan first appeared on television , along with other series characters , in the `` Pilot '' episode of Bones on September 13 , 2005 . She is the main protagonist of the series along with FBI Special Agent Seeley Booth ( David Boreanaz ) .   Brennan is loosely based on author Kathy Reichs . Her name originates from the heroine in Reichs 's crime novel series , also named Temperance Brennan . The main similarity the two share is their occupation as forensic anthropologists . Brennan appeared in Comcast 's list of TV 's Most Intriguing Characters . She was included in AfterEllen.com 's Top 50 Favorite Female TV Characters . Her relationship with Seeley Booth was listed in Entertainment Weekly 's `` 30 Best ' Will They / Wo n't They ? ' TV Couples '' .   Contents    1 Character history   1.1 Family and early life     2 Characterization   3 Relationships   3.1 Seeley Booth   3.2 Tim `` Sully '' Sullivan     4 References   5 Further reading    Character history ( edit )   Temperance `` Bones '' Brennan is a forensic anthropologist who works in the Medico - Legal lab at the Jeffersonian Institute in Washington , D.C. She received her Ph. D. from Northwestern University , as stated in `` The Girl in the Fridge '' . She has three doctorates , as referred to by Dr. Jack Hodgins in the episode `` The Parts of the Sum in the Whole '' , in anthropology , forensic anthropology and kinesiology ; it is implied that most of her work at the lab was related to either long - dead bodies or victims of genocide .   Her occasional contract work for the FBI shifted the focus of her work . She was paired with FBI Special Agent Seeley Booth , and helped to solve two difficult cases ; since then , they have worked together almost exclusively on modern - day murder cases .   Brennan works with a group of other well - qualified colleagues , including the entomologist Jack Hodgins , her boss and forensic pathologist Camille Saroyan , forensic artist Angela Montenegro , and a host of eager graduate students . Booth refers to her crew of colleagues as `` squints '' , because they come to crime scenes and squint at evidence . He is also responsible for her nickname , `` Bones '' , which she initially detested .   In the first - season finale ( which aired on May 17 , 2006 ) , Brennan stated that she was born in 1976 , which would have made her either 29 or 30 ( approximately the same age as Deschanel , who was born on October 11 , 1976 ) . In the fifth - season episode `` The Death of the Queen Bee '' ( which aired nearly four years later , on April 15 , 2010 ) , it is implied that her then - current age was 33 years ( based on Brennan 's identification of a former high school classmate as the victim and statement that the classmate was 33 ) .   First mentioned in season 1 , Brennan has a love of dolphins , which she shared with her late mother : in the season one finale , `` The Woman in Limbo '' , Brennan examines a custom - made belt with a dolphin on the buckle , which had belonged to her mother , and which she mentions having once borrowed without asking first . Brennan 's love of dolphins is highlighted again in season 2 episodes `` The Titan on the Tracks '' , `` The Killer in the Concrete '' and `` Stargazer in a Puddle '' , when she mentions the constellation Delphinus , ( the Dolphin ) , her and her mother 's favorite . In season 6 , `` The Doctor in the Photo '' , she is shown to wear a dolphin ring .   In `` Mummy in the Maze '' , Brennan exhibited ophidiophobia when confronted with snakes , but later only shows a moment of fright when confronted with another snake in `` The Mastodon in the Room '' . She takes note of this , voicing her observation that she only seems to lose her head around snakes when Booth is also `` there to be jumped upon '' , and also she mentions that she once had a pet snake during high school . It should also be noted that , in `` The Man in the Morgue , '' Brennan handled a snake without any trace of fear , even while Booth is in the room .   In season one , in `` A Man on Death Row '' , Dr. Brennan expresses her stance on the death penalty ; `` I believe in the death penalty . There are certain people who should n't be in this world . The people who hacked hundreds of innocent children to death in Rwanda ; beheaded them at their desks at school ! The people who did that , they should be executed . '' In `` The Woman at the Airport '' , Dr. Brennan is shown to have a strong dislike for plastic surgeons , believing them to be no more than `` glorified butchers with medical degrees '' , and this dislike is voiced again in season 4 , in `` Cinderella in the Cardboard '' . In `` The Woman in the Car '' , Dr. Brennan reveals that her third doctorate is in kinesiology , a field that would allow her and Angela to unravel how one of the bodies that had been found had been killed .   In season two , she expressed the desire to get a pet pig , whom she would have named `` Jasper '' . Brennan 's expertise in kinesiology would again prove its worth in `` The Truth in the Lye '' ( she could tell that one of the murder suspects was pregnant just from having observed her gait ) , in `` The Girl with the Curl '' ( she could tell if one of the young beauty pageant contestants was suffering from scoliosis just by watching them perform on stage ) , and in `` The Woman in the Sand '' ( while undercover with Booth , she was able to tell Booth exactly how to beat his opponent from just having watched his moves ) . In `` Judas on a Pole '' , she and her brother are identified as having the same blood type , blood type O. In `` Glowing Bones in the Old Stone House '' , she is shown to be a good cook : Booth 's comment on her mac and cheese is that he 'd `` like to be alone with it '' .   In the season 3 episode , `` Mummy in the Maze '' , it is revealed that Brennan 's favorite superhero is Wonder Woman , and that she always goes as Wonder Woman to the Jeffersonian 's Halloween party . In `` The Baby in the Bough '' , it is revealed that Brennan is a registered foster parent , at her brother 's request , to take in his stepdaughters in case anything should happen to him and his girlfriend . In the season 3 episode , `` Intern in the Incinerator '' , Booth reveals that Brennan 's favorite flower is a Daffodil , her second favorite flower is a Daisy , and her favorite planet is Jupiter .   In season 5 , in `` The Death of the Queen Bee '' , when asked if she 'd had a pet rat , Brennan discloses that she , in fact , had a pet mouse , snake and some spiders . During her time at Burtonsville high school , her only friend was the school custodian , Ray Buxley , with whom she would enjoy long , in - depth conversations on life and death , and who would also provide her with dead animals to dissect ( Brennan having set out to become a forensic anthropologist , ) and who would later be one of her books ' biggest fans ( she having named the killer in her first book , Bred in the Bone , after him ) . According to the Burtonsville high school on - line yearbook entry on Brennan , in her senior year , she was a member of the Chemistry club and Math club , her interests were chemistry and mathematics , and she was a National Merit Scholar and an Academic All Star .   In the season 6 episode , `` The Blackout in the Blizzard '' , Brennan mentions her pet iguana for the first time . This same episode show that one of the number of scientific publications that Brennan reads is Medicinal Physics Quarterly , with one article on electrostatics and triboluminescence proving useful during the lab 's power outage . Further concerning her pet iguana in `` The Truth in the Myth '' , as a part of his rehab from alcohol abuse , Vincent Nigel - Murry made apologies for , among other things , having borrowed her iguana one night , wearing him as a hat for a party . She comments that he must have taken good care of her iguana as she has observed nothing wrong with him and further expresses some surprise that Vincent Nigel - Murry was able to get her iguana to stay perched atop his head , to which he replies that he was good with ribbons .   In season 8 , `` The Tiger in the Tale '' , Booth mentions to Sweets that Dr. Brennan once took Peyote with Native Americans .   In season 11 , `` The Senator in the Street Sweeper '' , Dr. Brennan is mentioned to be a member of the Green Party of the United States along with Dr. Hodgins .   Family and early life ( edit )   Although Brennan seemed to have a relatively normal childhood , her parents disappeared when she was 15 years old . Her older brother Russ , himself still an adolescent , was unable to care for her and she was put in the foster care system . By the time she started college she had been to twelve different schools and has specifically said that she hated the lack of consistency .   There has been contradictory evidence about her time in the system ; in one episode , Brennan stated that her grandfather got her out of the foster system , but in a later episode , she indicates that she never knew her grandparents ( possibly the two references are to two separate sets of grandparents , paternal and maternal ) . However , taking into consideration the fact that Brennan 's parents had assumed new identities when she was 3 - years - old , the grandfather who had taken her in from her time in the foster system may not have been her biological grandfather .   Her time in foster care was quite traumatic and abusive ; Brennan indicated that she was once locked in the trunk of a car for two days because she broke a plate , and in the episode `` The Finger in the Nest '' , she reveals to Booth that she walked into her elderly neighbor 's house to find the woman dead . In the same episode , she also mentions to Booth that her parents were very concerned about her afterwards , because she started faking her own death . In Season 2 , she mentions that during her time in the foster care system , she kept a list of foster homes she had been kicked out of on the bottom of her shoe .   In the first season she hands Booth the file on her parents ' disappearance and he agrees to look into it as a personal favor . It is later revealed in Season 2 that her parents , who were bank robbers specializing in safety deposit boxes , changed the family 's identity after they stole some damaging FBI documents regarding the murder of an FBI agent and the false imprisonment of civil rights activist Marvin Beckett . Brennan 's birth name was Joy Keenan . Her mother ( real name Ruth Keenan , known under the assumed identity of Christine Brennan ) had hoped to someday return to her children and family , but made a tape for Brennan to watch on her 16th birthday in case that never happened . Brennan later discovered that Ruth / Christine was murdered in 1993 , two years after she and her husband went on the run .   Her father Max Keenan re-entered Brennan 's life when she and her brother were being threatened by an old acquaintance , who turned out to be Booth 's boss , Deputy Director Kirby . Max evades capture after killing Kirby , and takes Russ into hiding to protect him . Later , Max allows Booth to arrest him in order to improve his relationship with his daughter . At trial , Max is acquitted of murdering Director Kirby ( due in large part to a defense Booth indirectly came up with , positing an alternate theory of the crime in which Temperance was the killer instead , creating reasonable doubt ) , and he begins to rebuild his life .   He temporarily works at the Jeffersonian as a guide for children visiting the place and demonstrates his brilliant talent as a former science teacher . However , Brennan is concerned about a convicted felon having access to a lab that investigates crimes . Max also introduces Brennan to her cousin Margaret Whitesell , portrayed by Deschanel 's real - life sister Zooey Deschanel .   Brennan is best friends with her coworker , Angela , saying in the 6th - season premiere she loves Angela `` like a sister '' and is going to be an aunt to Hodgins ' and Angela 's newborn child . It is revealed at the end of the season six finale `` The Change in the Game '' that Brennan is pregnant and the father is Booth .   In Season 7 , episode 2 `` The Hot Dog in the Competition '' , Brennan and Booth found out they were having a baby girl . Their daughter , Christine Angela Booth ( named for Brennan 's mother and her best friend ) , was born in a stable during the episode `` The Prisoner in the Pipe '' . In the Season 7 finale , `` The Past in the Present '' , key evidence in the death of her friend , Ethan Sawyer , is linked to Brennan . Max convinces her to go on the run along with Christine , saying that if she is arrested , even if she is found innocent , she may never see her daughter again .   In Season 8 premiere , it is revealed that while on the run , Brennan was communicating with Angela , via flowers , and eventually used this as a way to communicate with Booth . Despite being on the run , Brennan risks her safety and decides to meet directly with Booth in a hotel room after months of being a single mother . Eventually , they arrest Christopher Pelant , who was the real murderer of Ethan Sawyer , and Brennan is allowed to return to her family . Although Pelant blackmails Booth to prevent him from accepting Brennan 's proposal by threatening to kill five innocent people if Booth accepted , also warning Booth not to give a reason for his refusal , this threat is removed when the team manage to kill Pelant , and Booth and Brennan marry in the Season 9 episode ' The Woman in White ' .   In the Season 10 episode , `` The Eye in the Sky '' , Brennan learns that she is pregnant with her and Booth 's second child .   Characterization ( edit )   Throughout the course of the series , Brennan is portrayed as a straightforward , brilliant anthropologist , who lacks social skills . Her social ineptitude is especially apparent when it comes to sarcasm , metaphors which she often interprets literally , and pop culture jokes and is often the source of comedy in the show . An example of this is when she mistakes Colin Farrell for Will Ferrell . In earlier seasons , she was characterized as straightforward and unable to detect social cues -- she states that Booth once told her that she `` stinks at non-verbal communication '' -- and was well - known within the FBI for being extremely difficult to work with . She began to acknowledge her lack of sensitivity after Booth bluntly told her outright that she was `` bad with people '' in `` A Boy in a Tree '' . Her lack of `` political savvy '' and social skills was also a reason why she was passed over for Dr. Camille Saroyan as head of the Jeffersonian in Season 2 . Other characters have described her as `` no fun '' and `` a rigid traditionalist '' .   She had a difficult adolescence , and it is implied , often by Sweets , that her withdrawn social tendencies are a defense mechanism . She also sometimes struggles in identifying and explaining her emotions , and takes comfort in the rationality of her anthropological discipline . Although it has been stated that Brennan was based on a person with Asperger syndrome , this has never been confirmed in the plot of the series . The creator of the series has stated that the character was never labeled as having the syndrome in order to increase the appeal of the show on network television . This influence on her character also helps to explain her extreme rationality in early seasons , as well as some of her social difficulties . Brennan is a self - proclaimed atheist and often points out what she believes to be the irrationality of religious and spiritual beliefs . This has led to more than one argument with Booth , who is a devout Roman Catholic ; he becomes particularly irate when she compares less common religions , such as voodoo , to Christianity . During the Sleepy Hollow crossover episode `` Dead Men Tell No Tales '' , Sleepy Hollow protagonist Ichabod Crane notes that Brennan is so sceptical that she would dismiss the demon Moloch -- the primary antagonist in the first two seasons of Sleepy Hollow -- as nothing more than a tall man with a skin condition , although this does leave him reassured that she will not realise the nature of the secret tomb they have uncovered underneath the White House .   Brennan is a bestselling author , who has been on the New York Times Best Seller List for 18 weeks . She is trained in three types of martial arts , has hunting licenses in four states , and has a legally registered gun as well as a diving certificate . She promised to consider becoming a vegetarian after seeing how pigs were slaughtered ( which was also the way her mother had been killed ) . However , in `` The Tough Man in the Tender Chicken '' ( season 5 , episode 6 ) Angela cites health reasons for Brennan 's vegetarian diet . Brennan is also a trained amateur highwire performer , and speaks at least seven other languages , including Spanish , French , Latin , Chinese , Pashto Japanese , Norwegian ( although she says only `` skull '' and avers that , as a forensic anthropologist , this is a word she knows `` in just about every language '' ) , Farsi , and German . She has also admitted to knowing a bit of Russian . She often says she does not `` put much stock in psychology '' and makes a point of noting that Dr. Sweets is not a real scientist as he `` bases his life on the vagary of psychology and emotions '' .   Brennan 's personality undergoes significant changes throughout the course of the series . Her thinking becomes less rigid in later seasons , something which is observed by Dr. Gordon Wyatt , who notes that she is now able to distinguish the difference between accuracy and truth . In season 4 , Booth takes her along to his interrogations and helps her learn how to set aside her scientific perspective and relate with the victim 's family and suspects on a more interpersonal level . She is also able to put aside her rationality to support her friends in sometimes irrational pursuits , such as Angela 's quest to raise money to save a pig from slaughter , and to comfort Booth , even using science or quoting directly from the Bible to rationalize his religious beliefs . Her sensitivity and empathy towards others are also much improved , seen quite strongly when she comforts his grandfather , and when she attends a funeral so that the victim 's single mother wo n't be alone . She also displays more `` typical '' human emotions when in extreme stress . One example of this is her fear of snakes in `` The Mummy in the Maze , '' when a girl is in the process of being scared to death in a room , the floor teeming with snakes . This goes against her empirical nature , as , when Booth tells her that the snakes are n't venomous , she states that she is aware , but still refuses to step in the room , causing Booth to carry her on his back .   Brennan begins to feel both dissatisfaction and discomfort with her work toward the end of the fifth season . She also sees some futility in her work , stating that no matter how many killers they catch , there will always be more . To help her gain new perspective , she later decides to head up an anthropological expedition to Indonesia for a year to identify some ancient proto - human remains , after mulling it over during the episode . However , 7 months later , she and everyone else return to D.C. in order to save Cam 's job , and they all decide to stay .   As season 6 progresses , Brennan must confront her feelings for Booth , whom she rejected in the 100th episode from the previous season . Having returned from 7 months of introspection , she has come to terms with her romantic affection towards him , even admitting that she regretted not having given them a chance together , midway through the season . However , Booth returns from Afghanistan with a new love interest , war correspondent Hannah Burley , whom Brennan befriends . When Hannah rejects Booth 's marriage proposal , Brennan must help him through the emotional fallout .   In the second to last episode of season 6 Booth and Brennan had sex , consummating their relationship , and it is revealed in the last few moments of the season finale that as a result , Brennan has become pregnant , with Booth the father . Throughout the episode ( `` The Change in the Game '' ) Brennan has been seen asking Angela questions and making comments that make her seem excited and apprehensive ; when she sees that Booth is happy with the news , she also seems overjoyed . This reflects her earlier desire to become a mother , circa season 4 , as well as her desire that Booth be the father of the baby .   In the Season 8 episode `` The Shot in the Dark '' , Brennan is shot while working in the lab late at night . While undergoing emergency surgery , she experiences a vision of meeting with her deceased mother , Christine Brennan . Initially dismissing this as a hallucination , Brennan experiences several more visions throughout the episode . During these discussions , it 's revealed that Brennan 's hyper rationalization originates from the very last piece of advice her mother gave to her ( before going on the run ) which was to use her brain instead of her heart . While that advice enabled Brennan to survive all these years , the vision of her mother explains , it 's now time for Brennan to do more than just survive .   Since entering a relationship with and marrying Booth and then having children , the character has undergone development personally and is shown to be a caring wife and protective mother . She would often put aside her own atheistic views and uses her hyper - rationality to justify Booth 's religious beliefs , as shown in season 8 where she references the Bible in order to persuade Booth to forgive his mother and in the season finale where she agrees to a church wedding , rationalizing that she could appreciate the `` beauty '' of the ceremony and its significance to Booth .   Relationships ( edit )   Brennan has had a number of relatively short relationships , including an ill - fated date with a man who turned out to be a murderer and the re-kindling of a romance with her former thesis supervisor . She has stated that although she does not always feel the need for a committed emotional relationship , she has engaged in casual relationships to `` satisfy biological urges '' . In one episode , she was spending time with two men , one for his intelligence and the other for his sexual skills . In Season 5 , episode `` The Plain in the Prodigy '' , she tells Booth she lost her virginity at the age of 22 and when asked why she waited so long , she said it was because the decision was `` important to her '' . FBI psychologist Lance Sweets postulates in a number of episodes that Brennan 's apprehension over having relationships is largely due in part to the abandonment and abuse she experienced as a teenager after her parents disappeared . It is said that she `` hides '' herself behind a front of hyper - rationalism and she always keeps people at arms ' length , except for those closest to her ( namely FBI partner Seeley Booth and best friend Angela Montenegro ) . After much character growth , Temperance Brennan is now married to her principal love interest of the series Seeley Booth , and they have a daughter ( Season 7 ) and a son together .   Seeley Booth ( edit )   FBI Special Agent Seeley Booth is Brennan 's husband and partner , and the principal liaison between the Jeffersonian and law enforcement agencies . Prior to their marriage , he is also Brennan 's principal love interest throughout the series . Although his working style initially clashed with Brennan 's , they have since become full - fledged partners . Their compatibility has become one of the central points of the show , with many new characters mistaking them for a couple and co-workers , especially Angela , constantly speculating that they were `` more than partners '' . Booth and Brennan have repeatedly risked their safety to save each other , including when Booth took a bullet meant for Brennan . After Booth rescues Brennan from the corrupt Agent Kenton , Booth lifts her off the hook she was hung on by putting her tied hands around his neck even though he himself was severely injured . In `` Two Bodies in the Lab '' , in season 1 , and in `` The Rocker in the Rinse Cycle '' , in season 5 , Brennan and Booth 's mutual love for Foreigner 's Hot Blooded is mentioned ; Booth even refers to it as ' their song ' in `` The Rocker in the Rinse Cycle '' . Brennan once commented to Dr. Gordon Wyatt ( Stephen Fry ) that she `` ( could n't ) think of anything ( she ) would n't do to help Booth . '' Brennan 's novels are also dedicated to him and the character Special Agent Andy Lister is based on him even though she still denies it .   Initially Brennan was mostly dismissive of Booth due to their opposing worldviews and work styles -- which is a source of friction and banter between them . Although she refused to admit it at first , Brennan enjoyed working with him from the beginning , even after their falling out when Booth got her drunk and `` fired '' her , and , in Season 1 , she cajoled him into launching an investigation after finding three bone fragments on a golf course so he could work with the Jeffersonian team on the case despite the fact that the FBI technically had no jurisdiction . She often unknowingly offends him on a number of occasions during the first few seasons with her tactlessness , only realizing after being gently admonished by Angela or another member of the team . She comes to admire his ability to connect with people and read behavioral cues when interrogating suspects after coming to terms with her own lack of social skills . After finding out about his abusive childhood and haunted past in the Army , she also begins to respect him as a person . Booth , who is particularly taciturn in revealing emotions or speaking about his past , begins to open up to and confide in her . Since entering a relationship with ( and eventually marrying ) Booth , she is shown to be extremely supportive of him , even at the expense of her friendship with Angela . Additionally , she put aside her own misgivings several times for Booth 's benefit ; for example , she agrees to have Christine christened into the Catholic church and referenced the Bible when trying to talk Booth into forgiving his mother .   Brennan acquired the nickname `` Bones '' from Booth . She initially disliked it but comes to regard it with affection . Booth and his son Parker are the only characters in the show she permits to use it and the former rarely addresses her by her first name or `` Tempe '' .   In Season 2 Brennan shot and killed a person for the first time while working on a string of murders connected to serial killer Howard Epps . She was forced to pull the trigger after Epps ' accomplice attacked and injured Booth with a pipe . At the end of the episode she confides in Booth of her conflicted feelings and finds comfort in the fact that Booth understood how she felt .   The relationship between Brennan and Booth has often become strained when either partner has a significant other . For example , Booth was quite irritable when Brennan dated Agent Sully , and their relationship was also strained when Booth 's brother Jared was showing an interest in Brennan . Brennan constantly needled Booth while he was dating Tessa .   When Brennan decided that she wanted to have a baby , she asked Booth if he would be the sperm donor . He agrees to Brennan 's request at first , but subsequently struggles with the thought of not being involved in the life of his prospective child . Eventually he tells Brennan he can not let her have his child if he is not allowed to be a father to it . Soon thereafter , it is discovered that he has a ( benign ) brain tumour . He has to undergo surgery , and though the surgery is successful , a poor reaction to anesthesia left him in a coma for several days . While in his coma , Brennan reads to him from her new novel , and he has an elaborate dream in which Brennan is his wife and that she is pregnant , and that the staff at the Jeffersonian play the characters in the novel . When he awakens , he initially suffers from amnesia , not recognizing Brennan .   Although for the majority of the series Booth and Brennan denied that their relationship was anything more than friendly professionalism , they admitted to Dr. Sweets that they kissed and nearly spent the night together after their very first case together . After this discussion , Booth attempted to convince Brennan to give a relationship a try . However , she declined , telling him that she , unlike him , is not a gambler , and is n't able to take that kind of a chance . They have subsequently attempted to date other people , although the fact that Booth once comments that he regards Brennan as his `` standard '' for other women suggests that he , at least , has not completely moved on . Brennan does admit to her best friend Angela Montenegro that as time has gone on , she is unsure if she wants to keep doing consulting work for the FBI , citing that she is tired of murderers and victims , and is constantly worried that something will happen to Booth and she will be unable to save him . In the climax of Season Five , Brennan and Booth part ways for a year -- he goes to Afghanistan while she leaves for the Maluku Islands in Indonesia -- but they promise to meet , one year from that day , at the Lincoln Memorial .   In the beginning of season six ( 7 months later ) , they reunite in the stated place . Booth came back from Afghanistan , along with everyone else from various places , to help save Cam 's job . They all decided to stay . Booth has a serious new girlfriend , Hannah , and despite the hints of her colleagues at Brennan 's unconscious jealousy of their relationship , she vehemently denies feeling uncomfortable with the new situation . Through subsequent episodes her jealousy and resentfulness began becoming more apparent as Hannah and Booth started becoming more serious . In the episode `` The Doctor in the Photo '' , Brennan realizes she is in love with Booth and confronts him , but she is let down when Booth says that he loves Hannah and she is not a `` consolation prize '' , prompting Brennan to conclude that she has missed her chance , later reflecting that she should move on . In episode 10 of the sixth season `` The Body in the Bag '' , Booth tells his girlfriend about the incident , stating that it ( his love for Temperance ) was all in the past and whatever he felt , he does not feel it anymore , except for Hannah . However it was clear in the following episode that he still has feelings for Brennan .   Despite her apparent resolve to move on , Brennan later showed sorrow when her father noted that he always thought she and Booth would end up together . During a subsequent case involvin</t>
  </si>
  <si>
    <t xml:space="preserve">when does brennan get pregnant the first time</t>
  </si>
  <si>
    <t xml:space="preserve"> Brennan is best friends with her coworker , Angela , saying in the 6th - season premiere she loves Angela `` like a sister '' and is going to be an aunt to Hodgins ' and Angela 's newborn child . It is revealed at the end of the season six finale `` The Change in the Game '' that Brennan is pregnant and the father is Booth . </t>
  </si>
  <si>
    <t xml:space="preserve">The Handmaid 's Tale ( TV series ) - wikipedia  The Handmaid 's Tale ( TV series )       The Handmaid 's Tale         Genre   Drama Dystopian fiction     Created by   Bruce Miller     Based on   The Handmaid 's Tale by Margaret Atwood     Starring     Elisabeth Moss   Joseph Fiennes   Yvonne Strahovski   Alexis Bledel   Madeline Brewer   Ann Dowd   O.T. Fagbenle   Max Minghella   Samira Wiley   Amanda Brugel       Composer ( s )   Adam Taylor     Country of origin   United States     Original language ( s )   English     No. of seasons       No. of episodes   23 ( list of episodes )     Production     Executive producer ( s )     Bruce Miller   Warren Littlefield   Reed Morano   Daniel Wilson   Fran Sears   Ilene Chaiken       Producer ( s )   Margaret Atwood Elisabeth Moss     Production location ( s )   Toronto , Ontario Hamilton , Ontario Cambridge , Ontario Vaughan , Ontario     Running time   47 -- 63 minutes     Production company ( s )     Daniel Wilson Productions , Inc .   The Littlefield Company   White Oak Pictures   MGM Television       Release     Original network   Hulu     Original release   April 26 , 2017 ( 2017 - 04 - 26 ) -- present ( present )     External links     Website     The Handmaid 's Tale is an American dystopian drama web television series created by Bruce Miller , based on the 1985 novel of the same name by Margaret Atwood . It was ordered by the streaming service Hulu as a straight - to - series order of 10 episodes , for which production began in late 2016 . The plot features a dystopian future following a Second American Civil War wherein a totalitarian society subjects fertile women , called `` Handmaids '' , into child - bearing servitude .   The first three episodes of the series premiered on April 26 , 2017 ; the subsequent seven episodes aired on a weekly basis every Wednesday . In May 2017 , the series was renewed for a second season which premiered on April 25 , 2018 .   The Handmaid 's Tale has received widespread critical acclaim and its first season won eight Primetime Emmy Awards from thirteen nominations , including Outstanding Drama Series , becoming the first series on a streaming service to win an Emmy for Outstanding Series . It also won Golden Globe Awards for Best Television Series -- Drama and Best Actress for Elisabeth Moss .   In May 2018 , Hulu announced that the series had been renewed for a third season .   Contents    1 Plot   2 Cast and characters   2.1 Main   2.2 Recurring   2.3 Guest     3 Episodes   3.1 Series overview   3.2 Season 1 ( 2017 )   3.3 Season 2 ( 2018 )     4 Production   5 Broadcast and release   6 Reception   6.1 Critical response   6.1. 1 Season 1   6.1. 2 Season 2     6.2 Awards     7 See also   8 References   9 External links    Plot ( edit )   In the near future , fertility rates collapse as a result of sexually transmitted diseases and environmental pollution . With this chaos , the totalitarian , theonomic government of `` Gilead '' establishes rule in the former United States in the aftermath of a civil war . Society is organized by power - hungry leaders along with a new , militarized , hierarchical regime of fanaticism and newly created social classes , in which women are brutally subjugated , and by law are not allowed to work , own property , handle money , or read .   Worldwide infertility has resulted in the conscription of the few remaining fertile women in Gilead , called `` Handmaids '' , according to an extremist interpretation of the Biblical account of Bilhah . They are assigned to the homes of the ruling elite , where they must submit to ritualized rape by their male masters in order to become pregnant and bear children for those men and their wives .   Alongside the Handmaids , much of society is now grouped into classes that dictate their freedoms and duties . Women are divided into a small range of social categories , each one signified by a plain dress in a specific color : Handmaids wear red , Marthas ( who are housekeepers and cooks , named after the biblical figure ) wear green , and Wives ( who are expected to run their households ) wear blue and turquoise .   Econowives , the lower - class women who still have minimal agency , are a sort of mixture of all these categories , and they wear gray ( a departure from the book in which Econowives wear clothing striped with the aforementioned colors ) . Women prisoners are called Unwomen and are worked to death clearing toxic waste in the Colonies .   Another class of women , Aunts ( who train and oversee the Handmaids ) , wear brown . Additionally , the Eyes are a secret police watching over the general populace for signs of rebellion , Hunters track down people attempting to flee the country , and Jezebels are prostitutes in secret brothels catering to the elite ruling class .   June Osborne , renamed Offred ( Elisabeth Moss ) , is the Handmaid assigned to the home of the Gileadan Commander Fred Waterford ( Joseph Fiennes ) and his wife Serena Joy ( Yvonne Strahovski ) . Offred is subject to strict rules and constant scrutiny ; an improper word or deed on her part can lead to brutal punishment .   Offred , who is named after her male master ( `` Of Fred '' ) like all Handmaids , was married and had a daughter , a job , a bank account , and her own name and identity in the `` time before '' , but all she can safely do now is follow the rules of Gilead in hopes that she can someday live free again and be reunited with her daughter . The Waterfords , key players in the rise of Gilead , have their own conflicts with the realities of the society they have helped create .   Cast and characters ( edit )  Main article : List of The Handmaid 's Tale characters  Main ( edit )    Elisabeth Moss as June Osborne / Offred , a woman who was captured while attempting to escape to Canada with her husband , Luke , and daughter , Hannah . Due to her fertility , she is made a Handmaid to Commander Fred Waterford and his wife , Serena Joy , and is named `` Offred '' .   Joseph Fiennes as Commander Fred Waterford , a high - ranking government official and June 's master . Both he and his wife played an instrumental role in Gilead 's founding . He wishes to have more contact with June outside of what is lawful between a Handmaid and her master , and starts inviting her to play nightly games of Scrabble .   Yvonne Strahovski as Serena Joy Waterford , Fred 's wife and a former conservative cultural activist . She appears to have accepted her new role in a society that she helped create . She is poised and deeply religious , but capable of great cruelty and is often callous to June . She is desperate to become a mother .   Alexis Bledel as Emily / Ofglen / Ofsteven , June 's shopping partner . Although June is initially wary of her , it is revealed Ofglen is not as pious as she seems , and the two become friends . Ofglen had a wife and son , and was a university lecturer in cellular biology . Being homosexual is punishable by death in Gilead , and most university professors are sent to labour camps , but Ofglen was spared and made a Handmaid , due to her fertility . She is later captured and cruelly punished for her relationship with a Martha , and is sent to another household where she becomes `` Ofsteven '' . She is involved with a resistance movement called `` Mayday '' .   Madeline Brewer as Janine / Ofwarren / Ofdaniel , a Handmaid who entered the Red Center for training at the same time as June and considers June a friend due to her kind treatment . Initially non-compliant , Janine 's right eye is removed as a punishment . She becomes mentally unstable due to her treatment and often behaves in temperamental or childlike ways . She gives birth to a child for Warren and Naomi Putnam , whom they name `` Angela '' , but Janine insists the baby 's name is `` Charlotte '' . Janine is later reassigned and becomes `` Ofdaniel '' . She was temporarily assigned to the Colonies until a bombing at the new Rachel and Leah Center .   Ann Dowd as Aunt Lydia , a woman in charge of overseeing the Handmaids in their sexual reeducation and duties . She is brutal and subjects insubordinate Handmaids to harsh physical punishment , but she also cares for her charges and believes deeply in the Gileadean mission and doctrine . She appears to have a soft spot for Janine , and even goes so far as to address her by her given name on occasion .   O.T. Fagbenle as Lucas `` Luke '' Bankole , June 's husband from before Gilead . Because he and June began their relationship before his divorce from his first wife , their union is considered invalid in the new society . June is considered an adulteress and their daughter , Hannah , is considered illegitimate . Initially , June believes he has been killed , but it is later revealed Luke managed to escape to Canada .   Max Minghella as Nick Blaine , Commander Waterford 's driver and a former drifter from Michigan who has feelings for June . June and Nick develop an intimate relationship and she eventually discovers that he is an Eye , a spy for Gilead .   Samira Wiley as Moira / Ruby , June 's best friend since college . She is already at the Red Center when June enters Handmaid training but escapes before being assigned to a home . She is recaptured and becomes `` Ruby '' , a Jezebel . She seems to have given up hope of ever being free , but on meeting June again regains the conviction to escape .   Amanda Brugel as Rita , a Martha at the Waterford home . She had a son who died fighting in the civil war when he was 19 years old .    Recurring ( edit )    Ever Carradine as Naomi Putnam , Commander Warren Putnam 's wife .   Tattiawna Jones as Lillie Fuller / Ofglen No. 2 , who replaces Emily in the position after Emily is captured by the Eyes . She initially follows the rules and does not wish to upset the status quo , but this is because she believes her life as a Handmaid is better than the difficult , impoverished life she led prior to Gilead , rather than out of religious piety .   Nina Kiri as Alma / Ofrobert , another Handmaid who trained at the Red Center with June , Moira , and Janine . She is frank and chatty , and often trades gossip and news with June . She is also involved with Mayday and becomes June 's first contact with the resistance group .   Jenessa Grant as Dolores / Ofsamuel , a local Handmaid with a friendly and talkative nature .   Bahia Watson as Brianna / Oferic , another local Handmaid who is friends with June .   Jordana Blake as Hannah Bankole , June and Luke 's daughter . She is later renamed Agnes .   Erin Way as Erin , a young , apparently mute , woman who was being trained to become a Handmaid but managed to escape to Canada .   Sydney Sweeney as Eden Spencer ( season 2 ) , a pious and obedient girl who was Nick 's wife .   Bradley Whitford as Commander Joseph Lawrence ( season 2 ) , the founder of the Colonies .   Greg Bryk as Commander Ray Cushing ( season 2 )   Rohan Mead as Isaac ( season 2 ) , a Guardian assigned to the Waterford home .   Julie Dretzin as Eleanor Lawrence ( season 2 ) , Joseph 's wife .    Guest ( edit )    Kristen Gutoskie as Beth ( season 1 ) , a Martha at Jezebel 's . She has an arrangement with Nick whereby she trades illegal alcohol and other contraband for drugs , which the Jezebels use . She has a casual sexual relationship with him and is aware that he is an Eye .   Marisa Tomei as Mrs. O'Conner ( season 2 ) , a Commander 's wife who is sent to the colonies as punishment for having sex with another man .   Cherry Jones as Holly Maddox ( season 2 ) , June 's mother , an outspoken feminist .   Clea DuVall as Sylvia ( season 2 ) , Emily 's wife .   Yahya Abdul - Mateen II as Omar ( season 2 ) a man who helps June attempt to escape .   John Carroll Lynch as Dan ( season 2 ) , Emily 's boss at the university where she worked .   Kelly Jenrette as Annie ( season 2 ) , Luke 's ex-wife .   Rebecca Rittenhouse as Odette ( season 2 ) , a Doctor and Moira 's fiancée .   Sam Jaeger as Mark Tuello ( season 2 ) , a mysterious stranger who Serena encounters in Canada .   Oprah Winfrey ( uncredited ) as Newsreader ( season 2 ) on a car radio .    Episodes ( edit )   Series overview ( edit )     Season   Episodes   Originally released     First released   Last released         10   April 26 , 2017 ( 2017 - 04 - 26 )   June 14 , 2017 ( 2017 - 06 - 14 )         13   April 25 , 2018 ( 2018 - 04 - 25 )   July 11 , 2018 ( 2018 - 07 - 11 )     Season 1 ( 2017 ) ( edit )     No . overall   No. in season   Title   Directed by   Teleplay by   Original release date         `` Offred ''   Reed Morano   Bruce Miller   April 26 , 2017 ( 2017 - 04 - 26 )     A family is pursued by a group of armed men . The woman is caught , and separated from her young daughter and husband as shots are fired in the distance . She is now known as Offred , the Handmaid to Commander Fred Waterford . While walking with another Handmaid , Ofglen , they pass by a wall on which men have been hanged for crimes such as being gay , working in an abortion clinic , and being a Catholic priest . In a flashback , various women are indoctrinated into their Handmaid roles by Aunt Lydia , and Offred notices Moira , a woman she knew in college . Handmaid Janine taunts Aunt Lydia and is shocked with a cattle prod , later her right eye is removed as punishment . In the present , Commander Waterford tries to impregnate Offred during `` the Ceremony '' as she lies in the lap of his wife , Serena Joy . The next day , the Handmaids are encouraged to beat a man to death after Lydia announces he raped a pregnant Handmaid . Janine tells Offred that her friend Moira is dead . On the way home , Ofglen tells Offred that she had a wife and son , and warns her there is an Eye in the Waterford house . Offred affirms to herself that her true name is June and that she intends to survive to find her daughter .         `` Birth Day ''   Reed Morano   Bruce Miller   April 26 , 2017 ( 2017 - 04 - 26 )     Offred and Ofglen go shopping , and they reveal more personal information about themselves to each other . While they are walking , they see St. Paul Catholic Church , their local church , being destroyed by the new régime . Ofglen tells Offred that the régime also bulldozed St. Patrick 's Cathedral in Manhattan to try to `` erase '' the fact that it ever existed . When Offred asks how Ofglen knows this information , she reveals that she is part of a resistance movement against the government , but Offred declines to join . Commander Waterford 's driver , Nick , tells Offred that the Commander wants to see her alone later that night , which is forbidden , and warns her that Ofglen is dangerous . Offred and other Handmaids visit a home to witness the birth of Ofwarren ( Janine ) 's child , named Angela by the Puttnams , but Charlotte by Ofwarren . In flashbacks , June ( Offred ) remembers the birth of her and Luke 's daughter , Hannah . At that time healthy births were already rare , and a woman who tried to kidnap baby Hannah was arrested . Warily , Offred goes to the Commander 's office , but he just wants to play Scrabble , to her relief . The next day , when Offred prepares to tell Ofglen what happened that night , a different woman introduces herself as Ofglen .         `` Late ''   Reed Morano   Bruce Miller   April 26 , 2017 ( 2017 - 04 - 26 )     In flashbacks , the rise of Gilead is detailed . June and all the other women at her office were fired , and the government froze women 's bank accounts and ruled they could no longer own property . In the present , Serena takes Offred to see Ofwarren and the baby , and Offred fears Ofwarren is delusional . Back home , Offred is interrogated by an Eye and Aunt Lydia about her knowledge of Ofglen . Offred eventually reveals she knew Ofglen was gay and for this , Aunt Lydia shocks Offred with a cattle prod . Before she can leave the room , Offred quotes one of the Beatitudes from the Bible , which would have earned her a much more serious beating , but Serena intervenes , believing that Offred is pregnant . When Offred later tells Serena that she 's not pregnant , Serena angrily locks her in her room . In a flashback , June and Moira attend a protest against the new laws amidst automatic gunfire and explosives . In the present , Ofglen and the Martha she 's in a relationship with are charged with `` gender treachery '' . The fertile Ofglen receives a lesser sentence , but the Martha is executed by hanging as Ofglen watches , sobbing and horrified . Later , Ofglen ( now referred to by her `` old '' name , Emily ) , to her grief and anger , undergoes female genital mutilation surgery as explained by Aunt Lydia .         `` Nolite Te Bastardes Carborundorum ''   Mike Barker   Leila Gerstein   May 3 , 2017 ( 2017 - 05 - 03 )     Banished to her room , Offred retreats to her closet where she finds what appears to be a Latin phrase , Nolite Te Bastardes Carborundorum , scratched discreetly into the wall . When Rita , the Commander 's housekeeper , finds Offred lying on the closet floor , Offred tells her that she fainted . Serena then has Offred sent to the hospital for a check - up . During the examination the physician remarks that the Commander is most likely sterile , as is common . He offers to personally impregnate her but she declines . In flashbacks , Aunt Lydia teaches the Handmaids about The Ceremony in which a Commander endeavours to fertilize a Handmaid . Later , June and Moira assault Aunt Elizabeth , and Moira takes Elizabeth 's outfit . June and Moira plan to escape via train to Boston , which has safe houses . Moira manages to catch the train without June , who lets Moira know it 's okay . June is later caught and punished by having her feet whipped . Commander Waterford has an unsuccessful Ceremony night with Offred , but later that night , they have another game of Scrabble . She asks him about the Latin phrase , and he tells her it means , Do n't let the bastards grind you down . When she inquires about the previous Offred , he tells her that she committed suicide because life was unbearable . He then releases Offred from her solitary confinement .     5   5   `` Faithful ''   Mike Barker   Dorothy Fortenberry   May 10 , 2017 ( 2017 - 05 - 10 )     Serena suggests to Offred that she have sex with Nick in case Commander Waterford is sterile . Later that day , Serena leads Offred up to Nick 's room and waits by the door while Offred and Nick have detached sex . Flashbacks detail Luke and June 's first meeting and courtship . At the grocery store , Offred talks to the original Ofglen , now called Ofsteven , but Ofsteven is not as responsive as she used to be . During a Ceremony night , the Commander touches Offred 's thigh , which she later tells him never to do again . In their ensuing conversation , the Commander admits that while they thought they were building a better world , they knew that `` better never means better for everyone . '' Nick reveals to Offred that he is indeed an Eye . At an open - air market , Offred questions Ofsteven about the resistance group called Mayday . Ofsteven jumps behind the steering wheel of a security car and drives erratically around the plaza . She hits a guard , and is caught and put into a black van . Offred returns to Nick 's coach house alone , and they have passionate sex .     6   6   `` A Woman 's Place ''   Floria Sigismondi   Wendy Straker Hauser   May 17 , 2017 ( 2017 - 05 - 17 )     Mexican trade delegates visit the Commander 's home to evaluate the effects of the Gilead cultural movement . The female head of the delegation questions Offred about her experience , but she lies , saying that she is happy . Offred visits the Commander 's office later , but there is tension . She reluctantly obeys his demand to kiss him , but ferociously brushes her teeth afterward . The Handmaids and children are then taken to a function to demonstrate Gilead 's success . Offred 's friend remarks that the delegates are only interested in fertile women . The next day , as the delegates are leaving , Offred tells them the brutal truth about Gilead . She pleads for their help , but in response , the Mexican ambassador explains her own country 's dire situation . However , the ambassador 's assistant quietly claims June 's husband is alive and that he can deliver a message to Luke . A flashback details Serena and Fred 's life at the beginnings of the Gilead movement when Serena was a conservative cultural activist with passion and intelligence equal to her husband 's . Serena Joy wrote a book about her beliefs , titled A Woman 's Place . However , after the takeover , she is completely shut out of the new government planning and accepts her new limited role in the society she helped create . A copy of her book is seen being thrown out with the trash .     7   7   `` The Other Side ''   Floria Sigismondi   Lynn Renee Maxcy   May 24 , 2017 ( 2017 - 05 - 24 )     A flashback chronicles Luke 's story after he becomes separated from his wife and daughter . Luke is shot by Gileadan guards , but he escapes when the ambulance crashes , and he takes some medical supplies . He reaches a small abandoned town and , after passing out from his wounds , is rescued by a resistance group traveling to Canada . These survivors included a Roman Catholic nun , a seemingly mute escaped Handmaid , a homosexual man , and a daughter of a US Army soldier . Initially reluctant , Luke joins them after one of the survivors , Zoe , shows him that Gileadan authorities hanged townspeople from the rafters of their church for resisting . As they board a boat , Gileadan guards open fire , killing several members of the group , but Luke and Erin , the escaped Handmaid , survive . A further flashback shows Luke , June , and their daughter Hannah before they were separated . June and Luke are helped by Mr. Whitford , a man who knew June 's mother . He leaves them at a secluded cabin in the woods while he arranges documentation for them to escape to Canada . Later , a local hunter tells them Whitford has been caught and hanged , but the hunter helps them cross the border . Three years later , in the present , Luke and Erin live safely in `` Little America '' , based in Toronto , Ontario . While in the main administrative office , Luke receives the letter from June , which reads `` I love you so much . Save Hannah . ''     8   8   `` Jezebels ''   Kate Dennis   Kira Snyder   May 31 , 2017 ( 2017 - 05 - 31 )     Commander Waterford gifts Offred with makeup and a dress as he is taking her out for the night . Nick drives them to Boston to an underground brothel , where prostitutes ( known as `` Jezebels '' ) work . Offred spots Moira working in the club , and they briefly reunite . Nick trades drugs and pregnancy tests for alcohol with one of the brothel 's Marthas . Offred goes to see Moira again , and she explains to Offred how Quakers tried to help her escape but were caught . Moira had the choice of being sent either to the colonies or one of the brothels . Moira tells Offred , `` Forget about escaping . This is Gilead . No one gets out . '' Offred reveals to Moira that she knows Luke is alive . Flashbacks detail how Nick got involved with the Gilead movement and how he became an Eye after reporting a Commander for breaking protocol with his Handmaids . There are other flashbacks to the suicide of the previous Offred , with Serena pointedly saying to her husband , `` What did you think was going to happen ? '' In the present , after Nick drives Waterford and Offred home , he ends his relationship with Offred , which upsets and angers her . Offred receives a gift from Serena , a music box . The episode closes with Offred etching `` You are not alone '' into the closet wall .     9   9   `` The Bridge ''   Kate Dennis   Eric Tuchman   June 7 , 2017 ( 2017 - 06 - 07 )     Ofwarren 's daughter is handed over to Commander Putnam and his wife , and Ofwarren is transferred to another couple and renamed Ofdaniel . However , Offred is worried about Ofwarren / Ofdaniel 's mental state . During the first Ceremony night with her new Commander , Ofdaniel forcefully stops it . At the market , Alma pulls Offred aside , tells her that she is involved with the resistance group Mayday , and requests that Offred retrieve a package from the bar at Jezebel 's . Offred convinces Waterford to take her to Jezebel 's again that night . After Offred and Waterford have sex in their room , Waterford presents Moira , as he believes they have a sexual attraction . Offred asks Moira to retrieve the package , but she refuses , seemingly resigned to her fate . The next day Offred is taken to a bridge where Ofdaniel is standing on the edge with baby Charlotte , while Gileadan guards , the Putnams , the Waterfords , and Aunt Lydia stand fearfully by . Ofdaniel shouts that Commander Putnam promised to leave his wife for her . Offred convinces Ofdaniel to give her the child , and Ofdaniel then jumps into the icy water below . Later , while Ofdaniel lies comatose in hospital , Commander Putnam is led away by guards . When Serena Joy tries to offer comfort to Mrs. Putnam , she reminds Serena of the first Offred 's fate , causing Serena to doubt her husband 's loyalty . At the market , Offred is given a package by the butcher , sent by Moira from Jezebel 's . At the brothel , Moira kills a client and takes his clothes , then jubilantly drives off in his car .     10   10   `` Night ''   Kari Skogland   Bruce Miller   June 14 , 2017 ( 2017 - 06 - 14 )     A flashback shows June 's capture and indoctrination by Aunt Lydia at the Red Center . After Serena discovers Fred 's trips to Jezebel 's , she slaps Offred hard and forces her to take a pregnancy test . It is positive . Serena then angrily accuses her husband , telling him the child is not his . Upon learning the news , Nick shares a brief , tender moment with Offred . Serena takes Offred to where Hannah now lives , but Offred is kept in the car , and unable to attract her daughter 's attention . Serena warns Offred that Hannah will be cared for as long as the unborn child is safe . Fred participates in Commander Putnam 's trial advocating leniency , but Mrs. Putnam wants the harshest punishment possible , and ultimately Putnam 's left arm is amputated at the elbow . The package from Jezebel 's contains letters from women who have lost family members and been enslaved in the Gilead takeover . Later , an emotional Aunt Lydia gathers the Handmaids for the execution of Janine / Ofdaniel . The Handmaids hesitate , and Ofglen No. 2 is brutally beaten when she voices her angry refusal . Offred , then the other Handmaids , drop their stones . One of the guards threatens to kill Offred , but Aunt Lydia saves her , although assuring the handmaids that there will be consequences . Not long afterward , a black van comes for Offred . Nick urges her to trust him and go with them . Offred 's transfer is unusual , as neither of the Waterfords have any idea this would be happening . As Offred leaves , she whispers to Rita where to find the hidden letters . In a side story , Moira reaches Canada and is reunited with Luke .     Season 2 ( 2018 ) ( edit )     No . overall   No. in season   Title   Directed by   Teleplay by   Original release date     11     `` June ''   Mike Barker   Bruce Miller   April 25 , 2018 ( 2018 - 04 - 25 )     Offred and other handmaids are taken to a dilapidated Fenway Park , where they are made to believe they will be hanged , but it turns out to be a ruse to frighten them . During another punishment , Offred is freed after Aunt Lydia is told of her pregnancy . When she rejects a meal Aunt Lydia gives her , she is shown a pregnant handmaid , Ofwyatt , chained in a prison room due to her attempt to kill herself by drinking drain cleaner . Offred agrees to eat , and during her meal Aunt Lydia , who had told her that her friends would be punished for their disobedience , but her pregnancy would mean that she would be exempted , brings the other handmaids into the room . One by one they each have a hand burned over an open gas flame . Later , Offred is at a pregnancy check - up , where she is visited by Fred and Serena , but afterwards finds a key in one of her boots , which she uses to escape to a van parked underneath the hospital . The van drops her off to a safe house in Back Bay , where she meets Nick , while Fred authorizes a highly resourced search for her . He tells her to change out of her handmaid outfit , and to cut her hair . After stripping off her handmaid 's dress , she burns it before cutting the red cattle tag out of her ear . In flashbacks throughout the episode , Hannah is admitted to the hospital for having a fever while in school ; June is questioned by one of the hospital workers about giving Hannah medication to bypass the school 's fever policy , as well as about June and Luke 's fitness as parents . Later , they arrive home to a news story about the Capitol Building and the White House being attacked .     12     `` Unwomen ''   Mike Barker   Bruce Miller   April 25 , 2018 ( 2018 - 04 - 25 )     June has been transported to the abandoned former headquarters of The Boston Globe , another safe place arranged by Mayday . Emily has been taken to the Colonies , where disobedient and lower - class infertile women ( `` unwomen '' ) are forced to dig on highly toxic land . Many of the unwomen are becoming sick , and Emily is doing what she can to help them . A commander 's wife arrives at the Colonies and is not welcomed by the unwomen : Emily befriends her and finds that she was sent to the colonies for committing a `` sin of the flesh . '' Emily holds her in contempt for `` holding a woman down while her husband rapes her '' . She feigns giving her pills for her ailments that are in truth poison , which leads to her death . The unwomen are warned that there will be consequences for this death . Janine arrives at the Colonies , where she is briefly greeted by Emily . June is visited by Nick at the Globe and gets upset when he tells her she needs to wait for several weeks before she can leave because everyone is looking for her . Nick ends up giving her the keys to a car and a gun but she decides to stay , and they have sex . In a flashback , after the attack on the Capitol Building and the White House , Emily is told by her boss , Professor Dan , that she will not be teaching the following semester at the university , giving her a lower profile to avoid attracting criticism for her sexual orientation . Professor Dan is later seen hanged at the university with the word `` faggot '' spray painted underneath him . While Emily , along with her wife Sylvia and son Oliver , attempt to emigrate to Canada , she is unable to leave the country because their same - sex marriage is no longer recognized , and it becomes known that she is the biological mother of Oliver . June makes a news - clipping memorial for The Boston Globe employees who were executed at the newspaper 's former headquarters and prays to God to send an angel to watch over it .     13     `` Baggage ''   Kari Skogland   Dorothy Fortenberry   May 2 , 2018 ( 2018 - 05 - 02 )     Having spent two months at The Boston Globe offices , June has found evidence in their archives of the early emergence of the Gilead movement . Nick visits occasionally . She is abruptly moved to a different place where she meets Omar , who tells her he is bringing her to a safe house near an airstrip in order to fly to Canada . He receives a message that the safe house has been compromised , and tries to leave without her , but she stands in front of his van to make him take her . He takes her to his apartment , where she meets his wife , Heather , and their son , Adam . Left alone when his family goes to church , June finds a hidden Qur'an and prayer rug under the bedsprings ; Omar and his family do not return . She dons Heather 's Econowife outfit and leaves the apartment , blending in with other Econowives . After a train ride , June runs into the woods . She realizes she has no way of rescuing Hannah and advances to the airstrip that Omar had told her of ; however , the plane is intercepted before take - off , the pilot is executed , and June and another fugitive are apprehended by the Guardians . Meanwhile , Moira , now living with Luke and Erin ( who is no longer mute ) in Canada , gives a tour to a new co-worker but he has a breakdown , traumatized by what he did as a Guardian . In a flashback , June as a child is taken to a Take Back the Night rally by her mother , Holly . When she grew up , Holly was disappointed at June 's career choices and plan to marry Luke , hoping that she would have </t>
  </si>
  <si>
    <t xml:space="preserve">when did season 2 of handmaid's tale start</t>
  </si>
  <si>
    <t xml:space="preserve">   Season   Episodes   Originally released     First released   Last released         10   April 26 , 2017 ( 2017 - 04 - 26 )   June 14 , 2017 ( 2017 - 06 - 14 )         13   April 25 , 2018 ( 2018 - 04 - 25 )   July 11 , 2018 ( 2018 - 07 - 11 )   </t>
  </si>
  <si>
    <t xml:space="preserve">Dead zone ( ecology ) - wikipedia  Dead zone ( ecology )  This article is about the oceanic phenomenon . For other uses , see Dead zone ( disambiguation ) . For the natural anoxic basins , see Anoxic waters . Red circles show the location and size of many dead zones . Black dots show dead zones of unknown size . The size and number of marine dead zones -- areas where the deep water is so low in dissolved oxygen that sea creatures ca n't survive -- have grown explosively in the past half - century . -- NASA Earth Observatory ( 2008 )  Dead zones are hypoxic ( low - oxygen ) areas in the world 's oceans and large lakes , caused by `` excessive nutrient pollution from human activities coupled with other factors that deplete the oxygen required to support most marine life in bottom and near - bottom water . ( NOAA ) '' . In the 1970s oceanographers began noting increased instances of dead zones . These occur near inhabited coastlines , where aquatic life is most concentrated . ( The vast middle portions of the oceans , which naturally have little life , are not considered `` dead zones '' . )  Dead zones are bodies of water that do not have sufficient oxygen ( 3 ) levels in order to support most marine life . Dead zones are caused by oxygen - depleting factors which include , but are not limited to , human pollution ( 4 ) . This is a process called eutrophication , where oxygen levels decrease as elements such nitrogen and phosphorus increase . A healthy river will have increased amounts of oxygen for consumption by organisms ( 1 ) . As nitrogen increases , algae ( 5 ) produce large amounts of oxygen , but die from increased nitrogen . Decomposers then use all of the remaining oxygen decomposing the algae , resulting in no oxygen left and no oxygen being produced ( 2 ) .  In March 2004 , when the recently established UN Environment Programme published its first Global Environment Outlook Year Book ( GEO Year Book 2003 ) , it reported 146 dead zones in the world 's oceans where marine life could not be supported due to depleted oxygen levels . Some of these were as small as a square kilometre ( 0.4 mi2 ) , but the largest dead zone covered 70,000 square kilometres ( 27,000 mi2 ) . A 2008 study counted 405 dead zones worldwide .     Contents  ( hide )   1 Causes   2 Effects   3 Locations   3.1 Baltic Sea   3.2 Elizabeth River , Virginia   3.3 Lake Erie   3.4 Lower St. Lawrence Estuary   3.5 Oregon   3.6 Gulf of Mexico ' dead zone '   3.6. 1 Size   3.6. 2 Economic impact   3.6. 3 History     3.7 Gulf of Oman     4 Energy Independence and Security Act of 2007   5 Reversal   6 See also   7 Notes   8 References   9 Further reading   10 External links      Causes ( edit )  Dead zones are often caused by the decay of algae during algal blooms , like this one off the coast of La Jolla , San Diego , California . Climate has a significant impact on the growth and decline of ecological dead zones . During spring months , as rainfall increases , more nutrient - rich water flows down the mouth of the Mississippi River . At the same time , as sunlight increases during the spring , algal growth in the dead zones increases dramatically . In fall months , tropical storms begin to enter the Gulf of Mexico and break up the dead zones , and the cycle repeats again in the spring .  Aquatic and marine dead zones can be caused by an increase in chemical nutrients ( particularly nitrogen and phosphorus ) in the water , known as eutrophication . These chemicals are the fundamental building blocks of single - celled , plant - like organisms that live in the water column , and whose growth is limited in part by the availability of these materials . Eutrophication can lead to rapid increases in the density of certain types of these phytoplankton , a phenomenon known as an algal bloom .   Limnologist Dr. David Schindler , whose research at the Experimental Lakes Area led to the banning of harmful phosphates in detergents , warned about algal blooms and dead zones ,   `` The fish - killing blooms that devastated the Great Lakes in the 1960s and 1970s have n't gone away ; they 've moved west into an arid world in which people , industry , and agriculture are increasingly taxing the quality of what little freshwater there is to be had here ... This is n't just a prairie problem . Global expansion of dead zones caused by algal blooms is rising rapidly . ''   The major groups of algae are Cyanobacteria , green algae , Dinoflagellates , Coccolithophores and Diatom algae . Increase in input of nitrogen and phosphorus generally causes Cyanobacteria to bloom . Cyanobacteria are not good food for zooplankton and fish and hence accumulate in water , die , and then decompose . The bacterial degradation of their biomass consumes the oxygen in the water , thereby creating the state of hypoxia . Other algae are consumed and hence do not accumulate to the same extent as Cyanobacteria . Dead zones can be caused by natural and by anthropogenic factors . Natural causes include coastal upwelling and changes in wind and water circulation patterns . Use of chemical fertilizers is considered the major human - related cause of dead zones around the world . Runoff from sewage , urban land use , and fertilizers can also contribute to eutrophication .   Notable dead zones in the United States include the northern Gulf of Mexico region , surrounding the outfall of the Mississippi River , the coastal regions of the Pacific Northwest , and the Elizabeth River in Virginia Beach , all of which have been shown to be recurring events over the last several years .   Additionally , natural oceanographic phenomena can cause deoxygenation of parts of the water column . For example , enclosed bodies of water , such as fjords or the Black Sea , have shallow sills at their entrances , causing water to be stagnant there for a long time . The eastern tropical Pacific Ocean and northern Indian Ocean have lowered oxygen concentrations which are thought to be in regions where there is minimal circulation to replace the oxygen that is consumed . These areas are also known as oxygen minimum zones ( OMZ ) . In many cases , OMZs are permanent or semipermanent areas .   Remains of organisms found within sediment layers near the mouth of the Mississippi River indicate four hypoxic events before the advent of artificial fertilizer . In these sediment layers , anoxia - tolerant species are the most prevalent remains found . The periods indicated by the sediment record correspond to historic records of high river flow recorded by instruments at Vicksburg , Mississippi .   Changes in ocean circulation triggered by ongoing climate change could also add or magnify other causes of oxygen reductions in the ocean .   In August 2017 , a report found that the US meat industry is responsible for the largest - ever dead zone in the Gulf of Mexico . Runoff from widespread manure and fertilizer pollution contaminated water from the Heartland to the Gulf . Much of this pollution comes from the vast quantities of corn and soy used to raise meat animals for agribusiness companies , like Tyson .   Effects ( edit )  Underwater video frame of the sea floor in the western Baltic covered with dead or dying crabs , fish and clams killed by oxygen depletion  Low oxygen levels recorded along the Gulf Coast of North America have led to reproductive problems in fish involving decreased size of reproductive organs , low egg counts and lack of spawning .   In a study of the Gulf killifish by the Southeastern Louisiana University done in three bays along the Gulf Coast , fish living in bays where the oxygen levels in the water dropped to 1 to 2 parts per million ( ppm ) for three or more hours per day were found to have smaller reproductive organs . The male gonads were 34 % to 50 % as large as males of similar size in bays where the oxygen levels were normal ( 6 to 8 ppm ) . Females were found to have ovaries that were half as large as those in normal oxygen levels . The number of eggs in females living in hypoxic waters were only one - seventh the number of eggs in fish living in normal oxygen levels .   Fish raised in laboratory - created hypoxic conditions showed extremely low sex hormone concentrations and increased elevation of activity in two genes triggered by the hypoxia - inductile factor ( HIF ) protein . Under hypoxic conditions , HIF pairs with another protein , ARNT . The two then bind to DNA in cells , activating genes in those plant cells .   Under normal oxygen conditions , ARNT combines with estrogen to activate genes . Hypoxic cells in vitro did not react to estrogen placed in the tube . HIF appears to render ARNT unavailable to interact with estrogen , providing a mechanism by which hypoxic conditions alter reproduction in fish .   It might be expected that fish would flee the potential suffocation , but they are often quickly rendered unconscious and doomed . Slow moving bottom - dwelling creatures like clams , lobsters and oysters are unable to escape . All colonial animals are extinguished . The normal re-mineralization and recycling that occurs among benthic life - forms is stifled .   It has been shown that future changes in oxygen could affect most marine ecosystems and have socio - economic ramifications due to human dependency on marine goods and services .   Locations ( edit )  Dead zone in the Gulf of Mexico  In the 1970s , marine dead zones were first noted in settled areas where intensive economic use stimulated scientific scrutiny : in the U.S. East Coast 's Chesapeake Bay , in Scandinavia 's strait called the Kattegat , which is the mouth of the Baltic Sea and in other important Baltic Sea fishing grounds , in the Black Sea , and in the northern Adriatic .   Other marine dead zones have appeared in coastal waters of South America , China , Japan , and New Zealand . A 2008 study counted 405 dead zones worldwide .   Baltic Sea ( edit )  Main article : Baltic Sea hypoxia  High levels of hypoxia are contributing to the collapse of the Norwegian lobster fishery .   Researchers from Baltic Nest Institute published in one of PNAS issues reports that the dead zones in the Baltic Sea have grown from approximately 5,000 km2 to more than 60,000 km2 in recent years .   Some of the causes behind the elevated increase of dead zones can be attributed to the use of fertilizers , large animal farms , the burning of fossil fuels , and effluents from municipal wastewater treatment plants .       This section needs expansion . You can help by adding to it . ( August 2013 )     Elizabeth River , Virginia ( edit )   The Elizabeth River estuary is important for Norfolk , Virginia , Chesapeake , Virginia , Virginia Beach , Virginia and Portsmouth , Virginia . It has been polluted by nitrogen and phosphorus , but also toxic deposits from the shipbuilding industry , the military , the world 's largest coal export facility , refineries , loading docks , container - repair facilities and others , so fish had been `` offlimits since the 1920 _́ s '' . In 1993 , a group formed to clean it up , adopting the mummichog as a mascot , and has removed thousands of tons of contaminated sediment . In 2006 , a 35 - acre biological dead zone called Money Point was dredged out , and shown fish to return , the wetland to recover   Lake Erie ( edit )   A dead zone exists in the central part of Lake Erie from east of Point Pelee to Long Point and stretches to shores in Canada and the United States . The zone has been noticed since the 1950s to 1960s , but efforts since the 1970s have been made by Canada and the US to reduce runoff pollution into the lake as means to reverse the dead zone growth . Overall the lake 's oxygen level is poor with only a small area to the east of Long Point that has better levels . The biggest impact of the poor oxygen levels is to lacustrine life and fisheries industry .   Lower St. Lawrence estuary ( edit )   A dead zone exists in the Lower St. Lawrence River area from east the Saguenay River to east of Baie Comeau , greatest at depths over 275 metres ( 902 ft ) and noticed since the 1930s . The main concerns for Canadian scientists is the impact of fish found in the area .   Oregon ( edit )   Off the coast of Cape Perpetua , Oregon , there is also a dead zone with a 2006 reported size of 300 square miles ( 780 km2 ) . This dead zone only exists during the summer , perhaps due to wind patterns . The Oregon coast has also seen hypoxic water transporting itself from the continental shelf to the coastal embayments . This has seemed to cause intensity in several areas of Oregon 's climate such as upwelled water containing oxygen concentration and upwelled winds .     Gulf of Mexico ' dead zone ' ( edit )   The area of temporary hypoxic bottom water that occurs most summers off the coast of Louisiana in the Gulf of Mexico is the largest recurring hypoxic zone in the United States . The Mississippi River , which is the drainage area for 41 % of the continental United States , dumps high - nutrient runoff such as nitrogen and phosphorus into the Gulf of Mexico . According to a 2009 fact sheet created by NOAA , `` seventy percent of nutrient loads that cause hypoxia are a result of this vast drainage basin '' . which includes the heart of U.S. agribusiness , the Midwest . The discharge of treated sewage from urban areas ( pop . c 12 million in 2009 ) combined with agricultural runoff deliver c. 1.7 million tons of phosphorus and nitrogen into the Gulf of Mexico every year . Even though Iowa occupies less than 5 % of the Mississippi River drainage basin , average annual nitrate discharge from surface water in Iowa is about 204,000 to 222,000 metric tonnes , or 25 % of all the nitrate which the Mississippi River delivers to the Gulf of Mexico . Export from the Raccoon River Watershed is among the highest in the United States with annual yields at 26.1 kg / ha / year which ranked as the highest loss of nitrate out of 42 Mississippi subwatersheds evaluated for a Gulf of Mexico hypoxia report .  Size ( edit )  The area of hypoxic bottom water that occurs for several weeks each summer in the Gulf of Mexico has been mapped most years from 1985 through 2017 . The size varies annually from a record high in 2017 when it encompassed more than 22,730 sq kilometers ( 8,776 square miles ) to a record low in 1988 of 39 sq kilometers ( 15 square miles ) . The 2015 dead zone measured 16,760 square kilometers ( 6,474 square miles ) . Nancy Rabalais of the Louisiana Universities Marine Consortium in Cocodrie , Louisiana predicted the dead zone or hypoxic zone in 2012 will cover an area of 17,353 sq kilometers ( 6,700 square miles ) which is larger than Connecticut ; however , when the measurements were completed , the area of hypoxic bottom water in 2012 only totaled 7,480 sq kilometers . The models using the nitrogen flux from the Mississippi River to predict the `` dead zone '' areas have been criticized for being systematically high from 2006 to 2014 , having predicted record areas in 2007 , 2008 , 2009 , 2011 , and 2013 that were never realized .   In late summer 1988 the dead zone disappeared as the great drought caused the flow of Mississippi to fall to its lowest level since 1933 . During times of heavy flooding in the Mississippi River Basin , as in 1993 , `` '' the `` dead zone '' dramatically increased in size , approximately 5,000 km ( 3,107 mi ) larger than the previous year `` .  Economic impact ( edit )  Some assert that the dead zone threatens lucrative commercial and recreational fisheries in the Gulf of Mexico . `` In 2009 , the dockside value of commercial fisheries in the Gulf was $629 million . Nearly three million recreational fishers further contributed about $10 billion to the Gulf economy , taking 22 million fishing trips . '' Scientists are not in universal agreement that nutrient loading has a negative impact on fisheries . Grimes makes a case that nutrient loading enhances the fisheries in the Gulf of Mexico . Courtney et al. hypothesize , that nutrient loading may have contributed to the increases in red snapper in the northern and western Gulf of Mexico .  History ( edit )  Shrimp trawlers first reported a ' dead zone ' in the Gulf of Mexico in 1950 , but it was not until 1970 when the size of the hypoxic zone had increased that scientists began to investigate .   After 1950 , the conversion of forests and wetlands for agricultural and urban developments accelerated . `` Missouri River Basin has had hundreds of thousands of acres of forests and wetlands ( 66,000,000 acres ) replaced with agriculture activity ( ... ) In the Lower Mississippi one - third of the valley 's forests were converted to agriculture between 1950 and 1976 . ''   In July 2007 , a dead zone was discovered off the coast of Texas where the Brazos River empties into the Gulf .   Gulf of Oman ( edit )   In 2018 , scientists confirmed the Gulf of Oman encompasses one of the world 's largest and most severe marine dead zones . The dead zone encompasses nearly the entire 63,700 - square - mile Gulf of Oman . The dead zone consists entirely of anoxic conditions , meaning no oxygen is present , or suboxic conditions , with low oxygen levels . The cause is a combination of increased ocean warming with increased runoff of nitrogen and phosphorus from fertilizers . The dead zone had previously been unstudied due to geopolitical factors .   Energy Independence and Security Act of 2007 ( edit )   The Energy Independence and Security Act of 2007 calls for the production of 36 billion US gallons ( 140,000,000 m ) of renewable fuels by 2022 , including 15 billion US gallons ( 57,000,000 m ) of corn - based ethanol , a tripling of current production that would require a similar increase in corn production . Unfortunately , the plan poses a new problem ; the increase in demand for corn production results in a proportional increase in nitrogen runoff . Although nitrogen , which makes up 78 % of the Earth 's atmosphere , is an inert gas , it has more reactive forms , two of which ( nitrate and ammonia ) are used to make fertilizer .   According to Fred Below , a professor of crop physiology at the University of Illinois at Urbana - Champaign , corn requires more nitrogen - based fertilizer because it produces a higher grain per unit area than other crops and , unlike other crops , corn is completely dependent on available nitrogen in soil . The results , reported 18 March 2008 in Proceedings of the National Academy of Sciences , showed that scaling up corn production to meet the 15 - billion - US - gallon ( 57,000,000 m ) goal would increase nitrogen loading in the Dead Zone by 10 -- 18 % . This would boost nitrogen levels to twice the level recommended by the Mississippi Basin / Gulf of Mexico Water Nutrient Task Force ( Mississippi River Watershed Conservation Programs ) , a coalition of federal , state , and tribal agencies that have monitored the dead zone since 1997 . The task force says a 30 % reduction of nitrogen runoff is needed if the dead zone is to shrink .   Reversal ( edit )   Dead zones are reversible , though the extinction of organisms that are lost due to its appearance is not . The Black Sea dead zone , previously the largest in the world , largely disappeared between 1991 and 2001 after fertilizers became too costly to use following the collapse of the Soviet Union and the demise of centrally planned economies in Eastern and Central Europe . Fishing has again become a major economic activity in the region .   While the Black Sea `` cleanup '' was largely unintentional and involved a drop in hard - to - control fertilizer usage , the U.N. has advocated other cleanups by reducing large industrial emissions . From 1985 to 2000 , the North Sea dead zone had nitrogen reduced by 37 % when policy efforts by countries on the Rhine River reduced sewage and industrial emissions of nitrogen into the water . Other cleanups have taken place along the Hudson River and San Francisco Bay .   The chemical aluminium sulfate can be used to reduce phosphates in water .   See also ( edit )    Algal bloom   Anoxic event   Anoxic waters   Cultural eutrophication   Eutrophication   Fish kill   Hypoxia   Marine pollution   Ocean deoxygenation   Oxygen minimum zone   Shutdown of thermohaline circulation    Notes ( edit )    Jump up ^ Aquatic Dead Zones NASA Earth Observatory . Revised 17 July 2010 . Retrieved 17 January 2010 .   Jump up ^ `` NOAA : Gulf of Mexico ' dead zone ' predictions feature uncertainty '' . National Oceanic and Atmospheric Administration ( NOAA ) . June 21 , 2012 . Retrieved June 23 , 2012 .   ^ Jump up to : David Perlman , Chronicle Science Editor ( 2008 - 08 - 15 ) . `` Scientists alarmed by ocean dead - zone growth '' . Sfgate.com . Retrieved 2010 - 08 - 03 . CS1 maint : Extra text : authors list ( link )   ^ Jump up to : Diaz , R.J. ; Rosenberg , R. ( 2008 - 08 - 15 ) . `` Spreading Dead Zones and Consequences for Marine Ecosystems '' . Science . 321 ( 5891 ) : 926 -- 9 . doi : 10.1126 / science. 1156401 . PMID 18703733 .   ^ Jump up to : `` Blooming horrible : Nutrient pollution is a growing problem all along the Mississippi '' . The Economist . Retrieved June 23 , 2012 .   Jump up ^ David W. Schindler ; John R. Vallentyne ( 2008 ) . The Algal Bowl : Overfertilization of the World 's Freshwaters and Estuaries . Edmonton , Alberta : University of Alberta Press . Retrieved June 23 , 2012 .   Jump up ^ `` Whole Lake Experiment , Ford Lake , Prof Lehman '' , www.cees.iupui.edu , 2010 - 06 - 17   Jump up ^ Corn boom could expand ' dead zone ' in Gulf msnbc.msn.com   Jump up ^ Pickard , G.L. and Emery , W.J. 1982 . Description Physical Oceanography : An Introduction . Pergamon Press , Oxford , page 47 .   ^ Jump up to : Mora , C. ; et al. ( 2013 ) . `` Biotic and Human Vulnerability to Projected Changes in Ocean Biogeochemistry over the 21st Century '' . PLOS Biology . 11 : e1001682 . doi : 10.1371 / journal. pbio. 1001682 . PMC 3797030 . PMID 24143135 .   Jump up ^ Milman , Oliver ( 2017 - 08 - 01 ) . `` Meat industry blamed for largest - ever ' dead zone ' in Gulf of Mexico '' . The Guardian . ISSN 0261 - 3077 . Retrieved 2017 - 08 - 04 .   Jump up ^ von Reusner , Lucia ( August 1 , 2017 ) . `` Mystery Meat II : The Industry Behind the Quiet Destruction of the American Heartland '' ( PDF ) . Mighty Earth . Retrieved August 4 , 2017 .   Jump up ^ Landry , C.A. , S. Manning , and A.O. Cheek. 2004 . Hypoxia suppresses reproduction in Gulf killifish , Fundulus grandis . e. hormone 2004 conference . Oct. 27 -- 30 . New Orleans .   Jump up ^ Johanning , K. , et al. 2004 . Assessment of molecular interaction between low oxygen and estrogen in fish cell culture . Fourth SETAC World Congress , 25th Annual Meeting in North America . Nov. 14 -- 18 . Portland , Ore .   Jump up ^ Karleskint ; Turner ; and Small ( 2013 ) . Introduction to Marine Biology ( 4 ed . ) . Brooks / Cole . p. 4 . ISBN 978 - 1133364467 . CS1 maint : Multiple names : authors list ( link )   Jump up ^ Diaz , R.J. ; Rutger Rosenberg ( August 15 , 2008 ) . `` Supporting Online Material for Spreading Dead Zones and Consequences for Marine Ecosystems '' ( PDF ) . Science . 321 ( 926 ) : 926 -- 9 . doi : 10.1126 / science. 1156401 . PMID 18703733 . Retrieved 2010 - 08 - 13 .   Jump up ^ `` Red Tides and Dead Zones '' . Oceanus Magazine . Retrieved 2018 - 06 - 04 .   Jump up ^ `` Dead zones have increased by more than 10-fold in the last century - Baltic Nest Institute '' . www.balticnest.org. 2014 - 04 - 01 . Retrieved 2018 - 06 - 04 .   Jump up ^ Rona Kobell Elizabeth River rises from the depths . Dedicated group is slowly bringing one of nation 's most polluted rivers back to life . Bay Journal , July 01 , 2011   Jump up ^ `` Dead Zones '' .   Jump up ^ `` Will `` Dead Zones '' Spread in the St. Lawrence River ? `` . Archived from the original on 2013 - 06 - 26 .   Jump up ^ Griffis , R. and Howard , J. ( Eds . ) . 2013 . Oceans and Marine Resources in a Changing Climate : A Technical Input to the 2013 National Climate Assessment . Washingtonn , DC : Island Press   ^ Jump up to : `` NOAA : Gulf of Mexico ' Dead Zone ' Predictions Feature Uncertainty '' . U.S. Geological Survey ( USGS ) . June 21 , 2012 . Archived from the original on 2016 - 04 - 11 . Retrieved June 23 , 2012 .   Jump up ^ `` What is hypoxia ? '' . Louisiana Universities Marine Consortium ( LUMCON ) . Archived from the original on June 12 , 2013 . Retrieved May 18 , 2013 .   ^ Jump up to : `` Dead Zone : Hypoxia in the Gulf of Mexico '' ( PDF ) . NOAA. 2009 . Retrieved June 23 , 2012 .   Jump up ^ K.E. Schilling &amp; R.D. Libra . The relationship of nitrate concentrations in streams to row crop land use in Iowa . J. Environ . Qual , 2000 29 , 1846 -- 1851   Jump up ^ D.A. Goolsby ; W.A , Battaglin ; B.T. Aulenbach ; R.P. Hooper. ( 2001 ) . `` Nitrogen input to the Gulf of Mexico '' . J. Environ Quality . 30 : 329 -- 336 .   Jump up ^ `` Board of Water Works Trustees of the City of Des Moines , Iowa , Plaintiff vs. Sac County Board of Supervisors et al '' ( PDF ) . United States District Court for The Northern District of Iowa , Western Division . March 16 , 2015 . Retrieved March 9 , 2017 . This article incorporates text from this source , which is in the public domain .   Jump up ^ `` NOAA : Gulf of Mexico ' dead zone ' is the largest ever measured '' . National Oceanic and Atmospheric Administration ( NOAA ) . August 3 , 2017 . Archived from the original on August 2 , 2017 . Retrieved August 3 , 2017 .   Jump up ^ Lochhead , Carolyn ( 2010 - 07 - 06 ) . `` Dead zone in gulf linked to ethanol production '' . San Francisco Chronicle . Retrieved 2010 - 07 - 28 .   Jump up ^ 2015 Gulf of Mexico Hypoxic Zone Size , Mississippi River / Gulf of Mexico Hypoxia Task Force , EPA , n.d.   Jump up ^ Courtney et al. Predictions Wrong Again on Dead Zone Area -- Gulf of Mexico Gaining Resistance to Nutrient Loading . https://arxiv.org/ftp/arxiv/papers/1307/1307.8064.pdf   Jump up ^ Lisa M. Fairchild ( 2005 ) . The influence of stakeholder groups on the decision - making process regarding the dead zone associated with the Mississippi river discharge ( Master of Science ) . University of South Florida ( USF ) . p. 14 . access - date = requires url = ( help )   Jump up ^ `` Archived copy '' . Archived from the original on 2016 - 04 - 11 . Retrieved 2012 - 06 - 23 .   Jump up ^ Grimes , C.B. Fishery production and the Mississippi River discharge . Fisheries ( 2001 ) 26 ( 8 ) , 17 -- 26 .   Jump up ^ Joshua M Courtney , Amy Courtney , Michael W Courtney . Nutrient Loading Increases Red Snapper Production in the Gulf of Mexico . Hypotheses in the Life Sciences , 3 , 1 pp 7 -- 14 . ISSN 2042 - 8960   ^ Jump up to : Jennie Biewald ; Annie Rossetti ; Joseph Stevens ; Wei Cheih Wong . The Gulf of Mexico 's Hypoxic Zone ( Report ) . access - date = requires url = ( help )   Jump up ^ Cox , Tony ( 2007 - 07 - 23 ) . `` Exclusive '' . Bloomberg . Archived from the original on 2010 - 06 - 09 . Retrieved 2010 - 08 - 03 .   Jump up ^ `` Scientists Confirm Florida - Sized Dead Zone in the Gulf of Oman '' . Yale Environment 360 . April 30 , 2018 . Retrieved April 30 , 2018 .   ^ Jump up to : Potera , Carol ( June 2008 ) . `` Corn Ethanol Goal Revives Dead Zone Concerns '' . Environmental Health Prospectives .   Jump up ^ `` Dead Water '' . Economist . May 2008 .   ^ Jump up to : Mee , Laurence ( November 2006 ) . `` Reviving Dead Zones '' . Scientific American .   Jump up ^ ' Dead Zones ' Multiplying In World 's Oceans by John Nielsen . 15 Aug 2008 , Morning Edition , NPR .   Jump up ^ `` Wisconsin Department of Natural Resources '' ( PDF ) . Archived from the original ( PDF ) on 2009 - 11 - 28 . Retrieved 2010 - 08 - 03 .    References ( edit )    Diaz , R.J. ; Rosenberg , R. ( 2008 ) . `` Spreading dead zones and consequences for marine ecosystems '' . Science . 321 ( 5891 ) : 926 -- 929 . doi : 10.1126 / science. 1156401 . PMID 18703733 .   Osterman , L.E. , et al. 2004 . Reconstructing an 180 - yr record of natural and anthropogenic induced hypoxia from the sediments of the Louisiana Continental Shelf . Geological Society of America meeting . Nov. 7 -- 10 . Denver . Abstract .   Taylor , F.J. ; Taylor , N.J. ; Walsby , J.R. ( 1985 ) . `` A bloom of planktonic diatom Ceratulina pelagica off the coastal northeastern New Zealand in 1983 , and its contribution to an associated mortality of fish and benthic fauna '' . Intertional Revue ges . Hydrobiol. 70 : 773 -- 795 . doi : 10.1002 / iroh. 19850700602 .   Morrisey , D.J. ( 2000 ) . `` Predicting impacts and recovery of marine farm sites in Stewart Island New Zealand , from the Findlay - Watling model '' . Aquaculture. 185 : 257 -- 271 . doi : 10.1016 / s0044 - 8486 ( 99 ) 00360 - 9 .   Potera , C ( 2008 ) . `` Corn Ethanol Goal Revives Dead Zone Concerns '' . Environmental Health Perspectives. 116 ( 6 ) : A242 -- A243 . doi : 10.1289 / ehp. 116 - a242 .    Further reading ( edit )    Growing ' dead zone ' Confirmed by Underwater Robots in the Gulf of Oman , phys.org , April 2018   Hendy , Ian ( August 2017 ) , Gulf of Mexico ' dead zone ' is already a disaster -- but it could get worse , The Conversation   Bryant , Lee ( April 2015 ) , Ocean ' dead zones ' are spreading -- and that spells disaster for fish , The Conversation   David Stauth ( Oregon State University ) , `` Hypoxic `` dead zone '' growing off the Oregon Coast `` , July 31 , 2006 at Archive.is ( archived 2013 - 01 - 29 )   Suzie Greenhalgh and Amanda Sauer ( WRI ) , `` Awakening the ' Dead Zone ' : An investment for agriculture , water quality , and climate change '' 2003   Reyes Tirado ( July 2008 ) Dead Zones : How Agricultural Fertilizers are Killing our Rivers , Lakes and Oceans . Greenpeace publications . See also : `` Dead Zones : How Agricultural Fertilizers are Killing our Rivers , Lakes and Oceans '' . Greenpeace Canada . 2008 - 07 - 07 . Retrieved 2010 - 08 - 03 .   MSNBC report on dead zones , March 29 , 2004   Joel Achenbach , `` A ' Dead Zone ' in The Gulf of Mexico : Scientists Say Area That Cannot Support Some Marine Life Is Near Record Size '' , Washington Post , July 31 , 2008   Joel Achenbach , `` ' Dead Zones ' Appear In Waters Worldwide : New Study Estimates More Than 400 '' , Washington Post , August 15 , 2008    External links ( edit )    Louisiana Universities Marine Consortium   UN Geo Yearbook 2003 report on nitrogen and dead zones at the Library of Congress Web Archives ( archived 2005 - 08 - 02 )   NASA on dead zones ( Satellite pictures )   Gulf of Mexico Dead Zone -- multimedia   Gulf of Mexico Hypoxia Watch , NOAA , Joel Achenbach at the Wayback Machine ( archived 2007 - 10 - 09 )   NutrientNet at the Wayback Machine ( archived 2010 - 07 - 11 ) , an online nutrient trading tool developed by the World Resources Institute , designed to address issues of eutrophication . See also the PA NutrientNet website designed for Pennsylvania 's nutrient trading program .      hide         Aquatic ecosystem topics        hide Aquatic ecosystems -- general and freshwater components        General     Acoustic ecology   Adaptation   Agent - based models   Algal bloom   Anoxic waters   Aquatic animals ( Insects   Mammals )   Aquatic plants   Aquatic science   Benthos   Biodiversity research   Bioluminescence   Biomass   Biomonitoring   Cascade effect   Colored dissolved organic matter   Camouflage and mimicry   Dead zone   Ecohydrology   Ecosystems   Eutrophication   Fisheries science   Food chain   Food web   GIS and aquatic science   Hydrobiology   Hypoxia   Isotope analysis   Microbial ecology   Microbial food web   Microbial loop   Nekton   Neuston   Particle   Pelagic zone   Photic zone   Phytoplankton   Plankton   Pleuston   Predation   Productivity   Ramsar Convention   Respiration   Schooling   Sediment trap   Siltation   Spawning   Substrate   Thermal pollution   Toxicology   Trophic level   Water column   Zooplankton   More ...         Freshwater     Biology   Biomes   Ecosystems   freshwater   lake   river     Fish   Hyporheic zone   Limnology   Lake stratification   Macrophyte   Pond   Fish pond     Rheotaxis   Stream bed   Stream pool   Trophic state index   Upland and lowland   Water garden   Wetland   brackish marsh   freshwater marsh   swamp   bog   fen     Environmental quality   More ...       Ecoregions     Freshwater ( List )   Marine ( List )   The Everglades   Maharashtra   The North Pacific Subtropical Gyre   The San Francisco Estuary                Aquatic ecosystems -- marine components        Marine     Marine biology   Marine chemistry   Deep scattering layer   Diel vertical migration   Ecosystems   large marine </t>
  </si>
  <si>
    <t xml:space="preserve">what causes a dead zone in the ocean</t>
  </si>
  <si>
    <t xml:space="preserve"> Dead zones are hypoxic ( low - oxygen ) areas in the world 's oceans and large lakes , caused by `` excessive nutrient pollution from human activities coupled with other factors that deplete the oxygen required to support most marine life in bottom and near - bottom water . ( NOAA ) '' . In the 1970s oceanographers began noting increased instances of dead zones . These occur near inhabited coastlines , where aquatic life is most concentrated . ( The vast middle portions of the oceans , which naturally have little life , are not considered `` dead zones '' . ) </t>
  </si>
  <si>
    <r>
      <rPr>
        <sz val="11"/>
        <color rgb="FF000000"/>
        <rFont val="Calibri"/>
        <family val="0"/>
        <charset val="1"/>
      </rPr>
      <t xml:space="preserve">Alejandro García Padilla - wikipedia  Alejandro García Padilla  Jump to : navigation , search This name uses Spanish naming customs : the first or paternal family name is García and the second or maternal family name is Padilla .    Alejandro García Padilla             11th Governor of Puerto Rico     In office January 2 , 2013 -- January 2 , 2017     President   Barack Obama     Preceded by   Luis Fortuño     Succeeded by   Ricky Rosselló     Member of the Puerto Rican Senate At - Large     In office January 2 , 2009 -- January 1 , 2013     Puerto Rico Secretary of Consumer Affairs     In office January 2 , 2005 -- January 1 , 2009     Governor   Aníbal Acevedo Vilá     Preceded by   ? ? ?     Succeeded by   Luis Rivera Marín         Personal details       Alejandro Javier García Padilla ( 1971 - 08 - 03 ) August 3 , 1971 ( age 46 ) Coamo , Puerto Rico , U.S.     Political party   Popular Democratic Party     Other political affiliations   Democratic     Spouse ( s )   Wilma Pastrana ( 2001 -- present )     Children       Education   University of Puerto Rico , Río Piedras ( BA ) Interamerican University of Puerto Rico ( JD )     Website   Government website     Alejandro Javier García Padilla ( Spanish : ( aleˈxandɾo ɣarˈsi. a ) ; born August 3 , 1971 ) is a Puerto Rican politician and attorney who served as the 11th Governor of Puerto Rico from 2013 to 2017 . Prior to this position , García Padilla held various roles in the political landscape of Puerto Rico ; first as Secretary of Consumer Affairs , and then as a member of the 24th Senate of Puerto Rico and as president of the Popular Democratic Party . Locally , he is a staunch advocate for maintaining the current political status of Puerto Rico as that of an unincorporated territory of the United States with self - government , while at the national level he is allied with the Democratic Party .   As governor , García Padilla shared his legislative powers with the 25th Senate and 29th House of Representatives , both controlled by his party . Regardless of this , he was not able to persuade several members of his own party to support his proposals . This failure , in addition to his low popularity , ultimately led him to not seek re-election thus becoming the second governor in Puerto Rican history to not do so after his first term .     Contents  ( hide )   1 Early years   2 Professional life   3 Political career   3.1 Gubernatorial campaign   3.2 2012 elections   3.3 Transition     4 Governorship   4.1 Inauguration   4.2 First days   4.3 Domestic policies   4.4 Foreign policies     5 Public image and perception   6 Personal life   7 Ancestry   8 Notes   9 References      Early years   García Padilla was born on 3 August 1971 in Coamo , Puerto Rico to Luis Gerardo García Sánchez ( 1927 - 2005 ) and María de los Ángeles Padilla Passalacqua and is the youngest of six brothers including Juan Carlos and Antonio . His father Luis , a World War II veteran , held various jobs throughout his life to support his family , including machinery operator , and returned from the war to become a general manager of a manufacturing company . His mother has been a dedicated homemaker . He is of paternal Asturian descent with his grandfather Carlos Garcia Cadorniga born 1890 in Navia , Asturias , Spain who settled in Ponce . He also has Corsican lineage from his maternal great - great grandfather .   García Padilla was raised in Barrio Cuyón in his hometown . He attended the Colegio Valvanera High School . After graduating , he obtained his bachelor 's degree in Political Science and Economics from the University of Puerto Rico , and a juris doctor from the Interamerican University of Puerto Rico School of Law . García Padilla is the first and only governor to be entirely educated in Puerto Rico , and the first and only governor who has resided only in Puerto Rico during his entire life . He is also the first and only governor born in a rural municipality .   Professional life   García Padilla began his law career working at Puerto Rico 's Court of Appeals as a law clerk . He then worked as an attorney , specializing in Property , Estates , Contracts , and Administrative Law . He also worked as a law professor at the Interamerican University . He later served as a legislative aide for the committees on Internal Affairs , Women 's Affairs , and Agriculture , among others . He was a member of the board of the Puerto Rico Bar Association .   Political career   In January 2005 , García Padilla was confirmed as Secretary of the Puerto Rico Department of Consumer Affairs under the administration of Aníbal Acevedo Vilá . During his tenure at the agency , he was known for his credibility , accessibility and aggressive fiscalization . In 2007 , García Padilla resigned his position as Secretary and announced that he would run for Senator .   In the 2008 general elections , he received the highest number of votes among all senatorial candidates . After the election , he was selected by José Dalmau Santiago , Senate Minority Leader , to serve as the ranking member on several committees , including Governmental Affairs , Public Safety , and Judicial Affairs .   Gubernatorial campaign  Further information : Puerto Rico gubernatorial election , 2012  On 6 March 2011 , García Padilla announced his plans to run for Governor of Puerto Rico in 2012 . He also announced his candidacy for President of the Popular Democratic Party , running unopposed , and took office on 4 April 2011 . On 26 October 2011 he named Rafael Cox Alomar as his running mate for Resident Commissioner ( who went on to lose the election by a 1.28 % margin ) , replacing Héctor Ferrer Ríos , who withdrew from the congressional race in order to run as the PPD 's candidate for Mayor of San Juan .   2012 elections   After the 2012 gubernatorial elections of 6 November 2012 , García Padilla was elected as the next Governor of Puerto Rico , by a narrow ( 0.6 % ) margin , defeating incumbent Luis Fortuño 47.73 % to 47.13 % .   Transition  Further information : 2012 Puerto Rico government transition process  Puerto Rican law requires that a formal process is followed when the government must transition from one Governor to another . As such , García Padilla formed the 2012 Incoming Committee on Government Transition composed of aides and advisors who would eventually become part of his Cabinet .   Governorship   Inauguration  Main article : Inauguration of Alejandro García Padilla      This section needs expansion . You can help by adding to it . ( January 2013 )    Play media Inauguration of Alejandro García Padilla as the 11th Governor of the Commonwealth of Puerto Rico on the Capitol steps .  García Padilla was officially inaugurated as the 11th Governor of Puerto Rico on 2 January 2013 by Federico Hernández Denton , Chief Justice of the Supreme Court of Puerto Rico , at an event held in the Puerto Rico Capitol . He will serve as governor concurrently with the 16th Cabinet of Puerto Rico and in parallel with the 17th Legislative Assembly of Puerto Rico , the 25th Senate of Puerto Rico , and the 29th House of Representatives of Puerto Rico .   First days  Further information : 16th Cabinet of Puerto Rico , public debt of Puerto Rico , and Puerto Rico government budget balance      This section needs expansion . You can help by adding to it . ( January 2013 )     García Padilla formed a cabinet composed of former aides and members of the private sector to form the 16th Cabinet of Puerto Rico . He holds office in parallel with the 17th Legislative Assembly of Puerto Rico , the 25th Senate of Puerto Rico , and the 29th House of Representatives of Puerto Rico . His primary challenge will be taking a government with a large indebtness and high deficit . His first executive orders were proclaimed on 3 January 2013 , one day after being sworn in . One of them activated the Puerto Rico National Guard to monitor Puerto Rico 's coasts and ports in order to reduce illegal immigration and the flow of illegal goods into the island , while another established that the Puerto Rico Chief of Staff must be consulted before making any appointments to empty seats , issuing contracts or amending existing contracts . The third executive order was proclaimed to control spending in agencies with credit cards , phones , escorts , official cars , overseas travel , and cell phones and personal digital assistants .   Domestic policies   On 30 June 2013 , García Padilla signed the Redistribution and Tax Charge Adjustment Act of 2013 ( Act No. 40 of 2013 ) reducing the portion of the Puerto Rico Sales and Use Tax that municipalities charge from a 1.5 % to 1.0 % -- effectively lowering the total sales tax from 7.0 % to 6.5 % . However , this change has not yet been reflected , and the sales tax rate of 7.0 % remains . The Act also expanded the use tax to include more services , including business - to - business sales and services like consulting . Under his administration , a new tax of 4 cents per liter was imposed on gasoline .   As part of his economic policies , García Padilla launched an austerity programme , raising taxes by 1.1 % of the gross national product ( GNP ) and making public employees ' pension schemes less generous . These measures are expected to trim the government deficit from $2.2 billion to $800 million . This , according to The Economist , has made 62 % of Puerto Ricans disapprove of García Padilla .   On June 28 , 2014 , Governor García Padilla signed into law the Puerto Rico Public Corporation Debt Enforcement and Recovery Act , which sought to allow corporations owned by the Commonwealth , such as the Puerto Rico Electric Power Authority , the Puerto Rico Aqueducts and Sewers Authority , and the Puerto Rico Highways and Transportation Authority to declare bankruptcy . However , in February 2015 , U.S. District Judge Francisco Besosa found the Act was void because it was preempted by the U.S. Bankruptcy Code . In July 2015 , that ruling was affirmed by the United States Court of Appeals for the First Circuit , with Judge Juan R. Torruella concurring only in the judgment . The following June , in Puerto Rico v. Franklin California Tax - Free Trust ( 2016 ) , that ruling was additionally affirmed by a U.S. Supreme Court in a vote of 5 - 2 , with Justice Sonia Sotomayor dissenting .   Facing the Puerto Rican government - debt crisis , in June 2015 , Governor García Padilla announced the Commonwealth was in a `` death spiral '' and `` the debt is not payable . ''   On June 30 , 2016 , President Barack Obama signed the PROMESA into law , which empowered him to appoint a seven - member Financial Oversight and Management Board that has ultimate control over the Commonwealth 's budget .   Foreign policies       This section is missing information about García Padilla 's efforts to promote the Puerto Rico nation branding and his administration 's efforts to strengthen trade relations with Panama . Please expand the section to include this information . Further details may exist on the talk page . ( August 2013 )     In June 2013 , García Padilla traveled to Spain where he met with representatives of the pharmaceutical and medical devices industry of Spain to showcase Puerto Rico as an attractive investment destination .   In July 2013 , García Padilla 's administration established a trade agreement between Colombia and Puerto Rico whereby Colombia will import medicine from Puerto Rico and provide knowledge transfer in several industries . Puerto Rico on the other hand will co-manufacture products together with Colombia , so that Colombia can benefit from Puerto Rico 's lack of tariffs when exporting to the United States .   Public image and perception   On 4 August 2013 , protesters marched in Old San Juan to express their discontent with new taxes imposed by his administration and the way the government has been handling its finances .   On 6 November 2013 , El Nuevo Día released poll results published a year after his election that indicated that 57 % of poll participants rated García - Padilla 's administration with a `` D '' or an `` F '' grade and 62 % disapproved of his performance as governor .   He has also been accused of nepotism , because of his having five relatives working in the government , three of them as political appointees . Most of the criticism was focused on the appointment of his cousin , Ricardo Colon Padilla , as director of the commonwealth 's Medicaid program , as Colon been previously convicted of providing the FBI and IRS with false testimony during an investigation .   Garcia Padilla has been criticized by some Puerto Ricans for his poor command of the English language , marked by stammering , poor vocabulary , a strong accent , and difficulty in understanding the language . He has tried to shake off criticism of his language skills by appealing to populism , stating that he is proud of his rural origins , and that his English reflects said origin , and that he also `` speaks better English than a mainlander speaks Spanish . ''   On 14 December 2015 after weeks of speculation and due to opposition from his own party , García Padilla announced he would n't seek re-election .   Personal life   García Padilla has been married to Wilma Pastrana , a CPA , since 7 April 2001 . They have three children : Ana , Juan Pablo , and Diego . Among his older brothers , Antonio served as President of the University of Puerto Rico and Juan Carlos serves as mayor of Coamo . Another of his brothers , Luis Gerardo , was a government employee with the Puerto Rico Telephone Company .   Ancestry  `` The template below ( Ahnentafel top ) is being considered for deletion . See templates for discussion to help reach a consensus . ''    ( show ) Ancestors of Alejandro García Padilla     `` The template below ( Ahnentafel - compact5 ) is being considered for deletion . See templates for discussion to help reach a consensus . ''                                              16 . Luis García Avello b . Spain                           8 . Eugenio García Manso b . Spain                                   17 . Rogelia Manso Infanzón                           4 . Carlos García Cadórniga b . Navia , Asturias , Spain                                         18. ? Cadórniga                           9 . Filomena Cadórniga Camba                                   19. ? Camba                           2 . Luis Gerardo García y Sánchez                                                               10 . José Sánchez                                                   5 . Eduvigis Sánchez Colón b . Puerto Rico                                                         11 . Rosa Colón                                                   1 . Alejandro García Padilla b . Coamo , Puerto Rico                                                     24 . José de Jesús Padilla y Alfonso b . Puerto Rico                           12 . Julio María Padilla y Iguina b . Puerto Rico                                   25 . María Magdalena Iguina y Lozano b . Puerto Rico                           6 . Antonio Padilla Costa b . Puerto Rico                                         26 . Antonio Costa y Palmieri b . Puerto Rico                           13 . Ángela Costa y Semidey b . Puerto Rico                                   27 . Ana Semidey y Semidey b . Puerto Rico                           3 . María de los Ángeles Padilla y Passalacqua b . Puerto Rico                                               28 . Luis Passalacqua y Costa b . Corsica , France                           14 . Juan Passalacqua y Palmieri b . Puerto Rico                                   29 . Julia Palmieri y Santiago b . Aibonito , Puerto Rico                           7 . Julia Passalacqua y Rodríguez b . Puerto Rico                                         30 . Felipe Rodríguez y MacCarthy b . Coamo , Puerto Rico                           15 . Ana María Rodríguez y Braschi b . Coamo , Puerto Rico                                   31 . Eufrosina Braschi y Rodríguez b . Juana Diaz , Puerto Rico                            Notes    Jump up ^ The first governor to not seek re-election after her first term was Sila María Calderón in 2004 .   ^ Jump up to : Primera Hora ( in Spanish ) `` Yo voy a ser el primer gobernador de Puerto Rico que no es de una ciudad y que hizo todos sus estudios aquí . ''   ^ Jump up to : The Economist `` The governor , Alejandro García Padilla , had already launched an austerity programme , raising taxes by 1.1 % of GNP and making public employees ' pension schemes less generous . That is expected to trim the deficit from $2.2 billion to $800 m ; it has already made 62 % of Puerto Ricans disapprove of Mr García Padilla . ''   Jump up ^ Brown ( 2015 ) `` Especially damaging to Garcia Padilla 's reelection chances , he has faced strong opposition within his own party , especially from mayors who feel he did not consult them on key decisions impacting towns . ''    References    ^ Jump up to : `` Meet the Governor '' . Puerto Rico Federal Affairs Administration . Archived from the original on 4 September 2013 . Retrieved 10 August 2013 .   Jump up ^ `` Fortuño : Romney would be good for PR '' . Caribbean Business . 28 August 2012 . Archived from the original on 25 September 2013 . Retrieved 15 January 2013 . ( ... ) Popular Democratic Party gubernatorial candidate Alejandro García Padilla , is a national Democrat who backs President Barack Obama 's bid for a second term .   Jump up ^ `` Elecciones Generales 2012 y Consulta Sobre el Estatus Político de Puerto Rico '' ( in Spanish ) . Puerto Rico State Commission on Elections . Archived from the original on 4 August 2013 . Retrieved 10 August 2013 .   Jump up ^ Hon . Alejandro J. García Padilla , Gobernador . www.fortaleza.pr.gov Official website .   Jump up ^ ( 1 ) Carlos Garcia Cadorniga , United States Census , 1940   Jump up ^ Luis Gerardo Garcia Y Sanchez Puerto Rico , Civil Registration   Jump up ^ `` Alejandro García Padilla ( b . 1970s ) - WikiTree : The FREE Family Tree '' .   Jump up ^ Luis Passalacqua Costa ( Shows Certificate of Juan Passalacqua and parents birthplace )   ^ Jump up to : `` Alejandro García Padilla Biography '' . Puerto Rico Senate . Retrieved 5 April 2011 .   Jump up ^ `` García Padilla : Del campo ... ¿ a La Fortaleza ? '' . Primera Hora ( in Spanish ) . 4 August 2012 . Retrieved 19 July 2014 .   Jump up ^ `` Alejandro García Padilla Biography '' . Alejandro por Puerto Rico . Retrieved 5 April 2011 .   Jump up ^ `` Populares prefieren a García Padilla '' . NotiUno 1280 . 3 November 2009 . Retrieved 30 October 2015 .   Jump up ^ `` García Padilla ya tiene su equipo '' . El Nuevo Día. 30 July 2010 . Retrieved 30 October 2015 .   Jump up ^ `` Legislative Results Lookup , Senators At - Large , General Elections 2008 '' . Elections in Puerto Rico . Retrieved 6 April 2011 .   Jump up ^ Gómez , Antonio R. ( 7 March 2011 ) . `` Alejandro García Padilla se tira de pecho '' . Primera Hora . Retrieved 5 April 2011 .   Jump up ^ `` Pospone su asamblea el Partido Popular para julio '' . El Nuevo Día. 26 March 2011 . Retrieved 6 April 2011 .   Jump up ^ http://div1.ceepur.org/REYDI_Escrutinio/index.html#es/default/COMISIONADO_RESIDENTE_ISLA.xml Archived 15 January 2013 at the Wayback Machine .   Jump up ^ Díaz Alcaide , Maritza ( 26 October 2011 ) . `` Rafael Cox Alomar es el candidato del PPD a comisionado residente en Washington '' . Primera Hora . Retrieved 11 November 2011 .   Jump up ^ `` Puerto Rico changes course , elects Garcia Padilla as governor '' . Fox News . 2012 - 11 - 07 .   Jump up ^ http://div1.ceepur.org/REYDI_Escrutinio/index.html#es/default/GOBERNADOR_ISLA.xml Archived 15 January 2013 at the Wayback Machine .   Jump up ^ García Padilla is the 11th Governor of Puerto Rico by ordinality but the 10th person to hold such post . This is because Rafael Hernández Colón served two non-consecutive terms as 4th and 6th Governor of Puerto Rico .   Jump up ^ `` New governor takes office in debt - swamped Puerto Rico '' . Reuters. 2 January 2013 . Retrieved 2 January 2013 .   ^ Jump up to : Ruiz , Gloria ( 3 January 2013 ) . `` Gobernador emite orden ejecutiva para activar la Guardia Nacional '' . El Nuevo Día ( in Spanish ) .   Jump up ^ Ley de Redistribución y Ajuste de la Carga Contributiva , Act No. 40 of 2013 ( in Spanish ) . Retrieved on 10 August 2013 .   Jump up ^ López Alicea , Keila ( 2013 - 07 - 01 ) . `` Fuerte aumento en el precio de la gasolina '' . El Nuevo Día ( in Spanish ) . Retrieved 10 August 2013 .   Jump up ^ `` Puerto Rico 's economy : Buying on credit is so nice '' . The Economist. 2013 - 11 - 23 . Retrieved 2013 - 11 - 23 .   Jump up ^ Recent Legislation : Puerto Rico Passes New Municipal Reorganization Act , 128 Harv . L. Rev. 1320 ( 2015 ) .   Jump up ^ Franklin California Tax - Free Trust v. Puerto Rico , 85 F. Supp . 3d 577 ( D.P.R. 2015 ) .   Jump up ^ Franklin California Tax - Free Trust v. Puerto Rico , 805 F. 3d 322 ( 1st Cir. 2015 ) .   Jump up ^ `` Puerto Rico v. Franklin California Tax - Free Trust '' . SCOTUSblog . Retrieved 3 May 2017 .   Jump up ^ Michael Corkery ; Mary Williams Walsh ( 29 June 2015 ) . `` Puerto Rico 's Governor Says Island 's Debts Are ' Not Payable ' '' . The New York Times . p . A1 . Retrieved 3 May 2017 .   Jump up ^ Developments in the Law -- Ch. II : Territorial Federalism , 130 Harv . L. Rev. 1632 ( 2017 ) .   Jump up ^ Rivera , Manuel ( 2013 - 06 - 22 ) . `` Viaje de AGP a España `` promovido por el Banco Santander '' `` . Noticel . Retrieved 10 August 2013 .   Jump up ^ `` Colombia y Puerto Rico se dan la mano '' . El Nuevo Día ( in Spanish ) . 2013 - 07 - 20 . Retrieved 2013 - 08 - 11 .   Jump up ^ `` Relaciones comerciales entre Colombia y Puerto Rico '' ( in Spanish ) . Universidad ICESI. 2013 - 07 - 23 . Retrieved 2013 - 08 - 11 .   Jump up ^ Jusino , Mardelis ( 2013 - 08 - 04 ) . `` '' Puerto Rico no aguanta más '' los impuestos '' ( in Spanish ) . WAPA - TV . Retrieved 2013 - 11 - 13 .   Jump up ^ `` García Padilla : `` Me voy a postular y voy a ganar '' `` . El Nuevo Dia ( in Spanish ) . 6 November 2013 . Retrieved 16 December 2015 .   Jump up ^ `` Malas notas para el gobernador '' . El Nuevo Día ( in Spanish ) . 6 November 2013 . Retrieved 8 November 2013 .   Jump up ^ `` Cinco familiares de García Padilla laboran en el gobierno '' . El Neuvo Dia ( in Spanish ) . 21 January 2014 . Retrieved 16 December 2015 .   Jump up ^ `` Video : ¿ Qué te parece el acento de García Padilla al hablar inglés ? '' . Archived from the original on 2 April 2015 . Retrieved 29 June 2015 .   Jump up ^ `` Deficiente el inglés de AGP en carta a Obama '' . Retrieved 29 June 2015 .   Jump up ^ `` Alejandro Garcia Padilla hablando inglés '' . Primera Hora . Retrieved 29 June 2015 .   Jump up ^ `` Alejandro GarcÃa Padilla se rÃe de su forma de hablar inglés '' . Primera Hora . Retrieved 29 June 2015 .   Jump up ^ Brown , Nick ( 2015 - 12 - 14 ) . `` Puerto Rico governor says wo n't seek re-election '' . Reuters . Retrieved 2015 - 12 - 14 .   Jump up ^ `` De aniversario García Padilla '' . El Nuevo Día. 7 April 2011 . Retrieved 7 April 2011 .   Jump up ^ Ruiz , Gloria ( 3 January 2013 ) . `` Hijos de García Padilla disfrutan de La Fortaleza '' . El Nuevo Día ( in Spanish ) . Retrieved 3 January 2013 .   Jump up ^ Ortega Marrero , Melissa and Daniel Rivera Vargas ( 21 May 2012 ) . `` Hermano de García Padilla describe momentos de tensión durante asalto '' . El Nuevo Día .   Jump up ^ Luis G Garcia Sanchez - United States Census , 1940   Jump up ^ Maria De Los Angeles Padilla Y Passalacqua United States Census , 1940   Jump up ^ Carlos Garcia Cadorniga - United States Census , 1940   Jump up ^ Eduvigis Sanchez De Garcia - United States Census , 1940   Jump up ^ Antonio Padilla Costa United States Census , 1930   Jump up ^ Julia Passalacqua De Padilla United States Census , 1940   Jump up ^ Julio Padilla Y Iguina United States Census , 1910   Jump up ^ Antonio Padilla Costa United States Census , 1930   Jump up ^ Angela Costa Y Semydey De Padilla United States Census , 1910   Jump up ^ Antonio Padilla Costa United States Census , 1930   Jump up ^ Juan Passalacqua Y Palmieri United States Census , 1910 ( Shows parents birthplace also )   Jump up ^ Julia Passalacqua De Padilla United States Census , 1930   Jump up ^ Julia Passalacqua De Padilla United States Census , 1930   Jump up ^ Julio Padilla Y Iguina Shows parents brithplaces   Jump up ^ Julio Padilla Y Iguina Shows parents brithplaces   Jump up ^ Julio Padilla Y Iguina Shows parents brithplaces   Jump up ^ Julio Padilla Y Iguina Shows parents brithplaces   Jump up ^ Luis Passalacqua ( Shows parents birthplace on certificate of Juan Passalacqua - Corsica , France and Aibonito , PR )   Jump up ^ Juan Passalacqua Y Palmieri United States Census , 1910 ( Shows parents birthplace also )   Jump up ^ Juan Passalacqua Y Palmieri United States Census , 1910 ( Shows parents birthplace also )   Jump up ^ Eufrosina Braschi Y Rodriguez ( Parents are Jose Braschi born Italy and Tomasa Rodriguez Y Gonzalez from Juana Diaz , PR . - Puerto Rico , Civil Registration     Appearances on C - SPAN      Party political offices     Preceded by Aníbal Acevedo Vilá   Popular Democratic nominee for Governor of Puerto Rico 2012   Succeeded by David Bernier     Political offices     Preceded by Luis Fortuño   Governor of Puerto Rico 2013 -- 2017   Succeeded by Ricky Rosselló               Governors of the Commonwealth of Puerto Rico       Muñoz Marín   Sánchez Vilella   Ferré   Hernández Colón   Romero Barceló   Rosselló   Calderón   Acevedo Vilá   Fortuño   García Padilla   Rosselló                 24th Senate of Puerto Rico            Alejandro García Padilla   Ángel Martínez Santiago   Ángel Rodríguez Otero   Antonio Fas Alzamora   Carlos J. Torres Torres   Carmelo Ríos Santiago   Cirilo Tirado Rivera   Eduardo Bhatia   Evelyn Vázquez Nieves   Itzamar Peña Ramírez   Liza Fernández Rodríguez       Jorge Suárez Cáceres   José Emilio González Velázquez   José Luis Dalmau   José R. Díaz Hernández   Juan Eugenio Hernández Mayoral   Kimmey Raschke Martínez   Larry Seilhamer Rodriguez   Lornna Soto Villanueva   Luis A. Berdiel Rivera   Luis Daniel Muñiz Cortes   Luz Arce Ferrer       Luz M. Santiago González   Margarita Nolasco Santiago   Melinda Romero Donnelly   Migdalia Padilla Alvelo   Miguel Rodríguez   Norma Burgos   Roger Iglesias   Sila María González Calderón   Thomas Rivera Schatz                    Popular Democratic Party ( PDP ) of Puerto Rico Gubernatorial Nominees       Muñoz Marín   Sánchez Vilella   Negrón López   Hernández Colón   Muñoz Mendoza   Acevedo   Calderón Serra   Acevedo Vilá   García Padilla   David Bernier      Retrieved from `` https://en.wikipedia.org/w/index.php?title= Alejandro_García_Padilla&amp;oldid = 806947485 '' Categories :   1971 births   21st - century American politicians   Democratic Party ( Puerto Rico ) politicians   Governors of Puerto Rico   Interamerican University of Puerto Rico alumni   Living people   Members of the Senate of Puerto Rico   People from Coamo , Puerto Rico   Popular Democratic Party of Puerto Rico politicians   Puerto Rican lawyers   Puerto Rican party leaders   Puerto Rican people of Spanish descent   Secretaries of Consumer Affairs of Puerto Rico   University of Puerto Rico alumni   Hidden categories :   CS1 Spanish - language sources ( es )   Webarchive template wayback links   Wikipedia indefinitely semi-protected pages   Use dmy dates from June 2014   Articles to be expanded from January 2013   All articles to be expanded   Articles using small message boxes   Articles to be expanded from August 2013   Wikipedia articles that may have off - topic sections   Articles containing video clips           Talk                           View source                 Contents                   About Wikipedia                                                 Bosanski   Català   Deutsch   Español   Français   Galego   Bahasa Indonesia   Italiano   Lietuvių   Nederlands   Polski   Русский   Simple English   Türkçe   </t>
    </r>
    <r>
      <rPr>
        <sz val="11"/>
        <color rgb="FF000000"/>
        <rFont val="Noto Sans CJK SC"/>
        <family val="2"/>
      </rPr>
      <t xml:space="preserve">中文   </t>
    </r>
    <r>
      <rPr>
        <sz val="11"/>
        <color rgb="FF000000"/>
        <rFont val="Calibri"/>
        <family val="0"/>
        <charset val="1"/>
      </rPr>
      <t xml:space="preserve">Edit links   This page was last edited on 25 October 2017 , at 02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</si>
  <si>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present governor of puerto rico</t>
  </si>
  <si>
    <t xml:space="preserve"> Alejandro Javier García Padilla ( Spanish : ( aleˈxandɾo ɣarˈsi. a ) ; born August 3 , 1971 ) is a Puerto Rican politician and attorney who served as the 11th Governor of Puerto Rico from 2013 to 2017 . Prior to this position , García Padilla held various roles in the political landscape of Puerto Rico ; first as Secretary of Consumer Affairs , and then as a member of the 24th Senate of Puerto Rico and as president of the Popular Democratic Party . Locally , he is a staunch advocate for maintaining the current political status of Puerto Rico as that of an unincorporated territory of the United States with self - government , while at the national level he is allied with the Democratic Party . </t>
  </si>
  <si>
    <t xml:space="preserve">Neuromuscular junction - wikipedia  Neuromuscular junction  Jump to : navigation , search At the neuromuscular junction , the nerve fiber is able to transmit a signal to the muscle fiber by releasing ACh ( and other substances ) , causing muscle contraction . Muscles will contract or relax when they receive signals from the nervous system . The neuromuscular junction is the site of the signal exchange . The steps of this process in vertebrates occur as follows : ( 1 ) The action potential reaches the axon terminal . ( 2 ) Voltage - dependent calcium gates open , allowing calcium to enter the axon terminal . ( 3 ) Neurotransmitter vesicles fuse with the presynaptic membrane and ACh is released into the synaptic cleft via exocytosis. ( 4 ) ACh binds to postsynaptic receptors on the sarcolemma. ( 5 ) This binding causes ion channels to open and allows sodium ions to flow across the membrane into the muscle cell . ( 6 ) The flow of sodium ions across the membrane into the muscle cell generates an action potential which travels to the myofibril and results in muscle contraction. Labels : A : Motor Neuron AxonB : Axon TerminalC . Synaptic CleftD . Muscle CellE . Part of a Myofibril    Neuromuscular junctions     Electron micrograph showing a cross section through the neuromuscular junction . T is the axon terminal , M is the muscle fiber . The arrow shows junctional folds with basal lamina . Active zones are visible on the tips between the folds . Scale is 0.3 μm . Source : NIMH     Detailed view of a neuromuscular junction :   Presynaptic terminal   Sarcolemma   Synaptic vesicle   Nicotinic acetylcholine receptor   Mitochondrion       Details     Identifiers     Latin   synapssis neuromuscularis ; junctio neuromuscularis     MeSH   D009469     TH   H2. 00.06. 1.02001     FMA   61803     Anatomical terminology ( edit on Wikidata )     A neuromuscular junction ( or myoneural junction ) is a chemical synapse formed by the contact between a motor neuron and a muscle fiber . It is at the neuromuscular junction that a motor neuron is able to transmit a signal to the muscle fiber , causing muscle contraction .   Muscles require innervation to function -- and even just to maintain muscle tone , avoiding atrophy . Synaptic transmission at the neuromuscular junction begins when an action potential reaches the presynaptic terminal of a motor neuron , which activates voltage - dependent calcium channels to allow calcium ions to enter the neuron . Calcium ions bind to sensor proteins ( synaptotagmin ) on synaptic vesicles , triggering vesicle fusion with the cell membrane and subsequent neurotransmitter release from the motor neuron into the synaptic cleft . In vertebrates , motor neurons release acetylcholine ( ACh ) , a small molecule neurotransmitter , which diffuses across the synaptic cleft and binds to nicotinic acetylcholine receptors ( nAChRs ) on the cell membrane of the muscle fiber , also known as the sarcolemma . nAChRs are ionotropic receptors , meaning they serve as ligand - gated ion channels . The binding of ACh to the receptor can depolarize the muscle fiber , causing a cascade that eventually results in muscle contraction .   Neuromuscular junction diseases can be of genetic and autoimmune origin . Genetic disorders , such as Duchenne muscular dystrophy , can arise from mutated structural proteins that comprise the neuromuscular junction , whereas autoimmune diseases , such as myasthenia gravis , occur when antibodies are produced against nicotinic acetylcholine receptors on the sarcolemma .     Contents  ( hide )   1 Structure and function   1.1 Mechanism of action   1.2 Acetylcholine receptors     2 Development   3 Research methods   4 Toxins that affect the neuromuscular junction   4.1 Nerve gases   4.2 Botulinum toxin   4.3 Tetanus toxin   4.4 Latrotoxin   4.5 Snake venom     5 Diseases   5.1 Autoimmune   5.1. 1 Myasthenia gravis   5.1. 1.1 Neonatal MG     5.1. 2 Lambert - Eaton myasthenic syndrome   5.1. 3 Neuromyotonia     5.2 Genetic   5.2. 1 Congenital myasthenic syndromes   5.2. 2 Bulbospinal muscular atrophy   5.2. 3 Duchenne muscular dystrophy       6 See also   7 External links   8 Further reading   9 References      Structure and function ( edit )  motor endplate  The neuromuscular junction differs from chemical synapses between neurons . Presynaptic motor axons stop 30 nanometers from the sarcolemma , the cell membrane of a muscle cell . This 30 - nanometer space forms the synaptic cleft through which signalling molecules are released . The sarcolemma has invaginations called postjunctional folds , which increase the surface area of the membrane exposed to the synaptic cleft . These postjunctional folds form what is referred to as the motor endplate , which possess nicotinic acetylcholine receptors ( nAChRs ) at a density of 10,000 receptors / micrometer in skeletal muscle . The presynaptic axons form bulges called terminal boutons ( or presynaptic terminals ) that project into the postjunctional folds of the sarcolemma . The presynaptic terminals have active zones that contain vesicles , also called quanta , full of acetylcholine molecules . These vesicles can fuse with the presynaptic membrane and release ACh molecules into the synaptic cleft via exocytosis after depolarization . AChRs are localized opposite the presynaptic terminals by protein scaffolds at the postjunctional folds of the sarcolemma . Dystrophin , a structural protein , connects the sarcomere , sarcolemma , and extracellular matrix components . Rapsyn is another protein that docks AChRs and structural proteins to the cytoskeleton . Also present is the receptor tyrosine kinase protein MuSK , a signaling protein involved in the development of the neuromuscular junction , which is also held in place by rapsyn .   Mechanism of action ( edit )   The neuromuscular junction is where a neuron activates a muscle to contract . Upon the arrival of an action potential at the presynaptic neuron terminal , voltage - dependent calcium channels open and Ca ions flow from the extracellular fluid into the presynaptic neuron 's cytosol . This influx of Ca causes neurotransmitter - containing vesicles to dock and fuse to the presynaptic neuron 's cell membrane through SNARE proteins . Fusion of the vesicular membrane with the presynaptic cell membrane results in the emptying of the vesicle 's contents ( acetylcholine ) into the synaptic cleft , a process known as exocytosis . Acetylcholine diffuses into the synaptic cleft and can bind to the nicotinic acetylcholine receptors on the motor endplate , causing calcium ions to flow into the muscle cell , initiating a sequence of steps that finally produce muscle contraction .   Acetylcholine receptors ( edit )    Ion channel linked receptor   Ions   Ligand ( such as acetylcholine )   When ligands bind to the receptor , the ion channel portion of the receptor opens , allowing ions to pass across the cell membrane .  Acetylcholine is a neurotransmitter synthesized from dietary choline and acetyl - CoA ( ACoA ) , and is involved in the stimulation of muscle tissue in vertebrates as well as in some invertebrate animals . In vertebrate animals , the acetylcholine receptor subtype that is found at the neuromuscular junction of skeletal muscles is the nicotinic acetylcholine receptor ( nAChR ) , which is a ligand - gated ion channel . Each subunit of this receptor has a characteristic `` cys - loop '' , which is composed of a cysteine residue followed by 13 amino acid residues and another cysteine residue . The two cysteine residues form a disulfide linkage which results in the `` cys - loop '' receptor that is capable of binding acetylcholine and other ligands . These cys - loop receptors are found only in eukaryotes , but prokaryotes possess ACh receptors with similar properties . Not all species use a cholinergic neuromuscular junction ; e.g. crayfish and fruit flies have a glutamatergic neuromuscular junction .   AChRs at the skeletal neuromuscular junction form heteropentamers composed of two α , one β , one ɛ , and one δ subunits . When a single ACh ligand binds to one of the α subunits of the ACh receptor it induces a conformational change at the interface with the second AChR α subunit . This conformational change results in the increased affinity of the second α subunit for a second ACh ligand . AChRs therefore exhibit a sigmoidal dissociation curve due to this cooperative binding . The presence of the inactive , intermediate receptor structure with a single - bound ligand keeps ACh in the synapse that might otherwise be lost by cholinesterase hydrolysis or diffusion . The persistence of these ACh ligands in the synapse can cause a prolonged post-synaptic response .   Development ( edit )   The development of the neuromuscular junction requires signaling from both the motor neuron 's terminal and the muscle cell 's central region , During development , muscle cells produce acetylcholine receptors ( AChRs ) and express them in the central regions in a process called prepatterning . Agrin , a heparin proteoglycan , and MuSK kinase are thought to help stabilize the accumulation of AChR in the central regions of the myocyte . MuSK is a receptor tyrosine kinase -- meaning that it induces cellular signaling by binding phosphate molecules to self regions like tyrosines , and to other targets in the cytoplasm . Upon activation by its ligand agrin , MuSK signals via two proteins called `` Dok - 7 '' and `` rapsyn '' , to induce `` clustering '' of acetylcholine receptors . ACh release by developing motor neurons produces postsynaptic potentials in the muscle cell that positively reinforces the localization and stabilization of the developing neuromuscular junction .   These findings were demonstrated in part by mouse `` knockout '' studies . In mice which are deficient for either agrin or MuSK , the neuromuscular junction does not form . Further , mice deficient in Dok - 7 did not form either acetylcholine receptor clusters or neuromuscular synapses .   The development of neuromuscular junctions is mostly studied in model organisms , such as rodents . In addition , in 2015 an all - human neuromuscular junction has been created in vitro using human embryonic stem cells and somatic muscle stem cells . In this model presynaptic motor neurons are activated by optogenetics and in response synaptically connected muscle fibers twitch upon light stimulation .   Research methods ( edit )   José del Castillo and Bernard Katz used ionophoresis to determine the location and density of nicotinic acetylcholine receptors ( nAChRs ) at the neuromuscular junction . With this technique , a microelectrode was placed inside the motor endplate of the muscle fiber , and a micropipette filled with acetylcholine ( ACh ) is placed directly in front of the endplate in the synaptic cleft . A positive voltage was applied to the tip of the micropipette , which caused a burst of positively charged ACh molecules to be released from the pipette . These ligands flowed into the space representing the synaptic cleft and bound to AChRs . The intracellular microelectrode monitored the amplitude of the depolarization of the motor endplate in response to ACh binding to nicotinic ( ionotropic ) receptors . Katz and del Castillo showed that the amplitude of the depolarization ( excitatory postsynaptic potential ) depended on the proximity of the micropipette releasing the ACh ions to the endplate . The farther the micropipette was from the motor endplate , the smaller the depolarization was in the muscle fiber . This allowed the researchers to determine that the nicotinic receptors were localized to the motor endplate in high density .   Toxins are also used to determine the location of acetylcholine receptors at the neuromuscular junction . α - Bungarotoxin is a toxin found in the snake species Bungarus multicinctus that acts as an ACh antagonist and binds to AChRs irreversibly . By coupling assayable enzymes such as horseradish peroxidase ( HRP ) or fluorescent proteins such as green fluorescent protein ( GFP ) to the α - bungarotoxin , AChRs can be visualized and quantified .   Toxins that affect the neuromuscular junction ( edit )   Nerve gases ( edit )   Nerve gases and liquor damage this area .   Botulinum toxin ( edit )   Botulinum toxin ( aka botulinum neurotoxin , BoNT , and sold under the trade name Botox ) inhibits the release of acetylcholine at the neuromuscular junction by interfering with SNARE proteins . This toxin crosses into the nerve terminal through the process of endocytosis and subsequently interferes with SNARE proteins , which are necessary for ACh release . By doing so , it induces a transient flaccid paralysis and chemical denervation localized to the striated muscle that it has affected . The inhibition of the ACh release does not set in until approximately two weeks after the injection is made . Three months after the inhibition occurs , neuronal activity begins to regain partial function , and six months , complete neuronal function is regained .   Tetanus toxin ( edit )   Tetanus toxin , also known as tetanospasmin is a potent neurotoxin produced by Clostridium tetani and causes the disease state , tetanus . The LD of this toxin has been measured to be approximately 1 ng / kg , making it second only to Botulinum toxin D as the deadliest toxin in the world . It functions very similarly to botunlinum neurotoxin ( BoNT ) by attaching and endocytosing into the presynaptic nerve terminal and interfering with SNARE protein complexes . It differs from BoNT in a few ways , most apparently in its end state , wherein tetanospasmin demonstrates a rigid / spastic paralysis as opposed to the flaccid paralysis demonstrated with BoNT .   Latrotoxin ( edit )   Latrotoxin ( α - Latrotoxin ) found in venom of widow spiders also affects the neuromuscular junction by causing the release of acetylcholine from the presynaptic cell . Mechanisms of action include binding to receptors on the presynaptic cell activating the IP3 / DAG pathway and release of calcium from intracellular stores and pore formation resulting in influx of calcium ions directly . Either mechanism causes increased calcium in presynaptic cell , which then leads to release of synaptic vesicles of acetylcholine . Latrotoxin causes pain , muscle contraction and if untreated potentially paralysis and death .   Snake venom ( edit )   Snake venoms act as toxins at the neuromuscular junction and can induce weakness and paralysis . Venoms can act as both presynaptic and postsynaptic neurotoxins .   Presynaptic neurotoxins , commonly known as β - neurotoxins , affect the presynaptic regions of the neuromuscular junction . The majority of these neurotoxins act by inhibiting the release of neurotransmitters , such as acetylcholine , into the synapse between neurons . However , some of these toxins have also been known to enhance neurotransmitter release . Those that inhibit neurotransmitter release create a neuromuscular blockade that prevents signaling molecules from reaching their postsynaptic target receptors . In doing so , the victim of these snake bite suffer from profound weakness . Such neurotoxins do not respond well to anti-venoms . After one hour of inoculation of these toxins , including notexin and taipoxin , many of the affected nerve terminals show signs of irreversible physical damage , leaving them devoid of any synaptic vesicles .   Postsynaptic neurotoxins , otherwise known as α - neurotoxins , act oppositely to the presynaptic neurotoxins by binding to the postsynaptic acetylcholine receptors . This prevents interaction between the acetylcholine released by the presynaptic terminal and the receptors on the postsynaptic cell . In effect , the opening of sodium channels associated with these acetylcholine receptors is prohibited , resulting in a neuromuscular blockade , similar to the effects seen due to presynaptic neurotoxins . This causes paralysis in the muscles involved in the affected junctions . Unlike presynaptic neurotoxins , postsynaptic toxins are more easily affected by anti-venoms , which accelerate the dissociation of the toxin from the receptors , ultimately causing a reversal of paralysis . These neurotoxins experimentally and qualitatively aid in the study of acetylcholine receptor density and turnover , as well as in studies observing the direction of antibodies toward the affected acetylcholine receptors in patients diagnosed with myasthenia gravis .   Diseases ( edit )  Main article : Neuromuscular junction disease  Any disorder that compromises the synaptic transmission between a motor neuron and a muscle cell is categorized under the umbrella term of neuromuscular diseases . These disorders can be inherited or acquired and can vary in their severity and mortality . In general , most of these disorders tend to be caused by mutations or autoimmune disorders . Autoimmune disorders , in the case of neuromuscular diseases , tend to be humoral mediated , B cell mediated , and result in an antibody improperly created against a motor neuron or muscle fiber protein that interferes with synaptic transmission or signaling .   Autoimmune ( edit )  Myasthenia gravis ( edit )  Myasthenia gravis is an autoimmune disorder where the body makes antibodies against either the acetylcholine receptor ( AchR ) ( in 80 % of cases ) , or against postsynaptic muscle - specific kinase ( MuSK ) ( 0 -- 10 % of cases ) . In seronegative myasthenia gravis low density lipoprotein receptor - related protein 4 is targeted by IgG1 , which acts as a competitive inhibitor of its ligand , preventing the ligand from binding its receptor . It is not known if seronegative myasthenia gravis will respond to standard therapies .  Neonatal MG ( edit )  Neonatal MG is an autoimmune disorder that affects 1 in 8 children born to mothers who have been diagnosed with myasthenia gravis ( MG ) . MG can be transferred from the mother to the fetus by the movement of AChR antibodies through the placenta . Signs of this disease at birth include weakness , which responds to anticholinesterase medications , as well as fetal akinesia , or the lack of fetal movement . This form of the disease is transient , lasting for about three months . However , in some cases , neonatal MG can lead to other health effects , such as arthrogryposis and even fetal death . These conditions are thought to be initiated when maternal AChR antibodies are directed to the fetal AChR and can last until the 33rd week of gestation , when the γ subunit of AChR is replaced by the ε subunit .  Lambert - Eaton myasthenic syndrome ( edit )  Lambert - Eaton myasthenic syndrome ( LEMS ) is an autoimmune disorder that affects the presynaptic portion of the neuromuscular junction . This rare disease can be marked by a unique triad of symptoms : proximal muscle weakness , autonomic dysfunction , and areflexia . Proximal muscle weakness is a product of pathogenic autoantibodies directed against P / Q - type voltage - gated calcium channels , which in turn leads to a reduction of acetylcholine release from motor nerve terminals on the presynaptic cell . Examples of autonomic dysfunction caused by LEMS include erectile dysfunction in men , constipation , and , most commonly , dry mouth . Less common dysfunctions include dry eyes and altered perspiration . Areflexia is a condition in which tendon reflexes are reduced and it may subside temporarily after a period of exercise .   50 -- 60 % of the patients that are diagnosed with LEMS also have present an associated tumor , which is typically small - cell lung carcinoma ( SCLC ) . This type of tumor also expresses voltage - gated calcium channels . Oftentimes , LEMS also occurs alongside myasthenia gravis .   Treatment for LEMS consists of using 3 , 4 - diaminopyridine as a first measure , which serves to increase the compound muscle action potential as well as muscle strength by lengthening the time that voltage - gated calcium channels remain open after blocking voltage - gated potassium channels . In the US , treatment with 3 , 4 - diaminopyridine for eligible LEMS patients is available at no cost under an expanded access program . Further treatment includes the use of prednisone and azathioprine in the event that 3 , 4 - diaminopyridine does not aid in treatment .  Neuromyotonia ( edit )  Neuromyotonia ( NMT ) , otherwise known as Isaac 's syndrome , is unlike many other diseases present at the neuromuscular junction . Rather than causing muscle weakness , NMT leads to the hyperexcitation of motor nerves . NMT causes this hyperexcitation by producing longer depolarizations by down - regulating voltage - gated potassium channels , which causes greater neurotransmitter release and repetitive firing . This increase in rate of firing leads to more active transmission and as a result , greater muscular activity in the affected individual . NMT is also believed to be of autoimmune origin due to its associations with autoimmune symptoms in the individual affected .   Genetic ( edit )  Congenital myasthenic syndromes ( edit )  Congenital myasthenic syndromes ( CMS ) are very similar to both MG and LEMS in their functions , but the primary difference between CMS and those diseases is that CMS is of genetic origins . Specifically , these syndromes are diseases incurred due to mutations , typically recessive , in 1 of at least 10 genes that affect presynaptic , synaptic , and postsynaptic proteins in the neuromuscular junction . Such mutations usually arise in the ε - subunit of AChR , thereby affecting the kinetics and expression of the receptor itself . Single nucleotide substitutions or deletions may cause loss of function in the subunit . Other mutations , such as those affecting acetylcholinesterase and acetyltransferase , can also cause the expression of CMS , with the latter being associated specifically with episodic apnea . These syndromes can present themselves at different times within the life of an individual . They may arise during the fetal phase , causing fetal akinesia , or the perinatal period , during which certain conditions , such as arthrogryposis , ptosis , hypotonia , ophthalmoplegia , and feeding or breathing difficulties , may be observed . They could also activate during adolescence or adult years , causing the individual to develop slow - channel syndrome .   Treatment for particular subtypes of CMS ( postsynaptic fast - channel CMS ) is similar to treatment for other neuromuscular disorders . 3 , 4 - Diaminopyridine , the first - line treatment for LEMS , is under development as an orphan drug for CMS in the US , and available to eligible patients under an expanded access program at no cost .  Bulbospinal muscular atrophy ( edit )  Bulbospinal muscular atrophy , also known as Kennedy 's disease , is a rare recessive trinucleotide , polyglutamine disorder that is linked to the X chromosome . Because of its linkage to the X chromosome , it is typically transmitted through females . However , Kennedy 's disease is only present in adult males and the onset of the disease is typically later in life . This disease is specifically caused by the expansion of a CAG - tandem repeat in exon 1 found on the androgen - receptor ( AR ) gene on chromosome Xq 11 - 12 . Poly - Q - expanded AR accumulates in the nuclei of cells , where it begins to fragment . After fragmentation , degradation of the cell begins , leading to a loss of both motor neurons and dorsal root ganglia .   Symptoms of Kennedy 's disease include weakness and wasting of the facial bulbar and extremity muscles , as well as sensory and endocrinological disturbances , such as gynecomastia and reduced fertility . Other symptoms include elevated testosterone and other sexual hormone levels , development of hyper - CK - emia , abnormal conduction through motor and sensory nerves , and neuropathic or in rare cases myopathic alterations on biopsies of muscle cells .  Duchenne muscular dystrophy ( edit )  Duchenne muscular dystrophy is an X-linked genetic disorder that results in the absence of the structural protein dystrophin at the neuromuscular junction . It affects 1 in 3,600 -- 6,000 males and frequently causes death by the age of 30 . The absence of dystrophin causes muscle degeneration , and patients present with the following symptoms : abnormal gait , hypertrophy in the calf muscles , and elevated creatine kinase . If left untreated , patients may suffer from respiratory distress , which can lead to death .   See also ( edit )    Synapse   Skeletal muscle   Nicotinic acetylcholine receptor   Neuroeffector junction    External links ( edit )    Histology image : 21501lca -- Histology Learning System at Boston University    Further reading ( edit )    Kandel , ER ; Schwartz JH ; Jessell TM . ( 2000 ) . Principles of Neural Science ( 4th ed . ) . New York : McGraw - Hill . ISBN 0 - 8385 - 7701 - 6 .   Nicholls , J.G. ; A.R. Martin ; B.G. Wallace ; P.A. Fuchs ( 2001 ) . From Neuron to Brain ( 4th ed . ) . Sunderland , MA. : Sinauer Associates . ISBN 0 - 87893 - 439 - 1 .   Engel , A.G. ( 2004 ) . Myology ( 3rd ed . ) . New York : McGraw Hill Professional . ISBN 0 - 07 - 137180 - X .    References ( edit )    Jump up ^ Levitan , Irwin ; Kaczmarek , Leonard ( August 19 , 2015 ) . `` Intercellular communication '' . The Neuron : Cell and Molecular Biology ( 4th ed . ) . New York , NY : Oxford Univerty Press . pp. 153 -- 328 . ISBN 0199773890 .   ^ Jump up to : Nicholls , John G. , ; A. Robert Martin ; Paul A. Fuchs ; David A. Brown ; Matthew E. Diamond ; David A. Weisblat ( 2012 ) . From Neuron to Brain ( 5th ed . ) . Sunderland : Sinauer Associates . CS1 maint : Multiple names : authors list ( link )   ^ Jump up to : Sine SM ( July 2012 ) . `` End - plate acetylcholine receptor : structure , mechanism , pharmacology , and disease '' . Physiol. Rev. 92 ( 3 ) : 1189 -- 234 . doi : 10.1152 / physrev. 00015.2011 . PMC 3489064 . PMID 22811427 .   Jump up ^ miller 's anaesthesia , 7th edition .   Jump up ^ Scuka M , Mozrzymas JW ( 1992 ) . `` Postsynaptic potentiation and desensitization at the vertebrate end - plate receptors '' . Prog . Neurobiol. 38 ( 1 ) : 19 -- 33 . doi : 10.1016 / 0301 - 0082 ( 92 ) 90033 - B. PMID 1736323 .   Jump up ^ Valenzuela D , Stitt T , DiStefano P , Rojas E , Mattsson K , Compton D , Nuñez L , Park J , Stark J , Gies D ( 1995 ) . `` Receptor tyrosine sinase specific for the skeletal muscle lineage : expression in embryonic muscle , at the neuromuscular junction , and after injury '' . Neuron. 15 ( 3 ) : 573 -- 84 . doi : 10.1016 / 0896 - 6273 ( 95 ) 90146 - 9 . PMID 7546737 .   Jump up ^ Glass D , Bowen D , Stitt T , Radziejewski C , Bruno J , Ryan T , Gies D , Shah S , Mattsson K , Burden S , DiStefano P , Valenzuela D , DeChiara T , Yancopoulos G ( 1996 ) . `` Agrin acts via a MuSK receptor complex '' . Cell. 85 ( 4 ) : 513 -- 23 . doi : 10.1016 / S0092 - 8674 ( 00 ) 81252 - 0 . PMID 8653787 .   Jump up ^ Witzemann V ( November 2006 ) . `` Development of the neuromuscular junction '' . Cell Tissue Res. 326 ( 2 ) : 263 -- 71 . doi : 10.1007 / s00441 - 006 - 0237 - x . PMID 16819627 .   Jump up ^ Okada K , Inoue A , Okada M , Murata Y , Kakuta S , Jigami T , Kubo S , Shiraishi H , Eguchi K , Motomura M , Akiyama T , Iwakura Y , Higuchi O , Yamanashi Y ( 2006 ) . `` The muscle protein Dok - 7 is essential for neuromuscular synaptogenesis '' . Science . 312 ( 5781 ) : 1802 -- 5 . doi : 10.1126 / science. 1127142 . PMID 16794080 .   Jump up ^ Steinbeck , JA ; Jaiswal , MK ; Calder , EL ; Kishinevsky , S ; Weishaupt , A ; Toyka , KV ; Goldstein , PA ; Studer , L ( 7 January 2016 ) . `` Functional Connectivity under Optogenetic Control Allows Modeling of Human Neuromuscular Disease '' . Cell stem cell . 18 ( 1 ) : 134 -- 43 . doi : 10.1016 / j. stem. 2015.10. 002 . PMID 26549107 .   Jump up ^ Papapetropoulos S , Singer C ( April 2007 ) . `` Botulinum toxin in movement disorders '' . Semin Neurol. 27 ( 2 ) : 183 -- 94 . doi : 10.1055 / s - 2007 - 971171 . PMID 17390263 .   ^ Jump up to : Lewis RL , Gutmann L ( June 2004 ) . `` Snake venoms and the neuromuscular junction '' . Semin Neurol. 24 ( 2 ) : 175 -- 9 . doi : 10.1055 / s - 2004 - 830904 . PMID 15257514 .   Jump up ^ Finsterer J , Papić L , Auer - Grumbach M ( October 2011 ) . `` Motor neuron , nerve , and neuromuscular junction disease '' . Curr . Opin . Neurol. 24 ( 5 ) : 469 -- 74 . doi : 10.1097 / WCO. 0b013e32834a9448 . PMID 21825986 . CS1 maint : Multiple names : authors list ( link )   ^ Jump up to : Newsom - Davis J ( July 2007 ) . `` The emerging diversity of neuromuscular junction disorders '' . Acta Myol. 26 ( 1 ) : 5 -- 10 . PMC 2949330 . PMID 17915563 .   ^ Jump up to : Luigetti M , Modoni A , Lo Monaco M ( October 2012 ) . `` Low rate repetitive nerve stimulation in Lambert - Eaton myasthenic syndrome : Peculiar characteristics of decremental pattern from a single - centre experience '' . Clin Neurophysiol. 124 ( 4 ) : 825 -- 6 . doi : 10.1016 / j. clinph. 2012.08. 026 . PMID 23036181 .   ^ Jump up to : Titulaer MJ , Lang B , Verschuuren JJ ( December 2011 ) . `` Lambert - Eaton myasthenic syndrome : from clinical characteristics to therapeutic strategies '' . Lancet Neurol. 10 ( 12 ) : 1098 -- 107 . doi : 10.1016 / S1474 - 4422 ( 11 ) 70245 - 9 . PMID 22094130 .   ^ Jump up to : ( 1 ) , Muscular Dystrophy Association Press Release   ^ Jump up to : ( 2 ) , Rare Disease Report   Jump up ^ Harper CM ( March 2004 ) . `` Congenital myasthenic syndromes '' . Semin Neurol. 24 ( 1 ) : 111 -- 23 . doi : 10.1055 / s - 2004 - 829592 . PMID 15229798 .   Jump up ^ Engel AG , et al. ( April 2015 ) . `` Congenital myasthenic syndromes : pathogenesis , diagnosis , and treatment '' . Lancet Neurol. 14 ( 4 ) : 420 -- 34 . doi : 10.1016 / S1474 - 4422 ( 14 ) 70201 - 7 . PMC 4520251 . PMID 25792100 .   Jump up ^ Engel AG , et al. `` New horizons for congenital myasthenic syndromes '' . Ann NY Acad Sci. 1275 : 1275 : 54 -- 62 . doi : 10.1111 / j. 1749 - 6632.2012. 06803. x . PMC 3546605 . PMID 23278578 .   Jump up ^ ( 3 ) , FDA orphan drug designation   ^ Jump up to : Finsterer J ( November 2010 ) . `` Perspectives of Kennedy 's disease '' . J. Neurol . Sci. 298 ( 1 -- 2 ) : 1 -- 10 . doi : 10.1016 / j. jns. 2010.08. 025 . PMID 20846673 .   Jump up ^ Beytía Mde L , Vry J , Kirschner J ( May 2012 ) . `` Drug treatment of Duchenne muscular dystrophy : available evidence and perspectives '' . Acta Myol. 31 ( 1 ) : 4 -- 8 . PMC 3440798 . PMID 22655510 .              Nervous tissue     CNS      Tissue Types     Grey matter   White matter   Projection fibers   Association fiber   Commissural fiber   Lemniscus   Funiculus   Fasciculus   Nerve tract   Decussation   Commissure     Neuropil   Meninges       Cell Types      Neuronal     Pyramidal   Purkinje   Granule       Glial      insulating :     Myelination : Oligodendrocyte       other     Astrocyte   Radial glial cell     Ependymal cells   Tanycyte     Microglia                PNS      General     Dorsal   Root   Ganglion   Ramus     Ventral   Root   Ramus     Ramus communicans   Gray   White     Autonomic ganglion ( Preganglionic nerve fibers   Postganglionic nerve fibers )       Connective tissues     Epineurium   Perineurium   Endoneurium   Nerve fascicle       Neuroglia     Myelination : Schwann cell   Neurolemma   Myelin incisure   Node of Ranvier   Internodal segment     Satellite glial cell          Neurons / nerve fibers      Parts      Soma     Axon hillock       Axon     Telodendron   Axon terminals   Axoplasm   Axolemma   Neurofibril / neurofilament       Dendrite       Nissl body   Dendritic spine   Apical dendrite / Basal dendrite            Types     Bipolar   Unipolar   Pseudounipolar   Multipolar   Interneuron   Renshaw         Afferent nerve fiber / Sensory neuron     GSA   GVA   SSA   SVA   fibers   Ia or Aα   Ib or Golgi or Aα   II or Aβ and Aγ   III or Aδ or fast pain   IV or C or slow pain         Efferent nerve fiber / Motor neuron     GSE   GVE   SVE   Upper motor neuron   Lower motor neuron   α motorneuron   β motorneuron   γ motorneuron            Termination      Synapse     Electrical synapse / Gap junction   Chemical synapse   Synaptic vesicle   Active zone   Postsynaptic density     Autapse   Ribbon synapse   Neuromuscular junction       Sensory receptors     Meissner 's corpuscle   Merkel nerve ending   Pacinian corpuscle   Ruffini ending   Muscle spindle   Free nerve ending   Nociceptor   Olfactory receptor neuron   Photoreceptor cell   Hair cell   Taste bud                    Muscle tissue     Smooth muscle     Calmodulin   Vascular smooth muscle       Striated muscle      Skeletal muscle      Co</t>
  </si>
  <si>
    <t xml:space="preserve">what affect does acetylcholine have on the sarcolemma</t>
  </si>
  <si>
    <t xml:space="preserve"> Muscles require innervation to function -- and even just to maintain muscle tone , avoiding atrophy . Synaptic transmission at the neuromuscular junction begins when an action potential reaches the presynaptic terminal of a motor neuron , which activates voltage - dependent calcium channels to allow calcium ions to enter the neuron . Calcium ions bind to sensor proteins ( synaptotagmin ) on synaptic vesicles , triggering vesicle fusion with the cell membrane and subsequent neurotransmitter release from the motor neuron into the synaptic cleft . In vertebrates , motor neurons release acetylcholine ( ACh ) , a small molecule neurotransmitter , which diffuses across the synaptic cleft and binds to nicotinic acetylcholine receptors ( nAChRs ) on the cell membrane of the muscle fiber , also known as the sarcolemma . nAChRs are ionotropic receptors , meaning they serve as ligand - gated ion channels . The binding of ACh to the receptor can depolarize the muscle fiber , causing a cascade that eventually results in muscle contraction . </t>
  </si>
  <si>
    <t xml:space="preserve">Claire Underwood - wikipedia  Claire Underwood  Jump to : navigation , search    Claire Underwood     House of Cards character     Robin Wright as Claire Underwood     First appearance   `` Chapter 1 ''     Created by   Beau Willimon     Portrayed by   Robin Wright     Information     Full name   Claire Hale Underwood     Family   Elizabeth Hale ( mother ; deceased )     Spouse ( s )   Frank Underwood ( m . 1987 )     Nationality   American     Party   Democratic     Hometown   Highland Park , Texas     Alma mater   Radcliffe College Harvard University     Source   Elizabeth Urquhart     Claire Hale Underwood is a fictional character in House of Cards , played by Robin Wright . She is the wife of the show 's protagonist Francis J. Underwood . She is a lobbyist and runs an environmental nonprofit organization , but in later seasons ascends to the positions of Second Lady of the United States , First Lady of the United States , the United States Ambassador to the United Nations , Vice President of the United States , and finally the 47th President of the United States . Underwood made her first appearance in the series ' pilot episode , `` Chapter 1 '' . The character is based on Elizabeth Urquhart , a character from the eponymous British miniseries from which the current series is derived . Unlike the original character , however , Claire has her own storylines .   The role has been critically acclaimed . Wright won the Golden Globe Award for Best Actress -- Television Series Drama for this role at the 71st Golden Globe Awards , becoming the first actress to win a Golden Globe Award for a web television online - only role in a series . She was nominated for the Primetime Emmy Award for Outstanding Lead Actress in a Drama Series for this role at the 65th , 66th , 67th , 68th and 69th Primetime Emmy Awards .     Contents  ( hide )   1 Character overview   1.1 Relationship with Frank     2 Fictional character biography   2.1 Season 1   2.2 Season 2   2.3 Season 3   2.4 Season 4   2.5 Season 5     3 Reception   3.1 Awards and nominations     4 Notes      Character overview ( edit )   Claire Hale Underwood is originally from the exclusive Highland Park enclave of Dallas , Texas . Her late father was a major Texas Republican . While at Radcliffe College in Cambridge , she met Francis J. Underwood , a Harvard Law student from South Carolina . She is from a wealthy family , and the show characterizes her as a `` Dallas Debutante '' and `` Lily White '' . She recounts her father 's taking her to Dealey Plaza , where John F. Kennedy was assassinated , and that it made her feel `` so sad , so angry '' . She has a difficult relationship with her mother , Elizabeth Hale ( Ellen Burstyn ) , who despises Frank and is disappointed in Claire for marrying him .   Brian Stelter of The New York Times described her as Frank Underwood 's conniving wife and described the Underwoods as `` the scheming husband and wife at the center of ' House of Cards ' '' . She is a woman `` who will stop at nothing to conquer everything '' . Hank Stuever of The Washington Post describes her as an `` ice - queen wife '' . The Independent 's Sarah Hughes echoes this description , saying Claire is so dedicated to the couple 's schemes that it is clear she will execute them herself if Frank wavers . Following season 4 , Robin Wright stated that she felt Claire Underwood was the equal of Frank Underwood and demanded equal pay for her performance . Netflix acquiesced .   Relationship with Frank ( edit )   While Frank is Machiavellian , Claire presents a woman urging on her husband 's assertion of power in the image of Lady Macbeth . She encourages his vices while noting her disapproval of his weaknesses , saying : `` My husband does n't apologize ... even to me . '' This gives a credibility to their symbiosis .   Willimon notes that `` What 's extraordinary about Frank and Claire is there is deep love and mutual respect , but the way they achieve this is by operating on a completely different set of rules than the rest of us typically do . ''   Nancy deWolf Smith of The Wall Street Journal describes Claire as `` a short - haired blonde who manages to be masculine and demasculinizing at the same time . '' Smith describes their relationship as pivotal to the show : `` Benign though they may seem -- and their harmless air is what makes the Underwoods so effective as political plotters -- this is a power couple with the same malignant chemistry as pairs of serial killers , where each needs the other in order to become lethal '' .   Upon viewing a four episode preview of season 2 , Tim Goodman of The Hollywood Reporter says the series `` ... sells husband and wife power - at - all - costs couple Frank ( Kevin Spacey ) and Claire ( Robin Wright ) Underwood as a little too oily and reptilian for anyone 's good . '' Los Angeles Times critic Mary McNamara makes the case that House of Cards is a love story on many levels but most importantly between Frank and Claire .   In season 3 , when the Underwoods are President and First Lady of the United States , Claire 's marriage to Frank begins to falter , as her jealousy of his power and hatred of being in a permanently subordinate role to him begins to change her perspective , and she ultimately decides he is no longer `` enough '' for her . She leaves him in the season finale but comes back in the fourth season , treating their marriage as a purely political arrangement to further her own career . When he is shot during a campaign event , Claire privately admits that she feels nothing for him . Throughout the season , she works behind the scenes to undermine Frank 's election campaign , before finally joining forces with him in order to become his vice president . She also has an affair with her speechwriter Tom Yates ( Paul Sparks ) , with Frank 's approval .   Fictional character biography ( edit )   Season 1 ( edit )   Claire is a lobbyist who runs an environmental group while serving as her husband 's primary accomplice . After President Garrett Walker ( Michel Gill ) goes back on his promise to make Frank Secretary of State , Frank enlists Claire to help him get revenge and propel them both to positions of power . She and Frank scheme nightly over a cigarette , and together they maneuver their way into Walker 's inner circle . Frank says of Claire : `` I love that woman , I love her more than sharks love blood . ''   Claire is aware of Frank 's sexual relationship with reporter Zoe Barnes ( Kate Mara ) and approves of it as long as it achieves their ends . She herself has an affair with an old boyfriend , Adam Galloway ( Ben Daniels ) .   By the end of the season , Walker appoints Frank the Vice President of the United States , making Claire the Second Lady of the United States .   Season 2 ( edit )   Claire 's main storyline in season 2 is her advocacy , as Second Lady , for a sexual assault prevention bill . During her campaign for the bill a skeleton from her college days emerges : during a nationally televised interview , she admits that she was raped in college and that her rapist , Dalton McGinnis ( Peter Bradbury ) , is now a high - ranking general . ( She had earlier had an uncomfortable encounter with McGinnis at a White House dinner , during which she had told Frank what the general had done to her . ) She also admits to having aborted a pregnancy that she claims was the result of the rape ; it is later revealed that she in fact aborted Frank 's child , with his consent . She then converts the focus on that issue into political support that becomes critical to the Underwoods ' ascension to the Oval Office .   Claire becomes increasingly ruthless as the season progresses . When Galloway leaks an intimate photo of Claire to appease his jealous fianceé , Claire intimidates him into publicly stating that he fabricated the picture , ruining his reputation . When Gillian Cole ( Sandrine Holt ) , a pregnant former employee , returns to demand health care as part of her severance , Claire says , `` I am willing to let your child wither and die inside you , if that 's what 's required , ... Am I really the sort of enemy you want to make ? '' Claire also manipulates First Lady Patricia Walker ( Joanna Going ) into believing that her husband is having an affair in order to distract President Walker from Frank 's machinations .   She shows remorse for her actions only once . When another of McGinnis ' victims , Megan Hennessy ( Libby Woodbridge ) , comes forward , Claire uses her as the poster girl for the sexual assault bill , leaving the fragile young woman open to public scrutiny and reprisals from the bill 's opponents . Before she can testify about her ordeal before Congress , however , Megan suffers a breakdown and attempts suicide . Upon realizing what she has caused Megan to go through , Claire bursts into tears .   In the season finale , she urges Frank to humble himself before President Walker , with whom he has fallen out of favor , in order to complete the plan : `` Cut out your heart and put it in his fucking hands . '' The gambit works : Walker keeps Frank as his Vice President , allowing Frank to succeed him when he resigns . Frank is now President of the United States , with Claire as the First Lady .   According to Drew Grant of The New York Observer , Claire 's season - long storyline was similar to the real life efforts of United States Senator Kirsten Gillibrand 's to legislate an end to military sexual assault . Based upon the 4 - episode preview , Alessandra Stanley of The New York Times says that in season 2 Claire `` is still ruthlessly pursuing her own agenda as well as her husband 's . She remains an enigma even as she reveals more and more disturbing secrets from her past . '' Claire remains composed and stylish with or without her husband and plays the press with aplomb .   Season 3 ( edit )   In Season 3 , Claire feels the need to be something more `` significant '' than the First Lady , and asks Frank to nominate her to a United Nations post . He nominates her , but the Senate rejects her after a rocky hearing . Frank gives her the job anyway in a recess appointment , but her tenure is brief ; she ruins a treaty between the U.S. and Russia by publicly confronting Russian President Viktor Petrov ( Lars Mikkelsen ) about his anti-gay policies and is forced to resign when Petrov uses her as a bargaining chip during a diplomatic crisis .   During Frank 's election campaign , Claire begins to question whether she still loves him . In the season finale , she and Frank get into an ugly fight in which she says he is not enough for her ; Frank replies that without him , she is nothing . Season three ends with Claire leaving Frank as he prepares to go to the New Hampshire primary .   Season 4 ( edit )   After leaving Frank , Claire goes back to Texas , where she has a tense reunion with her mother , who is dying of lymphoma . She sets her sights on running for a House of Representatives seat in Texas , with help from political consultant LeAnn Harvey ( Neve Campbell ) . Frank persuades her to resume public appearances with him by promising to support her run . However , he sandbags her prospective candidacy by endorsing a political ally 's daughter , in order to keep Claire focused on his campaign . Claire retaliates on the day the South Carolina primary by covertly leaking a photo of Frank 's father with a Klansman , imperiling Frank 's candidacy . Frank figures out that she was behind the leak and confronts her . Claire calmly admits what she did and proposes that she join him in the ticket as his vice president . Frank rejects the idea .   Shortly thereafter , Frank is shot by Lucas Goodwin , in an assassination attempt , and falls into a coma . While Frank is in surgery , Claire helps guide Frank 's vice president Donald Blythe through a diplomatic crisis with Russia . While Frank is receiving a liver transplant , she declines going to the hospital in favor of negotiating a treaty with Petrov , and strong - arms him into accepting the U.S. ' terms . When Frank recovers from surgery , he agrees to let Claire be his vice president . He and Claire advocate for a controversial gun control bill for the sole purpose of creating an atmosphere divisive enough to pick off the potential running mates . In the ensuing open convention , they publicly endorse Secretary of State Catherine Durant ( Jayne Atkinson ) for the job , while working behind the scenes to undermine her and ensure that Claire wins enough delegates to be nominated . Meanwhile , she reluctantly honors her mother 's request to help her die . She and Frank then use the public sympathy from Elizabeth 's death to win the nomination ; they are now running mates .   When a group of terrorists takes an American family hostage , Claire negotiates with their imprisoned leader , Yusuf Al Ahmadi ( Farshad Farahat ) , who agrees to tell his followers to release the hostages . Al Ahmadi reneges on the deal , however , and tells them to kill the hostages . At the same time , journalist Tom Hammerschmidt ( Boris McGiver ) publishes an investigative news story detailing Frank 's crimes . Claire gives Frank the idea to declare war on the terrorists and allow the public to see the hostage die in order to distract from the scandal and create an atmosphere of widespread fear that they can exploit . In the final scene , Claire finally breaks the fourth wall with Frank .   Season 5 ( edit )   In season 5 , Claire 's story begins as the opening scene of the season : shooting a propaganda commercial in order to stir up fear . Throughout the beginning , she helps make the campaign 's focal point about the fear of the terrorist Islamic Caliphate Organization ( ICO , a fictionalized version of ISIS / ISIL ) and how they can stop the threat .   On Election Day , Claire and Frank learn that they may lose because of low voter turnout . They exploit a possible terrorist threat to close down multiple polling centers in key states , such as Ohio . This leading to numerous states filing lawsuits and refusing honoring the election results .   Nine weeks later , with neither side winning the majority of electors , the House ( now Republican - controlled ) will decide the President and the Senate ( Democrat - controlled ) for the Vice President , the first instance of this happening since the 1824 presidential election aftermath . Claire eventually wins when Donald Blythe issues a bill to block any filibuster of coming onto the floor ; while the house could n't reach a majority . In the meantime , Claire is sworn in as Acting President of the United States and begins to exert her limited power by excluding Frank from certain presidential functions , such as the swearing - in of the new Justice of the Supreme Court .   During her short - lived presidency , a truck with nuclear energy goes missing and puts D.C. into lock - down , a scheme devised by several members of Frank 's cabinet and Conway 's campaign . During the emergency , Claire is visited by diplomat Jane Davis ( Patricia Clarkson ) , who says that she can track down a leader of ICO for the Underwoods . Claire is also faced with a series of diplomatic crises : Russian soldiers have also taken over an American base , and the Russians and Chinese are vying for possession of a boat in Antarctica that has a stowaway American working for the Russians . After making a deal with the Chinese , Claire orders for the boat to be destroyed so that neither the Chinese nor the Russians can get what is on board . Around this time , Claire agrees to an open election in Ohio for not only the President , but also the Vice President , in order to avoid a possible Conway - Underwood administration .   The Underwoods discover evidence to blackmail Conway 's campaign manager , Mark Usher ( Campbell Scott ) , into helping them . Frank acquires a recording of Conway verbally abusing a pilot , as well as a recording of Conway 's running mate , General Brockhart ( Colm Feore ) , threatening to kill Frank ; when he releases them , voters turn against Conway and the Underwoods win the election .   Soon afterward , Congressman Alex Romero ( James Martinez ) encourages the Republicans to start up the Declaration of War committee to investigate Frank , which puts Claire and Frank in damage control .   By this time , Claire and Tom Yates have fallen in love , which complicates both their lives . During an unguarded moment , Claire tells Yates that Frank murdered Zoe Barnes and Congressman Peter Russo ( Corey Stoll ) . She immediately regrets it , and tells Yates that they ca n't see each other anymore . In response , Yates threatens to publish a book detailing the Underwoods ' crimes . Claire invites him to Usher 's home , and poisons him . He dies while having sex with Claire , and she has Usher get rid of the body . Around this time , Claire and Frank convince Doug to take the fall for Zoe Barnes ' death . Frank also starts to become suspicious of Claire as she disappears for a period of time ( she had started talking to Davis in a secret corridor ) and starts to memorize her testimony defending herself but not Frank , in case she has to testify .   Walker publicly testifies against Frank , prompting him to appear before the committee and resign the presidency . When an incredulous Claire confronts him , Franks says that it was his plan all along to resign and set her up to be president , so that the two of them can run Washington together - she from the White House and he from the private sector . For the plan to work , Claire must pardon Frank , which would damage her politically . Frank resigns and Claire is sworn in as the 47th President of the United States .   However , in contrast to the plan , Claire does not announce that she is pardoning Frank in her first address to the nation as President . Frank calls her repeatedly , but she forwards the calls . She sees that Frank has burned a hole into the American flag in the Oval Office , and breaks the fourth wall , saying : `` My turn . ''   Reception ( edit )   Wright 's performance is described as `` nuanced and compelling '' . Claire has `` chilly poise '' but the `` coolly regal doyenne '' softens over the course of the first season according to New Republic 's Laura Bennet . Wright plays the role with `` an almost terrifying froideur '' . As a couple Frank and Claire are said to `` reverberate with tension and wit '' . Michael Dobbs , who wrote the trilogy of novels upon which the British miniseries is based , compares the compelling nature of the relationship between Frank and Claire favorably to the original characters in House of Cards and likens them to Macbeth and Lady Macbeth . He is not alone . In season 2 , she remains `` equally steely '' . Despite suggestions to the contrary , Wright insists that the character is not based on Hillary Clinton .   Awards and Nominations ( edit )   On July 18 , 2013 , Netflix earned the first Primetime Emmy Award nominations for original online only web television for the 65th Primetime Emmy Awards . Three of its web series , Arrested Development , Hemlock Grove , and House of Cards , earned nominations . Among those nominations was Wright 's portrayal of Claire Underwood for Outstanding Lead Actress in a Drama Series as well as Kevin Spacey 's portrayal of Frank Underwood for Outstanding Lead Actor in a Drama Series and Jason Bateman 's portrayal of Michael Bluth in Arrested Development for Outstanding Lead Actor in a Comedy Series , making these three roles the first three leading roles to be Primetime Emmy Award - nominated from a web television series . The role has also earned Golden Globe Award for Best Actress -- Television Series Drama award at the 71st Golden Globe Awards on January 12 , 2014 . In so doing she became the first actress to win a Golden Globe Award for an online - only web television series .   For season 2 , Wright earned a Critics ' Choice Television Award for Best Actress in a Drama Series nomination at the 4th Critics ' Choice Television Awards . Wright was again nominated for Primetime Emmy Award for Outstanding Lead Actress in a Drama Series at the 66th Primetime Emmy Awards and Best Actress -- Television Series Drama at the 72nd Golden Globe Awards . She was nominated for both Outstanding Performance by a Female Actor in a Drama Series and Outstanding Performance by an Ensemble in a Drama Series at the 21st Screen Actors Guild Awards .   In season 3 , she was nominated for Primetime Emmy Award for Outstanding Lead Actress in a Drama Series at the 67th Primetime Emmy Awards , Best Actress -- Television Series Drama at the 73rd Golden Globe Awards , as well as both Outstanding Performance by a Female Actor in a Drama Series and Outstanding Performance by an Ensemble in a Drama Series at the 22nd Screen Actors Guild Awards .   Her performance in season 4 earned her a nomination for Primetime Emmy Award for Outstanding Lead Actress in a Drama Series at the 68th Primetime Emmy Awards .   Wright 's performance in season 5 earned her a fifth consecutive Primetime Emmy nomination at the 69th Primetime Emmy Awards .   Notes ( edit )    ^ Jump up to : Lacob , Jace ( January 30 , 2013 ) . `` David Fincher , Beau Willimon &amp; Kate Mara On Netflix 's ' House of Cards ' '' . The Daily Beast . Retrieved July 21 , 2013 .   Jump up ^ `` Sexual Politics ( COMM 401 ) : Sex , Power , and Violence : Life in Frank Underwood 's House of Cards '' . blogs.denison.edu . Denison University Blogs . Retrieved March 22 , 2016 .   Jump up ^ `` Netflix show House of Cards has an unexpected link to North Texas '' . Pop Culture Blog . Archived from the original on March 4 , 2016 . Retrieved January 7 , 2016 .   Jump up ^ Rorke , Robert ( March 7 , 2016 ) . `` Ellen Burstyn is a real mother on ' House of Cards ' '' . The New York Post . Retrieved April 7 , 2016 .   Jump up ^ Stelter , Brian ( January 18 , 2013 ) . `` A Drama 's Streaming Premiere '' . The New York Times . Retrieved July 22 , 2013 .   Jump up ^ Stelter , Brian ( July 18 , 2013 ) . `` Netflix Does Well in 2013 Primetime Emmy Nominations '' . The New York Times . Retrieved July 22 , 2013 .   ^ Jump up to : Cornet , Roth ( January 31 , 2013 ) . `` Netflix 's Original Series House of Cards -- From David Fincher and Kevin Spacey -- May be the New Face of Television '' . IGN . Retrieved July 20 , 2013 .   Jump up ^ Stuever , Hank ( January 31 , 2013 ) . `` ' House of Cards ' : Power corrupts ( plus other non-breaking news ) '' . The Washington Post . Retrieved September 10 , 2013 .   ^ Jump up to : Hughes , Sarah ( January 30 , 2013 ) . `` ' Urquhart is deliciously diabolical ' : Kevin Spacey is back in a remake of House of Cards '' . The Independent . Retrieved July 21 , 2013 .   Jump up ^ Peck , Emily ( May 18 , 2016 ) . `` Robin Wright Demanded The Same Pay As Kevin Spacey For ' House of Cards ' '' . The Huffington Post . Retrieved May 19 , 2016 .   Jump up ^ `` Ostrow : Kevin Spacey shines in `` House of Cards '' political drama on Netflix `` . The Denver Post . Retrieved February 11 , 2013 .   ^ Jump up to : Stanley , Alessandra ( January 31 , 2013 ) . `` Political Animals That Slither : ' House of Cards ' on Netflix Stars Kevin Spacey '' . The New York Times . Retrieved September 10 , 2013 .   Jump up ^ Poniewozik , James ( January 31 , 2013 ) . `` Review : House of Cards Sinks Its Sharp Teeth into Washington '' . TIME . Retrieved September 10 , 2013 .   Jump up ^ Oldenburg , Ann ( February 13 , 2014 ) . `` ' House of Cards ' promises more ' plotting and scheming ' '' . USA Today . Retrieved February 13 , 2014 .   Jump up ^ deWolf Smith , Nancy ( January 31 , 2013 ) . `` Fantasies About Evil , Redux '' . The Wall Street Journal . Retrieved September 10 , 2013 .   Jump up ^ Goodman , Tim ( February 3 , 2014 ) . `` House Of Cards : TV Review '' . The Hollywood Reporter . Retrieved February 10 , 2014 .   Jump up ^ McNamara , Mary ( February 14 , 2014 ) . `` Review : ' House of Cards ' plays new hand with brutal , clear resolve '' . Los Angeles Times . Retrieved February 28 , 2014 .   ^ Jump up to : Lowry , Brian ( March 10 , 2016 ) . `` Review : ' House of Cards , ' The Complete Fourth Season for Binge Viewers ( SPOILERS ) '' . Variety . Retrieved April 7 , 2016 .   ^ Jump up to : Bennett , Laura ( February 5 , 2013 ) . `` Kevin Spacey 's Leading - Man Problem The star of the 13 - hour `` House of Cards '' is as impenetrable as ever `` . New Republic . Retrieved July 22 , 2013 .   Jump up ^ `` Chapter 13 '' . House of Cards . Season 1 . Episode 13 . February 1 , 2015 .   Jump up ^ Jancelewicz , Chris ( May 4 , 2013 ) . `` House Of Cards Season 1 , Episode 13 Recap : All 's Well That Ends Well ( Or Not ) '' . Huffington Post . Retrieved March 5 , 2016 .   Jump up ^ Barney , Chuck ( February 11 , 2014 ) . `` Review : ' House of Cards ' returns for more political dirty deeds '' . San Jose Mercury News . Retrieved February 11 , 2014 .   ^ Jump up to : Smith , Sara ( February 7 , 2014 ) . `` Second season of ' House of Cards ' is a vote for vice '' . The Kansas City Star . Retrieved February 9 , 2014 .   Jump up ^ Valby , Karen ( February 5 , 2014 ) . `` House Of Cards '' . Entertainment Weekly . Retrieved February 9 , 2014 .   Jump up ^ Deggans , Eric ( February 14 , 2014 ) . `` Antihero Or Villain ? In ' House Of Cards , ' It 's Hard To Tell '' . NPR . Retrieved February 28 , 2014 .   Jump up ^ Dockterman , Eliana ( February 17 , 2014 ) . `` The 9 Most Shocking Moments from House of Cards Season 2 '' . TIME . Retrieved February 18 , 2014 .   Jump up ^ Jeffries , Stuart ( March 5 , 2014 ) . `` House of Cards recap , series two , episode 13 -- ' Cut out your heart and put it in his hands ' '' . The Guardian . Retrieved March 16 , 2014 .   Jump up ^ `` Chapter 26 '' . House of Cards . Season 2 . Episode 13 . February 14 , 2014 . Netflix .   Jump up ^ Jeffries , Stuart ( March 5 , 2014 ) . `` House of Cards recap , series two , episode 13 -- ' Cut out his heart and put it in his hands ' '' . The Guardian . Retrieved March 16 , 2014 .   Jump up ^ Grant , Drew ( February 17 , 2014 ) . `` The Anhedonia of Antiheroes : Why House of Cards ' Second Season Is n't as Fun as It Should Be '' . The New York Observer . Retrieved February 28 , 2014 .   Jump up ^ Stanley , Alessandra ( February 13 , 2013 ) . `` How Absolute Power Can Delight Absolutely : ' House of Cards ' Returns , With More Dark Scheming '' . The New York Times . Retrieved February 14 , 2014 .   Jump up ^ Jeffries , Stuart ( February 27 , 2015 ) . `` House of Cards recap : episodes two , three and four = Frank speaks to God '' . The Guardian . Retrieved April 5 , 2016 .   Jump up ^ `` Chapter 39 '' . House of Cards . Season 3 . Episode 13 . February 27 , 2015 . Netflix .   Jump up ^ Stern , Warlow ( March 16 , 2015 ) . `` The Explosive ' House of Cards ' Finale : Creator Beau Willimon on the State of the Underwoods '' . Daily Beast . Retrieved April 5 , 2016 .   Jump up ^ Lowry , Brian ( January 31 , 2014 ) . `` TV Review : ' House of Cards ' -- Season Two '' . Variety . Retrieved February 9 , 2014 .   Jump up ^ McCalmont , Lucy ( February 12 , 2014 ) . `` Robin Wright : Claire Underwood not based on Hillary Clinton '' . Politico . Retrieved February 13 , 2014 .   ^ Jump up to : Stelter , Brian ( July 18 , 2013 ) . `` Netflix Does Well in 2013 Primetime Emmy Nominations '' . The New York Times . Retrieved July 18 , 2013 .   Jump up ^ Farley , Christopher John ( December 12 , 2013 ) . `` Golden Globes Nominations 2014 : ' 12 Years a Slave , ' ' American Hustle ' Lead Field '' . The Wall Street Journal . Retrieved December 12 , 2013 .   Jump up ^ Zurawik , David ( December 12 , 2013 ) . `` ' House of Cards ' star Robin Wright earns series ' sole Golden Globes win '' . The Baltimore Sun . Retrieved January 13 , 2014 .   Jump up ^ Hyman , Vicki ( January 12 , 2014 ) . `` 2014 Golden Globes : Robin Wright wins best actress for online - only ' House of Cards ' '' . The Star - Ledger . NJ.com . Retrieved January 13 , 2014 .   Jump up ^ `` Critics ' Choice TV Awards 2014 : And the nominees are ... '' . Entertainment Weekly . May 28 , 2014 . Retrieved July 28 , 2014 .   Jump up ^ `` 2014 Emmy Nominations : ' Breaking Bad , ' ' True Detective ' Among the Honored '' . New York Times . July 10 , 2014 . Retrieved July 10 , 2014 .   Jump up ^ Mitovich , Matt Webb ( December 11 , 2014 ) . `` Golden Globes : Fargo , True Detective Lead Nominations ; Jane the Virgin , Transparent Score Multiple Nods '' . TVLine . Retrieved December 11 , 2014 .   Jump up ^ Mitovich , Matt Webb ( December 10 , 2014 ) . `` SAG Awards : Modern Family , Thrones , Homeland , Boardwalk , Cards Lead Noms ; Mad Men Shut Out ; HTGAWM , Maslany and Aduba Get Nods '' . TVLine . Retrieved December 10 , 2014 .   Jump up ^ `` 67th Emmy Awards Nominees and Winners '' . Emmys . Retrieved July 20 , 2015 .   Jump up ^ Lang , Brent ( December 10 , 2015 ) . `` ' Carol , ' Netflix Lead Golden Globes Nominations '' . Variety . Retrieved December 10 , 2015 .   Jump up ^ Ausiello , Michael ( December 9 , 2015 ) . `` SAG Awards : Game of Thrones , Homeland , House of Cards Lead Noms ; Empire , Inside Amy Schumer Shut Out ; Mr. Robot 's Rami Malek Sneaks In '' . TVLine . Retrieved December 10 , 2015 .   Jump up ^ `` Emmys 2016 : The Full List of Nominations '' . The Hollywood Reporter . July 14 , 2016 . Retrieved July 20 , 2016 .   Jump up ^ `` Emmys 2017 : The Full List of Nominations '' . The Hollywood Reporter . July 13 , 2017 . Retrieved July 13 , 2017 .      ( hide )         House of Cards ( U.S. TV series )     Seasons       `` Chapter 1 ''   `` Chapter 2 ''   `` Chapter 3 ''   `` Chapter 4 ''   `` Chapter 5 ''   `` Chapter 6 ''   `` Chapter 7 ''                 Characters     Frank Underwood   Claire Underwood   List of politicians       See also     Awards and nominations       Related     House of Cards ( UK TV series )      Retrieved from `` https://en.wikipedia.org/w/index.php?title=Claire_Underwood&amp;oldid=808564257 '' Categories :   House of Cards ( U.S. TV series )   Fictional characters introduced in 2013   Fictional Democrats ( United States )   Fictional characters from South Carolina   Fictional characters from Texas   Fictional First Ladies of the United States   Fictional Vice Presidents of the United States   Fictional Presidents of the United States   Fictional business executives   Drama television characters   Fictional ambassadors   Fictional sexual assault victims   Fictional murderers   Fictional smokers   Female characters in television   Hidden categories :   Use mdy dates from September 2016   Good articles   Articles using Infobox character with multiple unlabeled fields   Pages using infobox character with unknown parameters           Talk                                           Contents                   About Wikipedia                                             Català   Deutsch   فارسی   Français   Italiano   Русский   Українська   Edit links   This page was last edited on 3 November 2017 , at 17 : 00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</si>
  <si>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plays claire underwood's mom on house of cards</t>
  </si>
  <si>
    <t xml:space="preserve"> Claire Hale Underwood is originally from the exclusive Highland Park enclave of Dallas , Texas . Her late father was a major Texas Republican . While at Radcliffe College in Cambridge , she met Francis J. Underwood , a Harvard Law student from South Carolina . She is from a wealthy family , and the show characterizes her as a `` Dallas Debutante '' and `` Lily White '' . She recounts her father 's taking her to Dealey Plaza , where John F. Kennedy was assassinated , and that it made her feel `` so sad , so angry '' . She has a difficult relationship with her mother , Elizabeth Hale ( Ellen Burstyn ) , who despises Frank and is disappointed in Claire for marrying him . </t>
  </si>
  <si>
    <t xml:space="preserve">2017 All - Ireland senior football Championship final - wikipedia  2017 All - Ireland senior football Championship final  Jump to : navigation , search  2017 All - Ireland Senior Football Championship Final       Event   2017 All - Ireland Senior Football Championship        Dublin   Mayo           1 - 17   1 - 16        Date   17 September 2017     Venue   Croke Park , Dublin     Man of the Match   James McCarthy     Referee   Joe McQuillan ( Cavan )     Attendance   82,243     Weather   16 ° C , fine     ← 2016 2018 →     The 2017 All - Ireland Senior Football Championship Final , the 130th event of its kind and the culmination of the 2017 All - Ireland Senior Football Championship , was played at Croke Park in Dublin on 17 September 2017 .   The final was the fourth occasion that the two counties met in the final , following matches in 1921 , 2013 and 2016 . Prior to the game , Dublin were seeking their third consecutive All - Ireland title , while Mayo were aiming for their first All - Ireland since 1951 . The same two counties played in the ladies ' All - Ireland final . This is only the second time that the final pairing has been the same in the men 's and ladies ' championships ; the first time was in 1982 , when Kerry played Offaly in the men 's and ladies ' finals .   The final was shown live in Ireland on RTÉ Two as part of The Sunday Game live programme , presented by Michael Lyster from Croke Park , with studio analysis from Joe Brolly , Pat Spillane , and Colm O'Rourke . Match commentary was provided by Ger Canning with analysis by Dessie Dolan . The game was also shown live on Sky Sports , presented by Rachel Wyse and Brian Carney .   Dublin won the final by a point on a 1 - 17 to 1 - 16 scoreline to claim their third title in a row , the first time this has happened since 1921 - 23 .   The final was played before a capacity attendance of 82,243 people . The match drew a peak audience of 1.3 million , which made it the most watched RTÉ broadcast of 2017 , surpassing the hurling final .     Contents  ( hide )   1 Paths to the final   1.1 Mayo   1.2 Dublin     2 Pre-match   2.1 Jubilee team   2.2 Ticketing   2.3 Related events     3 Match   3.1 Officials   3.2 Build - up   3.3 Team news   3.4 Summary   3.5 Details   3.6 Trophy presentation   3.7 Reaction   3.8 Celebrations     4 References   5 External links      Paths to the final ( edit )   The two teams had widely varying paths to the final . Whereas Mayo struggled ( losing to Galway , needing extra time to beat Derry and Cork and replays to beat Roscommon and Kerry ) , Dublin breezed to the final , winning their five games by 12 , 31 , 9 , 10 and 12 points respectively .   Mayo ( edit )  21 May 2017 14 : 00 Connacht Quarter - Final    Mayo   2 - 14 -- 0 - 11   Sligo     Cillian O'Connor 1 - 6 ( 0 - 5f ) , Diarmuid O'Connor 1 - 0 , Fergal Boland and Andy Moran 0 - 2 each , Patrick Durcan , Kevin McLoughlin , Jason Doherty , Danny Kirby 0 - 1 each   Report   Adrian Marren 0 - 4 ( 0 - 2f , 1 ' 45 ) , Mark Breheny ( 0 - 2f ) and Stephen Coen 0 - 2 each , Aidan Devaney ( 0 - 1f ) , Paddy O'Connor , Niall Murphy 0 - 1 each    MacHale Park , Castlebar Attendance : 14,661 Referee : Sean Hurson ( Tyrone ) 11 June 2017 16 : 00 Connacht Semi-Final    Galway   0 - 15 -- 1 - 11   Mayo     Sean Armstong 0 - 6 ( 3f , 3 ' 45 ) , Damien Comer 0 - 2 , G Sice 0 - 2 ( 2f ) , G Bradshaw , Johnny Heaney , Shane Walsh , Michael Daly , Eamonn Brannigan 0 - 1 each .   Report   Cillian O'Connor 0 - 6 ( 5f ) , Kevin McLoughlin 1 - 1 , P Durcan , Fergal Boland , Diarmuid O'Connor , Andy Moran 0 - 1 each .    Pearse Stadium , Galway Attendance : 22,046 Referee : Joe McQuillan ( Cavan ) 1 July 2017 5 : 00 PM Qualifier Round 2A    Mayo   2 - 21 -- 1 - 13 ( AET )   Derry     Cillian O'Connor 0 - 12 ( 0 - 9f , 1 ' 45 ) ; Conor Loftus 1 - 1 , Jason Doherty 1 - 1 , Andy Moran 0 - 2 , Kevin McLoughlin , Aidan O'Shea , Diarmuid O'Connor , Lee Keegan , Patrick Durcan 0 - 1 each   Report   Niall Loughlin 0 - 6 ( 5f ) , Mark Lynch 1 - 1 , Ryan Bell 0 - 3 , Benny Heron , James Kielt , Danny Heavron 0 - 1 each    MacHale Park , Castlebar Attendance : 11,433 Referee : M Deegan ( Laois ) 8 July 2017 5.00 PM Qualifier Round 3A    Mayo   2 - 14 -- 0 - 13   Clare     Cillian O'Connor 1 - 5 ( 5f ) , Diarmuid O'Connor 1 - 1 , Andy Moran 0 - 3 , Kevin McLoughlin 0 - 2 , Lee Keegan , Keith Higgins , and Aidan O'Shea 0 - 1 each   Report   David Tubridy 0 - 4 ( 4fs ) , Eoin Cleary 0 - 3 ( 2fs ) , Keelan Sexton 0 - 2 ( 1 45 ) , Jamie Malone , Sean Collins , Gary Brennan , and Gearoid O'Brien 0 - 1 each    Cusack Park , Ennis Attendance : 11,576 Referee : Sean Hurson ( Tyrone ) 22 July 5 : 00pm Qualifier Round 4A    Mayo   0 - 27 -- 2 - 20 ( AET )   Cork     Cillian O'Connor 0 - 11 ( 0 - 4f , 1 ' 45 ) , Andy Moran 0 - 4 , Aidan O'Shea 0 - 3 , Patrick Durcan and Conor Loftus 0 - 2 each , Keith Higgins , Lee Keegan , Tom Parsons , Diarmuid O'Connor , Jason Doherty 0 - 1 each   Report   Donncha O'Connor 0 - 6 ( 0 - 4f ) , Luke Connolly 1 - 1 ( 0 - 1f ) , Sean Powter 1 - 0 , John O'Rourke , Paul Kerrigan , Colm O'Neill ( 0 - 1f ) 0 - 3 each , Michael Hurley 0 - 2 , Tomas Clancy and Barry O'Driscoll 0 - 1 each    Gaelic Grounds , Limerick Attendance : 13,505 Referee : Ciaran Branagan ( Down ) 30 July 4 : 00 pm All - Ireland Quarter - final    Mayo   1 - 12 -- 2 - 9   Roscommon     Lee Keegan 1 - 3 , Cillian O'Connor 0 - 3 ( 0 - 2f ) , Patrick Durcan and Andy Moran 0 - 2 each , Colm Boyle and Jason Doherty 0 - 1 each   Report   Ciaran Murtagh 1 - 2 ( 0 - 2f ) , Fintan Cregg 1 - 1 , Diarmuid Murtagh and Donie Smith ( 0 - 1f ) 0 - 2 each , Enda Smith and Conor Devaney 0 - 1 each    Croke Park , Dublin Attendance : 65,746 Referee : Joe McQuillan ( Cavan ) 7 August 2 : 00 pm All - Ireland Quarter - final Replay    Mayo   4 - 19 -- 0 - 9   Roscommon     Cillian O'Connor 1 - 6 ( 0 - 5f ) , Andy Moran 1 - 1 , Keith Higgins and Kevin McLoughlin 1 - 0 each , Aidan O'Shea , Jason Doherty , Shane Nally 0 - 2 each , Donal Vaughan , Chris Barrett , Tom Parsons , Diarmuid O'Connor , David Drake , Stephen Coen 0 - 1 each   Report   Diarmuid Murtagh 0 - 4 ( 0 - 2f ) , Sean Mullooly , Enda Smith , Niall Kilroy , Conor Devaney , Donie Smith 0 - 1 each    Croke Park , Dublin Attendance : 39,154 Referee : Anthony Nolan ( Wicklow ) 20 August 3 : 30 pm All - Ireland Semi-final    Mayo   2 - 14 -- 2 - 14   Kerry     Andy Moran 1 - 5 , Cillian O'Connor 0 - 4 ( 0 - 1f ) , Colm Boyle 1 - 0 , Tom Parsons 0 - 2 , Donal Vaughan , Jason Doherty , Patrick Durcan 0 - 1 each   Report ( 1 )   Paul Geaney 0 - 7 ( 0 - 4f ) , Johnny Buckley , Stephen O'Brien 1 - 0 each , James O'Donoghue 0 - 3 ( 0 - 2f ) , Killian Young , Paul Murphy , Kieran Donaghy , Barry John Keane 0 - 1 each    Croke Park , Dublin Attendance : 66,195 Referee : Maurice Deegan ( Laois ) 26 August 3 : 00 pm All - Ireland Semi-final Replay    Mayo   2 - 16 -- 0 - 17   Kerry     Cillian O'Connor 0 - 6f , Andy Moran 1 - 1 , Diarmuid O'Connor 1 - 0 , Jason Doherty 0 - 3 ( 0 - 1f , 1 ' 45 ) , Kevin McLoughlin and Conor Loftus 0 - 2 each , Chris Barrett and Patrick Durcan 0 - 1 each   Report   Paul Geaney 0 - 9 ( 0 - 7f ) , James O'Donoghue 0 - 3 ( 0 - 1f ) , Jack Barry , Jonathan Lyne , Johnny Buckley , Fionn Fitzgerald 0 - 1 each    Croke Park , Dublin Attendance : 53,032 Referee : David Gough ( Meath )  Dublin ( edit )     3 June 2017 19 : 00 Leinster Quarter - Final   Dublin   0 - 19 -- 0 - 7   Carlow   O'Moore Park , Portlaoise Attendance : 13,238 Referee : Sean Hurson ( Tyrone ) Man of the Match : Sean Murphy     Dean Rock 0 - 6f , Ciaran Kilkenny 0 - 3 , Jack McCaffrey , Con O'Callaghan ( 0 - 2f ) , Bernard Brogan 0 - 2 each , Niall Scully , Paul Mannion , Diarmuid Conolly ( 1 ' 45 ) , Conor McHugh 0 - 1 each   Report   Paul Broderick 0 - 3f , Danny Moran , Brendan Murphy , Sean Murphy , Darragh Foley ( 0 - 1f ) 0 - 1 each       25 June 2017 4 : 00 pm Leinster Semi-Final   Dublin   4 - 29 -- 0 - 10   Westmeath   Croke Park Attendance : 33,370 Referee : Conor Lane ( Cork ) Man of the Match : Paul Mannion     Dean Rock 1 - 5 ( 0 - 3f , 2 ' 45 ) , Paul Mannion 0 - 8 , Ciaran Kilkenny 1 - 3 , Kevin McManamon 1 - 1 , Con O'Callaghan 0 - 3 , Eoghan O'Gara 1 - 0 , Brian Fenton , Paddy Andrews , Bernard Brogan ( 0 - 1f ) , Shane B. Carthy 0 - 2 each , Jack McCaffrey 0 - 1 .   Report   John Heslin 0 - 4 ( 0 - 3f ) , Kieran Martin 0 - 3 , John Egan 0 - 2 , Ger Egan 0 - 1       16 July 2017 4 : 00 pm Leinster Final   Dublin   2 - 23 -- 1 - 17   Kildare   Croke Park Attendance : 66,734 Referee : Anthony Nolan ( Wicklow ) Man of the Match : Con O'Callaghan     Con O'Callaghan 0 - 12 ( 0 - 6f ) , Bernard Brogan 0 - 5 , James McCarthy , Dean Rock 1 - 0 each , Ciaran Kilkenny 0 - 2 , Paul Mannion , Paddy Andrews , Shane B. Carthy , Brian Howard 0 - 1 each   Report   Paddy Brophy 1 - 3 ( 0 - 1f ) , Kevin Feely 0 - 5 ( 0 - 4f ) , Daniel Flynn and Cathal McNally 0 - 2 each , Johnny Byrne , Keith Cribbin , Niall Kelly , David Slattery , Fionn Dowling 0 - 1 each       5 August 6 : 00 pm All - Ireland Quarter - final   Dublin   1 - 19 -- 0 - 12   Monaghan   Croke Park , Dublin Attendance : 82,000 Referee : Conor Lane ( Cork ) Man of the Match : Dean Rock     Dean Rock 1 - 8 ( 0 - 7f , 1 ' 45 ) , Paul Mannion and Paddy Andrews 0 - 3 each , James McCarthy , Con O'Callaghan , Jack McCaffrey , Paul Flynn , Eoghan O'Gara 0 - 1 each   Report   Conor McManus 0 - 4 ( 0 - 3f ) , Conor McCarthy 0 - 3 , Rory Beggan ( 0 - 1f ) , Colin Walshe , Karl O'Connell , Darren Hughes , Ryan McAnespie 0 - 1 each       27 August 4 : 00 pm All - Ireland Semi-final   Dublin   2 - 17 -- 0 - 11   Tyrone   Croke Park , Dublin Attendance : 82,300 Referee : David Coldrick ( Meath )     Con O'Callaghan 1 - 2 , Dean Rock 0 - 5 ( 0 - 4f ) , Eoghan O'Gara 1 - 1 , Paul Flynn 0 - 3 , Paddy Andrews 0 - 2 , Jack McCaffrey , Brian Fenton , Ciaran Kilkenny , Paul Mannion 0 - 1 each   Report   Peter Harte 0 - 4 ( 0 - 3f ) , Colm Cavanagh and Niall Sludden 0 - 2 each , Tiernan McCann , Sean Cavanagh ( 0 - 1f ) , Declan McClure 0 - 1 each     Pre-match ( edit )   Jubilee team ( edit )   The Donegal team that won the 1992 All - Ireland Final were presented to the crowd before the match to mark 25 years .   Ticketing ( edit )   Demand for tickets was extremely high in both counties with Dublin and Mayo receiving around 32,000 tickets between them . Stand tickets were priced at € 80 with terrace at € 40 .   Related events ( edit )   The 2017 All - Ireland Minor Football Final was played between Kerry and Derry as a curtain - raiser to the senior final , with Kerry winning by 6 - 17 to 1 - 8 .   Match ( edit )   Officials ( edit )   On 4 September , Cavan 's Joe McQuillan was confirmed as the referee for the final . It was McQuilllan 's third All Ireland final having previously been in charge in 2011 and 2013 . Cork 's Conor Lane was the standby referee , the other linesman was Padraig O'Sullivan from Kerry and the Sideline official was Niall Cullen .   Build - up ( edit )   The All - Ireland final was played between Dublin and Mayo , the second consecutive meeting of the teams in the decisive match . The reigning champions , Dublin , had defeated Mayo following a replay , and were looking to claim their third consecutive title . Dublin were favourites to win prior to kick - off . Pre-match discussion in the media revolved around the Mayo curse , a superstition held among GAA fans that Mayo will not win the All - Ireland until every member of the victorious 1951 team had died . The curse allegedly arose after a priest punished the team for celebrating raptorously in front of a funeral procession .   The game attracted additional international information as association football pundits Jeff Stelling and Chris Kamara made their commentary debut at a GAA game , alongside legendary GAA commentator Mícheál Ó Muircheartaigh .   Team news ( edit )   Dublin and Mayo both named the same fifteen players that played in the semi-final wins for the final . Prior to the start of the match , Eoghan O'Gara was named to start for Dublin instead of Niall Scully , with Paddy Durcan also starting instead of Diarmuid O'Connor for Mayo .   Summary ( edit )   The game took place in Croke Park before a capacity audience of 82,000 . After 90 seconds of play , Dublin took a definitive lead as Con O'Callaghan scored a goal when he ran at the Mayo defence before shooting low along the ground to the corner of the net at the hill 16 end . However , despite this early three - point lead , Mayo played dominantly throughout the opening 35 minutes , scoring seven points from play to take a one point lead in at half - time , 0 - 9 to 1 - 05 . Andy Moran was responsible for three of these points , and his first - half performance was praised by pundits .   However , after the second half began , the game took on a different complexion as Dublin seized the lead by scoring three consecutive points . However , Mayo reclaimed the lead early into the half as Lee Keegan scored a goal to put his team one point ahead . The talking point of the match occurred in the 48th minute , as Dublin 's John Small , who had previously received a yellow card in the first half , was sent off for a foul on Colm Boyle . However , Donal Vaughan of Mayo was also sent off after striking Small in the face in retaliation for the foul . This left both teams reduced to fourteen men for the remaining duration of the game . After seventy minutes of the game had elapsed , the teams were tied at 1 - 16 apiece , and it appeared that the game was destined for a draw and replay . In the seventy - first minute , Mayo were awarded a kickable free and an opportunity to go ahead . Cillian O'Connor , who had missed a free under a similar scenario in the previous final , took the kick , and missed , having it strike the post and rebound away from goal . Ciarán Kilkenny was given a black card by the referee for cynical play . Then , with a mere minute of the six additional minutes remaining , Diarmuid Connolly was fouled approximately forty - five metres from the Mayo goal , leaving Dublin with a kick to win the game . Dean Rock , the son of Barney Rock , one of the most famous Gaelic footballers from the capital , took the free . Lee Keegan controversially threw a GPS device at Rock as he took the free , yet the Dubliner was undeterred and converted . This left the defending champions one point ahead , and after reclaiming the ball from the Mayo kick - out , Dublin maintained possession until the final whistle was blown . Stephen Cluxton , the Dublin captain , then lifted the Sam Maguire Cup for the fifth time in seven years .   Details ( edit )  17 September 2017 3 : 30pm    Dublin   1 - 17 -- 1 - 16   Mayo     Dean Rock 0 - 7 ( 0 - 3f ) Con O'Callaghan 1 - 0 Paul Mannion 0 - 3 James McCarthy 0 - 2 John Small 0 - 1 Brian Fenton 0 - 1 Eoghan O'Gara 0 - 1 Diarmuid Connolly 0 - 1 Kevin McManamon 0 - 1   Report   Cillian O'Connor 0 - 7 ( 0 - 4f ) Lee Keegan 1 - 0 Andy Moran 0 - 3 Kevin McLoughlin 0 - 2 Jason Doherty 0 - 2 Donal Vaughan 0 - 1 Colm Boyle 0 - 1    Croke Park , Dublin Attendance : 82,243 Referee : Joe McQuillan ( Cavan )    Dublin   Mayo                GK     Stephen Cluxton ( c )     CB     Philly McMahon   60 '     FB     Cian O'Sullivan       CB     Michael Fitzsimons     WB   5   Jonny Cooper       HB   6   John Small   27 , 48 '     WB   7   Jack McCaffrey   10 '     MF   8   Brian Fenton       MF   9   James McCarthy       WF   10   Ciarán Kilkenny   70 + 5 '     HF   11   Con O'Callaghan   68 '     WF   26   Eoghan O'Gara   36 '     CF   13   Paul Mannion   17 ' 70 + 1 '     FF   14   Paddy Andrews   36 '     CF   15   Dean Rock       Substitutes :     GK   16   Evan Comerford       FW   12   Niall Scully   68 ' 70 + 5 '     FW   17   Bernard Brogan   65 '     DF   18   David Byrne       FW   19   Diarmuid Connolly   36 '     FW   20   Cormac Costello   70 + 4 ' 70 + 6 '     DF   21   Darren Daly         FW   22   Paul Flynn   10 ' 65 '     DF   23   Eric Lowndes       MF   24   Michael Darragh MacAuley       FW   25   Kevin McManamon   36 '     Manager :     Jim Gavin               GK     David Clarke       CB     Brendan Harrison     FB     Donal Vaughan   48 '     CB     Keith Higgins   70 + 6 '     WB   5   Lee Keegan   27 '     HB   6   Chris Barrett       WB   7   Colm Boyle   35 + 4 ' 56 '     MF   8   Séamus O'Shea   50 '     MF   9   Tom Parsons     WF   10   Kevin McLoughlin   70 + 5 '     HF   11   Aidan O'Shea     WF   18   Patrick Durcan     CF   13   Jason Doherty   70 '     FF   14   Cillian O'Connor ( c )     CF   15   Andy Moran   63 '     Substitutes :     GK   16   Rob Hennelly       FW   12   Diarmuid O'Connor   50 '     DF   17   Ger Cafferkey   70 + 6 '     DF   19   Stephen Coen   56 '     DF   20   David Drake   70 '     DF   21   Shane Nally       FW   22   Danny Kirby   70 + 5 '     FW   23   Conor Loftus   63 '     MF   24   Conor O'Shea     MF   25   Barry Moran       FW   26   Alan Dillon       Manager :     Stephen Rochford           Man of the Match : James McCarthy      Trophy presentation ( edit )   Dublin captain Stephen Cluxton accepted the Sam Maguire Cup from GAA president Aogan O ' Fearghail in the Hogan Stand . Cluxton was making a record 91st championship appearances and lifted the cup for a record fourth time . He was one of 12 Dublin players who collected their fifth senior All - Ireland winners medal . The 12 Dublin players are the only men outside of Kerry to win five senior All - Ireland winners medals in Gaelic Football .   Reaction ( edit )   Highlights of the final were shown on The Sunday Game programme which aired at 9 : 30pm that night on RTÉ Two and was presented by Des Cahill . James McCarthy , Dean Rock and Chris Barrett were shortlisted for the Man of the Match award . The winner was James McCarthy with GAA president Aogan O ' Fearghail presenting the award at the Dublin post match function , held in the Gibson hotel .   Celebrations ( edit )   The Dublin team had a homecoming celebration the day after the final at Smithfield in Dublin which started at 6 : 30pm . The night before , players and their management team celebrated their win at The Gibson Hotel .   References ( edit )    Jump up ^ `` Plan your GAA year : the official 2016 fixture list '' . Irish Examiner .   Jump up ^ `` 2017 Season Fixtures '' . Croke Park .   Jump up ^ `` 5 talking points after Dublin triumph and Mayo miss out in All - Ireland battle '' . The 42 . 17 September 2017 . Retrieved 18 September 2017 .   Jump up ^ `` ' I struck it well and the rest is history now ' : Rock holds his nerve to deliver for Dublin '' . The 42 . 17 September 2017 . Retrieved 18 September 2017 .   Jump up ^ `` Analysis : The switch in Cluxton 's kickout strategy , O'Connor's free - taking and Dublin turn the screw '' . The 42 . 18 September 2017 . Retrieved 18 September 2017 .   Jump up ^ `` Sunday 's thrilling All - Ireland football final the most watched show on Irish television this year '' . The 42 . 18 September 2017 . Retrieved 18 September 2017 .   Jump up ^ `` Donegal 's 1992 All - Ireland heroes to be honoured '' . RTE Sport. 15 September 2017 . Retrieved 18 September 2017 .   Jump up ^ `` Unstoppable David Clifford announces his true brilliance in Kerry stroll '' . RTE Sport. 17 September 2017 . Retrieved 18 September 2017 .   Jump up ^ `` Joe McQuillan to referee All - Ireland SFC final '' . Hogan Stand. 4 September 2017 . Retrieved 18 September 2017 .   Jump up ^ `` Dublin book All Ireland final date with Mayo following thumping win over Tyrone - Independent.ie '' . Retrieved 18 September 2017 .   Jump up ^ White , Jim ( 16 September 2017 ) . `` The Curse of Mayo : is Sunday 's All - Ireland final against Dublin the year it is finally laid to rest ? '' -- via www.telegraph.co.uk .   Jump up ^ `` Stelling &amp; Kamara get Ó Muircheartaigh seal of approval '' . 18 September 2017 . Retrieved 18 September 2017 .   Jump up ^ `` Here 's what Jeff and Kammy thought of the All - Ireland football final '' . 18 September 2017 .   Jump up ^ `` Jim Gavin sticks to his guns as Dublin side named for Mayo showdown '' . The 42 . 16 September 2017 . Retrieved 18 September 2017 .   Jump up ^ `` Mayo unchanged for All - Ireland final '' . RTE Sport. 16 September 2017 . Retrieved 18 September 2017 .   Jump up ^ `` Late changes to Dublin and Mayo teams '' . RTE Sport. 17 September 2017 . Retrieved 18 September 2017 .   Jump up ^ `` Shades of Messi as Con O'Callaghan lights up enthralling final '' . 18 September 2017 . Retrieved 18 September 2017 .   Jump up ^ `` All - Ireland player ratings - Mayo had more top performers but Dublin have the trophy - Independent.ie '' . Retrieved 18 September 2017 .   Jump up ^ `` Dublin forced to dig deep to edge enthralling endgame '' . Retrieved 18 September 2017 .   Jump up ^ `` WATCH : ' We do n't want pity ' - Cillian O'Connor's hair - raising speech will warm the hearts of every Mayo fan - Independent.ie '' . Retrieved 18 September 2017 .   Jump up ^ Sweeney , Peter ( 18 September 2017 ) . `` Rock steady - Dean unfazed by GPS missile '' . Retrieved 18 September 2017 .   Jump up ^ `` 2017 All Ireland Final : as it happened '' . The 42 . 17 September 2017 . Retrieved 18 September 2017 .   Jump up ^ `` History - making Dublin inch past heroic Mayo to make it three in a row '' . RTE Sport. 17 September 2017 . Retrieved 18 September 2017 .   Jump up ^ `` '' I 'll be back next year `` , Stephen Cluxton reveals his future Dublin football plans '' . Irish Mirror. 17 September 2017 . Retrieved 18 September 2017 .   Jump up ^ `` Dublin 's 12 Apostles and their drive for five '' . Rte Sports . Retrieved 20 September 2017 .   Jump up ^ `` McCarthy claims Man of the Match award '' . 17 September 2017 .   Jump up ^ `` Do you agree with the man - of - the - match winner from today 's thrilling football final ? '' . The 42 . 17 September 2017 . Retrieved 18 September 2017 .   Jump up ^ `` Details revealed for Dublin 's homecoming '' . RTE Sport. 18 September 2017 . Retrieved 18 September 2017 .   Jump up ^ `` Joyous scenes for Dublin 's All - Ireland homecoming '' . RTE Sport. 18 September 2017 . Retrieved 18 September 2017 .   Jump up ^ `` In pics : Smithfield turns blue as thousands celebrate Dublin 's three - in - a-row '' . The 42 . 18 September 2017 . Retrieved 18 September 2017 .   Jump up ^ `` Dublin 's All - Ireland winners visit Crumlin Children 's Hospital with Sam Maguire '' . The 42 . 18 September 2017 . Retrieved 18 September 2017 .   Jump up ^ `` Watch : It looked like Jack McCaffrey was enjoying himself at Dublin 's victory banquet '' . The 42 . 18 September 2017 . Retrieved 18 September 2017 .    External links ( edit )             All - Ireland Senior Football Championship       Trophy   Leinster   Connacht   Munster   Ulster   Records and statistics   Winning captains   Winning managers   Winning players   Losing players   Winning teams       Seasons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Finals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Connacht Championship   Leinster Championship   Munster Championship   Ulster Championship                 2017 GAA season     Football      Championship     Ulster Championship   Leinster Championship   Munster Championship   Connacht Championship     All - Ireland qualifiers   All - Ireland Championship   All - Ireland Final       NFL     Division 1   Division 2   Division 3   Division 4       Cups     McKenna   FBD League   O'Byrne   McGrath       Other     All Stars   International Rules Series   Interprovincial Championships   Club Championship       Seasons     Down       Ladies     League   Championship ( Final )          Hurling      Championship     Leinster Championship   Munster Championship     All - Ireland qualifiers   All - Ireland Championship   All - Ireland Final       NHL     Division 1A   Division 1B   Division 2A   Division 2B   Division 3A   Division 3B       Cups     Christy Ring   Nicky Rackard   Lory Meagher   Munster Senior Hurling League   Kehoe   Walsh   Ulster Championship       Other     All Stars   Hurling / Shinty International Series   Interprovincial Championships       Camogie     League   Championship ( Final )          `` 2016 2018 ''    Retrieved from `` https://en.wikipedia.org/w/index.php?title=2017_All-Ireland_Senior_Football_Championship_Final&amp;oldid=840534261 '' Categories :   2017 in Gaelic football   All - Ireland Senior Football Championship Finals   September 2017 sports events in Europe   Hidden categories :   Use dmy dates from June 2017           Talk                                           Contents                   About Wikipedia                                           Add links   This page was last edited on 10 May 2018 , at 14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</si>
  <si>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the all ireland football final 2017</t>
  </si>
  <si>
    <t xml:space="preserve"> Dublin won the final by a point on a 1 - 17 to 1 - 16 scoreline to claim their third title in a row , the first time this has happened since 1921 - 23 . </t>
  </si>
  <si>
    <t xml:space="preserve">My Three Sons - wikipedia  My Three Sons  Jump to : navigation , search Not to be confused with My Three Suns .      This article needs additional citations for verification . Please help improve this article by adding citations to reliable sources . Unsourced material may be challenged and removed . ( December 2009 ) ( Learn how and when to remove this template message )       My Three Sons     My Three Sons opening titles     Genre   Sitcom     Starring   Fred MacMurray William Frawley William Demarest Don Grady Stanley Livingston Barry Livingston Tim Considine Meredith MacRae Tina Cole Beverly Garland Dawn Lyn Ronne Troup Daniel , Joseph , and Michael Todd     Theme music composer   Frank De Vol     Country of origin   United States     Original language ( s )   English     No. of seasons   12     No. of episodes   380 ( list of episodes )     Production     Executive producer ( s )   Don Fedderson     Producer ( s )   Peter Tewksbury ( 1960 - 1961 ) George Tibbles ( 1961 - 1962 ) Edmund L. Hartmann ( 1962 - 1972 )     Running time   25 minutes     Production company ( s )   Don Fedderson Productions ( 1960 - 1972 ) Gregg - Don , Inc. ( 1960 - 1965 ) MCA Television ( 1960 - 1965 ) CBS Productions ( 1965 - 1972 )     Distributor   CBS Television Distribution     Release     Original network   ABC ( 1960 - 1965 ) CBS ( 1965 - 1972 )     Picture format   Black - and - white ( 1960 - 1965 ) Color ( 1965 - 1972 )     Audio format   Monaural     Original release   September 29 , 1960 ( 1960 - 09 - 29 ) -- April 13 , 1972 ( 1972 - 04 - 13 )     My Three Sons is an American sitcom . The series ran from 1960 to 1965 on ABC , and moved to CBS until its end on April 13 , 1972 . My Three Sons chronicles the life of widower and aeronautical engineer Steven Douglas ( Fred MacMurray ) as he raises his three sons .   The series originally featured William Frawley as the boys ' live - in maternal grandfather , William Michael Francis `` Bub '' O'Casey . William Demarest , playing Bub 's brother , `` Charley '' , replaced Frawley in 1965 due to Frawley 's illness . In September 1965 , eldest son Mike married , and his character was written out of the show . To keep the emphasis on `` three sons '' , a new son named Ernie was adopted . In the program 's final years , Steven Douglas remarried and adopted his new wife 's young daughter Dorothy ( `` Dodie '' ) .   The series was a cornerstone of the ABC and CBS lineups in the 1960s . With 380 episodes produced , it is second only to The Adventures of Ozzie and Harriet ( 14 seasons , 1952 - 1966 , 434 episodes ) and tied with It 's Always Sunny in Philadelphia ( 12 seasons ) as television 's longest - running live - action sitcom . Disney producer Bill Walsh often mused on whether the concept of the show was inspired by the movie The Shaggy Dog , as in his view they shared `` the same dog , the same kids , and Fred MacMurray '' .     Contents  ( hide )   1 History   1.1 ABC years   1.2 Directors   1.3 CBS years     2 Cast   2.1 Main cast   2.2 Recurring cast   2.3 Musical connections     3 Episodes   4 Broadcast history   5 Production schedule   6 Distribution   7 Reunion special   8 DVD releases   9 References   10 External links      History ( edit )  The ABC cast of My Three Sons , with William Frawley , circa 1962  ABC years ( edit )       This section does not cite any sources . Please help improve this section by adding citations to reliable sources . Unsourced material may be challenged and removed . ( June 2017 ) ( Learn how and when to remove this template message )     The show began on ABC in black - and - white . The first season , consisting of 36 episodes , was directed in its entirety by Peter Tewksbury , who produced and occasionally scripted the programs .   These early episodes held to no specific generic type , so that any episode from one week to the next might be either comedic or dramatic . Tewksbury 's episodes are also unusual for their use of cross-talk ( a way of having the voices of off - screen characters heard in the background of the soundtrack , just under the voices of the main characters ) . Using this clever directorial twist , Tewksbury realistically portrayed the chaotic , fast - paced , and ever - changing sequence of events ; coordinate and conflicting , that was the daily routine of living in the Douglas household .   An example of Tewksbury 's use of cross-talk is the fourth episode , `` Countdown '' , written by David Duncan , which chronicles the Douglas family 's attempts to wake up , prepare for the day , have breakfast , and get out of the house by a common , agreed - upon time , all carefully synchronized to a televised rocket launch countdown -- to comical and often ironic effect . Tewksbury returned to directing feature films after concluding the season because the producers could not handle his perfectionist attitude , which was costing thousands of dollars in lost time and reshoots .   During the 1964 fall season , William Frawley , who played Bub , was declared too ill to work by Desilu Studios , as the company was informed that insuring the actor would be too costly . Frawley continued in the role until a suitable replacement could be found at midseason . He was replaced by William Demarest , who had played his hard - nosed brother ( great ) Uncle Charley part way through the 1964 - 1965 season ( the last on ABC ) . According to the storyline , Bub returns to Ireland to help his Auntie Kate celebrate her 104th birthday . Soon after , brother Charley visits and stays on . Charley , a cello - playing merchant sailor , was a soft - hearted curmudgeon , who proved to be a responsible caregiver . Frawley left the series before the end of the 1964 - 1965 season .   Directors ( edit )   Peter Tewksbury directed the first season . The succeeding director , Richard Whorf , took over the reins for one season and was in turn followed by former actor - turned - director Gene Reynolds from 1962 to 1964 . James V. Kern , an experienced Hollywood television director who had previously helmed the `` Hollywood '' and `` Europe '' episodes of I Love Lucy , continued in this role for two years until his untimely death in late 1966 , aged 57 . Director James Sheldon was also contracted to finish episodes that had been partly completed by Kern to complete that season . Fred De Cordova was the show 's longest and most consistent director of the series ( 108 episodes ) until he left in 1971 to produce The Tonight Show Starring Johnny Carson . Earl Bellamy rounded out the series as director of the show 's final year .   CBS years ( edit )   My Three Sons moved to the CBS television network for the 1965 - 1966 season after ABC declined to commit to underwriting the expense of producing the program in color . Along with the change in networks and the transition to color , Tim Considine ( who had earlier worked with Fred MacMurray on The Shaggy Dog ) , playing eldest son Mike , had chosen not to renew his contract due to a clash with executive producer Don Fedderson over Considine 's wish to direct but not co-star in the series . ( Considine did , however , direct one of the last black - and - white episodes for ABC . ) According to Considine ( Pat Sajak Show , August 1989 ) , he also was devoted to automobile racing , which his contract forbade . His character was written out , along with Meredith MacRae , who had played his fiancee Sally , in a wedding episode that was the premiere of the 1965 -- 1966 season on CBS . After this episode , which was the program 's first in color , Mike is mentioned briefly in only four succeeding episodes ( including one in which Ernie becomes adopted ) , and is never seen again , even at Robbie and Steve 's weddings . In the episode `` Steve and the Huntress '' ( first aired January 27 , 1966 ) , Mike is specifically mentioned as teaching at a college . MacRae joined Petticoat Junction the following year , the last of three actresses to play Billie Jo Bradley .   To keep the show 's title plausible , the show 's head writer , George Tibbles , fashioned a three - part story arc in which an orphaned friend of youngest brother Richard ( Chip , played by Stanley Livingston ) , Ernie Thompson ( played by his real - life brother , Barry Livingston ) , awaits adoption when his current foster parents are transferred to the Orient . Steve offers to adopt Ernie , but faces antagonism from Uncle Charley , who finds Ernie a bit grating , and forecasts major headaches over both the boy and his dog . It also transpires that a law requires a woman to live in the home of an adoptive family . A likable female social worker supervises the case , and the Douglases speculate that Steve might marry the woman , to make the adoption possible , but they both agree this is not reason enough for them to be married . The family also does not need to hire a housekeeper , since Uncle Charley already has things running smoothly . The family soon appears before a judge who researches the law , and determines that its intent is to ensure a full - time caregiver is in the household . With Charley meeting that role , and having had a change of heart about Ernie , Charley assents to a legal fiction declaring him `` housemother '' to the Douglas family .   While the three sons were always central to the storyline , several major changes took place by the late 1960s . In the spring of 1967 , the ratings for the series began to sag and My Three Sons finished its seventh season in 31st place in the Nielsen ratings . It was decided that the 1967 - 1968 season would bring the program not only a new time slot , but also new storylines to spice up the ratings . In the fall of 1967 , CBS moved My Three Sons to Saturday night at 8 : 30 pm . In the season - premiere episode , `` Moving Day '' , the Douglas family and Uncle Charley relocate from the fictional town of Bryant Park in the Midwest to Los Angeles . Robbie ( Don Grady ) marries his classmate / girlfriend , Katie Miller ( Tina Cole ) . Tina Cole , in fact , had appeared in different roles on three previous episodes of My Three Sons : `` House For Sale '' from the fourth season ( February 13 , 1964 ) , `` The Coffee House Set '' from the fifth season ( November 19 , 1964 ) , and `` Robbie and the Little Stranger '' from the sixth season ( February 17 , 1966 ) . At the end of the 1967 - 1968 season , the ratings had improved from the previous year with the series placing at 24th in the Nielsens . The following season , the newlyweds discover that Katie is pregnant , and she gives birth to triplets named Robert , Steven , and Charles . Although originally played by sets of uncredited twins , these babies were played uncredited by Guy , Gunnar , and Garth Swanson . The most familiar triplets in the show 's last two seasons are played by Michael , Daniel , and Joseph Todd .   The following year in the tenth season , 1969 - 1970 , Steve remarries , taking widowed teacher Barbara Harper ( Beverly Garland ) as his wife ; she brings with her a 5 - year - old daughter , Dorothy `` Dodie '' ( Dawn Lyn ) , so Steven now had a stepdaughter whom he also subsequently adopts . Also , the last year - and - a-half of the series feature fewer appearances of both Don Grady and Stanley Livingston . Grady 's character was written out of the show at the end of the 11th season , which allowed for his wife Katie and their triplet sons to remain within the Douglas household the following season ( as a structural engineer Robbie was working on a bridge construction in Peru ) . Chip and his teen wife Polly ( Ronne Troup ) ( who eloped after Polly 's disciplinarian father refused to sanction the marriage ) move into their own apartment .   At the end of the 1970 - 1971 season ( the show 's 11th year ) , My Three Sons was still garnering healthy ratings . By the spring of 1971 , it had finished in 19th place . A 1971 television pilot with Don Grady and Tina Cole called Three of a Kind , then retitled Robbie -- about Robbie , Katie , and the triplets moving to San Francisco -- was filmed but not picked up as a series .   The final episode of the 1970 - 1971 season , `` After the Honeymoon '' , actually set up the premise for this pilot . The guest stars were Richard X . Slattery and Pat Carroll , who were featured as the landlords of the apartment block into which Robbie and Katie move . However , Don Grady had informed the producers of his intention to leave the series and pursue a new full - time career as a composer , which he ultimately did .   For the series ' 12th season , CBS moved My Three Sons to Monday nights at 10 : 00 pm . In addition to the time changes for the 12th season , a new four - part story arc is introduced with MacMurray in a second role , that of his cousin , the Laird ( Lord ) Fergus McBain Douglas of Sithian Bridge . The voice of English actor Alan Caillou is awkwardly dubbed over MacMurray 's . The plot centers around Lord Douglas 's arrival in Los Angeles from the family 's native Scotland , in search of a first lady to marry and return with him to Scotland .   He finds Terri Dowling ( Anne Francis ) , a waitress at the Blue Berry Bowling Alley . While initially reluctant to give up her life in America and return to Scotland as royalty , she finally accepts . This storyline is a continuation of a plot idea that originally began in the fourth season , when the Douglases visit Scotland on the pretense of having been told they had inherited a castle in the highlands .   With a later time slot , the show finished the season outside the top 30 . To save the series , CBS moved it in midseason back to Thursday nights at 8 : 30 pm , its old time slot . Nevertheless , My Three Sons ended its primetime run in the spring of 1972 after 12 years on the air . CBS also aired daytime reruns starting in September 1971 ( only the CBS color shows ) , for about one season .   Cast ( edit )   Main cast ( edit )    Fred MacMurray , Steven `` Steve '' Douglas ( 1960 -- 1972 )   William Frawley , William Michael Francis Aloysius `` Bub '' O'Casey ( 1960 -- 1965 )   William Demarest , Charles Leslie `` Uncle Charley '' O'Casey , Bub 's brother ( 1965 -- 1972 )   Tim Considine , Michael `` Mike '' Douglas ( 1960 -- 1965 )   Don Grady , Robert `` Robbie '' Douglas ( 1960 -- 1971 )   Stanley Livingston , Richard `` Chip '' Douglas ( 1960 -- 1972 )   Barry Livingston , Ernest `` Ernie '' Thompson / Douglas ( 1963 -- 1972 )   Meredith MacRae , Sally Ann Morrison Douglas ( 1963 -- 1965 )   Tina Cole , Kathleen `` Katie '' Miller Douglas ( 1967 -- 1972 )   Beverly Garland , Barbara Harper Douglas ( 1969 -- 1972 )   Dawn Lyn , Dorothy `` Dodie '' Harper Douglas ( 1969 -- 1972 )   Ronne Troup , Polly Williams Douglas ( 1970 -- 1972 )   Michael , Daniel , and Joseph Todd , playing Robbie , Stevie , and Charley Douglas respectively ( 1970 -- 1972 )    Recurring cast ( edit )    Cynthia Pepper , Jean Pearson ( 1960 -- 1961 )   Peter Brooks , Hank Ferguson ( 1960 -- 1963 )   Cheryl Holdridge , Judy Doucette ( 1960 -- 1961 )   Ricky Allen , Hubert ' Sudsy ' Pfeiffer ( 1961 -- 1963 )   Hank Jones , Pete ( 1964 -- 1966 )   Bill Erwin , Joe Walters ( 1962 -- 1964 )   Doris Singleton , Helen Morrison ( 1964 -- 65 ) and Margaret Williams ( 1970 )   John Howard , Dave Welch ( 1965 -- 1967 )   Joan Tompkins , Lorraine Miller ( 1967 -- 1970 )    Musical connections ( edit )   The series ' cast had several music connections . MacMurray began his career as a saxophone player during the 1930s , and sometimes played it on the series , as well as clarinet . Actress Tina Cole ( Katie ) was born into the King Family , a popular 1950s -- 1960s group . Ronne Troup ( Polly ) was the step - daughter of singer Julie London and daughter of musician / composer Bobby Troup ( who wrote the song Route 66 and also starred in the TV program Emergency ! along with wife London ) , and Dawn Lyn is the younger sister of 1970s pop idol Leif Garrett . Don Grady ( Robbie ) composed and produced music , having created successful Las Vegas venues for Phantom of the Opera star Michael Crawford and pop star David Cassidy .   Grady also played drums in the ' 60s pop group Yellow Balloon . Musical arranger Frank De Vol , who did the toe - tapping theme , scored over thirty motion pictures and arranged for such vocalists as Sarah Vaughan , Jack Jones , Nat King Cole , Ella Fitzgerald , Tony Bennett , Vic Damone , Dinah Shore , Doris Day , and Jaye P. Morgan .   Episodes ( edit )   My Three Sons had 36 episodes each in the first two seasons . The series had more than thirty episodes in each of the first eight seasons ; the episode output then decreased by two episodes until the eleventh season , which had twenty - four episodes , along with the twelfth season . The first five seasons were filmed in black &amp; white , then after the move to CBS , it was filmed in color for the remainder of its run .   Broadcast history ( edit )     Season   Time slot ( ET )   Nielsen ratings     Rank   Rating     1960 -- 61   Thursday at 9 : 00 - 9 : 30 PM on ABC   13   25.8 ( Tied with 77 Sunset Strip )     1961 -- 62   11   24.7     1962 -- 63   28   21.0     1963 -- 64   Thursday at 8 : 30 - 9 : 00 PM on ABC   27   21.9     1964 -- 65   13   25.5     1965 -- 66   Thursday at 8 : 30 - 9 : 00 PM on CBS   15   23.8     1966 -- 67   29   20.2 ( Tied with I Spy , CBS Thursday Night Movie and The F.B.I. )     1967 -- 68   Saturday at 8 : 30 - 9 : 00 PM on CBS   24   20.8     1968 -- 69   14   22.8     1969 -- 70   15   21.8 ( Tied with Ironside and The Johnny Cash Show )     1970 -- 71   19   20.8     1971 -- 72   Monday at 9 : 00 - 9 : 30 PM on CBS ( Episodes 1 - 12 ) Thursday at 8 : 30 - 9 : 00 PM on CBS ( Episodes 13 - 24 ) Daytime Reruns : 10 : 30 - 11 : 00am ( EST ) M-F 12 / 20 / 71 - 6 / 23 / 72 4 : 00 - 4 : 30pm ( EST ) M-F 6 / 26 / 72 - 9 / 1 / 72   colspan = `` 2 '' data - sort - value = `` '' style = `` background : # ececec ; color : # 2C2C2C ; vertical - align : middle ; font - size : smaller ; text - align : center ; '' class = `` table - na '' N / A     Production schedule ( edit )   The series was initially filmed at Desilu Studios in Hollywood , but at the start of the 1967 -- 68 season , the cast and crew began filming the series at the CBS Studio Center in Studio City , California . The reasons behind this move concerned the sale of actress - comedian Lucille Ball ' s studios to the Gulf + Western conglomerate , which owned Paramount Pictures , so Don Fedderson Productions , who produced My Three Sons ( along with Family Affair starring Brian Keith ) , had to quickly make other arrangements for filming . The move also necessitated moves in the show 's storyline as well , hence the family 's move from the fictitious town of Bryant Park ( in the Midwestern United States ) to North Hollywood , California , although the town is never officially mentioned , simply just the city of Los Angeles .   Fred MacMurray was the only actor to appear in every episode of the series . Reportedly , MacMurray 's contract stipulated that he work only 65 days per year . His scenes for each season were produced in two blocks of filming . He would report to the Desilu - Gower lot in late May and work 35 days ( five days per week , weekends off ) , then take off for 10 weeks . He would then return to complete his remaining 30 days of shooting and was finished altogether around Thanksgiving . MacMurray 's ten - week hiatus in the middle of each season 's production schedule freed up the actor to follow other pursuits , while the filming of scenes with the other cast members continued . In short , all episodes were filmed out of sequence . Evidence of this is very apparent in several episodes , where plotlines had MacMurray 's character on a business trip ( e.g. `` Small Adventure '' ) or spending much of his time at the office ( e.g. `` Soap Box Derby '' ) . This allowed him to seemingly take part in the entire episode with limited or no interaction with the other regulars during filming . This sometimes produced noticeable continuity problems onscreen , especially as the boys grew and changed styles .   Distribution ( edit )   Although Don Fedderson gets the credit , My Three Sons was created by George Tibbles and produced by Don Fedderson Productions throughout the show 's run , with MCA Television co-distributing the series during its 1960 -- 65 ABC airing . When the series moved to CBS in 1965 , the latter network assumed full production responsibilities ( in association with Fedderson Productions ) until the end of the series in 1972 . CBS now holds the series ' copyright . CBS Television Distribution presently owns distribution rights to the entire series ( including the more widely seen and aforementioned 1965 -- 72 CBS episodes ) . The show did not get syndicated until September 1976 ( although CBS did air reruns of the show in its daytime lineup from December 1971 until the fall of 1972 ) , and even then , only the CBS color episodes aired , while the black and white ABC episodes did not air on broadcast TV at all .   Nick at Nite aired My Three Sons from November 3 , 1985 to October 28 , 1991 with episodes from Seasons 1 - 5 , the second half of season 11 , and season 12 . The Family Channel also aired only the black and white episodes from September 7 , 1992 to July 30 , 1993 . The Seasons 1 - 3 episodes had the original Chevrolet closing credits . The Seasons 6 -- 10 ( and the first half of season 11 ) episodes were later aired on TV Land in the late 1990s . Odyssey ran all of the color episodes in the early 2000s . They also briefly aired the black and white episodes . In 2000 , TV Land briefly aired the black &amp; white episodes again , using the same syndication episode rights that were on Nick at Nite during the 1980s . In 2006 the Retro Television Network broadcast the show , airing only the color episodes .   Since fall 2004 , only Seasons 6 - 10 are being distributed for syndication in the US - Domestic market , though very few stations air the show anymore .   In 2009 , FamilyNet began airing the program as a lead - in for its Happy Days and Family Ties program block , which ended in February 2010 . From 2012 - 14 , and also from October 2015 - February 2016 , MeTV aired the Season 6 - 10 episodes in heavy rotation , and most closing credits included the original sponsor tags , such as those for Kellogg 's . In 2016 , Decades began airing the CBS ( color ) episodes in its `` binge '' blocks on some week - ends .   MeTV began airing the black and white episodes on May 29 , 2017 .   Reunion special ( edit )       This does not cite any sources . Please help improve this by adding citations to reliable sources . Unsourced material may be challenged and removed . ( June 2017 ) ( Learn how and when to remove this template message )     MacMurray and most of the cast took part in Thanksgiving Reunion with The Partridge Family &amp; My Three Sons , which aired on ABC on November 25 , 1977 . The retrospective special looked back at the history of My Three Sons and The Partridge Family ( other than featuring single parents with a large family , the two series had no narrative , or even a studio link ) . The special was notable for featuring footage from early black and white episodes of My Three Sons that , at this point in time , were not in syndication . While most of the collected casts gathered in a studio to reminisce , Demarest appeared in a brief pre-taped segment .   DVD releases ( edit )   CBS DVD ( distributed by Paramount ) has released the first two seasons of My Three Sons on DVD in Region 1 . It is unknown if the remaining seasons will be released .   In most episodes , the soundtrack was edited to remove the background musical score , which were originally stock music from the Capitol Records library ; the licensing agreement with Capitol only covered broadcast rights , not home video rights , and clearing the music for home video release with the individual composers who worked on the Capitol recordings was deemed cost - prohibitive . The Capitol scores were replaced instead with more modern , synthesized music . The original theme tune by Frank DeVol has been left unaltered ; his musical scores in later seasons of the show , written specifically for the series , would less - likely be affected by licensing problems if the later seasons were released on DVD .     DVD name   No. of episodes   Release date     The First Season : Volume 1   18   September 30 , 2008     The First Season : Volume 2   18   January 20 , 2009     The Second Season : Volume 1   18   February 23 , 2010     The Second Season : Volume 2   18   June 15 , 2010     References ( edit )    Jump up ^ Korkis , Jim . `` Fred MacMurray : The First Disney Legend by Wade Sampson '' . Mouseplanet.com . Retrieved 2017 - 05 - 18 .   Jump up ^ Peter Tewksbury on IMDb   Jump up ^ `` My Three Sons - Full cast and crew '' . IMDb.com . Retrieved 2013 - 09 - 08 .   Jump up ^ Season six , episode three - `` Brother , Ernie ''   Jump up ^ Terrace , Vincent Encyclopedia of Television Pilots , 1937 -- 2012 McFarland   Jump up ^ Season four , episode two - `` Scotch Broth ''   Jump up ^ Brooks , Tim ; Marsh , Earle ( 2007 ) . The Complete Directory to Prime Time Network and Cable TV Shows 1946 - Present ( Ninth Edition ) . Ballantine Books . pp. 1682 -- 1686 . ISBN 978 - 0 - 345 - 49773 - 4 .   Jump up ^ `` ' ALF , ' ' My Three Sons ' , ' Battlestar Galactica ' , and more join the MeTV Summer of Me 2017 Schedule '' . Metv.com. 2017 - 05 - 06 . Retrieved 2017 - 05 - 18 .   Jump up ^ `` My Three Sons - Season 2 , Vol. 1 Announced : Release Date and Package Art '' . Tvshowsondvd.com . Retrieved 2017 - 05 - 18 .   Jump up ^ `` My Three Sons - Release DAte and Package art for ' Season 2 , Vol. 2 ' DVDs '' . Tvshowsondvd.com . Retrieved 2017 - 05 - 18 .   Jump up ^ Shostak , Stu ( June 18 , 2014 ) . Interview with Michael Schlesinger , Stu 's Show ; retrieved June 22 , 2014 .    External links ( edit )       Wikimedia Commons has media related to My Three Sons .      My Three Sons on IMDb   My Three Sons at TV.com   My Three Sons at epguides.com   My Three Sons at the Museum of Broadcast Communications   My Three Sons - related interview videos at the Archive of American Television   Retrieved from `` https://en.wikipedia.org/w/index.php?title=My_Three_Sons&amp;oldid=804982671 '' Categories :   1960s American television series   1970s American television series   1960s American comedy television series   1970s American comedy television series   1960 American television series debuts   1972 American television series endings   American Broadcasting Company network shows   American television sitcoms   Black - and - white television programs   CBS network shows   English - language television programs   Television series by CBS Television Studios   Television series revived after cancellation   Hidden categories :   Use mdy dates from October 2011   Articles needing additional references from December 2009   All articles needing additional references   Articles needing additional references from June 2017   Articles lacking sources from June 2017   All articles lacking sources   All articles with unsourced statements   Articles with unsourced statements from June 2017   Articles using Template : EmmyTVLegends title           Talk                                           Contents                   About Wikipedia                                                   Deutsch   Français   Italiano   Srpskohrvatski / српскохрватски   Suomi   Edit links   This page was last edited on 12 October 2017 , at 09 : 27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</si>
  <si>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robbie douglas wife on my three sons</t>
  </si>
  <si>
    <t xml:space="preserve"> While the three sons were always central to the storyline , several major changes took place by the late 1960s . In the spring of 1967 , the ratings for the series began to sag and My Three Sons finished its seventh season in 31st place in the Nielsen ratings . It was decided that the 1967 - 1968 season would bring the program not only a new time slot , but also new storylines to spice up the ratings . In the fall of 1967 , CBS moved My Three Sons to Saturday night at 8 : 30 pm . In the season - premiere episode , `` Moving Day '' , the Douglas family and Uncle Charley relocate from the fictional town of Bryant Park in the Midwest to Los Angeles . Robbie ( Don Grady ) marries his classmate / girlfriend , Katie Miller ( Tina Cole ) . Tina Cole , in fact , had appeared in different roles on three previous episodes of My Three Sons : `` House For Sale '' from the fourth season ( February 13 , 1964 ) , `` The Coffee House Set '' from the fifth season ( November 19 , 1964 ) , and `` Robbie and the Little Stranger '' from the sixth season ( February 17 , 1966 ) . At the end of the 1967 - 1968 season , the ratings had improved from the previous year with the series placing at 24th in the Nielsens . The following season , the newlyweds discover that Katie is pregnant , and she gives birth to triplets named Robert , Steven , and Charles . Although originally played by sets of uncredited twins , these babies were played uncredited by Guy , Gunnar , and Garth Swanson . The most familiar triplets in the show 's last two seasons are played by Michael , Daniel , and Joseph Todd . </t>
  </si>
  <si>
    <t xml:space="preserve">NBA Regular season records - wikipedia  NBA Regular season records  Jump to : navigation , search For NBA playoff and Finals records , see NBA post-season records . For NBA All - Star Game records , see NBA All - Star Game records .      This article needs additional citations for verification . Please help improve this article by adding citations to reliable sources . Unsourced material may be challenged and removed . ( January 2017 ) ( Learn how and when to remove this template message )    This is a dynamic list and may never be able to satisfy particular standards for completeness . You can help by expanding it with reliably sourced entries .  This article lists all - time records achieved in the NBA regular season in major statistical categories recognized by the league , including those set by teams and individuals in a game , season , and career . The NBA also recognizes records from its original incarnation , the Basketball Association of America ( BAA ) .     Contents  ( hide )   1 Regular season records   1.1 Game   1.2 Season   1.3 Career     2 Rookie and age - related records   3 Team records   3.1 Game   3.2 Season   3.3 Franchise     4 Other records   5 Awards   6 See also   7 Footnotes   8 References      Regular season records   Game    Most minutes in a game       69 by Dale Ellis , Seattle SuperSonics ( at Milwaukee Bucks ) on November 9 , 1989 ( 5 OT )       Most points in a game       100 by Wilt Chamberlain , Philadelphia Warriors ( vs. New York Knicks ) on March 2 , 1962       Most points in a half       59 by Wilt Chamberlain , Philadelphia Warriors ( vs. New York Knicks ) on March 2 , 1962 ( 2nd )       Most points in a quarter       37 by Klay Thompson , Golden State Warriors ( vs. Sacramento Kings ) on January 23 , 2015 ( 3rd )       Most points in an overtime period       16 by Gilbert Arenas , Washington Wizards ( vs. Los Angeles Lakers ) on December 17 , 2006       Most points in a triple - double       60 by James Harden , Houston Rockets ( vs. Orlando Magic ) on January 30 , 2018       Quickest to reach a triple - double       14 minutes and 33 seconds by Nikola Jokić , Denver Nuggets ( at Milwaukee Bucks ) on February 15 , 2018 .       Most field goals made in a game       36 by Wilt Chamberlain , Philadelphia Warriors ( vs. New York Knicks ) on March 2 , 1962       Most field goals attempted in a game       63 by Wilt Chamberlain , Philadelphia Warriors ( vs. New York Knicks ) on March 2 , 1962       Most field goals missed in a game       30 by Kobe Bryant , Los Angeles Lakers ( vs. Boston Celtics ) on November 7 , 2002       Most field goals made in a half       22 by Wilt Chamberlain , Philadelphia Warriors ( vs. New York Knicks ) on March 2 , 1962 ( 2nd )       Most field goals attempted in a half       37 by Wilt Chamberlain , Philadelphia Warriors ( vs. New York Knicks ) on March 2 , 1962 ( 2nd )       Most field goals made in a quarter       13 by David Thompson , Denver Nuggets ( vs. Detroit Pistons ) on April 9 , 1978 ( 1st )   13 by Klay Thompson , Golden State Warriors ( vs. Sacramento Kings ) on January 23 , 2015 ( 3rd )       Most field goals attempted in a quarter       21 by Wilt Chamberlain , Philadelphia Warriors ( vs. New York Knicks ) on March 2 , 1962 ( 4th )       Most field goals made in a game , no misses       18 by Wilt Chamberlain , Philadelphia 76ers ( vs. Baltimore Bullets ) on February 24 , 1967       Most field goals attempted in a game , none made       17 by Tim Hardaway , Golden State Warriors ( at Minnesota Timberwolves ) on December 27 , 1991       Most 3 - point field goals made in a game       13 by Stephen Curry , Golden State Warriors ( vs. New Orleans Pelicans ) on November 7 , 2016 ( 13 / 17 )       Most 3 - point field goals attempted in a game       22 by J.R. Smith , New York Knicks ( at Miami Heat ) on April 6 , 2014 ( 10 / 22 )       Most 3 - point field goals made in a game , no misses       9 by Latrell Sprewell , New York Knicks ( vs. Los Angeles Clippers ) on February 4 , 2003   9 by Ben Gordon , Chicago Bulls ( vs. Washington Wizards ) on April 14 , 2006   9 by Ben Gordon , Detroit Pistons ( at Denver Nuggets ) on March 21 , 2012       Most consecutive 3 - point field goals made to start a game       10 by Ty Lawson , Denver Nuggets ( vs. Minnesota Timberwolves ) on April 9 , 2011 ( 10 / 11 )       Most 3 - point field goals attempted in a game , none made       11 by Antoine Walker , Boston Celtics ( vs. Philadelphia 76ers ) on December 17 , 2001   11 by Trey Burke , Utah Jazz ( vs. Atlanta Hawks ) on January 2 , 2015   11 by Stephen Curry , Golden State Warriors ( vs. Philadelphia 76ers ) on February 27 , 2017       Most 3 - point field goals made in a half       10 by Chandler Parsons , Houston Rockets ( vs. Memphis Grizzlies ) on January 24 , 2014 ( 10 / 11 )       Most 3 - point field goals made in a quarter       9 by Klay Thompson , Golden State Warriors ( vs. Sacramento Kings ) on January 23 , 2015 ( 9 / 9 )       Most 3 - point field goals attempted in a quarter , no misses       9 by Klay Thompson , Golden State Warriors ( vs. Sacramento Kings ) on January 23 , 2015 ( 9 / 9 )       Most free throws made in a game       28 by Wilt Chamberlain , Philadelphia Warriors ( vs. New York Knicks ) on March 2 , 1962 ( 28 / 32 )   28 by Adrian Dantley , Utah Jazz ( vs. Houston Rockets ) on January 4 , 1984 ( 28 / 29 )       Most free throws made in a game , no misses       23 by Dominique Wilkins , Atlanta Hawks ( vs. Chicago Bulls ) on December 8 , 1992       Most consecutive free throws made in a game       24 by DeMar DeRozan , Toronto Raptors ( vs. Portland Trail Blazers ) on March 4 , 2016       Most free throws attempted in a game , none made       11 by Shaquille O'Neal , Los Angeles Lakers ( vs. Seattle SuperSonics ) on December 8 , 2000       Most free throws attempted in a game       39 by Dwight Howard , Orlando Magic ( vs. Golden State Warriors ) on January 12 , 2012 ( 21 / 39 )   39 by Dwight Howard , Los Angeles Lakers ( at Orlando Magic ) on March 12 , 2013 ( 25 / 39 )       Most free throws missed in a game       23 by Andre Drummond , Detroit Pistons ( at Houston Rockets ) on January 20 , 2016 ( 13 / 36 )       Most free throws made in a half       20 by Michael Jordan , Chicago Bulls ( vs. Miami Heat ) on December 30 , 1992       Most free throws attempted in a half       26 by Josh Smith , Houston Rockets ( vs. San Antonio Spurs ) on April 10 , 2015 ( 12 / 26 )       Most free throws made in a quarter       16 by Vince Carter , New Jersey Nets ( at Miami Heat ) on December 23 , 2005       Most free throws attempted in a quarter       24 by Ben Simmons , Philadelphia 76ers ( vs Washington Wizards ) on November 29 , 2017       Most rebounds in a game       55 by Wilt Chamberlain , Philadelphia Warriors ( vs. Boston Celtics ) on November 24 , 1960       Most rebounds in a half       32 by Bill Russell , Boston Celtics ( vs. Philadelphia Warriors ) on November 16 , 1957       Most rebounds in a quarter       18 by Nate Thurmond , San Francisco Warriors ( at Baltimore Bullets ) on February 28 , 1965       Most offensive rebounds in a game       21 by Moses Malone , Houston Rockets ( vs. Seattle SuperSonics ) on February 11 , 1982       Most defensive rebounds in a game       29 by Kareem Abdul - Jabbar , Los Angeles Lakers ( vs. Detroit Pistons ) on December 14 , 1975       Most offensive rebounds in a half       13 by Charles Barkley , Philadelphia 76ers ( vs. New York Knicks ) on March 4 , 1987       Most defensive rebounds in a half       18 by Swen Nater , San Diego Clippers ( vs. Denver Nuggets ) on December 14 , 1979       Most offensive rebounds in a quarter       11 by Charles Barkley , Philadelphia 76ers ( vs. New York Knicks ) on March 4 , 1987   11 by Larry Smith , Golden State Warriors ( vs. Denver Nuggets ) on March 23 , 1986       Most defensive rebounds in a quarter       13 by Happy Hairston , Los Angeles Lakers ( vs. Philadelphia 76ers ) on November 15 , 1974       Most assists in a game       30 by Scott Skiles , Orlando Magic ( vs. Denver Nuggets ) on December 30 , 1990       Most assists in a half       19 by Bob Cousy , Boston Celtics ( vs. Minneapolis Lakers ) on February 27 , 1959       Most assists in a quarter       14 by John Lucas , San Antonio Spurs ( vs. Denver Nuggets ) on April 15 , 1984   14 by Steve Blake , Portland Trail Blazers ( vs. Los Angeles Clippers ) on February 22 , 2009       Most steals in a game       11 by Larry Kenon , San Antonio Spurs ( at Kansas City Kings ) on December 26 , 1976   11 by Kendall Gill , New Jersey Nets ( vs. Miami Heat ) on April 3 , 1999       Most steals in a half       8 by Quinn Buckner , Milwaukee Bucks ( vs. New York Nets ) on November 27 , 1976   8 by Fred Brown , Seattle SuperSonics ( at Philadelphia 76ers ) on December 3 , 1976   8 by Gus Williams , Seattle SuperSonics ( at Washington Bullets ) on January 23 , 1979   8 by Eddie Jordan , New Jersey Nets ( at Chicago Bulls ) on October 23 , 1979   8 by Dudley Bradley , Indiana Pacers ( at Utah Jazz ) on November 10 , 1980   8 by Rob Williams , Denver Nuggets ( at New Jersey Nets ) on February 17 , 1983   8 by Fat Lever , Denver Nuggets ( vs. Indiana Pacers ) on March 9 , 1985   8 by Michael Jordan , Chicago Bulls ( at Boston Celtics ) on November 9 , 1988   8 by Clyde Drexler , Houston Rockets ( vs. Sacramento Kings ) on November 1 , 1996   8 by Doug Christie , Toronto Raptors ( at Philadelphia 76ers ) on April 2 , 1997   8 by Michael Finley , Dallas Mavericks ( vs. Philadelphia 76ers ) on January 23 , 2001   8 by Rafer Alston , Houston Rockets ( vs. Charlotte Bobcats ) on February 10 , 2007       Most steals in a quarter       8 by Fat Lever , Denver Nuggets ( vs. Indiana Pacers ) on March 9 , 1985       Most blocks in a game       17 by Elmore Smith , Los Angeles Lakers ( vs. Portland Trail Blazers ) on October 28 , 1973       Most blocks in a half       11 by Elmore Smith , Los Angeles Lakers ( vs. Portland Trail Blazers ) on October 28 , 1973   11 by George T. Johnson , San Antonio Spurs ( vs. Golden State Warriors ) on February 24 , 1981   11 by Manute Bol , Washington Bullets ( vs. Milwaukee Bucks ) on December 12 , 1985       Most blocks in a quarter       8 by Manute Bol , Washington Bullets ( vs. Milwaukee Bucks ) on December 12 , 1985   8 by Manute Bol , Washington Bullets ( vs. Indiana Pacers ) on February 26 , 1987   8 by Dikembe Mutombo , Philadelphia 76ers ( at Chicago Bulls ) on December 1 , 2001   8 by Erick Dampier , Golden State Warriors ( vs. Los Angeles Clippers ) on April 17 , 2002       Most turnovers in a game       14 by John Drew , Atlanta Hawks ( at New Jersey Nets ) on March 1 , 1978   14 by Jason Kidd , Phoenix Suns ( vs. New York Knicks ) on November 17 , 2000       Quickest disqualification       3 minutes by Bubba Wells , Dallas Mavericks ( vs. Chicago Bulls ) on December 29 , 1997      Season    Most games played       88 by Walt Bellamy , 1968 -- 69       Most minutes per game average       48.52 by Wilt Chamberlain , 1961 -- 62       Most minutes       3,882 by Wilt Chamberlain , 1961 -- 62       Highest points per game average       50.36 by Wilt Chamberlain , 1961 -- 62       Most points       4,029 by Wilt Chamberlain , 1961 -- 62       Most 50 - point games       45 by Wilt Chamberlain , 1961 -- 62       Most 40 - point games       63 by Wilt Chamberlain , 1961 -- 62       Most field goals made       1,597 by Wilt Chamberlain , 1961 -- 62       Most field goals attempted       3,159 by Wilt Chamberlain , 1961 -- 62       Most field goals missed       1,562 by Wilt Chamberlain , 1961 -- 62       Highest field goal percentage       72.7 % by Wilt Chamberlain , 1972 -- 73       Most free throws made       840 by Jerry West , 1965 -- 66       Most free throws attempted       1,363 by Wilt Chamberlain , 1961 -- 62       Highest free throw percentage       98.05 % by José Calderón , 2008 -- 09       Most 3 - point field goals made       402 by Stephen Curry , 2015 -- 16       Highest 3 - point field goals per game average       5.1 by Stephen Curry , 2015 -- 16       Most 3 - point field goals attempted       886 by Stephen Curry , 2015 -- 16       Highest 3 - point field goals attempted per game average       11.2 by Stephen Curry , 2015 -- 16       Highest 3 - point field goal percentage       53.6 % by Kyle Korver , 2009 -- 10       Highest rebounds per game average       27.2 by Wilt Chamberlain , 1960 -- 61       Most rebounds       2,149 by Wilt Chamberlain , 1960 -- 61       Highest defensive rebounds per game average       13.7 by Elvin Hayes , 1973 -- 74       Most defensive rebounds       1,111 by Kareem Abdul - Jabbar , 1975 -- 76       Highest offensive rebounds per game average       7.2 by Moses Malone , 1978 -- 79       Most offensive rebounds       587 by Moses Malone , 1978 -- 79       Highest assists per game average       14.54 by John Stockton , 1989 -- 90       Most assists       1164 by John Stockton , 1990 -- 91       Highest steals per game average       3.67 by Alvin Robertson , 1985 -- 86       Most steals       301 by Alvin Robertson , 1985 -- 86       Highest blocks per game average       5.56 by Mark Eaton , 1984 -- 85       Most blocks       456 by Mark Eaton , 1984 -- 85       Highest turnovers per game average       5.73 by James Harden , 2016 -- 17       Most turnovers       464 by James Harden , 2016 -- 17       Most personal fouls       386 by Darryl Dawkins , 1983 -- 84       Most technical fouls       41 by Rasheed Wallace , 2000 -- 01       Most disqualifications       26 by Don Meineke , 1952 -- 53       Most consecutive disqualifications       6 by Don Boven , 1951 -- 52       Triple - double per game average       Oscar Robertson : 30.8 points , 12.5 rebounds , and 11.4 assists , 1961 -- 62 .   Russell Westbrook : 31.6 points , 10.7 rebounds , and 10.4 assists , 2016 -- 17 .       Most triple - doubles       42 by Russell Westbrook , 2016 -- 17       Most consecutive triple - doubles       9 by Wilt Chamberlain , 1967 -- 68      Career    Most games       1,611 by Robert Parish       Most consecutive games       1,192 by A.C. Green       Most minutes per game       45.8 by Wilt Chamberlain       Most minutes       57,446 by Kareem Abdul - Jabbar       Highest points per game average       30.12 by Michael Jordan       Most points       38,387 by Kareem Abdul - Jabbar       Most seasons leading league in points       11 by Michael Jordan       Most seasons leading league in points per game       10 by Michael Jordan       Most consecutive seasons leading league in points       7 by Wilt Chamberlain ( 1959 -- 60 -- 1965 -- 66 ) and Michael Jordan ( 1986 -- 87 -- 1992 -- 93 )       Most 60 + point games       32 by Wilt Chamberlain       Most 50 + point games       118 by Wilt Chamberlain       Most 40 + point games       271 by Wilt Chamberlain       Most 30 + point games       562 by Michael Jordan       Most 20 + point games       1,134 by Karl Malone       Most 10 + point games       1,509 by Kareem Abdul - Jabbar       Most consecutive 50 + point games       7 by Wilt Chamberlain from December 16 -- 29 , 1961       Most consecutive 40 + point games       14 by Wilt Chamberlain from December 8 -- 30 , 1961 and January 11 -- February 1 , 1962       Most consecutive 30 + point games       65 by Wilt Chamberlain from November 4 , 1961 -- February 22 , 1962       Most consecutive 20 + point games       126 by Wilt Chamberlain from October 19 , 1961 -- January 19 , 1963       Most consecutive 10 + point games       866 by Michael Jordan from March 25 , 1986 -- December 26 , 2001       Most field goals made       15,837 by Kareem Abdul - Jabbar       Most field goals attempted       28,307 by Kareem Abdul - Jabbar       Most seasons leading league in field goals made       10 by Michael Jordan       Most consecutive seasons leading league in field goals made       7 by Wilt Chamberlain ( 1960 -- 66 ) and Michael Jordan ( 1987 -- 93 )       Most seasons leading league in field goals attempted       9 by Michael Jordan       Most consecutive seasons leading league in field goals attempted       7 by Wilt Chamberlain ( 1960 -- 66 )       Highest field goal percentage       59.9 % by Artis Gilmore       Most seasons leading league in field goal percentage       10 by Shaquille O'Neal       Most consecutive field goals made       35 by Wilt Chamberlain from February 17 -- 28 , 1967       Most consecutive games with a field goal made       1,360 by Tim Duncan from October 31 , 1997 to December 30 , 2015 .       Most seasons leading league in free throws made       8 by Karl Malone       Most consecutive free throws made       97 by Micheal Williams from March 24 -- November 9 , 1993       Most free throws made       9,787 by Karl Malone       Most free throws attempted       13,188 by Karl Malone       Most seasons leading league in free throws attempted       9 by Wilt Chamberlain       Highest free throw percentage       90.43 % by Steve Nash ( 3,060 / 3,384 )       Most seasons leading league in free throw percentage       7 by Bill Sharman       Most 3 - point field goals made       2,973 by Ray Allen       Most 3 - point field goals attempted       7,429 by Ray Allen       Highest 3 - point field goal percentage       45.4 % by Steve Kerr       Most seasons leading league in 3 - point percentage       4 by Kyle Korver       Most consecutive games with a 3 - point field goal made       157 by Stephen Curry from November 13 , 2014 -- November 4 , 2016 ( 73 in 2014 -- 15 ; 79 in 2015 -- 16 ; 5 in 2016 -- 17 )       Most consecutive 3 - point field goals made       13 by Brent Price from January 15 -- 19 , 1996 and Terry Mills from December 4 -- 7 , 1996       Most 50 -- 40 -- 90 seasons       4 by Steve Nash ( 2006 , 2008 -- 2010 )       Most rebounds       23,924 by Wilt Chamberlain       Highest rebounds per game average       22.9 by Wilt Chamberlain       Most seasons leading league in rebounds       11 by Wilt Chamberlain       Most consecutive seasons leading league in rebounds       7 by Dennis Rodman       Most offensive rebounds       6,731 by Moses Malone       Highest offensive rebounds per game average       5.1 by Moses Malone       Most seasons leading league in offensive rebounds       8 by Moses Malone       Most consecutive seasons leading league in offensive rebounds       6 by Moses Malone       Most defensive rebounds       11,453 by Kevin Garnett       Highest defensive rebounds per game average       9.8 by Dave Cowens       Most seasons leading league in defensive rebounds       6 by Dwight Howard ( 2007 -- 08 -- 2012 -- 13 )       Most consecutive seasons leading league in defensive rebounds       6 by Dwight Howard ( 2007 -- 08 -- 2012 -- 13 )       Most assists       15,806 by John Stockton       Most seasons leading league in assists       9 by John Stockton       Most consecutive seasons leading league in assists       9 by John Stockton ( 1988 -- 89 -- 1996 -- 97 )       Highest assists per game average       11.2 by Magic Johnson       Most steals       3,265 by John Stockton       Highest steals per game average       2.71 by Alvin Robertson       Most consecutive games with at least 1 steal       108 by Chris Paul       Most seasons leading league in steals       6 by Chris Paul ( 2007 -- 08 -- 2008 -- 09 , 2010 -- 11 -- 2013 -- 14 )       Most consecutive seasons leading league in steals       4 by Chris Paul ( 2010 -- 11 -- 2013 -- 14 )       Most blocks       3,830 by Hakeem Olajuwon       Highest blocks per game average       3.5 by Mark Eaton       Most seasons leading league in blocks       4 by Kareem Abdul - Jabbar , Mark Eaton , and Marcus Camby       Most consecutive seasons leading league in blocks       3 by Dikembe Mutombo and Marcus Camby       Most turnovers       4,524 by Karl Malone       Most triple - doubles       181 by Oscar Robertson       Most consecutive triple - doubles       9 by Wilt Chamberlain from March 8 -- 20 , 1968       Most personal fouls       4,657 by Kareem Abdul - Jabbar       Most disqualifications       127 by Vern Mikkelsen       Most technical fouls       304 by Rasheed Wallace      Rookie and age - related records   In 2006 , the NBA introduced age requirement restrictions . Prospective high school players must wait a year before entering the NBA , making age - related records harder to break .    Youngest player to be drafted       Andrew Bynum was the youngest player to be drafted in NBA history at 17 years and 249 days after the Los Angeles Lakers selected him as the 10th overall pick in the 2005 NBA draft . He made his debut at 18 years and 6 days and was also the youngest to ever play in the NBA .       Oldest player to be drafted       Bernard James was the oldest player to be drafted in NBA history at 27 years and 148 days after the Cleveland Cavaliers selected him as the 33rd overall pick in the 2012 NBA draft before trading his rights to the Dallas Mavericks . He made his debut at 27 years and 266 days .       Youngest player debut       Andrew Bynum was the youngest player to debut in NBA history at 18 years and 6 days on his first game with the Los Angeles Lakers against the Denver Nuggets on November 2 , 2005 .       Oldest player debut       Nat Hickey was the oldest player to debut in NBA history at 45 years and 362 days on his first game with the Providence Steamrollers against the St. Louis Bombers on January 27 , 1948 . He was the team 's coach and activated himself as a player . He only played 2 games .       Oldest NBA debut as a starter       Arvydas Sabonis was the oldest rookie as a starter in NBA history at 30 years and 319 days on his first game with the Portland Trail Blazers against the Vancouver Grizzles on November 3 , 1995 . He was drafted 24th overall during the 1986 NBA Draft but elected to play professionally in Europe for 9 years before officially entering the NBA .       Youngest NBA debut as a starter       LeBron James was the youngest rookie as a starter in NBA history at 18 years and 303 days on his first game with the Cleveland Cavaliers against the Sacramento Kings on October 29 , 2003 .       Youngest player to start a game       Kobe Bryant was the youngest player to start a game at 18 years , 158 days against the Dallas Mavericks on January 28 , 1997 .       Oldest player to play a game       Nat Hickey was the oldest player to play a game at 45 years , 363 days against the New York Knicks on January 28 , 1948 .       Oldest player to start a game       Robert Parish was the oldest player to start a game at 43 years , 118 days against the Atlanta Hawks on December 26 , 1996 .       Most points per game by a rookie       37.6 by Wilt Chamberlain , 1959 -- 60       Most rebounds per game by a rookie       27.0 by Wilt Chamberlain , 1959 -- 60       Most assists per game by a rookie       10.6 by Mark Jackson , 1987 -- 88       Most steals per game by a rookie       2.57 by Dudley Bradley , 1979 -- 80       Most blocks per game by a rookie       4.96 by Manute Bol , 1985 -- 86       Most points in a game by a rookie       58 by Wilt Chamberlain , Philadelphia Warriors ( vs. Detroit Pistons ) on January 25 , 1960   58 by Wilt Chamberlain , Philadelphia Warriors ( at New York Knicks ) on February 21 , 1960       Most rebounds in a game by a rookie       45 by Wilt Chamberlain , Philadelphia Warriors ( vs. Syracuse Nationals ) on February 6 , 1960       Most assists in a game by a rookie       25 by Ernie DiGregorio , Buffalo Braves ( at Portland Trail Blazers ) on January 1 , 1974   25 by Nate McMillan , Seattle SuperSonics ( vs. Los Angeles Clippers ) on February 23 , 1987       Most steals in a game by a rookie       10 by Ron Harper , Cleveland Cavaliers ( vs. Philadelphia 76ers ) on March 10 , 1987       Most blocks in a game by a rookie       15 by Manute Bol , Washington Bullets ( vs. Atlanta Hawks ) on January 25 , 1986       Most consecutive games with a 3 - point field goal made by a rookie       33 by Rudy Fernández , from December 7 , 2008 -- February 22 , 2009 .       Youngest / oldest player to score in a game       Andrew Bynum is the youngest to score in a game , doing so on November 20 , 2005 , 18 days after his debut , for the Los Angeles Lakers vs. the Chicago Bulls at the age of 18 years , 24 days . He had a total of 4 points with two free throws made and a field goal .   Nat Hickey is the oldest to score in a game , doing so on January 27 , 1948 for the Providence Steamrollers vs. the St. Louis Bombers at the age of 45 years , 363 days . He had a total of 2 points with two free throws made and no field goals . These are the only points recorded by Hickey in his entire NBA career .       Youngest / oldest player to record a triple - double       Lonzo Ball is the youngest , doing so on November 11 , 2017 for the Los Angeles Lakers vs. the Milwaukee Bucks at the age of 20 years , 15 days . He had 19 points , 12 rebounds and 13 assists .   Karl Malone is the oldest , doing so on November 28 , 2003 for the Los Angeles Lakers vs. the San Antonio Spurs at the age of 40 years , 127 days . He had 10 points , 11 rebounds and 10 assists .       Leading the league in scoring       Youngest : Kevin Durant , Oklahoma City Thunder ( 21 years , 197 days on April 14 , 2010 )   Oldest : Michael Jordan , Chicago Bulls ( 35 years , 61 days on April 19 , 1998 )       Leading the league in rebounding       Youngest : Dwight Howard , Orlando Magic ( 22 years , 130 days on April 16 , 2008 )   Oldest : Dennis Rodman , Chicago Bulls ( 36 years , 341 days on April 19 , 1998 )       Most consecutive games with 40 + points by a rookie       5 by Allen Iverson in 1997       Only players to average 20 + points , 5 + assists and 5 + rebounds as a rookie       Oscar Robertson ( 1960 -- 61 )   Michael Jordan ( 1984 -- 85 )   LeBron James ( 2003 -- 04 )   Tyreke Evans ( 2009 -- 10 )       Only player to average 30 + points and 20 + rebounds as a rookie       Wilt Chamberlain       Youngest / Oldest player to score 70 + points in a game       Youngest : Devin Booker is the youngest player to score 70 + points in a game , scoring 70 points for the Phoenix Suns vs. the Boston Celtics at the age of 20 years , 145 days .   Oldest : David Robinson is the oldest player to score 70 + points in a game , scoring 71 points for the San Antonio Spurs vs. the Los Angeles Clippers at the age of 28 years , 261 days .       Youngest / Oldest player to score 60 + points in a game       Youngest : Devin Booker is the youngest player to score 60 + points in a game , scoring 70 points for the Phoenix Suns vs. the Boston Celtics at the age of 20 years , 145 days .   Oldest : Kobe Bryant is the oldest player to score 60 + points in a game , scoring 60 points for the Los Angeles Lakers vs. the Utah Jazz at the age of 37 years , 234 days .       Youngest / Oldest player to score 50 + points in a game       Youngest : Brandon Jennings is the youngest player to score 50 + points in a game , scoring 55 points for the Milwaukee Bucks against the Golden State Warriors at the age of 20 years , 52 days .   Oldest : Michael Jordan is the oldest player to score 50 + points in a game , scoring 51 points for the Washington Wizards vs. the Charlotte Hornets at the age of 38 years , 315 days .       Youngest / Oldest player to score 40 + points in a game       Youngest : LeBron James is the youngest player to score 40 + points in a game , scoring 41 points for the Cleveland Cavaliers against the New Jersey Nets at the age of 19 years , 88 days .   Oldest : Michael Jordan is the oldest player and only 40 - year - old player to score 40 + points in a game , doing so with 43 points for the Washington Wizards vs. the New Jersey Nets at the age of 40 years , 4 days .       Youngest / Oldest player to score 30 + points in a game       Youngest : LeBron James is the youngest player to score 30 + points in a game , scoring 33 points for the Cleveland Cavaliers against the Memphis Grizzlies at the age of 18 years , 334 days .   Oldest : Michael Jordan is the oldest player to score 30 + points in a game , doing so with 39 points for the Washington Wizards vs. the New York Knicks at the age of 40 years , 20 days .       Youngest / Oldest player to score 20 + points in a game       Youngest : LeBron James is the youngest player to score 20 + points in a game , scoring 28 points for the Cleveland Cavaliers against the Washington Wizards at the age of 18 years , 324 days .   Oldest : Kareem Abdul - Jabbar is the oldest player to score 20 + points in a game , doing so with 21 points for the Los Angeles Lakers vs. the Houston Rockets at the age of 41 years , 331 days .       Youngest / Oldest player to score 30 + points in a game as a reserve       Youngest : Kobe Bryant is the youngest player to score 30 + while coming off the bench , he scored 30 points for the Los Angeles Lakers against the Dallas Mavericks at the age of 19 years , 113 days .   Oldest : Michael Jordan is the oldest player to score 30 + while coming off the bench , he scored 34 points for the Washington Wizards against the Milwaukee Bucks at the age of 39 years , 40 days .       Youngest / Oldest player to score 20 + points in a game as a reserve       Youngest : Jermaine O'Neal is the youngest player to score 20 + while coming off the bench , he scored 20 points for the Portland Trail Blazers against the Seattle SuperSonics at the age of 18 years , 101 days .   Oldest : Vince Carter is the oldest player to score 20 + while coming off the bench , he scored 21 points for the Sacramento Kings against the San Antonio Spurs at the age of 41 years , 2 days .       Youngest / Oldest player with 20 + rebounds in a game       Youngest : Dwight Howard is the youngest player to rebound 20 + in a game , he grabbed 20 rebounds for the Orlando Magic against the Toronto Raptors at the age of 18 years , 359 days .   Oldest : Dikembe Mutombo is the oldest player to rebound 20 + in a game , he grabbed 22 rebounds for the Houston Rockets against the Denver Nuggets at the age of 40 years , 250 days .       Youngest / Oldest player with 15 + rebounds in a game       Youngest : LeBron James is the youngest player to rebound 15 + in a game , he grabbed 16 rebounds for the Cleveland Cavaliers against the Memphis Grizzlies at the age of 18 years , 334 days .   Oldest : Dikembe Mutombo is the oldest player to rebound 15 + in a game , he grabbed 15 rebounds for the Houston Rockets against the Golden State Warriors at the age of 42 years , 289 days .       Youngest / Oldest player with 10 + rebounds in a game as a reserve       Youngest : Devin Booker is the youngest player to rebound 10 + in a game coming off the bench , he grabbed 10 rebounds for the Phoenix Suns against the Charlotte Hornets at the age of 19 years , 68 days .   Oldest : Kevin Willis is the oldest player to rebound 10 + in a game coming off the bench , he grabbed 10 rebounds for the Atlanta Hawks against the New York Knicks at the age of 42 years , 85 days .       Youngest / Oldest player with 10 + steals in a game       Youngest : Ron Harper is the youngest player with 10 + steals in a game , he had 10 steals for the Cleveland Cavaliers against the Philadelphia 76ers at the age of 23 years , 49 days .   Oldest : Jerry West is the oldest player with 10 + steals in a game , he had 10 steals for the Los Angeles Lakers against the Seattle Supersonics at the age of 35 years , 193 days .       Youngest / Oldest player with 20 + assists in a game       Youngest : Ennis Whatley is the youngest player with 20 + assists in a game , he had 22 assists for the Chicago Bulls against the New York Knicks at the age of 21 years , 156 days .   Oldest : Steve Nash is the oldest player with 20 + assists in a game , he had 20 assists for the Phoenix Suns against the Los Angeles Lakers at the age of 37 years , 43 days .       Youngest / Oldest player with 10 + assists in a game       Youngest : LeBron James is the youngest player with 10 + assists in a game , he had 13 assists for the Cleveland Cavaliers against the New Jersey Nets at the age of 19 years , 88 days .   Oldest : John Stockton is the oldest player with 10 + assists in a game , he had 10 assists for the Utah Jazz against the San Antonio Spurs at the age of 41 years , 19 days .       Youngest / Oldest player with 10 + blocks in a game       Youngest : Josh Smith is the youngest player with 10 + blocks in a game , he had 10 blocks for the Atlanta Hawks against the Dallas Mavericks at the age of 19 years , 13 days .   Oldest : Dikembe Mutombo is the oldest player with 10 + blocks in a game , he had 10 blocks for the New York Knicks against the New Jersey </t>
  </si>
  <si>
    <t xml:space="preserve">who hit the most 3 pointers in a nba game</t>
  </si>
  <si>
    <t xml:space="preserve">    13 by Stephen Curry , Golden State Warriors ( vs. New Orleans Pelicans ) on November 7 , 2016 ( 13 / 17 )    </t>
  </si>
  <si>
    <r>
      <rPr>
        <sz val="11"/>
        <color rgb="FF000000"/>
        <rFont val="Calibri"/>
        <family val="0"/>
        <charset val="1"/>
      </rPr>
      <t xml:space="preserve">Torrens title - wikipedia  Torrens title     Property law     Part of the common law series     Types       Real property   Personal property       Acquisition       Gift   Adverse possession   Deed   Conquest   Discovery   Accession   Lost , mislaid , and abandoned property   Treasure trove   Bailment   License   Alienation       Estates in land       Allodial title   Fee simple   Fee tail   Life estate   Defeasible estate   Future interest   remainder     Concurrent estate   Leasehold estate   Condominiums   Real estate       Conveyancing       Bona fide purchaser   Torrens title   Strata title   Deeds registration   Estoppel by deed   Quitclaim deed   Mortgage   Equitable conversion   Action to quiet title   Escheat       Future use control       Restraint on alienation   Rule against perpetuities   Rule in Shelley 's Case   Doctrine of worthier title       Nonpossessory interest       Lien   Easement   Profit   Usufruct   Covenant   Equitable servitude       Related topics       Fixtures   Waste   Partition   Practicing without a license   Property rights   Mineral rights   Water rights   prior appropriation   riparian     Lateral and subjacent support   Assignment   Nemo dat   Quicquid plantatur   Conflict of property laws   Blackacre   Security deposit       Other common law areas       Contract law   Tort law   Wills , trusts and estates   Criminal law   Evidence   Higher category : Law and Common law                 Torrens title is a land registration and land transfer system , in which a state creates and maintains a register of land holdings , which serves as the conclusive evidence ( termed `` indefeasibility '' ) of title of the person recorded on the register as the proprietor ( owner ) , and of all other interests recorded on the register . The interests that are not guaranteed are called `` paramount interests '' . Ownership of land is transferred by registration of a transfer of title , instead of by the use of deeds . The Registrar would provide a Certificate of Title to the new proprietor , which is merely a copy of the related folio of the register .   The main benefit of the system is to enhance certainty of title to land and to simplify dealings involving land . The system has been adopted by many countries , especially those in the Commonwealth of Nations , and has been extended to cover other interests , including credit interests ( such as mortgages ) , leaseholds and strata titles . The design and introduction in 1858 of the Torrens system in South Australia is generally attributed to Sir Robert Richard Torrens ( 1814 -- 31 August 1884 ) , who was Premier of the then colony , though some attribute the design to another .   Contents    1 Overview   2 Background   2.1 Common law   2.2 Deeds registration     3 Creation   4 Land register   5 Effect of registration   6 Indefeasibility of title   7 Adoption   7.1 Australia   7.2 Canada   7.3 Fiji   7.4 Dominican Republic   7.5 Ireland   7.6 Israel   7.7 Malaysia   7.8 New Zealand   7.9 Philippines   7.10 Russia   7.11 Singapore   7.12 Thailand   7.13 United States     8 See also   9 References    Overview ( edit )   The Torrens title system operates on the principle of `` title by registration '' ( granting the high indefeasibility of a registered ownership ) rather than `` registration of title '' . The system does away with the need for proving a chain of title ( i.e. tracing title through a series of documents ) . The State guarantees title and is usually supported by a compensation scheme for those who lose their title due to private fraud or error in the State 's operation .   In most jurisdictions , there will be parcels of land which are still unregistered .   The Torrens system works on three principles :    Mirror principle -- the register reflects ( mirrors ) accurately and completely the current facts about title to each registered lot . This means that each dealing affecting a lot ( such as a transfer of title , a mortgage or discharge of same , a lease , an easement or a covenant ) must be entered on the register and so be viewable by cheap online search .   Curtain principle -- one does not need to go behind the Certificate of Title as it contains all the information about the title . This means that ownership need not be proved by long complicated documents that are kept by the owner , as in the Private Conveyancing system . All of the necessary information regarding ownership is on the Certificate of Title .   Indemnity principle -- provides for compensation of loss caused by private fraud or by errors made by the Registrar of Titles .    Background ( edit )   Common law ( edit )   At common law , the vendor of land needs to show his or her ownership of the land by tracing the chain of ownership back to the earliest grant of land by the Crown to its first owner . The documents relating to transactions with the land are collectively known as the `` title deeds '' or the `` chain of title '' . This event may have occurred hundreds of years prior and could have had dozens of intervened changes in the land 's ownership . A person 's ownership over land could also be challenged , potentially causing great legal expense to land owners and hindering development .   Even an exhaustive title search of the chain of title would not give the purchaser complete security , largely because of the principle , nemo dat quod non habet ( `` no one gives what he does not have '' ) and the ever - present possibility of undetected outstanding interests . For example , in the UK Court of Chancery case Pilcher v Rawlins ( 1872 ) , the vendor conveyed the fee - simple estate to P1 , but retained the title deeds and fraudulently purported to convey the fee - simple estate to P2 . The latter could receive only the title retained by the vendor -- in short , nothing . However , the case was ultimately decided in favor of P2 , over P1 . The courts of equity could not bring themselves to decide against a totally innocent ( without notice ) purchaser .   The common - law position has been changed in minor respects by legislation designed to minimize the searches that should be undertaken by a prospective purchaser . In some jurisdictions , a limitation has been placed on the period of commencement of title a purchaser may require .   Deeds registration ( edit )   The effect of registration under the deeds registration system was to give the instrument registered `` priority '' over all instruments that are either unregistered or not registered until later . The basic difference between the deeds registration and Torrens systems is that the former involves registration of instruments while the latter involves registration of title .   Moreover , though a register of who owned what land was maintained , it was unreliable and could be challenged in the courts at any time . The limits of the deeds - registration system meant that transfers of land were slow , expensive , and often unable to create certain title .   Creation ( edit )  Under the system many maps showing Australian property boundaries need to be kept .  A boom in land speculation and a haphazard grant system resulted in the loss of over 75 % of the 40,000 land grants issued in the colony ( now state ) of South Australia in the early 1800s . To resolve the deficiencies of the common law and deeds registration system , Robert Torrens , a member of the colony 's House of Assembly , proposed a new title system in 1858 , and it was quickly adopted . The Torrens title system was based on a central registry of all the land in the jurisdiction of South Australia , embodied in the Real Property Act 1886 ( SA ) . All transfers of land are recorded in the register . Most importantly , ownership of the land is established by virtue of the owner 's name being recorded in the government 's register . The Torrens title also records easements and the creation and discharge of mortgages .   The historical origins of the Torrens title are a matter of considerable controversy . Torrens himself acknowledged adapting his proposals from earlier systems of transfer and registration , particularly the system of registration of merchant ships in the United Kingdom . The Prussian mortgage legislation also served as an example . James E. Hogg , in Australian Torrens System with Statutes ( 1905 ) , has shown that Torrens derived ideas from many other sources and that he received assistance from a number of persons within South Australia . Stanley Robinson , in Transfer of Land in Victoria ( 1979 ) has argued that Ulrich Hübbe , a German lawyer living in South Australia in the 1850s , made the most important single contribution by adapting principles borrowed from the Hanseatic registration system in Hamburg .   Nevertheless , it can not be denied that Torrens ' political activities were substantially responsible for securing acceptance of the new system in South Australia and eventually , in other Australian colonies and New Zealand . He oversaw the introduction of the system in the face of often - vicious attack from his opponents , many of whom were lawyers , who feared loss of work in conveyancing because of the introduction of a simple scheme . The Torrens system was also a marked departure from the common law of real property and its further development has been characterised by the reluctance of common - law judges to accept it .   Land register ( edit )       This section needs additional citations for verification . Please help improve this article by adding citations to reliable sources . Unsourced material may be challenged and removed . ( June 2016 ) ( Learn how and when to remove this template message )     The central aspect of the Torrens system is the land register , in which all dealings with land are recorded . The register may be a bound paper record , but today most registers are typically kept in a database .   On the first registration of land under the system , the land is given a unique number ( called a volume - folio number ) which identifies the land by reference to a registered plan . The folio records the dimensions of the land and its boundaries , the name of the registered owner , and any legal interests that affect title to the land . To change the boundaries of a parcel of land , a revised plan must be prepared and registered . Once registered , the land can not be withdrawn from the system .   A transfer of ownership of a parcel of land is effected by a change of the record on the register . The registrar has a duty to ensure that only legally valid changes are made to the register . To this end , the registrar will indicate what documentation he or she will require to be satisfied that there has in fact been a change of ownership . A change of ownership may come about because of a sale of the land , or the death of the registered owner , or as a result of a court order , to name only the most common ways that ownership may change . Similarly , any interest which affects or limits the ownership rights of the registered owner , such as a mortgage , can also be noted on the register . There are legal rules which regulate the rights and powers of each of these interests in relation to each other and in relation to third parties .   The State guarantees the accuracy of the register and undertakes to compensate those whose rights are adversely affected by an administrative error . Claims for compensation are very rare .   Effect of registration ( edit )       This section does not cite any sources . Please help improve this section by adding citations to reliable sources . Unsourced material may be challenged and removed . ( January 2013 ) ( Learn how and when to remove this template message )     The main difference between a common law title and a Torrens title is that a member of the general community , acting in good faith , can rely on the information on the land register as to the rights and interests of parties recorded there , and act on the basis of that information . A prospective purchaser , for example , is not required to look beyond that record . He or she does not need even to examine the Certificate of Title , the register information being paramount . This contrasts with a common law title , which is based on the principle that a vendor can not transfer to a purchaser a greater interest than he or she owns . As with a chain , the seller 's title is as good as the weakest link of the chain of title . Accordingly , if a vendor 's common law title is defective in any way , so would be the purchaser 's title . Hence , it is incumbent on the purchaser to ensure that the vendor 's title is beyond question . This may involve both inquiries and an examination of the chain of title , which can be a protracted and costly exercise each time there is a dealing in the property .   The registered proprietor of Torrens land is said to have an indefeasible title , which means that only in very limited circumstances ( see following ) can his or her title be challenged .   Indefeasibility of title ( edit )       This section needs additional citations for verification . Please help improve this article by adding citations to reliable sources . Unsourced material may be challenged and removed . ( June 2016 ) ( Learn how and when to remove this template message )     The register of titles is said to confer `` indefeasibility of title '' to the person or persons registered on the register as proprietor or joint proprietors of land . Although the concept of indefeasibility is similar to that of conclusive evidence , in practice there are some limitations to indefeasibility , and different jurisdictions have different laws and provisions .   For example , in the Australian state of Victoria , the Torrens system is manifested in the Transfer of Land Act 1958 ( Vic ) . Upon registration of an interest and subsequent recording on title of the interest , the registered owner 's claim to that interest is superior to all other claims other than those listed in s. 42 of that Act , which provides that the title of the registered interest holder is subject to , inter alia :    those listed on the title ,   those claiming the land on a prior folio ( s. 42 ( 1 ) ( a ) ) ,   where the land is included by wrong description on the part of the Registrar and the proprietor is not or has not derived title from a purchaser ' for value ' ( s. 42 ( 1 ) ( b ) ,   `` paramount interests '' ( s. 42 ( 2 ) ( a ) - ( f ) ) -- these interests , although even possibly unregistered , are ' superior ' to interests that are registered .    Additionally , there are other exceptions or circumstances that can defeat indefeasibility , such as :    fraud committed by the registered interest holder ( principle of immediate indefeasibility ) . See , for example , the New Zealand case of Efstratiou , Glantschnig , and Petrovic v Glantschnig ,   judicial action , where it can be shown that there was some contractual promise or undertaking by the registered party vis - à - vis the unregistered party ,   inconsistent legislation ( in which case the most recent legislation prevails ) ,   volunteer , where the registering party acquires the interest for no consideration ( e.g. bequeathed in a will ) . By contrast , in New South Wales volunteers are entitled to indefeasibility .    Adoption ( edit )   The adoption of the Torrens title registry throughout the British Commonwealth , and its legal context , was covered in depth by James Edward Hogg in 1920 .   Australia ( edit )  Main article : Australian property law  All Australian colonies ( now states and territories ) introduced the Torrens system between 1857 and 1875 . Since then , each state has maintained a land titles register of land in the state . The Torrens system did not replace the common law system but applied only to new land grants and to land that has been voluntarily registered under the relevant Act . The common law system continues to apply to all other private landholdings . Land in government hands is called crown land .   Canada ( edit )   The second Torrens jurisdiction in the world was established in 1861 in the then - British colony of Vancouver Island , now part of the Canadian province of British Columbia . Canada , through the federal Parliament in 1886 , implemented the Torrens system in the Northwest Territories . It has continued to be used by the three Prairie provinces ( Alberta , Saskatchewan and Manitoba ) into which the southern part of the Northwest Territories was divided . British Columbia uses a modified Torrens system . Since 1885 , Ontario has used an English system , which is not a Torrens system , but it has similar purposes . In Ontario , electronic registration led to this version covering almost all land , but the past deeds registration still governs some issues . For properties still under deeds registration , a 40 - year rule governed title , but the government converted them under a streamlined process . New Brunswick and Nova Scotia converted from a Deeds registration system to a Torrens title system in the 2000s , with the expense of the changeover charged to the purchaser . The only provinces in Canada which do not have Torrens titles include Newfoundland and Labrador , Prince Edward Island , and Quebec , which is a civil rather than common law jurisdiction and instead uses the cadastre system .   Fiji ( edit )   Fiji 's Torrens statute is the Land Transfer Act 1971 .   Dominican Republic ( edit )   The Dominican Republic has been using the Torrens Title System since 1920 . All of commercial property and most real estate within the main cities are registered and thus guaranteed under the system . An acceleration of registration for land in the rural areas is underway in the 21st century , to promote a more efficient and effective real estate market in the Dominican Republic .   Ireland ( edit )   Ireland first began to operate a Torrens Title system in 1892 . So - called registered land ( i.e. land held under a Torrens title ) is recorded in the Republic of Ireland using a system of numbered county - level folios . The land registry is operated by the Property Registration Authority , a government agency , and records both freehold and leasehold titles , along with easements / profits - a-prendre , mortgages , and any other charges over land . It is compulsory to create a folio in the land registry if land is sold / transferred / subdivided , multi-storey buildings are erected , or a new lease ( over five years ) is created . The vast majority of land in Ireland ( by acreage ) is held under Torrens title as compulsory registration in the land registry upon sale has been a requirement in rural areas for many years . Compulsory registration was extended to the ( more urban ) counties of Cork , Dublin , Galway , Limerick and Waterford in the last decade , thus extending mandatory Torrens title to every part of the Republic of Ireland .   Israel ( edit )  See also : Israeli land and property laws  A Torrens title system was implemented by the British in Mandatory Palestine , and continued to be used since Israel 's foundation in 1948 . As of 2016 , about 4 % of the country 's land area is still registered under a pre-Torrens , deeds registration system .   Malaysia ( edit )   Malaysia has adopted three versions of the Torrens system :    For Peninsular Malaysia , this is enacted in the National Land Code , Act 56 of 1965 .   For the state of Sarawak , this is enacted in the Sarawak Land Code , Chapter 81 of 1958 .   For the state of Sabah , this is enacted in the Land Ordinance ( Sabah Chapter 68 ) . Unlike the National Land Code and the Sarawak Land Code , the Land Ordinance ( Sabah Chapter 68 ) does not provide any indefeasibility of title .    New Zealand ( edit )   New Zealand adopted a similar system from 1870 . The Land Transfer ( Compulsory Registration of Titles ) Act 1924 brought most of the remaining land in the country under the Torrens system and by 1951 the register was considered complete , although small remnants of land may still exist under the deeds system . The Torrens system is now implemented by the Land Transfer Act 1952 . However , the implementation by the 1952 Act will soon be superseded by the Land Transfer Act 2017 .   Philippines ( edit )   The Torrens system was established in the Philippines on November 6 , 1902 by the enactment of Act No. 496 , `` The Land Registration Act '' , which was virtually identical to the Real Property Act of Massachusetts of 1898 .   Russia ( edit )   Russia adopted the Torrens system soon after the founding of the Soviet Union . Currently , the accounting and registration system for rights to immovable property in Russia is governed by two federal laws , which have adopted some of the elements and principles of the Torrens system . Accounting for land , buildings and natural sites is recorded in a database of real estate cadastre under federal law of 2007 No 221 - FZ `` On State Real Estate Cadastre '' . Transactions by the account holder of these facilities is recorded in another database : `` the Unified State Register of rights to immovable property and transactions with them '' on the basis of federal law of 1997 No 122 - FZ `` On State Registration of Rights to Real Estate and Transactions Therewith '' . Both laws established openness cadastre and registry information , and assigned to a single organization responsible for their management - Rosreestr . Entry in the Unified State Register of real property rights is a necessary and sufficient condition for the emergence of property rights to real estate . For information about the property , contained in the cadastre and registry , sufficiently detailed and structured cover most essential information about an object runs open cadastral map . With a fairly simple web forms can be found and read a part of the information on any object property . These laws are not , however , establish an immediate full liability of the state for the correctness of the information contained in databases . In 2015 , the State Duma has been registered a bill that covers public access to information about the owners of the property . The bill was supported by the Government . According to some experts , the restriction of information openness reduces the chances of identifying the public cases of illegal enrichment and increases business risks .   Singapore ( edit )   Singapore adopted a version of the Torrens system beginning in 1960 with the Land Titles Act , Chapter 157 . Conversion of all titles was completed in 2001 .   Thailand ( edit )   Thailand adopted the Torrens system in 1901 after King Chulalongkorn established The Royal Thai Survey Department , a Special Services Group of the Royal Thai Armed Forces , engaged in Cadastral survey , which is the survey of specific land parcels to define ownership for land registration , and for equitable taxation .   United states ( edit )   States with a limited implementation include Minnesota , Virginia , Massachusetts , Colorado , Georgia , Hawaii , New York , North Carolina , Ohio , and Washington .   The state of Illinois was the first state to adopt a Torrens Title Act , which used a limited Torrens system in Cook County after the Great Chicago Fire , however this system was allowed to expire on January 1 , 1992 , after it was found to be unpopular with lenders and other institutions .   See also ( edit )    Cadastre , the equivalent concept in the French civil law   Strata title , an enhancement of Torrens Title intended for apartment buildings and house - typed units .    References ( edit )    Jump up ^ A COMPARISON OF THE AUSTRALIAN ( ' TORRENS ' ) SYSTEM OF LAND REGISTRATION OF 1858 AND THE LAW OF HAMBURG IN THE 1850S   Jump up ^ Real Property Act 1900 ( NSW ) s 134 .   Jump up ^ Land &amp; Property Information . `` Land titles '' . Archived from the original on 2013 - 04 - 09 . Retrieved 2013 - 03 - 26 .   Jump up ^ Ruoff , Theodore B.F. ( 1957 ) . An Englishman looks at the Torrens system . Sydney : Law Book Company of Australasia Pty Ltd. p. 106 .   Jump up ^ The Law Reports ( of the Incorporated Council of Law Reporting ) : Equity Cases , Including Bankruptcy Cases , Before the Master of the Rolls , the Vice-chancellors , and the Chief Judge in Bankruptcy , Volume 11 , 1870 - 71 , 34 Vic , p. 52   Jump up ^ COURT OF APPEAL IN CHANCERY - PILCHER v. RAWLINS , 1872   Jump up ^ Pilcher v Rawlins ( 1872 ) 7 Ch App 259 , Court of Appeal , from Bradbrook , MacCallum and Moore , 2007 , Australian Property Law : Cases and Materials , Lawbook Co. , NSW   Jump up ^ Hoffmann Karl Bernhard Edler von , Deutsches Kolonialrecht , G.J. Göschen , Leipzig 1907 , page 121   Jump up ^ Real Property Amendment ( Compensation ) Act 2000 ( NSW ) s 129 .   Jump up ^ `` Torrens Title : Compensation for Loss '' ( PDF ) . Report 76 . NSW Law Reform Commission . 1996 . Appendix B .   Jump up ^ ( Black v Garnock ( 2007 ) HCA 31 , ( 2007 ) 230 CLR 438 at p 461 , High Court ( Australia ) .   Jump up ^ Bursill Enterprises Pty Ltd v Berger Bros Trading Co Pty Ltd ( 1971 ) HCA 9 , ( 1971 ) 124 CLR 73 , High Court ( Australia ) .   Jump up ^ Hogg , James Edward ( 1920 ) . Registration of title to land throughout the empire . A treatise on the law relating to warranty of title to land by registration and transactions with registered land in Australia , New Zealand , Canada , England , Ireland , West Indies , Malaya . &amp;c . : a sequel to `` The Australian Torrens System '' . Toronto : Carswell . p. 773 .   Jump up ^ Taylor , Greg ( 2008 ) . The Law of the Land : The Advent of the Torrens System in Canada . Toronto : University of Toronto Press for the Osgoode Society for Canadian Legal History . pp. 31 seq. , 221 . ISBN 9780802099136 .   Jump up ^ An Act respecting Real Property in the Territories , S.C. 1886 , c. 26 ; R.S.C. 1886 , c. 51 .   Jump up ^ Thom : `` Canadian Torrens System '' ( 1912 )   Jump up ^ It was based on the English Land Transfer Act 1875 ( see Brickdale and Sheldon , The Land Transfer Acts , 1875 and 1897 ) . The compensation section is based on the now superseded sections 144 and 145 of the Transfer of Land Act 1866 of the Australian state of Victoria .   Jump up ^ On the conversion , see John R. Wood , Understanding Electronic Registration : Rights of Way and Property Rights Generally , Carswell , ( 2014 ) 38 R.P.R. ( 5th ) 4 .   Jump up ^ D.H. Aiton : lians.ca : `` LAND TITLES - THE NEW BRUNSWICK INITIATIVE ''   Jump up ^ `` Nova Scotia Land Registry '' . Archived from the original on 2017 - 02 - 27 . Retrieved 2017 - 02 - 27 .   Jump up ^ `` Guzman Ariza Lawyers '' ( PDF ) .   Jump up ^ http://www.kptg.gov.my/sites/default/files/article/NLC1956DIGITAL-VER1.pdf   Jump up ^ http://ww2.sabah.gov.my/phb/wp-content/uploads/2011/05/LandOrdinance.pdf   Jump up ^ McAloon , Jim ( 24 Nov 2008 ) . `` Land ownership : Provincial administration of land '' . Te Ara -- the Encyclopedia of New Zealand . Retrieved 3 November 2016 .   Jump up ^ Hinde , G.W. , ed. ( 1971 ) . The New Zealand Torrens System Centennial Essays . Wellington : Butterworths . ISBN 0 - 409 - 63580 - 4 .   Jump up ^ McRae , J.A. ; Baldwin , A.J. ( 1997 ) . `` Title to land : its origins and development of the land transfer system '' . In Baldwin , J. Law For Surveyors . University of Otago / New Zealand Institute of Surveyors .   Jump up ^ `` Chapter 5 - Regulatory Reform and Property Rights in New Zealand '' . Learning from the Past , Adapting for the Future : Regulatory Reform in New Zealand . 2011 . Retrieved 3 December 2016 .   Jump up ^ http://www.legislation.govt.nz/act/public/2017/0030/latest/whole.html   Jump up ^ Gamsby , Perry . Philippines Property Primer . Lulu.com . p. 29 . ISBN 978 - 0 - 9806346 - 5 - 5 .   Jump up ^ `` Act No. 496 '' . Department of Agrarian Reform , Republic of the Philippines .   Jump up ^ Покровский И . А . `` Основные проблемы гражданского права , глава 11 '' . Петроград , `` Право '' , 1917 год . Archived from the original on 2016 - 10 - 14 .   Jump up ^ 221 - ФЗ `` О государственном кадастре недвижимости '' ( с изменениями )   Jump up ^ 122 - ФЗ `` О государственной регистрации прав на недвижимое имущество и сделок с ним '' ( с изменениями )   Jump up ^ Публичная кадастровая карта Росреестра   Jump up ^ Справочная информация по объектам недвижимости в режиме online   Jump up ^ `` ФСБ предлагает засекретить информацию о владельцах недвижимости в России '' . РБК. 2015 - 07 - 10 . Retrieved 2015 - 07 - 18 .   Jump up ^ Павел Чернышов ( 2015 - 10 - 06 ) . `` Секретность коррупцию не задавит '' . Газета. Ру . Retrieved 2015 - 10 - 10 .   Jump up ^ Дмитрий Коптюбенко , Елена Малышева , Яна Милюкова , Светлана Бочарова ( 2015 - 07 - 10 ) . `` ФСБ поможет чиновникам засекретить свою недвижимость '' . РБК . Retrieved 2015 - 07 - 18 . CS1 maint : Multiple names : authors list ( link )   Jump up ^ `` Singapore Statutes Online - Results '' .   Jump up ^ `` Singapore Land Authority &gt; News '' . www.sla.gov.sg . Retrieved 2017 - 09 - 05 .   Jump up ^ Giblin , R.W. ( 1908 ) . `` Royal Survey Work . '' . In Wright , Arnold ; Breakspear , Oliver T. ' Twentieth century impressions of Siam ' ( Lloyds Greater Britain Publishing Company , London , 2008 ) pp. 121 -- 127   Jump up ^ `` Minnesota Revisor of Statutes Chapter 508 '' .   Jump up ^ `` Virginia Law LIS 55 - 112 '' .   Jump up ^ `` Recorded Land and Registered Land in Massachusetts Deeds.com '' . www.deeds.com . Retrieved 2017 - 12 - 09 .   ^ Jump up to : Galaty , Fillmore W. ; Allaway , Wellington J. ; Kyle , Robert C. ( 2017 ) . Modern Real Estate Practice in Ohio ( 9th ed . ) . U.S. : Dearborn Real Estate Education . p. 90 . ISBN 978 - 1 - 4754 - 3375 - 3 .   Jump up ^ Perry , Shaun Watchie ( August 2005 ) . `` Outline of the Torrens Act '' . American Bar Association . American Bar Association . Retrieved 22 May 2017 .   Jump up ^ Lucas , Scott M. ; Redford , Shaun D. ; Rubi , Jackie ( 02 / 12 / 2015 ) . `` A Torrens Law Primer '' ( PDF ) . Minnesota &amp; Wisconsin Real Estate Attorneys . Olson &amp; Lucas , PA . p. 3 . Retrieved 4 May 2018 . Check date values in : date = ( help )   Jump up ^ `` The Torrens System Expires '' . tribunedigital - chicagotribune . Retrieved 2017 - 08 - 22 .   Retrieved from `` https://en.wikipedia.org/w/index.php?title=Torrens_title&amp;oldid=862701733 '' Categories :   Real property law   Property law   Real estate   Property law of New Zealand   Australian property law   History of South Australia   Hidden categories :   CS1 maint : Multiple names : authors list   CS1 errors : dates   All articles with unsourced statements   Articles with unsourced statements from January 2013   Articles needing additional references from June 2016   All articles needing additional references   Articles needing additional references from January 2013           Talk                                           Contents                   About Wikipedia                                           Català   Español   </t>
    </r>
    <r>
      <rPr>
        <sz val="11"/>
        <color rgb="FF000000"/>
        <rFont val="Noto Sans CJK SC"/>
        <family val="2"/>
      </rPr>
      <t xml:space="preserve">한국어   </t>
    </r>
    <r>
      <rPr>
        <sz val="11"/>
        <color rgb="FF000000"/>
        <rFont val="Calibri"/>
        <family val="0"/>
        <charset val="1"/>
      </rPr>
      <t xml:space="preserve">עברית   Kiswahili   </t>
    </r>
    <r>
      <rPr>
        <sz val="11"/>
        <color rgb="FF000000"/>
        <rFont val="Noto Sans CJK SC"/>
        <family val="2"/>
      </rPr>
      <t xml:space="preserve">日本 語   </t>
    </r>
    <r>
      <rPr>
        <sz val="11"/>
        <color rgb="FF000000"/>
        <rFont val="Calibri"/>
        <family val="0"/>
        <charset val="1"/>
      </rPr>
      <t xml:space="preserve">Русский   Edit links   This page was last edited on 6 October 2018 , at 03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</si>
  <si>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most common system of land title in australia</t>
  </si>
  <si>
    <t xml:space="preserve"> Torrens title is a land registration and land transfer system , in which a state creates and maintains a register of land holdings , which serves as the conclusive evidence ( termed `` indefeasibility '' ) of title of the person recorded on the register as the proprietor ( owner ) , and of all other interests recorded on the register . The interests that are not guaranteed are called `` paramount interests '' . Ownership of land is transferred by registration of a transfer of title , instead of by the use of deeds . The Registrar would provide a Certificate of Title to the new proprietor , which is merely a copy of the related folio of the register . </t>
  </si>
  <si>
    <t xml:space="preserve">The Load - Out - wikipedia  The Load - Out  Jump to : navigation , search    `` The Load - Out ''     Side - B label of the 1978 commercial single , `` Stay ''     Song by Jackson Browne     from the album Running on Empty     A-side   `` Stay ''     Released   December 1977     Format   7 `` ; 12 '' promotional single     Recorded   Merriweather Post Pavilion , Columbia , Maryland August 27 , 1977     Length   5 : 38 album version , 8 : 51 DJ promo version in medley with `` Stay ''     Label   Asylum / Elektra     Songwriter ( s )   Jackson Browne Bryan Garofalo     Producer ( s )   Jackson Browne         Running on Empty track listing        `` Nothing but Time '' ( 8 )   `` The Load - Out '' ( 9 )   `` Stay '' ( 10 )            `` The Load - Out '' is a song co-written and performed live by Jackson Browne from his 1977 album Running on Empty . It is a tribute to his roadies and fans . The song was recorded live at Merriweather Post Pavilion in Columbia , Maryland on August 27 , 1977 , as part of the tour in support of the album The Pretender .     Contents  ( hide )   1 History   2 Reaction   3 Chart positions   4 Notes      History ( edit )   `` The Load - Out '' describes the daily practices of a band and its road crew on a concert tour , and the emotions evoked throughout such an endeavor . The first three verses of the song consist of Browne singing and playing piano with David Lindley playing steel guitar . They are later joined by a synthesizer , followed by the rest of the band . Eventually `` The Load - Out '' segues into an interpretation of Maurice Williams ' 1960 hit `` Stay , '' sung by Browne , Rosemary Butler , and Lindley . It is Lindley who sings the falsetto .   Many radio stations played `` The Load - Out '' and `` Stay '' together as a medley , and , although it was n't released as a single to the public initially ( `` Rosie '' was the original B - side to `` Stay '' ) , `` The Load - Out '' charted as a tag - along to `` Stay '' on the Billboard Hot 100 singles charts , based on airplay . `` Stay '' debuted on the Hot 100 on June 10 , 1978 as a sole A-side , but was listed along with `` The Load - Out '' on the chart beginning with the August 5 , 1978 chart for eight weeks , both showing a peak at # 20 . `` Stay '' stayed on the Hot 100 for a total of fifteen weeks .   Reaction ( edit )   In his March 9 , 1978 , Rolling Stone review of the Running on Empty album , Paul Nelson discussed the song in the context of the album 's `` consciously created documentary , '' and reviewed the song 's significance placed as its finale . The `` Load - Out / Stay '' medley , he claimed , was `` worthy of such earlier '' Browne album - closing `` anthems as ' For Everyman , ' ' Before the Deluge ' and ' The Pretender . ' ' The Load - Out ' is Jackson Browne 's tribute to and summation of every aspect of live performance : the cheering audience out front , the band playing hard - nosed rock &amp; roll , the backstage crew loading up the trucks -- and , always , the road to the next town . Packed to capacity with the data of first - rate reporting and with music so warm and soaring it belies the album 's title , this song flows triumphantly into ' Stay , ' where Browne tells us he does n't ever want it to end . ''   In an essay for the 2005 Rhino Records reissue of the album , critic Anthony DeCurtis wrote that one of the major themes of the album is how `` the joy of performing before an audience lends a purpose to everything that happens - the good and the bad - behind the scene . '' That theme , he wrote , is expressed `` eloquently in the easy rolling transition from the wistful regret of `` The Load - Out '' to the smile - inducing high jinks of `` Stay . ''   In 1981 , Austrian singer - songwriter Georg Danzer recorded a German cover version of this song titled Roadie - Lied .   The final episode of the 2016 television series Roadies was named after the song , and featured a live performance of it by Browne .   Chart positions ( edit )     Chart ( 1978 )   Peak position     U.S. Billboard Hot 100   20     Notes ( edit )    Jump up ^ `` The Load - Out / Stay '' BBC Live in London , 1978 . ( with subtitles ) on YouTube . Retrieved July 9 , 2012 .   Jump up ^ Paris , Russ . Jackson Browne Fan Page Discography Accessed July 9 , 2012 .   Jump up ^ Top 40 Music On CD.com Accessed July 9 , 2012 .   Jump up ^ Jackson Browne Chart History . Billboard   Jump up ^ Whitburn , Joel . Billboard Hot 100 Charts - The Seventies . Wisconsin : Record Research , 1990 .   Jump up ^ Nelson , Paul . Running on Empty Rolling Stone , March 9 , 1978 . Accessed July 9 , 2012 .   Jump up ^ DeCurtis , Anthony . `` Making the Road His Own : Jackson Browne 's Running On Empty '' Running on Empty Elektra / Rhino remastered edition , 2005 .      ( hide )         Jackson Browne     Studio albums     Jackson Browne   For Everyman   Late for the Sky   The Pretender   Hold Out   Lawyers in Love   Lives in the Balance   World in Motion   I 'm Alive   Looking East   The Naked Ride Home   Time the Conqueror   Standing in the Breach       Live albums     Running on Empty   Solo Acoustic , Vol. 1   Solo Acoustic , Vol. 2   Love Is Strange : En Vivo Con Tino       Compilations     The Next Voice You Hear : The Best of Jackson Browne   The Very Best of Jackson Browne       Singles     `` Doctor My Eyes ''   `` Rock Me on the Water ''   `` Redneck Friend ''   `` Take It Easy ''   `` Walking Slow ''   `` Fountain of Sorrow ''   `` Here Come Those Tears Again ''   `` The Pretender ''   `` Running on Empty ''   `` The Load - Out / Stay ''   `` You Love the Thunder   `` Boulevard ''   `` That Girl Could Sing ''   `` Hold On Hold Out ''   `` Somebody 's Baby ''   `` Lawyers in Love ''   `` Tender Is the Night ''   `` For a Rocker ''   `` You 're a Friend of Mine ''   `` For America ''   `` In the Shape of a Heart ''   `` Lives in the Balance ''   `` I 'm Alive ''       Related articles     Discography   Groove Masters Studios   `` Song for Adam ''   `` The Birds of St. Marks ''   `` Jamaica Say You Will ''   `` These Days ''   `` For Everyman ''   Looking Into You : A Tribute to Jackson Browne      Retrieved from `` https://en.wikipedia.org/w/index.php?title=The_Load-Out&amp;oldid=817942820 '' Categories :   1977 songs   Jackson Browne songs   Live singles   Songs written by Jackson Browne   Songs about touring   Hidden categories :   Music infoboxes with deprecated parameters   Articles with hAudio microformats           Talk                                           Contents                   About Wikipedia                                           Nederlands   Edit links   This page was last edited on 31 December 2017 , at 13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</si>
  <si>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with jackson brown on the load out</t>
  </si>
  <si>
    <t xml:space="preserve"> `` The Load - Out '' describes the daily practices of a band and its road crew on a concert tour , and the emotions evoked throughout such an endeavor . The first three verses of the song consist of Browne singing and playing piano with David Lindley playing steel guitar . They are later joined by a synthesizer , followed by the rest of the band . Eventually `` The Load - Out '' segues into an interpretation of Maurice Williams ' 1960 hit `` Stay , '' sung by Browne , Rosemary Butler , and Lindley . It is Lindley who sings the falsetto . </t>
  </si>
  <si>
    <t xml:space="preserve">List of Twenty20 International records - wikipedia  List of Twenty20 International records  Jump to : navigation , search  This article contains records for men 's Twenty20 Internationals .  Shahid Afridi has played the most matches and is the highest wicket - taker in T20I cricket . T20I World Record Team Total scoreboard    Contents  ( hide )   1 Listing notation   2 Team records   2.1 Overall results   2.2 Highest innings totals   2.3 Highest successful chases   2.4 Lowest innings totals   2.5 Highest margin of victory ( by runs )   2.6 Highest margin of victory ( by balls remaining )   2.7 Highest margin of victory ( by wickets )   2.8 Smallest margin of victory ( by runs )   2.9 Smallest margin of victory ( by wickets )   2.10 Tied matches   2.11 Most consecutive wins by a team   2.12 Most consecutive defeats   2.13 Most sixes in an innings   2.14 Most fours in an innings   2.15 Most sixes in a match   2.16 Highest aggregate runs in a single match   2.17 Most fours in a match     3 Individual records ( batting )   3.1 Most career runs   3.2 Most runs in a calendar year   3.3 Most 50 + Scores   3.4 Highest career strike rate   3.5 Highest career average   3.6 Most career ducks   3.7 Most career sixes   3.8 Most career fours   3.9 Highest individual score   3.10 Highest individual score ( by batting position )   3.11 Fastest 50   3.12 Fastest 100   3.13 Most sixes in an innings   3.14 Most fours in an innings   3.15 Most runs off an over     4 Individual records ( bowling )   4.1 Most wickets in a career   4.2 Most wickets in a calendar year   4.3 Most four - wickets - in - an - innings ( and over ) in a career   4.4 Best career economy rate   4.5 Best career strike rate   4.6 Best career averages   4.7 Best figures in a match   4.8 Most runs conceded in an innings   4.9 Hat - tricks   4.10 Individual records ( fielding )   4.10. 1 Most catches in T20I career     4.11 Individual records ( Wicket - Keeper )   4.11. 1 Most dismissals in career   4.11. 2 Most catches in career   4.11. 3 Most stumpings in career       5 Individual records ( others )   5.1 Most matches played in career   5.2 Most matches as a captain   5.3 Most matches as an umpire   5.4 Most matches as a match referee   5.5 Most Player - of - the Match Awards     6 Partnership records   6.1 Highest overall partnership runs by a pair   6.2 Highest partnerships ( any wicket )   6.3 Highest partnerships ( by wicket )     7 See also   8 References      Listing notation ( edit )   Team notatioam scored 100 runs for three wickets and the innings was closed , either due to a successful run chase or if no overs remained ( or are able ) to be bowled .    ( 100 ) indicates that a team scored 100 runs and was all out , either by losing all ten wickets or by having one or more batsmen unable to bat and losing the remaining wickets .    Batting notation    ( 100 * ) indicates a batsman scored 100 runs and was not out .   ( 75 ) indicates that a batsman scored 75 runs and was out after that .    Bowling notation    ( 5 / 40 ) indicates that a bowler has captured 5 wickets while giving away 40 runs .   ( 19.5 overs ) indicates that a team bowled 19 complete overs ( each of six legal deliveries ) , and one incomplete over of just five deliveries .    Currently playing    Record holders who are currently playing T20Is ( i.e. their record details listed could change ) are shown by .    Team records ( edit )   Overall results ( edit )     Team   Mat   Won   Lost   Tie + W   Tie + L   NR   Win %     Afghanistan   61   34   22   0   0   0   63.93     Australia   95   48   44   0       52.12     Bangladesh   69   21   46   0   0     31.34     Bermuda     0     0   0   0   0.00     Canada   19     14   0     0   23.68     England   96   46   45     0     50.54     Hong Kong   24   10   14   0   0   0   41.66     India   91   55   33     0     62.35     Ireland   61   26   29   0   0   6   47.27     Kenya   29   10   19   0   0   0   34.48     Nepal   11     8   0   0   0   27.27     Netherlands   45   24   19   0   0     55.81     New Zealand   100   50   43         53.57     Oman   17   5   11   0   0     31.25     Pakistan   120   72   45       0   61.25     Papua New Guinea   9     6   0   0   0   33.33     Scotland   44   18   23   0   0     43.90     South Africa   100   59   40   0   0     59.59     Sri Lanka   101   51   48     0     51.50     United Arab Emirates   26   9   17   0   0   0   34.61     West Indies   91   45   40         52.84     World XI         0   0   0   33.33     Zimbabwe   54   13   40     0   0   25.00      The result percentage excludes no results and counts ties ( irrespective of a tiebreaker ) as half a win . Last updated : 22 December 2017      Highest innings totals ( edit )     Score   Batting team   Opposition   Venue   Date   Scorecard     263 / 3 ( 20.0 overs )   Australia   Sri Lanka   Pallekele   6 September 2016   Scorecard     260 / 5 ( 20.0 overs )   India   Sri Lanka   Indore   22 December 2017   Scorecard     260 / 6 ( 20.0 overs )   Sri Lanka   Kenya   Johannesburg   14 September 2007   Scorecard     248 / 6 ( 20.0 overs )   Australia   England   Southampton   29 August 2013   Scorecard     245 / 6 ( 20.0 overs )   West Indies   India   Lauderhill   27 August 2016   Scorecard     Updated : 22 December 2017     Highest successful chases ( edit )     Score   Batting team   Opposition   Venue   Date   Scorecard     236 / 6 ( 19.2 overs )   West Indies   South Africa   Johannesburg   11 January 2015   Scorecard     230 / 8 ( 19.4 overs )   England   South Africa   Mumbai   18 March 2016   Scorecard     211 / 4 ( 19.2 overs )   India   Sri Lanka   Mohali   12 December 2009   Scorecard     208 / 2 ( 17.4 overs )   South Africa   West Indies   Johannesburg   11 September 2007   Scorecard     205 / 5 ( 20.0 overs )   Australia   South Africa   Johannesburg   6 March 2016   Scorecard     Updated : 12 March 2017     Lowest innings totals ( edit )     Score   Batting team   Opposition   Venue   Date   Scorecard     39 ( 10.3 overs )   Netherlands   Sri Lanka   Chittagong   24 March 2014   Scorecard     53 ( 14.3 overs )   Nepal   Ireland   Belfast   13 July 2015   Scorecard     56 ( 18.4 overs )   Kenya   Afghanistan   Sharjah   30 September 2013   Scorecard     57 ( 19.3 overs )   New Zealand   Sri Lanka   Chittagong   31 March 2014   Scorecard     67 ( 17.2 overs )   Kenya   Ireland   Belfast   4 August 2008   Scorecard      Qualification : Only completed innings in matches that did not have overs reduced are included . Updated : 12 March 2017    If the qualification is removed , there are 14 innings that have scores lower than the 39 scored by the Netherlands . Six of those innings were 0 / 0 ( 0 overs ) , of which four came in matches abandoned with a toss and two were in no results .   The lowest innings total that a team has scored in a loss is 29 / 1 by Zimbabwe . Batting second , Zimbabwe were chasing a total of 174 which was set by Sri Lanka . After 5 overs were completed in Zimbabwe 's innings , rain interrupted play with Zimbabwe at 29 / 1 . With no further play possible , the par score was calculated and Zimbabwe were adjudged to be short by 14 runs .   The lowest innings total that a team has scored in a win is 36 / 1 by New Zealand against Zimbabwe . Batting second , New Zealand were chasing a total of 85 when after 8.1 overs were completed , rain prevented any further play from occurring . The par score was calculated and New Zealand were adjudged to be ahead by 7 runs .   The lowest innings total that a team has scored after batting 20 overs is 70 by Bermuda against Canada . Canada went on to win the match by 8 wickets .       Highest margin of victory ( by runs ) ( edit )     Margin   Teams   Venue   Date   Scorecard     172 runs   Sri Lanka ( 260 / 6 ) beat Kenya ( 88 )   Johannesburg   14 September 2007   Scorecard     130 runs   South Africa ( 211 / 5 ) beat Scotland ( 81 )   London ( Oval )   7 June 2009   Scorecard     119 runs   New Zealand ( 243 / 5 ) beat West Indies ( 124 )   Mount Maunganui   3 January 2018   Scorecard     116 runs   England ( 196 / 5 ) beat Afghanistan ( 80 )   Colombo ( RPS )   21 September 2012   Scorecard     109 runs   Zimbabwe ( 184 / 5 ) beat Canada ( 75 )   King City   13 October 2008   Scorecard      Updated : 3 January 2018      Highest margin of victory ( by balls remaining ) ( edit )     Balls Rem   Teams   Venue   Date   Scorecard     90 balls   Sri Lanka ( 40 / 1 ) beat Netherlands ( 39 )   Chittagong   24 March 2014   Scorecard     76 balls   Ireland ( 72 / 0 ) beat Kenya ( 71 )   Dubai ( DSC )   14 March 2012   Scorecard     74 balls   New Zealand ( 74 / 1 ) beat Kenya ( 73 )   Durban   12 September 2007   Scorecard     73 balls   Afghanistan ( 75 / 0 ) beat Ireland ( 71 )   Dubai   20 January 2017   Scorecard     72 balls   Ireland ( 54 / 2 ) beat Nepal ( 53 )   Belfast   13 July 2015   Scorecard      Updated : 12 March 2017      Highest margin of victory ( by wickets ) ( edit )     Margin   Teams   Venue   Date   Scorecard     10 wickets   New Zealand ( 171 / 0 ) beat Pakistan ( 168 / 7 )   Hamilton   17 January 2016    http://www.espncricinfo.com/series/11180/scorecard/914223      10 wickets   South Africa ( 132 / 0 ) beat Pakistan ( 129 / 8 )   Johannesburg   2 February 2007   Scorecard     10 wickets   Australia ( 102 / 0 ) beat Sri Lanka ( 101 )   Cape Town   20 September 2007   Scorecard     10 wickets   Kenya ( 110 / 0 ) beat Scotland ( 109 / 9 )   Nairobi ( Gym )   1 February 2010   Scorecard     10 wickets   New Zealand ( 79 / 0 ) beat Bangladesh ( 78 )   Hamilton   3 February 2010   Scorecard     10 wickets   Kenya ( 126 / 0 ) beat Scotland ( 123 )   Nairobi ( Gym )   4 February 2010   Scorecard      Updated : 12 March 2017      Smallest margin of victory ( by runs ) ( edit )     Margin   Teams   Venue   Date   Scorecard     1 run   West Indies ( 245 / 6 ) beat India ( 244 / 4 )   Florida   27 August 2016   Scorecard     1 run   India ( 146 / 7 ) beat Bangladesh ( 145 / 9 )   Bengaluru   23 March 2016   Scorecard     1 run   Australia ( 150 / 7 ) beat New Zealand ( 149 / 5 )   Sydney   15 February 2009   Scorecard     1 run   South Africa ( 128 / 7 ) beat New Zealand ( 127 / 5 )   Lord 's   9 June 2009   Scorecard     1 run   England ( 202 / 6 ) beat South Africa ( 127 / 3 )   Johannesburg   13 November 2009   Scorecard     1 run   New Zealand ( 133 / 7 ) beat Pakistan ( 132 / 7 )   Bridgetown   8 May 2010   Scorecard     1 run   South Africa ( 120 / 7 ) beat West Indies ( 119 / 7 )   North Sound   20 May 2010   Scorecard      Updated : 27 August 2016 ^ ( a ) Rain interrupted play in South Africa 's innings with South Africa having scored 127 / 3 after 13 overs . The par score at this point was 128 . Rain prevented the match from resuming and England won by 1 run .      Smallest margin of victory ( by wickets ) ( edit )     Margin   Teams   Venue   Date   Scorecard     1 wicket   England ( 158 / 9 ) beat Australia ( 157 / 4 )   Adelaide   12 January 2011   Scorecard     1 wicket   Netherlands ( 131 / 9 ) beat Kenya ( 128 )   The Hague   26 July 2012   Scorecard     1 wicket   Pakistan ( 174 / 9 ) beat Sri Lanka ( 172 / 7 )   Colombo ( RPS )   1 August 2015   Scorecard      Updated : 3 April 2016      Tied matches ( edit )  See also : List of tied Twenty20 Internationals    Teams   Tie Break   Venue   Date   Scorecard     West Indies ( 126 / 8 ) tied New Zealand ( 126 / 7 )   New Zealand won bowl - out   Auckland   16 February 2006   Scorecard     India ( 141 / 9 ) tied Pakistan ( 141 / 7 )   India won bowl - out   Durban   14 September 2007   Scorecard     Canada ( 135 / 7 ) tied Zimbabwe ( 135 / 9 )   Zimbabwe won bowl - out   King City   11 October 2008   Scorecard     West Indies ( 155 / 8 ) tied New Zealand ( 155 / 7 )   West Indies won Super Over   Auckland   26 December 2008   Scorecard     Australia ( 214 / 4 ) tied New Zealand ( 214 / 6 )   New Zealand won Super Over   Christchurch   28 February 2010   Scorecard     Australia ( 151 / 4 ) tied Pakistan ( 151 / 8 )   Pakistan won Super Over   Dubai ( DSC )   7 September 2012   Scorecard     Sri Lanka ( 174 / 6 ) tied New Zealand ( 174 / 7 )   Sri Lanka won Super Over   Pallekele   27 September 2012   Scorecard     West Indies ( 139 ) tied New Zealand ( 139 / 7 )   West Indies won Super Over   Pallekele   1 October 2012   Scorecard     England ( 154 / 8 ) tied Pakistan ( 154 / 7 )   England won Super Over   Sharjah   30 November 2015   Scorecard      Even though tie - breakers were used to determine a winner in these matches , for statistical purposes , these matches are considered as ties . Updated : 3 April 2016      Most consecutive wins by a Team ( edit )     Wins   Team   First win   Last win     11   Afghanistan   West Indies at Nagpur , 27 March 2016 ( Scorecard )   Ireland at Greater Noida , 12 March 2017 ( Scorecard )     8   England   Pakistan at Bridgetown , 6 May 2010 ( Scorecard )   Australia at Adelaide , 12 January 2011 ( Scorecard )     8   Ireland   Kenya at Mombasa , 22 February 2012 ( Scorecard )   Afghanistan at Dubai ( DSC ) , 24 March 2012 ( Scorecard )     7   South Africa   Australia at Johannesburg , 27 March 2009 ( Scorecard )   India at Nottingham , 16 June 2009 ( Scorecard )     7   Pakistan   New Zealand at London ( Oval ) , 13 June 2009 ( Scorecard )   New Zealand at Dubai ( DSC ) , 13 November 2009 ( Scorecard )     7   India   Pakistan at Ahmedabad , 28 December 2012 ( Scorecard )   South Africa at Dhaka , 4 April 2014 ( Scorecard )     7   India   Sri Lanka at Ranchi , 12 February 2016 ( Scorecard )   Bangladesh at Dhaka , 6 March 2016 ( Scorecard )      No results are treated the same as losses and ties in the above table . A no result occurs when a match is abandoned partway through , usually due to rain . Updated : 2 June 2017      Most consecutive defeats ( edit )     Defeats   Team   First defeat   Last defeat     16   Zimbabwe   Sri Lanka at Providence , 3 May 2010 ( Scorecard )   West Indies at North Sound , 3 March 2013 ( Scorecard )     12   Netherlands   South Africa at Cape Town , 15 September 2007 ( Scorecard )   Australia at Bridgetown , 5 May 2010 ( Scorecard )     9   United Arab Emirates   Sri Lanka at Dhaka , 25 February 2016 ( Scorecard )   Ireland at Dubai , 18 January 2017 ( Scorecard )     8   Zimbabwe   Pakistan at Kolkata , 16 March 2016 ( Scorecard )   Sri Lanka at Colombo , 4 April 2017 ( Scorecard )      No results are treated the same as losses and ties in the above table . A no result occurs when a match is abandoned partway through , usually due to rain . * indicates that the sequence is ongoing Updated : 12 April 2017      Most sixes in an innings ( edit )     Sixes   Batting Team   Opposition   Venue   Date   Scorecard     21   West Indies   India   Lauderhill   27 August 2016   Scorecard     India   Sri Lanka   Indore   22 December 2017   Scorecard     19   Netherlands   Ireland   Sylhet   21 March 2014   Scorecard     18   Australia   England   Southampton   29 August 2013   Scorecard     17   South Africa   England   Centurion   15 November 2009   Scorecard     Afghanistan   Scotland   Edinburgh   12 July 2015   Scorecard     New Zealand   West Indies   Mount Maunganui   3 January 2018   Scorecard      Updated : 3 January 2018      Most fours in an innings ( edit )     Fours   Batting team   Opposition   Venue   Date   Scorecard     30   Sri Lanka   Kenya   Johannesburg   14 September 2007   Scorecard     29   Sri Lanka   India   Nagpur   9 December 2009   Scorecard     26   West Indies   South Africa   Johannesburg   11 January 2015   Scorecard     25   Australia   Sri Lanka   Pallekele   6 September 2016   Scorecard     24   South Africa   West Indies   Johannesburg   11 September 2007   Scorecard      Updated : 6 September 2016      Most sixes in a match ( edit )     Sixes   Teams   Venue   Date   Scorecard     32   West Indies ( 21 ) v India ( 11 )   Lauderhill   27 August 2016   Scorecard     31   India ( 21 ) v Sri Lanka ( 10 )   Indore   22 December 2017   Scorecard     30   Ireland ( 11 ) v Netherlands ( 19 )   Sylhet   21 March 2014   Scorecard     28   Afghanistan ( 16 ) v Ireland ( 12 )   Greater Noida   12 March 2017   Scorecard     26   Afghanistan ( 17 ) v Scotland ( 9 )   Edinburgh   12 July 2015   Scorecard      Updated : 22 December 2017      Highest aggregate runs in a single match ( edit )     Runs   Teams   Venue   Date   Scorecard     489   West Indies ( 245 / 6 ) v India ( 244 / 4 )   Florida   27 August 2016   Scorecard     467   South Africa ( 231 / 7 ) v West Indies ( 236 / 6 ) ( 19.2 )   Johannesburg   11 January 2015   Scorecard     459   South Africa ( 229 / 4 ) v England ( 230 / 8 )   Mumbai   18 March 2016   Scorecard     457   Australia ( 248 / 6 ) v England ( 209 / 6 )   Southampton   29 August 2013   Scorecard     441   Australia ( 263 / 3 ) v Sri Lanka ( 178 / 9 )   Pallekele   6 September 2016   Scorecard      Updated : 7 September 2016      Most fours in a match ( edit )     Fours   Teams   Venue   Date   Scorecard     47   India ( 18 ) v Sri Lanka ( 29 )   Nagpur   9 December 2009   Scorecard     44   South Africa ( 18 ) v West Indies ( 26 )   Johannesburg   11 January 2015   Scorecard     43   South Africa ( 24 ) v West Indies ( 19 )   London   13 June 2009   Scorecard     43   Bangladesh ( 22 ) v Pakistan ( 21 )   Kandy   25 September 2012   Scorecard     43   England ( 24 ) v Australia ( 19 )   Southampton   29 August 2013   Scorecard     43   Australia ( 24 ) v India ( 19 )   Rajkot   10 October 2013   Scorecard     Updated : 22 December 2017     Individual records ( Batting ) ( edit )  See also : List of centuries in Twenty20 International cricket  Most career runs ( edit )     Runs   Innings   Batsman   Team   T20I career span     2,140   70   Brendon McCullum   New Zealand   2005 -- 2015     1,956   50   Virat Kohli ‡   India   2010 -- present     1,889   79   Tillakaratne Dilshan   Sri Lanka   2006 -- 2016     1,821   86   Shoaib Malik ‡   Pakistan   2006 -- present     1,810   60   Martin Guptill ‡   New Zealand   2009 -- present      Updated : 1 November 2017      Most runs in a calendar year ( edit )     Runs   Innings   Batsman   Team   Year     645   13   Virat Kohli   India   2016     520   15   Mohammad Shahzad   Afghanistan   2016     497   18   Rohit Sharma   India   2016     472   13   Martin Guptill   New Zealand   2012     471   12   Tillakaratne Dilshan   Sri Lanka   2009     471   13   Virat Kohli   India   2012      Updated : 18 February 2017      Most 50 + Scores ( edit )     50 + ( 100 + 50 )   Innings   Batsman   Team   T20I career span     18 ( 0 + 18 )   46   Virat Kohli   India   2010 -- present     15 ( 2 + 13 )   48   Chris Gayle   West Indies   2006 -- present     15 ( 2 + 13 )   70   Brendon McCullum   New Zealand   2005 -- 2015     14 ( 1 + 13 )   79   Tillakaratne Dilshan   Sri Lanka   2006 -- 2016     14 ( 2 + 12 )   63   Rohit Sharma   India   2007 -- present      Updated : 24 December 2017      Highest career strike rate ( edit )     Strike rate   Balls faced   Batsman   Team   T20I career span     165.48   507   Glenn Maxwell   Australia   2012 -- present     154.96   302   Evin Lewis   West Indies   2016 -- present     157.57   475   Colin Munro   New Zealand   2012 -- present     150.83   301   Lokesh Rahul   India   2016 -- present     150.75   932   Shahid Afridi   Pakistan   2006 -- 2016      Qualification : 250 balls . Updated : 22 December 2017      Highest career average ( edit )     Average   Innings   Runs   Batsman   T20I career span     52.86   51   1,956   Virat Kohli ‡   2010 -- present     37.93   36   1,176   Kevin Pietersen   2005 -- 2013     37.73   33   1,132   Aaron Finch ‡   2011 -- present     36.95   67   1,700   JP Duminy ‡   2007 -- present     36.43   74   1,348   Mahendra Singh Dhoni ‡   2006 -- present     Qualification : 1,000 runs  Last updated : 22 December 2017      Most career ducks ( edit )     Ducks   Innings   Batsman   Team   T20I career span     10   79   Tillakaratne Dilshan   Sri Lanka   2006 -- 2016     9   45   Luke Wright   England   2007 -- 2014     8   52   Kevin O'Brien ‡   Ireland   2008 -- present     8   77   Umar Akmal ‡   Pakistan   2009 -- present     8   90   Shahid Afridi   Pakistan   2006 -- 2016      Last updated : 12 March 2017      Most career sixes ( edit )   Updated : 10 July 2017     Sixes   Balls faced   Batsman   Team   T20I career span     103   1064   Chris Gayle   West Indies   2006 -- present     91   1571   Brendon McCullum   New Zealand   2005 -- 2015     83   1006   Shane Watson   Australia   2006 -- 2016     76   1374   Martin Guptill   New Zealand   2009 -- present     74   1208   David Warner   Australia   2009 -- present     74   1208   Yuvraj Singh   India   2007 -- present     Most career fours ( edit )     Fours   Balls faced   Batsman   Team   T20I career span     223   1567   Tillakaratne Dilshan   Sri Lanka   2006 -- 2016     208   1428   Virat Kohli ‡   India   2010 -- present     200   1300   Mohammad Shahzad ‡   Afghanistan   2010 -- present     199   1571   Brendon McCullum   New Zealand   2005 -- 2015     178   1403   Mohammad Hafeez ‡   Pakistan   2006 -- present      Updated : 12 March 2017      Highest individual score ( edit )     Runs   Batsman   Batting team   Opposition   Venue   Date   Scorecard     156   Aaron Finch   Australia   England   Southampton   29 August 2013   Scorecard     145 *   Glenn Maxwell   Australia   Sri Lanka   Pallekele   6 September 2016   Scorecard     125 *   Evin Lewis   West Indies   India   Kingston   9 July 2017   Scorecard     124 *   Shane Watson   Australia   India   Sydney   31 January 2016   Scorecard     123   Brendon McCullum   New Zealand   Bangladesh   Pallekele   21 September 2012   Scorecard      Updated : 9 July 2017      Highest individual score ( by batting position ) ( edit )     Runs   Position   Batsman   Batting team   Opposition   Venue   Date   Scorecard     145 *   Position 1   Glenn Maxwell   Australia   Sri Lanka   Pallekele   6 September 2016   Scorecard     156   Position 2   Aaron Finch   Australia   England   Southampton   29 August 2013   Scorecard     123   Position 3   Brendon McCullum   New Zealand   Bangladesh   Pallekele   21 September 2012   Scorecard     110 *   Position 4   K.L. Rahul   India   West Indies   Lauderhill   27 August 2016   Scorecard     101 *   Position 5   David Miller   South Africa   Bangladesh   Potchefstroom   29 October 2017   Scorecard     85 *   Position 6   Cameron White   Australia   Sri Lanka   Bridgetown   9 May 2010   Scorecard     89   Position 7   Mohammad Nabi   Afghanistan   Ireland   Greater Noida   12 March 2017   Scorecard     52 *   Position 8   Ragheb Aga   Kenya   Scotland   ICCA Dubai   19 November 2013   Scorecard     46   Position 9   Anwar Ali   Pakistan   Sri Lanka   Colombo ( RPS )   1 August 2015   Scorecard     40   Position 10   Sompal Kami   Nepal   Hong Kong   Colombo ( PSS )   24 November 2014   Scorecard     18   Position 11   Paul van Meekeren   Netherlands   Hong Kong   Dubai   18 January 2017   Scorecard      Updated : 29 October 2017      Fastest 50 ( edit )     Balls   Batsman   Batting team   Opposition   Venue   Date   Scorecard     12   Yuvraj Singh   India   England   Durban   19 September 2007   Scorecard     14   Colin Munro   New Zealand   Sri Lanka   Auckland   10 January 2016   Scorecard     17   Paul Stirling   Ireland   Afghanistan   Dubai ( DSC )   24 March 2012   Scorecard     17   Stephan Myburgh   Netherlands   Ireland   Sylhet   21 March 2014   Scorecard     17   Chris Gayle   West Indies   South Africa   Cape Town   9 January 2015   Scorecard      Updated : 29 August 2016      Fastest 100 ( edit )   Updated : 22 December 2017     Balls   Batsman   Batting team   Opposition   Venue   Date   Scorecard     35   David Miller   South Africa   Bangladesh   Potchefstroom   29 October 2017   Scorecard     35   Rohit Sharma   India   Sri Lanka   Indore   22 December 2017   Scorecard     45   Richard Levi   South Africa   New Zealand   Hamilton   19 February 2012   Scorecard     46   K.L. Rahul   India   West Indies   Florida   27 August 2016   Scorecard     46   Francois du Plessis   South Africa   West Indies   Johannesburg   11 January 2015   Scorecard     Most sixes in an innings ( edit )     Sixes   Batsman   Batting team   Opposition   Venue   Date   Scorecard     14 ( 63 )   Aaron Finch   Australia   England   Southampton   29 August 2013   Scorecard     13 ( 51 )   Richard Levi   South Africa   New Zealand   Hamilton   19 February 2012   Scorecard     11 ( 48 )   Chris Gayle   West Indies   England   Mumbai   16 March 2016   Scorecard     10 ( 41 )   Corey Anderson   New Zealand   Bangladesh   Mount Maunganui   8 January 2017   Scorecard     10 ( 43 )   Rohit Sharma   India   Sri Lanka   Indore   22 December 2017   Scorecard     10 ( 53 )   Colin Munro   New Zealand   West Indies   Mount Maunganui   3 January 2018   Scorecard     10 ( 57 )   Chris Gayle   West Indies   South Africa   Johannesburg   11 September 2007   Scorecard      Updated : 3 January 2018      Most fours in an innings ( edit )     Fours   Batsman   Batting team   Opposition   Venue   Date   Scorecard     14 ( 55 )   Herschelle Gibbs   South Africa   West Indies   Johannesburg   11 September 2007   Scorecard     14 ( 52 )   Aaron Finch   Australia   India   Rajkot   10 October 2013   Scorecard     14 ( 65 )   Glenn Maxwell   Australia   Sri Lanka   Pallekele   6 September 2016   Scorecard     13 ( 53 )   Ricky Ponting   Australia   India   Mumbai   20 October 2007   Scorecard     13 ( 30 )   Aaron Redmond   New Zealand   Ireland   Nottingham   11 June 2009   Scorecard      Number in parentheses represents the number of balls the batsman faced during the innings . Updated : 6 September 2016      Most runs off an over ( edit )     Runs   Sequence   Batsman   Batting team   Bowler   Venue   Date   Scorecard     36   6 -- 6 -- 6 -- 6 -- 6 -- 6   Yuvraj Singh   India   Stuart Broad   Durban   19 September 2007   Scorecard     32   6 -- 6 -- w -- 6 -- 6 -- 6 -- 1   Evin Lewis   West Indies   Stuart Binny   Lauderhill , Florida   27 August 2016   Scorecard     32   6 -- 6 -- 2 -- nb -- ( nb + 4 ) -- 4 -- 6 -- 2   Jos Buttler   England   Wayne Parnell   Edgbaston   12 September 2012   Scorecard     32   4 -- wk -- ( nb + 6 ) -- ( nb + 1 ) -- 6 -- 6 -- 6 -- 1   Jonny Bairstow Luke Wright   England   Izatullah Dawlatzai   Colombo ( RPS )   21 September 2012   Scorecard     31   6 -- 6 -- 6 -- 6 -- 6 -- 1   David Miller   South Africa   Mohammad Saifuddin   Potchefstroom   29 October 2017   Scorecard     Key :   nb -- No - ball   ( nb + X ) -- A no - ball was bowled and X runs were scored off the bat   Ynb -- A no - ball was bowled with one run scored directly from the no - ball and Y - 1 runs being scored from byes or leg byes ( however , all Y runs will be scored as no - balls on the scorecard )     w -- Wide   wk -- Wicket    Updated : 29 October 2017 ^ ( a ) The over started with Buttler facing and Wright off strike . Buttler faced the first ball and was dismissed on the second ball of the over . Bairstow came in and faced the next two deliveries and Wright faced the last four deliveries .      Individual records ( Bowling ) ( edit )  See also : List of five - wicket hauls in Twenty20 International cricket  Most wickets in a career ( edit )     Wickets   Innings   Bowler   Team   T20I career span     97   96   Shahid Afridi   Pakistan   2006 -- 2016     90   68   Lasith Malinga   Sri Lanka   2006 -- 2017     85   60   Umar Gul   Pakistan   2007 -- 2016     85   63   Saeed Ajmal   Pakistan   2009 -- 2015     73   60   Shakib Al Hasan ‡   Bangladesh   2006 -- present      Updated : 01 November 2017      Most wickets in a calendar year ( edit )     Wickets   Matches   Bowler   Team   Year     28   21   Jasprit Bumrah   India   2016     27   14   Dirk Nannes   Australia       25   16   Saeed Ajmal   Pakistan   2012     23   11   Yuzvendra Chahal   India   2017     23   15   Rashid Khan   Afghanistan   2016      Updated : 24 December 2017      Most four - wickets - in - an - innings ( and over ) in a career ( edit )     4 + ( 4 + 5 )   Matches   Bowler   Team   T20I career span     6 ( 4 + 2 )   60   Umar Gul ‡   Pakistan   2007 -- present     5 ( 3 + 2 )   39   Ajantha Mendis   Sri Lanka   2008 -- 2014     4 ( 4 + 0 )   64   Saeed Ajmal   Pakistan   2009 -- 2015      Updated : 3 April 2016      Best career economy rate ( edit )     Economy rate   Overs bowled   Bowler   Team   T20I career span     5.59   120.0   Samuel Badree   West Indies   2012 -- present     5.70   131.1   Daniel Vettori   New Zealand   2007 -- 2014     6.04   138.4   Sunil Narine   West Indies   2012 -- present     6.17   87.0   Boyd Rankin   England / Ireland   2009 -- present     6.20   102.0   Harbhajan Singh   India   2006 -- present      Qualification : 500 balls bowled . Updated : 18 February 2017      Best career strike rate ( edit )     Strike rate   Wickets   Overs Bowled   Bowler   Team   T20I career span     12.8   54   115.5   Imran Tahir   South Africa   2013 -- present     13.0   44   95.5   Ahsan Malik   Netherlands   2012 -- present     13.4   66   147.3   Ajantha Mendis   Sri Lanka   2008 -- 2014     14.1   85   200.3   Umar Gul   Pakistan   2007 -- present     15.0   52   130.4   George Dockrell   Ireland   2010 -- present      Qualification : 500 balls bowled . Updated : 18 February 2017 .      Best career averages ( edit )     Average   Wickets   Runs conceded   Bowler   Team   T20I career span     13.70   54   740   Imran Tahir   South Africa   2013 -- present     13.82   40   553   Rashid Khan   Afghanistan   2015 -- present     14.42   66   952   Ajantha Mendis   Sri Lanka   2008 -- 2014     15.97   42   671   Samuel Badree   West Indies   2012 -- present     16.59   44   730   Ahsan Malik   Netherlands   2012 -- present      Qualification : 500 balls bowled . Updated : 12 March 2017 .      Best figures in a match ( edit )     Figures   Bowler   Bowling team   Opposition   Venue   Date   Scorecard     6 / 8 ( 4.0 overs )   Ajantha Mendis   Sri Lanka   Zimbabwe   Hambantota   18 September 2012   Scorecard     6 / 16 ( 4.0 overs )   Ajantha Mendis   Sri Lanka   Australia   Pallekele   8 August 2011   Scorecard     6 / 25 ( 4.0 overs )   Yuzvendra Chahal   India   England   Bangalore   1 February 2017   Scorecard     5 / 3 ( 3.3 overs )   Rangana Herath   Sri Lanka   New Zealand   Chittagong   31 March 2014   Scorecard     5 / 3 ( 2.0 overs )   Rashid Khan   Afghanistan   Ireland   Greater Noida   10 March 2017   Scorecard      Updated : 10 March 2017      Most runs conceded in an innings ( edit )     Runs   Bowling figures   Bowler   Bowling team   Opposition   Venue   Date   Scorecard     69   4 -- 0 -- 69 -- 0   Barry McCarthy   Ireland   Afghanistan   Greater Noida   12 March 2017    Scorecard      68   4 -- 0 -- 68 -- 1   Kyle Abbott   South Africa   West Indies   Johannesburg   11 January 2015   Scorecard     64   4 -- 0 -- 64 -- 1   James Anderson   England   Australia   Sydney   9 January 2007   Scorecard     64   4 -- 0 -- 64 -- 0   Sanath Jayasuriya   Sri Lanka   Pakistan   Johannesburg   17 September 2007   Scorecard     63   4 -- 0 -- 63 -- 2   Rubel Hossain   Bangladesh   West Indies   Dhaka   10 December 2012   Scorecard      Bowling figures given above are in the form of `` Overs - Maidens - Runs - Wickets '' . Updated : 12 March 2017      Hat - tricks ( edit )  See also : List of Twenty20 International cricket hat - tricks  Key     Hat - trick taken in a World Cup match     ( b )   Bowled     ( c )   Caught     ( cb )   Caught and bowled     ( lbw )   Leg before wicket     ( st )   Stumped       Wicket - keeper       No .   Bowler   For   Against   Wickets   Venue   Date   Ref .       Brett Lee   Australia   Bangladesh     Shakib Al Hasan ( c Gilchrist )   Mashrafe Mortaza ( b )   Alok Kapali ( lbw )     Newlands Cricket Ground , Cape Town   16 September 2007         Jacob Oram   New Zealand   Sri Lanka     Angelo Mathews ( c and b )   Malinga Bandara ( c McCullum )   Nuwan Kulasekara ( c Broom )     Premadasa Stadium , Colombo   2 September 2009         Tim Southee   New Zealand   Pakistan     Younis Khan ( c Brownlie )   Mohammad Hafeez ( c McGlashan )   Umar Akmal ( lbw )     Eden Park , Auckland   26 December 2010         Thisara Perera   Sri Lanka   India     Hardik Pandya ( c Senanayake )   Suresh Raina ( c Chameera )   Yuvraj Singh ( c Gunathilaka )     JSCA International Stadium Complex , Ranchi   12 February 2016       5   Lasith Malinga   Sri Lanka   Bangladesh     Mushfiqur Rahim ( b )   Mashrafe Mortaza ( b )   Mehedi Hasan ( lbw )     R. Premadasa Stadium , Colombo   6 April 2017       </t>
  </si>
  <si>
    <t xml:space="preserve">who has scored most runs in t20 international innings</t>
  </si>
  <si>
    <t xml:space="preserve">   Runs   Bowling figures   Bowler   Bowling team   Opposition   Venue   Date   Scorecard     69   4 -- 0 -- 69 -- 0   Barry McCarthy   Ireland   Afghanistan   Greater Noida   12 March 2017    Scorecard      68   4 -- 0 -- 68 -- 1   Kyle Abbott   South Africa   West Indies   Johannesburg   11 January 2015   Scorecard     64   4 -- 0 -- 64 -- 1   James Anderson   England   Australia   Sydney   9 January 2007   Scorecard     64   4 -- 0 -- 64 -- 0   Sanath Jayasuriya   Sri Lanka   Pakistan   Johannesburg   17 September 2007   Scorecard     63   4 -- 0 -- 63 -- 2   Rubel Hossain   Bangladesh   West Indies   Dhaka   10 December 2012   Scorecard      Bowling figures given above are in the form of `` Overs - Maidens - Runs - Wickets '' . Updated : 12 March 2017    </t>
  </si>
  <si>
    <t xml:space="preserve">Derek Shepherd - Wikipedia  Derek Shepherd  Jump to : navigation , search      This article 's plot summary may be too long or excessively detailed . Please help improve it by removing unnecessary details and making it more concise . ( November 2010 ) ( Learn how and when to remove this template message )       Derek Shepherd     Grey 's Anatomy character     Patrick Dempsey as Derek Shepherd in 2012     First appearance   `` A Hard Day 's Night '' 1x01 , March 27 , 2005     Last appearance   `` You 're My Home '' 11x25 , May 14 , 2015     Created by   Shonda Rhimes     Portrayed by   Patrick Dempsey     Information     Full name   Derek Christopher Shepherd     Nickname ( s )   McDreamy Shep McDreary ( Season 8 Episode 13 ) McAss Pretty     Occupation   Attending neurosurgeon Member of the Board ( former ) Chief of Surgery ( former ) Head of Neurosurgery ( former )     Title   M.D. F.A.C.S.     Family   Mr. Shepherd ( father , deceased ) Carolyn Maloney Shepherd ( mother ) Nancy Shepherd ( sister ) Kathleen `` Kate '' Shepherd ( sister ) Elizabeth `` Lizzie '' Shepherd ( sister ) Amelia Shepherd ( sister ) 9 unnamed nieces 6 unnamed nephews ( one deceased )     Spouse ( s )   Addison Montgomery ( m . 1994 ; div. 2006 ) Meredith Grey ( m . 2009 -- 15 )     Significant other ( s )   Rose     Children   Zola Shepherd ( daughter ) Derek Bailey Shepherd ( son ) Ellis Shepherd ( daughter ) ( with Meredith )     Relatives   Molly Thompson ( half - sister - in - law ) Lexie Grey ( deceased - half - sister - in - law ) Maggie Pierce ( half - sister - in - law ) Owen Hunt ( brother - in - law )     certifications   M.D. F.A.C.S     Derek Christopher Shepherd , M.D. , also referred to as `` McDreamy '' , is a fictional surgeon from the ABC medical drama Grey 's Anatomy , portrayed by actor Patrick Dempsey . He made his first appearance during `` A Hard Day 's Night '' , which was broadcast on March 27 , 2005 . Derek was married to Addison Montgomery ( Kate Walsh ) for 12 years , before their divorce in 2006 . Before his death in 2015 , Derek was happily married to his longtime girlfriend Meredith Grey ( Ellen Pompeo ) . The couple are often referred to as `` Mer &amp; Der '' and they have three children together . Shepherd was formerly the Chief of Surgery at Seattle Grace Mercy West Hospital , but abruptly resigned as chief in season 7 following the shooting . For his portrayal of Shepherd , Dempsey was nominated in 2006 and 2007 Golden Globe for the Best Performance by an Actor in a Television Series Drama for the role , and the 2006 SAG Award for the Outstanding Performance by an Actor in a Drama Series award .     Contents  ( hide )   1 Storyline   2 Development   2.1 Casting and creation   2.2 Characterization     3 Reception   4 References   5 External links      Storyline ( edit )   Derek arrives at Seattle Grace Hospital as the new Head of Neurosurgery from New York City . He is a Bowdoin College graduate and attended Columbia University College of Physicians and Surgeons alongside his childhood best friend Mark Sloan and ex-wife Addison Montgomery and Private Practice characters Naomi Bennett and Sam Bennett . Derek was a student of Dr. Richard Webber and was enticed to come with an `` offer he could n't refuse '' -- the position of Chief of Surgery , which he eventually turned down . He specializes in highly complex tumors and conditions of the brain and spine and came to Seattle Grace with a reputation for taking on `` lost causes '' and `` impossible '' cases that most of his peers would turn down . As an attending he is both well - liked and feared -- well - liked by patients and his scrub nurses for his compassion and gentlemanly bedside manner and feared by interns and residents who are intimidated by his reputation and high standards . He is passionate about his job and has been known to expel staff or remove interns and residents ( or at least threaten them ) from his service for being disrespectful about patients or if he deems their attitude to be detrimental to his patient 's well - being .   Derek first meets Meredith Grey at a bar , and soon finds out that she is an intern at Seattle Grace . They begin to have feelings for one another and it causes some awkwardness at work , particularly after her supervising resident Dr. Miranda Bailey discovers their relationship . Meredith 's housemates and fellow interns George O'Malley and Izzie Stevens both antagonized her for some time as they felt she was using her relationship with Derek to further her career . He generally tolerated them despite his dislike of sharing his living space with the interns who worked under him . While most of his family members accepted Meredith , his sister , Nancy , particularly disliked her and repeatedly called her `` the slutty intern '' ; as of season nine she still refuses to speak to Meredith or acknowledge her as her sister - in - law . His mother Carolyn approved as she felt Meredith 's gray perspective of life complemented Derek 's tendency to see everything in black and white .   Derek 's background was generally a mystery for the first season and source of speculation amongst his colleagues due to his sudden departure from an established and highly respected practice in New York . In the season one finale , his past eventually catches up with him when his estranged wife Addison moves to Seattle and is offered a position by Dr. Webber . Shortly thereafter , his childhood best friend Mark joins Seattle Grace as the new head of plastic surgery . Derek and Addison attempt to repair their marriage but attempts were futile . Since their divorce they have remained on amicable terms , with Addison even admonishing Meredith for breaking up with Derek in season three . In the Private Practice episode `` Ex-Life '' Derek finally tells Addison that his mother never liked her in the first place . He admits to Meredith that Addison cheating on him with Mark was partly his fault as an absentee husband . Addison eventually leaves Seattle for a private practice in Los Angeles , spawning the spin - off Private Practice . In the season eight episode `` If / Then '' , Meredith dreams of an alternate universe where her mother never had Alzheimer 's ; Derek and Addison are still married but their strained relationship and Shepherd 's disillusionment causes his career to stagnate , earning him the nicknames `` Bad Shepherd '' and `` McDreary '' .   When Derek is offered the Chief of Surgery position for the second time , he persuades the board to keep Dr. Webber on the staff . During the merger of Seattle Grace with Mercy West their relationship sours when Derek disagreed with Richard 's handling of the merger and Richard begins to display uncharacteristic behavior , not unnoticed by his fellow surgeons . Derek learns from Meredith that Richard has since resumed drinking and feels forced to have him removed as Chief of Surgery . With mixed feelings , Derek offers him an ultimatum : go into rehab and possibly pick up where he left off after , or quit completely .   In seasons three and four , Meredith and Derek 's relationship becomes rocky and they each take time to date other people . Derek 's plans to propose were ruined by a series of unfortunate events in season five . In the season finale , they decide to give their planned wedding to Alex and Izzie . Due to their tight schedule , they instead informally marry and Derek writes down their `` promises '' on a post-it note . They legalize their marriage in season seven in order to adopt Zola , a young African orphan treated for spina bifida . They briefly separate after Meredith tampers with their Alzheimer 's trial , jeopardizing her career and tarnishing Derek 's reputation . Zola is taken away from Meredith after a social worker finds out she and Derek are living separately . In later seasons , Derek often griped about how his subsequent interns and residents -- mainly Lexie Grey , Shane Ross and Heather Brooks -- did not quite measure up to Meredith . The social worker comes back and announces they are the official parents of Zola . As Meredith nears the end of her fifth year of residency , she and Derek are torn between staying at Seattle Grace Mercy West or leaving for Boston where Derek would work at Harvard while Meredith would be at the Brigham and Women 's Hospital .   Following his rescue from the plane crash that killed Mark and Lexie , Derek learns that he may only regain 80 percent of his hand 's function . He comes to terms with the fact that his career as a surgeon may be over and is grateful that he is alive . When Callie Torres ( Sara Ramirez ) , head of orthopedic surgery , tells him a more risky surgery could give him back full function of his hand or reduce its function if it goes wrong , he agrees , accepting the possibility of never again holding a scalpel . Derek recovers well and Callie clears him to return to work , but it is still weeks later that he feels ready to operate . Derek , Callie and fellow resident Jackson Avery decide to do nerve transplant for his hand . Meredith , newly pregnant with their second child , goes behind his back and calls his sisters so they can donate a nerve to him . Lizzie ( Neve Campbell ) , Derek 's younger sister , agrees to donate a nerve and the surgery is a success .   Derek and Meredith 's marriage is strained after he accepted an invitation from the President to participate in the Brain - Mapping Initiative . He went back on his promise to her that he would not add to his current workload in order to devote time to their two young children and allow her the chance to establish her career as a full - fledged attending . Eventually he was offered a position at the National Institutes of Health in Washington , D.C. , but Meredith puts her foot down and refuses to leave her hometown and uproot their young family . His youngest sister Amelia ( Caterina Scorsone ) takes over his position at Grey Sloan . Meanwhile , he and Meredith fight bitterly on and off over whether they should move . After a bad argument , he accepts the job in the heat of the moment and leaves for Washington . While there , he and Meredith talk things out over the phone and come to a mutual conclusion that they both did not want to end their marriage . He tells her that just being with her , raising their children and operating on patients was more satisfying than `` saving the world '' .   In season 11 , Derek is involved in a fatal car accident while driving to the airport for his final trip to Washington . He is able to hear and process auditory input , but unable to speak . He is recognized by Winnie , one of the victims of a crash he assisted in earlier , who tells the surgeons that their patient 's name is Derek and that he is a surgeon as well . The hospital he was taken to was understaffed and his head injury was not detected quickly enough by the interns on duty that night . Although the neurosurgeon on call is paged multiple times , he takes too long to arrive and Derek is declared brain dead . Police arrive at Meredith 's door and take her to see Derek , where she consents to removing him from life support . At the time of his death , Meredith was pregnant with their third child . She gives birth to a daughter whom she names Ellis after her mother .   Derek was mentioned or referenced to a number of times in season 12 as the other characters struggle to cope with his sudden death . In the episode `` My Next Life '' , Meredith had a flashback of their first ever surgery together when a patient named Katie Bryce was admitted to the hospital with a brain aneurysm . Amelia took his death especially hard as he was the sibling she was closest to . At the end of the season , prior to her wedding to Derek 's long - time colleague Owen Hunt , Amelia goes on a nervous rant about how Derek was supposed to be the one to give her away , him having given away their three other sisters at their weddings .   Development ( edit )   Casting and creation ( edit )   When Patrick Dempsey auditioned for the role of Derek Shepherd , he was afraid that he was not going to get the part . Creator Shonda Rhimes ' first reaction was : `` The very first time I met him , I was absolutely sure that he was my guy . Reading the lines of Derek Shepherd , Patrick had a vulnerable charm that I just fell for . And he had amazing chemistry with Ellen Pompeo . '' Rhimes admitted that Dempsey 's dyslexia threw her at first , particularly at the first few table readings : `` I did not know about Patrick 's dyslexia in the beginning . I actually thought that he did n't like the scripts from the way he approached the readings . When I found out , I completely understood his hesitation . Now that we all know , if he is struggling with a word , the other actors are quick to step up and help him out . Everyone is very respectful . '' Isaiah Washington also auditioned for the part and when he did not get it , he said his reaction was like `` I 'd been kicked in the stomach by 14 mules . '' Washington was , however , later cast as Preston Burke . Rob Lowe was also considered to portray Shepherd but turned the role down . Some of the character 's medical cases were inspired by real - life patients of Steve Giannotta , Chair of Neurological Surgery at the University of Southern California Keck School of Medicine , whom Rhimes had consulted in writing for Shepherd 's storylines and patients .   In January 2014 , Dempsey signed a two - year contract to remain on Grey 's Anatomy ( then in its tenth season ) that would ensure his presence for potential 11th and 12th seasons . However , in April 2015 , Dempsey 's character was killed off while his contract was not over yet . Dempsey explained : `` it just sort of evolved . It 's just kind of happened . It really was something that was kind of surprising that unfolded , and it just naturally came to be . Which was pretty good . I like the way it has all played out . '' In August 2015 , Rhimes commented :     ``   The decision to have the character die the way that he did was not a difficult one in the sense of what were the options ? Either Derek was going to walk out on Meredith , and leave her high and dry , and what was that going to mean ? That was going to suggest that the love was not true , the thing we had said for 11 years was a lie and McDreamy was n't McDreamy . For me , that was untenable . Meredith and Derek 's love had to remain Meredith and Derek 's love . As painful as it was for me as a storyteller , because I had never really thought that was going to happen , it preserved what felt true to me , was that Derek was going to have to die in order for that love to remain honest . Because I really could n't have the idea that he just turned out to be a bad guy who walked out on his wife and kids be a true story . To me , it felt like that was the only way to make Meredith and Derek 's magic remain true and forever frozen in time .   ''     The character was later written to be a graduate of Bowdoin College , a liberal arts college in Brunswick , Maine , after an alumnus led a petition signed by over 450 students to `` adopt '' the character as an alumnus . Dempsey is from Lewiston , about 18 miles ( 29 km ) away from Brunswick , and was awarded an honorary doctorate by Bowdoin in 2013 .   Characterization ( edit )   Rhimes describes Shepherd as typical `` Prince Charming '' . He was planned to be a doctor who does n't really care about anything , who lives in his `` own '' universe and has a big sex appeal . A man who is charming , devilishly handsome and the type of guy every girl dreams of , and a man that often makes the wrong decisions , and is often known as a jerk or the ultimate heartbreaker . Rhimes planned to have this kind of character from the beginning , because he was the kind of guy whom girls fall in love with and a character whose storylines could easily be changed . USA Today writer Robert Bianco said : `` Derek could , at times , seem like two people , warm and funny one minute , cold and self - involved the next . Dempsey 's gift was in making those two sides seem like part of the same person , while keeping us rooting for that person as a whole . ''   Reception ( edit )  Dempsey 's relation with Ellen Pompeo ( Meredith Grey ) has been the highlight of the series since its inception .  With the show concluding its second season , Robert Bianco of USA Today said that Emmy voters could consider him because of the `` seemingly effortless way he humanizes Derek 's ' dreamy ' appeal with ego and vanity '' . In the third season , Alan Sepinwall of The Star - Ledger wrote that `` the attempt to give the moral high ground back to McDreamy was bad . Dude , whatever happened in New York ceased to count in any kind of grievance tally once you agreed to take Addison back and give things another try . You 're the dick who cheated on her , you 're the one who knew that she found the panties , and still you act like her getting back together with Mark justifies what you did ? Wow . I did n't think it was possible for me to dislike anyone on this show more than Meredith , but congratulations , big guy . ''   Debbie Chang of BuddyTV noted the character 's immaturity in the fourth season , saying : `` The only character who did not make me love him was Derek Shepherd ( Patrick Dempsey ) . How this character is still Shonda 's golden child is beyond me . Yes , we get it . He 's tormented by his love for Meredith , but that does not give him the right to lash out at her when his clinical trial patients are dying . If things do n't go absolutely the way he wants them to , then he refuses to cooperate . How immature can this man possibly be ? No amount of heavily styled hair or blue - blue - blue eyes is going to make me warm up to him unless he admits to being the needy , desperate one in the relationship . ''   Entertainment Weekly placed Shepherd in its list of the `` 30 Great TV Doctors and Nurses '' . The character was also listed in Wetpaint 's `` 10 Hottest Male Doctors on TV '' and in BuzzFeed 's `` 16 Hottest Doctors On Television '' . His relationship with Meredith was included in TV Guide 's list of `` The Best TV Couples of All Time '' .   Victor Balta of Today listed Shepherd and Sloan 's friendship in its `` TV 's best bromances '' . He called them `` the most exciting couple on Grey 's , '' explaining `` they 've demonstrated an easy chemistry that makes for some of the great comic relief around Seattle Grace Hospital with their banter , sage wisdom on each other 's lives , and locker room - style teasing . '' Their bromance was furthermore included in lists by About.com , BuddyTV , Cosmopolitan , Wetpaint . However , following the announcement of Dane 's upcoming departure from the show , Mark Perigard of the Boston Herald felt he and Derek `` never clicked like you 'd expect friends would . Any scene they had together ranged from uncomfortable to forced . ''   References ( edit )    Jump up ^ `` Addison Shepherd Quotes -- Season 4 , Episode 13 : `` Piece of My Heart '' `` . TV Fanatic . Retrieved April 3 , 2013 .   ^ Jump up to : `` ' McDreamy ' in Maine for Dempsey Challenge , Tips Cap to Bowdoin '' . Bowdoin College . October 2 , 2010 .   Jump up ^ `` Enough is Enough '' . Grey 's Anatomy . Season 1 . Episode 2 . April 12 , 2012 . ABC .   ^ Jump up to : `` Poker Face '' . Grey 's Anatomy . Season 8 . Episode 6 . October 20 , 2011 . ABC .   Jump up ^ `` Stand By Me '' . Grey 's Anatomy . Season 5 . Episode 18 . March 19 , 2009 . ABC .   Jump up ^ `` Give Peace a Chance '' . Grey 's Anatomy . Season 6 . Episode 7 . October 29 , 2009 . ABC .   Jump up ^ `` Support System '' . Grey 's Anatomy . Season 8 . Episode 19 . April 12 , 2012 . ABC .   ^ Jump up to : `` Go It Alone '' . Grey 's Anatomy . Season 10 . Episode 20 . April 17 , 2014 . ABC .   Jump up ^ `` Brave New World '' . Grey 's Anatomy . Season 5 . Episode 4 . October 16 , 2008 . ABC .   ^ Jump up to : `` What Is It About Men '' . Grey 's Anatomy . Season 8 . Episode 4 . October 6 , 2011 . ABC .   Jump up ^ `` The Heart of the Matter '' . Grey 's Anatomy . Season 4 . Episode 4 . October 18 , 2007 . ABC .   Jump up ^ `` Let the Angels Commit '' . Grey 's Anatomy . Season 3 . Episode 6 . November 2 , 2006 . ABC .   Jump up ^ `` Love Turns You Upside Down '' . Grey 's Anatomy . Season 9 . Episode 8 . December 6 , 2012 . ABC .   Jump up ^ `` Sympathy for the Devil '' . Grey 's Anatomy . Season 5 . Episode 12 . January 15 , 2009 . ABC .   Jump up ^ `` Yesterday '' . Grey 's Anatomy . Season 2 . Episode 18 . February 19 , 2006 . ABC .   Jump up ^ `` White Wedding '' . Grey 's Anatomy . Season 7 . Episode 20 . May 5 , 2011 . ABC .   Jump up ^ Rhodes , Joe ( July 15 , 2005 ) . `` Today 's News : Our Take -- Vet Earns M.D. on Grey 's Anatomy '' . TV Guide . Retrieved September 3 , 2012 .   Jump up ^ Keck , William ( November 17 , 2006 ) . `` Lowe knows political roles '' . USA Today . Gannett Company . Retrieved September 8 , 2012 .   Jump up ^ `` Meet the Real - Life McDreamy : The Doctor Behind ' Grey 's Anatomy ' '' . The Hollywood Reporter . September 10 , 2014 .   Jump up ^ Goldberg , Lesley ( January 23 , 2014 ) . `` ' Grey 's Anatomy 's ' Patrick Dempsey , Ellen Pompeo Ink New Two - Year Deals '' . The Hollywood Reporter . Retrieved April 25 , 2014 .   Jump up ^ Wagmeister , Elizabeth ( April 23 , 2015 ) . `` ' Grey 's Anatomy ' : Patrick Dempsey Officially Leaving After 11 Seasons '' . Variety . Retrieved April 25 , 2015 .   Jump up ^ Rice , Lynette ( April 24 , 2015 ) . `` Grey 's Anatomy star Patrick Dempsey on tonight 's shocking twist -- exclusive '' . Entertainment Weekly . Retrieved April 25 , 2015 .   Jump up ^ Bucksbaum , Sydney ( August 5 , 2015 ) . `` Shonda Rhimes Finally Explains Why Derek Had to Die on Grey 's Anatomy '' . E ! Online . Retrieved August 4 , 2015 .   Jump up ^ `` Alumnus puts Bowdoin in the Spotlight '' . The Bowdoin Orient. April 20 , 2007 .   Jump up ^ Bianco , Robert ( April 24 , 2015 ) . `` Review : ' Grey 's Anatomy 's ' accidental death '' . USA Today . Retrieved April 24 , 2015 .   Jump up ^ Bianco , Robert ( May 14 , 2006 ) . `` The cure for bromidic TV : ' Grey 's Anatomy , ' ' House ' '' . USA Today . Gannett Company . Retrieved September 1 , 2013 .   Jump up ^ Sepinwall , Alan ( September 28 , 2006 ) . `` Grey 's Anatomy : You 're kidding , right ? '' . What 's Alan Watching ? . Blogspot . Retrieved September 1 , 2013 .   Jump up ^ Chang , Debbie ( May 27 , 2008 ) . `` How ' Grey 's Anatomy ' Got its Groove Back '' . BuddyTV . Retrieved September 1 , 2013 .   Jump up ^ Wilkinson , Amy ( June 15 , 2009 ) . `` Paging Dr. Feelgood : 30 Great TV Doctors and Nurses '' . Entertainment Weekly . Time Inc . Retrieved January 24 , 2013 .   Jump up ^ Martin , Rebecca ( December 21 , 2012 ) . `` The 10 Hottest Male Doctors on TV '' . Wetpaint . The Cambio Network . Retrieved January 24 , 2013 .   Jump up ^ `` The 16 Hottest Doctors On Television '' . BuzzFeed . September 28 , 2012 . Retrieved January 24 , 2013 .   Jump up ^ `` Couples Pictures , Grey 's Anatomy Photos -- Photo Gallery : The Best TV Couples of All Time '' . TV Guide . Retrieved June 20 , 2012 .   Jump up ^ Balta , Victor . `` How adorable ! TV 's best bromances '' . Today.com . Retrieved June 13 , 2013 .   Jump up ^ Thomas , Rachel . `` TV 's Best Bromances '' . About.com . The New York Times Company . Retrieved June 13 , 2013 .   Jump up ^ `` Best TV Bromances # 15 McDreamy and McSteamy '' . BuddyTV . Retrieved June 13 , 2013 .   Jump up ^ `` Hottest TV bromances '' . Cosmopolitan . July 19 , 2011 . Retrieved June 13 , 2013 .   Jump up ^ Hoffman , Kim ( January 28 , 2013 ) . `` Top 14 TV Bromances -- I Love You , Man ! ( PHOTOS ) '' . Wetpaint . The Cambio Network . Retrieved June 13 , 2013 .   Jump up ^ Perigard , Mark ( July 27 , 2012 ) . `` ' Grey 's Anatomy ' drops another doc '' . Boston Herald . Retrieved August 10 , 2012 .    External links ( edit )    Grey 's Anatomy portal   Fictional characters portal     Derek Shepherd on IMDb   Grey 's Anatomy at ABC.com      ( hide )         Grey 's Anatomy     Episodes     Season 1         5   6   7   8   9   10   11   12   13   14       Characters ( cast members )     Meredith Grey   Cristina Yang   Izzie Stevens   Alex Karev   George O'Malley   Miranda Bailey   Richard Webber   Derek Shepherd   Preston Burke   Addison Montgomery   Mark Sloan   Callie Torres   Lexie Grey   Erica Hahn   Owen Hunt   Sadie Harris   Arizona Robbins   Teddy Altman   Jackson Avery   April Kepner   Amelia Shepherd   Stephanie Edwards   Maggie Pierce       Other     Awards and nominations   Soundtrack   Video game   Private Practice   A Corazón Abierto ( Mexican telenovela )   A Corazón Abierto ( Colombian telenovela )         Portal        Retrieved from `` https://en.wikipedia.org/w/index.php?title=Derek_Shepherd&amp;oldid=807598253 '' Categories :   Grey 's Anatomy characters   Fictional surgeons   Fictional characters from New York ( state )   Fictional characters introduced in 2005   Fictional American people of Irish descent   Hidden categories :   Wikipedia articles with plot summary needing attention from November 2010   All Wikipedia articles with plot summary needing attention   Pages using deprecated image syntax   All articles with unsourced statements   Articles with unsourced statements from July 2012           Talk                                           Contents                   About Wikipedia                                           Español   فارسی   Français   Italiano   Македонски   Nederlands   Polski   Português   Српски / srpski   Suomi   Edit links   This page was last edited on 29 October 2017 , at 00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</si>
  <si>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happens to dr shepherd on grey's</t>
  </si>
  <si>
    <t xml:space="preserve"> In season 11 , Derek is involved in a fatal car accident while driving to the airport for his final trip to Washington . He is able to hear and process auditory input , but unable to speak . He is recognized by Winnie , one of the victims of a crash he assisted in earlier , who tells the surgeons that their patient 's name is Derek and that he is a surgeon as well . The hospital he was taken to was understaffed and his head injury was not detected quickly enough by the interns on duty that night . Although the neurosurgeon on call is paged multiple times , he takes too long to arrive and Derek is declared brain dead . Police arrive at Meredith 's door and take her to see Derek , where she consents to removing him from life support . At the time of his death , Meredith was pregnant with their third child . She gives birth to a daughter whom she names Ellis after her mother . </t>
  </si>
  <si>
    <t xml:space="preserve">The 100 ( novel series ) - wikipedia  The 100 ( novel series )     The 100 ( novel series )   The 100 's first edition cover     The 100 Day 21 Homecoming Rebellion     Author   Kass Morgan     Country   United States     Language   English     Publisher   Little , Brown Books for Young Readers     Published   September 3 , 2013 September 25 , 2014 February 26 , 2015 December 6 , 2016     Media type   Print ( hardcover , paperback )     No. of books       The 100 is a series of young adult science fiction novels by Kass Morgan . The first book in the series , The 100 , was published on September 3 , 2013 , by Little , Brown Books for Young Readers . Day 21 , its sequel , was released on September 25 , 2014 , and Homecoming was released on February 26 , 2015 . A fourth novel , Rebellion , was released on December 6 , 2016 .   Prior to the publication of the first book , television producer Jason Rothenberg became interested in adapting the story for the screen . The eponymous TV series adaptation premiered on March 19 , 2014 , on The CW Network , starring Eliza Taylor and Bob Morley as Clarke Griffin and Bellamy Blake , respectively .   Contents    1 Plot   1.1 The 100   1.2 The 100 : Day 21   1.3 The 100 : Homecoming   1.4 The 100 : Rebellion     2 Reception   3 Television adaptation   4 References   5 External links    Plot ( edit )  A boxed set of the four books of The 100 .  The 100 ( edit )   The series is set three generations after a thermonuclear apocalypse , wherein the only known survivors of the human race live in a space colony consisting of satellites joined together in orbit around the Earth and governed by The Chancellor , who leads its legislative council . Resources are so scarce that all crimes , no matter how small , are punishable by death , unless the perpetrator is under 18 years of age .   The 100 begins with Clarke Griffin , a former medical student , being arrested for a crime committed by her parents : conducting illegal experiments on children under threat of the corrupt Vice Chancellor Rhodes . Clarke confides in her best friend Wells , The Chancellor 's son . Despite swearing secrecy to Clarke , Wells tells his father , hoping to save the Griffins from Rhodes . His plan backfires , the Griffins are arrested , and his relationship with Clarke disintegrates . Two years later , the Colony decides to send 100 of its teenage prisoners to investigate whether or not Earth is habitable . Among the 100 are Clarke , Wells , Octavia Blake , her older brother Bellamy Blake , and Clarke 's friend , Thalia .   The group crashes somewhere on the East Coast in the former United States . Once there , the 100 struggle to survive in a world very different from the past Earth . Clarke tends to the wounded , and Bellamy gradually develops a romantic interest in her . It is revealed that Octavia had become a drug addict while in prison . A few days later , someone sets fire to the camp , killing Thalia . As the survivors investigate , they discover a farm not too far from the site , leading them to the realization that they are not alone .   The 100 : Day 21 ( edit )   Twenty - one days after they land on Earth , the 100 continue to face recurring attacks from an unknown enemy . Octavia has been missing since the fire . Wells tries to maintain morale , while Bellamy tries to find his sister . The 100 find an Earthborn girl , Sasha Walgrove , and hold her hostage . Sasha tells them that they have landed in the former state of Virginia , and that there are people from the Colony who arrived before the 100 . Bellamy believes that Sasha 's people are responsible for Octavia 's disappearance and demands that Sasha reveal their location . Wells and Sasha bond , and Sasha helps Wells find food for the surviving colonists .   In space , the people of the Colony fight to get into their drop ships as the space station 's life support begins to fail ; Clarke and Wells ' friends , Glass and Luke , are among the people desperately trying to get to Earth . However , they find themselves at the mercy of Vice Chancellor Rhodes , who is willing to kill to get into one of the dropships .   Sasha leads Clarke and Bellamy to a colony beneath the ruins of Mount Weather Emergency Operations Center . There , they meet her father , Max Walgrove , who is the leader of the colony . Octavia is at Mount Weather , having been rescued by Max and his people from a group of renegades . These renegades are responsible for the attacks on the 100 . Max and his people promise that they will continue helping the 100 , and will provide further support once the rest of the Colony arrives . At this point , they find dropships from the Colony falling from the sky .   Wells eventually realizes that there is something familiar about Bellamy and Octavia ; ultimately , he discovers that their mother was Melinda Blake , the woman his father had loved before marrying Wells ' mother for the sake of his career . This discovery leads Wells and Bellamy to realize that they are paternal half - brothers .   The 100 : Homecoming ( edit )   After the dropships crash , Clarke , Bellamy , and Wells lead a rescue party to the crash site , allowing Clarke and Wells to reunite with Glass and Luke . Clarke ponders leaving the camp to search for her parents . The Chancellor , still in a coma , remains trapped in the Colony above Earth . Vice Chancellor Rhodes takes control over the community on Earth , planning to force Luke to execute Bellamy , as a warning to anyone attempting to challenge him .   With Sasha 's help , Clarke and Wells escape with the wounded Bellamy . In addition , Glass and Luke flee the camp to escape Vice Chancellor Rhodes . One of Rhodes ' men kills Sasha when she tries to get more supplies . Rhodes plans to attack Mount Weather to recapture Bellamy , Clarke , and Wells . As Mount Weather prepares for Rhodes ' attack , some of the Colonists revolt and join their benefactors against Rhodes . Clarke , Bellamy , and Wells are captured during the initial exchange , but another faction of Earthborns defeat and capture Rhodes before he can execute Bellamy . Later , more colonists from other dropships arrive , and one of the arrivals informs Wells that his father was still in a coma , with only a few hours of oxygen left when their dropship departed .   Before Sasha 's funeral , Clarke reunites with her parents at Mount Weather . She reconciles with Wells but will not resume their past relationship because she is romantically involved with Bellamy .   The 100 : Rebellion ( edit )   A fourth novel , Rebellion , was released on December 6 , 2016 . A month after the previous novel , Bellamy begins showing signs of what Clarke thinks is paranoia when he obsesses over small details in the woods . However , a group of self - proclaimed `` Protectors '' infiltrates their camp and abducts several of its inhabitants , including Wells , Glass and Octavia . As Clarke and Bellamy organize a rescue team to take their new enemy down , their relationship is put to the ultimate test when Bellamy does n't think Clarke trusts him .   Eventually , the rescue team and prisoners are able to take the Protectors down as a team effort and in the aftermath , Clarke and Bellamy make up and with her parents ' blessing , he asks her to marry him .   Reception ( edit )   Publisher Weekly commented that Morgan 's flair for the dramatic in The 100 `` can be forced , but it 's easy to be drawn in '' . In addition , Booklist calls The 100 `` dark and riveting '' , blending `` science fiction , romance , and characters ' shadow sides with a mostly engrossing plotline . The 100 reached # 13 on The New York Times ' Young Adult Best Seller List .   Kirkus Reviews commented Day 21 is `` faster paced than '' its predecessor .   Television adaptation ( edit )  Main article : The 100 ( TV series )  On May 9 , 2013 , The CW Television Network announced that the pilot was officially ordered to series for the 2013 -- 14 American television season . The series is developed by Jason Rothenberg , and premiered on March 19 , 2014 . In March 2017 , The CW renewed the series for a fifth season , which premiered on April 24 , 2018 . In May 2018 , the series was renewed for a sixth season .   References ( edit )    Jump up ^ `` The 100 By Kass Morgan ( Hardcover Book , 2013 ) '' . Little , Brown Books for Young Readers . Archived from the original on October 19 , 2014 . Retrieved October 17 , 2014 .   Jump up ^ `` Day 21 By Kass Morgan ( Hardcover Book , 2014 ) '' . Little , Brown Books for Young Readers . Retrieved October 17 , 2014 .   Jump up ^ `` Homecoming By Kass Morgan ( Trade Paperback , 2015 ) '' . Little , Brown Books for Young Readers . Retrieved October 17 , 2014 .   ^ Jump up to : `` Kass Morgan to Continue The 100 Series with ' Rebellion ' '' . Entertainment Weekly . Retrieved May 9 , 2016 .   Jump up ^ Bibel , Sara ( December 12 , 2013 ) . `` The CW Sets Midseason Schedule &amp; New Series Premiere Dates ; ' The Tomorrow People ' Moving to Monday '' . TV by the Numbers ( Press release ) . Retrieved December 21 , 2013 .   Jump up ^ `` Children 's Book Review : The 100 by Kass Morgan '' . Publishersweekly.com:8080 . August 2 , 2013 . Retrieved April 17 , 2014 .   Jump up ^ Trevelyan , Julie . `` The 100 '' . Booklist. 1 ( 110 ) : 111 .   Jump up ^ `` Young Adult Books - Best Sellers - April 6 , 2014 '' . The New York Times . 2014 - 04 - 06 . Retrieved 2017 - 04 - 05 .   Jump up ^ `` DAY 21 '' . Kirkus Reviews . 20 ( 82 ) : 468 .   Jump up ^ Bibel , Sara ( December 12 , 2013 ) . `` The CW Sets Midseason Schedule &amp; New Series Premiere Dates ; ' The Tomorrow People ' Moving to Monday '' . TV by the Numbers ( Press release ) . Retrieved December 21 , 2013 .   Jump up ^ Andreeva , Nellie ( March 10 , 2017 ) . `` ' The 100 ' Renewed For Season 5 By CW '' . Deadline Hollywood . Archived from the original on March 10 , 2017 . Retrieved March 10 , 2017 .   Jump up ^ Andreeva , Nellie ( January 7 , 2018 ) . `` The CW Sets ' Life Sentence ' , ' iZombie ' , ' The 100 ' &amp; ' The Originals ' Premiere Dates , Moves ' Dynasty ' To Friday -- TCA '' . Deadline Hollywood . Retrieved January 8 , 2018 .   Jump up ^ Turchiano , Danielle ( May 7 , 2018 ) . `` ' The 100 ' Renewed for Season 6 by CW '' . Variety . Retrieved May 8 , 2018 .    External links ( edit )    Official Tumblr        Wikiquote has quotations related to : The 100    Retrieved from `` https://en.wikipedia.org/w/index.php?title=The_100_(novel_series)&amp;oldid=864702888 '' Categories :   Young adult novel series   2013 American novels   2014 American novels   2015 American novels   2016 American novels   The 100   American adventure novels   American post-apocalyptic novels   American young adult novels   Debut novels   Novels about colonialism   Novels set in Virginia   World War III speculative fiction   Hidden categories :   Use mdy dates from April 2015           Talk                                           Contents                   About Wikipedia                                           Wikiquote       Español   Français   Italiano   Edit links   This page was last edited on 18 October 2018 , at 22 : 10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</si>
  <si>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book 2 of the 100 come out</t>
  </si>
  <si>
    <t xml:space="preserve"> The 100 is a series of young adult science fiction novels by Kass Morgan . The first book in the series , The 100 , was published on September 3 , 2013 , by Little , Brown Books for Young Readers . Day 21 , its sequel , was released on September 25 , 2014 , and Homecoming was released on February 26 , 2015 . A fourth novel , Rebellion , was released on December 6 , 2016 . </t>
  </si>
  <si>
    <r>
      <rPr>
        <sz val="11"/>
        <color rgb="FF000000"/>
        <rFont val="Calibri"/>
        <family val="0"/>
        <charset val="1"/>
      </rPr>
      <t xml:space="preserve">Nissan Armada - wikipedia  Nissan Armada  Jump to : navigation , search    Nissan Armada         Overview     Manufacturer   Nissan     Production   August 14 , 2003 -- present     Model years   2004 -- present     Body and chassis     Class   Full - size SUV     Body style   4 - door SUV     Layout   Front engine , rear - wheel drive / four - wheel drive     The Nissan Armada is a full - size SUV . An upscale version of the Armada is sold as the Infiniti QX80 . From 2003 to 2015 the Armada was assembled in Canton , Mississippi based on the Nissan Titan . From mid-2016 onwards , the Armada has been built in Yukuhashi , Kyushu , Japan and shares the same platform as the Nissan Patrol , with American - specific modifications , and went on sale in late Summer 2016 as a 2017 model .     Contents  ( hide )   1 First generation ( 2003 -- 2016 )   2 Second generation ( 2016 -- present )   3 References   4 External links      First generation ( 2003 -- 2016 ) ( edit )     Nissan Armada ( WA60 )     2008 Nissan Armada     Overview     Also called   Nissan Pathfinder Armada ( until 2004 )     Production   August 14 , 2003 -- 2016     Model years   2004 -- 2016     Assembly   Canton , Mississippi ( Nissan USA )     Designer   Toshio Yamashita , Diane Allen , Giovanny Arroba ( 2001 )     Body and chassis     Layout   Front engine , rear - wheel drive / four - wheel drive     Platform   Nissan F - Alpha platform     Related   Infiniti QX56 ( 2004 -- 2010 ) Nissan Titan Nissan Frontier Nissan Xterra Nissan Pathfinder ( 2005 -- 2012 )     Powertrain     Engine   5.6 L VK56DE V8     Transmission   5 - speed automatic ( RE5R05A )     Dimensions     Wheelbase   123.2 in ( 3129 mm )     Length   2003 -- 2007 : 206.9 in ( 5255 mm ) 2007 -- 2015 : 207.7 in ( 5,276 mm )     Width   2003 -- 2007 : 78.8 in ( 2002 mm ) 2007 -- 2015 : 79.3 in ( 2,014 mm )     Height   2003 -- 2007 : 78.7 in ( 1999 mm ) 2007 -- 2015 2WD : 77.2 in ( 1,961 mm ) 2007 -- 2015 4WD : 78.0 in ( 1,981 mm )     Developed under Carlos Ghosn 's NRP ( Nissan Revival plan ) , using the platform code WA60 , from September 1999 to 2003 under lead designers Shiro Nakamura and Diane Allen and chief engineers Yuzo Sakita and Larry Dominique , the 2004 model Pathfinder Armada was unveiled on April 17 , 2003 at the New York Auto Show . In January 2001 , a final exterior design by Giovanny Arroba was approved by Sakita , Allen , Nakamura , and Nissan executive management , with the final design freeze being completed in July 2001 alongside . Prototypes based on the Y61 Patrol were hand - assembled as mules from 2001 , with the first WA60 - specific prototypes being completed and sent to testing in early 2002 . Design patents were filed in 2003 , with production starting on August 14 , 2003 and going on sale on October 1 , 2003 . The Armada had a 5.6 L , 317 hp ( 236 kW ) , 385 lb ⋅ ft ( 522 N ⋅ m ) torque VK56DE V8 engine , a 5 - speed automatic transmission , and a choice of rear - wheel drive or four - wheel drive . The switch to the Armada name occurred in September 2004 , where it received new badges . A facelift was designed through 2005 , being introduced in early 2007 for the 2008 model year .   The rear door handles are installed on the `` C '' pillar as a Nissan design tradition started with the 1986 Nissan Pathfinder . When the four - door Pathfinder was introduced , Nissan chose to conceal the door handles as a part of the `` C '' pillar trim to visually make it appear like a two - door truck with a camper shell , with conventional door handles on the front doors .   The latest Nissan Armada Platinum edition features a 9.3 GB hard drive for storing music , and a CF ( Compact Flash ) memory card reader . The Platinum edition also features a power liftgate , and 3rd row seats that fold electronically .   It has a towing capacity of up to 9,000 lb ( 4,000 kg ) .   There are some Armadas that are capable of using E85 . It was the only Japanese vehicle sold in the U.S. other than the Nissan Titan that can use E85 until the introduction of the E85 capable Toyota UR engine powered Toyota Tundra and Toyota Sequoia in 2008 . The 2009 Armada has been updated with more standard features and options .   In 2010 , new changes were introduced for the 2011 model year Armada , with two trim levels , SE and Off - Road , dropped from the lineup . The base trim is now known as SV , the middle trim is now SL , and the range topping trim is still Platinum . Prices range from $37,910 for the 2WD SV to $52,890 for the 4WD Platinum . In addition , while the Armada continues to be produced in the United States , it no longer shares the same platform as the Infiniti QX56 , which is now produced in Japan .   The 2013 model year changes include Bluetooth and satellite radio standard on all models . The Platinum model trim will offer a new Platinum reserve package . A new navigation system that has a larger hard disk drive ( 40 GB ) , is NavWeather capable , has Zagat Survey , has the ability to stream audio from Bluetooth and a USB port . The Nissan DVD Entertainment System now uses screens mounted in the back of the front head restraints replacing the previous single - screen system .   A minor update was issued in 2014 for the 2015 model year , resulting in new interior door panels and other minor changes .   The Nissan Armada ( WA60 ) was sold in the United States ( including all US territories ) , Canada , Mexico , and the Middle East in LHD only .   Second generation ( 2016 -- present ) ( edit )     Nissan Armada ( Y62 )     2017 Nissan Armada in platinum trim     Overview     Manufacturer   Nissan     Production   June 2016 -- present     Assembly   Yukuhashi , Japan ( Nissan Shatai Kyushu Plant )     Designer   Taisuke Nakamura , Shinya Momokawa , Minoru Yoshida , Sugita Akihiro ( 2013 )     Body and chassis     Class   Full - size SUV     Body style   4 - door SUV     Layout   Front engine , rear - wheel drive / four - wheel drive     Platform   Y62 / Nissan F - Alpha platform     Related   Nissan Patrol Y62 Infiniti QX56 / QX80 Nissan Titan ( second generation ) Nissan NV     Powertrain     Engine   5.6 L VK56VD V8     Transmission   7 - speed automatic     Dimensions     Wheelbase   3075 mm ( 121.1 inches )     Length   5305 mm ( 208.9 inches )     Width   2030 mm ( 79.9 inches )     Height   1925 mm ( 75.8 inches )     On August 28 , 2013 , Nissan announced that the next generation Armada would be based on the next - generation Titan and remain a body - on - frame full - size SUV . By 2015 , Nissan announced that the 2015 models would be continued to be sold into the 2016 calendar year .  Rear view  On February 10 , 2016 , Nissan unveiled the second generation Armada at the Chicago Auto Show , and went on sale in August 2016 as a 2017 model . This version is based on the Nissan Patrol and Infiniti QX80 , and is assembled in Japan , except for the Endurance V8 engine , which is assembled in Decherd , Tennessee . The Armada grew in length and width , but the wheelbase and height were moderately reduced . In addition to the Endurance V8 , a seven - speed transmission was introduced to improve fuel economy , acceleration and torque , along with an increase in horsepower from 317 to 390 hp at 5,200 rpm . The exterior moderately differs from the updated Patrol , that was introduced in early 2014 . As with the previous generation , the Armada continued to offer 2WD and 4WD and available in SV , SL , and Platinum trims .   The move is part of Nissan 's plan to have the Armada and Patrol share the same global platform instead of sharing the platform with the American - built Titan , due to Nissan investing in expansion of its truck production in Mississippi .   References ( edit )    Jump up ^ http://www.autonews.com/article/20010625/ANA/106250739?template=print   Jump up ^ http://www.trucktrend.com/news/112-030925-armada/   Jump up ^ http://nissannews.com/en-US/nissan/usa/channels/facilities-canton/videos/report-production-of-the-all-new-nissan-murano-underway-in-mississippi   Jump up ^ `` Nissan wo n't downsize the next Armada '' from Autoblog ( August 28 , 2013 )   Jump up ^ `` The 2016 Nissan lineup : Charting the changes '' . Nissan Official Media Newsroom. 18 August 2015 . Retrieved 13 September 2015 .   Jump up ^ 2017 Nissan Armada Press Kit from Nissan US   Jump up ^ `` 2017 Nissan Armada full - size SUV debuts on eve of Chicago Auto Show '' from Chicago Tribune ( February 10 , 2016 )   Jump up ^ `` 2017 Nissan Armada prepares to Patrol the US '' from Autoblog ( February 10 , 2016 )    External links ( edit )       Wikimedia Commons has media related to Nissan Armada .      Official Nissan Armada website              Nissan Motor Company     Marques     Current   Datsun   Infiniti   Nissan   Venucia   Defunct / Integrated   Prince   Kurogane   Aichi   Shatai   Sold   Nissan Diesel       Divisions and subsidiaries     Autech   Infiniti   Nismo   Nissan Motor India Private Limited   Nissan Motor Manufacturing UK       Joint ventures     Dongfeng Motor Co. , Ltd. ( 50 % )   Ghandhara Nissan   Nissan Motor Indonesia   Nissan Philippines   Renault -- Nissan -- Mitsubishi Alliance   Tan Chong Motor       Shareholdings     Mitsubishi Motors ( 34 % )       Current Datsun vehicles     redi - Go   Go   Go+   on - Do   mi - Do       Current Nissan vehicles      Cars     370Z / Fairlady Z   Altima / Teana   Cima   Dayz   Fuga   GT - R   Lannia   Latio / Versa Sedan / Almera / Sunny   Leaf   Livina / Grand Livina   March / Micra   Maxima   Note / Versa Note   Pulsar C12 / Tiida   Sentra / Sylphy / Pulsar B17   Skyline       Pickup Trucks     Clipper Truck   Frontier / Navara   NP200   Patrol Cab Chassis   Titan       SUVs / Crossovers     Armada   Juke   Kicks   Murano   Pathfinder   Patrol   Patrol Y61   Qashqai / Rogue Sport   Rogue   Terra   Terrano   X-Trail   Xterra       Vans / Minivans     Caravan   Cube   Elgrand   NV100   NV150 AD   NV200 / Evalia   NV300   NV350   NV400   NV1500   NV2500 HD   NV3500 HD   Serena       Commercial trucks     NT100 Clipper   NT400 Cabstar   NT450 Atlas       Buses     Civilian          Discontinued vehicles     DC - 3   100NX   180SX   200SX   B - 210   240SX   240Z   280ZX   300C   300ZX   310   350Z   510   810   1200   Almera Tino   Altra ( EV )   Aprio   Atleon   Auster   Avenir   Bassara   Be-1   Bluebird   Caball   Cablight   Cedric   Cefiro   Cherry   Crew   Datsun Truck   Dualis   Echo   Expert   Fairlady   Figaro   Gazelle   Gloria   Hardbody Truck   Homy   Hypermini   Interstar   Junior   Kubistar   Lafesta   Largo   Laurel   Leopard   Liberty   Mistral   Moco   Multi   Murano CrossCabriolet   NX   NT500   Paladin   Pao   Pino   Pintara   Platina   Prairie   Presage   Presea   Primastar   Primera   Prince Royal   President   Pulsar EXA   Pulsar GTI - R   Quest   R390 GT1   R'nessa   Rasheen   Roadster - Road Star   S - Cargo   Saurus   Saurus Jr   Sileighty   Silvia   Skyline Crossover   Skyline GT - R   Stagea   Stanza   Terrano   Terrano II   Trade   Vanette   Violet   Wingroad       Concept vehicles     126X   216X   240Z Concept   270X   300 Bambu   300 Seta   300XM   315 - a   AA - X   Actic   AD - 1   AD - 2   AL - X   Alpha T   Amenio   AP - X   AQ - X   ARC - X   AXY   AZEAL   Bevel   BladeGlider   Boga   C - Note   Chapeau   Chappo   Cocoon   Compact Sport   CONCEPT 2020 Vision Gran Turismo   CQ - X   Crossbow   CUE - X   Cypact   Denki Cube   Duad   Dunehawk   Effis   Ellure   Esflow   ESV   EV Guide II   EV Truck   Evalia   Extrem   FEV   FEV - II   Foria   Forum   Friend - ME   Fusion   Gobi   GR - 1   GR - 2   Gripz   Hi - Cross   ideo   IDS   IDx   IMx   Intima   Invitation   Jikoo   Judo   Jura   Kicks   Kino   KYXX   Land Glider   LEAF   LUC - 2   MID4   Mixim   mm. e   Moco   Nails   NCS   NEO-X   NRV - II   Nuvu   NV2500   NX - 018   NX - 21   Pivo   Pivo 2   Pivo 3   Qazana   Redigo   Resonance   Round Box   Saurus   Serenity   Sport Concept   Sport Sedan   Stylish VI   SUT   Sway   TeRRA   Terranaut   Tone   Townpod   Trailrunner   TRI-X   URGE   UV - X   Xmotion   XIX   XVL   Yanya   Z Concept   Zaroot       Engines      Straight - 3     HR   UD       Straight - 4       BD     CA   CD   CG   CR       FJ     GA   GB     HR     KA     LD   MA   MR   NA   QD   QG   QR   SD   SR   TD   UD   YD   Z   ZD       Straight - 6     FD       LD     RB   RD   S20   SD   TB   TD   UD       V     V6   VE   VG   VQ   VR   V8   UD   VEJ30   VH   VK   VRH35   W64   Y   V12   GRX - 3   UD   VRT35          Places     Nissan Engine Museum   Nissan Proving Grounds   Nissan Stadium ( Nashville )   Nissan Stadium ( Yokohama )       Other     ATTESA   CarWings   dCi   HICAS   NAPS   VVEL   VVL   Yokohama F. Marinos         A brand of Dongfeng Motor Co. , Ltd .       Commons                 Nissan light truck timeline , North American market , 1980s -- present     Type   1980s   1990s   2000s   2010s     Model year   0           5   6   7   8   9   0           5   6   7   8   9   0           5   6   7   8   9   0           5   6   7   8     Mini MPV         Cube       Compact minivan     Stanza Wagon / Multi   Axxess           Subcompact crossover SUV           Juke   Kicks     Compact crossover SUV         Rogue   Rogue Select     Rogue Sport / Qashqai             Rogue / X-Trail     Mid-size crossover SUV         Murano     Murano   Murano             Pathfinder     Compact SUV         X-Trail   X-Trail           Xterra   Xterra       Mid-size SUV     Pathfinder   Pathfinder   Pathfinder       Full - size SUV         Armada   Armada     Minivan     Van     Quest   Quest     Quest     Quest       Van           NV200             NV     Pick - up   Datsun Truck   Hardbody Truck   Frontier   Frontier             NP300           Titan   Titan     Note   Vehicle sold only in Mexico    Retrieved from `` https://en.wikipedia.org/w/index.php?title=Nissan_Armada&amp;oldid=841251596 '' Categories :   Nissan vehicles   Sport utility vehicles   Full - size sport utility vehicles   All - wheel - drive vehicles   Rear - wheel - drive vehicles   2000s automobiles   Cars introduced in 2003   Motor vehicles manufactured in the United States   2010s automobiles           Talk                                           Contents                   About Wikipedia                                                 Afrikaans     Deutsch   Español   فارسی   Français   Bahasa Indonesia   </t>
    </r>
    <r>
      <rPr>
        <sz val="11"/>
        <color rgb="FF000000"/>
        <rFont val="Noto Sans CJK SC"/>
        <family val="2"/>
      </rPr>
      <t xml:space="preserve">日本 語   </t>
    </r>
    <r>
      <rPr>
        <sz val="11"/>
        <color rgb="FF000000"/>
        <rFont val="Calibri"/>
        <family val="0"/>
        <charset val="1"/>
      </rPr>
      <t xml:space="preserve">Polski   Português   Русский   Suomi   Türkçe   Українська  5 more  Edit links   This page was last edited on 14 May 2018 , at 19 : 37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</si>
  <si>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nissan armada body style change</t>
  </si>
  <si>
    <t xml:space="preserve"> On February 10 , 2016 , Nissan unveiled the second generation Armada at the Chicago Auto Show , and went on sale in August 2016 as a 2017 model . This version is based on the Nissan Patrol and Infiniti QX80 , and is assembled in Japan , except for the Endurance V8 engine , which is assembled in Decherd , Tennessee . The Armada grew in length and width , but the wheelbase and height were moderately reduced . In addition to the Endurance V8 , a seven - speed transmission was introduced to improve fuel economy , acceleration and torque , along with an increase in horsepower from 317 to 390 hp at 5,200 rpm . The exterior moderately differs from the updated Patrol , that was introduced in early 2014 . As with the previous generation , the Armada continued to offer 2WD and 4WD and available in SV , SL , and Platinum trims . </t>
  </si>
  <si>
    <t xml:space="preserve">Down syndrome - wikipedia  Down syndrome  Jump to : navigation , search    Down syndrome     Synonyms   Down 's syndrome , Down 's , trisomy 21         A boy with Down syndrome assembling a bookcase     Specialty   Medical genetics , pediatrics     Symptoms   Delayed physical growth , characteristic facial features , mild to moderate intellectual disability     Causes   Third copy of chromosome 21 .     Risk factors   Older mother     Diagnostic method   Prenatal screening , genetic testing     Treatment   Educational support , sheltered work environment     Prognosis   Life expectancy 50 to 60 ( developed world )     Frequency   5.4 million ( 0.1 % )     Deaths   26,500 ( 2015 )     ( edit on Wikidata )     Down syndrome ( DS or DNS ) , also known as trisomy 21 , is a genetic disorder caused by the presence of all or part of a third copy of chromosome 21 . It is typically associated with physical growth delays , characteristic facial features and mild to moderate intellectual disability . The average IQ of a young adult with Down syndrome is 50 , equivalent to the mental ability of an 8 - or 9 - year - old child , but this can vary widely .   The parents of the affected individual are typically genetically normal . The extra chromosome occurs by chance . The possibility increases from less than 0.1 % in 20 - year - old mothers to 3 % in those age 45 . There is no known behavioral activity or environmental factor that changes the possibility . Down syndrome can be identified during pregnancy by prenatal screening followed by diagnostic testing or after birth by direct observation and genetic testing . Since the introduction of screening , pregnancies with the diagnosis are often terminated . Regular screening for health problems common in Down syndrome is recommended throughout the person 's life .   There is no cure for Down syndrome . Education and proper care have been shown to improve quality of life . Some children with Down syndrome are educated in typical school classes , while others require more specialized education . Some individuals with Down syndrome graduate from high school and a few attend post-secondary education . In adulthood , about 20 % in the United States do paid work in some capacity with many requiring a sheltered work environment . Support in financial and legal matters is often needed . Life expectancy is around 50 to 60 years in the developed world with proper health care .   Down syndrome is one of the most common chromosome abnormalities in humans . It occurs in about one per 1000 babies born each year . In 2015 , Down syndrome was present in 5.4 million individuals and resulted in 27,000 deaths down from 43,000 deaths in 1990 . It is named after John Langdon Down , the British doctor who fully described the syndrome in 1866 . Some aspects of the condition were described earlier by Jean - Étienne Dominique Esquirol in 1838 and Édouard Séguin in 1844 . In 1957 , the genetic cause of Down syndrome , an extra copy of chromosome 21 , was discovered .  Play media Video explanation  Contents  ( hide )   1 Signs and symptoms   1.1 Physical   1.2 Neurological   1.3 Senses   1.4 Heart   1.5 Cancer   1.6 Endocrine   1.7 Gastrointestinal   1.8 Teeth   1.9 Fertility     2 Genetics   2.1 Trisomy 21   2.2 Translocation     3 Mechanism   3.1 Epigenetics     4 Screening   4.1 Ultrasound   4.2 Blood tests     5 Diagnosis   5.1 Before birth   5.2 Abortion rates   5.3 After birth     6 Management   6.1 Health screening   6.2 Cognitive development   6.3 Other     7 Prognosis   8 Epidemiology   9 History   10 Society and culture   10.1 Name   10.2 Ethics   10.3 Advocacy groups     11 Research   12 References   13 External links    Signs and symptoms  A drawing of the facial features of a baby with Down syndrome An eight - year - old boy with Down syndrome  Those with Down syndrome nearly always have physical and intellectual disabilities . As adults , their mental abilities are typically similar to those of an 8 - or 9 - year - old . They also typically have poor immune function and generally reach developmental milestones at a later age . They have an increased risk of a number of other health problems , including congenital heart defect , epilepsy , leukemia , thyroid diseases , and mental disorders , among others .     Characteristics   Percentage   Characteristics   Percentage     Mental impairment   99 %   Abnormal teeth   60 %     Stunted growth   90 %   Slanted eyes   60 %     Umbilical hernia   90 %   Shortened hands   60 %     Increased skin back of neck   80 %   Short neck   60 %     Low muscle tone   80 %   Obstructive sleep apnea   60 %     Narrow roof of mouth   76 %   Bent fifth finger tip   57 %     Flat head   75 %   Brushfield spots in the iris   56 %     Flexible ligaments   75 %   Single transverse palmar crease   53 %     Proportionally large tongue   75 %   Protruding tongue   47 %     Abnormal outer ears   70 %   Congenital heart disease   40 %     Flattened nose   68 %   Strabismus   ~ 35 %     Separation of first and second toes   68 %   Undescended testicles   20 %     Physical  Feet of a boy with Down syndrome  People with Down syndrome may have some or all of these physical characteristics : a small chin , slanted eyes , poor muscle tone , a flat nasal bridge , a single crease of the palm , and a protruding tongue due to a small mouth and relatively large tongue . These airway changes lead to obstructive sleep apnea in around half of those with Down syndrome . Other common features include : a flat and wide face , a short neck , excessive joint flexibility , extra space between big toe and second toe , abnormal patterns on the fingertips and short fingers . Instability of the atlantoaxial joint occurs in about 20 % and may lead to spinal cord injury in 1 -- 2 % . Hip dislocations may occur without trauma in up to a third of people with Down syndrome .   Growth in height is slower , resulting in adults who tend to have short stature -- the average height for men is 154 cm ( 5 ft 1 in ) and for women is 142 cm ( 4 ft 8 in ) . Individuals with Down syndrome are at increased risk for obesity as they age . Growth charts have been developed specifically for children with Down syndrome .   Neurological   Most individuals with Down syndrome have mild ( IQ : 50 -- 69 ) or moderate ( IQ : 35 -- 50 ) intellectual disability with some cases having severe ( IQ : 20 -- 35 ) difficulties . Those with mosaic Down syndrome typically have IQ scores 10 -- 30 points higher . As they age , people with Down syndrome typically perform less well than their same - age peers . Some after 30 years of age may lose their ability to speak . This syndrome causes about a third of cases of intellectual disability . Many developmental milestones are delayed with the ability to crawl typically occurring around 8 months rather than 5 months and the ability to walk independently typically occurring around 21 months rather than 14 months .   Commonly , individuals with Down syndrome have better language understanding than ability to speak . Between 10 and 45 % have either a stutter or rapid and irregular speech , making it difficult to understand them . They typically do fairly well with social skills . Behavior problems are not generally as great an issue as in other syndromes associated with intellectual disability . In children with Down syndrome , mental illness occurs in nearly 30 % with autism occurring in 5 -- 10 % . People with Down syndrome experience a wide range of emotions . While people with Down syndrome are generally happy , symptoms of depression and anxiety may develop in early adulthood .   Children and adults with Down syndrome are at increased risk of epileptic seizures , which occur in 5 -- 10 % of children and up to 50 % of adults . This includes an increased risk of a specific type of seizure called infantile spasms . Many ( 15 % ) who live 40 years or longer develop Alzheimer disease . In those who reach 60 years of age , 50 -- 70 % have the disease .   Senses  Brushfield spots , visible in the irises of a baby with Down syndrome  Hearing and vision disorders occur in more than half of people with Down syndrome . Vision problems occur in 38 to 80 % . Between 20 and 50 % have strabismus , in which the two eyes do not move together . Cataracts ( cloudiness of the lens of the eye ) occur in 15 % , and may be present at birth . Keratoconus ( a thin , cone - shaped cornea ) and glaucoma ( increased eye pressure ) are also more common , as are refractive errors requiring glasses or contacts . Brushfield spots ( small white or grayish / brown spots on the outer part of the iris ) are present in 38 to 85 % of individuals .   Hearing problems are found in 50 -- 90 % of children with Down syndrome . This is often the result of otitis media with effusion which occurs in 50 -- 70 % and chronic ear infections which occur in 40 to 60 % . Ear infections often begin in the first year of life and are partly due to poor eustachian tube function . Excessive ear wax can also cause hearing loss due to obstruction of the outer ear canal . Even a mild degree of hearing loss can have negative consequences for speech , language understanding , and academics . Additionally , it is important to rule out hearing loss as a factor in social and cognitive deterioration . Age - related hearing loss of the sensorineural type occurs at a much earlier age and affects 10 -- 70 % of people with Down syndrome .   Heart   The rate of congenital heart disease in newborns with Down syndrome is around 40 % . Of those with heart disease , about 80 % have an atrioventricular septal defect or ventricular septal defect with the former being more common . Mitral valve problems become common as people age , even in those without heart problems at birth . Other problems that may occur include tetralogy of Fallot and patent ductus arteriosus . People with Down syndrome have a lower risk of hardening of the arteries .   Cancer   Although the overall risk of cancer is not changed , the risk of leukemia and testicular cancer is increased and risk of solid cancers is reduced . Solid cancers are believed to be less common due to increased expression of tumor suppressor genes present on chromosome 21 .   Cancers of the blood are 10 to 15 times more common in children with Down syndrome . In particular , acute lymphoblastic leukemia is 20 times more common and the megakaryoblastic form of acute myeloid leukemia is 500 times more common . Transient myeloproliferative disease , a disorder of blood cell production that does not occur outside of Down syndrome , affects 3 -- 10 % of infants . The disorder is typically not serious but occasionally can be . It resolves most times without treatment ; however , in those who have had it , a 20 to 30 % risk of developing acute lymphoblastic leukemia at a later time exists .   Endocrine   Problems of the thyroid gland occur in 20 -- 50 % of individuals with Down syndrome . Low thyroid is the most common form , occurring in almost half of all individuals . Thyroid problems can be due to a poorly or nonfunctioning thyroid at birth ( known as congenital hypothyroidism ) which occurs in 1 % or can develop later due to an attack on the thyroid by the immune system resulting in Graves ' disease or autoimmune hypothyroidism . Type 1 diabetes mellitus is also more common .   Gastrointestinal   Constipation occurs in nearly half of people with Down syndrome and may result in changes in behavior . One potential cause is Hirschsprung 's disease , occurring in 2 -- 15 % , which is due to a lack of nerve cells controlling the colon . Other frequent congenital problems include duodenal atresia , pyloric stenosis , Meckel diverticulum , and imperforate anus . Celiac disease affects about 7 -- 20 % and gastroesophageal reflux disease is also more common .   Teeth   Individuals with Down syndrome tend to be more susceptible to gingivitis as well as early , severe periodontal disease , necrotising ulcerative gingivitis , and early tooth loss , especially in the lower front teeth . While plaque and poor oral hygiene are contributing factors , the severity of these periodontal disease can not be explained solely by external factors . Research suggests that the severity is likely a result of a weakened immune system . The weakened immune system also contributes to increased incidence of yeast infections in the mouth ( from Candida albicans ) .   Individuals with Down syndrome also tend to have a more alkaline saliva resulting in a greater resistance to tooth decay , despite decreased quantities of saliva , less effective oral hygiene habits and higher plaque indexes .   Higher rates of tooth wear and bruxism are also common . Other common oral manifestations of Down syndrome include enlarged hypotonic tongue , crusted and hypotonic lips , mouth breathing , narrow palate with crowded teeth , class III malocclusion with an underdeveloped maxilla and posterior crossbite , delayed exfoliation of baby teeth and delayed eruption of adult teeth , shorter roots on teeth , and often missing and malformed ( usually smaller ) teeth . Less common manifestations include cleft lip and palate , enamel hypocalcification ( 20 % prevalence ) .   Fertility   Males with Down syndrome usually do not father children , while females have lower rates of fertility relative to those who are unaffected . Fertility is estimated to be present in 30 -- 50 % of females . Menopause typically occurs at an earlier age . The poor fertility in males is thought to be due to problems with sperm development ; however , it may also be related to not being sexually active . As of 2006 , three instances of males with Down syndrome fathering children and 26 cases of females having children have been reported . Without assisted reproductive technologies , around half of the children of someone with Down syndrome will also have the syndrome .   Genetics  Main article : Genetics of Down syndrome Karyotype for trisomy Down syndrome : Notice the three copies of chromosome 21  Down syndrome is caused by having three copies of the genes on chromosome 21 , rather than the usual two . The parents of the affected individual are typically genetically normal . Those who have one child with Down syndrome have about a 1 % risk of having a second child with the syndrome , if both parents are found to have normal karyotypes .   The extra chromosome content can arise through several different ways . The most common cause ( about 92 -- 95 % of cases ) is a complete extra copy of chromosome 21 , resulting in trisomy 21 . In 1.0 to 2.5 % of cases , some of the cells in the body are normal and others have trisomy 21 , known as mosaic Down syndrome . The other common mechanisms that can give rise to Down syndrome include : a Robertsonian translocation , isochromosome , or ring chromosome . These contain additional material from chromosome 21 and occur in about 2.5 % of cases . An isochromosome results when the two long arms of a chromosome separate together rather than the long and short arm separating together during egg or sperm development .   Trisomy 21   Trisomy 21 ( also known by the karyotype 47 , XX , + 21 for females and 47 , XY , + 21 for males ) is caused by a failure of the 21st chromosome to separate during egg or sperm development . As a result , a sperm or egg cell is produced with an extra copy of chromosome 21 ; this cell thus has 24 chromosomes . When combined with a normal cell from the other parent , the baby has 47 chromosomes , with three copies of chromosome 21 . About 88 % of cases of trisomy 21 result from nonseparation of the chromosomes in the mother , 8 % from nonseparation in the father , and 3 % after the egg and sperm have merged .   Translocation   The extra chromosome 21 material may also occur due to a Robertsonian translocation in 2 -- 4 % of cases . In this situation , the long arm of chromosome 21 is attached to another chromosome , often chromosome 14 . In a male affected with Down syndrome , it results in a karyotype of 46XY , t ( 14q21q ) . This may be a new mutation or previously present in one of the parents . The parent with such a translocation is usually normal physically and mentally ; however , during production of egg or sperm cells , a higher chance of creating reproductive cells with extra chromosome 21 material exists . This results in a 15 % chance of having a child with Down syndrome when the mother is affected and a less than 5 % probability if the father is affected . The probability of this type of Down syndrome is not related to the mother 's age . Some children without Down syndrome may inherit the translocation and have a higher probability of having children of their own with Down syndrome . In this case it is sometimes known as familial Down syndrome .   Mechanism   The extra genetic material present in DS results in overexpression of a portion of the 310 genes located on chromosome 21 . This overexpression has been estimated at around 50 % . Some research has suggested the Down syndrome critical region is located at bands 21q22. 1 -- q22. 3 , with this area including genes for amyloid , superoxide dismutase , and likely the ETS2 proto oncogene . Other research , however , has not confirmed these findings . microRNAs are also proposed to be involved .   The dementia which occurs in Down syndrome is due to an excess of amyloid beta peptide produced in the brain and is similar to Alzheimer 's disease . This peptide is processed from amyloid precursor protein , the gene for which is located on chromosome 21 . Senile plaques and neurofibrillary tangles are present in nearly all by 35 years of age , though dementia may not be present . Those with DS also lack a normal number of lymphocytes and produce less antibodies which contributes to their increased risk of infection .   Epigenetics   Down syndrome is associated with an increased risk of many chronic diseases that are typically associated with older age such as Alzheimer 's disease . The accelerated aging suggest that trisomy 21 increases the biological age of tissues , but molecular evidence for this hypothesis is sparse . According to a biomarker of tissue age known as epigenetic clock , trisomy 21 increases the age of blood and brain tissue ( on average by 6.6 years ) .   Screening   Guidelines recommend screening for Down syndrome to be offered to all pregnant women , regardless of age . A number of tests are used , with varying levels of accuracy . They are typically used in combination to increase the detection rate . None can be definitive , thus if screening is positive , either amniocentesis or chorionic villus sampling is required to confirm the diagnosis . Screening in both the first and second trimesters is better than just screening in the first trimester . The different screening techniques in use are able to pick up 90 to 95 % of cases with a false - positive rate of 2 to 5 % .   First - and second - trimester screening   Screen   Week of pregnancy when performed   Detection rate   False positive   Description     Combined test   10 -- 13.5 wks   82 -- 87 %   5 %   Uses ultrasound to measure nuchal translucency in addition to blood tests for free or total beta - hCG and PAPP - A     Quad screen   15 -- 20 wks   81 %   5 %   Measures the maternal serum alpha - fetoprotein , unconjugated estriol , hCG , and inhibin - A     Integrated test   15 -- 20 wks   94 -- 96 %   5 %   Is a combination of the quad screen , PAPP - A , and NT     Cell - free fetal DNA   From 10 wks   96 -- 100 %   0.3 %   A blood sample is taken from the mother by venipuncture and is sent for DNA analysis .     Ultrasound  Ultrasound of fetus with Down syndrome showing a large bladder Enlarged NT and absent nasal bone in a fetus at 11 weeks with Down syndrome  Ultrasound imaging can be used to screen for Down syndrome . Findings that indicate increased risk when seen at 14 to 24 weeks of gestation include a small or no nasal bone , large ventricles , nuchal fold thickness , and an abnormal right subclavian artery , among others . The presence or absence of many markers is more accurate . Increased fetal nuchal translucency ( NT ) indicates an increased risk of Down syndrome picking up 75 -- 80 % of cases and being falsely positive in 6 % .   Blood tests   Several blood markers can be measured to predict the risk of Down syndrome during the first or second trimester . Testing in both trimesters is sometimes recommended and test results are often combined with ultrasound results . In the second trimester , often two or three tests are used in combination with two or three of : α - fetoprotein , unconjugated estriol , total hCG , and free βhCG detecting about 60 -- 70 % of cases .   Testing of the mother 's blood for fetal DNA is being studied and appears promising in the first trimester . The International Society for Prenatal Diagnosis considers it a reasonable screening option for those women whose pregnancies are at a high risk for trisomy 21 . Accuracy has been reported at 98.6 % in the first trimester of pregnancy . Confirmatory testing by invasive techniques ( amniocentesis , CVS ) is still required to confirm the screening result .   Diagnosis   Before birth   When screening tests predict a high risk of Down syndrome , a more invasive diagnostic test ( amniocentesis or chorionic villus sampling ) is needed to confirm the diagnosis . If Down syndrome occurs in one in 500 pregnancies and the test used has a 5 % false - positive rate , this means , of 26 women who test positive on screening , only one will have Down syndrome confirmed . If the screening test has a 2 % false - positive rate , this means one of eleven who test positive on screening have a fetus with DS . Amniocentesis and chorionic villus sampling are more reliable tests , but they increase the risk of miscarriage between 0.5 and 1 % . The risk of limb problems is increased in the offspring due to the procedure . The risk from the procedure is greater the earlier it is performed , thus amniocentesis is not recommended before 15 weeks gestational age and chorionic villus sampling before 10 weeks gestational age .   Abortion rates   About 92 % of pregnancies in Europe with a diagnosis of Down syndrome are terminated . In the United States , termination rates are around 67 % , but this rate varied from 61 % to 93 % among different populations evaluated . When nonpregnant people are asked if they would have a termination if their fetus tested positive , 23 -- 33 % said yes , when high - risk pregnant women were asked , 46 -- 86 % said yes , and when women who screened positive are asked , 89 -- 97 % say yes .   After birth   The diagnosis can often be suspected based on the child 's physical appearance at birth . An analysis of the child 's chromosomes is needed to confirm the diagnosis , and to determine if a translocation is present , as this may help determine the risk of the child 's parents having further children with Down syndrome . Parents generally wish to know the possible diagnosis once it is suspected and do not wish pity .   Management   Efforts such as early childhood intervention , screening for common problems , medical treatment where indicated , a good family environment , and work - related training can improve the development of children with Down syndrome . Education and proper care can improve quality of life . Raising a child with Down syndrome is more work for parents than raising an unaffected child . Typical childhood vaccinations are recommended .   Health screening   Recommended screening   Testing   Children   Adults     Hearing   6 months , 12 months , then yearly   3 -- 5 years     T4 and TSH   6 months , then yearly       Eyes   6 months , then yearly   3 -- 5 years     Teeth   2 years , then every 6 months       Coeliac disease   Between 2 and 3 years of age , or earlier if symptoms occur       Sleep study   3 to 4 years , or earlier if symptoms of obstructive sleep apnea occur       Neck X-rays   Between 3 and 5 years of age       A number of health organizations have issued recommendations for screening those with Down syndrome for particular diseases . This is recommended to be done systematically .   At birth , all children should get an electrocardiogram and ultrasound of the heart . Surgical repair of heart problems may be required as early as three months of age . Heart valve problems may occur in young adults , and further ultrasound evaluation may be needed in adolescents and in early adulthood . Due to the elevated risk of testicular cancer , some recommend checking the person 's testicles yearly .   Cognitive development   Hearing aids or other amplification devices can be useful for language learning in those with hearing loss . Speech therapy may be useful and is recommended to be started around 9 months of age . As those with Down syndrome typically have good hand - eye coordination , learning sign language may be possible . Augmentative and alternative communication methods , such as pointing , body language , objects , or pictures , are often used to help with communication . Behavioral issues and mental illness are typically managed with counseling or medications .   Education programs before reaching school age may be useful . School - age children with Down syndrome may benefit from inclusive education ( whereby students of differing abilities are placed in classes with their peers of the same age ) , provided some adjustments are made to the curriculum . Evidence to support this , however , is not very strong . In the United States , the Individuals with Disabilities Education Act of 1975 requires public schools generally to allow attendance by students with Down syndrome .   Individuals with Down syndrome may learn better visually . Drawing may help with language , speech , and reading skills . Children with Down syndrome still often have difficulty with sentence structure and grammar , as well as developing the ability to speak clearly . Several types of early intervention can help with cognitive development . Efforts to develop motor skills include physical therapy , speech and language therapy , and occupational therapy . Physical therapy focuses specifically on motor development and teaching children to interact with their environment . Speech and language therapy can help prepare for later language . Lastly , occupational therapy can help with skills needed for later independence .   Other   Tympanostomy tubes are often needed and often more than one set during the person 's childhood . Tonsillectomy is also often done to help with sleep apnea and throat infections . Surgery , however , does not always address the sleep apnea and a continuous positive airway pressure ( CPAP ) machine may be useful . Physical therapy and participation in physical education may improve motor skills . Evidence to support this in adults , however , is not very good .   Efforts to prevent respiratory syncytial virus ( RSV ) infection with human monoclonal antibodies should be considered , especially in those with heart problems . In those who develop dementia there is no evidence for memantine , donepezil , rivastigmine , or galantamine .   Plastic surgery has been suggested as a method of improving the appearance and thus the acceptance of people with Down syndrome . It has also been proposed as a way to improve speech . Evidence , however , does not support a meaningful difference in either of these outcomes . Plastic surgery on children with Down syndrome is uncommon , and continues to be controversial . The U.S. National Down Syndrome Society views the goal as one of mutual respect and acceptance , not appearance .   Many alternative medical techniques are used in Down syndrome ; however , they are poorly supported by evidence . These include : dietary changes , massage , animal therapy , chiropractics and naturopathy , among others . Some proposed treatments may also be harmful .   Prognosis  Deaths due to Down syndrome per million persons in 2012 0 -- 0 1 -- 1 2 -- 2 3 -- 3 4 -- 4 5 -- 5 6 -- 6 7 -- 8 9 -- 16  Between 5 and 15 % of children with Down syndrome in Sweden attend regular school . Some graduate from high school ; however , most do not . Of those with intellectual disability in the United States who attended high school about 40 % graduated . Many learn to read and write and some are able to do paid work . In adulthood about 20 % in the United States do paid work in some capacity . In Sweden , however , less than 1 % have regular jobs . Many are able to live semi-independently , but they often require help with financial , medical , and legal matters . Those with mosaic Down syndrome usually have better outcomes .   Individuals with Down syndrome have a higher risk of early death than the general population . This is most often from heart problems or infections . Following improved medical care , particularly for heart and gastrointestinal problems , the life expectancy has increased . This increase has been from 12 years in 1912 , to 25 years in the 1980s , to 50 to 60 years in the developed world in the 2000s . Currently between 4 and 12 % die in the first year of life . The probability of long - term survival is partly determined by the presence of heart problems . In those with congenital heart problems 60 % survive to 10 years and 50 % survive to 30 years of age . In those without heart problems 85 % survive to 10 years and 80 % survive to 30 years of age . About 10 % live to 70 years of age . The National Down Syndrome Society have developed information regarding the positive aspects of life with Down syndrome .   Epidemiology  The risk of having a Down syndrome pregnancy in relation to a mother 's age  Globally , as of 2010 , Down syndrome occurs in about 1 per 1000 births and results in about 17,000 deaths . More children are born with Down syndrome in countries where abortion is not allowed and in countries where pregnancy more commonly occurs at a later age . About 1.4 per 1000 live births in the United States and 1.1 per 1000 live births in Norway are affected . In the 1950s , in the United States , it occurred in 2 per 1000 live births with the decrease since then due to prenatal screening and abortions . The number of pregnancies with Down syndrome is more than two times greater with many spontaneously aborting . It is the cause of 8 % of all congenital disorders .   Maternal age affects the chances of having a pregnancy with Down syndrome . At age 20 , the chance is one in 1441 ; at age 30 , it is one in 959 ; at age 40 , it is one in 84 ; and at age 50 it is one in 44 . Although the probability increases with maternal age , 70 % of children with Down syndrome are born to women 35 years of age and younger , because younger people have more children . The father 's older age is also a risk factor in women older than 35 , but not in women younger than 35 , and may partly explain the increase in risk as women age .   History  It has been suggested that this Early Netherlandish painting depicts a person with Down syndrome as one of the angels .  English physician John Langdon Down first described Down syndrome in 1862 , recognizing it as a distinct type of mental disability , and again in a more widely published report in 1866 . Édouard Séguin described it as separate from cretinism in 1944 . By the 20th century , Down syndrome had become the most recognizable form of mental disability .   In antiquity , many infants with disabilities were either killed or abandoned . A number of historical pieces of art are believed to portray Down syndrome , including pottery from AD 500 from South America and the 16th - century painting The Adoration of the Christ Child .   In the 20th century , many individuals with Down syndrome were institutionalized , few of the associated medical problems were treated , and most died in infancy or early adult life . With the rise of the eugenics movement , 33 of the then 48 U.S. states and several countries began programs of forced sterilization of individuals with Down syndrome and comparable degrees of disability . Action T4 in Nazi Germany made public policy of a program of systematic involuntary euthanization .   With the discovery of karyotype techniques in the 1950s , it became possible to identify abnormalities of chromosomal number or shape . In 1959 , Jérôme Lejeune reported the discovery that Down syndrome resulted from an extra chromosome . However , Lejeune 's claim to the discovery has been disputed , and in 2014 , the Scientific Council of the French Federation of Human Genetics unanimously awarded its Grand Prize to his colleague Marthe Gautier for her r</t>
  </si>
  <si>
    <t xml:space="preserve">where does the name down syndrome come from</t>
  </si>
  <si>
    <t xml:space="preserve"> Down syndrome is one of the most common chromosome abnormalities in humans . It occurs in about one per 1000 babies born each year . In 2015 , Down syndrome was present in 5.4 million individuals and resulted in 27,000 deaths down from 43,000 deaths in 1990 . It is named after John Langdon Down , the British doctor who fully described the syndrome in 1866 . Some aspects of the condition were described earlier by Jean - Étienne Dominique Esquirol in 1838 and Édouard Séguin in 1844 . In 1957 , the genetic cause of Down syndrome , an extra copy of chromosome 21 , was discovered . </t>
  </si>
  <si>
    <t xml:space="preserve">Blood stripe - wikipedia  Blood stripe  Jump to : navigation , search The blood stripe is visible on the uniforms of the Marine Corps Recruit Depot San Diego Band in 2003  A blood stripe is a scarlet stripe worn down the outside leg seams of trousers on the dress uniform of the United States Marine Corps . This red stripe is 2 inches ( 5.1 cm ) for general officers , 1.5 inches ( 3.8 cm ) for other officers , and 1.12 inches ( 2.8 cm ) for enlisted Staff Noncommissioned Officers and Noncommissioned Officers . Modified versions are worn on the officers ' evening dress uniforms , with the scarlet flanked with gold trim , and on members of the Marine Band , which wear the traditional red stripe with a white stripe in the center .     Contents  ( hide )   1 History   2 See also   3 References   4 Sources      History ( edit )   While trouser stripes were in use in various militaries for many years ( especially the British Army , whose uniforms influenced American uniforms for many years , as well as the ref , red stripes of the Spanish Navy Marines ) , red trouser stripes were not a predominant feature of any American Marine uniform until 1837 . In that year , President Andrew Jackson ordered changes that included the adoption of the Army 's practice of wearing stripes the same color as uniform jacket facings . These original stripes were buff white to match changes to the uniform jacket , but when the jacket was changed back to dark blue with red trim in 1839 , the stripes remained , but altered to a similar blue edged in red . A U.S. Naval Institute history of USMC uniforms records that orders issued in January 1840 provided that officers and non commissioned officers were to wear a scarlet stripe down the outside seam of their blue trousers .   Tradition holds that in the Battle of Chapultepec in Mexico on September 1847 , Marine officers and NCOs sustained an unusually high casualty rate during the battle . In 1849 , uniform regulations dictated that the stripes be changed to a solid red in honor of the numerous Marine deaths . Ten years later , a scarlet cord was inserted into the outer seams for noncommissioned officers and musicians , while a scarlet welt was added for officers . Finally , in 1904 , the simple scarlet stripe seen today was adopted , with the varying widths prescribed for different ranks .   According to a Marine Corps publication , Marine casualties for the Mexico City campaign were 780 killed and 2,400 wounded , about fifty percent of the invading force . Ninety percent of Marine officers and non-commissioned officers who fought were killed . Mexican snipers would strategically target officers and non-commissioned officers as they could be seen giving command motions to subordinates or some wore distinguishing uniform apparel , this effectively dismantled combat effectiveness of the Marine invading force .   According to a Marine Corps study , the only Marines in Scott 's Army in the Mexico City campaign was Watson 's Marine Battalion . Its strength upon landing at Vera Cruz in June 1847 was 314 men . The battalion was reinforced by marines from the Navy Gulf Squadron which had a strength of 315 men in June 1847 . It is likely that up to 100 gulf squad marines were added to the battalion , bringing it 's strength up to around 400 men . In the Battle of Chapultepec , the bulk of the Marine battalion did not see action as after an initial advance , Gen Quitman ordered the Marines to halt . Watson was determined to wait there until receiving further orders . Only seven marines were killed and five of them were privates . This disputes the claim that 780 Marines were killed .   The US Marine Corps considers the blood stripe story from the Mexican war to be a myth .   The Mexican army did not have trained snipers . They were using surplus British muskets ( e.g. Brown Bess ) from the Napoleonic Wars period and possibly had some Baker Rifles from the Napoleonic era as well . As a result it is unlikely they were able to target officers and NCO 's .   See also ( edit )    United States Marine Corps portal     Lampasse for military trouser - stripes in general .   Leatherneck   Eagle , Globe , and Anchor   Uniforms of the United States Marine Corps    References ( edit )   This article incorporates public domain material from websites or documents of the United States Marine Corps .    ^ Jump up to : Lore of the Corps Archived 2009 - 11 - 05 at the Wayback Machine . by National Museum of the Marine Corps   Jump up ^ `` Reseña Histórica '' ( in Spanish ) . Spanish Navy . Retrieved 3 January 2010 .   Jump up ^ Col Robert H. Rankin USMC , Uniforms of the Sea Services , p145 , United States Naval Institute 1962   Jump up ^ Kelly , Jack ( April 12 , 2009 ) . `` Kill the pirates '' . Pittsburgh Post-Gazette . Retrieved 2009 - 04 - 14 .   Jump up ^ http://community.marines.mil/news/publications/Documents/Marines%20in%20the%20Mexican%20War%20%20PCN%2019000412200.pdf ( link does not work )   Jump up ^ USMC `` MARINES IN THE MEXICAN WAR 1991 ''   Jump up ^ Corps ' uniform myths debunked . Quantico Sentry , Tuesday , July 24 , 2012    Sources ( edit )    `` Marine Corps Uniform Regulations '' . MCO P1020. 34G W / CH 1 - 5 . United States Marine Corps . 31 March 2003 . Retrieved 2008 - 09 - 05 .   Dress Blues on marines.com   Blood Stripe on Answers.com   `` Marine Corps Uniforms '' . Marine For Life . 3 September 2006 . Archived from the original on 23 August 2009 . Retrieved 2009 - 10 - 11 .   Leicht , Cpl . Paul W. ( March 5 , 2004 ) . `` Earning the Blood Stripe : Marines remember a legacy of sacrifice '' . Marine Corps Air Station Miramar : United States Marine Corps . Archived from the original on June 4 , 2011 . Retrieved 2009 - 10 - 11 .      ( hide )         United States Marine Corps     Leadership     Secretary of the Navy   Under Secretary of the Navy   Commandant of the Marine Corps   Assistant Commandant of the Marine Corps   Sergeant Major of the Marine Corps   Marine Corps generals   United States Congress   House Subcommittee on Seapower and Expeditionary Forces   Senate Subcommittee on Seapower           Major commands     Organization of the Marine Corps   Headquarters Marine Corps   Marine Forces Command   II Marine Expeditionary Force     Marine Forces Pacific   I Marine Expeditionary Force   III Marine Expeditionary Force     Marine Forces Reserve   Fleet Marine Force   Atlantic   Pacific     Marine Corps Combat Development Command   Small Wars Center and Irregular Warfare Integration Division ( SWC / IWID )   Operations Analysis Directorate ( OAD )   Training &amp; Education Command ( TECOM )   United States Marine Corps Warfighting Laboratory         Structure     Marine Air - Ground Task Force   Bases   Battalions   Regiments   Brigades   Divisions   MEF / Corps   Marine aviation   Marine expeditionary unit   Special Operations   Marine Raiders   Marine Raider Regiment     Recon   Force   Division         Personnel and training      Personnel     Personnel   Rank insignia   MOS   Notable Marines   Historical Marines   Marine Astronauts   Criminal Investigation Division   Judge Advocate Division   Chaplain of the Marine Corps   Associated organizations       Training     Training   Recruit Training   School of Infantry   Officer Candidates School   The Basic School   Martial Arts Program          Uniforms and equipment     Uniforms   Awards   Badges   Weapons   Vehicles and aircraft   Individual equipment       History and traditions     History   Culture   Acronyms and terms   Birthday Ball   Eagle , Globe , and Anchor   Flag   Marine Band   Drum and Bugle Corps   Marine One   Silent Drill Platoon   White House Sentries   Service Numbers   Marine Corps War Memorial   Marines ' Hymn   National Museum   Raising the Flag on Iwo Jima   Rifleman 's Creed   Semper Fidelis   History of Hispanics in the USMC   History of women in the USMC   Women 's Reserve     Honorary Marine   Toys for Tots         Portal        Retrieved from `` https://en.wikipedia.org/w/index.php?title=Blood_stripe&amp;oldid=808754064 '' Categories :   United States Marine Corps lore and symbols   Trousers and shorts   American military uniforms   Hidden categories :   Webarchive template wayback links   CS1 Spanish - language sources ( es )   Wikipedia articles needing clarification from February 2017   Wikipedia articles incorporating text from the United States Marine Corps           Talk                                           Contents                   About Wikipedia                                           Add links   This page was last edited on 4 November 2017 , at 23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</si>
  <si>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does the red stripe on the marine uniform mean</t>
  </si>
  <si>
    <t xml:space="preserve"> Tradition holds that in the Battle of Chapultepec in Mexico on September 1847 , Marine officers and NCOs sustained an unusually high casualty rate during the battle . In 1849 , uniform regulations dictated that the stripes be changed to a solid red in honor of the numerous Marine deaths . Ten years later , a scarlet cord was inserted into the outer seams for noncommissioned officers and musicians , while a scarlet welt was added for officers . Finally , in 1904 , the simple scarlet stripe seen today was adopted , with the varying widths prescribed for different ranks . </t>
  </si>
  <si>
    <t xml:space="preserve">Kiss Me thru the Phone - wikipedia  Kiss Me thru the Phone     `` Kiss Me thru the Phone ''         Single by Soulja Boy Tellem featuring Sammie     from the album iSouljaBoyTellem     Released   November 27 , 2008     Format   Digital download , CD single     Length   3 : 14     Label     Stacks on Deck   Collipark   HHH   Interscope       Songwriter ( s )     DeAndre Way   James Scheffer   David Siegel       Producer ( s )   Jim Jonsin     Soulja Boy Tellem singles chronology        `` Bird Walk '' ( 2008 )   `` Kiss Me thru the Phone '' ( 2008 )   `` Turn My Swag On '' ( 2009 )           `` Bird Walk '' ( 2008 )   `` Kiss Me thru the Phone '' ( 2008 )   `` Turn My Swag On '' ( 2009 )            Sammie singles chronology        `` Feelin ' It '' ( 2008 ) Feelin ' It2008   `` Kiss Me thru the Phone '' ( 2008 ) Kiss Me thru the Phone2008   `` One Way Street '' ( 2008 ) One Way Street2008            `` Kiss Me thru the Phone '' is a song co-written and recorded by hip hop artist Soulja Boy Tellem It was released as the second single from his 2008 album iSouljaBoyTellem . It was the best - selling single from the album , reaching # 3 on the U.S. Billboard Hot 100 , # 1 on the U.S. Rap Charts , the top ten in the United Kingdom , in Canada , on the U.S. Billboard Pop 100 , and in New Zealand .   R&amp;B singer Chris Brown was Soulja Boy 's first choice to sing the hook , but turned down the offer . Soulja Boy Tell'em then tried to sing it on his own with Auto - Tune but found it `` garbage '' . `` Kiss Me thru The Phone '' was 2009 's eighth best selling single with over 5.7 million copies sold worldwide .     Contents  ( hide )   1 Chart performance and sales   2 Track listing   3 Music video   4 Remixes   5 Charts   5.1 Year - end charts     6 Telephone number   7 References   8 External links      Chart performance and sales ( edit )   `` Kiss Me thru the Phone '' became highly successful for both Soulja Boy and Sammie on the charts . The single peaked at number 12 on the Billboard Bubbling Under R&amp;B / Hip - Hop Singles chart . The song then hit number one on the Bubbling Under R&amp;B / Hip - Hop Singles on the week of January 3 , 2009 . The song later debuted at # 71 on the U.S. Billboard Hot 100 on the week of January 10 , 2009 and peaked at # 3 , making it Soulja Boy 's second top five hit on the US charts since 2007 's `` Crank That '' . Also it would eventually start to chart on the Hot R&amp;B / Hip - Hop Songs in the top ten at # 4 . The song has also debuted at # 71 on the Canadian Hot 100 and peaked at # 10 . The song has reached number 1 on Hot Rap Tracks . The video ranked at # 14 on BET 's Notarized : Top 100 Videos of 2009 countdown . The song has sold over 2,261,000 digital downloads in the United States , becoming his second song to reach the two million mark in downloads , the first being `` Crank That '' .   In New Zealand , the song debuted at number eleven on February 2 , 2009 and later peaked at number two . It was certified Platinum by the RIANZ on July 12 , 2009 with 15,000 digital downloads .   In the United Kingdom , `` Kiss Me thru the Phone '' debuted on the UK Singles Chart at # 63 on May 3 , 2009 on downloads alone ; the single has since peaked at # 6 , his second highest entry on the chart after Crank That peaked at # 2 in January 2008 . It held a position on BBC Radio 1 's A-List . To date the single has sold more than 5 million copies worldwide and is one of the best - selling singles of all - time .   Track listing ( edit )   CD single    `` Kiss Me thru the Phone '' ( Main version ) - 3 : 11   `` Kiss Me thru the Phone '' ( Instrumental ) - 3 : 11   `` Kiss Me thru the Phone '' ( Party Mix ) - 3 : 15    Digital download    `` Kiss Me thru the Phone ''    Music video ( edit )   The music video was shot in New Orleans , Louisiana on December 6 , 2008 and on December 8 , 2008 in Atlanta , Georgia at the Kelley residence . The video shows Soulja Boy doing his daily routine , when his girlfriend misses him and calls him , and shoots a video of herself making a kissing face on an iPhone and sends it to him .   The video features Sammie and cameos from A-Rab , Ja - Bar , Vistoso Bosses , Vanessa Simmons , Miami Mike , and Dennis Rodman . The music video premiered on December 15 , 2008 , a day before the album 's release . It also peaked # 1 on BET 's video countdown , 106 &amp; Park and ranked at # 16 on BET 's Notarized : Top 100 Videos of 2009 countdown .   Remixes ( edit )    `` Kiss Me thru the Phone ( Official Remix ) '' ( featuring Sammie and Pitbull )   `` Kiss Me thru the Phone ( Remix ) '' ( featuring Sammie and Karina Pasian )   `` Kiss Me thru the Phone ( Remix ) '' ( featuring Sammie and Steven )   `` Kiss Me thru the Phone ( Remix ) '' ( performed by Scooter Smiff and Jasmine Villegas )   `` Kiss Me thru the Phone ( Remix ) '' ( instrumental remix )   `` Kiss Me thru the Phone ( Cover ) '' ( featuring Catch Hell , Lorelei )   `` Por El Telefono '' ( performed by reggaeton artist De La Ghetto )   `` Send It to My Phone '' ( performed by Chingo Bling )    Charts ( edit )     Chart ( 2008 -- 09 )   Peak position     Australia ( ARIA )   16     Belgium ( Ultratop 50 Flanders )   39     Canada ( Canadian Hot 100 )   10     Europe ( Eurochart Hot 100 Singles )   14     France ( SNEP )   16     Ireland ( IRMA )   11     New Zealand ( Recorded Music NZ )       Slovakia ( Rádio Top 100 )   45     Sweden ( Sverigetopplistan )   32     UK Singles Chart   6     US Billboard Hot 100       US Billboard Pop Songs   5     US Billboard Hot R&amp;B / Hip - Hop Songs       US Billboard Rap Songs       Year - end charts ( edit )     End of year chart ( 2009 )   Position     Australian Singles Chart   90     New Zealand Singles Chart   14     UK Singles Chart   66     U.S. Billboard Hot 100   19     Telephone number ( edit )   The telephone number , 678 - 999 - 8212 , given in the song , if dialed from the United States , previously connected to a message system for the artist ; the number now belongs to an unknown commercial advertiser in Georgia . An unsuspecting family in the United Kingdom found themselves inundated with calls from fans there who dialed the number but mistyped the international dialing code prefix for the United States ( 001 ) , instead typing `` 016 '' , which is the prefix for numbers in Greater Manchester , England , where the family reside .   References ( edit )    Jump up ^ `` KISS ME THRU THE PHONE ( Legal Title ) '' . BMI Repertoire . Broadcast Music Incorporated . Retrieved 2010 - 07 - 18 .   Jump up ^ Westhoff , Ben ( 2009 - 08 - 19 ) . `` Dallas Music - The Five Most Interesting Things You Did n't Know About Soulja Boy - page 1 '' . Dallas Observer . Village Voice Media . Retrieved 2009 - 08 - 20 .   ^ Jump up to : http://www.ifpi.org/content/library/DMR2010.pdf   ^ Jump up to : https://www.billboard.com/artist/279964/soulja+boy/chart?f=345   Jump up ^ Week Ending May 17 , 2009 : Three Days Is Plenty For Green Day Yahoo Music Blog ( written by Paul Grein ) : Retrieved May 20 , 2009   Jump up ^ Week Ending Aug. 23 , 2009 : Over 50 And Still On Top Yahoo Music Blog ( written by Paul Grein ) : Retrieved August 26 , 2009   Jump up ^ `` Archived copy '' . Archived from the original on 2011 - 10 - 02 . Retrieved 2009 - 10 - 27 .   Jump up ^ `` Archived copy '' . Archived from the original on 2011 - 07 - 24 . Retrieved 2009 - 04 - 14 .   Jump up ^ `` Australian-charts.com -- Soulja Boy -- Kiss Me thru the Phone '' . ARIA Top 50 Singles .   Jump up ^ `` Ultratop.be -- Soulja Boy -- Kiss Me thru the Phone '' ( in Dutch ) . Ultratop 50 .   Jump up ^ `` Lescharts.com -- Soulja Boy -- Kiss Me thru the Phone '' ( in French ) . Les classement single .   Jump up ^ `` Archived copy '' . Archived from the original on 2012 - 09 - 21 . Retrieved 2012 - 09 - 21 .   Jump up ^ `` Charts.org.nz -- Soulja Boy -- Kiss Me thru the Phone '' . Top 40 Singles .   Jump up ^ `` SNS IFPI '' ( in Slovak ) . Hitparáda -- Radio Top 100 Oficiálna . IFPI Czech Republic . Note : insert 200927 into search .   Jump up ^ `` Swedishcharts.com -- Soulja Boy -- Kiss Me thru the Phone '' . Singles Top 100 .   Jump up ^ https://www.billboard.com/artist/279964/soulja+boy/chart?f=396   Jump up ^ http://www.billboard.com/charts/2009-01-31/r-b-hip-hop-songs   Jump up ^ https://www.billboard.com/artist/279964/soulja+boy/chart?f=370   Jump up ^ `` ARIA Charts - End Of Year Charts - Top 100 Singles 2009 '' . ARIA . Retrieved November 12 , 2010 .   Jump up ^ `` Archived copy '' . Archived from the original on 2013 - 08 - 27 . Retrieved 2011 - 04 - 21 .   Jump up ^ `` Charts Plus Year end 2009 '' ( PDF ) . Charts Plus . Retrieved 2010 - 07 - 19 .   Jump up ^ `` Year End Charts - Year - end songs - The Billboard Hot 100 '' . Billboard . Retrieved November 12 , 2010 .   Jump up ^ Rap fans bombard family 's phone , BBC News , June 30 , 2009 .    External links ( edit )    Lyrics of this song at MetroLyrics      hide         Soulja Boy       Discography   Videography       Studio albums     souljaboytellem.com   iSouljaBoyTellem   The DeAndre Way   Loyalty       Singles     `` Crank That ( Soulja Boy ) ''   `` Soulja Girl ''   `` Yahhh ! ''   `` Donk ''   `` Bird Walk ''   `` Kiss Me thru the Phone ''   `` Turn My Swag On ''   `` Pretty Boy Swag ''   `` Speakers Going Hammer ''       Featured singles     `` Clumsy '' ( Collipark Remix )   `` Swing '' ( Remix )   `` Marco Polo ''   `` LOL : - ) ''   `` Bingo ''   `` All the Way Turnt Up ''   `` Turn It Up ''   `` Yasss Bish ''   `` Brazil We Flexing ''       Promotional singles     `` Let Me Get ' Em ''   `` Gucci Bandanna ''       Related articles     Collipark Music   SODMG Entertainment         hide         Sammie       Discography       Studio albums     From the Top to the Bottom   Sammie   Indigo   Coming of Age       Singles     `` I Like It ''   `` Crazy Things I Do ''   `` You Should Be My Girl ''   `` Come with Me ''       Featured singles     `` Kiss Me Through the Phone ''      Retrieved from `` https://en.wikipedia.org/w/index.php?title=Kiss_Me_thru_the_Phone&amp;oldid=844690605 '' Categories :   2008 singles   Sammie songs   Soulja Boy songs   Song recordings produced by Jim Jonsin   Songs written by Soulja Boy   Songs written by Jim Jonsin   Songs written by David Siegel ( musician )   2008 songs   Hidden categories :   All articles with dead external links   Articles with dead external links from December 2017   Articles with permanently dead external links   Music infoboxes with deprecated parameters   Articles with hAudio microformats   Singlechart usages for Australia   Singlechart usages for Flanders   Singlechart usages for France   Singlechart usages for New Zealand   Singlechart usages for Slovakia   Singlechart called without artist   Singlechart called without song   Singlechart usages for Sweden           Talk                                           Contents                   About Wikipedia                                           Italiano   Português   Svenska   Türkçe   Edit links   This page was last edited on 6 June 2018 , at 13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</si>
  <si>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number on kiss me thru the phone</t>
  </si>
  <si>
    <t xml:space="preserve"> The telephone number , 678 - 999 - 8212 , given in the song , if dialed from the United States , previously connected to a message system for the artist ; the number now belongs to an unknown commercial advertiser in Georgia . An unsuspecting family in the United Kingdom found themselves inundated with calls from fans there who dialed the number but mistyped the international dialing code prefix for the United States ( 001 ) , instead typing `` 016 '' , which is the prefix for numbers in Greater Manchester , England , where the family reside . </t>
  </si>
  <si>
    <t xml:space="preserve">2017 NFL season - wikipedia  2017 NFL season  Jump to : navigation , search This article is about the American football season in the United States . For the Gaelic football season in Ireland , see 2017 National Football League ( Ireland ) .  2017 National Football League season   Regular season     Duration   September 7 , 2017 ( 2017 - 09 - 07 ) -- December 31 , 2017 ( 2017 - 12 - 31 )     Playoffs     Start date   January 6 , 2018     Super Bowl LII     Date   February 4 , 2018     Site   U.S. Bank Stadium , Minneapolis , Minnesota         Pro Bowl     Date   January 28 , 2018     Site   Camping World Stadium , Orlando , Florida           ← 2016   NFL seasons       The 2017 NFL season is the 98th and current season in the history of the National Football League ( NFL ) . The season began on September 7 , 2017 , with the Kansas City Chiefs defeating the defending Super Bowl LI champion New England Patriots 42 -- 27 in the NFL Kickoff Game . The season will conclude with Super Bowl LII , the league 's championship game , on February 4 , 2018 , at U.S. Bank Stadium in Minneapolis , Minnesota .   For the second consecutive year , a team relocated to the Los Angeles metropolitan area , as the former San Diego Chargers announced their intent to relocate to the area in January 2017 .   Contents  ( hide )   1 Player movements and retirements   1.1 Free agency   1.2 Trades   1.3 Notable retirements   1.3. 1 Others     1.4 Draft     2 Preseason   3 Regular season   4 In - season scheduling changes   5 Regular season standings   5.1 Division   5.2 Conference     6 Anthem protests   7 Notable deaths   7.1 Dan Rooney   7.2 Others     8 Rule changes   9 Records , milestones , and notable statistics   10 Awards   10.1 Players of the week / month     11 Head coaching and front office personnel changes   11.1 Head coaches   11.1. 1 Offseason     11.2 Front office personnel   11.2. 1 Offseason       12 Stadiums   12.1 Atlanta Falcons   12.2 Naming rights   12.2. 1 Arizona Cardinals   12.2. 2 Denver Broncos     12.3 Relocations   12.3. 1 San Diego Chargers ' relocation to Los Angeles   12.3. 2 Oakland Raiders ' relocation to Las Vegas     12.4 Attendance     13 New uniforms and patches   14 Media   14.1 Broadcast rights   14.2 Commercials   14.3 Personnel changes     15 Television viewers and ratings   15.1 Most watched regular season games     16 References    Player movements and retirements ( edit )   The 2017 NFL League year began on March 9 at 4 : 00 p.m. EST . On March 7 , clubs were allowed to contact and enter into contract negotiations with the agents of players who became unrestricted free agents upon the expiration of their contracts two days later . On March 9 , clubs exercised options for 2017 on players who have option clauses in their contracts , submitted qualifying offers to their restricted free agents with expiring contracts and to whom desire to retain a Right of Refusal / Compensation , submitted a Minimum Salary Tender to retain exclusive negotiating rights to their players with expiring 2016 contracts and who have fewer than three accrued seasons of free agent credit , and teams were required to be under the salary cap using the `` Top - 51 '' definition ( in which the 51 highest paid - players on the team 's payroll must have a collected salary cap hit below the actual cap ) . The 2017 trading period also began the same day .   Free agency ( edit )   A total of 496 players were eligible for some form of free agency at the beginning of the free agency period . Among the high - profile players who changed teams via free agency were cornerbacks A.J. Bouye ( from Texans to Jaguars ) , Logan Ryan ( from Patriots to Titans ) , and Stephon Gilmore ( from Bills to Patriots ) ; safeties Barry Church ( from Cowboys to Jaguars ) , Johnathan Cyprien ( from Jaguars to Titans ) , Micah Hyde ( from Packers to Bills ) , and Tony Jefferson ( from Cardinals to Ravens ) ; linebackers Jabaal Sheard ( from Patriots to Colts ) , Malcolm Smith ( from Raiders to 49ers ) , and Manti Te'o ( from Chargers to Saints ) ; defensive tackles Johnathan Hankins ( from Giants to Colts ) and Calais Campbell ( from Cardinals to Jaguars ) ; offensive tackles Andrew Whitworth ( from Bengals to Rams ) , Kelvin Beachum ( from Jaguars to Jets ) , Matt Kalil ( from Vikings to Panthers ) , Mike Remmers ( from Panthers to Vikings ) , Ricky Wagner ( from Ravens to Lions ) , Riley Reiff ( from Lions to Vikings ) , and Russell Okung ( from Broncos to Chargers ) ; offensive guards Kevin Zeitler ( from Bengals to Browns ) , Larry Warford ( from Lions to Saints ) , Ronald Leary ( from Cowboys to Broncos ) , and T.J. Lang ( from Packers to Lions ) ; tight ends Martellus Bennett ( from Patriots to Packers ) and Jared Cook ( from Packers to Raiders ) ; wide receivers Alshon Jeffery ( from Bears to Eagles ) , Brandon Marshall ( from Jets to Giants ) , DeSean Jackson ( from Redskins to Buccaneers ) , Kenny Britt ( from Rams to Browns ) , Pierre Garçon ( from Redskins to 49ers ) , Robert Woods ( from Bills to Rams ) , Terrelle Pryor ( from Browns to Redskins ) , and Torrey Smith ( from 49ers to Eagles ) ; running backs Latavius Murray ( from Raiders to Vikings ) , Adrian Peterson ( from Vikings to Saints ) , Eddie Lacy ( from Packers to Seahawks ) , and Jamaal Charles ( from Chiefs to Broncos ) ; fullbacks Mike Tolbert ( from Panthers to Bills ) and Patrick DiMarco ( from Falcons to Bills ) ; quarterback Mike Glennon ( from Buccaneers to Bears ) .   Trades ( edit )    On March 9 , the Jacksonville Jaguars traded tight end Julius Thomas to the Miami Dolphins in exchange for a 2017 seventh - round draft pick .   On March 9 , the Miami Dolphins traded offensive tackle Branden Albert to the Jacksonville Jaguars in exchange for a 2018 seventh - round draft pick .   On March 9 , the Houston Texans traded quarterback Brock Osweiler , a 2018 second - round draft pick and a 2017 sixth - round draft pick to the Cleveland Browns in exchange for a 2017 fourth - round compensatory draft pick .   On March 9 , the Indianapolis Colts traded tight end Dwayne Allen and a 2017 sixth - round draft pick to the New England Patriots in exchange for a 2017 fourth - round draft pick .   On March 9 , the Los Angeles Rams traded defensive end William Hayes along with a 2017 seventh - round draft pick to the Miami Dolphins in exchange for a 2017 sixth - round draft pick .   On March 10 , the New Orleans Saints traded wide receiver Brandin Cooks and a 4th round draft pick to the New England Patriots in exchange for a 1st and 3rd round draft pick .   On March 10 , the Carolina Panthers traded defensive end Kony Ealy and a 2017 third - round draft pick to the New England Patriots in exchange for a 2017 second - round draft pick .   On March 15 , the Baltimore Ravens traded center Jeremy Zuttah and a 2017 sixth - round draft pick to the San Francisco 49ers for their 2017 sixth - round draft pick .   On April 4 , the Baltimore Ravens traded defensive tackle Timmy Jernigan and a 2017 third - round draft pick to the Philadelphia Eagles in exchange for a 2017 third - round draft pick .   On April 26 , the Seattle Seahawks traded the contract rights of previously retired running back Marshawn Lynch and a 2018 sixth - round draft pick to the Oakland Raiders for a 2018 fifth - round draft pick .   On August 11 , the Buffalo Bills traded wide receiver Sammy Watkins and a 2018 sixth - round draft pick to the Los Angeles Rams for cornerback E.J. Gaines and a 2018 second - round draft pick . That same day , the Bills traded cornerback Ronald Darby to the Philadelphia Eagles for wide receiver Jordan Matthews and a 2018 third - round draft pick .    Notable retirements ( edit )    Tony Romo : On April 4 , 2017 , before his release from the Dallas Cowboys , Romo announced his retirement from professional football . Shortly after his release , it was announced by CBS that he would join the network as a lead NFL game analyst , joining a team also consisting of Jim Nantz and Tracy Wolfson .   At one point , Jay Cutler had also announced retirement , but later rescinded and signed with the Miami Dolphins . Cutler previously played for the Chicago Bears .   Others ( edit )   Anquan Boldin   Josh Cribbs   King Dunlap   Brandon Flowers   Justin Forsett   Doug Free   Chad Greenway   Percy Harvin   A.J. Hawk   Andre Johnson   James Jones   Terrance Knighton   James Laurinaitis   Jake Long   Robert Mathis   Pat McAfee   Lance Moore   Rob Ninkovich   Jerraud Powers   Steve Smith , Sr .   Stephen Tulloch   John Urschel   Michael Vick   DeMarcus Ware   Roddy White   Vince Wilfork    Draft ( edit )  For more details on this topic , see 2017 NFL draft .  The 2017 NFL Draft was held on April 27 -- 29 , 2017 in Philadelphia . The Cleveland Browns selected Myles Garrett with the first overall pick .   Preseason ( edit )   Training camps for the 2017 season were held in late July through August . Teams started training camp no earlier than 15 days before the team 's first scheduled preseason game .   Prior to the start of the regular season , each team played four preseason exhibition games , beginning on August 10 . The preseason began on the evening of August 3 with the 2017 Pro Football Hall of Fame Game , that featured the Dallas Cowboys ( represented in the 2017 Hall of Fame Class by owner Jerry Jones ) who hosted Arizona Cardinals ( represented by former quarterback Kurt Warner ) . It was televised nationally on NBC . The 64 - game preseason schedule ended on August 31 ; a 65th game , that of the 2017 Texas Governor 's Cup , was canceled due to the aftermath of Hurricane Harvey .   Regular season ( edit )   The 2017 regular season 's 256 games will be played over a 17 - week schedule which began on September 7 . Each of the league 's 32 teams plays a 16 - game schedule , with one bye week for each team . The slate also features games on Monday nights . There are games played on Thursday , including the National Football League Kickoff game in prime time on September 7 and games on Thanksgiving Day . The regular season will conclude with a full slate of 16 games on Sunday , December 31 , all of which will be intra -- division matchups , as it has been since 2010 .    Scheduling formula    Under the NFL 's current scheduling formula , each team plays the other three teams in its own division twice . In addition a team plays against all four teams in one other division from each conference . The final two games on a team 's schedule are against the two teams in the team 's own conference in the divisions the team was not set to play which finished the previous season in the same rank in their division ( e.g. the team which finished first in its division the previous season would play each other team in its conference that also finished first in its respective division ) . The preset division pairings for 2017 will be as follows .      Intra-conference AFC East vs AFC West AFC North vs AFC South NFC East vs NFC West NFC North vs NFC South     Inter-conference AFC East vs NFC South AFC North vs NFC North AFC South vs NFC West AFC West vs NFC East      Highlights of the 2017 schedule include :    NFL Kickoff Game : The Super Bowl LI champion New England Patriots hosted the Kansas City Chiefs in a primetime NFL Kickoff Game on September 7 , 2017 , with the Chiefs winning 42 -- 27 .   NFL International Series : For the 2017 season , the International Series underwent a split in branding , with each country 's games receiving their own brand .   NFL London Games : Four games were played in London in 2017 . The Jacksonville Jaguars hosted the Baltimore Ravens at Wembley Stadium on September 24 , and the Miami Dolphins hosted the New Orleans Saints at the same venue a week later . The Los Angeles Rams hosted the Arizona Cardinals at Twickenham Stadium on October 22 , and the Cleveland Browns hosted the Minnesota Vikings at the same venue a week later .   NFL Mexico Game : The Oakland Raiders will host the New England Patriots at Estadio Azteca in Mexico City , making this the second consecutive year in which the Raiders will host one of their home games in Mexico City ; the game will be played on November 19 , with a kickoff time of 4 : 25 p.m. EST .     Thanksgiving Day : As has been the case since 2006 , three games will be played on November 23 , beginning with the Detroit Lions hosting the Minnesota Vikings , the Dallas Cowboys hosting the Los Angeles Chargers ( in their first Thanksgiving Day game since 1969 , and their first Thanksgiving game since they joined the NFL as part of the AFL - NFL merger in 1970 ) , and a primetime game featuring Washington Redskins hosting the New York Giants .   Christmas games : Christmas Day , December 25 , falls on a Monday in 2017 . Sunday Night Football will move from December 24 , Christmas Eve , to Saturday , December 23 , with the Green Bay Packers hosting the Minnesota Vikings ( alongside a Saturday Thursday Night Football game featuring the Indianapolis Colts and Baltimore Ravens ) . Two games will be played on Christmas Day : a late - afternoon game featuring the Houston Texans hosting the Pittsburgh Steelers as a special edition of Thursday Night Football , and the Philadelphia Eagles hosting the Oakland Raiders for Monday Night Football .   New Year 's Eve games : The NFL will play a full slate of 16 games on December 31 , to conclude the regular season . All of the Week 17 games will be intra-divisional matchups , as they have been since 2010 .    The entire schedule was released on April 20 , 2017 .   In - season scheduling changes ( edit )   The following games were moved or canceled because of severe weather , by way of flexible scheduling , or for other reasons :    Preseason Week 4 : Due to the effects of Hurricane Harvey in the Houston area , the Cowboys -- Texans game was eventually canceled . The 2017 Texas Governor 's Cup preseason game , originally scheduled to be played at Houston 's NRG Stadium , was initially moved to the Cowboys ' AT&amp;T Stadium , before the NFL opted instead to cancel the game altogether in order to allow Texans ' players and coaches to reunite with their families as well as to assist with the relief efforts .   Week 1 : Due to the threat posed from Hurricane Irma , the Buccaneers -- Dolphins game was rescheduled to Week 11 ( November 19 ) , when both teams were originally scheduled to have their bye weeks . Both teams had their bye also rescheduled to this week .   Week 7 : The Bengals -- Steelers game , originally scheduled to start at 1 : 00 p.m. ET , was moved to 4 : 25 p.m. ET , with the game still on CBS . In addition , the Panthers - Bears game , originally scheduled to be broadcast on Fox , was flexed to CBS , but retained its scheduled start time of 1 : 00 p.m. ET .    Regular season standings ( edit )   Division ( edit )        AFC East       view   talk             PCT   DIV   CONF   PF   PA   STK     New England Patriots   6     0   . 750   1 -- 0   3 -- 1   216   179   W4     Buffalo Bills   5     0   . 625   1 -- 1   3 -- 2   174   149   L1     Miami Dolphins       0   . 500   1 -- 1   3 -- 3   117   179   L2     New York Jets     5   0   . 444   2 -- 3   3 -- 4   191   208   W1       AFC North       view   talk             PCT   DIV   CONF   PF   PA   STK     Pittsburgh Steelers   6     0   . 750   3 -- 0   4 -- 1   167   131   W3     Baltimore Ravens     5   0   . 444   2 -- 1   4 -- 3   190   171   L1     Cincinnati Bengals     5   0   . 375   1 -- 2   3 -- 4   129   158   L2     Cleveland Browns   0   8   0   . 000   0 -- 3   0 -- 7   119   202   L8       AFC South       view   talk             PCT   DIV   CONF   PF   PA   STK     Tennessee Titans   5     0   . 625   2 -- 1   4 -- 3   181   193   W3     Jacksonville Jaguars   5     0   . 625   2 -- 1   5 -- 2   206   117   W2     Houston Texans     5   0   . 375   1 -- 2   3 -- 4   232   208   L2     Indianapolis Colts     6   0   . 333   1 -- 2   2 -- 3   162   260   W1       AFC West       view   talk             PCT   DIV   CONF   PF   PA   STK     Kansas City Chiefs   6     0   . 667   2 -- 1   4 -- 2   253   208   L1     Oakland Raiders     5   0   . 444   1 -- 2   4 -- 4   196   211   W1     Los Angeles Chargers     5   0   . 375   2 -- 2   2 -- 4   150   152   L2     Denver Broncos     5   0   . 375   2 -- 2   2 -- 3   150   198   L4         NFC East       view   talk             PCT   DIV   CONF   PF   PA   STK     Philadelphia Eagles   8     0   . 889   3 -- 0   6 -- 0   283   179   W7     Dallas Cowboys   5     0   . 625   2 -- 0   4 -- 2   226   178   W3     Washington Redskins       0   . 500   0 -- 3   3 -- 3   177   194   W1     New York Giants     7   0   . 125   0 -- 2   0 -- 6   129   207   L2       NFC North       view   talk             PCT   DIV   CONF   PF   PA   STK     Minnesota Vikings   6     0   . 750   2 -- 1   4 -- 1   179   138   W4     Green Bay Packers       0   . 571   1 -- 1   3 -- 3   164   161   L2     Detroit Lions       0   . 429   1 -- 0   3 -- 3   175   169   L3     Chicago Bears     5   0   . 375   0 -- 2   1 -- 5   134   171   L1       NFC South       view   talk             PCT   DIV   CONF   PF   PA   STK     New Orleans Saints   6     0   . 750   2 -- 0   5 -- 1   221   155   W6     Carolina Panthers   6     0   . 667   2 -- 1   4 -- 3   168   159   W2     Atlanta Falcons       0   . 500   0 -- 1   3 -- 1   170   172   L1     Tampa Bay Buccaneers     6   0   . 250   0 -- 2   2 -- 4   158   198   L5       NFC West       view   talk             PCT   DIV   CONF   PF   PA   STK     Los Angeles Rams   6     0   . 750   2 -- 1   4 -- 2   263   153   W3     Seattle Seahawks   5     0   . 625   2 -- 0   3 -- 2   185   149   L1     Arizona Cardinals       0   . 500   2 -- 1   3 -- 4   139   201   W1     San Francisco 49ers   0   9   0   . 000   0 -- 4   0 - 8   143   239   L9        Conference ( edit )     AFC             #   Team   Division         PCT   DIV   CONF   SOS   SOV   STK     Division leaders       Pittsburgh Steelers   North   6     0   . 750   3 -- 0   4 -- 1   . 462   . 449   W3       New England Patriots   East   6     0   . 750   1 -- 0   3 -- 1   . 507   . 449   W4       Kansas City Chiefs   West   6     0   . 667   2 -- 1   4 -- 2   . 568   . 551   L1       Tennessee Titans   South   5     0   . 625   2 -- 1   4 -- 3   . 418   . 405   W3     Wild Cards     5   Jacksonville Jaguars   South   5     0   . 625   2 -- 1   5 -- 2   . 507   . 452   W2     6   Buffalo Bills   East   5     0   . 625   1 -- 1   3 -- 2   . 441   . 405   L1     In the hunt     7   Miami Dolphins   East       0   . 500   1 -- 1   3 -- 3   . 500   . 485   L2     8   Baltimore Ravens   North     5   0   . 444   2 -- 1   4 -- 3   . 493   . 333   L1     9   Oakland Raiders   West     5   0   . 444   1 -- 2   4 -- 4   . 507   . 559   W1     10   New York Jets   East     5   0   . 444   2 -- 3   4 -- 4   . 507   . 438   W1     11   Houston Texans   South     5   0   . 375   1 -- 2   3 -- 4   . 500   . 333   L2     12   Cincinnati Bengals   North     5   0   . 375   1 -- 2   3 -- 4   . 462   . 320   L1     13   Los Angeles Chargers   West     5   0   . 375   2 -- 2   2 -- 4   . 522   . 320   L1     14   Denver Broncos   West     5   0   . 375   2 -- 2   2 -- 3   . 522   . 480   L4     15   Indianapolis Colts   South     6   0   . 333   1 -- 2   2 -- 3   . 425   . 120   W1     16   Cleveland Browns   North   0   8   0   . 000   0 -- 3   0 -- 7   . 507   . 000   L8     Tiebreakers       ^ Jump up to : Pittsburgh wins tie break over New England based on best win percentage in conference games .   ^ Jump up to : Tennessee wins tie break over Jacksonville based on head - to - head win percentage .   ^ Jump up to : Jacksonville wins tie break over Buffalo based on best win percentage in conference games .   ^ Jump up to : Baltimore wins tie break over Oakland and NY Jets based on best win percentage in conference games .   ^ Jump up to : Oakland wins tie break over NY Jets based on head - to - head win percentage .   ^ Jump up to : Houston wins tie break over Cincinnati based on head - to - head win percentage .   ^ Jump up to : Houston wins tie break over LA Chargers based on best win percentage in conference games . Division tie break was initially used to eliminate Denver ( see below ) .   ^ Jump up to : Cincinnati wins tie break over Los Angeles based on best win percentage in conference games . Division tie break was initially used to eliminate Denver ( see below ) .   ^ Jump up to : LA Chargers wins tie break over Denver based on best win percentage in common games .   Jump up ^ When breaking ties for three or more teams under the NFL 's rules , they are first broken within divisions , then comparing only the highest ranked remaining team from each division .         NFC             #   Team   Division         PCT   DIV   CONF   SOS   SOV   STK     Division leaders       Philadelphia Eagles   East   8     0   . 889   3 -- 0   6 -- 0   . 413   . 379   W6       New Orleans Saints   South   6     0   . 750   2 -- 0   5 -- 1   . 540   . 468   W6       Minnesota Vikings   North   6     0   . 750   2 -- 1   4 -- 1   . 444   . 396   W4       Los Angeles Rams   West   6     0   . 750   2 -- 1   4 -- 2   . 409   . 360   W3     Wild Cards     5   Carolina Panthers   South   6     0   . 667   2 -- 1   4 -- 3   . 507   . 417   W2     6   Dallas Cowboys   East   5     0   . 625   2 -- 0   4 -- 3   . 431   . 357   W3     In the hunt     7   Seattle Seahawks   West   5     0   . 625   2 -- 0   3 -- 2   . 400   . 310   L1     8   Green Bay Packers   North       0   . 571   1 -- 1   3 -- 3   . 571   . 500   L2     9   Atlanta Falcons   South       0   . 500   0 -- 1   3 -- 1   . 547   . 452   L1     10   Washington Redskins   East       0   . 500   0 -- 3   3 -- 3   . 609   . 441   W1     11   Arizona Cardinals   West       0   . 500   2 -- 1   3 -- 4   . 403   . 143   W1     12   Detroit Lions   North       0   . 429   1 -- 0   3 -- 3   . 579   . 458   L2     13   Chicago Bears   North     5   0   . 375   0 -- 2   1 -- 5   . 585   . 615   L1     14   Tampa Bay Buccaneers   South     6   0   . 250   0 -- 2   2 -- 4   . 569   . 250   L4     15   New York Giants   East     7   0   . 125   0 -- 2   0 -- 6   . 547   . 375   L1     16   San Francisco 49ers   West   0   9   0   . 000   0 -- 4   0 -- 8   . 600   . 000   L9     Tiebreakers       ^ Jump up to : New Orleans , Minnesota , and Los Angeles are ranked based on best win percentage in conference games .   ^ Jump up to : Dallas wins tie break over Seattle based on best win percentage in conference games .   ^ Jump up to : Atlanta , Washington , and Arizona are ranked based on best win percentage in conference games .   Jump up ^ When breaking ties for three or more teams under the NFL 's rules , they are first broken within divisions , then comparing only the highest ranked remaining team from each division .       Anthem protests ( edit )  Main article : U.S. national anthem protests ( 2016 -- present )  In week 3 of the season there were numerous anthem protests in response to comments by President Donald Trump stating that those who kneel during the anthem should be fired . Protests included entire teams linking arms or kneeling during the anthem . Three teams - the Steelers , Titans and Seahawks - did not even take to the field for the anthem .   Notable Deaths ( edit )   The following people associated with the NFL ( or AFL ) have died in 2017 .   Dan Rooney ( edit )   Dan Rooney was chairman and plurality owner of the Pittsburgh Steelers and one of the sons of founding owner Art Rooney , Sr. Having been officially involved with the franchise since 1960 , Rooney was a part of all six of the Steelers ' Super Bowl victories . In addition to this , Rooney was considered an active and progressive owner in the league 's operations , most famously by successfully pushing for the Rooney Rule , an affirmative action policy requiring all NFL franchises to interview persons of color for head coaching vacancies . Concurrently with his role with the Steelers , Rooney also served as United States Ambassador to Ireland from 2009 to 2014 . He was inducted into the Pro Football Hall of Fame in 2000 , making him and his father the second father - son duo in the Hall behind Tim &amp; Wellington Mara . Rooney died on April 13 at the age of 84 .   Others ( edit )    Dave Adolph   Bill Anderson   Ron Billingsley   Dave Brazil   Kevin Cadle   Bernie Casey   Bill Cox   Bill Fischer   Tom Graham   Larry Grantham   Ralph Guglielmi   James Hadnot   James Hardy III   Larry Hayes   Mitchell Henry   Aaron Hernandez   Larry Hickman   John Hilton   Claude Hipps   Michael Jackson   Derrick Jensen   Cortez Kennedy   Ken Kranz   Yale Lary   Bob Lee   Tony Liscio   Eddie Macon   George Maderos   Mickey Marvin   Clay Matthews Sr .   Red Miller   Paul Mitchell   David Modell   Tom Modrak   Rod Monroe   Quentin Moses   Leonard Myers   Tommy Neck   Babe Parilli   Benny Perrin   Hugh Pitts   Sonny Randle   Len Rohde   Max Runager   Daniel Te'o - Nesheim   Jimmy Thomas   Y.A. Tittle   Ted Topor   Rick Tuten   Wayne Walker   Clarence Williams   Ellery Williams    Bold indicates members of the Pro Football Hall of Fame .   Rule changes ( edit )   The following rule changes were approved for the 2017 NFL season at the owners ' meeting on March 28 , 2017 :    Defensive players are now prohibited from running toward the line of scrimmage and leaping or hurdling over offensive linemen on field goal or PAT attempts , similar to a change made in college football for the 2017 season . Previously this action was permitted as long as the leaper or hurdler did not land on other players .   Include in the definition of a `` defenseless player '' receivers tracking the quarterback or looking back for the ball , including inside the legal contact ( 5 yards from the line of scrimmage ) zone .   Egregious hits to the head ( similar to the `` targeting '' rule in NCAA football ) will now result in an automatic ejection .   The replay control center will make the final ruling on reviewed plays instead of the game referee , although the referee can still provide input on reviewable plays .   The sideline replay monitor ( the `` hood '' ) will be eliminated and replaced with a tablet on the field for the referee to review with the replay control center .   Crackback blocks are now prohibited by a backfield player in motion , even if he is not more than two yards outside the tackle box when the ball is snapped .   Make permanent the rule that players who commit two certain types of unsportsmanlike conduct penalties ( throwing punches / forearms / kicking , even if they do not connect , directing abusive , threatening , or insulting language toward opponents , teammates , game officials or league officials , and using baiting or taunting acts or words that may engender ill will between teams ) in the same game will be automatically ejected .   Extend for a second season the change in the touchback spot after a kickoff or safety free kick to the 25 - yard line .   Make illegal actions that would conserve time penalized by the option for a 10 - second runoff inside of the two - minute warning of each half or overtime ( previously this only applied in the final minute of each half or overtime ) .   If a team commits multiple fouls on the same down with the intent of manipulating the game clock , the team will be penalized 15 yards for unsportsmanlike conduct and the game clock will be reset . This change was made in response to both the San Francisco 49ers and the Baltimore Ravens employing this strategy by intentionally holding the defensive players to allow the game clock to run down or run out ( in the case of the Ravens ' game vs. the Cincinnati Bengals ) during the previous season .   In response to the move of Sarah Thomas from line judge to head linesman for the 2017 season , the NFL renamed the officiating position of the head linesman to `` down judge '' .    The following rule changes were approved for the 2017 NFL season at the NFL Spring League meeting on May 23 , 2017 :    Overtime has been shortened from 15 minutes to 10 minutes for preseason and regular season games . Playoff games will continue to have 15 minutes for overtime periods .   Restrictions on celebrations have been relaxed , removing penalties for group celebrations , going to the ground to celebrate , or using the ball as a prop .   Teams can bring two players back from injured reserve instead of one .   Teams can now cut their preseason rosters from 90 players to 53 on one day , removing the deadline to get the roster down to 75 players before the final preseason game .   Teams will not be required to give candidates for general manager final say over the 53 - man roster .    The following will be `` points of emphasis '' for the 2017 season :    Blindside blocks of a defender in the head or neck area while the defender is in a defenseless position   Low hits on quarterbacks at or below the knees   `` Launching '' at players by leaving both feet to impact a defender anywhere on his body with the helmet   Contact downfield between receivers and defensive players , closely enforcing both offensive and defensive pass interference or illegal contact / holding    The ban on teams contacting potential coaching candidates until that candidate 's team has been eliminated from the playoffs was tabled .   Records , milestones , and notable statistics ( edit )    Week 1     Kansas City Chiefs ' running back Kareem Hunt finished with 246 total yards and three touchdowns , setting the record for the most total yards in an NFL debut .     Week 2     Los Angeles Chargers ' tight end Antonio Gates scored his 112th career receiving touchdown , breaking a tie with Tony Gonzalez for the most career receiving touchdowns by a tight end in NFL history .   Aaron Rodgers passed for his 300th touchdown , surpassing Peyton Manning as the fastest quarterback to reach that milestone both in attempts and appearances .     Week 3     Antonio Brown reached 650 receptions in his 104th game , becoming the fastest player since Marvin Harrison to reach that feat .   New York Giants ' wide receiver Odell Beckham Jr. broke the record for fastest receiver to reach 300 career receptions , doing so in 45 games .   Matt Prater of the Detroit Lions broke the previous NFL record of three made field goals from more than 55 yards in a season by kicking a 57 - yard field goal against the Atlanta Falcons .     Week 5     Larry Fitzgerald became the third player in NFL history to record 200 straight games with a reception , all while playing for the Arizona Cardinals .     Week 6     With his 187th regular season win , Tom Brady surpassed Peyton Manning and Brett Favre for the most regular season wins by a quarterback in NFL history .     Week 7     Drew Brees became just the fourth player in NFL history to record 500 or more passing touchdowns ( including playoffs ) , joining Tom Brady , Brett Favre , and Peyton Manning .   Eddie Jackson became the first player in NFL history with multiple defensive touchdowns of at least 75 yards in a single game against the Carolina Panthers .     Week 8     The Cleveland Browns have gone 4 -- 41 over their last 45 games dating back to 2014 , tying for the worst 45 - game stretch in NFL history with the 2007 -- 10 Detroit Lions .    Awards ( edit )   Players of the week / month ( edit )   The following were named the top performers during the 2017 season :     Week / Month   Offensive Player of the Week / Month   Defensive Player of the Week / Month   Special Teams Player of the Week / Month     AFC   NFC   AFC   NFC   AFC   NFC       Alex Smith ( Chiefs )   Sam Bradford ( Vikings )   Calais Campbell ( Jaguars )   Trumaine Johnson ( Rams )   Giorgio Tavecchio ( Raiders )   Matt Prater ( Lions )       Tom Brady ( Patriots )   J.J. Nelson ( Cardinals )   Chris Jones ( Chiefs )   Desmond Trufant ( Falcons )   Cody Parkey ( Dolphins )   Jamal Agnew ( Lions )       Tom Brady ( Patriots )   Kirk Cousins ( Redskins )   Terrence Brooks ( Jets )   DeMarcus Lawrence ( Cowboys )   Steven Hauschka ( Bills )   Jake Elliott ( Eagles )     Sept .   Kareem Hunt ( Chiefs )   Todd Gurley ( Rams )   Melvin Ingram ( Chargers )   DeMarcus Lawrence ( Cowboys )   Ryan Succop ( Titans )   Matt Prater ( Lions )       Deshaun Watson ( Texans )   Todd Gurley ( Rams )   Cameron Heyward ( Steelers )   Julius Peppers ( Panthers )   Steven Hauschka ( Bills )   Greg Zuerlein ( Rams )     5   Melvin Gordon ( Chargers )   Aaron Rodgers ( Packers )   Telvin Smith ( Jaguars )   Earl Thomas ( Seahawks )   Adam Vinatieri ( Colts )   Kenjon Barner ( Eagles )     6   Le'Veon Bell ( St</t>
  </si>
  <si>
    <t xml:space="preserve">when does the regular football season start for nfl</t>
  </si>
  <si>
    <t xml:space="preserve"> The 2017 NFL season is the 98th and current season in the history of the National Football League ( NFL ) . The season began on September 7 , 2017 , with the Kansas City Chiefs defeating the defending Super Bowl LI champion New England Patriots 42 -- 27 in the NFL Kickoff Game . The season will conclude with Super Bowl LII , the league 's championship game , on February 4 , 2018 , at U.S. Bank Stadium in Minneapolis , Minnesota . </t>
  </si>
  <si>
    <t xml:space="preserve">College World Series - wikipedia  College World Series  For NCAA Division II , see NCAA Division II Baseball Championship . For NCAA Division III , see NCAA Division III Baseball Championship . For the women 's softball championship , see Women 's College World Series .    College World Series         First played   1947     Most recently played   2018     Current champions   Oregon State ( 3rd title )     Current runner - up   Arkansas     Most titles   USC ( 12 )     The College World Series ( CWS ) is an annual June baseball tournament held in Omaha , Nebraska . The CWS is the culmination of the National Collegiate Athletic Association ( NCAA ) Division I Baseball Championship tournament -- featuring 64 teams in the first round -- which determines the NCAA Division I college baseball champion . The eight participating teams are split into two , four - team , double - elimination brackets , with the winners of each bracket playing in a best - of - three championship series .   Contents  ( hide )   1 History   1.1 Contract extension     2 Format history and changes   3 Division I champions by year   4 Team appearances   5 Most CWS wins   6 Most CWS Finals appearances   7 Most appearances without a CWS championship   8 Most CWS participants by one conference in a year   9 Championships by conference   10 See also   11 Notes   12 References   13 External links    History ( edit )   Since 1950 , the College World Series ( CWS ) has been held in Omaha , Nebraska . It was held at Rosenblatt Stadium from 1950 through 2010 ; starting in 2011 , it has been held at TD Ameritrade Park Omaha . Earlier tournaments were held at Hyames Field in Kalamazoo , Michigan ( 1947 -- 48 ) and Wichita , Kansas ( 1949 ) . The name `` College World Series '' is derived from that of the Major League Baseball World Series championship ; it is currently an MLB trademark licensed to the NCAA .   Contract extension ( edit )   On June 10 , 2009 , the NCAA and College World Series of Omaha , Inc. , which is the non-profit group that organizes the event , announced a new 25 - year contract extension , keeping the CWS in Omaha through 2035 . A memorandum of understanding had been reached by all parties on April 30 .   The currently binding contract began in 2011 , the same year the tournament moved from Johnny Rosenblatt Stadium to TD Ameritrade Park Omaha , a new ballpark across from CenturyLink Center Omaha .   Format History and changes ( edit )    See also : NCAA Division I Baseball Championship § Past formats   2006 College World Series Championship game at Rosenblatt Stadium in Omaha , Nebraska .   1947 -- Eight teams were divided into two , four - team , single - elimination playoffs . The two winners then met in a best - of - three final in Kalamazoo , Michigan .   1948 -- Similar to 1947 , but the two , four - team playoffs were changed to double - elimination tournaments . Again in the finals , the two winners met in a best - of - three format in Kalamazoo .   1949 -- The final was expanded to a four - team , double - elimination format and the site changed to Wichita , Kansas . Eight teams began the playoffs with the four finalists decided by a best - of - three district format .   1950 -- 1987 -- An eight - team , double - elimination format for the College World Series coincided with the move to Omaha in 1950 . From 1950 to 1953 , a baseball committee chose one team from each of the eight NCAA districts to compete at the CWS , which constituted the entire Division I tournament , as there were no preliminary rounds . ( In 1948 and 1949 , a selection committee in each of the eight districts chose its district representative based on the committee 's own criteria , which might or might not include committee selections , conference champions , and district playoffs . ) Through 1987 the College World Series was a pure double - elimination event . That ended with the 1987 College World Series . In 1954 , the Division I tournament began having preliminary rounds to determine the eight CWS teams . From 1954 to 1975 , the number of teams in the first round of the overall tournament ranged from 21 to 32 . The number of first - round teams was increased to 34 in 1976 , 36 in 1982 , 38 in 1985 , 40 in 1986 , and 48 in 1987 .   1988 -- 1998 -- The format was changed beginning with the 1988 College World Series , when the tournament was divided into 2 four - team double - elimination brackets , with the survivors of each bracket playing in a single championship game . The single - game championship was designed for network television , with the final game on CBS on a Saturday afternoon .       Before expanding to 64 teams in 1999 , the 1998 Division I tournament began with 48 teams , split into 8 six - team regionals . The 8 regional winners advanced to the College World Series . The regionals were a test of endurance , as teams had to win at least four games over four days , sometimes five if a team dropped into the loser 's bracket , placing a premium on pitching . In the last two years of the six - team regional format , the eventual CWS champion -- LSU in 1997 and Southern California in 1998 -- had to battle back from the loser 's bracket in the regional to advance to Omaha .       1999 -- 2002 -- With some 293 Division I teams playing , the NCAA expanded the overall tournament to a 64 - team Regional field in 1999 -- with 8 National Seed teams ( the top 8 seeds ) -- divided into 16 four - team regionals ( each region seeded 1 to 4 ) . The winners of the 16 `` Regionals '' advance to a second round , consisting of 8 two - team , best - of - three - format `` Super Regionals '' . ( The National Seed teams that win their regional bracket are placed in different Super Regionals , so that no National Seed teams meet each other in a Super Regional . ) The 8 Super Regional winners advance to the CWS in Omaha . While the CWS format remained the same , the expanded field meant that the eight CWS teams now are determined by the second - round Super Regionals . The 64 - team bracket is set at the beginning of the championship and teams are not reseeded for the CWS . Since the 1999 College World Series , the four - team brackets in the CWS have been determined by the results of super-regional play , much like the NCAA basketball tournament . Prior to 1999 , the four - team brackets were determined by the regional tournaments .   2003 -- present -- The championship final became a best - of - three series between the 2 four - team bracket winners , with games scheduled for Saturday , Sunday , and Monday evenings . In the results shown below , Score indicates the score of the championship game ( s ) only . In 2008 , the start of the CWS was moved back one day , and an extra day of rest was added in between bracket play and the championship series .    Division I champions by year ( edit )     Year   Champion   Coach   Score   Runner - Up   Most Outstanding Player     1947   California   Clint Evans   17 -- 8 , 8 -- 7   Yale       1948   Southern California   Sam Barry   3 -- 1 , 3 -- 8 , 9 -- 2   Yale       1949   Texas   Bibb Falk   10 -- 3   Wake Forest   Tom Hamilton , Texas     1950   Texas   Bibb Falk   3 -- 0   Washington State   Ray VanCleef , Rutgers     1951   Oklahoma   Jack Baer   3 -- 2   Tennessee   Sidney Hatfield , Tennessee     1952   Holy Cross   Jack Barry   8 -- 4   Missouri   James O'Neill , Holy Cross     1953   Michigan   Ray Fisher   7 -- 5   Texas   J.L. Smith , Texas     1954   Missouri   Hi Simmons   4 -- 1   Rollins   Tom Yewcic , Michigan State     1955   Wake Forest   Taylor Sanford   7 -- 6   Western Michigan   Tom Borland , Oklahoma A&amp;M     1956   Minnesota   Dick Siebert   12 -- 1   Arizona   Jerry Thomas , Minnesota     1957   California   George Wolfman   1 -- 0   Penn State   Cal Emery , Penn State     1958   Southern California   Rod Dedeaux   8 -- 7   Missouri   Bill Thom , Southern California     1959   Oklahoma State   Toby Greene   5 -- 3   Arizona   Jim Dobson , Oklahoma State     1960   Minnesota   Dick Siebert   2 -- 1   Southern California   John Erickson , Minnesota     1961   Southern California   Rod Dedeaux   1 -- 0   Oklahoma State   Littleton Fowler , Oklahoma State     1962   Michigan   Don Lund   5 -- 4   Santa Clara   Bob Garibaldi , Santa Clara     1963   Southern California   Rod Dedeaux   5 -- 2   Arizona   Bud Hollowell , Southern California     1964   Minnesota   Dick Siebert   5 -- 1   Missouri   Joe Ferris , Maine     1965   Arizona State   Bobby Winkles   2 -- 1   Ohio State   Sal Bando , Arizona State     1966   Ohio State   Marty Karow   8 -- 2   Oklahoma State   Steve Arlin , Ohio State     1967   Arizona State   Bobby Winkles   11 -- 2   Houston   Ron Davini , Arizona State     1968   Southern California   Rod Dedeaux   4 -- 3   Southern Illinois   Bill Seinsoth , Southern California     1969   Arizona State   Bobby Winkles   10 -- 1   Tulsa   John Dolinsek , Arizona State     1970   Southern California   Rod Dedeaux   2 -- 1   Florida State   Gene Ammann , Florida State     1971   Southern California   Rod Dedeaux   7 -- 2   Southern Illinois   Jerry Tabb , Tulsa     1972   Southern California   Rod Dedeaux   1 -- 0   Arizona State   Russ McQueen , Southern California     1973   Southern California   Rod Dedeaux   4 -- 3   Arizona State   Dave Winfield , Minnesota       Southern California   Rod Dedeaux   7 -- 3   Miami ( FL )   George Milke , Southern California       Texas   Cliff Gustafson   5 -- 1   South Carolina   Mickey Reichenbach , Texas     1976   Arizona   Jerry Kindall   7 -- 1   Eastern Michigan   Steve Powers , Arizona     1977   Arizona State   Jim Brock   2 -- 1   South Carolina   Bob Horner , Arizona State     1978   Southern California   Rod Dedeaux   10 -- 3   Arizona State   Rod Boxberger , Southern California     1979   Cal State Fullerton   Augie Garrido   2 -- 1   Arkansas   Tony Hudson , Cal State Fullerton     1980   Arizona   Jerry Kindall   5 -- 3   Hawaii   Terry Francona , Arizona     1981   Arizona State   Jim Brock   7 -- 4   Oklahoma State   Stan Holmes , Arizona State     1982   Miami ( FL )   Ron Fraser   9 -- 3   Wichita State   Dan Smith , Miami ( FL )       Texas   Cliff Gustafson   4 -- 3   Alabama   Calvin Schiraldi , Texas     1984   Cal State Fullerton   Augie Garrido   3 -- 1   Texas   John Fishel , Cal State Fullerton     1985   Miami ( FL )   Ron Fraser   10 -- 6   Texas   Greg Ellena , Miami ( FL )     1986   Arizona   Jerry Kindall   10 -- 2   Florida State   Mike Senne , Arizona       Stanford   Mark Marquess   9 -- 5   Oklahoma State   Paul Carey , Stanford     1988   Stanford   Mark Marquess   9 -- 4   Arizona State   Lee Plemel , Stanford     1989   Wichita State   Gene Stephenson   5 -- 3   Texas   Greg Brummett , Wichita State     1990   Georgia   Steve Webber   2 -- 1   Oklahoma State   Mike Rebhan , Georgia     1991   LSU   Skip Bertman   6 -- 3   Wichita State   Gary Hymel , LSU     1992   Pepperdine   Andy Lopez   3 -- 2   Cal State Fullerton   Phil Nevin , Cal State Fullerton     1993   LSU   Skip Bertman   8 -- 0   Wichita State   Todd Walker , LSU     1994   Oklahoma   Larry Cochell   13 -- 5   Georgia Tech   Chip Glass , Oklahoma     1995   Cal State Fullerton   Augie Garrido   11 -- 5   Southern California   Mark Kotsay , Cal State Fullerton       LSU   Skip Bertman   9 -- 8   Miami ( FL )   Pat Burrell , Miami ( FL )     1997   LSU   Skip Bertman   13 -- 6   Alabama   Brandon Larson , LSU     1998   Southern California   Mike Gillespie   21 -- 14   Arizona State   Wes Rachels , Southern California     1999   Miami ( FL )   Jim Morris   6 -- 5   Florida State   Marshall McDougall , Florida State     2000   LSU   Skip Bertman   6 -- 5   Stanford   Trey Hodges , LSU     2001   Miami ( FL )   Jim Morris   12 -- 1   Stanford   Charlton Jimerson , Miami ( FL )     2002   Texas   Augie Garrido   12 -- 6   South Carolina   Huston Street , Texas     2003   Rice   Wayne Graham   4 -- 3 , 3 -- 8 , 14 -- 2   Stanford   John Hudgins , Stanford       Cal State Fullerton   George Horton   6 -- 4 , 3 -- 2   Texas   Jason Windsor , Cal State Fullerton     2005   Texas   Augie Garrido   4 -- 2 , 6 -- 2   Florida   David Maroul , Texas     2006   Oregon State   Pat Casey   3 -- 4 , 11 -- 7 , 3 -- 2   North Carolina   Jonah Nickerson , Oregon State     2007   Oregon State   Pat Casey   11 -- 4 , 9 -- 3   North Carolina   Jorge Luis Reyes , Oregon State     2008   Fresno State   Mike Batesole   6 -- 7 , 19 -- 10 , 6 -- 1   Georgia   Tommy Mendonca , Fresno State     2009   LSU   Paul Mainieri   7 -- 6 , 1 -- 5 , 11 -- 4   Texas   Jared Mitchell , LSU       South Carolina   Ray Tanner   7 -- 1 , 2 -- 1   UCLA   Jackie Bradley , Jr. , South Carolina     2011   South Carolina   Ray Tanner   2 -- 1 , 5 -- 2   Florida   Scott Wingo , South Carolina     2012   Arizona   Andy Lopez   5 -- 1 , 4 -- 1   South Carolina   Rob Refsnyder , Arizona     2013   UCLA   John Savage   3 -- 1 , 8 -- 0   Mississippi State   Adam Plutko , UCLA     2014   Vanderbilt   Tim Corbin   9 -- 8 , 2 -- 7 , 3 -- 2   Virginia   Dansby Swanson , Vanderbilt     2015   Virginia   Brian O'Connor   1 -- 5 , 3 -- 0 , 4 -- 2   Vanderbilt   Josh Sborz , Virginia     2016   Coastal Carolina   Gary Gilmore   0 -- 3 , 5 -- 4 , 4 -- 3   Arizona   Andrew Beckwith , Coastal Carolina     2017   Florida   Kevin O'Sullivan   4 -- 3 , 6 -- 1   LSU   Alex Faedo , Florida     2018   Oregon State   Pat Casey   1 -- 4 , 5 -- 3 , 5 -- 0   Arkansas   Adley Rutschman , Oregon State     Team appearances ( edit )    Bold indicates team won the CWS that year      School   Appearances   Titles   Years     Alabama   5   0   1950 , 1983 , 1996 , 1997 , 1999     Arizona   17     1954 , 1955 , 1956 , 1958 , 1959 , 1960 , 1963 , 1966 , 1970 , 1976 , 1979 , 1980 , 1985 , 1986 , 2004 , 2012 , 2016     Arizona State   22   5   1964 , 1965 , 1967 , 1969 , 1972 , 1973 , 1975 , 1976 , 1977 , 1978 , 1981 , 1983 , 1984 , 1987 , 1988 , 1993 , 1994 , 1998 , 2005 , 2007 , 2009 , 2010     Arkansas   9   0   1979 , 1985 , 1987 , 1989 , 2004 , 2009 , 2012 , 2015 , 2018     Auburn     0   1967 , 1976 , 1994 , 1997     Baylor     0   1977 , 1978 , 2005     Boston College     0   1953 , 1960 , 1961 , 1967     Bradley     0   1950 , 1956     BYU     0   1968 , 1971     California   6     1947 , 1957 , 1980 , 1988 , 1992 , 2011     Cal State Fullerton   18     1975 , 1979 , 1982 , 1984 , 1988 , 1990 , 1992 , 1994 , 1995 , 1999 , 2001 , 2003 , 2004 , 2006 , 2007 , 2009 , 2015 , 2017     Cal State Los Angeles     0   1977     The Citadel     0   1990     Clemson   12   0   1958 , 1959 , 1976 , 1977 , 1980 , 1991 , 1995 , 1996 , 2000 , 2002 , 2006 , 2010     Coastal Carolina       2016     Colgate     0   1955     Colorado State     0   1950     Connecticut   5   0   1957 , 1959 , 1965 , 1972 , 1979     Creighton     0   1991     Dartmouth     0   1970     Delaware     0   1970     Duke     0   1952 , 1953 , 1961     Eastern Michigan     0   1975 , 1976     Florida   12     1988 , 1991 , 1996 , 1998 , 2005 , 2010 , 2011 , 2012 , 2015 , 2016 , 2017 , 2018     Florida State   22   0   1957 , 1962 , 1963 , 1965 , 1970 , 1975 , 1980 , 1986 , 1987 , 1989 , 1991 , 1992 , 1994 , 1995 , 1996 , 1998 , 1999 , 2000 , 2008 , 2010 , 2012 , 2017     Fresno State       1959 , 1988 , 1991 , 2008     Georgia   6     1987 , 1990 , 2001 , 2004 , 2006 , 2008     Georgia Southern     0   1973 , 1990     Georgia Tech     0   1994 , 2002 , 2006     Harvard     0   1968 , 1971 , 1973 , 1974     Hawaii     0   1980     Holy Cross       1952 , 1958 , 1962 , 1963     Houston     0   1953 , 1967     Indiana     0   2013     Indiana State     0   1986     Iowa     0   1972     Iowa State     0   1957 , 1970     Ithaca     0   1962     James Madison     0       Kansas     0   1993     Kent State     0   2012     Lafayette     0   1953 , 1954 , 1958 , 1965     Long Beach State     0   1989 , 1991 , 1993 , 1998     Louisiana - Lafayette     0   2000     Louisville     0   2007 , 2013 , 2014 , 2017     Loyola Marymount     0   1986     LSU   18   6   1986 , 1987 , 1989 , 1990 , 1991 , 1993 , 1994 , 1996 , 1997 , 1998 , 2000 , 2003 , 2004 , 2008 , 2009 , 2013 , 2015 , 2017     Maine   7   0   1964 , 1976 , 1981 , 1982 , 1983 , 1984 , 1986     Massachusetts     0   1954 , 1969     Miami ( FL )   25     1974 , 1978 , 1979 , 1980 , 1981 , 1982 , 1984 , 1985 , 1986 , 1988 , 1989 , 1992 , 1994 , 1995 , 1996 , 1997 , 1998 , 1999 , 2001 , 2003 , 2004 , 2006 , 2008 , 2015 , 2016     Michigan   7     1953 , 1962 , 1978 , 1980 , 1981 , 1983 , 1984     Michigan State     0   1954     Minnesota   5     1956 , 1960 , 1964 , 1973 , 1977     Mississippi State   10   0   1971 , 1979 , 1981 , 1985 , 1990 , 1997 , 1998 , 2007 , 2013 , 2018     Missouri   6     1952 , 1954 , 1958 , 1962 , 1963 , 1964     Missouri State     0   2003     Nebraska     0   2001 , 2002 , 2005     New Hampshire     0   1956     New Orleans     0   1984     NYU     0   1956 , 1969     North Carolina   11   0   1960 , 1966 , 1978 , 1989 , 2006 , 2007 , 2008 , 2009 , 2011 , 2013 , 2018     NC State     0   1968 , 2013     Northeastern     0   1966     Northern Colorado   10   0   1952 , 1953 , 1955 , 1957 , 1958 , 1959 , 1960 , 1961 , 1962 , 1974     Notre Dame     0   1957 , 2002     Ohio     0   1970     Ohio State       1951 , 1965 , 1966 , 1967     Oklahoma   10     1951 , 1972 , 1973 , 1974 , 1975 , 1976 , 1992 , 1994 , 1995 , 2010     Oklahoma State   20     1954 , 1955 , 1959 , 1960 , 1961 , 1966 , 1967 , 1968 , 1981 , 1982 , 1983 , 1984 , 1985 , 1986 , 1987 , 1990 , 1993 , 1996 , 1999 , 2016     Ole Miss   5   0   1956 , 1964 , 1969 , 1972 , 2014     Oral Roberts     0   1978     Oregon     0   1954     Oregon State   7     1952 , 2005 , 2006 , 2007 , 2013 , 2017 , 2018     Penn State   5   0   1952 , 1957 , 1959 , 1963 , 1973     Pepperdine       1979 , 1992     Princeton     0   1951     Rice   7     1997 , 1999 , 2002 , 2003 , 2006 , 2007 , 2008     Rider     0   1967     Rollins     0   1954     Rutgers     0   1950     St. John 's ( NY )   6   0   1949 , 1960 , 1966 , 1968 , 1978 , 1980     St. Louis     0   1965     San Jose State     0   2000     Santa Clara     0   1962     Seton Hall     0   1964 , 1971 , 1974 , 1975     South Carolina   11     1975 , 1977 , 1981 , 1982 , 1985 , 2002 , 2003 , 2004 , 2010 , 2011 , 2012     Southern California   21   12   1948 , 1949 , 1951 , 1955 , 1958 , 1960 , 1961 , 1963 , 1964 , 1966 , 1968 , 1970 , 1971 , 1972 , 1973 , 1974 , 1978 , 1995 , 1998 , 2000 , 2001     Southern Illinois   5   0   1968 , 1969 , 1971 , 1974 , 1977     Southern Miss     0   2009     Springfield     0   1951 , 1955     Stanford   16     1953 , 1967 , 1982 , 1983 , 1985 , 1987 , 1988 , 1990 , 1995 , 1997 , 1999 , 2000 , 2001 , 2002 , 2003 , 2008     Stony Brook     0   2012     Syracuse     0   1961     TCU   5   0   2010 , 2014 , 2015 , 2016 , 2017     Temple     0   1972 , 1977     Tennessee     0   1951 , 1995 , 2001 , 2005     Texas   36   6   1949 , 1950 , 1952 , 1953 , 1957 , 1961 , 1962 , 1963 , 1965 , 1966 , 1968 , 1969 , 1970 , 1972 , 1973 , 1974 , 1975 , 1979 , 1981 , 1982 , 1983 , 1984 , 1985 , 1987 , 1989 , 1992 , 1993 , 2000 , 2002 , 2003 , 2004 , 2005 , 2009 , 2011 , 2014 , 2018     Texas A&amp;M   6   0   1951 , 1964 , 1993 , 1999 , 2011 , 2017     Texas Tech     0   2014 , 2016 , 2018     Texas -- Rio Grande Valley     0   1971     Tufts     0   1950     Tulane     0   2001 , 2005     Tulsa     0   1969 , 1971     UC Irvine     0   2007 , 2014     UCLA   5     1969 , 1997 , 2010 , 2012 , 2013     UC Santa Barbara     0   2016     Utah     0   1951     Vanderbilt       2011 , 2014 , 2015     Virginia       2009 , 2011 , 2014 , 2015     Wake Forest       1949 , 1955     Washington     0   2018     Washington State     0   1950 , 1956 , 1965 , 1976     Western Michigan   6   0   1952 , 1955 , 1958 , 1959 , 1961 , 1963     Wichita State   7     1982 , 1988 , 1989 , 1991 , 1992 , 1993 , 1996     Wisconsin     0   1950     Wyoming     0   1956     Yale     0   1947 , 1948     Most CWS wins ( edit )     Rank   School   Wins   CWS Winning %   Appearances   Wins per appearance       Texas   85   . 590   35   2.43       Southern California   74   . 740   21   3.52       Arizona State   61   . 616   22   2.77       Miami ( FL )   48   . 533   25   1.92     5   Arizona   43   . 589   17   2.53     6   LSU   40   . 597   18   2.22     6   Oklahoma State   40   . 513   20   2.00     6   Stanford   40   . 580   16   2.50     9   Cal State Fullerton   34   . 523   18   1.89     10   South Carolina   32   . 615   11   2.91       Most CWS Finals appearances ( edit )    Bold indicates team won the CWS that year   Regular indicates team was Runner - up that year      Rank   School   Champion   Runner - up   Total   Years       Southern California   12     14   1948 , 1958 , 1960 , 1961 , 1963 , 1968 , 1970 , 1971 , 1972 , 1973 , 1974 , 1978 , 1995 , 1998       Texas   6   6   12   1949 , 1950 , 1953 , 1975 , 1983 , 1984 , 1985 , 1989 , 2002 , 2004 , 2005 , 2009       Arizona State   5   5   10   1965 , 1967 , 1969 , 1972 , 1973 , 1977 , 1978 , 1981 , 1988 , 1998       Arizona       8   1956 , 1959 , 1963 , 1976 , 1980 , 1986 , 2012 , 2016     5   LSU   6     7   1991 , 1993 , 1996 , 1997 , 2000 , 2009 , 2017     6   Miami ( FL )       6   1974 , 1982 , 1985 , 1996 , 1999 , 2001     6   South Carolina       6   1975 , 1977 , 2002 , 2010 , 2011 , 2012     6   Oklahoma State     5   6   1959 , 1961 , 1966 , 1981 , 1987 , 1990     9   Cal State Fullerton       5   1979 , 1984 , 1992 , 1995 , 2004     9   Stanford       5   1987 , 1988 , 2000 , 2001 , 2003     Most appearances without a CWS championship ( edit )   ( Last updated 9 : 51am EDT 28 June 2018 )   Top 10   Rank   School   Appearances   CWS Winning %   Runner - up   Wins Per Appearance       Florida State   22   . 397     1.33       Clemson   12   . 333   0   1.00       North Carolina   11   . 439     1.64       Mississippi State   10   . 375     1.20       Northern Colorado   10   . 130   0   0.30     6   Arkansas   9   . 455     1.67     7   Maine   7   . 333   0   1.00     8   Western Michigan   6   . 429     1.50     8   St. John 's ( NY )   6   . 333   0   1.00     8   Texas A&amp;M   6   . 143   0   0.33     Most CWS participants by one conference in a year ( edit )   Minimum three participants   Number   Year   Conference   Programs   CWS Winner       1997   SEC   Alabama , Auburn , LSU , Mississippi State   LSU         SEC   Arkansas , Georgia , LSU , South Carolina   Cal State Fullerton       2006   ACC   Clemson , Georgia Tech , Miami ( FL ) , North Carolina   Oregon State       2015   SEC   Arkansas , Florida , LSU , Vanderbilt   Virginia       1988   Pac - 12   Arizona State , California , Stanford   Stanford       1990   SEC   Georgia , LSU , Mississippi State   Georgia         SEC   Alabama , Florida , LSU   LSU       1998   SEC   Florida , LSU , Mississippi State   Southern California       2005   Big 12   Baylor , Nebraska , Texas   Texas       2008   ACC   Florida State , Miami ( FL ) , North Carolina   Fresno State       2011   SEC   Florida , South Carolina , Vanderbilt   South Carolina       2012   SEC   Arkansas , Florida , South Carolina   Arizona       2014   Big 12   TCU , Texas , Texas Tech   Vanderbilt       2016   Big 12   Oklahoma State , TCU , Texas Tech   Coastal Carolina       2017   SEC   Florida , LSU , Texas A&amp;M   Florida       2018   SEC   Arkansas , Florida , Mississippi State   Oregon State     Championships by Conference ( edit )     Rank   Conference   Titles       Pac - 12   18       Southeastern ( SEC )   11       Western Athletic ( WAC )   7       Big Ten   6       PCC - CIBA   6     6   Independents   5     7   Big Eight       7   Southwest       9   Atlantic Coast ( ACC )       9   Big 12       9   Big West ( BWC )       9   Big West ( SCBA )       13   Big South ( BSC )       13   Missouri Valley ( MVC )       13   West Coast ( WCC )        CIBA was California Intercollegiate Baseball Association that competed as a division under the Pacific Coast Conference which operated under its own Charter .   Independents = Miami Hurricanes ( 4 ) and Holy Cross Crusaders ( 1 )   SCBA was Southern California Baseball Association ( 1977 -- 84 ) .   The Big 12 does not claim any national championships , including baseball , that were won as members of the Big Eight and makes no claim to the history or records of the Big Eight .   The Western Athletic Conference claims 7 national championships in baseball by former members . There are no gaps in its existence . The Conference has existed continuously since its inception .   Coastal Carolina won the 2016 CWS as a member of the Big South Conference less than 24 hours before officially joining the Sun Belt Conference .    See also ( edit )    Baseball portal     NCAA Division I Baseball Championship   NCAA Division II Baseball Championship   NCAA Division III Baseball Championship   National Club Baseball Association   List of college baseball awards   U.S. college baseball awards   Pre-NCAA baseball champion    Notes ( edit )    Jump up ^ Known in 1950 as Colorado A&amp;M . At the same time , `` Colorado State '' referred to Colorado State College , now known as the University of Northern Colorado .   Jump up ^ Prior to 1970 , Northern Colorado was known as Colorado State College . Not to be confused with Colorado State University , known in 1950 as Colorado A&amp;M .   Jump up ^ UTRGV , in full The University of Texas Rio Grande Valley , entered into full operation in 2015 following the merger of the University of Texas -- Pan American ( UTPA ) and the University of Texas at Brownsville . UTRGV is credited with UTPA 's College World Series appearance because the UTPA athletic program was directly transferred to the new institution .    References ( edit )    Jump up ^ `` College World Series of Omaha , Inc . - Creighton University '' . Retrieved 28 June 2017 .   Jump up ^ CWS History . CWS Omaha , Inc . Retrieved 2017 - 02 - 11 .   Jump up ^ NCAA Trademarks -- NCAA.org Archived 2017 - 05 - 05 at the Wayback Machine. , footnote at bottom : `` College World Series and Women 's College World Series : The NCAA is the exclusive licensee of these marks , registered by Major League Baseball , in connection with the NCAA Division I Men 's Baseball Championship and the Division I Women 's Softball Championship . ''   Jump up ^ `` Archived copy '' . Archived from the original on 2008 - 06 - 12 . Retrieved 2008 - 06 - 12 . NCAA Signs 25 - Year Agreement with College World Series of Omaha , Inc .   Jump up ^ `` Archived copy '' . Archived from the original on 2008 - 06 - 12 . Retrieved 2008 - 06 - 12 . NCAA Memorandum of Understanding ...   Jump up ^ `` GENERAL CWS RECORDS '' ( PDF ) . NCAA . 19 April 2017 . p. 14 . Retrieved 28 June 2017 .   Jump up ^ `` COLLEGE WORLD SERIES '' . NCAA . 28 June 2017 . Retrieved 28 June 2017 .   Jump up ^ `` General CWS Records , All - Time Won - Lost by Conference , Pg 19 '' ( PDF ) . NCAA.org . Retrieved June 12 , 2016 .   Jump up ^ `` Big 12 National Championships '' . NeuLion , Inc . Retrieved 1 July 2017 .   Jump up ^ `` The College Football Report 's Long ( Somewhat ) And Illustrious ( Kind Of ) History Of The Big Six '' . The Beachwood Media Company . Retrieved 1 July 2017 .   Jump up ^ `` Western Athletic Conference Official Site - National Champions '' . Western Athletic Conference . Retrieved 1 July 2017 .   Jump up ^ `` Western Athletic Conference Official Site - WAC Timeline '' . Western Athletic Conference . Retrieved 1 July 2017 .   Jump up ^ `` Baseball_Tournament_Records. pdf '' ( PDF ) . Western Athletic Conference . Retrieved 1 July 2017 .   Jump up ^ `` Coastal Carolina to join Sun Belt Conference in July 2016 '' . Ncaa.com .    External links ( edit )    College World Series of Omaha ( CWS Omaha , Inc . ) official website   College World Series ( NCAA official website )              NCAA Division I Men 's College World Series     Ballparks     Hyames Field ( 1947 , 1948 )   Lawrence -- Dumont Stadium ( 1949 )   Johnny Rosenblatt Stadium ( 1950 -- 2010 )   TD Ameritrade Park Omaha ( 2011 -- present )       Tournaments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Broadcasters     CBS television coverage         Most Outstanding Players   NCAA Division I Baseball Championship                 NCAA Division I Baseball Champions       1947   California   1948   USC   1949   Texas   1950   Texas   1951   Oklahoma   1952   Holy Cross   1953   Michigan   1954   Missouri   1955   Wake Forest   1956   Minnesota   1957   California   1958   USC   1959   Oklahoma State   1960   Minnesota   1961   USC   1962   Michigan   1963   USC   1964   Minnesota   1965   Arizona State   1966   Ohio State   1967   Arizona State   1968   USC   1969   Arizona State   1970   USC   1971   USC   1972   USC   1973   USC     USC     Texas   1976   Arizona   1977   Arizona State   1978   USC   1979   Cal State Fullerton   1980   Arizona   1981   Arizona State   1982   Miami     Texas   1984   Cal State Fullerton   1985   Miami   1986   Arizona     Stanford   1988   Stanford   1989   Wichita State   1990   Georgia   1991   LSU   1992   Pepperdine   1993   LSU   1994   Oklahoma   1995   Cal State Fullerton     LSU   1997   LSU   1998   USC   1999   Miami   2000   LSU   2001   Miami   2002   Texas   2003   Rice     Cal State Fullerton   2005   Texas   2006   Oregon State   2007   Oregon State   2008   Fresno State   2009   LSU     South Carolina   2011   South Carolina   2012   Arizona   2013   UCLA   2014   Vanderbilt   2015   Virginia   2016   Coastal Carolina   2017   Florida   2018   Oregon State                 National Collegiate Athletic Association     NCAA     Awards   Hall of Champions   Conferences         Division I     Institutions   Athletic directors   Baseball   Championship   CWS     Basketball   Men   Women     Cross Country   Men   Women     Field hockey   Championship     Football   FBS   FCS     Golf   Men   Women     Ice hockey   Men   Women     Lacrosse   Men   Women     Rowing   Women     Soccer   Men   Women     Softball   Championship   WCWS     Swimming &amp; Diving   Men   Women     Tennis   Men   Women     Track and Field   Men 's indoor and outdoor   Women 's indoor and outdoor     Volleyball   Men   Women     Wrestling   Championship         Division II     Institutions   Baseball   Championship     Basketball   Men   Women     Cross Country   Men   Women     Field hockey   Championship     Football   Championship     Golf   Men   Women     Gymnastics   Men   Women     Ice hockey   Men     Lacrosse   Men   Women     Rowing   Women     Soccer   Men   Women     Softball   Championship / WCWS     Swimming &amp; Diving   Men   Women     Tennis   Men   Women     Track and Field   Men 's indoor and outdoor   Women 's indoor and outdoor     Volleyball   Women     Wrestling   Championship         Division III     Institutions   Baseball   Championship     Basketball   Men   Women     Cross Country   Men   Women     Field hockey   Championship     Football   Championship     Golf   Men   Women     Ice hockey   Men   Women     Lacrosse   Men   Women     Rowing   Women     Soccer   Men   Women     Softball   Championship / WCWS     Swimming &amp; Diving   Men   Women     Tennis   Men   Women     Track and Field   Men 's indoor and outdoor   Women 's indoor and outdoor     Volleyball   Men   Women     Wrestling   Championship         Single - division sports and championships     Beach volleyball   Women     Bowling   Women     Boxing   Championship     Fencing   Championships     Gymnastics   Men   Women     Rifle   Championship     Skiing   Championships     Trampoline   Championship     Water polo   Men   Women         Events listed in italics have been discontinued .    Retrieved from `` https://en.wikipedia.org/w/index.php?title=College_World_Series&amp;oldid=848708627 '' Categories :   College World Series   Sports in Omaha , Nebraska   Organizations based in Omaha , Nebraska   Non-profit organizations based in Nebraska   Recurring sporting events established in 1947   Annual sporting events in the United States   Baseball in Nebraska   Tourism in Omaha , Nebraska   Hidden categories :   All articles with dead external links   Articles with dead external lin</t>
  </si>
  <si>
    <t xml:space="preserve">who does oregon state play in the college world series</t>
  </si>
  <si>
    <t xml:space="preserve">   Year   Champion   Coach   Score   Runner - Up   Most Outstanding Player     1947   California   Clint Evans   17 -- 8 , 8 -- 7   Yale       1948   Southern California   Sam Barry   3 -- 1 , 3 -- 8 , 9 -- 2   Yale       1949   Texas   Bibb Falk   10 -- 3   Wake Forest   Tom Hamilton , Texas     1950   Texas   Bibb Falk   3 -- 0   Washington State   Ray VanCleef , Rutgers     1951   Oklahoma   Jack Baer   3 -- 2   Tennessee   Sidney Hatfield , Tennessee     1952   Holy Cross   Jack Barry   8 -- 4   Missouri   James O'Neill , Holy Cross     1953   Michigan   Ray Fisher   7 -- 5   Texas   J.L. Smith , Texas     1954   Missouri   Hi Simmons   4 -- 1   Rollins   Tom Yewcic , Michigan State     1955   Wake Forest   Taylor Sanford   7 -- 6   Western Michigan   Tom Borland , Oklahoma A&amp;M     1956   Minnesota   Dick Siebert   12 -- 1   Arizona   Jerry Thomas , Minnesota     1957   California   George Wolfman   1 -- 0   Penn State   Cal Emery , Penn State     1958   Southern California   Rod Dedeaux   8 -- 7   Missouri   Bill Thom , Southern California     1959   Oklahoma State   Toby Greene   5 -- 3   Arizona   Jim Dobson , Oklahoma State     1960   Minnesota   Dick Siebert   2 -- 1   Southern California   John Erickson , Minnesota     1961   Southern California   Rod Dedeaux   1 -- 0   Oklahoma State   Littleton Fowler , Oklahoma State     1962   Michigan   Don Lund   5 -- 4   Santa Clara   Bob Garibaldi , Santa Clara     1963   Southern California   Rod Dedeaux   5 -- 2   Arizona   Bud Hollowell , Southern California     1964   Minnesota   Dick Siebert   5 -- 1   Missouri   Joe Ferris , Maine     1965   Arizona State   Bobby Winkles   2 -- 1   Ohio State   Sal Bando , Arizona State     1966   Ohio State   Marty Karow   8 -- 2   Oklahoma State   Steve Arlin , Ohio State     1967   Arizona State   Bobby Winkles   11 -- 2   Houston   Ron Davini , Arizona State     1968   Southern California   Rod Dedeaux   4 -- 3   Southern Illinois   Bill Seinsoth , Southern California     1969   Arizona State   Bobby Winkles   10 -- 1   Tulsa   John Dolinsek , Arizona State     1970   Southern California   Rod Dedeaux   2 -- 1   Florida State   Gene Ammann , Florida State     1971   Southern California   Rod Dedeaux   7 -- 2   Southern Illinois   Jerry Tabb , Tulsa     1972   Southern California   Rod Dedeaux   1 -- 0   Arizona State   Russ McQueen , Southern California     1973   Southern California   Rod Dedeaux   4 -- 3   Arizona State   Dave Winfield , Minnesota       Southern California   Rod Dedeaux   7 -- 3   Miami ( FL )   George Milke , Southern California       Texas   Cliff Gustafson   5 -- 1   South Carolina   Mickey Reichenbach , Texas     1976   Arizona   Jerry Kindall   7 -- 1   Eastern Michigan   Steve Powers , Arizona     1977   Arizona State   Jim Brock   2 -- 1   South Carolina   Bob Horner , Arizona State     1978   Southern California   Rod Dedeaux   10 -- 3   Arizona State   Rod Boxberger , Southern California     1979   Cal State Fullerton   Augie Garrido   2 -- 1   Arkansas   Tony Hudson , Cal State Fullerton     1980   Arizona   Jerry Kindall   5 -- 3   Hawaii   Terry Francona , Arizona     1981   Arizona State   Jim Brock   7 -- 4   Oklahoma State   Stan Holmes , Arizona State     1982   Miami ( FL )   Ron Fraser   9 -- 3   Wichita State   Dan Smith , Miami ( FL )       Texas   Cliff Gustafson   4 -- 3   Alabama   Calvin Schiraldi , Texas     1984   Cal State Fullerton   Augie Garrido   3 -- 1   Texas   John Fishel , Cal State Fullerton     1985   Miami ( FL )   Ron Fraser   10 -- 6   Texas   Greg Ellena , Miami ( FL )     1986   Arizona   Jerry Kindall   10 -- 2   Florida State   Mike Senne , Arizona       Stanford   Mark Marquess   9 -- 5   Oklahoma State   Paul Carey , Stanford     1988   Stanford   Mark Marquess   9 -- 4   Arizona State   Lee Plemel , Stanford     1989   Wichita State   Gene Stephenson   5 -- 3   Texas   Greg Brummett , Wichita State     1990   Georgia   Steve Webber   2 -- 1   Oklahoma State   Mike Rebhan , Georgia     1991   LSU   Skip Bertman   6 -- 3   Wichita State   Gary Hymel , LSU     1992   Pepperdine   Andy Lopez   3 -- 2   Cal State Fullerton   Phil Nevin , Cal State Fullerton     1993   LSU   Skip Bertman   8 -- 0   Wichita State   Todd Walker , LSU     1994   Oklahoma   Larry Cochell   13 -- 5   Georgia Tech   Chip Glass , Oklahoma     1995   Cal State Fullerton   Augie Garrido   11 -- 5   Southern California   Mark Kotsay , Cal State Fullerton       LSU   Skip Bertman   9 -- 8   Miami ( FL )   Pat Burrell , Miami ( FL )     1997   LSU   Skip Bertman   13 -- 6   Alabama   Brandon Larson , LSU     1998   Southern California   Mike Gillespie   21 -- 14   Arizona State   Wes Rachels , Southern California     1999   Miami ( FL )   Jim Morris   6 -- 5   Florida State   Marshall McDougall , Florida State     2000   LSU   Skip Bertman   6 -- 5   Stanford   Trey Hodges , LSU     2001   Miami ( FL )   Jim Morris   12 -- 1   Stanford   Charlton Jimerson , Miami ( FL )     2002   Texas   Augie Garrido   12 -- 6   South Carolina   Huston Street , Texas     2003   Rice   Wayne Graham   4 -- 3 , 3 -- 8 , 14 -- 2   Stanford   John Hudgins , Stanford       Cal State Fullerton   George Horton   6 -- 4 , 3 -- 2   Texas   Jason Windsor , Cal State Fullerton     2005   Texas   Augie Garrido   4 -- 2 , 6 -- 2   Florida   David Maroul , Texas     2006   Oregon State   Pat Casey   3 -- 4 , 11 -- 7 , 3 -- 2   North Carolina   Jonah Nickerson , Oregon State     2007   Oregon State   Pat Casey   11 -- 4 , 9 -- 3   North Carolina   Jorge Luis Reyes , Oregon State     2008   Fresno State   Mike Batesole   6 -- 7 , 19 -- 10 , 6 -- 1   Georgia   Tommy Mendonca , Fresno State     2009   LSU   Paul Mainieri   7 -- 6 , 1 -- 5 , 11 -- 4   Texas   Jared Mitchell , LSU       South Carolina   Ray Tanner   7 -- 1 , 2 -- 1   UCLA   Jackie Bradley , Jr. , South Carolina     2011   South Carolina   Ray Tanner   2 -- 1 , 5 -- 2   Florida   Scott Wingo , South Carolina     2012   Arizona   Andy Lopez   5 -- 1 , 4 -- 1   South Carolina   Rob Refsnyder , Arizona     2013   UCLA   John Savage   3 -- 1 , 8 -- 0   Mississippi State   Adam Plutko , UCLA     2014   Vanderbilt   Tim Corbin   9 -- 8 , 2 -- 7 , 3 -- 2   Virginia   Dansby Swanson , Vanderbilt     2015   Virginia   Brian O'Connor   1 -- 5 , 3 -- 0 , 4 -- 2   Vanderbilt   Josh Sborz , Virginia     2016   Coastal Carolina   Gary Gilmore   0 -- 3 , 5 -- 4 , 4 -- 3   Arizona   Andrew Beckwith , Coastal Carolina     2017   Florida   Kevin O'Sullivan   4 -- 3 , 6 -- 1   LSU   Alex Faedo , Florida     2018   Oregon State   Pat Casey   1 -- 4 , 5 -- 3 , 5 -- 0   Arkansas   Adley Rutschman , Oregon State   </t>
  </si>
  <si>
    <r>
      <rPr>
        <sz val="11"/>
        <color rgb="FF000000"/>
        <rFont val="Calibri"/>
        <family val="0"/>
        <charset val="1"/>
      </rPr>
      <t xml:space="preserve">List of NBA champions - wikipedia  List of NBA champions  This is the latest accepted revision , reviewed on 20 September 2017 . Jump to : navigation , search    ( hide ) National Basketball Association awards and honors     Championship          O'Brien Trophy                   Brown Trophy ( defunct )                      Individual awards          All - Star Game MVP   Bill Russell Finals MVP   Coach of the Year   Defensive Player of the Year   Executive of the Year   J. Walter Kennedy Citizenship   Community Assist Award       Most Improved Player   Most Valuable Player   Rookie of the Year   Sixth Man of the Year   Sportsmanship Award   Twyman -- Stokes Teammate of the Year   Lifetime Achievement Award          Honors          All - NBA Team   All - Rookie Team                 All - Defensive Team                                  The National Basketball Association ( NBA ) ( formerly Basketball Association of America ( BAA ) from 1946 -- 49 ) Finals is the championship series for the NBA and the conclusion of the NBA 's postseason . All Finals have been played in a best - of - seven format , and contested between the winners of the Eastern Conference and the Western Conference ( formerly Divisions before 1970 ) , except in 1950 in which the Eastern Division champion faced the winner between the Western and Central Division champions . Prior to 1949 , the playoffs were instituted a three - stage tournament where the two semifinal winners played each other in the finals . The winning team of the series receives the Larry O'Brien Championship Trophy .   The home - and - away format in the NBA Finals is in a 2 -- 2 -- 1 -- 1 -- 1 format ( the team with the better regular season record plays on their home court in Games 1 , 2 , 5 and 7 ) during 1947 -- 1948 , 1950 -- 1952 , 1957 -- 1970 , 1972 -- 1974 , 1976 -- 1977 , 1979 -- 1984 , 2014 -- present . It was previously in a 2 -- 3 -- 2 format ( the team with the better regular season record plays on their home court in Games 1 , 2 , 6 and 7 ) during 1949 , 1953 -- 1955 , and 1985 -- 2013 , in a 1 -- 1 -- 1 -- 1 -- 1 -- 1 -- 1 format during 1956 and 1971 and in a 1 -- 2 -- 2 -- 1 -- 1 format during 1975 and 1978 .   The Eastern Conference / Division leads the Western Conference / Division in series won ( 38 -- 32 ) . The defunct Central Division won one championship . The Boston Celtics and the Minneapolis / Los Angeles Lakers alone own almost half of the titles , having won a combined 33 of 70 championships .     Contents  ( hide )   1 Trophies   1.1 Walter A. Brown Trophy   1.2 Larry O'Brien Championship Trophy     2 Champions   2.1 BAA champions   2.2 NBA champions     3 Results by teams   4 Notes   5 See also   6 References   7 External links      Trophies ( edit )  The original Walter A. Brown Trophy displayed at the Naismith Memorial Basketball Hall of Fame  Walter a Brown trophy ( edit )   The trophy was originally referred to as the NBA Finals trophy , but was renamed in 1964 after Walter A. Brown , the original owner of the Boston Celtics who was instrumental in merging the BAA and the National Basketball League into the NBA in 1949 .   The original trophy was awarded to the BAA / NBA champions from 1947 to 1976 . The trophy was kept by the winning team for one year and given to the winning team of the following year 's finals , unless the previous team won again , much like the NHL 's Stanley Cup , which continues that tradition to this day .   A new trophy design was created for the 1977 NBA Finals , although it retained the Walter A. Brown title . Unlike the original championship trophy , the new trophy was given permanently to the winning team and a new one was made every year .   The inaugural winners of the trophy were the Philadelphia Warriors , who defeated the Chicago Stags . From 1957 to 1969 , the Celtics won the NBA Finals 11 out of 13 times , including eight consecutive wins . The final winners of the trophy were the Philadelphia 76ers , who defeated the Los Angeles Lakers in the 1983 NBA Finals . In 1984 , the trophy was renamed the Larry O'Brien Championship Trophy .   Larry O'Brien Championship trophy ( edit )  Main article : Larry O'Brien Championship Trophy  In 1984 , the trophy was renamed to the Larry O'Brien Championship Trophy , in honor of Larry O'Brien , who served as NBA commissioner from 1975 to 1984 .   The current trophy is made out of 14.5 pounds of sterling silver and vermeil with a 24 karat gold overlay and stands 2 feet ( 0.61 m ) tall . It is designed to look like a basketball about to enter a net . The year and team names are engraved on the trophies , which are often prominently displayed in the winning team 's arena .   The Boston Celtics were the inaugural winners of the renamed trophy , defeating the Los Angeles Lakers in seven games ( 4 -- 3 ) in the 1984 NBA Finals .   Champions ( edit )   Legend     Bold   Winning team of the NBA Finals       Had or tied for the best regular season record for that season     ( # )   Playoff seed     BAA champions ( edit )     Year   Western Champions   Result   Eastern Champions   Reference     1947   Chicago Stags   1 -- 4   Philadelphia Warriors       1948   Baltimore Bullets   4 -- 2   Philadelphia Warriors       1949   Minneapolis Lakers   4 -- 2   Washington Capitols       NBA champions ( edit )     Year   Western Champions   Result   Eastern Champions   Reference     1950   Minneapolis Lakers   4 -- 2   Syracuse Nationals       1951   Rochester Royals ( 2 )   4 -- 3   New York Knicks ( 3 )       1952   Minneapolis Lakers ( 2 )   4 -- 3   New York Knicks ( 3 )       1953   Minneapolis Lakers ( 1 )   4 -- 1   New York Knicks ( 1 )       1954   Minneapolis Lakers ( 1 )   4 -- 3   Syracuse Nationals ( 1 )       1955   Fort Wayne Pistons ( 1 )   3 -- 4   Syracuse Nationals ( 1 )       1956   Fort Wayne Pistons ( 1 )   1 -- 4   Philadelphia Warriors ( 1 )       1957   St. Louis Hawks ( 1 )   3 -- 4   Boston Celtics ( 1 )       1958   St. Louis Hawks ( 1 )   4 -- 2   Boston Celtics ( 1 )       1959   Minneapolis Lakers ( 2 )   0 -- 4   Boston Celtics ( 1 )       1960   St. Louis Hawks ( 1 )   3 -- 4   Boston Celtics ( 1 )       1961   St. Louis Hawks ( 1 )   1 -- 4   Boston Celtics ( 1 )       1962   Los Angeles Lakers ( 1 )   3 -- 4   Boston Celtics ( 1 )       1963   Los Angeles Lakers ( 1 )   2 -- 4   Boston Celtics ( 1 )       1964   San Francisco Warriors ( 1 )   1 -- 4   Boston Celtics ( 1 )       1965   Los Angeles Lakers ( 1 )   1 -- 4   Boston Celtics ( 1 )       1966   Los Angeles Lakers ( 1 )   3 -- 4   Boston Celtics ( 2 )       1967   San Francisco Warriors ( 1 )   2 -- 4   Philadelphia 76ers ( 1 )       1968   Los Angeles Lakers ( 2 )   2 -- 4   Boston Celtics ( 2 )       1969   Los Angeles Lakers ( 1 )   3 -- 4   Boston Celtics ( 4 )       1970   Los Angeles Lakers ( 2 )   3 -- 4   New York Knicks ( 1 )       1971   Milwaukee Bucks ( 1 )   4 -- 0   Baltimore Bullets ( 1 )       1972   Los Angeles Lakers ( 1 )   4 -- 1   New York Knicks ( 2 )       1973   Los Angeles Lakers ( 2 )   1 -- 4   New York Knicks ( 2 )         Milwaukee Bucks ( 1 )   3 -- 4   Boston Celtics ( 1 )         Golden State Warriors ( 1 )   4 -- 0   Washington Bullets ( 2 )       1976   Phoenix Suns ( 3 )   2 -- 4   Boston Celtics ( 1 )       1977   Portland Trail Blazers ( 3 )   4 -- 2   Philadelphia 76ers ( 1 )       1978   Seattle SuperSonics ( 4 )   3 -- 4   Washington Bullets ( 3 )       1979   Seattle SuperSonics ( 1 )   4 -- 1   Washington Bullets ( 1 )       1980   Los Angeles Lakers ( 1 )   4 -- 2   Philadelphia 76ers ( 3 )       1981   Houston Rockets ( 6 )   2 -- 4   Boston Celtics ( 1 )       1982   Los Angeles Lakers ( 1 )   4 -- 2   Philadelphia 76ers ( 3 )         Los Angeles Lakers ( 1 )   0 -- 4   Philadelphia 76ers ( 1 )       1984   Los Angeles Lakers ( 1 )   3 -- 4   Boston Celtics ( 1 )       1985   Los Angeles Lakers ( 1 )   4 -- 2   Boston Celtics ( 1 )       1986   Houston Rockets ( 2 )   2 -- 4   Boston Celtics ( 1 )         Los Angeles Lakers ( 1 )   4 -- 2   Boston Celtics ( 1 )       1988   Los Angeles Lakers ( 1 )   4 -- 3   Detroit Pistons ( 2 )       1989   Los Angeles Lakers ( 1 )   0 -- 4   Detroit Pistons ( 1 )       1990   Portland Trail Blazers ( 3 )   1 -- 4   Detroit Pistons ( 1 )       1991   Los Angeles Lakers ( 3 )   1 -- 4   Chicago Bulls ( 1 )       1992   Portland Trail Blazers ( 1 )   2 -- 4   Chicago Bulls ( 1 )       1993   Phoenix Suns ( 1 )   2 -- 4   Chicago Bulls ( 2 )       1994   Houston Rockets ( 2 )   4 -- 3   New York Knicks ( 2 )       1995   Houston Rockets ( 6 )   4 -- 0   Orlando Magic ( 1 )         Seattle SuperSonics ( 1 )   2 -- 4   Chicago Bulls ( 1 )       1997   Utah Jazz ( 1 )   2 -- 4   Chicago Bulls ( 1 )       1998   Utah Jazz ( 1 )   2 -- 4   Chicago Bulls ( 1 )       1999   San Antonio Spurs ( 1 )   4 -- 1   New York Knicks ( 8 )       2000   Los Angeles Lakers ( 1 )   4 -- 2   Indiana Pacers ( 1 )       2001   Los Angeles Lakers ( 2 )   4 -- 1   Philadelphia 76ers ( 1 )       2002   Los Angeles Lakers ( 3 )   4 -- 0   New Jersey Nets ( 1 )       2003   San Antonio Spurs ( 1 )   4 -- 2   New Jersey Nets ( 2 )         Los Angeles Lakers ( 2 )   1 -- 4   Detroit Pistons ( 3 )       2005   San Antonio Spurs ( 2 )   4 -- 3   Detroit Pistons ( 2 )       2006   Dallas Mavericks ( 4 )   2 -- 4   Miami Heat ( 2 )       2007   San Antonio Spurs ( 3 )   4 -- 0   Cleveland Cavaliers ( 2 )       2008   Los Angeles Lakers ( 1 )   2 -- 4   Boston Celtics ( 1 )       2009   Los Angeles Lakers ( 1 )   4 -- 1   Orlando Magic ( 3 )         Los Angeles Lakers ( 1 )   4 -- 3   Boston Celtics ( 4 )       2011   Dallas Mavericks ( 3 )   4 -- 2   Miami Heat ( 2 )       2012   Oklahoma City Thunder ( 2 )   1 -- 4   Miami Heat ( 2 )       2013   San Antonio Spurs ( 2 )   3 -- 4   Miami Heat ( 1 )       2014   San Antonio Spurs ( 1 )   4 -- 1   Miami Heat ( 2 )       2015   Golden State Warriors ( 1 )   4 -- 2   Cleveland Cavaliers ( 2 )       2016   Golden State Warriors ( 1 )   3 -- 4   Cleveland Cavaliers ( 1 )       2017   Golden State Warriors ( 1 )   4 -- 1   Cleveland Cavaliers ( 2 )       Results by teams ( edit )     Teams   Win   Loss   Total   Year ( s ) won   Year ( s ) lost     Boston Celtics   17     21   1957 , 1959 , 1960 , 1961 , 1962 , 1963 , 1964 , 1965 , 1966 , 1968 , 1969 , 1974 , 1976 , 1981 , 1984 , 1986 , 2008   1958 , 1985 , 1987 , 2010     Minneapolis / Los Angeles Lakers   16   15   31   1949 , 1950 , 1952 , 1953 , 1954 , 1972 , 1980 , 1982 , 1985 , 1987 , 1988 , 2000 , 2001 , 2002 , 2009 , 2010   1959 , 1962 , 1963 , 1965 , 1966 , 1968 , 1969 , 1970 , 1973 , 1983 , 1984 , 1989 , 1991 , 2004 , 2008     Chicago Bulls   6   0   6   1991 , 1992 , 1993 , 1996 , 1997 , 1998   --     Philadelphia / San Francisco / Golden State Warriors   5     9   1947 , 1956 , 1975 , 2015 , 2017   1948 , 1964 , 1967 , 2016     San Antonio Spurs   5     6   1999 , 2003 , 2005 , 2007 , 2014   2013     Syracuse Nationals / Philadelphia 76ers     6   9   1955 , 1967 , 1983   1950 , 1954 , 1977 , 1980 , 1982 , 2001     Fort Wayne / Detroit Pistons       7   1989 , 1990 , 2004   1955 , 1956 , 1988 , 2005     Miami Heat       5   2006 , 2012 , 2013   2011 , 2014     New York Knicks     6   8   1970 , 1973   1951 , 1952 , 1953 , 1972 , 1994 , 1999     Houston Rockets         1994 , 1995   1981 , 1986     St. Louis / Atlanta Hawks         1958   1957 , 1960 , 1961     Baltimore / Washington Bullets / Washington Wizards         1978   1971 , 1975 , 1979     Seattle SuperSonics / Oklahoma City Thunder         1979   1978 , 1996 , 2012     Cleveland Cavaliers         2016   2007 , 2015 , 2017     Portland Trail Blazers         1977   1990 , 1992     Milwaukee Bucks         1971       Dallas Mavericks         2011   2006     Baltimore Bullets ( original ) ( folded in 1954 )     0     1948   --     Rochester / Cincinnati Royals / Kansas City / Sacramento Kings     0     1951   --     Phoenix Suns   0       --   1976 , 1993     New Orleans / Utah Jazz   0       --   1997 , 1998     New Jersey / Brooklyn Nets   0       --   2002 , 2003     Orlando Magic   0       --   1995 , 2009     Chicago Stags ( folded in 1950 )   0       --   1947     Washington Capitols ( folded in 1951 )   0       --   1949     Indiana Pacers   0       --   2000     Buffalo Braves / San Diego / Los Angeles Clippers   --   --   --         Charlotte Bobcats / Hornets   --   --   --         Denver Nuggets   --   --   --         Minnesota Timberwolves   --   --   --         New Orleans Hornets / Pelicans   --   --   --         Toronto Raptors   --   --   --         Vancouver / Memphis Grizzlies   --   --   --         Notes ( edit )    Jump up ^ Due to the NBA 's realignment into three divisions , the team with the best regular season record after the Divisional Finals advanced automatically to the NBA Finals while the other two teams faced off in the NBA Semifinals to determine the other finalist . Eastern Division champion Syracuse had the best regular season record among the division champions , causing Central Division ( no relation to the current Central Division ) champion Minneapolis to face Western Division champion Anderson Packers in the NBA Semifinals .   Jump up ^ The trophy was renamed for Walter A. Brown .   Jump up ^ The trophy was replaced by a new design .   Jump up ^ The trophy was renamed for Larry O'Brien .   Jump up ^ Due to a lockout , the season did not start until February 5 , 1999 , and all 29 teams played a shortened 50 - game regular season schedule .   Jump up ^ Due to a lockout , the season did not start until December 25 , 2011 and all 30 teams played a shortened 66 - game regular season schedule .   Jump up ^ Not affiliated with the present - day Washington Wizards who were known as the Baltimore / Capital / Washington Bullets from 1963 to 1997 .    See also ( edit )    National Basketball Association portal     NBA Playoffs   Bill Russell NBA Finals Most Valuable Player Award   List of NBA Development League champions   List of NBA championship head coaches   List of NBA players with most championships    References ( edit )    Jump up ^ Rosen , Charley ( 2008 ) . The First Tip - Off : The Incredible Story of the Birth of the NBA . Mc - Graw Hill . pp. 211 -- 212 . ISBN 0 - 07 - 148785 - 9 .   Jump up ^ Anderson , Corrie ; Reheuser , Rob ; et al. ( 2006 ) . Sporting News Official 2006 -- 2007 NBA Guide . Sporting News Books . ISBN 0 - 89204 - 854 - 9 .   Jump up ^ Brown , Donald H. ( 2007 ) . A Best of Basketball Story . AuthorHouse . pp. 4 -- 5 . ISBN 1 - 4343 - 4193 - 3 .   Jump up ^ `` 1948 -- 49 Minneapolis Lakers Schedule and Results Summary '' . basketball-reference.com . Retrieved October 29 , 2011 .   Jump up ^ `` 1952 -- 53 Minneapolis Lakers Schedule and Results Summary '' . basketball-reference.com . Retrieved October 29 , 2011 .   Jump up ^ `` 1953 -- 54 Minneapolis Lakers Schedule and Results Summary '' . basketball-reference.com . Retrieved October 29 , 2011 .   Jump up ^ `` 1954 -- 55 Syracuse Nationals Schedule and Results Summary '' . basketball-reference.com . Retrieved October 29 , 2011 .   Jump up ^ Ryan , Bob ( June 23 , 2005 ) . `` Time to turn back clock on format '' . Boston Globe . Retrieved May 14 , 2008 .   Jump up ^ Windhorst , Brian ( October 23 , 2013 ) . `` Vote is unanimous to change Finals '' . ESPN.com . Retrieved October 23 , 2013 .   Jump up ^ `` 1955 -- 56 Philadelphia Warriors Schedule and Results Summary '' . basketball-reference.com . Retrieved October 29 , 2011 .   Jump up ^ `` 1970 -- 71 Milwaukee Bucks Schedule and Results Summary '' . basketball-reference.com . Archived from the original on August 4 , 2011 . Retrieved October 29 , 2011 .   Jump up ^ `` 1974 -- 75 Golden State Warriors Schedule and Results Summary '' . basketball-reference.com . Retrieved October 29 , 2011 .   Jump up ^ `` 1977 -- 78 Washington Bullets Schedule and Results Summary '' . basketball-reference.com . Retrieved October 29 , 2011 .   Jump up ^ Shimberg , Jason ( June 9 , 2005 ) . `` NBA Finals Trophy : Can You Name It ? '' . docsports.com . Docsports . Retrieved October 30 , 2008 .   Jump up ^ `` Walter A. Brown '' . hoophall.com . Naismith Memorial Basketball Hall of Fame . Retrieved September 17 , 2011 .   Jump up ^ `` NBA '' . Encyclopædia Britannica . Retrieved July 27 , 2008 .   Jump up ^ `` NBA Finals history '' . USA Today . June 26 , 1999 . Retrieved October 31 , 2008 .   Jump up ^ `` Lawrence O'Brien '' . hoophall.com . Naismith Memorial Basketball Hall of Fame . Archived from the original on April 12 , 2008 . Retrieved August 3 , 2008 .   ^ Jump up to : `` Larry O'Brien Championship Trophy '' . NBA.com . National Basketball Association . Retrieved July 26 , 2008 .   ^ Jump up to : `` The trophies '' . St. Petersburg Times . April 10 , 2003 . Retrieved July 26 , 2008 .   Jump up ^ `` NBA Legends Launch 2005 NBA Legends Tour : Destination Finals '' . NBA.com . Turner Sports Interactive , Inc . Retrieved July 26 , 2008 .   ^ Jump up to : `` Celtics Win First Bird - Magic Finals Showdown '' . NBA.com . Turner Sports Interactive , Inc . Retrieved May 17 , 2008 .   Jump up ^ `` Warriors Win Inaugural Finals '' . NBA.com . Turner Sports Interactive , Inc . Retrieved May 17 , 2008 .   Jump up ^ `` NBA &amp; ABA Playoffs Series History '' . Basketball-Reference.com . Retrieved 28 September 2015 .   Jump up ^ `` Mikan , Lakers Begin Championship Run '' . NBA.com . Turner Sports Interactive , Inc . Retrieved May 17 , 2008 .   ^ Jump up to : `` 1949 -- 50 NBA Season Summary '' . basketball-reference.com . Retrieved October 31 , 2008 .   Jump up ^ `` Lakers : First Champs of Newly Formed NBA '' . NBA.com . Turner Sports Interactive , Inc . Retrieved May 14 , 2008 .   Jump up ^ `` Royals Reign , Despite Knicks ' Unlikely Comeback '' . NBA.com . Turner Sports Interactive , Inc . Retrieved May 14 , 2008 .   Jump up ^ `` Lakers Reclaim the NBA Crown '' . NBA.com . Turner Sports Interactive , Inc . Retrieved May 14 , 2008 .   Jump up ^ `` Lakers Unstoppable in Big Apple '' . NBA.com . Turner Sports Interactive , Inc . Retrieved May 14 , 2008 .   Jump up ^ `` Minneapolis Makes One Last Title Run '' . NBA.com . Turner Sports Interactive , Inc . Retrieved May 14 , 2008 .   Jump up ^ `` Nats Win First Title of Shot - Clock Era '' . NBA.com . Turner Sports Interactive , Inc . Retrieved May 17 , 2008 .   Jump up ^ `` Warriors Reign Over League 's 10th Season '' . NBA.com . Turner Sports Interactive , Inc . Retrieved May 17 , 2008 .   Jump up ^ `` Celtics Officially Launch Their Dynasty '' . NBA.com . Turner Sports Interactive , Inc . Retrieved May 17 , 2008 .   Jump up ^ `` Pettit Drops 50 on Celtics in Game 6 '' . NBA.com . Turner Sports Interactive , Inc . Retrieved May 17 , 2008 .   Jump up ^ `` Celtics Sweep Past Minneapolis '' . NBA.com . Turner Sports Interactive , Inc . Retrieved May 17 , 2008 .   Jump up ^ `` Hawks Force Game 7 , But Celtics Repeat '' . NBA.com . Turner Sports Interactive , Inc . Retrieved May 17 , 2008 .   Jump up ^ `` Celtics Give Sharman Championship Sendoff '' . NBA.com . Turner Sports Interactive , Inc . Retrieved May 17 , 2008 .   Jump up ^ `` Celtics , Lakers Work OT to Start Rivalry '' . NBA.com . Turner Sports Interactive , Inc . Retrieved May 17 , 2008 .   Jump up ^ `` Cousy Retires as Six - Time Champion '' . NBA.com . Turner Sports Interactive , Inc . Retrieved May 17 , 2008 .   Jump up ^ `` Boston ' D ' at Center of Title Defense '' . NBA.com . Turner Sports Interactive , Inc . Retrieved May 17 , 2008 .   Jump up ^ `` Celtics Win Seventh Straight Finals '' . NBA.com . Turner Sports Interactive , Inc . Retrieved May 17 , 2008 .   Jump up ^ `` Red Lights Cigar to Close Coaching Career '' . NBA.com . Turner Sports Interactive , Inc . Retrieved May 17 , 2008 .   Jump up ^ `` Prolific Sixers Bring Ring to Philly '' . NBA.com . Turner Sports Interactive , Inc . Retrieved May 17 , 2008 .   Jump up ^ `` Boston is Alive and Well '' . NBA.com . Turner Sports Interactive , Inc . Retrieved May 17 , 2008 .   Jump up ^ `` West 's Heroics Ca n't Deprive Russell of 11th Title '' . NBA.com . Turner Sports Interactive , Inc . Retrieved May 17 , 2008 .   Jump up ^ `` Gutsy Reed Rallies Knicks in Game 7 '' . NBA.com . Turner Sports Interactive , Inc . Retrieved May 17 , 2008 .   Jump up ^ `` ' Big O ' Completes Bucks ' Championship Run '' . NBA.com . Turner Sports Interactive , Inc . Retrieved May 17 , 2008 .   Jump up ^ `` Lakers ' Legendary Season Leads to Elusive Title '' . NBA.com . Turner Sports Interactive , Inc . Retrieved May 17 , 2008 .   Jump up ^ `` Knicks Win One for the ' Aged ' '' . NBA.com . Turner Sports Interactive , Inc . Retrieved May 17 , 2008 .   Jump up ^ `` Celtics Win First Title of Post-Russell Era '' . NBA.com . Turner Sports Interactive , Inc . Retrieved May 17 , 2008 .   Jump up ^ `` Barry 's Warriors Produce Epic Upset '' . NBA.com . Turner Sports Interactive , Inc . Retrieved May 17 , 2008 .   Jump up ^ `` Triple - OT Classic Highlights Boston 's 13th Title '' . NBA.com . Turner Sports Interactive , Inc . Retrieved May 17 , 2008 .   Jump up ^ `` Walton , Lucas Ignite ' Blazermania ' '' . NBA.com . Turner Sports Interactive , Inc . Retrieved May 17 , 2008 .   Jump up ^ `` ' Fat Lady ' Sings Victorious Tune for Bullets '' . NBA.com . Turner Sports Interactive , Inc . Retrieved May 17 , 2008 .   Jump up ^ `` DJ Leads the Way for Sonics '' . NBA.com . Turner Sports Interactive , Inc . Retrieved May 17 , 2008 .   Jump up ^ `` Rookie Makes the Lakers Believe in Magic '' . NBA.com . Turner Sports Interactive , Inc . Retrieved May 17 , 2008 .   Jump up ^ `` Celtics Return to Glory '' . NBA.com . Turner Sports Interactive , Inc . Retrieved May 17 , 2008 .   Jump up ^ `` Lakers ' Arduous Season Ends in Victory '' . NBA.com . Turner Sports Interactive , Inc . Retrieved May 17 , 2008 .   Jump up ^ `` Moses Helps Dr. J , Sixers Reach Promised Land '' . NBA.com . Turner Sports Interactive , Inc . Retrieved May 17 , 2008 .   Jump up ^ `` Kareem , Lakers Conquer the Celtic Mystique '' . NBA.com . Turner Sports Interactive , Inc . Retrieved May 17 , 2008 .   Jump up ^ `` Frontcourt Vaults Celtics to Front of the Pack '' . NBA.com . Turner Sports Interactive , Inc . Retrieved May 17 , 2008 .   Jump up ^ `` Magic Maneuvers Lakers Past Celtics '' . NBA.com . Turner Sports Interactive , Inc . Retrieved May 17 , 2008 .   Jump up ^ `` Lakers Capture the Elusive Repeat '' . NBA.com . Turner Sports Interactive , Inc . Retrieved May 17 , 2008 .   Jump up ^ `` Waiting Game Ends for Impatient Pistons '' . NBA.com . Turner Sports Interactive , Inc . Retrieved May 17 , 2008 .   Jump up ^ `` Bad Boys Still the Best '' . NBA.com . Turner Sports Interactive , Inc . Retrieved May 17 , 2008 .   Jump up ^ `` Bulls Finally Get That Championship Feeling '' . NBA.com . Turner Sports Interactive , Inc . Retrieved May 17 , 2008 .   Jump up ^ `` Repeat is Extra Sweet for Bulls '' . NBA.com . Turner Sports Interactive , Inc . Retrieved May 17 , 2008 .   Jump up ^ `` Paxson 's Trey Propels Bulls Into NBA History '' . NBA.com . Turner Sports Interactive , Inc . Retrieved May 17 , 2008 .   Jump up ^ `` Houston 's Championship : Dream Come True '' . NBA.com . Turner Sports Interactive , Inc . Retrieved May 17 , 2008 .   Jump up ^ `` Rockets Earn Respect With Finals Sweep '' . NBA.com . Turner Sports Interactive , Inc . Retrieved May 17 , 2008 .   Jump up ^ `` Bulls ' Record - Setting Season Ends in Victory '' . NBA.com . Turner Sports Interactive , Inc . Retrieved May 17 , 2008 .   Jump up ^ `` MJ Adds More Finals Heroics to His Legacy '' . NBA.com . Turner Sports Interactive , Inc . Retrieved May 17 , 2008 .   Jump up ^ `` Jordan 's Jumper Secures Chicago 's Sixth Title '' . NBA.com . Turner Sports Interactive , Inc . Retrieved May 17 , 2008 .   Jump up ^ Donovan , John ( February 4 , 1999 ) . `` Let the semi-season begin : Expect injuries , intensity and a new champion in ' 99 '' . CNN Sports Illustrated . Retrieved September 4 , 2011 .   Jump up ^ `` ' Little General ' Marches Spurs to First Title '' . NBA.com . Turner Sports Interactive , Inc . Retrieved May 17 , 2008 .   Jump up ^ `` Shaq Makes Mark in New Millennium '' . NBA.com . Turner Sports Interactive , Inc . Retrieved May 17 , 2008 .   Jump up ^ `` Take Two for Tinseltown '' . NBA.com . Turner Sports Interactive , Inc . Retrieved May 17 , 2008 .   Jump up ^ `` A Sweeping Statement '' . NBA.com . Turner Sports Interactive , Inc . Archived from the original on December 3 , 2010 . Retrieved May 17 , 2008 .   Jump up ^ `` The Storybook Spurs ! '' . NBA.com . Turner Sports Interactive , Inc . Retrieved May 17 , 2008 .   Jump up ^ `` Motown back at # 1 '' . NBA.com . Turner Sports Interactive , Inc . Retrieved May 17 , 2008 .   Jump up ^ `` Winning is fundamental '' . NBA.com . Turner Sports Interactive , Inc . Retrieved May 17 , 2008 .   Jump up ^ `` Wade 's world is Title Town '' . NBA.com . Turner Sports Interactive , Inc . Retrieved May 17 , 2008 .   Jump up ^ `` Sweeping success : Spurs win it ! '' . NBA.com . Turner Sports Interactive , Inc . Retrieved May 17 , 2008 .   Jump up ^ `` Return to Glory : Celtics Win NBA Title '' . NBA.com . Turner Sports Interactive , Inc . Retrieved June 3 , 2008 .   Jump up ^ `` L.A. Finishes Off Magic , Claims 15th Championship '' . NBA.com . Turner Sports Interactive , Inc . Retrieved May 17 , 2008 .   Jump up ^ `` Revenge ! Lakers outlast Celtics in Game 7 for NBA title '' . NBA.com . Turner Sports Interactive , Inc . Retrieved June 17 , 2010 .   Jump up ^ `` Cuban finally ends silence , emerges as a champion '' . NBA.com . Turner Sports Interactive , Inc . Retrieved June 12 , 2011 .   Jump up ^ Beck , Howard ( November 28 , 2011 ) . `` Two Exhibition Games for N.B.A. Teams '' . The New York Times . Retrieved November 28 , 2011 .   Jump up ^ `` 2011 -- 12 NBA Season Summary '' . Basketball - Reference . Retrieved April 21 , 2012 .   Jump up ^ Mahoney , Brian ( June 21 , 2012 ) . `` Champs ! James ' triple - double lifts Heat to title '' . NBA.com . Turner Sports Interactive , Inc . Retrieved June 17 , 2015 .   Jump up ^ Mahoney , Brian ( June 20 , 2013 ) . `` LeBron leads Heat to second straight title '' . NBA.com . Turner Sports Interactive , Inc . Retrieved June 17 , 2015 .   Jump up ^ Mahoney , Brian ( June 15 , 2014 ) . `` Spurs beat Heat 104 - 87 in Game 5 to win NBA title '' . NBA.com . Turner Sports Interactive , Inc . Retrieved June 17 , 2015 .   Jump up ^ Withers , Tom ( June 16 , 2015 ) . `` Warriors win NBA title , down LeBron , Cavs 105 - 97 in Game 6 '' . NBA.com . Turner Sports Interactive , Inc . Retrieved June 17 , 2015 .   Jump up ^ Ziegler , P.J. ( 19 June 2016 ) . `` Curse broken : Cleveland Cavaliers win NBA Championship '' . Fox News . Retrieved 20 June 2016 . The Cleveland Cavaliers have broken the Cleveland curse and won the NBA Championship ; they beat the Warriors , 93 - 89 . The Cavs are the first NBA team ever to win an NBA title after being down 3 - 1 .    External links ( edit )  ( hide ) Find more aboutNBAat Wikipedia 's sister projects   Definitions from Wiktionary   Media from Commons   News from Wikinews   Quotations from Wikiquote   Texts from Wikisource   Textbooks from Wikibooks   Learning resources from Wikiversity     NBA.com : List of champions              NBA Finals       Champions   O'Brien Trophy   Most Valuable Player Award   Brown Trophy   Championship ring   Broadcasters   Game sevens   Droughts   Streaks   TV ratings       1940s                    1947   1948   1949          1950s      1950   1951   1952   1953   1954   1955   1956   1957   1958   1959        1960s      1960   1961   1962   1963   1964   1965   1966   1967   1968   1969        1970s      1970   1971   1972   1973       1976   1977   1978   1979        1980s      1980   1981   1982     1984   1985   1986     1988   1989        1990s      1990   1991   1992   1993   1994   1995     1997   1998   1999        2000s      2000   2001   2002   2003     2005   2006   2007   2008   2009        2010s        2011   2012   2013   2014   2015   2016   2017                      NBA champions       1947 : Philadelphia Warriors   1948 : Baltimore Bullets   1949 : Minneapolis Lakers   1950 : Minneapolis Lakers   1951 : Rochester Royals   1952 : Minneapolis Lakers   1953 : Minneapolis Lakers   1954 : Minneapolis Lakers   1955 : Syracuse Nationals   1956 : Philadelphia Warriors   1957 : Boston Celtics   1958 : St. Louis Hawks   1959 : Boston Celtics   1960 : Boston Celtics   1961 : Boston Celtics   1962 : Boston Celtics   1963 : Boston Celtics   1964 : Boston Celtics   1965 : Boston Celtics   1966 : Boston Celtics   1967 : Philadelphia 76ers   1968 : Boston Celtics   1969 : Boston Celtics   1970 : New York Knicks   1971 : Milwaukee Bucks   1972 : Los Angeles Lakers   1973 : New York Knicks   1974 : Boston Celtics   1975 : Golden State Warriors   1976 : Boston Celtics   1977 : Portland Trail Blazers   1978 : Washington Bullets   1979 : Seattle SuperSonics   1980 : Los Angeles Lakers   1981 : Boston Celtics   1982 : Los Angeles Lakers   1983 : Philadelphia 76ers   1984 : Boston Celtics   1985 : Los Angeles Lakers   1986 : Boston Celtics   1987 : Los Angeles Lakers   1988 : Los Angeles Lakers   1989 : Detroit Pistons   1990 : Detroit Pistons   1991 : Chicago Bulls   1992 : Chicago Bulls   1993 : Chicago Bulls   1994 : Houston Rockets   1995 : Houston Rockets   1996 : Chicago Bulls   1997 : Chicago Bulls   1998 : Chicago Bulls   1999 : San Antonio Spurs   2000 : Los Angeles Lakers   2001 : Los Angeles Lakers   2002 : Los Angeles Lakers   2003 : San Antonio Spurs   2004 : Detroit Pistons   2005 : San Antonio Spurs   2006 : Miami Heat   2007 : San Antonio Spurs   2008 : Boston Celtics   2009 : Los Angeles Lakers   2010 : Los Angeles Lakers   2011 : Dallas Mavericks   2012 : Miami Heat   2013 : Miami Heat   2014 : San Antonio Spurs   2015 : Golden State Warriors   2016 : Cleveland Cavaliers   2017 : Golden State Warriors                 National Basketball Association     Eastern Conference      Atlantic     Boston Celtics   Brooklyn Nets   New York Knicks   Philadelphia 76ers   Toronto Raptors       Central     Chicago Bulls   Cleveland Cavaliers   Detroit Pistons   Indiana Pacers   Milwaukee Bucks       Southeast     Atlanta Hawks   Charlotte Hornets   Miami Heat   Orlando Magic   Washington Wizards          Western Conference      Northwest     Denver Nuggets   Minnesota Timberwolves   Oklahoma City Thunder   Portland Trail Blazers   Utah Jazz       Pacific     Golden State Warriors   Los Angeles Clippers   Los Angeles Lakers   Phoenix Suns   Sacramento Kings       Southwest     Dallas Mavericks   Houston Rockets   Memphis Grizzlies   New Orleans Pelicans   San Antonio Spurs          Annual events     Draft   Summer League   Christmas Day   All - Star Weekend   Game   MVP     Playoffs   List     Finals   Champions   MVP         Others     NBA Silver Anniversary Team   NBA 35th Anniversary Team   50 Greatest Players   ABA   Merger     Arenas   Awards   BAA   Cheerleading   Collective bargaining agreement   Criticisms and controversies   2007 Tim Donaghy betting scandal     G League   Dress code   Draft eligibility   Global Games   Africa 2015 , Africa 2017     First overall draft picks   Hall of Fame   Members     Head coaches   Current   Player - coaches   Champions   Foreign coaches     Lockouts   Larry O'Brien Trophy   Mascots   Midwest Division   NBA champions   NBA Store   Media   TV   NBA TV     NBL   NBPA   Owners   Players   Current rosters   Foreign players   Race and ethnicity   Retired numbers   Banned or suspended   Highest paid     Records   regular season   post-season   All - Star Game   Win - loss records     Rivalries   Salary cap   Seasons   Teams   Defunct   Expansion   Relocated   Timeline     WNBA   Basketball in the United States           Portal   2017 -- 18 season      Retrieved from `` https://en.wikipedia.org/w/index.php?title=List_of_NBA_champions&amp;oldid=801564251 '' Categories :   National Basketball Association Finals   National Basketball Association lists   Lists of sports championships   Hidden categories :   Wikipedia pending changes protected pages ( level 1 )   Featured lists           Talk                                           Contents                   About Wikipedia                                             Español   Հայերեն   ქართული   Latviešu   Magyar   Русский   Simple English   Suomi   Türkçe   Українська   </t>
    </r>
    <r>
      <rPr>
        <sz val="11"/>
        <color rgb="FF000000"/>
        <rFont val="Noto Sans CJK SC"/>
        <family val="2"/>
      </rPr>
      <t xml:space="preserve">中文   </t>
    </r>
    <r>
      <rPr>
        <sz val="11"/>
        <color rgb="FF000000"/>
        <rFont val="Calibri"/>
        <family val="0"/>
        <charset val="1"/>
      </rPr>
      <t xml:space="preserve">Edit links   This page was last edited on 20 September 2017 , at 13 : 05 .   Text is available under the Creative Commons Attribution - ShareAlike License ; additional terms may apply . By using this site , you agree to the Terms of Use an</t>
    </r>
  </si>
  <si>
    <t xml:space="preserve">who played in the last 3 nba finals</t>
  </si>
  <si>
    <t xml:space="preserve">   Year   Western Champions   Result   Eastern Champions   Reference     1950   Minneapolis Lakers   4 -- 2   Syracuse Nationals       1951   Rochester Royals ( 2 )   4 -- 3   New York Knicks ( 3 )       1952   Minneapolis Lakers ( 2 )   4 -- 3   New York Knicks ( 3 )       1953   Minneapolis Lakers ( 1 )   4 -- 1   New York Knicks ( 1 )       1954   Minneapolis Lakers ( 1 )   4 -- 3   Syracuse Nationals ( 1 )       1955   Fort Wayne Pistons ( 1 )   3 -- 4   Syracuse Nationals ( 1 )       1956   Fort Wayne Pistons ( 1 )   1 -- 4   Philadelphia Warriors ( 1 )       1957   St. Louis Hawks ( 1 )   3 -- 4   Boston Celtics ( 1 )       1958   St. Louis Hawks ( 1 )   4 -- 2   Boston Celtics ( 1 )       1959   Minneapolis Lakers ( 2 )   0 -- 4   Boston Celtics ( 1 )       1960   St. Louis Hawks ( 1 )   3 -- 4   Boston Celtics ( 1 )       1961   St. Louis Hawks ( 1 )   1 -- 4   Boston Celtics ( 1 )       1962   Los Angeles Lakers ( 1 )   3 -- 4   Boston Celtics ( 1 )       1963   Los Angeles Lakers ( 1 )   2 -- 4   Boston Celtics ( 1 )       1964   San Francisco Warriors ( 1 )   1 -- 4   Boston Celtics ( 1 )       1965   Los Angeles Lakers ( 1 )   1 -- 4   Boston Celtics ( 1 )       1966   Los Angeles Lakers ( 1 )   3 -- 4   Boston Celtics ( 2 )       1967   San Francisco Warriors ( 1 )   2 -- 4   Philadelphia 76ers ( 1 )       1968   Los Angeles Lakers ( 2 )   2 -- 4   Boston Celtics ( 2 )       1969   Los Angeles Lakers ( 1 )   3 -- 4   Boston Celtics ( 4 )       1970   Los Angeles Lakers ( 2 )   3 -- 4   New York Knicks ( 1 )       1971   Milwaukee Bucks ( 1 )   4 -- 0   Baltimore Bullets ( 1 )       1972   Los Angeles Lakers ( 1 )   4 -- 1   New York Knicks ( 2 )       1973   Los Angeles Lakers ( 2 )   1 -- 4   New York Knicks ( 2 )         Milwaukee Bucks ( 1 )   3 -- 4   Boston Celtics ( 1 )         Golden State Warriors ( 1 )   4 -- 0   Washington Bullets ( 2 )       1976   Phoenix Suns ( 3 )   2 -- 4   Boston Celtics ( 1 )       1977   Portland Trail Blazers ( 3 )   4 -- 2   Philadelphia 76ers ( 1 )       1978   Seattle SuperSonics ( 4 )   3 -- 4   Washington Bullets ( 3 )       1979   Seattle SuperSonics ( 1 )   4 -- 1   Washington Bullets ( 1 )       1980   Los Angeles Lakers ( 1 )   4 -- 2   Philadelphia 76ers ( 3 )       1981   Houston Rockets ( 6 )   2 -- 4   Boston Celtics ( 1 )       1982   Los Angeles Lakers ( 1 )   4 -- 2   Philadelphia 76ers ( 3 )         Los Angeles Lakers ( 1 )   0 -- 4   Philadelphia 76ers ( 1 )       1984   Los Angeles Lakers ( 1 )   3 -- 4   Boston Celtics ( 1 )       1985   Los Angeles Lakers ( 1 )   4 -- 2   Boston Celtics ( 1 )       1986   Houston Rockets ( 2 )   2 -- 4   Boston Celtics ( 1 )         Los Angeles Lakers ( 1 )   4 -- 2   Boston Celtics ( 1 )       1988   Los Angeles Lakers ( 1 )   4 -- 3   Detroit Pistons ( 2 )       1989   Los Angeles Lakers ( 1 )   0 -- 4   Detroit Pistons ( 1 )       1990   Portland Trail Blazers ( 3 )   1 -- 4   Detroit Pistons ( 1 )       1991   Los Angeles Lakers ( 3 )   1 -- 4   Chicago Bulls ( 1 )       1992   Portland Trail Blazers ( 1 )   2 -- 4   Chicago Bulls ( 1 )       1993   Phoenix Suns ( 1 )   2 -- 4   Chicago Bulls ( 2 )       1994   Houston Rockets ( 2 )   4 -- 3   New York Knicks ( 2 )       1995   Houston Rockets ( 6 )   4 -- 0   Orlando Magic ( 1 )         Seattle SuperSonics ( 1 )   2 -- 4   Chicago Bulls ( 1 )       1997   Utah Jazz ( 1 )   2 -- 4   Chicago Bulls ( 1 )       1998   Utah Jazz ( 1 )   2 -- 4   Chicago Bulls ( 1 )       1999   San Antonio Spurs ( 1 )   4 -- 1   New York Knicks ( 8 )       2000   Los Angeles Lakers ( 1 )   4 -- 2   Indiana Pacers ( 1 )       2001   Los Angeles Lakers ( 2 )   4 -- 1   Philadelphia 76ers ( 1 )       2002   Los Angeles Lakers ( 3 )   4 -- 0   New Jersey Nets ( 1 )       2003   San Antonio Spurs ( 1 )   4 -- 2   New Jersey Nets ( 2 )         Los Angeles Lakers ( 2 )   1 -- 4   Detroit Pistons ( 3 )       2005   San Antonio Spurs ( 2 )   4 -- 3   Detroit Pistons ( 2 )       2006   Dallas Mavericks ( 4 )   2 -- 4   Miami Heat ( 2 )       2007   San Antonio Spurs ( 3 )   4 -- 0   Cleveland Cavaliers ( 2 )       2008   Los Angeles Lakers ( 1 )   2 -- 4   Boston Celtics ( 1 )       2009   Los Angeles Lakers ( 1 )   4 -- 1   Orlando Magic ( 3 )         Los Angeles Lakers ( 1 )   4 -- 3   Boston Celtics ( 4 )       2011   Dallas Mavericks ( 3 )   4 -- 2   Miami Heat ( 2 )       2012   Oklahoma City Thunder ( 2 )   1 -- 4   Miami Heat ( 2 )       2013   San Antonio Spurs ( 2 )   3 -- 4   Miami Heat ( 1 )       2014   San Antonio Spurs ( 1 )   4 -- 1   Miami Heat ( 2 )       2015   Golden State Warriors ( 1 )   4 -- 2   Cleveland Cavaliers ( 2 )       2016   Golden State Warriors ( 1 )   3 -- 4   Cleveland Cavaliers ( 1 )       2017   Golden State Warriors ( 1 )   4 -- 1   Cleveland Cavaliers ( 2 )     </t>
  </si>
  <si>
    <t xml:space="preserve">Talk : best - selling music artist - Wikipedia  Talk : best - selling music artist  Jump to : navigation , search    This is the talk page for discussing improvements to the Best - selling music artist redirect . This is not a forum for general discussion of the article 's subject .       Put new text under old text . Click here to start a new topic .   Please sign and date your posts by typing four tildes ( ~ ~ ~ ~ ) .   New to Wikipedia ? Welcome ! Ask questions , get answers .       Be polite , and welcoming to new users   Assume good faith   Avoid personal attacks   For disputes , seek dispute resolution     Article policies   No original research   Neutral point of view   Verifiability       The guiness book of records did a huge research into Beatles sales in 1972 based on tax sales returns during the 1960s , and they had already sold over 500 million by 1971 .   Michael Jackson sold 750 million Records Alive The Beatles sold 500 + million records Alive Elvis Presley sold 350 + million records Alive     Contents  ( hide )   1 Additional Information ...   2 So Called `` Sales List ''   3 So called IFPI Best selling artists of all time LIST probably not accurate   4 list of best - selling remix albums worldwide      Additional information ... ( edit )   This is a section made to talk about the best selling artists and albums . -- Preceding unsigned comment added by 104.219. 190.70 ( talk ) 08 : 10 , 9 March 2018 ( UTC )   `` I do n't think it 's fair to compare such sales as they were alive . You then discriminate by age - for example , Buddy Holly could have been more successful than either one of these , he had that chance to make great sales until his death at only 21 by plane crash , thus ending his musical career at such an early stage and time - only been doing music a couple of years too - and you 're also not taking in the incredibly tedious procedures older generations had to do to sell their albums than newer generations ' technology and widespread credibility . Michael Jackson after Jackson 5 , came at a time when TV more recent than both Elvis and The Beatles , and to this respect alone , you could argue that with the amount of sales they both did , both Elvis and The Beatles are more successful than Michael Jackson . I think , also , not to include the Jackson 5 sales in with Michael Jackson 's sales as a solo artist , they are both two different times . My thoughts . '' think Michael Jackson is pretty well covered , but if anyone has any additional information about The Beatles ' or Elvis Preley 's total sales , please add any credible , sourced and relevant information you have . Also , ABBA is sometimes called the biggest selling act ever . If anyone has information to support this claim , I think adding a section about ABBA would be good . If you want to add an ABBA section , structure it that same as Michael Jackson , Beatles and Elvis . That is , heading , image , intro ( where they are from , when they were active , any records they hold , then go into detail about their sales . But I think ABBA should be the only other artist to be added to this list . I do n't want it to turn into a big long list . Only add artists if they have been claimed by many sources as being the best - selling ever and they are well known for being one of the best - selling artists ever . Please limit it to Michael Jackson , The Beatles , Elvis Presley and maybe ABBA . Otherwise , it might as well be List of best - selling music artists . Street walker 16 : 35 , 12 January 2006 ( UTC )   Have re-worded article , too much `` doubt '' mentioned for Elvis and The Beatles , while Jacksons entry seemed to be an essay to convert us over to all beliving he was the number 1 artist .   Thank - you for doing that . You know , it 's not that I was trying to make Jackson look good , it 's that I knew more about the nature of his sales than the Beatles and Elvis . Sorry if it appeared otherwise . Street walker 03 : 43 , 14 January 2006 ( UTC )   Then it 's funny how you keep removing words such as `` sales claims '' and such like from the Jackson article , as well as the disclaimer about the WMA 's . It may also be mentioned at the top , but it is relevant to MJ , not Elvis and the Beatles . There is also a disclaimer at the top that also states sales are disputed and given by record companies , yet , that did n't stop you repeating it time and again in the articles of the Beatles and Elvis , if you 're not trying to make MJ look good and the other two look bad , well , you could have fooled me ! .   As a matter of fact , The BJP ( Beatles / Jackson / Presley ) are the best selling artists of all time . That is the reason why we do need all objective fans ( from Beatles / Jackson / Presley ) and other fans / non fans to fill any reliable information so as to rule this wikipedia page. Readerweb 12 : 47 , 15 January 2006 ( UTC )   There is no ' fact ' on this at all . It is all speculation and guestimation . Why these artists have been singled out as the best sellers is because they have received awards for such ... and these awards are bogus to say the least . Without a doubt The Beatles and Elvis Presley stand supreme , but Michael Jackson is not the ' third biggest ' . Bing Crosby appears to have sold more , and so do ABBA . With Mariah Carey now having 16 number 1 hits in the US , being 2 behind Elvis , and 4 behind the Beatles , I also wonder what her true figures are .   So called `` sales list '' ( edit )   The International Federation of the Phonographic Industry ( IFPI ) has just published its updated list of the 150 highest selling artists ever . IFPI has finally come up with a list of the top - selling acts in History . Its about time .   The Top 9 is as follows : 01 . The Beatles 40 400,000,000 UK 60s ( 1962 - 1970 ) Rock / Pop Guinness / EMI   02 . Michael Jackson 14 350,000,000 US 70s - 00s ( 1979 - 2009 ) Pop / R&amp;B   03 . Elvis Presley 150 300,000,000 US 50s - 70s ( 1956 - 1977 ) Country / Rock   04 . Madonna 16 275,000,000 US 80s - 00s ( 1984 - ) Pop / Dance and Techno   05 . Cliff Richard 60 250,000,000 UK 50s - 00s ( 1959 - 1969 , 1977 - 1979 , 1986 - 1999 ) Rock / Pop   06 . The Rolling Stones 54 ~ 250,000,000 UK 60s - 00s ( 1964 - 1981 ) Rock   07 . Mariah Carey 14 230,000,000 US 90s - 00s ( 1990 - ) Pop / R&amp;B   08 . Elton John 43 ~ 220,000,000 UK 70s - 00s ( 1972 - 1976 , 1989 - 1991 , 1997 - ) Pop   09 . Celine Dion 21 220,000,000 Canada 80s - 00s ( 1990 - ) Pop Music / Pop   Source : IFPI http://mjtkop.com/home/ http://www.madonna.com/   It is quite intersting this . I 'm not sure whetehr we should structure the page around their list , but it could well be worth at least a mention , perhaps its own section within the page . However , I ca n't find this anywhere on the IFPI 's webiste . Indeed , the only place I can see it referred to is on madonna 's website ; I think we 'd need something more concrete Robdurbar 10 : 28 , 27 January 2006 ( UTC )    AH , hang on a minute - I found a webiste that said ' the IFPI are the organization that provide the WMA with their figures ' ; so we 'd have the same problem as we do with their figures Robdurbar 10 : 29 , 27 January 2006 ( UTC )     This list = fake , phony MJ fans propaganda . Itisnt even an IFPI list .    Why theres so many artist missing in the list like Patti Page , Shakira , and Enrique Igleasias ? -- Preceding unsigned comment added by 112.198. 101.97 ( talk ) 04 : 52 , 12 June 2016 ( UTC )   So called IFPI best selling artists of all time list probably not accurate ( edit )   According to ESCTODAY ( Eurovision Song Contest Today ) which is refering to IFPI , here are the 20 ( of 150 ) best selling artists of all time ( 1 ) :    01. The Beatles 400,000,000 # 02. Michael Jackson 350,000,000 # 03. Elvis Presley 300,000,000 # 04. Madonna 275,000,000 # 05. Nana Mouskouri 250,000,000 # 06. Cliff Richard 250,000,000 # 07. The Rolling Stones 250,000,000 # 08. Mariah Carey 230,000,000 # 09. Elton John 220,000,000 # 10. Celine Dion 220,000,000 # 11. Pink Floyd 210,000,000 # 12. Led Zeppelin 200,000,000 # 13. Metallica 200,000,000 # 14. Julio Iglesias 200,000,000 # 15. Queen 180,000,000 # 16 AC / DC 180,000,000 # 17 Whitney Houston 180,000,000 # 18. ABBA 160,000,000 # 19. U2 150,000,000 # 20. The Jacksons 150,000,000    This `` independant '' Eurovision site is reliable but there is something that bothered me though . The World Music Awards is always refering to IFPI ( 2 ) so why did WMA awarded Mariah Carey as the World 's Best - Selling Female Artist of the Millennium in 2000 as she 's only number 8 and Madonna number 4 ? I do n't think Madonna has sold 50 million records since 2000 and then outsold Mariah Carey within 5 or 6 years . Anyway , WMA is keeping secret on this list , except the Beatles news on their website ( as best selling act of all time ) , why ca n't they provide the second , the third , ... ? IFPI website is just providing certifications of the year . IMO it is too conflicting for both ( WMA and IFPI ) to publish officially a list of the best selling artists of all time ( with figures ) as Music Companies and Majors wo n't probably accept it ( again , it 's my opinion ). Readerweb 20 : 23 , 24 March 2006 ( UTC )   I can answer the question about Mariah , according to a rep at the WMA , Madonna was offered this award first -- however they never rec . a responce from her rep ... Liz , they stated that since there was no responce they gave the award to another `` deserving '' artist .   Madonna has sold well over the 275 million albums stated above , none of COADF is accounted for in this number . Madonna 's ablbum sales outside the USA were over 200 million in 2000 . This was stated already , not including sales in the USA . The above IFPI sales totals are proven and accurate based on the time frame of up to mid year 2005 .    Maddona has n't sold that many in reality . She'sonly sold 130 million singles and albums by 2000 . he has NOT sold another 175 million plus since then .    Hope this answers the question .   This is the same list thats been floating around wikipedia the last couple months . It is a fake list , and IFPI currently tracking down the source of it i believe . The fact that theres no indication of its existence on IFPI 's official website should 've already rung alarm bells. -- Count Chocula 07 : 11 , 25 March 2006 ( UTC )    Yeah , I wouldnt trust anything until it is available on the IFPI 's site itself Robdurbar 18 : 14 , 25 March 2006 ( UTC )    i dont know who changed my opinion on the page . Elvis presley is dead , The beatles are defunct so michael jackson is the highest selling artist ALIVE AND ACTIVE 59.92. 95.181 09 : 08 , 13 May 2006 ( UTC ) paul newman   So what ? That dose n't mean anything . Jacksons sales include that of a defunct group . Paul McCartney and Ringo Starr are both alive and active and have outsold Jackson ! 74.65. 39.59 02 : 17 , 7 July 2006 ( UTC )   Oh great ... if they go out and branch as solo acts then they are on their own.it is being said that michael jackson alone has sold 300 million copies as a solo act. i think we should include only tat. omit the jackson 5 part. now probing a little deeper i think we should have a seperate biggest selling page for the solo artists such as elvis presley , brooks , jackson etc . But heck with it ... its the music that matters not the sales ... to me beatles are junk ... elvis and jackson are the true kings. 59.92. 61.24 08 : 58 , 12 July 2006 ( UTC ) Paul Newman   has AC / DC really sold more records than ABBA ? ? ? ? I do n't know , since the WMA 's are secretive about this sort of thing , I call it all into question .    The Beatles are not junk . `` Yesterday '' is much finer than `` Wanna be starting something '' by Wacko Jacko ! 74.65. 39.59 11 : 16 , 6 August 2006 ( UTC )       But on the other hand `` She 's Out of My Life '' is finer than `` Yellow Submarine '' ... Bab      Michael jckson has sold 350million and the Jacksons 150million so Michael Jackson has sold 350 + 150 = 500million = &gt; so he is the real number one . And it 's not finished ... ( actually it is )   The Jacksons / Jackson 5 sold 60 million not 150 million and if you actually add up Mjs album and singles sales it comes closer to 300 million .   UPDATE : Madonna has been confirmed by The Guinness Book of World Records and IFPI ( International Federation of Phonographic Industry ) as the top selling female artist of all time with certified sales of 182mil albums and 125mil singles , 305 mil records in total . The updated chart of the `` United World Chart '' , the tracking authority which monitors the RIAA and SoundScan , lists Madonna at # 5 in their `` All Time Best Selling Album Artist '' and she 's the only female singer on the list ( Mariah Carey , Celine Dion and Nana Mouskouri are not mentioned ) . Also , Madonna is the all time singles artist with 25 world - wide # 1 songs , more than The Beatles , Elvis Presley and Michael Jackson . She 's also the best selling singles and album artist in several markets including the USA , England , Spain , Germany , etc ...   List of best - selling remix albums worldwide ( edit )   Even though this is kinda off topic can someone help the new list of best - selling remix albums worldwide with its structure .  Retrieved from `` https://en.wikipedia.org/w/index.php?title=Talk:Best-selling_music_artist&amp;oldid=829542229 ''         Talk                             New section                 Contents                   About Wikipedia                                         This page was last edited on 9 March 2018 , at 08 : 11 .         About Wikipedia                    </t>
  </si>
  <si>
    <t xml:space="preserve">who sold more albums elvis or micheal jackson</t>
  </si>
  <si>
    <t xml:space="preserve"> Michael Jackson sold 750 million Records Alive The Beatles sold 500 + million records Alive Elvis Presley sold 350 + million records Alive </t>
  </si>
  <si>
    <t xml:space="preserve">Santa Clarita Diet - Wikipedia  Santa Clarita Diet  Jump to : navigation , search    Santa Clarita Diet         Genre   Horror - comedy     Created by     Victor Fresco       Starring     Drew Barrymore   Timothy Olyphant   Liv Hewson   Skyler Gisondo       Composer ( s )   John Debney ( season 1 ) Jeff Russo ( season 2 )     Country of origin   United States     Original language ( s )   English     No. of seasons       No. of episodes   20 ( list of episodes )     Production     Executive producer ( s )     Victor Fresco   Tracy Katsky   Aaron Kaplan   Drew Barrymore   Chris Miller   Ember Truesdell   Timothy Olyphant   Andy Weil   Jane Wiseman   Brittany Segal   Ruben Fleischer       Producer ( s )     Leila Cohan - Miccio   Nancy Juvonen   Jimmy Simons       Cinematography   Todd McMullen ( season 1 ) Paul Maibaum , ASC ( season 2 )     Editor ( s )     Shawn Paper   Andrew Doerfer   Lawrence Maddox   Steven Sprung       Camera setup   Single - camera     Running time   26 -- 34 minutes     Production company ( s )     Kapital Entertainment   KatCo   Flower Films   Garfield Grove   Olybomb Entertainment       Distributor   Netflix     Release     Original network   Netflix     Picture format   4K ( 16 : 9 UHDTV in high dynamic range )     Audio format   Dolby Digital 5.1     Original release   February 3 , 2017 ( 2017 - 02 - 03 ) -- present     External links     Website     Santa Clarita Diet is an American horror - comedy web television series created by Victor Fresco for the streaming service Netflix , starring Drew Barrymore and Timothy Olyphant . Fresco serves as the showrunner , and is an executive producer alongside Drew Barrymore , Timothy Olyphant , Aaron Kaplan , Tracy Katsky , Chris Miller , Ember Truesdell and Ruben Fleischer .   The single - camera series premiered on February 3 , 2017 and consists of 10 episodes . The first season has received generally positive reviews , with critics praising the cast and premise , but criticizing the number of graphic scenes . On March 29 , 2017 , it was announced that Netflix renewed the series for a second season , which premiered on March 23 , 2018 . On May 8 , 2018 , the series was renewed for a 10 - episode third season set to premiere in 2019 .     Contents  ( hide )   1 Plot   2 Cast   2.1 Main   2.2 Recurring   2.3 Guest     3 Episodes   3.1 Series overview   3.2 Season 1 ( 2017 )   3.3 Season 2 ( 2018 )     4 Production   4.1 Development   4.2 Advertising controversy     5 Critical reception   6 References   7 External links      Plot ( edit )   Joel and Sheila Hammond are everyday suburban real estate agents in Santa Clarita , California . The couple face a series of obstacles when Sheila has a physical transformation into a zombie and starts craving human flesh . With Joel and the family trying to help Sheila through the trying time , they have to deal with neighbors , cultural norms and getting to the bottom of a potentially mythological mystery .   Cast ( edit )   Main ( edit )    Drew Barrymore as Sheila Hammond , Joel 's wife and Abby 's mother   Timothy Olyphant as Joel Hammond , Sheila 's husband and Abby 's father   Liv Hewson as Abby Hammond , Sheila and Joel 's daughter   Skyler Gisondo as Eric Bemis , the Hammonds ' neighbor , Lisa 's son and Dan 's stepson    Recurring ( edit )    Ricardo Chavira as Dan Palmer ( season 1 ) , a sheriff 's deputy , Eric 's stepfather and the Hammonds ' neighbor . Dan is killed by Joel with a shovel and later eaten by Sheila .   Mary Elizabeth Ellis as Lisa Palmer , Dan 's wife and Eric 's mother   Andy Richter as Carl Coby , the Hammonds ' boss   Richard T. Jones as Rick , a Santa Monica police officer , the Hammond 's neighbor , and Joel 's friend   Joy Osmanski as Alondra , Rick 's wife   Kaylee Bryant as Sarah , a classmate of Abby and Eric   Nathan Fillion as Gary West , a realtor and the Hammonds ' co-worker . He is the first person Sheila kills for food . His severed head still survives and is stored in the Hammonds ' basement and later storage unit .   Natalie Morales as Anne Garcia , a sheriff 's deputy , Dan 's partner , and very religious . She becomes romantically involved with Lisa after Dan goes missing .   Thomas Lennon as Principal Andrei Novak , Abby 's school principal   Ramona Young as Ramona , a wise Rite - Aid employee . She also turns out to be a zombie .   Grace Zabriskie as Mrs. Bakavic ( season 1 ) , Novak 's Serbian grandmother   DeObia Oparei as Loki Hayes ( season 1 ) , a convicted felon . He turns into a zombie when Sheila is unsuccessful in killing him .   Portia de Rossi as Dr. Cora Wolf ( season 1 ) , a scientist focused on the undead   Zachary Knighton as Paul ( season 2 ) , Marsha 's husband and a descendant of the Knights of Serbia , who has been tasked with ending the zombie outbreak   Jaee Young Han as Marsha ( season 2 ) , Paul 's wife who 's helping him with the mission to end the zombie outbreak   Matt Shively as Christian ( season 2 ) , a student at Abby and Eric 's school who is also Chris and Christa 's son    Guest ( edit )    Patton Oswalt as Dr. Hasmedi , a virologist   Ryan Hansen as Bob Jonas , Lisa Palmer 's lover   Derek Waters as Anton , a conspiracy theorist   Ravi Patel as Ryan , a convention goer   Jonathan Slavin as Ron , an asylum inmate   Joel McHale as Chris , a realtor who is married to Christa   Maggie Lawson as Christa , a realtor who is married to Chris   Gerald McRaney as Ed Thune , a retired army colonel   Leo Howard as Sven , a student who asked Abby out in Season 2 after the tray incident , hurting Eric 's soul    Episodes ( edit )   Series overview ( edit )     Season   Episodes   Originally released         10   February 3 , 2017 ( 2017 - 02 - 03 )         10   March 23 , 2018 ( 2018 - 03 - 23 )     Season 1 ( 2017 ) ( edit )     No . overall   No. in season   Title   Directed by   Written by   Original release date         `` So Then a Bat or a Monkey ''   Ruben Fleischer   Victor Fresco   February 3 , 2017 ( 2017 - 02 - 03 )          This episode 's plot summary may be too long or excessively detailed . Please help improve it by removing unnecessary details and making it more concise . ( May 2018 ) ( Learn how and when to remove this template message )    Joel and Sheila Hammond are realtors leading a normal suburban life with their daughter Abby . They are trying hard to sell a house but while showing it Sheila violently throw ups copious amounts of yellow liquid , including what might be an organ . Joel takes Sheila to the emergency department but since it is slow they go home . Sheila is acting oddly , including an increased libido ; her blood is thick and she has no heartbeat . Their neighbor 's son Eric explains to them that Sheila is dead and undead and driven by her Id , which Sheila is okay with . Eric tells them Sheila must always be fed , and if she degrades she may have to die . Sheila and Abby sneak out and buy a car , and later Sheila parties with her neighbors . Gary , Sheila 's co-worker , entices Sheila to dance with him when Joel finds them . They leave and Sheila thinks her new behavior might be who she really is . At Sheila 's home , Gary tries to force himself on her , threatening to tell others she was unfaithful if she refuses . Sheila licks his fingers , suddenly biting two of them off before devouring Gary in the backyard . Joel comes home to find Sheila eating Gary ; as he looks on in horror , Sheila tells him she wants to make this work .         `` We Ca n't Kill People ! ''   Ruben Fleischer   Victor Fresco   February 3 , 2017 ( 2017 - 02 - 03 )     They bury Gary 's remains in the desert . Abby and Eric follow them discovering Sheila killed Gary . While covering up the murder Dan sees Joel spraying his grass in the middle of the night and gets suspicious . Joel consults a virologist but he thinks Joel is crazy . Dan comes to inspect the grass and Joel tells him they have ants . Abby ditches school with Eric . Joel tries to get Sheila to eat meat but she says since she ate Gary she does not want anything but humans . Joel suggests that maybe it is the freshness that matters . Sheila continues to act impulsively including killing a rooster . After they make the sale on the listing Sheila tells Joel she could n't eat the rooster . Joel reiterates that they can not kill people . Joel and Sheila try to find an alternate food source at the morgue but Sheila ca n't stand the cadaver flesh . Sheila 's hunger is growing so Joel tells her they are going to kill people so she can eat . They have been together since high school and he is not going to leave her now . Abby comes and sleeps in their bed because she is worried about the changes .         `` We Can Kill People ''   Marc Buckland   Clay Graham   February 3 , 2017 ( 2017 - 02 - 03 )          This episode 's plot summary may be too long or excessively detailed . Please help improve it by removing unnecessary details and making it more concise . ( May 2018 ) ( Learn how and when to remove this template message )    Joel and Sheila discuss balancing killing people and being parents . Abby is grumpy with them for being overbearing . They make a plan to find a bad person to kill . Dan talks to them about never having a sloppy kill referring to the ants . They get supplies for killing people . Joel smokes pot in the bathroom to calm down . Eric and Abby have lunch while ditching school where Abby 's friend leaves with her 26 - year - old drug dealer boyfriend , but he breaks up with her . Joel and Sheila talk to Rick , their other neighbor who is a cop , looking for where to find people to kill . He says that a pedophile lives in the area and the couple consider killing him . Sheila and Joel overhear the teenagers talking about how bad the ex-boyfriend was and decide to kill him . Once Joel talked to him he decides to let him go much to Sheila 's annoyance . The teenagers go to the ex-boyfriend's house ; one of them teargasses it and retrieves her friend 's sweater . On the way home , Sheila and Joel have a road rage incident then Sheila kills the driver of the other car . They put him in the freezer in their storage unit hoping he will not be missed . They go to family dinner and all three of them tell the others how wonderful everything is .         `` The Farting Sex Tourist ''   Ken Kwapis   Michael A. Ross   February 3 , 2017 ( 2017 - 02 - 03 )     Sheila makes a smoothie from the body in storage then goes walking with her neighbors . She suggests the women should live life to the fullest . She tells them her new attitude is due to her new high protein diet . Joel goes to paranormal stores researching zombies . He finds two prints from Serbia that show someone vomiting up a red ball and then eating someone . Rick talks to the couple about their new car and then Dan interrupts bringing them more ant spray . Abby 's school calls them in and Principal Novak tells them Abby is missing school . They insist everything is normal . Sheila gets upset with Novak and she wants to eat him when he threatens to suspend Abby . Sheila tells Abby she should drop out causing Joel to confront Sheila about her behavior concluding he is not sure their family can survive it . Sheila talks to Eric who tells her the undead have no impulse control and she can not change . Meanwhile Joel talks to Abby and they steal Rick 's motorcycle before they bond over freaking out about Sheila . Joel realizes Novak is Serbian . Dan sprays Joel 's yard for ants and finds Gary 's finger .     5   5   `` Man Eat Man ''   Marc Buckland   Chadd Gindin   February 3 , 2017 ( 2017 - 02 - 03 )     Abby goes to the storage unit and finds the dead man in the freezer . Joel talks to Novak 's Grandmother for help translating the prints . She tells him it is an old story about zombies from a book that might have a cure . Sheila is reluctant about a cure at first as she likes the side effects of being a zombie but finally agrees she wants a cure . Joel finds a possible source for the book , Anton . Abby tells Eric about the dead guy she found . Eric tells Abby he found out his mom is having an affair . Joel asks Rick to run a check for Anton . Dan blackmails Joel into killing a guy named Loki . Joel tells Sheila that Dan knows about Gary . Sheila wants to kill Loki for food and is willing to go alone . Abby complains to Eric about her parent 's lying and he tries to kiss her . Sheila and Joel try to kill Loki and fail . Sheila is worried she bit Loki . Abby notices blood on Sheila 's briefcase but does not confront her mom about it . Loki is on the floor of a hotel room surrounded by vomit like Sheila was before .     6   6   `` Attention to Detail ''   Craig Zisk   Leila Cohan - Miccio   February 3 , 2017 ( 2017 - 02 - 03 )     Joel and Sheila stake out Loki and debate the possibility that he was turned into a zombie . With no resolution they go to a party at Dan 's house and Joel has to lie to Dan about Loki . Sheila realizes she left a pen with her contact information at Loki 's house . Abby and Eric have a hard time recovering from the kiss . Dan wants Joel to kill another guy who he claims is a bad guy but when Sheila goes to kill him it turns out to be the guy Lisa is having an affair with and she does not kill him . Abby and Eric plant a flash bang in Dan 's rose garden to freak him out . In the process they find a stash of money concluding Dan is a dirty cop . Joel runs into Loki 's friends and is held hostage . They knock him out but he is OK and he finds the pen . Joel and Sheila decide they are going to do everything together moving forward . Joel confronts Dan telling him he will not be killing people for him anymore . They get into a fight and Joel kills him with a shovel .     7   7   `` Strange or Just Inconsiderate ? ''   Lynn Shelton   Ben Smith   February 3 , 2017 ( 2017 - 02 - 03 )     Joel and Sheila bring Dan 's body to their house and they make a plan to dispose of him . Sheila begins to worry about Joel , who is obsessed with retaining the family 's `` normality . '' Rick finds Anton for Joel . Abby finds Dan 's body in the tub and confronts her parents about lying to her . Abby tells Eric that Dan is dead and he is fine with it . Abby and Eric have a plan to help cover up Dan 's murder by revealing he is a dirty cop to the other cops . With the sheriff 's department all over the neighborhood following Dan 's disappearance , Sheila undertakes to eat him completely to hide the evidence but fails . Joel decides to take the remaining body parts out of the house in a cooler . The cops find Dan 's stash and with it Gary 's finger . Rick tells Joel that Gary 's disappearance is being blamed on Dan . While Sheila is taking a bath her little toe falls off .     8   8   `` How Much Vomit ? ''   Steve Pink   Aaron Brownstein &amp; Simon Ganz   February 3 , 2017 ( 2017 - 02 - 03 )     Sheila keeps the fact that her toe has fallen off from Joel . As the police discover more about Dan 's corrupt activities , Joel and Sheila hear that Loki is still alive and appears to have turned undead as well . They find him doing an acoustic performance at a local club , and he becomes obsessed with Sheila , forcing them to kill him when he tries to murder Joel . As Joel is coming to terms with Sheila 's toe having fallen off , they are both shocked to notice that her right eye is now hanging out of her head .     9   9   `` The Book ! ''   Tamra Davis   Sarah Walker   February 3 , 2017 ( 2017 - 02 - 03 )     Joel and Eric head to a paranormal convention to meet Anton , a popular and mysterious figure in the paranormal community , who claims to have an ancient book containing the cure for Sheila 's condition . Anton accuses Joel of being a government agent , and when confronted later , admits he is a fraud and does not have the book -- however Joel is approached by another attendee , who puts him in touch with the book 's real owner , Dr. Cora Wolf . Meanwhile , Sheila tries to bond with Abby , as the two try to get her money back from the brother of the deceased chop shop owner .     10   10   `` Baka , Bile and Baseball Bats ''   Dean Parisot   Clay Graham   February 3 , 2017 ( 2017 - 02 - 03 )     Dr. Cora Wolf moves in with the Hammonds to work on a cure for the virus , which has previously only been tested on rats . Wolf tells Sheila that as her condition progresses , she will become uncontrollably violent and could harm her family and others . With Eric 's assistance , Wolf synthesizes the cure , only requiring the final ingredient : the bile of a pure - born Serbian . Joel and Sheila visit Principal Novak 's `` baka '' and attempt to get her to vomit by getting her drunk , however Novak calls the police and Joel is arrested and committed to a mental institution . Sheila gets Abby to chain her up in the basement , to prevent her harming anyone . She takes a call from a real estate client , telling them that she hopes either she or her husband will be free next week .     Season 2 ( 2018 ) ( edit )     No . overall   No. in season   Title   Directed by   Written by   Original release date     11     `` No Family is Perfect ''   Ken Kwapis   Victor Fresco   March 23 , 2018 ( 2018 - 03 - 23 )     Joel is under a 72 - hour hold at the mental institution and confides in his roommate Ron , who suffers from apparent delusions . Sheila is chained up in the basement as Abby and Eric search the internet for a pure Serbian who will sell their bile . They get a hit and Abby goes to collect . Joel is released from the institution and buys bile from the morgue . Sheila gets Eric to unchain her . Goran , the bile seller , is extremely forward with Abby and even follows her home . Sheila attacks and consumes him . Eric uses the man 's bile to render a cure for Sheila 's deterioration . Joel comes home horrified , but Eric assures the Hammonds that Sheila wo n't get any worse . Joel proposes that Sheila stay in the basement until she can control herself . Eric goes to buy cleaning supplies , where he meets deadpan store employee Ramona . Joel and Abby decide to stay the night with Sheila in the basement . Later on , Ramona calls Eric and asks if Abby is his girlfriend , adding that she is recently single . While eating a man 's finger from her fridge , she asks Eric if he 'd like to hang out sometime .     12     `` Coyote in Yoga Pants ''   Marc Buckland   Michael A. Ross   March 23 , 2018 ( 2018 - 03 - 23 )     Sheila begins chasing animals to curb her antsy behavior . Joel and Sheila run into their neighbor Lisa , who has no news on her `` missing '' husband Dan and has since started seeing his partner , Deputy Anne Garcia . Abby and Eric realize that their emails to Goran could trace his disappearance back to them . Sheila and Joel convince their boss Carl to give them one of Gary 's old assignments . Abby and Eric break into Goran 's apartment to delete the evidence . Abby tells Eric how scared she was when Goran followed her home , but Eric 's phone keeps blowing up with texts from Ramona . Another couple enters the apartment , also claiming to be Goran 's friends . Abby and Eric leave , but the other couple knows about the bile . Sheila and Joel compete with their high school rivals , Chris and Christa , for a listing and prevail when Sheila is able to run down the owner 's fleeing dog . Abby reluctantly encourages Eric to ask Ramona out . Sheila and Joel discover that the spot where they buried her first kill , Gary , is planned for development . They go to the desert to dig him up , but discover that Gary 's severed head has reanimated .     13     `` Moral Gray Area ''   Ken Kwapis   Clay Graham   March 23 , 2018 ( 2018 - 03 - 23 )     Sheila and Joel decide they need to kill the zombified Gary . Gary agrees , but asks them to bring the deed to his Michigan lake house to his niece Kayla . Sheila and Joel decide to honor Gary 's last request . Eric finds a corpse in Ramona 's bathtub and calls Abby , who sets out to rescue him . Sheila and Joel bring the deed to Kayla , but she still needs her car , which is with her ex-boyfriend , Boone . Sheila volunteers herself and Joel to retrieve the car . Abby bursts into Ramona 's apartment but realizes that Eric and Ramona actually had sex . Ramona discloses that she is also deteriorating and Eric offers to help her . At Boone 's house , Sheila and Joel discover that he is the `` young , single Hitler '' type that Sheila can eat guilt - free . While debating whether they should kill again impulsively , Boone 's friend AJ shows up and offers them a raffle book for the Nazi softball team . Sheila buys one as a future kill reference . After Eric gives Ramona the serum to halt her deterioration , she admits that she was just using him for his ties to Abby 's mother and they break up . Abby discovers Gary in the basement .     14     `` The Queen of England ''   Adam Arkin   Chadd Gindin   March 23 , 2018 ( 2018 - 03 - 23 )     Gary decides he does n't want to die , leaving the Hammonds in a bind . Abby tells her parents that Ramona is undead . Sheila and Joel go to her and realize that becoming undead makes people who they always wanted to be . Remembering reports of murdered joggers , Sheila tells Ramona that without `` a Joel '' to help her , she needs to be more careful . Ramona shows them that the ball she threw up during transformation has sprouted legs . Abby stands up for a classmate by hitting another student , Christian , with a lunch tray . Ramona threatens Eric into being her Joel . Joel feels uneasy about his new life , but Gary offers some perspective . Ramona and Eric go to the Hammonds ' dinner party and a fight ensues to free him . Abby chokes Ramona , who then confesses that she does n't want to do the undead thing alone anymore . Lisa walks in and the Hammonds reschedule dinner . Ramona decides to move to Seattle and Sheila and Joel go to her apartment for the ball creature . While there , Joel discovers a receipt showing that Ramona went to the restaurant Japopo 's on the same day and ordered the same clam dish Sheila did before their transformations .     15   5   `` Going Pre-med ''   Marc Buckland   Ben Smith   March 23 , 2018 ( 2018 - 03 - 23 )     Sheila stakes out Boone 's house while Joel goes undercover at Japopo 's but Joel is recognized for writing a negative Yelp review . The proprietor agrees to give Joel their receipts if he writes a positive review . Sheila accidentally convinces Anne to investigate the recent murders herself and Joel encourages Sheila to end their friendship . Sheila and Joel voice concern for Abby before renting a second storage unit ; one for Gary and the ball creature , and the other for a kill room . Ron finds Joel and Sheila at work and Joel persuades him to keep their secret . Principal Novak nearly gives Abby a month 's detention but with Eric 's intervention , she instead joins the Environmental Club . Abby meets a new boy , Sven . Sheila and Joel lure Boone to their storage unit . She kills him as well as his fellow Nazi friend . Abby ditches the Environmental Club for something more extreme , with Eric 's support . Joel vents to Gary and writes a new review for Japopo 's . At the restaurant , Ron meets with the couple from Goran 's apartment , Marsha and Paul . They are looking for Serbian bile and information on the Hammonds . The man sports a ball creature tattoo on his arm .     16   6   `` Pasión ''   Steve Pink   Aaron Brownstein &amp; Simon Ganz   March 23 , 2018 ( 2018 - 03 - 23 )     Abby and Joel find another person from the Japopo 's receipts who ordered the clam dish . Joel goes to stake out Colonel Ed Thune 's house while Sheila attends a work meeting . To be consistent with a previous lie , Joel agrees to give Anne dance lessons . Abby tells Eric she has a date with Sven . Sheila 's eye pops out at the meeting with Carl due to the frustration of not killing him . Joel goes to Ed 's house undercover to confirm that Japopo 's clams are the cause of the undead epidemic . Eric helps Sheila with her eye . Abby goes on a date with Sven but they do n't connect . Joel questions Ed and searches his things . Sheila and Carl attend a meeting with an investor , who hates Carl 's idea , prompting Sheila to offer her own . Carl berates Sheila , who accidentally bites off her own finger . The skin of Ed 's hand slides off during a handshake , proving that he is undead . Joel kills Ed , who had already gone feral , as well as his ball creature . Abby tells Eric about her extreme plan to stop local fracking . Joel comes home to find Anne , but gets her to leave . Sheila shows Joel her mangled finger .     17   7   `` A Change of Heart ''   Jaffar Mahmood   Melissa Hunter   March 23 , 2018 ( 2018 - 03 - 23 )     Eric helps Sheila reattach her finger and lets it slip about the tray incident . Sheila and Joel confront Abby , but she feels no remorse . Eric goes undercover at Japopo 's but the owner wo n't disclose his clam distributor . Out of concern , Sheila and Joel force Abby to apologize to Christian only to discover that his parents are Chris and Christa , who try to blackmail the Hammonds with threats of Abby 's expulsion . Eric breaks into Japopo 's back office . The Hammonds go to Principal Novak 's house where Sheila and Joel tell Abby how difficult it 's been juggling all their problems and ask Abby to help them out . Abby apologizes to Novak but gets expelled anyway . He accidentally slams Sheila 's finger in his door and she pretends to be hurt , forcing Novak to un-expel Abby . Eric calls Joel to shows him that Japopo 's used a different clam distributor , Ruby 's Clams , the day that the Hammonds ate there before Sheila 's transformation . Sheila pulls into the parking lot for an investor meeting but Carl shows up unexpectedly . She closes her eyes and wakes up 12 hours later at home with blood on her face and a heart in her hand .     18   8   `` Easels and War Paint ''   Steve Pink   Caitlin Meares   March 23 , 2018 ( 2018 - 03 - 23 )     Sheila ca n't recall anything since the parking lot and is missing a boot . She and Joel suspect she killed Carl until Carl shows up to work and fires Sheila for missing the meeting . Lisa stops by the Hammonds ' house to thank Sheila for convincing her to get baptized for Anne . During her blackout , Sheila also convinced Anne to focus on painting rather than the murder investigations . Abby finds AJ , the Nazi who sold Sheila the raffle book , dead in their freezer . Sheila and Joel go to AJ 's work to retrieve her missing boot . Abby and Eric make plans to vandalize a fracking site . Abby asks Lisa for Dan 's night vision goggles and Lisa agrees to lend them to her if Abby agrees to a makeover before her `` date '' with Eric . Sheila and Joel delete the security videos and retrieve Sheila 's boot . Abby tells Eric she wants to use Dan 's explosives , but Eric backs out of the plan . Joel quits his job and he and Sheila decide to establish their own real estate company . Anne 's `` Suspicious Objects '' series includes paintings of Gary 's finger , the Nazi raffle book , Dan 's missing persons poster , and Joel .     19   9   `` Suspicious Objects ''   Jamie Babbit   Romi Barta   March 23 , 2018 ( 2018 - 03 - 23 )     Joel goes undercover to scout Ruby 's Clams and meets the proprietor . Anne shows Sheila her paintings . Abby is upset with Eric for bailing on their plans . Ruby shows Joel her clam farm , which has grown from 4 clams found in a deep aquatic cave in Serbia to 5,000 in matter of months . She informs Joel that the clams are to be shipped out to restaurants the next day . As Sheila alerts Joel about the paintings , Marsha and Paul arrive at Ruby 's . Anne explains to Sheila and Joel that she was simply painting suspicious objects , including a tumbler containing Goran 's bile . She has pieced together parts of the case , but her boss did not buy her theories . Eric attempts to kill a red clam that Joel stole from Ruby 's , but nothing works . The clam extends a tentacle to a regular clam and consumes it . Abby and Eric get Sven to give them access to a kiln so they can incinerate the clams . Ruby catches Sheila and Joel stealing her clams before Marsha and Paul blow up the building . Anne makes the connection of Boone having dated Gary 's niece and her boss becomes interested in the case .     20   10   `` Halibut ! ''   Marc Buckland   Victor Fresco   March 23 , 2018 ( 2018 - 03 - 23 )     Sheila and Joel plan to destroy Anne 's case . Eric helps Abby construct an explosive for the fracking site . After numerous takes , Gary finally records a message to a burner phone that 'll lead the police to believe that he and Dan are on the run . Gary then confirms that he 's ready to die . Abby and Eric plant the burner phone containing the message in Dan 's closet for Anne to find , where they also discover C - 4 to use it at the fracking site . At Lisa 's baptism , Anne informs Sheila and Joel that she has a guy looking into possible deleted messages . Not knowing that deleted messages could be salvaged , the Hammonds plan their escape . Abby goes to say goodbye to Eric and they kiss . Anne confirms that nothing could be recovered from the burner phone but eventually recognizes a sound on the voicemail to be Sheila 's bracelets . Anne catches Sheila and Joel in the middle of Gary 's funeral and they tell her the truth . Anne shoots Sheila , who is unharmed , and Joel shows her Gary . Reading Eric and Abby 's explosion as a sign , Anne accepts Sheila as an instrument of God .     Production ( edit )   Development ( edit )   Fresco came up with the premise from wanting to make `` a family show with an interesting approach that we have n't seen before '' . The zombie angle also allowed Fresco to explore the concept of Narcissism stating that `` the undead are the ultimate narcissists . They want what they want when they want it and will do anything to just have what they want and do n't care about other people 's needs ''   For the setting Fresco drew from his own experience growing up in San Fernando Valley . Santa Clarita was chosen because of its middle class inhabitants . The Hammonds ' profession of realtors was chosen because `` It gets them out into the world '' as well as the `` forced friendliness '' inherent to the profession .   Advertising controversy ( edit )   In February 2017 , advertising for the show sparked criticism in Germany , where Netflix promoted the show with posters depicting a human finger sliced up like a currywurst , a popular German fast food dish . After receiving more than 50 complaints that the advertising was glorifying violence and inducing fear , especially in children , the German Advertising Council , a self - regulatory institution , forwarded the complaints to the company . Netflix then decided to end the campaign and remove all posters .   Critical reception ( edit )   The first season of Santa Clarita Diet received generally positive reviews from critics . On Rotten Tomatoes , the season has an approval rating of 75 % based on 64 reviews , with an average rating of 7.18 / 10 . The site 's critical consensus reads , `` Santa Clarita Diet serves up an excellent cast , frequent laughs , and an engaging premise -- but the level of gore might not be to everyone 's taste . '' Metacritic reports that the first season received `` generally favorable reviews '' with a score of 67 out of 100 , based on 30 critics .   The second season received generally positive reviews as well . The season holds a score of 82 % based on 11 reviews , with an average rating of 7.08 / 10 on Rotten Tomatoes . The site 's critical consensus states : `` Santa Clarita Diet rides the momentum of its freshman season with non-stop comedic gore and a big heart that bleeds -- profusely -- for its lovable characters . ''   References ( edit )    Jump up ^ Nellie Andreeva . `` Drew Barrymore &amp; Timothy Olyphant To Star In ' Santa Clarita Diet ' Netflix Series '' . Deadline .   Jump up ^ Lesley Goldberg . `` Drew Barrymore , Timothy Olyphant to Star in Netflix Comedy Series ' Santa Clarita Diet ' '' . Hollywood Reporter .   Jump up ^ Abrams , Natalie ( November 28 , 2016 ) . `` Netflix sets premiere for Drew Barrymore comedy Santa Clarita Diet -- exclusive '' . Entertainment Weekly . Retrieved November 28 , 2016 .   Jump up ^ Elizabeth Wagmeister . `` Drew Barrymore &amp; Timothy Olyphant to Star in Netflix Comedy Series ' Santa Clarita Diet ' '' . Variety .   Jump up ^ Nellie Andreeva . `` Drew Barrymore Comedy ' Santa Clarita Diet ' Renewed For Season 2 By Netflix '' . Deadline .   Jump up ^ `` Get back on the Santa Clarita Diet next month on Netflix '' . EW.com . Retrieved 2018 - 02 - 20 .   Jump up ^</t>
  </si>
  <si>
    <t xml:space="preserve">who plays officer garcia in santa clarita diet</t>
  </si>
  <si>
    <t xml:space="preserve"> Natalie Morales as Anne Garcia , a sheriff 's deputy , Dan 's partner , and very religious . She becomes romantically involved with Lisa after Dan goes missing . </t>
  </si>
  <si>
    <t xml:space="preserve">Great pyramid of Giza - wikipedia  Great pyramid of Giza  Jump to : navigation , search    The Great Pyramid of Giza         Owner   Khufu     Location   Giza pyramid complex , Giza , Egypt     Coordinates   29 ° 58 ′ 45.03 '' N 31 ° 08 ′ 03.69 '' E ﻿ / ﻿ 29.9791750 ° N 31.1343583 ° E ﻿ / 29.9791750 ; 31.1343583 Coordinates : 29 ° 58 ′ 45.03 '' N 31 ° 08 ′ 03.69 '' E ﻿ / ﻿ 29.9791750 ° N 31.1343583 ° E ﻿ / 29.9791750 ; 31.1343583     Ancient name   Khufu 's Horizon     Architect   Hemiunu     Constructed   c. 2580 -- 2560 BC ( 4th dynasty )     Type   True pyramid     Height   146.7 metres ( 481 ft ) or 280 cubits ( ancient ) 138.8 metres ( 455 ft ) ( contemporary )     Base   230.34 metres ( 756 ft ) or 440 cubits     Volume   2,583,283 cubic metres ( 91,227,778 cu ft )     Slope    51 ° 52 ' ± 2 '      UNESCO World Heritage Site     Part of   Memphis and its Necropolis -- the Pyramid Fields from Giza to Dahshur     Criteria   Cultural : i , iii , vi     Reference   86 - 002     Inscription   1979 ( 3rd Session )         Location of Great Pyramid of Giza     Related media on Wikimedia Commons     ( edit on Wikidata )     The Great Pyramid of Giza ( also known as the Pyramid of Khufu or the Pyramid of Cheops ) is the oldest and largest of the three pyramids in the Giza pyramid complex bordering what is now El Giza , Egypt . It is the oldest of the Seven Wonders of the Ancient World , and the only one to remain largely intact .   Based on a mark in an interior chamber naming the work gang and a reference to fourth dynasty Egyptian Pharaoh Khufu , Egyptologists believe that the pyramid was built as a tomb over a 10 to 20 - year period concluding around 2560 BC . Initially at 146.5 metres ( 481 feet ) , the Great Pyramid was the tallest man - made structure in the world for more than 3,800 years . Originally , the Great Pyramid was covered by casing stones that formed a smooth outer surface ; what is seen today is the underlying core structure . Some of the casing stones that once covered the structure can still be seen around the base . There have been varying scientific and alternative theories about the Great Pyramid 's construction techniques . Most accepted construction hypotheses are based on the idea that it was built by moving huge stones from a quarry and dragging and lifting them into place .   There are three known chambers inside the Great Pyramid . The lowest chamber is cut into the bedrock upon which the pyramid was built and was unfinished . The so - called Queen 's Chamber and King 's Chamber are higher up within the pyramid structure . The main part of the Giza complex is a setting of buildings that included two mortuary temples in honour of Khufu ( one close to the pyramid and one near the Nile ) , three smaller pyramids for Khufu 's wives , an even smaller `` satellite '' pyramid , a raised causeway connecting the two temples , and small mastaba tombs surrounding the pyramid for nobles .  Transparent view of Khufu 's pyramid from SE . Taken from a 3d model    Contents  ( hide )   1 History and description   2 Materials   2.1 Casing stones   2.2 Construction theories     3 Interior   3.1 Queen 's Chamber   3.2 Grand Gallery   3.3 King 's Chamber   3.4 Modern entrance     4 Pyramid complex   5 Boats   6 Looting   7 See also   8 References   8.1 Bibliography     9 External links      History and description  Timeline and map of the Great Pyramid of Giza and the other Wonders of the Ancient World  It is believed by Egyptologists that the pyramid was built as a tomb for Fourth Dynasty Egyptian pharaoh Khufu ( often Hellenicised as `` Cheops '' ) and was constructed over a 20 - year period . Khufu 's vizier , Hemiunu ( also called Hemon ) , is believed by some to be the architect of the Great Pyramid . It is thought that , at construction , the Great Pyramid was originally 280 Egyptian cubits tall ( 146.5 metres ( 480.6 ft ) ) , but with erosion and absence of its pyramidion , its present height is 138.8 metres ( 455.4 ft ) . Each base side was 440 cubits , 230.4 metres ( 755.9 ft ) long . The mass of the pyramid is estimated at 5.9 million tonnes . The volume , including an internal hillock , is roughly 2,500,000 cubic metres ( 88,000,000 cu ft ) .   Based on these estimates , building the pyramid in 20 years would involve installing approximately 800 tonnes of stone every day . Additionally , since it consists of an estimated 2.3 million blocks , completing the building in 20 years would involve moving an average of more than 12 of the blocks into place each hour , day and night . The first precision measurements of the pyramid were made by Egyptologist Sir Flinders Petrie in 1880 -- 82 and published as The Pyramids and Temples of Gizeh . Almost all reports are based on his measurements . Many of the casing stones and inner chamber blocks of the Great Pyramid fit together with extremely high precision . Based on measurements taken on the northeastern casing stones , the mean opening of the joints is only 0.5 millimetre wide ( 1 / 50 of an inch ) .  Great Pyramid of Giza from a 19th - century stereopticon card photo  The pyramid remained the tallest man - made structure in the world for over 3,800 years , unsurpassed until the 160 - metre - tall ( 520 ft ) spire of Lincoln Cathedral was completed c. 1300 . The accuracy of the pyramid 's workmanship is such that the four sides of the base have an average error of only 58 millimetres in length . The base is horizontal and flat to within ± 15 mm ( 0.6 in ) . The sides of the square base are closely aligned to the four cardinal compass points ( within four minutes of arc ) based on true north , not magnetic north , and the finished base was squared to a mean corner error of only 12 seconds of arc .   The completed design dimensions , as suggested by Petrie 's survey and subsequent studies , are estimated to have originally been 280 royal cubits high by 440 cubits long at each of the four sides of its base . The ratio of the perimeter to height of 1760 / 280 royal cubits equates to 2 π to an accuracy of better than 0.05 % ( corresponding to the well - known approximation of π as 22 / 7 ) . Some Egyptologists consider this to have been the result of deliberate design proportion . Verner wrote , `` We can conclude that although the ancient Egyptians could not precisely define the value of π , in practice they used it '' . Petrie , author of Pyramids and Temples of Gizeh concluded : `` but these relations of areas and of circular ratio are so systematic that we should grant that they were in the builder 's design '' . Others have argued that the Ancient Egyptians had no concept of pi and would not have thought to encode it in their monuments . They believe that the observed pyramid slope may be based on a simple seked slope choice alone , with no regard to the overall size and proportions of the finished building . In 2013 , rolls of papyrus called the Diary of Merer were discovered written by some of those who delivered limestone and other construction materials from Tora to Giza .   Materials   The Great Pyramid consists of an estimated 2.3 million blocks which most believe to have been transported from nearby quarries . The Tura limestone used for the casing was quarried across the river . The largest granite stones in the pyramid , found in the `` King 's '' chamber , weigh 25 to 80 tonnes and were transported from Aswan , more than 800 km ( 500 mi ) away . Traditionally , ancient Egyptians cut stone blocks by hammering into them wooden wedges , which were then soaked with water . As the water was absorbed , the wedges expanded , causing the rock to crack . Once they were cut , they were carried by boat either up or down the Nile River to the pyramid . It is estimated that 5.5 million tonnes of limestone , 8,000 tonnes of granite ( imported from Aswan ) , and 500,000 tonnes of mortar were used in the construction of the Great Pyramid .   Casing stones  Casing stone in the British Museum .  At completion , the Great Pyramid was surfaced by white `` casing stones '' -- slant - faced , but flat - topped , blocks of highly polished white limestone . These were carefully cut to what is approximately a face slope with a seked of 51⁄2 palms to give the required dimensions . Visibly , all that remains is the underlying stepped core structure seen today . In AD 1303 , a massive earthquake loosened many of the outer casing stones , which were then carted away by Bahri Sultan An - Nasir Nasir - ad - Din al - Hasan in 1356 to build mosques and fortresses in nearby Cairo . Many more casing stones were removed from the great pyramids by Muhammad Ali Pasha in the early 19th century to build the upper portion of his Alabaster Mosque in Cairo not far from Giza . These limestone casings can still be seen as parts of these structures . Later explorers reported massive piles of rubble at the base of the pyramids left over from the continuing collapse of the casing stones , which were subsequently cleared away during continuing excavations of the site .   Nevertheless , a few of the casing stones from the lowest course can be seen to this day in situ around the base of the Great Pyramid , and display the same workmanship and precision that has been reported for centuries . Petrie also found a different orientation in the core and in the casing measuring 193 centimetres ± 25 centimetres . He suggested a redetermination of north was made after the construction of the core , but a mistake was made , and the casing was built with a different orientation . Petrie related the precision of the casing stones as to being `` equal to opticians ' work of the present day , but on a scale of acres '' and `` to place such stones in exact contact would be careful work ; but to do so with cement in the joints seems almost impossible '' . It has been suggested it was the mortar ( Petrie 's `` cement '' ) that made this seemingly impossible task possible , providing a level bed , which enabled the masons to set the stones exactly .   Construction theories  Main article : Egyptian pyramid construction techniques Clay seal bearing the name of Khufu from the great pyramid . On display at the Musée du Louvre .  Many alternative , often contradictory , theories have been proposed regarding the pyramid 's construction techniques . Many disagree on whether the blocks were dragged , lifted , or even rolled into place . The Greeks believed that slave labour was used , but modern discoveries made at nearby workers ' camps associated with construction at Giza suggest that it was built instead by tens of thousands of skilled workers . Verner posited that the labour was organized into a hierarchy , consisting of two gangs of 100,000 men , divided into five zaa or phyle of 20,000 men each , which may have been further divided according to the skills of the workers .   One mystery of the pyramid 's construction is its planning . John Romer suggests that they used the same method that had been used for earlier and later constructions , laying out parts of the plan on the ground at a 1 - to - 1 scale . He writes that `` such a working diagram would also serve to generate the architecture of the pyramid with precision unmatched by any other means '' . He also argues for a 14 - year time span for its construction . A modern construction management study , in association with Mark Lehner and other Egyptologists , estimated that the total project required an average workforce of about 14,500 people and a peak workforce of roughly 40,000 . Without the use of pulleys , wheels , or iron tools , they used critical path analysis methods , which suggest that the Great Pyramid was completed from start to finish in approximately 10 years .   Interior  Diagram of the interior structures of the Great Pyramid . The inner line indicates the pyramid 's present profile ; the outer line indicates the original profile .  The original entrance to the Great Pyramid is on the north , 17 metres ( 56 ft ) vertically above ground level and 7.29 metres ( 23.9 ft ) east of the centre line of the pyramid . From this original entrance , there is a Descending Passage 0.96 metres ( 3.1 ft ) high and 1.04 metres ( 3.4 ft ) wide , which goes down at an angle of 26 ° 31'23 '' through the masonry of the pyramid and then into the bedrock beneath it . After 105.23 metres ( 345.2 ft ) , the passage becomes level and continues for an additional 8.84 metres ( 29.0 ft ) to the lower Chamber , which appears not to have been finished . There is a continuation of the horizontal passage in the south wall of the lower chamber ; there is also a pit dug in the floor of the chamber . Some Egyptologists suggest that this Lower Chamber was intended to be the original burial chamber , but Pharaoh Khufu later changed his mind and wanted it to be higher up in the pyramid .   28.2 metres ( 93 ft ) from the entrance is a square hole in the roof of the Descending Passage . Originally concealed with a slab of stone , this is the beginning of the Ascending Passage . The Ascending Passage is 39.3 metres ( 129 ft ) long , as wide and high as the Descending Passage and slopes up at almost precisely the same angle to reach the Grand Gallery . The lower end of the Ascending Passage is closed by three huge blocks of granite , each about 1.5 metres ( 4.9 ft ) long . One must use the Robbers ' Tunnel ( see below ) to access the Ascending Passage . At the start of the Grand Gallery on the right - hand side there is a hole cut in the wall . This is the start of a vertical shaft which follows an irregular path through the masonry of the pyramid to join the Descending Passage . Also at the start of the Grand Gallery there is the Horizontal Passage leading to the `` Queen 's Chamber '' . The passage is 1.1 m ( 3'8 `` ) high for most of its length , but near the chamber there is a step in the floor , after which the passage is 1.73 metres ( 5.7 ft ) high .   Queen 's Chamber  Richard Pococke 's sketch of Pyramid of Cheops from 1754 .  The `` Queen 's Chamber '' is exactly halfway between the north and south faces of the pyramid and measures 5.75 metres ( 18.9 ft ) north to south , 5.23 metres ( 17.2 ft ) east to west , and has a pointed roof with an apex 6.23 metres ( 20.4 ft ) above the floor . At the eastern end of the chamber there is a niche 4.67 metres ( 15.3 ft ) high . The original depth of the niche was 1.04 metres ( 3.4 ft ) , but has since been deepened by treasure hunters .   In the north and south walls of the Queen 's Chamber there are shafts , which unlike those in the King 's Chamber that immediately slope upwards ( see below ) , are horizontal for around 2 m ( 6.6 ft ) before sloping upwards . The horizontal distance was cut in 1872 by a British engineer , Waynman Dixon , who believed a shaft similar to those in the King 's Chamber must also exist . He was proved right , but because the shafts are not connected to the outer faces of the pyramid or the Queen 's Chamber , their purpose is unknown . At the end of one of his shafts , Dixon discovered a ball of black diorite ( a type of rock ) and a bronze implement of unknown purpose . Both objects are currently in the British Museum .   The shafts in the Queen 's Chamber were explored in 1993 by the German engineer Rudolf Gantenbrink using a crawler robot he designed , Upuaut 2 . After a climb of 65 m ( 213 ft ) , he discovered that one of the shafts was blocked by limestone `` doors '' with two eroded copper `` handles '' . Some years later the National Geographic Society created a similar robot which , in September 2002 , drilled a small hole in the southern door , only to find another door behind it . The northern passage , which was difficult to navigate because of twists and turns , was also found to be blocked by a door .   Research continued in 2011 with the Djedi Project . Realizing the problem was that the National Geographic Society 's camera was only able to see straight ahead of it , they instead used a fiber - optic `` micro snake camera '' that could see around corners . With this they were able to penetrate the first door of the southern shaft through the hole drilled in 2002 , and view all the sides of the small chamber behind it . They discovered hieroglyphs written in red paint . They were also able to scrutinize the inside of the two copper `` handles '' embedded in the door , and they now believe them to be for decorative purposes . They also found the reverse side of the `` door '' to be finished and polished , which suggests that it was not put there just to block the shaft from debris , but rather for a more specific reason .   Grand Gallery  The Grand Gallery of the Great Pyramid of Giza  The Grand Gallery continues the slope of the Ascending Passage , but is 8.6 metres ( 28 ft ) high and 46.68 metres ( 153.1 ft ) long . At the base it is 2.06 metres ( 6.8 ft ) wide , but after 2.29 metres ( 7.5 ft ) the blocks of stone in the walls are corbelled inwards by 7.6 centimetres ( 3.0 in ) on each side . There are seven of these steps , so , at the top , the Grand Gallery is only 1.04 metres ( 3.4 ft ) wide . It is roofed by slabs of stone laid at a slightly steeper angle than the floor of the gallery , so that each stone fits into a slot cut in the top of the gallery like the teeth of a ratchet . The purpose was to have each block supported by the wall of the Gallery , rather than resting on the block beneath it , in order to prevent cumulative pressure .   At the upper end of the Gallery on the right - hand side there is a hole near the roof that opens into a short tunnel by which access can be gained to the lowest of the Relieving Chambers . The other Relieving Chambers were discovered in 1837 -- 1838 by Colonel Howard Vyse and J.S. Perring , who dug tunnels upwards using blasting powder .   The floor of the Grand Gallery consists of a shelf or step on either side , 51 centimetres ( 20 in ) wide , leaving a lower ramp 1.04 metres ( 3.4 ft ) wide between them . In the shelves there are 54 slots , 27 on each side matched by vertical and horizontal slots in the walls of the Gallery . These form a cross shape that rises out of the slot in the shelf . The purpose of these slots is not known , but the central gutter in the floor of the Gallery , which is the same width as the Ascending Passage , has led to speculation that the blocking stones were stored in the Grand Gallery and the slots held wooden beams to restrain them from sliding down the passage . This , in turn , has led to the proposal that originally many more than 3 blocking stones were intended , to completely fill the Ascending Passage .   At the top of the Grand Gallery , there is a step giving onto a horizontal passage some metres long and approximately 1.02 metres ( 3.3 ft ) in height and width , in which can be detected four slots , three of which were probably intended to hold granite portcullises . Fragments of granite found by Petrie in the Descending Passage may have come from these now - vanished doors .   In 2017 , scientists from the Scan Pyramids Project discovered a large cavity above the Grand Gallery , using muon radiography that can detect cosmic rays . Its length is at least 30 metres ( 98 ft ) and its cross-section is similar to that of the Grand Gallery . It was detected using three different technologies : nuclear emulsion films , scintillator hodoscopes , and gas detectors . The purpose of the cavity is not known and it is not accessible but according to Zahi Hawass it may have been a gap used in the construction of the Grand Gallery . The Japanese research team disputes this , however , saying that the huge void is completely different from the construction spaces previously identified .   King 's Chamber  Sarcophagus in the King 's chamber  The `` King 's Chamber '' is 20 cubits or 10.47 metres ( 34.4 ft ) from east to west and 10 cubits or 5.234 metres ( 17.17 ft ) north to south . It has a flat roof 11 cubits and 5 digits or 5.852 metres ( 19 feet 2 inch ) above the floor . 0.91 m ( 3.0 ft ) above the floor there are two narrow shafts in the north and south walls ( one is now filled by an extractor fan in an attempt to circulate air inside the pyramid ) . The purpose of these shafts is not clear : they appear to be aligned towards stars or areas of the northern and southern skies , yet one of them follows a dog - leg course through the masonry , indicating no intention to directly sight stars through them . They were long believed by Egyptologists to be `` air shafts '' for ventilation , but this idea has now been widely abandoned in favour of the shafts serving a ritualistic purpose associated with the ascension of the king 's spirit to the heavens .   The King 's Chamber is entirely faced with granite . Above the roof , which is formed of nine slabs of stone weighing in total about 400 tons , are five compartments known as Relieving Chambers . The first four , like the King 's Chamber , have flat roofs formed by the floor of the chamber above , but the final chamber has a pointed roof . Vyse suspected the presence of upper chambers when he found that he could push a long reed through a crack in the ceiling of the first chamber . From lower to upper , the chambers are known as `` Davison 's Chamber '' , `` Wellington 's Chamber '' , `` Nelson 's Chamber '' , `` Lady Arbuthnot 's Chamber '' , and `` Campbell 's Chamber '' . It is believed that the compartments were intended to safeguard the King 's Chamber from the possibility of a roof collapsing under the weight of stone above the Chamber . As the chambers were not intended to be seen , they were not finished in any way and a few of the stones still retain masons ' marks painted on them . One of the stones in Campbell 's Chamber bears a mark , apparently the name of a work gang .  The entrance of the Pyramid  The only object in the King 's Chamber is a rectangular granite sarcophagus , one corner of which is broken . The sarcophagus is slightly larger than the Ascending Passage , which indicates that it must have been placed in the Chamber before the roof was put in place . Unlike the fine masonry of the walls of the Chamber , the sarcophagus is roughly finished , with saw marks visible in several places . This is in contrast with the finely finished and decorated sarcophagi found in other pyramids of the same period . Petrie suggested that such a sarcophagus was intended but was lost in the river on the way north from Aswan and a hurriedly made replacement was used instead .   Modern entrance   Today tourists enter the Great Pyramid via the Robbers ' Tunnel , a tunnel purportedly created around AD 820 by Caliph al - Ma'mun 's workmen using a battering ram . The tunnel is cut straight through the masonry of the pyramid for approximately 27 metres ( 89 ft ) , then turns sharply left to encounter the blocking stones in the Ascending Passage . It is believed that their efforts dislodged the stone fitted in the ceiling of the Descending Passage to hide the entrance to the Ascending Passage and it was the noise of that stone falling and then sliding down the Descending Passage , which alerted them to the need to turn left . Unable to remove these stones , however , the workmen tunnelled up beside them through the softer limestone of the Pyramid until they reached the Ascending Passage . It is possible to enter the Descending Passage from this point , but access is usually forbidden .   Pyramid complex  Main article : Giza pyramid complex Map of Giza pyramid complex -- `` Pyramid of Khufu '' refers to the Great Pyramid .  The Great Pyramid is surrounded by a complex of several buildings including small pyramids . The Pyramid Temple , which stood on the east side of the pyramid and measured 52.2 metres ( 171 ft ) north to south and 40 metres ( 130 ft ) east to west , has almost entirely disappeared apart from the black basalt paving . There are only a few remnants of the causeway which linked the pyramid with the valley and the Valley Temple . The Valley Temple is buried beneath the village of Nazlet el - Samman ; basalt paving and limestone walls have been found but the site has not been excavated . The basalt blocks show `` clear evidence '' of having been cut with some kind of saw with an estimated cutting blade of 15 feet ( 4.6 m ) in length , capable of cutting at a rate of 1.5 inches ( 38 mm ) per minute . John Romer suggests that this `` super saw '' may have had copper teeth and weighed up to 300 pounds ( 140 kg ) . He theorizes that such a saw could have been attached to a wooden trestle and possibly used in conjunction with vegetable oil , cutting sand , emery or pounded quartz to cut the blocks , which would have required the labour of at least a dozen men to operate it .   On the south side are the subsidiary pyramids , popularly known as Queens ' Pyramids . Three remain standing to nearly full height but the fourth was so ruined that its existence was not suspected until the recent discovery of the first course of stones and the remains of the capstone . Hidden beneath the paving around the pyramid was the tomb of Queen Hetepheres I , sister - wife of Sneferu and mother of Khufu . Discovered by accident by the Reisner expedition , the burial was intact , though the carefully sealed coffin proved to be empty .  Group photo of Australian 11th Battalion soldiers on the Great Pyramid in 1915 . Aerial photography , taken from Eduard Spelterini 's balloon on 21 November 1904  The Giza pyramid complex , which includes among other structures the pyramids of Khufu , Khafre and Menkaure , is surrounded by a cyclopean stone wall , the Wall of the Crow . Mark Lehner has discovered a worker 's town outside of the wall , otherwise known as `` The Lost City '' , dated by pottery styles , seal impressions , and stratigraphy to have been constructed and occupied sometime during the reigns of Khafre ( 2520 -- 2494 BC ) and Menkaure ( 2490 -- 2472 BC ) . Recent discoveries by Mark Lehner and his team at the town and nearby , including what appears to have been a thriving port , suggest the town and associated living quarters consisting of barracks called `` galleries '' may not have been for the pyramid workers after all , but rather for the soldiers and sailors who utilized the port . In light of this new discovery , as to where then the pyramid workers may have lived Lehner now suggests the alternative possibility they may have camped on the ramps he believes were used to construct the pyramids or possibly at nearby quarries .   In the early 1970s , the Australian archaeologist Karl Kromer excavated a mound in the South Field of the plateau . This mound contained artefacts including mudbrick seals of Khufu , which he identified with an artisans ' settlement . Mudbrick buildings just south of Khufu 's Valley Temple contained mud sealings of Khufu and have been suggested to be a settlement serving the cult of Khufu after his death . A worker 's cemetery used at least between Khufu 's reign and the end of the Fifth Dynasty was discovered south of the Wall of the Crow by Zahi Hawass in 1990 .   Boats  Main article : Khufu ship  There are three boat - shaped pits around the pyramid , of a size and shape to have held complete boats , though so shallow that any superstructure , if there ever was one , must have been removed or disassembled . In May 1954 , the Egyptian archaeologist Kamal el - Mallakh discovered a fourth pit , a long , narrow rectangle , still covered with slabs of stone weighing up to 15 tons . Inside were 1,224 pieces of wood , the longest 23 metres ( 75 ft ) long , the shortest 10 centimetres ( 0.33 ft ) . These were entrusted to a boat builder , Haj Ahmed Yusuf , who worked out how the pieces fit together . The entire process , including conservation and straightening of the warped wood , took fourteen years .   The result is a cedar - wood boat 43.6 metres ( 143 ft ) long , its timbers held together by ropes , which is currently housed in a special boat - shaped , air - conditioned museum beside the pyramid . During construction of this museum , which stands above the boat pit , a second sealed boat pit was discovered . It was deliberately left unopened until 2011 when excavation began on the boat .   Looting  Comparison of approximate profiles of the Great Pyramid of Giza with some notable pyramidal or near - pyramidal buildings . Dotted lines indicate original heights , where data are available . In its SVG file , hover over a pyramid to highlight and click for its article .  Although succeeding pyramids were smaller , pyramid building continued until the end of the Middle Kingdom . However , as authors Briar and Hobbs claim , `` all the pyramids were robbed '' by the New Kingdom , when the construction of royal tombs in a desert valley , now known as the Valley of the Kings , began . Joyce Tyldesley states that the Great Pyramid itself `` is known to have been opened and emptied by the Middle Kingdom '' , before the Arab caliph Abdullah al - Mamun entered the pyramid around AD 820 .   I.E.S. Edwards discusses Strabo 's mention that the pyramid `` a little way up one side has a stone that may be taken out , which being raised up there is a sloping passage to the foundations '' . Edwards suggested that the pyramid was entered by robbers after the end of the Old Kingdom and sealed and then reopened more than once until Strabo 's door was added . He adds : `` If this highly speculative surmise be correct , it is also necessary to assume either that the existence of the door was forgotten or that the entrance was again blocked with facing stones '' , in order to explain why al - Ma'mun could not find the entrance .   He also discusses a story told by Herodotus . Herodotus visited Egypt in the 5th century BC and recounts a story that he was told concerning vaults under the pyramid built on an island where the body of Cheops lies . Edwards notes that the pyramid had `` almost certainly been opened and its contents plundered long before the time of Herodotus '' and that it might have been closed again during the Twenty - sixth Dynasty of Egypt when other monuments were restored . He suggests that the story told to Herodotus could have been the result of almost two centuries of telling and retelling by Pyramid guides .   See also    Djedi Project   Golden Ratio dimensions in Egyptian pyramids   Index of Egypt - related articles   List of archaeoastronomical sites by country   List of Egyptian pyramids   List of largest monoliths including a section on calculating the weight of megaliths   List of tallest freestanding structures   Pyramid inch   Pyramidion   Pyramidology   The Upuaut Project    References    ^ Jump up to : `` By themselves , of course , none of these modern labels define the ancient purposes of the architecture they describe . '' -- Romer ( 2007 ) , p. 8   Jump up ^ Shaw ( 2003 ) , p. 89   Jump up ^ Levy ( 2005 ) , p. 17   ^ Jump up to : Petrie ( 1883 )   Jump up ^ I.E.S. Edwards ( 1986 ) ( 1947 ) . The Pyramids of Egypt . p. 285 .   Jump up ^ Collins ( 2001 ) , p. 234   Jump up ^ Cole Survey ( 1925 ) based on side lengths 230.252 m , 230.454 m , 230.391 m , 230.357 m   Jump up ^ Lehner ( 1997 ) , p. 108   Jump up ^ Petrie ( 1883 ) , p. 38 For 2600 BC , bisecting the semi-circular path of star 10i Draconis around the North Celestial Pole during the half - day darkness of a mid-winter evening would easily provide accurate true north . See Nature 412 : 699 ( 2001 ) ; further sources and discussion available via DIO .   Jump up ^ Petrie ( 1883 ) , p. 125   Jump up ^ Petrie ( 1883 ) , p. 39   Jump up ^ Verner ( 2003 ) , p. 70   Jump up ^ Petrie Wisdom of the Egyptians 1940 : 30   Jump up ^ Rossi , Corina ( 2007 ) , Architecture and Mathematics in Ancient Egypt , Cambridge University Press , ISBN 978 - 0 - 521 - 69053 - 9   Jump up ^ Stille , Alexander . `` The World 's Oldest Papyrus and What It Can Tell Us About the Great Pyramids '' . Retrieved 2015 - 09 - 27 .   Jump up ^ Lehner ( 1997 )   Jump up ^ Romer ( 2007 ) , p. 157   Jump up ^ `` British Museum -- Limestone block from the pyramid of Khufu '' . britishmuseum.org .   Jump up ^ Romer ( 2007 ) , p. 41   Jump up ^ Clarke , Somers ; Reginal Engelbach ( 1991 ) . Ancient Egyptian construction and architecture . Dover Publications . pp. 78 -- 79 . ISBN 978 - 0 - 486 - 26485 - 1 .   Jump up ^ Stocks , Denys Allen ( 2003 ) . Experiments in Egyptian archaeology : stoneworking technology in ancient Egypt . Routledge . pp. 182 -- 183 . ISBN 978 - 0 - 415 - 30664 - 5 .   Jump up ^ `` Building the Great Pyramid '' . BBC . 3 February 2006 .   Jump up ^ Verner ( 2001 ) , p. 75 -- 82   Jump up ^ Romer ( 2007 ) , p. 327 , 329 -- 337 </t>
  </si>
  <si>
    <t xml:space="preserve">when was the great pyramid of giza created</t>
  </si>
  <si>
    <t xml:space="preserve"> Based on a mark in an interior chamber naming the work gang and a reference to fourth dynasty Egyptian Pharaoh Khufu , Egyptologists believe that the pyramid was built as a tomb over a 10 to 20 - year period concluding around 2560 BC . Initially at 146.5 metres ( 481 feet ) , the Great Pyramid was the tallest man - made structure in the world for more than 3,800 years . Originally , the Great Pyramid was covered by casing stones that formed a smooth outer surface ; what is seen today is the underlying core structure . Some of the casing stones that once covered the structure can still be seen around the base . There have been varying scientific and alternative theories about the Great Pyramid 's construction techniques . Most accepted construction hypotheses are based on the idea that it was built by moving huge stones from a quarry and dragging and lifting them into place . </t>
  </si>
  <si>
    <t xml:space="preserve">Rat in Mi Kitchen - wikipedia  Rat in Mi Kitchen  Jump to : navigation , search    `` Rat in Mi Kitchen ''     Single by UB40     from the album Rat in the Kitchen     B - side   `` Rat in Mi Kitchen ( Version ) ''     Released   1986     Genre   Reggae     Length   3 : 04     Label   DEP International DEP25     Songwriter ( s )   UB40     Producer ( s )   UB40     UB40 singles chronology        `` All I Want to Do '' ( 1985 )   `` Rat in Mi Kitchen '' ( 1986 )   `` Maybe Tomorrow '' ( 1986 )           `` All I Want to Do '' ( 1985 )   `` Rat in Mi Kitchen '' ( 1986 )   `` Maybe Tomorrow '' ( 1986 )        `` Rat in Mi Kitchen '' is a song and single written and performed by British group , UB40 . It features Herb Alpert on trumpet and was the sixth track on their album Rat in the Kitchen . Released in 1986 , it reached Number 12 on the UK charts in 1987 , staying for seven weeks .   Although , like many UB40 songs , it is attributed to the whole group , the song was written by Astro . At the time lead singer Ali Campbell had just moved into a new home in Balsall Heath , Birmingham and was troubled by rodents . When asked by Astro if he has any ideas for new songs he replied , `` Oh God , I do n't care about the album for a minute , I 've got a rat in the kitchen ! '' Astro , who sings lead vocals on the song , wrote the track in response .   External links ( edit )    Lyrics of this song at MetroLyrics    References ( edit )    ^ Jump up to : `` Rat in Mi Kitchen '' . www.discogs.com . Retrieved 14 June 2013 .   Jump up ^ `` UK Official charts - UB40 '' . www.officialscharts.com . Retrieved 2013 - 06 - 13 .   Jump up ^ Greenstreet , Rosanna ( 2002 - 04 - 06 ) . `` My first home : Ali Campbell '' . www.telegraph.co.uk . Retrieved 2013 - 06 - 14 .              UB40       Jimmy Brown   Robin Campbell   Earl Falconer   Norman Hassan   Brian Travers   Duncan Campbell     Ali Campbell   Yomi Babayemi   Jimmy Lynn   Mickey Virtue   Astro       Studio albums     Signing Off   Present Arms   UB44   Labour of Love   Geffery Morgan   Baggariddim   Rat in the Kitchen   UB40   Labour of Love II   Promises and Lies   Guns in the Ghetto   Labour of Love III   Cover Up   Homegrown   Who You Fighting For ?   TwentyFourSeven   Labour of Love IV   Getting Over the Storm       Compilation albums     The Singles Album   More UB40 Music   The UB40 File   The Best of UB40 -- Volume One   The Best of UB40 -- Volume Two   The Very Best of UB40 1980 - 2000   Greatest Hits   Love Songs       Live albums     UB40 Live       Remix albums     Present Arms in Dub   Dub Sessions       Singles     `` Food for Thought ''   `` One in Ten ''   `` Do n't Slow Down ''   `` Red Red Wine ''   `` Please Do n't Make Me Cry ''   `` Many Rivers to Cross ''   `` If It Happens Again ''   `` Sing Our Own Song ''   `` Rat in Mi Kitchen ''   `` I Got You Babe ''   `` Breakfast in Bed ''   `` Homely Girl ''   `` Kingston Town ''   `` I 'll Be Your Baby Tonight ''   `` The Way You Do the Things You Do ''   `` ( I Ca n't Help ) Falling in Love With You ''   `` Higher Ground ''   `` Swing Low ''       See also     UB40 discography   DEP International      Retrieved from `` https://en.wikipedia.org/w/index.php?title=Rat_in_Mi_Kitchen&amp;oldid=834007981 '' Categories :   1986 songs   UB40 songs   Songs about mice and rats   British reggae songs   Hidden categories :   Articles with hAudio microformats           Talk                                                             About Wikipedia                                           Add links   This page was last edited on 3 April 2018 , at 13 : 09 .         About Wikipedia                    </t>
  </si>
  <si>
    <t xml:space="preserve">who sang theres a rat in my kitchen</t>
  </si>
  <si>
    <t xml:space="preserve"> `` Rat in Mi Kitchen '' is a song and single written and performed by British group , UB40 . It features Herb Alpert on trumpet and was the sixth track on their album Rat in the Kitchen . Released in 1986 , it reached Number 12 on the UK charts in 1987 , staying for seven weeks . </t>
  </si>
  <si>
    <t xml:space="preserve">Agriculture in India - Wikipedia  Agriculture in India  Jump to : navigation , search      It has been suggested that Farming systems in India be merged into this article . ( Discuss ) Proposed since July 2016 .    Major crops by regions of India . Agriculture has a significant role in the socio - economic cotton of India . Here Sikh farmers are deploying a tractor and cane crusher to produce and distribute free cane juice at a festival . Several festivals relate to agriculture in India . Holi -- the festival of colours is celebrated across north India as the coming of spring . It is celebrated with bonfires , meeting friends and strangers , playful painting each other with colours . Farms in rural India . Most farms in India are small plots such as in this image . A vegetable farm in Himachal Pradesh state .  The history of Agriculture in India dates back to Indus Valley Civilization Era and even before that in some parts of Southern India . Today , India ranks second worldwide in farm output . Agriculture and allied sectors like forestry and fisheries accounted for 13.7 % of the GDP ( gross domestic product ) in 2013 , about 50 % of the workforce . The economic contribution of agriculture to India 's GDP is steadily declining with the country 's broad - based economic growth . Still , agriculture is demographically the broadest economic sector and plays a significant role in the overall socio - economic fabric of India .   India exported $38 billion worth of agricultural products in 2013 , making it the seventh largest agricultural exporter worldwide and the sixth largest net exporter . Most of its agriculture exports serve developing and least developed nations . Indian agricultural / horticultural and processed foods are exported to more than 120 countries , primarily in the Middle East , Southeast Asia , SAARC countries , the EU and the United States .     Contents  ( hide )   1 Overview   2 History   2.1 Agriculture and colonialism   2.2 Indian agriculture after independence     3 Irrigation   4 Output   4.1 Major crops and yields   4.2 Horticulture   4.3 Organic Agriculture     5 Problems   5.1 Infrastructure   5.2 Productivity   5.3 Farmer suicides   5.4 Diversion of agricultural land for non agricultural purpose     6 Initiatives   7 Maps   8 See also   9 Bibliography   10 References   11 Further reading   12 External links      Overview ( edit )  Rice Paddy Fields in Tamil Nadu  As per the 2010 FAO world agriculture statistics , India is the world 's largest producer of many fresh fruits and vegetables , milk , major spices , select fibrous crops such as jute , staples such as millets and castor oil seed . India is the second largest producer of wheat and rice , the world 's major food staples .   India is the world 's second or third largest producer of several dry fruits , agriculture - based textile raw materials , roots and tuber crops , pulses , farmed fish , eggs , coconut , sugarcane and numerous vegetables . India ranked in the world 's five largest producers of over 80 % of agricultural produce items , including many cash crops such as coffee and cotton , in 2010 . India is one of the world 's five largest producers of livestock and poultry meat , with one of the fastest growth rates , as of 2011 .   One report from 2008 claimed India 's population is growing faster than its ability to produce rice and wheat . Other recent studies claim India can easily feed its growing population , plus produce wheat and rice for global exports , if it can reduce food staple spoilage , improve its infrastructure and raise its farm productivity to those achieved by other developing countries such as Brazil and China .   In fiscal year ending June 2011 , with a normal monsoon season , Indian agriculture accomplished an all - time record production of 85.9 million tonnes of wheat , a 6.4 % increase from a year earlier . Rice output in India hit a new record at 95.3 million tonnes , a 7 % increase from the year earlier . Lentils and many other food staples production also increased year over year . Indian farmers , thus produced about 71 kilograms of wheat and 80 kilograms of rice for every member of Indian population in 2011 . The per capita supply of rice every year in India is now higher than the per capita consumption of rice every year in Japan .   India exported $39 billion worth of agricultural products in 2013 , making it the seventh largest agricultural exporter worldwide , and the sixth largest net exporter . This represents explosive growth , as in 2004 net export were about $5 billion . India is the fastest growing exporter of agricultural products over a 10 - year period , its $39 billion of net exports is more than double the combined exports of the European Union ( EU - 28 ) . It has become one of the world 's largest supplier of rice , cotton , sugar and wheat . India exported around 2 million metric tonnes of wheat and 2.1 million metric tonnes of rice in 2011 to Africa , Nepal , Bangladesh and other regions around the world .   Aquaculture and catch fishery is amongst the fastest growing industries in India . Between 1990 and 2010 , the Indian fish capture harvest doubled , while aquaculture harvest tripled . In 2008 , India was the world 's sixth largest producer of marine and freshwater capture fisheries and the second largest aquaculture farmed fish producer . India exported 600,000 metric tonnes of fish products to nearly half of the world 's countries .   India has shown a steady average nationwide annual increase in the kilograms produced per hectare for some agricultural items , over the last 60 years . These gains have come mainly from India 's green revolution , improving road and power generation infrastructure , knowledge of gains and reforms . Despite these recent accomplishments , agriculture has the potential for major productivity and total output gains , because crop yields in India are still just 30 % to 60 % of the best sustainable crop yields achievable in the farms of developed and other developing countries . Additionally , losses after harvest due to poor infrastructure and unorganized retail cause India to experience some of the highest food losses in the world. . A new step to bring eFarming is being introduced by myKheti that serves fresh fruits and vegetables direct from Khet / Farm without storage . Because of a vast digital revolution in India , myKheti brings agriculture in a digital front through eFarming where anyone can be an online farmer and can get fresh vegetables and fruits direct from Khet / Farm .   History ( edit )       This article needs additional citations for verification . Please help improve this article by adding citations to reliable sources . Unsourced material may be challenged and removed . ( April 2016 ) ( Learn how and when to remove this template message )    Main article : History of agriculture in India  Vedic literature provides some of the earliest written record of agriculture in India . Rigveda hymns , for example , describes plowing , fallowing , irrigation , fruit and vegetable cultivation . Other historical evidence suggests rice and cotton were cultivated in the Indus Valley , and plowing patterns from the Bronze Age have been excavated at Kalibangan in Rajasthan . Bhumivargaha , an Indian Sanskrit text , suggested to be 2500 years old , classifies agricultural land into 12 categories : urvara ( fertile ) , ushara ( barren ) , maru ( desert ) , aprahata ( fallow ) , shadvala ( grassy ) , pankikala ( muddy ) , jalaprayah ( watery ) , kachchaha ( contiguous to water ) , sharkara ( full of pebbles and pieces of limestone ) , sharkaravati ( sandy ) , nadimatruka ( watered from a river ) , and devamatruka ( rainfed ) . Some archaeologists believe that rice was a domesticated crop along the banks of the river Ganges in the sixth millennium BC . So were species of winter cereals ( barley , oats , and wheat ) and legumes ( lentil and chickpea ) grown in northwest India before the sixth millennium BC . Other crops cultivated in India 3000 to 6000 years ago , include sesame , linseed , safflower , mustards , castor , mung bean , black gram , horse gram , pigeonpea , field pea , grass pea ( khesari ) , fenugreek , cotton , jujube , grapes , dates , jackfruit , mango , mulberry , and black plum . Indian peasants had also domesticated cattle , buffaloes , sheep , goats , pigs and horses thousands of years ago .   According to some scientists agriculture was widespread in the Indian peninsula , 10000 -- 3000 years ago , well beyond the fertile plains of the north . For example , one study reports 12 sites in the southern Indian states of Andhra Pradesh and Karnataka providing clear evidence of agriculture of pulses ( Vigna radiata and Macrotyloma uniflorum ) , millet - grasses ( Brachiaria ramosa and Setaria verticillata ) , wheats ( Triticum dicoccum , Triticum durum / aestivum ) , barley ( Hordeum vulgare ) , hyacinth bean ( Lablab purpureus ) , pearl millet ( Pennisetum glaucum ) , finger millet ( Eleusine coracana ) , cotton ( Gossypium sp . ) , linseed ( Linum sp . ) , as well as gathered fruits of Ziziphus and two Cucurbitaceae .   Some claim Indian agriculture began by 9000 BC as a result of early cultivation of plants , and domestication of crops and animals . Settled life soon followed with implements and techniques being developed for agriculture . Double monsoons led to two harvests being reaped in one year . Indian products soon reached trading networks and foreign crops were introduced . Plants and animals -- considered essential to survival by the Indians -- came to be worshiped and venerated .   The middle ages saw irrigation channels reach a new level of sophistication , and Indian crops affected the economies of other regions of the world under Islamic patronage . Land and water management systems were developed with an aim of providing uniform growth .   Despite some stagnation during the later modern era the independent Republic of India was able to develop a comprehensive agricultural programme .   Agriculture and colonialism ( edit )   Over 2500 years ago , Indian farmers had discovered and begun farming many spices and sugarcane . It was in India , between the sixth and four BC , that the Persians , followed by the Greeks , discovered the famous `` reeds that produce honey without bees '' being grown . These were locally called साखर , ( Sākhara ) . On their return journey , the Macedonian soldiers carried the `` honey bearing reeds , '' thus spreading sugar and sugarcane agriculture . People in India had invented , by about 500 BC , the process to produce sugar crystals . In the local language , these crystals were called khanda ( खण्ड ) , which is the source of the word candy .   Before the 18th century , cultivation of sugarcane was largely confined to India . A few merchants began to trade in sugar -- a luxury and an expensive spice in Europe until the 18th century . Sugar became widely popular in 18th - century Europe , then graduated to become a human necessity in the 19th century all over the world . This evolution of taste and demand for sugar as an essential food ingredient unleashed major economic and social changes . Sugarcane does not grow in cold , frost - prone climate ; therefore , tropical and semitropical colonies were sought . Sugarcane plantations , just like cotton farms , became a major driver of large and forced human migrations in 19th century and early 20th century -- of people from Africa and from India , both in millions -- influencing the ethnic mix , political conflicts and cultural evolution of Caribbean , South American , Indian Ocean and Pacific Island nations .   The history and past accomplishments of Indian agriculture thus influenced , in part , colonialism , slavery and slavery - like indentured labor practices in the new world , Caribbean wars and world history in 18th and 19th centuries .   Indian agriculture after independence ( edit )  Cotton flower in India . This is a cash crop in central India .  In the years since its independence , India has made immense progress towards food security . Indian population has tripled , and food - grain production more than quadrupled . There has been a substantial increase in available food - grain per capita .   Before the mid-1960s India relied on imports and food aid to meet domestic requirements . However , two years of severe drought in 1965 and 1966 convinced India to reform its agricultural policy and that they could not rely on foreign aid and imports for food security . India adopted significant policy reforms focused on the goal of foodgrain self - sufficiency . This ushered in India 's Green Revolution . It began with the decision to adopt superior yielding , disease resistant wheat varieties in combination with better farming knowledge to improve productivity . The state of Punjab led India 's green revolution and earned the distinction of being the country 's bread basket .   The initial increase in production was centred on the irrigated areas of the states of Punjab , Haryana and western Uttar Pradesh . With the farmers and the government officials focusing on farm productivity and knowledge transfer , India 's total foodgrain production soared . A hectare of Indian wheat farm that produced an average of 0.8 tonnes in 1948 , produced 4.7 tonnes of wheat in 1975 from the same land . Such rapid growth in farm productivity enabled India to become self - sufficient by the 1970s . It also empowered the smallholder farmers to seek further means to increase food staples produced per hectare . By 2000 , Indian farms were adopting wheat varieties capable of yielding 6 tonnes of wheat per hectare .  Men and women at work in rice paddy fields in Tamil Nadu  With agricultural policy success in wheat , India 's Green Revolution technology spread to rice . However , since irrigation infrastructure was very poor , Indian farmer innovated with tube - wells , to harvest ground water . When gains from the new technology reached their limits in the states of initial adoption , the technology spread in the 1970s and 1980s to the states of eastern India -- Bihar , Odisha and West Bengal . The lasting benefits of the improved seeds and new technology extended principally to the irrigated areas which account for about one - third of the harvested crop area . In the 1980s , Indian agriculture policy shifted to `` evolution of a production pattern in line with the demand pattern '' leading to a shift in emphasis to other agricultural commodities like oilseed , fruit and vegetables . Farmers began adopting improved methods and technologies in dairying , fisheries and livestock , and meeting the diversified food needs of a growing population .   As with rice , the lasting benefits of improved seeds and improved farming technologies now largely depends on whether India develops infrastructure such as irrigation network , flood control systems , reliable electricity production capacity , all - season rural and urban highways , cold storage to prevent spoilage , modern retail , and competitive buyers of produce from Indian farmers . This is increasingly the focus of Indian agriculture policy .   India 's agricultural economy is undergoing structural changes . Between 1970 and 2011 , the GDP share of agriculture has fallen from 43 % to 16 % . This is n't because of reduced importance of agriculture or a consequence of agricultural policy . This is largely because of the rapid economic growth in services , industrial output , and non-agricultural sectors in India between 2000 and 2010 .   Agricultural scientist MS Swaminathan has played a vital role in the green revolution . In 2013 NDTV awarded him as 25 living legend of India for outstanding contribution to agriculture and making India a food sovereign country .  An irrigation canal in Gujarat . Irrigation contributes significantly to agriculture in India .  Two states , Sikkim and Kerala have planned to shift fully to organic farming by 2015 and 2016 respectively .   Irrigation ( edit )  Main article : Irrigation in India  Indian irrigation infrastructure includes a network of major and minor canals from rivers , groundwater well - based systems , tanks , and other rainwater harvesting projects for agricultural activities . Of these , the groundwater system is the largest . Of the 160 million hectares of cultivated land in India , about 39 million hectare can be irrigated by groundwater wells and an additional 22 million hectares by irrigation canals . In 2010 , only about 35 % of agricultural land in India was reliably irrigated . About 2 / 3rd cultivated land in India is dependent on monsoons . The improvements in irrigation infrastructure in the last 50 years have helped India improve food security , reduce dependence on monsoons , improve agricultural productivity and create rural job opportunities . Dams used for irrigation projects have helped provide drinking water to a growing rural population , control flood and prevent drought - related damage to agriculture .   Output ( edit )  Indian agriculture is diverse , ranging from impoverished farm villages to developed farms using modern agricultural technologies . This image shows a farming community in a more prosperous part of India . The changing face of Indian agriculture : formation of larger farms and adoption of wind power generation technologies . A panoramic view of a rice , cassava and banana farm in Kerala state . A mustard farm in Rajasthan state . Amul : an integrated dairy with milk processing plant in Gujarat state . India has some of the world 's best agricultural yields in its tea plantations . A tea estate in Kerala state .  As of 2011 , India had a large and diverse agricultural sector , accounting , on average , for about 16 % of GDP and 10 % of export earnings . India 's arable land area of 159.7 million hectares ( 394.6 million acres ) is the second largest in the world , after the United States . Its gross irrigated crop area of 82.6 million hectares ( 215.6 million acres ) is the largest in the world . India is among the top three global producers of many crops , including wheat , rice , pulses , cotton , peanuts , fruits and vegetables . Worldwide , as of 2011 , India had the largest herds of buffalo and cattle , is the largest producer of milk and has one of the largest and fastest growing poultry industries .   Major crops and yields ( edit )   The following table presents the 20 most important agricultural products in India , by economic value , in 2009 . Included in the table is the average productivity of India 's farms for each produce . For context and comparison , included is the average of the most productive farms in the world and name of country where the most productive farms existed in 2010 . The table suggests India has large potential for further accomplishments from productivity increases , in increased agricultural output and agricultural incomes .   Largest agricultural products in India by value   Rank   Commodity   Value ( US $ , 2013 )   Unit price ( US $ / kilogram , 2009 )   Average yield ( tonnes per hectare , 2010 )   Most productive country ( tonnes per hectare , 2010 )       Rice   $42.57 billion   0.27   3.99   12.03   Australia       Buffalo milk   $27.92 billion   0.4   0.63   23.7   India       Cow milk   $18.91 billion   0.31     10.3   Israel       Wheat   $13.98 billion   0.15   2.8   8.9   Netherlands     5   Mangoes , guavas   $10.79 billion   0.6   6.3   40.6   Cape Verde     6   Sugar cane   $10.42 billion   0.03   66   125   Peru     7   Cotton   $8.65 billion   1.43   1.6   4.6   Israel     8   Bananas   $7.77 billion   0.28   37.8   59.3   Indonesia     9   Potatoes   $7.11 billion   0.15   19.9   44.3   United States     10   Tomatoes   $6.74 billion   0.37   19.3   524.9   Belgium     11   Fresh vegetables   $6.27 billion   0.19   13.4   76.8   United States     12   Buffalo meat   $4.33 billion   2.69   0.138   0.424   Thailand     13   Groundnuts   $4.11 billion   1.96   1.8   17.0   China     14   Okra   $4.06 billion   0.35   7.6   23.9   Israel     15   Onions   $4.05 billion   0.21   16.6   67.3   Ireland     16   Chick peas   $3.43 billion   0.4   0.9   2.8   China     17   Chicken meat   $3.32 billion   0.64   10.6   20.2   Cyprus     18   Fresh fruits   $3.25 billion   0.42   1.1   5.5   Nicaragua     19   Hen eggs   $3.18 billion   2.7   0.1   0.42   Japan     20   Soybeans   $3.09 billion   0.26   1.1   3.7   Turkey     The Statistics Office of the Food and Agriculture Organisation reported that , per final numbers for 2009 , India had grown to become the world 's largest producer of the following agricultural products :    Fresh Fruit   Lemons and limes   Buffalo milk , whole , fresh   Castor oil seeds   Sunflower seeds   Sorghum   Millet   Spices   Okra   Jute   Beeswax   Bananas   Mangoes , mangosteens , guavas   Pulses   Indigenous buffalo meat   Fruit , tropical   Ginger   Chick peas   Areca nuts   Other bastfibres   Pigeon peas   Papayas   Chillies and peppers , dry   Anise , badian , fennel , coriander   Goat milk , whole , fresh    Per final numbers for 2009 , India is the world 's second largest producer of the following agricultural products :    Wheat   Rice   Fresh vegetables   Sugar cane   Groundnuts , with shell   Lentils   Garlic   Cauliflowers and broccoli   Peas , green   Sesame seed   Cashew nuts , with shell   Silk - worm cocoons , reelable   Cow milk , whole , fresh   Tea   Potatoes   Onions   Cotton lint   Cotton seed   Eggplants ( aubergines )   Nutmeg , mace and cardamoms   Indigenous goat meat   Cabbages and other brassicas   Pumpkins , squash and gourds    In 2009 , India was the world 's third largest producer of eggs , oranges , coconuts , tomatoes , peas and beans .   In addition to growth in total output , agriculture in India has shown an increase in average agricultural output per hectare in last 60 years . The table below presents average farm productivity in India over three farming years for some crops . Improving road and power generation infrastructure , knowledge gains and reforms has allowed India to increase farm productivity between 40 % to 500 % over 40 years . India 's recent accomplishments in crop yields while being impressive , are still just 30 % to 60 % of the best crop yields achievable in the farms of developed as well as other developing countries . Additionally , despite these gains in farm productivity , losses after harvest due to poor infrastructure and unorganised retail cause India to experience some of the highest food losses in the world .   Agriculture productivity in India , growth in average yields from 1970 to 2010   Crop   Average YIELD , 1970 - 1971   Average YIELD , 1990 - 1991   Average YIELD , 2010 -- 2011       kilogram per hectare   kilogram per hectare   kilogram per hectare     Rice   1123   1740   2240     Wheat   1307   2281   2938     Pulses   524   578   689     Oilseeds   579   771   1325     Sugarcane   48322   65395   68596     Tea   1182   1652   1669     Cotton   106   225   510     India and China are competing to establish the world record on rice yields . Yuan Longping of China National Hybrid Rice Research and Development Centre set a world record for rice yield in 2010 at 19 tonnes per hectare in a demonstration plot . In 2011 , this record was surpassed by an Indian farmer , Sumant Kumar , with 22.4 tonnes per hectare in Bihar , also in a demonstration plot . These farmers claim to have employed newly developed rice breeds and system of rice intensification ( SRI ) , a recent innovation in farming . The claimed Chinese and Indian yields have yet to be demonstrated on 7 hectare farm lots and that these are reproducible over two consecutive years on the same farm .   Horticulture ( edit )   The total production and economic value of horticultural produce , such as fruits , vegetables and nuts has doubled in India over the 10 - year period from 2002 to 2012 . In 2012 , the production from horticulture exceeded grain output for the first time . The total horticulture produce reached 277.4 million metric tonnes in 2013 , making India the second largest producer of horticultural products after China . Of this , India in 2013 produced 81 million tonnes of fruits , 162 million tonnes of vegetables , 5.7 million tonnes of spices , 17 million tonnes of nuts and plantation products ( cashew , cacao , coconut , etc . ) , 1 million tonnes of aromatic horticulture produce and 1.7 million tonnes of flowers ( 7.6 billion cut flowers ) .   Horticultural productivity in India , 2013   Country   Area under fruits production ( million hectares )   Average Fruits Yield ( Metric tonnes per hectare )   Area under vegetable production ( million hectares )   Average Vegetable Yield ( Metric tonnes per hectare )     India   7.0   11.6   9.2   52.36     China   11.8   11.6   24.6   23.4     Spain   1.54   9.1   0.32   39.3     United States   1.14   23.3   1.1   32.5     World   57.3   11.3   60.0   19.7     During the 2013 fiscal year , India exported horticulture products worth ₹ 14,365 crore ( US $2.2 billion ) , nearly double the value of its 2010 exports . Along with these farm - level gains , the losses between farm and consumer increased and are estimated to range between 51 and 82 million metric tonnes a year .   Organic agriculture ( edit )   Organic agriculture has fed India for centuries and it is again a growing sector in India . Organic production offers clean and green production methods without the use of synthetic fertilisers and pesticides and it achieves a premium price in the market place . India has 6 , 50,000 organic producers , which is more that any other country . India also has 4 million hectares of land certified as organic wildculture , which is third in the world ( after Finland and Zambia ) .   Problems ( edit )  A rural market in India -- farmers with limited marketing options sell their surplus produce India lacks cold storage , food packaging as well as safe and efficient rural transport system . This causes one of the world 's highest food spoilage rates , particularly during monsoons and other adverse weather conditions . Food travels to the Indian consumer through a slow and inefficient chain of traders . Consumers buy agricultural produce in suburban markets known as ' sabzi mandi ' such as one shown or from roadside vendors . Indian agriculture includes a mix of traditional to modern farming techniques . In some parts of India , traditional use of cattle to plough remains in use . Traditional farms have some of the lowest per capita productivities and farmer incomes . Since 2002 , India has become the world 's largest manufacturer of tractors with 29 % of world 's output in 2013 ; it is also the world 's largest tractor market . Above a tractor in use in north India .  `` Slow agricultural growth is a concern for policymakers as some two - thirds of India 's people depend on rural employment for a living . Current agricultural practices are neither economically nor environmentally sustainable and India 's yields for many agricultural commodities are low . Poorly maintained irrigation systems and almost universal lack of good extension services are among the factors responsible . Farmers ' access to markets is hampered by poor roads , rudimentary market infrastructure , and excessive regulation . ''  -- World Bank : `` India Country Overview 2008 ''  `` With a population of just over 1.2 billion , India is the world 's largest democracy . In the past decade , the country has witnessed accelerated economic growth , emerged as a global player with the world 's fourth largest economy in purchasing power parity terms , and made progress towards achieving most of the Millennium Development Goals . India 's integration into the global economy has been accompanied by impressive economic growth that has brought significant economic and social benefits to the country . Nevertheless , disparities in income and human development are on the rise . Preliminary estimates suggest that in 2009 - 10 the combined all India poverty rate was 32 % compared to 37 % in 2004 - 05 . Going forward , it will be essential for India to build a productive , competitive , and diversified agricultural sector and facilitate rural , non-farm entrepreneurship and employment . Encouraging policies that promote competition in agricultural marketing will ensure that farmers receive better prices . ''  -- World Bank : `` India Country Overview 2011 ''  A 2003 analysis of India 's agricultural growth from 1970 to 2001 by the Food and Agriculture Organisation identified systemic problems in Indian agriculture . For food staples , the annual growth rate in production during the six - year segments 1970 - 76 , 1976 -- 82 , 1982 -- 88 , 1988 -- 1994 , 1994 - 2000 were found to be respectively 2.5 , 2.5 , 3.0 , 2.6 , and 1.8 % per annum . Corresponding analyses for the index of total agricultural production show a similar pattern , with the growth rate for 1994 - 2000 attaining only 1.5 % per annum .   Infrastructure ( edit )   India has very poor rural roads affecting timely supply of inputs and timely transfer of outputs from Indian farms . Irrigation systems are inadequate , leading to crop failures in some parts of the country because of lack of water . In other areas regional floods , poor seed quality and inefficient farming practices , lack of cold storage and harvest spoilage cause over 30 % of farmer 's produce going to waste , lack of organised retail and competing buyers thereby limiting Indian farmer 's ability to sell the surplus and commercial crops .   The Indian farmer receives just 10 % to 23 % of the price the Indian consumer pays for exactly the same produce , the difference going to losses , inefficiencies and middlemen . Farmers in developed economies of Europe and the United States receive 64 % to 81 % .   Productivity ( edit )   Although India has attained self - sufficiency in food staples , the productivity of its farms is below that of Brazil , the United States , France and other nations . Indian wheat farms , for example , produce about a third of the wheat per hectare per year compared to farms in France . Rice productivity in India was less than half that of China . Other staples productivity in India is similarly low . Indian total factor productivity growth remains below 2 % per annum ; in contrast , China 's total factor productivity growths is about 6 % per annum , even though China also has smallholding farmers . Several studies suggest India could eradicate its hunger and malnutrition and be a major source of food for the world by achieving productivity comparable with other countries .   By contrast , Indian farms in some regions post the best yields , for sugarcane , cassava and tea crops .   Crop yields vary significantly between Indian states . Some states produce two to three times more grain per acre than others . The table compares the statewide average yields for a few major agricultural crops in India , for 2001 - 2002 .     Crop   Average farm yield in Bihar   Average farm yield in Karnataka   Average farm yield in Punjab       kilogram per hectare   kilogram per hectare   kilogram per hectare     Wheat   2020   unknown   3880     Rice   1370   2380   3130     Pulses   610   470   820     Oil seeds   620   680   1200     Sugarcane   45510   79560   65300     Crop yields for some farms in India are within 90 % of the best achieved yields by farms in developed countries such as the United States and in European Union . No single state of India is best in every crop . Tamil Nadu achieved highest yields in rice and sugarcane , Haryana in wheat and coarse grains , Karnataka in cotton , Bihar in pulses , while other states do well in horticulture , aquaculture , flower and fruit plantations . These differences in agricultural productivity are a function of local infrastructure , soil quality , micro-climates , local resources , farmer knowledge and innovations .   The Indian food distribution system is highly inefficient . Movement of agricultural produce is heavily regulated , with inter-state and even inter-district restrictions on marketing and movement of agricultural goods .   One study suggests Indian agricultural policy should best focus on improving rural infrastructure primarily in the form of irrigation and flood control infrastructure , knowledge transfer of better yielding and more disease resistant seeds . Additionally , cold storage , hygienic food packaging and efficient modern retail to reduce waste can improve output and rural incomes .   The low productivity in India is a result of the follow</t>
  </si>
  <si>
    <t xml:space="preserve">the contribution of agriculture in india's gross domestic product is</t>
  </si>
  <si>
    <t xml:space="preserve"> The history of Agriculture in India dates back to Indus Valley Civilization Era and even before that in some parts of Southern India . Today , India ranks second worldwide in farm output . Agriculture and allied sectors like forestry and fisheries accounted for 13.7 % of the GDP ( gross domestic product ) in 2013 , about 50 % of the workforce . The economic contribution of agriculture to India 's GDP is steadily declining with the country 's broad - based economic growth . Still , agriculture is demographically the broadest economic sector and plays a significant role in the overall socio - economic fabric of India . </t>
  </si>
  <si>
    <t xml:space="preserve">Super Bowl LII halftime show - Wikipedia  Super Bowl LII halftime show  Jump to : navigation , search  Super Bowl LII halftime show       Date   February 4 , 2018     Location   Minneapolis , Minnesota , U.S.     Venue   U.S. Bank Stadium     Headliner   Justin Timberlake     Special guests   The Tennessee Kids , University of Minnesota Marching Band     Sponsor   Pepsi     Director   Hamish Hamilton     Producer   Ricky Kirshner     Super Bowl halftime show chronology        LI ( 2017 )   LII ( 2018 )   LIII ( 2019 )        The Super Bowl LII Halftime Show ( officially known as the Pepsi Super Bowl LII Halftime Show ) took place on February 4 , 2018 at U.S. Bank Stadium in Minneapolis , Minnesota , as part of Super Bowl LII . Justin Timberlake was the featured performer , as confirmed by the National Football League ( NFL ) on October 22 , 2017 . It was televised nationally by NBC .     Contents  ( hide )   1 Synopsis   2 Background   3 Development   4 Critical response   5 Commercial reception   6 Setlist   7 See also   8 References   9 External links      Synopsis ( edit )  Timberlake with dancers during the halftime performance Timberlake during halftime show Timberlake performing `` Suit &amp; Tie '' with the University of Minnesota Marching Band  The show began with Jimmy Fallon introducing Justin Timberlake , followed by a video screen depicting Timberlake performing `` Filthy '' in a club setting below the field level of the stadium . He then walked up a staircase and appeared on a ramp stage extending outward into the field , descending into a series of stages surrounded by a crowd . Timberlake proceeded to move through the crowd performing `` Rock Your Body '' with a troupe of female backup dancers , abruptly stopping short of the end of the song and shifting to `` Señorita '' on a small stage with his backing dancers . Upon reaching the main stage , he performed a number of songs , including `` SexyBack '' , `` My Love '' , and `` Cry Me a River '' , which featured a dance break mid-field . Upon reaching the next stage , Timberlake performed his hit song `` Suit &amp; Tie '' as the University of Minnesota Marching Band , wearing black tuxedos , played backup instrumentals and marched out to meet him .  The Stadium and the city of Minneapolis were shown to be lit purple during Timberlake 's tribute to Prince Dancers fill the field during Timberlake 's performance of `` Ca n't Stop the Feeling ! ''  Timberlake proceeded to walk up to a white grand piano while performing `` Until the End of Time '' , then segued into `` I Would Die 4 U '' as a tribute to Minneapolis - native Prince . A video of Prince performing the song played in the background , projected onto on a large multi-story sheet . An aerial shot showed downtown Minneapolis covered in purple lighting that morphed into Prince 's trademark Love Symbol , with the stadium at the center . He then returned to the main stage to perform `` Mirrors '' , as hundreds of dancers and members of the marching band performed choreography with large mirrors , creating bright reflections in the broadcast and across the roof of the stadium . Timberlake closed the show with `` Ca n't Stop the Feeling ! '' , entering the stands at the conclusion of the song .   For the first time since the Super Bowl XLVI halftime show in Indianapolis in 2012 , no pyrotechnics were used throughout the performance . The show relied mostly on lasers and video screens for visual effects .   Background ( edit )  Field being set up for Timberlake 's performance  In July 2017 , multiple media outlets reported that Britney Spears was in talks to perform at Halftime , but Pepsi quickly denied it a few days later . During August and September 2017 , several publications informed that Timberlake was the frontrunner to performer at the Super Bowl LII halftime , first along with his frequent - collaborator Jay - Z as co-headliner , and then as the solo performer . A spokesperson from the NFL stated at the time , `` along with Pepsi , we know that we will put on a spectacular show . When it is time to announce her name we will do it . Or his name . Or their names . '' The NFL confirmed the announcement on October 22 with a video starring Timberlake and Jimmy Fallon .   This was Timberlake 's third appearance in a Super Bowl halftime show . As a member of NSYNC , Timberlake appeared in the Super Bowl XXXV ( 2001 ) halftime show , and as a guest artist in the Super Bowl XXXVIII ( 2004 ) , which performance featured a controversial incident where Timberlake accidentally exposed one of Janet Jackson 's breasts on national television , described as a wardrobe malfunction . The Parents Television Council penned an open letter to Timberlake asking to keep the performance `` family - friendly . '' While the organization acknowledged that Timberlake apologized for the 2004 incident , they asked him to stay true to his word , saying `` we are heartened by your response that the events of 2004 are not going to happen in 2018 , '' as the singer stated in a prior interview that `` we are not going to do that again . ''   In an interview with Billboard , Pepsi executives expressed :   We are all big fans of Justin Timberlake . We 've kind of felt that Justin deserves , and has for a number of years , to be the main artist for the halftime show because previously he was n't the main artist . It was just about the timing . To be honest , we have discussed Justin for the last number of years for coming and doing halftime , and this year just felt really right to us . He is hands down one of the greatest entertainers currently alive , it was a no - brainer . We know he 's gon na bring it .   The Halftime Show included a remembrance for Indianapolis Colts linebacker Edwin Jackson , who died just hours before Super Bowl LII after being struck by a vehicle .   Development ( edit )  The U.S. Bank Stadium , where Super Bowl and the halftime show was held .  During the performance , Timberlake wore an outfit designed by Stella McCartney , which consists of `` alter nappa fringed jacket with a shirt , featuring a landscape artwork by British artist Martin Ridley , '' according to a press release . Also part of the look is a Prince of Wales - check and camouflage splatter - print suit and matching jacket . As usual for McCartney , these pieces were made from animal - free leather and organic cotton .   Timberlake stated in a press conference that there would be no guest musicians in the halftime show and that the event would focus solely on himself and his backing band , the Tennessee Kids . Regarding the Prince tribute , the performance 's creative visual lead , Fireplay 's Nick Whitehouse , told Rolling Stone :   Paying tribute to Prince was something JT highlighted as an important moment for this show , and we spent quite a bit of time ensuring this moment would be true to his legacy . Ultimately , Justin decided that the only person who could do Prince justice is Prince . The band held 50 - hours worth of rehearsals in preparation for the show .   Prince had previously stated he did not want to be included in new music after death in a 1998 interview , citing The Beatles ' `` Free as a Bird '' as an example of a practice he considered to be `` demonic . '' His family granted permission to use Prince 's likeness on the condition that it not be used in a hologram , and they approved of the final result . Sheila E , a former bandmate of Prince 's who was involved in negotiations over the use of his likeness , stated that `` a bigger company '' ( she declined to specify whether it was Pepsi or the NFL ) had insisted on including the Prince apparition and that the notion was not originally Timberlake 's idea .   Despite the lack of an individual guest artist , the more than 300 - member University of Minnesota Marching Band was featured in the show . The band 's drumline , brass , and saxophone sections pre-recorded and performed with Timberlake during his performance of `` Suit &amp; Tie . '' The upper woodwind and auxiliary sections led drill formations and held large mirrors during Timberlake 's performance of his song `` Mirrors '' , and acted as fans and dancers throughout other portions of the show , including the club scene at the show 's opening . All members of the band were featured on the field in the show 's finale , `` Ca n't Stop the Feeling ! '' . The band had previously performed in the halftime show of Super Bowl XXVI .   Critical response ( edit )   Timberlake 's performance received mixed reviews . In a positive review , Bruce R. Miller of Sioux City Journal wrote `` Timberlake is a masterful live performer -- which made Sunday 's Super Bowl performance about the only sure bet , '' he continued commenting the performer `` did a lot of infectious dancing and managed to play with the crowd like no other . '' Although it did not have a moment that `` stuck , '' he considered the Prince tribute the best moment of the show . In a similarly positive review , Taylor Weatherby of Billboard said `` there is no denying that Timberlake absolutely rocked his first headlining ( halftime ) '' , further adding `` Timberlake 's halftime show was undeniably mesmerizing . From starting in the concourse to making his way into the crowd ( and making # SelfieKid an instant superstar ) for the ending . '' She also considered it `` is made for a TV experience '' rather than for the public in the stadium , mainly for the sound quality difficulties , but also criticized him for including Rock Your Body in the set list . From the same magazine , Nina Braca wrote `` his moves were on point , '' and Andrew Ubterberger said two things were `` relatively certain '' about the performance . `` most of America would love it , and most of the Internet would hate it , '' and added Timberlake was `` in a situation that was both a ca n't - lose and a ca n't - win . It would 've been virtually impossible for him to please the critics he 'd alienated over the last couple years . '' Also from Billboard , Andrew Unterberge wrote , `` Timberlake 's audio was somewhat lacking throughout ... but the choreography , live - band energy and song selection were all pretty impeccable '' .   Chris Willman of Variety stated that , `` Timberlake turned in a more enjoyably physical performance than just about anybody else who 's done the Bowl show ... and if it was more a feat of athleticism than aestheticism , you ca n't say that 's entirely inappropriate for the occasion . '' Willman also wrote that the show , `` was n't one for the ages , but was impressive as a show of athleticism ''   Jon Caramanica of The New York Times wrote that Timberlake 's performance was , `` heavy on dance spectacle , light on vocal authority '' . Daniel Fienberg of The Hollywood Reporter called the show , `` energetic , but also entirely lacking in live excitement . '' Feinberg criticized the show for largely lacking spontaneity and live vocals . Feinberg wrote that Timberlake delivered , `` one of the most over-planned , least surprising performances imaginable . '' Darren Franich of Entertainment Weekly graded Timberlake 's performance a `` C '' , calling it , `` dutiful , and empty '' . Franich faulted Timberlake for playing too safe with his performance . Similarly , Fran Guan of Vulture.com wrote , `` Technically speaking , Timberlake 's set was a testament to precision '' . Guan , however , criticized Timberlake 's performance from lacking in personality , and regarded his performance as unmemorable .   The Guardian gave Timberlake 3 out of 5 stars , calling his performance forgettable but flashy . In an interview with NPR , Ann Powers said that `` the entire performance was shrouded in the sense of Timberlake not being right for this moment -- and the Janet Jackson controversy haunted it . '' Daniel D'Addarrio of Time.com gave the performance a negative review , criticizing Timberlake for singing Cry Me A River in addition to Rock Your Body , calling the song 's lyrics about an evil promiscuous woman out of step with the national mood , and said that the only message from Timberlake 's performance was that he loves his back catalog Deadline felt `` but you could see the motions more than you felt the music . '' Chris Richards of The Washington Post regarded Timberlake 's performance as , `` unambiguously underwhelming '' .   USA Today and Vulture compared Timberlake 's performance unfavorably to Prince 's own 2007 halftime show . Amanda Petrusich of The New Yorker wrote that Timberlake 's decision to omit the end of `` Rock Your Body '' ( which was performed during the controversial 2004 halftime ) felt , `` less like an apology than yet more spineless deflection '' . However , Andrew Unterberge of Billboard considered Timberlake 's decision to cut the song short to be wise . Timberlake 's Stella McCartney - designed outfit received negative reviews , with some critics regarding it as `` tacky '' . The LA Times also gave a very critical review , one which also stated that Timberlake had nothing to say in his performance , and said that it lacked soul and meaning . The Digital Journal gave him 2 / 5 stars and called it lackluster .   Commercial reception ( edit )   The Super Bowl LII halftime show was seen by 106.6 million television viewers in the United States , 9 % less than Lady Gaga 's in 2017 . It had higher average viewership than the game itself , and the decline for the halftime show was roughly in line with that of the game as a whole , which had lost 7 % compared to the previous year .   According to initial sales reports from Nielsen Music , sales of the songs Timberlake performed during the halftime show gained 534 % in the United States on February 4 , the day of the Super Bowl , compared to Feb. 3 , while his streams on Spotify gained 214 % . Janet Jackson likewise gained 150 % on Spotify .   Setlist ( edit )  Timberlake performing alongside a video projection of Prince   `` Filthy ''   `` Rock Your Body ''   `` Señorita ''   `` SexyBack '' ( with elements of `` Supplies '' )   `` My Love ''   `` Cry Me a River '' ( with elements of `` Kashmir '' )   `` Suit &amp; Tie '' ( with elements of `` Pusher Love Girl '' ) ( featuring the University of Minnesota Marching Band )   `` Until the End of Time ''   `` I Would Die 4 U '' ( along with a pre-recorded video of Prince , displayed on a projection screen )   `` Mirrors ''   `` Ca n't Stop the Feeling ! ''    See also ( edit )    2018 in American television    References ( edit )    Jump up ^ Schad , Tom ( October 22 , 2017 ) . `` Justin Timberlake Headline Super Bowl LII Halftime Show '' . USA Today . Retrieved October 22 , 2017 .   ^ Jump up to : `` No hologram , but still a Prince tribute in Justin Timberlake 's halftime show '' . Star Tribune . Retrieved February 5 , 2018 .   Jump up ^ NFL ( February 4 , 2018 ) , Justin Timberlake 's FULL Pepsi Super Bowl LII Halftime Show ! NFL Highlights , retrieved February 5 , 2018   ^ Jump up to : `` U of M Marching Band steals the halftime show '' . KARE . Retrieved 2018 - 02 - 06 .   Jump up ^ `` Justin Timberlake and everything but the football -- Super Bowl half - time show as it happened '' . Guardian . 5 February 2018 . Retrieved 6 February 2018 .   Jump up ^ `` Super Bowl halftime show : Here 's who Justin Timberlake 's guest performers might be '' . CBS Sports . February 4 , 2018 . Retrieved February 4 , 2018 .   Jump up ^ Boren , Cindy ( September 27 , 2017 ) . `` Justin Timberlake reportedly ' finalizing ' deal to headline Super Bowl LII halftime show '' . Chicago Tribune . Retrieved February 3 , 2018 .   Jump up ^ `` Justin Timberlake Headlines Pepsi Super Bowl LII Halfitme Show '' . National Football League . October 22 , 2017 . Retrieved October 22 , 2017 .   Jump up ^ Aniftos , Rania ( January 30 , 2018 ) . `` The Parents Television Council Pens Open Letter to Justin Timberlake Asking to Keep Super Bowl Performance Appropriate ' '' . Billboard . Retrieved February 4 , 2018 .   Jump up ^ Weatherby , Taylor ( February 3 , 2018 ) . `` Justin Timberlake Set to Deliver ' Mesmerizing ' Super Bowl Halftime Show : Pepsi Execs Reveal It 's ' Justin at His Best ' '' . Billboard . Retrieved February 3 , 2018 .   Jump up ^ Sebra , Matt ( February 2 , 2018 ) . `` Justin Timberlake Finally Gets the Super Bowl Halftime Show Outfit He Deserves '' . GQ . Retrieved February 2 , 2018 .   Jump up ^ Karmali , Sarah ( February 2 , 2018 ) . `` Justin Timberlake to wear Stella McCartney at the Super Bowl '' . Harper 's Bazaar . Retrieved February 2 , 2018 .   Jump up ^ `` Super Bowl 2018 Justin Timberlake press conference highlights '' . People . Retrieved February 3 , 2018 .   Jump up ^ Legaspi , Althea ( February 5 , 2018 ) . `` Super Bowl LII : Watch Justin Timberlake Honor Prince in Halftime Spectacle '' . Rolling Stone . Retrieved February 5 , 2018 .   Jump up ^ Wilstein , Matt ( February 5 , 2018 ) . `` Prince 's Family Approves of Justin Timberlake Super Bowl Halftime Tribute '' . The Daily Beast . Retrieved February 5 , 2018 .   Jump up ^ `` Sheila E. says Justin Timberlake was n't behind Prince hologram idea '' . TMZ . February 10 , 2018 . Retrieved February 10 , 2018 .   ^ Jump up to : Braca , Nina ( February 5 , 2018 ) . `` From ' Cry Me a River ' to ' Ca n't Stop the Feeling ! , ' Justin Timberlake 's 10 Best Live Performances : Critic 's Picks '' . www.billboard.com . Billboard . Retrieved February 6 , 2018 .   Jump up ^ Miller , Bruce R. ( February 4 , 2018 ) . `` REVIEW : Justin Timberlake does a great Super Bowl job , even without NSYNC '' . Sioux City Journal . Retrieved February 6 , 2018 .   ^ Jump up to : Weatherby , Taylor ( February 4 , 2018 ) . `` Justin Timberlake 's Super Bowl Halftime Show : 5 Takeaways From Seeing It In Person '' . Billboard . Retrieved February 6 , 2018 .   Jump up ^ Unterberger , Andrew ( February 5 , 2018 ) . `` Justin Timberlake Plays the Hits , Largely Avoids Controversy With Sigh - of - Relief Super Bowl LII Halftime Performance '' . Billboard . Retrieved February 5 , 2018 .   ^ Jump up to : Unterberge , Andrew ( February 4 , 2018 ) . `` Justin Timberlake Plays the Hits , Largely Avoids Controversy With Sigh - of - Relief Super Bowl LII Halftime Performance '' . www.billboard.com . Billboard . Retrieved February 8 , 2018 .   ^ Jump up to : Willman , Chris ( February 4 , 2018 ) . `` Halftime Review : Justin Timberlake Emerges Fumble - Free After Bad Pre-Game PR '' . Variety . Retrieved February 4 , 2018 .   Jump up ^ Caramanica , Jon ( February 4 , 2018 ) . `` Justin Timberlake Plays It Safe , Seeking Super Bowl Redemption '' . www.nytimes.com . New York Times . Retrieved February 8 , 2018 .   ^ Jump up to : Feinberg , Daniel ( February 4 , 2018 ) . `` Critic 's Notebook : Justin Timberlake 's Super Bowl Halftime Performance Is Light on Singing , Spontaneity '' . The Hollywood Reporter . Retrieved February 8 , 2018 . More than one of website = and work = specified ( help )   Jump up ^ Franich , Darren ( February 4 , 2018 ) . `` Justin Timberlake 's Super Bowl halftime show was dutiful , and empty : EW review '' . www.ew.com . Entertainment Weekly . Retrieved February 8 , 2018 .   ^ Jump up to : Guan , Fran ( February 5 , 2018 ) . `` It Was His Halftime Show , But Justin Timberlake Was the Least Memorable Musician at the Super Bowl '' . www.vulture.com . New York Magazine . Retrieved February 8 , 2018 .   Jump up ^ Nevins , Jake ( February 5 , 2018 ) . `` Justin Timberlake 's Super Bowl performance : a forgettable but flashy medley of hits '' . the Guardian .   Jump up ^ `` As The Pop World Seeks Accountability , Justin Timberlake Seems Lost In The Woods '' .   Jump up ^ `` Justin Timberlake Was a Man in the Weeds at His Super Bowl Halftime Show '' . Time .   Jump up ^ Patten , Dominic ( February 5 , 2018 ) . `` Justin Timberlake 's Botched Super Bowl Halftime Show Return Not Princely -- Review '' .   Jump up ^ Richards , Chris ( February 4 , 2018 ) . `` This is how Justin Timberlake lost the Super Bowl '' . www.washingtonpost.com . Washington Post . Retrieved February 5 , 2018 .   Jump up ^ McDermott , Maeve ( February 5 , 2018 ) . `` Compared with Prince 's , Justin Timberlake 's halftime show was a wimpy joke '' . www. usatoday . USA Today . Retrieved February 6 , 2018 .   Jump up ^ Petrusich , Amanda ( February 4 , 2018 ) . `` Justin Timberlake 's Super Bowl Halftime Show , Reviewed '' . www.newyorker.com . The New Yorker . Retrieved February 6 , 2018 .   Jump up ^ Wood , Mikael . `` Justin Timberlake had nothing to say at the Super Bowl and would n't stop saying it '' . latimes.com .   Jump up ^ `` Review : Justin Timberlake lackluster at Super Bowl halftime performance ( Includes first - hand account ) '' . February 8 , 2018 .   Jump up ^ Patten , Dominic . `` Eagles ' 1st Super Bowl Win Draws 103.4 M Viewers , Smallest Audience In Nine Years -- Update '' . Deadline . Penske Business Media . Retrieved 5 February 2018 .   Jump up ^ Caufield , Keith ( February 5 , 2018 ) . `` Justin Timberlake 's Super Bowl Halftime Show Spurs 534 % Sales Gain '' . Billboard . Retrieved February 5 , 2018 .   Jump up ^ Krzaczek , Katie ( February 5 , 2018 ) . `` Super Bowl Bump : Justin Timberlake Streams Jump 214 Percent on Spotify '' . Billboard . Retrieved February 5 , 2018 .   Jump up ^ `` Janet Jackson 's Spotify Streams Surge After Super Bowl LII '' . February 5 , 2018 .    External links ( edit )    Media related to Super Bowl LII halftime show at Wikimedia Commons              Justin Timberlake       Awards   Discography   Songs   Performances   Videography       Studio albums     Justified   FutureSex / LoveSounds   The 20 / 20 Experience   The 20 / 20 Experience -- 2 of 2   Man of the Woods       Compilation albums     12 '' Masters -- The Essential Mixes   The 20 / 20 Experience -- The Complete Experience       Video albums     Justin Timberlake : Live from London   FutureSex / LoveShow : Live from Madison Square Garden   Justin Timberlake + The Tennessee Kids       Concert tours     The Justified World Tour   Justified and Stripped Tour   FutureSex / LoveShow   Legends of the Summer   The 20 / 20 Experience World Tour   Man of the Woods Tour       Related     Tennman Records   Jessica Biel   NSYNC   Super Bowl XXXVIII halftime show controversy   Super Bowl LII halftime show         Book                   Super Bowl halftime shows     2000s     XXXIV ( 2000 )   XXXV ( 2001 )   XXXVI ( 2002 )   XXXVII ( 2003 )   XXXVIII ( 2004 )   XXXIX ( 2005 )   XL ( 2006 )   XLI ( 2007 )   XLII ( 2008 )   XLIII ( 2009 )       2010s     XLIV ( 2010 )   XLV ( 2011 )   XLVI ( 2012 )   XLVII ( 2013 )   XLVIII ( 2014 )   XLIX ( 2015 )   50 ( 2016 )   LI ( 2017 )   LII ( 2018 )       Other     Counterprogramming        Minnesota portal   National Football League portal   Retrieved from `` https://en.wikipedia.org/w/index.php?title=Super_Bowl_LII_halftime_show&amp;oldid=832806565 '' Categories :   2018 in American music   2018 in American television   2018 in sports in Minnesota   February 2018 events in the United States   Justin Timberlake   Prince ( musician )   Super Bowl halftime shows   Hidden categories :   Pages with citations having redundant parameters   Use American English from January 2018   All Wikipedia articles written in American English   Use mdy dates from February 2018           Talk                                           Contents                   About Wikipedia                                                 Español   Edit links   This page was last edited on 28 March 2018 , at 02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</si>
  <si>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who's doing the halftime show in 2018</t>
  </si>
  <si>
    <t xml:space="preserve"> The Super Bowl LII Halftime Show ( officially known as the Pepsi Super Bowl LII Halftime Show ) took place on February 4 , 2018 at U.S. Bank Stadium in Minneapolis , Minnesota , as part of Super Bowl LII . Justin Timberlake was the featured performer , as confirmed by the National Football League ( NFL ) on October 22 , 2017 . It was televised nationally by NBC . </t>
  </si>
  <si>
    <t xml:space="preserve">Renewable energy in South Africa - wikipedia  Renewable energy in South Africa  Jump to : navigation , search The primary sources of renewable energy in South Africa are ; solar , wind , hydroelectric , and biomass . Pictured here are wind turbines in Darling , Cape Province , South Africa .  Renewable energy in South Africa is energy that is obtained from renewable resources , those which naturally replenish themselves , such as ; sunlight , wind , tides , waves , rain , biomass , and geothermal heat . Renewable energy focuses on four core areas including ; electricity generation , air and water heating / cooling , transportation , and rural energy services . The energy sector in South Africa is an important component of global energy regimes due to the country 's innovation and advances in renewable energy . South Africa 's contribution to greenhouse gas ( GHG ) emissions is ranked as moderate and its per capita emission rate is higher than the global average . Energy demand within the country is expected to rise steadily and double by 2025 .   Of all of the renewable energies in South Africa , solar power holds the most potential . Because of the country 's geographic location , it receives large amounts of radiative energy which is useful in the solar electricity sector . Another renewable energy in South Africa with high potential is wind energy . Due to the high wind velocity on the coast of the country , Cape Town has implemented multiple wind farms which are successful in generating significant amounts of electricity for residents . Renewable energy systems in the long - term are comparable or cost slightly less than non-renewable sources . Biomass is currently the largest renewable energy contributor in South Africa with 9 - 14 % of the total energy mix . Renewable energy systems are costly to implement in the beginning but provide high economic returns in the long - run .   The two main barriers accompanying renewable energy in South Africa are ; the energy innovation system , and the high cost of renewable energy technologies . The Renewable Energy Independent Power Producers Procurement Programme ( REI4P ) suggests that the cost associated with renewable energy will equal the cost of non-renewable energy by 2030 . Renewable energy is becoming more efficient , inexpensive , and widely used . South Africa has an abundance of renewable resources that can effectively supply the country 's energy .     Contents  ( hide )   1 Policies &amp; regulations   1.1 Renewable Energy Feed - In Tariff ( 2009 - 2011 )   1.2 Renewable Energy Independent Power Producers Procurement Programme ( Since 2011 )   1.3 Tax Incentive ( Since 2016 )   1.3. 1 Photovoltaic Solar Energy Generation   1.3. 2 Other Renewable Energy Generation       2 Types of energy   2.1 Solar energy   2.2 Wind energy   2.3 Hydropower   2.4 Biomass   2.5 Geothermal energy     3 Energy providers   4 Future research   5 See also   6 References      Policies &amp; regulations ( edit )   South Africa is currently a member of the International Renewable Energy Agency ( IRENA ) which is an international organization that promotes the use of renewable energy policies . The IRENA aims at providing countries with tools to create policies and the transition of technology necessary for renewable energy . It provides an assessment of resources , finance management , policy and legal framework and the capacity of the energy sector .   Renewable energy feed - in tariff ( 2009 - 2011 ) ( edit )   The National Energy Regulator of South Africa ( NERSA ) implemented the Renewable Energy Feed - In Tariff ( REFIT ) in 2009 . The REFIT works to progressively reduce carbon - based power generation by moving in the direction of renewable energy sources . NERSA employed the REFIT in an attempt to meet the target of producing 10TWh of electricity by 2013 . When first introduced , the feed - in tariffs applied only to wind energy , hydropower , and concentrated solar power ( CSP ) . Six months after the introduction , the tariffs were expanded to include biomass and solar photovoltaics . The organization wants to achieve sustainability through the use of renewable resources while engaging stakeholders , lowering the cost of investment , and making the cost of electricity more affordable for all . The decentralized investment opportunity provides South Africa with the resources to overcome its current energy crisis . REFIT is the first successful greenhouse gas mitigating projects used in South Africa . The REFIT program was superseded by the Renewable Energy Independent Power Producers Procurement Programme in May 2011 .   Renewable energy Independent power Producers Procurement Programme ( since 2011 ) ( edit )   South Africa first introduced the Renewable Energy Independent Power Producers Procurement Programme ( REI4P ) in 2011 . The program includes an initiative to install 17.8 GW of renewable energy in South Africa before 2030 . The goal of the REI4P is to reduce greenhouse gas emissions while minimizing the country 's reliance on non-renewable energy sources such as nuclear and coal . REI4P also works to promote local manufacturing of materials used in the renewable energy sector .   Tax Incentive ( since 2016 ) ( edit )   To incentivize the further rollout of renewable energy generation by the private sector , the South African Revenue Service has of 1 January 2016 amended the Income Tax Act No. 58 of 1962 to include accelerated depreciation for renewable energy assets commissioned by a tax paying entity . This tax incentive is not limited to new renewable generation systems .  Photovoltaic solar energy generation ( edit )  A special provision is made for photovoltaic systems that are smaller or equal to 1 MW ( Megawatt peak ) in section 12 B of the Tax Act allowing the system to be depreciated according to the following schedule :    Year 1 : 100 % depreciation    By depreciating the photovoltaic solar system by 100 % in year one the tax paying entity is granted a tax shield due to saved income tax . This results in a 28 % discount on the photovoltaic solar system . The tax shield applies even if the photovoltaic solar system is installed mid-year . By partially financing the photovoltaic solar system through debt , systems can achieve a repayment time of 1 year . Systems subsequently achieve ongoing electricity savings for each year of operation .  Other renewable energy generation ( edit )  Wind power , concentrated solar power ( CSP ) , biomass , photovoltaic systems exceeding 1 MW , hydropower not exceeding 30 MW as well as biomass systems are also incentivized through an accelerated depreciation with the following schedule :    Year 1 : 50 % depreciation   Year 2 : 30 % depreciation   Year 3 : 20 % depreciation    Types of energy ( edit )  South Africa receives large amounts of solar radiation each year .  Solar energy ( edit )  Main article : Solar power in South Africa  Solar energy is light and heat that is radiated from the Sun . It is then transformed into electricity through photovoltaics ( PV ) or concentrated solar power ( CSP ) . Solar energy in South Africa is primarily based in PV and CSP . The levelized cost of solar electricity is relative to the quality and quantity of solar radiation in South Africa . The same plant can produce up to 20 % more electricity for the same capital investment in South Africa compared to countries in Europe . The furthest area in the left of the country receives the highest levels of solar radiation , ranging from 2100 kWh / m2 to more than 2300 kWh / m2 . Solar power production in South Africa is supposed to reach 8400 MW by the year 2030 . South Africa implemented a solar park in the Northern Cape region which is set to deliver 180,000 MWh of annual solar energy to the country . It is estimated that only 3000 km ^ 2 of land used for solar electricity is required to meet South Africa 's demand .   Solar energy is a low - cost source of energy compared to traditional non-renewable energy resources in South Africa . The introduction of solar power plants has stimulated the economy and created jobs within the country . South Africa 's land cover receives an average of 2,500 hours of sunshine per year . Solar energy systems have a high initial cost ; but typically return the investment within 5 to 8 years . The use of solar energy in South Africa is driving the use of other renewable energy sources including : wind , hydroelectric , and biomass .  Jeffrey 's Bay Wind Farm is located on the Eastern cape and has a production output of 100MW . It is the second largest wind farm in South Africa .  Wind energy ( edit )   Wind power is the use of wind turbines to mechanically power the generation of electric power . Levels of wind will differentiate depending on factors such as terrain , bodies of water and vegetative cover . Wind turbines convert the wind into kinetic energy and mechanical power . The wind turns the 50 metre long blades which are attached to the 80 - metre high hub / shaft that generate the electric energy . Wind turbine farms can range between 10MW to over 100 MW and produce energy when the wind is between 13 -- 90 km / h . Wind turbines farms can be onshore or offshore ; offshore have stronger winds and less of a visual impact . In 2014 the first major wind farm became operational with approximately 10 either operational or in construction today . South Africa 's extensive coastline and geographical terrain including lowlands and high veld escarpment , provide wind energy that can be extracted and generated into off - the - shelf technology . There are currently 19 wind energy developments in South Africa with more than 600 wind turbines . On the international scale , South Africa ranks as having fair to reasonable wind resources . Wind power is a renewable , widely distributed and clean form of energy. The production of wind energy does n't produce greenhouse gases and is an alternative to burning fossil fuels .  Gariep Dam , located in Eastern Cape , is a large - scale hydroelectric site with the primary purposes of power generation , irrigation , domestic and industrial use .  Hydropower ( edit )   Hydropower , or hydroelectric power , is energy that is captured from flowing water and turned into electricity . The most common forms of hydropower use hydroelectric dams to create a reservoir for storing water . When the water is released from the reservoir , it flows through a turbine which generates electricity . South Africa currently has 7 hydroelectric power stations , dispersed across the country , all owned by Eskom . The country 's hydroelectricity potential is limited due to the low annual rainfall rate of 500mm . South Africa experiences seasonal flows and frequent droughts which are obstacles to the success of hydropower within the country . The Eastern Cape province is considered the hydro - potential of the country . Hydroelectric dams in South Africa can be associated with other water uses , such as irrigation and flood control , to increase economic development within the country . The current installed capacity within the country is 668MW . Large - scale ( &gt; 10MW ) hydroelectric generation systems have the potential to contribute up to 5091MW of energy , but can have negative implications on the environment . The large amount of flowing water can damage river ecology , and the facilities take up a significant amount of land space . Small - scale (  Biomass is the largest renewable energy contributor in South Africa , holding 9 - 14 % of the energy mix .  Biomass ( edit )   Biomass is physical biological material that comes from living or recently living organisms . It comes from plants or materials that are derived from plants which are called lignocellulosic biomass . Biomass has the capacity to produce electricity , heat or liquid fuels . Biomass can be used as an energy source by directly using it for heating or cooking fuel or to generate electricity . It can also be used indirectly by using its biological processes and producing ethanol , methanol and fuel that can be used to transportation and cooking processes . Wood is currently the largest producer of biomass fuel today with tree stumps , forest residue , dead trees and wood chips as examples . Animal matter and plant matter can also be converted into forms of biofuel . South Africa currently has several biodiesel production facilities in production . With 42 million hectares of natural woodlands and 1.35 million hectares of plantation ; there is a large potential for biomass production in South Africa . The South African government has an objective called the Working for Energy Programme which is aimed at processing biomass energy for various applications .  Geothermal energy is produced by extracting heat from the Earth 's crust and converting it to electricity .  Geothermal energy ( edit )   Geothermal energy is generated from heat that is stored in the Earth . The geothermal energy is that is generated from the Earth 's crust is the original formation of the planet and from radioactive decay of material . Geothermal heat pumps tap into the ground to use this resource as a source of energy . The production of geothermal energy is a clean and sustainable form of energy . There are currently no geothermal energy practices in South Africa but there are projects underway to implement them . Geothermal measurements have been made throughout South Africa and it demonstrated that there is high geothermal potential and that the temperatures are ranking from medium to high on the global scale .   Energy providers ( edit )   The South African energy sector is dominated by the company Eskom . Eskom currently produces 95 % of South Africa 's electricity . Due to their large presence in the non-renewable energy sector , there are independent power producers ( IPP ) who are capable of providing renewable energy sources . In order to reach the 10,000 GWh target of renewable energy , the government has joined agencies and implemented policies to promote independent power producers in implementing renewable energy . BioTherm Energy is the leading IPP because of their three wind and solar projects that are involved in REI4P . Mulilo is a South African company who provides clean energy such as wind and solar to the national grid . Mulilo is a member of the South African REI4P and has won 420MW worth of projects . They currently have 30MW of solar PV operational and have another 185MW scheduled . By the end of 2017 Mulilo will have 240MW for wind power contributions . juwi South Africa is a renewable energy company who is also one of the world 's leading renewable energy companies . juwi South Africa 's main focus is on the production of solar energy on a utility and commercial scale , as well as onshore wind energy . juwi South Africa has built five utility - scale solar plants under the REI4P and they are also a member of the IPPs .   Future research ( edit )   South Africa is one of the most popular countries for investment in renewable energy . In 2014 , the country received US $5.5 billion towards renewable energy projects . Renewable energy in South Africa has the potential to increase access to electricity in rural areas because of its suitability for off - grid and small - scale solutions . The barriers of renewable energy in the country include lack of political stability and capacity , marginalization , corruption , poverty , and environmental degradation . The government introduces both short - to - medium and long - term targets to help set the pace of renewable energy production .   A financial barrier exists in the renewable energy sector in South Africa . Investors choose to invest in large - scale non-renewable resource companies , such as Eskom , rather than Independent Power Producers such as BioTherm , Mulilo , and juwi South Africa . The high initial capital required to employ renewable energy is a large constraint the sector experiences .   See also ( edit )    Renewable energy portal   South Africa portal     South Africa   Energy in South Africa   Solar Power in South Africa   Wind Power   Hydroelectricity   Biomass energy   Geothermal energy   Renewable energy by country    References ( edit )    ^ Jump up to : Ellabban , Omar ; Abu - Rub , Haitham ; Blaabjerg , Frede ( 2014 - 11 - 01 ) . `` Renewable energy resources : Current status , future prospects and their enabling technology '' . Renewable and Sustainable Energy Reviews . 39 : 748 -- 764 . doi : 10.1016 / j. rser. 2014.07. 113 .   Jump up ^ `` Renewables 2010 Global Status Report '' ( PDF ) . www.ren21.net . September 24 , 2010 . Retrieved March 9 , 2017 .   ^ Jump up to : Pegels , Anna ( 2010 ) . `` Renewable Energy in South Africa : Potentials , Barriers , and options for support '' . Energy Policy . 38 : 4945 -- 4954 -- via Elsevier Science Direct .   ^ Jump up to : Winkler , Harald ( 2005 ) . `` Renewable energy policy in South Africa : policy options for renewable electricity '' . Energy Policy . 33 : 27 -- 38 -- via Elsevier Science Direct .   ^ Jump up to : Banks , Douglas ; Schäffler , Jason ( 2006 ) . `` The potential contribution of renewable energy in South Africa '' . Sustainable Energy &amp; Climate Change Project : 1 -- 116 -- via Elsevier Science Direct .   ^ Jump up to : Walwyn , David ; Brent , Alan ( 2015 ) . `` Renewable energy gathers steam in South Africa '' . Renewable and Sustainable Energy Reviews . 41 : 390 -- 401 -- via Elsevier Science Direct .   ^ Jump up to : `` IRENA REsource '' . resourceirena.irena.org . Retrieved 2017 - 03 - 30 .   ^ Jump up to : Odeku , Kola ( 2011 ) . `` Implementing a renewable energy feed - in tariff in South Africa : the beginning of a new dawn '' . Sustainable Development Law &amp; Policy . 2 : 45 -- 49 .   ^ Jump up to : Msimanga , B ( 2014 ) . `` South Africa 's non-policy driven options for renewable energy development '' . Renewable Energy . 69 : 420 -- 427 -- via Elsevier Science Direct .   Jump up ^ `` South Africa Introduces Aggressive Feed - in Tariffs '' . www.renewableenergyworld.com . Retrieved 2017 - 03 - 30 .   Jump up ^ `` Powering up : A look at section 12B allowance for renewable energy machinery '' . South African Institute of Tax Professionals . Retrieved 31 August 2017 .   Jump up ^ `` Taxation in South Africa 2015 / 2016 '' ( PDF ) . South African Revenue Service . p. 40 .   Jump up ^ `` 2017 Market Intelligence Report '' ( PDF ) . GreenCape . p. 42 - 43 .   Jump up ^ `` Tax Incentive Through Accelerated Depreciation On Solar PV -- Section 12B '' . econavitas .   Jump up ^ `` Updated SARS Tax Incentive for Solar Power ! '' . Grid Energy Solutions .   Jump up ^ `` WebCite query result '' . www.webcitation.org . Retrieved 2017 - 03 - 21 .   Jump up ^ `` Solar Energy '' . SEIA . Retrieved 2017 - 03 - 21 .   ^ Jump up to : `` Solar energy in South Africa REVE '' . Retrieved 2017 - 03 - 29 .   Jump up ^ `` Massive South African solar plant comes online '' . Retrieved 2017 - 03 - 29 .   ^ Jump up to : `` Solar energy in South Africa -- Challenges and opportunities '' . South Africa . Retrieved 2017 - 03 - 29 .   ^ Jump up to : `` Wind Energy Basics '' . windeis.anl.gov . Retrieved 2017 - 03 - 29 .   Jump up ^ Farm , Jeffreys Bay Wind . `` How big are the wind turbines ? Jeffreys Bay Wind Farm South Africa '' . jeffreysbaywindfarm.co.za . Retrieved 2017 - 03 - 29 .   Jump up ^ Farm , Jeffreys Bay Wind . `` Wind Energy Facts Jeffreys Bay Wind Farm South Africa '' . jeffreysbaywindfarm.co.za . Retrieved 2017 - 03 - 30 .   Jump up ^ Gipe , Paul ( 1993 - 01 - 01 ) . `` The Wind Industry 's Experience with Aesthetic Criticism '' . Leonardo. 26 ( 3 ) : 243 -- 248 . doi : 10.2307 / 1575818 .   Jump up ^ `` Stats and Facts SAWEA '' . SAWEA . Retrieved 2017 - 03 - 29 .   Jump up ^ Fthenakis , Vasilis ; Kim , Hyung Chul ( 2009 - 08 - 01 ) . `` Land use and electricity generation : A life - cycle analysis '' . Renewable and Sustainable Energy Reviews . 13 ( 6 -- 7 ) : 1465 -- 1474 . doi : 10.1016 / j. rser. 2008.09. 017 .   ^ Jump up to : `` Hydropower '' . www.renewableenergyworld.com . Retrieved 2017 - 03 - 29 .   Jump up ^ `` Hydroelectricity in South Africa '' ( PDF ) . Eskom . January 2015 .   ^ Jump up to : `` Hydropower in South Africa '' .   Jump up ^ `` Renewable Energy Department : Energy REPUBLIC OF SOUTH AFRICA '' . www.energy.gov.za . Retrieved 2017 - 03 - 30 .   Jump up ^ GB , Forestry Commission , . `` Biomass Energy resources '' . biomassenergycentre.org.uk . Retrieved 2017 - 03 - 30 .   Jump up ^ `` Biomass Power '' . www.eskom.co.za . Retrieved 2017 - 03 - 30 .   Jump up ^ `` DEVELOPING A WILLOW BIOMASS CROP ENTERPRISE FOR BIOENERGY AND BIOPRODUCTS IN THE UNITED STATES ( PDF Download Available ) '' . ResearchGate . Retrieved 2017 - 03 - 30 .   Jump up ^ Mcqueen , Duncan ( August 2013 ) . `` South African Biomass Energy '' ( PDF ) . Research Gate .   Jump up ^ `` Biomass Energy Department of Environmental Affairs '' . www.environment.gov.za . Retrieved 2017 - 03 - 30 .   Jump up ^ Dye , S.T. ( 2012 - 09 - 01 ) . `` Geoneutrinos and the radioactive power of the Earth '' . Reviews of Geophysics. 50 ( 3 ) : RG3007 . ISSN 1944 - 9208 . doi : 10.1029 / 2012RG000400 .   ^ Jump up to : `` Geothermal Energy '' . www.renewableenergyworld.com . Retrieved 2017 - 03 - 29 .   ^ Jump up to : Tshibalo , A.E. ( April 25 , 2015 ) . `` Evaluation of the Geothermal Energy Potential for South Africa '' ( PDF ) . Pangea Stanford . Archived ( PDF ) from the original on 2017 - 03 - 31 . Retrieved 2017 - 03 - 31 .   Jump up ^ `` Renewable Energy Market Transformation '' ( PDF ) . World Bank . July 2005 . Retrieved March 29 , 2017 .   Jump up ^ `` BioTherm Energy '' . www.biothermenergy.com . Retrieved 2017 - 03 - 30 .   ^ Jump up to : `` Aboutus - Mulilo '' . Mulilo . Retrieved 2017 - 03 - 30 .   Jump up ^ `` juwi South Africa - Wind and Solar Energy - juwi.co.za '' . www.juwi.co.za . Retrieved 2017 - 03 - 30 .   ^ Jump up to : Murombo , Tumai ( 2016 ) . `` Legal and policy barriers to renewable and sustainable energy sources in South Africa '' . Journal of World Energy Law and Business . 9 : 142 -- 165 -- via Oxford .   Jump up ^ Krupa , Joel ( 2011 ) . `` A new energy future for South Africa : The political ecology of South African renewable energy '' . Energy Policy . 39 : 6254 -- 6261 -- via Elsevier Science Direct .              Renewable energy by country     Africa     Ethiopia   Kenya   Morocco   Seychelles   South Africa       Asia     Afghanistan   Armenia   Bangladesh   Bhutan   China   India   Kazakhstan   Nepal   Pakistan   Palestine   Philippines   Taiwan   Thailand       Europe     European Union ( Czech Republic , Denmark , Finland , France , Germany , Greece , Hungary , Ireland , Italy , Lithuania , Luxembourg , Malta , Netherlands , Poland , Portugal , Spain , Sweden , United Kingdom )   Albania   Iceland   Norway   Russia   Turkey       North America     Canada   Costa Rica   Honduras   Mexico   United States       Oceania     Australia   New Zealand   Tuvalu       South America     Argentina   Brazil   Chile   Colombia         Category   Portals :   Energy   Renewable energy   Sustainable development                 Power in South Africa     Sectors     Energy in South Africa   Nuclear power   Renewable energy   Solar power         Companies and organisations      Current     Eskom   South African Nuclear Energy Corporation   National Energy Regulator of South Africa       Defunct     Atomic Energy Corporation          Active power stations      Coal     Arnot Power Station   Bloemfontein Power Station   Camden Power Station   Duvha Power Station   Grootvlei Power Station   Hendrina Power Station   Kelvin Power Station   Kendal Power Station   Komati Power Station   Kriel Power Station   Kusile Power Station   Lethabo Power Station   Majuba Power Station   Matimba Power Station   Matla Power Station   Medupi Power Station   Pretoria West Power Station   Rooiwal Power Station   Tutuka Power Station       Hydro - electric     Drakensberg Pumped Storage Scheme   Gariep Dam   Ingula Pumped Storage Scheme   Kouga Dam Power Station   Ncora Dam   Palmiet Pumped Storage Scheme   Steenbras Dam   Vanderkloof Dam       Nuclear     Koeberg nuclear power station       Oil and gas     Acacia Power Station   Ankerlig Power Station   Gourikwa Power Station   Newcastle Cogeneration Plant   Port Rex Power Station       Solar     Bokpoort CSP   De Aar Solar Power   Droogfontein Solar Power   Jasper Solar Energy Project   Kalkbult   Redstone Solar Thermal Power   KaXu Solar One   Khi Solar One   Lesedi Solar Park   Letsatsi Solar Park   SlimSun Swartland Solar Park   Touwsrivier CPV Solar Project       Wind     Coega Wind Farm   Darling Wind Farm   Jeffreys Bay Wind Farm   Klipheuwel Wind Farm   Sere Wind Farm   Dassiesklip Wind Energy Facility   Van Stadens Wind Farm   Hopefield Wind Farm   Gouda Wind Facility       Other     Johannesburg Landfill Gas to Electricity          Decommissioned power stations      Coal     Athlone Power Station   Colenso Power Station   Driehoek Power Station   Ingagane Power Station   Kroonstad Power Station   Mount Road Power Station   Orlando Power Station   Swartkops Power Station          Other     Department of Energy ( South Africa )   Coal in South Africa   Renewable energy in Africa         Category   Commons      Retrieved from `` https://en.wikipedia.org/w/index.php?title=Renewable_energy_in_South_Africa&amp;oldid=799917297 '' Categories :   Renewable energy in South Africa   Hidden categories :   Use mdy dates from March 2017           Talk                                           Contents                   About Wikipedia                                           Add links   This page was last edited on 10 September 2017 , at 16 : 08 .         About Wikipedia                  </t>
  </si>
  <si>
    <t xml:space="preserve">reasons why south africa should include renewable energy in its energy mix</t>
  </si>
  <si>
    <t xml:space="preserve"> The two main barriers accompanying renewable energy in South Africa are ; the energy innovation system , and the high cost of renewable energy technologies . The Renewable Energy Independent Power Producers Procurement Programme ( REI4P ) suggests that the cost associated with renewable energy will equal the cost of non-renewable energy by 2030 . Renewable energy is becoming more efficient , inexpensive , and widely used . South Africa has an abundance of renewable resources that can effectively supply the country 's energy . </t>
  </si>
  <si>
    <t xml:space="preserve">Lok Sabha - Wikipedia  Lok Sabha  For upper house , see Rajya Sabha . For current list of Lok Sabha members , see List of members of the 16th Lok Sabha .        This article may require cleanup to meet Wikipedia 's quality standards . The specific problem is : this article is filled with sections with misleading titles that contain irrelevant information . Please help improve this article if you can . ( May 2014 ) ( Learn how and when to remove this template message )     Coordinates : 28 ° 37 ′ 3 '' N 77 ° 12 ′ 30 '' E ﻿ / ﻿ 28.61750 ° N 77.20833 ° E ﻿ / 28.61750 ; 77.20833     Lok Sabha House of the People     16th Lok Sabha     Emblem of India     Type     Type   Lower house of the Parliament of India     Term limits   5 years     Leadership     Speaker   Sumitra Mahajan , BJP Since 6 June 2014     Deputy Speaker   M. Thambidurai , AIADMK Since 13 August 2014     Leader of the House   Narendra Modi , BJP Since 26 May 2014     Leader of the Opposition   Vacant , as none of the opposition parties has more than 10 % of seats . Since 26 May 2014     Structure     Seats   545 ( 543 elected + 2 Nominated from the Anglo - Indian Community by the President )         Political groups    Government coalition ( 313 ) National Democratic Alliance ( 313 )    BJP ( 271 )   SS ( 18 )   LJP ( 6 )   SAD ( 4 )   RLSP ( 3 )   AD ( 2 )   JD ( U ) ( 2 )   AINRC ( 1 )   NDPP ( 1 )   PMK ( 1 )   SDF ( 1 )   Speaker , BJP ( 1 )   Nominated , BJP ( 2 )    Opposition Parties ( 220 ) United Progressive Alliance ( 53 )    INC ( 48 )   IUML ( 2 )   JD ( S ) ( 1 )   RLD ( 1 )   RSP ( 1 )    Janata Parivar Parties ( 5 )    RJD ( 3 )   INLD ( 2 )    Unaligned Parties ( 159 )    AIADMK ( 37 )   AITC ( 34 )   BJD ( 19 )   TDP ( 16 )   TRS ( 11 )   CPI ( M ) ( 9 )   NCP ( 7 )   SP ( 7 )   AAP ( 4 )   YSRCP ( 4 )   AIUDF ( 3 )   JMM ( 2 )   AIMIM ( 1 )   CPI ( 1 )   JKNC ( 1 )   JKPDP ( 1 )   SWP ( 1 )   JAP ( L ) ( 1 )    Others ( 3 )    Independents ( 3 )    Vacant ( 12 )    Vacant ( 12 )       Elections     Voting system   First past the post     Last election   7 April -- 12 May 2014     Next election   April -- May 2019     Motto     धर्मचक्रपरिवर्तनाय     Meeting place         Lok Sabha Chambers , Sansad Bhavan , Sansad Marg , New Delhi , India     Website     loksabha.gov.in     The Lok Sabha ( House of the People ) is the lower house of India 's bicameral Parliament , with the upper house being the Rajya Sabha . Members of the Lok Sabha are elected by adult universal suffrage and a first - past - the - post system to represent their respective constituencies , and they hold their seats for five years or until the body is dissolved by the President on the advice of the council of ministers . The house meets in the Lok Sabha Chambers of the Sansad Bhavan in New Delhi .   The maximum strength of the House allotted by the Constitution of India is 552 . Currently the house has 545 seats which is made up by election of up to 543 elected members and at a maximum , 2 nominated members of the Anglo - Indian Community by the President of India . A total of 131 seats ( 24.03 % ) are reserved for representatives of Scheduled Castes ( 84 ) and Scheduled Tribes ( 47 ) . The quorum for the House is 10 % of the total membership . The Lok Sabha , unless sooner dissolved , continues to operate for five years from the date appointed for its first meeting . However , while a proclamation of emergency is in operation , this period may be extended by Parliament by law .   An exercise to redraw Lok Sabha constituencies ' boundaries is carried out by the Boundary Delimitation Commission of India every decade based on the Indian census , last of which was conducted in 2001 . This exercise earlier also included redistribution of seats among states based on demographic changes but that provision of the mandate of the commission was suspended in 1976 following a constitutional amendment to incentivise the family planning programme which was being implemented . The 16th Lok Sabha was elected in May 2014 and is the latest to date .   The Lok Sabha has its own television channel , Lok Sabha TV , headquartered within the premises of Parliament .   Contents    1 History   2 Qualifications   2.1 System of elections in Lok Sabha     3 Powers   4 Procedure   4.1 Procedure in the House   4.2 Sessions and Time of Sittings   4.3 Question Hour   4.4 Zero Hour   4.5 Business after Question Hour   4.6 Main Business   4.6. 1 Legislative Business   4.6. 2 Financial Business   4.6. 3 Motions and Resolutions     4.7 Parliamentary Committees   4.8 Half - an - Hour Discussion   4.9 Discussion on Matters of Urgent Public Importance   4.10 Debate in the House   4.10. 1 Division     4.11 Automatic Vote Recording System   4.12 Publication of Debates     5 Officers of Lok Sabha   6 Composition by states and territories   7 Lok Sabha general elections   8 Number of members by party in Lok Sabha   9 See also   10 References   11 External links    History ( edit )       This section needs additional citations for verification . Please help improve this article by adding citations to reliable sources . Unsourced material may be challenged and removed . ( June 2018 ) ( Learn how and when to remove this template message )     A major portion of the Indian subcontinent was under British rule from 1858 to 1947 . During this period , the office of the Secretary of State for India ( along with the Council of India ) was the authority through whom British Parliament exercised its rule in the Indian sub-continent , and the office of Viceroy of India was created , along with an Executive Council in India , consisting of high officials of the British government . The Indian Councils Act 1861 provided for a Legislative Council consisting of the members of the Executive Council and non-official members . The Indian Councils Act 1892 established legislatures in each of the provinces of British India and increased the powers of the Legislative Council . Although these Acts increased the representation of Indians in the government , their power still remained limited , and the electorate very small . The Indian Councils Act 1909 and the Government of India Act 1919 further expanded the participation of Indians in the administration . The Government of India Act 1935 introduced provincial autonomy and proposed a federal structure in India . The Indian Independence Act 1947 , passed by the British parliament on 18 July 1947 , divided British India ( which did not include the Princely States ) into two new independent countries , India and Pakistan , which were to be dominions under the Crown until they had each enacted a new constitution . The Constituent Assembly was divided into two for the separate nations , with each new Assembly having sovereign powers transferred to it for the respective dominion .   The Constitution of India was adopted on 26 November 1949 and came into effect on 26 January 1950 , proclaiming India to be a sovereign , democratic republic . This contained the founding principles of the law of the land which would govern India in its new form , which now included all the princely states which had not acceded to Pakistan .   According to Article 79 ( Part V - The Union . ) of the Constitution of India , the Parliament of India consists of the President of India and the two Houses of Parliament known as the Council of States ( Rajya Sabha ) and the House of the People ( Lok Sabha ) .   The Lok Sabha ( House of the Leaders ) was duly constituted for the first time on 17 April 1952 after the first General Elections held from 25 October 1951 to 21 February 1952 .   Session of Lok Sabha commenced on Date   Session No .   Date     First   13 May 1952     Second   April 1957     Third   April 1962     Fourth   March 1967     Fifth   March 1971     Sixth   March 1977     Seventh   January 1980     Eighth   December 1984     Ninth   December 1989     Tenth   June 1991     Eleventh   May 1996     Twelfth   March 1998     Thirteenth   October 1999     Fourteenth   May 2004     Fifteenth   May 2009     Sixteenth ( Current )   May 2014     Qualifications ( edit )  See also : Election Commission of India  Article 84 ( Part V. -- The Union ) of Indian Constitution sets qualifications for being a member of Lok Sabha , which are as follows :    He / She should be a citizen of India , and must subscribe before the Election Commission of India an oath or affirmation according to the form set out for the purpose in the Third Schedule of Indian Constitution .   He / She should not be less than 25 years of age .   He / She possesses such other qualifications as may be prescribed in that behalf by or under any law made by Parliament .   He / She should not be proclaimed criminal i.e. they should not be a convict , a confirmed debtor or otherwise disqualified by law ; and   He / She should have his / her name in the electoral rolls in any part of the country .    However , a member can be disqualified of being a member of Parliament :    If he / she holds office of profit ;   If he / she is of unsound mind and stands so declared by a competent court   If he / she is an undischarged insolvent ;   If he / she is not a citizen of India , or has voluntarily acquired the citizenship of a foreign State , or is under any acknowledgment of allegiance or adherence to a foreign State ;   If he / she is violating party discipline ( as per Tenth schedule of the constitution ) ; disqualified under Representation of People Act .    A seat in the Lok Sabha will become vacant in the following circumstances ( during normal functioning of the House ) :    When the holder of the seat , by writing to the speaker , resigns .   When the holder of the seat is absent from 60 consecutive days of proceedings of the House , without prior permission of the Speaker .   When the holder of the seat is subject to any disqualifications mentioned in the Constitution or any law enacted by Parliament .   A seat may also be vacated when the holder stands disqualified under the ' Anti-Defection Law ' .    Furthermore , as per article 101 ( Part V. -- The Union ) of the Indian Constitution , a person can not be :    A member of both Houses of Parliament and provision shall be made by Parliament by law for the vacation by a person who is chosen a member of both Houses of his seat in one House or the other .   A member both of Parliament and of a House of the Legislature of a State .    System of elections in Lok Sabha ( edit )   Members of the Lok Sabha are directly elected by the people of India , on the basis of Universal Suffrage . For the purpose of holding direct elections to Lok Sabha ; each state is divided into territorial constituencies . In this respect , the constitution of India makes the following two provisions :    Each state is allotted a number of seats in the Lok Sabha in such a manner that the ratio between that number and its population is same for all the states of India . This provision does not apply for states having a population of less than 6 million ( 60 lakhs ) .   Each state is divided into territorial constituencies in such a manner that the ratio between the population of each constituency and the number of seats allotted to it remain the same throughout the state .    Note :    The expression population while distributing seats among states refers to the population ascertained at the census of 1971 .   The expression population while distributing constituencies within a state refers to the population ascertained at the census of 2001 .    Powers ( edit )   The Lok Sabha has certain powers that make it more powerful than the Rajya Sabha .    Motions of no confidence against the government can be introduced and passed in the Lok Sabha . If passed by a majority vote , the Prime Minister and the Council of Ministers resign collectively . The Rajya Sabha has no power over such a motion , and hence has no real power over the executive . This is because the Constitution of India has only made the Union Council of ministers responsible to the Lok Sabha , not to the Rajya Sabha .   Money bills can only be introduced in the Lok Sabha , and upon being passed , are sent to the Rajya Sabha , where it can be deliberated on for up to 14 days . If not rejected by the Rajya Sabha , or 14 days lapse from the introduction of the bill in the Rajya Sabha without any action by the House , or recommendations made by the Rajya Sabha are not accepted by the Lok Sabha , the bill is considered passed . The budget is presented in the Lok Sabha by the Finance Minister in the name of the President of India .   In matters pertaining to non-financial ( ordinary ) bills , after the bill has been passed by the House where it was originally tabled ( Lok Sabha or Rajya Sabha ) , it is sent to the other house , where it may be kept for a maximum period of 6 months . If the other House rejects the bill or a period of 6 months elapses without any action by that House , or the House that originally tabled the bill does not accept the recommendations made by the members of the other house , it results in a deadlock . This is resolved by a joint session of both Houses , presided over by the speaker of the Lok Sabha and decided by a simple majority . Though the Constitution has placed both houses on the same footing in this regard , in reality it is the Lok Sabha 's opinions that mostly prevails -- due to its bigger numerical strength .   Equal Powers with the Rajya Sabha in initiating and passing any Bill for Constitutional Amendment ( by a majority of the total membership of the House and at least two - thirds majority of the members present and voting ) .   Equal Powers with the Rajya Sabha in initiating and passing a motion for the impeachment of the President ( by two - thirds of the membership of the House ) .   Equal Powers with the Rajya Sabha in impeachment process ( initiating and passing a motion for the removal ) of the judges of the Supreme Court and the state High Courts ( by a majority of the membership of the House and at least two - thirds majority of the members present and voting ) , who then can be removed by the President of India .   Equal Powers with the Rajya Sabha in initiating and passing a resolution declaring war or national emergency ( by two - thirds majority ) or constitutional emergency ( by simple majority ) in a state .   If the Lok Sabha is dissolved before or after the declaration of a National Emergency , the Rajya Sabha becomes the sole Parliament . It can not be dissolved . This is a limitation on the Lok Sabha . But there is a possibility that president can exceed the term to not more than 1 year under the proclamation of emergency and the same would be lowered down to six - month if the said proclamation ceases to operate .    In conclusion , it is clear that the Lok Sabha is more powerful than the Rajya Sabha in almost all matters . Even in those matters in which the Constitution has placed both Houses on an equal footing , the Lok Sabha has more influence due to its greater numerical strength . This is typical of any Parliamentary democracy , with the lower House always being more powerful than the upper .   Procedure ( edit )   Procedure in the House ( edit )   The Rules of Procedure and Conduct of Business in Lok Sabha and Directions issued by the Speaker from time to time there under regulate the procedure in Lok Sabha . The items of business , notice of which is received from the Ministers / Private Members and admitted by the Speaker , are included in the daily List of Business which is printed and circulated to members in advance . For various items of business to be taken up in the House the time is allotted by the House on the recommendations of the Business Advisory Committee . The Speaker presides over the sessions of the House and regulates procedure .   Sessions and time of sittings ( edit )   Three sessions of Lok Sabha take place in a year :    Budget session : February to May .   Monsoon session : July to September .   Winter session : November to mid December .    When in session , Lok Sabha holds its sittings usually from 11 A.M. to 1 P.M. and from 2 P.M. to 6 P.M. On some days the sittings are continuously held without observing lunch break and are also extended beyond 6 P.M. depending upon the business before the House . Lok Sabha does not ordinarily sit on Saturdays and Sundays and other closed holidays .   Question Hour ( edit )   The first hour of every sitting is called Question Hour . Asking questions in Parliament is the free and unfettered right of members , and during Question Hour they may ask questions of ministers on different aspects of administration and government policy in the national and international spheres . Every minister whose turn it is to answer to questions has to stand up and answer for his department 's acts of omission or commission .   Questions are of three types -- Starred , Unstarred and Short Notice . A Starred Question is one to which a member desires an oral answer in the House and which is distinguished by an asterisk mark . An unstarred Question is one which is not called for oral answer in the house and on which no supplementary questions can consequently be asked . An answer to such a question is given in writing . Minimum period of notice for starred / unstarred question is 10 clear days . If the questions given notice of are admitted by the Speaker , they are listed and printed for answer on the dates allotted to the Ministries to which the subject matter of the question pertains .   The normal period of notice does not apply to short notice questions which relate to matters of urgent public importance . However , a Short Notice Question may be answered only on short notice if so permitted by the Speaker and the Minister concerned is prepared to answer it at shorter notice . A short notice question is taken up for answer immediately after the Question Hour , popularly known as Zero Hour .   Zero Hour ( edit )   The time immediately following the Question Hour has come to be known as `` Zero Hour '' . It starts at around 12 noon ( hence the name ) and members can , with prior notice to the Speaker , raise issues of importance during this time . Typically , discussions on important Bills , the Budget , and other issues of national importance take place from 2 pm onwards .   Business after question Hour ( edit )   After the Question Hour , the House takes up miscellaneous items of work before proceeding to the main business of the day . These may consist of one or more of the following : Adjournment Motions , Questions involving breaches of Privileges , Papers to be laid on the Table , Communication of any messages from Rajya Sabha , Intimations regarding President 's assent to Bills , Calling Attention Notices , Matters under Rule 377 , Presentation of Reports of Parliamentary Committee , Presentation of Petitions , miscellaneous statements by Ministers , Motions regarding elections to Committees , Bills to be withdrawn or introduced .   Main business ( edit )   The main business of the day may be consideration of a Bill or financial business or consideration of a resolution or a motion .  Legislative business ( edit )  Legislative proposals in the form of a Bill can be brought forward either by a Minister or by a private member . In the former case it is known as Government Bill and in the latter case it is known as a Private Members ' Bill . Every Bill passes through three stages -- called three readings -- before it is passed . To become law it must be passed by both the Houses of Parliament , Lok Sabha and Rajya Sabha , and then assented to by the president .  Financial business ( edit )  The presentation , discussion of , and voting on the annual General and Railways budgets -- followed by the passing of the Appropriations Bill and the Finance Bill -- is a long , drawn - out process that takes up a major part of the time of the House during its Budget Session every year .  Motions and resolutions ( edit )  Among other kinds of business that come up before the House are resolutions and motions . Resolutions and motions may be brought forward by Government or by private members . Government may move a resolution or a motion for obtaining the sanction to a scheme or opinion of the House on an important matter of policy or on a grave situation . Similarly , a private member may move a resolution or motion in order to draw the attention of the House and of the Government to a particular problem . The last two and half hours of sitting on every Friday are generally allotted for transaction of private members ' business . While private members ' bills are taken up on one Friday , private members ' resolutions are taken up on the succeeding Friday , and so on .   Parliamentary committees ( edit )   Most of the business of drafting a bill or amendments are initially discussed and debated in the parliamentary committees . Since the time for legislation is limited , work of all departments of the government and any special focus tasks is delegated to the committees , wherein the committees shall prepare the initial draft of the bill / amendment for the consideration by both the houses . They consist of members from both the houses .   There are primarily two kinds of parliamentary committees based on their nature --    Parliament Standing Committees ( PSC ) -- Permanent in nature , reconstituted time to time with every new election .   Department based   Others     Ad hoc Committees -- Created for specific purpose and ceases to exist when that purpose is achieved .    Half - an - Hour discussion ( edit )   A Half - an - Hour Discussion can be raised on a matter of sufficient public importance which has been the subject of a recent question in Lok Sabha irrespective of the fact whether the question was answered orally or the answer was laid on the Table of the House and the answer which needs elucidation on a matter of fact . Normally not more than half an hour is allowed for such a discussion . Usually , half - an - hour discussion is listed on Mondays , Wednesdays and Fridays only . In one session , a member is allowed to raise not more than two half - an - hour discussions . During the discussion , the member , who has given notice , makes a short statement and not more than four members , who have intimated earlier and have secured one of the four places in the ballot , are permitted to ask a question each for further elucidating any matter of fact . Thereafter , the Minister concerned replies . There is no formal motion before the House nor voting .   Discussion on matters of urgent public importance ( edit )   Members may raise discussions on matters of urgent public importance with the permission of the Speaker . Such discussions may take place on two days in a week . No formal motion is moved in the House nor is there any voting on such a discussion .   Debate in the House ( edit )   After the member who initiates discussion on an item of business has spoken , other members can speak on that item of business in such order as the Speaker may call upon them . Only one member can speak at a time and all speeches are directed to the Chair . A matter requiring the decision of the House is decided by means of a question put by the Speaker on a motion made by a member .  Division ( edit )  A division is one of the forms in which the decision of the House is ascertained . Normally , when a motion is put to the House members for and against it indicate their opinion by saying `` Aye '' or `` No '' from their seats . The Chair goes by the voices and declares that the motion is either accepted or rejected by the House . If a member challenges the decision , the Chair orders that the lobbies be cleared . Then the division bell is rung and an entire network of bells installed in the various parts and rooms in Parliament House and Parliament House Annexe rings continuously for three and a half minutes . Members and Ministers rush to the Chamber from all sides . After the bell stops , all the doors to the Chamber are closed and nobody can enter or leave the Chamber till the division is over . Then the Chair puts the question for second time and declares whether in its opinion the `` Ayes '' or the `` Noes '' , have it . If the opinion so declared is again challenged , the Chair asks the votes to be recorded by operating the Automatic Vote Recording Equipment .   Automatic vote Recording system ( edit )   With the announcement of the Speaker for recording the votes , the Secretary - General of the Lok Sabha presses the button of a key board . Then a gong sounds , serving as a signal to members for casting their votes . To vote , each member present in the Chamber has to flip a switch and then operate one of the three push buttons fixed in their seat . The push switch must be kept pressed simultaneously until the gong sounds for the second time after 10 seconds . There are two indicator boards installed in the wall on either side of the Speaker 's chair in the Chamber . Each vote cast by a member is flashed here . Immediately after the votes are cast , they are totalled mechanically and the details of the results are flashed on the Result Indicator Boards installed in the railings of the Speaker 's and Diplomatic Galleries .   Divisions are normally held with the aid of the Automatic Vote Recording Equipment . Where so directed by the Speaker in terms of relevant provision in the Rules of Procedure etc. in Lok Sabha , divisions may be held either by distribution of ' Aye ' / ' No ' and ' Abstention ' slips to members in the House or by the members recording their votes by going into the lobbies . There is an Indicator Board in the machine room showing the name of each member . The result of Division and vote cast by each member with the aid of Automatic Vote Recording Equipment appear also on this Board and immediately a photograph of the Indicator Board is taken . Later the Photograph is enlarged and the names of members who voted ' Ayes ' and for ' Noes ' are determined with the help of the photograph and incorporated in Lok Sabha Debates .   Publication of Debates ( edit )   Three versions of Lok Sabha Debates are prepared : the Hindi version , the English version and the Original version . Only the Hindi and English versions are printed . The Original version , in cyclostyled form , is kept in the Parliament Library for record and reference . The Hindi version contains proceedings ( all Questions asked and Answers given thereto and speeches made ) in Hindi , and verbatim Hindi translation of proceedings in English or in regional languages . The English version contains proceedings in English and the English translation of the proceedings which take place in Hindi or in any regional language . The Original version , however , contains proceedings in Hindi or in English as they actually took place in the House and also the English / Hindi translation of speeches made in regional languages .   If conflicting legislation is enacted by the two Houses , a joint sitting is held to resolve the differences . In such a session , the members of the Lok Sabha would generally prevail , since the Lok Sabha includes more than twice as many members as the Rajya Sabha .   Officers of Lok Sabha ( edit )   Speaker and Deputy Speaker   As per Article 93 of Indian Constitution , the Lok Sabha has a Speaker and a Deputy Speaker . In the Lok Sabha , both presiding officers -- the Speaker and the Deputy Speaker - are elected from among its members by a simple majority of members present and voting in the House . No specific qualifications are prescribed for being elected Speaker ; the Constitution only requires that Speaker should be a member of the House . But an understanding of the Constitution and the laws of the country and the rules of procedure and conventions of Parliament is considered a major asset for the holder of the office of the Speaker . Vacation and resignation of , and removal from , the offices of Speaker and Deputy Speaker are mentioned under Article 94 of the Constitution of India . As per Article 94 of Indian Constitution , a Speaker or a Deputy Speaker should vacate his / her office , a ) if he / she ceases to be a member of the House of the People , b ) he / she resigns , or c ) is removed from office by a resolution of the House passed by a majority .   The Speaker of Lok Sabha is both a member of the House and its Presiding Officer . The Speaker conducts the business in the House . He / she decides whether a bill is a money bill or not . He / she maintains discipline and decorum in the house and can punish a member for their unruly behaviour by suspending them . He / she permits the moving of various kinds of motions and resolutions like the motion of no confidence , motion of adjournment , motion of censure and calling attention notice as per the rules . The Speaker decides on the agenda to be taken up for discussion during the meeting . It is the Speaker of the Lok Sabha who presides over joint sittings called in the event of disagreement between the two Houses on a legislative measure . Following the 52nd Constitution amendment , the Speaker is vested with the power relating to the disqualification of a member of the Lok Sabha on grounds of defection . The Speaker makes obituary references in the House , formal references to important national and international events and the valedictory address at the conclusion of every Session of the Lok Sabha and also when the term of the House expires . Though a member of the House , the Speaker does not vote in the House except on those rare occasions when there is a tie at the end of a decision . Till date , the Speaker of the Lok Sabha has not been called upon to exercise this unique casting vote . While the office of Speaker is vacant due to absence / resignation / removal , the duties of the office are performed by the Deputy Speaker or , if the office of Deputy Speaker is also vacant , by such member of the House of the People as the President may appoint for the purpose . The Lok Sabha has also a separate non-elected Secretariat staff .   Shri G.V. Mavalankar was the first Speaker of Lok Sabha ( 15 May 1952 -- 27 February 1956 ) and Shri M. Ananthasayanam Ayyangar was the first Deputy Speaker ( 30 May 1952 -- 7 March 1956 ) . In the 16th Lok Sabha , Sumitra Mahajan was elected as the speaker on 3 June 2014 , and is its second woman speaker and Shri M. Thambidurai as the deputy speaker .   Composition by states and territories ( edit )  Main article : List of constituencies of the Lok Sabha    State / Union Territory   Type   No. of constituencies     Andaman and Nicobar Islands   Union Territory       Andhra Pradesh   State   25     Arunachal Pradesh   State       Assam   State   14     Bihar   State   40     Chandigarh   Union Territory       Chhattisgarh   State   11     Dadra and Nagar Haveli   Union Territory       Daman and Diu   Union Territory       National Capital Territory of Delhi   Union Territory   7     Goa   State       Gujarat   State   26     Haryana   State   10     Himachal Pradesh   State       Jammu and Kashmir   State   6     Jharkhand   State   14     Karnataka   State   28     Kerala   State   20     Lakshadweep   Union Territory       Madhya Pradesh   State   29     Maharashtra   State   48     Manipur   State       Meghalaya   State       Mizoram   State       Nagaland   State       Odisha   State   21     Puducherry   Union Territory       Punjab   State   13     Rajasthan   State   25     Sikkim   State       Tamil Nadu   State   39     Telangana   State   17     Tripura   State       Uttarakhand   State   5     Uttar Pradesh   State   80     West Bengal   State   42     Lok Sabha general elections ( edit )   Lok Sabha is constituted after the general election as follows :     Lok Sabha   General Election     1st Lok Sabha   Indian general election , 1951 -- 52     2nd Lok Sabha   Indian general election , 1957     3rd Lok Sabha   Indian general election , 1962     4th Lok Sabha   Indian general election , 1967     5th Lok Sabha   Indian general election , 1971     6th Lok Sabha   Indian general election , 1977     7th Lok Sabha   Indian general election , 1980     8th Lok Sabha   Indian general election , 1984     9th Lok Sabha   Indian general election , 1989     10th Lok Sabha   Indian general election , 1991     11th Lok Sabha   Indian general election , 1996     12th Lok Sabha   Indian general election , 1998     13th Lok Sabha   Indian general election , 1999     14th Lok Sabha   Indian general election , 2004     15th Lok Sabha   Indian general election , 2009     16th Lok Sabha   Indian general election , 2</t>
  </si>
  <si>
    <t xml:space="preserve">what are the functions of the lok sabha</t>
  </si>
  <si>
    <t xml:space="preserve">  Motions of no confidence against the government can be introduced and passed in the Lok Sabha . If passed by a majority vote , the Prime Minister and the Council of Ministers resign collectively . The Rajya Sabha has no power over such a motion , and hence has no real power over the executive . This is because the Constitution of India has only made the Union Council of ministers responsible to the Lok Sabha , not to the Rajya Sabha .   Money bills can only be introduced in the Lok Sabha , and upon being passed , are sent to the Rajya Sabha , where it can be deliberated on for up to 14 days . If not rejected by the Rajya Sabha , or 14 days lapse from the introduction of the bill in the Rajya Sabha without any action by the House , or recommendations made by the Rajya Sabha are not accepted by the Lok Sabha , the bill is considered passed . The budget is presented in the Lok Sabha by the Finance Minister in the name of the President of India .   In matters pertaining to non-financial ( ordinary ) bills , after the bill has been passed by the House where it was originally tabled ( Lok Sabha or Rajya Sabha ) , it is sent to the other house , where it may be kept for a maximum period of 6 months . If the other House rejects the bill or a period of 6 months elapses without any action by that House , or the House that originally tabled the bill does not accept the recommendations made by the members of the other house , it results in a deadlock . This is resolved by a joint session of both Houses , presided over by the speaker of the Lok Sabha and decided by a simple majority . Though the Constitution has placed both houses on the same footing in this regard , in reality it is the Lok Sabha 's opinions that mostly prevails -- due to its bigger numerical strength .   Equal Powers with the Rajya Sabha in initiating and passing any Bill for Constitutional Amendment ( by a majority of the total membership of the House and at least two - thirds majority of the members present and voting ) .   Equal Powers with the Rajya Sabha in initiating and passing a motion for the impeachment of the President ( by two - thirds of the membership of the House ) .   Equal Powers with the Rajya Sabha in impeachment process ( initiating and passing a motion for the removal ) of the judges of the Supreme Court and the state High Courts ( by a majority of the membership of the House and at least two - thirds majority of the members present and voting ) , who then can be removed by the President of India .   Equal Powers with the Rajya Sabha in initiating and passing a resolution declaring war or national emergency ( by two - thirds majority ) or constitutional emergency ( by simple majority ) in a state .   If the Lok Sabha is dissolved before or after the declaration of a National Emergency , the Rajya Sabha becomes the sole Parliament . It can not be dissolved . This is a limitation on the Lok Sabha . But there is a possibility that president can exceed the term to not more than 1 year under the proclamation of emergency and the same would be lowered down to six - month if the said proclamation ceases to operate .  </t>
  </si>
  <si>
    <t xml:space="preserve">Arroyo Seco parkway - wikipedia  Arroyo Seco parkway     This is the current revision of this page , as edited by Illegitimate Barrister ( talk contribs ) at 11 : 05 , 15 August 2017 ( → ‎ top : clean up , replaced : Los Angeles , CA → Los Angeles using AWB ) . The present address ( URL ) is a permanent link to this version .    Revision as of 11 : 05 , 15 August 2017 by Illegitimate Barrister ( talk contribs ) ( → ‎ top : clean up , replaced : Los Angeles , CA → Los Angeles using AWB ) ( diff ) ← Previous revision Latest revision ( diff ) Newer revision → ( diff ) Jump to : navigation , search `` Pasadena Freeway '' and `` CA 110 '' redirect here . For the freeway in Texas , see Texas State Highway 225 . For the entire California State Route 110 , see Interstate 110 and State Route 110 ( California ) .      Arroyo Seco Parkway     Pasadena Freeway     Arroyo Seco Parkway highlighted in red     Route information     Maintained by Caltrans     Length :   8.162 mi ( 13.135 km )     History :   Opened in 1940 ; renamed in 1954 ; name reverted in 2010     Tourist routes :   Arroyo Seco Parkway Scenic Byway     Restrictions :   No trucks over 3 tons     Major junctions     South end :   US 101 / SR 110 in Los Angeles     North end :   Glenarm Street in Pasadena     Location     Counties :   Los Angeles         Highway system       State highways in California     Interstate   U.S.   State   Pre-1964       History   Unconstructed   Deleted   Freeway   Scenic               Arroyo Seco Parkway Historic District     U.S. National Register of Historic Places     U.S. Historic district         NRHP Reference #   10001198     Added to NRHP   February 17 , 2011         The Arroyo Seco Parkway , formerly known as the Pasadena Freeway , is the first freeway in the Western United States . It connects Los Angeles with Pasadena alongside the Arroyo Seco seasonal river . It is notable not only for being the first , mostly opened in 1940 , but for representing the transitional phase between early parkways and modern freeways . It conformed to modern standards when it was built , but is now regarded as a narrow , outdated roadway . A 1953 extension brought the south end to the Four Level Interchange in downtown Los Angeles and a connection with the rest of the freeway system .   The road remains largely as it was on opening day , though the plants in its median have given way to a steel guard rail , and most recently to concrete barriers , and it now carries the designation State Route 110 , not historic U.S. Route 66 . Between 1954 and 2010 , it was officially designated the Pasadena Freeway . In 2010 , as part of plans to revitalize its scenic value and improve safety , the California Department of Transportation ( Caltrans ) restored the original name to the roadway . All the bridges built during parkway construction remain , as do four older bridges that crossed the Arroyo Seco before the 1930s . The Arroyo Seco Parkway is designated a State Scenic Highway , National Civil Engineering Landmark , and National Scenic Byway . It was listed in the National Register of Historic Places in 2011 .     Contents  ( hide )   1 Route description   2 History   2.1 Planning   2.2 Construction   2.3 Post-construction     3 Exit list   4 See also   5 References   5.1 Footnotes   5.2 Works cited     6 External links      Route description ( edit )  Northbound over the Los Angeles River  The six - lane Arroyo Seco Parkway ( part of State Route 110 ) begins at the Four Level Interchange , a symmetrical stack interchange on the north side of downtown Los Angeles that connects the Pasadena ( SR 110 north ) , Harbor ( SR 110 south ) , Hollywood ( US 101 north ) , and Santa Ana ( US 101 south ) Freeways . The first interchange is with the north end of Figueroa Street at Alpine Street , and the freeway then meets the north end of Hill Street at a complicated junction that provides access to Dodger Stadium . Beyond Hill Street , SR 110 temporarily widens to four northbound and five southbound lanes as it enters the hilly Elysian Park , where the northbound lanes pass through the four Figueroa Street Tunnels and the higher southbound lanes pass through a cut and over low areas on bridges . One interchange , with Solano Avenue and Amador Street , is located between the first and second tunnels . Just beyond the last tunnel is a northbound left exit and corresponding southbound right entrance for Riverside Drive and the northbound Golden State Freeway ( I - 5 ) . Immediately after those ramps , the Arroyo Seco Parkway crosses a pair of three - lane bridges over the Los Angeles River just northwest of its confluence with the Arroyo Seco , one rail line on each bank , and Avenue 19 and San Fernando Road on the north bank . A single onramp from San Fernando Road joins SR 110 northbound as it passes under I - 5 , and a northbound left exit and southbound right entrance connect to the north segment of Figueroa Street . Here the original 1940 freeway , mostly built along the west bank of the Arroyo Seco , begins as the southbound lanes curve from their 1943 alignment over the Los Angeles River into the original alignment next to the northbound lanes .  The Avenue 26 Bridge  As the original freeway begins , it passes under an extension to the 1925 Avenue 26 Bridge , one of four bridges over the Arroyo Seco that predate the parkway 's construction . A southbound exit and northbound entrance at Avenue 26 complement the Figueroa Street ramps , and similar ramps connect Pasadena to both directions of I - 5 . SR 110 continues northeast alongside the Arroyo Seco , passing under the Gold Line light rail and Pasadena Avenue before junctioning Avenue 43 at the first of many folded diamond interchanges that feature extremely tight ( right - in / right - out ) curves on the exit and entrance ramps . The next interchange , at Avenue 52 , is a normal diamond interchange , and soon after is Via Marisol , where the northbound side has standard diamond ramps , but on the southbound side Avenue 57 acts as a folded diamond connection . The 1926 Avenue 60 Bridge is the second original bridge , and is another folded diamond , with southbound traffic using Shults Street to connect . The 1895 Santa Fe Arroyo Seco Railroad Bridge ( now Gold Line ) lies just beyond , and after that is a half diamond interchange at Marmion Way / Avenue 64 with access towards Los Angeles only . After the freeway passes under the 1912 York Boulevard Bridge , the pre-parkway bridge , southbound connections between the freeway and cross street can be made via Salonica Street . As the Arroyo Seco curves north to pass west of downtown Pasadena , the Arroyo Seco Parkway instead curves east , crossing the stream into South Pasadena . A single northbound offramp on the Los Angeles side of the bridge curves left under the bridge to Bridewell Street , the parkway 's west - side frontage road .  Looking south from Marmion Way , showing the differently - colored passing lanes  As they enter South Pasadena , northbound motorists can see a `` City of South Pasadena '' sign constructed , in the late 1930s , of stones from the creek bed embedded in a hillside . This final segment of the Arroyo Seco Parkway heads east in a cut alongside Grevelia Street , with a full diamond at Orange Grove Avenue and a half diamond at Fair Oaks Avenue . In between those two streets it crosses under the Gold Line for the third and final time . Beyond Fair Oaks Avenue , SR 110 curves north around the east side of Raymond Hill and enters Pasadena , where the final ramp , a southbound exit , connects to State Street for access to Fair Oaks Avenue . The freeway , and state maintenance , ends at the intersection with Glenarm Street , but the six - and four - lane Arroyo Parkway , now maintained by the city of Pasadena , continues north as a surface road to Colorado Boulevard ( historic U.S. Route 66 ) and beyond to Holly Street near the Memorial Park Gold Line station .   History ( edit )   Planning ( edit )  Sign welcoming drivers to the parkway  The Arroyo Seco ( Spanish : `` dry gulch , or streambed '' ) is an intermittent stream that carries rainfall from the San Gabriel Mountains southerly through western Pasadena into the Los Angeles River near downtown Los Angeles . During the dry season , it served as a faster wagon connection between the two cities than the all - weather road on the present Huntington Drive .   The first known survey for a permanent roadway through the Arroyo was made by T.D. Allen of Pasadena in 1895 , and in 1897 two more proposals were made , one for a scenic parkway and the other for a commuter cycleway . The latter was partially constructed and opened by Horace Dobbins , who incorporated the California Cycleway Company and bought a six - mile ( 10 km ) right - of - way from downtown Pasadena to Avenue 54 in Highland Park , Los Angeles . Construction began in 1899 , and about 1 ⁄ miles ( 2.0 km ) of the elevated wooden bikeway were opened on January 1 , 1900 , starting near Pasadena 's Hotel Green and ending near the Raymond Hotel . The majority of its route is now Edmondson Alley ; a toll booth was located near the north end , in the present Central Park . Due to the end of the bicycle craze of the 1890s and the existing Pacific Electric Railway lines connecting Pasadena to Los Angeles , the cycleway did not and was not expected to turn a profit , and never extended beyond the Raymond Hotel into the Arroyo Seco . In the 1900s ( decade ) , the structure was dismantled , and the wood sold for lumber , and the Pasadena Rapid Transit Company , a failed venture headed by Dobbins to construct a streetcar line , acquired the right - of - way .  The California Cycleway , 1900  Due to the rise of the automobile , most subsequent plans for the Arroyo Seco included a roadway , though they differed as to the purpose : some , influenced by the City Beautiful movement , concentrated on the park , while others , particularly those backed by the Automobile Club of Southern California ( ACSC ) , had as their primary purpose a fast road connecting the two cities . The first plan that left the Arroyo Seco in South Pasadena to better serve downtown Pasadena was drawn up by Pasadena City Engineer Harvey W. Hincks in 1916 and supported by the Pasadena Chamber of Commerce and ACSC . Frederick Law Olmsted , Jr. and Harland Bartholomew 's 1924 Major Street Traffic Plan for Los Angeles , while concentrating on traffic relief , and noting that the Arroyo Seco Parkway would be a major highway , suggested that it be built as a parkway , giving motorists `` a great deal of incidental recreation and pleasure '' . By the mid-1930s , plans for a primarily recreational parkway had been overshadowed by the need to carry large numbers of commuters .   Debates continued on the exact location of the parkway , in particular whether it would bypass downtown Pasadena . In the late 1920s , Los Angeles acquired properties between San Fernando Road and Pasadena Avenue , and City Engineer Lloyd Aldrich began grading between Avenues 60 and 66 in the early 1930s . By June 1932 , residents of Highland Park and Garvanza , who had paid special assessments to finance improvement of the park , became suspicious of what appeared to be a road , then graded along the Arroyo Seco 's west side between Via Marisol ( then Hermon Avenue ) and Princess Drive . Merchants on North Figueroa Street ( then Pasadena Avenue ) also objected , due to the loss of business they would suffer from a bypass . Work stopped while the interested parties could work out the details , although , in late 1932 and early 1933 , Aldrich was authorized to grade a cheaper route along the east side between Avenue 35 and Hermon Avenue . To the north , Pasadena and South Pasadena endorsed in 1934 what was essentially Hincks 's 1916 plan , but lacked the money to build it . A bill was introduced in 1935 to add the route to the state highway system , and after some debate a new Route 205 was created as a swap for the Palmdale - Wrightwood Route 186 , as the legislature had just greatly expanded the system in 1933 , and the California Highway Commission opposed a further increase .   Construction ( edit )  Further information : Figueroa Street Tunnels The Figueroa Street Tunnels  To connect the proposed parkway with downtown Los Angeles , that city improved and extended North Figueroa Street as a four - lane road to the Los Angeles River , allowing drivers to bypass the congested North Broadway Bridge on the existing but underutilized Riverside Drive Bridge . A large part of the project lay within Elysian Park , and four Art Deco tunnels were built through the hills . The first three , between Solano Avenue and the river , opened in late 1931 , and the fourth opened in mid-1936 , completing the extension of Figueroa Street to Riverside Drive . As with the contemporary Ramona Boulevard east from downtown , grade separations were mostly built only where terrain dictated . For Figueroa Street , this meant that all crossings except College Street ( built several years after the extension was completed ) , where a hill was cut through , were at grade . The Figueroa Street Viaduct , connecting the Riverside Drive intersection with North Figueroa Street ( then Dayton Avenue ) across the Los Angeles River , opened in mid-1937 . Closer to downtown , an interchange was built at Temple Street in 1939 .  The Figueroa Street Viaduct , 1938 ( Riverside Drive is to the left , and its bridge is in the left background )  Although many South Pasadena residents opposed the division of the city that the parkway would bring , the city 's voters elected supporters in the 1936 elections . The state , which had the power to put the road where it wished even had South Pasadena continued to oppose it , approved the route on April 4 , 1936 . The route used the Arroyo Seco 's west bank to near Hough Street , where it crossed to the east and cut through South Pasadena to the south end of Broadway ( now Arroyo Parkway ) in Pasadena . Another project , the Arroyo Seco Flood Control Channel , was built by the Works Progress Administration before and during construction of the parkway to avoid damages from future floods . A number of state engineers toured East Coast roads in early 1938 , including Chicago 's Lake Shore Drive , full and modified cloverleaf interchanges in Massachusetts and New Jersey , and Robert Moses 's parkway system in New York City . The parkway was the first road built in California under a 1939 freeway law that allowed access to be completely limited to a number of specified points . Although , in some areas , it was possible to use a standard diamond interchange , other locations required folded diamonds , or , as the engineers called them , `` compressed cloverleafs '' , where local streets often took the place of dedicated ramps , ending at the parkway with a sharp right turn required to enter or exit . The highway was designed with two 11 -- 12 foot ( 3.4 - 3.7 m ) lanes and one ten - foot ( 3.0 m ) shoulder in each direction , with the wider inside ( passing ) lanes paved in black asphalt concrete and the outside lanes paved in gray Portland cement concrete . The differently - colored lanes would encourage drivers to stay in their lanes . ( By mid-1939 , the state had decided to replace the shoulders with additional travel lanes for increased capacity ; except on a short piece in South Pasadena , these were also paved with Portland cement . So that disabled vehicles could be safely removed from the roadway , about 50 `` safety bays '' were constructed in 1949 and 1950 . ) The engineers used a design speed of 45 miles per hour ( 72 kilometres per hour ) , superelevating curves where necessary to accomplish this . ( The road is now posted at 55 mph ( 89 km / h ) . ) Despite the freeway design , many parkway characteristics were incorporated , such as plantings of mostly native flora alongside the road .   Prior to parkway construction , nine roads and two rail lines crossed the Arroyo Seco and its valley on bridges , and a number of new bridges were built as part of the project . Only four of the existing bridges were kept , albeit with some changes : the 1925 Avenue 26 Bridge , the 1926 Avenue 60 Bridge , the 1895 Santa Fe Arroyo Seco Railroad Bridge ( now part of the Gold Line ) near Avenue 64 , and the 1912 York Boulevard Bridge . The Avenue 43 Bridge would have been kept had the Los Angeles Flood of 1938 not destroyed it . At Cypress Avenue , abutments and a foundation were built for a roadway , but were not used until the 1960s , when a pedestrian bridge was built as part of the Golden State Freeway ( I - 5 ) interchange project . In South Pasadena , seven streets and the Union Pacific and Santa Fe railroad lines on a double track combined bridge were carried over the parkway to keep the communities on each side connected .  The Marmion Way ( foreground ) and York Boulevard ( background ) bridges in 1940  Construction on the Arroyo Seco Parkway , designed under the leadership of District Chief Engineer Spencer V. Cortelyou and Design Engineer A.D. Griffin , began with a groundbreaking ceremony in South Pasadena on March 22 , 1938 and generally progressed from Pasadena southwest . The first contract , stretching less than a mile ( 1.5 km ) from Glenarm Street in Pasadena around Raymond Hill to Fair Oaks Avenue in South Pasadena , and including no bridges , was opened to traffic on December 10 , 1938 . A 3.7 - mile ( 6.0 km ) section opened on July 20 , 1940 , connecting Orange Grove Avenue in South Pasadena with Avenue 40 in Los Angeles . The remainder in Los Angeles , from Avenue 40 southwest to the Figueroa Street Viaduct at Avenue 22 , was opened on December 30 , 1940 , in time for the Tournament of Roses Parade and Rose Bowl on New Year 's Day . However , the highway through South Pasadena was not completed until January 30 , 1941 , and landscaping work continued through September . The final cost of $5.75 million , under $1 million per mile , was extremely low for a freeway project because the terrain was favorable for grade separations .  Through Elysian Park : Figueroa Street Tunnels at left , 1943 lanes at right  The state began upgrading the four - lane North Figueroa Street extension ( then part of Route 165 ) in October 1940 as a `` Southerly Extension '' of the parkway , even before the parkway was complete . The at - grade intersection with Riverside Drive was already a point of congestion , and the six lanes of parkway narrowing into four lanes of surface street would cause much greater problems . The two - way Figueroa Street Tunnels and Viaduct were repurposed for four lanes of northbound traffic , and a higher southbound roadway was built to the west . From the split with Hill Street south to near the existing College Street overpass , the four - lane surface road became a six - lane freeway . The extension was designed almost entirely on freeway , rather than parkway , principles , as it had to be built quickly to handle existing traffic . The new road split from the old at the Figueroa Street interchange , just south of Avenue 26 , and crossed the Los Angeles River and the northbound access to Riverside Drive on a new three - lane bridge . Through Elysian Park , a five - lane open cut was excavated west of the existing northbound tunnel lanes , saving about $1 million . The extension , still feeding into surface streets just south of College Street , was opened to traffic on December 30 , 1943 , again allowing its use for the New Year 's Day festivities .  The Four Level Interchange , looking northeast along the Pasadena Freeway ; the interchange at Figueroa and Temple Streets is in the right foreground  While the Arroyo Seco Parkway was being built and extended , the region 's freeway system was taking shape . The short city - built Cahuenga Pass Freeway opened on June 15 , 1940 , over a month before the second piece of the Arroyo Seco Parkway was complete . In the next two decades , the Harbor , Hollywood ( Cahuenga Pass ) , Long Beach ( Los Angeles River ) , San Bernardino ( Ramona ) , and Santa Ana Freeways were partially or fully completed to their eponymous destinations , and others were under construction . The centerpiece of the system was the Four Level Interchange just north of downtown Los Angeles , the first stack interchange in the world . Although it was completed in 1949 , the structure was not fully used until September 22 , 1953 , when the short extension of the Arroyo Seco Parkway to the interchange opened . Though the common name used by the public had become `` Arroyo Seco Freeway '' over the years , it was officially a `` Parkway '' until November 16 , 1954 , when the California Highway Commission changed its name to the Pasadena Freeway .   Beginning in June 2010 , the state began modifying interchange signs to remove the Pasadena Freeway name and reinstate the Arroyo Seco Parkway name . Signs that indicate route 110 as a `` freeway '' are being modified to `` parkway '' or its `` Pkwy '' abbreviation .   Post-construction ( edit )  Golden State Freeway interchange , looking northeast  Despite a quadrupling of traffic volumes , the original roadway north of the Los Angeles River largely remains as it was when it opened in 1940 . Trucks and buses were banned in 1943 , though the bus restriction has since been dropped ; this has kept the freeway in good condition and relatively safe , despite its outdated design . This design , state - of - the - art when built , includes tight `` right - in / right - out '' access with a recommended exit speed of 5 miles per hour ( 8.0 km / h ) and stop signs on the entrance ramps ; there are no acceleration or deceleration lanes . While the curves are banked for higher speeds , they were designed at half the modern standard . Except for the Golden State Freeway ( I - 5 ) interchange near the river , completed in 1962 , the few structural changes to the freeway north of the river include the closure of the original southbound exit to Fair Oaks Avenue after its location on a curve proved dangerous and the replacement of shrubs in the 4 - foot ( 1.2 m ) median with a steel guard rail . Los Angeles paid for reconstruction of the interchange at Hill Street , south of Elysian Park , in the early 1960s to serve the new Dodger Stadium .   When the Arroyo Seco Parkway opened , it was the first freeway in the Western United States . It became a new alignment of U.S. Route 66 , and the old routing via Figueroa Street and Colorado Boulevard became U.S. Route 66 Alternate . The southern extension over the Los Angeles River to downtown Los Angeles also carried State Route 11 ( which remained on the old route when US 66 was moved ) and U.S. Routes 6 and 99 ( which followed Avenue 26 and San Fernando Road to the northwest ) . The 1964 renumbering saw US 66 truncated to Pasadena , and SR 11 was moved from Figueroa Street ( which became SR 159 ) to the Pasadena Freeway . Finally , the number was changed to SR 110 in 1981 , when SR 11 between San Pedro and the Santa Monica Freeway ( I - 10 ) became I - 110 .  ArroyoFest , 2003  The Arroyo Seco Parkway remains the most direct route between downtown Los Angeles and Pasadena despite its flaws ; the only reasonable freeway alternate ( which trucks must use ) is the Glendale Freeway ( SR 2 ) to the west , which is itself not easily reached by trucks from downtown Los Angeles . The Gold Line light rail , opened in 2003 over the former Santa Fe Railway line , provides an alternate mode for commuters . The state legislature designated the original section , north of the Figueroa Street Viaduct , as a `` California Historic Parkway '' ( part of the State Scenic Highway System reserved for freeways built before 1945 ) in 1993 ; the only other highway so designated is the Cabrillo Freeway ( SR 163 ) in San Diego . The American Society of Civil Engineers named it a National Civil Engineering Landmark in 1999 , and it became a National Scenic Byway in 2002 and was added to the National Register of Historic Places in 2011 . Occidental College hosted the `` ArroyoFest Freeway Walk and Bike Ride '' on Sunday , June 15 , 2003 , closing the freeway to motor vehicles to `` highlight several ongoing or proposed projects within the Arroyo that can improve the quality of life for everyone in the area '' .   Exit list ( edit )   Except where prefixed with a letter , postmiles were measured on the road as it was in 1964 , based on the alignment that existed at the time , and do not necessarily reflect current mileage . R reflects a realignment in the route since then , M indicates a second realignment , L refers an overlap due to a correction or change , and T indicates postmiles classified as temporary ( for a full list of prefixes , see the list of postmile definitions ) . Segments that remain unconstructed or have been relinquished to local control may be omitted . The entire route is in Los Angeles County .     Location   Postmile   Exit   Destinations   Notes     Los Angeles   23.73   24A   US 101 north ( Hollywood Freeway ) to I - 5 south ( Santa Ana Freeway ) -- Hollywood , Santa Ana SR 110 south ( Harbor Freeway ) -- Downtown Los Angeles   Four Level Interchange ; southbound exit and northbound entrance ; US 101 north exit 3 , south exit 3B ; roadway continues as SR 110 beyond US 101     23.96   24B   Sunset Boulevard   Southbound exit and northbound entrance     24.55   24C   Hill Street -- Chinatown , Civic Center   No southbound entrance ; signed as exit 24B northbound ; left exit southbound     24.73   24D   Stadium Way -- Dodger Stadium   Signed as exit 24B northbound     25.04   25   Solano Avenue , Academy Road       ​   Figueroa Street Tunnels ( northbound only )     25.48   26A   I - 5 north ( Golden State Freeway ) -- Sacramento   Northbound left exit and southbound entrance ; exit 137B on I - 5     25.78   26B   Figueroa Street   Northbound left exit and southbound entrance ; former SR 159     25.91   26A   Avenue 26   Southbound exit and northbound entrance ; former SR 163     26.12   26B   I - 5 ( Golden State Freeway ) -- Santa Ana , Sacramento   Southbound exit and northbound entrance ; exit 137 on I - 5     27.12   27   Avenue 43       28.05   28A   Avenue 52       28.38   28B   Via Marisol   Formerly Hermon Avenue     28.76   29   Avenue 60       29.28   30A   Marmion Way / Avenue 64   Northbound exit and southbound entrance     29.50   30   York Boulevard   Southbound exit and entrance     30.10   30B   Bridewell Street   Northbound exit only     South Pasadena   30.59   31A   Orange Grove Avenue       31.17   31B   Fair Oaks Avenue -- South Pasadena   No northbound entrance     Pasadena   ​   Northern end of freeway and state maintenance     31.91   --   Glenarm Street   At - grade intersection     32.47   --   California Boulevard   At - grade intersection     33.05   --   To I - 210 / Green Street   At - grade intersection     33.15   --   Colorado Boulevard   At - grade intersection ; former SR 248     1.000 mi = 1.609 km ; 1.000 km = 0.621 mi   Incomplete access       See also ( edit )    California Roads portal   Los Angeles and San Gabriel Valley Railroad    References ( edit )   Footnotes ( edit )    Jump up ^ Legal Truck Size &amp; Weight Work Group ( March 2 , 2011 ) . `` Special Route Restriction History : Route 110 '' . Sacramento : California Department of Transportation . Retrieved May 28 , 2015 .   ^ Jump up to : California Department of Transportation . `` State Truck Route List '' . Sacramento : California Department of Transportation . Archived from the original ( XLS file ) on June 30 , 2015 . Retrieved June 30 , 2015 .   ^ Jump up to : National Park Service ( February 4 , 2011 ) . `` National Register of Historic Places Weekly Action List '' . National Register of Historic Places . National Park Service . Retrieved July 27 , 2012 .   Jump up ^ Gruen &amp; Lee ( 1999 ) , pp. 4 -- 5 .   Jump up ^ Pool , Bob ( June 25 , 1010 ) . `` Pasadena Freeway getting a new look and a new name '' . Los Angeles Times . Retrieved July 29 , 2011 .   ^ Jump up to : Google Maps &amp; United States Geological Survey . Street Maps and Topographic Maps ( Map ) . ACME Mapper . Archived from the original on January 2 , 2008 . Retrieved January 2008 . Check date values in : access - date = ( help )   Jump up ^ Gruen &amp; Lee ( 1999 ) , pp. 9 , 51 .   Jump up ^ Gruen &amp; Lee ( 1999 ) , pp. 9 -- 10 .   Jump up ^ Scheid , Ann ( 2006 ) . Downtown Pasadena 's Early Architecture . Images of America . Charleston , SC : Arcadia Publishing . pp. 78 -- 79 . ISBN 978 - 0 - 7385 - 3024 - 6 .   ^ Jump up to : Thomas , Rick R. ( 2007 ) . South Pasadena . Images of America . Charleston , SC : Arcadia Publishing . pp. 60 -- 65 . ISBN 978 - 0 - 7385 - 4748 - 0 .   Jump up ^ `` Dash into Pasadena in Twelve Minutes '' . Los Angeles Times . January 1 , 1909 . p . II1 .   Jump up ^ Gruen &amp; Lee ( 1999 ) , pp. 17 -- 18 , 23 .   Jump up ^ Gruen &amp; Lee ( 1999 ) , pp. 18 -- 26 .   Jump up ^ California State Assembly . `` An act to add section 612 to , and to repeal section 486 of , the Streets and Highways Code , relating to secondary State highways '' . Fifty - first Session of the Legislature . Statutes of California . State of California . Ch. 426 p. 288 , 1480 . : `` A new route or portion of route is hereby added to the State highway system from Route 165 ( Figueroa Street ) near Los Angeles River in Los Angeles to Route 161 ( Colorado Boulevard ) in Pasadena at Broadway Avenue . ''   Jump up ^ California State Assembly . `` An act to amend sections 251 , 308 , 340 , 344 , 351 , 352 , 361 , 368 , 369 , 374 , 377 , 404 and 425 of , to add four two sections to be numbered 503 , 504 , 505 and 506 to , and to repeal sections 603 , 611 ... '' . Fifty - second Session of the Legislature . Statutes of California . State of California . Ch. 841 p. 2361 . : `` Route 205 is from Route 165 near Los Angeles River in Los Angeles to Route 161 in Pasadena at Broadway Avenue . ''   Jump up ^ Gruen &amp; Lee ( 1999 ) , pp. 29 -- 34 .   Jump up ^ `` By - pass Route Through Elysian Park Tunnels Opened to Automobile Traffic '' . Los Angeles Times . November 1 , 1931 . p . E1 .   Jump up ^ `` Shaw Opens New Tunnel '' . Los Angeles Times . August 5 , 1936 . p . A1 .   Jump up ^ `` Street Job Bids Will Be Opened '' . Los Angeles Times . August 15 , 1938 . p . A10 .   Jump up ^ Prejza , Paul ( donor ) ( 1940 ) . Aerial view of Chavez Ravine in Los Angeles , looking west , ca . 1940 ( Photograph ) . Los Angeles : University of Southern California Libraries Digital Archive . chs - m2270 .   Jump up ^ `` New Bridge Dedicated '' . Los Angeles Times . July 7 , 1937 . p . A2 .   Jump up ^ `` Traffic Project Work Pushed '' . Los Angeles Times . May 11 , 1939 . p . A1 .   Jump up ^ Gruen &amp; Lee ( 1999 ) , pp. 27 -- 28 , 53 -- 54 .   Jump up ^ Gruen &amp; Lee ( 1999 ) , pp. 60 , 69 .   Jump up ^ Gruen &amp; Lee ( 1999 ) , p. 68 .   Jump up ^ Gruen &amp; Lee ( 1999 ) , pp. 34 -- 51 .   ^ Jump up to : California Department of Transportation ( July 2015 ) . Log of Bridges on State Highways : District 7 ( PDF ) . Sacramento : California Department of Transportation . pp. 57 -- 59 . Retrieved July 20 , 2015 .   Jump up ^ National Bridge Inventory database , 2006   Jump up ^ Gruen &amp; Lee ( 1999 ) , pp. 51 -- 55 .   Jump up ^ `` New Highway Opens Saturday '' . Los Angeles Times . July 17 , 1940 . p . A12 .   Jump up ^ Gruen &amp; Lee ( 1999 ) , pp. 55 -- 59 .   Jump up ^ Gruen &amp; Lee ( 1999 ) , pp. 59 -- 64 .   Jump up ^ City of Los Angeles ( December 22 , 2005 ) . `` Cahuenga Parkway '' ( PDF ) . Transportation Topics &amp; Tales . City of Los Angeles . Archived from the original ( PDF ) on February 28 , 2008 . Retrieved January 2008 . Check date values in : access - date = ( help )   Jump up ^ Rand McNally ( 1959 ) . Los Angeles and Vicinity ( Map ) . Chicago : Rand McNally . Archived from the original on July 25 , 2011 . Retrieved July 29 , 2011 .   Jump up ^ Gruen &amp; Lee ( 1999 ) , pp. 64 -- 67 .   Jump up ^ Gruen &amp; Lee ( 1999 ) , pp. 67 -- 72 .   Jump up ^ Fisher , Jay ( August 15 , 2008 ) . `` Shabby Road : The Ills and Charms of California 's First Freeway '' . The New York Times . Retrieved November 16 , 2011 .   Jump up ^ Faigin , Daniel P. `` Correspondence between the Division of Highways and American Association of State Highway Officials '' . California Highways . Archived from the original on June 28 , 2011 . Retrieved July 29 , 2011 .   Jump up ^ California Division of Highways ( 1944 ) . Los Angeles and Vicinity ( Map ) . Sacramento : California Division of Highways . Archived from the original on July 22 , 2011 </t>
  </si>
  <si>
    <t xml:space="preserve">when was the first freeway built in los angeles</t>
  </si>
  <si>
    <t xml:space="preserve"> The Arroyo Seco Parkway , formerly known as the Pasadena Freeway , is the first freeway in the Western United States . It connects Los Angeles with Pasadena alongside the Arroyo Seco seasonal river . It is notable not only for being the first , mostly opened in 1940 , but for representing the transitional phase between early parkways and modern freeways . It conformed to modern standards when it was built , but is now regarded as a narrow , outdated roadway . A 1953 extension brought the south end to the Four Level Interchange in downtown Los Angeles and a connection with the rest of the freeway system . </t>
  </si>
  <si>
    <r>
      <rPr>
        <sz val="11"/>
        <color rgb="FF000000"/>
        <rFont val="Calibri"/>
        <family val="0"/>
        <charset val="1"/>
      </rPr>
      <t xml:space="preserve">A Good Year - wikipedia  A Good Year  This article is about the film . For the novel on which it is based , see A Good Year ( novel ) .      A Good Year     Theatrical release poster     Directed by   Ridley Scott     Produced by   Ridley Scott     Screenplay by   Marc Klein     Based on   A Good Year by Peter Mayle     Starring   Russell Crowe Albert Finney Marion Cotillard Didier Bourdon Abbie Cornish Tom Hollander Freddie Highmore     Music by   Marc Streitenfeld     Cinematography   Philippe Le Sourd     Edited by   Dody Dorn     Production company   Fox 2000 Pictures Scott Free Productions Dune Entertainment Ingenious Film Partners Major Studio Partners     Distributed by   20th Century Fox     Release date     27 October 2006 ( 2006 - 10 - 27 ) ( United Kingdom )   10 November 2006 ( 2006 - 11 - 10 ) ( United States )             Running time   118 minutes     Country   United Kingdom United States     Language   English French Russian     Budget   $35 million     Box office   $42.1 million     A Good Year is a 2006 British - American romantic comedy directed and produced by Ridley Scott . The film stars Russell Crowe , Marion Cotillard , Didier Bourdon , Abbie Cornish , Tom Hollander , Freddie Highmore and Albert Finney . The film is loosely based on the 2004 novel of the same name by British author Peter Mayle . The film was theatrically released in the United Kingdom on October 27 , 2006 and in the United States on November 10 , 2006 by 20th Century Fox . The film grossed over $42.1 million against its $35 million budget . The film received nominations for the Critics Choice Award for Best Young Actor and the Satellite Award for Best Cinematography . A Good Year was released on DVD on February 27 , 2007 by 20th Century Fox Home Entertainment .   Contents    1 Plot   2 Cast   3 Production   3.1 Development and writing   3.2 Filming   3.3 Music     4 Release   4.1 Theatrical release   4.2 Home media     5 Reception   5.1 Box office   5.2 Critical response   5.3 Accolades     6 References   7 External links    Plot ( edit )   Young Max Skinner , whose parents have died in an accident , spends his childhood summer holidays learning to appreciate the finer things in life at his Uncle Henry 's vineyard estate in Provence in southeastern France . Some 25 years later , Max is an unethical , successful , and hard - working London - based bond trader with a sense of humour .   Following his uncle 's death , Max is the sole beneficiary of the French property . He travels to Provence to prepare a quick sale . Shortly after arriving , by driving while fumbling with a cell phone , he unknowingly causes a local café owner , Fanny Chenal , to crash her bicycle . Subsequently , he discovers that his latest City financial stunt has caused real trouble for the owners of the trading company he works for , and the CEO orders him to return to London as soon as possible .   To assist in his planned sale of the property , Max hurriedly snaps some photos and in the process falls into an empty swimming pool . He is unable to escape until Fanny , driving by and spotting his rental car , turns on the water supply in retaliation . This delay causes Max to miss his flight and , having failed to report to the directors in person , he is suspended from work and trading activities for one week .   On Henry 's estate , Max must deal with a gruff , dedicated winemaker , Francis Duflot , who fears being separated from his precious vines . Duflot pays a vineyard inspector to tell Max that the soil is bad and the vines worthless .   They are surprised by the arrival of young Napa Valley oenophile Christie Roberts , who is backpacking through Europe and claims to be Henry 's previously unknown illegitimate daughter . Max realizes , but does not tell her how French law decrees , even though Christie is not his uncle 's legitimate daughter , she still becomes the rightful heir to the Chateau and vineyards . As Max did earlier , Christie finds the house wine unpalatable but is impressed by Max 's casual offering of the boutique Le Coin Perdu ( `` the lost corner '' ) vintage , noting some intriguing characteristics . During dinner at the Duflot house , while slightly inebriated , Max exposes his concern that she might lay claim to the estate and brusquely interrogates her .   Max 's assistant Gemma warns him of the ambitious antics of other employees . To ensure he is not usurped by Kenny , his second - in - command in London , through whom Max continues to direct trades , Max intentionally gives the ambitious young trader bad advice , getting him fired .   Max becomes enamoured with Fanny , who is rumoured to have sworn off men . He successfully woos Fanny into his bed . She leaves him the next morning , expecting him to return to his life in London . A disillusioned Christie also decides to move on . Max finds his uncle 's memoirs , which contain proof of Christie 's heritage . He bids her farewell while handing her an unexplained note inside a book she was reading . While informing Duflot of the pending estate sale , Max learns that the mysterious expensive Le Coin Perdu was made by Henry and Duflot with `` illegal vines '' from the estate , bypassing wine classification and appellation laws .   The estate is sold and Max returns to London where Sir Nigel , the company chairman , offers him a choice : either a large discharge settlement , or the partnership in the trading firm . Max asks about Nigel 's art in the conference room , which Fanny has a copy of in her restaurant . Upon Nigel 's dismissive comment that the real one is kept in a vault and the $200,000 copy in the office is for show , Max reconsiders if he wants to still be like Nigel .   Max invalidates the estate 's sale with the farewell letter he gave to Christie , which he forged , along with real photos confirming Christie as Henry 's daughter with a valid claim to the entire estate . ( As a child Max signed cheques for his uncle , and is able to replicate his handwriting . )   He puts his London residence up for sale and returns to Provence , entering into a relationship with Fanny . Christie also returns and she and Francis jointly run the vineyard while trying to reconcile their vastly different philosophies of wine production . This enables Max to focus his entire attention on Fanny .   Cast ( edit )    Russell Crowe as Max Skinner   Albert Finney as Uncle Henry   Marion Cotillard as Fanny Chenal   Abbie Cornish as Christie Roberts   Didier Bourdon as Francis Duflot   Isabelle Candelier as Ludivine Duflot   Freddie Highmore as Young Max Skinner   Tom Hollander as Charlie Willis   Rafe Spall as Kenny   Richard Coyle as Amis   Archie Panjabi as Gemma   Kenneth Cranham as Sir Nigel   Daniel Mays as Bert , the doorman   Valeria Bruni Tedeschi as notaire Natalie Auzet   Giannina Facio as Maitre D '    Production ( edit )   Development and writing ( edit )  `` As I go on , I 'm very attracted to comedy . At the end of the day , because you 've been having a good old laugh , you go home laughing -- as opposed to dealing with blood all day and you go home and want to cut your wrists . ''  -- Ridley Scott on breaking away from action movies   Ridley Scott had owned a house in Provence for fifteen years , and wanted to film a production there . Scott Free president Lisa Ellzey recommended the works of author Peter Mayle , who had written best - selling books set in the south of France . Scott and Mayle were acquaintances and neighbours , having worked together in advertising and commercials during the 1970s , but as the author did not want to write a screenplay , he instead wrote a new book after discussing a film plot with Scott . Screenwriter Marc Klein was brought in after Scott read an adaptation he did of The Girls ' Guide to Hunting and Fishing -- eventually released in 2007 as Suburban Girl .   Klein had to expand and alter the story of the book to make the adaptation `` more movie - like '' . A particular focus was to add conflict , with changes such as turning Fanny from a gentle character to a stubborn woman who starts without sympathy for Max . Another addition was the scene where Max falls in the swimming pool , which Scott said was to demonstrate `` ( that ) the house had not let him go '' . The director wanted to portray Uncle Henry on screen instead of just describing him . While writer Marc Klein first suggested depicting him as a ghost , Scott 's attempts at that did not work so he used flashbacks which `` occur just as another scene '' where it would depict `` the grooming of Max as child which will be used as payoffs for the three acts that follow '' . Klein described Henry as `` sounding like Albert Finney '' so Scott hired the actor , with whom he had worked in The Duellists . Scott brought Russell Crowe as the protagonist Max . The actor stated that it was a good opportunity for them to reunite after 2000 's Gladiator as `` it just seemed more fun to go into this smaller place , where the problems were n't as vast . '' The character was considered a change from Crowe 's usual roles , with some noting it may reflect `` maturity '' or `` contentment '' , with Australia 's Courier - Mail dubbing him `` A Mellow Fellow '' . Crowe said of his life at the time : `` ( I 'm ) relaxed ... Work is n't the most important thing in my life now . It 's not even in the top ten . '' The actor also stressed the importance of his family . Scott also stated one of the reasons for the project was that he had `` not done much in the way of comedy '' and it seemed to be a good opportunity to `` keep challenging yourself '' .   Filming ( edit )   The film was shot throughout nine weeks in 2005 , mostly in locations Scott described as `` eight minutes from my house '' . French locations were filmed at Bonnieux , Cucuron and Gordes in Vaucluse , Marseille Provence Airport , and the rail station in Avignon . London locations included Albion Riverside in Battersea , Broadgate , the Bluebird Cafe on King 's Road in Chelsea , and Criterion Restaurant in Piccadilly Circus . The scene with the tennis match between Max and Duflot was added on the set , replacing an argument at the vines to provide `` a battle scene '' . As the swimming pool on Chateau La Canorgue did not fit the one Scott had envisioned from the scene , only the scenes outside the pool were filmed there . The one after Max had fallen was dug and concreted nearby , and the original one had its bottom replaced digitally to match . The production team could not film the wine cave from La Canorgue as they shot during the period where it was being used , so the wine cellar from a nearby hotel was turned into a cave . While southern France does not have clay courts as the weather makes them hard to maintain , Scott wanted one for its dirty and beaten up aspect , so the tennis court was built from scratch , including posts straight from the Wimbledon courts . Fanny 's cafe was shot in a Gordes restaurant , with designer Sonja Klaus decorating it with items bought from second - hand shops considering the character would have done the same . Klaus employed a kitsch decoration on Duflot 's estate to show it was `` a character keeping up with the Joneses -- if it was in America , he would drive a golden Cadillac with leopard skin print seats '' , and decorated the large water basin of Cucuron with floating candles to `` make it look like a fabulous event '' for Max 's dinner with Fanny .   Music ( edit )   Marc Streitenfeld worked as a music editor on Hans Zimmer 's Remote Control Productions and was invited by Scott to make his debut as a film score composer . The soundtrack includes `` Moi Lolita '' by Alizée , `` Breezin ' Along with the Breeze '' by Josephine Baker , `` Gotta Get Up '' , `` Jump into the Fire '' , and `` How Can I Be Sure of You '' by Harry Nilsson , `` Hey Joe '' by Johnny Hallyday , `` Vous , qui passez sans me voir '' and `` J'attendrai '' by Jean Sablon , `` Le chant du gardien '' by Tino Rossi , `` Je chante '' by Charles Trenet , `` Old Cape Cod '' by Patti Page , `` Walk Right Back '' by the Everly Brothers , `` Boum ! '' by Adrien Chevalier , and `` Itsy Bitsy Petit Bikini '' by Richard Anthony . The CD includes only 15 songs from the film ; several are left out .   Release ( edit )   Theatrical release ( edit )   A Good Year was theatrically released in the United Kingdom on October 27 , 2006 and in the United States on November 10 , 2006 by 20th Century Fox .   Home media ( edit )   A Good Year was released on DVD on February 27 , 2007 by 20th Century Fox Home Entertainment .   Reception ( edit )   Box Office ( edit )   The film grossed $42,061,749 . As of 2010 , it has earned over $7 million in US DVD sales .   Fox chairman Rupert Murdoch dismissed A Good Year as a ' flop ' at a shareholders meeting   https://bombreport.com/yearly-breakdowns/2006-3/a-good-year/   Critical response ( edit )   The film received negative reviews from critics . It holds a 26 % rating on Rotten Tomatoes based on 129 reviews , with an average rating of 4.8 / 10 . The site 's critical consensus reads , `` A Good Year is a fine example of a top - notch director and actor out of their elements , in a sappy romantic comedy lacking in charm and humor . '' In Variety , Todd McCarthy wrote that the film is a `` divertissement '' that is easy to watch , but `` does n't amount to much '' . Stephen Holden 's review in The New York Times called it `` a three - P movie : pleasant , pretty and predictable . One might add piddling '' . Writing for the Los Angeles Times , Kenneth Turan said , `` the fact that we know exactly what will happen ( ... ) is not what 's wrong with A Good Year . After all , we go to films like this precisely because the satisfaction of emotional certainty is what we 're looking for . What we 're not looking for is a romantic comedy made by individuals with no special feeling for the genre who stretch a half hour 's worth of story to nearly two hours '' . Comparing it to Under the Tuscan Sun , Love Actually , and Roman Holiday , Jessica Reaves of the Chicago Tribune said The Good Year was `` unbearably sweet and emotionally lifeless '' . British film critic Peter Bradshaw wrote in The Guardian that it was `` a humourless cinematic slice of tourist gastro - porn '' .   In a book - length study of Ridley Scott 's film career , Adam Barkman summarized the general critical response to A Good Year as `` lightweight as far as most critics were concerned '' and that it `` offer ( ed ) little in comparison to the combined commercial and critical success of the next venture , ( American Gangster ) , the biopic of Harlem drug lord Frank Lucas '' .   Accolades ( edit )     Award     Recipient   Result     EDA Special Mention Award   Hall of Shame   A Good Year   Won     Critics Choice Award   Best Young Actor   Freddie Highmore   Nominated     Satellite Award   Best Cinematography   Philippe Le Sourd   Nominated     References ( edit )    Jump up ^ `` A Good Year ( 2006 ) '' . Box Office Mojo. 25 January 2007 . Retrieved 8 December 2011 .   Jump up ^ `` A Good Year '' . Entertainment Weekly . 10 August 2006 .   ^ Jump up to : Ridley Scott , Marc Klein ( 2007 ) . Audio commentary . A Good Year DVD .   Jump up ^ Harris , Dana ( 25 February 2004 ) . `` ' Year ' on Scott 's calendar '' . Variety . Retrieved 17 June 2014 .   ^ Jump up to : Postcards from Provence . A Good Year DVD . 2007 .   Jump up ^ `` DVD and Blu - ray rental '' . Lovefilm . Retrieved 17 June 2014 .   Jump up ^ Rottenberg , Josh ( 23 June 2006 ) . `` R. and R '' . Entertainment Weekly .   Jump up ^ Blair , Iain ( 1 November 2006 ) . `` Director 's Chair - Ridley Scott : ' A Good Year ' '' . Post Magazine . Retrieved 17 June 2014 .   Jump up ^ `` A Good Year - Russell Crowe interview '' . IndieLondon . Retrieved 17 June 2014 .   Jump up ^ Desbrosses , Olivier ( 25 March 2010 ) . `` A good year for Marc Streitenfeld '' . Underscores.fr . Archived from the original on 26 March 2014 . Retrieved 17 June 2014 .   Jump up ^ A Good Year ( 2006 ) -- International Box Office Results . Box Office Mojo . Retrieved 17 November 2010 .   Jump up ^ A Good Year -- Box Office Data , Movie News , Cast Information . The Numbers . Retrieved 17 November 2010 .   Jump up ^ http://www.rottentomatoes.com/m/good_year/   Jump up ^ McCarthy , Todd . Variety Reviews -- A Good Year -- Film Reviews . Variety . Retrieved 17 November 2010 .   Jump up ^ Holden , Stephen ( 10 November 2006 ) . A Good Year ( 2006 ) Stopping to Smell the Vintner 's Bouquet . New York Times . Retrieved 17 November 2010   Jump up ^ Turan , Kenneth ( 10 November 2006 ) . `` Maybe not such a good ` Year ' '' . Los Angeles Times . Retrieved 15 May 2017 .   Jump up ^ Reaves , Jessica ( 9 November 2006 ) , `` Movie review : ' A Good Year ' '' , Metromix Chicago , archived from the original on 14 January 2009   Jump up ^ Bradshaw , Peter ( 27 October 2006 ) . `` A Good Year Film '' . The Guardian . UK . Retrieved 17 November 2010 .   Jump up ^ Adam Barkman ; Ashley Barkman ; Nancy Kang ( 8 March 2013 ) . The Culture and Philosophy of Ridley Scott . Lexington Books . p. 8 . ISBN 978 - 0 - 7391 - 7873 - 7 .    External links ( edit )       Wikiquote has quotations related to : A Good Year      A Good Year on IMDb   A Good Year at Box Office Mojo   A Good Year at AllMovie   A Good Year at Rotten Tomatoes   Filming locations in Provence   Filming locations with real photos              Films directed by Ridley Scott     Feature films     The Duellists ( 1977 )   Alien ( 1979 )   Blade Runner ( 1982 )   Legend ( 1985 )   Someone to Watch Over Me ( 1987 )   Black Rain ( 1989 )   Thelma &amp; Louise ( 1991 )   1492 : Conquest of Paradise ( 1992 )   White Squall ( 1996 )   G.I. Jane ( 1997 )   Gladiator ( 2000 )   Hannibal ( 2001 )   Black Hawk Down ( 2001 )   Matchstick Men ( 2003 )   Kingdom of Heaven ( 2005 )   A Good Year ( 2006 )   American Gangster ( 2007 )   Body of Lies ( 2008 )   Robin Hood ( 2010 )   Prometheus ( 2012 )   The Counselor ( 2013 )   Exodus : Gods and Kings ( 2014 )   The Martian ( 2015 )   Alien : Covenant ( 2017 )   All the Money in the World ( 2017 )       Other work     Boy and Bicycle ( short film , 1965 )   1984 ( advertisement , 1984 )   Unrealized projects             GND : 7627924 - 8      Retrieved from `` https://en.wikipedia.org/w/index.php?title=A_Good_Year&amp;oldid=856970098 '' Categories :   2006 films   2000s comedy - drama films   2000s romantic comedy films   2000s romantic drama films   20th Century Fox films   American comedy - drama films   American films   American romantic comedy films   American romantic drama films   British comedy - drama films   British films   British romantic comedy films   British romantic drama films   English - language films   Films about wine   Films based on British novels   Films based on romance novels   Films directed by Ridley Scott   Films set in France   Films set in London   Films shot in France   Films shot in London   French - language films   Peter Mayle   Scott Free Productions films   Trading films   Hidden categories :   Use British English from June 2013   Use dmy dates from March 2012   Wikipedia articles with GND identifiers           Talk                                           Contents                   About Wikipedia                                           Wikiquote         বাংলা   Български   Català   Čeština   Deutsch   Eesti   Ελληνικά   Español   فارسی   Français   Հայերեն   Bahasa Indonesia   Italiano   ქართული   Lietuvių   Македонски   მარგალური   </t>
    </r>
    <r>
      <rPr>
        <sz val="11"/>
        <color rgb="FF000000"/>
        <rFont val="Noto Sans CJK SC"/>
        <family val="2"/>
      </rPr>
      <t xml:space="preserve">日本 語   </t>
    </r>
    <r>
      <rPr>
        <sz val="11"/>
        <color rgb="FF000000"/>
        <rFont val="Calibri"/>
        <family val="0"/>
        <charset val="1"/>
      </rPr>
      <t xml:space="preserve">Norsk   Polski   Português   Русский   Suomi   Svenska   Türkçe   Українська   Tiếng Việt   </t>
    </r>
    <r>
      <rPr>
        <sz val="11"/>
        <color rgb="FF000000"/>
        <rFont val="Noto Sans CJK SC"/>
        <family val="2"/>
      </rPr>
      <t xml:space="preserve">中文  </t>
    </r>
    <r>
      <rPr>
        <sz val="11"/>
        <color rgb="FF000000"/>
        <rFont val="Calibri"/>
        <family val="0"/>
        <charset val="1"/>
      </rPr>
      <t xml:space="preserve">20 more  Edit links   This page was last edited on 28 August 2018 , at 18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</si>
  <si>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a good year filmed with russell crowe</t>
  </si>
  <si>
    <t xml:space="preserve"> The film was shot throughout nine weeks in 2005 , mostly in locations Scott described as `` eight minutes from my house '' . French locations were filmed at Bonnieux , Cucuron and Gordes in Vaucluse , Marseille Provence Airport , and the rail station in Avignon . London locations included Albion Riverside in Battersea , Broadgate , the Bluebird Cafe on King 's Road in Chelsea , and Criterion Restaurant in Piccadilly Circus . The scene with the tennis match between Max and Duflot was added on the set , replacing an argument at the vines to provide `` a battle scene '' . As the swimming pool on Chateau La Canorgue did not fit the one Scott had envisioned from the scene , only the scenes outside the pool were filmed there . The one after Max had fallen was dug and concreted nearby , and the original one had its bottom replaced digitally to match . The production team could not film the wine cave from La Canorgue as they shot during the period where it was being used , so the wine cellar from a nearby hotel was turned into a cave . While southern France does not have clay courts as the weather makes them hard to maintain , Scott wanted one for its dirty and beaten up aspect , so the tennis court was built from scratch , including posts straight from the Wimbledon courts . Fanny 's cafe was shot in a Gordes restaurant , with designer Sonja Klaus decorating it with items bought from second - hand shops considering the character would have done the same . Klaus employed a kitsch decoration on Duflot 's estate to show it was `` a character keeping up with the Joneses -- if it was in America , he would drive a golden Cadillac with leopard skin print seats '' , and decorated the large water basin of Cucuron with floating candles to `` make it look like a fabulous event '' for Max 's dinner with Fanny . </t>
  </si>
  <si>
    <t xml:space="preserve">The Wizard of Oz ( 1939 film ) - wikipedia  The Wizard of Oz ( 1939 film )  Jump to : navigation , search This article is about the 1939 film . For other uses , see The Wizard of Oz ( disambiguation ) .    The Wizard of Oz     Theatrical release poster     Directed by     Victor Fleming   King Vidor   George Cukor   Norman Taurog       Produced by   Mervyn LeRoy     Screenplay by     Noel Langley   Florence Ryerson   Edgar Allan Woolf       Based on   The Wonderful Wizard of Oz by L. Frank Baum     Starring     Judy Garland   Frank Morgan   Ray Bolger   Bert Lahr   Jack Haley   Billie Burke   Margaret Hamilton   Charley Grapewin       Music by   Herbert Stothart     Cinematography   Harold Rosson     Edited by   Blanche Sewell     Production company   Metro - Goldwyn - Mayer     Distributed by   Loew 's , Inc .     Release date     August 25 , 1939 ( 1939 - 08 - 25 )               Running time   101 minutes     Country   United States     Language   English     Budget   $2.8 million     Box office     $3 million ( original release )   $23.3 million ( unadjusted , re-releases )       The Wizard of Oz is a 1939 American musical fantasy film produced by Metro - Goldwyn - Mayer . Widely considered to be one of the greatest films in American history , it is the best - known and most commercially successful adaptation of L. Frank Baum 's 1900 children 's book , The Wonderful Wizard of Oz . It stars Judy Garland as Dorothy Gale , alongside Ray Bolger , Jack Haley , Bert Lahr , Frank Morgan , Billie Burke and Margaret Hamilton , with Charley Grapewin , Pat Walshe and Clara Blandick , Terry ( billed as Toto ) , and the Singer Midgets as the Munchkins .   Notable for its use of Technicolor , fantasy storytelling , musical score , and memorable characters , it has become an icon of American popular culture . It was nominated for six Academy Awards , including Best Picture , but lost to Gone with the Wind . It did win in two other categories , including Best Original Song for `` Over the Rainbow '' and Best Original Score by Herbert Stothart . While the film was considered a critical success upon release in August 1939 , it failed to generate profit for MGM , earning only $3,017,000 on a $2,777,000 budget , which made it MGM 's most expensive production to date .   The 1956 broadcast television premiere of the film on the CBS network reintroduced the film to the wider public and eventually made the presentation an annual tradition , making it one of the best known films in movie history . The film was named the most - viewed motion picture on television syndication by the Library of Congress , which also included the film in its National Film Registry in its inaugural year in 1989 . Designation on the registry calls for efforts to preserve it for being `` culturally , historically , and aesthetically significant '' . It is also one of the few films on UNESCO 's Memory of the World Register .   The Wizard of Oz is the source of many quotes referenced in contemporary popular culture . It was directed primarily by Victor Fleming ( who left production to take over direction on the troubled Gone with the Wind production ) . Noel Langley , Florence Ryerson and Edgar Allan Woolf received credit for the screenplay , but uncredited contributions were made by others . The songs were written by Edgar `` Yip '' Harburg ( lyrics ) and Harold Arlen ( music ) . The musical score and the incidental music were composed by Stothart .     Contents  ( hide )   1 Plot   2 Cast   2.1 Munchkins     3 Production   3.1 Development and pre-production   3.2 Casting   3.3 Filming   3.3. 1 Richard Thorpe as director   3.3. 2 George Cukor 's brief stint   3.3. 3 Victor Fleming , the main director   3.3. 4 King Vidor 's finishing work as director     3.4 Post-production     4 Music   4.1 Song list   4.2 Underscoring     5 Release   5.1 Box office     6 Reception   7 Re-releases   8 Television   9 Home media   10 Awards and honors   10.1 Academy Awards   10.2 American Film Institute lists   10.3 Other honors     11 Differences from the novel   12 Sequels and reinterpretations   13 Cultural impact   13.1 Ruby slippers   13.2 Impact upon LGBT culture     14 See also   15 Notes   16 References   16.1 Bibliography     17 External links      Plot ( edit )  Stars Judy Garland as Dorothy Gale and Terry The Dog , as Toto Margaret Hamilton as The Wicked Witch of the West with Dorothy Gale  The film begins in Kansas , which is depicted in a sepia tone . Dorothy Gale lives with her dog , Toto , on her Aunt Em and Uncle Henry 's farm . Toto gets in trouble with a mean neighbor , Miss Almira Gulch , when he bites her . However , Dorothy 's family and the farmhands are all too busy to listen to her troubles . Miss Gulch produces an order from the sheriff allowing her to have Toto put down . She takes him away , but he escapes and returns to Dorothy who , fearing that Miss Gulch will return , decides to run away from home .   After some miles Dorothy and Toto encounter Professor Marvel , a kindly fortune teller who , realizing Dorothy has run away , uses his crystal ball to convince her that Aunt Em is ill . Dorothy races home just as a tornado approaches . Locked out of the storm cellar , she seeks safety in the house , where a wind - blown window sash knocks her out . She awakens to find the tornado has sent the house spinning into the sky . Outside the window she sees farm animals , an old lady knitting in a chair , two men rowing a boat , and finally Miss Gulch , who transforms into a cackling witch riding a broomstick .  Dorothy ( Judy Garland , right ) with Glinda the Good Witch of the North ( Billie Burke )  Suddenly the house strikes the ground and all is quiet . As Dorothy opens the door the film changes to Technicolor -- she and Toto have landed in Munchkinland , part of the Land of Oz . Glinda the Good Witch of the North and the Munchkins welcome her as their heroine -- the house has landed on and killed the Wicked Witch of the East , leaving only her feet poking out from under . In the middle of the celebration , the Wicked Witch of the West arrives in a ball of smoke and fire to claim her sister 's ruby slippers , but Glinda transports them onto Dorothy 's feet before the witch can get them . The witch swears revenge on Dorothy for her sister 's death . Glinda tells Dorothy to follow the yellow brick road to the Emerald City , where the Wizard of Oz might be able to help her get back home .   On her way , Dorothy meets and befriends a Scarecrow , who wants a brain , and invites him to join her on her journey . Eventually they come to an apple orchard where they find and befriend a Tin Man , who desires a heart . After they invite him to come along , the Witch appears and makes threats to them . Deep in the woods , they meet a Cowardly Lion , who is in need of courage and invite him to come along as well . After the Witch attempts to stop them using an enchanted poppy field , they finally reach the Emerald City . Inside , after being initially rejected , they are permitted to see the Wizard , who appears as a large disembodied head surrounded by fire . He agrees to grant their wishes when they bring him the Witch of the West 's broomstick , implying they must kill her to get it .   On their journey to the Witch 's castle , they pass through the Haunted Forest , while the Witch views their progress in her crystal ball . She sends her winged monkeys to attack them ; they capture Dorothy and Toto . At the castle , the Witch is refrained by magic when she tries to get the ruby slippers off Dorothy 's feet , then remembers that she must be dead first . Toto escapes and leads the Scarecrow , Tin Man , and Cowardly Lion to the castle . After ambushing three Winkie guards , they march inside wearing the stolen guards ' uniforms and free her , but the Witch discovers and traps them . The Scarecrow provides a distraction and they attempt to escape , being chased by the Witch and her guards , but are finally surrounded . The Witch sets fire to the Scarecrow and Dorothy puts it out with a bucket of water and unwittingly melts and kills the witch as the water splashes on her . The guards rejoice that she is dead and give Dorothy the charred broomstick in gratitude .   Back at the Emerald City , they bring the broomstick to the Wizard . But when they ask him to keep his promises , the Wizard delays granting their requests much to their shock and frustration . During the argument , Toto pulls back a curtain and exposes the `` Wizard '' as a normal middle - aged man who has been projecting the fearsome image ; he denies Dorothy 's accusation that he is a bad man , but admits to being a humbug . He then gives the Scarecrow a diploma , the Lion a medal and the Tin Man a ticking heart - shaped clock , making them realize that they had what they wanted all along . They just did not know it yet . He then prepares to launch his hot air balloon to take Dorothy home but Toto runs off , and as she tries to get him back , the balloon leaves without them . Suddenly , Glinda returns and tells her that she can still return home by using the ruby slippers . After sharing a tearful farewell with her friends , Dorothy follows Glinda 's instructions and taps her heels together three times and repeats , `` There 's no place like home '' . She wakes up in bed at her home in Kansas , surrounded by her family , the farmhands , Professor Marvel and Toto . Though they dismiss her adventure as a dream , she insists that it was all real , and that there is no place like home .   Cast ( edit )  The film 's main characters ( left to right ) : the Cowardly Lion , Dorothy , Scarecrow , and the Tin Man   Judy Garland as Dorothy Gale   Frank Morgan as Professor Marvel / The Wizard / Doorman / Cabbie / Guard   Ray Bolger as Hunk / Scarecrow   Jack Haley as Hickory / Tin Man   Bert Lahr as Zeke / Cowardly Lion   Billie Burke as Glinda the Good Witch of the North   Margaret Hamilton as Miss Almira Gulch / The Wicked Witch of the West   Clara Blandick as Aunt Em   Charley Grapewin as Uncle Henry   Pat Walshe as Nikko ( the Winged Monkey King )   Terry as Toto ( though credited as Toto )   Mitchell Lewis as the Winkie Guard Captain ( credited only in the IMAX version )   Bert Lahr as The Cowardly Lion  Munchkins ( edit )    Charlie Becker as Munchkin Mayor   Meinhardt Raabe as Munchkin Coroner   Jakob `` Jackie '' Gerlich as Lollipop Guild / Munchkin   Jerry Maren as Lollipop Guild / Munchkin   Harry Doll Earles as Lollipop Guild / Munchkin   Billy Curtis as Braggart Munchkin   Harry Monty as Soldier / Winged Monkey   Mickey Carroll as Fiddler / Town Crier / Soldier   Karl Slover as Lead trumpeter / Soldier / `` Sleepyhead '' / Villager   Olga C. Nardone as the Littlest Lullaby League   Margaret Pellegrini as `` Sleepyhead ''   Ruth Duccini as a Munchkin Villager   The Doll Family as Munchkin Villagers   The Singer Midgets as the Munchkins   William H. O'Docharty as Munchkin Carriage Footman    Production ( edit )   Development and pre-production ( edit )   Development began when Walt Disney 's Snow White and the Seven Dwarfs showed that films adapted from popular children 's stories and fairytale folklore could be successful . In January 1938 , Metro - Goldwyn - Mayer bought the rights to the hugely popular novel from Samuel Goldwyn , who had toyed with the idea of making the film as a vehicle for Eddie Cantor , who was under contract to the Goldwyn studios and whom Goldwyn wanted to cast as the Scarecrow .   The script went through a number of writers and revisions before the final shooting . Mervyn LeRoy 's assistant William H. Cannon had submitted a brief four - page outline . Because recent fantasy films had not fared well , he recommended that the magical elements of the story be toned down or eliminated . In his outline , the Scarecrow was a man so stupid that the only employment open to him was literally scaring crows from cornfields , and the Tin Woodman was a criminal so heartless he was sentenced to be placed in a tin suit for eternity ; this torture softened him into someone gentle and kind . His vision was similar to Larry Semon 's 1925 film adaptation of the story , in which the magical element is absent .   After that , LeRoy hired screenwriter Herman J. Mankiewicz , who soon delivered a 17 - page draft of the Kansas scenes , and a few weeks later , a further 56 pages . Noel Langley and poet Ogden Nash were also hired to write separate versions of the story . None of these three knew about the others , and this was not an uncommon procedure . Nash delivered a four - page outline , Langley turned in a 43 - page treatment and a full film script . He turned in three more , this time incorporating the songs that had been written by Harold Arlen and Yip Harburg . Florence Ryerson and Edgar Allan Woolf submitted a script and were brought on board to touch up the writing . They would be responsible for making sure the story stayed true to the Baum book . However , producer Arthur Freed was unhappy with their work and reassigned it to Langley . During filming , Victor Fleming and John Lee Mahin revised the script further , adding and cutting some scenes . In addition , Jack Haley and Bert Lahr are known to have written some of their own dialogue for the Kansas sequence .   The final draft of the script was completed on October 8 , 1938 , following numerous rewrites . All in all , it was a mish - mash of many creative minds , but Langley , Ryerson , and Woolf got the film credits . Along with the contributors already mentioned , others who assisted with the adaptation without receiving credit include : Irving Brecher , Herbert Fields , Arthur Freed , Yip Harburg , Samuel Hoffenstein , Jack Mintz , Sid Silvers , Richard Thorpe , Cukor and Vidor .   In addition , songwriter Harburg 's son ( and biographer ) Ernie Harburg reported :   So anyhow , Yip also wrote all the dialogue in that time and the setup to the songs and he also wrote the part where they give out the heart , the brains , and the nerve , because he was the final script editor . And he -- there was eleven screenwriters on that -- and he pulled the whole thing together , wrote his own lines and gave the thing a coherence and unity which made it a work of art . But he does n't get credit for that . He gets lyrics by E.Y. Harburg , you see . But nevertheless , he put his influence on the thing .   The original producers thought that a 1939 audience was too sophisticated to accept Oz as a straight - ahead fantasy ; therefore , it was reconceived as a lengthy , elaborate dream sequence . Because of a perceived need to attract a youthful audience through appealing to modern fads and styles , the score had featured a song called `` The Jitterbug '' , and the script had featured a scene with a series of musical contests . A spoiled , selfish princess in Oz had outlawed all forms of music except classical and operetta , and went up against Dorothy in a singing contest in which her swing style enchanted listeners and won the grand prize . This part was initially written for Betty Jaynes . The plan was later dropped .   Another scene , which was removed before final script approval and never filmed , was a concluding scene back in Kansas after Dorothy 's return . Hunk ( the Kansan counterpart to the Scarecrow ) is leaving for agricultural college and extracts a promise from Dorothy to write to him . The implication of the scene is that romance will eventually develop between the two , which also may have been intended as an explanation for Dorothy 's partiality for the Scarecrow over her other two companions . This plot idea was never totally dropped , but is especially noticeable in the final script when Dorothy , just before she is to leave Oz , tells the Scarecrow , `` I think I 'll miss you most of all . ''   In his book The Wonderful Wizard of Oz , Baum describes Kansas as being `` in shades of gray '' . Further , Dorothy lived inside a farmhouse which had its paint blistered and washed away by the weather , giving it an air of grayness . The house and property were situated in the middle of a sweeping prairie where the grass was burnt gray by harsh sun . Aunt Em and Uncle Henry were `` gray with age '' . Effectively , the use of monochrome sepia tones for the Kansas sequences was a stylistic choice that evoked the dull and gray countryside . Much attention was given to the use of color in the production , with the MGM production crew favoring some hues over others . Consequently , it took the studio 's art department almost a week to settle on the final shade of yellow used for the yellow brick road .   Casting ( edit )   LeRoy had always insisted that he wanted to cast Judy Garland to play Dorothy from the start ; however , evidence suggests that negotiations occurred early in pre-production for Shirley Temple to be cast as Dorothy , on loan from 20th Century Fox . A persistent rumor also existed that Fox , in turn , was promised Clark Gable and Jean Harlow as a loan from MGM . The tale is almost certainly untrue , as Harlow died in 1937 , before MGM had even purchased the rights to the story . Despite this , the story appears in many film biographies ( including Temple 's own autobiography ) . The documentary The Wonderful Wizard of Oz : The Making of a Movie Classic states that Mervyn LeRoy was under pressure to cast Temple , then the most popular child star , but at an unofficial audition , MGM musical mainstay Roger Edens listened to her sing and felt that an actress with a different style was needed . Newsreel footage is included in which Temple wisecracks , `` There 's no place like home '' , suggesting that she was being considered for the part at that time . A possibility is that this consideration did indeed take place , but that Gable and Harlow were not part of the proposed deal .   Actress Deanna Durbin , who was under contract to Universal Studios , was also considered for the part of Dorothy . Durbin , at the time , far exceeded Garland in film experience and fan base and both had co-starred in a 1936 two - reeler titled Every Sunday . The film was most notable for exhibiting Durbin 's operatic style of singing against Garland 's jazzier style . Durbin was possibly passed over once it was decided to bring on Jaynes , also an operatic singer , to rival Garland 's jazz in the aforementioned discarded subplot of the film .  Buddy Ebsen 's first makeup test as the Tin Man  Ray Bolger was originally cast as the Tin Man and Buddy Ebsen was to play the Scarecrow . Bolger , however , longed to play the Scarecrow , as his childhood idol Fred Stone had done on stage in 1902 ; with that very performance , Stone had inspired him to become a vaudevillian in the first place . Now unhappy with his role as the Tin Man ( reportedly claiming , `` I 'm not a tin performer ; I 'm fluid '' ) , Bolger convinced producer Mervyn LeRoy to recast him in the part he so desired . Ebsen did not object ; after going over the basics of the Scarecrow 's distinctive gait with Bolger ( as a professional dancer , Ebsen had been cast because the studio was confident he would be up to the task of replicating the famous `` wobbly - walk '' of Stone 's Scarecrow ) , he recorded all of his songs , went through all the rehearsals as the Tin Man and began filming with the rest of the cast .   Bert Lahr was signed for the Cowardly Lion on July 25 , 1938 ; the next month , Charles Grapewin was cast as Uncle Henry on August 12 .   W.C. Fields was originally chosen for the role of the Wizard , a role turned down by Ed Wynn as he thought the part was too small , but the studio ran out of patience after protracted haggling over Fields ' fee ; instead , another contract player , Frank Morgan , was cast on September 22 .   Gale Sondergaard was originally cast as the Wicked Witch . She became unhappy when the witch 's persona shifted from sly and glamorous ( thought to emulate the wicked queen in Disney 's Snow White and the Seven Dwarfs ) into the familiar `` ugly hag '' . She turned down the role and was replaced on October 10 , 1938 , just three days before filming started , by MGM contract player Margaret Hamilton . Sondergaard said in an interview for a bonus feature on the DVD that she had no regrets about turning down the part , and would go on to play a glamorous villain in Fox 's version of Maurice Maeterlinck 's The Blue Bird in 1940 ; that same year , Margaret Hamilton played a role remarkably similar to the Wicked Witch in the Judy Garland film Babes in Arms .   According to Aljean Harmetz , the `` gone - to - seed '' coat worn by Morgan as the wizard was selected from a rack of coats purchased from a second - hand shop . According to legend , Morgan later discovered a label in the coat indicating it had once belonged to Baum , that Baum 's widow confirmed this , and that the coat was eventually presented to her . But Baum biographer Michael Patrick Hearn says the Baum family denies ever seeing the coat or knowing of the story ; Hamilton considered it a concocted studio rumor .   Filming ( edit )  Richard Thorpe as director ( edit )  Filming commenced October 13 , 1938 , on the MGM lot in Culver City , California , under the direction of Richard Thorpe ( replacing original director Norman Taurog , who filmed only a few early Technicolor tests and was then reassigned ) . Thorpe initially shot about two weeks of footage ( nine days in total ) involving Dorothy 's first encounter with the Scarecrow , as well as a number of sequences in the Wicked Witch 's castle , such as Dorothy 's rescue ( which , though unreleased , comprises the only footage of Ebsen 's Tin Man ) .   According to most sources , ten days into the shoot , Ebsen suffered a reaction to the aluminum powder makeup he wore . He was hospitalized in critical condition , and subsequently was forced to leave the project ; in a later interview ( included on the 2005 DVD release of The Wizard of Oz ) , he recalled the studio heads appreciated the seriousness of his illness only after seeing him in the hospital . Filming halted while a replacement for him was found . No full footage of him as the Tin Man has ever been released -- only photographs taken during filming and makeup test photos . His replacement , Jack Haley , simply assumed he had been fired . Author and screen - writer George MacDonald Fraser offers an alternative story , told to him by Burt Lancaster 's producing partner , Jim Hill , that Ebsen had refused to be painted silver and was fired .  George Cukor 's brief stint ( edit )  LeRoy , after reviewing the footage and feeling Thorpe was rushing the production , adversely affecting the actors ' performances , had Thorpe replaced . During reorganization on the production , George Cukor temporarily took over , under LeRoy 's guidance . Initially , the studio had made Garland wear a blond wig and heavy `` baby - doll '' makeup , and she played Dorothy in an exaggerated fashion ; now , Cukor changed Garland 's and Hamilton 's makeup and costumes , and told Garland to `` be herself '' . This meant that all the scenes Garland and Hamilton had already completed had to be discarded and reshot . Cukor also suggested that the studio cast Jack Haley , on loan from Fox , as the Tin Man . To keep down on production costs , Haley only rerecorded `` If I Only Had a Heart '' and solo lines during `` The Jitterbug '' and `` If I Only Had the Nerve '' ; as such , Ebsen 's voice can still be heard in the remaining songs featuring the Tin Man in group vocals . The makeup used for Haley was quietly changed to an aluminum paste , with a layer of clown white greasepaint underneath to protect his skin ; although it did not have the same dire effect on Haley , he did at one point suffer an eye infection from it .   In addition , Bolger 's original recording of `` If I Only Had a Brain '' had been far more sedate compared to the version heard in the film ; during this time , Cukor and LeRoy decided that a more energetic rendition would better suit Dorothy 's initial meeting with the Scarecrow ( initially , it was to contrast with his lively manner in Thorpe 's footage ) , and was rerecorded as such . At first thought to be lost for over seven decades , a recording of this original version was rediscovered in 2009 .  Victor Fleming , the main director ( edit ) Director Victor Fleming on set with cast  Cukor did not actually shoot any scenes for the film , merely acting as something of a `` creative advisor '' to the troubled production , and , because of his prior commitment to direct Gone with the Wind , he left on November 3 , 1938 , when Victor Fleming assumed directorial responsibility . As director , Fleming chose not to shift the film from Cukor 's creative realignment , as producer LeRoy had already pronounced his satisfaction with the new course the film was taking .   Production on the bulk of the Technicolor sequences was a long and cumbersome process that ran for over six months , from October 1938 to March 1939 . Most of the cast worked six days a week and had to arrive as early as 4 : 00 a.m. to be fitted with makeup and costumes , and often did not leave until 7 pm or later . Cumbersome makeup and costumes were made even more uncomfortable by the daylight - bright lighting the early Technicolor process required , which could heat the set to over 100 ° F ( 38 ° C ) . Bolger later said that the frightening nature of the costumes prevented most of the Oz principals from eating in the studio commissary ; the toxicity of Hamilton 's copper - based makeup forced her to eat a liquid diet on shoot days . It took as many as twelve takes to have Toto run alongside the actors as they skipped down the yellow brick road .   All of the Oz sequences were filmed in three - strip Technicolor . The opening and closing credits , as well as the Kansas sequences , were filmed in black and white and colored in a sepia - tone process . Sepia - toned film was also used in the scene where Aunt Em appears in the Wicked Witch 's crystal ball .   An extensive talent search produced over a hundred little people to play Munchkins ; this meant that most of the film 's Oz sequences would have to already be shot before work on the Munchkinland sequence could begin . According to Munchkin actor Jerry Maren , the little people were each paid over $125 a week . Meinhardt Raabe , who played the coroner , revealed in the 1990 documentary The Making of the Wizard of Oz that the MGM costume and wardrobe department , under the direction of designer Adrian , had to design over 100 costumes for the Munchkin sequences . They then had to photograph and catalog each Munchkin in his or her costume so that they could correctly apply the same costume and makeup each day of production .   In Hamilton 's exit from the Munchkinland a concealed elevator was arranged to lower her below stage as fire and smoke erupted to dramatize and conceal her exit . The first take ran well but in the second take the timing of the elevator was off ; the flames set fire to her greasy makeup , causing second - degree burns on her hands and face . She spent six weeks in the hospital .  King Vidor 's finishing work as director ( edit )  On February 12 , 1939 , Fleming hastily replaced Cukor in directing Gone with the Wind ; the next day , King Vidor was assigned as director by the studio to finish the filming of The Wizard of Oz ( mainly the sepia - toned Kansas sequences , including Garland 's singing of `` Over the Rainbow '' and the tornado ) . In later years , when the film became firmly established as a classic , Vidor chose not to take public credit for his contribution until after the death of his friend Fleming in 1949 .   Post-production ( edit )   Principal photography concluded with the Kansas sequences on March 16 , 1939 ; nonetheless , reshoots and pick - up shots were filmed throughout April and May and into June , under the direction of producer LeRoy . After the deletion of the `` Over the Rainbow '' reprise during subsequent test screenings in early June , Garland had to be brought back one more time to reshoot the `` Auntie Em , I 'm frightened ! '' scene without the song ; the footage of Blandick 's Aunt Em , as shot by Vidor , had already been set aside for rear - projection work , and was simply reused .   After Hamilton 's torturous experience with the Munchkinland elevator , she refused to do the pick - ups for the scene in which she flies on a broomstick that billows smoke , so LeRoy chose to have stand - in Betty Danko perform the scene , instead ; as a result , Danko was severely injured doing the scene due to a malfunction in the smoke mechanism .   At this point , the film began a long arduous post-production . Herbert Stothart had to compose the film 's background score , while A. Arnold Gillespie had to perfect the various special effects that the film required , including many of the rear projection shots . The MGM art department also had to create the various matte paintings for the background of many of the scenes .   One significant innovation planned for the film was the use of stencil printing for the transition to Technicolor . Each frame was to be hand - tinted to maintain the sepia tone ; however , because this was too expensive and labor - intensive , it was abandoned and MGM used a simpler and less expensive variation of the process . During the reshoots in May , the inside of the farm house was painted sepia , and when Dorothy opens the door , it is not Garland , but her stand - in , Bobbie Koshay , wearing a sepia gingham dress , who then backs out of frame ; once the camera moves through the door , Garland steps back into frame in her bright blue gingham dress ( as noted in DVD extras ) , and the sepia - painted door briefly tints her with the same color before she emerges from the house 's shadow , into the bright glare of the Technicolor lighting . This also meant that the reshoots provided the first proper shot of Munchkinland ; if one looks carefully , the brief cut to Dorothy looking around outside the house bisects a single long shot , from the inside of the doorway to the pan-around that finally ends in a reverse - angle as the ruins of the house are seen behind Dorothy as she comes to a stop at the foot of the small bridge .   Test screenings of the film began on June 5 , 1939 . Oz initially ran nearly two hours long . LeRoy and Fleming knew that at least a quarter of an hour needed to be deleted to get the film down to a manageable running time ; the average film in 1939 running just about 90 minutes . Three sneak previews in Santa Barbara , Pomona and San Luis Obispo , California , helped guide LeRoy and Fleming in the cutting . Among the many cuts were `` The Jitterbug '' number , the Scarecrow 's elaborate dance sequence following `` If I Only Had a Brain '' , reprises of `` Over the Rainbow '' and `` Ding - Dong ! The Witch Is Dead '' , and a number of smaller dialogue sequences . This left the final , mostly serious portion of the film with no songs , only the dramatic underscoring .   One song that was almost deleted was `` Over the Rainbow '' . MGM had felt that it made the Kansas sequence too long , as well as being far over the heads of the target audience of children . The studio also thought that it was degrading for Garland to sing in a barnyard . LeRoy , uncredited associate producer Arthur Freed and director Fleming fought to keep it in , and they all eventually won . The song went on to win the Academy Award for Best Song of the Year , and came to be identified so strongly with Garland herself that she made it her theme song . In 2004 , the song was ranked no . 1 by the American Film Institute on AFI 's 100 Years ... 100 Songs list .   After the preview in San Luis Obispo in early July , the film was officially released in August 1939 at its current 101 - minute running time .   Music ( edit )  Main article : Musical selections in The Wizard of Oz Herbert Stothart conducts the MGM Studio Orchestra for The Wizard of Oz , which was recorded at the MGM studios .  The film is widely noted for its musical selections and soundtrack . The music was composed by Harold Arlen , and the lyrics were written by Yip Harburg , both of whom won the Academy Award for Best Original Song for `` Over the Rainbow '' . The song was ranked first in two lists : the AFI 's 100 Years ... 100 Songs and the Recording Industry Association of America 's `` 365 Songs of the Century '' .   MGM composer Herbert Stothart , a well - known Hollywood composer and songwriter , won the Academy Award for Best Original Score in recognition of his original score .   Georgie St</t>
  </si>
  <si>
    <t xml:space="preserve">when was the wizard of oz made in technicolor</t>
  </si>
  <si>
    <t xml:space="preserve"> Notable for its use of Technicolor , fantasy storytelling , musical score , and memorable characters , it has become an icon of American popular culture . It was nominated for six Academy Awards , including Best Picture , but lost to Gone with the Wind . It did win in two other categories , including Best Original Song for `` Over the Rainbow '' and Best Original Score by Herbert Stothart . While the film was considered a critical success upon release in August 1939 , it failed to generate profit for MGM , earning only $3,017,000 on a $2,777,000 budget , which made it MGM 's most expensive production to date . </t>
  </si>
  <si>
    <r>
      <rPr>
        <sz val="11"/>
        <color rgb="FF000000"/>
        <rFont val="Calibri"/>
        <family val="0"/>
        <charset val="1"/>
      </rPr>
      <t xml:space="preserve">2018 FIFA World Cup disciplinary record - wikipedia  2018 FIFA World Cup disciplinary record  See also : 2018 FIFA World Cup statistics  In the 2018 FIFA World Cup , which took place in Russia from 14 June to 15 July 2018 , the main disciplinary actions taken against players came in the form of red and yellow cards .   A player sanctioned with a red card was sent off from the pitch and could not be replaced . Furthermore , the player was automatically banned from his team 's next match . After a straight red card , FIFA conducted a hearing and considered extending this ban beyond one match . If the ban extended beyond the end of the World Cup finals ( for example , a player was sent off in his team 's last match ) , it had to be served in the team 's next competitive international match ( es ) .   A player also received a one match ban if he picked up a single yellow card in two different games from the beginning of the group stage until the end of the quarter - finals , where single yellow cards were negated . However , such a ban did not carry over beyond the World Cup finals if the second yellow card was collected in his team 's last match .   Contents    1 Disciplinary statistics   2 Sanctions   2.1 By match   2.2 By referee   2.3 By team   2.4 By player     3 Notes   4 References   5 External links    Disciplinary statistics ( edit )    Total number of yellow cards : 219   Average yellow cards per match : 3.42   Total number of red cards : 4   Average red cards per match : 0.06   First yellow card of the tournament : Aleksandr Golovin for Russia against Saudi Arabia   First red card of the tournament : Carlos Sánchez Moreno for Colombia against Japan   Fastest yellow card from kick off : 1st minute   Fastest yellow card after coming on as a substitute : 1st minute   Latest yellow card in a match without extra time : 90 + 8th minute Aleksandar Prijović for Serbia against Costa Rica , Cédric Soares for Portugal against Iran   Latest yellow card in a match with extra time : 118th minute   Fastest dismissal from kick off : 3rd minute   Latest dismissal in a match without extra time : 90 + 4th minute   Shortest time difference between two yellow cards given to the same player : 9 minutes Igor Smolnikov for Russia against Uruguay ( booked in the 27th minute and again in the 36th minute )   Most yellow cards ( team ) : 15 Croatia   Most red cards ( team ) : 1 Colombia , Germany , Russia , Switzerland   Fewest yellow cards ( team ) : 1 Saudi Arabia   Most yellow cards ( player ) : 3 Sebastian Larsson   Most red cards ( player ) : 1 Jérôme Boateng , Michael Lang , Carlos Sánchez Moreno , Igor Smolnikov   Most yellow cards ( match ) : 8 Belgium vs Panama , France vs Argentina , Colombia vs England   Most red cards ( match ) : 1 Colombia vs Japan , Germany vs Sweden , Uruguay vs Russia , Sweden vs Switzerland   Fewest yellow cards ( match ) : 0 Argentina vs Iceland , Uruguay vs Saudi Arabia   Most cards in one match : 8 yellow cards Belgium vs Panama , France vs Argentina , Colombia vs England    Sanctions ( edit )   By match ( edit )     Day   Home   Score   Away   Round   Referee   Total cards           Group stage     Day 01   Russia   5 -- 0   Saudi Arabia   Group A   Néstor Pitana       0   0     Day 02   Egypt   0 -- 1   Uruguay   Group A   Björn Kuipers       0   0     Day 02   Morocco   0 -- 1   Iran   Group B   Cüneyt Çakır       0   0     Day 02   Portugal   3 -- 3   Spain   Group B   Gianluca Rocchi       0   0     Day 03   France   2 -- 1   Australia   Group C   Andrés Cunha       0   0     Day 03   Argentina   1 -- 1   Iceland   Group D   Szymon Marciniak   0   0   0   0     Day 03   Peru   0 -- 1   Denmark   Group C   Bakary Gassama       0   0     Day 03   Croatia   2 -- 0   Nigeria   Group D   Sandro Ricci       0   0     Day 04   Costa Rica   0 -- 1   Serbia   Group E   Malang Diedhiou       0   0     Day 04   Germany   0 -- 1   Mexico   Group F   Alireza Faghani       0   0     Day 04   Brazil   1 -- 1   Switzerland   Group E   César Arturo Ramos       0   0     Day 05   Sweden   1 -- 0   South Korea   Group F   Joel Aguilar       0   0     Day 05   Belgium   3 -- 0   Panama   Group G   Janny Sikazwe   8   8   0   0     Day 05   Tunisia   1 -- 2   England   Group G   Wilmar Roldán       0   0     Day 06   Colombia   1 -- 2   Japan   Group H   Damir Skomina       0       Day 06   Poland   1 -- 2   Senegal   Group H   Nawaf Shukralla       0   0     Day 06   Russia   3 -- 1   Egypt   Group A   Enrique Cáceres       0   0     Day 07   Portugal   1 -- 0   Morocco   Group B   Mark Geiger       0   0     Day 07   Uruguay   1 -- 0   Saudi Arabia   Group A   Clément Turpin   0   0   0   0     Day 07   Iran   0 -- 1   Spain   Group B   Andrés Cunha       0   0     Day 08   Denmark   1 -- 1   Australia   Group C   Antonio Mateu Lahoz       0   0     Day 08   France   1 -- 0   Peru   Group C   Mohammed Abdulla Hassan Mohamed       0   0     Day 08   Argentina   0 -- 3   Croatia   Group D   Ravshan Irmatov   7   7   0   0     Day 09   Brazil   2 -- 0   Costa Rica   Group E   Björn Kuipers       0   0     Day 09   Nigeria   2 -- 0   Iceland   Group D   Matthew Conger       0   0     Day 09   Serbia   1 -- 2   Switzerland   Group E   Felix Brych   5   5   0   0     Day 10   Belgium   5 -- 2   Tunisia   Group G   Jair Marrufo       0   0     Day 10   South Korea   1 -- 2   Mexico   Group F   Milorad Mažić       0   0     Day 10   Germany   2 -- 1   Sweden   Group F   Szymon Marciniak         0     Day 11   England   6 -- 1   Panama   Group G   Gehad Grisha       0   0     Day 11   Japan   2 -- 2   Senegal   Group H   Gianluca Rocchi   5   5   0   0     Day 11   Poland   0 -- 3   Colombia   Group H   César Arturo Ramos       0   0     Day 12   Uruguay   3 -- 0   Russia   Group A   Malang Diedhiou         0     Day 12   Saudi Arabia   2 -- 1   Egypt   Group A   Wilmar Roldán       0   0     Day 12   Iran   1 -- 1   Portugal   Group B   Enrique Cáceres   6   6   0   0     Day 12   Spain   2 -- 2   Morocco   Group B   Ravshan Irmatov   6   6   0   0     Day 13   Denmark   0 -- 0   France   Group C   Sandro Ricci       0   0     Day 13   Australia   0 -- 2   Peru   Group C   Sergei Karasev   6   6   0   0     Day 13   Nigeria   1 -- 2   Argentina   Group D   Cüneyt Çakır   5   5   0   0     Day 13   Iceland   1 -- 2   Croatia   Group D   Antonio Mateu Lahoz   5   5   0   0     Day 14   South Korea   2 -- 0   Germany   Group F   Mark Geiger       0   0     Day 14   Mexico   0 -- 3   Sweden   Group F   Néstor Pitana   5   5   0   0     Day 14   Serbia   0 -- 2   Brazil   Group E   Alireza Faghani       0   0     Day 14   Switzerland   2 -- 2   Costa Rica   Group E   Clément Turpin   6   6   0   0     Day 15   Japan   0 -- 1   Poland   Group H   Janny Sikazwe       0   0     Day 15   Senegal   0 -- 1   Colombia   Group H   Milorad Mažić       0   0     Day 15   England   0 -- 1   Belgium   Group G   Damir Skomina       0   0     Day 15   Panama   1 -- 2   Tunisia   Group G   Nawaf Shukralla   6   6   0   0     Knockout stage     Day 16   France   4 -- 3   Argentina   Round of 16   Alireza Faghani   8   8   0   0     Day 16   Uruguay   2 -- 1   Portugal   Round of 16   César Arturo Ramos       0   0     Day 17   Spain   1 -- 1 aet ( 3 -- 4 p )   Russia   Round of 16   Björn Kuipers       0   0     Day 17   Croatia   1 -- 1 aet ( 3 -- 2 p )   Denmark   Round of 16   Néstor Pitana       0   0     Day 18   Brazil   2 -- 0   Mexico   Round of 16   Gianluca Rocchi   6   6   0   0     Day 18   Belgium   3 -- 2   Japan   Round of 16   Malang Diedhiou       0   0     Day 19   Sweden   1 -- 0   Switzerland   Round of 16   Damir Skomina       0       Day 19   Colombia   1 -- 1 aet ( 3 -- 4 p )   England   Round of 16   Mark Geiger   8   8   0   0     Day 20   Uruguay   0 -- 2   France   Quarter - finals   Néstor Pitana       0   0     Day 20   Brazil   1 -- 2   Belgium   Quarter - finals   Milorad Mažić       0   0     Day 21   Sweden   0 -- 2   England   Quarter - finals   Björn Kuipers       0   0     Day 21   Russia   2 -- 2 aet ( 3 -- 4 p )   Croatia   Quarter - finals   Sandro Ricci   5   5   0   0     Day 22   France   1 -- 0   Belgium   Semi-finals   Andrés Cunha   5   5   0   0     Day 23   Croatia   2 -- 1 aet   England   Semi-finals   Cüneyt Çakır       0   0     Day 24   Belgium   2 -- 0   England   Third place play - off   Alireza Faghani       0   0     Day 25   France   4 -- 2   Croatia   Final   Néstor Pitana       0   0     Source :   By referee ( edit )     Referee   Country   Matches         PKs awarded     Damir Skomina   Slovenia       0   8       Malang Diedhiou   Senegal     0     7   0     Szymon Marciniak   Poland     0           Alireza Faghani   Iran     0   0   18       Néstor Pitana   Argentina   5   0   0   15       Mark Geiger   United States     0   0   14       Ravshan Irmatov   Uzbekistan     0   0   13   0     Gianluca Rocchi   Italy     0   0   13       Cüneyt Çakır   Turkey     0   0   12       Andrés Cunha   Uruguay     0   0   11       Björn Kuipers   Netherlands     0   0   11       Milorad Mažić   Serbia     0   0   10       Sandro Ricci   Brazil     0   0   9       Nawaf Shukralla   Bahrain     0   0   9   0     Janny Sikazwe   Zambia     0   0   9   0     Enrique Cáceres   Paraguay     0   0   8       Antonio Mateu Lahoz   Spain     0   0   7       César Arturo Ramos   Mexico     0   0   7   0     Sergei Karasev   Russia     0   0   6   0     Clément Turpin   France     0   0   6       Felix Brych   Germany     0   0   5   0     Mohammed Abdulla Hassan Mohamed   United Arab Emirates     0   0     0     Gehad Grisha   Egypt     0   0         Joel Aguilar   El Salvador     0   0         Bakary Gassama   Gambia     0   0         Wilmar Roldán   Colombia     0   0         Matthew Conger   New Zealand     0   0         Jair Marrufo   United States     0   0         By team ( edit )     Team         Red cards   Players suspended for World Cup matches     Colombia     0   9   Carlos Sánchez Moreno vs Japan ( GS ) ( denying a goal by handling )   Carlos Sánchez Moreno vs Poland ( GS )     Switzerland     0   9   Michael Lang vs Sweden ( R16 ) ( denying a goalscoring chance )   Stephan Lichtsteiner and Fabian Schär vs Sweden ( R16 )     Russia   0     6   Igor Smolnikov vs Uruguay ( GS )   Igor Smolnikov vs Spain ( R16 )     Germany   0       Jérôme Boateng vs Sweden ( GS )   Jérôme Boateng vs South Korea ( GS )     Croatia   0   0   15         France   0   0   12     Blaise Matuidi vs Uruguay ( QF )     Argentina   0   0   11         Belgium   0   0   11     Thomas Meunier vs France ( SF )     Panama   0   0   11     Armando Cooper and Michael Amir Murillo vs Tunisia ( GS )     South Korea   0   0   10         Mexico   0   0   9     Héctor Moreno vs Brazil ( R16 )     Serbia   0   0   9         England   0   0   8         Morocco   0   0   8         Sweden   0   0   8     Sebastian Larsson vs Switzerland ( R16 ) Mikael Lustig vs England ( QF )     Australia   0   0   7         Brazil   0   0   7     Casemiro vs Belgium ( QF )     Iran   0   0   7         Portugal   0   0   7         Costa Rica   0   0   6         Denmark   0   0   6     Yussuf Poulsen vs France ( GS )     Senegal   0   0   6         Egypt   0   0   5         Japan   0   0   5         Peru   0   0   5         Nigeria   0   0           Tunisia   0   0           Iceland   0   0           Poland   0   0           Uruguay   0   0           Spain   0   0           Saudi Arabia   0   0           By player ( edit )     Name   Team         Suspended for match ( es ) :     Carlos Sánchez Moreno   Colombia     0     vs Poland ( GS )     Michael Lang   Switzerland     0   0       Jérôme Boateng   Germany   0     0   vs South Korea ( GS )     Igor Smolnikov   Russia   0     0   vs Spain ( R16 )     Sebastian Larsson   Sweden   0   0     vs Switzerland ( R16 )     Toby Alderweireld   Belgium   0   0         Éver Banega   Argentina   0   0         Wílmar Barrios   Colombia   0   0         Valon Behrami   Switzerland   0   0         Rodrigo Bentancur   Uruguay   0   0         Casemiro   Brazil   0   0     vs Belgium ( QF )     Armando Cooper   Panama   0   0     vs Tunisia ( GS )     Karim El Ahmadi   Morocco   0   0         Yury Gazinsky   Russia   0   0         Lucas Hernández   France   0   0         Héctor Herrera   Mexico   0   0         Mathias Jørgensen   Denmark   0   0         Jung Woo - young   South Korea   0   0         N'Golo Kanté   France   0   0         Stephan Lichtsteiner   Switzerland   0   0     vs Sweden ( R16 )     Mikael Lustig   Sweden   0   0     vs England ( QF )     Harry Maguire   England   0   0         Mario Mandžukić   Croatia   0   0         Javier Mascherano   Argentina   0   0         Nemanja Matić   Serbia   0   0         Blaise Matuidi   France   0   0     vs Uruguay ( QF )     Kylian Mbappé   France   0   0         Thomas Meunier   Belgium   0   0     vs France ( SF )     Aleksandar Mitrović   Serbia   0   0         Héctor Moreno   Mexico   0   0     vs Brazil ( R16 )     Michael Amir Murillo   Panama   0   0     vs Tunisia ( GS )     M'Baye Niang   Senegal   0   0         Nicolás Otamendi   Argentina   0   0         Yussuf Poulsen   Denmark   0   0     vs France ( GS )     Ante Rebić   Croatia   0   0         Cristiano Ronaldo   Portugal   0   0         Ferjani Sassi   Tunisia   0   0         Fabian Schär   Switzerland   0   0     vs Sweden ( R16 )     Jan Vertonghen   Belgium   0   0         Šime Vrsaljko   Croatia   0   0         Kyle Walker   England   0   0         Johnny Acosta   Costa Rica   0   0         Marcos Acuña   Argentina   0   0         Taisir Al - Jassim   Saudi Arabia   0   0         Edson Álvarez   Mexico   0   0         Vahid Amiri   Iran   0   0         Nordin Amrabat   Morocco   0   0         Karim Ansarifard   Iran   0   0         Pedro Aquino   Peru   0   0         Santiago Arias   Colombia   0   0         Daniel Arzani   Australia   0   0         Ricardo Ávila   Panama   0   0         Sardar Azmoun   Iran   0   0         Carlos Bacca   Colombia   0   0         Anice Badri   Tunisia   0   0         Leon Balogun   Nigeria   0   0         Édgar Yoel Bárcenas   Panama   0   0         Jan Bednarek   Poland   0   0         Aziz Behich   Australia   0   0         Medhi Benatia   Morocco   0   0         Mbark Boussoufa   Morocco   0   0         Marcelo Brozović   Croatia   0   0         Sergio Busquets   Spain   0   0         Francisco Calvo   Costa Rica   0   0         Joel Campbell   Costa Rica   0   0         Cédric Soares   Portugal   0   0         Ghailene Chaalali   Tunisia   0   0         Viktor Claesson   Sweden   0   0         Vedran Ćorluka   Croatia   0   0         Philippe Coutinho   Brazil   0   0         Juan Cuadrado   Colombia   0   0         Manuel da Costa   Morocco   0   0         Erick Davis   Panama   0   0         Kevin De Bruyne   Belgium   0   0         Thomas Delaney   Denmark   0   0         Leander Dendoncker   Belgium   0   0         Omid Ebrahimi   Iran   0   0         Albin Ekdal   Sweden   0   0         Fidel Escobar   Panama   0   0         Fagner Conserva Lemos   Brazil   0   0         Radamel Falcao   Colombia   0   0         Ahmed Fathy   Egypt   0   0         Bruno Fernandes   Portugal   0   0         Fernandinho   Brazil   0   0         Filipe Luís   Brazil   0   0         Alfreð Finnbogason   Iceland   0   0         Ali Gabr   Egypt   0   0         Jesús Gallardo   Mexico   0   0         Cristian Gamboa   Costa Rica   0   0         Olivier Giroud   France   0   0         Aníbal Godoy   Panama   0   0         Aleksandr Golovin   Russia   0   0         Gabriel Gómez   Panama   0   0         Jacek Góralski   Poland   0   0         Andrés Guardado   Mexico   0   0         Raphaël Guerreiro   Portugal   0   0         Paolo Guerrero   Peru   0   0         Idrissa Gueye   Senegal   0   0         John Guidetti   Sweden   0   0         David Guzmán   Costa Rica   0   0         Ehsan Hajsafi   Iran   0   0         Achraf Hakimi   Morocco   0   0         Emil Hallfreðsson   Iceland   0   0         Eden Hazard   Belgium   0   0         Makoto Hasebe   Japan   0   0         Ahmed Hegazi   Egypt   0   0         Jordan Henderson   England   0   0         Mats Hummels   Germany   0   0         Paolo Hurtado   Peru   0   0         Hwang Hee - chan   South Korea   0   0         Brian Idowu   Nigeria   0   0         Takashi Inui   Japan   0   0         Branislav Ivanović   Serbia   0   0         Alireza Jahanbakhsh   Iran   0   0         Mile Jedinak   Australia   0   0         Tin Jedvaj   Croatia   0   0         Eiji Kawashima   Japan   0   0         Kim Shin - wook   South Korea   0   0         Kim Young - gwon   South Korea   0   0         Grzegorz Krychowiak   Poland   0   0         Ilya Kutepov   Russia   0   0         Miguel Layún   Mexico   0   0         Mathew Leckie   Australia   0   0         Lee Jae - sung   South Korea   0   0         Lee Seung - woo   South Korea   0   0         Lee Yong   South Korea   0   0         Jesse Lingard   England   0   0         Adem Ljajić   Serbia   0   0         Ruben Loftus - Cheek   England   0   0         Dejan Lovren   Croatia   0   0         Tomoaki Makino   Japan   0   0         Gabriel Mercado   Argentina   0   0         Lionel Messi   Argentina   0   0         John Obi Mikel   Nigeria   0   0         Mark Milligan   Australia   0   0         Sergej Milinković - Savić   Serbia   0   0         Luka Milivojević   Serbia   0   0         Johan Mojica   Colombia   0   0         Moon Seon - min   South Korea   0   0         Sam Morsy   Egypt   0   0         Thomas Müller   Germany   0   0         Munir Mohand Mohamedi   Morocco   0   0         Cheikh N'Doye   Senegal   0   0         Neymar   Brazil   0   0         Benjamin Pavard   France   0   0         Gerard Piqué   Spain   0   0         Josip Pivarić   Croatia   0   0         Marko Pjaca   Croatia   0   0         Paul Pogba   France   0   0         Aleksandar Prijović   Serbia   0   0         Ricardo Quaresma   Portugal   0   0         Ivan Rakitić   Croatia   0   0         Josh Risdon   Australia   0   0         Cristian Rodríguez   Uruguay   0   0         James Rodríguez   Colombia   0   0         Tom Rogic   Australia   0   0         Marcos Rojo   Argentina   0   0         Youssouf Sabaly   Senegal   0   0         Birkir Már Sævarsson   Iceland   0   0         Carlos Salcedo   Mexico   0   0         Salif Sané   Senegal   0   0         Xherdan Shaqiri   Switzerland   0   0         Masoud Shojaei   Iran   0   0         Gaku Shibasaki   Japan   0   0         Adrien Silva   Portugal   0   0         Pione Sisto   Denmark   0   0         Fyodor Smolov   Russia   0   0         Son Heung - min   South Korea   0   0         John Stones   England   0   0         Ivan Strinić   Croatia   0   0         Nicolás Tagliafico   Argentina   0   0         Renato Tapia   Peru   0   0         Youri Tielemans   Belgium   0   0         Luis Tejada   Panama   0   0         Corentin Tolisso   France   0   0         Trézéguet   Egypt   0   0         William Troost - Ekong   Nigeria   0   0         Domagoj Vida   Croatia   0   0         Kendall Waston   Costa Rica   0   0         Axel Witsel   Belgium   0   0         Granit Xhaka   Switzerland   0   0         Yoshimar Yotún   Peru   0   0         Denis Zakaria   Switzerland   0   0         Roman Zobnin   Russia   0   0         Source :   Notes ( edit )    ^ Jump up to : As Lang was sent off in Switzerland 's last match of the tournament , he will serve a suspension during the next competitive game of Switzerland ( vs Iceland in 2018 -- 19 UEFA Nations League ) .    References ( edit )    Jump up ^ `` What if ... ? '' . FIFA. 20 June 2014 . Retrieved 7 July 2018 .   Jump up ^ `` FIFA Disciplinary Code 2017 edition , art . 38 '' ( PDF ) . FIFA . Retrieved 14 June 2018 .   ^ Jump up to : `` FIFA World Cup Statistics '' . ESPN . Retrieved 14 June 2018 .    External links ( edit )       Wikimedia Commons has media related to FIFA World Cup 2018 .      Official website              2018 FIFA World Cup     Stages     Group stage   Group A   Group B   Group C   Group D   Group E   Group F   Group G   Group H     Knockout stage   Final       General information     Qualification   Bids   Broadcasting rights   Controversies   Discipline   Officials   Opening ceremony   Seeding   Squads   Statistics       Official symbols     Adidas Telstar 18 ( ball )   `` Live It Up '' ( song )   Zabivaka ( mascot )                 2018 FIFA World Cup finalists     Champions   France     Runners - up   Croatia     Third place   Belgium     Fourth place   England     Quarter - finals     Brazil   Russia   Sweden   Uruguay       Round of 16     Argentina   Colombia   Denmark   Japan   Mexico   Portugal   Spain   Switzerland       Group stage     Australia   Costa Rica   Egypt   Germany   Iceland   Iran   Morocco   Nigeria   Panama   Peru   Poland   Saudi Arabia   Senegal   Serbia   South Korea   Tunisia                 FIFA World Cup     Tournaments     Uruguay 1930   Italy 1934   France 1938   Brazil 1950   Switzerland 1954   Sweden 1958   Chile 1962   England 1966   Mexico 1970   West Germany 1974   Argentina 1978   Spain 1982   Mexico 1986   Italy 1990   United States 1994   France 1998   South Korea -- Japan 2002   Germany 2006   South Africa 2010   Brazil 2014   Russia 2018   Qatar 2022   Canada -- Mexico -- United States 2026   2030   2034       Qualification     1930   1934   1938   1950   1954   1958   1962   1966   1970     1978   1982   1986   1990   1994   1998   2002   2006     2014   2018       Finals     1930   1934   1938   1950   1954   1958   1962   1966   1970     1978   1982   1986   1990   1994   1998   2002   2006     2014   2018       Squads     1930   1934   1938   1950   1954   1958   1962   1966   1970     1978   1982   1986   1990   1994   1998   2002   2006     2014   2018       Seedings     1998   2002   2006     2014   2018       Broadcasters     1998   2002   2006     2014   2018       Bids     2014   2018 and 2022   2026   2030       Statistics     2002   2006     2014   2018       Disciplinary record     1994   1998   2002   2006     2014   2018       Team appearances     AFC   CAF   CONCACAF   CONMEBOL   OFC   UEFA   Teams with no appearances       Overall records     All - time table   Goalscorers   top goalscorers   finals goalscorers   hat - tricks   own goals     Penalty shoot - outs   Player appearances   Red cards   Referees   Winners       Miscellaneous     Openings   Stadiums   Awards   Balls   Economics   Final draw   History   Hosts   Mascots   Official films   Official anthems &amp; songs   Organisers   Trophy   Video games       Notes : There was no qualification for the 1930 World Cup as places were given by invitation only . In 1950 , there was no final ; the article is about the decisive match of the final group stage .    Retrieved from `` https://en.wikipedia.org/w/index.php?title=2018_FIFA_World_Cup_disciplinary_record&amp;oldid=850906212 '' Categories :   2018 FIFA World Cup   FIFA World Cup disciplinary records   Hidden categories :   Articles with hCards           Talk                                           Contents                   About Wikipedia                                                   </t>
    </r>
    <r>
      <rPr>
        <sz val="11"/>
        <color rgb="FF000000"/>
        <rFont val="Noto Sans CJK SC"/>
        <family val="2"/>
      </rPr>
      <t xml:space="preserve">한국어   </t>
    </r>
    <r>
      <rPr>
        <sz val="11"/>
        <color rgb="FF000000"/>
        <rFont val="Calibri"/>
        <family val="0"/>
        <charset val="1"/>
      </rPr>
      <t xml:space="preserve">Português   Русский   Simple English   Edit links   This page was last edited on 18 July 2018 , at 19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</si>
  <si>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number of red card in world cup 2018</t>
  </si>
  <si>
    <t xml:space="preserve">  Total number of yellow cards : 219   Average yellow cards per match : 3.42   Total number of red cards : 4   Average red cards per match : 0.06   First yellow card of the tournament : Aleksandr Golovin for Russia against Saudi Arabia   First red card of the tournament : Carlos Sánchez Moreno for Colombia against Japan   Fastest yellow card from kick off : 1st minute   Fastest yellow card after coming on as a substitute : 1st minute   Latest yellow card in a match without extra time : 90 + 8th minute Aleksandar Prijović for Serbia against Costa Rica , Cédric Soares for Portugal against Iran   Latest yellow card in a match with extra time : 118th minute   Fastest dismissal from kick off : 3rd minute   Latest dismissal in a match without extra time : 90 + 4th minute   Shortest time difference between two yellow cards given to the same player : 9 minutes Igor Smolnikov for Russia against Uruguay ( booked in the 27th minute and again in the 36th minute )   Most yellow cards ( team ) : 15 Croatia   Most red cards ( team ) : 1 Colombia , Germany , Russia , Switzerland   Fewest yellow cards ( team ) : 1 Saudi Arabia   Most yellow cards ( player ) : 3 Sebastian Larsson   Most red cards ( player ) : 1 Jérôme Boateng , Michael Lang , Carlos Sánchez Moreno , Igor Smolnikov   Most yellow cards ( match ) : 8 Belgium vs Panama , France vs Argentina , Colombia vs England   Most red cards ( match ) : 1 Colombia vs Japan , Germany vs Sweden , Uruguay vs Russia , Sweden vs Switzerland   Fewest yellow cards ( match ) : 0 Argentina vs Iceland , Uruguay vs Saudi Arabia   Most cards in one match : 8 yellow cards Belgium vs Panama , France vs Argentina , Colombia vs England  </t>
  </si>
  <si>
    <t xml:space="preserve">Solar eclipse of August 21 , 2017 - Wikipedia  Solar eclipse of August 21 , 2017  Jump to : navigation , search    Solar eclipse of August 21 , 2017     Totality as seen from Simpsonville , South Carolina     Map     Type of eclipse     Nature   Total     Gamma   0.4367     Magnitude   1.0306     Maximum eclipse     Duration   160 sec ( 2 m 40 s )       37 ° 00 ′ N 87 ° 42 ′ W ﻿ / ﻿ 37 ° N 87.7 ° W ﻿ / 37 ; - 87.7     Max . width of band   115 km ( 71 mi )     Times ( UTC )     ( P1 ) Partial begin   15 : 46 : 48     ( U1 ) Total begin   16 : 48 : 32     Greatest eclipse   18 : 26 : 40     ( U4 ) Total end   20 : 01 : 35     ( P4 ) Partial end   21 : 04 : 19     References     Saros   145 ( 22 of 77 )     Catalog # ( SE5000 )   9546     The solar eclipse of August 21 , 2017 , dubbed `` The Great American Eclipse '' by the media , was a total eclipse visible within a band across the entire contiguous United States , passing from the Pacific to the Atlantic coasts . As a partial solar eclipse , it was visible on land from Nunavut in northern Canada to as far south as northern South America . In northwestern Europe and Africa , it was partially visible in the late evening . In Asia it was visible only at the eastern extremity , the Chukchi Peninsula .  Play media Video of the eclipse second contact in Simpsonville , South Carolina . Crowd reaction is heard on audio .  Prior to this event , no solar eclipse had been visible across the entire contiguous United States since June 8 , 1918 ; not since the February 1979 eclipse had a total eclipse been visible from anywhere in the mainland United States . The path of totality touched 14 states , and the rest of the U.S. had a partial eclipse . The area of the path of totality was about 16 percent of the area of the United States , with most of this area over the ocean , not land . The event 's shadow began to cover land on the Oregon coast as a partial eclipse at 4 : 05 p.m. UTC ( 9 : 05 a.m. PDT ) , with the total eclipse beginning there at 5 : 16 p.m. UTC ( 10 : 16 a.m. PDT ) ; the total eclipse 's land coverage ended along the South Carolina coast at about 6 : 44 p.m. UTC ( 2 : 44 p.m. EDT ) . Visibility as a partial eclipse in Honolulu , Hawaii began with sunrise at 4 : 20 p.m. UTC ( 6 : 20 a.m. HST ) and ended by 5 : 25 p.m. UTC ( 7 : 25 a.m. HST ) .   This total solar eclipse marked the first such event in the smartphone and social media era in America . Information , personal communication , and photography were widely available as never before , capturing popular attention and enhancing the social experience .   Logistical problems were expected with the influx of visitors , especially for smaller communities . The sale of counterfeit eclipse glasses was also anticipated to be a hazard for eye injuries .   Future total solar eclipses will cross the United States in April 2024 ( 12 states ) and August 2045 ( 10 states ) , and annular solar eclipses -- wherein the Moon appears smaller than the Sun -- will occur in October 2023 ( 9 states ) and June 2048 ( 9 states ) .     Contents  ( hide )   1 Visibility   2 Other celestial bodies   3 Other eclipses over the United States   4 Total eclipse viewing events   4.1 Oregon   4.2 Idaho   4.3 Wyoming   4.4 Nebraska   4.5 Missouri   4.6 Illinois   4.7 Kansas   4.8 Kentucky   4.9 Tennessee   4.10 North Carolina   4.11 Georgia   4.12 South Carolina     5 Viewing from outside the United States   5.1 Canada   5.2 Mexico , Central America , Caribbean islands , South America   5.3 Russia   5.4 West Africa   5.5 Europe     6 Media and scientific coverage   7 Counterfeit eclipse glasses   8 Eye damage   9 Planning   10 Post-eclipse traffic problems   11 Impact on solar power   12 Commemorative stamp   13 Videos   14 Gallery   14.1 Totality   14.2 Transition   14.3 Partial   14.4 Images produced by natural pinholes   14.5 Views outside of the US     15 Related eclipses   15.1 Solar eclipses 2015 -- 2018   15.2 Saros series 145   15.3 Metonic series     16 See also   17 References   18 Further reading   19 External links      Visibility ( edit )     Play media Time - lapse footage of Falls Park on the Reedy in Greenville , South Carolina during the eclipse   Play media Video of shadow bands on the ground as seen in Simpsonville , South Carolina .     The total eclipse had a magnitude of 1.0306 and was visible within a narrow corridor 70 miles ( 110 km ) wide , crossing fourteen of the contiguous United States : Oregon , Idaho , Montana , Wyoming , Nebraska , Kansas , Iowa , Missouri , Illinois , Kentucky , Tennessee , Georgia , North Carolina , and South Carolina . It was first seen from land in the U.S. shortly after 10 : 15 a.m. PDT ( 17 : 15 UTC ) at Oregon 's Pacific coast , and then it progressed eastward through Salem , Oregon ; Idaho Falls , Idaho ; Casper , Wyoming ; Lincoln , Nebraska ; Kansas City , Missouri ; St. Louis , Missouri ; Hopkinsville , Kentucky ; Nashville , Tennessee ; Columbia , South Carolina about 2 : 41 p.m. ; and finally Charleston , South Carolina . A partial eclipse was seen for a greater time period , beginning shortly after 9 : 00 a.m. PDT along the Pacific Coast of Oregon . Weather forecasts predicted clear skies in Western U.S. and some Eastern states , but clouds in the Midwest and East Coast .     Animation of the eclipse shadow . The dot in the center represents the path of totality .   View of the lunar shadow tracking across Earth from the Deep Space Climate Observatory ( DSCOVR ) satellite     The longest ground duration of totality was 2 minutes 41.6 seconds at about 37 ° 35 ′ 0 '' N 89 ° 7 ′ 0 '' W ﻿ / ﻿ 37.58333 ° N 89.11667 ° W ﻿ / 37.58333 ; - 89.11667 in Giant City State Park , just south of Carbondale , Illinois , and the greatest extent ( width ) was at 36 ° 58 ′ 0 '' N 87 ° 40 ′ 18 '' W ﻿ / ﻿ 36.96667 ° N 87.67167 ° W ﻿ / 36.96667 ; - 87.67167 near the village of Cerulean , Kentucky , located in between Hopkinsville and Princeton . This was the first total solar eclipse visible from the Southeastern United States since the solar eclipse of March 7 , 1970 . Two NASA WB - 57F flew above the clouds , prolonging the observation time spent in the umbra . A partial solar eclipse was seen from the much broader path of the Moon 's penumbra , including all of North America , particularly areas just south of the totality pass , where the eclipse lasted about 3 -- 5 hours , northern South America , Western Europe , and some of Africa and north - east Asia .   Other celestial bodies ( edit )     During totality stars and 4 planets were visible , including Regulus close to the Sun . Mars was 8 degrees to the right , and Venus 34 degrees right . Mercury was 10 degrees left , and Jupiter 51 degrees left .   Solar eclipse and star - system Regulus ( upper left ) viewed from Cullowhee , NC .     During the eclipse for a long span of its path of totality , several bright stars and four planets were visible . The star - system Regulus was visible slightly to the west of the Sun . Mars was 8 degrees to the right , and Venus 34 degrees right . Mercury was 10 degrees left , and Jupiter 51 degrees left .   Other eclipses over the United States ( edit )   This was the first total solar eclipse visible from the United States since that of July 11 , 1991 -- which was seen only from part of Hawaii -- and the first visible from the contiguous United States since 1979 . An eclipse of comparable length ( up to 3 minutes , 8 seconds , with the longest eclipse being 6 minutes and 54 seconds ) occurred over the contiguous United States on March 7 , 1970 along the southern portions of the Eastern Seaboard , from Florida to Virginia .   The path of totality of the solar eclipse of February 26 , 1979 crossed only the states of Washington , Oregon , Idaho , Montana , and North Dakota . Many enthusiasts traveled to the Pacific Northwest to view the eclipse , since it would be the last chance to view such an eclipse in the contiguous United States for almost four decades .   Some American scientists and interested amateurs who wanted to experience a total eclipse participated in a four - day Atlantic Ocean cruise to view the solar eclipse of July 10 , 1972 as it passed near Nova Scotia . ( This is referenced in the Carly Simon hit song `` You 're So Vain '' in the lyric , `` Then you flew your Lear Jet up to Nova Scotia to see the total eclipse of the Sun . '' ) Organizers of the cruise advertised in astronomical journals and in planetarium announcements , emphasizing the rarity of the event .  The path of totality across the United States  The August 2017 eclipse was the first with a path of totality crossing the Pacific and Atlantic coasts of the U.S. since 1918 . Also , its path of totality made landfall exclusively within the United States , making it the first such eclipse since the country 's declaration of independence in 1776 . Prior to this , the path of totality of the eclipse of June 13 , 1257 , was the last to make landfall exclusively on lands currently part of the United States .   The path of the 2017 eclipse crosses with the path of the upcoming total solar eclipse of April 8 , 2024 , with the intersection of the two paths being in southern Illinois in Makanda Township at Cedar Lake , just south of Carbondale . An area of about 9,000 square miles , including the cities of Makanda , Carbondale , Cape Girardeau , Missouri , and Paducah , Kentucky , will thus experience two total solar eclipses within a span of less than seven years . The cities of Benton , Carbondale , Chester , Harrisburg , Marion , and Metropolis in Illinois ; Cape Girardeau , Farmington , and Perryville in Missouri , as well as Paducah , Kentucky , will also be in the path of the 2024 eclipse , thereby earning the distinction of witnessing two total solar eclipses in seven years .   The solar eclipse of August 12 , 2045 will have a very similar path of totality over the U.S. to the 2017 eclipse : about 400 km ( 250 mi ) to the southwest , also crossing the Pacific and Atlantic coasts of the country ; however , totality will be more than twice as long .   Total eclipse viewing events ( edit )   Oregon ( edit )  Viewing the eclipse at Oregon State University Campers on a field near Madras , Oregon , three days before the eclipse . Totality over Timothy Lake , Oregon Diamond Ring effect at the end of totality in Oregon . Some prominences can also be seen .   Corvallis -- The Corvallis campus of Oregon State University hosted `` OSU150 Space Grant Festival : A Total Eclipse Experience '' , a weekend - long celebration of the eclipse . A watch party was also hosted on campus the day of the eclipse .   Keizer -- The Salem - Keizer Volcanoes , a Class A baseball team , played a morning game against the visiting Hillsboro Hops that featured the first ever `` eclipse delay '' in baseball history .   Huntington -- Historic Farewell Bend State Recreation Area hosted the RASC : Yukon Centre ( Yukon Astronomical Society ) and the RASC : Okanagan Centre . Solar viewing and presentations on the eclipse were given along with a dark - sky presentation   Madras -- The city sponsored a four - day Solarfest at two locations .   Prineville -- Symbiosis Gathering hosted a global eclipse gathering dubbed Oregon Eclipse .   Rickreall -- The Polk County Fairgrounds organized a series of events and an eclipse gathering .   Salem -- The Oregon Museum of Science and Industry hosted an event at the Oregon State Fairgrounds .    Idaho ( edit )  A display of books related to eclipses and astronomy   Craters of the Moon -- The National Monument and Preserve hosted NASA presentations , evening star parties hosted by the Idaho Falls Astronomical Society , high altitude balloon launches by the USC Astronautical Engineering department and NASA , and presentations by the New Mexico Chapter of the Charlie Bates Solar Astronomy Project .   Idaho Falls -- Free entertainment and educational seminars and an eclipse - watching event at the Museum of Idaho ( an official NASA viewing site ) and elsewhere , and a free eclipse - watching event at Melaleuca Field .   Rexburg -- Brigham Young University Idaho offered a series of eclipse - related educational events .   Weiser -- The city sponsored a five - day festival prior to the eclipse .   Total Eclipse seen from Weiser , Idaho .  Wyoming ( edit )  People watching and photographing the eclipse in Yellowstone National Park   Casper -- The Astronomical League , an alliance of amateur astronomy clubs , held its annual Astrocon conference , and there were other public events , called Wyoming Eclipse Festival 2017 .   Fort Laramie -- Fort Laramie held an eclipse viewing event , which included a Special `` Great American Eclipse '' Program .    Nebraska ( edit )  A crowd observes the eclipse in Ravenna , Nebraska   Alliance -- Entertainment and educational seminars were offered . ABC News reported live from Carhenge during totality .   Auburn -- Nemaha County Hospital hosted an eclipse viewing event , including sharing safety tips from Lifetime Vision Center .   Grand Island -- Stuhr Museum hosted an eclipse viewing event , including the launch of a NASA eclipse observing balloon .   Beatrice -- Homestead National Monument of America -- Events were held with representatives from NASA on Saturday , Sunday and the day of the eclipse .   Lincoln -- At Haymarket Park , the Lincoln Saltdogs , an independent baseball team in the American Association , defeated the Gary SouthShore RailCats 8 - 5 in a special eclipse game , with 6,956 in attendance . The game was paused for 26 minutes in the middle of the third inning to observe the eclipse . The Saltdogs players wore special eclipse - themed uniforms that were auctioned off after the game .    Missouri ( edit )    St. Louis -- David Tipper hosted his Tipper &amp; Friends 4321 electronic music event at Astral Valley Art Park featuring 5 days of music , art , and eclipse viewing .   Kansas City -- A 5 - mile ( 8 km ) bicycle ride from downtown KCMO ( where totality only lasted about 30 seconds ) to Macken Park in North Kansas City ( where totality lasted 1 minute 13 seconds ) was organized by KC Pedal Party Club , a local Meetup group .   Columbia -- The Cosmo Park and the Gans Creek Park were open for the eclipse . There was a watch party on campus for the students of the University of Missouri , and the MU Health Care system released eye safety information .   Lathrop -- The city celebrated its 150th anniversary with an eclipse festival .   Potosi -- Hora Eclipse , an Israeli folkdance camp coordinated with the eclipse , was held at YMCA Trout Lodge and Camp Lakewood , near the Mark Twain National Forest . More information at the event 's website , especially its post-mortem page .   Parkville -- TotalEclipseofthePark -- August 20 educational program featuring NASA Glenn Research Center Hall of Famer Lynn Bondurant , ' 61 , and August 21 watch party organized by Park University .   St. Clair -- An event organized by the St. Clair City Chamber of Commerce .   St. Joseph -- An event organized by Front Page Science was held at Rosecrans Memorial Airport .    Illinois ( edit )    Carbondale -- Southern Illinois University sponsored many eclipse related educational events , including the two day Crossroads Astronomy , Science and Technology Expo , and viewing at Saluki Stadium . Amtrak ran a special train , the Eclipse Express , from Chicago to Carbondale . NASA EDGE was there broadcasting live from Southern Illinois University Carbondale with a four - hour and thirty - minute show ( 11 : 45 a.m. -- 4 : 15 p.m. EDT ) .   Carterville -- A three - day rock festival called Moonstock was headlined by Ozzy Osbourne , who performed during the eclipse .   Goreville -- View the eclipse with the University of Illinois Astronomy Department .    Kansas ( edit )    Atchison -- Benedictine College hosted thousands in its football stadium . There were students from schools from Kansas , Missouri , Nebraska and Oklahoma attending , plus numerous other guests who heard from , amongst others , astronomers from the Vatican Observatory .   An eclipse photographer in Madisonville , Kentucky  Kentucky ( edit )    Bowling Green -- Western Kentucky University hosted thousands of K - 12 students in its football stadium . At Bowling Green Ballpark , the Bowling Green Hot Rods , a Class A baseball team , played an eclipse game against the visiting West Michigan Whitecaps .   Hopkinsville -- A four - day eclipse festival was held at Jefferson Davis State Historic Site .    Tennessee ( edit )  Totality as seen from Tennessee Technological University in Cookeville , Tennessee NASA TV 's live coverage was being watched by 4.4 million people at 1 : 40 EDT , accounting for 87 % of all traffic to U.S. federal government websites   Athens -- The City of Athens hosted `` Total Eclipse of the Park '' at Athens Regional Park , including entertainment , food , and vendors .   Clarksville -- Austin Peay State University presented several educational events , including an appearance by astronaut Rhea Seddon .   Cookeville -- Tennessee Technological University hosted a solar eclipse viewing party at Tucker Stadium . Cookeville hosted special events Saturday - Monday .   McMinnville -- celebrated the eclipse by hosting BLACKOUT 2017 , an eclipse viewing event held in the city square . In addition to the viewing , a selection of food trucks and musical acts which features The Pink Floyd Appreciation Society band who performed Pink Floyd 's The Dark Side of the Moon in its entirety prior to the totality event .   Memphis -- At AutoZone Park , the Memphis Redbirds , a Class AAA baseball team , played an eclipse game against the visiting New Orleans Baby Cakes .   Nashville -- offered many special events , including the Music City Eclipse Science &amp; Technology Festival at the Adventure Science Center . The Italian Lights Festival hosted the largest Eclipse Viewing Party in Nashville , a free NASA - Certified Eclipse Event held at the Bicentennial Mall . Two astrophysicists from NASA 's Jet Propulsion Laboratory emceed the countdown .    North Carolina ( edit )    Bryson City -- Planetarium shows were offered , as well as rides on the Great Smoky Mountains Railroad to an eclipse location .   Cullowhee -- The eclipse was visible in totality , and classes were cancelled for several hours during the first day of classes at Western Carolina University .   Rosman -- Pisgah Astronomical Research Institute ( PARI ) hosted a viewing event . The event at PARI has garnered international attention and the visitors included amateur astronomers .    Georgia ( edit )    Athens -- Viewing at Sanford Stadium at the University of Georgia .   Blairsville -- Get off the Grid Festival on three days preceding the eclipse .   Elberty County - Approximately 400 people gathered at the Georgia Guidestones .    South Carolina ( edit )    Anderson - Viewing at the Green Pond Landing on Lake Hartwell with food trucks , astronomer , and music . Unfortunately clouds blocked the sun at the time of totality .   Charleston - The College of Charleston hosted NASA 's `` eclipse headquarters '' broadcast as part of an afternoon eclipse viewing celebration on the green behind the campus library .   Clemson -- Viewing at Clemson University .   Columbia -- The South Carolina State Museum hosted four days of educational events , including an appearance by Apollo 16 astronaut Charles Duke . At Spirit Communications Park , the Columbia Fireflies , a Class A baseball team , played an eclipse game against the visiting Rome Braves .   Greenville -- Viewing at Furman University . Events include streaming coverage from NASA , educational activities , and live music . At Fluor Field , the Greenville Drive , a Class A baseball team , played an eclipse game against the visiting West Virginia Power .   Sumter -- Viewing at Dillon Park . Eclipse viewing glasses given away for free .    Viewing from outside the United States ( edit )  Boundaries of the sunset partial eclipse in Western Europe  Canada ( edit )   A partial eclipse was visible across the width of Canada , ranging from 89 percent in Victoria , British Columbia to 11 percent in Resolute , Nunavut . In Ottawa viewing parties were held at the Canada Aviation and Space Museum . In Toronto , viewing parties were held at the CNE and the Ontario Science Centre   Mexico , central America , Caribbean islands , South America ( edit )   A partial eclipse was visible from Central America , Mexico , the Caribbean islands , and ships and aircraft in and above the adjacent oceans , as well as the northern countries of South America such as Colombia , Venezuela , and several others .   Russia ( edit )   A partial eclipse was visible only in the Chukchi Peninsula . In Anadyr , the maximum obscuration was 27 , 82 % .   West Africa ( edit )   In some locations in West Africa and western North Africa , a partial eclipse was seen just before and during sunset .   Europe ( edit )   In northwestern Europe , the eclipse was only visible partially , in the evening or at sunset . Only those in Iceland , Ireland , Northern Ireland , Scotland and the Portuguese Azores archipelago saw the eclipse from beginning to end ; in the rest of the UK , Norway , the Netherlands , Belgium , France , Spain , and Portugal , sunset occurred before the end of the eclipse . In Germany , the beginning of the eclipse was visible just at sunset only in the extreme northwest of the country . In all regions east of the orange line in the map , the eclipse was not visible .   Media and scientific coverage ( edit )  The Moon 's umbra , as seen from the International Space Station  A large number of media outlets broadcast coverage of the eclipse , including television and internet outlets . NASA announced plans to offer streaming coverage through its NASA TV and NASA Edge outlets , using cameras stationed on the ground along the path of totality , along with cameras on high - altitude balloons , jets , and coverage from the International Space Station ; NASA stated that `` never before will a celestial event be viewed by so many and explored from so many vantage points -- from space , from the air , and from the ground . '' ABC , CBS , and NBC announced that they would respectively broadcast live television specials to cover the eclipse with correspondents stationed across the path of totality , along with CNN , Fox News Channel , Science , and The Weather Channel . The PBS series Nova presented streaming coverage on Facebook hosted by Miles O'Brien , and aired a special episode chronicling the event -- `` Eclipse Over America '' -- later in the day ( which marked the fastest production turnaround time in Nova history ) .   Other institutions and services also announced plans to stream their perspectives of the eclipse , including the Exploratorium in San Francisco , the Elephant Sanctuary of Hohenwald , Tennessee , the Slooh robotic telescope app , and The Virtual Telescope Project . The Eclipse Ballooning Project , a consortium of schools and colleges that sent 50 high - altitude balloons into the sky during the eclipse to conduct experiments , provided streams of footage and GPS tracking of its launches . Contact with one balloon with $13,000 of scientific equipment , launched under the aegis of the LGF Museum of Natural History near Vale , Oregon , was lost at 20,000 feet ( 6,100 m ) . Given that the balloon was believed to have burst at 100,000 feet ( 30,000 m ) it could have parachuted down anywhere from eastern Oregon to Caldwell , Idaho ( most likely ) to Sun Valley , Idaho ; a $1,000 reward is offered for its recovery .   The National Solar Observatory organized Citizen CATE volunteers to man 60 identical telescopes and instrumentation packages along the totality path to study changes in the corona over the duration of the eclipse .   In orbit , the satellites Lunar Reconnaissance Orbiter , the International Space Station , the Solar Dynamics Observatory , the Moderate Resolution Imaging Spectroradiometer , Solar and Heliospheric Observatory , and Hinode gathered data from the eclipse .   A viewing party was held at the White House , during which President Donald Trump appeared on the Truman Balcony with First Lady Melania Trump . With the sun partially eclipsed , President Trump looked briefly in the general direction of the sun before using solar viewing glasses .   The rapper Joey Badass boasted of watching the solar eclipse without viewing glasses , considering that `` our ancestors ai n't have no fancy eyewear ( and ) they ai n't all go blind '' . Unlike the US president , he did not wear viewing glasses during the entire eclipse . Later , he complained of vision problems and had to cancel his Cleveland , Chicago &amp; Toronto shows on the Everybody Tour , due to `` unforeseen circumstances '' .   The eclipse generated reports of abnormal behavior in animal and plant life . Some farm animals including domestic chickens came out from under their coops and began grooming , usually an evening activity . Horses also displayed increased whinnying , running , and jumping after the event . Cicadas were reported to grow louder before going silent during totality . Various birds were also observed flying in unusually large formations . Flowers such as the Hibiscus closed their petals which typically happens at night , before opening again after the solar event .   NASA reported over 90 million page views of the eclipse on its websites , making it the agency 's biggest online event ever , beating the previous web traffic record about seven times over .   Counterfeit eclipse glasses ( edit )  See also : Solar viewer  In the months leading up to the eclipse , many counterfeit glasses were put up for sale . Effective eclipse glasses must not only block most visible light , but most UV and infrared light as well . For visible light , the user should only be able to see the Sun , sunglint reflected off shiny metal , halogen bulbs , the filament in unfrosted incandescent bulbs , and similarly intense sources . Determining whether the glasses effectively block enough UV and infrared light requires the use of spectrophotometer , which is a rather expensive piece of lab equipment .   The eye 's retina lacks pain receptors , and thus damage can occur without one 's awareness .   The American Astronomical Society ( AAS ) said products meeting the ISO 12312 - 2 standard avoid risk to one 's eyes , and issued a list of reputable vendors of eclipse glasses . The organization warned against products claiming ISO certification or even citing the same number , but not tested by an accredited laboratory . Another problem was counterfeits of reputable vendors ' products , some even claiming the company 's name such as with American Paper Optics which published information detailing the differences between its glasses and counterfeits .   Andrew Lund , the owner of a company which produces eclipse glasses , noted that not all counterfeit glasses were necessarily unsafe . He stated to Quartz that the counterfeits he tested blocked the majority of harmful light spectrum , concluding that `` the IP is getting ripped off , but the good news is there are no long - term harmful effects . '' As one example , the Springdale Library in metropolitan Pittsburgh , Pennsylvania , accidentally passed out dozens of pairs of counterfeit eclipse glasses , but as of August 23 had not received any reports of eye damage .   On July 27 , 2017 , Amazon required all eclipse viewing products sold on its website have a submission of origin and safety information , and proof of an accredited ISO certification . In mid-August 2017 , Amazon recalled and pulled listings for eclipse viewing glasses that `` may not comply with industry standards '' , and gave refunds to customers who had purchased them .   Eye damage ( edit )   Short - term damage includes solar keratitis , which is similar to sunburn of the cornea . Symptoms usually occur within twenty - four hours and include eye pain and light sensitivity .   Long - term or permanent damage includes solar retinopathy , which occurs when the sun burns a hole in the retina , usually at the fovea ( the focus of the retina ) . Symptoms can occur as long as several weeks after the incident , and can include loss of central vision and / or other vision , as well as eye pain and light sensitivity , afterimages , and changes in color vision .   Depending on the severity of damage , vision problems can last for several months or be permanent .   Dr. Avnish Deobhakta , an ophthalmologist in New York , states that , `` `` If you 're looking at the sun you 're actually focusing , intentionally , the light of the sun onto the spot ( fovea ) where you want the most precise vision . ''   Following a total eclipse in the United Kingdom in 1999 , at least 14 cases of permanent damage were confirmed .   One story of solar eclipse danger was illustrated by the case of Mr. Tomososki , who damaged his eyesight when viewing a 1962 eclipse , leaving him with a pea - sized blind spot for the rest of his life . During the 2017 eclipse he warned the country to not make the mistake he did . While some can recover , the danger of an eclipse comes in part because the excitement can override the instinct to not look at the sun .   Planning ( edit )  A message board on U.S. Route 64 in North Carolina alerting drivers of the eclipse  Officials inside and near the path of totality planned -- sometimes for years -- for the sudden influx of people . Smaller towns struggled to arrange viewing sites and logistics for what could have been a tourism boom or a disaster .   In the American West , illegal camping was a major concern , including near cities like Jackson Hole , Wyoming . Idaho 's Office of Emergency Management said Idaho was a prime viewing state , and advised jurisdictions to prepare for service load increases ; nearly every hotel and motel room , campground , and in some cases backyards for nearly 100 miles ( 160 km ) north and south of the path of totality had been reserved several months , if not years , in advance . The state anticipated up to 500,000 visitors to join its 1.6 million residents .   Oregon deployed six National Guard aircraft and 150 soldiers because the influx of visitors coincided with the state 's fire season . Hospital staffing , and supplies of blood and anti -- snake bite antidote , were augmented along the totality line .   In Oregon , there were reports of hoteliers canceling existing reservations made at the regular market rate and increasing their rate , sometimes threefold or more , for guests staying to view the eclipse . The Oregon Department of Justice ( DOJ ) investigated various complaints and reached settlements with affected customers of at least 10 hotels in the state . These settlements included refunds to the customers and fines paid to the DOJ .   Post-eclipse traffic problems ( edit )   Although traffic to areas within the path of totality was somewhat spread out over the days prior to the eclipse , there were widespread traffic problems across the United States after the event ended . Michael Zeiler , an eclipse cartographer , had estimated that between 1.85 million and 7.4 million people would travel to the path of the eclipse .   In Oregon , an estimated one million people were expected to arrive that the Oregon National Guard was called in to help manage traffic in Madras along US 26 and US 97 . Madras Municipal Airport received more than 400 mostly personal planes that queued for hours while waiting to leave after the eclipse .   Officials in Idaho , where the totality path crossed the center of the state , began planning for the eclipse a year in advance . The state Transportation Department suspended construction projects along Interstate 15 , which traverses Eastern Idaho , from August 18 -- 22 in order to have all lanes open ; their counterparts in neighboring Utah , where many were expected to travel the 220 miles ( 350 km ) north via the highway from the Salt Lake City metropolitan area , did the same . On the morning of the eclipse , many drivers left before dawn , creating traffic volume along I - 15 normally not seen until morning rush hour ; northbound traffic on the interstate in Box Elder County north of Salt Lake City slowed to 10 -- 15 miles per hour ( 16 -- 24 km / h ) . The Idaho State Police ( ISP ) stationed a patrol car along I - 15 every 15 miles ( 24 km ) between Shelley and the Utah border .  Traffic backed up on I - 15 / US 26 south of Idaho Falls  After the eclipse , traffic more than doubled along I - 15 southbound , with extensive traffic jams continuing for ei</t>
  </si>
  <si>
    <t xml:space="preserve">where does the solar eclipse start and end</t>
  </si>
  <si>
    <t xml:space="preserve"> The solar eclipse of August 21 , 2017 , dubbed `` The Great American Eclipse '' by the media , was a total eclipse visible within a band across the entire contiguous United States , passing from the Pacific to the Atlantic coasts . As a partial solar eclipse , it was visible on land from Nunavut in northern Canada to as far south as northern South America . In northwestern Europe and Africa , it was partially visible in the late evening . In Asia it was visible only at the eastern extremity , the Chukchi Peninsula . </t>
  </si>
  <si>
    <t xml:space="preserve">Vigil ( surname ) - wikipedia  Vigil ( surname )  Jump to : navigation , search  Vigil ( Vee - HILL ) is a Spanish surname . Notable people with the surname include :    Constancio C. Vigil ( 1876 -- 1954 ) , Uruguayan - Argentine writer and prominent publisher   Olga Vigil ( born 1970 ) , Cuban basketball player   Robert Vigil ( born 1953 ) , American state treasurer   Sergio Vigil ( born 1965 ) , Argentine field hockey player and coach   Tim Vigil , American comics artist        Surname list This page lists people with the surname Vigil . If an internal link intending to refer to a specific person led you to this page , you may wish to change that link by adding the person 's given name ( s ) to the link .    Retrieved from `` https://en.wikipedia.org/w/index.php?title=Vigil_(surname)&amp;oldid=821246312 '' Categories :   Surnames   Hidden categories :   Articles with short description   All set index articles           Talk                                                             About Wikipedia                                           Add links   This page was last edited on 19 January 2018 , at 07 : 45 .         About Wikipedia                    </t>
  </si>
  <si>
    <t xml:space="preserve">where does the last name vigil come from</t>
  </si>
  <si>
    <t xml:space="preserve"> Vigil ( Vee - HILL ) is a Spanish surname . Notable people with the surname include : </t>
  </si>
  <si>
    <t xml:space="preserve">Lying in state - wikipedia  Lying in state  Jump to : navigation , search For the band , see Lying in States . Philip IV of France lying in state Mahatma Gandhi lying in state  Lying in state is the tradition in which the body of a dead official is placed in a state building , either outside or inside a coffin , to allow the public to pay their respects . It traditionally takes place in the principal government building of a country , state , or city . While the practice differs among countries , a viewing in a location other than the principal government building may be referred to as lying in repose .     Contents  ( hide )   1 Canada   2 North Korea   3 Russia   4 Singapore   5 South Africa   6 United Kingdom   7 United States   8 Vatican City   9 Coptic Patriarchate   10 Other notable funerals   11 See also   12 References      Canada ( edit )   In Canada , official lying in state is a part of a state funeral , an honor generally reserved for former Governors General and former Prime Ministers . It is held in the Centre Block of Parliament Hill , in the national capital , Ottawa . Ex-governors general lie in state in the Senate Chamber while former prime ministers lie in the Hall of Honour . During the period of lying in state , the coffins are flanked at each corner by a Guard of honour , made up of four members drawn from the Canadian Forces and Royal Canadian Mounted Police , as well as members of the Governor General 's Foot Guards for former governors general , and guards from the parliamentary security forces for former prime ministers . Guards stand at each corner with heads bowed and weapons inverted ( resting on Arms reversed ) with their backs turned towards the casket .   Provinces may also mount state funerals and have a lying in state for a distinguished former resident . For instance , Maurice Richard , nationally known hockey player , was given a state funeral by the province of Quebec when he died in 2000 ; his coffin lay in state at the Molson Centre . This process was repeated for fellow Canadiens legend Jean Béliveau in December 2014 .   Municipalities may offer civic funerals to prominent deceased current or former politicians .   North Korea ( edit )   In North Korea , the body of the late leader Kim Jong - il was displayed in a glass coffin surrounded with red flowers at the Kumsusan Memorial Palace in Pyongyang prior to his funeral , which began and ended at the palace . An honor guard armed with AK - 47s was present . Jong - il 's father Kim Il - sung , the founding president , is on display elsewhere in the palace .   Russia ( edit )       This section needs additional citations for verification . Please help improve this article by adding citations to reliable sources . Unsourced material may be challenged and removed . ( January 2013 ) ( Learn how and when to remove this template message )     In Russia , during the time of the Soviet Union ( 1917 -- 1991 ) , the state funerals of the most senior political and military leaders , such as Vladimir Lenin , Joseph Stalin , Leonid Brezhnev , Yuri Andropov , and Konstantin Chernenko all followed the same basic outline . They took place in Moscow , beginning with a public lying in state of the deceased in the House of the Unions , and ending with an interment at Red Square .   For the lying in state at the House of the Unions , the coffin would be placed on display in the Column Hall , which would be decorated by flowers , numerous red flags and other communist symbols . The mourners , which usually would be brought in by the thousands , shuffled up a marble staircase beneath chandeliers draped in black gauze . On the stage at the left side of the Column Hall , a full orchestra in black tailcoats played classical music . The deceased 's embalmed body , dressed in a black suit , white shirt and a tie , was displayed in an open coffin on a catafalque banked with carnations , red roses and tulips , facing the queue of mourners . A small guard of honour would be in attendance in the background . At the right side of the hall , seats were placed for guests of honour , with the front row reserved for the dead leader 's family .   On the day of the funeral , a military funeral parade would take place during which the coffin would be conveyed from the House of the Unions to Red Square where burial would take place . Lenin and Stalin were placed inside the Lenin Mausoleum , while Brezhnev , Andropov , and Chernenko were interred in individual graves in the Kremlin Wall Necropolis .   Singapore ( edit )   At state funerals in Singapore , the national flag is put on the coffin . The vigil guard may be deployed during the public lying in state of the deceased person at Parliament House . The deployment of the vigil guard is the highest form of respect accorded by the nation to the deceased . Similar to British traditions , the vigil guard is composed of groups of five commissioned officers from the Singapore Armed Forces ( SAF ) and Singapore Police Force ( SPF ) who stand guard around the clock in shifts of 30 minutes . One of the five officers stands facing outward at each of the four corners of the casket , while the fifth and most senior one stands in front and faces inward . Their heads are bowed and their ceremonial swords are inverted .   Vigil guards were stationed at the public lying in state of Goh Keng Swee in May 2010 , Lee Kuan Yew in March 2015 as well as SR Nathan in August 2016 .   South Africa ( edit )   Nelson Mandela was the first democratically elected president to lie in state in South Africa . The event took place at the Union Buildings , the same site where he was inaugurated as the President of South Africa on May 10 , 1994 . The body of Mandela was lying in State for three days , starting on Wednesday , December 11 , 2013 and ending Friday , December 13 . The body was viewed by thousands of South Africans before it was airlifted to Qunu in the Eastern Cape where Mandela was buried on December 15 , 2013 .   United Kingdom ( edit )  See also : State funerals in the United Kingdom and Vigil of the Princes  In state and ceremonial funerals in the United Kingdom , the lying - in - state takes place in Westminster Hall . The coffin is placed on a catafalque and is guarded , around the clock , by detachments , each of four men , from the following units :    Sovereign 's Bodyguard   Her Majesty 's Bodyguard of the Honourable Corps of Gentlemen - at - Arms   The Queen 's Bodyguard of the Yeomen of the Guard   The Royal Company of Archers , The Queen 's Bodyguard for Scotland     Household Cavalry   The Life Guards   The Blues and Royals ( Royal Horse Guards and 1st Dragoons )     Foot Guards   Grenadier Guards   Coldstream Guards   Scots Guards   Irish Guards   Welsh Guards      Each unit mans the guard for a total of six hours , with each detachment standing post for twenty minutes . The four men stand at each corner with heads bowed and weapons inverted ; their backs are turned towards the coffin .   On two occasions , the guard has been mounted by four male members of the Royal Family . At the lying in state of King George V in 1936 , the guard was mounted by his four sons King Edward VIII , the Duke of York ( George VI ) , the Duke of Gloucester and the Duke of Kent . For Queen Elizabeth The Queen Mother 's lying - in - state in 2002 , the guard was mounted by her four grandsons , the Prince of Wales , the Duke of York , the Earl of Wessex , and Viscount Linley .   United States ( edit )  See also : State funerals in the United States Representative Thaddeus Stevens lying in state in the Capitol rotunda on August 13 , 1868 . Because of his prominence as an abolitionist , members of the Butler Zouaves , an African - American company of the District of Columbia , served as honor guards . A plaster statue of President Abraham Lincoln , likely submitted for a commission , was credited to Henry J. Ellicott . John J. Pershing saluting the Unknown Soldier of World War I , who lay in state in the Capitol rotunda on November 9 , 1921 . Lyndon B. Johnson and members of Congress honor President John F. Kennedy , who lay in state in the Capitol rotunda on November 24 , 1963 . Richard Nixon and members of Congress honor Lyndon B. Johnson who lay in state in the Capitol rotunda on January 24 , 1973 . The U.S. Joint Service Color Guard and members of Congress honor President Ronald Reagan , who lay in state in the Capitol rotunda on June 10 , 2004 . Dick Cheney and members of Congress honor President Gerald Ford , who lay in state in the Capitol rotunda on December 30 , 2006 .  Lying in state is the rare honor granted by the United States to a deceased official whereby his or her remains are placed in the rotunda of the United States Capitol in Washington , D.C. , for public viewing . The casket is guarded by members of the armed forces . By regulation and custom , only Presidents , military commanders , and members of Congress are granted the honor of lying in state . Except for Presidents and former Presidents , the honor is not automatic . Not all those entitled to the honor have it accepted by their survivors . The first leader to receive this honor was Henry Clay , former Speaker of the House of Representatives , when he died in 1852 . Since then , the honor has been extended to thirty - one people , including eleven Presidents .   The process of lying in state at the Capitol is as follows . The coffin or casket is usually placed on a catafalque , usually the Lincoln catafalque , so named as it was constructed for lying in state upon the death of Abraham Lincoln , after his assassination in 1865 . The casket is guarded at each of its corners by a serviceperson from each of the branches of the armed forces . In contrast to the practice in the United Kingdom and other countries of the Commonwealth , guards at the Capitol face the casket , hold their rifles with their right hand , and keep the rifle butt resting on the floor . After the viewing and ceremony at the Capitol , the remains are taken to the burial location .   Those who have lain in state are as follows :    1852 -- Henry Clay , long - serving Senator and Representative , Secretary of State , Speaker of the House , and three - time presidential candidate   1865 -- President Abraham Lincoln , assassinated in office   1868 -- Thaddeus Stevens , Representative from Pennsylvania   1874 -- Charles Sumner , Senator from Massachusetts   1875 -- Vice President Henry Wilson , served under Grant , died in office   1881 -- President James Garfield , assassinated in office   1886 -- John A. Logan , Senator from Illinois   1901 -- President William McKinley , assassinated while in office   1909 -- Pierre L'Enfant -- although he died in 1825 , his remains were disinterred ; he was honored by lying in state before reinterment at Arlington National Cemetery   1917 -- Admiral George Dewey , Admiral of the Navy   1921 -- The Unknown Soldier for World War I   1923 -- President Warren Harding , died in office   1930 -- President William Howard Taft , President 1909 -- 13 , also Chief Justice 1921 -- 30   1948 -- John J. Pershing , General of the Armies of the United States during World War I and after   1953 -- Robert A. Taft , U.S. Senator and Majority Leader   1958 -- The Unknown Soldiers for World War II and the Korean War   1963 -- President John F. Kennedy , assassinated in office   1964 -- General Douglas MacArthur , General of the Army   1964 -- President Herbert Hoover , serving 1929 -- 33   1969 -- President Dwight Eisenhower , President 1953 -- 1961 , Supreme Allied Commander during World War II   1969 -- Everett Dirksen , Illinois Senator , Senate Minority Leader 1959 -- 1969   1972 -- J. Edgar Hoover , FBI Director 1929 -- 1972   1973 -- President Lyndon B. Johnson , President 1963 -- 1969   1978 -- Hubert Humphrey , Vice President 1965 -- 1969 , Minnesota Senator   1984 -- The Unknown Soldier for the Vietnam War ( later identified as 1st . Lt. Michael J. Blassie )   1989 -- Claude Pepper , long - serving Senator and Representative   2004 -- President Ronald Reagan , President 1981 -- 1989   2006 -- 07 -- President Gerald Ford , President 1974 -- 1977   2012 -- Daniel Inouye , President pro tempore of the U.S. Senate , Senator from Hawaii , and recipient of the Medal of Honor    The United States Congress has created a similar -- though not identical -- privilege for distinguished Americans who do not qualify for a lying in state designation . In the process of `` lying in honor , '' the honor guard in the Rotunda is provided by the Capitol Police or another suitable source .   Those who have lain in honor are as follows :    1998 -- United States Capitol Police Officer Jacob Chestnut and Detective John Gibson , killed on duty   2005 -- Rosa Parks , civil rights activist    In 1998 , Chestnut and Gibson were killed while defending the Capitol against Russell Eugene Weston Jr . Congress approved their remains to lie in honor in the Rotunda . Chestnut was the first African American to lie in honor . In 2005 , upon the death of civil rights activist Rosa Parks , Congress authorized her remains to lie in honor at the Rotunda ; Parks was the second African American and the first woman to lie in honor in the Capitol Rotunda .   Supreme Court Justices `` lie in repose '' in the Great Hall of the United States Supreme Court Building . Justices who have been awarded this honor include :    1974 -- Chief Justice Earl Warren   1993 -- Justice Thurgood Marshall   1995 -- Chief Justice Warren E. Burger   1997 -- Justice William J. Brennan , Jr .   1999 -- Justice Harry A. Blackmun   2005 -- Chief Justice William H. Rehnquist , the first so - honored to have died in office .   2016 -- Justice Antonin Scalia    In the state of Hawaii , three people have been laid in state at the Hawaii State Capitol , among which famous Hawaiian singer Israel Kamakawiwoʻole upon his death in 1997 , and the aforementioned Daniel Inouye , President pro tempore of the U.S. Senate and Senator from Hawaii .   The City of San Francisco , a grateful city , celebrates the life of the Honorable Edwin Mah Lee , 43rd Mayor of the City and County of San Francisco on December 15 , 2017 from 8 am to 7 pm in the Rotunda of San Francisco City Hall .   Vatican City ( edit )  Pope John Paul II 's body lying in state .  A deceased pope customarily lies in state in the chapel of the Apostolic Palace and then in St. Peter 's Basilica , between the holding of a Mass of Visitation and a Mass of Requiem . The funeral of Pope John Paul II was an example of this custom .   Coptic patriarchate ( edit )   The Coptic Orthodox Church of Alexandria has a tradition of mummifying the deceased pope and placing his body on his throne to enable church followers to have a farewell look at him for a short period of time . This tradition is one of the ways that ancient Egyptian rituals have survived in the Egyptian church .   Other notable funerals ( edit )    Death and funeral of Josip Broz Tito ( the largest state funeral in history )   Death and funeral of Corazon Aquino   Death and state funeral of Omar Bongo   Death and state funeral of Pierre Trudeau   Death and state funeral of Lech Kaczyński and Maria Kaczyńska    See also ( edit )    Caisson   Death and state funeral of Ronald Reagan   Catafalque   Death and funeral of Richard Nixon   Funeral train   Lying in repose   Lincoln Catafalque   Missing man formation   Riderless horse   State funeral   State funeral of John F. Kennedy   State funerals in the United States   Vigil of the Princes    References ( edit )    Jump up ^ ( 1 ) Archived June 11 , 2007 , at the Wayback Machine .   Jump up ^ `` Rocket to get state funeral '' . CBC News . May 28 , 2000 .   Jump up ^ `` Kim 's body on show in North Korea amid mass mourning '' . AFP . The West Australian . Archived from the original on 3 January 2012 . Retrieved 3 January 2012 .   Jump up ^ Cheong , Danson ( 4 April 2015 ) . `` ' An honour to stand vigil for Mr Lee Kuan Yew ' '' . The Straits Times . Retrieved 21 March 2016 .   Jump up ^ `` Of state funerals and state - assisted funerals '' . Public Opinion .   Jump up ^ `` Vigil guard , highest form of respect , accorded to Lee Kuan Yew during lying in state '' . Channel News Asia .   Jump up ^ `` Vigil guards to be mounted for SR Nathan 's Lying - in - State '' . Channel News Asia .   Jump up ^ ( 2 ) Archived July 31 , 2007 , at WebCite   Jump up ^ Those Who Have Lain In State or In Honor in the Capitol Rotunda , US Architect of the Capitol .   Jump up ^ Memorial or Funeral Services in the Capitol Rotunda ( PDF ) , U.S. Senate Historical Office from the Architect of the Capitol .   ^ Jump up to : `` Civil Rights Pioneer Rosa Parks Lies in Honor in Capitol Rotunda '' . Democracy Now ! . Retrieved 2013 - 12 - 05 .   Jump up ^ `` Lying in State Architect of the Capitol United States Capitol '' . Aoc.gov . Retrieved 2013 - 12 - 05 .   Jump up ^ Boulos Ayad Ayad , Phd : `` Ancient Egyptian Civilization and the Coptic Church '' , Coptic Church Review , Volume 9 , Number 4   Retrieved from `` https://en.wikipedia.org/w/index.php?title=Lying_in_state&amp;oldid=815300634 '' Categories :   Death customs   State ritual and ceremonies   Hidden categories :   Webarchive template wayback links   Webarchive template webcite links   Articles needing additional references from January 2013   All articles needing additional references   All articles with unsourced statements   Articles with unsourced statements from September 2015   Articles with unsourced statements from November 2013           Talk                                           Contents                   About Wikipedia                                           Català   Dansk   Deutsch   Español   Italiano   Nederlands   Norsk   Português   Simple English   Svenska   Edit links   This page was last edited on 14 December 2017 , at 01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</si>
  <si>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has laid in state at the capitol</t>
  </si>
  <si>
    <t xml:space="preserve">  1852 -- Henry Clay , long - serving Senator and Representative , Secretary of State , Speaker of the House , and three - time presidential candidate   1865 -- President Abraham Lincoln , assassinated in office   1868 -- Thaddeus Stevens , Representative from Pennsylvania   1874 -- Charles Sumner , Senator from Massachusetts   1875 -- Vice President Henry Wilson , served under Grant , died in office   1881 -- President James Garfield , assassinated in office   1886 -- John A. Logan , Senator from Illinois   1901 -- President William McKinley , assassinated while in office   1909 -- Pierre L'Enfant -- although he died in 1825 , his remains were disinterred ; he was honored by lying in state before reinterment at Arlington National Cemetery   1917 -- Admiral George Dewey , Admiral of the Navy   1921 -- The Unknown Soldier for World War I   1923 -- President Warren Harding , died in office   1930 -- President William Howard Taft , President 1909 -- 13 , also Chief Justice 1921 -- 30   1948 -- John J. Pershing , General of the Armies of the United States during World War I and after   1953 -- Robert A. Taft , U.S. Senator and Majority Leader   1958 -- The Unknown Soldiers for World War II and the Korean War   1963 -- President John F. Kennedy , assassinated in office   1964 -- General Douglas MacArthur , General of the Army   1964 -- President Herbert Hoover , serving 1929 -- 33   1969 -- President Dwight Eisenhower , President 1953 -- 1961 , Supreme Allied Commander during World War II   1969 -- Everett Dirksen , Illinois Senator , Senate Minority Leader 1959 -- 1969   1972 -- J. Edgar Hoover , FBI Director 1929 -- 1972   1973 -- President Lyndon B. Johnson , President 1963 -- 1969   1978 -- Hubert Humphrey , Vice President 1965 -- 1969 , Minnesota Senator   1984 -- The Unknown Soldier for the Vietnam War ( later identified as 1st . Lt. Michael J. Blassie )   1989 -- Claude Pepper , long - serving Senator and Representative   2004 -- President Ronald Reagan , President 1981 -- 1989   2006 -- 07 -- President Gerald Ford , President 1974 -- 1977   2012 -- Daniel Inouye , President pro tempore of the U.S. Senate , Senator from Hawaii , and recipient of the Medal of Honor  </t>
  </si>
  <si>
    <t xml:space="preserve">1938 in the United States - wikipedia  1938 in the United States     1938 in the United States       Years   1936   1937   1938   1939   1940       Flag     48 stars ( 1912 -- 59 )     Timeline of United States history     History of the United States ( 1918 -- 45 )     Events from the year 1938 in the United States .     Contents  ( hide )   1 Incumbents   1.1 Federal Government   1.2 Governors   1.3 Lieutenant Governors     2 Events   2.1 January -- March   2.2 April -- June   2.3 July -- September   2.4 October -- December   2.5 Ongoing     3 Births   4 Deaths   5 See also   6 References   7 External links      Incumbents ( edit )   Federal Government ( edit )    President : Franklin D. Roosevelt ( D - New York )   Vice President : John Nance Garner ( D - Texas )   Chief Justice : Charles Evans Hughes ( New York )   Speaker of the House of Representatives : William B. Bankhead ( D - Alabama )   Senate Majority Leader : Alben W. Barkley ( D - Kentucky )   Congress : 75th      show Governors and Lieutenant Governors      Governors ( edit )    Governor of Alabama : Bibb Graves ( Democratic )   Governor of Arizona : Rawghlie Clement Stanford ( Democratic )   Governor of Arkansas : Carl Edward Bailey ( Democratic )   Governor of California : Frank Merriam ( Republican )   Governor of Colorado : Teller Ammons ( Democratic )   Governor of Connecticut : Wilbur Lucius Cross ( Democratic )   Governor of Delaware : Richard C. McMullen ( Democratic )   Governor of Florida : Fred P. Cone ( Democratic )   Governor of Georgia : Eurith D. Rivers ( Democratic )   Governor of Idaho : Barzilla W. Clark ( Democratic )   Governor of Illinois : Henry Horner ( Democratic )   Governor of Indiana : M. Clifford Townsend ( Democratic )   Governor of Iowa : Nelson G. Kraschel ( Democratic )   Governor of Kansas : Walter A. Huxman ( Democratic )   Governor of Kentucky : Happy Chandler ( Democratic )   Governor of Louisiana : Richard W. Leche ( Democratic )   Governor of Maine : Lewis O. Barrows ( Republican )   Governor of Maryland : Harry W. Nice ( Republican )   Governor of Massachusetts : Charles F. Hurley ( Democratic )   Governor of Michigan : Frank Murphy ( Democratic )   Governor of Minnesota : Elmer A. Benson ( Farmer - Labor )   Governor of Mississippi : Hugh L. White ( Democratic )   Governor of Missouri : Lloyd C. Stark ( Democratic )   Governor of Montana : Roy E. Ayers ( Democratic )   Governor of Nebraska : Robert Leroy Cochran ( Democratic )   Governor of Nevada : Richard Kirman , Sr. ( Democratic )   Governor of New Hampshire : Francis P. Murphy ( Republican )   Governor of New Jersey : Harold G. Hoffman ( Republican ) ( until January 18 ) , A. Harry Moore ( Democratic ) ( starting January 18 )   Governor of New Mexico : Clyde Tingley ( Democratic )   Governor of New York : Herbert H. Lehman ( Democratic )   Governor of North Carolina : Clyde R. Hoey ( Democratic )   Governor of North Dakota : William Langer ( Republican )   Governor of Ohio : Martin L. Davey ( Democratic )   Governor of Oklahoma : Ernest W. Marland ( Democratic )   Governor of Oregon : Charles H. Martin ( Democratic )   Governor of Pennsylvania : George Howard Earle III ( Democratic )   Governor of Rhode Island : Robert E. Quinn ( Democratic )   Governor of South Carolina : Olin D. Johnston ( Democratic )   Governor of South Dakota : Leslie Jensen ( Republican )   Governor of Tennessee : Gordon Browning ( Democratic )   Governor of Texas : James Allred ( Democratic )   Governor of Utah : Henry H. Blood ( Democratic )   Governor of Vermont : George David Aiken ( Republican )   Governor of Virginia : George C. Peery ( Democratic ) ( until January 15 ) , James H. Price ( Democratic ) ( starting January 15 )   Governor of Washington : Clarence D. Martin ( Democratic )   Governor of West Virginia : Homer A. Holt ( Democratic )   Governor of Wisconsin : Philip La Follette ( Wisconsin Progressive )   Governor of Wyoming : Leslie A. Miller ( Democratic )    Lieutenant Governors ( edit )    Lieutenant Governor of Alabama : Thomas E. Knight ( Democratic )   Lieutenant Governor of Arkansas : Robert L. Bailey ( political party unknown )   Lieutenant Governor of California : George J. Hatfield ( Republican )   Lieutenant Governor of Colorado : Frank J. Hayes ( Democratic )   Lieutenant Governor of Connecticut : T. Frank Hayes ( Democratic )   Lieutenant Governor of Delaware : Edward W. Cooch ( Democratic )   Lieutenant Governor of Idaho : Charles C. Gossett ( Democratic )   Lieutenant Governor of Illinois : John H. Stelle ( Democratic )   Lieutenant Governor of Indiana : Henry F. Schricker ( Democratic )   Lieutenant Governor of Iowa : John K. Valentine ( Democratic )   Lieutenant Governor of Kansas : William M. Lindsay ( Democratic )   Lieutenant Governor of Kentucky : Keen Johnson ( Democratic )   Lieutenant Governor of Louisiana : Earl K. Long ( Democratic )   Lieutenant Governor of Massachusetts : Francis E. Kelly ( Democratic )   Lieutenant Governor of Michigan : Leo J. Nowicki ( Democratic )   Lieutenant Governor of Minnesota : Gottfrid Lindsten ( Republican )   Lieutenant Governor of Mississippi : Jacob Buehler Snider ( Democratic )   Lieutenant Governor of Missouri : Frank Gaines Harris ( Democratic )   Lieutenant Governor of Montana : Hugh R. Adair ( political party unknown )   Lieutenant Governor of Nebraska : Walter H. Jurgensen ( Democratic ) ( until November 8 ) , Nate M. Parsons ( Democratic ) ( starting November 8 )   Lieutenant Governor of Nevada : Fred S. Alward ( political party unknown )   Lieutenant Governor of New Mexico : Hiram M. Dow ( Democratic )   Lieutenant Governor of New York : M. William Bray ( Democratic ) ( until end of December 31 )   Lieutenant Governor of North Carolina : Wilkins P. Horton ( Democratic )   Lieutenant Governor of North Dakota : Thorstein H.H. Thoresen ( Republican )   Lieutenant Governor of Ohio : Paul P. Yoder ( Democratic )   Lieutenant Governor of Oklahoma : James E. Berry ( Democratic )   Lieutenant Governor of Pennsylvania : Thomas Kennedy ( Democratic )   Lieutenant Governor of Rhode Island : Raymond E. Jordan ( Democratic )   Lieutenant Governor of South Carolina : Joseph Emile Harley ( Democratic )   Lieutenant Governor of South Dakota : Donald McMurchie ( Republican )   Lieutenant Governor of Tennessee : Bryan Pope ( Democratic )   Lieutenant Governor of Texas : Walter Frank Woodul ( Democratic )   Lieutenant Governor of Vermont : William H. Wills ( Republican )   Lieutenant Governor of Virginia : James H. Price ( Democratic ) ( until January 15 ) , Saxon W. Holt ( Democratic ) ( starting January 15 )   Lieutenant Governor of Washington : Victor A. Meyers ( Democratic )   Lieutenant Governor of Wisconsin : vacant ( until May 16 ) , Herman L. Ekern ( Progressive ) ( starting May 16 )       Events ( edit )   January -- March ( edit )    January 3 -- The March of Dimes is established by President Franklin D. Roosevelt .   January 16 -- The Famous 1938 Carnegie Hall Jazz Concert is recorded live when Benny Goodman and his orchestra become the first jazz musicians to headline a concert at Carnegie Hall in New York City .   January 22 -- Thornton Wilder 's play Our Town is performed for the first time anywhere in Princeton , New Jersey . It premieres in New York City on February 4 .   January 27 -- The Niagara Bridge at Niagara Falls , New York collapses due to an ice jam .   January 28 -- The first ski tow in America begins operation in Vermont .   March 3 -- The Santa Ana River in California spills over its banks during a rainy winter , killing 58 people in Orange County and causing trouble as far inland as Palm Springs .    April -- June ( edit )    April 18 -- First appearance of comic book superhero Superman ( as a backup story ) , in Action Comics # 1 ( cover date June ) .   April 25 -- Erie Railroad Co. v. Tompkins : The U.S. Supreme Court overturns a century of federal common law .   April 28 -- The towns of Dana , Enfield , Greenwich , and Prescott in Massachusetts are disincorporated to make way for the Quabbin Reservoir .   April 30 -- The first cartoon to feature a prototypical Bugs Bunny , Porky 's Hare Hunt , is released .   May 17 -- Information Please debuts on NBC Radio .   June 22 -- Heavyweight boxing champion Joe Louis knocks out Max Schmeling in the first round of their rematch at Yankee Stadium in New York City .   June 23   The Civil Aeronautics Act is signed into law , forming the Civil Aeronautics Authority in the U.S.   Marineland opens near St. Augustine , Florida .     June 24 -- A 450 - metric - ton ( 496 - short - ton ) meteorite explodes about 12 miles ( 19 km ) above the earth near Chicora , Pennsylvania .   June 25 -- Food , Drug and Cosmetic Act is signed into law by president Franklin D. Roosevelt    July -- september ( edit )    July 3 -- The last reunion of the Blue and Gray commemorates the 75th anniversary of the Battle of Gettysburg in Gettysburg , Pennsylvania .   July 5 -- The Non-Intervention Committee reaches an agreement to withdraw all foreign volunteers from the Spanish Civil War . The agreement is respected by most Republican foreign volunteers , notably by those from England and the United States , but is ignored by the governments of Germany and Italy .   July 18 -- Wrong Way Corrigan takes off from New York City , ostensibly heading for California . He lands in Ireland instead .   August 6 -- The Looney Tunes animated short Porky &amp; Daffy is released .   August 18 -- The Thousand Islands Bridge , connecting the United States with Canada , is dedicated by U.S. President Franklin D. Roosevelt .   August 31 -- Winston Churchill , still believing France and Britain mean to honor their promises to defend Czechoslovakia against Nazi aggression , suggests in a personal note to Neville Chamberlain that His Majesty 's Government may want to set up a broad international alliance including the United States ( specifically mentioning U.S. President Franklin D. Roosevelt as possibly receptive to the idea ) and the Soviet Union .   September 1 -- Haggar debuts a new pant concept , `` Slacks '' , as the appropriate pant to wear during a man 's `` Slack Time . ''   September 4 -- During the ceremony marking the unveiling of a plaque at Pointe de Grave , France celebrating Franco - American friendship , American Ambassador William Bullitt in a speech states , `` France and the United States were united in war and peace '' , leading to much speculation in the press that if war did break out over Czechoslovakia , then the United States would join the war on the Allied side .   September 9 -- U.S. President Franklin D. Roosevelt disallows the popular interpretation of Bullitt 's speech at a press conference at the White House . Roosevelt states it is `` 100 % wrong '' the U.S. would join a `` stop - Hitler bloc '' under any circumstances , and makes it quite clear that in the event of German aggression against Czechoslovakia , the U.S. would remain neutral .   September 12 -- Hitler makes his much - anticipated closing address at Nuremberg , in which he vehemently attacks the Czech people and President Beneš . American news commentator Hans von Kaltenborn begins his famous marathon of broadcast bulletins over the CBS Radio Network with a summation of Hitler 's address .   September 21 -- The New England Hurricane of 1938 strikes Long Island and southern New England , killing over 300 along the Rhode Island shoreline and approximately 600 in total .   September 22 -- Olsen and Johnson 's musical comedy revue Hellzapoppin ' begins its 3 - year run on Broadway .    October -- december ( edit )    October 10 -- The Blue Water Bridge opens , connecting Port Huron , Michigan and Sarnia , Ontario .   October 16 -- Winston Churchill , in a broadcast address to the United States , condemns the Munich Agreement as a defeat and calls upon America and western Europe to prepare for armed resistance against Adolf Hitler .   October 24 -- The minimum wage is established by law in the United States .   October 30 -- Orson Welles 's radio adaptation of The War of the Worlds is broadcast , causing panic in various parts of the United States .   October 31 -- Great Depression : In an effort to try restore investor confidence , the New York Stock Exchange unveils a 15 - point program intended to upgrade protection for the investing public .   November 1 -- Horse Racing : Seabiscuit defeats War Admiral by four lengths in their famous match race at Pimlico Race Course in Baltimore , Maryland .   November 10 -- On the eve of Armistice Day , Kate Smith sings Irving Berlin 's `` God Bless America '' for the first time on her weekly radio show .   December -- President Franklin Roosevelt agrees to lend $25 million to Chiang Kai - shek , cementing the Sino - American relationship and angering the Japanese government .    Ongoing ( edit )    New Deal ( 1933 -- 1936 )   Recession of 1937 -- 1938 ( 1937 -- 1938 )   The Dictionary of Occupational Titles was established . It would run until 1998 , when it was replaced with O * Net OnLine    Births ( edit )    January 2 -- Dana Ulery , computer scientist   January 4 -- Eddie Southern , hurdler   January 14 -- Allen Toussaint , R&amp;B musician , songwriter / composer and record producer ( died 2015 )   January 18 -- Paul G. Kirk , U.S. Senator from Massachusetts from 2009 to 2010   February 4 -- Donald W. Riegle , Jr. , U.S. Senator from Michigan from 1976 to 1995   March 5 -- Lynn Margulis , biologist ( died 2011 )   March 7 -- David Baltimore , biologist , recipient of the Nobel Prize in Physiology or Medicine in 1975   April 3 -- John Darley , social psychologist   April 7 -- Jerry Brown , Governor of California   April 13 -- Frederic Rzewski , composer   April 23 -- Steve Symms , U.S. Senator from Idaho from 1981 to 1993   April 25 -- Roger Boisjoly , rocket engineer ( died 2012 )   May 10 -- Henry Fambrough , soul singer   May 11 -- Bruce Langhorne , guitarist ( died 2017 )   June 3 -- David L. Mills , computer scientist and engineer   June 7 -- Goose Gonsoulin , American football player ( died 2014 )   June 16 -- Joyce Carol Oates , novelist   June 24 -- Lawrence Block , crime writer   June 28 -- Leon Panetta , 23rd United States Secretary of Defense   July 20 -- Natalie Wood , actress ( died 1981 )   July 21 -- Janet Reno , United States Attorney General from 1993 to 2001 ( died 2016 )   August 15 -- Stephen Breyer , Associate Justice of the Supreme Court of the U.S. from 1994   August 20 -- Kaneaster Hodges , Jr. , U.S. Senator from Arkansas from 1977 to 1979   August 21 -- Kenny Rogers , country singer   September 6 -- Dennis Oppenheim , artist ( died 2011 )   September 8 -- Sam Nunn , U.S. Senator from Georgia from 1972 to 1997   October 6 -- Peter F. Donnelly , arts patron , vice-chairman of Americans for the Arts ( died 2009 )   October 7 -- Mary Ann Glendon , academic lawyer and bioethicist   October 22 -- Christopher Lloyd , actor and entrepreneur   November 12 -- Terry `` Buzzy '' Johnson , American singer - songwriter and music producer ( The Flamingos )   November 16 -- Robert Nozick , philosopher ( died 2002 )   November 19 -- Ted Turner , entrepreneur   November 24 -- Charles Starkweather , spree killer ( died 1959 )   December 23 -- Bob Kahn , Internet pioneer   December 29 -- Jon Voight , actor   Undated -- Bruce Langhorne , folk musician ( died 2017 )    Deaths ( edit )    January 8 -- Johnny Gruelle , cartoonist and children 's book author ( b . 1880 )   February 2 -- Frederick William Vanderbilt , railway magnate ( b . 1856 )   February 7 -- Harvey Firestone , tire manufacturer ( b . 1868 )   February 10 -- Richard A. Whiting , composer ( b . 1890 )   February 18 -- David King Udall , politician ( b . 1851 )   March 2 -- Ben Harney , American composer and pianist ( b . 1871 )   March 6 -- Walt McDougall , American cartoonist ( b . 1858 )   March 13 -- Clarence Darrow , American attorney ( b . 1857 )   March 21 -- Oscar Apfel , American actor and director ( b . 1878 )   April 8 -- Joe `` King '' Oliver , American jazz musician ( b . 1885 )   May 23 -- Frederick Ruple , American painter ( b . 1871 )   May 22 -- William Glackens , American painter ( b . 1870 )   May 26 -- John Jacob Abel , American pharmacologist ( b . 1857 )   June 26 -- James Weldon Johnson , American author , politician , and diplomat ( b . 1871 )   July 9 -- Benjamin N. Cardozo , United States Supreme Court Justice ( b . 1870 )   August 1 -- Edmund Charles Tarbell , American artist ( b . 1862 )   August 4 -- Pearl White , American actress ( b . 1889 )   August 16 -- Robert Johnson , American blues singer ( b . 1911 )   September 15 -- Thomas Wolfe , American author ( b . 1900 )   September 19 -- Pauline Frederick , American stage &amp; screen actress , ( b . 1883 )   September 28 -- Con Conrad , American composer ( b . 1891 )   October 13 -- E.C. Segar , American comics artist and creator of Popeye ( b . 1894 )   October 27 -- Alma Gluck , American soprano ( b . 1884 )   October 28 -- Fred Kohler , American actor ( b . 1888 )   October 30 -- Robert Woolsey , American film comedian ( b . 1888 )   November 1 -- Charles Weeghman , American restaurateur and owner of Chicago Cubs ( b . 1874 )   November 4 -- Samuel W. Bryant , American admiral ( b . 1877 )   December 20 -- Annie Armstrong , American missionary leader ( b . 1850 )    See also ( edit )    List of American films of 1938   Timeline of United States history ( 1930 -- 1949 )    References ( edit )    Jump up ^ `` A Look Back : Flood of ' 38 was county 's worst natural disaster '' . Archived from the original on 2009 - 05 - 20 . Retrieved 2009 - 05 - 18 .   Jump up ^ The date is established in court documents released during a legal battle over the rights to the character .    External links ( edit )    Media related to 1938 in the United States at Wikimedia Commons              Years in the United States ( 1776 -- present )     18th century     1776   1777   1778   1779   1780   1781   1782   1783   1784   1785   1786   1787   1788   1789   1790   1791   1792   1793   1794   1795   1796   1797   1798   1799   1800       19th century     1801   1802   1803   1804   1805   1806   1807   1808   1809   1810   1811   1812   1813   1814   1815   1816   1817   1818   1819   1820   1821   1822   1823   1824   1825   1826   1827   1828   1829   1830   1831   1832   1833   1834   1835   1836   1837   1838   1839   1840   1841   1842   1843   1844   1845   1846   1847   1848   1849   1850   1851   1852   1853   1854   1855   1856   1857   1858   1859   1860   1861   1862   1863   1864   1865   1866   1867   1868   1869   1870   1871   1872   1873   1874   1875   1876   1877   1878   1879   1880   1881   1882   1883   1884   1885   1886   1887   1888   1889   1890   1891   1892   1893   1894   1895   1896   1897   1898   1899   1900       20th century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21st century                                     2017   2018   2019   2020   2021   2022   2023   2024   2025                 Timeline of United States history     Period     Before 1760   American Revolution ( 1760 -- 1789 )   1790 -- 1819   1820 -- 1859   1860 -- 1899   1900 -- 1929   1930 -- 1949   1950 -- 1969   1970 -- 1989   1990 -- present       Topic     Diplomatic history   Military operations       Related     History of the United States   Outline of United States history   Years in the United States       United States history timelines               1938 in North America     Sovereign states     Antigua and Barbuda   Bahamas   Barbados   Belize   Canada   Costa Rica   Cuba   Dominica   Dominican Republic   El Salvador   Grenada   Guatemala   Haiti   Honduras   Jamaica   Mexico   Nicaragua   Panama   Saint Kitts and Nevis   Saint Lucia   Saint Vincent and the Grenadines   Trinidad and Tobago   United States       Dependencies and other territories     Anguilla   Aruba   Bermuda   Bonaire   British Virgin Islands   Cayman Islands   Curaçao   Greenland   Guadeloupe   Martinique   Montserrat   Puerto Rico   Saint Barthélemy   Saint Martin   Saint Pierre and Miquelon   Saba   Sint Eustatius   Sint Maarten   Turks and Caicos Islands   United States Virgin Islands      Retrieved from `` https://en.wikipedia.org/w/index.php?title=1938_in_the_United_States&amp;oldid=840944242 '' Categories :   1938 in the United States           Talk                                           Contents                   About Wikipedia                                                   Bân - lâm - gú   Français   עברית   Edit links   This page was last edited on 13 May 2018 , at 02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</si>
  <si>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president of the united states in 1938</t>
  </si>
  <si>
    <t xml:space="preserve"> President : Franklin D. Roosevelt ( D - New York ) </t>
  </si>
  <si>
    <t xml:space="preserve">Melanesia - wikipedia  Melanesia  Jump to : navigation , search The geographical extent of Melanesia The three major cultural areas in the Pacific Ocean : Melanesia , Micronesia , and Polynesia  Melanesia ( UK : / ˌmɛləˈniːziə / , US : / ˌmɛləˈniːʒə / ) is a subregion of Oceania extending from New Guinea island in the southwestern Pacific Ocean to the Arafura Sea , and eastward to Fiji .   The region includes the four independent countries of Vanuatu , the Solomon Islands , Fiji , and Papua New Guinea , as well as the French special collectivity of New Caledonia , and the Indonesian region of Western New Guinea . Most of the region is in the Southern Hemisphere , with a few small northwestern islands of Western New Guinea in the Northern Hemisphere .   The name Melanesia ( in French Mélanésie ) was first used by Jules Dumont d'Urville in 1832 to denote an ethnic and geographical grouping of islands whose inhabitants he thought were distinct from those of Micronesia and Polynesia .     Contents  ( hide )   1 Etymology   2 History   3 Languages   4 Geography   5 Political geography   6 Genetic studies   7 See also   8 References   9 External links      Etymology ( edit )  Distribution of Melanesians according to Meyers Konversations - Lexikon  The name Melanesia , from Greek μέλας , black , and νῆσος , islands , etymologically means `` islands of black ( people ) '' , in reference to the dark skin of the inhabitants .   The concept among Europeans of Melanesia as a distinct region evolved gradually over time as their expeditions mapped and explored the Pacific . Early European explorers noted the physical differences among groups of Pacific Islanders . In 1756 Charles de Brosses theorized that there was an `` old black race '' in the Pacific who were conquered or defeated by the peoples of what is now called Polynesia , whom he distinguished as having lighter skin . In the first half of the nineteenth century Jean Baptiste Bory de Saint - Vincent and Jules Dumont d'Urville identified Melanesians as a distinct racial group .   Over time , however , Europeans increasingly viewed Melanesia as a distinct cultural , rather than racial , area . Scholars and other commentators disagreed on its boundaries , which were fluid . In the nineteenth century Robert Codrington , a British missionary , produced a series of monographs on `` the Melanesians '' based on his long - time residence in the region . In works including The Melanesian Languages ( 1885 ) and The Melanesians : Studies in Their Anthropology and Folk - lore ( 1891 ) , Codrington defined Melanesia as including Vanuatu , the Solomon Islands , New Caledonia , and Fiji . He did not include the islands of New Guinea because only some of its people were Melanesians . Like Bory de Saint - Vincent , he excluded Australia from Melanesia . It was in these works that Codrington introduced the cultural concept of mana to the West .  A pan flute from the Solomon Islands , 19th century  Uncertainty about the delineation and definition of the region continues . The scholarly consensus now includes New Guinea within Melanesia . Ann Chowning wrote in her 1977 textbook on Melanesia that there is   no general agreement even among anthropologists about the geographical boundaries of Melanesia . Many apply the term only to the smaller islands , excluding New Guinea ; Fiji has frequently been treated as an anomalous border region or even assigned wholly to Polynesia ; and the people of the Torres Straits Islands are often simply classified as Australian aborigines .   In 1998 Paul Sillitoe wrote of Melanesia : `` it is not easy to define precisely , on geographical , cultural , biological , or any other grounds , where Melanesia ends and the neighbouring regions ... begins '' . He ultimately concludes that the region is   a historical category which evolved in the nineteenth century from the discoveries made in the Pacific and has been legitimated by use and further research in the region . It covers populations that have a certain linguistic , biological and cultural affinity -- a certain ill - defined sameness , which shades off at its margins into difference .   Both Sillitoe and Chowning include the island of New Guinea in the definition of Melanesia , and both exclude Australia .   Most of the peoples in Melanesia have established independent countries , are administered by France or have active independence movements ( in the case of West Papua ) . Many have recently taken up the term ' Melanesia ' as a source of identity and `` empowerment '' . Stephanie Lawson writes that the term `` moved from a term of denigration to one of affirmation , providing a positive basis for contemporary subregional identity as well as a formal organisation '' . For instance , the author Bernard Narokobi wrote about the `` Melanesian Way '' as a distinct form of culture that could empower the people of this region . The concept is also used in geopolitics . For instance , the Melanesian Spearhead Group preferential trade agreement is a regional trade treaty among Vanuatu , the Solomon Islands , Papua New Guinea , and Fiji .   History ( edit )  Sailors of Melanesia in the Pacific Ocean , 1846 Main article : Melanesians  The people of Melanesia have a distinctive ancestry . Along with the aboriginal inhabitants of Australia , they are believed to derive from the Proto - Australoids who emigrated from Africa between 50,000 and 100,000 years ago and dispersed along the southern edge of Asia , giving rise to Australoid populations in various places , including South India , Sri Lanka , the Andaman Islands , the Philippines , and others . The limit of this ancient migration was Sahul , the continent formed when Australia and New Guinea were united by a land bridge as a result of low sea levels . The first migration into Sahul came over 40,000 years ago . A further expansion into the eastern islands of Melanesia came much later , probably between 4000 B.C. and 3000 B.C.  A Melanesian child from Vanuatu  Particularly along the north coast of New Guinea and in the islands north and east of New Guinea , the Austronesian people , who had migrated into the area somewhat more than 3,000 years ago , came into contact with these pre-existing populations of Papuan - speaking peoples . In the late 20th century , some scholars theorized a long period of interaction , which resulted in many complex changes in genetics , languages , and culture among the peoples . This Polynesian theory , however , is contradicted by the findings of a genetic study published by Temple University in 2008 . It found that neither Polynesians nor Micronesians have much genetic relation to Melanesians . It appeared that , having developed their sailing outrigger canoes , the ancestors of the Polynesians migrated from East Asia , moved through the Melanesian area quickly on their way , and kept going to eastern areas , where they settled . They left little genetic evidence in Melanesia .   Languages ( edit )  Further information : Melanesian languages  Most of the languages of Melanesia are members of the Austronesian or Papuan language families . By one count , there are 1,319 languages in Melanesia , scattered across a small amount of land . The proportion of 716 square kilometers per language is by far the most dense rate of languages in relation to land mass in the Earth , almost three times as dense as in Nigeria , a country famous for its high number of languages in a compact area .   In addition to the many indigenous languages , pidgins and creole languages have developed , often from trade and cultural interaction centuries before European encounter . Most notable among these are Tok Pisin and Hiri Motu in Papua New Guinea . They are now both considered distinct creole languages . Use of Tok Pisin is growing . It is sometimes learned as a first language , above all by multi-cultural families . Other creoles include Solomon Islands Pijin , Bislama , Papuan Malay and other related languages .   Geography ( edit )  Mount Tavurvur in Papua New Guinea Aerial view of the Solomon Islands . Cinder plain of Mount Yasur in Vanuatu New Caledonia  A distinction is often made between the islands of New Guinea and what is known as Island Melanesia , which consists of `` the chain of archipelagos , islands , atolls , and reefs forming the outer bounds of the sheltered oval - shaped coral sea '' . This includes the Louisiade archipelago ( part of Papua New Guinea ) , the Bismarck Archipelago ( part of Papua New Guinea and Solomon Islands ) , and the Santa Cruz Islands ( part of the country called Solomon Islands ) . The country of Vanuatu is composed of the New Hebrides island chain ( and in the past ' New Hebrides ' has also been the name of the political unit located on the islands ) . New Caledonia is composed of one large island and several smaller chains , including the Loyalty Islands . The nation of Fiji is composed of two main islands , Viti Levu and Vanua Levu , and smaller islands , including the Lau Islands .   The names of islands in Melanesia can be confusing : they have both indigenous and European names . National boundaries sometimes cut across archipelagos . The names of the political units in the region have changed over time , and sometimes have included geographical terms . For example , the island of Makira was once known as San Cristobal , the name given to it by Spanish explorers . It is in the country Solomon Islands , which is a nation - state and not a contiguous archipelago . The border of Papua New Guinea and Solomon Islands separates the island of Bougainville from nearby islands like Choiseul , although Bougainville is geographically part of the chain of islands that includes Choiseul and much of the Solomons .   In addition to the islands mentioned here , there are many smaller islands and atolls in Melanesia . These include    Amphlett Islands , Papua New Guinea   d'Entrecasteaux Islands , Papua New Guinea   Norfolk Island , Australia ( geographically only )   Raja Ampat Islands , West Papua   Aru Islands , Maluku   Rotuma , Fiji   Schouten Islands   Torres Strait Islands , politically divided between Australia and Papua New Guinea   Trobriand Islands , Papua New Guinea   Woodlark Island , Papua New Guinea    Norfolk Island , listed above , has archaeological evidence of East Polynesian rather than Melanesian settlement . Rotuma in Fiji has strong affinities culturally and ethnologically to Polynesia .   Based on ethnological factors , some of the islands to the west of the Moluccas , such as Nusa Tenggara , Celebes , Luzon , Visayas , Mindanao , Borneo , Palawan Island , Malaya , Java , Sumatra , and Pantar , can also be considered to be part of Melanesia . Most people in this area do not identify with this term or use it in daily talk .   Political geography ( edit )   The following countries are considered part of Melanesia :    Fiji   Papua New Guinea   Solomon Islands   Vanuatu    Melanesia also includes :    New Caledonia -- a dependency of France .   West Papua and Papua -- The western half of the island of New Guinea ( West Papua ( region ) is politically part of the nation state of Indonesia . Europeans have always recognized it as geographically part of Melanesia . An independence movement , the Free Papua Movement , is active in this area .    Several Melanesian states are members of intergovernmental organizations . Papua New Guinea , the Solomon Islands , and Vanuatu are members of the Commonwealth of Nations . Fiji , Papua New Guinea , Solomon Islands , and Vanuatu are also members of the Melanesian Spearhead Group .   Genetic Studies ( edit )   Melanesians were found to have a mysterious third archaic Homo species along with their Denisovan ( 3 -- 4 % ) and Neanderthal ( 2 % ) ancestors in a genetic admixture with their otherwise modern Homo sapiens sapiens genomes . Their most common Y - chromosome haplogroup is M - P256 .   The high occurrence of blond hair is due to a specific random mutation , so DNA and phenotype for blonds appeared at least twice in human history .   See also ( edit )    Geography portal   Oceania portal     Denisova hominin   Melanesian Brotherhood   Negrito ( of Leyte , Agusan del Norte and Surigao )   Papuan peoples   Wallacea    References ( edit )    Jump up ^ Tcherkezoff , Serge ( 2003 ) . `` A Long and Unfortunate Voyage Toward the Invention of the Melanesia - Polynesia Distinction 1595 -- 1832 '' . Journal of Pacific History . 38 ( 2 ) : 175 -- 196 . doi : 10.1080 / 0022334032000120521 .   Jump up ^ `` MAPS AND NOTES to illustrate the history of the European ' invention ' of the Melanesia / Polynesia distinction '' . Retrieved 7 March 2013 .   Jump up ^ Durmont D'Urville , Jules - Sebastian - Cesar ( 2003 ) . `` On The Islands of The Great Ocean '' . Journal of Pacific History . 38 ( 2 ) : 163 -- 174 . doi : 10.1080 / 0022334032000120512 .   Jump up ^ Codrington , Robert ( 1915 ) . `` Melanesians '' . Encyclopedia of Religion and Ethics . Edinburgh : T &amp; T Clark . pp. 528 -- 535 .   Jump up ^ Chowning , Ann ( 1977 ) . An Introduction to the Peoples and Cultures of Melanesia . Menlo Park : Cummings Publishing Company .   ^ Jump up to : Sillitoe , Paul ( 1998 ) . An Introduction to the Anthropology of Melanesia . New York : Cambridge University Press .   Jump up ^ Lawson , Stephanie ( 2013 ) . `` ' Melanesia ' : The History and Politics of an Idea '' . Journal of Pacific History . 48 ( 1 ) : 1 -- 22 . doi : 10.1080 / 00223344.2012. 760839 .   ^ Jump up to : `` Genome Scans Show Polynesians Have Little Genetic Relationship to Melanesians '' , Press Release , Temple University , 17 January 2008 , accessed 19 July 2015   Jump up ^ Spriggs , Matthew ( 1997 ) . The Island Melanesians . Blackwell . ISBN 0 - 631 - 16727 - 7 .   Jump up ^ Landweer , M. Lynn ; Unseth , Peter ( 2012 ) . `` An introduction to language use in Melanesia '' . International Journal of the Sociology of Language . 214 : 1 -- 3 . doi : 10.1515 / ijsl - 2012 - 0017 .   Jump up ^ Moore , Clive ( 2003 ) . New Guinea : Crossing Boundaries and History . Honolulu : University of Hawaii Press .   Jump up ^ The Origin of Blond Afros in Melanesia http://www.sciencemag.org/news/2012/05/origin-blond-afros-melanesia    External links ( edit )       Wikimedia Commons has media related to Melanesia .      Polynesian origins : Insights from the Y chromosome   Independent Histories of Human Y Chromosomes from Melanesia and Australia   A site about West Melanesia   Bird checklists for Melanesian islands   New Guinea : Crossing Boundaries and History -- a general history of New Guinea   Anglican historical texts related to Melanesia   Ancient humans , dubbed ' Denisovans ' , interbred with us BBC News online ( 2010 - 12 - 22 ) report ( with video ) on study that shows that Denisovans interbred with the ancestors of the present day people of the Melanesian region north and north - east of Australia . Melanesian DNA comprises between 4 % and 6 % Denisovan DNA .    Coordinates : 9 ° S 160 ° E ﻿ / ﻿ 9 ° S 160 ° E ﻿ / - 9 ; 160             Melanesia     Sovereign states     Fiji   Papua New Guinea   Solomon Islands   Vanuatu         Other political units     West Papua ( region )   Papua ( province )   West Papua ( province )     New Caledonia       Culture     People   Languages   Music   Mythology   Universities       Geography     Region   Island Melanesia   New Guinea   Louisiade archipelago   Bismarck Archipelago   Santa Cruz Islands   Loyalty Islands   Lau Islands   d'Entrecasteaux Islands   Raja Ampat Islands   Schouten Islands   Torres Strait Islands   Trobriand Islands   Woodlark Island       Organizations     Melanesian Spearhead Group   Melanesia 2000       Sports     Melanesia Cup   Melanesian Super Cup       Politics     Political parties   United Liberation Movement for West Papua         Commons   Category                 Culture of indigenous Oceania     List of resources about traditional arts and culture of Oceania     Art     Ahu   Australia   Austronesia   Cook Islands   Hawaiʻi   kapa ( Hawaiʻi )   Lei   magimagi   moai   New Zealand   Māori     nguzu nguzu   Oceania   Papua New Guinea   reimiro   tā moko   tabua   ta'ovala   tapa ( `` masi '' ( Fiji ) , `` ngatu '' ( Tonga ) , `` siapo '' ( Sāmoa ) , `` ʻuha '' ( Rotuma ) )   tattoo   tēfui   tivaevae       Broad culture     areca nut   kava , `` ʻawa '' ( Hawaii ) , `` yaqona '' ( Fiji ) , or `` sakau '' ( Pohnpei )   Kava culture   Lapita   Māori   Polynesia   Polynesian navigation   Sāmoa ' ava ceremony   wood carving       Geo - specific , general     Australia   Australian Aboriginal astronomy )     Austronesia   Caroline Islands , - Pwo   Chatham Islands   Cook Islands   Easter Island   Fiji   Lau Islands   traditions and ceremonies     Guam   Hawaiʻi   Lomilomi massage     Kiribati   French Polynesia 's Marquesas Islands   Marshall Islands   Stick charts of     Federated States of Micronesia   Nauru   New Caledonia   New Zealand   Niue   Norfolk Island   Palau   Papua New Guinea   Pitcairn Islands   Sāmoa   Solomon Islands   Tonga   Torres Strait Islands   Tuvalu   Vanuatu   Wallis and Futuna   Yap   navigation   Weriyeng navigation school         Canoes     Aboriginal Dugout   Alingano Maisu   Bangka   Drua   Dugout ( boat )   Hawaiʻiloa   Hōkūleʻa   Kaep   Karakoa   Malia ( Hawaiian )   Māori migration   Outrigger   Paraw   Polynesian sailing   Proa   Vinta   Waka   list     Walap       Dance     ' Aparima   cibi   fara   fire dancing   firewalking   haka   hivinau   hula   kailao   kapa haka   Kiribati   meke   ' ote'a   pa'o'a   poi   Rotuma   siva   Tahiti   tāmūrē   tautoga   Tonga   ' upa'upa       Festivals     Australia   Garma Festival     Hawaiʻi   Aloha Festivals   Merrie Monarch Festival   World Invitational Hula Festival     Fiji   New Zealand   Pasifika Festival   Te Matatini     The Pacific Community   Festival of Pacific Arts     Papua New Guinea       Languages      by area              Languages of Oceania     Sovereign states     Australia   Federated States of Micronesia   Fiji   Kiribati   Marshall Islands   Nauru   New Zealand   Palau   Papua New Guinea   Samoa   Solomon Islands   Tonga   Tuvalu   Vanuatu       Associated states of New Zealand     Cook Islands   Niue       Dependencies and other territories     American Samoa   Christmas Island   Cocos ( Keeling ) Islands   Easter Island   French Polynesia   Guam   Hawaii   New Caledonia   Norfolk Island   Northern Mariana Islands   Pitcairn Islands   Tokelau   Wallis and Futuna          by category   Languages of Oceania        Literature              Literature of Oceania     Sovereign states     Australia   Federated States of Micronesia   Fiji   Kiribati   Marshall Islands   Nauru   New Zealand   Palau   Papua New Guinea   Samoa   Solomon Islands   Tonga   Tuvalu   Vanuatu       Associated states of New Zealand     Cook Islands   Niue       Dependencies and other territories     American Samoa   Christmas Island   Cocos ( Keeling ) Islands   Easter Island   French Polynesia   Guam   Hawaii   New Caledonia   Norfolk Island   Northern Mariana Islands   Pitcairn Islands   Tokelau   Wallis and Futuna          Music     Austral Islands ( French Polynesia )   Australia   Austronesia   Cook Islands   Easter Island   Fiji   Guam   Hawaiʻi   Kiribati   Lali   Melanesia   Micronesia   Federated States of Micronesia   Nauru   New Caledonia   New Zealand   Māori     Niue   Northern Mariana Islands   Palau   Papua New Guinea   Polynesia   Sāmoa   Slit drum   Solomon Islands   Tahiti   Tokelau   Tonga   Tuvalu   Vanuatu   Wallis and Futuna       Mythology     Australian Aboriginal   Fijian   Hawaiian   Mangarevan   Maohi   Māori   Melanesian   Menehune   Micronesian   Oceanian legendary creatures   Polynesian   Rapa Nui   Samoan   Tuvaluan   Vanuatuan       Research     Asian American and Pacific Islander Policy Research Consortium   Australian Institute of Aboriginal and Torres Strait Islander Studies       People     Indigneous Australian   Austronesian   Bajau   Chamorro   Chatham Islander ( Moriori or Rekohu )   Fijian ( iTaukei )   Igorot   Hawaiian ( kānaka maoli )   Māori   Marshallese   Melanesian   Micronesian   Negrito   Norfolk Islander   Papuan   Polynesian   Indigenous Polynesian ( Mā'ohi )   Rapa Nui   Rotuman   Ryukyuan   Samoan ( Tagata Māo'i )   Tahitian   Taiwanese aborigines   Tongan   Torres Strait Islander   Yami       Religion              Religion in Oceania     Sovereign states     Australia   Federated States of Micronesia   Fiji   Kiribati   Marshall Islands   Nauru   New Zealand   Palau   Papua New Guinea   Samoa   Solomon Islands   Tonga   Tuvalu   Vanuatu       Associated states of New Zealand     Cook Islands   Niue       Dependencies and other territories     American Samoa   Christmas Island   Cocos ( Keeling ) Islands   Easter Island   French Polynesia   Guam   Hawaii   New Caledonia   Norfolk Island   Northern Mariana Islands   Pitcairn Islands   Tokelau   Wallis and Futuna          Not included : Oceanian : cinema , ( indigenous ) currency , dress , folkore , cuisine . Also see Category : Oceanian culture .               Countries and territories of Oceania     Sovereign states      Entire     Australia   Federated States of Micronesia   Fiji   Kiribati   Marshall Islands   Nauru   New Zealand   Palau   Papua New Guinea   Samoa   Solomon Islands   Tonga   Tuvalu   Vanuatu       In part     Chile   Easter Island   Juan Fernández Islands     Indonesia   West Papua   Papua     Japan   Bonin Islands   Minami - Tori - Shima     United States   Hawaii   Palmyra Atoll              Associated states of New Zealand     Niue   Cook Islands       Dependencies and other territories      Australia     Ashmore and Cartier Islands   Coral Sea Islands   Norfolk Island       United States     American Samoa   Baker Island   Guam   Howland Island   Jarvis Island   Johnston Atoll   Kingman Reef   Midway Atoll   Northern Mariana Islands   Wake Island       New Zealand     Tokelau       France     French Polynesia   New Caledonia   Wallis and Futuna       United Kingdom     Pitcairn Islands                    Indigenous peoples of the world by continent         Africa     Asia     Europe     North America     Oceania     South America         Indigenous peoples by geographic regions               Regions of the world                Regions of Africa     Central Africa     Guinea region   Gulf of Guinea     Cape Lopez   Mayombe   Igboland   Mbaise     Maputaland   Pool Malebo   Congo Basin   Chad Basin   Congolese rainforests   Ouaddaï highlands   Ennedi Plateau       East Africa     African Great Lakes   Albertine Rift   East African Rift   Great Rift Valley   Gregory Rift   Rift Valley lakes   Swahili coast   Virunga Mountains   Zanj     Horn of Africa   Afar Triangle   Al - Habash   Barbara   Danakil Alps   Danakil Desert   Ethiopian Highlands   Gulf of Aden   Gulf of Tadjoura     Indian Ocean islands   Comoros Islands         North Africa     Maghreb   Barbary Coast   Bashmur   Ancient Libya   Atlas Mountains     Nile Valley   Cataracts of the Nile   Darfur   Gulf of Aqaba   Lower Egypt   Lower Nubia   Middle Egypt   Nile Delta   Nuba Mountains   Nubia   The Sudans   Upper Egypt     Western Sahara       West Africa     Pepper Coast   Gold Coast   Slave Coast   Ivory Coast   Cape Palmas   Cape Mesurado   Guinea region   Gulf of Guinea     Niger Basin   Guinean Forests of West Africa   Niger Delta   Inner Niger Delta       Southern Africa     Madagascar   Central Highlands ( Madagascar )   Northern Highlands     Rhodesia   North   South     Thembuland   Succulent Karoo   Nama Karoo   Bushveld   Highveld   Fynbos   Cape Floristic Region   Kalahari Desert   Okavango Delta       Macro-regions     Aethiopia   Arab world   Commonwealth realm   East African montane forests   Eastern Desert   Equatorial Africa   Françafrique   Gibraltar Arc   Greater Middle East   Islands of Africa   List of countries where Arabic is an official language   Mediterranean Basin   MENA   MENASA   Middle East   Mittelafrika   Negroland   Northeast Africa   Portuguese - speaking African countries   Sahara   Sahel   Sub-Saharan Africa   Sudan ( region )   Sudanian Savanna   Tibesti Mountains   Tropical Africa                 Regions of Asia     Central     Greater Middle East   Aral Sea   Aralkum Desert   Caspian Sea   Dead Sea   Sea of Galilee     Transoxiana   Turan     Greater Khorasan   Ariana   Khwarezm   Sistan   Kazakhstania   Eurasian Steppe   Asian Steppe   Kazakh Steppe   Pontic -- Caspian steppe     Mongolian - Manchurian grassland   Wild Fields   Yedisan   Muravsky Trail     Ural   Ural Mountains     Volga region   Idel - Ural   Kolyma   Transbaikal   Pryazovia   Bjarmaland   Kuban   Zalesye   Ingria   Novorossiya   Gornaya Shoriya   Tulgas   Iranian Plateau   Altai Mountains   Pamir Mountains   Tian Shan   Badakhshan   Wakhan Corridor   Wakhjir Pass   Mount Imeon   Mongolian Plateau   Western Regions   Taklamakan Desert   Karakoram   Trans - Karakoram Tract     Siachen Glacier       North     Inner Asia   Northeast   Far East   Russian Far East   Okhotsk - Manchurian taiga     Extreme North   Siberia   Baikalia ( Lake Baikal )   Transbaikal   Khatanga Gulf   Baraba steppe     Kamchatka Peninsula   Amur Basin   Yenisei Gulf   Yenisei Basin   Beringia   Sikhote - Alin       East     Japanese archipelago   Northeastern Japan Arc   Sakhalin Island Arc     Korean Peninsula   Gobi Desert   Taklamakan Desert   Greater Khingan   Mongolian Plateau   Inner Asia   Inner Mongolia   Outer Mongolia   China proper   Manchuria   Outer Manchuria   Inner Manchuria   Northeast China Plain   Mongolian - Manchurian grassland     North China Plain   Yan Mountains     Kunlun Mountains   Liaodong Peninsula   Himalayas   Tibetan Plateau   Tibet     Tarim Basin   Northern Silk Road   Hexi Corridor   Nanzhong   Lingnan   Liangguang   Jiangnan   Jianghuai   Guanzhong   Huizhou   Wu   Jiaozhou   Zhongyuan   Shaannan   Ordos Loop   Loess Plateau   Shaanbei     Hamgyong Mountains   Central Mountain Range   Japanese Alps   Suzuka Mountains   Leizhou Peninsula   Gulf of Tonkin   Yangtze River Delta   Pearl River Delta   Yenisei Basin   Altai Mountains   Wakhan Corridor   Wakhjir Pass       West     Greater Middle East   MENA   MENASA   Middle East     Red Sea   Caspian Sea   Mediterranean Sea   Zagros Mountains   Persian Gulf   Pirate Coast   Strait of Hormuz   Greater and Lesser Tunbs     Al - Faw Peninsula   Gulf of Oman   Gulf of Aqaba   Gulf of Aden   Balochistan   Arabian Peninsula   Najd   Hejaz   Tihamah   Eastern Arabia   South Arabia   Hadhramaut   Arabian Peninsula coastal fog desert       Tigris -- Euphrates   Mesopotamia   Upper Mesopotamia   Lower Mesopotamia   Sawad   Nineveh plains   Akkad ( region )   Babylonia     Canaan   Aram   Eber - Nari   Suhum   Eastern Mediterranean   Mashriq   Kurdistan   Levant   Southern Levant   Transjordan   Jordan Rift Valley     Israel   Levantine Sea   Golan Heights   Hula Valley   Galilee   Gilead   Judea   Samaria   Arabah   Anti-Lebanon Mountains   Sinai Peninsula   Arabian Desert   Syrian Desert   Fertile Crescent   Azerbaijan   Syria   Palestine   Iranian Plateau   Armenian Highlands   Caucasus   Caucasus Mountains   Greater Caucasus   Lesser Caucasus     North Caucasus   South Caucasus   Kur - Araz Lowland   Lankaran Lowland   Alborz   Absheron Peninsula       Anatolia   Cilicia   Cappadocia   Alpide belt       South     Greater India   Indian subcontinent   Himalayas   Hindu Kush   Western Ghats   Eastern Ghats   Ganges Basin   Ganges Delta   Pashtunistan   Punjab   Balochistan   Kashmir   Kashmir Valley   Pir Panjal Range     Thar Desert   Indus Valley   Indus River Delta   Indus Valley Desert   Indo - Gangetic Plain   Eastern coastal plains   Western Coastal Plains   Meghalaya subtropical forests   MENASA   Lower Gangetic plains moist deciduous forests   Northwestern Himalayan alpine shrub and meadows   Doab   Bagar tract   Great Rann of Kutch   Little Rann of Kutch   Deccan Plateau   Coromandel Coast   Konkan   False Divi Point   Hindi Belt   Ladakh   Aksai Chin   Gilgit - Baltistan   Baltistan   Shigar Valley     Karakoram   Saltoro Mountains     Siachen Glacier   Bay of Bengal   Gulf of Khambhat   Gulf of Kutch   Gulf of Mannar   Trans - Karakoram Tract   Wakhan Corridor   Wakhjir Pass   Lakshadweep   Andaman and Nicobar Islands   Andaman Islands   Nicobar Islands     Maldive Islands   Alpide belt       Southeast     Mainland   Indochina   Malay Peninsula     Maritime   Peninsular Malaysia   Sunda Islands   Greater Sunda Islands   Lesser Sunda Islands     Indonesian Archipelago   Timor   New Guinea   Bonis Peninsula   Papuan Peninsula   Huon Peninsula   Huon Gulf   Bird 's Head Peninsula   Gazelle Peninsula     Philippine Archipelago   Luzon   Visayas   Mindanao     Leyte Gulf   Gulf of Thailand   East Indies   Nanyang   Alpide belt         Asia - Pacific   Tropical Asia   Ring of Fire                 Regions of Europe     North     Nordic   Northwestern   Scandinavia   Scandinavian Peninsula   Fennoscandia   Baltoscandia   Sápmi   West Nordic   Baltic   Baltic Sea   Gulf of Bothnia   Gulf of Finland   Iceland   Faroe Islands       East     Danubian countries   Prussia   Galicia   Volhynia   Donbass   Sloboda Ukraine   Sambia Peninsula   Amber Coast     Curonian Spit   Izyum Trail   Lithuania Minor   Nemunas Delta   Baltic   Baltic Sea   Vyborg Bay   Karelia   East Karelia   Karelian Isthmus     Lokhaniemi   Southeastern   Balkans   Aegean Islands   Gulf of Chania   North Caucasus   Greater Caucasus   Kabardia   European Russia   Southern Russia           Central     Baltic   Baltic Sea   Alpine states   Alpide belt   Mitteleuropa   Visegrád Group       West     Benelux   Low Countries   Northwest   British Isles   English Channel   Channel Islands   Cotentin Peninsula   Normandy   Brittany   Gulf of Lion   Iberia   Al - Andalus   Baetic System     Pyrenees   Alpide belt       South     Italian Peninsula   Insular Italy   Tuscan Archipelago   Aegadian Islands   Iberia   Al - Andalus   Baetic System     Gibraltar Arc   Southeastern   Mediterranean   Crimea   Alpide belt         Germanic   Celtic   Slavic countries   Uralic   European Plain   Eurasian Steppe   Pontic -- Caspian steppe   Wild Fields   Pannonian Basin   Great Hungarian Plain   Little Hungarian Plain   Eastern Slovak Lowland                   Regions of North America     Northern     Eastern Canada   Western Canada   Canadian Prairies   Central Canada   Northern Canada   Atlantic Canada   The Maritimes   French Canada   English Canada   Acadia   Acadian Peninsula     Quebec City -- Windsor Corridor   Peace River Country   Cypress Hills   Palliser 's Triangle   Canadian Shield   Interior Alaska - Yukon lowland taiga   Newfoundland ( island )   Vancouver Island   Gulf Islands   Strait of Georgia   Canadian Arctic Archipelago   Labrador Peninsula   Gaspé Peninsula   Avalon Peninsula   Bay de Verde Peninsula     Brodeur Peninsula   Melville Peninsula   Bruce Peninsula   Banks Peninsula ( Nunavut )   Cook Peninsula   Gulf of Boothia   Georgian Bay   Hudson Bay   James Bay   Greenland   Pacific Northwest   Inland Northwest   Northeast   New England   Mid-Atlantic   Commonwealth     West   Midwest   Upper Midwest   Mountain States   Intermountain West   Basin and Range Province     Oregon Trail   Mormon Corridor   Calumet Region   Southwest   Old Southwest     Llano Estacado   Central United States   Tallgrass prairie     South   South Central   Deep South   Upland South     Four Corners   East Coast   West Coast   Gulf Coast   Third Coast   Eastern United States   Appalachia     Trans - Mississippi   Great North Woods   Great Plains   Interior Plains   Great Lakes   Great Basin   Great Basin Desert     Acadia   Ozarks   Ark - La - Tex   Waxhaws   Siouxland   Twin Tiers   Driftless Area   Palouse   Piedmont   Atlantic coastal plain   Outer Lands   Black Dirt Region   Blackstone Valley   Piney Woods   Rocky Mountains   Mojave Desert   The Dakotas   The Carolinas   Shawnee Hills   San Fernando Valley   Tornado Alley   North Coast   Lost Coast   Emerald Triangle   San Francisco Bay Area   San Francisco Bay   North Bay ( San Francisco Bay Area )   East Bay ( San Francisco Bay Area )   Silicon Valley     Interior Alaska - Yukon lowland taiga   Gulf of Mexico   Lower Colorado River Valley   Sacramento -- San Joaquin River Delta   Yukon -- Kuskokwim Delta   Colville Delta   Arkansas Delta   Mobile -- Tensaw River Delta   Mississippi Delta   Mississippi River Delta   Columbia River Estuary   Great Basin   High Desert   Monterey Peninsula   Upper Peninsula of Michigan   Lower Peninsula of Michigan   Virginia Peninsula   Keweenaw Pen</t>
  </si>
  <si>
    <t xml:space="preserve">what is the meaning of the name melanesia</t>
  </si>
  <si>
    <t xml:space="preserve"> The name Melanesia ( in French Mélanésie ) was first used by Jules Dumont d'Urville in 1832 to denote an ethnic and geographical grouping of islands whose inhabitants he thought were distinct from those of Micronesia and Polynesia . </t>
  </si>
  <si>
    <r>
      <rPr>
        <sz val="11"/>
        <color rgb="FF000000"/>
        <rFont val="Calibri"/>
        <family val="0"/>
        <charset val="1"/>
      </rPr>
      <t xml:space="preserve">Uzo Aduba - wikipedia  Uzo Aduba  Jump to : navigation , search    Uzo Aduba     Aduba in 2014       Uzoamaka Nwanneka Aduba ( 1981 - 02 - 10 ) February 10 , 1981 ( age 36 ) Boston , Massachusetts , U.S.     Alma mater   Boston University     Occupation   Actress     Years active   2003 -- present     Uzoamaka Nwanneka `` Uzo '' Aduba ( / ˈuːzoʊ əˈduːbə / ; born February 10 , 1981 ) is an American actress . She is known for her role as Suzanne `` Crazy Eyes '' Warren on the Netflix original series Orange Is the New Black ( 2013 -- present ) , for which she won an Emmy Award for Outstanding Guest Actress in a Comedy Series in 2014 , an Emmy Award for Outstanding Supporting Actress in a Drama Series in 2015 , and two Screen Actors Guild Awards for Outstanding Performance by a Female Actor in a Comedy Series in 2014 and 2015 . She is one of only two actors to win an Emmy Award recognition in both the comedy and drama categories for the same role , the other being Ed Asner for the character Lou Grant .     Contents  ( hide )   1 Early life   2 Career   3 Advocacy   4 Filmography   4.1 Film   4.2 Television     5 Stage credits   6 Awards and nominations   7 References   8 External links      Early life ( edit )   Aduba was born in Boston , Massachusetts , the daughter of Nigerian parents , of Igbo origin , from Achi in Enugu State .   She grew up in Medfield , Massachusetts , and graduated from Medfield High School in 1999 . She attended Boston University , where she studied classical voice and competed in track and field . She describes her family as a `` sports family '' . Her younger brother , Obi , played hockey at the University of Massachusetts and went on to play six seasons professionally .   Career ( edit )   Aduba first garnered recognition for her acting in 2003 , when her performance in Translations of Xhosa at the Olney Theatre Center for the Arts earned her a Helen Hayes Award nomination for Outstanding Supporting Actress in a Play . Aduba played the character Amphiarus in 2006 at New York Theatre Workshop and again in 2008 at La Jolla Playhouse . In 2007 , she made her Broadway debut , portraying Toby in Helen Edmundson 's adaptation of Coram Boy at the Imperial Theatre . From 2011 through 2012 , she sang `` By My Side '' as part of the original revival cast of Godspell at the Circle in the Square Theatre . Her first television appearance was as a nurse on Blue Bloods in 2012 . She also played the mother of the title character of Venice at The Public Theater in New York .   In 2013 , Aduba began portraying Suzanne Suzanne `` Crazy Eyes '' Warren in the Netflix comedy - drama series Orange Is the New Black . On being cast , Aduba said :   I auditioned for the show back in late July or early August of ( 2012 ) . I had been auditioning that summer for more television and film ( after doing much theater ) . I 'd read a lot of scripts and I remember reading Orange Is the New Black , and it was at the head of the pack . I remember thinking , ' Wow , that is really good , I would love to be a part of that . ' I went in and auditioned for another part , and my representatives called me about a month later and they were like , `` Hi , we have some really good news . You remember that audition you went on for Orange Is the New Black ? You did n't get it . '' I go , `` So ... okay , what 's the good news ? '' They said they wanted to offer me another part , Crazy Eyes . I was like , `` What in my audition would make someone think I 'd be right for a part called Crazy Eyes ? '' But to be honest , when I got the script for it , it felt like the right fit .   Casting director Jennifer Euston explains the selection of Aduba for the role thus : `` Uzo Aduba ... had her hair in those knots for the audition ... They saw something amazing in her and were able to connect it to what they were looking for in Crazy Eyes . '' In joining the series , Aduba obtained her Screen Actors Guild card , about which she says , `` I was just like , ' Wow , this means I 'm a full actor now . ' It was such a big deal , and I remember being so thankful and feeling so proud . ''   She has been recognized for her performance as `` Crazy Eyes '' : Aduba won Outstanding Guest Actress in a Comedy Series at the 66th Primetime Creative Arts Emmy Awards as well as Best Guest Performer in a Comedy Series at the 4th Critics ' Choice Television Awards and was nominated for Best Supporting Actress -- Series , Miniseries or Television Film at the 18th Satellite Awards for her season one performance . Aduba 's season two performance earned her the Outstanding Performance by a Female Actor in a Comedy Series at the 21st Screen Actors Guild Awards and a nomination for Best Supporting Actress -- Series , Miniseries or Television Film at the 72nd Golden Globe Awards .   Aduba won a second Primetime Emmy at the 67th Primetime Emmy Awards in 2015 , winning the award for Outstanding Supporting Actress in a Drama Series . This makes her the first actress to win both a drama and comedy Emmy for the same role . Aduba 's performance in the third season also earned another Outstanding Performance by a Female Actor in a Comedy Series win for the 22nd Screen Actors Guild Awards . She also earned a Best Supporting Actress -- Series , Miniseries or Television Film at the 73rd Golden Globe Awards .   In March 2014 , Aduba performed at Broadway Cares / Equity Fights AIDS benefit concert Broadway Backwards . Aduba teamed with Rachel Bay Jones for a rendition of the song `` Lily 's Eyes '' from the musical The Secret Garden .   Aduba plays a major role in My Little Pony : The Movie , where she voices Queen Novo , leader of the Hippogriff / Seaponies .   Advocacy ( edit )   In April 2017 , Aduba received the Point Courage Award from the Point Foundation for her support of the LGBT community .   Filmography ( edit )   Film ( edit )     Year   Title   Role   Notes     2015   Pearly Gates   Corrie       Alvin and the Chipmunks : The Road Chip   TSA Officer       2016   Tallulah   Detective Kinnie       American Pastoral   Vicky         Showing Roots   Pearl       2017   My Little Pony : The Movie   Queen Novo ( voice )       Candy Jar   Julia Russell   Post-production     TBA   We Are Boats   Sir   Post-production     Television ( edit )     Year   Title   Role   Notes     2012   Project Runway : All Stars   Herself   Episode : `` Putting On The Glitz ''     Blue Bloods   Nurse   Episode : `` Nightmares ''     2013   How to Live Like a Lady   Acting Teacher   Television film     2013 -- present   Orange Is the New Black   Suzanne `` Crazy Eyes '' Warren   62 episodes     2014   Saturday Night Live   Daughter Dudley   Episode : `` Woody Harrelson / Kendrick Lamar ''     Hell 's Kitchen   Herself   Season 13 Episode 10 : `` 9 Chefs Compete ''     2015   Comedy Bang ! Bang !   Herself   Episode : `` Uzo Aduba Wears a White Blouse and Royal Blue Heels ''     The Wiz Live !   Glinda the Good Witch   Television special     2016   Steven Universe   Bismuth ( voice )   Episode : `` Bismuth ''     Stage credits ( edit )     Year   Title   Role   Notes     2006   The Seven   Amphiarus   New York Theatre Workshop     2007   Coram Boy   Toby   Imperial Theatre     2008   The Seven   Amphiarus   La Jolla Playhouse     2009   Eclipsed   Helena   Woolly Mammoth Theatre Company     2009   A Civil War Christmas   Hannah   Huntington Theatre     2011   Godspell   Company   Circle in the Square Theatre     2013   Venice   Anna Monroe   The Public Theater     2016   The Maids   Solange   Trafalgar Studios     Awards and nominations ( edit )     Year   Association     Nominated work   Result     2013   Satellite Awards   Best Supporting Actress -- Series , Miniseries or Television Film   Orange Is the New Black   Nominated     2014   Critics ' Choice Television Award   Best Guest Performer in a Comedy Series   Won     Golden Globe Awards   Best Supporting Actress -- Series , Miniseries or Television Film   Nominated     Primetime Emmy Awards   Outstanding Guest Actress in a Comedy Series   Won     Screen Actors Guild Awards   Outstanding Performance by a Female Actor in a Comedy Series   Won     Outstanding Performance by an Ensemble in a Comedy Series   Won     2015   NAACP Image Award   Outstanding Actress in a Comedy Series   Nominated     Primetime Emmy Awards   Outstanding Supporting Actress in a Drama Series   Won     Screen Actors Guild Award   Outstanding Performance by a Female Actor in a Comedy Series   Won     Outstanding Performance by an Ensemble in a Comedy Series   Won     2016   NAACP Image Awards   Outstanding Actress in a Comedy Series   Nominated     Golden Globe Awards   Best Supporting Actress -- Series , Miniseries or Television Film   Nominated     Glamour Awards   Comedy Actress   Nominated     Screen Actors Guild Award   Outstanding Performance by a Female Actor in a Comedy Series   Nominated     Outstanding Performance by an Ensemble in a Comedy Series   Won     2017   NAACP Image Awards   Outstanding Actress in a Comedy Series   Nominated     Primetime Emmy Awards   Outstanding Supporting Actress in a Drama Series   Nominated     Screen Actors Guild Award   Outstanding Performance by a Female Actor in a Comedy Series   Pending     Outstanding Performance by an Ensemble in a Comedy Series   Pending     References ( edit )    Jump up ^ `` Godspell Talk Back -- Uzo Aduba '' . Reviewing The Drama . March 26 , 2012 .   Jump up ^ Wright , Celine ( August 12 , 2013 ) . `` ' Orange Is the New Black 's ' Uzo Aduba on a good road as Crazy Eyes '' . Los Angeles Times . 32 - year - old Aduba   Jump up ^ Emmy Awards 2015 : The complete winners list . CNN.com ( September 21 , 2015 ) . Retrieved on December 7 , 2015 .   Jump up ^ `` Uzo Aduba Watch ' OITNB ' actress speak Igbo , reveal her favourite Nigerian dish , '' . Pulse.ng . Chidumga Izuzu . Retrieved January 29 , 2016 .   Jump up ^ Aduba , Uzo ( August 4 , 2014 ) . `` Uzo Aduba : My Road to ' Orange Is the New Black ' '' . The Daily Beast   Jump up ^ `` Medfield Native Uzo Aduba Attends White House Correspondents Dinner '' . medfield.patch.com . May 5 , 2014 .   ^ Jump up to : Champagne , Christine ( June 8 , 2014 ) . `` Behind the Breakout Role : Orange is the New Black 's Uzo Aduba on Creating Crazy Eyes '' . Co. Create . Retrieved July 15 , 2014 .   Jump up ^ `` 2001 -- 02 Women 's Track Roster '' . Boston University . Retrieved July 11 , 2014 .   Jump up ^ `` Boston University Meet Results '' . UMassAthletics.com . Retrieved October 27 , 2013 .   Jump up ^ `` Obi Aduba player profile '' . hockeydb.com .   Jump up ^ `` Translations of Xhosa - Washington , DC - Tickets , Reviews , Info and More '' . theatermania . Retrieved October 29 , 2017 .   Jump up ^ `` Outstanding Supporting Actress , Resident Play -- 2004 '' . Awards and nominations Theatre Washington . Retrieved October 27 , 2013 .   Jump up ^ Isherwood , Charles ( May 3 , 2007 ) . `` Orphans of the Storm , Assailed by Lurid Evildoers '' . The New York Times . Retrieved August 24 , 2016 .   Jump up ^ `` Uzo Aduba '' . Internet Broadway Database . Retrieved October 27 , 2013 .   Jump up ^ `` Meet the Cast : Uzo Aduba '' . Godspell.com . Retrieved July 28 , 2013 .   Jump up ^ Brantley , Ben ( June 15 , 2013 ) . `` Of Shakespeare and Superheroes '' . The New York Times . Retrieved July 28 , 2013 .   Jump up ^ `` Venice , review , Off - Broadway , New York Theatre '' . newyorktheatreguide.com . Retrieved July 28 , 2013 .   Jump up ^ `` Orange Is the New Black 's Uzo Aduba on Crazy Eyes , Flirting Techniques , and Peeing on the Floor '' . Vulture.com . Retrieved July 28 , 2013 .   Jump up ^ Ryan , Maureen ( August 23 , 2013 ) . `` ' Crazy Eyes ' From ' Orange Is The New Black ' Talks Flirting , Jodie Foster And That Infamous Scene '' . The Huffington Post . Retrieved October 27 , 2013 .   Jump up ^ Loewenstein , Melinda ( June 2 , 2014 ) . `` # 1 Reason Seeing Potential Beyond the Audition Created an Outstanding Ensemble for ' Orange Is the New Black ' '' . Backstage .   Jump up ^ Moynihan , Rob ( January 19 , 2015 ) . `` How I Got My SAG - AFTRA Card '' , TV Guide . p. 8   Jump up ^ `` Primetime Emmy Awards 2014 : The winners list '' . CNN . August 26 , 2014 . Retrieved September 4 , 2014 .   Jump up ^ `` The International Press Academy Announces Nominations For The 18th Annual Satellite Awards '' . PR Newswire . December 2 , 2013 . Retrieved September 5 , 2014 .   Jump up ^ Atkinson , Kate ( June 19 , 2014 ) . `` Critics ' Choice TV Awards : The winners list '' . Entertainment Weekly . Retrieved September 5 , 2014 .   Jump up ^ Leeds , Sarene ( January 26 , 2015 ) . `` SAG Awards : The Complete 2015 Winners List '' . The Wall Street Journal . Retrieved January 27 , 2015 .   Jump up ^ Keegan , Rebecca ( January 26 , 2015 ) . `` SAG Awards 2015 : ' Birdman ' feathers its nest as Oscars nears '' . Los Angeles Times . Retrieved January 27 , 2015 .   Jump up ^ Mitovich , Matt Webb ( December 11 , 2014 ) . `` Golden Globes : Fargo , True Detective Lead Nominations ; Jane the Virgin , Transparent Score Multiple Nods '' . TVLine . Retrieved December 11 , 2014 .   Jump up ^ `` Uzo Aduba Is ' Grateful ' After Tearful Emmy Win '' . ExtraTV.com . Retrieved September 22 , 2015 .   Jump up ^ `` SAG Awards : The Complete Winners List '' . The Hollywood Reporter . January 30 , 2016 . Retrieved February 3 , 2016 .   Jump up ^ `` Golden Globes 2016 : Complete list of winners and nominees '' . Los Angeles Times . January 10 , 2016 . Retrieved July 21 , 2016 .   Jump up ^ Gans , Andrew ( March 20 , 2014 ) . `` Uzo Aduba and Rachel Bay Jones Join Lineup for Broadway Backwards ; Rush Tickets Will Be Available Day of Performance '' . Playbill .   Jump up ^ `` BROADWAY BACKWARDS '' . Broadway Cares / Equity Fights AIDS . March 2014 . Retrieved January 24 , 2015 .   Jump up ^ Sweeney , Emily ( April 5 , 2017 ) . `` Uzo Aduba honored in New York '' . The Boston Globe . Retrieved April 11 , 2017 .   Jump up ^ Kickham , Dylan ( July 7 , 2016 ) . `` ' Steven Universe ' : Uzo Aduba plays a new Crystal Gem -- exclusive '' . Entertainment Weekly . Retrieved August 24 , 2016 .   Jump up ^ `` Glamour Women of the Year voting 2016 '' . demographix.com . Retrieved August 24 , 2016 .    External links ( edit )    Uzo Aduba on IMDb   Uzo Aduba at the Internet Broadway Database   Uzo Aduba at Internet Off - Broadway Database      Awards for Uzo Aduba                Critics ' Choice Television Award for Best Guest Performer in a Comedy Series       Paul Rudd ( 2012 )   Patton Oswalt ( 2013 )   Uzo Aduba ( 2014 )   Bradley Whitford ( 2015 )   Timothy Olyphant ( 2016 )   Alec Baldwin ( 2016 )                 Primetime Emmy Award for Outstanding Guest Actress in a Comedy Series     1975 -- 2000     Cloris Leachman ( 1975 )   Beah Richards ( 1988 )   Colleen Dewhurst ( 1989 )   Swoosie Kurtz ( 1990 )   Colleen Dewhurst ( 1991 )   No award ( 1992 )   Tracey Ullman ( 1993 )   Eileen Heckart ( 1994 )   Cyndi Lauper ( 1995 )   Betty White ( 1996 )   Carol Burnett ( 1997 )   Emma Thompson ( 1998 )   Tracey Ullman ( 1999 )   Jean Smart ( 2000 )       2001 -- present     Jean Smart ( 2001 )   Cloris Leachman ( 2002 )   Christina Applegate ( 2003 )   Laura Linney ( 2004 )   Kathryn Joosten ( 2005 )   Cloris Leachman ( 2006 )   Elaine Stritch ( 2007 )   Kathryn Joosten ( 2008 )   Tina Fey ( 2009 )   Betty White ( 2010 )   Gwyneth Paltrow ( 2011 )   Kathy Bates ( 2012 )   Melissa Leo ( 2013 )   Uzo Aduba ( 2014 )   Joan Cusack ( 2015 )   Tina Fey &amp; Amy Poehler ( 2016 )   Melissa McCarthy ( 2017 )                 Primetime Emmy Award for Outstanding Supporting Actress in a Drama Series       Barbara Hale ( 1959 )   Pamela Brown ( 1962 )   Glenda Farrell ( 1963 )   Ruth White ( 1964 )   Lee Grant ( 1966 )   Agnes Moorehead ( 1967 )   Barbara Anderson ( 1968 )   Susan Saint James ( 1969 )   Gail Fisher ( 1970 )   Margaret Leighton ( 1971 )   Jenny Agutter ( 1972 )   Ellen Corby ( 1973 )   Joanna Miles ( 1974 )   Ellen Corby ( 1975 )   Ellen Corby ( 1976 )   Kristy McNichol ( 1977 )   Nancy Marchand ( 1978 )   Kristy McNichol ( 1979 )   Nancy Marchand ( 1980 )   Nancy Marchand ( 1981 )   Nancy Marchand ( 1982 )   Doris Roberts ( 1983 )   Alfre Woodard ( 1984 )   Betty Thomas ( 1985 )   Bonnie Bartlett ( 1986 )   Bonnie Bartlett ( 1987 )   Patricia Wettig ( 1988 )   Melanie Mayron ( 1989 )   Marg Helgenberger ( 1990 )   Madge Sinclair ( 1991 )   Valerie Mahaffey ( 1992 )   Mary Alice ( 1993 )   Leigh Taylor - Young ( 1994 )   Julianna Margulies ( 1995 )   Tyne Daly ( 1996 )   Kim Delaney ( 1997 )   Camryn Manheim ( 1998 )   Holland Taylor ( 1999 )   Allison Janney ( 2000 )   Allison Janney ( 2001 )   Stockard Channing ( 2002 )   Tyne Daly ( 2003 )   Drea de Matteo ( 2004 )   Blythe Danner ( 2005 )   Blythe Danner ( 2006 )   Katherine Heigl ( 2007 )   Dianne Wiest ( 2008 )   Cherry Jones ( 2009 )   Archie Panjabi ( 2010 )   Margo Martindale ( 2011 )   Maggie Smith ( 2012 )   Anna Gunn ( 2013 )   Anna Gunn ( 2014 )   Uzo Aduba ( 2015 )   Maggie Smith ( 2016 )   Ann Dowd ( 2017 )                 Screen Actors Guild Award for Outstanding Performance by a Female Actor in a Comedy Series       Helen Hunt ( 1994 )   Christine Baranski ( 1995 )   Julia Louis - Dreyfus ( 1996 )   Julia Louis - Dreyfus ( 1997 )   Tracey Ullman ( 1998 )   Lisa Kudrow ( 1999 )   Sarah Jessica Parker ( 2000 )   Megan Mullally ( 2001 )   Megan Mullally ( 2002 )   Megan Mullally ( 2003 )   Teri Hatcher ( 2004 )   Felicity Huffman ( 2005 )   America Ferrera ( 2006 )   Tina Fey ( 2007 )   Tina Fey ( 2008 )   Tina Fey ( 2009 )   Betty White ( 2010 )   Betty White ( 2011 )   Tina Fey ( 2012 )   Julia Louis - Dreyfus ( 2013 )   Uzo Aduba ( 2014 )   Uzo Aduba ( 2015 )   Julia Louis - Dreyfus ( 2016 )                 Screen Actors Guild Award for Outstanding Performance by an Ensemble in a Comedy Series ( 2010 -- 2019 )       Modern Family , season 1 / season 2 ( 2010 ) : Bowen ; Burrell ; Ferguson ; Gould ; Hyland ; O'Neill ; Rodriguez ; Stonestreet ; Vergara ; Winter     Modern Family , season 2 / season 3 ( 2011 ) : Anderson - Emmons ; Bowen ; Burrell ; Ferguson ; Gould ; Hyland ; O'Neill ; Rodriguez ; Stonestreet ; Vergara ; Winter     Modern Family , season 3 / season 4 ( 2012 ) : Anderson - Emmons ; Bowen ; Burrell ; Ferguson ; Gould ; Hyland ; O'Neill ; Rodriguez ; Stonestreet ; Vergara ; Winter     Modern Family , season 4 / season 5 ( 2013 ) : Anderson - Emmons ; Bowen ; Burrell ; Ferguson ; Gould ; Hyland ; O'Neill ; Rodriguez ; Stonestreet ; Vergara ; Winter     Orange Is the New Black , season 2 ( 2014 ) : Aduba , Biggs , Brooks , Cox , Cruz , Curtin , DeLaria , Fowler , Freeman , Gardner , Glenn , Golden , Guerrero , Harney , Jeudy , Lake , Lapkus , Leyva , Lyonne , Manning , Marsh Garland , McGorry , Moore , Mulgrew , Myles , Pimentel , Polanco , Reiner , Roberts , Rodriguez , Rosenblat , Sandow , Savage , Schilling , Shulman , Soules , Stone , Toussaint , Tucci , Wiley     Orange Is the New Black , season 3 ( 2015 ) : Aduba , Birbiglia , Blake , Brooks , Cox , Cruz , Curtin , DeLaria , Fowler , Glenn , Golden , Guerrero , Harney , Jeudy , Leyva , Manning , Marsh Garland , Moore , Mulgrew , Myles , Peters , Petty , Pimentel , Polanco , Prepon , Rodriguez , Rose , Sandow , Savage , Schilling , Shulman , Soules , Stone , Wiley     Orange Is the New Black , season 4 ( 2016 ) : Aduba , Aisenberg , Brooks , Brown , Cruz , DeLaria , Dover , Glenn , Golden , Gómez , Guerrero , Harney , Henke , Jeudy , Lake , Leyva , Lyonne , Manning , McMenamin , Moore , Mulgrew , Myles , Peters , Petty , Pimentel , Polanco , Prepon , Purdy , Rodriguez , Sandow , Savage , Schilling , Shulman , Soules , Stone , Tucci , Wiley         Complete list   ( 1994 -- 1999 )   ( 2000 -- 2009 )   ( 2010 -- 2019 )                  VIAF : 232573537   LCCN : no2012030028   GND : 113350955X      Retrieved from `` https://en.wikipedia.org/w/index.php?title=Uzo_Aduba&amp;oldid=815299615 '' Categories :   1981 births   Living people   21st - century American actresses   American television actresses   American film actresses   Actresses from Boston   Boston University College of Fine Arts alumni   American people of Nigerian descent   Primetime Emmy Award winners   American people of Igbo descent   LGBT rights activists from the United States   Igbo actresses   Outstanding Performance by a Female Actor in a Comedy Series Screen Actors Guild Award winners   People from Medfield , Massachusetts   Outstanding Performance by a Supporting Actress in a Drama Series Primetime Emmy Award winners   Hidden categories :   Use mdy dates from June 2017   Articles with hCards   Internet Broadway Database person ID same as Wikidata   Articles with IBDb links   Wikipedia articles with VIAF identifiers   Wikipedia articles with LCCN identifiers   Wikipedia articles with GND identifiers           Talk                                           Contents                   About Wikipedia                                                   Čeština   Deutsch   Español   فارسی   Français   </t>
    </r>
    <r>
      <rPr>
        <sz val="11"/>
        <color rgb="FF000000"/>
        <rFont val="Noto Sans CJK SC"/>
        <family val="2"/>
      </rPr>
      <t xml:space="preserve">한국어   </t>
    </r>
    <r>
      <rPr>
        <sz val="11"/>
        <color rgb="FF000000"/>
        <rFont val="Calibri"/>
        <family val="0"/>
        <charset val="1"/>
      </rPr>
      <t xml:space="preserve">Igbo   Italiano   עברית   Nederlands   Norsk   Polski   Português   Русский   Suomi   Svenska   Türkçe   Українська   </t>
    </r>
    <r>
      <rPr>
        <sz val="11"/>
        <color rgb="FF000000"/>
        <rFont val="Noto Sans CJK SC"/>
        <family val="2"/>
      </rPr>
      <t xml:space="preserve">中文   </t>
    </r>
    <r>
      <rPr>
        <sz val="11"/>
        <color rgb="FF000000"/>
        <rFont val="Calibri"/>
        <family val="0"/>
        <charset val="1"/>
      </rPr>
      <t xml:space="preserve">Edit links   This page was last edited on 14 December 2017 , at 01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</si>
  <si>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warren in orange is the new black</t>
  </si>
  <si>
    <t xml:space="preserve"> Uzoamaka Nwanneka `` Uzo '' Aduba ( / ˈuːzoʊ əˈduːbə / ; born February 10 , 1981 ) is an American actress . She is known for her role as Suzanne `` Crazy Eyes '' Warren on the Netflix original series Orange Is the New Black ( 2013 -- present ) , for which she won an Emmy Award for Outstanding Guest Actress in a Comedy Series in 2014 , an Emmy Award for Outstanding Supporting Actress in a Drama Series in 2015 , and two Screen Actors Guild Awards for Outstanding Performance by a Female Actor in a Comedy Series in 2014 and 2015 . She is one of only two actors to win an Emmy Award recognition in both the comedy and drama categories for the same role , the other being Ed Asner for the character Lou Grant . </t>
  </si>
  <si>
    <r>
      <rPr>
        <sz val="11"/>
        <color rgb="FF000000"/>
        <rFont val="Calibri"/>
        <family val="0"/>
        <charset val="1"/>
      </rPr>
      <t xml:space="preserve">Boyz n the Hood - wikipedia  Boyz n the Hood  This article is about the 1991 film . For works with similar titles , see Boyz n da Hood ( disambiguation ) . For the Eazy - E song , see Boyz - n - the - Hood .    Boyz n the Hood     Theatrical release poster     Directed by   John Singleton     Produced by   Steve Nicolaides     Written by   John Singleton     Starring     Cuba Gooding Jr .   Ice Cube   Morris Chestnut   Larry Fishburne       Music by   Stanley Clarke     Cinematography   Charles Mills     Edited by   Bruce Cannon     Distributed by   Columbia Pictures     Release date     July 2 , 1991 ( 1991 - 07 - 02 ) ( Los Angeles )   July 12 , 1991 ( 1991 - 07 - 12 ) ( United States )             Running time   112 minutes     Country   United States     Language   English     Budget   $6.5 million     Box office   $57.5 million ( North America )     Boyz n the Hood is a 1991 American teen hood drama film written and directed by John Singleton in his directorial debut , and starring Cuba Gooding Jr. , Ice Cube , Morris Chestnut , Laurence Fishburne , Nia Long , Regina King and Angela Bassett . This film was the acting debut for both Ice Cube and Morris Chestnut .   Boyz n the Hood was filmed in ( the - then district of ) South Central Los Angeles , California from October 1 to November 28 , 1990 and was released cinematically in the United States on July 12 , 1991 . It was nominated for both Best Director and Best Original Screenplay during the 64th Academy Awards , making Singleton the youngest person ever nominated for Best Director and the first African - American to be nominated for the award .   The film was screened in the Un Certain Regard section at the 1991 Cannes Film Festival . In 2002 , the United States Library of Congress deemed the film `` culturally , historically , or aesthetically significant '' and selected it for preservation in the National Film Registry .   Contents    1 Plot   1.1 1984   1.2 1991     2 Cast   3 Production   4 Reception and legacy   4.1 Critical response   4.2 Cultural impact     5 Awards and accolades   6 Soundtrack   7 References   8 External links    Plot ( edit )   1984 ( edit )   Ten - year old Tre Styles lives with his single mother , Reva in Inglewood , California . After Tre gets into a fight at school , his teacher informs Reva that Tre is highly intelligent but has a volatile temper and lacks respect . Worried about Tre 's future , Reva sends him to live in the Crenshaw neighborhood of South Central Los Angeles with his father , Jason `` Furious '' Styles , from whom she hopes Tre will learn valuable life lessons and to be able to mature , but assures him he will be permitted to return to her one day .   In Crenshaw , Tre reunites with his friends , Darrin `` Doughboy '' Baker , Doughboy 's maternal half - brother Ricky , and Chris , their mutual friend . After chatting for a bit , Furious immediately has Tre rake the leaves off the front lawn . That night , Furious tells Tre that he has him work to teach him how to be responsible . That night , Tre hears his father shooting at a burglar who tries to rob the house . Two policemen arrive an hour later , and while the white officer is civil and courteous , the black one is disrespectful towards Furious . The next day , Tre and his friends go out with Chris who shows them a dead body . While there , a group of older boys in a Watts Crip gang steal Ricky 's football and Doughboy tries to retrieve it , but is defeated . While the older boys walk away , one of them gives Ricky his ball back . Later in the day , Furious spends father / son bonding time with Tre , taking him fishing by the seaside and tells the boy more about his life prior to having him , including his military experience in the Vietnam War , in hopes of making his son proud of him . He concludes his story by advising Tre to never join the army , stating that a black man has no place in the army . When returning home , they see Doughboy and Chris being arrested for shoplifting ( Doughboy had said earlier on that they were going to the store , but had no money ) , while Ricky and Tre look on .   1991 ( edit )   At a barbecue , Doughboy is now a Crip gang member and is celebrating his recent release from jail , along with most of his friends , including Chris , who is now paralysed and uses a wheelchair as a result of a gun wound , and new friends Dooky and Monster , also Crip members . Ricky , now a star running back for Crenshaw High School , lives with his single mother Brenda , girlfriend Shanice , and their infant son . Tre has grown into a mature and responsible teenager , works at a clothes shop at the Fox Hills Mall , and aspires to attend college with his girlfriend , Brandi , but their relationship is somehow deteriorating over Tre 's desire to have sex , while Brandi , a devout Catholic , wishes to wait until after marriage .   Ricky hopes to win a scholarship from USC . After a visit from a recruiter , a mildly embarrassing experience for Ricky due to his unkempt home and his brother 's rudeness , he is informed that he must score a 700 or higher on the SATs test in order to qualify . Ricky and Tre take the test on the same day . Afterwards , they go to see Furious at his office to unwind . Furious takes Tre and Ricky to Compton , California to talk about the dangers of decreasing property values in the black community . That night , during a local street racing gathering , Ricky is provoked by Ferris , a member of the Crenshaw Mafia Gangsters . In response , Doughboy brandishes his handgun , leading to a brief argument between the two gangs . When the two gangs are finished arguing , Ferris fires his own gun in the air causing everyone to leave . While Tre talks about leaving Los Angeles , he and Ricky are pulled over by the police . The cop is the exact same one who was disrespectful towards his father seven years earlier ; he intimidates and threatens Tre with his gun , knowing he ca n't do anything . Distraught , Tre goes to Brandi 's house , where he finally breaks down . After she consoles him , they have sex for the first time .   The following day , Ricky has a fight with Doughboy . While Ricky and Tre walk to a nearby store , they see Ferris and his gang driving around the neighborhood and in an attempt to avoid them , the pair cut through back alleyways and split up . As Tre turns back to Ricky , Ferris ' car pulls up . Ricky turns to run but one of Ferris ' men shoots Ricky in the leg with a shotgun . A second shot hits Ricky in the back through the chest , killing him . Doughboy and his gang , who had sensed that Tre and Ricky were in trouble , catch up with them , but are too late . Devastated and helpless , the boys carry Ricky 's lifeless body back home . When Brenda and Shanice see Ricky 's corpse , they break down in tears and blame Doughboy , who unsuccessfully tries to comfort them and explain the truth . That night , a distraught Brenda reads Ricky 's SAT results , discovering he scored a 710 , enough to qualify for the scholarship he wanted .   The remaining boys vow vengeance on Ferris and his crew . Furious finds Tre preparing to take his . 357 Magnum , but convinces Tre to abandon his plans for revenge . However , Brandi and Furious catch Tre sneaking out of his bedroom window to join Doughboy . That night , as the gang drives across the city , Tre asks to be let out of the car and returns home , realizing that his father was right to keep him from falling into an endless cycle of violence . When Tre gets home , Furious is waiting for him . They both look at each other without saying a word , and Furious retreats into his bedroom . Meanwhile , Doughboy finds Ferris ' gang at a local fast - food outlet , and Monster opens fire on them , killing one and wounding the other two . Doughboy gets out and kills the other wounded gang member and executes Ferris .   The next day , Doughboy visits Tre , now understanding Tre 's reasons for leaving the gang . Doughboy knows that he will soon face retaliation for Ferris ' death , and accepts the consequences of his crime - ridden lifestyle . He plaintively questions why America does n't care about the life in the ghetto . He sorrowfully says that he has no family left now after Ricky 's death and Brenda 's disownment of him , but is embraced by Tre , who says to Doughboy that he has a brother in him .   The epilogue reveals that Doughboy saw Ricky buried the next day and was murdered two weeks later . Tre and Brandi resume their relationship , and go on to attend Morehouse and Spelman Colleges in Atlanta , respectively .   Cast ( edit )    Cuba Gooding Jr. as Tre Styles   Desi Arnez Hines II as Tre age 10     Ice Cube as Darrin `` Doughboy '' Baker   Baha Jackson as Doughboy age 10     Morris Chestnut as Ricky Baker   Donovan McCrary as Ricky age 10     Laurence Fishburne ( credited as Larry Fishburne ) as Jason `` Furious '' Styles Jr .   Nia Long as Brandi   Nicole Brown as Brandi age 10     Angela Bassett as Reva Styles   Tyra Ferrell as Brenda Baker   Redge Green as Chris   Kenneth A. Brown as Chris age 10     Dedrick D. Gobert as Dooky   Baldwin C. Sykes as Monster   Tracey Lewis - Sinclair as Shaniqua   Alysia Rogers as Shanice   Regina King as Shalika   Lexie Bigham as Mad Dog   Raymond Turner as Ferris   Lloyd Avery II as Ferris ' Triggerman ( Knucklehead # 2 )    Production ( edit )   Singleton wrote the film based around his life growing up and events that either happened to him , or people he knew . When applying for film school , one of the questions on the application form was to describe `` three ideas for films '' . One of the ideas Singleton wrote was a movie to be titled Summer of 84 , which would later evolve into Boyz n the Hood . Singleton was protective of his script , insisting that he be the one to direct the project , later explaining at a retrospective screening of the film , `` I was n't going to have somebody from Idaho or Encino direct this movie . ''   The role of Doughboy was specifically written for Ice Cube whom Singleton met while working as an intern at The Arsenio Hall Show . Singleton claims that the other two leads , Cuba Gooding Jr. and Morris Chestnut , were cast simply because they were the first ones who showed up to the casting auditions . Despite having a member of one of the best - selling rap groups , N.W.A , this , at least according to Singleton , was not a selling point to the studio who were not aware of them . Rather , Singleton opined , the studio greenlit the film in the interest of making a film similar to the Spike Lee film Do the Right Thing . The film was shot in sequence , with Singleton later noting that , as the film goes on , the camera work gets better as Singleton was finding his foothold as a director .   Reception and legacy ( edit )   Critical response ( edit )   Review aggregation website Rotten Tomatoes gives the film an approval rating of 96 % based on 69 reviews and an average score of 8.4 / 10 . The website 's critical consensus reads , `` Well - acted and thematically rich , Boyz N the Hood observes urban America with far more depth and compassion than many of the like - minded films its success inspired . '' At Metacritic , the film received an average score of 73 out of 100 based on 18 reviews , which indicates `` generally favorable reviews '' .   Cultural impact ( edit )   The film has been referenced many times in other works , including works by Lupe Fiasco , Game , and Ice Cube himself . In 1994 , British jungle DJ duo Remarc and Lewi produced a song titled `` Ricky '' . The song itself is built up of various sound bites from the movie , particularly the scene where Ricky is murdered . Ice Cube 's song , `` Check Yo Self '' , also references the film .   On the July 12 , 2011 episode of her self - titled talk show , Mo'Nique celebrated the 20th anniversary of the release of Boyz n the Hood with director John Singleton , Cuba Gooding Jr. , Yo - Yo , and Regina King .   In Vince Staple 's hit song ' Norf Norf ' ( 2016 ) , Staples references the scene where Ricky gets shot in the back , letting the listener know how much of an impact the movie had on his upbringing .   In the 2015 American comedy film Get Hard , Kevin Hart 's character is asked to talk about the reason for his fabricated incarceration years earlier . Fumbling for a story , he describes the final scene of Boyz n the Hood , passing it off as his own experience to Will Ferrell 's character .   Awards and accolades ( edit )   Academy Awards : 1992    Nominee , Best Director , John Singleton   Nominee , Best Original Screenplay , John Singleton    BMI Film Music Award : 1992    Winner , Stanley Clarke    Image Award : 1993    Winner , Outstanding Motion Picture , Boyz n the Hood    MTV Movie Award : 1992    Nominee , Best Movie , Boyz n the Hood   Winner , Best New Filmmaker , John Singleton    National Film Preservation Board , USA : 2002    National Film Registry , Boyz n the Hood    New York Film Critics Circle Award : 1991    Winner , Best New Director , John Singleton    Political Film Society , USA : 1992    Winner , PFS Award , Peace   Nominee , PFS Award , Exposé   Nominee , PFS Award , Human Rights    Writers Guild of America , USA : 1992    Nominee , WGA Award ( Screen ) , Best Screenplay Written Directly for the Screen , John Singleton    Young Artist Awards : 1992    Winner , Young Artist Award , Outstanding Young Ensemble Cast in a Motion Picture    In 2007 , Boyz n the Hood was selected as one of the 50 Films To See in your lifetime by Channel 4 .   American Film Institute Lists    AFI 's 100 Years ... 100 Movies ( 10th Anniversary Edition ) -- Nominated    Soundtrack ( edit )     Year   Album   Peak chart positions   Certifications     U.S.   U.S. R&amp;B     1991   Boyz n the Hood   Released : July 9 , 1991   Label : Qwest / Warner Bros. Records     12       US : Gold       References ( edit )    ^ Jump up to : `` Boyz N the Hood '' . Box Office Mojo . Retrieved January 19 , 2015 .   Jump up ^ `` Boyz n the Hood '' . Cannes Film Festival . Retrieved August 9 , 2009 .   Jump up ^ `` Complete National Film Registry Listing '' . National Film Preservation Board . Library of Congress . Retrieved July 17 , 2009 .   ^ Jump up to : Jones , Will ( November 1 , 2016 ) . `` Talking ' Boyz N the Hood ' with Its Director John Singleton '' . Vice UK . Vice Media . Retrieved April 4 , 2017 .   ^ Jump up to : Smith , Nigel M ( June 13 , 2016 ) . `` John Singleton reflects on Boyz N the Hood : ' I did n't know anything ' '' . The Guardian . Guardian News and Media . Retrieved April 4 , 2017 .   Jump up ^ `` Boyz n the Hood ( 1991 ) '' . Rotten Tomatoes . Fandango Media . Retrieved July 19 , 2018 .   Jump up ^ `` Boyz n the Hood Reviews '' . Metacritic . CBS Interactive . Retrieved September 11 , 2011 .   Jump up ^ `` Thirteenth Annual Youth in Film Awards : 1990 - 1991 '' . Young Artist Awards . Archived from the original on April 3 , 2011 . Retrieved October 6 , 2010 .    External links ( edit )    African American portal   1990s portal   Film in the United States portal   Greater Los Angeles portal        Wikiquote has quotations related to : Boyz n the Hood      Boyz n the Hood on IMDb   Boyz n the Hood at AllMovie   Boyz n the Hood at Box Office Mojo   Boyz n the Hood at Rotten Tomatoes   Boyz n the Hood at Metacritic              Films directed by John Singleton       Boyz n the Hood ( 1991 )   Poetic Justice ( 1993 )   Higher Learning ( 1995 )   Rosewood ( 1997 )   Shaft ( 2000 )   Baby Boy ( 2001 )   2 Fast 2 Furious ( 2003 )   Four Brothers ( 2005 )   Abduction ( 2011 )                 NAACP Image Award for Outstanding Motion Picture     1972 -- 2000     Lady Sings the Blues ( 1972 )   Let 's Do It Again ( 1976 )   The Greatest ( 1978 )   Fame ( 1980 )   Bustin ' Loose ( 1981 )   An Officer and a Gentleman ( 1982 )   A Soldier 's Story ( 1985 )   The Color Purple ( 1986 )   Lethal Weapon ( 1987 )   Coming to America ( 1988 )   Lean on Me ( 1989 )   Glory ( 1990 )   Boyz n the Hood ( 1992 )   Sister Act ( 1993 )   Malcolm X ( 1994 )   Waiting to Exhale ( 1996 )   A Time to Kill ( 1997 )   Soul Food ( 1998 )   How Stella Got Her Groove Back ( 1999 )   The Best Man ( 2000 )       2001 -- present     Remember the Titans ( 2001 )   Ali ( 2002 )   Antwone Fisher ( 2003 )   The Fighting Temptations ( 2004 )   Ray ( 2005 )   Crash ( 2006 )   The Pursuit of Happyness ( 2007 )   The Great Debaters ( 2008 )   The Secret Life of Bees ( 2009 )   Precious ( 2010 )   For Colored Girls ( 2011 )   The Help ( 2012 )   Red Tails ( 2013 )   12 Years a Slave ( 2014 )   Selma ( 2015 )   Straight Outta Compton ( 2016 )   Hidden Figures ( 2017 )   Girls Trip ( 2018 )      Retrieved from `` https://en.wikipedia.org/w/index.php?title=Boyz_n_the_Hood&amp;oldid=854435905 '' Categories :   1991 films   English - language films   1990s crime drama films   1990s gang films   1990s romance films   1990s teen drama films   American films   American coming - of - age films   American crime drama films   American gang films   American teen drama films   American teen romance films   African - American films   Bloods   Crips   Directorial debut films   Films about families   Films about racism   Films set in 1984   Films set in 1991   Films set in Los Angeles   Films shot in Los Angeles   Hip hop films   Hood films   United States National Film Registry films   Columbia Pictures films   Films scored by Stanley Clarke   Films directed by John Singleton   Screenplays by John Singleton           Talk                                           Contents                   About Wikipedia                                           Wikiquote       Català   Deutsch   Español   Euskara   فارسی   Français   Bahasa Indonesia   Italiano   עברית   Kiswahili   Nederlands   </t>
    </r>
    <r>
      <rPr>
        <sz val="11"/>
        <color rgb="FF000000"/>
        <rFont val="Noto Sans CJK SC"/>
        <family val="2"/>
      </rPr>
      <t xml:space="preserve">日本 語   </t>
    </r>
    <r>
      <rPr>
        <sz val="11"/>
        <color rgb="FF000000"/>
        <rFont val="Calibri"/>
        <family val="0"/>
        <charset val="1"/>
      </rPr>
      <t xml:space="preserve">Norsk   Polski   Português   Русский   Simple English   Suomi   Svenska   Türkçe  11 more  Edit links   This page was last edited on 11 August 2018 , at 09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</si>
  <si>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tre in boyz in the hood</t>
  </si>
  <si>
    <t xml:space="preserve">  Cuba Gooding Jr. as Tre Styles   Desi Arnez Hines II as Tre age 10     Ice Cube as Darrin `` Doughboy '' Baker   Baha Jackson as Doughboy age 10     Morris Chestnut as Ricky Baker   Donovan McCrary as Ricky age 10     Laurence Fishburne ( credited as Larry Fishburne ) as Jason `` Furious '' Styles Jr .   Nia Long as Brandi   Nicole Brown as Brandi age 10     Angela Bassett as Reva Styles   Tyra Ferrell as Brenda Baker   Redge Green as Chris   Kenneth A. Brown as Chris age 10     Dedrick D. Gobert as Dooky   Baldwin C. Sykes as Monster   Tracey Lewis - Sinclair as Shaniqua   Alysia Rogers as Shanice   Regina King as Shalika   Lexie Bigham as Mad Dog   Raymond Turner as Ferris   Lloyd Avery II as Ferris ' Triggerman ( Knucklehead # 2 )  </t>
  </si>
  <si>
    <t xml:space="preserve">Patricia Kalember - wikipedia  Patricia Kalember     Patricia Kalember       Patricia Kathryn Kalember ( 1956 - 12 - 30 ) December 30 , 1956 ( age 61 ) Schenectady , New York , U.S.     Occupation   Actress     Years active   1981 -- present     Spouse ( s )   Mark Torres ( 1980 -- 83 ) Daniel Gerroll ( m . 1986 )     Children       Website   www.patriciakalember.com     Patricia Kathryn Kalember ( born December 30 , 1956 ) is an American actress , best known for her role as Georgiana `` Georgie '' Reed Whitsig in the NBC drama series , Sisters ( 1991 -- 1996 ) . Kalember also had the leading roles in the number of television films , co-starred in the feature films , including Fletch Lives ( 1989 ) , Jacob 's Ladder ( 1990 ) , A Far Off Place ( 1993 ) , Signs ( 2002 ) , The Company Men ( 2010 ) , and Limitless ( 2011 ) , and recurring roles in thirtysomething ( 1989 -- 1991 ) and Law &amp; Order : Special Victims Unit ( 2004 -- 2010 ) .   Contents    1 Life and career   2 Filmography   2.1 Film   2.2 Television     3 References   4 External links    Life and career ( edit )   Kalember was born in Schenectady , New York , the daughter of Vivian Daisy ( née Wright ) and Robert James Kalember . She was raised in Westport , Connecticut , and Louisville , Kentucky . Kalember has been married to British actor Daniel Gerroll since 1986 . They have three children . She was previously married to Mark Torres , an actor .   Kalember made her television debut in 1981 , on the daytime soap opera Texas . She later was a regular cast member on Loving . She was nominated for a Outer Critics Circle Award for her performance in the play The Foreigner ( 1986 ) . In 1986 , she had the leading role in the short - lived CBS drama series , Kay O'Brien . She also starred alongside Tim Matheson in the short - lived ABC sitcom Just in Time ( 1988 ) . From 1989 to 1991 , she appeared in a recurring role on thirtysomething .   Kalember may be best known for her role as Georgiana `` Georgie '' Reed Whitsig in the NBC drama series , Sisters , alongside Swoosie Kurtz , Sela Ward , and Julianne Phillips , from 1991 to 1996 . She later had the leading roles in a number of made - for - television films . Kalember had roles in such films as Cat 's Eye ( 1985 ) , Fletch Lives ( 1989 ) , Jacob 's Ladder ( 1990 ) , Big Girls Do n't Cry ... They Get Even ( 1992 ) , and A Far Off Place ( 1993 ) .   She played the role of Margaret Craig McNamara in the HBO biographical film Path to War ( 2002 ) and appeared as Mel Gibson 's character 's wife in the science - fiction thriller , Signs that same year . She had guest roles on such television series as Touched by an Angel , Gossip Girl , The Good Wife , Blue Bloods , and Orange Is the New Black . Kalember played two different characters in Law &amp; Order : Special Victims Unit ; in 2001 , she appeared in an episode of the second season , and from 2004 to 2010 , she played Judge Karen Taten . Kalember co-starred in such films as The Girl in the Park , The Company Men , Rabbit Hole , and Limitless .   Filmography ( edit )   Film ( edit )     Year   Title   Role   Notes     1985   Cat 's Eye   Marcia       1988   Little Girl Lost   Andrea Newman   Television film       Fletch Lives   Amanda Ray Ross       1990   Kaleidoscope   Alexandra   Television film     1990   Jacob 's Ladder   Sarah         Big Girls Do n't Cry ... They Get Even   Barbara       1993   A Far Off Place   Elizabeth Parker       1993   Shattered Trust : The Shari Karney Story   Linda Karney   Television film     1995   The Unspoken Truth   Margaret Trainor   Television film     1995   Degree of Guilt   Judge Caroline Masters   Television film       Angel Flight Down   Teresa Bagshaw   Television film     1997   Home Before Dark   Dolores James       1998   When Husbands Cheat   Tess McCall   Television film     1999   Jump   Mother       1999   Final Run   Connie Phipps - Singer   Television film     2000   Killing Cinderella   Cinderella       2000   Labor Pains   Delia       2000   A Time for Dancing   Sandra Michaels       2002   Path to War   Margaret Craig McNamara       2002   Signs   Colleen Hess       2003   Straight from the Heart   Laurie Woods   Television film       Fatal Lessons : The Good Teacher   Samantha Stephens   Television film     2007   Ben 's Plan   Shelly Stephens       2007   The Girl in the Park   Amanda         The Company Men   Cynthia McClary         Rabbit Hole   Peg         Kalamity   Terry Klepack       2011   Limitless   Mrs. Atwood       2012   Girl Most Likely   Virginia       2015   Run All Night   Rose Maguire       Television ( edit )     Year   Title   Role   Notes     1981   Texas   Meredith   Episode : `` 1.339 ''     1983 -- 1984   Loving   Merrill Vochek   Series regular     1985   Brass   Lori Cartwright   TV pilot     1985   The Equalizer   Carlene Randall   Episode : `` Pilot ''     1986   Kay O'Brien   Dr. Kay ' Kayo ' O'Brien   Series regular , 13 episodes       The Equalizer   Dr. Stephanie Davis   Episode : `` Coal Black Soul ''     1988   Just in Time   Joanna Farrell   Series regular , 6 episodes     1988   ABC Afterschool Special   Maria Acero   Episode : `` Date Rape ''     1989 -- 1991   thirtysomething   Susannah Hart   Recurring role , 15 episodes     1991 -- 1996   Sisters   Georgiana ' Georgie ' Reed Whitsig   Series regular , 127 episodes     1997   Early Edition   Dr. Price   Episode : `` Love Is Blind ''     1997   Michael Hayes   Dr. Claire Solomon   Episode : `` The Doctor 's Tale ''       Law &amp; Order : Special Victims Unit   Leslie DeSantis   Episode : `` Folly ''     2002   Touched by an Angel   Janice Lowry   Episode : `` Secreets and Lies ''     2004 -- 2010   Law &amp; Order : Special Victims Unit   Judge Taten   Recurring role , 9 episodes     2008   Gossip Girl   Mrs. Boardman   Episode : `` There Might be Blood ''       The Good Wife   Julie Bowers   Episode : `` Painkiller ''     2011   Weekends at Bellevue   Lucinda   TV pilot     2011   Blue Bloods   Dr. Keller   Recurring role , 3 episodes     2012   White Collar   Ms. Holloman   Episode : `` Judgment Day ''     2013 - 2018   Orange Is the New Black   Marka Nichols   Recurring role , 4 episodes     2014   Olive Kitteridge   Joyce   HBO miniseries ; Episode : `` Incoming Tide ''     2014   `` Power ''   Kate Egan       2018   `` The Blacklist ''   Episode : `` The Invisible Hand ''       References ( edit )    Jump up ^ `` Patricia Kalember '' . The New York Times . Retrieved August 14 , 2014 .   Jump up ^ `` Patricia Kalember profile '' . Retrieved August 14 , 2014 .   ^ Jump up to : `` Biography at Kalember website '' . Retrieved August 14 , 2014 .   Jump up ^ `` Patricia Kalember profile at Yahoo ! '' . Retrieved August 14 , 2014 .    External links ( edit )    Patricia Kalember on IMDb   Patricia Kalember at the Internet Off - Broadway Database            BNF : cb14192004m ( data )   ISNI : 0000 0000 0121 1134   VIAF : 61756918      Retrieved from `` https://en.wikipedia.org/w/index.php?title=Patricia_Kalember&amp;oldid=852699323 '' Categories :   1956 births   American film actresses   American television actresses   Living people   Actresses from Louisville , Kentucky   People from Westport , Connecticut   Actors from Schenectady , New York   20th - century American actresses   21st - century American actresses   Actresses from Kentucky   Hidden categories :   Articles with hCards   Wikipedia articles with BNF identifiers   Wikipedia articles with ISNI identifiers   Wikipedia articles with VIAF identifiers           Talk                                           Contents                   About Wikipedia                                           Asturianu   تۆرکجه   Deutsch   Español   فارسی   Français   Nederlands   Polski   Русский   Simple English   Türkçe  4 more  Edit links   This page was last edited on 30 July 2018 , at 19 : 40 ( UTC ) .         About Wikipedia                    </t>
  </si>
  <si>
    <t xml:space="preserve">who plays marka nichols on orange is the new black</t>
  </si>
  <si>
    <t xml:space="preserve">   Year   Title   Role   Notes     1981   Texas   Meredith   Episode : `` 1.339 ''     1983 -- 1984   Loving   Merrill Vochek   Series regular     1985   Brass   Lori Cartwright   TV pilot     1985   The Equalizer   Carlene Randall   Episode : `` Pilot ''     1986   Kay O'Brien   Dr. Kay ' Kayo ' O'Brien   Series regular , 13 episodes       The Equalizer   Dr. Stephanie Davis   Episode : `` Coal Black Soul ''     1988   Just in Time   Joanna Farrell   Series regular , 6 episodes     1988   ABC Afterschool Special   Maria Acero   Episode : `` Date Rape ''     1989 -- 1991   thirtysomething   Susannah Hart   Recurring role , 15 episodes     1991 -- 1996   Sisters   Georgiana ' Georgie ' Reed Whitsig   Series regular , 127 episodes     1997   Early Edition   Dr. Price   Episode : `` Love Is Blind ''     1997   Michael Hayes   Dr. Claire Solomon   Episode : `` The Doctor 's Tale ''       Law &amp; Order : Special Victims Unit   Leslie DeSantis   Episode : `` Folly ''     2002   Touched by an Angel   Janice Lowry   Episode : `` Secreets and Lies ''     2004 -- 2010   Law &amp; Order : Special Victims Unit   Judge Taten   Recurring role , 9 episodes     2008   Gossip Girl   Mrs. Boardman   Episode : `` There Might be Blood ''       The Good Wife   Julie Bowers   Episode : `` Painkiller ''     2011   Weekends at Bellevue   Lucinda   TV pilot     2011   Blue Bloods   Dr. Keller   Recurring role , 3 episodes     2012   White Collar   Ms. Holloman   Episode : `` Judgment Day ''     2013 - 2018   Orange Is the New Black   Marka Nichols   Recurring role , 4 episodes     2014   Olive Kitteridge   Joyce   HBO miniseries ; Episode : `` Incoming Tide ''     2014   `` Power ''   Kate Egan       2018   `` The Blacklist ''   Episode : `` The Invisible Hand ''     </t>
  </si>
  <si>
    <t xml:space="preserve">Wolves in Great Britain - wikipedia  Wolves in Great Britain  Jump to : navigation , search  Wolves were once present in Great Britain . Early writing from Roman and later Saxon chronicles indicate that wolves appear to have been extraordinarily numerous on the island . Unlike other British animals , wolves were unaffected by island dwarfism , with certain skeletal remains indicating that they may have grown as large as Arctic wolves . The species , which frequently desecrated burial sites and was a threat to livestock and human life , was exterminated from Britain through a combination of deforestation and active hunting through bounty systems .     Contents  ( hide )   1 Past presence and extinction   1.1 England and Wales   1.2 Scotland     2 Folklore and literature   3 Fossil finds   4 Proposed reintroduction to Scotland and England   5 See also   6 References      Past presence and extinction ( edit )   England and Wales ( edit )  An Anglo Saxon wolf hunt , as illustrated in The British wolf - hunters : A Tale of England in the Olden Time by Thomas Miller . Humphrey Head , a limestone outcrop which juts into the sea at the entrance to the Kent estuary and is allegedly the place where the last wolf in England was killed in the 14th century .  Certain historians write that in 950 , King Athelstan imposed an annual tribute of 300 wolf skins on Welsh king Hywel Dda , while William of Malmesbury states that Athelstan requested gold and silver , and that it was his nephew Edgar the Peaceful who gave up that fine and instead demanded a tribute of wolf skins on King Constantine of Wales . Wolves at that time were especially numerous in the districts bordering Wales , which were heavily forested .   This imposition was maintained until the Norman conquest of England . At the time , several criminals , rather than being put to death , would be ordered to provide a certain number of wolf tongues annually . The monk Galfrid , whilst writing about the miracles of St. Cuthbert seven centuries earlier , observed that wolves were so numerous in Northumbria , that it was virtually impossible for even the richest flock - masters to protect their sheep , despite employing many men for the job . The Anglo - Saxon Chronicle states that the month of January was known as `` Wolf manoth '' , as this was the first full month of wolf hunting by the nobility . Officially , this hunting season would end on March 25 ; thus it encompassed the cubbing season , when wolves were at their most vulnerable , and their fur was of greater quality .   The Norman kings ( reigning from 1066 to 1154 ) employed servants as wolf hunters and many held lands granted on condition that they fulfilled this duty . William the Conqueror granted the lordship of Riddesdale in Northumberland to Robert de Umfraville on condition that he defend that land from enemies and wolves . There were no restrictions on or penalties for the hunting of wolves , except in royal game reserves , under the reasoning that the temptation for a commoner to shoot a deer there would be too great .   English wolves were more often trapped than hunted . Indeed , the Wolfhunt family , who resided in Peak forest in the 13th century , would march into the forest in March and December , and place pitch in the areas wolves frequented . At that time of year , wolves would have had greater difficulty in smelling the pitch than at others . During the dry summers , they would enter the forest to destroy cubs . Gerald of Wales wrote of how wolves in Holywell ate the corpses resulting from Henry II 's punitive expedition to Wales in 1165 .   King John gave a premium of 10 shillings for the capture of two wolves . King Edward I , who reigned from 1272 to 1307 , ordered the total extermination of all wolves in his kingdom and personally employed one Peter Corbet , with instructions to destroy wolves in the counties of Gloucestershire , Herefordshire , Worcestershire , Shropshire and Staffordshire -- areas near to and including some of the Welsh Marches , where wolves were more common than in the southern areas of England .   In the forty - third year of Edward III 's rule , a Thomas Engaine held lands in Pytchley in the county of Northampton , on the condition that he find special hunting dogs to kill wolves in the counties of Northampton , Rutland , Oxford , Essex and Buckingham . In the eleventh year of Henry VI 's reign ( 1433 ) , a Sir Robert Plumpton held a bovate of land called `` Wolf hunt land '' in Nottingham , by service of winding a horn and chasing or frightening the wolves in Sherwood Forest . The wolf is generally thought to have become extinct in England during the reign of Henry VII ( 1485 -- 1509 ) , or at least very rare . By this time , wolves had become limited to the Lancashire forests of Blackburnshire and Bowland , the wilder parts of the Derbyshire Peak District , and the Yorkshire Wolds . Indeed , wolf bounties were still maintained in the East Riding until the early 19th century .   Scotland ( edit )  A small sea stack on Handa , where the Scots once buried their dead to prevent their graves from being desecrated by wolves  In Scotland , during the reign of James VI , wolves were considered such a threat to travellers that special houses called spittals were erected on the highways for protection . In Sutherland , wolves dug up graves so frequently that the inhabitants of Eddrachillis resorted to burying their dead on the island of Handa , Scotland .    On Ederachillis ' shore   The grey wolf lies in wait -   Woe to the broken door ,   Woe to the loosened gate ,   And the groping wretch whom sleety fogs   On the trackless moor belate .     The lean and hungry wolf ,   With his fangs so sharp and white ,   His starveling body pinched   By the frost of a northern night ,   And his pitiless eyes that scare the dark   With their green and threatening light .     ( ... )     He climeth the guarding dyke ,   He leapeth the hurdle bars ,   He steals the sheep from the pen ,   And the fish from the boat - house spars ,   And he digs the dead from out of the sod ,   And gnaws them under the stars .     ( ... )     Thus every grave we dug   The hungry wolf uptore ,   And every morn the sod   Was strewn with bones and gore :   Our mother - earth had denied us rest   On Ederchaillis ' shore -- The Book of Highland Minstrelsy , 1846 , pp. 256 - 258    Island burial was a practice also adopted on Tanera Mòr and on Inishail , while in Atholl , coffins were made wolf - proof by building them out of five flagstones . Wolves likely became extinct in the Scottish Lowlands during the thirteenth to fifteenth centuries , when immense tracts of forest were cleared . James I passed a law in 1427 requiring three wolf hunts a year between 25 April and 1 August , coinciding with the wolf 's cubbing season . Scottish wolf populations reached a peak during the second half of the 16th century . Mary , Queen of Scots is known to have hunted wolves in the forest of Atholl in 1563 .   The wolves later caused such damage to the cattle herds of Sutherland that in 1577 , James VI made it compulsory to hunt wolves three times a year . Stories of the killing of the alleged last wolf of Scotland vary . Official records indicate that the last Scottish wolf was killed by Sir Ewen Cameron in 1680 in Killiecrankie ( Perthshire ) , but there are reports that wolves survived in Scotland up until the 18th century , and a tale even exists of one being seen as late as 1888 .   Folklore and literature ( edit )  Gelert by Charles Burton Barber ( 1845 - 1894 )  In the Welsh tale of Gelert , Llywelyn the Great , Prince of Gwynedd , killed his faithful dog Gelert after finding him covered in blood which he presumed belonged to his baby son . Only later does he discover that his son is still alive , and that the blood belonged to a wolf which Gelert killed in defence of the young prince . In Welsh mythology , both St. Ciwa the `` Wolf Girl '' and Bairre ( an ancestor of Amergin Glúingel ) are said to have been suckled by wolves .   Scottish folklore tells of how an old man in Morayshire named MacQueen of Findhorn killed the last wolf in 1743 .   Fossil finds ( edit )  Illustration of the diseased jawbone of a young wolf from Oreston Illustration of a wolf skull excavated from Kents Cavern  Wolf remains in the Kirkdale Cave were noted to be scanty when compared with the prominence of cave hyena bones . Cuvier later pointed out that the number of wolf bones in Kirkdale was even lower than originally thought , as a lot of teeth first referred to as belonging to wolves turned out to be those of juvenile hyenas . The few positively identified wolf remains were thought to have been transported to the cave system by hyenas for consumption . William Buckland , in his Reliquiae Diluvianae , wrote that he only found one molar tooth which could be positively identified as being that of a wolf , while other bone fragments were indistinguishable from those of domestic dogs .   In the Paviland limestone caves of the Gower Peninsula in south Wales , the jaw , a heel bone and several metatarsals were found of a large canid , though it was impossible to definitively prove that they belonged to a wolf rather than a large dog .   In a series of caves discovered in a quarry in Oreston , Plymouth , a Mr. Whidbey found several bones and teeth of a species of canis indistinguishable from modern wolves . Richard Owen examined a jaw bone excavated from Oreston , which he remarked was from a subadult animal with evidence of having been enlarged by exotosis and ulceration , probably due to a fight with another wolf . The other bones showed evidence of having been gnawed by small animals , and many were further damaged by workmen in their efforts to extricate them from the clay . Unlike those of the Kirkdale wolves , the Oreston remains showed no evidence of having been gnawed on by hyenas .   An almost entire skull with missing teeth was discovered in Kents Cavern by a Mr. Mac Enery . The skull was exactly equal in size to that of an Arctic wolf , the only notable differences being that the sectorial molar was slightly larger and the lower border of the jaw was more convex . It was positively identified as being that of a wolf by its low and contracted forehead .   Proposed reintroduction to Scotland and England ( edit )   In 1999 , Dr. Martyn Gorman , senior lecturer in zoology at Aberdeen University and vice chairman of the UK Mammal Society , called for a reintroduction of wolves to the Scottish Highlands and English countryside in order to deal with the then 350,000 red deer damaging young trees in commercial forests . Scottish National Heritage considered re-establishing carefully controlled colonies of wolves , but shelved the idea following an outcry from sheep farmers .   In 2002 , Paul van Vlissingen , a wealthy landowner at Letterewe , Achnasheen , Ross - shire , in the western Highlands , proposed the reintroduction of both wolves and lynxes to Scotland and England , stating that current deer - culling methods were inadequate , and that wolves would boost the Scottish tourist industry .   In 2007 , British and Norwegian researchers who included experts from the Imperial College London said that wolf reintroduction into the Scottish Highlands and English countryside would aid in the re-establishment of plants and birds currently hampered by the deer population . Their study also assessed people 's attitudes towards the idea of releasing wolves into the wild . While the public were generally positive , people living in rural areas were more sensitive , though they were open to the idea provided they would be reimbursed for livestock losses .   Richard Morley , of the Wolves and Humans Foundation ( formerly The Wolf Society of Great Britain ) , forecast in 2007 that public support for wolf reintroduction would grow over the next 15 years , though he criticised previous talks as being too `` simple or romantic '' . He stated that although wolves would be good for tourism , farmers and crofters had serious concerns about the effect wolves could have on their livestock , particularly sheep , that had to be acknowledged .   See also ( edit )    Wolves in Ireland    References ( edit )    ^ Jump up to : Wildlife in Britain and Ireland by Richard Perry , published by Taylor and Francis , 1978   Jump up ^ British Animals Extinct Within Historic Times with Some Account of British Wild White Cattle by James Edmund Harting , published by BiblioBazaar , LLC , 2009   ^ Jump up to : A history of British fossil mammals , and birds by Richard Owen , published by J. Van Voorst , 1846   ^ Jump up to : Buczacki , Stefan ( 2005 ) . Fauna Britanica . p. 528 . ISBN 0 - 600 - 61392 - 5 .   ^ Jump up to : The sports and pastimes of the people of England from the earliest period : including the rural and domestic recreations , May games , mummeries , pageants , processions and pompous spectacles by Joseph Strutt , published by Methuen &amp; co. , 1801   ^ Jump up to : The Progressive English reading books , by Nelson Thomas and sons , ltd , 1862   Jump up ^ Griffin , Emma ( 2007 ) . Blood Sport : Hunting in Britain Since 1066 . p. 296 . ISBN 0 - 300 - 11628 - 4 .   ^ Jump up to : `` The Disappearance of Wolves in the British Isles '' . Ivy Stanmore . Wolf Song of Alaska . Retrieved 2007 - 09 - 27 .   Jump up ^ Matthews , Richard ( 1995 ) . Nightmares of Nature . p. 256 . ISBN 0 - 00 - 220015 - 5 .   Jump up ^ Natural History of Quadrupeds , by Frederic Shoberl , published by J. Harris , 1834   Jump up ^ `` The Dionard Wolf '' . Lastwolf.net . Retrieved 25 Nov 2012 .   Jump up ^ Matthews , John &amp; Berk , Ari , Celtic Totem Animals , Red Wheel , 2002   Jump up ^ `` Call for return of Scottish wolves '' , BBC News , 17 September 1999 .   Jump up ^ `` Call for wolves to be reintroduced '' , BBC News , 25 June 2002 .   Jump up ^ `` Wild wolves ' good for ecosystems ' '' , BBC News , 31 January 2007 .   Jump up ^ `` Wolves debate turned into a play '' , BBC News , 18 October 2009 .   Retrieved from `` https://en.wikipedia.org/w/index.php?title=Wolves_in_Great_Britain&amp;oldid=806696356 '' Categories :   Wolves by country   Mammal extinctions since 1500   Mammals of Europe   Fauna of Great Britain   Animals in the United Kingdom           Talk                                           Contents                   About Wikipedia                                           Add links   This page was last edited on 23 October 2017 , at 16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</si>
  <si>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last wolf killed in scotland</t>
  </si>
  <si>
    <t xml:space="preserve"> The wolves later caused such damage to the cattle herds of Sutherland that in 1577 , James VI made it compulsory to hunt wolves three times a year . Stories of the killing of the alleged last wolf of Scotland vary . Official records indicate that the last Scottish wolf was killed by Sir Ewen Cameron in 1680 in Killiecrankie ( Perthshire ) , but there are reports that wolves survived in Scotland up until the 18th century , and a tale even exists of one being seen as late as 1888 . </t>
  </si>
  <si>
    <t xml:space="preserve">England at the FIFA World Cup - wikipedia  England at the FIFA World Cup   The England national football team has competed at the FIFA World Cup since 1950 . The FIFA World Cup is the premier competitive international football tournament , first played in 1930 , whose finals stage has been held every four years since , except 1942 and 1946 , due to the Second World War .   The tournament consists of two parts , the qualification phase and the final phase ( officially called the World Cup Finals ) . The qualification phase , which currently take place over the three years preceding the finals , is used to determine which teams qualify for the finals . The current format of the finals involves thirty - two teams competing for the title , at venues within the host nation ( or nations ) over a period of about a month . The World Cup Finals is the most widely viewed sporting event in the world , with an estimated 715.1 million people watching the 2006 Final .   England did not enter the competition until 1950 , but have entered all eighteen subsequent tournaments . They have failed to qualify for the finals on three occasions , 1974 ( West Germany ) , 1978 ( Argentina ) and 1994 ( United States ) , and have failed to advance from the group stages on three occasions ; at the 1950 FIFA World Cup , the 1958 FIFA World Cup and the 2014 FIFA World Cup . Their best ever performance is winning the Cup in the 1966 tournament held in England , whilst they also finished in fourth place in 1990 , in Italy , and in 2018 in Russia . Other than that , the team have reached the quarter - finals on nine occasions , the latest of which were at the 2002 ( South Korea / Japan ) and the 2006 ( Germany ) .   England are the only team not representing a sovereign state to win the World Cup , which they did in 1966 when they hosted the finals . They defeated West Germany 4 -- 2 after extra time to win the World Cup title . Since then , they have generally reached the knockout stages of almost every competition they have qualified for , including a fourth - place finish in the 1990 and 2018 World Cups . At the world cup , England have had more goalless draws than any other team .   Contents    1 History   1.1 Brazil 1950   1.1. 1 1950 Finals     1.2 Switzerland 1954   1.2. 1 1954 Finals     1.3 Sweden 1958   1.4 Chile 1962   1.5 England 1966   1.6 Mexico 1970   1.7 West Germany 1974   1.8 Argentina 1978   1.9 Spain 1982   1.10 Mexico 1986   1.11 Italy 1990   1.12 United States 1994   1.13 France 1998   1.14 South Korea / Japan 2002   1.15 Germany 2006   1.16 South Africa 2010   1.17 Brazil 2014   1.18 Russia 2018   1.18. 1 2018 Finals       2 Records   2.1 By match   2.2 By opponent     3 Players ' honours   3.1 List of England players with the most appearances at World Cups   3.2 List of England top goalscorers at World Cups   3.3 List of England goals by tournament   3.4 List of England players playing abroad at a World Cup     4 Team awards and records   5 Refereeing   6 Notes and references   6.1 Notes   6.2 References      History ( edit )   Brazil 1950 ( edit )  Main article : 1950 FIFA World Cup See also : 1949 -- 50 British Home Championship  England 's first qualifying campaign for the FIFA World Cup doubled as the 1950 British Home Championship . The series kicked off for England on 15 October 1949 at Ninian Park , Cardiff , against Wales . Stan Mortensen gave England the lead after twenty two minutes , and just seven minutes later , Jackie Milburn doubled the lead . This was the first goal of Milburn 's hat trick , which left England 4 -- 0 up with 20 minutes to play . Mal Griffiths scored a consolation goal for Wales ten minutes from time , but England held on for a comfortable victory .   A month later , England welcomed Ireland to Maine Road , and it began well for the home side as Jack Rowley scored inside six minutes . England were already 6 -- 0 up , thanks to Jack Froggatt , two for Stan Pearson , Stan Mortensen and a second from Rowley , by the time Ireland struck back through Samuel Smyth after 55 minutes . Rowley added a third and a fourth to his tally in the three minutes following Smyth 's goal , however , leaving the score at 8 -- 1 at the hour mark . The frantic scoring rate calmed down after that , with only one apeice before the final whistle , with Stan Pearson completing his brace for England 's ninth , and Bobby Brennan scoring for Ireland .   It was not until May 1950 that England travelled to Hampden Park to face Scotland , who were also undefeated after their games against Ireland and Wales . With the top two from the group qualifying , both teams were guaranteed progression to the finals , and the game was solely for the honour of winning the British Home Championship , and the seeding advantage to be enjoyed upon reaching Brazil . A solitary goal from Roy Bentley gave England the victory , the title and the top spot in the group .  1950 finals ( edit )  England were seeded in pot one for the finals , which meant they were the favourites to progress from Group 2 , which also contained Spain , Chile and the United States . England 's campaign kicked off against Chile in Rio de Janeiro , and , as was expected , England cruised to a 2 -- 0 victory , courtesy of goals from Stan Mortensen and Wilf Mannion .  Main article : United States v England ( 1950 FIFA World Cup )  Their troubles began four days later when they faced the Americans in Belo Horizonte in what has become one of the most famous matches of all time . Joe Gaetjens scored the only goal of the match to give the United States an unlikely victory , which has gone down as one of the World Cup 's greatest upsets . A myth arose that the English newspapers were so confident of an English victory that when the result was telegrammed back , they assumed a misprint and printed the score as 10 -- 1 in England 's favour . However , this has proven to be untrue .   This left England in a sticky situation prior to their final match , against Spain in Rio . They needed to win , and for Chile to beat the United States to stand any chance of going through , and even then they would need the goal averages to fall in their favour . As it turned out , no such calculations were necessary , despite Chile 's victory , as Spain 's Zarra scored the only goal of the game , eliminating England from the competition .   Switzerland 1954 ( edit )       This section does not cite any sources . Please help improve this section by adding citations to reliable sources . Unsourced material may be challenged and removed . ( July 2018 ) ( Learn how and when to remove this template message )    Main articles : 1954 FIFA World Cup and 1953 -- 54 British Home Championship  As with their first World Cup , England 's qualifying for the 1954 edition also constituted the 1953 -- 54 British Home Championship . They played Wales at Ninian Park as their first match once again , and the 4 -- 1 result was the same . However , unlike four years earlier , it was the home side that went into the lead , after twenty two minutes through Ivor Allchurch . Despite being 1 -- 0 down at half time , England scored four within eight minutes of the restart ; two each for Dennis Wilshaw and Nat Lofthouse .   Goodison Park was the venue for England 's home clash against Ireland , who were newly renamed Northern Ireland . Harold Hassall got England off to a good start with a goal after just ten minutes . Eddie McMorran put the Irish back on terms just before the hour mark , but Hassall completed his brace six minutes later . Lofthouse completed a comfortable 3 -- 1 win for England .   With the top two in the group qualifying for the finals , the final game between England and Scotland , at Hampden Park , settled nothing except the placings within the group , despite Scotland having dropped a point with a 3 -- 3 draw at home to Wales . Allan Brown put the home side ahead after just seven minutes , but it was all square again thanks to Ivor Broadis just four minutes later . Johnny Nicholls gave England the lead for the first time just after half time , and they began to extend a lead after Ronnie Allen 's 68th - minute goal . Jimmy Mullen made the game all but certain seven minutes from time , and although Willie Ormond scored a consolation for Scotland with just 1 minute to play , England topped the competition for the second time in a row .  1954 finals ( edit )  England were drawn in Group 4 for the finals , with hosts Switzerland , Italy and Belgium . In an odd twist , unique to the 1954 tournament , England and Italy , as the two seeded teams in the group , did not have to play each other .   Equally , Switzerland and Belgium did not have to play each other . England 's first game in Switzerland was against Belgium in Basel , and they suffered a shock as Léopold Anoul put the Belgians into the lead after just five minutes . Ivor Broadis put the favourites back on terms just over twenty minutes later , and although Nat Lofthouse gave England the lead 10 minutes later , it was proving to be tougher than they had expected against the Belgians .   Broadis scored his second just after the hour , but Henri Coppens hit back four minutes later to keep Belgium in the game at only 3 -- 2 down . Anoul completed his brace another four minutes after that to level the scores again . In another oddity peculiar to this World Cup , drawn matches in the group stage would go to extra time , and as such the teams played on with the score at 3 -- 3 .   Just one minute into the added period , Lofthouse added a fourth for England and they seemed to have won it , but Jimmy Dickinson scored an own goal three minutes later to put the score back at 4 -- 4 . It stayed this way until the extra period was up , and as penalty shoot - outs were yet to be invented and replays were not used in the group , the match was recorded as a draw .   England 's second and final group game was against the hosts in Bern . This proved to be an easier game for the Three Lions , and they scored one goal in each half ( from Jimmy Mullen and Dennis Wilshaw respectively ) to give them a comfortable win of 2 -- 0 . As Switzerland ( against England ) , Italy ( against Switzerland ) and Belgium ( against Italy ) had all lost one game , England progressed as group winners , along with Switzerland , who won a play - off against Italy .   England faced the winners of group three and defending champions Uruguay in the quarter - finals . Carlos Borges gave the South Americans the lead inside 5 minutes , but Lofthouse put England back on terms ten minutes later . England were clearly struggling , but held on until just before half time , when Obdulio Varela gave the lead back Uruguay .   Juan Alberto Schiaffino doubled the lead just after the break , but Tom Finney kept England 's foot in the door with his sixty seventh - minute goal . However , it was all over after Javier Ambrois restored the two - goal lead with twelve minutes to play . The score remained at 4 -- 2 , and England were eliminated from the cup .   Sweden 1958 ( edit )  Main article : 1958 FIFA World Cup  For the first time , England had to play against countries other than the Home Nations to reach the Finals in Sweden . They were drawn against the Republic of Ireland and Denmark . In the qualifying round , England won three out of the four games and drew the other . Four months before the World Cup , Roger Byrne , Duncan Edwards , David Pegg and Tommy Taylor all lost their lives in the Munich air disaster while playing for Manchester United . At the finals , which is the only tournament to have seen all Home Nations take part , the Home Nations were all drawn in different groups .   England were drawn against the Soviet Union ( 2 -- 2 ) , Brazil ( 0 -- 0 ) and Austria ( 2 -- 2 ) , who finished third in the 1954 World Cup . At the end of the group stage , Soviet Union and England each had three points , and had scored four goals and conceded four goals . This meant there was a play - off to decide the second - placed team in the group , the winner to qualify . England lost the play - off 1 -- 0 and were thus knocked out . The only consolation for England was that they were the only team to play the eventual winners Brazil and not lose .   Chile 1962 ( edit )  Main article : 1962 FIFA World Cup  The third World Cup which took place in South America , saw England qualify by successfully qualifying from the group , which contained Portugal and Luxembourg , defeating Luxembourg on both occasions , and defeating Portugal at home , and drawing in Lisbon .   At the finals , England were drawn in a group with Hungary , Argentina and Bulgaria . England defeated Argentina 3 - 1 , thanks to goals from Ron Flowers , Bobby Charlton and Jimmy Greaves , before playing out a goalless draw with Bulgaria , and a 2 -- 1 defeat to Hungary .   England finished in second place behind Hungary and played the winners of group 3 , defending champions Brazil , in the quarter - finals . Brazil scored first through Garrincha , before an equaliser for Gerry Hitchens before half time . However , second - half goals from Garrincha and Vavá meant Brazil won the game 3 -- 1 , and eliminated England from the competition . This defeat was manager Walter Winterbottom 's last game in charge . Winterbottom had led England to four World Cup Finals . From May 1963 , Alf Ramsey became the manager of England .   England 1966 ( edit )  Main article : 1966 FIFA World Cup      This section needs expansion . You can help by adding to it . ( July 2018 )     In the 1966 World Cup Finals , England used their home advantage and , under Ramsey , won their first , and only , World Cup title . England played all their games at Wembley Stadium in London , which became the last time that the hosts were granted this privilege . After drawing 0 -- 0 in the opening game against former champions Uruguay , which started a run of four games all ending goalless . England then beat both France and Mexico 2 -- 0 and qualified for the quarter - finals .   The quarter - finals saw England play Argentina , which ended in a 1 -- 0 win to England . This match saw the start of the rivalry between England and Argentina , when Argentinian Antonio Rattín was dismissed by German referee Rudolf Kreitlein in a very fierce game . A 2 -- 1 win against Portugal in the semi-final then followed . Portugal were the first team to score against England in the tournament . The final saw England play West Germany , with the result finishing in a 4 -- 2 win for England , after extra time .   Mexico 1970 ( edit )  Main article : 1970 FIFA World Cup  1970 saw the first World Cup finals take place in North America and England qualified automatically for the tournament by winning the 1966 FIFA World Cup . England were drawn in a group with Romania , former world champions Brazil and Czechoslovakia . Each of the matches only saw one goal , with England defeating Romania and Czechoslovakia , and losing to Brazil . The quarter - final saw a repeat of the 1966 final , with England playing West Germany . England were hampered by the fact that first - choice goalkeeper Gordon Banks was ill , and Peter Bonetti played instead . England led 2 -- 0 with goals by Alan Mullery and Martin Peters , but in the 70th minute , Franz Beckenbauer pulled one goal back for West Germany .   After Beckenbauer 's goal , Ramsey substituted Bobby Charlton , who overtook Billy Wright as England 's most capped player ever , with caps totalling 106 . Uwe Seeler equalised for the Germans in the eighty first minute , thereby taking the game into extra time . During extra time , Gerd Müller scored the winning goal for West Germany which saw the German side win 3 -- 2 . This turned out to be Charlton 's last game for England .   West Germany 1974 ( edit )  Main article : 1974 FIFA World Cup qualification  For the first time , England did not qualify for a World Cup . In a group with Olympic champions Poland and Wales , England could not overtake Poland . After only drawing at home to Wales 1 -- 1 and losing the first leg 2 -- 0 to Poland , meant that England had to beat Poland at home , whilst Poland only needed to draw . Poland managed to withstand England 's attacks in the first half , who had Martin Peters playing for them . Poland took the lead in the 57th minute with a goal from Jan Domarski .   England equalised six minutes later , with a penalty converted by Allan Clarke . England were unable to score any more goals with goalkeeper Jan Tomaszewski keeping England at bay . Brian Clough had previously called Tomaszewski a `` clown '' . The commentator of the game then said `` it 's all over '' . Poland took this good form to the finals and ended in third place . After failing to qualify , Alf Ramsey resigned from his post and after a time , where Ramsey and his predecessor had lasted a total of 29 years , no manager was able to last in the job for longer than eight years . This ended when Bobby Robson became England manager .   Argentina 1978 ( edit )  See also : 1978 FIFA World Cup qualification      This section does not cite any sources . Please help improve this section by adding citations to reliable sources . Unsourced material may be challenged and removed . ( July 2018 ) ( Learn how and when to remove this template message )     England also did not qualify for the fourth World Cup which took place in South America . This time , England were denied by Italy , who had scored three more goals than England after both teams finished on the same points . Goals scored dictated who qualified after the head - to - head record between the two sides finished the same , following a 2 -- 0 home win for each team . The lower - ranked teams in the group were Finland and Luxembourg , but the size of the wins against them proved to be decisive . Nevertheless , Ron Greenwood was given a second chance in charge of England , after taking the role in 1977 .   Spain 1982 ( edit )  Main article : 1982 FIFA World Cup  1982 saw the first time where the European Qualifying Rounds were divided into groups of five teams , where the top two teams qualify for the World Cup . Greenwood used his second chance and took England to Spain by finishing second behind Hungary and above Romania , Switzerland and Norway .   At the finals , England won all three group games , defeating France 3 - 1 , with a brace from Bryan Robson , before beating Czechoslovakia 2 -- 0 , with a Jozef Barmos own goal , and World Cup newcomers Kuwait 1 -- 0 , thanks to a Trevor Francis goal .   The next round saw a second group stage consisting of three teams , a first time event at the World Cup . England drew with West Germany 0 -- 0 and after the Germans beat Spain 2 -- 1 , England then had to beat Spain with a two - goal difference to progress to the next round . England , however , only managed a 0 -- 0 draw against the Spanish . England remained unbeaten at the end of the tournament . After the World Cup , Ron Greenwood 's time as England manager ended , and he was replaced by Bobby Robson .   Mexico 1986 ( edit )  Main article : 1986 FIFA World Cup      This section does not cite any sources . Please help improve this section by adding citations to reliable sources . Unsourced material may be challenged and removed . ( July 2018 ) ( Learn how and when to remove this template message )     1986 saw the second World Cup to take place in Mexico . England qualified for Mexico 1986 by winning four games and drawing four times against Northern Ireland , who qualified in second place , Romania , Finland and Turkey . In Mexico , England lost their opening game to Portugal 1 -- 0 and could only manage a goalless draw against Morocco . The final group game , however , saw England beat Poland 3 -- 0 , which is one of the three highest scores for England at the World Cup , with Gary Lineker scoring a hat - trick .   This result took England to second place and finished behind Morocco . England then also beat Paraguay 3 -- 0 in the Round of 16 . In the quarter - finals , England renewed their rivalry with Argentina in a game that has become notorious for the Argentina goals , both scored by Diego Maradona . Maradona 's first goal , known as the Hand of God , was illegal and should not have counted , as he used his hand to punch the ball into the net . However , the referee missed this infringement , and ruled that the goal should stand . Maradona then made the score 2 - 0 , famously dribbling from inside Argentina 's half and around several English players before scoring . Gary Lineker pulled back the score to 2 - 1 , but England ran out of time to equalise , and were eliminated . Nevertheless , Lineker finished with the Golden Boot by scoring six goals and thereby becoming England 's first Golden Boot winner .   Italy 1990 ( edit )  Main article : 1990 FIFA World Cup  By winning three and drawing three , England qualified for Italia ' 90 , the second World Cup to be held in Italy , scoring ten goals and conceding none . England were unbeaten through qualification , winning three games , and drawing the remaining three , but still finished second to Sweden , whom they drew with twice . England profited from Romania 's 3 -- 1 win over Denmark , who , had they won , would have qualified as the third - best second - placed team . West Germany and England were able to qualify for Italia ' 90 as the best second - placed teams in the groups with four teams .   Because a few years previously saw English hooligans at European competition matches , England were forced to play their group games on Sardinia and Sicily . In group F , was the European champions Netherlands , the Republic of Ireland and Egypt and England . After opening the tournament with a 1 -- 1 draw against Ireland and a 0 -- 0 draw against the Dutch , England then beat Egypt 1 -- 0 . This was Egypt 's first appearance since the 1934 World Cup . England won the group with four points .   In the next round , England had to play Belgium . The game went to extra time , and in the hundredth and nineteenth minute , David Platt scored the winning goal . England also had to play extra time against Cameroon in the quarter - finals . Cameroon were the first African team to have reached the quarter - finals . England opened the scoring through David Platt , but Cameroon quickly turned around the game to lead 2 - 1 . Lineker subsequently won and scored a penalty in the 83rd minute to ensure the game went to extra time . He then scored a second penalty , to see England reach the semi-finals .   In the semi-finals , England met West Germany . There was no separating the two teams after 90 minutes , which made England the first team to have played extra time in three successive World Cup games . There was also no separating the two teams after extra time , thereby taking the game to penalties .   Although English goalkeeper Peter Shilton dived the right way for every penalty , he was unable to save any . German goalkeeper Bodo Illgner , having failed to save any of England 's first three penalties , saved England 's fourth penalty , taken by Stuart Pearce . Olaf Thon then scored for Germany , meaning that England 's Chris Waddle would have to score his fifth penalty and hope that Shilton saved the Germans ' fifth penalty . However , Waddle 's penalty missed completely , going high over the crossbar , thereby resulting in England 's being knocked out of the competition . The third - place playoff between England and Italy saw England lose their only game of the tournament in normal time . Even though this was England 's best finish since the 1966 World Cup , Bobby Robson 's time as England manager had come to an end .   United States 1994 ( edit )  Main article : 1994 FIFA World Cup qualification  For the 1994 World Cup in the United States , under the leadership of new manager Graham Taylor , England surprisingly did not qualify for the tournament . In a group with six teams , England lost to Norway and the Netherlands , finishing third above Poland , Turkey and San Marino .   England went into their final game with San Marino knowing they would need a seven - goal victory and for Poland to beat the Netherlands in the other match in order to qualify . In the game against San Marino , Davide Gualtieri scored against England after nine seconds , taking the lead for the outsiders . England went on to win 7 -- 1 , which was too small a goal margin . Additionally , despite the half - time score between the Poles and the Dutch being 1 - 1 , the Dutch went on to win 3 - 1 , meaning that however many goals England scored , they could still not qualify . Taylor 's tenure in charge ended and he was replaced by Terry Venables , who was dismissed after England lost the semi-final of Euro 1996 , hosted in England .   France 1998 ( edit )  Main article : 1998 FIFA World Cup  After missing out on the World Cup in 1994 , England , managed by Glenn Hoddle , qualified for the World Cup in France . England were drawn in Group 2 of UEFA qualifying with Italy , Poland , Georgia and Moldova . England beat Poland , Georgia and Moldova both home and away , but a home defeat to Italy in their fourth match meant they went into the final qualifier at the Stadio Olimpico in Rome just a point ahead of the Azzurri and only needing a draw to qualify automatically ; defeat would see them have to navigate a play - off to secure qualification . The match finished as a goalless draw and England finished top of the group .   At the finals in France , England played in Group G. England defeated Tunisia 2 -- 0 in the first game , with goals from Alan Shearer and Paul Scholes . Their second match saw England lose 2 -- 1 to Romania ; despite an 81st - minute equaliser from Michael Owen , Dan Petrescu scored a winner shortly before injury time . In their final group game , England defeated Colombia 2 -- 0 in the decisive match , thanks to goals from midfielders Darren Anderton and David Beckham . England finished second in Group G , which saw them qualify for the last 16 phase , and play the winner of 1998 FIFA World Cup Group H , Argentina .   In a fiery game containing six yellow cards and two penalties , David Beckham was controversially sent off in the 47th minute for what many felt was at most a yellow card offence , knocking over Diego Simeone . Gabriel Batistuta opened the scoring from the penalty spot in the fifth minute of the game , before an equaliser also from the spot by Alan Shearer four minutes later . England took the lead through Owen , in the 16th minute . Argentina drew level through Javier Zanetti in injury time of the first half .   The game finished 2 - 2 , and , as neither team were able to find a winner in extra time , penalties were needed to decide the team that qualified to the next round . While David Seaman did save one penalty , Argentine goalkeeper Carlos Roa managed to save two , including the vital one from David Batty , thereby knocking England out of the World Cup . Beckham subsequently received death threats and was sent bullets in the post .   South Korea / Japan 2002 ( edit )  Main article : 2002 FIFA World Cup  In 2002 the World Cup took place in Asia for the first time . England , under its first ever foreign manager in Swedish Sven - Göran Eriksson , were able to qualify for the tournament . England were drawn in Group 9 , alongside Germany , Finland , Greece and Albania . In the last ever game in the original Wembley Stadium , ( which closed after the match ) England played Germany , losing 1 -- 0 , the only goal scored by Dietmar Hamann . The match was the last under the management of Kevin Keegan , who resigned at the end of the match , and was replaced by Eriksson . By beating Germany 5 -- 1 in Munich , England 's qualifying campaign was revitalised , and they qualified automatically , by drawing 2 -- 2 with Greece . Germany , who could only draw 0 -- 0 with Finland , had to play a play - off game against Ukraine , with England qualifying ahead winning the group .   In Japan , England had to play against Eriksson 's homeland , Sweden , and both settled out for a 1 -- 1 draw . England and Beckham gained a measure of revenge for their previous 1998 defeat in defeating Argentina 1 - 0 , thanks to a Beckham penalty . However , England could only manage a disappointing 0 - 0 draw against Nigeria , meaning that although they were able to qualify for the second round , where they played Denmark , they qualified as runners up , which meant that they would meet favourites Brazil in the quarter - finals if they qualified .   England played Denmark in the round of 16 defeating Denmark 3 -- 0 , thanks to goals from Micheal Owen , Rio Ferdinand , and Emile Heskey . England played four - time World Cup winners and 1998 runners - up Brazil in the quarter - finals . Despite leading through a Michael Owen goal , a mistake by David Seaman saw England lose 2 -- 1 , and Brazil won their fourth World Cup match against England , and went on to win the tournament .   Germany 2006 ( edit )  Main article : 2006 FIFA World Cup  England were drawn into Group 6 of European qualifying for the 2006 World Cup . The group featured other home nations in Wales , and Northern Ireland , as well as Poland ( who had eliminated England the last time the World Cup took place in Germany ) , Azerbaijan and Austria . England won eight of the 10 games , and qualified as group winners , in front of Portugal , despite drawing to Austria in Vienna , and losing to Northern Ireland in Belfast .   In Germany , however , England were less convincing . England played in Group B , alongside Paraguay , Trinidad and Tobago , and Sweden . England started with a 1 -- 0 win against Paraguay ; which was won due to a 3rd minute own goal . The second game against first time qualifiers Trinidad and Tobago saw England have to wait until the 83rd minute for England to take the lead , with Peter Crouch opened the scoring with a goal many felt was illegal , and the second goal of the game coming in added time from Steven Gerrard . The last group game saw England play against Sweden , where an eventual 2 - 2 draw saw them qualify for the next round as group winners , thereby avoiding playing hosts Germany .   In the last 16 stage , a free kick from David Beckham saw England win 1 -- 0 against Ecuador and reach the quarter - finals , where they faced Portugal . The game finished goalless , and England once again were knocked out on penalties and Portuguese goalkeeper Ricardo became the first goalkeeper to save three penalties in a penalty shoot - out . Ricardo saved from Frank Lampard , Steven Gerrard , and Jamie Carragher ; the only England player who successfully converted his penalty was Owen Hargreaves . Portugal won the shoot - out 3 - 1 , despite misses from Petit and Hugo Viana . This game was also Erickson 's final match as England manager .   South africa 2010 ( edit )  Main article : 2010 FIFA World Cup  Qualification for the first African World Cup went successfully for new England manager Fabio Capello , after previous manager Steve McClaren was unable to secure qualification to the Euro 2008 . By winning nine times and only losing to Ukraine , England qualified ahead of Croatia , Belarus , Kazakhstan and Andorra . England 's group was seen as a favourable one , containing comparatively much weaker teams . However , England opened up their campaign with a 1 -- 1 draw against the United States , thanks to a major error by goalkeeper Robert Green . They then drew 0 -- 0 against Algeria and were booed off the field by their own fans , drawing the ire of striker Wayne Rooney . England eventually qualified for the next round by beating Slovenia 1 -- 0 , but only qualified as runners up to the United States , thereby meaning they would draw favourites Germany .   In the second round match , Germany took the lead after 20 minutes after goalkeeper Manuel Neuer played the ball down the pitch to Miroslav Klose , who opened the scoring . The score became 2 -- 0 to Germany after 32 minutes . Shortly after , England defender Matthew Upson scored a header . Later , Frank Lampard had a shot at goal which was disallowed despite crossing the line ; which was confirmed on replays . German goalkeeper Manuel Neuer admitted subsequently he knew the ball had crossed the line , but decided to deceive the referee . The German media reported it was `` revenge for Wembley '' , while the English media criticised FIFA 's refusal to implement goal - line technology . Ironically , despite his earlier opposition to goal - line technology , Sepp Blatter said that it should be introduced after a Ukrainian goal against England at Euro</t>
  </si>
  <si>
    <t xml:space="preserve">when was last time england were in a world cup semi final</t>
  </si>
  <si>
    <t xml:space="preserve">   Year   Round   Position   GP     D *     GF   GA   GD     1930   Not a FIFA member     1934     1938     1950   Group stage   8th       0         0     1954   Quarter - finals   7th           8   8   0     1958   Group stage   11th     0         5   - 1     1962   Quarter - finals   8th           5   6   - 1     1966   Champions   1st   6   5     0   11     8     1970   Quarter - finals   8th       0         0       Did not qualify     1978     1982   Second group stage   6th   5       0   6     5     1986   Quarter - finals   8th   5         7         1990   Semi finals   4th   7         8   6       1994   Did not qualify     1998   Round of 16   9th           7         2002   Quarter - finals   6th   5         6         2006   Quarter - finals   7th   5       0   6           Round of 16   13th             5   - 2     2014   Group stage   26th     0           - 2     2018   Semi-finals   4th   7         12   8       2022   TBD     2026     Total   15 / 21   1 title   69   29   21   19   91   64   27   </t>
  </si>
  <si>
    <r>
      <rPr>
        <sz val="11"/>
        <color rgb="FF000000"/>
        <rFont val="Calibri"/>
        <family val="0"/>
        <charset val="1"/>
      </rPr>
      <t xml:space="preserve">Null pointer - wikipedia  Null pointer   In computing , a null pointer has a value reserved for indicating that the pointer does not refer to a valid object . Programs routinely use null pointers to represent conditions such as the end of a list of unknown length or the failure to perform some action ; this use of null pointers can be compared to nullable types and to the Nothing value in an option type .   A null pointer should not be confused with an uninitialized pointer : A null pointer is guaranteed to compare unequal to any pointer that points to a valid object . However , depending on the language and implementation , an uninitialized pointer may not have any such guarantee . It might compare equal to other , valid pointers ; or it might compare equal to null pointers . It might do both at different times .   Contents  ( hide )     2 C++   3 Other languages   4 Dereferencing   5 History   6 See also   7 References      In C , two null pointers of any type are guaranteed to compare equal . The preprocessor macro NULL is defined as an implementation - defined null pointer constant , which in C99 can be portably expressed as the integer value 0 converted implicitly or explicitly to the type void * ( pointer to void ) . The C standard does not say that the null pointer is the same as the pointer to memory address 0 , though that may be the case in practice . Dereferencing a null pointer is undefined behavior in C , and a conforming implementation is allowed to assume that any pointer that is dereferenced is not null .   In practice , dereferencing a null pointer may result in an attempted read or write from memory that is not mapped , triggering a segmentation fault or memory access violation . This may manifest itself as a program crash , or be transformed into a software exception that can be caught by program code . There are , however , certain circumstances where this is not the case . For example , in x86 real mode , the address 0000 : 0000 is readable and also usually writable , and dereferencing a pointer to that address is a perfectly valid but typically unwanted action that may lead to undefined but non-crashing behavior in the application . There are occasions when dereferencing the pointer to address zero is intentional and well - defined ; for example , BIOS code written in C for 16 - bit real - mode x86 devices may write the IDT at physical address 0 of the machine by dereferencing a null pointer for writing . It is also possible for the compiler to optimize away the null pointer dereference , avoiding a segmentation fault but causing other undesired behavior .   C++ ( edit )   In C++ , while the NULL macro was inherited from C , the integer literal for zero has been traditionally preferred to represent a null pointer constant . However , C + + 11 has introduced an explicit nullptr constant to be used instead .   Other languages ( edit )   In some programming language environments ( at least one proprietary Lisp implementation , for example ) , the value used as the null pointer ( called nil in Lisp ) may actually be a pointer to a block of internal data useful to the implementation ( but not explicitly reachable from user programs ) , thus allowing the same register to be used as a useful constant and a quick way of accessing implementation internals . This is known as the nil vector .   In languages with a tagged architecture , a possibly null pointer can be replaced with a tagged union which enforces explicit handling of the exceptional case ; in fact , a possibly null pointer can be seen as a tagged pointer with a computed tag .   Programming languages use different names for a null pointer . In Python , for example , a null value is called None . In Pascal and Swift , a null pointer is called nil . In Eiffel , it is called a void reference . Object - oriented languages use the term null reference , while older third - generation languages use the term null pointer or even null address .   Dereferencing ( edit )   Because a null pointer does not point to a meaningful object , an attempt to dereference ( ie . access the data stored at that memory location ) a null pointer usually ( but not always ) causes a run - time error or immediate program crash .    In C , the behavior of dereferencing a null pointer is undefined . Many implementations cause such code to result in the program being halted with a segmentation fault , because the null pointer representation is chosen to be an address that is never allocated by the system for storing objects . However , this behavior is not universal .   In Java , access to a null reference triggers a NullPointerException ( NPE ) , which can be caught by error handling code , but the preferred practice is to ensure that such exceptions never occur .   In . NET , access to null reference triggers a NullReferenceException to be thrown . Although catching these is generally considered bad practice , this exception type can be caught and handled by the program .   In Objective - C , messages may be sent to a nil object ( which is a null pointer ) without causing the program to be interrupted ; the message is simply ignored , and the return value ( if any ) is nil or 0 , depending on the type .    History ( edit )   In 2009 Tony Hoare ( C.A.R. Hoare ) stated that he invented the null reference in 1965 as part of the ALGOL W language . In that 2009 reference Hoare describes his invention as a `` billion - dollar mistake '' :   I call it my billion - dollar mistake . It was the invention of the null reference in 1965 . At that time , I was designing the first comprehensive type system for references in an object oriented language ( ALGOL W ) . My goal was to ensure that all use of references should be absolutely safe , with checking performed automatically by the compiler . But I could n't resist the temptation to put in a null reference , simply because it was so easy to implement . This has led to innumerable errors , vulnerabilities , and system crashes , which have probably caused a billion dollars of pain and damage in the last forty years .   See also ( edit )    Memory debugger   Zero page    References ( edit )    Joint Technical Committee ISO / IEC JTC 1 , Subcommittee SC 22 , Working Group WG 14 ( 2007 - 09 - 08 ) . International Standard ISO / IEC 9899 ( PDF ; Committee Draft ) . CS1 maint : Multiple names : authors list ( link ) .     Jump up ^ ISO / IEC 9899 , clause 6.3. 2.3 , paragraph 4 .   Jump up ^ ISO / IEC 9899 , clause 7.17 , paragraph 3 : NULL ... which expands to an implementation - defined null pointer constant ...   Jump up ^ ISO / IEC 9899 , clause 6.3. 2.3 , paragraph 3 .   Jump up ^ Stroustrup , Bjarne ( March 2001 ) . `` Chapter 5 : Pointers , Arrays , and Structures : 5.1. 1 : Zero '' . The C++ Programming Language ( 14th printing of 3rd ed . ) . United States and Canada : Addison -- Wesley . p. 88 . ISBN 0 - 201 - 88954 - 4 . In C , it has been popular to define a macro NULL to represent the zero pointer . Because of C + + 's tighter type checking , the use of plain 0 , rather than any suggested NULL macro , leads to fewer problems . If you feel you must define NULL . use const int NULL = 0 ; The const qualifier ( § 5.4 ) prevents accidental redefinition of NULL and ensures that NULL can be used where a constant is required .   Jump up ^ ISO / IEC 9899 , clause 6.5. 3.2 , paragraph 4 .   Jump up ^ The Objective - C 2.0 Programming Language , section `` Sending Messages to nil '' .   Jump up ^ Tony Hoare ( 2009 - 08 - 25 ) . `` Null References : The Billion Dollar Mistake '' . InfoQ.com .      hide         Nulls in computing       Null character   Null device   Null function   Null object pattern   Null pointer   Null in SQL   Null string   Null coalescing operator         See also : Null coalescing operator   Nullable type   Undefined value      Retrieved from `` https://en.wikipedia.org/w/index.php?title=Null_pointer&amp;oldid=850547253 '' Categories :   Data types   Hidden categories :   All articles with unsourced statements   Articles with unsourced statements from September 2011   CS1 maint : Multiple names : authors list           Talk                                           Contents                   About Wikipedia                                           Deutsch   </t>
    </r>
    <r>
      <rPr>
        <sz val="11"/>
        <color rgb="FF000000"/>
        <rFont val="Noto Sans CJK SC"/>
        <family val="2"/>
      </rPr>
      <t xml:space="preserve">한국어   日本 語   </t>
    </r>
    <r>
      <rPr>
        <sz val="11"/>
        <color rgb="FF000000"/>
        <rFont val="Calibri"/>
        <family val="0"/>
        <charset val="1"/>
      </rPr>
      <t xml:space="preserve">Українська   Tiếng Việt   Edit links   This page was last edited on 16 July 2018 , at 15 : 14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</si>
  <si>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value of null in c</t>
  </si>
  <si>
    <t xml:space="preserve"> In C , two null pointers of any type are guaranteed to compare equal . The preprocessor macro NULL is defined as an implementation - defined null pointer constant , which in C99 can be portably expressed as the integer value 0 converted implicitly or explicitly to the type void * ( pointer to void ) . The C standard does not say that the null pointer is the same as the pointer to memory address 0 , though that may be the case in practice . Dereferencing a null pointer is undefined behavior in C , and a conforming implementation is allowed to assume that any pointer that is dereferenced is not null . </t>
  </si>
  <si>
    <r>
      <rPr>
        <sz val="11"/>
        <color rgb="FF000000"/>
        <rFont val="Calibri"/>
        <family val="0"/>
        <charset val="1"/>
      </rPr>
      <t xml:space="preserve">Bataan Death March - wikipedia  Bataan Death March     Bataan Death March     Part of the Battle of Bataan , World War II     A burial detail of American and Filipino prisoners of war uses improvised litters to carry fallen comrades at Camp O'Donnell , Capas , Tarlac , 1942 , following the Bataan Death March .        Date   April 9 , 1942     Location   Mariveles , Bataan and Bagac , Bataan to Capas , Tarlac , Luzon Island , Philippines        Casualties and losses     Exact figures are unknown . Estimates range from 5,650 to 18,000 POW deaths .     The Bataan Death March ( Filipino : Martsa ng Kamatayan sa Bataan ; Japanese : </t>
    </r>
    <r>
      <rPr>
        <sz val="11"/>
        <color rgb="FF000000"/>
        <rFont val="Noto Sans CJK SC"/>
        <family val="2"/>
      </rPr>
      <t xml:space="preserve">バターン 死 の 行進 </t>
    </r>
    <r>
      <rPr>
        <sz val="11"/>
        <color rgb="FF000000"/>
        <rFont val="Calibri"/>
        <family val="0"/>
        <charset val="1"/>
      </rPr>
      <t xml:space="preserve">, Hepburn : Batān Shi no Kōshin ) was the forcible transfer by the Imperial Japanese Army of 60,000 -- 80,000 American and Filipino prisoners of war from Saysain Point , Bagac , Bataan and Mariveles to Camp O'Donnell , Capas , Tarlac , via San Fernando , Pampanga , where the prisoners were loaded onto trains . The transfer began on April 9 , 1942 , after the three - month Battle of Bataan in the Philippines during World War II . The total distance marched from Mariveles to San Fernando and from the Capas Train Station to Camp O'Donnell is variously reported by differing sources as between 60 and 69.6 miles ( 96.6 and 112.0 km ) . Differing sources also report widely differing prisoner of war casualties prior to reaching Camp O'Donnell : from 5,000 to 18,000 Filipino deaths and 500 to 650 American deaths during the march . The march was characterized by severe physical abuse and wanton killings , and was later judged by an Allied military commission to be a Japanese war crime .   Contents    1 Background   1.1 Prelude   1.2 Surrender     2 The march   2.1 Casualty estimates     3 Wartime public responses   3.1 United States   3.2 Japanese     4 War crimes trial   5 Post-war commemorations , apologies , and memorials   6 Notable survivors and captives   7 See also   8 References   9 Further reading   10 External links    Background ( edit )   Prelude ( edit )  Main article : Battle of Bataan  When General MacArthur returned to active duty , the latest revision of plans for the defense of the Philippine Islands -- called WPO - 3 -- was politically unrealistic , assuming a conflict only involving the United States and Japan , not the combined Axis powers . However , the plan was tactically sound , and its provisions for defense were applicable under any local situation .   Under WPO - 3 , the mission of the Philippine garrison was to hold the entrance to Manila Bay and deny its use to Japanese naval forces . If the enemy prevailed , the Americans were to make every attempt to hold back the Japanese advance while withdrawing to the Bataan Peninsula , which was recognized as the key to the control of Manila Bay . It was to be defended to the `` last extremity . '' General MacArthur assumed command of the Allied army in July 1941 and rejected WPO - 3 as defeatist , preferring a more aggressive course of action . He recommended -- among other things -- a coastal defense strategy that would include the entire archipelago . His recommendations were followed in the plan that was eventually approved .   The main force of General Masaharu Homma 's 14th Army came ashore at Lingayen Gulf on the morning of 22 December . The defenders failed to hold the beaches . By the end of the day , the Japanese had secured most of their objectives and were in position to emerge onto the central plain . Late on the afternoon of the 23rd Wainwright telephoned General MacArthur 's headquarters in Manila and informed him that any further defense of the Lingayen beaches was `` impracticable . '' He requested and was given permission to withdraw behind the Agno River . MacArthur decided to abandon his own plan for defense and revert to WPO - 3 , evacuating President Manuel L. Quezon , High Commissioner Francis B. Sayre , their families , and his own headquarters to Corregidor on the 24th . A rear echelon , headed by the deputy chief of staff , Brig. Gen. Richard J. Marshall , remained behind in Manila to close out the headquarters and to supervise the shipment of supplies and the evacuation of the remaining troops .   On December 26 Manila was officially declared an open city and MacArthur 's proclamation was published in the newspapers and broadcast over the radio .   The Battle of Bataan began January 7 , 1942 , and continued until April 9 , when the USAFFE commander , Maj. Gen. Edward King , Jr. , surrendered to Col. Mootoo Nakayama of the 14th Japanese Army .   Surrender ( edit )   Lieutenant General Masaharu Homma and his staff encountered almost twice as many captives as his reports had estimated , creating an enormous logistical challenge : the transport and movement of over sixty - thousand starved , sick , and debilitated prisoners and over thirty eight thousand equally weakened civilian noncombatants that had been caught up in the battle . The prisoners and refugees had to be moved north to get them out of the way of Homma 's final assault on Corregidor , but there was simply not enough mechanized transport to move the masses of wounded , sick , and weakened remainder of troops .   The March ( edit )  Route of the death march ; the section from San Fernando to Capas was by rail cars . Dead soldiers on the Bataan Death March Death March ( 95th km ) marker , Bacolor , Pampanga ( where the Filipinos passed )  Following the surrender of Bataan on April 9 , 1942 , to the Imperial Japanese Army , prisoners were massed in Mariveles and Bagac town .   As the defeated defenders were massed in preparation for the march , they were ordered to turn over their possessions . American Lieutenant Kermit Lay recounted how this was done :   They pulled us off into a rice paddy and began shaking us down . There ( were ) about a hundred of us so it took time to get to all of us . Everyone had pulled their pockets wrong side out and laid all their things out in front . They were taking jewelry and doing a lot of slapping . I laid out my New Testament ... After the shakedown , the Japs took an officer and two enlisted men behind a rice shack and shot them . The men who had been next to them said they had Japanese souvenirs and money .   Word quickly spread among the prisoners to conceal or destroy any Japanese money or mementos , as the captors assumed it had been stolen from dead Japanese soldiers .   Prisoners started out from Mariveles on April 10 , and Bagac on April 11 , converging in Pilar , Bataan , and heading north to the San Fernando railhead . At the beginning of capture there were rare instances of kindness by Japanese officers and those Japanese soldiers who spoke English , such as sharing of food and cigarettes and permitting personal possessions to be kept . This was fast followed by unrelenting brutality , theft , and even knocking men 's teeth out for gold fillings , as the common Japanese soldier had also suffered in the Battle for Bataan and had nothing but disgust and hatred for his `` captives '' ( Japan did not recognize these people as POWs ) . The first atrocity -- attributed to Colonel Masanobu Tsuji -- occurred when approximately 350 to 400 Filipino officers and NCOs under his supervision were summarily executed in the Pantingan River massacre after they had surrendered . Tsuji -- acting against General Homma 's wishes that the prisoners be transferred peacefully -- had issued clandestine orders to Japanese officers to summarily execute all American `` captives . '' Although some Japanese officers ignored the orders , others were receptive to the idea of murdering POWs .   During the march , prisoners received little food or water , and many died . Prisoners were subjected to severe physical abuse , including being beaten and tortured . On the march , the `` sun treatment '' was a common form of torture . Prisoners were forced to sit in sweltering direct sunlight , without helmets or other head covering . Anyone who asked for water was shot dead . Some men were told to strip naked or sit within sight of fresh , cool water . Trucks drove over some of those who fell or succumbed to fatigue , and `` cleanup crews '' put to death those too weak to continue , though some trucks picked up some of those too fatigued to continue . Some marchers were randomly stabbed by bayonets or beaten . The Death March was later judged by an Allied military commission to be a Japanese war crime .   Once the surviving prisoners arrived in Balanga , the overcrowded conditions and poor hygiene caused dysentery and other diseases to spread rapidly . The Japanese did not provide the prisoners with medical care , so U.S. medical personnel tended to the sick and wounded with few or no supplies . Upon arrival at the San Fernando railhead , prisoners were stuffed into sweltering , brutally hot metal box cars for the one - hour trip to Capas , in 43 ° C ( 110 ° F ) heat . At least 100 prisoners were pushed into each of the trains ' unventilated boxcars . The trains had no sanitation facilities , and disease continued to take a heavy toll on the prisoners . According to Staff Sergeant Alf Larson :   The train consisted of six or seven World War I - era boxcars ... They packed us in the cars like sardines , so tight you could n't sit down . Then they shut the door . If you passed out , you could n't fall down . If someone had to go to the toilet , you went right there where you were . It was close to summer and the weather was hot and humid , hotter than Billy Blazes ! We were on the train from early morning to late afternoon without getting out . People died in the railroad cars .   Upon arrival at the Capas train station , they were forced to walk the final 14 km ( 9 mi ) to Camp O'Donnell . Even after arriving at Camp O'Donnell , the survivors of the march continued to die at rates of up to several hundred per day , which amounted to a death toll of as many as 20,000 Filipino and American deaths . Most of the dead were buried in mass graves that the Japanese had dug behind the barbed wire surrounding the compound . Of the estimated 80,000 POWs at the march , only 54,000 made it to Camp O'Donnell .   The total distance of the march from Mariveles to San Fernando and from Capas to Camp O'Donnell ( which ultimately became the U.S. Naval Radio Transmitter Facility in Capas , Tarlac ; 1962 - 1989 ) is variously reported by differing sources as between 96.6 and 112.0 km ( 60 and 69.6 mi ) .   Casualty estimates ( edit )   Credible sources report widely differing prisoner of war casualties prior to reaching their destination : from 5,000 to 18,000 Filipino deaths and 500 to 650 American deaths during the march .   Wartime public responses ( edit )  News of the Bataan Death March sparked outrage in the US , as reflected in this poster .  United States ( edit )   It was not until January 27 , 1944 , that the U.S. government informed the American public about the march , when it released sworn statements of military officers who had escaped . Shortly thereafter the stories of these officers were featured in a LIFE magazine article . The Bataan Death March and other Japanese actions were used to arouse fury in the United States .   General George Marshall made the following statement :   These brutal reprisals upon helpless victims evidence the shallow advance from savagery which the Japanese people have made ... We serve notice upon the Japanese military and political leaders as well as the Japanese people that the future of the Japanese race itself , depends entirely and irrevocably upon their capacity to progress beyond their aboriginal barbaric instincts .   Japanese ( edit )   In an attempt to counter the American propaganda value of the march , the Japanese had The Manila Times report that the prisoners were treated humanely and their death rate had to be attributed to the intransigence of the American commanders who did not surrender until the men were on the verge of death .   War crimes trial ( edit )  Portion of Bataan disinterment map highlighting the site of the 1942 Pantingan Massacre  In September 1945 , General Masaharu Homma was arrested by Allied troops and indicted for war crimes . Homma was charged with 43 different counts of crimes against humanity . Homma was found guilty of permitting members of his command to commit `` brutal atrocities and other high crimes '' . The general , who had been absorbed in his efforts to capture Corregidor after the fall of Bataan , claimed in his defense that he remained ignorant of the high death toll of the death march until two months after the event . Homma 's verdict was predicated on respondeat superior but with the added liability standard , since the latter could not be rebutted . On February 26 , 1946 , he was sentenced to death by firing squad , and was executed on April 3 , 1946 , outside Manila .   Masanobu Tsuji , who directly ordered the killing of POWs , fled to China from Thailand when the war ended to escape the British authorities .   Also in Japan , Generals Hideki Tōjō ( later Prime Minister ) , Kenji Doihara , Seishirō Itagaki , Heitarō Kimura , Iwane Matsui , and Akira Mutō , along with Baron Kōki Hirota , were found guilty and responsible for the maltreatment of American and Filipino POWs . They were executed by hanging at Sugamo Prison in Ikebukuro on December 23 , 1948 . Several others were sentenced to imprisonment between 7 and 22 years .   Post-war commemorations , apologies , and memorials ( edit )  U.S. Army personnel toiled to identify the charred remains of Americans captured at Bataan and Corregidor and burned alive on Palawan . Picture shows charred remains being interred in grave . March 20 , 1945 . Main article : Memorials to Bataan Death March victims  In 2012 , film producer Jan Thompson created a film documentary about the Death March , POW camps , and Japanese hell ships titled Never the Same : The Prisoner - of - War Experience . The film reproduced scenes of the camps and ships showed drawings and writings of the prisoners , and featured Loretta Swit as the narrator .   On September 13 , 2010 , Japanese Foreign Minister Katsuya Okada apologized to a group of six former American soldiers who , during World War II were held as prisoners of war by the Japanese , including 90 - year - old Lester Tenney and Robert Rosendahl , both survivors of the Bataan Death March . The six , their families , and the families of two deceased soldiers were invited to visit Japan at the expense of the Japanese government .   Dozens of memorials ( including monuments , plaques , and schools ) dedicated to the prisoners who died during the Bataan Death March exist across the United States and in the Philippines . A wide variety of commemorative events are held to honor the victims , including holidays , athletic events such as ultramarathons , and memorial ceremonies held at military cemeteries .   On April 3 , 2002 , the memorial `` Heroes of Bataan '' was dedicated at Veteran 's Park , Las Cruces , New Mexico . It depicts three soldiers assisting each other during the Bataan Death March . Two of the soldiers are modeled after the uncles of Las Cruces resident J. Joe Martinez , with the Filipino soldier modeled after a NCO stationed at WSMR ( White Sands Missile Range ) whose grandfather was killed during the March . Leading up to the statue is an area where footprints of survivors were cast in concrete .  Bataan Death March Memorial featuring Filipino and American soldiers , Las Cruces , New Mexico Footprints of survivors of the Bataan Death March leading up to statue , `` Heroes of Bataan '' , Veteran 's Park , Las Cruces , New Mexico  The Bataan Death March had a large impact on the U.S. state of New Mexico , given that many of the U.S. soldiers in Bataan were from New Mexico , specifically from the 200th / 515th Coast Artillery of the National Guard . The New Mexico National Guard Bataan Memorial Museum is located in the Armory where the soldiers of the 200th and 515th were processed before their deployment to the Philippines in 1941 . Every year , in early spring , the Bataan Memorial Death March , a 42.2 km ( 26.2 mi ) march / run is conducted at White Sands Missile Range , New Mexico . On March 19th 2017 , over 6,300 participants queued up at the starting line for the 28th annual event , breaking not only all previous records of attendance but also the amount of non-perishable food collected for local food pantries and overall charitable goods donated . Out of all the veterans from New Mexico that survived the Bataan Death March , only four are still alive today .   As of 2012 , there were fewer than 1,000 survivors of the March still living . The old state capitol building of New Mexico was renamed the Bataan Memorial Building and now houses several state government agency offices .   Notable survivors and captives ( edit )    José Agdamag   Ramon Bagatsing   Bert Bank   Lewis C. Beebe   Clifford Bluemel   James J. Bollich   Albert Braun   Thomas F. Breslin   William E. Brougher   Albert Brown   Jose Calugas   Virgilio N. Cordero , Jr .   Charles C. Drake   William Dyess   Alva R. Fitch   Arnold J. Funk   Martin Gison   Samuel A. Goldblith   Samuel Grashio   Samuel L. Howard   Ray C. Hunt   Harold Keith Johnson   Albert M. Jones   Joe Kieyoomia   Edward P. King   Jesse Monroe Knowles   Charles S. Lawrence   Maxon S. Lough   Robert W. Levering   Joe Lingad   Allan C. McBride   George F. Moore   John E. Olson   George M. Parker   Clinton A. Pierce   Salvador A. Rodolfo , Sr .   Robert Sheats   Austin Shofner   Wilburn Snyder   James C. Spencer   Benigno G. Tabora   Robert P. Taylor   Mario Tonelli   Thomas J.H. Trapnell   James R.N. Weaver   Edgar Whitcomb   Manuel T. Yan   Teófilo Yldefonso   Edward W. Stewart    See also ( edit )    World War II portal   Philippines portal     Battle of the Philippines ( 1941 -- 42 )   Burma Railway   Manila massacre   Pantingan River massacre   Raid at Cabanatuan   Sandakan Death Marches   The Great Raid ( 2005 )   The March ( 1945 )   USS Bataan ( CVL - 29 )   USS Bataan ( LHD - 5 )   Women of Valor ( 1986 )    References ( edit )   Notes    ^ Jump up to : Morton , Louis ( 1953 ) . The Fall of the Philippines . US Army Center of Military History .   ^ Jump up to : Murphy , Kevin C. ( 2014 ) . Inside the Bataan Death March : Defeat , Travail and Memory . Jefferson , North Carolina : McFarland . p. 328 . ISBN 978 - 0786496815 .   ^ Jump up to : Esconde , Ernie B. ( April 9 , 2012 ) . `` WW2 historical markers remind Pinoys of Bataan 's role on Day of Valor '' . GMA Network . Retrieved December 5 , 2016 .   ^ Jump up to : Woolfe , Jr. , Raymond G. ( 2016 ) . The Doomed Horse Soldiers of Bataan : The Incredible Stand of the 26th Cavalry . Rowman &amp; Littlefield Publishers . p. 414 . ISBN 978 - 1442245341 .   Jump up ^ Hubbard , Preston John ( 1990 ) . Apocalypse Undone : My Survival of Japanese Imprisonment During World War II . Vanderbilt University Press . p. 87 . ISBN 978 - 0 - 8265 - 1401 - 1 .   Jump up ^ Bilek , Anton ( Tony ) ( 2003 ) . No Uncle Sam : The Forgotten of Bataan . Kent State University Press . p. 51 . ISBN 0 - 87338 - 768 - 6 .   Jump up ^ Falk , Stanley L. ( 1962 ) . Bataan : The March of Death . New York : W.W. Norton &amp; Company . OCLC 1084550 .   ^ Jump up to : Greenberger , Robert ( 2009 ) . The Bataan Death March : World War II Prisoners in the Pacific . Compass Point Books . p. 96 . ISBN 978 - 0756540951 .   Jump up ^ `` The Causes of the Bataan Death March Revisited '' .   ^ Jump up to : Norman , Michael &amp; Norman , Elizabeth . Tears in the Darkness ( revised ed . ) . Farrar , Straus and Giroux . ISBN 978 - 0374272609 .   Jump up ^ Lansford , Tom ( 2001 ) . `` Bataan Death March '' . In Sandler , Stanley . World War II in the Pacific : an encyclopedia . Taylor &amp; Francis . pp. 157 -- 158 . ISBN 978 - 0 - 8153 - 1883 - 5 .   Jump up ^ `` Inside the Bataan Death March : Defeat , Travail and Memory '' Kevin C. Murphy p. 29 - 30   ^ Jump up to : Lansford , Tom ( 2001 ) . `` Bataan Death March '' . In Sandler , Stanley . World War II in the Pacific : an encyclopedia . Taylor &amp; Francis . pp. 159 -- 60 . ISBN 978 - 0 - 8153 - 1883 - 5 .   ^ Jump up to : Olson , John E. ( 1985 ) . O'Donell : Andersonville of the Pacific . John E. Olson . ISBN 978 - 9996986208 .   ^ Jump up to : `` Bataan Death March . Britannica Encyclopedia Online '' . Britannica.com. 1942 - 04 - 09 . Retrieved 2012 - 12 - 17 .   Jump up ^ Greenberger , Robert ( 2009 ) . The Bataan Death March : World War II Prisoners in the Pacific . p. 40 .   Jump up ^ Doyle , Robert C. ( 2010 ) . The enemy in our hands : America 's treatment of enemy prisoners of war from the Revolution to the War on Terror . University Press of Kentucky . p. xii . ISBN 978 - 0 - 8131 - 2589 - 3 .   Jump up ^ Hoyt , Eugene P. ( 2004 ) . Bataan : a survivor 's story . University of Oklahoma Press . p. 125 . ISBN 978 - 0 - 8061 - 3582 - 3 .   Jump up ^ * Stewart , Sidney . Give Us This Day ( revised ed . ) . W.W. Norton &amp; Company . ISBN 0 - 393 - 31921 - 0 .   Jump up ^ `` O'Donnell Provost Marshal Report '' . www.mansell.com .   Jump up ^ Downs , William David ( 2004 ) . The Fighting Tigers : the untold stories behind the names on the Ouachita Baptist University WWII memorial . University of Arkansas Press . pp. 106 -- 7 . ISBN 978 - 0 - 9713470 - 5 - 2 .   ^ Jump up to : `` Bataan Death March '' . Interaksyon. April 8 , 2012 . Archived from the original on 2016 - 12 - 20 . Retrieved December 5 , 2016 .   Jump up ^ http://navy-transmitter-facility-capas.com/   ^ Jump up to : Ornauer , Dave ( January 20 , 2016 ) . `` American walks Bataan Death March to raise awareness of Philippine involvement '' . Stars &amp; Stripes . Retrieved December 5 , 2016 .   Jump up ^ Ahn , Tony ( January 14 , 2016 ) . `` Hiking the Bataan Death March 2015 '' . MSN Lifestyle . Microsoft Network . Retrieved December 5 , 2016 .   Jump up ^ `` Bataan History '' . New Mexico Guard National Museum . Archived from the original on November 30 , 2016 . Retrieved December 5 , 2016 .   Jump up ^ Herman , Arthur ( 2016 ) . Douglas McArthur : American Warrior . Random House Publishing Group . ISBN 0812994892 .   Jump up ^ Horner , David Murray ; Robert John O'Neill ( 2010 ) . World War II : The Pacific . Rosen Publishing . ISBN 1435891333 .   Jump up ^ Darman , Peter ( 2012 ) . Attack on Pearl Harbor : America Enters World War II . Rosen Publishing . ISBN 1448892333 .   Jump up ^ Friedland , Roger &amp; Mohr , John ( 2004 ) . Matters of culture : cultural sociology in practice . Cambridge University Press . p. 197 . ISBN 978 - 0 - 521 - 79545 - 6 .   Jump up ^ McCoy , Melvin ; Mellnik , S.M. ; Kelley , Welbourn ( February 7 , 1944 ) . `` Prisoners of Japan : Ten Americans Who Escaped Recently from the Philippines Report on the Atrocities Committed by the Japanese in Their Prisoner - War - Camps '' . LIFE . Chicago : Time , Inc. 16 ( 6 ) : 26 -- 31 , 96 -- 98 , 105 -- 106 , 108 , 111 .   Jump up ^ `` LIFE '' . Time Inc. 7 February 1944 -- via Google Books .   Jump up ^ Jansen , Marius B. ( 2000 ) . The Making of Modern Japan . p. 655 .   Jump up ^ Chappell , John David ( 1997 ) . Before the bomb : how America approached the end of the Pacific War . University of Kentucky Press . p. 30 . ISBN 978 - 0 - 8131 - 1987 - 8 .   Jump up ^ Toland , John ( 1970 ) . The Rising Sun : The Decline and Fall of the Japanese Empire 1936 -- 1945 . New York : Random House . p. 300 .   ^ Jump up to : Sandler , Stanley , ed. ( 2001 ) . `` Homma Masaharu ( 1887 -- 1946 ) '' . World War II in the Pacific : an encyclopedia . Taylor &amp; Francis . p. 420 . ISBN 978 - 0 - 8153 - 1883 - 5 .   Jump up ^ Maga , Timothy P. ( 2001 ) . Judgment at Tokyo : the Japanese war crimes trials . University Press of Kentucky . p. 21 . ISBN 978 - 0 - 8131 - 2177 - 2 .   Jump up ^ Solis , Gary D. ( 2010 ) . The law of armed conflict : international humanitarian law in war . Cambridge University Press . p. 384 . ISBN 978 - 0 - 521 - 87088 - 7 .   Jump up ^ `` The Trial Of General Homma '' .   Jump up ^ Solis , Gary D. ( 2010 ) . The law of armed conflict : international humanitarian law in war . Cambridge University Press . pp. 384 , 385 . ISBN 978 - 0 - 521 - 87088 - 7 .   Jump up ^ `` Inside the Bataan Death March : Defeat , Travail and Memory '' : Kevin C. Murphy p. 30 - 31   Jump up ^ Brotman , Barbara ( April 1 , 2013 ) . `` From Death March to Hell Ships '' . Chicago Tribune . pp. Lifestyles .   Jump up ^ Among others , additional narration was provided by Ed Asner , Alec Baldwin , Kathleen Turner , and Robert Wagner . `` Never the Same : The Prisoner of War Experience '' . Gene Siskal Film Center . School of the Art Institute of Chicago . Archived from the original on 2014 - 03 - 28 .   Jump up ^ `` Japanese / American POW Friendship Program '' . www.us-japandialogueonpows.org. 2010 .   Jump up ^ `` Veterans Memorial Park - Live - City of Las Cruces '' . www.las-cruces.org .   Jump up ^ Lauren E. Toney ( 24 March 2012 ) . `` Bataan survivors attend rededication of monument Saturday '' . Las Cruces Sun - News . Archived from the original on 14 March 2013 . Retrieved 22 February 2013 .   Jump up ^ `` Timeline '' . Battle for Bataan ! . New Mexico State University . Retrieved 23 February 2013 .   Jump up ^ Phillips , R. Cody ( 2005 ) . The Guide to U.S. Army Museums . Government Printing Office . p. 82 . ISBN 9780160872822 . Retrieved 23 February 2013 .   Jump up ^ `` USA Marathons &amp; Marathoners 2007 '' . marathonguide.com . Retrieved May 8 , 2008 .   Jump up ^ Schurtz , Christopher ( March 22 , 2010 ) . `` Record Number Gather To Honor Bataan Death March '' . Las Cruces Sun - News . p. 1 .   Jump up ^ ( 1 )   Jump up ^ `` History of Bataan Death March - New Mexico National Guard Museum '' . www.bataanmuseum.com .   Jump up ^ `` Central Complex '' . www.generalservices.state.nm.us .   Jump up ^ Shofner was an American officer , captured on Corregidor , who escaped DaPeCol in 1943 .    Further reading ( edit )    Abraham , Abie ( 1997 ) . `` Oh God Where Are You ? '' . Vantage Press . ISBN 978 - 0533119875   Abraham , Abie ( 2001 ) . Ghost of Bataan Speaks . Beaver Pond . ASIN B004L73AXC   Falk , Stanley L. ( 1962 ) . Bataan : The March of Death . New York : W.W. Norton &amp; Company . OCLC 1084550 .   Harrison , Thomas R. ( 1989 ) . Survivor : Memoir of Defeat and Captivity -- Bataan , 1942 . Western Epics , Inc. , Salt Lake City , Utah . ISBN 0916095290 .   Jackson , Charles ; Norton , Bruce H. ( 2003 ) . I Am Alive ! : A United States Marine 's Story of Survival in a World War II Japanese POW Camp . Presidio Press . ISBN 0345449118 .   Jansen , Marius B ( 2000 ) . The Making of Modern Japan . Cambridge , MA : Harvard University Press . pp. 654 -- 655 . ISBN 978 - 0674003347 . OCLC 44090600 .   Levering , Robert ( 1948 ) . Horror trek ; a true story of Bataan , the death march and three and one - half years in Japanese prison camps . Horstman Printing . ISBN 1258206307 . OCLC 1168285 .   Lukacs , John D. ( 2010 ) . Escape from Davao . New York : Simon &amp; Schuster . ISBN 978 - 0743262781 . OCLC 464593097 .   Machi , Mario ( 1994 ) . Under the Rising Sun , Memories of a Japanese Prisoner of War . Wolfenden , USA . ISBN 0964252104 .   Masuda , Hiroshi ( 2012 ) . MacArthur in Asia : The General and His Staff in the Philippines , Japan , and Korea . Ithaca , NY : Cornell University Press . ISBN 978 - 0801449390 .   Moody , Samuel B. ; Allen , Maury ( 1961 ) . Reprieve from Hell . New York : Pageant Press . OCLC 14924946 .   Morrow , Don ; Moore , Kevin ( 2011 ) . Forsaken Heroes of the Pacific War : One Man 's True Story . Roanoke , VA : Wounded Warrior Project . ISBN 978 - 1565924796 . OCLC 725827438 .   Murphy , Kevin C. ( 2012 ) . `` ' Raw Individualists ' : American Soldiers on the Bataan Death March Reconsidered '' . War &amp; Society . 31 : 42 -- 63 . doi : 10.1179 / 204243411X13201386799172 .   Murphy , Kevin C. ( October 13 , 2014 ) . Inside the Bataan Death March : Defeat , Travail and Memory . McFarland . ISBN 978 - 0786496815 .   Olson , John E. ( 1985 ) . O'Donell : Andersonville of the Pacific . John E. Olson . ISBN 978 - 9996986208 .   Norman , Michael &amp; Norman , Elizabeth . Tears in the Darkness ( revised ed . ) . Farrar , Straus and Giroux . ISBN 978 - 0374272609 .   Also see : Webcast interview with the authors at the Pritzker Military Library on September 24 , 2009     Resa , Jolinda Bull ( 2011 ) . Honor Them Always : For the Sacrifice of Their Youth at Bataan . Outskirts Press , Inc . ISBN 978 - 1432775551 . OCLC 782073328 .   Sides , Hampton ( 2001 ) . Ghost Soldiers . New York : Anchor Books . ISBN 978 - 1299076518 . OCLC 842990576 .   Stephens , Harold ( October 16 , 1994 ) . `` Memories of the War '' . Humboldt Co. , CA. : `` Times - Standard , '' Sect . Style / potpourri .   Stewart , Sidney . Give Us This Day ( revised ed . ) . W.W. Norton &amp; Company . ISBN 0393319210 .   Tenney , Lester ( 2000 ) . My Hitch in Hell . Brassey 's . ISBN 978 - 1574882988 . OCLC 557622115 .   Young , Donald J. ( 1992 ) . The Battle of Bataan : A History of the 90 Day Siege and Eventual Surrender of 75,000 Filipino and United States Troops to the Japanese in World War . McFarland . ISBN 0899507573 .    By the grace of God ... Author = Erwin Johnson . Survivor of the death martch   External links ( edit )       Wikimedia Commons has media related to Bataan Death March .      Tragedy of Bataan   No Uncle Sam : The Forgotten of Bataan -- A link to the book 's page on the publisher 's website   Hell 's Guest author Colonel Glenn Frazier , Bataan Death March Survivor   `` Back to Bataan , A Survivor 's Story '' -- A narrative recounting one soldier 's journey through Bataan , the march , prison camp , Japan , and back home to the United States . Includes a map of the march .   The Bataan Death March -- Information , maps , and pictures on the march itself and in - depth information on Japanese POW camps .   `` Technical Sergeant Jim Brown U.S. Army Air Corps ( ret ) Bataan Death March Survivor Presentation to EAA Chapter 108 May 16 , 2000 ''   Proviso East High School Bataan Commemorative Research Project -- Comprehensive history of the Battle for Bataan , the Death March and the role of the 192nd Tank Battalion   4th Marines at Corregidor and Bataan Death March   1200 Days , A Bataan POW Survivor 's Story A biography of Russell A. Grokett 's survival of the Bataan Death March , including three years as a Japanese Prisoner of War .   Japan Focus 2008   Bataan Death March and POW Camps and Bataan Survivors Recall Horrors , Borderlands articles   Retrieved from `` https://en.wikipedia.org/w/index.php?title=Bataan_Death_March&amp;oldid=861756114 '' Categories :   Bataan Death March   Philippines in World War II   Japanese war crimes   Massacres committed by Japan   Forced marches   World War II prisoners of war massacres   1942 in the Philippines   History of Bataan   United States Marine Corps in World War II   World War II sites in the Philippines   World War II sites of the United States   April 1942 events   Hidden categories :   All articles with dead external links   Articles with dead external links from September 2018   Articles with permanently dead external links   All articles with unsourced statements   Articles with unsourced statements from May 2011   Articles containing potentially dated statements from 2012   All articles containing potentially dated statements           Talk                                           Contents                   About Wikipedia                                                 Čeština   Dansk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Latviešu   Nederlands   </t>
    </r>
    <r>
      <rPr>
        <sz val="11"/>
        <color rgb="FF000000"/>
        <rFont val="Noto Sans CJK SC"/>
        <family val="2"/>
      </rPr>
      <t xml:space="preserve">日本 語   </t>
    </r>
    <r>
      <rPr>
        <sz val="11"/>
        <color rgb="FF000000"/>
        <rFont val="Calibri"/>
        <family val="0"/>
        <charset val="1"/>
      </rPr>
      <t xml:space="preserve">Norsk   Polski   Português   Русский   Slovenščina   Suomi   Svenska   Tagalog   Türkçe   Українська   Tiếng Việt   </t>
    </r>
    <r>
      <rPr>
        <sz val="11"/>
        <color rgb="FF000000"/>
        <rFont val="Noto Sans CJK SC"/>
        <family val="2"/>
      </rPr>
      <t xml:space="preserve">中文  </t>
    </r>
    <r>
      <rPr>
        <sz val="11"/>
        <color rgb="FF000000"/>
        <rFont val="Calibri"/>
        <family val="0"/>
        <charset val="1"/>
      </rPr>
      <t xml:space="preserve">16 more  Edit links   This page was last edited on 29 September 2018 , at 19 : 52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</si>
  <si>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bataan death march take place</t>
  </si>
  <si>
    <r>
      <rPr>
        <sz val="11"/>
        <color rgb="FF000000"/>
        <rFont val="Calibri"/>
        <family val="0"/>
        <charset val="1"/>
      </rPr>
      <t xml:space="preserve"> The Bataan Death March ( Filipino : Martsa ng Kamatayan sa Bataan ; Japanese : </t>
    </r>
    <r>
      <rPr>
        <sz val="11"/>
        <color rgb="FF000000"/>
        <rFont val="Noto Sans CJK SC"/>
        <family val="2"/>
      </rPr>
      <t xml:space="preserve">バターン 死 の 行進 </t>
    </r>
    <r>
      <rPr>
        <sz val="11"/>
        <color rgb="FF000000"/>
        <rFont val="Calibri"/>
        <family val="0"/>
        <charset val="1"/>
      </rPr>
      <t xml:space="preserve">, Hepburn : Batān Shi no Kōshin ) was the forcible transfer by the Imperial Japanese Army of 60,000 -- 80,000 American and Filipino prisoners of war from Saysain Point , Bagac , Bataan and Mariveles to Camp O'Donnell , Capas , Tarlac , via San Fernando , Pampanga , where the prisoners were loaded onto trains . The transfer began on April 9 , 1942 , after the three - month Battle of Bataan in the Philippines during World War II . The total distance marched from Mariveles to San Fernando and from the Capas Train Station to Camp O'Donnell is variously reported by differing sources as between 60 and 69.6 miles ( 96.6 and 112.0 km ) . Differing sources also report widely differing prisoner of war casualties prior to reaching Camp O'Donnell : from 5,000 to 18,000 Filipino deaths and 500 to 650 American deaths during the march . The march was characterized by severe physical abuse and wanton killings , and was later judged by an Allied military commission to be a Japanese war crime . </t>
    </r>
  </si>
  <si>
    <t xml:space="preserve">Vince Carter - wikipedia  Vince Carter  Jump to : navigation , search For the fictional Vince Carter portrayed by Frank Sutton , see List of Gomer Pyle , U.S.M.C. characters § Gunnery Sergeant Carter . For the fictional Vince Carter portrayed by John Marzilli , see The Secret World of Alex Mack § Recurring cast . `` Vinsanity '' redirects here . It is not to be confused with Linsanity .  Vince Carter   Carter in 2013     No. 15 -- Sacramento Kings     Position   Shooting guard / Small forward     League   NBA           ( 1977 - 01 - 26 ) January 26 , 1977 ( age 40 ) Daytona Beach , Florida     Nationality   American     Listed height   6 ft 6 in ( 1.98 m )     Listed weight   220 lb ( 100 kg )     Career information     High school   Mainland ( Daytona Beach , Florida )     College   North Carolina ( 1995 -- 1998 )     NBA draft   1998 / Round : 1 / Pick : 5th overall     Selected by the Golden State Warriors     Playing career   1998 -- present     Career history     1998 -- 2004   Toronto Raptors     2004 -- 2009   New Jersey Nets     2009 -- 2010   Orlando Magic     2010 -- 2011   Phoenix Suns     2011 -- 2014   Dallas Mavericks     2014 -- 2017   Memphis Grizzlies     2017 -- present   Sacramento Kings         Career highlights and awards       8 × NBA All - Star ( 2000 -- 2007 )   All - NBA Second Team ( 2001 )   All - NBA Third Team ( 2000 )   NBA Rookie of the Year ( 1999 )   NBA All - Rookie First Team ( 1999 )   NBA Slam Dunk Contest champion ( 2000 )   NBA Teammate of the Year ( 2016 )   Consensus second - team All - American ( 1998 )   Florida Mr. Basketball ( 1995 )           Stats at NBA.com     Stats at Basketball-Reference.com         Medals ( hide )        Men 's basketball     Representing the United States     Olympic Games       2000 Sydney   Team Competition     FIBA Americas Championship       2003 San Juan   Team Competition        Vincent Lamar Carter ( born January 26 , 1977 ) is an American professional basketball player for the Sacramento Kings of the National Basketball Association ( NBA ) . He is 6 feet 6 inches ( 1.98 m ) tall and plays both shooting guard and small forward . Carter is one of only seven players ever to play at least 20 seasons in the NBA .   A high school McDonald 's All - American , Carter played three years at the University of North Carolina . While there , he twice reached the Final Four of the NCAA Tournament before being selected as the fifth overall pick in the 1998 NBA draft by the Golden State Warriors , who traded him to the Toronto Raptors . He won the 1999 NBA Rookie of the Year Award and won the Slam Dunk Contest at the 2000 NBA All - Star Weekend . That summer , he represented the United States in the Summer Olympics , winning a gold medal .   Carter emerged as a star in Toronto , entertaining crowds with his leaping ability and slam dunks , earning him nicknames such as `` Vinsanity '' , `` Air Canada '' , and `` Half - Man , Half - Amazing '' . In December 2004 , he was traded to the New Jersey Nets , where he continued to put up big numbers . In June 2009 , Carter was traded to the Orlando Magic . In his first season with the Magic , he appeared in his first and so far only Conference Finals series . In December 2010 , he was traded to the Phoenix Suns . He joined the Dallas Mavericks in 2011 and the Memphis Grizzlies in 2014 . In 2017 , he signed with the Kings .   Carter is an eight - time NBA All - Star . He is one of six players in NBA history to average at least 20 points , 4 rebounds and 3 assists per game in 10 straight seasons . He is also one of six players in league history to record 24,000 points , 6,000 rebounds , 2,500 assists , 1,000 steals and 1,000 3 - point field goals .   Off the court , Carter established his Embassy of Hope Foundation , assisting children and their families in Florida , New Jersey and Toronto . He was recognized in 2000 as Child Advocate of the Year by the Children 's Home Society , and received the Florida Governor 's Points of Light award in 2007 for his philanthropy in his home state .     Contents  ( hide )   1 High school career and college career   2 Professional career   2.1 Toronto Raptors ( 1998 -- 2004 )   2.1. 1 Trade to the Nets   2.1. 2 Raptors ' 20th anniversary     2.2 New Jersey Nets ( 2004 -- 2009 )   2.3 Orlando Magic ( 2009 -- 2010 )   2.4 Phoenix Suns ( 2010 -- 2011 )   2.5 Dallas Mavericks ( 2011 -- 2014 )   2.6 Memphis Grizzlies ( 2014 -- 2017 )   2.7 Sacramento Kings ( 2017 -- present )     3 National team career   4 Awards and achievements   5 Video game , TV and film appearances   6 Personal life   7 NBA career statistics   7.1 Regular season   7.2 Playoffs     8 See also   9 References   10 External links      High School career and college career ( edit )   Born in Daytona Beach , Florida , Carter was a 1995 McDonald 's All - American at Mainland High School in Daytona Beach , leading Mainland to its first Class 6A state title in 56 years before spending three seasons playing college basketball at North Carolina under Dean Smith and later , Bill Guthridge . During the 1997 -- 98 season , he was a member of new coach Guthridge 's `` Six Starters '' system that featured Antawn Jamison , Shammond Williams , Ed Cota , Ademola Okulaja , and Makhtar N'Diaye . During his sophomore and junior seasons , Carter helped North Carolina to consecutive ACC Men 's Basketball Tournament titles and Final Four appearances . He finished the 1997 -- 98 season with a 15.6 points per game average and was named second - team All - American , First - Team All - ACC , and to the fan 's guide third - annual Coaches ACC All - Defensive Team . In May 1998 , Carter declared for the 1998 NBA draft , following his classmate Jamison , who had declared earlier that spring . During his NBA career , Carter continued his coursework at North Carolina , and in August 2000 , he graduated with a degree in African - American studies .   On January 31 , 2012 , Carter was honored as one of the 35 greatest McDonald 's All - Americans , and on February 23 , 2012 , President Obama , an avid NCAA and NBA basketball fan , gave praise to Carter at a fundraiser event , referring to Carter 's game as a `` huge treat for me ever since he 's been playing for the Tar Heels . ''   Professional career ( edit )   Toronto Raptors ( 1998 -- 2004 ) ( edit )   Carter was initially drafted by the Golden State Warriors with the fifth overall pick in the 1998 NBA draft . He was then traded to the Toronto Raptors for the fourth overall pick , Antawn Jamison -- Carter 's college teammate and good friend . The Raptors had struggled in their first three years as a franchise . Carter was instrumental in leading the Raptors to their first ever playoff appearance in 2000 before going on to lead them to a 47 - win season and their first ever playoff series win in 2001 , advancing them to the Eastern Conference Semifinals .   Due to the NBA lockout , Carter 's rookie season did not start until January 1999 . Carter quickly became a fan favourite with a soaring offensive game that earned him the nickname `` Air Canada '' . He won NBA Rookie of the Year Award after averaging 18.3 points and throwing down countless highlight - reel dunks . Carter ascended to full - fledged stardom in his second season -- he averaged 25.7 points per game ( fourth - highest in the league ) and lifted Toronto to its first playoff appearance in franchise history . He subsequently earned his first NBA All - Star selection and was named to the All - NBA Third Team . During the 2000 NBA All - Star Weekend , Carter showcased arguably the most memorable Slam Dunk Contest event in its history . He won the contest by performing an array of dunks including a 360 ° windmill , a between the legs bounce dunk , and an `` elbow in the rim '' dunk ( also known as a `` cookie jar '' dunk or the `` honey dip '' ) . Carter and his distant cousin Tracy McGrady formed a formidable one - two punch as teammates in Toronto during 1998 and 2000 . However , McGrady was dealt to the Orlando Magic in August 2000 , leaving Carter as the Raptors ' franchise player . It is believed that the Raptors could have won championships if McGrady and Carter stayed together in Toronto .  Carter with the Raptors in November 2000  In 2000 -- 01 , his third season , Carter averaged a career - high 27.6 points per game , made the All - NBA Second Team , and was voted in as a starter for the 2001 NBA All - Star Game . The Raptors also finished the regular season with a then franchise - record 47 wins . In the playoffs , the Raptors beat the New York Knicks 3 -- 2 in the first round , and advanced to the Eastern Conference Semifinals to face off against the Philadelphia 76ers . Carter and Allen Iverson played in a seven - game series that see - sawed back and forth . Carter scored 50 points in Game 3 and set an NBA playoff record for most three - point field goals made in one game . Television ratings for Game 7 soared as one of the highest watched in NBC 's history for a non-finals game . As the Sixers and Raptors increased their double team pressures on Carter and Iverson respectively , the game winning shot came down to Carter who missed with 2.0 seconds remaining . Iverson said of the series in July 2011 : `` It was incredible . ( Carter ) had great games at home and I had some great games at home , but both of us were just trying to put our teams on our back and win basketball games . It is great just having those memories and being a part of something like that . ''   In August 2001 , Carter signed a six - year contract extension worth as much as $94 million . However , Carter began showing the effects of what would become career - altering problems with his knees in the wake of his big contract . He earned a reputation as a fragile player after suffering a series of knee and hamstring injuries .   Carter missed the final 22 games of the 2001 -- 02 regular season due to injury . He started in 60 games and averaged 24.7 points per game . On December 7 , 2001 , Carter recorded 42 points , 15 rebounds , 6 assists and 5 steals against the Denver Nuggets . He joined Charles Barkley ( 1988 ) as the only two players to have ever posted a game with 40 points , 15 rebounds , five steals and five assists , dating back to the 1973 -- 74 season , when the league officially began tracking steals . He was voted into the 2002 NBA All - Star Game , but he could not participate due to injury . Without Carter during the 2002 NBA Playoffs , the Raptors were defeated in five games by the Detroit Pistons in the first round .   Following off - season surgery , Carter only managed 43 games during the 2002 -- 03 season . In February 2003 , Carter gave up his starting spot in the 2003 NBA All - Star Game to Michael Jordan to allow Jordan to make his final start as an All - Star . Carter played in 73 games during the 2003 -- 04 season , but the Raptors fell three games short of making the playoffs .  Trade to the Nets ( edit )  During the 2004 off - season , general manager Glen Grunwald and the entire coaching staff were fired following the team 's failure to reach the playoffs . Carter became frustrated with the Raptors ' upper management . In particular , Carter was unhappy with Maple Leaf Sports &amp; Entertainment ( MLSE ) and Raptors president Richard Peddie . In a private meeting , Peddie reassured Carter that MLSE was serious in building a contender in Toronto and that he would pursue established players like point guard Steve Nash and center Jamaal Magloire . Carter was also given the impression that Peddie would consider Julius Erving as a serious candidate for general manager ; however , it was later disclosed that Erving was never really in the mix . Peddie instead hired Rob Babcock as general manager , whose first priority in rebuilding the Raptors was to `` establish our philosophy '' , stating `` we are not really worried about how many wins we get right away , or whether we make the playoffs within the first year or two . '' He then hired Sam Mitchell as head coach .   Consequently , much speculation arose whether Carter wanted to be traded . The Toronto Sun reported that Carter felt misled and felt the Raptors would never be an elite team under the current MLSE structure with Peddie as Raptors president . Some fans raised money to fly a `` Keep Vince , Trade Peddie '' banner over the Air Canada Centre just before Carter 's annual charity game . When Rob Babcock was questioned about the trade speculations , he denied Carter asked for a trade but indiscreetly revealed Carter 's agent had approached him for a trade request .   During the 2004 -- 05 season , coach Mitchell often benched Carter in the fourth quarter to emphasize the new team philosophy he and Babcock wanted players to adapt to , spurring rumors of fights between Carter and Mitchell and new point guard Rafer Alston . Carter 's trade wish was finally granted on December 17 , 2004 , when he was dealt to the New Jersey Nets .   In his first game back in Toronto , on April 15 , 2005 , Carter was heavily booed and jeered by Raptors fans ; some fans were found burning Vince Carter jerseys , while many donned No. 15 baby bibs , ' FUVC ' T - shirts , and other merchandise that labelled Carter as `` Wince '' or as `` immature '' , alluding to Carter 's knee and ankle injuries and his dissent . Much like former Raptors teammate Tracy McGrady , Carter received such treatment for years to come in the town that once embraced him .   In January 2005 , Carter was asked if he had pushed himself as hard as he should have in Toronto . Carter replied , `` In years past , no . I was fortunate to have the talent ... you get spoiled when you 're able to do a lot of things . You see that you do n't have to work at it . Now , with the all the injuries , I have to work harder . I 'm a little hungrier . Getting a fresh start has made me want to attack the basket . '' Though Carter 's comments were perceived by Raptors fans as his confession of quitting on the Raptors , Thompson said the comments were misinterpreted , saying , `` That boy never said to me , ' Coach , I just laid down and quit . ' ... I was embarrassed and felt awful about it for his sake , because I knew what he was communicating to me ... he was more expressing a desire of wanting to do better , as we all do . '' Despite Thompson 's defense of Carter , the Toronto Star 's Dave Feschuk in 2007 wrote that Carter `` cheated on ( the Raptors ) . He quit on the floor . '' Carter later stated his comments were misconstrued . On the eve of the Raptors -- Nets playoff series in 2007 , Carter told New York 's WFAN radio station , `` One day , maybe the fans will understand how it all went down . That 's all I can say . ''   In November 2011 , Carter , along with his cousin Tracy McGrady and Charles Oakley , addressed the Toronto audience in an interview on Off the Record with Michael Landsberg . When asked about being booed in Toronto , Carter said , `` They watched myself and Tracy grow up . And when we left they still got to see ( us ) flourish and become ( who we are ) . For me , I looked at it as , a young child growing up into a grown man and moving on . And I get it . Leaving , hurt a lot of people . It hurt me because I tell you what ... I accomplished a lot , I learned a lot , I became the person and player of who I am today because of that experience , through the coaches , players , and everything else . I get it ... but regardless I still love the city . I have friends there and my heart is still there because that 's where it all started . '' Later in the interview , when asked about any words to the Toronto fans , Carter said , `` I appreciate the fans and whether you cheer for me , boo me , or hate me , I still love you . Toronto 's one of the best kept secrets ... puts one of the best products on the floor and one of the top places to play in . ''   On November 6 , 2012 , in an interview with TSN Radio 1050 , Carter reiterated his love for the city and his appreciation for the Toronto Raptors organization . The next day , Sam Mitchell and Rob Babcock revealed on Sportsnet 590 , The Fan that the night before Carter was traded to New Jersey , Carter phoned Mitchell to express his desire to stay in Toronto and commit to their vision for the team . However , Babcock said it was too late and the trade had already been verbally agreed upon . Looking back on it , Mitchell feels he should have personally contacted the MLSE chairman , Larry Tanenbaum , but was reluctant because he did not want to break the chain of command .   Raptors general manager Masai Ujiri referred to Carter in April 2014 as `` one of the symbols of the Toronto Raptors . '' To this day , Carter remains the Raptors ' all - time leader in points per game with 23.4 , having amassed 9,420 points during his ​ 6 ⁄ - year run in Toronto .  Raptors ' 20th anniversary ( edit )  On November 19 , 2014 , nearly a decade after the trade , as a part of the Raptors ' 20th anniversary celebration , the team paid tribute to Carter with a video montage during the first quarter of the Raptors - Grizzlies game . Leading up to the game , questions were raised about how Raptors fans would receive the planned video tribute . As the sellout crowd watched the video tribute featuring highlights of Carter 's high - flying Raptors days , what began as the usual booing turned into an overwhelmingly positive standing ovation . An emotional Carter used his warm - up shirt to wipe tears running down his face as he pointed to his heart and waved to the fans in appreciation . He later stated , `` It was a great feeling , I could n't write it any better . ''   New Jersey Nets ( 2004 -- 2009 ) ( edit )  Carter with the Nets in January 2006  Carter was acquired by the New Jersey Nets on December 17 , 2004 , playing five seasons for them before departing in June 2009 . Carter produced some of his highest numbers with the Nets , surpassing his 23.4 points per game with the Raptors to average 23.6 points per game over his tenure in New Jersey . He missed just 11 games in his four full seasons and helped lead the Nets to three straight playoff runs between 2005 and 2007 .   Carter joined a Nets team with Jason Kidd and Richard Jefferson as the leading players . However , the trio never got to play together at full strength during the 2004 -- 05 season . Carter and Kidd carried a shallow roster on a 15 -- 4 run to end the season to make the playoffs .  Carter with the Nets in March 2009  In the 2005 -- 06 season , the Carter - Kidd duo co-led the Nets to 49 wins , an Atlantic Division title , and the No. 3 seed in the playoffs . Carter helped lead the Nets to the second round of the playoffs before losing to the eventual NBA champions Miami Heat in five games . Carter averaged 29.6 points , 7.0 rebounds and 5.3 assists in 11 playoff games . Carter was named an Eastern Conference All - Star in 2006 . On November 7 , 2005 , Carter threw down a very memorable dunk against the Miami Heat , over defensive stalwart , Alonzo Mourning . On December 23 , 2005 , Carter set an NBA record for the most free throws made in a quarter ( 4th quarter ) with 16 against Miami . He tied his career high of 51 points in the same game .   In the 2006 -- 07 season , Carter was named as a reserve to the 2007 NBA All - Star Game , marking his eighth All - Star appearance . In a 120 -- 114 overtime win over the Washington Wizards on April 7 , 2007 , Carter and Kidd became the first teammates in over 18 years to record triple - doubles in the same game since the Chicago Bulls ' Michael Jordan and Scottie Pippen achieved this feat against the Los Angeles Clippers in 1989 . Carter finished with 46 points , a career - high 16 rebounds , and 10 assists . Kidd finished with 10 points , tied a career high with 16 rebounds , and tied a season high with 18 assists . Carter finished the 2006 -- 07 season playing all 82 games , averaging over 25 points with a 21 PER .   In July 2007 , Carter re-signed with the Nets to a four - year , $61.8 million contract .   During the 2007 -- 08 season , Kidd was traded to the Dallas Mavericks . Carter was credited for becoming a leader following the All - Star break . He became captain of the Nets , and in 2008 -- 09 , he and teammate Devin Harris were the highest - scoring starting backcourt in the league . On November 21 , 2008 , Carter scored a season - high 39 points , including a game winning two - handed reverse dunk , as the Nets battled back from an 18 - point deficit to defeat the Toronto Raptors 129 -- 127 in overtime at the Air Canada Center . He hit a 29 - foot , game tying three - pointer to send the game into overtime and then scored the winning basket in the extra period . On February 3 , 2009 , Carter recorded his fifth career triple - double with 15 points , 12 assists and 10 rebounds in a 99 -- 85 win over the Milwaukee Bucks .   Orlando Magic ( 2009 -- 2010 ) ( edit )  Carter with the Magic in March 2010  On June 25 , 2009 , Carter was traded , along with Ryan Anderson , to the Orlando Magic in exchange for Rafer Alston , Tony Battie and Courtney Lee . Orlando hoped Carter would provide center Dwight Howard with a perimeter scorer who can create his own shot -- something the Magic lacked in losing the NBA Finals to the Los Angeles Lakers . On February 8 , 2010 , he had a season - high 48 points , 34 in the second half , when the Magic rallied from a 17 - point deficit to defeat the New Orleans Hornets 123 -- 117 . Carter helped the Magic reach the Eastern Conference Finals , where they were defeated 4 -- 2 by the Boston Celtics . It marked his first and so far only Conference Finals series .   Phoenix Suns ( 2010 -- 2011 ) ( edit )  Carter ( right ) in January 2011 , being defended by former teammate Rashard Lewis  On December 18 , 2010 , Carter was acquired by the Phoenix Suns in a six - player trade with the Magic . On January 17 , 2011 , Carter recorded 29 points and 12 rebounds in a 129 -- 121 win over the New York Knicks . He reached 20,000 career points during the game , becoming the 37th NBA player to reach that plateau .   On December 9 , 2011 , following the conclusion of the NBA lockout , Carter was waived by the Suns , meaning the team only had to fork over $4 million of the $18 million he was due for the 2011 -- 12 season . Carter had a short - lived run in Phoenix , playing 51 games with 41 starts while averaging 13.5 points while shooting 42 percent .   Dallas Mavericks ( 2011 -- 2014 ) ( edit )  Carter with the Mavericks in October 2012  On December 12 , 2011 , Carter signed a three - year contract with the Dallas Mavericks . This move reunited Carter with former Nets teammate Jason Kidd . On April 20 , 2012 against the Golden State Warriors , Carter became the eighth player in NBA history with 1,500 3 - pointers when he made one in the closing minutes .   While known early on in his career for his circus dunks , Carter became known for his 3 - point shooting with the Mavericks . On February 13 , 2013 , in a 123 -- 100 win over the Sacramento Kings , Carter scored 26 points to pass Larry Bird on the NBA 's career scoring list , moving him into 29th place . Carter turned aside a Sacramento rally in the third quarter by going 5 of 7 from long range and scoring 17 of Dallas ' last 21 points in the period . He ended the night with 21,796 career points for 29th on the all - time list , five ahead of Bird . He also became the 11th NBA player with at least 1,600 3 - pointers . He finished the season ranked 27th on the NBA 's all - time scoring list with 22,223 career points . His 162 3 - pointers tied his career high for 3s made in a season ( 162 - of - 397 , . 408 , with Toronto in 2000 -- 01 ) . Over the course of the season , he advanced from 17th place to 11th place on the NBA 's all - time 3 - point field goals made list ( passing Nick Van Exel , Tim Hardaway , Eddie Jones , Glen Rice , Jason Richardson and Kobe Bryant ) , finishing the year with 1,663 career 3 - pointers .   Prior to the 2013 -- 14 season , Carter established himself as the Mavericks ' sixth man , after the departure of Jason Terry . He averaged just 10.5 points and shot 37.6 % from the field during the fist 22 games of the season due to increased responsibilities and pressure to be the team 's lone scoring punch off of the bench . He saw his numbers improve in December , averaging 12.5 points and shooting 44.3 % from the field during an 18 - game stretch . On March 16 , 2014 against the Oklahoma City Thunder , Carter raised his career total to 23,010 points , becoming the 27th NBA player to pass the 23,000 - point mark with a 3 - pointer with 2 : 17 left in the third quarter . In Game 3 of the Mavericks ' first round playoff series against the San Antonio Spurs , Carter drilled the game - winning 3 - pointer with no time remaining on the clock to give the eighth - seeded Mavericks a 109 -- 108 win and a 2 -- 1 series edge over the top - seeded Spurs . The Mavericks went on to lose the series in seven games .   Memphis Grizzlies ( 2014 -- 2017 ) ( edit )   On July 12 , 2014 , Carter signed a multi-year deal with the Memphis Grizzlies . On November 13 , 2014 , he made a game winning alley - oop assist from the sideline to teammate Courtney Lee at the buzzer to win the game 111 -- 110 over the Sacramento Kings . On December 17 , 2014 , Carter scored a season - high 18 points in a 117 -- 116 triple overtime win over the San Antonio Spurs . Carter moved into 25th in all - time NBA scoring during the game , passing Robert Parish ( 23,334 ) .   Carter appeared in just one of the Grizzlies ' first 12 games of the 2015 -- 16 season . On February 24 , 2016 , with nine points scored against the Los Angeles Lakers , Carter passed Charles Barkley ( 23,757 ) for 24th in career points scored . Two days later , he scored a season - high 19 points in a 112 -- 95 win over the Lakers . For the latter half of April and the whole first round series against the Spurs , Carter was inserted in the starting lineup and played well . In Game 1 of the Grizzlies ' playoff series against the Spurs , Carter scored a team - high 16 points in a 106 -- 74 loss . The Grizzlies went on to lose the series in four games . After finishing second behind Tim Duncan in the 2014 -- 15 season , Carter was awarded with the Twyman -- Stokes Teammate of the Year Award for the 2015 -- 16 season . The award recognizes the player deemed the best teammate based on selfless play , on - and off - court leadership as a mentor and role model to other NBA players , and commitment and dedication to team .   On November 1 , 2016 , Carter played in his 1,278 th NBA game , tying him with A.C. Green for 25th on the NBA 's career list . He also became the 24th player in NBA history to surpass 24,000 career points . On November 8 , he scored 20 points against the Denver Nuggets and became the oldest player in the NBA to post a 20 - point game since Michael Jordan scored 25 for the Washington Wizards in April 2003 , at age 40 . It was also Carter 's first 20 - point game since April 30 , 2014 . On November 12 , Carter made seven field goals against the Milwaukee Bucks to pass Gary Payton ( 8,708 ) for 21st in NBA history . Carter also passed Charles Oakley for 24th on the NBA 's career games played list with 1,283 . On November 14 , in a win over the Utah Jazz , Carter had his second 20 - point game of the season , joining Michael Jordan and Patrick Ewing as the only players in NBA history to put up 20 points and 5 + rebounds off the bench at the age of 39 , with Carter being the oldest at 39 years and 287 days . Carter missed seven games in early December with a right hip flexor strain . On January 11 , Carter hit his 1,989 th career three - pointer to move ahead of Jason Kidd and into fifth on the all - time list . On February 1 , in a game against the Denver Nuggets , Carter hit his 2,000 th career three - pointer , making him only the fifth player to ever reach that mark . On February 6 against San Antonio , Carter joined Karl Malone , Dikembe Mutombo , Kareem Abdul - Jabbar and Robert Parish as the only 40 - year old players to record at least four blocks in a game . On February 15 , in a game against the New Orleans Pelicans , Carter passed Allen Iverson for 23rd on the NBA all - time scoring list . On March 13 , Carter made his first start of the season and made all eight of his shots , including six from beyond the arc , to score a season - high 24 points and lead the Grizzlies past the Milwaukee Bucks 113 -- 93 . He became the first 40 - year - old in NBA history to hit six triples in one game . At 40 years , 46 days old , Carter also became the oldest player to start an NBA game since Juwan Howard in April 2013 . On March 29 against the Indiana Pacers , Carter passed Ray Allen for 22nd on the NBA all - time scoring list . In the Grizzlies ' regular - season finale on April 12 against the Dallas Mavericks , Carter played in his 1,347 th game and passed Kobe Bryant for 13th in regular - season games played . On April 22 , Carter became the first 40 - year - old to make three or more 3 - pointers in a playoff game during Game 4 of the Grizzlies ' first - round series against the San Antonio Spurs .   Sacramento Kings ( 2017 -- present ) ( edit )   On July 10 , 2017 , Carter signed a one - year , $8 million contract with the Sacramento Kings . On August 18 , 2017 , during the Players Voice Awards , Carter was named by the NBA Players Association as the Most Influential Veteran . Carter missed seven games early in the season with a kidney stone .   National team career ( edit )   During the 2000 Summer Olympics in Sydney , Carter performed a memorable dunk when he jumped over 7 - foot - 2 - inch ( 2.18 m ) French center Frédéric Weis . Teammate Jason Kidd said it was `` One of the best plays I 've ever seen . '' The French media later dubbed it `` le dunk de la mort '' ( `` the Dunk of Death '' ) . The U.S. team went on to win the gold medal that year and Carter led the team with 14.8 points per game . Carter admitted he channeled his frustrations in his personal life and Tracy McGrady leaving the Raptors before the Olympics .   Carter replaced Kobe Bryant on the USA roster for the 2003 FIBA Americas Tournament while Bryant was undergoing surgeries on his knee and shoulder . He wore Bryant 's jersey number 8 . Carter 's selection was only for the 2003 FIBA Americas Tournament . However , Bryant later on withdrew due to a legal case he was going through at that time . Carter did not take over the Olympic spot as he felt he needed to take some time off during the summer to rest and heal and he was also getting married at that time .   Awards and achievements ( edit )    8 × NBA All - Star selection : 2000 -- 07 ( did not play in 2002 due to injury )   Olympic gold medal : 2000   2 × All - NBA :   Second Team : 2001   Third Team : 2000     NBA Slam Dunk Champion : 2000   NBA All - Rookie First Team : 1999   NBA Rookie of the Year Award : 1999   The Sporting News NBA Rookie of the Year : 1999   Twyman -- Stokes Teammate of the Year Award : 2016     NBA playoff records     Most three - point field goals made in one half : 8 ( May 11 , 2001 vs. Philadelphia 76ers , Eastern Conference Semifinals )   Most consecutive three - point field goals made in one game : 8 ( same game as above )   Most consecutive three - point field goals made in one half : 8 ( same game as above )   First 40 - year old player to hit at least three 3 - pointers in a playoff game : 3 ( April 22 , 2017 vs. San Antonio Spurs , Western Conference 1st round )     New Jersey Nets franchise records     Most three - point field goals made in one game : 9 ( December 11 , 2006 vs. Memphis Grizzlies )   Most points scored in one season : 2,070 ( 2006 -- 07 )   Most consecutive 20 or more point games : 23 ( 2005 -- 06 )   First Net to score at least 2,000 points in a single season ( 2006 -- 07 )     Career highs     Points : 51 ( 2 times )   Field goals made : 20 vs. Milwaukee 01 / 14 / 2000   Three point field goals made : 9 vs. Memphis 12 / 11 / 2006   Free throws made : 23 vs. Miami 12 / 23 / 2005   Rebounds : 16 vs. Washington 04 / 07 / 2007   Assists : 14 vs. Milwaukee 01 / 09 / 2009   Steals : 6 ( 5 times )   Blocks : 6 vs. Chicago 03 / 28 / 1999    Video game , TV and film appearances ( edit )    Appeared on the cover of NBA Live 2004 .   Appeared on the cover of NBA Inside Drive 2002 .   Appeared in the 2002 film Like Mike , where the fictional Los Angeles Knights had to beat Carter and the Toronto Raptors in order to gain the 8th seed in the playoffs .   Appeared in Fabolous ' 2002 music video for `` This Is My Party</t>
  </si>
  <si>
    <t xml:space="preserve">vince carter career high points in a game</t>
  </si>
  <si>
    <t xml:space="preserve"> Points : 51 ( 2 times ) </t>
  </si>
  <si>
    <t xml:space="preserve">Microchip implant ( animal ) - wikipedia  Microchip implant ( animal )       This article needs additional citations for verification . Please help improve this article by adding citations to reliable sources . Unsourced material may be challenged and removed . ( February 2017 ) ( Learn how and when to remove this template message )    For use in humans , see Microchip implant ( human ) . Microchip implant in a cat . An RFID chip ( also known as PIT tag ) next to a grain of rice .  A microchip implant is an identifying integrated circuit placed under the skin of an animal . The chip , about the size of a large grain of rice , uses passive RFID ( Radio Frequency Identification ) technology , and is also known as a PIT ( Passive Integrated Transponder ) tag .   Externally attached microchips such as RFID ear tags are commonly used to identify farm and ranch animals , with the exception of horses . Some external microchips can be read with the same scanner used with implanted chips .     Contents  ( hide )   1 Uses and benefits   2 Usage   3 Components of a microchip   4 Implant location   5 Animal species   6 Worldwide use   7 Cross-compatibility and standards issues   8 Reported adverse reactions   9 See also   10 Notes   11 References   12 External links      Uses and benefits ( edit )   Animal shelters , animal control officers and veterinarians routinely look for microchips to return lost pets quickly to their owners , avoiding expenses for housing , food , medical care , outplacing and euthanasia . Many shelters place chips in all outplaced animals .   Microchips are also used by kennels , breeders , brokers , trainers , registries , rescue groups , humane societies , clinics , farms , stables , animal clubs and associations , researchers , and pet stores .   Some pet doors can be programmed to be activated by the microchips of specific animals , allowing only certain animals to use the door .   Some countries require microchips in imported animals to match vaccination records . Microchip tagging may also be required for CITES - regulated international trade in certain endangered animals : for example , Asian Arowana are tagged to limit import to captive - bred fish . Also , birds not banded who cross international borders as pets or for trade must be microchipped so that each bird is uniquely identifiable .   Usage ( edit )  Information about the implant is often imprinted on a collar tag worn by a pet  Microchips can be implanted by a veterinarian or at a shelter . After checking that the animal does not already have a chip , the vet or technician injects the chip with a syringe and records the chip 's unique ID . No anesthetic is required it is a simple procedure and causes little discomfort : the pain is minimal and short - lived . A test scan ensures correct operation .   An enrollment form is completed with chip ID , owner contact information , pet name and description , shelter and / or veterinarian contact information , and an alternate emergency contact designated by the pet owner . Some shelters and vets designate themselves as the primary contact to remain informed about possible problems with the animals they place . The form is sent to a registry , who may be the chip manufacturer , distributor or an independent entity such as a pet recovery service . Some countries have a single official national database . For a fee , the registry typically provides 24 - hour , toll - free telephone service for the life of the pet . Some veterinarians leave registration to the owner , usually done online , but a chip without current contact information is essentially useless .   The owner receives a registration certificate with the chip ID and recovery service contact information . The information can also be imprinted on a collar tag worn by the animal . Like an automobile title , the certificate serves as proof of ownership and is transferred with the animal when it is sold or traded ; an animal without a certificate could be stolen .   Authorities and shelters examine strays for chips , providing the recovery service with the ID number , description and location so they may notify the owner or contact . If the pet is wearing the collar tag , the finder does not need a chip reader to contact the registry . An owner can also report a missing pet to the recovery service , as vets look for chips in new animals and check with the recovery service to see if it has been reported lost or stolen .   Many veterinarians scan an animal 's chip on every visit to verify correct operation . Some use the chip ID as their database index and print it on receipts , test results , vaccination certifications and other records .   Some veterinary tests and procedures require positive identification of the animal , and a microchip may be acceptable for this purpose as an alternative to a tattoo .   Components of a microchip ( edit )   A microchip implant is a passive RFID device . Lacking an internal power source , it remains inert until it is powered by the scanner .   Most implants contain three elements : a ' chip ' or integrated circuit ; a coil inductor , possibly with a ferrite core ; and a capacitor . The chip contains unique identification data and electronic circuits to encode that information . The coil acts as the secondary winding of a transformer , receiving power inductively coupled to it from the scanner . The coil and capacitor together form a resonant LC circuit tuned to the frequency of the scanner 's oscillating magnetic field to produce power for the chip . The chip then transmits its data back through the coil to the scanner .  Example of an RFID scanner used with animal microchip implants .  These components are encased in biocompatible soda lime or borosilicate glass and hermetically sealed . Barring rare complications , dogs and cats are unaffected by them .   Implant location ( edit )   In dogs and cats , chips are usually inserted below the skin at the back of the neck between the shoulder blades on the dorsal midline . According to one reference , continental European pets get the implant in the left side of the neck . The chip can often be felt under the skin . Thin layers of connective tissue form around the implant and hold it in place .   Horses are microchipped on the left side of the neck , halfway between the poll and withers and approximately one inch below the midline of the mane , into the nuchal ligament .   Birds are implanted in their breast muscles . Proper restraint is necessary so the operation requires either two people ( an avian veterinarian and a veterinary technician ) or general anesthesia .   Implanted microchips can distort magnetic resonance imaging ( MRIs ) , including those of the spinal cord .   Animal species ( edit )  Horse microchipping  Many animal species have been microchipped , including cockatiels and other parrots , horses , llamas , alpacas , goats , sheep , miniature pigs , rabbits , deer , ferrets , penguins , sharks , snakes , lizards , alligators , turtles , toads , frogs , rare fish , chimpanzees , mice , and prairie dogs -- even whales and elephants . The U.S. Fish and Wildlife Service uses microchipping in its research of wild bison , black - footed ferrets , grizzly bears , elk , white - tailed deer , giant land tortoises and armadillos .   Worldwide use ( edit )   Microchips are not yet universal , but they are legally required in some jurisdictions such as the state of New South Wales , Australia and the United Kingdom ( for dogs , since 6 April 2016 ) .   Some countries , such as Japan , require ISO - compliant microchips or a compatible reader on imported dogs and cats .   In New Zealand , all dogs first registered after 1 July 2006 must be microchipped . Farmers protested that farm dogs should be exempt , drawing a parallel to the Dog Tax War of 1898 . Farm dogs were exempted from microchipping in an amendment to the legislation passed in June 2006 . A National Animal Identification and Tracing scheme in New Zealand is currently being developed for tracking livestock .   In April 2012 Northern Ireland became the first part of the United Kingdom to require microchipping of individually licensed dogs . Dog microchipping became mandatory in England on 6 April 2016 .   In Israel , microchips in dogs are mandatory .   Australia has a National Livestock Identification System .   The United States uses the National Animal Identification System for farm and ranch animals other than dogs and cats . In most species except horses , an external eartag is typically used in lieu of an implant microchip . Eartags with microchips or simply stamped with a visible number can be used . Both use ISO 15 digit microchip numbers with the U.S. country code of 840 .   Cross-compatibility and standards issues ( edit )   In most countries , pet ID chips adhere to an international standard to promote compatibility between chips and scanners . In the United States , however , three proprietary types of chips compete along with the international standard . Scanners distributed to United States shelters and veterinarians well into 2006 could each read at most three of the four types . Scanners with quad - read capability are now available and are increasingly considered required equipment . Older scanner models will be in use for some time , so United States pet owners must still choose between a chip with good coverage by existing scanners and one compatible with the international standard . The four types include :    The ISO Conformant Full Duplex type has the greatest international acceptance . It is common in many countries including Europe ( since the late 1990s ) and Canada . It is one of two chip protocol types ( along with the `` Half Duplex '' type sometimes used in farm and ranch animals ) that conform to International Organization for Standardization standards ISO 11784 &amp; 11785 . To support international / multivendor application , the 3 - digit country code can contain an assigned ISO country code or a manufacturer code from 900 to 998 plus its identifying serial number . In the United States , distribution of this type has been controversial . When 24PetWatch.com began distributing them in 2003 ( and more famously Banfield Pet Hospitals in 2004 ) many shelter scanners could n't read them . ( Some still ca n't ; asking local shelters about this is still a good idea . ) At least one Banfield - chipped pet was inadvertently euthanized .   The Trovan Unique type is another pet chip protocol type in use since 1990 in pets in the United States . Patent problems forced the withdrawal of Trovan 's implanter device from United States distribution and they became uncommon in pets in the United States , although Trovan 's original registry database `` infopet.biz '' remained in operation . In early 2007 , the American Kennel Club 's chip registration service , AKC Companion Animal Recovery Corp , which had been the authorized registry for HomeAgain brand chips made by Destron / Digital Angel , began distributing Trovan chips with a different implanter . These chips are read by the Trovan , HomeAgain ( Destron Fearing ) , and Bayer ( Black Label ) readers . Despite multiple offers from Trovan to AVID to license the technology to read the Trovan chips , AVID continues to distribute readers that do not read Trovan or the ISO compliant chips .   A third type sometimes known as FECAVA or Destron is available under various brand names . These include , in the United States , `` Avid Eurochip '' , the common current 24PetWatch chips , and the original ( and still popular ) style of HomeAgain chips . ( HomeAgain and 24Petwatch can now supply the true ISO chip instead on request . ) Chips of this type have 10 digit ( hexadecimal ) chip numbers . This `` FECAVA '' type is readable on a wide variety of scanners in the United States and has been less controversial , although its level of adherence to the ISO standards is sometimes exaggerated in some descriptions . The ISO standard has an annex ( appendix ) recommending that three older chip types be supported by scanners , including a 35 - bit `` FECAVA '' / `` Destron '' type . The common Eurochip / HomeAgain chips do n't agree perfectly with the annex description , although the differences are sometimes considered minor . But the ISO standard also makes it clear that only its 64 - bit `` full - duplex '' and `` half - duplex '' types are `` conformant '' ; even chips ( e.g. , the Trovan Unique ) that match one of the Annex descriptions are not . More visibly , FECAVA can not support the ISO standard 's required country / manufacturer codes . They may be accepted by authorities in many countries where ISO - standard chips are the norm , but not by those requiring literal ISO conformance .   Finally , there 's the AVID brand Friendchip type , which is peculiar due to its encryption characteristics . Cryptographic features are not necessarily unwelcome ; few pet rescuers or humane societies would object to a design that outputs an ID number `` in the clear '' for anyone to read , along with authentication features for detection of counterfeit chips , but the authentication in `` Friendchips '' has been found lacking and rather easy to spoof to the AVID scanner . Although no authentication encryption is involved , obfuscation requires proprietary information to convert transmitted chip data to its original label ID code . Well into 2006 , scanners containing the proprietary decryption were provided to the United States market only by AVID and Destron / Digital Angel ; Destron / Digital Angel put the decryption feature in some , but not all , of its scanners , possibly as early as 1996 . ( For years , its scanners distributed to shelters through HomeAgain usually had full decryption , while many sold to veterinarians would only state that an AVID chip had been found . ) Well into 2006 , both were resisting calls from consumers and welfare group officials to bring scanners to the United States shelter community combining AVID decryption capability with the ability to read ISO - compliant chips . Some complained that AVID itself had long marketed combination pet scanners compatible with all common pet chips except possibly Trovan outside the United States . By keeping them out of the United States , it could be considered partly culpable in the missed - ISO chips problem others blamed on Banfield . In 2006 , the European manufacturer Datamars , a supplier of ISO chips used by Banfield and others , gained access to the decryption secrets and began supplying scanners with them to United States customers . This `` Black Label '' scanner was the first four - standard full - multi pet scanner in the United States market . Later in 2006 , Digital Angel announced that it would supply a full - multi scanner in the United States . In 2008 AVID announced a `` breakthrough '' scanner , although as of October 2010 AVID 's is still so uncommon that it 's unclear whether it supports the Trovan chip . Trovan also acquired the decryption technology in 2006 or earlier , and now provides it in scanners distributed in the United States by AKC - CAR . ( Some are quad - read , but others lack full ISO support . )    Numerous references in print state that the incompatibilities between different chip types are a matter of `` frequency '' . One may find claims that early ISO adopters in the United States endangered their customers ' pets by giving them ISO chips that work at a `` different frequency '' from the local shelter 's scanner , or that the United States government considered forcing an incompatible frequency change . These claims were little challenged by manufacturers and distributors of ISO chips , although later evidence suggests the claims were disinformation . In fact , all chips operate at the scanner 's frequency . Although ISO chips are optimized for 134.2 kHz , in practice they are readable at 125 kHz and the `` 125 kHz '' chips are readable at 134.2 kHz . Confirmation comes from government filings that indicate the supposed `` multi-frequency '' scanners now commonly available are really single - frequency scanners operating at 125 , 134.2 or 128 kHz . In particular , the United States HomeAgain scanner did n't change excitation frequency when ISO - read capability was added ; it 's still a single frequency , 125 kHz scanner .       Expected results for chip type ( OK = Good read NR = No read DO = Detect Only with no number given )     Scanner to test   ISO Conformant Full Duplex chip   AVID Encrypted `` FriendChip ''   Original U.S. HomeAgain , AVID Eurochip , or FECAVA   `` Trovan Unique '' and current AKC CAR chips     Minimal ISO Conformant Scanner ( also must read HALF Duplex chips common in livestock ear tags )   OK   NR   NR   NR     AVID Basic U.S. Scanner   NR   OK   NR   NR     AVID Deluxe U.S. Scanner   NR   OK   OK   NR     AVID Universal Scanner sold outside U.S.   OK   OK   OK   NR Assumed     AVID MiniTracker Pro Scanner announced August 2008   OK   OK   OK   NR according to some ( Few have seen one . )     Various vintages of U.S. HomeAgain `` Universal '' Shelter Scanners by Destron / Digital Angel Corp .   NR , DO , or OK   OK   OK   Possibly all OK     Typical Destron / Digital Angel Corp . U.S. Veterinarian 's scanner pre-2007     NR   DO   OK   DO     Trovan LID - 560 - MULTI per mfr . specifications on Web   OK   OK   OK   OK     U.S. Trovan Pocket Scanner per AKC - CAR Web Site   DO   OK   OK   OK     U.S. Trovan ProScan700 per AKC - CAR Web Site   OK   OK   OK   OK     Original 2006 Datamars Black Label Scanner   OK   OK   OK   OK but Reliability Questioned     Datamars Black Label Scanner `` classypets '' model   OK   NR or DO ?   OK   OK but Reliability Questioned     Banfield - Distributed 2004 - 2005 Vintage Datamars Scanners   OK   Possibly all DO   OK   Possibly all OK but Reliability Questioned ( Undocumented Feature )     Datamars Minimax and Micromax   OK   NR   NR   NR     Typical Homemade Scanner   OK   OK but extra step required ( web - based decryption service )   OK   OK     Microchip ID Systems `` Hero '' Scanner   OK   OK   OK   NR     Microchip ID Systems `` Pocket Hero '' Scanner   OK   NR   NR   NR     ( For users requiring Shelter - Grade certainty , this table is not a substitute for testing the scanner with a set of specimen chips . One study cites problems with certain Trovan chips on the Datamars Black Label scanner . In general , the study found none of the tested scanners to read all four standards without some deficiency . The study predates the most recent scanner models , however . )   Reported adverse reactions ( edit )   RFID chips are used in animal research , and at least three studies conducted since the 1990s have reported tumors at the site of implantation in laboratory mice and rats . Noted veterinary associations responded with continued support for the procedure as reasonably safe for cats and dogs , pointing to rates of serious complications on the order of one in a million in the U.K. , which has a system for tracking such adverse reactions and has chipped over 3.7 million pet dogs . A recent study found no safety concerns for microchipped animals with RFID chips undergoing MRI at one Tesla magnetic field strength . In 2011 a microchip - associated fibrosarcoma was reported found in the neck of a 9 - year old , neutered - male cat . Histological examination was consistent with postinjection sarcoma , but all prior vaccinations occurred in the hindlegs .   See also ( edit )    Microchip implant ( human )   PositiveID   Proximity card   Pet recovery service   Remote - controlled animal    Notes ( edit )    Jump up ^ For display , typically the three country / manufacturer code digits are followed by twelve digits of serial number to make a 15 - digit numeric string .   Jump up ^ Curiously , an actual matching descriptive specification from the Federation of European Companion Animal Veterinary Associations , or one from Destron Corporation , remains illusive .   Jump up ^ The differences are obvious and easily surmounted by someone trying to make a scanner for a FECAVA chip specimen , so the Annex is still quite useful . ( The actual FECAVA frequency - modulated signals are inverted ( backwards ) from the Annex specification . )   Jump up ^ This is found in clauses 2 and 6 of ISO 11785 ; the two actual conformant 64 - bit types are described in clauses 6.1 and 6.2 .   Jump up ^ Few of the petitioners bothered to ask AVID to add Trovan - chip compatibility at that time , as these chips would remain uncommon and obscure until 2007 in the U.S.   Jump up ^ In addition to its current scanners with full support for ISO full duplex chips , and maybe ten years production of earlier scanners with no ISO support , Destron / Digital Angel Corp. is also reported to have made in - between models circa 2006 , one that gives a detection indication , but no number for ISO chips , and one model that gives either simple detection or full number readout , depending perhaps on the chip 's manufacturer or some other factor . These models may be hard to discern without many specimen chips ; upgrades may be available , especially to current customer partners of HomeAgain .   Jump up ^ A mention of a chip type called `` AVID Travelchip '' has been removed from this heading . It appears that `` Travelchip '' was actually a trademark not of AVID itself but of a chip distributor , which used it as a blanket term for several different chip types sold in value - added kits - firstly AVID Eurochips , later HomeAgain types both regular and ISO .    References ( edit )    Jump up ^ Lomas , Natasha ( 28 June 2017 ) . `` Now you can quantify your cat 's comings and goings too '' . TechCrunch . Retrieved 2018 - 01 - 04 .   Jump up ^ `` Why is it important to ensure my pet is microchipped ? - RSPCA Australia knowledgebase '' . kb.rspca.org.au . Retrieved 2017 - 07 - 04 .   Jump up ^ Microchip Implantation Sites ( World Small Animal Veterinary Association ) .   Jump up ^ Saito M , Ono S , Kayanuma H , Honnami M , Muto M , Une Y ( May 2010 ) . `` Evaluation of the susceptibility artifacts and tissue injury caused by implanted microchips in dogs on 1.5 T magnetic resonance imaging '' . J. Vet . Med . Sci. 72 ( 5 ) : 575 -- 81 . doi : 10.1292 / jvms. 09 - 0386 . PMID 20086326 .   Jump up ^ `` WSAVA - Australian Microchip Standard '' . Retrieved 25 November 2017 .   Jump up ^ `` Dog microchipping law brings fines risk '' . 6 April 2016 . Retrieved 25 November 2017 -- via www.bbc.co.uk .   Jump up ^ Entering Japan : Dogs &amp; Cats .   Jump up ^ Masters , Catherine ( 25 March 2006 ) . `` The year of the dog war '' . The New Zealand Herald . Retrieved 25 October 2011 .   Jump up ^ Farm Dogs Exempted from Microchipping   Jump up ^ `` NI first on law to microchip dogs '' . 8 April 2012 . Retrieved 25 November 2017 -- via www.bbc.co.uk .   Jump up ^ `` Dog microchipping becomes compulsory across UK '' . BBC News . 2016 - 04 - 06 . Retrieved 2016 - 10 - 19 .   Jump up ^ Pet 's Death Rekindles Electronic ID Debate in JAVMA News   Jump up ^ Trovan Chips Adopted by Los Angeles in 1996 .   Jump up ^ `` Open Letter to Hannis Stoddard '' . www.rfidnews.com . Retrieved 25 November 2017 .   Jump up ^ `` B '' Country List ( Search for `` Home Again microchips are ISO compatible '' in the text . )   Jump up ^ ISO Standards Discussion ( Search for `` as compliant '' in the text . )   Jump up ^ The TRAVELchip Single ( Search for `` Complies with '' in the text . )   Jump up ^ ISO Standards Combined Text ( `` FECAVA '' discussion starts on page 16 of the PDF file . )   Jump up ^ Pet 's Death Rekindles Electronic ID Debate in JAVMA News ( Search for `` best '' in the text . )   Jump up ^ APHIS Comment Submission from Digital Angel Corp ( page 2 , item 4 in the referenced . doc file . )   Jump up ^ Avid Announces New Scanner to Reunite More Lost Pets with Their Families   Jump up ^ U.S. FCC database search form ( Submit the form with `` Grantee Code '' and `` Product Code '' for each individual scanner ; for the new universal Digital Angel / HomeAgain Scanner , still operating at 125 kHz codes `` C5S '' and `` HS9250L '' ; for a recent AVID scanner , operating at 134.2 kHz , codes `` IOL '' and `` - 134 - AV1034I '' . )   Jump up ^ Descriptions of AVID Scanners ( Search for `` only the AVID '' in the text . )   Jump up ^ Test Results from American Humane ( Search for `` in use in canada '' in the text . )   Jump up ^ Avid Announces New Scanner .   Jump up ^ Test Results from American Humane ( Search for `` unless vet is with a shelter '' in the text . )   Jump up ^ Trovan Multi Scanner specifications ( Apparently applies to models sold outside U.S. )   Jump up ^ Using The AKC - CAR Multi-System Pocket Scanner ( U.S. Model says `` Detect Only '' on ISO chip type . )   Jump up ^ AKC CAR Scanners   Jump up ^ Datamars Multi Scanner specifications .   Jump up ^ Datamars Multi Scanner specifications .   Jump up ^ Datamars Scanner Descriptions .   Jump up ^ Software for Homemade Scanners - Chip Type Listing .   Jump up ^ `` NEW ! Hero TM Advanced Reader Microchip ID Systems '' . www.microchipidsystems.com . Retrieved 2018 - 03 - 30 .   Jump up ^ `` Pocket HERO TM Microchip ID Systems '' . www.microchipidsystems.com . Retrieved 2018 - 03 - 30 .   Jump up ^ Nov. 2007 Scanner Evaluation from EID Limited .   Jump up ^ Lewan , Todd . `` Chip Implants Linked to Animal Tumors '' . The Washington Post . Retrieved 12 May 2010 .   Jump up ^ Position Statement from World Small Animal Veterinary Association .   Jump up ^ Baker , Martin A. ; MacDonald , Iain ( 2011 ) . `` Evaluation of veterinary radiofrequency identification devices at 1T '' . Veterinary Radiology &amp; Ultrasound. 52 ( 2 ) : 161 . doi : 10.1111 / j. 1740 - 8261.2010. 01762. x .   Jump up ^ Carminato A , Vascellari M , Marchioro W , Melchiotti E , Mutinelli F ( December 2011 ) . `` Microchip - associated fibrosarcoma in a cat '' . Vet . Dermatol. 22 ( 6 ) : 565 -- 9 . doi : 10.1111 / j. 1365 - 3164.2011. 00975. x . PMID 21535253 .    External links ( edit )       Wikimedia Commons has media related to Microchip implant .      Lost Pet Found After 13 Years ( Apparently the current record for this type of story )   `` Injunction on Microchip Sales '' . Pet Age . January 2005 . Retrieved 2009 - 01 - 03 .   Retrieved from `` https://en.wikipedia.org/w/index.php?title=Microchip_implant_(animal)&amp;oldid=845141206 '' Categories :   Cat equipment   Dog equipment   Dogs as pets   Radio - frequency identification   Identification of domesticated animals   Hidden categories :   Articles needing additional references from February 2017   All articles needing additional references   All articles with unsourced statements   Articles with unsourced statements from May 2014   Articles containing potentially dated statements from October 2010   All articles containing potentially dated statements           Talk                                           Contents                   About Wikipedia                                                 Български   Català   Deutsch   Español   Français   Italiano   Magyar   Nederlands   Polski   Русский   Suomi   Українська  5 more  Edit links   This page was last edited on 9 June 2018 , at 17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</si>
  <si>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 they put the chip in dogs</t>
  </si>
  <si>
    <t xml:space="preserve"> In dogs and cats , chips are usually inserted below the skin at the back of the neck between the shoulder blades on the dorsal midline . According to one reference , continental European pets get the implant in the left side of the neck . The chip can often be felt under the skin . Thin layers of connective tissue form around the implant and hold it in place . </t>
  </si>
  <si>
    <r>
      <rPr>
        <sz val="11"/>
        <color rgb="FF000000"/>
        <rFont val="Calibri"/>
        <family val="0"/>
        <charset val="1"/>
      </rPr>
      <t xml:space="preserve">Column - wikipedia  Column  For other uses , see Column ( disambiguation ) . `` Columns '' redirects here . For the Japanese puzzle game , see Columns ( video game ) . `` Pillar '' redirects here . For other uses , see Pillar ( disambiguation ) . National Capitol Columns at the United States National Arboretum in Washington , D.C.  A column or pillar in architecture and structural engineering is a structural element that transmits , through compression , the weight of the structure above to other structural elements below . In other words , a column is a compression member . The term column applies especially to a large round support ( the shaft of the column ) with a capital and a base or pedestal which is made of stone , or appearing to be so . A small wooden or metal support is typically called a post , and supports with a rectangular or other non-round section are usually called piers . For the purpose of wind or earthquake engineering , columns may be designed to resist lateral forces . Other compression members are often termed `` columns '' because of the similar stress conditions . Columns are frequently used to support beams or arches on which the upper parts of walls or ceilings rest . In architecture , `` column '' refers to such a structural element that also has certain proportional and decorative features . A column might also be a decorative element not needed for structural purposes ; many columns are `` engaged '' , that is to say form part of a wall .   Contents    1 History   2 Structure   2.1 Nomenclature   2.2 Equilibrium , instability , and loads   2.3 Extensions   2.4 Foundations     3 Classical orders   3.1 Doric order   3.2 Tuscan order   3.3 Ionic order   3.4 Corinthian order   3.5 Composite order   3.6 Solomonic     4 Pillar tombs   5 Gallery   6 See also   7 References    History ( edit )  Illustration of Doric ( left three ) , Ionic ( middle three ) and Corinthian ( right two ) columns .  All significant Iron Age civilizations of the Near East and Mediterranean made some use of columns . In Ancient Egyptian architecture as early as 2600 BC the architect Imhotep made use of stone columns whose surface was carved to reflect the organic form of bundled reeds ; in later Egyptian architecture faceted cylinders were also common . Egyptian columns are famously present in the Great Hypostyle Hall of Karnak ( ca . 1224 BC ) , where 134 columns are lined up in 16 rows , with some columns reaching heights of 24 metres .  Plan , front view and side view of a typical Persepolis column , of Persia ( Iran )  Some of the most elaborate columns in the ancient world were those of the Persians , especially the massive stone columns erected in Persepolis . They included double - bull structures in their capitals . The Hall of Hundred Columns at Persepolis , measuring 70 × 70 metres , was built by the Achaemenid king Darius I ( 524 -- 486 BC ) . Many of the ancient Persian columns are standing , some being more than 30 metres tall .   The Minoans used whole tree - trunks , usually turned upside down in order to prevent re-growth , stood on a base set in the stylobate ( floor base ) and topped by a simple round capital . These were then painted as in the most famous Minoan palace of Knossos . The Minoans employed columns to create large open - plan spaces , light - wells and as a focal point for religious rituals . These traditions were continued by the later Mycenaean civilization , particularly in the megaron or hall at the heart of their palaces . The importance of columns and their reference to palaces and therefore authority is evidenced in their use in heraldic motifs such as the famous lion-gate of Mycenae where two lions stand each side of a column . Being made of wood these early columns have not survived , but their stone bases have and through these we may see their use and arrangement in these palace buildings .   The Egyptians , Persians and other civilizations mostly used columns for the practical purpose of holding up the roof inside a building , preferring outside walls to be decorated with reliefs or painting , but the Ancient Greeks , followed by the Romans , loved to use them on the outside as well , and the extensive use of columns on the interior and exterior of buildings is one of the most characteristic features of classical architecture , in buildings like the Parthenon . The Greeks developed the classical orders of architecture , which are most easily distinguished by the form of the column and its various elements . Their Doric , Ionic , and Corinthian orders were expanded by the Romans to include the Tuscan and Composite orders ( see below ) .   Columns , or at least large structural exterior ones , became much less significant in the architecture of the Middle Ages . The classical forms were abandoned in both Byzantine architecture and the Romanesque and Gothic architecture of Europe in favour of more flexible forms , with capitals often using various types of foliage decoration , and in the West scenes with figures carved in relief . Renaissance architecture was keen to revive the classical vocabulary and styles , and the informed use and variation of the classical orders remained fundamental to the training of architects throughout Baroque , Rococo and Neo-classical architecture .   Structure ( edit )   Early columns were constructed of stone , some out of a single piece of stone . Monolithic columns are among the heaviest stones used in architecture . Other stone columns are created out of multiple sections of stone , mortared or dry - fit together . In many classical sites , sectioned columns were carved with a centre hole or depression so that they could be pegged together , using stone or metal pins . The design of most classical columns incorporates entasis ( the inclusion of a slight outward curve in the sides ) plus a reduction in diameter along the height of the column , so that the top is as little as 83 % of the bottom diameter . This reduction mimics the parallax effects which the eye expects to see , and tends to make columns look taller and straighter than they are while entasis adds to that effect .   Nomenclature ( edit )   Most classical columns arise from a basis , or base , that rests on the stylobate , or foundation , except for those of the Doric order , which usually rest directly on the stylobate . The basis may consist of several elements , beginning with a wide , square slab known as a plinth . The simplest bases consist of the plinth alone , sometimes separated from the column by a convex circular cushion known as a torus . More elaborate bases include two toruses , separated by a concave section or channel known as a scotia or trochilus . Scotiae could also occur in pairs , separated by a convex section called an astragal , or bead , narrower than a torus . Sometimes these sections were accompanied by still narrower convex sections , known as annulets or fillets .   At the top of the shaft is a capital , upon which the roof or other architectural elements rest . In the case of Doric columns , the capital usually consists of a round , tapering cushion , or echinus , supporting a square slab , known as an abax or abacus . Ionic capitals feature a pair of volutes , or scrolls , while Corinthian capitals are decorated with reliefs in the form of acanthus leaves . Either type of capital could be accompanied by the same moldings as the base . In the case of free - standing columns , the decorative elements atop the shaft are known as a finial .   Modern columns may be constructed out of steel , poured or precast concrete , or brick , left bare or clad in an architectural covering , or veneer . Used to support an arch , an impost , or pier , is the topmost member of a column . The bottom-most part of the arch , called the springing , rests on the impost .   Equilibrium , instability , and loads ( edit )  Main article : Buckling § columns            Mechanical failure modes       Buckling   Corrosion   Corrosion fatigue   Creep   Fatigue   Fouling   Fracture   Hydrogen embrittlement   Impact   Mechanical overload   Stress corrosion cracking   Thermal shock   Wear   Yielding      Table showing values of K for structural columns of various end conditions ( adapted from Manual of Steel Construction , 8th edition , American Institute of Steel Construction , Table C1. 8.1 )  As the axial load on a perfectly straight slender column with elastic material properties is increased in magnitude , this ideal column passes through three states : stable equilibrium , neutral equilibrium , and instability . The straight column under load is in stable equilibrium if a lateral force , applied between the two ends of the column , produces a small lateral deflection which disappears and the column returns to its straight form when the lateral force is removed . If the column load is gradually increased , a condition is reached in which the straight form of equilibrium becomes so - called neutral equilibrium , and a small lateral force will produce a deflection that does not disappear and the column remains in this slightly bent form when the lateral force is removed . The load at which neutral equilibrium of a column is reached is called the critical or buckling load . The state of instability is reached when a slight increase of the column load causes uncontrollably growing lateral deflections leading to complete collapse .   For an axially loaded straight column with any end support conditions , the equation of static equilibrium , in the form of a differential equation , can be solved for the deflected shape and critical load of the column . With hinged , fixed or free end support conditions the deflected shape in neutral equilibrium of an initially straight column with uniform cross section throughout its length always follows a partial or composite sinusoidal curve shape , and the critical load is given by   f c r ≡ π 2 E I m i n L 2 ( 1 ) ( \ displaystyle f_ ( cr ) \ equiv ( \ frac ( \ pi ^ ( 2 ) ( \ textit ( E ) ) I_ ( min ) ) ( ( L ) ^ ( 2 ) ) ) \ qquad ( 1 ) )   where E = elastic modulus of the material , I = the minimal moment of inertia of the cross section , and L = actual length of the column between its two end supports . A variant of ( 1 ) is given by   f c r ≡ π 2 E T ( K L r ) 2 ( 2 ) ( \ displaystyle f_ ( cr ) \ equiv ( \ frac ( \ pi ^ ( 2 ) E_ ( T ) ) ( ( ( \ frac ( KL ) ( r ) ) ) ^ ( 2 ) ) ) \ qquad ( 2 ) )   where r = radius of gyration of ( column ) cross-section which is equal to the square root of ( I / A ) , K = ratio of the longest half sine wave to the actual column length , and KL = effective length ( length of an equivalent hinged - hinged column ) . From Equation ( 2 ) it can be noted that the buckling strength of a column is inversely proportional to the square of its length .   When the critical stress , F ( F = P / A , where A = cross-sectional area of the column ) , is greater than the proportional limit of the material , the column is experiencing inelastic buckling . Since at this stress the slope of the material 's stress - strain curve , E ( called the tangent modulus ) , is smaller than that below the proportional limit , the critical load at inelastic buckling is reduced . More complex formulas and procedures apply for such cases , but in its simplest form the critical buckling load formula is given as Equation ( 3 ) ,   f c r ≡ F y − F y 2 4 π 2 E ( K L r 2 ) ( 3 ) ( \ displaystyle f_ ( cr ) \ equiv ( F_ ( y ) ) - ( \ frac ( F_ ( y ) ^ ( 2 ) ) ( 4 \ pi ^ ( 2 ) E ) ) \ left ( ( \ frac ( KL ) ( r ^ ( 2 ) ) ) \ right ) \ qquad ( 3 ) )   where E = tangent modulus at the stress F   A column with a cross section that lacks symmetry may suffer torsional buckling ( sudden twisting ) before , or in combination with , lateral buckling . The presence of the twisting deformations renders both theoretical analyses and practical designs rather complex .   Eccentricity of the load , or imperfections such as initial crookedness , decreases column strength . If the axial load on the column is not concentric , that is , its line of action is not precisely coincident with the centroidal axis of the column , the column is characterized as eccentrically loaded . The eccentricity of the load , or an initial curvature , subjects the column to immediate bending . The increased stresses due to the combined axial - plus - flexural stresses result in a reduced load - carrying ability .   Column elements are considered to be massive if their smallest side dimension is equal to or more than 400 mm . Massive columns have the ability to increase in carrying strength over long time periods ( even during periods of heavy load ) . Taking into account the fact , that possible structural loads may increase over time as well ( and also the threat of progressive failure ) , massive columns have an advantage compared to non-massive ones .   Extensions ( edit )   When a column is too long to be built or transported in one piece , it has to be extended or spliced at the construction site . A reinforced concrete column is extended by having the steel reinforcing bars protrude a few inches or feet above the top of the concrete , then placing the next level of reinforcing bars to overlap , and pouring the concrete of the next level . A steel column is extended by welding or bolting splice plates on the flanges and webs or walls of the columns to provide a few inches or feet of load transfer from the upper to the lower column section . A timber column is usually extended by the use of a steel tube or wrapped - around sheet - metal plate bolted onto the two connecting timber sections .   Foundations ( edit )   A column that carries the load down to a foundation must have means to transfer the load without overstressing the foundation material . Reinforced concrete and masonry columns are generally built directly on top of concrete foundations . When seated on a concrete foundation , a steel column must have a base plate to spread the load over a larger area , and thereby reduce the bearing pressure . The base plate is a thick , rectangular steel plate usually welded to the bottom end of the column .   Classical orders ( edit )  Main article : Classical order  The Roman author Vitruvius , relying on the writings ( now lost ) of Greek authors , tells us that the ancient Greeks believed that their Doric order developed from techniques for building in wood . The earlier smoothed tree - trunk was replaced by a stone cylinder .   Doric order ( edit )  Main article : Doric order  The Doric order is the oldest and simplest of the classical orders . It is composed of a vertical cylinder that is wider at the bottom . It generally has neither a base nor a detailed capital . It is instead often topped with an inverted frustum of a shallow cone or a cylindrical band of carvings . It is often referred to as the masculine order because it is represented in the bottom level of the Colosseum and the Parthenon , and was therefore considered to be able to hold more weight . The height - to - thickness ratio is about 8 : 1 . The shaft of a Doric Column is almost always fluted .   The Greek Doric , developed in the western Dorian region of Greece , is the heaviest and most massive of the orders . It rises from the stylobate without any base ; it is from four to six times as tall as its diameter ; it has twenty broad flutes ; the capital consists simply of a banded necking swelling out into a smooth echinus , which carries a flat square abacus ; the Doric entablature is also the heaviest , being about one - fourth the height column . The Greek Doric order was not used after c. 100 B.C. until its `` rediscovery '' in the mid-eighteenth century .   Tuscan order ( edit )  Main article : Tuscan order  The Tuscan order , also known as Roman Doric , is also a simple design , the base and capital both being series of cylindrical disks of alternating diameter . The shaft is almost never fluted . The proportions vary , but are generally similar to Doric columns . Height to width ratio is about 7 : 1 .   Ionic order ( edit )  Main article : Ionic order  The Ionic column is considerably more complex than the Doric or Tuscan . It usually has a base and the shaft is often fluted ( it has grooves carved up its length ) . The capital features a volute , an ornament shaped like a scroll , at the four corners . The height - to - thickness ratio is around 9 : 1 . Due to the more refined proportions and scroll capitals , the Ionic column is sometimes associated with academic buildings . Ionic style columns were used on the second level of the Colosseum .   Corinthian order ( edit )  Main article : Corinthian order  The Corinthian order is named for the Greek city - state of Corinth , to which it was connected in the period . However , according to the architectural historian Vitruvius , the column was created by the sculptor Callimachus , probably an Athenian , who drew acanthus leaves growing around a votive basket . In fact , the oldest known Corinthian capital was found in Bassae , dated at 427 BC . It is sometimes called the feminine order because it is on the top level of the Colosseum and holding up the least weight , and also has the slenderest ratio of thickness to height . Height to width ratio is about 10 : 1 .   Composite order ( edit )   The Composite order draws its name from the capital being a composite of the Ionic and Corinthian capitals . The acanthus of the Corinthian column already has a scroll - like element , so the distinction is sometimes subtle . Generally the Composite is similar to the Corinthian in proportion and employment , often in the upper tiers of colonnades . Height to width ratio is about 11 : 1 or 12 : 1 .   Solomonic ( edit )   A Solomonic column , sometimes called `` barley sugar '' , begins on a base and ends in a capital , which may be of any order , but the shaft twists in a tight spiral , producing a dramatic , serpentine effect of movement . Solomonic columns were developed in the ancient world , but remained rare there . A famous marble set , probably 2nd century , was brought to St Peter 's , Rome by Constantine I , and placed round the saint 's shrine , and was thus familiar throughout the Middle Ages , by which time they were thought to have been removed from the Temple of Jerusalem . The style was used in bronze by Bernini for his spectacular St. Peter 's baldachin , actually a ciborium ( which displaced Constantine 's columns ) , and thereafter became very popular with Baroque and Rococo church architects , above all in Latin America , where they were very often used , especially on a small scale , as they are easy to produce in wood by turning on a lathe ( hence also the style 's popularity for spindles on furniture and stairs ) .   Pillar tombs ( edit )   Pillar tombs are monumental graves , which typically feature a single , prominent pillar or column , often made of stone . A number of world cultures incorporated pillars into tomb structures . In the Ancient Greek colony of Lycia in Anatolia , one of these edifices is located at the tomb of Xanthos . In the town of Hannassa in southern Somalia , ruins of houses with archways and courtyards have also been found along with other pillar tombs , including a rare octagonal tomb .   Gallery ( edit )     Great Hypostyle Hall , Karnak , Egypt '     Columns found at the Temple of Apollo in Delphi     Modern column grid in a car park or parking garage     At right , two of the Solomonic columns brought to Rome by Constantine , in their present - day location on a pier in St. Peter 's Basilica , Rome . In the foreground at left is part of Bernini 's Baldachin , inspired by the original columns .     Ionic capital     Tuscan columns can be seen at the University of Virginia .     Church of San Prospero , Reggio Emilia , Italy     Construction of Sigismund 's Column in Warsaw , detail of the 1646 engraving .     These are composed of stacked segments and finished in the Corinthian style ( Temple of Bel , Syria )     The pillars of Bankstown Reservoir , Sydney     Reused Roman columns and capitals in the Great Mosque of Kairouan     See also ( edit )       Wikimedia Commons has media related to Columns .      Capital   Entasis   Huabiao   Marian and Holy Trinity columns   Pilaster   Pole ( disambiguation )   Spur ( architecture )   Stanchion    References ( edit )    Jump up ^ `` Column - Definition and More from the Free Merriam - Webster Dictionary '' . Merriam-webster.com. 2012 - 08 - 31 . Archived from the original on 2013 - 10 - 04 . Retrieved 2013 - 07 - 04 .   ^ Jump up to : Hewson Clarke and John Dougall , The Cabinet of Arts , T. Kinnersley , London ( 1817 ) , pp. 271 , 272 .   ^ Jump up to : `` Architectural Glossary '' , in The Universal Decorator , Francis Benjamin Thompson , Ed. , vol . III ( 1859 ) .   Jump up ^ J. Ward - Perkins , `` The shrine of St. Peter 's and its twelve spiral columns '' Journal of Roman Studies 42 ( 1952 ) p 21ff .   Jump up ^ Sanseverino , Hilary Costa ( 1983 ) . `` Archaeological Remains on the Southern Somali Coast '' . Azania : Archaeological Research in Africa . 18 ( 1 ) : 151 -- 164 . doi : 10.1080 / 00672708309511319 . Retrieved 11 November 2014 .              Rooms and spaces of a house     Shared residential rooms     Billiard room   Bonus room   Common room   Den   Dining room   Ell   Family room   Garret   Great room   Hearth room   Home cinema   Home office   Kitchen   Dirty kitchen   Kitchenette     Living room   Man cave   Recreation room   Shrine   Study   Sunroom       Spaces     Atrium   Balcony   Breezeway   Catio   Conversation pit   Deck   Elevator   Entryway / Genkan   Foyer   Hallway   Lanai   Loft   Loggia   Overhang   Patio   Porch   screened   sleeping     Ramp   Secret passage   Stairs   Terrace   Veranda   Vestibule       Utility and storage     Attic   Basement   Box room   Carport   Cloakroom   Closet   Electrical room   Equipment room   Furnace room / Boiler room   Garage   Janitorial closet   Larder   Laundry room / Utility room   Mechanical room / floor   Pantry   Root cellar   Semi-basement   Spear closet   Storm cellar / Safe room   Studio   Subbasement   Wardrobe   Wine cellar   Wiring closet / Demarcation point   Workshop       Private rooms     Bathroom   Bedroom / Guest room   Boudoir   Cabinet   Jack and Jill bathroom   Nursery   Suite   Toilet   Walk - in closet       Great house areas     Antechamber   Ballroom   Butler 's pantry   Buttery   Conservatory   Courtyard   Drawing room   Fainting room   Great chamber   Great hall   Long gallery   Lumber room   Parlour   Porte - cochère   Saucery   Sauna   Scullery   Servants ' hall   Servants ' quarters   Smoking room   Solar   Spicery   State room   Still room   Swimming pool   Undercroft       Other     Building   Furniture   House plan   Multi-family residential   Secondary suite   Single - family detached home   Studio apartment       Architectural elements     Arch   Baluster   Ceiling   Colonnade   Column   Floor   Gate   Lighting   Medallion   Ornament   Portico   Roof   Vault             GND : 4178902 - 7   LCCN : sh85028763   NDL : 00562992   NKC : ph292469      Retrieved from `` https://en.wikipedia.org/w/index.php?title=Column&amp;oldid=843505045 '' Categories :   Columns and entablature   Architectural elements   Structural system   Egyptian artefact types   Earthquake engineering   Hidden categories :   All articles with unsourced statements   Articles with unsourced statements from July 2010   Wikipedia articles with GND identifiers   Wikipedia articles with LCCN identifiers   Wikipedia articles with NDL identifiers   Wikipedia articles with NKC identifiers           Talk                                           Contents                   About Wikipedia                                                   Aragonés   Azərbaycanca   বাংলা   Беларуская   Беларуская ( тарашкевіца ) ‎   Български   Bosanski   Brezhoneg   Català   Čeština   ChiShona   Dansk   Deutsch   Eesti   Ελληνικά   Español   Esperanto   Euskara   فارسی   Français   Gaeilge   Galego   </t>
    </r>
    <r>
      <rPr>
        <sz val="11"/>
        <color rgb="FF000000"/>
        <rFont val="Noto Sans CJK SC"/>
        <family val="2"/>
      </rPr>
      <t xml:space="preserve">한국어   </t>
    </r>
    <r>
      <rPr>
        <sz val="11"/>
        <color rgb="FF000000"/>
        <rFont val="Calibri"/>
        <family val="0"/>
        <charset val="1"/>
      </rPr>
      <t xml:space="preserve">हिन्दी   Hrvatski   Bahasa Indonesia   Italiano   עברית   ಕನ್ನಡ   Қазақша   Latina   Latviešu   Lietuvių   Limburgs   Magyar   Македонски   മലയാളം   Bahasa Melayu   Nederlands   नेपाल भाषा   </t>
    </r>
    <r>
      <rPr>
        <sz val="11"/>
        <color rgb="FF000000"/>
        <rFont val="Noto Sans CJK SC"/>
        <family val="2"/>
      </rPr>
      <t xml:space="preserve">日本 語   </t>
    </r>
    <r>
      <rPr>
        <sz val="11"/>
        <color rgb="FF000000"/>
        <rFont val="Calibri"/>
        <family val="0"/>
        <charset val="1"/>
      </rPr>
      <t xml:space="preserve">Norsk   Norsk nynorsk   Nouormand   Occitan   Oʻzbekcha / ўзбекча   Polski   Português   Română   Runa Simi   Русский   Scots   Sicilianu   Simple English   Slovenčina   Slovenščina   کوردی   Српски / srpski   Srpskohrvatski / српскохрватски   Suomi   Svenska   தமிழ்   తెలుగు   ไทย   Тоҷикӣ   Türkçe   Українська   Tiếng Việt   </t>
    </r>
    <r>
      <rPr>
        <sz val="11"/>
        <color rgb="FF000000"/>
        <rFont val="Noto Sans CJK SC"/>
        <family val="2"/>
      </rPr>
      <t xml:space="preserve">吴语   粵語   中文  </t>
    </r>
    <r>
      <rPr>
        <sz val="11"/>
        <color rgb="FF000000"/>
        <rFont val="Calibri"/>
        <family val="0"/>
        <charset val="1"/>
      </rPr>
      <t xml:space="preserve">63 more  Edit links   This page was last edited on 29 May 2018 , at 15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</si>
  <si>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 you call the top of a column</t>
  </si>
  <si>
    <t xml:space="preserve"> At the top of the shaft is a capital , upon which the roof or other architectural elements rest . In the case of Doric columns , the capital usually consists of a round , tapering cushion , or echinus , supporting a square slab , known as an abax or abacus . Ionic capitals feature a pair of volutes , or scrolls , while Corinthian capitals are decorated with reliefs in the form of acanthus leaves . Either type of capital could be accompanied by the same moldings as the base . In the case of free - standing columns , the decorative elements atop the shaft are known as a finial . </t>
  </si>
  <si>
    <t xml:space="preserve">Don Miguel Ruiz - wikipedia  Don Miguel Ruiz       Don Miguel Ruiz     Don Miguel Ruiz , 2011       ( 1952 - 08 - 27 ) August 27 , 1952 ( age 65 ) Mexico     Pen name   Don Miguel Ruiz     Occupation   Author , teacher , shaman     Nationality   Mexican     Genre   Personal growth     Subject   Motivational     Notable works   The Four Agreements , The Mastery Of Love , The Voice Of Knowledge , The Fifth Agreement     Website     www.miguelruiz.com     Miguel Ángel Ruiz Macías ( born August 27 , 1952 ) , better known by his pseudonym as Don Miguel Ruiz , is a Mexican author of Toltec spiritualist and neoshamanistic texts .   His work is best - received among members of the New Thought movement that focuses on ancient teachings as a means to achieve spiritual enlightenment . Ruiz is listed as one of the Watkins 100 Most Spiritually Influential Living People in 2014 . Some have associated Ruiz 's work with Carlos Castaneda , author of The Teachings of Don Juan .   Contents    1 Biography   2 The Four Agreements   3 Quotes   4 Works   5 References   6 External links    Biography ( edit )   Don Miguel Ruiz was born in rural Mexico , the youngest of 13 children . He attended medical school , and became a surgeon . For several years he practiced medicine with his brothers .   A near - fatal car accident changed the direction of his life . He promptly returned to his mother to acquire greater moral understanding . He then apprenticed himself to a shaman , and eventually moved to the United States .   While the Toltec culture left no written records , Ruiz employs the word Toltec to signify a long tradition of indigenous beliefs in Mexico , such as the idea that a Nagual ( shaman ) guides an individual to personal freedom . After exploring the human mind from an indigenous as well as scientific perspective , Ruiz combines traditional wisdom with modern insights .   The Four Agreements , published in 1997 ; was a New York Times bestseller for more than a decade . Other books have followed : The Mastery of Love , The Voice of Knowledge , The Circle of Fire , The Four Agreements Companion Book and The Fifth Agreement , a collaboration with his son Don José . All of his books are international bestsellers . His The Toltec Art of Life and Death was published in late 2015 .   Fluent in Spanish and English , he often lectures and leads retreats in the United States . In February 2002 , Ruiz suffered a near - fatal heart attack . The damage from the heart attack and subsequent coma left him with a heart functioning at only 16 % of capacity and in constant pain . He claims to have handed over an Eagle - Knight lineage to his son Don José Ruiz . On October 9 , 2010 , Ruiz underwent a heart transplant at a hospital in Los Angeles . He was at a retreat at the Lotus Ranch in Wimberley , Texas when he was notified that a heart was available , and had chartered a plane to get back to Los Angeles .   The Four Agreements ( edit )   His most famous book , The Four Agreements , was published in 1997 and has sold around 7.2 million copies in the U.S. and has been translated into 40 languages . The book advocates personal freedom from beliefs and agreements that we have made with ourselves and others that are creating limitation and unhappiness in our lives . It was featured on the Oprah television show . The Four Agreements are :    Be impeccable with your word .   Do n't take anything personally .   Do n't make assumptions .   Always do your best .    The U.S. Air Force created a `` challenge coin '' engraved with The Four Agreements , and Ruiz is referenced as a `` National Heirloom of Mexico '' .   He wrote a companion book to The Four Agreements , titled The Four Agreements Companion Book , published in 2000 .   Don Miguel Ruiz 's son , Don Jose Ruiz , has subsequently released a sequel with his father , The Fifth Agreement , which adds a further agreement :    5 . Be skeptical , but learn to listen .    Quotes ( edit )       Wikiquote has quotations related to : Miguel Ángel Ruiz      `` Life is like dancing . If we have a big floor , many people will dance . Some will get angry when the rhythm changes . But life is changing all the time . ''   `` Death is not the biggest fear we have ; our biggest fear is taking the risk to be alive - the risk to be alive and express what we really are ... ''   `` Every human is an artist . The dream of your life is to make beautiful art . ''   `` Be impeccable with your word . Speak with integrity . Say only what you mean . Avoid using the word to speak against yourself or to gossip about others . Use the power of your word in the direction of truth and love ... ''   `` Do n't make assumptions . Find the courage to ask questions and to express what you really want . Communicate with others as clearly as you can to avoid misunderstandings , sadness and drama . With just this one agreement , you can completely transform your life ... ''   `` Do n't take anything personally . Nothing others do is because of you . What others say and do is a projection of their own reality , their own dream . When you are immune to the opinions and actions of others , you wo n't be the victim of needless suffering ... ''   `` Always do your best . Your best is going to change from moment to moment ; it will be different when you are healthy as opposed to sick . Under any circumstance , simply do your best , and you will avoid self - judgment , self - abuse and regret ... ''    Works ( edit )    The Four Agreements : A Practical Guide to Personal Wisdom ( A Toltec Wisdom Book ) , 1997 , Amber - Allen Publishing , ISBN 978 - 1 - 878424 - 31 - 0   The Mastery of Love : A Practical Guide to the Art of Relationship ( A Toltec Wisdom Book ) , 1999 , Amber - Allen Publishing , ISBN 978 - 1 - 878424 - 42 - 6   The Four Agreements Companion Book : Using The Four Agreements to Master the Dream of Your Life ( A Toltec Wisdom Book ) `` , 2000 , Amber - Allen Publishing , ISBN 978 - 1 - 878424 - 48 - 8   The Circle of Fire ( Toltec Wisdom ) , 2001 , Amber - Allen Publishing , ISBN 978 - 1 - 878424 - 52 - 5   Wisdom from the Four Agreements ( Charming Petites ) , 2003 , Peter Pauper Press , ISBN 0 - 88088 - 990 - X   Wisdom from the Mastery of Love ( Charming Petites ) , 2003 , Peter Pauper Press , ISBN 0 - 88088 - 425 - 8   The Voice of Knowledge : A Practical Guide To Inner Peace , 2004 , Amber - Allen Publishing , ISBN 978 - 1 - 878424 - 54 - 9   The Fifth Agreement : A Practical Guide to Self - Mastery , 2010 , Amber - Allen Publishing , ISBN 978 - 1 - 878424 - 68 - 6   The Toltec Art of Life and Death : A Story of Discovery , 2015 , HarperCollins , ISBN 978 - 0 - 00 - 814796 - 9    References ( edit )    Jump up ^ Watkins ' Spiritual 100 List for 2014   Jump up ^ `` don Miguel Ruiz '' . Miguelruiz.com . Retrieved 2014 - 04 - 30 .   ^ Jump up to : `` Don Miguel Ruiz ' heart Transplant Oct. 9th : An Exclusive Conversation on his New Heart '' . YouTube . 2010 - 11 - 06 . Retrieved 2014 - 04 - 30 .   Jump up ^ `` Miguel Ruiz official website , About don Miguel '' . Retrieved February 28 , 2015 .   Jump up ^ Don José Luis interview by Julia Griffin   Jump up ^ `` The Four Agreements : A Practical Guide to Personal Freedom ( NOOK Book ) '' . barnes and noble . Retrieved February 10 , 2015 .   Jump up ^ `` Publishers Weekly Magazine '' . April 18 , 2013 . Retrieved May 6 , 2014 .   Jump up ^ `` The Oprah Winfrey 's Official Website '' . oprah.com . Archived from the original on September 22 , 2008 . Retrieved October 9 , 2010 .   Jump up ^ `` Interview with Women For One on Toltec Wisdom '' . Retrieved February 28 , 2015 .   Jump up ^ `` Don Miguel Angel Ruiz 's Profile , Biography &amp; Heritage '' . Katagogi . Retrieved 2014 - 04 - 30 .    External links ( edit )    Toltec Teachings of Don Miguel Ruiz   `` The Four Agreements for a Better Life '' Online Course            BNE : XX1343510   BNF : cb13546931g ( data )   GND : 122524128   ISNI : 0000 0000 8141 1776   LCCN : n97065674   SELIBR : 220312   SUDOC : 05079244X   VIAF : 61710035      Retrieved from `` https://en.wikipedia.org/w/index.php?title=Don_Miguel_Ruiz&amp;oldid=853298197 '' Categories :   Mexican self - help writers   Mexican spiritual writers   Motivational speakers   Motivational writers   1952 births   Living people   Mexican animists   Neoshamanism   Heart transplant recipients   Mexican neopagans   Neopagan writers   Hidden categories :   Use mdy dates from October 2013   All articles with unsourced statements   Articles with unsourced statements from August 2015   All articles lacking reliable references   Articles lacking reliable references from March 2016   Articles with unsourced statements from March 2016   Wikipedia articles with BNE identifiers   Wikipedia articles with BNF identifiers   Wikipedia articles with GND identifiers   Wikipedia articles with ISNI identifiers   Wikipedia articles with LCCN identifiers   Wikipedia articles with SELIBR identifiers   Wikipedia articles with SUDOC identifiers   Wikipedia articles with VIAF identifiers           Talk                                           Contents                   About Wikipedia                                           Wikiquote       تۆرکجه   বাংলা   Български   Čeština   Deutsch   Español   فارسی   Français   Македонски   Nederlands   Română   Українська  5 more  Edit links   This page was last edited on 3 August 2018 , at 19 : 21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</si>
  <si>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are the four agreements from the book</t>
  </si>
  <si>
    <t xml:space="preserve">  Be impeccable with your word .   Do n't take anything personally .   Do n't make assumptions .   Always do your best .  </t>
  </si>
  <si>
    <t xml:space="preserve">Oort cloud - wikipedia  Oort cloud  Jump to : navigation , search This article is about the outer Oort cloud . For the inner Oort cloud , see Hills cloud . This graphic shows the distance from the Oort cloud to the rest of the Solar System and two of the nearest stars measured in astronomical units . The scale is logarithmic , with each specified distance ten times further out than the previous one . Red arrow indicates location of Voyager 1 , a space probe that will reach the Oort cloud in 300 years . An artist 's impression of the Oort cloud and the Kuiper belt ( inset ) . Sizes of individual objects have been exaggerated for visibility .  Types of distant minor planets     Cis - Neptunian objects   Centaurs   Neptune trojans     Trans - Neptunian objects ( TNOs )   Kuiper belt objects ( KBOs )   Classical KBOs ( cubewanos )   Resonant KBOs   Plutinos ( 2 : 3 resonance )       Scattered disc objects ( SDOs )   Resonant SDOs     Detached objects   Sednoids   Oort cloud objects ( ICO / OCOs )         Trans - Neptunian dwarf planets are called `` plutoids ''                 The Oort cloud ( / ɔːr t , ʊər t / ) , named after the Dutch astronomer Jan Oort , sometimes called the Öpik -- Oort cloud , is a theoretical cloud of predominantly icy planetesimals proposed to surround the Sun to as far as somewhere between 50,000 and 200,000 AU ( 0.8 and 3.2 ly ) . It is divided into two regions : a disc - shaped inner Oort cloud ( or Hills cloud ) and a spherical outer Oort cloud . Both regions lie beyond the heliosphere and in interstellar space . The Kuiper belt and the scattered disc , the other two reservoirs of trans - Neptunian objects , are less than one thousandth as far from the Sun as the Oort cloud .   The outer limit of the Oort cloud defines the cosmographical boundary of the Solar System and the extent of the Sun 's Hill sphere . The outer Oort cloud is only loosely bound to the Solar System , and thus is easily affected by the gravitational pull both of passing stars and of the Milky Way itself . These forces occasionally dislodge comets from their orbits within the cloud and send them toward the inner Solar System . Based on their orbits , most of the short - period comets may come from the scattered disc , but some may still have originated from the Oort cloud .   Astronomers conjecture that the matter composing the Oort cloud formed closer to the Sun and was scattered far into space by the gravitational effects of the giant planets early in the Solar System 's evolution . Although no confirmed direct observations of the Oort cloud have been made , it may be the source of all long - period and Halley - type comets entering the inner Solar System , and many of the centaurs and Jupiter - family comets as well .     Contents  ( hide )   1 Hypothesis   2 Structure and composition   3 Origin   4 Comets   5 Tidal effects   6 Stellar perturbations and stellar companion hypotheses   7 Future exploration   8 See also   9 References   10 Notes   11 External links      Hypothesis ( edit )   There are two main classes of comet : short - period comets ( also called ecliptic comets ) and long - period comets ( also called nearly isotropic comets ) . Ecliptic comets have relatively small orbits , below 10 AU , and follow the ecliptic plane , the same plane in which the planets lie . All long - period comets have very large orbits , on the order of thousands of AU , and appear from every direction in the sky .   A.O. Leuschner in 1907 suggested that many comets believed to have parabolic orbits , and thus making single visits to the solar system , actually had elliptical orbits and would return after very long periods . In 1932 Estonian astronomer Ernst Öpik postulated that long - period comets originated in an orbiting cloud at the outermost edge of the Solar System . Dutch astronomer Jan Oort independently revived the idea in 1950 as a means to resolve a paradox :    Over the course of the Solar System 's existence the orbits of comets are unstable and eventually dynamics dictate that a comet must either collide with the Sun or a planet or else be ejected from the Solar System by planetary perturbations .   Moreover , their volatile composition means that as they repeatedly approach the Sun , radiation gradually boils the volatiles off until the comet splits or develops an insulating crust that prevents further outgassing .    Thus , Oort reasoned , a comet could not have formed while in its current orbit and must have been held in an outer reservoir for almost all of its existence . He noted that there was a peak in numbers of long - period comets with aphelia ( their farthest distance from the Sun ) of roughly 20,000 AU , which suggested a reservoir at that distance with a spherical , isotropic distribution . Those relatively rare comets with orbits of about 10,000 AU have probably gone through one or more orbits through the Solar System and have had their orbits drawn inward by the gravity of the planets .   Structure and composition ( edit )  The presumed distance of the Oort cloud compared to the rest of the Solar System  The Oort cloud is thought to occupy a vast space from somewhere between 2,000 and 5,000 AU ( 0.03 and 0.08 ly ) to as far as 50,000 AU ( 0.79 ly ) from the Sun . Some estimates place the outer edge at between 100,000 and 200,000 AU ( 1.58 and 3.16 ly ) . The region can be subdivided into a spherical outer Oort cloud of 20,000 -- 50,000 AU ( 0.32 -- 0.79 ly ) , and a torus - shaped inner Oort cloud of 2,000 -- 20,000 AU ( 0.0 -- 0.3 ly ) . The outer cloud is only weakly bound to the Sun and supplies the long - period ( and possibly Halley - type ) comets to inside the orbit of Neptune . The inner Oort cloud is also known as the Hills cloud , named after Jack G. Hills , who proposed its existence in 1981 . Models predict that the inner cloud should have tens or hundreds of times as many cometary nuclei as the outer halo ; it is seen as a possible source of new comets to resupply the tenuous outer cloud as the latter 's numbers are gradually depleted . The Hills cloud explains the continued existence of the Oort cloud after billions of years .   The outer Oort cloud may have trillions of objects larger than 1 km ( 0.62 mi ) , and billions with absolute magnitudes brighter than 11 ( corresponding to approximately 20 - kilometre ( 12 mi ) diameter ) , with neighboring objects tens of millions of kilometres apart . Its total mass is not known , but , assuming that Halley 's Comet is a suitable prototype for comets within the outer Oort cloud , roughly the combined mass is 3 × 10 kilograms ( 6.6 × 10 lb ) , or five times that of Earth . Earlier it was thought to be more massive ( up to 380 Earth masses ) , but improved knowledge of the size distribution of long - period comets led to lower estimates . The mass of the inner Oort cloud has not been characterized .   If analyses of comets are representative of the whole , the vast majority of Oort - cloud objects consist of ices such as water , methane , ethane , carbon monoxide and hydrogen cyanide . However , the discovery of the object 1996 PW , an object whose appearance was consistent with a D - type asteroid in an orbit typical of a long - period comet , prompted theoretical research that suggests that the Oort cloud population consists of roughly one to two percent asteroids . Analysis of the carbon and nitrogen isotope ratios in both the long - period and Jupiter - family comets shows little difference between the two , despite their presumably vastly separate regions of origin . This suggests that both originated from the original protosolar cloud , a conclusion also supported by studies of granular size in Oort - cloud comets and by the recent impact study of Jupiter - family comet Tempel 1 .   Origin ( edit )   The Oort cloud is thought to be a remnant of the original protoplanetary disc that formed around the Sun approximately 4.6 billion years ago . The most widely accepted hypothesis is that the Oort cloud 's objects initially coalesced much closer to the Sun as part of the same process that formed the planets and minor planets , but that gravitational interaction with young gas giants such as Jupiter ejected the objects into extremely long elliptic or parabolic orbits . Recent research has been cited by NASA hypothesizing that a large number of Oort cloud objects are the product of an exchange of materials between the Sun and its sibling stars as they formed and drifted apart , and it is suggested that many -- possibly the majority of -- Oort cloud objects did not form in close proximity to the Sun . Simulations of the evolution of the Oort cloud from the beginnings of the Solar System to the present suggest that the cloud 's mass peaked around 800 million years after formation , as the pace of accretion and collision slowed and depletion began to overtake supply .   Models by Julio Ángel Fernández suggest that the scattered disc , which is the main source for periodic comets in the Solar System , might also be the primary source for Oort cloud objects . According to the models , about half of the objects scattered travel outward toward the Oort cloud , whereas a quarter are shifted inward to Jupiter 's orbit , and a quarter are ejected on hyperbolic orbits . The scattered disc might still be supplying the Oort cloud with material . A third of the scattered disc 's population is likely to end up in the Oort cloud after 2.5 billion years .   Computer models suggest that collisions of cometary debris during the formation period play a far greater role than was previously thought . According to these models , the number of collisions early in the Solar System 's history was so great that most comets were destroyed before they reached the Oort cloud . Therefore , the current cumulative mass of the Oort cloud is far less than was once suspected . The estimated mass of the cloud is only a small part of the 50 -- 100 Earth masses of ejected material .   Gravitational interaction with nearby stars and galactic tides modified cometary orbits to make them more circular . This explains the nearly spherical shape of the outer Oort cloud . On the other hand , the Hills cloud , which is bound more strongly to the Sun , has not acquired a spherical shape . Recent studies have shown that the formation of the Oort cloud is broadly compatible with the hypothesis that the Solar System formed as part of an embedded cluster of 200 -- 400 stars . These early stars likely played a role in the cloud 's formation , since the number of close stellar passages within the cluster was much higher than today , leading to far more frequent perturbations .   In June 2010 Harold F. Levison and others suggested on the basis of enhanced computer simulations that the Sun `` captured comets from other stars while it was in its birth cluster '' . Their results imply that `` a substantial fraction of the Oort cloud comets , perhaps exceeding 90 % , are from the protoplanetary discs of other stars '' .   Comets ( edit )  Comet Hale -- Bopp , an archetypical Oort - cloud comet  Comets are thought to have two separate points of origin in the Solar System . Short - period comets ( those with orbits of up to 200 years ) are generally accepted to have emerged from either the Kuiper belt or the scattered disc , which are two linked flat discs of icy debris beyond Neptune 's orbit at 30 AU and jointly extending out beyond 100 AU from the Sun . Long - period comets , such as comet Hale -- Bopp , whose orbits last for thousands of years , are thought to originate in the Oort cloud . The orbits within the Kuiper belt are relatively stable , and so very few comets are thought to originate there . The scattered disc , however , is dynamically active , and is far more likely to be the place of origin for comets . Comets pass from the scattered disc into the realm of the outer planets , becoming what are known as centaurs . These centaurs are then sent farther inward to become the short - period comets .   There are two main varieties of short - period comet : Jupiter - family comets ( those with semi-major axes of less than 5 AU ) and Halley - family comets . Halley - family comets , named for their prototype , Halley 's Comet , are unusual in that although they are short - period comets , it is hypothesized that their ultimate origin lies in the Oort cloud , not in the scattered disc . Based on their orbits , it is suggested they were long - period comets that were captured by the gravity of the giant planets and sent into the inner Solar System . This process may have also created the present orbits of a significant fraction of the Jupiter - family comets , although the majority of such comets are thought to have originated in the scattered disc .   Oort noted that the number of returning comets was far less than his model predicted , and this issue , known as `` cometary fading '' , has yet to be resolved . No dynamical process are known to explain the smaller number of observed comets than Oort estimated . Hypotheses for this discrepancy include the destruction of comets due to tidal stresses , impact or heating ; the loss of all volatiles , rendering some comets invisible , or the formation of a non-volatile crust on the surface . Dynamical studies of hypothetical Oort cloud comets have estimated that their occurrence in the outer - planet region would be several times higher than in the inner - planet region . This discrepancy may be due to the gravitational attraction of Jupiter , which acts as a kind of barrier , trapping incoming comets and causing them to collide with it , just as it did with Comet Shoemaker -- Levy 9 in 1994 .   Tidal effects ( edit )  Main article : Galactic tide  Most of the comets seen close to the Sun seem to have reached their current positions through gravitational perturbation of the Oort cloud by the tidal force exerted by the Milky Way . Just as the Moon 's tidal force deforms Earth 's oceans , causing the tides to rise and fall , the galactic tide also distorts the orbits of bodies in the outer Solar System . In the charted regions of the Solar System , these effects are negligible compared to the gravity of the Sun , but in the outer reaches of the system , the Sun 's gravity is weaker and the gradient of the Milky Way 's gravitational field has substantial effects . Galactic tidal forces stretch the cloud along an axis directed toward the galactic centre and compress it along the other two axes ; these small perturbations can shift orbits in the Oort cloud to bring objects close to the Sun . The point at which the Sun 's gravity concedes its influence to the galactic tide is called the tidal truncation radius . It lies at a radius of 100,000 to 200,000 AU , and marks the outer boundary of the Oort cloud .   Some scholars theorise that the galactic tide may have contributed to the formation of the Oort cloud by increasing the perihelia ( smallest distances to the Sun ) of planetesimals with large aphelia ( largest distances to the Sun ) . The effects of the galactic tide are quite complex , and depend heavily on the behaviour of individual objects within a planetary system . Cumulatively , however , the effect can be quite significant : up to 90 % of all comets originating from the Oort cloud may be the result of the galactic tide . Statistical models of the observed orbits of long - period comets argue that the galactic tide is the principal means by which their orbits are perturbed toward the inner Solar System .   Stellar perturbations and stellar companion hypotheses ( edit )   Besides the galactic tide , the main trigger for sending comets into the inner Solar System is thought to be interaction between the Sun 's Oort cloud and the gravitational fields of nearby stars or giant molecular clouds . The orbit of the Sun through the plane of the Milky Way sometimes brings it in relatively close proximity to other stellar systems . For example , it is hypothesized that 70 thousand years ago , perhaps Scholz 's star passed through the outer Oort cloud ( although its low mass and high relative velocity limited its effect ) . During the next 10 million years the known star with the greatest possibility of perturbing the Oort cloud is Gliese 710 . This process could also scatter Oort cloud objects out of the ecliptic plane , potentially also explaining its spherical distribution .   In 1984 , Physicist Richard A. Muller postulated that the Sun has a heretofore undetected companion , either a brown dwarf or a red dwarf , in an elliptical orbit within the Oort cloud . This object , known as Nemesis , was hypothesized to pass through a portion of the Oort cloud approximately every 26 million years , bombarding the inner Solar System with comets . However , to date no evidence of Nemesis or the Oort cloud have been found , and many lines of evidence ( such as crater counts ) , have thrown their existence into doubt . Recent scientific analysis no longer supports the idea that extinctions on Earth happen at regular , repeating intervals . Thus , the Nemesis hypothesis is no longer needed to explain current assumptions .   A somewhat similar hypothesis was advanced by astronomer John J. Matese of the University of Louisiana at Lafayette in 2002 . He contends that more comets are arriving in the inner Solar System from a particular region of the postulated Oort cloud than can be explained by the galactic tide or stellar perturbations alone , and that the most likely cause would be a Jupiter - mass object in a distant orbit . This hypothetical gas giant was nicknamed Tyche . The WISE mission , an all - sky survey using parallax measurements in order to clarify local star distances , was capable of proving or disproving the Tyche hypothesis . In 2014 , NASA announced that the WISE survey had ruled out any object as they had defined it .   Future exploration ( edit )  Artist 's impression of the TAU spacecraft  Space probes have yet to reach the area of the Oort cloud . Voyager 1 , the fastest and farthest of the interplanetary space probes currently leaving the Solar System , will reach the Oort cloud in about 300 years and would take about 30,000 years to pass through it . However , around 2025 , the radioisotope thermoelectric generators on Voyager 1 will no longer supply enough power to operate any of its scientific instruments , preventing any exploration by Voyager 1 . The other four probes currently escaping the Solar System either are already or are predicted to be non-functional when they reach the Oort cloud ; however , it may be possible to find an object from the cloud that has been knocked into the inner Solar System .   In the 1980s there was a concept for a probe to reach 1,000 AU in 50 years called TAU ; among its missions would be to look for the Oort cloud .   In the 2014 Announcement of Opportunity for the Discovery program , an observatory to detect the objects in the Oort cloud ( and Kuiper belt ) called the `` Whipple Mission '' was proposed . It would monitor distant stars with a photometer , looking for transits up to 10,000 AU away . The observatory was proposed for halo orbiting around L2 with a suggested 5 - year mission . It has been suggested that the Kepler observatory may also be able to detect objects in the Oort cloud .   See also ( edit )         Book : Solar System        Solar System portal   Astronomy portal     Heliosphere   Interstellar comet   List of possible dwarf planets   List of trans - Neptunian objects   Scattered disc   Tyche ( hypothetical planet )    References ( edit )    Jump up ^ `` Oort '' . Oxford English Dictionary ( 3rd ed . ) . Oxford University Press . September 2005 . ( Subscription or UK public library membership required . )   Jump up ^ Whipple , F.L. ; Turner , G. ; McDonnell , J.A.M. ; Wallis , M.K. ( 1987 - 09 - 30 ) . `` A Review of Cometary Sciences '' . Philosophical Transactions of the Royal Society A. Royal Society Publishing . 323 ( 1572 ) : 339 -- 347 ( 341 ) . Bibcode : 1987RSPTA. 323 ... 339W . doi : 10.1098 / rsta. 1987.0090 .   ^ Jump up to : Alessandro Morbidelli ( 2006 ) . `` Origin and dynamical evolution of comets and their reservoirs of water ammonia and methane '' . arXiv : astro - ph / 0512256 ( astro - ph ) .   ^ Jump up to : `` Catalog Page for PIA17046 '' . Photo Journal . NASA . Retrieved April 27 , 2014 .   Jump up ^ `` Kuiper Belt &amp; Oort Cloud '' . NASA Solar System Exploration web site . NASA . Retrieved 2011 - 08 - 08 .   ^ Jump up to : V.V. Emelyanenko ; D.J. Asher ; M.E. Bailey ( 2007 ) . `` The fundamental role of the Oort Cloud in determining the flux of comets through the planetary system '' . Monthly Notices of the Royal Astronomical Society . 381 ( 2 ) : 779 -- 789 . Bibcode : 2007MNRAS. 381 ... 779E . doi : 10.1111 / j. 1365 - 2966.2007. 12269. x .   ^ Jump up to : Harold F. Levison ; Luke Donnes ( 2007 ) . `` Comet Populations and Cometary Dynamics '' . In Lucy Ann Adams McFadden ; Lucy - Ann Adams ; Paul Robert Weissman ; Torrence V. Johnson . Encyclopedia of the Solar System ( 2nd ed . ) . Amsterdam ; Boston : Academic Press . pp. 575 -- 588 . ISBN 0 - 12 - 088589 - 1 .   Jump up ^ Ley , Willy ( April 1967 ) . `` The Orbits of the Comets '' . For Your Information . Galaxy Science Fiction . pp. 55 -- 63 .   Jump up ^ Ernst Julius Öpik ( 1932 ) . `` Note on Stellar Perturbations of Nearby Parabolic Orbits '' . Proceedings of the American Academy of Arts and Sciences . 67 ( 6 ) : 169 -- 182 . doi : 10.2307 / 20022899 . JSTOR 20022899 .   ^ Jump up to : Jan Oort ( 1950 ) . `` The structure of the cloud of comets surrounding the Solar System and a hypothesis concerning its origin '' . Bulletin of the Astronomical Institutes of the Netherlands . 11 : 91 -- 110 . Bibcode : 1950BAN ... 11 ... 91O .   ^ Jump up to : David C. Jewitt ( 2001 ) . `` From Kuiper Belt to Cometary Nucleus : The Missing Ultrared Matter '' . Astronomical Journal . 123 ( 2 ) : 1039 -- 1049 . Bibcode : 2002AJ ... 123.1039 J . doi : 10.1086 / 338692 .   ^ Jump up to : Jack G. Hills ( 1981 ) . `` Comet showers and the steady - state infall of comets from the Oort Cloud '' . Astronomical Journal . 86 : 1730 -- 1740 . Bibcode : 1981AJ ... 86.1730 H . doi : 10.1086 / 113058 .   Jump up ^ Harold F. Levison ; Luke Dones ; Martin J. Duncan ( 2001 ) . `` The Origin of Halley - Type Comets : Probing the Inner Oort Cloud '' . Astronomical Journal . 121 ( 4 ) : 2253 -- 2267 . Bibcode : 2001AJ ... 121.2253 L . doi : 10.1086 / 319943 .   Jump up ^ Thomas M. Donahue , ed. ( 1991 ) . Planetary Sciences : American and Soviet Research , Proceedings from the U.S. -- U.S.S.R. Workshop on Planetary Sciences . Kathleen Kearney Trivers , and David M. Abramson . National Academy Press . p. 251 . ISBN 0 - 309 - 04333 - 6 . Retrieved 2008 - 03 - 18 .   Jump up ^ Julio A. Fernéndez ( 1997 ) . `` The Formation of the Oort Cloud and the Primitive Galactic Environment '' ( PDF ) . Icarus . 219 : 106 -- 119 . Bibcode : 1997Icar ... 129 ... 106F . doi : 10.1006 / icar. 1997.5754 . Retrieved 2008 - 03 - 18 .   Jump up ^ Absolute magnitude is a measure of how bright an object would be if it were 1 AU from the Sun and Earth ; as opposed to apparent magnitude , which measures how bright an object appears from Earth . Because all measurements of absolute magnitude assume the same distance , absolute magnitude is in effect a measurement of an object 's brightness . The lower an object 's absolute magnitude , the brighter it is .   Jump up ^ Paul R. Weissman ( 1998 ) . `` The Oort Cloud '' . Scientific American . Retrieved 2007 - 05 - 26 .   Jump up ^ Paul R. Weissman ( 1983 ) . `` The mass of the Oort Cloud '' . Astronomy and Astrophysics. 118 ( 1 ) : 90 -- 94 . Bibcode : 1983A&amp;A ... 118 ... 90W .   Jump up ^ Sebastian Buhai . `` On the Origin of the Long Period Comets : Competing theories '' ( PDF ) . Utrecht University College . Archived from the original ( PDF ) on 2006 - 09 - 30 . Retrieved 2008 - 03 - 29 .   Jump up ^ E.L. Gibb ; M.J. Mumma ; N. Dello Russo ; M.A. DiSanti &amp; K. Magee - Sauer ( 2003 ) . `` Methane in Oort Cloud comets '' . Icarus . 165 ( 2 ) : 391 -- 406 . Bibcode : 2003Icar ... 165 ... 391G . doi : 10.1016 / S0019 - 1035 ( 03 ) 00201 - X .   Jump up ^ Rabinowitz , D.L. ( August 1996 ) . `` 1996 PW '' . IAU Circular . International Astronomical Union . 6466 : 2 . Bibcode : 1996IAUC. 6466 ... 2R .   Jump up ^ Davies , John K. ; McBride , Neil ; Green , Simon F. ; Mottola , Stefano ; et al. ( April 1998 ) . `` The Lightcurve and Colors of Unusual Minor Planet 1996 PW '' . Icarus . Elsevier . 132 ( 2 ) : 418 -- 430 . Bibcode : 1998Icar ... 132 ... 418D . doi : 10.1006 / icar. 1998.5888 . ( Subscription required ( help ) ) .   Jump up ^ Paul R. Weissman ; Harold F. Levison ( 1997 ) . `` Origin and Evolution of the Unusual Object 1996 PW : Asteroids from the Oort Cloud ? '' . Astrophysical Journal . 488 ( 2 ) : L133 -- L136 . Bibcode : 1997ApJ ... 488L. 133W . doi : 10.1086 / 310940 .   Jump up ^ D. Hutsemekers ; J. Manfroid ; E. Jehin ; C. Arpigny ; A. Cochran ; R. Schulz ; J.A. Stüwe &amp; J.M. Zucconi ( 2005 ) . `` Isotopic abundances of carbon and nitrogen in Jupiter - family and Oort Cloud comets '' . Astronomy and Astrophysics. 440 ( 2 ) : L21 -- L24 . arXiv : astro - ph / 0508033 . Bibcode : 2005A&amp;A ... 440L ... 21H . doi : 10.1051 / 0004 - 6361 : 200500160 .   Jump up ^ Takafumi Ootsubo ; Jun - ichi Watanabe ; Hideyo Kawakita ; Mitsuhiko Honda &amp; Reiko Furusho ( 2007 ) . `` Grain properties of Oort Cloud comets : Modeling the mineralogical composition of cometary dust from mid-infrared emission features '' . Highlights in Planetary Science , 2nd General Assembly of Asia Oceania Geophysical Society . 55 ( 9 ) : 1044 -- 1049 . Bibcode : 2007P&amp;SS ... 55.1044 O . doi : 10.1016 / j. pss. 2006.11. 012 .   Jump up ^ Michael J. Mumma ; Michael A. DiSanti ; Karen Magee - Sauer ; et al. ( 2005 ) . `` Parent Volatiles in Comet 9P / Tempel 1 : Before and After Impact '' . Science Express . 310 ( 5746 ) : 270 -- 274 . Bibcode : 2005Sci ... 310 ... 270M . doi : 10.1126 / science. 1119337 . PMID 16166477 .   Jump up ^ `` Oort Cloud &amp; Sol b ? '' . SolStation . Retrieved 2007 - 05 - 26 .   Jump up ^ `` The Sun Steals Comets from Other Stars '' . NASA . 2010 .   Jump up ^ Julio A. Fernández ; Tabaré Gallardo &amp; Adrián Brunini ( 2004 ) . `` The scattered disc population as a source of Oort Cloud comets : evaluation of its current and past role in populating the Oort Cloud '' . Icarus . 172 ( 2 ) : 372 -- 381 . Bibcode : 2004Icar ... 172 ... 372F . doi : 10.1016 / j. icarus. 2004.07. 023 .   Jump up ^ Davies , J.K. ; Barrera , L.H. ( 2004 ) . The First Decadal Review of the Edgeworth - Kuiper Belt . Kluwer Academic Publishers . ISBN 978 - 1 - 4020 - 1781 - 0 .   Jump up ^ S. Alan Stern ; Paul R. Weissman ( 2001 ) . `` Rapid collisional evolution of comets during the formation of the Oort Cloud '' . Nature . 409 ( 6820 ) : 589 -- 591 . Bibcode : 2001Natur. 409 ... 589S . doi : 10.1038 / 35054508 . PMID 11214311 .   Jump up ^ R. Brasser ; M.J. Duncan ; H.F. Levison ( 2006 ) . `` Embedded star clusters and the formation of the Oort Cloud '' . Icarus . 184 ( 1 ) : 59 -- 82 . Bibcode : 2006Icar ... 184 ... 59B . doi : 10.1016 / j. icarus. 2006.04. 010 .   Jump up ^ Levison , Harold ; et al. ( 10 June 2010 ) . `` Capture of the Sun 's Oort Cloud from Stars in Its Birth Cluster '' . Science . 329 ( 5988 ) : 187 -- 190 . Bibcode : 2010Sci ... 329 ... 187L . doi : 10.1126 / science. 1187535 . PMID 20538912 .   Jump up ^ `` Many famous comets originally formed in other solar systems '' . Southwest Research Institute ® ( SwRI ® ) News . 10 June 2010 . Archived from the original on 5 June 2013 .   Jump up ^ Harold E. Levison &amp; Luke Dones ( 2007 ) . `` Comet Populations and Cometary dynamics '' . Encyclopedia of the Solar System : 575 -- 588 . Bibcode : 2007ess ... book ... 575L . doi : 10.1016 / B978 - 012088589 - 3 / 50035 - 9 . ISBN 978 - 0 - 12 - 088589 - 3 .   Jump up ^ J Horner ; NW Evans ; ME Bailey ; DJ Asher ( 2003 ) . `` The Populations of Comet - like Bodies in the Solar System '' ( PDF ) . Retrieved 2007 - 06 - 29 .   Jump up ^ Luke Dones ; Paul R Weissman ; Harold F Levison ; Martin J Duncan ( 2004 ) . `` Oort Cloud Formation and Dynamics '' ( PDF ) . In Michel C. Festou ; H. Uwe Keller ; Harold A. Weaver . Comets II . University of Arizona Press . pp. 153 -- 173 . Retrieved 2008 - 03 - 22 .   ^ Jump up to : Julio A. Fernández ( 2000 ) . `` Long - Period Comets and the Oort Cloud '' . Earth , Moon , and Planets. 89 ( 1 -- 4 ) : 325 -- 343 . Bibcode : 2002EM&amp;P ... 89 ... 325F . doi : 10.1023 / A : 1021571108658 .   Jump up ^ Marc Fouchard ; Christiane Froeschlé ; Giovanni Valsecchi ; Hans Rickman ( 2006 ) . `` Long - term effects of the galactic tide on cometary dynamics '' . Celestial Mechanics and Dynamical Astronomy . 95 ( 1 -- 4 ) : 299 -- 326 . Bibcode : 2006CeMDA ... 95 ... 299F . doi : 10.1007 / s10569 - 006 - 9027 - 8 .   Jump up ^ Higuchi A. ; Kokubo E. &amp; Mukai , T. ( 2005 ) . `` Orbital Evolution of Planetesimals by the Galactic Tide '' . Bulletin of the American Astronomical Society . 37 : 521 . Bibcode : 2005DDA ... 36.0205 H .   Jump up ^ Nurmi P. ; Valtonen M.J. ; Zheng J.Q. ( 2001 ) . `` Periodic variation of Oort Cloud flux and cometary impacts on the Earth and Jupiter '' . Monthly Notices of the Royal Astronomical Society . 327 ( 4 ) : 1367 -- 1376 . Bibcode : 2001MNRAS. 327.1367 N . doi : 10.1046 / j. 1365 - 8711.2001. 04854. x .   Jump up ^ John J. Matese &amp; Jack J. Lissauer ( 2004 ) . `` Perihelion evolution of observed new comets implies the dominance of the galactic tide in making Oort Cloud comets discernible '' . Icarus . 170 ( 2 ) : 508 -- 513 . Bibcode : 2004Icar ... 170 ... 508M . CiteSeerX 10.1. 1.535. 1013 . doi : 10.1016 / j. icarus. 2004.03. 019 .   Jump up ^ Mamajek , Eric E. ; Barenfeld , Scott A. ; Ivanov , Valentin D. ( 2015 ) . `` The Closest Known Flyby of a Star to the Solar System '' . The Astrophysical Journal . 800 ( 1 ) : L17 . arXiv : 1502.04655 . Bibcode : 2015ApJ ... 800L ... 17M . doi : 10.1088 / 2041 - 8205 / 800 / 1 / L17 .   ^ Jump up to : L.A. Molnar ; R.L. Mutel ( 1997 ) . Close Approaches of Stars to the Oort Cloud : Algol and Gliese 710 . American Astronomical Society 191st meeting . American Astronomical Society . Bibcode : 1997AAS ... 191.6906 M .   Jump up ^ A. Higuchi ; E. Kokubo &amp; T. Mukai ( 2006 ) . `` Scattering of Planetesimals by a Planet : Formation of Comet Cloud Candidates '' . Astronomical Journal . 131 ( 2 ) : 1119 -- 1129 . Bibcode : 2006AJ ... 131.1119 H . doi : 10.1086 / 498892 .   Jump up ^ J.G. Hills ( 1984 ) . `` Dynamical constraints on the mass and perihelion distance of Nemesis and the stability of its orbit '' . Nature . 311 ( 5987 ) : 636 -- 638 . Bibcode : 1984Natur. 311 ... 636H . doi : 10.1038 / 311636a0 .   Jump up ^ `` Nemesis is a myth '' . Max Planck Institute . 2011 . Retrieved 2011 - 08 - 11 .   ^ Jump up to : `` Can WISE Find the Hypothetical ' Tyche ' ? '' . NASA / JPL . February 18 , 2011 . Retrieved 2011 - 06 - 15 .   Jump up ^ John J. Matese &amp; Jack J. Lissauer ( 2002 - 05 - 06 ) . `` Continuing Evidence of an Impulsive Component of Oort Cloud Cometary Flux '' ( PDF ) . University of Louisiana at Lafayette , and NASA Ames Research Center . Retrieved 2008 - 03 - 21 .   Jump up ^ K.L. , Luhman ( 7 March 2014 ) . `` A Search For A Distant Companion To The Sun With The Wide - field Infrared Survey Explorer '' . The Astrophysical Journal . 781 ( 1 ) : 4 . Bibcode : 2014ApJ ... 781 ... 4L . doi : 10.1088 / 0004 - 637X / 781 / 1 / 4 . Retrieved 20 March 2014 .   Jump up ^ `` New Horizons Salutes Voyager '' . New Horizons . August 17 , 2006 . Archived from the original on March 9 , 2011 . Retrieved November 3 , 2009 .   Jump up ^ Clark , Stuart ( September 13 , 2013 ) . `` Voyager 1 leaving solar system matches feats of great human explorers '' . The Guardian .   Jump up ^ `` Voyagers are leaving the Solar System '' . Space Today . 2011 . Retrieved May 29 , 2014 .   Jump up ^ `` It 's Official : Voyager 1 Is Now In Interstellar Space '' . UniverseToday . Retrieved April 27 , 2014 .   Jump up ^ Ghose , Tia ( September 13 , 2013 ) . `` Voyager 1 Really Is In Interstellar Space : How NASA Knows '' . Space.com . TechMedia Network . Retrieved September 14 , 2013 .   Jump up ^ Cook , J. - R ( September 12 , 2013 ) . `` How Do We Know When Voyager Reaches Interstellar Space ? '' . NASA / Jet Propulsion Lab . Retrieved September 15 , 2013 .   Jump up ^ ( 1 )   ^ Jump up to : `` Archived copy '' ( PDF ) . Archived from the original ( PDF ) on 2015 - 11 - 17 . Retrieved 2015 - 11 - 12 .   Jump u</t>
  </si>
  <si>
    <t xml:space="preserve">how long will it take voyager to pass through the oort cloud</t>
  </si>
  <si>
    <t xml:space="preserve"> Space probes have yet to reach the area of the Oort cloud . Voyager 1 , the fastest and farthest of the interplanetary space probes currently leaving the Solar System , will reach the Oort cloud in about 300 years and would take about 30,000 years to pass through it . However , around 2025 , the radioisotope thermoelectric generators on Voyager 1 will no longer supply enough power to operate any of its scientific instruments , preventing any exploration by Voyager 1 . The other four probes currently escaping the Solar System either are already or are predicted to be non-functional when they reach the Oort cloud ; however , it may be possible to find an object from the cloud that has been knocked into the inner Solar System . </t>
  </si>
  <si>
    <t xml:space="preserve">List of Scottish Cup Finals - wikipedia  List of Scottish Cup Finals   The Scottish Football Association Challenge Cup , commonly known as the Scottish Cup , is a knockout cup competition in Scottish football . Organised by the Scottish Football Association , it is the third oldest existing football competition in the world , having commenced in the 1873 -- 74 season just two years after the first FA Cup . The winners are awarded the world 's oldest trophy , minted in 1885 .   Celtic hold the record for most wins with 38 , and the most final appearances with 57 . Celtic are also the current holders , having beaten Motherwell 2 -- 0 in the 2018 final .   Contents    1 History   2 Results   2.1 Key   2.2 Results     3 Performance by club   3.1 By City / Town     4 See also   5 Notes   6 References   7 External links    History ( edit )   At the time of the cup 's first season Queen 's Park were by far the dominant force in Scottish football , and no other team had even managed to score a goal against them until 1875 , eight years after their formation . This early dominance meant they were invited into the first FA Cup season and in season 1883 -- 84 they came close to a cup double , winning the Scottish Cup but losing the FA Cup Final to Blackburn Rovers . They again met Blackburn Rovers in the following season 's Final but were defeated once again . Other Scottish teams competed in the FA Cup such as Partick Thistle and 3rd Lanark RV and continued to compete until 1887 , when the Scottish Football Association banned its members from taking any further part in the `` English Cup '' . By the time the Scottish Football League was founded in the 1890 -- 91 season Queen 's Park had been eclipsed by many of the league clubs , they finally agreed to enter the competition in the 1900 -- 01 season , they finished seventh in their first season . Their demise was reflected in their Scottish Cup results , although they reached 4 Finals after the foundation of the league they could only win one and their 1893 success was their last , reaching only one more final in 1900 . Dumbarton filled the void left by Queen 's Park for a time but like all Scottish football competitions the Scottish Cup would come to be dominated by the Old Firm of Celtic and Rangers .   In 1909 the cup was withheld by the SFA after a riot broke out following a replay between Rangers and Celtic . The first match was drawn 2 -- 2 and the second 1 -- 1 .   The cup was not competed for between 1914 and 1919 due to World War I. World War II prevented competition between 1939 and 1945 although the Scottish War Emergency Cup was held in the 1939 -- 40 season .   Results ( edit )   A draw in the final used to result in the match being replayed at a later date . Since the 1981 final , however , the result has always been decided on the day , with a penalty shootout if required after extra time .   Key ( edit )     ( R )   Replay , or repeat if original match was declared void     ( SR )   Second Replay     ‡   Match void     *   Match went to extra time     †   Match decided by a penalty shootout after extra time     Italics   Team from outside the top level of Scottish football ( since the formation of The Scottish Football League in 1890 )     Bold   Winning team were also Scottish football champions , winning The Double     Results ( edit )     Season   Winner   Score   Runner - up   Venue   Attendance   Notes     1873 -- 74   Queen 's Park ( 1 )   2 -- 0   Clydesdale   Hampden Park ( original )   2,500       1874 -- 75   Queen 's Park ( 2 )   3 -- 0   Renton   Hampden Park ( original )   7,000       1875 -- 76   Queen 's Park ( 3 )   1 -- 1   3rd Lanark RV   Hamilton Crescent   6,000       ( R )   2 -- 0   Hampden Park ( original )   10,000       1876 -- 77   Vale of Leven ( 1 )   1 -- 1   Rangers   Hamilton Crescent   8,000       ( R )   1 -- 1   Hamilton Crescent   15,000       ( SR )   3 -- 2   Hampden Park ( original )   12,000       1877 -- 78   Vale of Leven ( 2 )   1 -- 0   3rd Lanark RV   Hampden Park ( original )   5,000       1878 -- 79   Vale of Leven ( 3 )   1 -- 1   Rangers   Hampden Park ( original )   9,000       ( R )   walkover   Hampden Park ( original )         1879 -- 80   Queen 's Park ( 4 )   3 -- 0   Thornliebank   Hampden Park ( original )   4,000       1880 -- 81   Queen 's Park ( 5 )   2 -- 1 ‡   Dumbarton   Kinning Park   15,000       ( R )   3 -- 1   Kinning Park   10,000       1881 -- 82   Queen 's Park ( 6 )   2 -- 2   Dumbarton   Cathkin Park ( first )   12,500       ( R )   4 -- 1   Cathkin Park ( first )   14,000       1882 -- 83   Dumbarton ( 1 )   2 -- 2   Vale of Leven   Hampden Park ( original )   15,000       ( R )   2 -- 1   Hampden Park ( original )   12,000       1883 -- 84   Queen 's Park ( 7 )   walkover   Vale of Leven   Cathkin Park ( first )         1884 -- 85   Renton ( 1 )   0 -- 0   Vale of Leven   Hampden Park ( second )   3,000       ( R )   3 -- 1   Hampden Park ( second )   5,500       1885 -- 86   Queen 's Park ( 8 )   3 -- 1   Renton   Cathkin Park ( first )   7,000       1886 -- 87   Hibernian ( 1 )   2 -- 1   Dumbarton   Hampden Park ( second )   15,000       1887 -- 88   Renton ( 2 )   6 -- 1   Cambuslang   Hampden Park ( second )   10,000       1888 -- 89   3rd Lanark RV ( 1 )   3 -- 0 ‡   Celtic   Hampden Park ( second )   17,000       ( R )   2 -- 1   Hampden Park ( second )   13,000       1889 -- 90   Queen 's Park ( 9 )   1 -- 1   Vale of Leven   Ibrox Park ( first )   11,000       ( R )   2 -- 1   Ibrox Park ( first )   13,000       1890 -- 91   Heart of Midlothian ( 1 )   1 -- 0   Dumbarton   Hampden Park ( second )   10,836       1891 -- 92   Celtic ( 1 )   1 -- 0 ‡   Queen 's Park   Ibrox Park ( first )   40,000       ( R )   5 -- 1   Ibrox Park ( first )   26,000       1892 -- 93   Queen 's Park ( 10 )   0 -- 1 ‡   Celtic   Ibrox Park ( first )   18,771       ( R )   2 -- 1   Ibrox Park ( first )   13,239       1893 -- 94   Rangers ( 1 )   3 -- 1   Celtic   Hampden Park ( second )   17,000       1894 -- 95   St Bernard 's ( 1 )   2 -- 1   Renton   Ibrox Park ( first )   10,000       1895 -- 96   Heart of Midlothian ( 2 )   3 -- 1   Hibernian   New Logie Green   16,034       1896 -- 97   Rangers ( 2 )   5 -- 1   Dumbarton   Hampden Park ( second )   14,000       1897 -- 98   Rangers ( 3 )   2 -- 0   Kilmarnock   Hampden Park ( second )   13,000       1898 -- 99   Celtic ( 2 )   2 -- 0   Rangers   Hampden Park ( second )   25,000       1899 -- 1900   Celtic ( 3 )   4 -- 3   Queen 's Park   Ibrox Park   15,000       1900 -- 01   Heart of Midlothian ( 3 )   4 -- 3   Celtic   Ibrox Park   15,000       1901 -- 02   Hibernian ( 2 )   1 -- 0   Celtic   Celtic Park   16,000       1902 -- 03   Rangers ( 4 )   1 -- 1   Heart of Midlothian   Celtic Park   13,000       ( R )   0 -- 0   Celtic Park   35,000       ( SR )   2 -- 0   Celtic Park   30,000       1903 -- 04   Celtic ( 4 )   3 -- 2   Rangers   Hampden Park   64,472       1904 -- 05   Third Lanark ( 2 )   0 -- 0   Rangers   Hampden Park   54,000       ( R )   3 -- 1   Hampden Park   55,000       1905 -- 06   Heart of Midlothian ( 4 )   1 -- 0   Third Lanark   Ibrox Park   30,000       1906 -- 07   Celtic ( 5 )   3 -- 0   Heart of Midlothian   Hampden Park   50,000       1907 -- 08   Celtic ( 6 )   5 -- 1   St Mirren   Hampden Park   58,000       1909 -- 10   Dundee ( 1 )   2 -- 2   Clyde   Ibrox Park   60,000       ( R )   0 -- 0 *   Ibrox Park   25,000       ( SR )   2 -- 1   Ibrox Park   25,000       1910 -- 11   Celtic ( 7 )   0 -- 0   Hamilton Academical   Ibrox Park   45,000       ( R )   2 -- 0   Ibrox Park   25,000       1911 -- 12   Celtic ( 8 )   2 -- 0   Clyde   Ibrox Park   45,000       1912 -- 13   Falkirk ( 1 )   2 -- 0   Raith Rovers   Celtic Park   45,000       1913 -- 14   Celtic ( 9 )   0 -- 0   Hibernian   Ibrox Park   56,000       ( R )   4 -- 1   Ibrox Park   40,000       1919 -- 20   Kilmarnock ( 1 )   3 -- 2   Albion Rovers   Hampden Park   95,000       1920 -- 21   Partick Thistle ( 1 )   1 -- 0   Rangers   Celtic Park   28,294       1921 -- 22   Morton ( 1 )   1 -- 0   Rangers   Hampden Park   70,000       1922 -- 23   Celtic ( 10 )   1 -- 0   Hibernian   Hampden Park   82,000       1923 -- 24   Airdrieonians ( 1 )   2 -- 0   Hibernian   Ibrox Park   65,000       1924 -- 25   Celtic ( 11 )   2 -- 1   Dundee   Hampden Park   75,317       1925 -- 26   St Mirren ( 1 )   2 -- 0   Celtic   Hampden Park   98,000       1926 -- 27   Celtic ( 12 )   3 -- 1   East Fife   Hampden Park   80,070       1927 -- 28   Rangers ( 5 )   4 -- 0   Celtic   Hampden Park   118,115       1928 -- 29   Kilmarnock ( 2 )   2 -- 0   Rangers   Hampden Park   114,780       1929 -- 30   Rangers ( 6 )   0 -- 0   Partick Thistle   Hampden Park   107,475       ( R )   2 -- 1   Hampden Park   103,688       1930 -- 31   Celtic ( 13 )   2 -- 2   Motherwell   Hampden Park   104,863       ( R )   4 -- 2   Hampden Park   98,509       1931 -- 32   Rangers ( 7 )   1 -- 1   Kilmarnock   Hampden Park   112,000       ( R )   3 -- 0   Hampden Park   104,600       1932 -- 33   Celtic ( 14 )   1 -- 0   Motherwell   Hampden Park   102,339       1933 -- 34   Rangers ( 8 )   5 -- 0   St Mirren   Hampden Park   113,430       1934 -- 35   Rangers ( 9 )   2 -- 1   Hamilton Academical   Hampden Park   87,740       1935 -- 36   Rangers ( 10 )   1 -- 0   Third Lanark   Hampden Park   88,859       1936 -- 37   Celtic ( 15 )   2 -- 1   Aberdeen   Hampden Park   147,365       1937 -- 38   East Fife ( 1 )   1 -- 1   Kilmarnock   Hampden Park   80,091       ( R )   4 -- 2 *   Hampden Park   92,716       1938 -- 39   Clyde ( 1 )   4 -- 0   Motherwell   Hampden Park   94,000       1946 -- 47   Aberdeen ( 1 )   2 -- 1   Hibernian   Hampden Park   82,140       1947 -- 48   Rangers ( 11 )   1 -- 1 *   Morton   Hampden Park   129,176       ( R )   1 -- 0 *   Hampden Park   133,750       1948 -- 49   Rangers ( 12 )   4 -- 1   Clyde   Hampden Park   108,435       1949 -- 50   Rangers ( 13 )   3 -- 0   East Fife   Hampden Park   118,262       1950 -- 51   Celtic ( 16 )   1 -- 0   Motherwell   Hampden Park   131,943       1951 -- 52   Motherwell ( 1 )   4 -- 0   Dundee   Hampden Park   136,274       1952 -- 53   Rangers ( 14 )   1 -- 1   Aberdeen   Hampden Park   129,761       ( R )   1 -- 0   Hampden Park   113,700       1953 -- 54   Celtic ( 17 )   2 -- 1   Aberdeen   Hampden Park   130,060       1954 -- 55   Clyde ( 2 )   1 -- 1   Celtic   Hampden Park   106,234       ( R )   1 -- 0   Hampden Park   68,831       1955 -- 56   Heart of Midlothian ( 5 )   3 -- 1   Celtic   Hampden Park   132,840       1956 -- 57   Falkirk ( 2 )   1 -- 1   Kilmarnock   Hampden Park   83,000       ( R )   2 -- 1 *   Hampden Park   79,785       1957 -- 58   Clyde ( 3 )   1 -- 0   Hibernian   Hampden Park   95,123       1958 -- 59   St Mirren ( 2 )   3 -- 1   Aberdeen   Hampden Park   108,591       1959 -- 60   Rangers ( 15 )   2 -- 0   Kilmarnock   Hampden Park   108,017       1960 -- 61   Dunfermline Athletic ( 1 )   0 -- 0   Celtic   Hampden Park   113,618       ( R )   2 -- 0   Hampden Park   87,866       1961 -- 62   Rangers ( 16 )   2 -- 0   St Mirren   Hampden Park   127,940       1962 -- 63   Rangers ( 17 )   1 -- 1   Celtic   Hampden Park   129,643       ( R )   3 -- 0   Hampden Park   120,273       1963 -- 64   Rangers ( 18 )   3 -- 1   Dundee   Hampden Park   120,982       1964 -- 65   Celtic ( 18 )   3 -- 2   Dunfermline Athletic   Hampden Park   108,800       1965 -- 66   Rangers ( 19 )   0 -- 0   Celtic   Hampden Park   126,552       ( R )   1 -- 0   Hampden Park   98,202       1966 -- 67   Celtic ( 19 )   2 -- 0   Aberdeen   Hampden Park   126,102       1967 -- 68   Dunfermline Athletic ( 2 )   3 -- 1   Heart of Midlothian   Hampden Park   56,365       1968 -- 69   Celtic ( 20 )   4 -- 0   Rangers   Hampden Park   132,000       1969 -- 70   Aberdeen ( 2 )   3 -- 1   Celtic   Hampden Park   108,434       1970 -- 71   Celtic ( 21 )   1 -- 1   Rangers   Hampden Park   120,092       ( R )   2 -- 1   Hampden Park   103,332       1971 -- 72   Celtic ( 22 )   6 -- 1   Hibernian   Hampden Park   106,102       1972 -- 73   Rangers ( 20 )   3 -- 2   Celtic   Hampden Park   122,714       1973 -- 74   Celtic ( 23 )   3 -- 0   Dundee United   Hampden Park   75,959       1974 -- 75   Celtic ( 24 )   3 -- 1   Airdrieonians   Hampden Park   75,457       1975 -- 76   Rangers ( 21 )   3 -- 1   Heart of Midlothian   Hampden Park   85,354       1976 -- 77   Celtic ( 25 )   1 -- 0   Rangers   Hampden Park   54,252       1977 -- 78   Rangers ( 22 )   2 -- 1   Aberdeen   Hampden Park   61,563       1978 -- 79   Rangers ( 23 )   0 -- 0   Hibernian   Hampden Park   50,610       ( R )   0 -- 0 *   Hampden Park   33,504       ( SR )   3 -- 2 *   Hampden Park   30,602       1979 -- 80   Celtic ( 26 )   1 -- 0 *   Rangers   Hampden Park   70,303       1980 -- 81   Rangers ( 24 )   0 -- 0 *   Dundee United   Hampden Park   53,000       ( R )   4 -- 1   Hampden Park   43,099       1981 -- 82   Aberdeen ( 3 )   4 -- 1 *   Rangers   Hampden Park   53,788       1982 -- 83   Aberdeen ( 4 )   1 -- 0 *   Rangers   Hampden Park   62,979       1983 -- 84   Aberdeen ( 5 )   2 -- 1 *   Celtic   Hampden Park   58,900       1984 -- 85   Celtic ( 27 )   2 -- 1   Dundee United   Hampden Park   60,346       1985 -- 86   Aberdeen ( 6 )   3 -- 0   Heart of Midlothian   Hampden Park   62,841       1986 -- 87   St Mirren ( 3 )   1 -- 0 *   Dundee United   Hampden Park   51,782       1987 -- 88   Celtic ( 28 )   2 -- 1   Dundee United   Hampden Park   74,000       1988 -- 89   Celtic ( 29 )   1 -- 0   Rangers   Hampden Park   72,069       1989 -- 90   Aberdeen ( 7 )   0 -- 0 †   Celtic   Hampden Park   60,493       1990 -- 91   Motherwell ( 2 )   4 -- 3 *   Dundee United   Hampden Park   57,319       1991 -- 92   Rangers ( 25 )   2 -- 1   Airdrieonians   Hampden Park   44,045       1992 -- 93   Rangers ( 26 )   2 -- 1   Aberdeen   Celtic Park   50,715       1993 -- 94   Dundee United ( 1 )   1 -- 0   Rangers   Hampden Park   37,450       1994 -- 95   Celtic ( 30 )   1 -- 0   Airdrieonians   Hampden Park   36,915       1995 -- 96   Rangers ( 27 )   5 -- 1   Heart of Midlothian   Hampden Park   37,730       1996 -- 97   Kilmarnock ( 3 )   1 -- 0   Falkirk   Ibrox Stadium   48,953       1997 -- 98   Heart of Midlothian ( 6 )   2 -- 1   Rangers   Celtic Park   48,946       1998 -- 99   Rangers ( 28 )   1 -- 0   Celtic   Hampden Park   52,670       1999 -- 00   Rangers ( 29 )   4 -- 0   Aberdeen   Hampden Park   50,865       2000 -- 01   Celtic ( 31 )   3 -- 0   Hibernian   Hampden Park   51,824       2001 -- 02   Rangers ( 30 )   3 -- 2   Celtic   Hampden Park   51,138       2002 -- 03   Rangers ( 31 )   1 -- 0   Dundee   Hampden Park   47,136       2003 -- 04   Celtic ( 32 )   3 -- 1   Dunfermline Athletic   Hampden Park   50,846       2004 -- 05   Celtic ( 33 )   1 -- 0   Dundee United   Hampden Park   50,635       2005 -- 06   Heart of Midlothian ( 7 )   1 -- 1 †   Gretna   Hampden Park   51,232       2006 -- 07   Celtic ( 34 )   1 -- 0   Dunfermline Athletic   Hampden Park   49,600       2007 -- 08   Rangers ( 32 )   3 -- 2   Queen of the South   Hampden Park   48,821       2008 -- 09   Rangers ( 33 )   1 -- 0   Falkirk   Hampden Park   50,956       2009 -- 10   Dundee United ( 2 )   3 -- 0   Ross County   Hampden Park   47,122       2010 -- 11   Celtic ( 35 )   3 -- 0   Motherwell   Hampden Park   49,618       2011 -- 12   Heart of Midlothian ( 8 )   5 -- 1   Hibernian   Hampden Park   51,041       2012 -- 13   Celtic ( 36 )   3 -- 0   Hibernian   Hampden Park   51,254       2013 -- 14   St Johnstone ( 1 )   2 -- 0   Dundee United   Celtic Park   47,345       2014 -- 15   Inverness Caledonian Thistle ( 1 )   2 -- 1   Falkirk   Hampden Park   37,149       2015 -- 16   Hibernian ( 3 )   3 -- 2   Rangers   Hampden Park   50,701       2016 -- 17   Celtic ( 37 )   2 -- 1   Aberdeen   Hampden Park   48,713       2017 -- 18   Celtic ( 38 )   2 -- 0   Motherwell   Hampden Park   49,967       Performance by Club ( edit )     Club   Wins   Last win   Runners - up   Last final lost     Celtic   38   2018   18   2002     Rangers   33   2009   18   2016     Queen 's Park   10   1893     1900     Heart of Midlothian   8   2012   6       Aberdeen   7   1990   9   2017     Hibernian     2016   11   2013     Kilmarnock     1997   5   1960     Vale of Leven     1879     1890     Clyde     1958     1949     St Mirren         1962     Dundee United       8   2014     Motherwell     1991   6   2018     Third Lanark     1905     1936     Falkirk     1957     2015     Dunfermline Athletic     1968     2007     Renton     1888     1895     Dumbarton     1883   5   1897     Dundee     1910     2003     Airdrieonians ( 1878 )     1924     1995     East Fife     1938     1950     Greenock Morton     1922     1948     Partick Thistle     1921     1930     St. Bernard 's     1895   --   --     Inverness Caledonian Thistle     2015   --   --     St Johnstone     2014   --   --     Hamilton Academical   --   --     1935     Albion Rovers   --   --     1920     Cambuslang   --   --     1888     Clydesdale   --   --     1874     Gretna   --   --     2006     Queen of the South   --   --     2008     Raith Rovers   --   --     1913     Ross County   --   --         Thornliebank   --   --     1880     Note : The 1909 Scottish Cup Final between Rangers and Celtic is not included in this tally .   By City / Town ( edit )     City / Town   Wins   Clubs     Glasgow   84   Celtic ( 38 ) , Rangers ( 33 ) , Queen 's Park ( 10 ) , Third Lanark ( 2 ) , Partick Thistle ( 1 )     Edinburgh   12   Heart of Midlothian ( 8 ) , Hibernian ( 3 ) , St Bernard 's ( 1 )     Aberdeen   7   Aberdeen ( 7 )     Alexandria     Vale of Leven ( 3 )     Dundee     Dundee United ( 2 ) , Dundee ( 1 )     Kilmarnock     Kilmarnock ( 3 )     Paisley     St Mirren ( 3 )     Rutherglen     Clyde ( 3 )     Dunfermline     Dunfermline Athletic ( 2 )     Falkirk     Falkirk ( 2 )     Motherwell     Motherwell ( 2 )     Renton     Renton ( 2 )     Airdrie     Airdrieonians ( 1 )     Dumbarton     Dumbarton ( 1 )     Greenock     Greenock Morton ( 1 )     Inverness     Inverness Caledonian Thistle ( 1 )     Methil     East Fife ( 1 )     Perth     St Johnstone ( 1 )     See also ( edit )    List of Scottish League Cup finals   Football records in Scotland    Notes ( edit )   References ( edit )    Jump up ^ `` Official Site of the Tennent 's Scottish Cup Scottish Football Museum Experience '' . Retrieved 16 December 2008 .   Jump up ^ Soar , Phil ; Martin Tyler ( 1983 ) . Encyclopedia of British Football . Willow Books . p. 64 . ISBN 0 - 0021 - 8049 - 9 .   Jump up ^ `` FA Cup 1883 -- 84 '' . The Football Club History Database . Archived from the original on 16 February 2010 . Retrieved 16 December 2008 .   Jump up ^ `` FA Cup 1884 -- 85 '' . The Football Club History Database . Archived from the original on 16 February 2010 . Retrieved 16 December 2008 .   Jump up ^ `` Ask Albert -- Number 5 '' . BBC Sport . BBC . 19 February 2001 . Archived from the original on 28 March 2009 . Retrieved 2 December 2013 .   Jump up ^ `` Scottish League Division One 1900 -- 01 '' . James Ross . Retrieved 16 December 2008 .   Jump up ^ Dart , James ( 21 March 2007 ) . `` Why no one won the Scottish Cup in 1909 '' . London : The Guardian . Retrieved 16 December 2008 .   ^ Jump up to : Ross , James M. ( 12 February 2015 ) . `` Scotland - List of Cup Finals '' . RSSSF . Retrieved 30 May 2015 .   Jump up ^ `` 1874 Final '' . Soccerbase . Retrieved 16 December 2008 .   Jump up ^ `` 1875 Final '' . Soccerbase . Retrieved 16 December 2008 .   Jump up ^ `` 1876 Final '' . Soccerbase . Retrieved 16 December 2008 .   Jump up ^ `` 1876 Final ( R ) '' . Soccerbase . Retrieved 16 December 2008 .   Jump up ^ `` 1877 Final '' . Soccerbase . Retrieved 16 December 2008 .   Jump up ^ `` 1877 Final ( R ) '' . Soccerbase . Retrieved 16 December 2008 .   Jump up ^ `` 1877 Final ( SR ) '' . Soccerbase . Retrieved 16 December 2008 .   Jump up ^ `` 1878 Final '' . Soccerbase . Retrieved 16 December 2008 .   Jump up ^ `` 1879 Final '' . Soccerbase . Retrieved 16 December 2008 .   Jump up ^ Rangers refused to appear in protest at a disallowed goal in the original match `` 1872 - 1898 Birth Of The Blues '' . Rangers F.C . Retrieved 16 December 2008 .   Jump up ^ `` 1880 Final '' . Soccerbase . Retrieved 16 December 2008 .   Jump up ^ Dumbarton protested `` Scotland - List of Cup Finals -- 1874 - 1890 notes '' . RSSSF . Retrieved 16 December 2008 .   Jump up ^ `` 1881 Final '' . Soccerbase . Retrieved 16 December 2008 .   Jump up ^ `` 1881 Final ( R ) '' . Soccerbase . Retrieved 16 December 2008 .   Jump up ^ `` 1882 Final '' . Soccerbase . Retrieved 16 December 2008 .   Jump up ^ `` 1882 Final ( R ) '' . Soccerbase . Retrieved 16 December 2008 .   Jump up ^ `` 1883 Final '' . Soccerbase . Retrieved 16 December 2008 .   Jump up ^ `` 1883 ( R ) Final '' . Soccerbase . Retrieved 16 December 2008 .   Jump up ^ Vale of Leven failed to appear `` Scotland - List of Cup Finals -- 1874 - 1890 notes '' . RSSSF . Retrieved 16 December 2008 .   Jump up ^ `` 1885 Final '' . Soccerbase . Retrieved 16 December 2008 .   Jump up ^ `` 1885 Final '' . Soccerbase . Retrieved 16 December 2008 .   Jump up ^ `` 1886 Final '' . Soccerbase . Retrieved 16 December 2008 .   Jump up ^ `` 1887 Final '' . Soccerbase . Retrieved 16 December 2008 .   Jump up ^ `` 1888 Final '' . Soccerbase . Retrieved 16 December 2008 .   Jump up ^ Replayed as ordered by the SFA due to playing conditions in original match `` Scotland - List of Cup Finals -- 1874 - 1890 notes '' . RSSSF . Retrieved 16 December 2008 .   Jump up ^ `` 1889 Final '' . Soccerbase . Retrieved 16 December 2008 .   Jump up ^ `` 1889 Final ( R ) '' . Soccerbase . Retrieved 16 December 2008 .   Jump up ^ `` 1890 Final '' . Soccerbase . Retrieved 16 December 2008 .   Jump up ^ `` 1890 Final '' . Soccerbase . Retrieved 16 December 2008 .   Jump up ^ `` 1890 Final '' . Soccerbase . Retrieved 16 December 2008 .   Jump up ^ Match mutually protested `` Scotland - List of Cup Finals -- 1874 - 1890 notes '' . RSSSF . Retrieved 16 December 2008 .   Jump up ^ `` 1892 Final '' . Soccerbase . Retrieved 16 December 2008 .   Jump up ^ `` 1892 ( R ) Final '' . Soccerbase . Retrieved 16 December 2008 .   Jump up ^ Match void due to difficult field conditions `` 1892 / 93 '' . RSSSF . Retrieved 16 December 2008 .   Jump up ^ `` 1893 Final '' . Soccerbase . Retrieved 16 December 2008 .   Jump up ^ `` 1893 ( R ) Final '' . Soccerbase . Retrieved 16 December 2008 .   Jump up ^ `` 1894 Final '' . Soccerbase . Retrieved 16 December 2008 .   Jump up ^ `` 1895 Final '' . Soccerbase . Retrieved 16 December 2008 .   Jump up ^ `` 1896 Final '' . Soccerbase . Retrieved 16 December 2008 .   Jump up ^ `` 1897 Final '' . Soccerbase . Retrieved 16 December 2008 .   Jump up ^ `` 1898 Final '' . Soccerbase . Retrieved 16 December 2008 .   Jump up ^ `` 1899 Final '' . Soccerbase . Retrieved 16 December 2008 .   Jump up ^ `` 1900 Final '' . Soccerbase . Retrieved 16 December 2008 .   Jump up ^ `` 1901 Final '' . Soccerbase . Retrieved 16 December 2008 .   Jump up ^ `` 1902 Final '' . Soccerbase . Retrieved 16 December 2008 .   Jump up ^ `` 1903 Final '' . Soccerbase . Retrieved 16 December 2008 .   Jump up ^ `` 1903 Final ( R ) '' . Soccerbase . Retrieved 16 December 2008 .   Jump up ^ `` 1903 Final ( SR ) '' . Soccerbase . Retrieved 16 December 2008 .   Jump up ^ `` 1904 Final '' . Soccerbase . Retrieved 16 December 2008 .   Jump up ^ `` 1905 Final '' . Soccerbase . Retrieved 16 December 2008 .   Jump up ^ `` 1905 Final ( R ) '' . Soccerbase . Retrieved 16 December 2008 .   Jump up ^ `` 1906 Final '' . Soccerbase . Retrieved 16 December 2008 .   Jump up ^ `` 1907 Final '' . Soccerbase . Retrieved 16 December 2008 .   Jump up ^ `` 1908 Final '' . Soccerbase . Retrieved 16 December 2008 .   Jump up ^ `` 1910 Final '' . Soccerbase . Retrieved 16 December 2008 .   Jump up ^ `` 1910 Final ( R ) '' . Soccerbase . Retrieved 16 December 2008 .   Jump up ^ `` 1910 Final ( SR ) '' . Soccerbase . Retrieved 16 December 2008 .   Jump up ^ `` 1911 Final '' . Soccerbase . Retrieved 16 December 2008 .   Jump up ^ `` 1911 Final ( R ) '' . Soccerbase . Retrieved 16 December 2008 .   Jump up ^ `` 1912 Final '' . Soccerbase . Retrieved 16 December 2008 .   Jump up ^ `` 1913 Final '' . Soccerbase . Retrieved 16 December 2008 .   Jump up ^ `` 1914 Final '' . Soccerbase . Retrieved 16 December 2008 .   Jump up ^ `` 1915 Final '' . Soccerbase . Retrieved 16 December 2008 .   Jump up ^ `` 1920 Final '' . Soccerbase . Retrieved 16 December 2008 .   Jump up ^ `` Killie 3 -- 2 Albion Rovers '' . Killie FC . Retrieved 3 December 2017 .   Jump up ^ `` 1921 Final '' . Soccerbase . Retrieved 16 December 2008 .   Jump up ^ `` How Partick Thistle won the Scottish Cup '' . The Sunday Post via Partick Thistle History Archive. 17 April 1921 . Retrieved 3 April 2017 .   Jump up ^ `` 1922 Final '' . Soccerbase . Retrieved 16 December 2008 .   Jump up ^ `` 1923 Final '' . Soccerbase . Retrieved 16 December 2008 .   Jump up ^ `` 1924 Final '' . Soccerbase . Retrieved 16 December 2008 .   Jump up ^ `` 1925 Final '' . Soccerbase . Retrieved 16 December 2008 .   Jump up ^ `` 1926 Final '' . Soccerbase . Retrieved 16 December 2008 .   Jump up ^ `` 1927 Final '' . Soccerbase . Retrieved 16 December 2008 .   Jump up ^ `` 1928 Final '' . Soccerbase . Retrieved 16 December 2008 .   Jump up ^ `` 1929 Final '' . Soccerbase . Retrieved 16 December 2008 .   Jump up ^ `` 1930 Final '' . Soccerbase . Retrieved 16 December 2008 .   Jump up ^ `` 1930 Final ( R ) '' . Soccerbase . Retrieved 16 December 2008 .   Jump up ^ `` 1931 Final '' . Soccerbase . Retrieved 16 December 2008 .   Jump up ^ `` 1931 Final ( R ) '' . Soccerbase . Retrieved 16 December 2008 .   Jump up ^ `` 1932 Final '' . Soccerbase . Retrieved 16 December 2008 .   Jump up ^ `` 1932 Final ( R ) '' . Soccerbase . Retrieved 16 December 2008 .   Jump up ^ `` 1933 Final '' . Soccerbase . Retrieved 16 December 2008 .   Jump up ^ `` 1934 Final '' . Soccerbase . Retrieved 16 December 2008 .   Jump up ^ `` 1935 Final '' . Soccerbase . Retrieved 16 December 2008 .   Jump up ^ `` 1936 Final '' . Soccerbase . Retrieved 16 December 2008 .   Jump up ^ `` 1937 Final '' . Soccerbase . Retrieved 16 December 2008 .   Jump up ^ `` 1938 Final '' . Soccerbase . Retrieved 16 December 2008 .   Jump up ^ `` 1938 Final ( R ) '' . Soccerbase . Retrieved 16 December 2008 .   Jump up ^ `` 1939 Final '' . Soccerbase . Retrieved 16 December 2008 .   Jump up ^ `` 1947 Final '' . Soccerbase . Retrieved 16 December 2008 .   Jump up ^ `` 1948 Final '' . Soccerbase . Retrieved 16 December 2008 .   Jump up ^ `` 1948 Final ( R ) '' . Soccerbase . Retrieved 16 December 2008 .   Jump up ^ `` 1948 Final ( R ) '' . Soccerbase . Retrieved 16 December 2008 .   Jump up ^ `` 1950 Final '' . Soccerbase . Retrieved 16 December 2008 .   Jump up ^ `` 1951 Final '' . Soccerbase . Retrieved 16 December 2008 .   Jump up ^ `` 1952 Final '' . Soccerbase . Retrieved 16 December 2008 .   Jump up ^ `` 1953 Final '' . Soccerbase . Retrieved 16 December 2008 .   Jump up ^ `` 1953 Final '' . Soccerbase . Retrieved 16 December 2008 .   Jump up ^ `` 1954 Final '' . Soccerbase . Retrieved 16 December 2008 .   Jump up ^ `` 1955 Final '' . Soccerbase . Retrieved 16 December 2008 .   Jump up ^ `` 1955 Final ( R ) '' . Soccerbase . Retrieved 16 December 2008 .   Jump up ^ `` 1956 Final '' . Soccerbase . Retrieved 16 December 2008 .   Jump up ^ `` 1957 Final '' . Soccerbase . Retrieved 16 December 2008 .   Jump up ^ `` 1957 Final ( R ) '' . Soccerbase . Retrieved 16 December 2008 .   Jump up ^ `` 1958 Final '' . Soccerbase . Retrieved 16 December 2008 .   Jump up ^ `` 1959 Final '' . Soccerbase . Retrieved 16 December 2008 .   Jump up ^ `` 1960 Final '' . Soccerbase . Retrieved 16 December 2008 .   Jump up ^ `` 1961 Final '' . Soccerbase . Retrieved 16 December 2008 .   Jump up ^ `` 1961 Final ( R ) '' . Soccerbase . Retrieved 16 December 2008 .   Jump up ^ `` 1962 Final '' . Soccerbase . Retrieved 16 December 2008 .   Jump up ^ `` 1963 Final '' . Soccerbase . Retrieved 16 December 2008 .   Jump up ^ `` 1963 Final ( R ) '' . Soccerbase . Retrieved 16 December 2008 .   Jump up ^ `` 1964 Final '' . Soccerbase . Retrieved 16 December 2008 .   Jump up ^ `` Classic matches : Rangers 3 -- 1 Dundee , April 1964 '' . Rangers F.C . Retrieved 3 January 2018 .   Jump up ^ `` 1965 Final '' . Soccerbase . Retrieved 16 December 2008 .   Jump up ^ `` 1966 Final '' . Soccerbase . Retrieved 16 December 2008 .   Jump up ^ `` 1966 Final ( R ) '' . Soccerbase . Retrieved 16 December 2008 .   Jump up ^ `` 1967 Final '' . Soccerbase . Retrieved 16 December 2008 .   Jump up ^ `` 1968 Final '' . Soccerbase . Retrieved 16 December 2008 .   Jump up ^ `` 1969 Final '' . Soccerbase . Retrieved 16 December 2008 .   Jump up ^ `` 1970 Final '' . Soccerbase . Retrieved 16 December 2008 .   Jump up ^ `` 1971 Final '' . Soccerbase . Retrieved 16 December 2008 .   Jump up ^ `` 1971 Final ( R ) '' . Soccerbase . Retrieved 16 December 2008 .   Jump up ^ `` 1972 Final '' . Soccerbase . Retrieved 16 December 2008 .   Jump up ^ `` 1973 Final '' . Soccerbase . Retrieved 16 December 2008 .   Jump up ^ `` 1974 Final '' . Soccerbase . Retrieved 16 December 2008 .   Jump up ^ `` 1975 Final '' . Soccerbase . Retrieved 16 December 2008 .   Jump up ^ `` 1976 Final '' . Soccerbase . Retrieved 16 December 2008 .   Jump up ^ `` 1977 Final '' . Soccerbase . Retrieved 16 December 2008 .   Jump up ^ `` 1978 Final '' . Soccerbase . Retrieved 16 December 2008 .   Jump up ^ `` 1979 Final '' . Soccerbase . Retrieved 16 December 2008 .   Jump up ^ `` 1979 Final ( R ) '' . Soccerbase . Retrieved 16 December 2008 .   Jump up ^ `` 1979 Final ( SR ) '' . Soccerbase . Retrieved 16 December 2008 .   Jump up ^ `` 1980 Final '' . Soccerbase . Retrieved 16 December 2008 .   Jump up ^ `` 1981 Final '' . Soccerbase . Retrieved 16 December 2008 .   Jump up ^ `` 1981 Final ( R ) '' . Soccerbase . Retrieved 16 December 2008 .   Jump up ^ `` 1982 Final '' . Soccerbase . Retrieved 16 December 2008 .   Jump up ^ `` 1983 Final '' . Soccerbase . Retrieved 16 December 2008 .   Jump up ^ `` 1984 Final '' . Soccerbase . Retrieved 16 December 2008 .   Jump up ^ `` 1985 Final '' . Soccerbase . Retrieved 16 December 2008 .   Jump up ^ `` 1986 Final '' . Soccerbase . Retrieved 16 December 2008 .   Jump up ^ `` 1987 Final '' . Soccerbase . Retrieved 16 December 2008 .   Jump up ^ `` 1988 Final '' . Soccerbase . Retrieved 16 December 2008 .   Jump up ^ `` 1989 Final '' . Soccerbase . Retrieved 16 December 2008 .   Jump up ^ `` 1990 Final '' . Soccerbase . Retrieved 16 December 2008 .   Jump up ^ `` 1991 Final '' . Soccerbase . Retrieved 16 December 2008 .   Jump up ^ `` 1992 Final '' . Soccerbase . Retrieved 16 December 2008 .   Jump up ^ `` 1993 Final '' . Soccerbase . Retrieved 16 December 2008 .   Jump up ^ `` 1994 Final '' . Soccerbase . Retrieved 16 December 2008 .   Jump up ^ `` 1995 Final '' . Soccerbase . Retrieved 16 December 2008 .   Jump up ^ `` 1996 Final '' . Soccerbase . Retrieved 16 December 2008 .   Jump up ^ `` 1997 Final '' . Soccerbase . Retrieved 16 December 2008 .   Jump up ^ `` 1998 Final '' . Soccerbase . Retrieved 16 December 2008 .   Jump up ^ `` 1999 Final '' . Soccerbase . Retrieved 16 December 2008 .   Jump up ^ `` 2000 Final '' . Soccerbase . Retrieved 16 December 2008 .   Jump up ^ `` 1901 Final '' . Soccerbase . Retrieved 16 December 2008 .   Jump up ^ `` 2002 Final '' . Soccerbase . Retrieved 16 December 2008 .   Jump up ^ `` 2003 Final '' . Soccerbase . Retrieved 16 December 2008 .   Jump up ^ `` 2004 Final '' . Soccerbase . Retrieved 16 December 2008 .   Jump up ^ `` 2005 Final '' . Soccerbase . Retrieved 16 December 2008 .   Jump up ^ `` 2006 Final '' . Soccerbase . Archived from the original on 23 October 2012 . Retrieved 16 December 2008 .   Jump up ^ `` 2007 Final '' . Soccerbase . Retrieved 16 December 2008 .   Jump up ^ `` 2008 Final '' . Soccerbase . Retrieved 16 December 2008 .   Jump up ^ `` 2009 Final '' . Soccerbase . Retrieved 7 July 2009 .   Jump up ^ McGuigan , Thomas ( 15 May 2010 ) . `` Dundee Utd 3 - 0 Ross County '' . BBC Sport . BBC . Retrieved 2 December 2013 .   Jump up ^ Wilson , Richard ( 17 May 2014 ) . `` St Johnstone 2 -- 0 Dundee Utd '' . BBC Sport . BBC . Retrieved 17 May 2014 .   Jump up ^ BBC Report - Inverness CT 2 -- 1 Falkirk   Jump up ^ BBC Report - Rangers 2 -- 3 Hibernian   Jump up ^ BBC Report - Celtic 2 -- 1 Aberdeen   Jump up ^ BBC Report - Celtic 2 -- 0 Motherwell</t>
  </si>
  <si>
    <t xml:space="preserve">when did rangers last win the scottish cup</t>
  </si>
  <si>
    <t xml:space="preserve">   Season   Winner   Score   Runner - up   Venue   Attendance   Notes     1873 -- 74   Queen 's Park ( 1 )   2 -- 0   Clydesdale   Hampden Park ( original )   2,500       1874 -- 75   Queen 's Park ( 2 )   3 -- 0   Renton   Hampden Park ( original )   7,000       1875 -- 76   Queen 's Park ( 3 )   1 -- 1   3rd Lanark RV   Hamilton Crescent   6,000       ( R )   2 -- 0   Hampden Park ( original )   10,000       1876 -- 77   Vale of Leven ( 1 )   1 -- 1   Rangers   Hamilton Crescent   8,000       ( R )   1 -- 1   Hamilton Crescent   15,000       ( SR )   3 -- 2   Hampden Park ( original )   12,000       1877 -- 78   Vale of Leven ( 2 )   1 -- 0   3rd Lanark RV   Hampden Park ( original )   5,000       1878 -- 79   Vale of Leven ( 3 )   1 -- 1   Rangers   Hampden Park ( original )   9,000       ( R )   walkover   Hampden Park ( original )         1879 -- 80   Queen 's Park ( 4 )   3 -- 0   Thornliebank   Hampden Park ( original )   4,000       1880 -- 81   Queen 's Park ( 5 )   2 -- 1 ‡   Dumbarton   Kinning Park   15,000       ( R )   3 -- 1   Kinning Park   10,000       1881 -- 82   Queen 's Park ( 6 )   2 -- 2   Dumbarton   Cathkin Park ( first )   12,500       ( R )   4 -- 1   Cathkin Park ( first )   14,000       1882 -- 83   Dumbarton ( 1 )   2 -- 2   Vale of Leven   Hampden Park ( original )   15,000       ( R )   2 -- 1   Hampden Park ( original )   12,000       1883 -- 84   Queen 's Park ( 7 )   walkover   Vale of Leven   Cathkin Park ( first )         1884 -- 85   Renton ( 1 )   0 -- 0   Vale of Leven   Hampden Park ( second )   3,000       ( R )   3 -- 1   Hampden Park ( second )   5,500       1885 -- 86   Queen 's Park ( 8 )   3 -- 1   Renton   Cathkin Park ( first )   7,000       1886 -- 87   Hibernian ( 1 )   2 -- 1   Dumbarton   Hampden Park ( second )   15,000       1887 -- 88   Renton ( 2 )   6 -- 1   Cambuslang   Hampden Park ( second )   10,000       1888 -- 89   3rd Lanark RV ( 1 )   3 -- 0 ‡   Celtic   Hampden Park ( second )   17,000       ( R )   2 -- 1   Hampden Park ( second )   13,000       1889 -- 90   Queen 's Park ( 9 )   1 -- 1   Vale of Leven   Ibrox Park ( first )   11,000       ( R )   2 -- 1   Ibrox Park ( first )   13,000       1890 -- 91   Heart of Midlothian ( 1 )   1 -- 0   Dumbarton   Hampden Park ( second )   10,836       1891 -- 92   Celtic ( 1 )   1 -- 0 ‡   Queen 's Park   Ibrox Park ( first )   40,000       ( R )   5 -- 1   Ibrox Park ( first )   26,000       1892 -- 93   Queen 's Park ( 10 )   0 -- 1 ‡   Celtic   Ibrox Park ( first )   18,771       ( R )   2 -- 1   Ibrox Park ( first )   13,239       1893 -- 94   Rangers ( 1 )   3 -- 1   Celtic   Hampden Park ( second )   17,000       1894 -- 95   St Bernard 's ( 1 )   2 -- 1   Renton   Ibrox Park ( first )   10,000       1895 -- 96   Heart of Midlothian ( 2 )   3 -- 1   Hibernian   New Logie Green   16,034       1896 -- 97   Rangers ( 2 )   5 -- 1   Dumbarton   Hampden Park ( second )   14,000       1897 -- 98   Rangers ( 3 )   2 -- 0   Kilmarnock   Hampden Park ( second )   13,000       1898 -- 99   Celtic ( 2 )   2 -- 0   Rangers   Hampden Park ( second )   25,000       1899 -- 1900   Celtic ( 3 )   4 -- 3   Queen 's Park   Ibrox Park   15,000       1900 -- 01   Heart of Midlothian ( 3 )   4 -- 3   Celtic   Ibrox Park   15,000       1901 -- 02   Hibernian ( 2 )   1 -- 0   Celtic   Celtic Park   16,000       1902 -- 03   Rangers ( 4 )   1 -- 1   Heart of Midlothian   Celtic Park   13,000       ( R )   0 -- 0   Celtic Park   35,000       ( SR )   2 -- 0   Celtic Park   30,000       1903 -- 04   Celtic ( 4 )   3 -- 2   Rangers   Hampden Park   64,472       1904 -- 05   Third Lanark ( 2 )   0 -- 0   Rangers   Hampden Park   54,000       ( R )   3 -- 1   Hampden Park   55,000       1905 -- 06   Heart of Midlothian ( 4 )   1 -- 0   Third Lanark   Ibrox Park   30,000       1906 -- 07   Celtic ( 5 )   3 -- 0   Heart of Midlothian   Hampden Park   50,000       1907 -- 08   Celtic ( 6 )   5 -- 1   St Mirren   Hampden Park   58,000       1909 -- 10   Dundee ( 1 )   2 -- 2   Clyde   Ibrox Park   60,000       ( R )   0 -- 0 *   Ibrox Park   25,000       ( SR )   2 -- 1   Ibrox Park   25,000       1910 -- 11   Celtic ( 7 )   0 -- 0   Hamilton Academical   Ibrox Park   45,000       ( R )   2 -- 0   Ibrox Park   25,000       1911 -- 12   Celtic ( 8 )   2 -- 0   Clyde   Ibrox Park   45,000       1912 -- 13   Falkirk ( 1 )   2 -- 0   Raith Rovers   Celtic Park   45,000       1913 -- 14   Celtic ( 9 )   0 -- 0   Hibernian   Ibrox Park   56,000       ( R )   4 -- 1   Ibrox Park   40,000       1919 -- 20   Kilmarnock ( 1 )   3 -- 2   Albion Rovers   Hampden Park   95,000       1920 -- 21   Partick Thistle ( 1 )   1 -- 0   Rangers   Celtic Park   28,294       1921 -- 22   Morton ( 1 )   1 -- 0   Rangers   Hampden Park   70,000       1922 -- 23   Celtic ( 10 )   1 -- 0   Hibernian   Hampden Park   82,000       1923 -- 24   Airdrieonians ( 1 )   2 -- 0   Hibernian   Ibrox Park   65,000       1924 -- 25   Celtic ( 11 )   2 -- 1   Dundee   Hampden Park   75,317       1925 -- 26   St Mirren ( 1 )   2 -- 0   Celtic   Hampden Park   98,000       1926 -- 27   Celtic ( 12 )   3 -- 1   East Fife   Hampden Park   80,070       1927 -- 28   Rangers ( 5 )   4 -- 0   Celtic   Hampden Park   118,115       1928 -- 29   Kilmarnock ( 2 )   2 -- 0   Rangers   Hampden Park   114,780       1929 -- 30   Rangers ( 6 )   0 -- 0   Partick Thistle   Hampden Park   107,475       ( R )   2 -- 1   Hampden Park   103,688       1930 -- 31   Celtic ( 13 )   2 -- 2   Motherwell   Hampden Park   104,863       ( R )   4 -- 2   Hampden Park   98,509       1931 -- 32   Rangers ( 7 )   1 -- 1   Kilmarnock   Hampden Park   112,000       ( R )   3 -- 0   Hampden Park   104,600       1932 -- 33   Celtic ( 14 )   1 -- 0   Motherwell   Hampden Park   102,339       1933 -- 34   Rangers ( 8 )   5 -- 0   St Mirren   Hampden Park   113,430       1934 -- 35   Rangers ( 9 )   2 -- 1   Hamilton Academical   Hampden Park   87,740       1935 -- 36   Rangers ( 10 )   1 -- 0   Third Lanark   Hampden Park   88,859       1936 -- 37   Celtic ( 15 )   2 -- 1   Aberdeen   Hampden Park   147,365       1937 -- 38   East Fife ( 1 )   1 -- 1   Kilmarnock   Hampden Park   80,091       ( R )   4 -- 2 *   Hampden Park   92,716       1938 -- 39   Clyde ( 1 )   4 -- 0   Motherwell   Hampden Park   94,000       1946 -- 47   Aberdeen ( 1 )   2 -- 1   Hibernian   Hampden Park   82,140       1947 -- 48   Rangers ( 11 )   1 -- 1 *   Morton   Hampden Park   129,176       ( R )   1 -- 0 *   Hampden Park   133,750       1948 -- 49   Rangers ( 12 )   4 -- 1   Clyde   Hampden Park   108,435       1949 -- 50   Rangers ( 13 )   3 -- 0   East Fife   Hampden Park   118,262       1950 -- 51   Celtic ( 16 )   1 -- 0   Motherwell   Hampden Park   131,943       1951 -- 52   Motherwell ( 1 )   4 -- 0   Dundee   Hampden Park   136,274       1952 -- 53   Rangers ( 14 )   1 -- 1   Aberdeen   Hampden Park   129,761       ( R )   1 -- 0   Hampden Park   113,700       1953 -- 54   Celtic ( 17 )   2 -- 1   Aberdeen   Hampden Park   130,060       1954 -- 55   Clyde ( 2 )   1 -- 1   Celtic   Hampden Park   106,234       ( R )   1 -- 0   Hampden Park   68,831       1955 -- 56   Heart of Midlothian ( 5 )   3 -- 1   Celtic   Hampden Park   132,840       1956 -- 57   Falkirk ( 2 )   1 -- 1   Kilmarnock   Hampden Park   83,000       ( R )   2 -- 1 *   Hampden Park   79,785       1957 -- 58   Clyde ( 3 )   1 -- 0   Hibernian   Hampden Park   95,123       1958 -- 59   St Mirren ( 2 )   3 -- 1   Aberdeen   Hampden Park   108,591       1959 -- 60   Rangers ( 15 )   2 -- 0   Kilmarnock   Hampden Park   108,017       1960 -- 61   Dunfermline Athletic ( 1 )   0 -- 0   Celtic   Hampden Park   113,618       ( R )   2 -- 0   Hampden Park   87,866       1961 -- 62   Rangers ( 16 )   2 -- 0   St Mirren   Hampden Park   127,940       1962 -- 63   Rangers ( 17 )   1 -- 1   Celtic   Hampden Park   129,643       ( R )   3 -- 0   Hampden Park   120,273       1963 -- 64   Rangers ( 18 )   3 -- 1   Dundee   Hampden Park   120,982       1964 -- 65   Celtic ( 18 )   3 -- 2   Dunfermline Athletic   Hampden Park   108,800       1965 -- 66   Rangers ( 19 )   0 -- 0   Celtic   Hampden Park   126,552       ( R )   1 -- 0   Hampden Park   98,202       1966 -- 67   Celtic ( 19 )   2 -- 0   Aberdeen   Hampden Park   126,102       1967 -- 68   Dunfermline Athletic ( 2 )   3 -- 1   Heart of Midlothian   Hampden Park   56,365       1968 -- 69   Celtic ( 20 )   4 -- 0   Rangers   Hampden Park   132,000       1969 -- 70   Aberdeen ( 2 )   3 -- 1   Celtic   Hampden Park   108,434       1970 -- 71   Celtic ( 21 )   1 -- 1   Rangers   Hampden Park   120,092       ( R )   2 -- 1   Hampden Park   103,332       1971 -- 72   Celtic ( 22 )   6 -- 1   Hibernian   Hampden Park   106,102       1972 -- 73   Rangers ( 20 )   3 -- 2   Celtic   Hampden Park   122,714       1973 -- 74   Celtic ( 23 )   3 -- 0   Dundee United   Hampden Park   75,959       1974 -- 75   Celtic ( 24 )   3 -- 1   Airdrieonians   Hampden Park   75,457       1975 -- 76   Rangers ( 21 )   3 -- 1   Heart of Midlothian   Hampden Park   85,354       1976 -- 77   Celtic ( 25 )   1 -- 0   Rangers   Hampden Park   54,252       1977 -- 78   Rangers ( 22 )   2 -- 1   Aberdeen   Hampden Park   61,563       1978 -- 79   Rangers ( 23 )   0 -- 0   Hibernian   Hampden Park   50,610       ( R )   0 -- 0 *   Hampden Park   33,504       ( SR )   3 -- 2 *   Hampden Park   30,602       1979 -- 80   Celtic ( 26 )   1 -- 0 *   Rangers   Hampden Park   70,303       1980 -- 81   Rangers ( 24 )   0 -- 0 *   Dundee United   Hampden Park   53,000       ( R )   4 -- 1   Hampden Park   43,099       1981 -- 82   Aberdeen ( 3 )   4 -- 1 *   Rangers   Hampden Park   53,788       1982 -- 83   Aberdeen ( 4 )   1 -- 0 *   Rangers   Hampden Park   62,979       1983 -- 84   Aberdeen ( 5 )   2 -- 1 *   Celtic   Hampden Park   58,900       1984 -- 85   Celtic ( 27 )   2 -- 1   Dundee United   Hampden Park   60,346       1985 -- 86   Aberdeen ( 6 )   3 -- 0   Heart of Midlothian   Hampden Park   62,841       1986 -- 87   St Mirren ( 3 )   1 -- 0 *   Dundee United   Hampden Park   51,782       1987 -- 88   Celtic ( 28 )   2 -- 1   Dundee United   Hampden Park   74,000       1988 -- 89   Celtic ( 29 )   1 -- 0   Rangers   Hampden Park   72,069       1989 -- 90   Aberdeen ( 7 )   0 -- 0 †   Celtic   Hampden Park   60,493       1990 -- 91   Motherwell ( 2 )   4 -- 3 *   Dundee United   Hampden Park   57,319       1991 -- 92   Rangers ( 25 )   2 -- 1   Airdrieonians   Hampden Park   44,045       1992 -- 93   Rangers ( 26 )   2 -- 1   Aberdeen   Celtic Park   50,715       1993 -- 94   Dundee United ( 1 )   1 -- 0   Rangers   Hampden Park   37,450       1994 -- 95   Celtic ( 30 )   1 -- 0   Airdrieonians   Hampden Park   36,915       1995 -- 96   Rangers ( 27 )   5 -- 1   Heart of Midlothian   Hampden Park   37,730       1996 -- 97   Kilmarnock ( 3 )   1 -- 0   Falkirk   Ibrox Stadium   48,953       1997 -- 98   Heart of Midlothian ( 6 )   2 -- 1   Rangers   Celtic Park   48,946       1998 -- 99   Rangers ( 28 )   1 -- 0   Celtic   Hampden Park   52,670       1999 -- 00   Rangers ( 29 )   4 -- 0   Aberdeen   Hampden Park   50,865       2000 -- 01   Celtic ( 31 )   3 -- 0   Hibernian   Hampden Park   51,824       2001 -- 02   Rangers ( 30 )   3 -- 2   Celtic   Hampden Park   51,138       2002 -- 03   Rangers ( 31 )   1 -- 0   Dundee   Hampden Park   47,136       2003 -- 04   Celtic ( 32 )   3 -- 1   Dunfermline Athletic   Hampden Park   50,846       2004 -- 05   Celtic ( 33 )   1 -- 0   Dundee United   Hampden Park   50,635       2005 -- 06   Heart of Midlothian ( 7 )   1 -- 1 †   Gretna   Hampden Park   51,232       2006 -- 07   Celtic ( 34 )   1 -- 0   Dunfermline Athletic   Hampden Park   49,600       2007 -- 08   Rangers ( 32 )   3 -- 2   Queen of the South   Hampden Park   48,821       2008 -- 09   Rangers ( 33 )   1 -- 0   Falkirk   Hampden Park   50,956       2009 -- 10   Dundee United ( 2 )   3 -- 0   Ross County   Hampden Park   47,122       2010 -- 11   Celtic ( 35 )   3 -- 0   Motherwell   Hampden Park   49,618       2011 -- 12   Heart of Midlothian ( 8 )   5 -- 1   Hibernian   Hampden Park   51,041       2012 -- 13   Celtic ( 36 )   3 -- 0   Hibernian   Hampden Park   51,254       2013 -- 14   St Johnstone ( 1 )   2 -- 0   Dundee United   Celtic Park   47,345       2014 -- 15   Inverness Caledonian Thistle ( 1 )   2 -- 1   Falkirk   Hampden Park   37,149       2015 -- 16   Hibernian ( 3 )   3 -- 2   Rangers   Hampden Park   50,701       2016 -- 17   Celtic ( 37 )   2 -- 1   Aberdeen   Hampden Park   48,713       2017 -- 18   Celtic ( 38 )   2 -- 0   Motherwell   Hampden Park   49,967     </t>
  </si>
  <si>
    <r>
      <rPr>
        <sz val="11"/>
        <color rgb="FF000000"/>
        <rFont val="Calibri"/>
        <family val="0"/>
        <charset val="1"/>
      </rPr>
      <t xml:space="preserve">Reye syndrome - wikipedia  Reye syndrome  Jump to : navigation , search    Reye syndrome     Synonyms   Reye 's syndrome         Appearance of a liver from a child who died of Reye syndrome as seen with a microscope . Hepatocytes are pale - staining due to intracellular fat droplets .     Pronunciation     / raɪ ˈsɪndroʊm / rye SIN - drohm       Specialty   Pediatrics     Symptoms   Vomiting , personality changes , confusion , seizures , loss of consciousness     Causes   Unknown     Risk factors   Aspirin use in children , viral infection     Treatment   Supportive care     Medication   Mannitol     Prognosis   1 / 3rd long term disability     Frequency   Less than one in a million children a year     Deaths   ~ 30 % chance of death     ( edit on Wikidata )     Reye syndrome is a rapidly progressive encephalopathy . Symptoms may include vomiting , personality changes , confusion , seizures , and loss of consciousness . Even though liver toxicity typically occurs , yellowish skin usually does not . Death occurs in 20 -- 40 % of those affected and about a third of those who survive are left with a significant degree of brain damage .   The cause of Reye syndrome is unknown . It usually begins shortly after recovery from a viral infection , such as influenza or chickenpox . About 90 % of cases are associated with aspirin ( salicylate ) use in children . Inborn errors of metabolism are also a risk factor . Changes on blood tests may include a high blood ammonia level , low blood sugar level , and prolonged prothrombin time . Often the liver is enlarged .   Prevention is typically by avoiding the use of aspirin in children . When aspirin was withdrawn for use in children a decrease of more than 90 % in rates of Reye syndrome was seen . Early diagnosis improves outcomes . Treatment is supportive . Mannitol may be used to help with the brain swelling .   The first detailed description of Reye syndrome was in 1963 by Douglas Reye . Children are most commonly affected . It affects less than one in a million children a year . The general recommendation to use aspirin in children was withdrawn because of Reye syndrome , with use of aspirin only recommended in Kawasaki disease .     Contents  ( hide )   1 Signs and symptoms   2 Causes   2.1 Aspirin     3 Differential diagnosis   4 Prognosis   5 Epidemiology   6 History   7 References   8 External links      Signs and symptoms ( edit )  Play media Video explaining Reye syndrome  Reye syndrome progresses through five stages :    Stage I   Rash on palms of hands and feet   Persistent , heavy vomiting that is not relieved by not eating   Generalized lethargy   Confusion   Nightmares   No fever usually present   Headaches     Stage II   Stupor   Hyperventilation   Fatty liver ( found by biopsy )   Hyperactive reflexes     Stage III   Continuation of Stage I and II symptoms   Possible coma   Possible cerebral edema   Rarely , respiratory arrest     Stage IV   Deepening coma   Dilated pupils with minimal response to light   Minimal but still present liver dysfunction     Stage V   Very rapid onset following stage IV   Deep coma   Seizures   Multiple organ failure   Flaccidity   Hyperammonemia ( above 300 mg / dL of blood )   Death      Causes ( edit )   The precise mechanism by which Reye syndrome occurs is unknown . This serious condition is described as a `` syndrome '' rather than a disease as the clinical features that physicians use to diagnose it are quite broad .   Aspirin ( edit )   There is an association between taking aspirin for viral illnesses and the development of Reye syndrome , but no animal model of Reye syndrome has been developed in which aspirin causes the condition .   The serious symptoms of Reye syndrome appear to result from damage to cellular mitochondria , at least in the liver , and there are a number of ways that aspirin could cause or exacerbate mitochondrial damage . A potential increased risk of developing Reye syndrome is one of the main reasons that aspirin has not been recommended for use in children and teenagers , the age group for which the risk of lasting serious effects is highest .   No research has found a definitive cause of Reye syndrome , and association with aspirin has been shown through epidemiological studies . The diagnosis of `` Reye Syndrome '' greatly decreased in the 1980s , when genetic testing for inborn errors of metabolism was becoming available in developed countries . A retrospective study of 49 survivors of cases diagnosed as `` Reye 's Syndrome '' showed that the majority of the surviving patients had various metabolic disorders , particularly a fatty - acid oxidation disorder medium - chain acyl - CoA dehydrogenase deficiency .   In some countries , oral mouthcare product Bonjela ( not the form specifically designed for teething ) has labeling cautioning against its use in children , given its salicylate content . There have been no cases of Reye syndrome following its use , and the measure is a precaution . Other medications containing salicylates are often similarly labeled as a precaution .   The Centers for Disease Control and Prevention ( CDC ) , the U.S. Surgeon General , the American Academy of Pediatrics ( AAP ) and the Food and Drug Administration ( FDA ) recommend that aspirin and combination products containing aspirin not be given to children under 19 years of age during episodes of fever - causing illnesses . Hence , in the United States , it is advised that the opinion of a doctor or pharmacist should be obtained before anyone under 19 years of age is given any medication containing aspirin ( also known on some medicine labels as acetylsalicylate , salicylate , acetylsalicylic acid , ASA , or salicylic acid ) .   Current advice in the United Kingdom by the Committee on Safety of Medicines is that aspirin should not be given to those under the age of 16 years , unless specifically indicated in Kawasaki disease or in the prevention of blood clot formation .   Differential diagnosis ( edit )   Causes for similar symptoms include    Various inborn metabolic disorders   Viral encephalitis   Drug overdose or poisoning   Head trauma   Liver failure due to other causes   Meningitis   Kidney failure   Shaken baby syndrome    Prognosis ( edit )   Documented cases of Reye syndrome in adults are rare . The recovery of adults with the syndrome is generally complete , with liver and brain function returning to normal within two weeks of onset . In children , however , mild to severe permanent brain damage is possible , especially in infants . Over thirty percent of the cases reported in the United States from 1981 through 1997 resulted in fatality .   Epidemiology. ( edit )   Reye syndrome occurs almost exclusively in children . While a few adult cases have been reported over the years , these cases do not typically show permanent neural or liver damage . Unlike in the UK , the surveillance for Reye syndrome in the US is focused on patients under 18 years of age .   In 1980 , after the CDC began cautioning physicians and parents about the association between Reye syndrome and the use of salicylates in children with chickenpox or virus - like illnesses , the incidence of Reye syndrome in the United States began to decline . However , the decline began prior to the FDA 's issue of warning labels on aspirin in 1986 . In the United States between 1980 and 1997 , the number of reported cases of Reye syndrome decreased from 555 cases in 1980 to about 2 cases per year since 1994 . During this time period 93 % of reported cases for which racial data were available occurred in whites and the median age was six years . In 93 % of cases a viral illness had occurred in the preceding three - week period . For the period 1991 - 1994 , the annual rate of hospitalizations due to Reye syndrome in the US was estimated to be between 0.2 and 1.1 per million population less than 18 years of age .   During the 1980s , a case - control study carried out in the United Kingdom also demonstrated an association between Reye syndrome and aspirin exposure . In June 1986 , the United Kingdom Committee on Safety of Medicines issued warnings against the use of aspirin in children under 12 years of age and warning labels on aspirin - containing medications were introduced . UK surveillance for Reye syndrome documented a decline in the incidence of the illness after 1986 . The reported incidence rate of Reye syndrome decreased from a high of 0.63 per 100,000 population less than 12 years of age in 1983 / 84 to 0.11 in 1990 / 91 .   From November 1995 to November 1996 in France , a national survey of pediatric departments for children under 15 years of age with unexplained encephalopathy and a threefold ( or greater ) increase in serum aminotransferase and / or ammonia led to the identification of nine definite cases of Reye syndrome ( 0.79 cases per million children ) . Eight of the nine children with Reye syndrome were found to have been exposed to aspirin . In part because of this survey result , the French Medicines Agency reinforced the international attention to the relationship between aspirin and Reye syndrome by issuing its own public and professional warnings about this relationship .   History ( edit )   The syndrome is named after Dr. Douglas Reye , who , along with fellow physicians Drs . Graeme Morgan and Jim Baral , published the first study of the syndrome in 1963 in The Lancet . In retrospect , the occurrence of the syndrome may have first been reported in 1929 . Also in 1964 , Dr. George Johnson and colleagues published an investigation of an outbreak of influenza B that described 16 children who developed neurological problems , four of whom had a profile remarkably similar to Reye syndrome . Some investigators refer to this disorder as Reye - Johnson syndrome , although it is more commonly called Reye syndrome . In 1979 , Dr. Karen Starko and colleagues conducted a case - control study in Phoenix , Arizona and found the first statistically - significant link between aspirin use and Reye syndrome . Studies in Ohio and Michigan soon confirmed her findings pointing to the use of aspirin during an upper respiratory tract or chickenpox infection as a possible trigger of the syndrome . Beginning in 1980 , the CDC cautioned physicians and parents about the association between Reye syndrome and the use of salicylates in children and teenagers with chickenpox or virus - like illnesses . In 1982 the U.S. Surgeon General issued an advisory , and in 1986 the Food and Drug Administration required a Reye syndrome - related warning label for all aspirin - containing medications .   References ( edit )    ^ Jump up to : `` NINDS Reye 's Syndrome Information Page '' . NINDS . September 25 , 2009 . Archived from the original on August 1 , 2016 . Retrieved August 8 , 2016 .   ^ Jump up to : Pugliese , A ; Beltramo , T ; Torre , D ( October 2008 ) . `` Reye 's and Reye 's - like syndromes . '' . Cell biochemistry and function . 26 ( 7 ) : 741 -- 6 . PMID 18711704 . doi : 10.1002 / cbf. 1465 .   ^ Jump up to : Schrör , K ( 2007 ) . `` Aspirin and Reye syndrome : a review of the evidence . '' . Paediatric drugs . 9 ( 3 ) : 195 -- 204 . PMID 17523700 . doi : 10.2165 / 00148581 - 200709030 - 00008 .   Jump up ^ McMillan , Julia A. ; Feigin , Ralph D. ; DeAngelis , Catherine ; Jones , M. Douglas ( 2006 ) . Oski 's Pediatrics : Principles &amp; Practice . Philadelphia : Lippincott Williams &amp; Wilkins . p. 2306 . ISBN 9780781738941 . Archived from the original on August 15 , 2016 .   Jump up ^ Knight , J. ( 2009 ) . `` Reye 's Syndrome '' . Healthy Child Care . 12 ( 4 ) . Archived from the original on May 22 , 2013 .   Jump up ^ Boldt , D.W. ( February 2003 ) . `` Reye Syndrome '' . University of Hawaii John A. Burns School of Medicine . Archived from the original on March 6 , 2013 .   Jump up ^ `` What is Reye 's Syndrome ? '' . National Reye 's Syndrome Foundation . Archived from the original on May 11 , 2013 .   Jump up ^ `` Reye 's Syndrome '' . KidsHealth.org . Nemour Foundation . Archived from the original on February 6 , 2015 . Retrieved February 6 , 2015 .   Jump up ^ Ku AS , Chan LT ( April 1999 ) . `` The first case of H5N1 avian influenza infection in a human with complications of adult respiratory distress syndrome and Reye 's syndrome '' . Journal of Paediatrics and Child Health . 35 ( 2 ) : 207 -- 9 . PMID 10365363 . doi : 10.1046 / j. 1440 - 1754.1999. t01 - 1 - 00329. x .   Jump up ^ Hurwitz , E.S. ( 1989 ) . `` Reye 's syndrome '' . Epidemiologic reviews . 11 : 249 -- 253 . PMID 2680560 .   ^ Jump up to : Orlowski JP , Hanhan UA , Fiallos MR ( 2002 ) . `` Is aspirin a cause of Reye 's syndrome ? A case against '' . Drug Safety . 25 ( 4 ) : 225 -- 31 . PMID 11994026 . doi : 10.2165 / 00002018 - 200225040 - 00001 . Archived from the original on October 23 , 2012 .   Jump up ^ Gosalakkal JA , Kamoji V ( September 2008 ) . `` Reye syndrome and reye - like syndrome '' . Pediatric Neurology . 39 ( 3 ) : 198 -- 200 . PMID 18725066 . doi : 10.1016 / j. pediatrneurol. 2008.06. 003 .   Jump up ^ Orlowski JP ( August 1999 ) . `` Whatever happened to Reye 's syndrome ? Did it ever really exist ? '' . Critical Care Medicine . 27 ( 8 ) : 1582 -- 7 . PMID 10470768 . doi : 10.1097 / 00003246 - 199908000 - 00032 .   Jump up ^ `` New advice on oral salicylate gels in under 16s '' ( Press release ) . Medicines and Healthcare products Regulatory Agency . April 23 , 2009 . Archived from the original on April 26 , 2009 . Retrieved May 1 , 2009 .   Jump up ^ `` 2.9 Antiplatelet drugs '' . British National Formulary for Children . British Medical Association and Royal Pharmaceutical Society of Great Britain . 2007 . p. 151 .   Jump up ^ Hall SM , Plaster PA , Glasgow JF , Hancock P ( 1988 ) . `` Preadmission antipyretics in Reye 's syndrome '' . Arch . Dis . Child . 63 ( 7 ) : 857 -- 66 . PMC 1779086 . PMID 3415311 . doi : 10.1136 / adc. 63.7. 857 .   Jump up ^ Autret - Leca E , Jonville - Béra AP , Llau ME , et al. ( 2001 ) . `` Incidence of Reye 's syndrome in France : a hospital - based survey '' . Journal of Clinical Epidemiology. 54 ( 8 ) : 857 -- 62 . PMID 11470397 . doi : 10.1016 / S0895 - 4356 ( 00 ) 00366 - 8 .   Jump up ^ Reye RD , Morgan G , Baral J ( 1963 ) . `` Encephalopathy and fatty degeneration of the viscera . A Disease entity in childhood '' . Lancet . 2 ( 7311 ) : 749 -- 52 . PMID 14055046 . doi : 10.1016 / S0140 - 6736 ( 63 ) 90554 - 3 .   Jump up ^ Starko KM , Ray CG , Dominguez LB , Stromberg WL , Woodall DF ( December 1980 ) . `` Reye 's syndrome and salicylate use '' . Pediatrics. 66 ( 6 ) : 859 -- 864 . PMID 7454476 .   Jump up ^ Mortimor , Edward A. , Jr. ; et al. ( June 1 , 1980 ) . `` Reye Syndrome - Ohio , Michigan '' . Morbidity and Mortality Weekly Report . 69 ( 29 ) : 532 , 810 -- 2 . PMID 7079050 . Archived from the original on June 11 , 2008 .   Jump up ^ Associated Press ( March 8 , 1986 ) . `` Aspirin Labels to Warn About Reye Syndrome '' . The New York Times . Archived from the original on March 5 , 2016 .    External links ( edit )     Classification   V T D   ICD - 10 : G93. 7   ICD - 9 - CM : 331.81   MeSH : D012202   DiseasesDB : 11463       External resources     MedlinePlus : 001565   eMedicine : emerg / 399   Patient UK : Reye syndrome   Orphanet : 3096          NINDS Reye 's Syndrome Information Page      ( hide )         Diseases of the nervous system , primarily CNS ( G04 -- G47 , 323 -- 349 )     Inflammation      Brain     Encephalitis   Viral encephalitis   Herpesviral encephalitis   Limbic encephalitis   Encephalitis lethargica     Cavernous sinus thrombosis   Brain abscess   Amoebic         Spinal cord     Myelitis : Poliomyelitis   Demyelinating disease   Transverse myelitis     Tropical spastic paraparesis   Epidural abscess       Both / either     Encephalomyelitis   Acute disseminated   Myalgic     Meningoencephalitis          Brain / encephalopathy      Degenerative      Extrapyramidal and movement disorders     Basal ganglia disease   Parkinsonism   PD   Postencephalitic   NMS     PKAN   Tauopathy   PSP     Striatonigral degeneration   Hemiballismus   HD   OA       Dyskinesia   Dystonia   Status dystonicus   Spasmodic torticollis   Meige 's   Blepharospasm     Athetosis   Chorea   Choreoathetosis     Myoclonus   Myoclonic epilepsy     Akathisia       Tremor   Essential tremor   Intention tremor     Restless legs   Stiff person       Dementia     Tauopathy   Alzheimer 's   Early - onset     Primary progressive aphasia     Frontotemporal dementia / Frontotemporal lobar degeneration   Pick 's   Dementia with Lewy bodies     Posterior cortical atrophy     Vascular dementia       Mitochondrial disease     Leigh disease          Demyelinating     autoimmune   Multiple sclerosis   Neuromyelitis optica   Schilder 's disease     hereditary   Adrenoleukodystrophy   Alexander   Canavan   Krabbe   ML   PMD   VWM   MFC   CAMFAK syndrome     Central pontine myelinolysis   Marchiafava -- Bignami disease   Alpers ' disease       Episodic / paroxysmal      Seizure / epilepsy     Focal   Generalised   Status epilepticus   Myoclonic epilepsy       Headache     Migraine   Familial hemiplegic     Cluster   Tension       Cerebrovascular     TIA   Amaurosis fugax   Transient global amnesia   Acute aphasia       Stroke   MCA   ACA   PCA   Foville 's   Millard -- Gubler   Lateral medullary   Weber 's   Lacunar stroke         Sleep disorders     Insomnia   Hypersomnia   Sleep apnea   Obstructive   Congenital central hypoventilation syndrome     Narcolepsy   Cataplexy   Kleine -- Levin   Circadian rhythm sleep disorder   Advanced sleep phase disorder   Delayed sleep phase disorder   Non-24 - hour sleep -- wake disorder   Jet lag            CSF     Intracranial hypertension   Hydrocephalus / NPH   Choroid plexus papilloma   Idiopathic intracranial hypertension     Cerebral edema   Intracranial hypotension       Other     Brain herniation   Reye 's   Hepatic encephalopathy   Toxic encephalopathy   Hashimoto 's encephalopathy          Spinal cord / myelopathy     Syringomyelia   Syringobulbia   Morvan 's syndrome   Vascular myelopathy   Foix -- Alajouanine syndrome     Spinal cord compression       Both / either      Degenerative      SA     Friedreich 's ataxia   Ataxia - telangiectasia       MND     UMN only :   Primary lateral sclerosis   Pseudobulbar palsy   Hereditary spastic paraplegia       LMN only :   Distal hereditary motor neuronopathies   Spinal muscular atrophies   SMA   SMAX1   SMAX2   DSMA1   Congenital DSMA   SMA - PCH   SMA - LED   SMA - PME     Progressive muscular atrophy   Progressive bulbar palsy   Fazio -- Londe   Infantile progressive bulbar palsy         both :   Amyotrophic lateral sclerosis                     NDL : 00576410      Retrieved from `` https://en.wikipedia.org/w/index.php?title=Reye_syndrome&amp;oldid=806293414 '' Categories :   Pediatrics   Toxicology   Hepatology   Syndromes   Ailments of unknown cause   Hidden categories :   Use mdy dates from May 2017   All articles with unsourced statements   Articles with unsourced statements from March 2015   Articles with unsourced statements from August 2015   RTT   RTTNEURO           Talk                                           Contents                   About Wikipedia                                                   Беларуская   Bosanski   Català   Čeština   Deutsch   Español   فارسی   Français   Gaeilge   Galego   </t>
    </r>
    <r>
      <rPr>
        <sz val="11"/>
        <color rgb="FF000000"/>
        <rFont val="Noto Sans CJK SC"/>
        <family val="2"/>
      </rPr>
      <t xml:space="preserve">한국어   </t>
    </r>
    <r>
      <rPr>
        <sz val="11"/>
        <color rgb="FF000000"/>
        <rFont val="Calibri"/>
        <family val="0"/>
        <charset val="1"/>
      </rPr>
      <t xml:space="preserve">Հայերեն   Hrvatski   Italiano   Magyar   Македонски   Nederlands   </t>
    </r>
    <r>
      <rPr>
        <sz val="11"/>
        <color rgb="FF000000"/>
        <rFont val="Noto Sans CJK SC"/>
        <family val="2"/>
      </rPr>
      <t xml:space="preserve">日本 語   </t>
    </r>
    <r>
      <rPr>
        <sz val="11"/>
        <color rgb="FF000000"/>
        <rFont val="Calibri"/>
        <family val="0"/>
        <charset val="1"/>
      </rPr>
      <t xml:space="preserve">ଓଡ଼ିଆ   Polski   Português   Română   Русский   Simple English   Slovenščina   Српски / srpski   Srpskohrvatski / српскохрватски   Suomi   Svenska   தமிழ்   ไทย   Türkçe   Українська   Tiếng Việt   </t>
    </r>
    <r>
      <rPr>
        <sz val="11"/>
        <color rgb="FF000000"/>
        <rFont val="Noto Sans CJK SC"/>
        <family val="2"/>
      </rPr>
      <t xml:space="preserve">粵語   中文   </t>
    </r>
    <r>
      <rPr>
        <sz val="11"/>
        <color rgb="FF000000"/>
        <rFont val="Calibri"/>
        <family val="0"/>
        <charset val="1"/>
      </rPr>
      <t xml:space="preserve">Edit links   This page was last edited on 21 October 2017 , at 01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</si>
  <si>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an idiopathic condition associated with asprin treatment during certain viral infections</t>
  </si>
  <si>
    <t xml:space="preserve"> The cause of Reye syndrome is unknown . It usually begins shortly after recovery from a viral infection , such as influenza or chickenpox . About 90 % of cases are associated with aspirin ( salicylate ) use in children . Inborn errors of metabolism are also a risk factor . Changes on blood tests may include a high blood ammonia level , low blood sugar level , and prolonged prothrombin time . Often the liver is enlarged . </t>
  </si>
  <si>
    <t xml:space="preserve">Dr. Quinn , Medicine Woman - wikipedia  Dr. Quinn , Medicine Woman  Jump to : navigation , search      This article needs additional citations for verification . Please help improve this article by adding citations to reliable sources . Unsourced material may be challenged and removed . ( June 2015 ) ( Learn how and when to remove this template message )       Dr. Quinn , Medicine Woman         Genre   Western Drama     Created by   Beth Sullivan     Starring     Jane Seymour   Joe Lando   Chad Allen   Erika Flores ( 1993 -- 95 )   Jessica Bowman ( 1995 -- 98 )   Shawn Toovey       Composer ( s )   William Olvis ( theme song and all but 4 episodes ) David Bell ( 4 episodes )     Country of origin   United States     No. of seasons   6 + 2 TV movies     No. of episodes   149 ( plus 2 TV movies ) ( List of episodes )     Production     Running time   47 minutes     Production company ( s )     The Sullivan Company   CBS Productions       Distributor   CBS Television Distribution 20th Television     Release     Original network   CBS     Original release   January 1 , 1993 -- May 16 , 1998     Dr. Quinn , Medicine Woman is an American Western drama series created by Beth Sullivan and starring Jane Seymour who plays Dr. Michaela `` Mike '' Quinn , a physician who leaves Boston in search of adventure in the Old American West and who settles in Colorado Springs , Colorado .   The television series ran on CBS for six seasons , from January 1 , 1993 , to May 16 , 1998 . In total , 149 episodes were produced , plus two television movies which were made after the series was canceled . It aired in over 100 countries , including Denmark ( where it was aired on TV2 ) , the United Kingdom , Poland , France , Canada ( where it was aired on CTV throughout its run ) and Bulgaria on BNT and later on NOVA television . Since 1997 , reruns have been shown in syndication and on Freeform ( TV channel ) , ( formerly ABC Family and originally CBN Satellite Service ) , Ion Television ( formerly PAX - TV ) , the Hallmark Channel , Eleven Australian ( TV channel ) , CBS Drama , Up , Hallmark Drama , and INSP ( TV Network ) .     Contents  ( hide )   1 Plot   2 Cast   2.1 Main   2.2 Supporting   2.3 Guest stars     3 Production   3.1 Production notes   3.2 Casting   3.2. 1 Colleen portrayer changes   3.2. 2 Other cast changes     3.3 Themes     4 Broadcast history   5 Reception   5.1 Ratings   5.2 Demographics change and cancellation     6 Post-series   6.1 Syndication   6.2 Movies   6.2. 1 Dr. Quinn : Revolutions   6.2. 2 Dr. Quinn : The Heart Within       7 Historical facts and filming information   8 Other media   8.1 DVD releases   8.2 Novels   8.3 Spin - off     9 See also   10 References   11 External links      Plot ( edit )  Main article : List of Dr. Quinn , Medicine Woman episodes  The series begins in the year 1867 and centers on a proper and wealthy female physician from Boston , Massachusetts , Michaela Quinn ( Seymour ) , familiarly known as `` Dr. Mike '' . After her father 's death , she sets out west to the small wild west town of Colorado Springs , to set up her own practice . She makes the difficult adjustment to life in Colorado with the aid of rugged outdoorsman and friend to the Cheyenne , Byron Sully ( Joe Lando ) and a midwife named Charlotte Cooper ( played by Diane Ladd ) . After Charlotte is bitten by a rattlesnake , she asks Michaela on her deathbed to look after her three children : Matthew , Colleen , and Brian . Dr. Mike settles in Colorado Springs and adapts to her new life as a mother , with the children , while finding true love with Sully . Furthermore , she acts as a one - woman mission to convince the townspeople that a female doctor can successfully practice medicine .   Cast ( edit )   Main ( edit )    Jane Seymour -- Dr. Michaela Quinn   Joe Lando -- Byron Sully   Chad Allen -- Matthew Cooper   Erika Flores -- Colleen Cooper ( seasons 1 - 3 )   Jessica Bowman -- Colleen Cooper Cook ( mid-season 3 -- 6 )   Shawn Toovey -- Brian Cooper    Supporting ( edit )    Orson Bean -- Loren Bray   Jim Knobeloch -- Jake Slicker   Frank Collison -- Horace Bing   William Shockley -- Hank Lawson   Geoffrey Lower -- Rev. Timothy Johnson   Henry G. Sanders -- Robert E .   Larry Sellers -- Black Hawk ( pilot ) , Cloud Dancing   Jonelle Allen -- Grace   Nick Ramus -- Chief Black Kettle ( seasons 1 - 3 )   Heidi Kozak -- Emily Donovan ( season 1 )   Gail Strickland -- Olive Davis ( season 1 )   Jennifer Youngs -- Ingrid ( seasons 1 -- 4 )   Helene Udy -- Myra Bing ( seasons 1 -- 4 ; guest : season 5 )   Haylie Johnson -- Becky Bonner ( seasons 1 -- 6 )   Barbara Babcock -- Dorothy Jennings ( seasons 2 -- 6 )   Georgann Johnson -- Elizabeth Quinn ( seasons 2 -- 6 )   Alley Mills -- Marjorie Quinn ( seasons 2 -- 6 )   Elinor Donahue -- Rebecka Quinn Dickinson ( seasons 2 -- 6 )   Charlotte Chatton -- Emma ( seasons 4 &amp; 5 )   Michelle Bonilla -- Teresa Morales ( season 5 )   Alex Meneses -- Teresa Morales Slicker ( season 6 )   Brandon Douglas -- Randolph Cummings ( episode 4.16 ) , Dr. Andrew Cook ( seasons 4 -- 6 )   Jason Leland Adams -- George Armstrong Custer ( seasons 2 &amp; 3 ) , Preston A. Lodge III ( seasons 4 -- 6 )   John Schneider -- Red McCall ( episode 1.09 ) , Daniel Simon ( seasons 5 &amp; 6 )   Brenden Jefferson -- Anthony ( season 4 )   Brandon Hammond -- Anthony ( seasons 5 &amp; 6 )   Ben Murphy - Ethan Cooper ( seasons 1 - 3 )    Guest stars ( edit )    Edward Albert -- Dr. William Burke ( episode 2.06 )   David Beecroft -- Sergeant Terence McKay ( episodes 5.25 , 26 ; 6.1 -- 3 , 11 )   Verna Bloom -- Maude Bray ( pilot )   Guy Boyd -- Loren Bray ( pilot )   David Carradine -- Houston Currier ( episode 5.20 )   June Carter Cash -- Sister Ruth ( episodes 2.05 , 3.09 , 5.16 )   Johnny Cash -- Kid Cole ( episodes 1.05 , 2.05 , 3.09 , 5.16 )   Maxwell Caulfield -- Andrew Strauss / David Lewis ( episode 2.24 )   Denise Crosby -- Isabelle Maynard ( episode 4.25 )   Robert Culp -- Dr. Elias Jackson ( episode 1.07 )   Steven Culp -- Peter Doyle ( episode 5.21 )   Jon Cypher -- Preston A. Lodge II ( episode 5.10 )   Kristin Davis -- Carey McGee ( episode 3.09 )   Zach Galligan -- Chester Barnes ( episode 6.12 )   Megan Gallivan -- Abigail Bray Sully ( episode 2.3 )   Joseph Gordon - Levitt -- Zach Lawson , Hank 's son ( episode 1.15 )   Jerry Haynes -- Mr. Royce ( episodes 6.8 , 9 )   Christine Healy -- Dr. Miriam Tilson ( episode 4.22 )   Richard Herd -- Dr. John Hansen ( episodes 2.6 , 7 )   James Keach -- Brent Currier ( episode 5.20 )   Stacy Keach , Sr. -- Judge Webster ( episodes 5.3 , 7 , 14 )   Diane Ladd -- Charlotte Cooper ( pilot , episode 2.11 )   Matt Letscher -- Tom Jennings , Dorothy 's son ( episode 2.19 )   Anne Lockhart -- Maureen ( episodes 2.6 , 7 )   Barbara Mandrell -- Gilda St. Clair ( episode 5.04 )   Colm Meaney -- Jake Slicker ( pilot )   Richard Moll -- John ( episodes 3.06 , 3.28 , 3.29 )   Willie Nelson -- Marshall Elias Burch ( episodes 5.09 , 6.19 )   Ivory Ocean -- Robert E. ( pilot )   David Ogden Stiers -- Theodore Quinn ( episode 5.15 )   Tom Poston -- Mysterious ' Dead Man ' ( episode 2.03 )   Andrew Prine -- Thaddeus Birch ( episode 1.09 )   Fred Rogers -- Reverend Thomas ( episode 4.19 )   Kenny Rogers -- Daniel Watkins ( episode 1.16 )   Richard Roundtree -- ' Barracuda ' Jim Barnes ( episode 6.21 )   Nick Tate -- Martin ' Avishominis ' Chesterfield ( episode 6.18 )   Travis Tritt -- Zachary Brett ( episode 4.14 )   Casper Van Dien -- Jesse ( episodes 3.3 , 4 )   Ray Walston -- Lucius Slicker ( episode 5.08 )   Jane Wyman -- Elizabeth Quinn ( episode 1.03 )   Trisha Yearwood -- Choir Director ( episode 3.10 )    Production ( edit )   Production notes ( edit )   The pilot episode was shot in early 1992 and aired in a two - hour television special on New Year 's Day 1993 . CBS aired a second , hour - long episode the next night in order to attract and maintain the audience 's attention . The pilot served more as a made - for - television movie -- or mini-series suggestion -- which could either be developed later into a full series or remain as a stand - alone two - hour movie . CBS ordered the show picked up immediately for the full season . However , the show made some imperative casting changes . Several pilot leads and a few of the supporting cast were replaced . Henry Sanders was recast as Robert E. in place of Ivory Ocean as a less folksy hard - nosed working man ; Orson Bean replaced Guy Boyd as a more fatherly , cynically - comical Loren Bray ; and Colm Meaney was replaced by Jim Knobeloch , a much younger , attractive , and contemptuously stoic Jake Slicker . Likewise , Larry Sellers 's character , a Cheyenne brave called Black Hawk ( listed under the closing credits as such ) who played an auxiliary role as one of Chief Black Kettle 's aides and spoke only their language , was quietly retooled into Cloud Dancing , Sully 's blood brother and a major recurring character , who , in addition to aiding Black Kettle , plays a large role in quelling the tribulations of the Cheyenne and other neighboring tribes . He also acquired the ability to speak English , allowing him to act as a liaison alongside Sully . His character 's name was never spoken on - screen during his first appearance , which can cause viewers to inadvertently re-interpret this look - alike as Cloud Dancing 's first appearance before his formal debut .   Casting ( edit )   Veteran actress Jane Seymour , labeled a mini-series `` queen '' , was a last - minute casting choice for Michaela Quinn after reading the script only a day before production was set to begin on the pilot . She was instructed beforehand to review the script and make a decision of whether or not she felt the role was right for her , and , if so , that she truly wanted to commit to the strict contract Sullivan had demanded for the title character . The next day she began the wardrobe fittings for the series .  Colleen portrayer changes ( edit )  There were various cast changes of minor characters during the series . The most controversial change took place during the show 's third season , when the character of Colleen Cooper was recast halfway through the year . Unlike the other actors , who signed five - year contracts with the show , Erika Flores was hesitant . She asked to be offered a contract of less than five years . Rumors circulated that Flores 's father gave her an ultimatum to end the contract unless they offered her more money , or he would cut her off financially . Flores has denied such rumors , saying that she left the series for personal reasons and to pursue other opportunities .   Beth Sullivan decided that she wanted the character to continue instead of being killed off or sent away . As a result , Jessica Bowman was cast as the new Colleen in Flores 's place . Some of Erika Flores 's fans were quite vocal in their anger over the change and wrote to CBS demanding to know why the actress had been replaced . The producers of the show felt that Jessica Bowman had the ability to successfully recreate the character on her own .  Other cast changes ( edit )  Numerous cast changes occurred throughout the series , although none was as significant . Most notable was the replacement of Jane Wyman as Michaela 's mother , Elizabeth Quinn . Wyman signed on to play the role for the third episode of Dr. Quinn in season one . Later Wyman turned down an invitation to return for another guest appearance in season two , as she had retired completely from acting by this stage ( her previous appearance in season one marked her final acting role of any kind ) . Georgann Johnson was hired to replace Wyman in the role and continued throughout the remainder of the series , making one guest appearance each season and appearing in the final Dr. Quinn television movie .   Michelle Bonilla originated the role of Theresa Morales in season five and was replaced by Alex Meneses in season six . Bonilla was abruptly let go for reasons that were never publicly stated . Meneses 's portrayal was well received and she was featured throughout the sixth season , when her character fell in love with Jake Slicker .   The role of Anthony ( Grace and Robert E. 's adopted son ) was played by Brenden Jefferson for four episodes in season four . He was replaced by Brandon Hammond , who continued in the role throughout seasons five and six .   Jennifer Youngs did not begin playing Ingrid until the character 's second appearance ; the first time the character appeared , she was played by Ashley Jones .   Themes ( edit )   Dr. Quinn was best known for its large , supporting cast , and its high - concept storytelling . The series often used its semi-historical setting as a vehicle to address issues of gender and race within the community . For example , one episode took on homophobia when the famous poet Walt Whitman came to town . Religion played a somewhat minor role in the series , but was also used to address certain issues and new ideas .   In the season - three finale , `` For Better or Worse '' , Michaela and Sully were married during a special two - hour episode . During season four , Seymour 's real - life pregnancy was written into the show . The following season saw the birth of Michaela and Sully 's daughter , Katie .   Broadcast history ( edit )   During its entire original run on CBS , the show aired from 8 -- 9 pm Eastern time on Saturday nights . It was the last successful TV Western drama to date until the premiere of Deadwood on HBO in March 21 , 2004 , and the premiere AMC Western series Hell on Wheels on November 6 , 2011 ; and also one of the last original series to find long - term success in a Saturday timeslot .   Reception ( edit )   Dr. Quinn was one of the few dramatic shows that allowed fans full access to their filming sets at the Paramount Ranch in Agoura Hills , California . Fans were permitted , often invited , to watch episodes being shot each week . Cast members were known to speak with their fans and sign autographs during shooting breaks . During the show 's final season run , an official website was established , which remains active . Two fans went on to create the Dr. Quinn Times , a newsletter in which interviews with the cast , producers , directors , and technical specialists were conducted and distributed to fans , twice each year .   Seymour and Barbara Babcock were the only cast members to receive Emmy nominations for their work on the series . Seymour was nominated several times during the series ' run , while Babcock received a single nomination in 1995 for the episode entitled `` Ladies ' Night '' . Her character , Dorothy Jennings , underwent a mastectomy .   The show did win many technical awards , as well as hair and make - up honors . Seymour also won a Golden Globe in 1996 for her portrayal of Michaela Quinn .   Ratings ( edit )     Season   U.S. ratings   Rank         N / A   # 19       1993 -- 94   13.46 million   # 25       1994 -- 95   10.7 million   # 49       1995 -- 96   9.6 million   # 55     5   1996 -- 97   8.5 million   # 58     6   1997 -- 98   11.7 million   # 51     Demographics change and cancellation ( edit )   The show was a major hit in the United States for CBS and drew large ratings even though it aired on Saturday nights . Despite the high ratings , CBS claimed that the demographics changed during the show 's run . During its final season , the majority of Dr. Quinn 's viewers were women 40 years of age and older , and not the male and female 18 - to - 49 demographic that networks try to reach . In response , CBS ordered the writers to give the show a slightly darker feel than in previous seasons . As a result , season six was darker than any previous season , with the death of several characters as well as some highly sensitive subject matter : the painful miscarriage of Michaela 's second child , as well as an episode entitled Point Blank , where Michaela was shot by a man and then later developed post-traumatic stress disorder . Many fans did not like the changes , while others felt that the tensions and high drama benefited the show after the overall pleasant past seasons . Despite these opposing opinions , the ratings still proved to be steady and consistent ( finishing at # 51 for the year ) . The series was suddenly canceled in 1998 after its sixth season . Despite this , the series concluded on a bookend by seeing Colleen marry Andrew and prepare to embark as a doctor in her own right , following her adoptive mother 's footsteps .   There is still an active fan club for William Shockley , who played Hank Lawson on the show , known as `` Hank 's Hussies . '' In January 2014 , they attended a red carpet movie premiere together in Nashville for his new movie .   Post-series ( edit )   Syndication ( edit )   The show has enjoyed strong ratings in reruns . Dr. Quinn was one of the rare instances of a show entering rerun syndication in the middle of a TV season . It debuted reruns in most American markets on Monday , December 30 , 1996 , just two days shy of the show 's 4th anniversary . With 4 seasons being the minimum requirement for syndication pickup , Dr. Quinn reruns could have started at the more traditional launch date of September 1996 , but the show 's distributor , like many , had an additional minimum episode limit in order for the show to be eligible for syndication . This episode count was not reached until several episodes into Dr. Quinn 's fifth season ( 1996 -- 1997 ) , and since stations had already purchased the show at the beginning of that season , the distributor decided not to hold off until the next fall and let the stations start airing reruns right away .   When PAX TV launched in August 1998 , it acquired reruns of current family - friendly series from CBS , including Dr. Quinn . Because dedicated Dr. Quinn fans were angered by the show 's cancellation by CBS that year , these national reruns via PAX helped relieve the blow , especially in markets where local stations were not airing reruns in syndication .   Until late 2005 , the Hallmark Channel aired it daily , but in late 2005 Hallmark removed Dr. Quinn from its lineup , citing a drop in viewership . It is also believed that the high cost in Dr. Quinn distribution rights played a role in its removal . Dr. Quinn continues to be seen throughout the world and has been translated to several languages .   Starting in June 2009 , the Gospel Music Channel began airing Dr. Quinn weekdays at 5 : 00 and 6 : 00 . More recently Vision TV Canada began airing Dr Quinn week nights at 6PM AT . It also airs on CHNU10 in the Lower Mainland of BC , Canada , at 3 PM PST Weekdays . It has also been shown continuously in Denmark since 2001 , with plans on to keep it at its daily broadcast time of 1 : 00 , Monday to Friday , on Danish TV station , tv2 .   Since the last movie in 2001 , many of the show 's cast members have expressed interest in reprising their roles and would like to do another reunion movie , or even a new season . Jane Seymour , Joe Lando , Chad Allen , and other cast members have stated they would all like to work together again and would reprise their Dr. Quinn roles if the opportunity arises . The show 's creator , Beth Sullivan , has also stated her interest in writing another Dr. Quinn movie .   In 2003 , A&amp;E Network managed to buy the distribution rights for Dr. Quinn , Medicine Woman from CBS . All six seasons plus the two made - for - TV movies have been released on DVD . The series appears on the GMC Network . GMC aired all the series episodes , including the season - six episodes not shown in a decade , during the summer of 2010 . Joe Lando did several teasers and promotions for the weekend marathons , and says he finds GMC 's ad campaign `` funny '' , saying : `` Truthfully , I have n't had that many opportunities to make fun of Sully . No one 's really found me that funny . But it 's fun to do it now . GMC came up with a great ad campaign . My kids were entertained by it and my wife got a kick out of it . ''   Movies ( edit )  Dr. Quinn : Revolutions ( edit )  The cancellation of Dr. Quinn caused a massive fan uproar , the likes of which had not been seen since Star Trek in the 1960s . CBS decided that instead of producing another season , as the cost involved was deemed too high , it would instead produce a TV movie . In May 1999 , one year after its cancellation , CBS aired Dr. Quinn : Revolutions , a television movie special , set in 1877 . However , the actual date should have been 1875 , two years following the final episode , which would have been in 1873 . In this TV movie , Katie Sully , now age 4 , is kidnapped , and Dr. Mike and Sully , with help from some townsfolk , embark on a desperate search for their missing daughter in Mexico . Fans were delighted that a special movie was being produced , but they were not altogether impressed with its overall concept . The movie was very different in tone from the rest of the series , incorporating more guns and violence in an effort to please the twenty - something male audience demographics . Furthermore , both Jessica Bowman and Chad Allen declined appearances in that episode , due to its content , and William Olvis ' entire score was scrapped in favor of more cost - effective music that was completely unlike that of the original series .   Fans were shocked to find a Dr. Quinn episode that did not include the main title sequence or theme . Moreover , the script , acting , and interpretations of the original characters came across as unfamiliar and very unlike their portrayals in the series . Beth Sullivan was so furious with CBS 's control over the whole project that she declined any involvement . It was critically panned and failed in the ratings . Following this backlash from having excessive creative say over the film , CBS profoundly softened its involvement with the next attempt to produce a TV movie .  Dr. Quinn : the Heart Within ( edit )  A second TV movie entitled Dr Quinn : The Heart Within , aired in May 2001 . The movie was set a year after Revolutions , making it 9 years since the first episode of Dr. Quinn in the year 1876 . This time around , CBS gave Beth Sullivan total creative control ; however , there were some strong ground rules . To save money , the movie had to be filmed in Canada , and only the principal cast could be involved . Jane Seymour also served as an executive producer . The plot revolved around Michaela and the Sully family returning to Boston to attend Colleen 's graduation from Harvard Medical School . Having transferred from The Women 's Medical College to the male dominated university since the series finale , Colleen has met harsh criticism from the board as well as from Andrew 's father , who resents the fact that she continues to pursue medicine , despite his misgivings . Unfortunately , Michaela 's mother , Elizabeth , has fallen ill due to a heart condition , and eventually passes , leaving her entire estate to Michaela to establish a hospital back in Colorado Springs , echoing the demise of her father at the very beginning of the series . Colleen soon finds herself in a situation similar to the one her mother , Michaela , had just nine years earlier -- in the same Bostonian sector -- in that she is not respected or taken seriously as a woman doctor .   The movie is a proper finale to the series , depicting the now - adult Cooper children 's farewell to Colorado Springs , and finding their new futures in Boston , while Michaela and Sully inevitably return to Colorado Springs to begin a new chapter in their own , now older , adult lives .   While this movie was far better received by fans , they did complain that more of the townspeople and original supporting cast were not involved , due to CBS 's demands , as well as the last - minute absence of Chad Allen 's Matthew ( Allen had declined after learning that none of his original supporting costars were offered any appearances ) . Despite these criticisms , the movie was a success . It was filmed in Montreal , Quebec , Canada .   Historical facts and filming information ( edit )    While much of Dr. Quinn was fictional , some of the events and people were based on historical fact :   Women 's Medical College of Pennsylvania actually existed and is today part of Drexel University College of Medicine .   The Sand Creek Massacre in 1864 was referred to in the pilot episode ( though it was historically inaccurate as the pilot took place in 1867 ) .   Lieutenant Colonel George Armstrong Custer , and Chief Black Kettle , are true historical figures .   The Battle of Washita River , seen in the third - season episode Washita , was an actual historical event . In the show , the battle took place in 1869 in Colorado , while in fact it took place in the fall of 1868 in Oklahoma .     In what most consider the final episode of the series , the town 's often - antagonist banker , Preston A. Lodge III , went bankrupt as a result of the great stock market crash , caused by the Panic of 1873 , a historically - accurate event . Lodge lost much of the townspeople 's money along with his own , in the Panic .   The episode The Body Electric features Walt Whitman , who was a poet and a true historical figure .   One of the major historical oversights of the show is that Colorado Springs was not technically founded until 1871 , by General William Palmer , and was mainly a resort town . There were no saloons , as Palmer declared Colorado Springs to be alcohol - free . Colorado Springs stayed `` dry '' until the end of Prohibition in 1933 . However , nearby towns , including Old Colorado City and Manitou Springs did permit saloons .   Dr. Quinn was largely filmed at the western set on Paramount Ranch in Agoura Hills . Fans of the show were able to visit the sets , talk to the actors , and watch episodes being shot during its six - year run . Since Dr. Quinn ended , the ranch has been used numerous times for other filming projects . Numerous buildings , including the church , Sully 's homestead , the school house , and the Spring Chateau Resort , were leveled soon after the series was canceled . However , the entire town still remains . Despite minor changes over the years , it is still recognizable as the Dr. Quinn set , and is a popular tourist attraction for many fans today .   Other areas used throughout the series were the back lot at Universal Studios in Hollywood , including the New England street as the location of Quinn family home ; and the New York streets , doubling as the streets of Boston and Washington . The setting of Boston in the final movie was filmed in Canada , using various locations in Old Montreal .   William Olvis wrote the underscoring music for the series , except for a few episodes in season one ( where he either alternated with Star Trek spin - off series composer David Bell , or co-scored with Bell ) and the Revolutions movie .   Jane Seymour 's husband , James Keach , directed and produced numerous episodes of the show , and guest starred in the season 5 episode entitled , `` The Hostage . ''   Due to child labor laws , the role of Katie , Dr. Mike and Sully 's young daughter , was portrayed by identical triplets : Alexandria , McKenzie , and Megan Calabrese .   Jane Seymour is the only cast member who appeared in every episode of the series . Shawn Toovey missed only one episode as did Chad Allen , who also did not appear in episode titled `` Reunion '' ( Season 4 ) , as well as the two made - for - TV movies . Joe Lando came in third , missing only a few episodes in the sixth and final season .   Starting in season 5 , several episodes featured real world trivia relevant to the episode 's context , usually about medical knowledge . These segments would appear at the end of the episode in the form of white text on a black background , narrated by Jane Seymour . In the episode `` A Place to Die '' , the inclusion of the trivia was particularly significant because it revealed that Dr. Mike 's practice was besieged by a staph infection , a malady that was completely unknown at the time . No one , Dr. Mike , included , actually figured out what was behind this mysterious blight , which killed several of her patients and forced her to fumigate the building and cremate everything inside , including some irreplaceable keepsakes .   In the earliest episodes of the series , Shawn Toovey was still losing his baby teeth and spoke with a noticeable lisp until his permanent teeth grew in .    Other media ( edit )   DVD releases ( edit )   A&amp;E Home Video has released all six seasons of Dr. Quinn , Medicine Woman on DVD in Region 1 . It has released also the two television movies that were made after the series ended .   In Region 2 , Revelation Films has released all six seasons on DVD in the UK . The two TV - movies were released separately , the first was entitled Dr. Quinn , Medicine Woman -- The Movie and the second was entitled Dr. Quinn , Medicine Woman -- The Heart Within .     DVD name   Ep #   Release dates     Region 1   Region 2     Dr. Quinn , Medicine Woman : The Complete Season One   17   May 27 , 2003   March 20 , 2006     Dr. Quinn , Medicine Woman : The Complete Season Two   24   September 30 , 2003   June 19 , 2006     Dr. Quinn , Medicine Woman : The Complete Season Three   25   March 30 , 2004   March 26 , 2007     Dr. Quinn , Medicine Woman : The Complete Season Four   27   October 26 , 2004   June 18 , 2007     Dr. Quinn , Medicine Woman : The Complete Season Five   26   January 25 , 2005   October 22 , 2007     Dr. Quinn , Medicine Woman : The Complete Season Six   22   July 26 , 2005   March 10 , 2008     Dr. Quinn , Medicine Woman : The Movies     June 27 , 2006   March 8 , 2010 July 19 , 2010     Dr. Quinn , Medicine Woman : The Complete Series   151   October 20 , 2009   October 4 , 2010     Novels ( edit )   There were several books based on the series written by as follows . Some of them were also released abroad , including in France , Germany , the Netherlands , Hungary , and Poland .   The books by Dorothy Laudan were originally released in Germany and have never appeared in an English version . However , it was these books that were most commonly translated into other languages . The series of nine covers most of the series , although the episodes on which they are based were shortened and some scenes were left out or were mentioned only briefly .     No .   Title   Year   Notes     Dorothy Laudan     1 .   Dr. Quinn -- Ärztin aus Leidenschaft   1995   based on the episodes : 1.01 `` Pilot '' , 1.02 `` Epidemic '' , 1.03 `` The Visitor '' , 1.11 `` The Prisoner '' , 1.06 `` Father 's Day '' and 1.12 `` Happy Birthday ''     2 .   Dr. Quinn -- Ärztin aus Leidenschaft , Sprache des Herzens   1995   based on the episodes : 2.01 `` The Race '' , 1.13 `` Rite of Passage '' , 1.15 `` The Operation '' , 2.02 `` Sanctuary '' , 2.03 `` Halloween '' , 2.04 `` The Incident '' , 2.06 -- 07 `` Where the Heart Is '' and 2.09 `` Best Friends ''     3 .   Dr. Quinn -- Ärztin aus Leidenschaft , Zwischen zwei Welten     based on the episodes : 2.13 `` The Offering '' , 2.15 `` Another Woman '' , 2.16 `` Orphan Train '' , 2.22 -- 23 `` The Abduction '' , 2.24 `` The Campaign '' and 2.26 -- 27 `` Return Engagement ''     4 .   Dr. Quinn -- Ärztin aus Leidenschaft , Was ist Liebe ?     based on the episodes : 3.02 `` Fathers and Sons '' , 3.03 -- 04 `` Cattle Drive '' , 3.09 `` Money Trouble '' , 3.11 -- 12 `` Ladies Night '' , 3.14 `` Indian Agent '' , 3.17 -- 18 `` Cooper vs. Quinn '' , 3.19 `` What is Love ? ''     5 .   Dr. Quinn -- Ärztin aus Leidenschaft , Auf immer und ewig     based on the episodes : 3.20 `` Things My Father Never Taught Me '' , 3.23 `` The Permanence of Change '' , 3.24 -- 25 `` Washita '' , 3.26 `` Sully 's Recovery '' , 3.27 `` Ready or Not '' , 3.28 -- 29 `` For Better or Worse ''     6 .   Dr. Quinn -- Ärztin aus Leidenschaft , Die Geschichte von Sully und Abigail   1997   Michaela and Sully are finally happily married . It seems nothing will stand in their way until Michaela finds in their new house some old keepsakes from Sully 's late first wife . Sully eventually decides to tell her about his dramatic childhood and what happedned after his parents ' death .     7 .   Dr. Quinn -- Ärztin aus Leidenschaft , Eine Frau geht ihren Weg   1998   Sully is worried about Michaela who clearly seems to be bothered by something . When all the children are out of home , Sully makes her talk and she starts talking about her father and her former fiancé David .     8 .   Dr. Quinn -- Ärztin aus Leidenschaft , Ein neues Leben   1998   based on the episodes : 4.04 `` B</t>
  </si>
  <si>
    <t xml:space="preserve">who played anthony on dr quinn medicine woman</t>
  </si>
  <si>
    <t xml:space="preserve">  Orson Bean -- Loren Bray   Jim Knobeloch -- Jake Slicker   Frank Collison -- Horace Bing   William Shockley -- Hank Lawson   Geoffrey Lower -- Rev. Timothy Johnson   Henry G. Sanders -- Robert E .   Larry Sellers -- Black Hawk ( pilot ) , Cloud Dancing   Jonelle Allen -- Grace   Nick Ramus -- Chief Black Kettle ( seasons 1 - 3 )   Heidi Kozak -- Emily Donovan ( season 1 )   Gail Strickland -- Olive Davis ( season 1 )   Jennifer Youngs -- Ingrid ( seasons 1 -- 4 )   Helene Udy -- Myra Bing ( seasons 1 -- 4 ; guest : season 5 )   Haylie Johnson -- Becky Bonner ( seasons 1 -- 6 )   Barbara Babcock -- Dorothy Jennings ( seasons 2 -- 6 )   Georgann Johnson -- Elizabeth Quinn ( seasons 2 -- 6 )   Alley Mills -- Marjorie Quinn ( seasons 2 -- 6 )   Elinor Donahue -- Rebecka Quinn Dickinson ( seasons 2 -- 6 )   Charlotte Chatton -- Emma ( seasons 4 &amp; 5 )   Michelle Bonilla -- Teresa Morales ( season 5 )   Alex Meneses -- Teresa Morales Slicker ( season 6 )   Brandon Douglas -- Randolph Cummings ( episode 4.16 ) , Dr. Andrew Cook ( seasons 4 -- 6 )   Jason Leland Adams -- George Armstrong Custer ( seasons 2 &amp; 3 ) , Preston A. Lodge III ( seasons 4 -- 6 )   John Schneider -- Red McCall ( episode 1.09 ) , Daniel Simon ( seasons 5 &amp; 6 )   Brenden Jefferson -- Anthony ( season 4 )   Brandon Hammond -- Anthony ( seasons 5 &amp; 6 )   Ben Murphy - Ethan Cooper ( seasons 1 - 3 )  </t>
  </si>
  <si>
    <r>
      <rPr>
        <sz val="11"/>
        <color rgb="FF000000"/>
        <rFont val="Calibri"/>
        <family val="0"/>
        <charset val="1"/>
      </rPr>
      <t xml:space="preserve">Devil 's food cake - wikipedia  Devil 's food cake   Devil 's food cake   Devil 's food cake with vanilla icing     Type   Layer cake     Place of origin   United States     Main ingredients   Flour , butter or substitute , egg whites , cocoa solids     Variations   Red velvet cake     Cookbook : Devil 's food cake Media : Devil 's food cake     Devil 's food cake is a moist , airy , rich chocolate layer cake . It is considered a counterpart to the white or yellow angel food cake . Because of differing recipes and changing ingredient availability over the course of the 20th century , it is difficult to precisely qualify what distinguishes devil 's food from the more standard chocolate cake , though it traditionally has more chocolate than a regular chocolate cake , making it darker . The cake is usually paired with a rich chocolate frosting .   Contents    1 Overview   2 See also   3 References   4 External links    Overview ( edit )   Devil 's food cake is commonly a dense , rich chocolate cake . It traditionally uses unsweetened chocolate baking squares in lieu of unsweetened cocoa powder . However , contemporary recipes typically use cocoa powder for its convenience over the more traditional chocolate baking squares . Also , because of its reduced amount of cocoa butter , cocoa powder has a more intense chocolate flavor than unsweetened chocolate . Moreover , coffee is frequently added as a liquid to enhance the chocolate flavor . Some recipes use hot or boiling water as the cake 's main liquid , rather than milk . Its antithetical counterpart , the angel food cake , is a very light white cake that uses stiffly beaten egg whites and no dairy .  A Devil 's food cake sliced into portions  Devil 's food cake is sometimes distinguished from other chocolate cakes by the use of additional baking soda ( sodium bicarbonate ) , which raises the pH level and makes the cake a deeper and darker mahogany color . Devil 's food cake incorporates butter ( or a substitute ) , eggs , flour , and less egg than other chocolate cakes . Devil 's food cake was invented in the United States in the early twentieth century , with the recipe in print as early as 1905 .   See also ( edit )    Food portal     List of desserts   Angel food cake   Red velvet cake    References ( edit )    Jump up ^ `` Chocolate vs. Cocoa Powder '' . FineCooking.com . Retrieved 2015 - 09 - 29 .   Jump up ^ Sertich Velie , Marissa . `` Can I Substitute Unsweetened Chocolate for Cocoa Powder ? '' . SeriousEats.com . Retrieved 2015 - 09 - 29 .   ^ Jump up to : Samuel A. Matz ( 1 January 1992 ) . Bakery Technology and Engineering . Springer . pp. 344 -- 345 . ISBN 978 - 0 - 442 - 30855 - 1 . Retrieved 15 April 2012 .   Jump up ^ Judith M. Fertig ( 13 September 2003 ) . All - American Desserts : 400 Star - Spangled , Razzle - Dazzle Recipes for America 's Best Loved Desserts . Harvard Common Press . pp. 144 -- . ISBN 978 - 1 - 55832 - 191 - 5 . Retrieved 15 April 2012 .    External links ( edit )    Media related to Devil 's food cakes at Wikimedia Commons   Food Timeline history of cakes , including Devil 's Food Cake .              Cake     List of cakes     Butter cakes     Devil 's food cake   Gooey butter cake   Pound cake         Cheesecakes     Fiadone   Ostkaka       Chocolate cakes     Batik cake   Black Forest cake   Blackout cake   Chantilly cake   Chocolate brownie   Flourless chocolate cake   Fudge cake   Garash cake   German chocolate cake   Hedgehog slice   Joffre cake   Kladdkaka   Molten chocolate cake   Sachertorte   Torta caprese       Fruitcakes     Apple cake   Avocado cake   Banana cake   Bánh chuối     Black bun   Bolo rei   Cherry cake   Clementine cake   Dundee cake   Fig cake   Genoa cake   Jewish apple cake   Panforte   Plum cake   Raisin cake       Layer cakes     Angel cake   Buckwheat gateau   Crema de Fruta   Dobos torte   Esterházy torte   Hot milk cake   Maria Luisa cake   Mille - feuille   Cremeschnitte   Napoleonka   Šampita   Tompouce     Princess cake   Prinzregententorte   Rainbow cake   Sarawak cake   Smith Island Cake   Spekkoek   Torte   Vínarterta       Spit cakes     Baumkuchen   Kürtőskalács ( Chimney cake )   Šakotis   Spettekaka   Trdelník       Sponge cakes     Bánh bò   Battenberg cake   Boston cream pie   Bundt cake   Castella   Charlotte   Donauwelle   Frankfurter Kranz   French Fancy   Frog cake   Génoise   Gugelhupf   Lady Baltimore cake   Ladyfinger   Lamington   Madeira cake   Madeleine   Mantecadas   Marble cake   Misérable cake   Opera cake   Pandan cake   Paper wrapped cake   Red velvet cake   Rum cake   Shortcake   Spice cake   Swiss roll   Tres leches cake   Upside - down cake   Walnut and coffee cake       Foam cakes and meringue     Angel food cake   Chiffon cake   Dacquoise   Kiev cake   Pavlova   Sans rival   Spanische Windtorte   Zuger Kirschtorte       Yeast cakes     Babka   Banana bread   Banbury cake   Cacavellu   Campanile   Canestru   Chorley cake   Date and walnut loaf   Flies ' graveyard   Inuliata   Pandoro   Rum baba   Streuselkuchen   Sweetheart cake   Welsh cake       Special occasions     Birthday cake   Buccellato   Bûche de Noël   Christmas cake   Doberge cake   Groom 's cake   Halloween cake   King cake   Rosca de reyes     Kransekake   Lekach   Marry girl cake   Mooncake   Pan de Pascua   Pop out cake   Simnel cake   Soul cake   Stack cake   Stollen   Strenna   Wedding cake       Other     Beer cake   Better than sex cake   Biscuit   Bizcocho   Bulla cake   Cake balls   Cake pop   Carrot cake   Coconut cake   Coffee cake   Croquembouche   Cupcake   Cupcone   Gingerbread   house   man     Heavy cake   Ice cream cake   Kuih   Lolly cake   Muffin   Ontbijtkoek   Pain d'épices   Pancake   Parkin   Petit four   Punschkrapfen   Ruske kape   Teacake   Tiramisu                         Chocolate desserts     Cakes     Batik cake   Black Forest cake   Blackout cake   Boston cream pie   Bûche de Noël   Chantilly cake   Chocolate brownie   Chocolate cake   Chokladboll   Death by Chocolate   Devil 's food cake   Éclair   Flourless chocolate cake   Fudge cake   Garash cake   German chocolate cake   Hedgehog slice   Kladdkaka   Molten chocolate cake   Pain au chocolat   Prinzregententorte   Red velvet cake   Sachertorte   Torta caprese       Pies and tarts     Chocolate creme pie   Mississippi mud pie       Cookies     Chocolate chip cookie   Chocolate salami   Nanaimo bar   Oreos   S'mores       Ice cream     Chocolate chip cookie dough ice cream   Chocolate ice cream   Cookies and Cream   Mint chocolate chip   Milkshake   Sundae       Other     Banana boat   Brigadeiro   Chocolate - covered bacon   Chocolate - covered potato chips   Chocolate crackles   Chocolate pudding      Retrieved from `` https://en.wikipedia.org/w/index.php?title=Devil%27s_food_cake&amp;oldid=848047123 '' Categories :   Cakes   Chocolate desserts   American desserts           Talk                                           Contents                   About Wikipedia                                                   Español   فارسی   Հայերեն   עברית   Português   Русский   Simple English   </t>
    </r>
    <r>
      <rPr>
        <sz val="11"/>
        <color rgb="FF000000"/>
        <rFont val="Noto Sans CJK SC"/>
        <family val="2"/>
      </rPr>
      <t xml:space="preserve">粵語   中文  </t>
    </r>
    <r>
      <rPr>
        <sz val="11"/>
        <color rgb="FF000000"/>
        <rFont val="Calibri"/>
        <family val="0"/>
        <charset val="1"/>
      </rPr>
      <t xml:space="preserve">3 more  Edit links   This page was last edited on 29 June 2018 , at 13 : 14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</si>
  <si>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difference between devil's food and chocolate</t>
  </si>
  <si>
    <t xml:space="preserve"> Devil 's food cake is a moist , airy , rich chocolate layer cake . It is considered a counterpart to the white or yellow angel food cake . Because of differing recipes and changing ingredient availability over the course of the 20th century , it is difficult to precisely qualify what distinguishes devil 's food from the more standard chocolate cake , though it traditionally has more chocolate than a regular chocolate cake , making it darker . The cake is usually paired with a rich chocolate frosting . </t>
  </si>
  <si>
    <r>
      <rPr>
        <sz val="11"/>
        <color rgb="FF000000"/>
        <rFont val="Calibri"/>
        <family val="0"/>
        <charset val="1"/>
      </rPr>
      <t xml:space="preserve">United States Women 's Open Championship ( golf ) - wikipedia  United States Women 's Open Championship ( golf )  Jump to : navigation , search  U.S. Women 's Open       Tournament information     Location   Bedminster , New Jersey in 2017     Established   1946 , 71 years ago     Course ( s )   Trump National Golf Club in 2017     Organized by   USGA ( since 1953 )     Tour ( s )   LPGA Tour     Format   Stroke play     Prize fund   $ 5.0 million in 2017     Month played   July in 2017     Tournament record score     Aggregate   272 Annika Sörenstam ( 1996 ) 272 Juli Inkster ( 1999 ) 272 Chun In - gee ( 2015 )     To par   -- 16 Juli Inkster ( 1999 )     Current champion     Park Sung - hyun     2017 U.S. Women 's Open Golf Championship     The United States Women 's Open Golf Championship , one of thirteen national championships conducted by the United States Golf Association ( USGA ) , is the oldest of the LPGA Tour 's five major championships , which includes the ANA Inspiration , Women 's PGA Championship , Women 's British Open , and The Evian Championship .   Established 71 years ago in 1946 , the U.S. Women 's Open is the only event to have been recognized as a major by the LPGA since the group 's founding in 1950 . Originally operated by the Women 's Professional Golfers Association ( WPGA ) for its first three years and the LPGA for the next four , it became a USGA event in 1953 . Usually held in early July , the U.S. Women 's Open is the third major of the LPGA season and has the highest purse in women 's golf , at $ 4.5 million in 2015 .   Unlike the U.S. Open , the U.S. Women 's Open is not globally recognized as a major championship . The Ladies European Tour does not sanction any of the three majors held in the United States , and the LPGA of Japan Tour has its own set of majors . The significance of this is limited , as the LPGA Tour is the dominant tour in women 's golf .   In 2007 , international players outnumbered Americans for the first time . The 2008 tournament was won by 19 - year - old South Korean Inbee Park , who became the event 's youngest winner ever .   The 2012 championship , won by Choi Na - yeon , was played July 5 -- 8 at Blackwolf Run in Kohler , Wisconsin , which previously hosted the event in 1998 , won by Pak Se - ri in a Monday playoff that extended to 20 holes . The Original Championship Course for 2012 played just under 7,000 yards ( 6,400 m ) , over 500 yards ( 460 m ) longer than in 1998 .   Beginning in 2018 , the U.S. Women 's Open will be held prior to its men 's counterpart ( rather than following it and the U.S. Senior Open ) , in order to `` provide optimum playing conditions for the world 's best players across a broader variety of the country 's finest golf courses . ''     Contents  ( hide )   1 Qualification   2 Winners   3 Multiple champions   4 Champions by nationality   5 Future sites   6 See also   7 References   8 External links      Qualification ( edit )   The U.S. Women 's Open is open to any professional or amateur female golfer . Amateurs must have an up - to - date USGA Handicap Index not exceeding 2.4 , lowered in 2014 from 4.4 in 2013 . Players may obtain a place by being exempt or by competing successfully in qualifying .   In 2002 , a two - stage method of qualification was introduced : 18 holes for local qualifying and 36 holes for sectional qualifying . In 2010 , the qualification process reverted to a single sectional stage of 36 holes played on a single day .   The criteria for exemption from qualifying has changed through the years . In 2010 , there were eleven exemption categories , including winners of the U.S. Women 's Open for the last ten years , winners of the other three majors for the last five years , the top 50 from the previous year 's LPGA Tour money list , the top five from the previous year 's Japan LPGA Tour , Korea LPGA Tour , and Ladies European Tour money lists , and official winners of LPGA co-sponsored events for the 52 - week period prior to the U.S. Women 's Open .   There is no upper or lower age limit . The youngest - ever qualifiers were 11 - year - old Lucy Li in 2014 , and 12 - year - old Lexi Thompson in 2007 .   Winners ( edit )  See also : List of U.S. Women 's Open ( golf ) champions  The number following some winners ' names indicates the cumulative number of U.S. Women 's Open wins for that player .     Year   Champion   Country   Venue   Location   Score   To par   Purse ( $ )   Winner 's share ( $ )     2017   Park Sung - hyun   South Korea   Trump National Golf Club   Bedminster , NJ   277   − 11   5,000,000   900,000     2016   Brittany Lang   United States   CordeValle Golf Club   San Martin , CA   282   − 6   4,500,000   810,000     2015   Chun In - gee   South Korea   Lancaster Country Club   Lancaster , PA   272   − 8   4,500,000   810,000     2014   Michelle Wie   United States   Pinehurst Resort , Course No. 2   Pinehurst , NC   278   − 2   4,000,000   720,000     2013   Inbee Park ( 2 )   South Korea   Sebonack Golf Club   Southampton , NY   280   − 8   3,250,000   585,000     2012   Choi Na - yeon   South Korea   Blackwolf Run , composite course   Kohler , WI   281   − 7   3,250,000   585,000     2011   Ryu So - yeon   South Korea   Broadmoor Golf Club , East Course   Colorado Springs , CO   281   − 3   3,250,000   585,000       Paula Creamer   United States   Oakmont Country Club   Oakmont , PA   281   − 3   3,250,000   585,000     2009   Eun - Hee Ji   South Korea   Saucon Valley Country Club   Bethlehem , PA   284     3,250,000   585,000     2008   Inbee Park   South Korea   Interlachen Country Club   Edina , MN   283   − 9   3,250,000   585,000     2007   Cristie Kerr   United States   Pine Needles Lodge and Golf Club   Southern Pines , NC   279   − 5   3,100,000   560,000     2006   Annika Sörenstam ( 3 )   Sweden   Newport Country Club   Newport , RI   284     3,100,000   560,000     2005   Birdie Kim   South Korea   Cherry Hills Country Club   Cherry Hills Village , CO   287   + 3   3,100,000   560,000       Meg Mallon ( 2 )   United States   The Orchards Golf Club   South Hadley , MA   274   − 10   3,100,000   560,000     2003   Hilary Lunke   United States   Pumpkin Ridge Golf Club , Witch Hollow Course   North Plains , OR   283   − 1   3,100,000   560,000     2002   Juli Inkster ( 2 )   United States   Prairie Dunes Golf Club   Hutchinson , KS   276   − 4   3,000,000   535,000     2001   Karrie Webb ( 2 )   Australia   Pine Needles Lodge and Golf Club   Southern Pines , NC   273   − 7   2,900,000   520,000     2000   Karrie Webb   Australia   Merit Club   Libertyville , IL   282   − 6   2,750,000   500,000     1999   Juli Inkster   United States   Old Waverly Golf Club   West Point , MS   272   − 16   1,750,000   315,000     1998   Pak Se - ri   South Korea   Blackwolf Run , composite course   Kohler , WI   290   + 6   1,500,000   267,500     1997   Alison Nicholas   England   Pumpkin Ridge Golf Club , Witch Hollow Course   North Plains , OR   274   − 10   1,300,000   232,500       Annika Sörenstam ( 2 )   Sweden   Pine Needles Lodge and Golf Club   Southern Pines , NC   272   − 8   1,200,000   212,500     1995   Annika Sörenstam   Sweden   Broadmoor Golf Club , East Course   Colorado Springs , CO   278   − 2   1,000,000   175,000     1994   Patty Sheehan ( 2 )   United States   Indianwood Golf and Country Club , Old Course   Lake Orion , MI   277   − 7   850,000   155,000     1993   Lauri Merten   United States   Crooked Stick Golf Club   Carmel , IN   280   − 8   800,000   144,000     1992   Patty Sheehan   United States   Oakmont Country Club   Oakmont , PA   280   − 4   700,000   130,000     1991   Meg Mallon   United States   Colonial Country Club   Fort Worth , TX   283   − 1   600,000   110,000     1990   Betsy King ( 2 )   United States   Atlanta Athletic Club , Riverside Course   Duluth , GA   284   − 4   500,000   85,000     1989   Betsy King   United States   Indianwood Golf and Country Club , Old Course   Lake Orion , MI   278   − 2   450,000   80,000     1988   Liselotte Neumann   Sweden   Baltimore Country Club , Five Farms , East Course   Baltimore , MD   277   − 7   400,000   70,000       Laura Davies   England   Plainfield Country Club   Edison , NJ   285   − 3   325,000   55,000     1986   Jane Geddes   United States   NCR Country Club   Kettering , OH   287   − 1   300,000   50,000     1985   Kathy Baker   United States   Baltusrol Golf Club , Upper Course   Springfield , NJ   280   − 8   250,000   41,975     1984   Hollis Stacy ( 3 )   United States   Salem Country Club   Peabody , MA   290   + 2   225,000   36,000       Jan Stephenson   Australia   Cedar Ridge Country Club   Broken Arrow , OK   290   + 6   200,000   32,780     1982   Janet Alex   United States   Del Paso Country Club   Sacramento , CA   283   − 5   175,000   27,315     1981   Pat Bradley   United States   La Grange Country Club   La Grange , IL   279   − 9   150,000   22,000     1980   Amy Alcott   United States   Richland Country Club   Nashville , TN   280   − 4   140,000   20,047     1979   Jerilyn Britz   United States   Brooklawn Country Club   Fairfield , CT   284     125,000   19,000     1978   Hollis Stacy ( 2 )   United States   Country Club of Indianapolis   Indianapolis , IN   289   + 5   100,000   15,000     1977   Hollis Stacy   United States   Hazeltine National Golf Club   Chaska , MN   292   + 4   75,000   11,040     1976   JoAnne Carner ( 2 )   United States   Rolling Green Golf Club   Springfield , PA   292   + 8   60,000   9,054       Sandra Palmer   United States   Atlantic City Country Club   Northfield , NJ   295   + 7   55,000   8,044       Sandra Haynie   United States   La Grange Country Club   La Grange , IL   295   + 7   40,000   6,073     1973   Susie Berning ( 3 )   United States   Country Club of Rochester   Rochester , NY   290   + 2   40,000   6,000     1972   Susie Berning ( 2 )   United States   Winged Foot Golf Club , East Course   Mamaroneck , NY   299   + 11   40,000   6,000     1971   JoAnne Carner   United States   Kahkwa Club   Erie , PA   288     31,000   5,000     1970   Donna Caponi ( 2 )   United States   Muskogee Country Club   Muskogee , OK   287   − 1   30,000   5,000     1969   Donna Caponi   United States   Scenic Hills Country Club   Pensacola , FL   294   + 6   31,040   5,000     1968   Susie Berning   United States   Moselem Springs Golf Club   Fleetwood , PA   289   + 5   25,000   5,000     1967   Catherine Lacoste ( a )   France   The Homestead   Hot Springs , VA   294   + 6   25,000   0     1966   Sandra Spuzich   United States   Hazeltine National Golf Club   Chaska , MN   297   + 9   20,000   4,000     1965   Carol Mann   United States   Atlantic City Country Club   Northfield , NJ   290   + 2   17,780   3,800     1964   Mickey Wright ( 4 )   United States   San Diego Country Club   Chula Vista , CA   290   − 2   9,900   2,090     1963   Mary Mills   United States   Kenwood Country Club   Cincinnati , OH   289   − 3   9,000   1,900     1962   Murle Lindstrom   United States   Dunes Golf and Beach Club   Myrtle Beach , SC   301   + 13   8,000   1,800     1961   Mickey Wright ( 3 )   United States   Baltusrol Golf Club , Lower Course   Springfield , NJ   293   + 5   8,000   1,800     1960   Betsy Rawls ( 4 )   United States   Worcester Country Club   Worcester , MA   292   + 4   7,200   1,710     1959   Mickey Wright ( 2 )   United States   Churchill Valley Country Club   Pittsburgh , PA   287   − 1   7,200   1,800     1958   Mickey Wright   United States   Forest Lake Country Club   Bloomfield , MI   290   − 2   7,200   1,800     1957   Betsy Rawls ( 3 )   United States   Winged Foot Golf Club , East Course   Mamaroneck , NY   299   + 7   7,200   1,800     1956   Kathy Cornelius   United States   Northland Country Club   Duluth , MN   302   + 11   6,000   1,500     1955   Fay Crocker   Uruguay   Wichita Country Club   Wichita , KS   299   + 11   7,500   2,000     1954   Babe Zaharias ( 3 )   United States   Salem Country Club   Peabody , MA   291   + 3   7,500   2,000     1953   Betsy Rawls ( 2 )   United States   Country Club of Rochester   Rochester , NY   302   + 10   7,500   2,000     1952   Louise Suggs ( 2 )   United States   Bala Golf Club   Philadelphia , PA   284   + 8   7,500   1,750     1951   Betsy Rawls   United States   Druid Hills Golf Club   Atlanta , GA   293   + 5   7,500   1,500     1950   Babe Zaharias ( 2 )   United States   Rolling Hills Country Club   Wichita , KS   291   − 9   5,000   1,250     1949   Louise Suggs   United States   Prince Georges Golf and Country Club   Landover , MD   291   − 9   7,500   1,500     1948   Babe Zaharias   United States   Atlantic City Country Club   Northfield , NJ   300     7,500   1,200     1947   Betty Jameson   United States   Starmount Forest Country Club   Greensboro , NC   295   − 9   7,500   1,200     1946   Patty Berg †   United States   Spokane Country Club   Spokane , WA   5&amp;4   19,700   5,600     - Won in playoff ( a ) = Amateur † = Won 5 and 4 over Betty Jameson in 36 - hole match play final    Jump up ^ The club is located in a portion of the Duluth postal area that became part of the newly incorporated city of Johns Creek in 2006 . Although the club is still served by the Duluth post office , it now lists its mailing address as Johns Creek .    Multiple champions ( edit )   This table lists the golfers who have won more than one U.S. Women 's Open .     Deceased golfer †     Grand Slam winners ‡       Golfer   Country   Total   Years     Betsy Rawls   United States     1951 , 1953 , 1957 , 1960     Mickey Wright ‡   United States     1958 , 1959 , 1961 , 1964     Babe Zaharias †   United States     1948 , 1950 , 1954     Susie Berning   United States     1968 , 1972 , 1973     Hollis Stacy   United States     1977 , 1978 , 1984     Annika Sörenstam ‡   Sweden     1995 , 1996 , 2006     Louise Suggs ‡   United States     1949 , 1952     Donna Caponi   United States     1969 , 1970     JoAnne Carner   United States     1971 , 1976     Betsy King   United States     1989 , 1990     Patty Sheehan   United States     1992 , 1994     Karrie Webb ‡   Australia     2000 , 2001     Juli Inkster ‡   United States     1999 , 2002     Meg Mallon   United States     1991 , 2004     Inbee Park   South Korea     2008 , 2013     The defending champion has retained the title on seven occasions , most recently in 2001 :      2001 - Karrie Webb   1996 - Annika Sörenstam   1990 - Betsy King   1978 - Hollis Stacy   1973 - Susie Berning   1970 - Donna Caponi   1959 - Mickey Wright      Through 2016 , three consecutive championships has not been achieved .   Champions by nationality ( edit )   This table lists the total number of titles won by golfers of each nationality .     Nationality   Wins     United States   51     South Korea   8     Sweden       Australia       England       France       Uruguay       Future sites ( edit )     Year   Course   Location   Dates     2018   Shoal Creek Golf and Country Club   Shoal Creek , Alabama   May 31 -- June 3     2019   Country Club of Charleston   Charleston , South Carolina   May 30 -- June 2     2020   Champions Golf Club , Cypress Creek Course   Houston , Texas   June 4 -- 7     2021   The Olympic Club , Lake Course   San Francisco , California   June 3 -- 6     Source :   See also ( edit )    Golf portal     Golf in the United States    References ( edit )    Jump up ^ `` U.S. Women 's Open : History '' . USGA. 2013 . Retrieved June 23 , 2013 .   Jump up ^ `` U.S. Women 's Open Notebook '' . PGA Tour . Associated Press . June 26 , 2007 . Retrieved March 6 , 2013 .   Jump up ^ Clarke , Liz ( July 7 , 1998 ) . `` Pak wins Open on 92nd hole '' . Spokesman - Review . p . C1 . Retrieved March 6 , 2013 .   ^ Jump up to : `` 2012 U.S. Women 's Open : Fact Sheet '' . USGA . Retrieved March 6 , 2013 .   Jump up ^ `` Shoal Creek to Host 2018 U.S. Women 's Open '' . USGA . May 26 , 2014 . Retrieved July 16 , 2017 .   Jump up ^ `` U.S. Women 's Open sectional qualifying complete '' . USGA . June 4 , 2014 . Retrieved June 19 , 2014 .   Jump up ^ `` 2013 Women 's Open Fact Sheet '' . USGA. 2013 . Retrieved June 19 , 2014 .   Jump up ^ `` 2010 U.S. Open Qualifying '' . Archived from the original on June 12 , 2009 .   Jump up ^ `` Lucy Li , 11 , qualifies for U.S. Open '' . ESPN . Retrieved May 20 , 2014 .   Jump up ^ Dixon , Peter ( June 30 , 2007 ) . `` Thompson proves that youngsters can have fun '' . The Times . London . Retrieved April 24 , 2008 .   Jump up ^ `` 1946 - 2010 - US Women 's Open - history - purses &amp; winners ' shares '' ( PDF ) . LPGA . Retrieved July 31 , 2011 .   Jump up ^ `` U.S. Women 's Open to be played at Shoal Creek in Alabama in 2018 '' . PGA of America . Associated Press . Retrieved May 30 , 2014 .    External links ( edit )    Official website   United States Golf Association website              Golf     Overview     History   Glossary   Outline   Rules   penalties   playoffs   etiquette     Stroke play   scoring   handicap     Match play   four - ball   alternate shot     Golf course   links   teeing ground   hazards     Equipment   golf clubs   golf ball   tee         Technical     Golf stroke mechanics   Instruction   Drive       Golfers     Professional golfer   tours     Male golfers   Female golfers   Men 's major winners   Women 's major winners   Senior major winners   Olympic medalists       Most wins     Asian Tour   Australasia Tour   Challenge Tour   European Tour   European Senior Tour   Japan Golf Tour   Ladies European Tour   LPGA Tour   PGA Tour   PGA Tour Champions   Sunshine Tour   Web.com Tour       Majors      Men     Masters Tournament   U.S. Open   The Open Championship   PGA Championship       Women     ANA Inspiration   Women 's PGA Championship   U.S. Women 's Open   Women 's British Open   The Evian Championship       Senior     The Tradition   Senior PGA Championship   Senior Players Championship   U.S. Senior Open   Senior Open Championship          International events      Multi-sport event     Asian Games   Inter-Allied Games   Island Games   Pacific Games   Pan American Games   Summer Olympics   Summer Universiade   Youth Olympic Games       Team     Curtis Cup   EurAsia Cup   International Crown   Presidents Cup   Ryder Cup   Solheim Cup   Walker Cup          Rankings     Men   Women   Amateur       Countries     Australia   China   India   Ireland   Philippines   Russia   Scotland   Thailand   United States       Venues     Driving range   Lists of golf courses   Canada   Hawaii   India   North Dakota   Philippines   Portugal   United Kingdom   links courses   designed by Jack Nicklaus         Years     1353 -- 1850   1851 -- 1945   1945 -- 99   2000 -- 05     2005   2006   2007   2008   2009     2011   2012   2013   2014   2015   2016   2017       Governing bodies     International Golf Federation   The R&amp;A   United States Golf Association   Professional Golfers ' Association ( Great Britain and Ireland )   Professional Golfers ' Association of America   LPGA   PGA Tour   PGA European Tour   American Society of Golf Course Architects   World Golf Teachers Federation       Variations     Skins game   Shotgun start   Speed golf   Pitch and putt   Indoor golf   Miniature golf   Long drive   Park golf   Snow golf   Stableford scoring   Urban golf       Miscellaneous     Awards   Architects   Caddie   Greenskeeper   World Golf Hall of Fame   British Golf Museum   USGA Museum   Jack Nicklaus Museum   Caddie Hall of Fame   Evans Scholars Foundation       Media     Golf Channel   personalities     Golf Digest   Golf Magazine   Golf World   Golfweek   Links   Travel + Leisure Golf   Video games           Commons   WikiProject   Portal                 U.S. Women 's Open championships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LPGA major golf championships     Current     ANA Inspiration   Women 's PGA Championship   U.S. Women 's Open   Women 's British Open   The Evian Championship       Past     du Maurier Classic   Titleholders Championship   Women 's Western Open       Related     British Ladies Amateur   U.S. Women 's Amateur       See also     Most wins   Chronological   Grand Slam                 LPGA Tour events     Major championships     ANA Inspiration   Women 's PGA Championship   U.S. Women 's Open   Women 's British Open   The Evian Championship       Other tournaments     Pure Silk - Bahamas LPGA Classic   ISPS Handa Women 's Australian Open   Honda LPGA Thailand   HSBC Women 's Champions   Bank of Hope Founders Cup   Kia Classic   Lotte Championship   Volunteers of America Texas Shootout   Lorena Ochoa Match Play   Kingsmill Championship   LPGA Volvik Championship   ShopRite LPGA Classic   Manulife LPGA Classic   Meijer LPGA Classic   Walmart NW Arkansas Championship   Thornberry Creek LPGA Classic   Marathon Classic   Aberdeen Asset Management Ladies Scottish Open   Canadian Pacific Women 's Open   Cambia Portland Classic   Indy Women in Tech Championship   MacKayson New Zealand Women 's Open   LPGA KEB Hana Bank Championship   Swinging Skirts LPGA Taiwan Championship   Sime Darby LPGA Malaysia   Toto Japan Classic   Blue Bay LPGA   CME Group Tour Championship       Team events     Solheim Cup ( odd - numbered years )   International Crown ( even - numbered years )       Other     Former events       All events listed in chronological order .    Retrieved from `` https://en.wikipedia.org/w/index.php?title=United_States_Women%27s_Open_Championship_(golf)&amp;oldid=790909906 '' Categories :   United States Women 's Open Championship ( golf )   LPGA Tour events   United States Golf Association championships   Women 's major golf championships   Women 's golf tournaments in the United States   1946 establishments in Washington ( state )   Hidden categories :   Pages using deprecated image syntax           Talk                                           Contents                   About Wikipedia                                                 Deutsch   Español   Français   </t>
    </r>
    <r>
      <rPr>
        <sz val="11"/>
        <color rgb="FF000000"/>
        <rFont val="Noto Sans CJK SC"/>
        <family val="2"/>
      </rPr>
      <t xml:space="preserve">한국어   </t>
    </r>
    <r>
      <rPr>
        <sz val="11"/>
        <color rgb="FF000000"/>
        <rFont val="Calibri"/>
        <family val="0"/>
        <charset val="1"/>
      </rPr>
      <t xml:space="preserve">Nederlands   </t>
    </r>
    <r>
      <rPr>
        <sz val="11"/>
        <color rgb="FF000000"/>
        <rFont val="Noto Sans CJK SC"/>
        <family val="2"/>
      </rPr>
      <t xml:space="preserve">日本 語   </t>
    </r>
    <r>
      <rPr>
        <sz val="11"/>
        <color rgb="FF000000"/>
        <rFont val="Calibri"/>
        <family val="0"/>
        <charset val="1"/>
      </rPr>
      <t xml:space="preserve">Norsk   Português   Svenska   </t>
    </r>
    <r>
      <rPr>
        <sz val="11"/>
        <color rgb="FF000000"/>
        <rFont val="Noto Sans CJK SC"/>
        <family val="2"/>
      </rPr>
      <t xml:space="preserve">中文   </t>
    </r>
    <r>
      <rPr>
        <sz val="11"/>
        <color rgb="FF000000"/>
        <rFont val="Calibri"/>
        <family val="0"/>
        <charset val="1"/>
      </rPr>
      <t xml:space="preserve">Edit links   This page was last edited on 16 July 2017 , at 22 : 31 .         About Wikipedia                  </t>
    </r>
  </si>
  <si>
    <t xml:space="preserve">who won the us women's open golf</t>
  </si>
  <si>
    <t xml:space="preserve">   Year   Champion   Country   Venue   Location   Score   To par   Purse ( $ )   Winner 's share ( $ )     2017   Park Sung - hyun   South Korea   Trump National Golf Club   Bedminster , NJ   277   − 11   5,000,000   900,000     2016   Brittany Lang   United States   CordeValle Golf Club   San Martin , CA   282   − 6   4,500,000   810,000     2015   Chun In - gee   South Korea   Lancaster Country Club   Lancaster , PA   272   − 8   4,500,000   810,000     2014   Michelle Wie   United States   Pinehurst Resort , Course No. 2   Pinehurst , NC   278   − 2   4,000,000   720,000     2013   Inbee Park ( 2 )   South Korea   Sebonack Golf Club   Southampton , NY   280   − 8   3,250,000   585,000     2012   Choi Na - yeon   South Korea   Blackwolf Run , composite course   Kohler , WI   281   − 7   3,250,000   585,000     2011   Ryu So - yeon   South Korea   Broadmoor Golf Club , East Course   Colorado Springs , CO   281   − 3   3,250,000   585,000       Paula Creamer   United States   Oakmont Country Club   Oakmont , PA   281   − 3   3,250,000   585,000     2009   Eun - Hee Ji   South Korea   Saucon Valley Country Club   Bethlehem , PA   284     3,250,000   585,000     2008   Inbee Park   South Korea   Interlachen Country Club   Edina , MN   283   − 9   3,250,000   585,000     2007   Cristie Kerr   United States   Pine Needles Lodge and Golf Club   Southern Pines , NC   279   − 5   3,100,000   560,000     2006   Annika Sörenstam ( 3 )   Sweden   Newport Country Club   Newport , RI   284     3,100,000   560,000     2005   Birdie Kim   South Korea   Cherry Hills Country Club   Cherry Hills Village , CO   287   + 3   3,100,000   560,000       Meg Mallon ( 2 )   United States   The Orchards Golf Club   South Hadley , MA   274   − 10   3,100,000   560,000     2003   Hilary Lunke   United States   Pumpkin Ridge Golf Club , Witch Hollow Course   North Plains , OR   283   − 1   3,100,000   560,000     2002   Juli Inkster ( 2 )   United States   Prairie Dunes Golf Club   Hutchinson , KS   276   − 4   3,000,000   535,000     2001   Karrie Webb ( 2 )   Australia   Pine Needles Lodge and Golf Club   Southern Pines , NC   273   − 7   2,900,000   520,000     2000   Karrie Webb   Australia   Merit Club   Libertyville , IL   282   − 6   2,750,000   500,000     1999   Juli Inkster   United States   Old Waverly Golf Club   West Point , MS   272   − 16   1,750,000   315,000     1998   Pak Se - ri   South Korea   Blackwolf Run , composite course   Kohler , WI   290   + 6   1,500,000   267,500     1997   Alison Nicholas   England   Pumpkin Ridge Golf Club , Witch Hollow Course   North Plains , OR   274   − 10   1,300,000   232,500       Annika Sörenstam ( 2 )   Sweden   Pine Needles Lodge and Golf Club   Southern Pines , NC   272   − 8   1,200,000   212,500     1995   Annika Sörenstam   Sweden   Broadmoor Golf Club , East Course   Colorado Springs , CO   278   − 2   1,000,000   175,000     1994   Patty Sheehan ( 2 )   United States   Indianwood Golf and Country Club , Old Course   Lake Orion , MI   277   − 7   850,000   155,000     1993   Lauri Merten   United States   Crooked Stick Golf Club   Carmel , IN   280   − 8   800,000   144,000     1992   Patty Sheehan   United States   Oakmont Country Club   Oakmont , PA   280   − 4   700,000   130,000     1991   Meg Mallon   United States   Colonial Country Club   Fort Worth , TX   283   − 1   600,000   110,000     1990   Betsy King ( 2 )   United States   Atlanta Athletic Club , Riverside Course   Duluth , GA   284   − 4   500,000   85,000     1989   Betsy King   United States   Indianwood Golf and Country Club , Old Course   Lake Orion , MI   278   − 2   450,000   80,000     1988   Liselotte Neumann   Sweden   Baltimore Country Club , Five Farms , East Course   Baltimore , MD   277   − 7   400,000   70,000       Laura Davies   England   Plainfield Country Club   Edison , NJ   285   − 3   325,000   55,000     1986   Jane Geddes   United States   NCR Country Club   Kettering , OH   287   − 1   300,000   50,000     1985   Kathy Baker   United States   Baltusrol Golf Club , Upper Course   Springfield , NJ   280   − 8   250,000   41,975     1984   Hollis Stacy ( 3 )   United States   Salem Country Club   Peabody , MA   290   + 2   225,000   36,000       Jan Stephenson   Australia   Cedar Ridge Country Club   Broken Arrow , OK   290   + 6   200,000   32,780     1982   Janet Alex   United States   Del Paso Country Club   Sacramento , CA   283   − 5   175,000   27,315     1981   Pat Bradley   United States   La Grange Country Club   La Grange , IL   279   − 9   150,000   22,000     1980   Amy Alcott   United States   Richland Country Club   Nashville , TN   280   − 4   140,000   20,047     1979   Jerilyn Britz   United States   Brooklawn Country Club   Fairfield , CT   284     125,000   19,000     1978   Hollis Stacy ( 2 )   United States   Country Club of Indianapolis   Indianapolis , IN   289   + 5   100,000   15,000     1977   Hollis Stacy   United States   Hazeltine National Golf Club   Chaska , MN   292   + 4   75,000   11,040     1976   JoAnne Carner ( 2 )   United States   Rolling Green Golf Club   Springfield , PA   292   + 8   60,000   9,054       Sandra Palmer   United States   Atlantic City Country Club   Northfield , NJ   295   + 7   55,000   8,044       Sandra Haynie   United States   La Grange Country Club   La Grange , IL   295   + 7   40,000   6,073     1973   Susie Berning ( 3 )   United States   Country Club of Rochester   Rochester , NY   290   + 2   40,000   6,000     1972   Susie Berning ( 2 )   United States   Winged Foot Golf Club , East Course   Mamaroneck , NY   299   + 11   40,000   6,000     1971   JoAnne Carner   United States   Kahkwa Club   Erie , PA   288     31,000   5,000     1970   Donna Caponi ( 2 )   United States   Muskogee Country Club   Muskogee , OK   287   − 1   30,000   5,000     1969   Donna Caponi   United States   Scenic Hills Country Club   Pensacola , FL   294   + 6   31,040   5,000     1968   Susie Berning   United States   Moselem Springs Golf Club   Fleetwood , PA   289   + 5   25,000   5,000     1967   Catherine Lacoste ( a )   France   The Homestead   Hot Springs , VA   294   + 6   25,000   0     1966   Sandra Spuzich   United States   Hazeltine National Golf Club   Chaska , MN   297   + 9   20,000   4,000     1965   Carol Mann   United States   Atlantic City Country Club   Northfield , NJ   290   + 2   17,780   3,800     1964   Mickey Wright ( 4 )   United States   San Diego Country Club   Chula Vista , CA   290   − 2   9,900   2,090     1963   Mary Mills   United States   Kenwood Country Club   Cincinnati , OH   289   − 3   9,000   1,900     1962   Murle Lindstrom   United States   Dunes Golf and Beach Club   Myrtle Beach , SC   301   + 13   8,000   1,800     1961   Mickey Wright ( 3 )   United States   Baltusrol Golf Club , Lower Course   Springfield , NJ   293   + 5   8,000   1,800     1960   Betsy Rawls ( 4 )   United States   Worcester Country Club   Worcester , MA   292   + 4   7,200   1,710     1959   Mickey Wright ( 2 )   United States   Churchill Valley Country Club   Pittsburgh , PA   287   − 1   7,200   1,800     1958   Mickey Wright   United States   Forest Lake Country Club   Bloomfield , MI   290   − 2   7,200   1,800     1957   Betsy Rawls ( 3 )   United States   Winged Foot Golf Club , East Course   Mamaroneck , NY   299   + 7   7,200   1,800     1956   Kathy Cornelius   United States   Northland Country Club   Duluth , MN   302   + 11   6,000   1,500     1955   Fay Crocker   Uruguay   Wichita Country Club   Wichita , KS   299   + 11   7,500   2,000     1954   Babe Zaharias ( 3 )   United States   Salem Country Club   Peabody , MA   291   + 3   7,500   2,000     1953   Betsy Rawls ( 2 )   United States   Country Club of Rochester   Rochester , NY   302   + 10   7,500   2,000     1952   Louise Suggs ( 2 )   United States   Bala Golf Club   Philadelphia , PA   284   + 8   7,500   1,750     1951   Betsy Rawls   United States   Druid Hills Golf Club   Atlanta , GA   293   + 5   7,500   1,500     1950   Babe Zaharias ( 2 )   United States   Rolling Hills Country Club   Wichita , KS   291   − 9   5,000   1,250     1949   Louise Suggs   United States   Prince Georges Golf and Country Club   Landover , MD   291   − 9   7,500   1,500     1948   Babe Zaharias   United States   Atlantic City Country Club   Northfield , NJ   300     7,500   1,200     1947   Betty Jameson   United States   Starmount Forest Country Club   Greensboro , NC   295   − 9   7,500   1,200     1946   Patty Berg †   United States   Spokane Country Club   Spokane , WA   5&amp;4   19,700   5,600   </t>
  </si>
  <si>
    <t xml:space="preserve">We Belong Together - wikipedia  We Belong Together  For other uses , see We Belong Together ( disambiguation ) .    `` We Belong Together ''         Single by Mariah Carey     from the album The Emancipation of Mimi     B - side   `` It 's Like That ''     Released   March 29 , 2005 ( 2005 - 03 - 29 )     Format     CD   digital download       Recorded       Studio   Right Track Studios ( New York City ) Southside Studios ( Atlanta , Georgia )     Genre   R&amp;B     Length   3 : 21     Label   Island     Songwriter ( s )     Mariah Carey   Jermaine Dupri   Manuel Seal   Johntá Austin   Kenneth Edmonds   Darnell Bristol   Bobby Womack   Patrick Moten   Sandra Sully       Producer ( s )     Mariah Carey   Jermaine Dupri   Manuel Seal       Mariah Carey singles chronology        `` It 's Like That '' ( 2005 )   `` We Belong Together '' ( 2005 )   `` Shake It Off '' ( 2005 )        `` We Belong Together '' is a song by American singer Mariah Carey from her tenth studio album , The Emancipation of Mimi ( 2005 ) . The song was released on March 29 , 2005 , through Island Records , as the second single from the album . `` We Belong Together '' was written by Carey , Jermaine Dupri , Manuel Seal , and Johntá Austin , and produced by the former three . As the song samples lyrics from Bobby Womack 's `` If You Think You 're Lonely Now '' ( 1981 ) and the Deele 's `` Two Occasions '' ( 1987 ) , several other songwriters are credited . `` We Belong Together '' is built on a simple piano arrangement with an understated backbeat . The lyrics chronicle a woman 's desperation for her former lover to return .   Following her decline in popularity between 2001 and 2005 , critics dubbed the song her musical comeback , as many had considered her career over . `` We Belong Together '' earned her several music industry awards and nominations throughout 2005 -- 06 . The song broke chart records in the United States and became Carey 's sixteenth topper on the US Billboard Hot 100 . After staying at number one for fourteen non-consecutive weeks , it joined four other songs in a tie as the second longest running number one song in US chart history , behind Carey 's own 1995 collaboration with Boyz II Men titled `` One Sweet Day '' . Billboard listed it as the `` song of the decade '' and the eleventh most popular song of all time . Additionally , it broke several airplay records , gathering both the largest one - day and one - week audiences in history . `` We Belong Together '' also topped the charts in Australia and reached the top five in Denmark , Hungary , Ireland , the Netherlands , New Zealand , Scotland , Spain , and the United Kingdom .   The song 's music video was filmed as a two - part story with `` It 's Like That '' , which featured Carey at her bachelorette party . The video for `` We Belong Together '' is a continuation focusing on Carey 's wedding to an older and powerful man and ends with the singer eloping with her ex-lover . Rumors arose of the video 's connection to her 1993 marriage to Tommy Mottola . Carey performed the song on several award shows and television appearances around the world , namely MTV Movie Awards , MTV Video Music Awards , Macy 's Fourth of July Parade , The Oprah Winfrey Show and the 48th Grammy Awards . In Europe the song was performed at the Live 8 charity concert , the Fashion Rocks in Monaco , and the German Bambi Awards . Carey performed the song on both her Adventures of Mimi and Angels Advocate Tours .   Contents    1 Background   2 Music and structure   3 Critical reception   4 Chart performance   5 Awards and nominations   6 Remixes   7 Music video   7.1 Background   7.2 Synopsis     8 Live performances   9 Formats and track listings   10 Credits and personnel   11 Charts   11.1 Weekly charts   11.2 Year - end charts   11.3 Decade - end charts   11.4 All - time charts     12 Certifications   13 See also   14 References   15 External links    Background ( edit )   Carey had produced back - to - back commercially and critically unsuccessful albums , Glitter ( 2001 ) and Charmbracelet ( 2002 ) . Though fueled by strong media attention regarding Carey 's return to music , as well as her new deal with Island Records , the albums failed to deliver the type of success she had been accustomed to throughout the 1990s , and only managed sales of 3 million copies globally . After the album 's release , and its succeeding tour , Carey began conceptualizing and working on a new project , eventually titled The Emancipation of Mimi , her tenth studio effort . `` We Belong Together '' became a song that critics considered Carey 's `` return to form '' and `` the return of The Voice '' , after several questioned her vocal abilities following the release of Charmbracelet .   By November 2004 , Carey had already recorded several songs for The Emancipation of Mimi . Island Records chairman L.A. Reid suggested Carey that she compose a few more strong singles to ensure the project 's commercial success . Noting that she had written some of her best work with Jermaine Dupri , Reid recommended her to meet with Dupri for a brief studio session . Carey headed to Atlanta to collaborate with Dupri where the duo wrote and produced `` Shake It Off '' and `` Get Your Number '' , which were eventually released as the album 's third and fourth singles . ( Following this recording session , `` Shake It Off '' was briefly selected as the album 's lead single , replacing the originally planned `` Say Somethin ' '' . ) Carey returned to Atlanta for a second meeting with Dupri ; during this trip , Carey and Dupri penned the last two songs to be included on the album , `` We Belong Together '' and `` It 's Like That '' . In an interview with Billboard , Carey described her sentiments regarding the song during the production stage :   I had the chills . I had a great feeling about it when we finished writing the song , and I was flying back from Atlanta at some crazy hour of the morning ... But we were listening to it on the plane ride on the way home , and even from the demo version , I really felt something very special .   Carey and her management then decided to release `` It 's Like That '' , which Carey called `` the right fire - starter '' , as the album 's lead single . She later reminisced about her experience with Dupri : `` I am so grateful I went to Atlanta , '' she said . `` And I have to say , we wrote some of my favorite songs on the album . I 'm so proud of Jermaine -- he 's so focused , and he knew what had to be done . ''   Music and structure ( edit )   `` We Belong Together '' is an R&amp;B ballad . Rolling Stone called it `` soulful . '' The song is propelled by a programmed Roland TR - 808 - styled kick and hi - hat , which is prominently utilized in hip hop music . Reviewer Jennifer Vineyard from MTV News commented that Carey 's spare and understated singing approach gave the song more power , which would not have been achieved if she had belted . The song also incorporates 1980s retro - soul music by `` cleverly '' referencing Bobby Womack 's `` If You Think You 're Lonely Now '' ( 1981 ) and the Deele 's `` Two Occasions '' ( 1987 ) , with Babyface . In the second verse of `` We Belong Together '' , Carey sings : `` Bobby Womack 's on the radio / Singing to me , ' If you think you 're lonely now ' . '' She then flips across a radio dial : `` So I turn the dial , tryin ' to catch a break / And then I hear Babyface / ' I only think of you ... ' . '' The line `` If you think you 're lonely now '' is from the song of the same name and `` I only think of you '' is from the chorus of `` Two Occasions . '' In the remix she also says `` I only think of you / On two occasions / That 's day and night ... '' Due to the inclusion of the lyrics from both songs , the songwriters were given co-writing credits on the song . `` We Belong Together '' follows the common verse - chorus form and is structured into three distinct sections , with each section presenting the protagonist in different emotions . The first section chronicles the break - up of the couple , and a sorrowful tone is established as she laments her former mistakes . In the second section , the narrative switches to the present , and the protagonist becomes increasingly agitated and feels `` all out of her element '' when she attempts to distract herself by listening to the radio , but fails . `` We Belong Together '' does not have a bridge ; instead , Carey transitions into the third section by raising the pitch an octave , which emphasizes the sheer frustration and desperation of the protagonist . Metro Times writer Johnny Loftus described the song 's production , lyrics and vocals in detail :   It 's straightforward , heartfelt and classy . Mariah pleads with her departed lover -- ' When you left I lost a part of me / It 's still so hard to believe ' -- and the song 's gentle R&amp;B roll is perfectly understated , built from a few piano chords and a slowed - down So So Def rhythm . It has a homebody quality , almost like an autumn song would -- you can imagine a split - up couple singing it quietly , separately , as the world goes on around them . She 's on a porch with tea ; he 's stuck in traffic when he finds Mariah on the radio . It even cleverly references that feel , with Mariah finding the Bobby Womack and Babyface songs on her radio just too tough to hear . There 's no tired ' I tried to 2 - way you ' retorts , no trash - technology love affair ' I was at the grocery store and this guy had the same ring tone as you , and I cried . ' No , there 's a classic sensibility to the lyrics and sound of ' We Belong Together ' that makes for perfect -- and perfectly universal -- pop / R&amp;B songwriting . In other words , it 's the jam . And there 's probably a happy ending , too : Mariah 's triumphant octave shift finale makes the song 's title an emphatic .   `` We Belong Together '' is a simple , understated musical arrangement set in F lydian and composed in 4 / 4 time . Similarly , within the song , Carey 's voice spans from G to the high note of A. Carey 's vocal range is demonstrated with a greater emphasis in the ending chorus , where the chorus is raised an octave higher , lying from G to A. As such , Carey ends with an anticipated coda , completing both the chorus and the song with a potent , belted note of C for approximately four semibreves ( around 17 seconds ) . It follows the common verse - chorus form and is structured into three sections that portray the protagonist in a range of emotions ; from doleful and resigned in the first section , to desperate and agitated in the second . In the last section the song climaxes with an octave raise , which not only emphasizes the protagonist 's heightened desperation , but her determination to be with her lover . The song is written in the key of C major with a slow tempo of 70 beats per minute . Carey 's vocals span from G to A , and the song follows a chord progression of Am -- G -- Em -- F .   Critical reception ( edit )   `` We Belong Together '' became a `` career re-defining '' song for Carey , at a point when many critics had considered her career over . Unlike most of Carey 's recent singles at that time , `` We Belong Together '' received generally positive reviews from critics , most of whom hailed the song as her `` return to form '' , following reviews for Charmbracelet ( 2002 ) , that suggested Carey had lost her signature vocal range and power . Sal Cinquemani of Slant Magazine wrote `` the ... diva ( keeps ) cool with breathy , rapid - fire verses until the final full strong - voiced climax that ... proves that ' The Voice ' has indeed returned . '' Additionally , he said that `` The song is as ' innovative ' as Mariah has been in years . '' Other critics commended Carey on her novel singing style which , according to Kelefa Sanneh of The New York Times , gave the song its propulsion , writing `` This style is part of the reason why she has been able to turn a ballad into a summer smash . ' We Belong Together ' does n't have a guest rapper , or a hard - hitting beat , but Ms. Carey 's tricky vocal lines give the song more propulsion than you 'd expect , with tightly coiled counter-rhythms that tug against the beat . '' Johnny Loftus from Metro Times called it a `` summer hit '' and wrote `` We all know it 's the intangibles that make a summer single anyway , those untraceable currents that grab the heart and feet , and despite not being an anthem , ' We Belong Together ' is that rousing . ''   Writing for Vibe , Michael Ehrlich claimed the song would `` cut across generations '' , while Cinquemani felt it would revive `` faith in Mariah the balladeer '' . Stephen Thomas Erlewine from AllMusic chose `` We Belong Together '' as a `` top Pick '' from the album , while Todd Burns from Stylus Magazine described it as `` beautifully cadenced '' . Echoing Cinquemani 's comments about the song and Carey 's past as a balladeer , Jozen Cummings from PopMatters wrote `` Carey makes the song her own , reminding fans of her ' Hero ' days with full , throaty vocals and a crashing climax at the end . The dichotomy between ' The Emancipation of Mimi 's ' first two tracks is the album 's bread and butter . '' Since first hearing the song on the radio , Sherri Winston from South Florida Sun - Sentinel claimed she `` knew it would be a smash '' , complimenting its understated beat and Carey 's vocals . Billboard 's Michael Paoletta described `` We Belong Together '' as one of the album 's strongest cuts , claiming that it highlighted the strongest focal point on the song : Carey 's voice . Slant Magazine ranked it 2nd on their best songs of 2005 list .   Chart performance ( edit )  Carey performing `` We Belong Together '' on Good Morning America  Between 2001 and 2004 , Carey 's popularity had substantially declined and many had considered her career as over . The song spent fourteen non-consecutive weeks at number one on both the US Billboard Hot 100 -- after making its debut at number 81 -- and on the Hot R&amp;B / Hip - Hop Songs chart . It had major cross-over success , becoming the first song to simultaneously occupy the number one position on nine Billboard charts on the week ending August 6 , 2005 : the Hot 100 , Billboard Hot 100 Airplay , Hot R&amp;B / Hip - Hop Songs , Hot R&amp;B / Hip - Hop Airplay , Pop 100 Airplay , Top 40 Mainstream , Rhythmic Airplay Chart , Hot Dance Club Songs , and the Hot Ringtones charts . Spending fourteen weeks atop the Hot 100 , `` We Belong Together '' became the one of the second longest running number one songs in US chart history , behind only Carey 's 1995 collaboration with Boyz II Men , `` One Sweet Day '' , which spent sixteen weeks at number one . Aside from its chart success , the song broke several airplay records , and according to Mediabase and Nielsen BDS , gathered both the largest one - day and one - week audiences in BDS history , reaching 32.8 million and 223 million impressions respectively . This record was held until it was broken by Robin Thicke 's `` Blurred Lines '' in 2013 , with 234.65 million listeners on July 28 .   During the week of September 25 , 2005 , Carey set another record , becoming the first female to occupy the first two spots atop the Hot 100 , as `` We Belong Together '' remained at number one , and her next single , `` Shake It Off '' , held the number two spot . Additionally , the song held the top position on the official Hot 100 Airplay chart for sixteen weeks , tying for the second all time spot with No Doubt 's `` Do n't Speak '' ( 1996 ) . `` We Belong Together '' was certified 3хPlatinum by the Recording Industry Association of America ( RIAA ) , denoting shipments of a 3 million copies throughout the United States . On the Billboard Hot 100 Year - end Chart of 2005 , the song was declared the number one song , a career first for Carey . Billboard listed `` We Belong Together '' ninth on The Billboard Hot 100 All - Time Top Songs and second on Top Billboard Hot 100 R&amp;B / Hip - Hop Songs . The song was also declared the most popular song of the 2000s decade by Billboard , which makes Carey the first artist to have more than one song being the most popular of a decade , as `` One Sweet Day '' was the most popular song of the 1990s .   Besides its success in the United States , `` We Belong Together '' achieved strong charting throughout Europe and Australia . On the ARIA Charts , the song debuted atop the singles chart in Australia during the week dated July 3 , 2005 . The following week , it held the number one spot for a second week , and stayed on the chart for a total of eleven weeks . To date , `` We Belong Together '' was certified Platinum by the Australian Recording Industry Association ( ARIA ) , denoting shipments of 70,000 units . The song finished at number seventeen on the 2005 Australian Year - End Chart . In both Flemish and Wallonian territories in Belgium , `` We Belong Together '' peaked at numbers twelve and twenty - four , spending a total of fifteen and fourteen weeks fluctuating in the singles chart , respectively . The song finished at number forty - seven on the Flemish Year - End Chart of 2005 . `` We Belong Together '' made its debut at number fifteen on the Danish Tracklisten chart during the week of August 7 , 2005 , eventually peaking at number three . In France , the song peaked at number twelve , and spent nineteen weeks fluctuating within the French singles chart . On the Dutch Top 40 chart , `` We Belong Together '' reached number one in its fourth week , and spent a total of sixteen weeks in the chart , four of which were at the number two position . The song finished at number forty - one on the Dutch Year - End Chart of 2005 . In New Zealand , the song spend three weeks at number two on the singles chart , and a total of twelve before making its exit on October 3 , 2005 . At the end of 2005 , `` We Belong Together '' finished at number thirty - six , and was certified Gold by the Recording Industry Association of New Zealand ( RIANZ ) . In both Norway and Spain , the song peaked at number nine and three , and spent nine and seven weeks within the charts . In Switzerland , the song peaked at number four on the official singles chart , and charted for thirteen weeks . During mid-week predictions in the United Kingdom , `` We Belong Together '' was positioned to become Carey 's third UK number one single . However , it wound up debuting at number two on the UK Singles Chart . In its second week , the song dropped to number three , before re-surfacing to number two in its third week , this time blocked by James Blunt 's `` You 're Beautiful '' . The song spent a total of eighteen weeks within the singles chart , and has estimated sales of over 240,000 units in the United Kingdom .   Awards and Nominations ( edit )   `` We Belong Together '' was awarded several prestigious music industry awards throughout 2005 and 2006 . At the 2005 Billboard Music Awards ceremony , Carey won five awards , with the song receiving awards in the `` Rhythmic Top 40 Title of the Year '' , `` Hot 100 song of the Year '' and `` Hot 100 Airplay of the Year '' categories . On November 6 , 2005 , Carey earned two awards for `` We Belong Together '' at the Radio Music Awards ceremony , in the `` Song of the Year / Mainstream Hit Radio '' and `` Song of the Year / Urban and Rhythmic Radio '' categories . Similarly , `` We Belong Together '' won the `` Best R&amp;B / Soul Single '' and `` Best R&amp;B / Soul Single , Female '' awards at the 20th annual Soul Train Music Awards , `` Choice Love Song '' at the Teen Choice Awards , `` Best R&amp;B Song '' at the Vibe Awards , and `` World 's Most - Played Single '' at the 2005 World Music Awards .   At the 48th annual Grammy Awards , held at the Shrine Auditorium on February 8 , 2006 , Carey was nominated for eight awards , the most she had received in one night throughout her career . `` We Belong Together '' was nominated for Song of the Year and Record of the Year ; however , it won two awards : `` Best R&amp;B Song '' and `` Best Female R&amp;B Vocal Performance '' . The song was named `` Song of the Year '' at the ASCAP Awards , and `` Song of the Year '' , `` Most Performed Song '' and `` Number - one Billboard Song '' at the BMI Awards . Towards the summer of 2006 , Carey took home `` Song of the Year '' , `` Best Pop Female Song Performance '' and `` Best R&amp;B / Soul Female Song Performance '' at the GrooveVolt Music &amp; Fashion Awards .   Remixes ( edit )   Carey recorded an official remix version for `` We Belong Together '' , which she produced with DJ Clue . The remix features vocals from rappers Jadakiss and Styles P , two - thirds of the hip - hop trio the LOX . The remix is fundamentally different from the original , described as having `` a faster , springier backbeat '' by Kelefa Sanneh of The New York Times . Lyrically , the song is similar to the album version of the song , in which both rappers ' verses contemplate on past memories . Styles P raps `` Past is the past , just let it be bygones / Matter of fact I know a fly song that we could vibe on '' , which Sanneh writes `` Cheerfully out of place , he sounds like a man who has wandered into the wrong summertime party , but so what ? He figures he might as well stick around and enjoy it . '' In two separate reviews of The Emancipation of Mimi , Sanneh referred to the song as both `` great '' and `` excellent '' , in regards to the remix .   Aside from the album version 's main remix , several others were commissioned and released , although none contained new vocals from Carey . Peter Rauhofer created the `` Reconstruction Mix / Atlantic Soul Vocal Mix '' and `` Atlantic Soul Vocal Mix '' , which both feature a synthetic bass line , a piano and guitar line , and distinctive hi - hats that produce a more up - tempo , hard - hitting beat .   Music video ( edit )   Background ( edit )   The song 's music video premiered worldwide on April 11 , 2005 , although MSN offered an exclusive look at the music video on April 9 . Carey 's `` We Belong Together '' is Yahoo ! Music 's most watched video of 2005 with 7.5 million streamed performances . The video was shot by film director Brett Ratner in Los Angeles alongside the video for Carey 's previous single , `` It 's Like That '' . Carey had collaborated with Ratner several times in the past , having worked on the video for `` Heartbreaker '' , which became one of the most expensive of all time , costing an estimated $2.5 million . The video was filmed through February 9 to February 10 , 2005 , in conjunction with `` It 's Like That '' and serves as the second half to the two - part story . The music video for `` It 's Like That '' features Carey at her bachelorette party set to wed an older and powerful man , played by Eric Roberts . Towards the end of the video , her ex-lover and past flame , played by Wentworth Miller , arrives at the event , and the video concludes with them staring into each other 's eyes as Carey 's soon - to - be husband watches from a balcony . The video for `` We Belong Together '' finishes their tale of love , and features Carey on her wedding day . For the scenes of Carey 's wedding to the older man , she wore her Vera Wang gown she originally wore during her nuptials to Tommy Mottola in 1993 . In an interview with MSNBC , when asked if there was a connection to the use of the dress in the video and reality , Carey responded :   The wedding dress was a Vera Wang original dress from a while ago that I actually wore on a certain occasion and had it in storage and when we came up with the concept for the video that had the element of a wedding in it , I said , ' well , I do have my old wedding dress , ' . ' It 's still worth ( sic ) for me ' cause I ca n't believe I was ever married but whatever , end of story . And I knew that we would n't be able to get a fabulous dress like in two days so I just took that dress out of the storage -- it has a 27 - foot train and it was just all hand - beaded and stuff and so I figured we might as well get a use out of it . '   Synopsis ( edit )  In the music video , Carey wore her wedding dress from her nuptials to Tommy Mottola in 1993 . She is seen running from the altar , alongside her lover ( Wentworth Miller ) , in the video 's climactic scene .  The video features Carey readying for her wedding , and follows her to the altar , as well as her escape from the reception . Many of the actors featured in Carey 's `` It 's Like That '' video were in that of `` We Belong Together '' , which was shot as a continuation from the `` It 's Like That '' video . It begins with a scene of a large mansion , apparently owned by the older man who she is to marry . Carey is seen walking barefoot in a room , shedding a black sheer robe and laying down on a bed draped with white linens . Dressed in lingerie , Carey 's face is shown close - up , as scenes of her tossing in the bed are shown . As the song begins , Carey is seen sitting in front of a large mirror , preparing for her wedding by putting on earrings and shoes , and staring at the ring on her finger . Additional scenes of Carey sitting on a small blue sofa , wearing a purple dress , and Carey staring at the camera during a shower moment are interspersed . The wedding is then shown , with Miller approaching the reception through a stairwell in the back . Small children as seen throwing flowers on the white carpet , followed by Roberts and Carey walking down the aisle .   As Carey , now dry and clothed , is shown in another scenario following the dressing scene , a still of Carey and Miller in the video for `` It 's like That '' is shown , during the lyrics `` I ca n't sleep at night / When you are on my mind '' . After several other scenes of Carey dressed in the purple gown and white shirt are interspersed , the altar is displayed , where before being ordained by the minister , Carey looks into her ex-lover's eyes once more . She turns to Roberts , and begins running towards Miller , leaving the reception . As the song 's climax is reached , Carey and Miller are shown running from the reception , as the guests stand up in awe , and watch the pair leave . Carey , dressed in the white shirt , is shown with growing anticipation , crying to the camera and moving her hands and hair . Back at the wedding scene , Carey and her lover get into his vehicle , and drive away as her 27 - foot train hangs behind the car . The video was nominated for `` Best R&amp;B Video '' and `` Best Female Video '' at the 2005 MTV Video Music Awards .   Live performances ( edit )   Due to its continued chart success , Carey performed `` We Belong Together '' on several live televised performances and included it on the set - lists of all of her tours following its release . In the United Kingdom , Carey filmed a two - part appearance on the British music program Top of the Pops , performing `` It 's Like That '' , `` We Belong Together '' , and `` Shake It Off '' . Additional European and Asian appearances included an interview on the French talk show Le Grand Journal , and a performance of `` We Belong Together '' on both Music Station and Riponggi Hills in Japan . After returning to the United States for a string of televised performances , Carey launched the release of the album on Good Morning America , in the form of a five - piece outdoor concert . The concert , taking place in Times Square and featuring the largest crowd in the plaza since the 2004 New Year 's Eve celebration , featured the first three singles from the album , as well as `` Fly Like a Bird '' and `` Make It Happen '' ( 1991 ) . The following week , she performed `` We Belong Together '' at the 2005 BET Awards , with an additional appearance at the annual VH1 Save the Music special , filmed live on April 17 from the Beacon Theatre . Throughout May , Carey appeared on several US television programs , performing `` We Belong Together '' on the Late Show with David Letterman ( May 5 ) , The Tonight Show with Jay Leno ( May 11 ) , and The Ellen DeGeneres Show ( May 13 ) , which included a performance of `` It 's Like That '' . As June approached , Carey made an appearance on The Oprah Winfrey Show ( May 24 ) , featuring a live rendition of `` We Belong Together '' . She appeared on stage wearing a long blue evening gown , and featured a four piece band , as well as three background vocalists . Eleven days later on June 4 , she performed at the annual Macy 's Fourth of July Parade , singing `` America the Beautiful '' and `` We Belong Together '' .  Carey performing `` We Belong Together '' on her Angels Advocate Tour  The following week , Carey made a live appearance at the 2005 MTV Movie Awards . The recital aired on television in black and white format , with Carey wearing a red Armani Privé and sporting a retro curled hairstyle , appearing in color . She performed `` We Belong Together '' on a white runway - styled stage with four male and female dancers . Following the stateside promotion of the album , Carey traveled to the United Kingdom on July 2 , 2005 for a benefit concert held in Hyde Park , London titled Live 8 . The televised event was watched by over 9.6 million British citizens and held a live audience of over 200,000 . Carey performed a three song set - list , opening with `` Make It Happen '' and `` Hero '' , which featured a live choir of African children , and followed by `` We Belong Together '' . On August 3 , USA Today announced that Carey would be added to the roster of performers at the 2005 MTV Video Music Awards , held on the 28th of the month . The ceremony was held at the American Airlines Arena in downtown Miami Beach Florida , with Carey 's performance taking place at the National Hotel in South Beach . Apart from the Killers , she was the only performer to tape their appearance from an undisclosed location in Miami . After being introduced by Eva Longoria , Carey appeared on a long stage in the hotel 's courtyard , with Dupri opening the song in a nearby cabana . After performing `` Shake It Off '' and the official remix version of `` We Belong Together '' , Carey made her way into the shallow pool , followed by Dupri and the back - up dancers . Following the awards ceremony , Carey once again took to Europe , being featured as a head - lining performer at the 2005 Fashion Rocks , held in Monaco . Following her introduction by Donatella Versace , Carey performed the Peter Rauhofer Remix for `` We Belong Together '' on a suspended rafter , while wearing a metallic Versace gown . Carey played a similarly - choreographed performance of the song 's Peter Rauhofer Remix at the German Bambi Awards , held in October 2005 . Two months later , she celebrated the new year on television , placing as the featured performer at the Times Square Ball drop on New Year 's Eve in New York . The special , titled Dick Clark 's New Year 's Rockin ' Eve with Ryan Seacrest , aired on ABC at 10 pm on December 31 , and featured Carey on stage wearing a short sparkling dress , and performing a selection of the album 's singles .   At the 48th Grammy Awards , held on February 8 , 2006 , Carey was nominated for eight awards -- the most she had ever received in one night . That night , Carey returned to the Grammy stage for the first time since 1996 . Her performance opened with a pre-taped video in which she discussed the importance of God and religion in her life . Carey then came to the stage , dressed in a white Chanel gown , and sang a shortened version of `` We Belong Together '' . Next , Carey 's pastor Clarence Keaton read a Bible passage to open Carey 's performance of `` Fly Like a Bird '' , as he did in the studio recording of the song . Midway through the song , a black temporary wall was removed , revealing a large choir who joined Carey for the song 's gospel climax . The performance earned the night 's only standing ovation , prompting Teri Hatcher , who was presenting the next award , to exclaim , `` It 's like we 've all just been saved ! '' Carey 's performance earned rave reviews from critics . Gary Susman from Entertainment Weekly called Carey the `` comeback queen '' , noting that her voice `` soar ( ed ) into the rafters like only Carey 's can . '' Carey included `` We Belong Together '' on both succeeding tours following its release , the Adventures of Mimi and Angels Advocate Tours . On the former , the song was featured as the encore number , with Carey re-entering the arenas in a form fitting beige evening gown . Backed by three background vocalists , Trey Lorenz , Sherry Tatum , and MaryAnn Tatum , Carey began the song as confetti dropped the ar</t>
  </si>
  <si>
    <t xml:space="preserve">who is mariah carey talking about in we belong together</t>
  </si>
  <si>
    <t xml:space="preserve"> The song 's music video was filmed as a two - part story with `` It 's Like That '' , which featured Carey at her bachelorette party . The video for `` We Belong Together '' is a continuation focusing on Carey 's wedding to an older and powerful man and ends with the singer eloping with her ex-lover . Rumors arose of the video 's connection to her 1993 marriage to Tommy Mottola . Carey performed the song on several award shows and television appearances around the world , namely MTV Movie Awards , MTV Video Music Awards , Macy 's Fourth of July Parade , The Oprah Winfrey Show and the 48th Grammy Awards . In Europe the song was performed at the Live 8 charity concert , the Fashion Rocks in Monaco , and the German Bambi Awards . Carey performed the song on both her Adventures of Mimi and Angels Advocate Tours . </t>
  </si>
  <si>
    <t xml:space="preserve">Second Amendment to the United States Constitution - wikipedia  Second Amendment to the United States Constitution  `` Second Amendment '' redirects here . For other uses , see Second Amendment ( disambiguation ) .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The Bill of Rights in the National Archives . Close up image of the Second Amendment    Firearm legal topics of the     United States of America           Amendment II     Assault weapon   Assault weapons legislation   Bump stocks   Bureau of Alcohol , Tobacco , Firearms and Explosives ( ATF )   Brady Handgun Violence Prevention Act   Campus carry in the U.S.   Concealed carry in the U.S.   Connecticut Children 's Safety Act   Constitutional carry   Domestic Violence Offender Gun Ban   Federal Assault Weapons Ban   Federal Firearms Act of 1938   Federal Firearms License   Firearm case law   Firearm Owners Protection Act   Gun Control Act of 1968   Gun - Free School Zones Act ( GFSZA )   Gun law in the U.S.   Gun laws in the U.S. by state   Gun politics in the U.S.   High - capacity magazine ban   International treaties for arms control   National Instant Criminal Background Check System ( NICS )   National Firearms Act ( NFA )   NY SAFE Act   Open carry in the U.S.   Right to keep and bear arms in the U.S.   Sullivan Act ( New York )   Suppressor   Tiahrt Amendment   Violent Crime Control and Law Enforcement Act       United States portal                 The Second Amendment ( Amendment II ) to the United States Constitution protects the right of the people to keep and bear arms and was adopted on December 15 , 1791 , as part of the first ten amendments contained in the Bill of Rights . The Supreme Court of the United States has ruled that the right belongs to individuals for self defense . while also ruling that the right is not unlimited and does not prohibit all regulation of either firearms or similar devices . State and local governments are limited to the same extent as the federal government from infringing this right , per the incorporation of the Bill of Rights .   The Second Amendment was based partially on the right to keep and bear arms in English common law and was influenced by the English Bill of Rights of 1689 . Sir William Blackstone described this right as an auxiliary right , supporting the natural rights of self - defense and resistance to oppression , and the civic duty to act in concert in defense of the state .   While both James Monroe and John Adams supported the Constitution being ratified , its most influential framer was James Madison . In Federalist No. 46 , Madison wrote how a federal army could be kept in check by state militias , `` a standing army ... would be opposed ( by ) a militia . '' He argued that state militias `` would be able to repel the danger '' of a federal army , `` It may well be doubted , whether a militia thus circumstanced could ever be conquered by such a proportion of regular troops . '' He confidently contrasted the federal government of the United States to the European kingdoms , which he contemptuously described as `` afraid to trust the people with arms . '' He assured his fellow citizens that they need never fear their government because `` besides the advantage of being armed , which the Americans possess over the people of almost every other nation , the existence of subordinate governments , to which the people are attached , and by which the militia officers are appointed , forms a barrier against the enterprises of ambition '' .   By January 1788 , Delaware , Pennsylvania , New Jersey , Georgia and Connecticut ratified the Constitution without insisting upon amendments . Several specific amendments were proposed , but were not adopted at the time the Constitution was ratified . For example , the Pennsylvania convention debated fifteen amendments , one of which concerned the right of the people to be armed , another with the militia . The Massachusetts convention also ratified the Constitution with an attached list of proposed amendments . In the end , the ratification convention was so evenly divided between those for and against the Constitution that the federalists agreed to amendments to assure ratification .   In United States v. Cruikshank ( 1876 ) , the Supreme Court of the United States ruled that , `` The right to bear arms is not granted by the Constitution ; neither is it in any manner dependent upon that instrument for its existence . The Second Amendments means no more than that it shall not be infringed by Congress , and has no other effect than to restrict the powers of the National Government '' and thus limited the scope of the Second Amendment 's protections to the federal government . In United States v. Miller ( 1939 ) , the Supreme Court ruled that the Second Amendment did not protect weapon types not having a `` reasonable relationship to the preservation or efficiency of a well regulated militia '' .   In the twenty - first century , the amendment has been subjected to renewed academic inquiry and judicial interest . In District of Columbia v. Heller ( 2008 ) , the Supreme Court handed down a landmark decision that held the amendment protects an individual 's right to keep a gun at home for self - defense . This was the first time in American history The Court had ruled the Second Amendment guarantees an individual 's right to own a gun . In McDonald v. Chicago ( 2010 ) , the Court clarified its earlier decisions that limited the amendment 's impact to a restriction on the federal government , expressly holding that the Due Process Clause of the Fourteenth Amendment incorporates the Second Amendment against state and local governments . In Caetano v. Massachusetts ( 2016 ) , the Supreme Court reiterated its earlier rulings that `` the Second Amendment extends , prima facie , to all instruments that constitute bearable arms , even those that were not in existence at the time of the founding '' and that its protection is not limited to `` only those weapons useful in warfare '' .   Due to these decisions , the debate between various organizations regarding gun control and gun rights continues .     Contents  ( hide )   1 Text   2 Pre-Constitution background   2.1 Influence of the English Bill of Rights of 1689   2.2 Experience in America prior to the U.S. Constitution     3 State Constitutional Precursors to the Second Amendment   3.1 Virginia , June 12 , 1776   3.2 Pennsylvania , September 28 , 1776   3.3 Maryland , November 11 , 1776   3.4 North Carolina , December 18 , 1776   3.5 New York , April 20 , 1777   3.6 Vermont , July 8 , 1777   3.7 Massachusetts , June 15 , 1780     4 Drafting and adoption of the Constitution   5 Ratification debates   5.1 Argument for state power   5.2 Government tyranny   5.3 Preserving slave patrols     6 Conflict and compromise in Congress produce the Bill of Rights   7 Militia in the decades following ratification   8 Scholarly commentary   8.1 Early commentary   8.1. 1 Richard Henry Lee   8.1. 2 George Mason   8.1. 3 Tench Coxe   8.1. 4 Tucker / Blackstone   8.1. 5 William Rawle   8.1. 6 Joseph Story   8.1. 7 Lysander Spooner   8.1. 8 Timothy Farrar   8.1. 9 Judge Thomas Cooley     8.2 Late 20th century commentary   8.3 Meaning of `` well regulated militia ''   8.4 Meaning of `` the right of the People ''   8.5 Meaning of `` keep and bear arms ''     9 Supreme Court cases   9.1 United States v. Cruikshank   9.2 Presser v. Illinois   9.3 Miller v. Texas   9.4 Robertson v. Baldwin   9.5 United States v. Miller   9.6 District of Columbia v. Heller   9.6. 1 Judgment   9.6. 2 Notes and analysis     9.7 McDonald v. City of Chicago   9.8 Caetano v. Massachusetts     10 United States Courts of Appeals decisions before and after Heller   10.1 Before Heller   10.2 After Heller     11 Calls for repeal   12 See also   13 Notes and citations   14 References   14.1 Books   14.2 Periodicals   14.3 Other publications     15 Further reading   16 External links      Text ( edit )   There are several versions of the text of the Second Amendment , each with capitalization or punctuation differences . Differences exist between the drafted and ratified copies , the signed copies on display , and various published transcriptions . The importance ( or lack thereof ) of these differences has been the source of debate regarding the meaning and interpretation of the amendment , particularly regarding the importance of the prefatory clause .   One version was passed by the Congress , and a slightly different version was ratified . As passed by the Congress and preserved in the National Archives , with the rest of the original handwritten copy of the Bill of Rights prepared by scribe William Lambert , the amendment says :   A well regulated Militia , being necessary to the security of a free State , the right of the people to keep and bear Arms , shall not be infringed .  The hand - written copy of the proposed Bill of Rights , 1789 , cropped to show only the text that would later be edited and ratified as the Second Amendment  Here is the amendment as ratified by the States and authenticated by Thomas Jefferson , the Secretary of State :   A well regulated militia being necessary to the security of a free state , the right of the people to keep and bear arms shall not be infringed .   Pre-constitution background ( edit )   Influence of the English Bill of rights of 1689 ( edit )   The right to bear arms in English history is regarded in English law as a subordinate auxiliary right of the primary rights to personal security , personal liberty , and private property . According to Sir William Blackstone , `` The ... last auxiliary right of the subject ... is that of having arms for their ( defense ) , suitable to their condition and degree , and such as are allowed by law . Which is ... declared by ... statute , and is indeed a public allowance , under due restrictions , of the natural right of resistance and self - preservation , when the sanctions of society and laws are found insufficient to restrain the violence of oppression . ''   The English Bill of Rights of 1689 emerged from a tempestuous period in English politics during which two issues were major sources of conflict : the authority of the King to govern without the consent of Parliament , and the role of Catholics in a country that was becoming ever more Protestant . Ultimately , the Catholic James II was overthrown in the Glorious Revolution , and his successors , the Protestants William III and Mary II , accepted the conditions that were codified in the Bill . One of the issues the Bill resolved was the authority of the King to disarm his subjects , after James II had attempted to disarm many Protestants , and had argued with Parliament over his desire to maintain a standing ( or permanent ) army . The bill states that it is acting to restore `` ancient rights '' trampled upon by James II , though some have argued that the English Bill of Rights created a new right to have arms , which developed out of a duty to have arms . In District of Columbia v. Heller ( 2008 ) , the Supreme Court did not accept this view , remarking that the English right at the time of the passing of the English Bill of Rights was `` clearly an individual right , having nothing whatsoever to do with service in the militia '' and that it was a right not to be disarmed by the Crown and was not the granting of a new right to have arms .   The text of the English Bill of Rights of 1689 includes language protecting the right of Protestants against disarmament by the Crown . This document states : `` That the Subjects which are Protestants may have Arms for their Defence suitable to their Conditions and as allowed by Law . '' It also contained text that aspired to bind future Parliaments , though under English constitutional law no Parliament can bind any later Parliament . Nevertheless , the English Bill of Rights remains an important constitutional document , more for enumerating the rights of Parliament over the monarchy than for its clause concerning a right to have arms .   The statement in the English Bill of Rights concerning the right to bear arms is often quoted only in the passage where it is written as above and not in its full context . In its full context it is clear that the bill was asserting the right of Protestant citizens not to be disarmed by the King without the consent of Parliament and was merely restoring rights to Protestants that the previous King briefly and unlawfully had removed . In its full context it reads :   Whereas the late King James the Second by the Assistance of diverse evill Councellors Judges and Ministers imployed by him did endeavour to subvert and extirpate the Protestant Religion and the Lawes and Liberties of this Kingdome ( list of grievances including ) ... by causing severall good Subjects being Protestants to be disarmed at the same time when Papists were both Armed and Imployed contrary to Law , ( Recital regarding the change of monarch ) ... thereupon the said Lords Spirituall and Temporall and Commons pursuant to their respective Letters and Elections being now assembled in a full and free Representative of this Nation takeing into their most serious Consideration the best meanes for attaining the Ends aforesaid Doe in the first place ( as their Auncestors in like Case have usually done ) for the Vindicating and Asserting their ancient Rights and Liberties , Declare ( list of rights including ) ... That the Subjects which are Protestants may have Arms for their Defence suitable to their Conditions and as allowed by Law .   The historical link between the English Bill of Rights and the Second Amendment , which both codify an existing right and do not create a new one , has been acknowledged by the U.S. Supreme Court .   The English Bill of Rights includes the proviso that arms must be as `` allowed by law . '' This has been the case before and after the passage of the Bill . While it did not override earlier restrictions on the ownership of guns for hunting , it is subject to the parliamentary right to implicitly or explicitly repeal earlier enactments .   There is some difference of opinion as to how revolutionary the events of 1688 -- 89 actually were , and several commentators make the point that the provisions of the English Bill of Rights did not represent new laws , but rather stated existing rights . Mark Thompson wrote that , apart from determining the succession , the English Bill of Rights did `` little more than set forth certain points of existing laws and simply secured to Englishmen the rights of which they were already posessed ( sic ) . '' Before and after the English Bill of Rights , the government could always disarm any individual or class of individuals it considered dangerous to the peace of the realm . In 1765 , William Blackstone wrote the Commentaries on the Laws of England describing the right to have arms in England during the 18th century as a subordinate auxiliary right of the subject that was `` also declared '' in the English Bill of Rights .   The fifth and last auxiliary right of the subject , that I shall at present mention , is that of having arms for their defence , suitable to their condition and degree , and such as are allowed by law . Which is also declared by the same statute 1 W. &amp; M. st. 2 . c. 2 . and is indeed a public allowance , under due restrictions , of the natural right of resistance and self - preservation , when the sanctions of society and laws are found insufficient to restrain the violence of oppression .   Although there is little doubt that the writers of the Second Amendment were heavily influenced by the English Bill of Rights , it is a matter of interpretation as to whether they were intent on preserving the power to regulate arms to the states over the federal government ( as the English Parliament had reserved for itself against the monarch ) or whether it was intent on creating a new right akin to the right of others written into the Constitution ( as the Supreme Court decided in Heller ) . Some in the United States have preferred the `` rights '' argument arguing that the English Bill of Rights had granted a right . The need to have arms for self - defence was not really in question . Peoples all around the world since time immemorial had armed themselves for the protection of themselves and others , and as organized nations began to appear these arrangements had been extended to the protection of the state . Without a regular army and police force ( which in England was not established until 1829 ) , it had been the duty of certain men to keep watch and ward at night and to confront and capture suspicious persons . Every subject had an obligation to protect the king 's peace and assist in the suppression of riots .   Experience in America prior to the U.S. Constitution ( edit )  Ideals that helped to inspire the Second Amendment in part are symbolized by the minutemen .  Early English settlers in America viewed the right to arms and / or the right to bear arms and / or state militias as important for one or more of these purposes ( in no particular order ) :    enabling the people to organize a militia system ;   participating in law enforcement ;   safeguarding against tyrannical government ;   repelling invasion ;   suppressing insurrection , allegedly including slave revolts , though some scholars say these claims are factually incorrect ;   facilitating a natural right of self - defense .    Which of these considerations were thought of as most important and ultimately found expression in the Second Amendment is disputed . Some of these purposes were explicitly mentioned in early state constitutions ; for example , the Pennsylvania Constitution of 1776 asserted that , `` the people have a right to bear arms for the defence of themselves and the state '' .   During the 1760s pre-revolutionary period , the established colonial militia was composed of colonists , including many who were loyal to British imperial rule . As defiance and opposition to British rule developed , a distrust of these Loyalists in the militia became widespread among the colonists , known as Patriots , who favored independence from British rule . As a result , some Patriots created their own militias that excluded the Loyalists and then sought to stock independent armories for their militias . In response to this arms build up , the British Parliament established an embargo of firearms , parts and ammunition against the American colonies .   British and Loyalist efforts to disarm the colonial Patriot militia armories in the early phases of the American Revolution resulted in the Patriot colonists protesting by citing the Declaration of Rights , Blackstone 's summary of the Declaration of Rights , their own militia laws and common law rights to self - defense . While British policy in the early phases of the Revolution clearly aimed to prevent coordinated action by the Patriot militia , some have argued that there is no evidence that the British sought to restrict the traditional common law right of self - defense . Patrick J. Charles disputes these claims citing similar disarming by the patriots and challenging those scholars ' interpretation of Blackstone .   The right of the colonists to arms and rebellion against oppression was asserted , for example , in a pre-revolutionary newspaper editorial in 1769 Boston objecting to the British army suppression of colonial opposition to the Townshend Acts :   Instances of the licentious and outrageous behavior of the military conservators of the peace still multiply upon us , some of which are of such nature , and have been carried to such lengths , as must serve fully to evince that a late vote of this town , calling upon its inhabitants to provide themselves with arms for their defense , was a measure as prudent as it was legal : such violences are always to be apprehended from military troops , when quartered in the body of a populous city ; but more especially so , when they are led to believe that they are become necessary to awe a spirit of rebellion , injuriously said to be existing therein . It is a natural right which the people have reserved to themselves , confirmed by the Bill of Rights , to keep arms for their own defence ; and as Mr. Blackstone observes , it is to be made use of when the sanctions of society and law are found insufficient to restrain the violence of oppression .   The armed forces that won the American Revolution consisted of the standing Continental Army created by the Continental Congress , together with regular French army and naval forces and various state and regional militia units . In opposition , the British forces consisted of a mixture of the standing British Army , Loyalist militia and Hessian mercenaries . Following the Revolution , the United States was governed by the Articles of Confederation . Federalists argued that this government had an unworkable division of power between Congress and the states , which caused military weakness , as the standing army was reduced to as few as 80 men . They considered it to be bad that there was no effective federal military crackdown on an armed tax rebellion in western Massachusetts known as Shays ' Rebellion . Anti-federalists on the other hand took the side of limited government and sympathized with the rebels , many of whom were former Revolutionary War soldiers . Subsequently , the Constitutional Convention proposed in 1787 to grant Congress exclusive power to raise and support a standing army and navy of unlimited size . Anti-federalists objected to the shift of power from the states to the federal government , but as adoption of the Constitution became more and more likely , they shifted their strategy to establishing a bill of rights that would put some limits on federal power .   Modern scholars Thomas B. McAffee and Michael J. Quinlan have stated that James Madison `` did not invent the right to keep and bear arms when he drafted the Second Amendment ; the right was pre-existing at both common law and in the early state constitutions . '' In contrast , historian Jack Rakove suggests that Madison 's intention in framing the Second Amendment was to provide assurances to moderate Anti-Federalists that the militias would not be disarmed .   One aspect of the gun control debate is the conflict between gun control laws and the right to rebel against unjust governments . Blackstone in his Commentaries alluded to this right to rebel as the natural right of resistance and self preservation , to be used only as a last resort , exercisable when `` the sanctions of society and laws are found insufficient to restrain the violence of oppression '' . Some believe that the framers of the Bill of Rights sought to balance not just political power , but also military power , between the people , the states and the nation , as Alexander Hamilton explained in his Concerning the Militia essay published in 1788 :   ... it will be possible to have an excellent body of well - trained militia , ready to take the field whenever the defence of the State shall require it . This will not only lessen the call for military establishments , but if circumstances should at any time oblige the Government to form an army of any magnitude , that army can never be formidable to the liberties of the People , while there is a large body of citizens , little , if at all , inferior to them in discipline and the use of arms , who stand ready to defend their own rights , and those of their fellow - citizens . This appears to me the only substitute that can be devised for a standing army , and the best possible security against it , if it should exist .   Some scholars have said that it is wrong to read a right of armed insurrection in the Second Amendment because clearly the founding fathers sought to place trust in the power of the ordered liberty of democratic government versus the anarchy of insurrectionists . Other writers , such as Glenn Reynolds , contend that the framers did believe in an individual right to armed insurrection . They cite examples , such as the Declaration of Independence ( describing in 1776 `` the Right of the People to ... institute new Government '' ) and the Constitution of New Hampshire ( stating in 1784 that `` nonresistance against arbitrary power , and oppression , is absurd , slavish , and destructive of the good and happiness of mankind '' ) .   There was an ongoing debate beginning in 1789 about `` the people '' fighting governmental tyranny ( as described by Anti-Federalists ) ; or the risk of mob rule of `` the people '' ( as described by the Federalists ) related to the increasingly violent French Revolution . A widespread fear , during the debates on ratifying the Constitution , was the possibility of a military takeover of the states by the federal government , which could happen if the Congress passed laws prohibiting states from arming citizens , or prohibiting citizens from arming themselves . Though it has been argued that the states lost the power to arm their citizens when the power to arm the militia was transferred from the states to the federal government by Article I , Section 8 of the Constitution , the individual right to arm was retained and strengthened by the Militia Acts of 1792 and the similar act of 1795 .   State constitutional precursors to the Second Amendment ( edit )     Related Articles &amp; Sections within the first State Constitutions Adopted after May 10 , 1776 .  Note : On May 10 , 1776 , Congress passed a resolution recommending that any colony with a government that was not inclined toward independence should form one that was .       Virginia , June 12 , 1776 ( edit )   Virginia 's Constitution lists the reasons for dissolving its ties with the King in the formation of its own independent state government . Including the following :    Keeping among us , in times of peace , standing armies and ships of war .     Effecting to render the military independent of , and superior to , the civil power .    * These same reasons would later be outlined within the Declaration of Independence .   A Declaration of Rights . Section 13 . That a well - regulated militia , composed of the body of the people , trained to arms , is the proper , natural , and safe defence of a free State ; that standing armies , in time of peace , should be avoided , as dangerous to liberty ; and that in all cases the military should be under strict subordination to , and governed by , the civil power .       Pennsylvania , September 28 , 1776 ( edit )   Article 13 . That the people have a right to bear arms for the defence of themselves and the state ; and as standing armies in the time of peace are dangerous to liberty , they ought not to be kept up ; And that the military should be kept under strict subordination to , and governed by , the civil power .   IMPORTANT NOTE : This is the first instance in relationship to U.S. Constitutional Law of the phrase `` right to bear arms . ''   It is of relevance that Pennsylvania was a Quaker Colony traditionally opposed to bearing arms . `` In settling Pennsylvania , William Penn had a great experiment in view , a ' holy experiment , ' as he term ( ed ) it . This was no less than to test , on a scale of considerable magnitude , the practicability of founding and governing a State on the sure principles of the Christian religion ; where the executive should be sustained without arms ; where justice should be administered without oaths ; and where real religion might flourish without the incubus of a hierarchical system . '' The Non-Quaker residents , many from the Western Counties , complained often and loudly of being denied the right to a common defense . By the time of the American Revolution , through what could be described as a revolution within a revolution , the pro-militia factions had gained ascendancy in the state 's government . And by a manipulation through the use of oaths , disqualifying Quaker members , they made up a vast majority of the convention forming the new state constitution ; it was only natural that they would assert their efforts to form a compulsory State Militia in the context of a `` right '' to defend themselves and the state .       Maryland , November 11 , 1776 ( edit )   Articles XXV - XXVII. 25 . That a well - regulated militia is the proper and natural defence of a free government . 26 . That standing armies are dangerous to liberty , and ought not to be raised or kept up , without consent of the Legislature. 27 . That in all cases , and at all times , the military ought to be under strict subordination to and control of the civil power .       North Carolina , December 18 , 1776 ( edit )   A Declaration of Rights . Article XVII . That the people have a right to bear arms , for the defence of the State ; and , as standing armies , in time of peace , are dangerous to liberty , they ought not to be kept up ; and that the military should be kept under strict subordination to , and governed by , the civil power .       New York , April 20 , 1777 ( edit )   Article XL . And whereas it is of the utmost importance to the safety of every State that it should always be in a condition of defence ; and it is the duty of every man who enjoys the protection of society to be prepared and willing to defend it ; this convention therefore , in the name and by the authority of the good people of this State , doth ordain , determine , and declare that the militia of this State , at all times hereafter , as well in peace as in war , shall be armed and disciplined , and in readiness for service . That all such of the inhabitants of this State being of the people called Quakers as , from scruples of conscience , may be averse to the bearing of arms , be therefrom excused by the legislature ; and do pay to the State such sums of money , in lieu of their personal service , as the same ; may , in the judgment of the legislature , be worth . And that a proper magazine of warlike stores , proportionate to the number of inhabitants , be , forever hereafter , at the expense of this State , and by acts of the legislature , established , maintained , and continued in every county in this State .       Vermont , July 8 , 1777 ( edit )   Chapter 1 . Section XVIII . That the people have a right to bear arms for the defence of the themselves and the State ; and as standing armies , in the time of peace , are dangerous to liberty , they ought not to be kept up ; and that the military should be kept under strict subordination to , and governed by , the civil power .       Massachusetts , June 15 , 1780 ( edit )   A Declaration of Rights . Chapter 1 . Article XVII . The people have a right to keep and to bear arms for the common defence . And as , in time of peace , armies are dangerous to liberty , they ought not to be maintained without the consent of the legislature ; and the military power shall always be held in an exact subordination to the civil authority and be governed by it .      Drafting and adoption of the Constitution ( edit )  Further information : Constitutional Convention James Madison ( left ) is known as the `` Father of the Constitution '' and `` Father of the Bill of Rights '' while George Mason ( right ) with Madison is also known as the `` Father of the Bill of Rights '' Patrick Henry ( left ) believed that a citizenry trained in arms was the only sure guarantor of liberty while Alexander Hamilton ( right ) wrote in Federalist No. 29 that `` little more can be reasonably aimed at , with respect to the people at large , than to have them properly armed ... ''  In March 1785 , delegates from Virginia and Maryland assembled at the Mount Vernon Conference to fashion a remedy to the inefficiencies of the Articles of Conf</t>
  </si>
  <si>
    <t xml:space="preserve">what was the 2nd amendment added to the constitution</t>
  </si>
  <si>
    <t xml:space="preserve"> The Second Amendment ( Amendment II ) to the United States Constitution protects the right of the people to keep and bear arms and was adopted on December 15 , 1791 , as part of the first ten amendments contained in the Bill of Rights . The Supreme Court of the United States has ruled that the right belongs to individuals for self defense . while also ruling that the right is not unlimited and does not prohibit all regulation of either firearms or similar devices . State and local governments are limited to the same extent as the federal government from infringing this right , per the incorporation of the Bill of Rights . </t>
  </si>
  <si>
    <r>
      <rPr>
        <sz val="11"/>
        <color rgb="FF000000"/>
        <rFont val="Calibri"/>
        <family val="0"/>
        <charset val="1"/>
      </rPr>
      <t xml:space="preserve">David ( Michelangelo ) - wikipedia  David ( Michelangelo )     David         Artist   Michelangelo     Year   1501 -- 04     Medium   Marble statue     Location   Galleria dell'Accademia , Florence , Italy     David is a masterpiece of Renaissance sculpture created in marble between 1501 and 1504 by the Italian artist Michelangelo . David is a 5.17 - metre ( 17.0 ft ) marble statue of a standing male nude . The statue represents the Biblical hero David , a favoured subject in the art of Florence .   David was originally commissioned as one of a series of statues of prophets to be positioned along the roofline of the east end of Florence Cathedral , but was instead placed in a public square , outside the Palazzo Vecchio , the seat of civic government in Florence , in the Piazza della Signoria where it was unveiled on September 8 , 1504 .  3D 3D model  Because of the nature of the hero it represented , the statue soon came to symbolize the defence of civil liberties embodied in the Republic of Florence , an independent city - state threatened on all sides by more powerful rival states and by the hegemony of the Medici family . The eyes of David , with a warning glare , were turned towards Rome . The statue was moved to the Galleria dell'Accademia , Florence , in 1873 , and later replaced at the original location by a replica .     Contents  ( hide )   1 History   1.1 Commission   1.2 Placement   1.3 Later history     2 Interpretation   3 Conservation   3.1 Replicas     4 See also   5 References   6 Bibliography   7 External links      History ( edit )   Commission ( edit )  David , modelling of the marble .  The history of the statue begins before Michelangelo 's work on it from 1501 to 1504 . Prior to Michelangelo 's involvement , the Overseers of the Office of Works of Florence Cathedral , consisting mostly of members of the influential woolen cloth guild , the Arte della Lana , had plans to commission a series of twelve large Old Testament sculptures for the buttresses of the cathedral . In 1410 Donatello made the first of the statues , a figure of Joshua in terracotta . A figure of Hercules , also in terracotta , was commissioned from the Florentine sculptor Agostino di Duccio in 1463 and was made perhaps under Donatello 's direction . Eager to continue their project , in 1464 , the Operai contracted Agostino to create a sculpture of David . A block of marble was provided from a quarry in Carrara , a town in the Apuan Alps in northern Tuscany . Agostino only got as far as beginning to shape the legs , feet and the torso , roughing out some drapery and probably gouging a hole between the legs . His association with the project ceased , for reasons unknown , with the death of Donatello in 1466 , and ten years later Antonio Rossellino was commissioned to take up where Agostino had left off .   Rossellino 's contract was terminated soon thereafter , and the block of marble remained neglected for 26 years , all the while exposed to the elements in the yard of the cathedral workshop . This was of great concern to the Opera authorities , as such a large piece of marble not only was costly but represented a large amount of labour and difficulty in its transportation to Florence . In 1500 , an inventory of the cathedral workshops described the piece as `` a certain figure of marble called David , badly blocked out and supine . '' A year later , documents showed that the Operai were determined to find an artist who could take this large piece of marble and turn it into a finished work of art . They ordered the block of stone , which they called The Giant , `` raised on its feet '' so that a master experienced in this kind of work might examine it and express an opinion . Though Leonardo da Vinci and others were consulted , it was Michelangelo , only 26 years old , who convinced the Operai that he deserved the commission . On 16 August 1501 , Michelangelo was given the official contract to undertake this challenging new task . He began carving the statue early in the morning on 13 September , a month after he was awarded the contract . He would work on the massive statue for more than two years .   Placement ( edit )  A replica of David now stands outside the Palazzo Vecchio .  On 25 January 1504 , when the sculpture was nearing completion , Florentine authorities had to acknowledge there would be little possibility of raising the more than six - ton statue to the roof of the cathedral . They convened a committee of 30 Florentine citizens that comprised many artists , including Leonardo da Vinci and Sandro Botticelli , to decide on an appropriate site for David . While nine different locations for the statue were discussed , the majority of members seem to have been closely split between two sites . One group , led by Giuliano da Sangallo and supported by Leonardo and Piero di Cosimo , among others , believed that , due to the imperfections in the marble , the sculpture should be placed under the roof of the Loggia dei Lanzi on Piazza della Signoria ; the other group thought it should stand at the entrance to the Palazzo della Signoria , the city 's town hall ( now known as Palazzo Vecchio ) . Another opinion , supported by Botticelli , was that the sculpture should be situated on or near the cathedral . In June 1504 , David was installed next to the entrance to the Palazzo Vecchio , replacing Donatello 's bronze sculpture of Judith and Holofernes , which embodied a comparable theme of heroic resistance . It took four days to move the statue the half mile from Michelangelo 's workshop into the Piazza della Signoria . Later that summer the sling and tree - stump support were gilded , and the figure was given a gilded loin - garland .   Later history ( edit )  David Galleria dell'Accademia .  In 1873 , the statue of David was removed from the piazza , to protect it from damage , and displayed in the Accademia Gallery , Florence , where it attracted many visitors . A replica was placed in the Piazza della Signoria in 1910 .   In 1991 , a mentally disturbed artist named Piero Cannata attacked the statue with a hammer he had concealed beneath his jacket ; in the process of damaging the toes of the left foot , he was restrained .   On 12 November 2010 , a fiberglass replica of the David was installed on the roofline of Florence Cathedral , for one day only . Photographs of the installation reveal the statue the way the Operai who commissioned the work originally expected it to be seen .   In 2010 , a dispute over the ownership of David arose when , based on a legal review of historical documents , the municipality of Florence claimed ownership of the statue in opposition to the Italian Culture Ministry , which disputes the municipality claim .   In the mid 1800s , small cracks were noticed on the left leg on David which can possibly be attributed to an uneven sinking of the ground under the massive statue .  David 's eyes look towards Rome .  Interpretation ( edit )       This section needs additional citations for verification . Please help improve this article by adding citations to reliable sources . Unsourced material may be challenged and removed . ( September 2016 ) ( Learn how and when to remove this template message )    Close - up of David .  The pose of Michelangelo 's David is unlike that of earlier Renaissance depictions of David . The bronze statues by Donatello and Verrocchio represented the hero standing victorious over the head of Goliath , and the painter Andrea del Castagno had shown the boy in mid-swing , even as Goliath 's head rested between his feet , but no earlier Florentine artist had omitted the giant altogether . According to Helen Gardner and other scholars , David is depicted before his battle with Goliath . Instead of being shown victorious over a foe much larger than he , David looks tense and ready for combat .   The statue appears to show David after he has made the decision to fight Goliath but before the battle has actually taken place , a moment between conscious choice and action . His brow is drawn , his neck tense and the veins bulge out of his lowered right hand . His left hand holds a sling that is draped over his shoulder and down to his right hand , which holds a rock . The twist of his body effectively conveys to the viewer the feeling that he is in motion , an impression heightened with contrapposto . The statue is a Renaissance interpretation of a common ancient Greek theme of the standing heroic male nude . In the High Renaissance , contrapposto poses were thought of as a distinctive feature of antique sculpture . This is typified in David , as the figure stands with one leg holding its full weight and the other leg forward . This classic pose causes the figure 's hips and shoulders to rest at opposing angles , giving a slight s - curve to the entire torso . The contrapposto is emphasised by the turn of the head to the left , and by the contrasting positions of the arms .   Michelangelo 's David has become one of the most recognized works of Renaissance sculpture , a symbol of strength and youthful beauty .  David 's right hand .  Just the colossal size of the statue impressed Michelangelo 's contemporaries . Vasari described it as `` certainly a miracle that of Michelangelo , to restore to life one who was dead , '' and then listed all of the largest and most grand of the ancient statues that he had ever seen , concluding that Michelangelo 's work surpassed `` all ancient and modern statues , whether Greek or Latin , that have ever existed . ''   The proportions of the David are atypical of Michelangelo 's work ; the figure has an unusually large head and hands ( particularly apparent in the right hand ) . The small size of the genitals , though , is in line with his other works and with Renaissance conventions in general , perhaps referencing the ancient Greek ideal of pre-pubescent male nudity . These enlargements may be due to the fact that the statue was originally intended to be placed on the cathedral roofline , where the important parts of the sculpture may have been accentuated in order to be visible from below . The statue is unusually slender ( front to back ) in comparison to its height , which may be a result of the work done on the block before Michelangelo began carving it .   It is possible that the David was conceived as a political statue before Michelangelo began to work on it . Certainly David the giant - killer had long been seen as a political figure in Florence , and images of the Biblical hero already carried political implications there . Donatello 's bronze David , made for the Medici family , perhaps c. 1440 , had been appropriated by the Signoria in 1494 , when the Medici were exiled from Florence , and the statue was installed in the courtyard of the Palazzo della Signoria , where it stood for the Republican government of the city . By placing Michelangelo 's statue in the same general location , the Florentine authorities ensured that David would be seen as a political parallel as well as an artistic response to that earlier work . These political overtones led to the statue being attacked twice in its early days . Protesters pelted it with stones the year it debuted , and , in 1527 , an anti-Medici riot resulted in its left arm being broken into three pieces .   Commentators have noted the presence on David 's penis of his foreskin , which is at odds with the Judaic practice of circumcision , but is consistent with the conventions of Renaissance art .   Conservation ( edit )   During World War II , David was entombed in brick to protect it from damage from airborne bombs .  Detail of David 's damaged left foot , caused by exposure to the elements and in 1991 when a deranged man hit it with a concealed hammer .  In 1991 , the foot of the statue was damaged by a man with a hammer . The samples obtained from that incident allowed scientists to determine that the marble used was obtained from the Fantiscritti quarries in Miseglia , the central of three small valleys in Carrara . The marble in question contains many microscopic holes that cause it to deteriorate faster than other marbles . Because of the marble 's degradation , from 2003 to 2004 the statue was given its first major cleaning since 1843 . Some experts opposed the use of water to clean the statue , fearing further deterioration . Under the direction of Franca Falleti , senior restorers Monica Eichmann and Cinzia Parnigoni undertook the job of restoring the statue .   In 2008 , plans were proposed to insulate the statue from the vibration of tourists ' footsteps at Florence 's Galleria dell'Accademia , to prevent damage to the marble .   Replicas ( edit )  Main article : Replicas of Michelangelo 's David Approximate heights of various notable statues : 1 . Spring Temple Buddha 153 m ( incl. 25 m pedestal and 20 m throne ) 2 . Statue of Liberty 93 m ( incl. 47 m pedestal ) 3 . The Motherland Calls 91 m ( excl . pedestal ) 4 . Christ the Redeemer 38 m ( incl. 8 m pedestal ) 5 . Statue of David 5.17 m ( excl . 2.5 m pedestal )  David has stood on display at Florence 's Galleria dell'Accademia since 1873 . In addition to the full - sized replica occupying the spot of the original in front of the Palazzo Vecchio , a bronze version overlooks Florence from the Piazzale Michelangelo . The plaster cast of David at the Victoria and Albert Museum has a detachable plaster fig leaf which is displayed nearby . Legend claims that the fig leaf was created in response to Queen Victoria 's shock upon first viewing the statue 's nudity , and was hung on the figure prior to royal visits , using two strategically placed hooks . In 2010 , the Italian government began a campaign to solidify its claim to the iconic marble statue .   David has been endlessly reproduced , in plaster and imitation marble fibreglass , signifying an attempt to lend an atmosphere of culture even in some unlikely settings such as beach resorts , gambling casinos and model railroads .   See also ( edit )    List of works by Michelangelo   List of statues by height    References ( edit )    Notes     Jump up ^ The height of the David was recorded incorrectly and the mistake proliferated through many art history publications . The accurate height was only determined in 1998 -- 99 when a team from Stanford University went to Florence to try out a project on digitally imaging large 3D objects by photographing sculptures by Michelangelo and found that the sculpture was taller than any of the sources had indicated . See ( 1 ) and ( 2 ) .     Citations     Jump up ^ See , for example , Donatello 's 2 versions of David ; Verrocchio 's bronze David ; Domenico Ghirlandaio 's painting of David ; and Bartolomeo Bellano 's bronze David .   Jump up ^ This theory was first proposed by Saul Levine `` The Location of Michelangelo 's David : The Meeting of January 25 , 1504 , The Art Bulletin 56 ( 1974 ) : 31 -- 49 . See also J. Huston McCulloch , David : A New Perspective , ( 2007 ) accessed 13 - 02 - 2010   Jump up ^ The genesis of David was discussed in Seymour 1967 and in Coonin 2014 .   Jump up ^ Charles Seymour , Jr . `` Homo Magnus et Albus : the Quattrocento Background for Michelangelo 's David of 1501 -- 04 , '' Stil und Überlieferung in der Kunst des Abendlandes , Berlin , 1967 , II , 96 -- 105 .   Jump up ^ Seymour , 100 -- 101 .   Jump up ^ Giovanni Gaye , Carteggio inedito d'artisti del sec . XIV , XV , XVI , Florence : 1839 -- 40 , 2 : 454 and Charles Seymour , Michelangelo 's David : A Search for Identity , Pittsburgh : Pittsburgh University Press , 1967 , 134 -- 137 , doc. 34 .   Jump up ^ Gaetano Milanesi , Le lettere di Michelangelo Buonarroti pubblicati coi ricordi ed i contratti artistici , Florence , 1875 , 620 -- 623 : `` ... the Consuls of the Arte della Lana and the Lords Overseers being met Overseers , have chosen as sculptor to the said Cathedral the worthy master , Michelangelo , the son of Lodovico Buonarrotti , a citizen of Florence , to the end that he may make , finish and bring to perfection the male figure known as the Giant , nine braccia in height , already blocked out in marble by Maestro Agostino grande , of Florence , and badly blocked ; and now stored in the workshops of the Cathedral . The work shall be completed within the period and term of two years next ensuing , beginning from the first day of September next ensuing , with a salary and payment together in joint assembly within the hall of the said of six broad florins of gold in gold for every month . And for all other works that shall be required about the said building ( edificium ) the said Overseers bind themselves to supply and provide both men and scaffolding from their office and all else that may be necessary . When the said work and the said male figure of marble shall be finished , then the Consuls and Overseers who shall at that time be in authority shall judge whether it merits a higher reward , being guided therein by the dictates of their own consciences . ''   Jump up ^ The statue has not been weighed , but an estimate of its weight was circulated in 2004 , when the statue was cleaned . See a CBS news report of 8 March 2004 .   Jump up ^ The minutes of the meeting were published in Giovanni Gaye , Carteggio inedito d'artisti del sec . XIV , XV , XVI , Florence , 1839 -- 40 , 2 : 454 -- 463 . For an English translation of the document , see Seymour , Michelangelo 's David , 140 -- 155 and for an analysis , see Saul Levine , `` The Location of Michelangelo 's David : The Meeting of January 25 , 1504 , Art Bulletin 56 ( 1974 ) : 31 -- 49 ; N. Randolph Parks , `` The Placement of Michelangelo 's David : A Review of the Documents , '' Art Bulletin , 57 ( 1975 ) 560 -- 570 ; and Rona Goffen , Renaissance Rivals : Michelangelo , Leonardo , Raphael , Titian , New Haven , 2002 , 123 -- 127 .   Jump up ^ Goffen ( 2002 ) , p. 130 .   Jump up ^ Coonin , 2014 , pp. 90 - 94 .   Jump up ^ Coonin , 2014 .   ^ Jump up to : `` a man the police described as deranged , broke part of a toe with a hammer , saying a 16th century Venetian painter 's model ordered him to do so . '' Cowell , Alan . `` Michelangelo 's David Is Damaged '' , New York Times , 1991 - 09 - 15 . Retrieved on 2008 - 05 - 23 .   Jump up ^ Rossella Lorenzi , Art lovers go nuts over dishy David , ABC Science , Monday , 21 November 2005   Jump up ^ `` Michelangelo 's David as It Was Meant to Be Seen : Discovery News '' . news.discovery.com . Retrieved 24 July 2014 .   Jump up ^ Povoledo , Elisabetta ( 31 August 2010 ) . `` Who Owns Michelangelo 's ' David ' ? '' . The New York Times . Retrieved 1 September 2010 .   Jump up ^ Pisa , Nick ( 16 August 2010 ) . `` Florence vs Italy : Michelangelo 's David at centre of ownership row '' . The Daily Telegraph ( London ) . Retrieved 1 September 2010 .   Jump up ^ A. , Borri ( 2006 ) . `` Diagnostic analysis of the lesions and stability of Michelangelo 's David '' . Journal of Cultural Heritage . 7 : 273 -- 285 . doi : 10.1016 / j. culher. 2006.06. 004 -- via ScienceDirect .   Jump up ^ `` File : Andrea del castagno , scudo di david con la testa di golia , 1450 - 55 circa , 02. JPG - Wikimedia Commons '' . commons.wikimedia.org . Retrieved 24 July 2014 .   Jump up ^ Helen Gardner , Fred S. Kleiner , Christin J. MamiyaIt , Gardner 's Art Through the Ages retrieved February 17 , 2009   Jump up ^ Howard Hibbard , Michelangelo , New York : Harper &amp; Row , 1974 , 59 -- 61 ; Anthony Hughes , Michelangelo , London : Phaidon , 1997 , 74 .   Jump up ^ `` David Sculpture , Michelango 's David , Michelangelo Gallery '' .   Jump up ^ Giorgio Vasari , Le vite de ' più eccellenti pittori , scultori e architettori nelle redazioni del 1550 e 1568 , ed . Rosanna Bettarini and Paola Barocchi , Florence , 1966 -- 87 , 6 : 21 .   Jump up ^ Levine , 45 -- 46 .   Jump up ^ Butterfield , Andrew ( 1995 ) . `` New Evidence for the Iconography of David in Quattrocento Florence '' . I Tatti Studies . 8 : 115 -- 133 .   Jump up ^ Strauss , RM ; Marzo - Ortega , H ( 2002 ) . `` Michelangelo and medicine '' . JR Soc Med. 95 : 514 -- 5 . doi : 10.1258 / jrsm. 95.10. 514 . PMC 1279184 . PMID 12356979 .   Jump up ^ Coonin , 2014 , pp. 105 - 108 .   Jump up ^ Eric Scigliano . `` Inglorious Restorations . Destroying Old Masterpieces in Order to Save Them . '' Harper 's Magazine . August 2005 , 61 -- 68 .   Jump up ^ `` Michelangelo 's David ' may crack ' '' . BBC News . 19 September 2008 . Retrieved 19 September 2008 .   Jump up ^ `` David 's Fig Leaf '' . Victoria and Albert Museum . Retrieved 29 May 2007 .   Jump up ^ `` You need not travel to Florence to see Michelangelo 's David . You can see it well enough for educational purposes in reproduction , '' asserted E.B. Feldman in 1973 ( Feldman , `` The teacher as model critic '' , Journal of Aesthetic Education , 1973 ) .   Jump up ^ That `` typical examples of kitsch include fridge magnets showing Michelangelo 's David . '' is reported even in the British Medical Journal ( J Launer , `` Medical kitsch '' , BMJ , 2000 )    Bibliography ( edit )   External video       Michelangelo 's David , Smarthistory      Coonin , A. Victor , From Marble to Flesh : The Biography of Michelangelo 's David , Florence : The Florentine Press , 2014 . ISBN 9788897696025 .   Goffen , Rona ( 2002 ) . Renaissance Rivals : Michelangelo , Leonardo , Raphael , Titian . Yale University Press .   Hall , James , Michelangelo and the Reinvention of the Human Body New York : Farrar , Straus and Giroux , 2005 .   Hartt , Frederick , Michelangelo : the complete sculpture , New York : Abrams Books , 1982 .   Hibbard , Howard . Michelangelo , New York : Harper &amp; Row , 1974 .   Hirst Michael , `` Michelangelo In Florence : David In 1503 and Hercules In 1506 , '' The Burlington Magazine , 142 ( 2000 ) : 487 -- 492 .   Hughes , Anthony , Michelangelo , London : Phaidon Press , 1997 .   Levine , Saul , `` The Location of Michelangelo 's David : The Meeting of January 25 , 1504 '' , The Art Bulletin , 56 ( 1974 ) : 31 -- 49 .   Natali , Antonio ; Michelangelo ( 2014 ) . Michelangelo Inside and Outside the Uffizi . Florence : Maschietto . ISBN 978 - 88 - 6394 - 085 - 5 .   Pope - Hennessy , John , Italian High Renaissance and Baroque Sculpture . London : Phaidon , 1996 .   Seymour , Charles , Jr . Michelangelo 's David : a search for identity ( Mellon Studies in the Humanities ) , Pittsburgh : University of Pittsburgh Press , 1967 .   Vasari , Giorgio , The Lives of the Artists ( Penguin Books ) , `` Life of Michelangelo '' , pp. 325 -- 442 .    External links ( edit )       Wikimedia Commons has media related to Michelangelo 's David .      David : A New Perspective , J. Huston McCulloch   Michelangelo Buonarroti : David , Art and the Bible   The Digital Michelangelo Project , Stanford University   Models of wax and clay used by Michelangelo in making his sculpture and paintings   The Museums of Florence -- The David of Michelangelo              Tourism in Florence     Religious sites      Basilicas     Cathedral of Santa Maria del Fiore   S Lorenzo   Medici Chapel     S Croce   Baroncelli and Pazzi Chapels     S Maria Novella   Tornabuoni Chapel     SS Annunziata   S Marco   S Miniato al Monte   S Maria del Carmine   Brancacci Chapel     S Trinita   Bartolini Salimbeni Chapel   Sassetti Chapel     S Spirito       Churches     Badia Fiorentina   Battistero di San Giovanni   S Mary of the Angels   Certosa   Orsanmichele   Ognissanti   Oratorio dei Vanchetoni   Oratory of Gesù Pellegrino   Oratory of S Thomas Aquinas   San Frediano in Cestello   S Gaetano   S Giovannino degli Scolopi   S Giovannino dei Cavalieri   S Jacopo sopr'Arno   S Salvatore al Vescovo   S Ambrogio   S Felicita   Santa Maria Maddalena dei Pazzi   S Maria Maggiore   S Martino del Vescovo   Ss Apostoli   S Pancrazio   S Salvi   Ss Simone e Giuda   S Stefano al Ponte       Other     Great Synagogue            Museums , galleries and palaces     Bargello   Casa Buonarroti   Casa Guidi   Galleria dell'Accademia   David     Garden of Archimedes   Loggia del Bigallo   Loggia del Mercato Nuovo   Loggia del Pesce   Loggia Rucellai   Museo dell'Opera del Duomo   Museo Galileo   Museo Nazionale Alinari della Fotografia   Museo Nazionale di San Marco   Museo di Storia Naturale di Firenze   La Specola     National Archaeological Museum   Orsanmichele   Ospedale degli Innocenti   Palazzo dell'Arte dei Beccai   Palazzo Davanzati   Palazzo Gondi   Palazzo Medici Riccardi   Magi Chapel     Palazzo Pitti   Museo delle Porcellane     Palazzo Vecchio   Studiolo of Francesco I     Palazzo Spini Feroni   Stibbert Museum   Uffizi   Loggia dei Lanzi   Vasari Corridor         Towers ( Torri )     degli Amidei   degli Alberti   dei Della Bella   dei Gianfigliazzi   dei Mannelli   dei Pulci   Giotto 's Campanile       Library     Biblioteca Riccardiana at Palazzo Medici Riccardi   British Institute of Florence   Gabinetto Vieusseux ( Palazzo Strozzi )   Kunsthistorisches Institut   Laurentian Library   National Central Library       Landmarks     Fountain of Neptune   Giotto 's Campanile   Ponte Vecchio   Monument to Dante       Theatres     Teatro Comunale Florence   Teatro della Pergola   Teatro Verdi       Squares     Squares of Florence   Piazza del Duomo   Piazza della Repubblica   Piazza della Signoria   Piazza Santa Croce   Piazzale Michelangelo       Streets     Via Cavour   Via de ' Tornabuoni       Fort     Belvedere   Fortezza da Basso       Gardens and parks     Boboli Gardens   Giardino Bardini   Giardino dell'Iris   Giardino delle rose   Orto Botanico di Firenze   Parco delle Cascine       Villas     Medici villas   di Castello   La Petraia   di Careggi   Medicea L'Ambrogiana   del Poggio Imperiale     Gamberaia   I Tatti   Il Gioiello   La Pietra   Rusciano       Events and traditions     Calcio Fiorentino   Maggio Musicale Fiorentino   Scoppio del carro       Districts of Florence Trams in Florence               Michelangelo       List of works   Key : * Attributed , † Lost          hide Sculptures        Florence , c. 1488 -- 1492     † Head of a Faun   Madonna of the Stairs   Battle of the Centaurs   Crucifix       Bologna , 1494 -- 1495     Additions to the Arca di San Domenico ( St Petronius , St Proclus , Angel )       Rome , 1496 -- 1500     † Sleeping Cupid   Bacchus   † Standing Cupid   Pietà       Florence , 1501 -- 1505     David   Madonna of Bruges   Additions to the Piccolomini Altarpiece ( Saints Peter , Paul , Pius and Gregory )   Pitti Tondo   Taddei Tondo   St. Matthew   * Rothschild Bronzes       Tomb of Pope Julius II , 1505 -- 1545     Moses   Rebellious Slave   Dying Slave   Young Slave   Bearded Slave   Atlas Slave   Awakening Slave   The Genius of Victory   Rachel   Leah       Florence , 1516 -- 1534     Christ Carrying the Cross   Medici Chapel   Giuliano de ' Medici   Night   Day   Dusk   Dawn   Medici Madonna     Apollo   Crouching Boy       Rome , 1534 -- 1564     Brutus   Florentine Pietà   * Palestrina Pietà   Rondanini Pietà                Paintings        Panel paintings     The Torment of Saint Anthony   Manchester Madonna   The Entombment   Doni Tondo   † Leda and the Swan       Salone dei Cinquecento     † Battle of Cascina       Sistine Chapel     Ceiling   Separation of Light from Darkness   The Creation of the Sun , Moon and Vegetation   The Creation of Adam     The Last Judgment       Cappella Paolina     The Martyrdom of St Peter   The Conversion of Saul                Architecture        Florence     New Sacristy and Laurentian Library in the Basilica of San Lorenzo       Rome     Piazza del Campidoglio   Palazzo Farnese   St. Peter 's Basilica   San Giovanni dei Fiorentini   Porta Pia   Santa Maria degli Angeli e dei Martiri                More        Works on paper     Study of a Kneeling Nude Girl for The Entombment   Male Back With a Flag   Epifania       Milieu     Cecchino dei Bracci   Tommaso dei Cavalieri   Vittoria Colonna   Ascanio Condivi   Gherardo Perini   Sebastiano del Piombo   Febo di Poggio   Luigi del Riccio       Related     Art patronage of Julius II   Casa Buonarroti   Lives of the Most Excellent Painters , Sculptors , and Architects   Michelangelo and the Medici   Replicas of David   Replicas of the Pietà   Restoration of the Sistine Chapel frescoes   The Titan : Story of Michelangelo ( 1950 documentary )   The Agony and the Ecstasy ( 1961 novel , 1965 film )   A Season of Giants ( 1990 TV film )             Coordinates : 43 ° 46 ′ 36.13 '' N 11 ° 15 ′ 34.02 '' E ﻿ / ﻿ 43.7767028 ° N 11.2594500 ° E ﻿ / 43.7767028 ; 11.2594500         BNF : cb12071178b ( data )   GND : 4246818 - 8        Jump up ^ `` Michelangelo 's David '' . Smarthistory at Khan Academy . Retrieved 18 March 2013 .   Retrieved from `` https://en.wikipedia.org/w/index.php?title=David_(Michelangelo)&amp;oldid=845314604 '' Categories :   16th - century sculptures   Collections of the Galleria dell'Accademia   Culture in Florence   Marble sculptures in Italy   Outdoor sculptures in Florence   Monuments and memorials in Florence   Sculptures by Michelangelo   Sculptures depicting David   Vandalized works of art   Tourist attractions in Florence   Colossal statues   Nude sculptures   Hidden categories :   Articles needing additional references from September 2016   All articles needing additional references   Coordinates on Wikidata   Wikipedia articles with BNF identifiers   Wikipedia articles with GND identifiers           Talk                                More            Contents                   About Wikipedia                                                   Asturianu   Azərbaycanca   বাংলা   Беларуская   Български   Bosanski   Català   Čeština   Cymraeg   Dansk   Deutsch   Eesti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Հայերեն   Hrvatski   Bahasa Indonesia   IsiZulu   Íslenska   Italiano   עברית   Basa Jawa   ქართული   Latina   Latviešu   Lëtzebuergesch   Lietuvių   Magyar   Монгол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Slovenčina   کوردی   Српски / srpski   Srpskohrvatski / српскохрватски   Suomi   Svenska   தமிழ்   తెలుగు   ไทย   Türkçe   Українська   Tiếng Việt   Winaray   </t>
    </r>
    <r>
      <rPr>
        <sz val="11"/>
        <color rgb="FF000000"/>
        <rFont val="Noto Sans CJK SC"/>
        <family val="2"/>
      </rPr>
      <t xml:space="preserve">粵語   中文  </t>
    </r>
    <r>
      <rPr>
        <sz val="11"/>
        <color rgb="FF000000"/>
        <rFont val="Calibri"/>
        <family val="0"/>
        <charset val="1"/>
      </rPr>
      <t xml:space="preserve">51 more  Edit links   This page was last edited on 10 June 2018 , at 23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</si>
  <si>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original statue of david in italy</t>
  </si>
  <si>
    <t xml:space="preserve"> David has stood on display at Florence 's Galleria dell'Accademia since 1873 . In addition to the full - sized replica occupying the spot of the original in front of the Palazzo Vecchio , a bronze version overlooks Florence from the Piazzale Michelangelo . The plaster cast of David at the Victoria and Albert Museum has a detachable plaster fig leaf which is displayed nearby . Legend claims that the fig leaf was created in response to Queen Victoria 's shock upon first viewing the statue 's nudity , and was hung on the figure prior to royal visits , using two strategically placed hooks . In 2010 , the Italian government began a campaign to solidify its claim to the iconic marble statue . </t>
  </si>
  <si>
    <r>
      <rPr>
        <sz val="11"/>
        <color rgb="FF000000"/>
        <rFont val="Calibri"/>
        <family val="0"/>
        <charset val="1"/>
      </rPr>
      <t xml:space="preserve">Teton dam - wikipedia  Teton dam     Teton Dam     Catastrophic failure on June 5 , 1976     Location in eastern Idaho     Official name   Teton Dam     Country   United States     Location   Fremont &amp; Madison counties , Idaho     Coordinates   43 ° 54 ′ 35 '' N 111 ° 32 ′ 21 '' W ﻿ / ﻿ 43.90972 ° N 111.53917 ° W ﻿ / 43.90972 ; - 111.53917 Coordinates : 43 ° 54 ′ 35 '' N 111 ° 32 ′ 21 '' W ﻿ / ﻿ 43.90972 ° N 111.53917 ° W ﻿ / 43.90972 ; - 111.53917     Purpose   Flood control , irrigation     Construction began   1972 ( 1972 )     Opening date   1976 ( 1976 )     Demolition date   June 5 , 1976 ( 1976 - 06 - 05 ) ( failure )     Construction cost   $48,825,000     Owner ( s )   U.S. Bureau of Reclamation     Dam and spillways     Type of dam   Embankment dam     Impounds   Teton River     Height   305 ft ( 93 m )     Length   3,100 ft ( 940 m )     Width ( base )   1,700 ft ( 520 m )     Reservoir     Creates   Teton Reservoir     Total capacity   288,250 acre feet ( 355,550,000 m )     Normal elevation   5,320 ft ( 1,620 m ) AMSL     The Teton Dam was an earthen dam on the Teton River in Idaho , United States . It was built by the Bureau of Reclamation , one of eight federal agencies authorized to construct dams . Located in the eastern part of the state , between Fremont and Madison counties , it suffered a catastrophic failure on June 5 , 1976 , as it was filling for the first time .   The collapse of the dam resulted in the deaths of 11 people and 13,000 cattle . The dam cost about $100 million to build and the federal government paid over $300 million in claims related to its failure . Total damage estimates have ranged up to $2 billion . The dam has not been rebuilt .   Contents    1 History and geology   2 Filling   3 Collapse and flood   4 Cause   5 Deaths , damage and property claims   6 See also   7 References   8 External links    History and geology ( edit )   There had been interest in building a dam in the eastern Snake River Plain for many years to control spring runoff and provide a more constant water supply in the summer . The area had suffered a severe drought in 1961 , followed by severe flooding in 1962 . The Bureau of Reclamation ( USBR ) proposed the Teton Dam in 1963 and Congress passed without opposition an authorizing bill the following year . The planned dam was to be an earthen structure 310 feet ( 94 m ) high and 0.6 miles ( 1.0 km ) long and create a reservoir 17 miles ( 27 km ) in length . The impounded water would be used to generate hydroelectric power . An environmental impact statement was issued for the dam in 1971 , but it did not raise the possibility of a collapse . Lack of funding and of site prep work and questions surrounding the required environmental impact statement stalled the project . Barely 14 pages long , the statement quickly drew the ire of opponents of the project .   On September 27 , 1971 , several environmental and conservation groups filed a lawsuit in Idaho District Court to stop the construction . Opponents of the dam questioned the project 's justifications . They argued that damming a wild and scenic river and destruction of its trout fishery and other wildlife habitat would `` replace a unique resource with a vulgar one . '' The suit questioned the economic return on investment , the Bureau 's compliance with the National Environmental Policy Act and the geologic soundness of the dam 's location . Concerns over the seismic conditions of the dam site delayed the bid process pending further review by the Department of the Interior . Pressure from Idaho 's congressional delegation stopped the review and in spite of the lawsuit , bids were taken in Idaho Falls on October 29 , 1971 . The contract was awarded to Morrison - Knudsen Co. of Boise , assisted by Peter Kiewit Sons Co. of Omaha , Nebraska . The $39 million contract was awarded in December 1971 . In spite of the lawsuit , work began in February 1972 . After various motions , amended complaints , attempted injunctions and appeals , the suit was dismissed on December 23 , 1974 .   The eastern Snake River Plain is almost entirely underlain by basalt erupted from large shield volcanos on top of rhyolitic ash - flow tuff and ignimbrites . The tuff , a late - Cenozoic volcanic rock is 1.9 million years old . The dam site is composed of basalt and rhyolite , both of which are considered unsuitable for dam construction because of their high permeability . This was confirmed by long term pump - in tests at rates of 165 to 460 US gallons ( 620 to 1,740 litres ) per minute . Test cores , drilled by engineers and geologists employed by the Bureau of Reclamation , showed that the canyon rock at the dam site is highly fissured and unstable , particularly on the right side ( as one faces the direction of flow ) . The widest fissures were determined to be 1.7 inches ( 4.3 cm ) wide . The Bureau planned to seal these fissures by injecting grout into the rock under high pressure to create a grout curtain in the rock .   In addition , an investigation of the area by geologists of the U.S. Geologic Survey indicated that it was seismically active : five earthquakes had occurred within 30 miles ( 50 km ) of the dam site in the previous five years , two of which had been of significant magnitude . This information was provided to the Bureau of Reclamation in a memorandum , but the geologists ' concerns were considerably watered down in the six - month re-drafting process before the USGS sent the final version of the memo to the USBR in July 1973 .   In 1973 , when the dam was only half built , but almost $5 million had already been spent on the project , large open fissures were encountered during excavation of the keyway trench near the right end of the dam , about 700 feet ( 210 m ) from the canyon wall . The two largest , near - vertical fissures trended generally east - west and extended more than 100 feet ( 30 m ) below the bottom of the key trench . Some of the fissures were lined with calcite , and rubble filled others . Several voids , as much as 6 inches ( 15 cm ) wide , were encountered 60 to 85 feet ( 18 to 26 m ) below the ground surface beyond the right end of the dam and grout curtain . The largest fissures were actually caves large enough to enter . One of them was eleven feet ( 3.4 m ) wide and a hundred feet ( 30 m ) long . Another one was nine feet ( 2.7 m ) wide in places and 190 feet ( 60 m ) long . These were not grouted because they were beyond the keyway trench and beyond the area where the Bureau had decided grouting was required . This necessitated using twice as much grouting as had been originally anticipated -- 118,000 linear feet were used in total .   Later , the report of a committee of the House of Representatives which investigated the dam 's collapse felt that the discovery of the caves should have been sufficient for the Bureau of Reclamation to doubt its ability to fill them in with grout , but this did not happen ; even after the dam had failed , the Bureau continued to insist that the grouting was appropriate .   In December 1972 , concerned about the geological conditions of the Teton River Canyon , USGS geologist David Schleicher wrote about the Teton Dam , still under construction , `` A final point is that flooding in response to seismic or other failure of the dam -- probably most likely at the time of highest water -- would make the flood of February 1962 look like small potatoes . Since such a flood could be anticipated , we might consider a series of strategically - placed motion - picture cameras to document the process . ''   Filling ( edit )   The dam was completed in November 1975 and filling the reservoir began at the standard rate of 1 foot ( 0.30 m ) a day . However , snows were heavy that winter and five months later the project 's construction engineer requested permission to double the filling rate in order to deal with the additional spring run - off , while continuing to inspect for leaks and monitor the groundwater . A month later , even though monitoring showed that groundwater was flowing a thousand times faster than had been originally anticipated , the filling rate was doubled again , to 4 feet ( 1.2 m ) a day .   On June 3 and 4 , 1976 , three small springs were discovered downstream of the dam , although the water running through the leaks was clear and such leaks are not unexpected for an earthen dam . At the time , the reservoir was almost at capacity , with a maximum depth of 240 feet ( 73 m ) . The only structure that had been initially prepared for releasing water was the emergency outlet works , which could carry just 850 cubic feet per second ( 24 m / s ) . The main outlet works and spillway gates were not yet in service : the gates were cordoned off by steel walls while they were being painted .   Collapse and flood ( edit )    Breach of Teton Dam , June 5 , 1976    The dark brown streak on the dam face near the gray bedrock in the left half of the photo is a leak that formed on the morning of June 5 . The speck above the leak near the top of the dam is a D - 9 bulldozer that is heading down to the leak to push dirt into it .     Large amounts of mud are now spilling down the face of the dam , unchecked by the efforts of the bulldozer operators . The outlet works at the foot of the dam are flooding with muddy water .     The dam is now breached and muddy water flows violently over the dam face .     The breach has now widened to nearly its full extent . The outlet works are completely inundated with muddy water .     On Saturday , June 5 , 1976 , at 7 : 30 a.m. Mountain Daylight Time ( MDT ) , a muddy leak appeared , suggesting sediment was in the water , but engineers did not believe there was a problem . By 9 : 30 a.m. the downstream face of the dam had developed a wet spot which began to discharge water at 20 to 30 cubic feet per second ( 0.57 to 0.85 m / s ) and the embankment material began to wash out . Crews with bulldozers were sent to plug the leak , but were unsuccessful . Local media appeared at the site and at 11 : 15 officials told the county sheriff 's office to evacuate downstream residents . Work crews were forced to flee on foot as the widening gap , now larger than a swimming pool , swallowed their equipment . The operators of two bulldozers caught in the eroding embankment were pulled to safety with ropes .   At 11 : 55 a.m. MDT ( UTC - 17 : 55 ) , the crest of the dam sagged and collapsed into the reservoir ; two minutes later the remainder of the right - bank third of the main dam wall disintegrated . Over 2,000,000 cubic feet per second ( 57,000 m / s ) of sediment - filled water emptied through the breach into the remaining 6 miles ( 10 km ) of the Teton River canyon , after which the flood spread out and shallowed on the Snake River Plain . By 8 : 00 p.m. that evening , the reservoir had completely emptied , although over two - thirds of the dam wall remained standing .   Cause ( edit )   Study of the dam 's environment and structure placed blame for the collapse on the permeable loess soil used in the core and on fissured ( cracked ) rhyolite in the abutments of the dam that allowed water to seep around and through the earth fill dam . The permeable loess was found to be cracked . It is postulated that the combination of these flaws allowed water to seep through the dam and led to internal erosion , called piping , that eventually caused the dam 's collapse .   An investigating panel had quickly identified piping as the most probable cause of the failure , then focused its efforts on determining how the piping started . Two mechanisms were possible . The first was the flow of water under highly erodible and unprotected fill , through joints in unsealed rock beneath the grout cap and development of an erosion tunnel . The second was `` cracking caused by differential strains or hydraulic fracturing of the core material . '' The panel was unable to determine whether one or the other mechanism occurred , or a combination :   The fundamental cause of failure may be regarded as a combination of geological factors and design decisions that , taken together , permitted the failure to develop .   A wide - ranging controversy ensued from the dam 's collapse . According to the Bureau of Reclamation , Bureau engineers assess all Reclamation dams under strict criteria established by the Safety of Dams program . Each structure is periodically reviewed for resistance to seismic activity , for internal faults , and for physical deterioration . The dam safety program identified two other dangerous dams -- Fontenelle , which very nearly failed 11 years earlier , when it was filled , in a manner similar to the Teton Dam , and again in May 1985 ; and the Jackson Lake Dam which would have failed during an earthquake on the nearby Teton Fault .   Deaths , damage and property claims ( edit )  Teton Dam ruins in 2004  Teton Canyon ends approximately six miles below the dam site , where the river flows onto the Snake River Plain . When the dam failed , the flood struck several communities immediately downstream , particularly Wilford at the terminus of the canyon , Sugar City , Salem , Hibbard and Rexburg . Thousands of homes and businesses were destroyed . The small agricultural communities of Wilford and Sugar City were wiped from the river bank . Five of the fourteen deaths attributed to the flood occurred in Wilford . The similar community of Teton , on the south bank of the river , is on a modest bench and was largely spared . One Teton resident was fishing on the river at the time of the dam failure and was drowned . An elderly woman living in the city of Teton died as a result of the evacuation .   One estimate placed damage to Hibbard and Rexburg area , with a population of about 10,000 , at 80 percent of existing structures . The Teton River flows through the industrial , commercial and residential districts of north Rexburg . A significant reason for the massive damage in the community was the location of a lumber yard directly upstream . When the flood waters hit , thousands of logs were washed into town . Dozens of them hit a bulk gasoline storage tank a few hundred yards away . The gasoline ignited and sent flaming slicks adrift on the racing water . The force of the logs and cut lumber and the subsequent fires practically destroyed the city .   The flood waters traveled west along the route of the Henrys Fork of the Snake River , around both sides of the Menan Buttes , significantly damaging the community of Roberts . The city of Idaho Falls , even further down on the flood plain , had time to prepare . At the older American Falls Dam downstream , engineers increased discharge by less than 5 % before the flood arrived . That dam held and the flood was effectively over , but tens of thousands of acres of land near the river were stripped of fertile topsoil .   The force of the failure destroyed the lower part of the Teton River , washing away riparian zones and reducing the canyon walls . This seriously damaged the stream 's ecology and impacted the native Yellowstone cutthroat trout population . The force of the water and excessive sediment also damaged stream habitat in the Snake River and some tributaries , as far downstream as the Fort Hall bottoms .   After the dam 's collapse , debris clean - up began immediately and took the remainder of the summer . Rebuilding of damaged property continued for several years . Within a week after the disaster , President Gerald Ford requested a $200 million appropriation for initial payments for damages , without assigning responsibility for Teton Dam 's failure .   The Bureau of Reclamation set up claims offices in Rexburg , Idaho Falls and Blackfoot . By January 4 , 1977 , disaster victims filed over 4,800 claims totalling $194 million . By that date , the federal government paid 3,813 of those claims , $93.5 million . Originally scheduled to end in July 1978 , the claims program continued into the 1980s . At the end of the claims program in January 1987 , the federal government had paid 7,563 claims for a total amount of $322 million .   No plans have been made for rebuilding the Teton Dam , but its reconstruction has been brought up on at least one occasion .   See also ( edit )    Great Sheffield Flood    References ( edit )    Jump up ^ Associated Press ( December 17 , 1971 ) . `` Crews due at planned dam site '' . Spokesman - Review . p. 7 .   ^ Jump up to : `` Teton Basin Project : Development '' . USBR . Retrieved December 6 , 2012 .   ^ Jump up to : Perrow , Charles . Normal Accidents . New York : Basic Books , 1984 . ISBN 0 - 465 - 05144 - 8 , pp. 233 -- 238   ^ Jump up to : `` The Failure of Teton Dam '' . Bureau of Reclamation. 2011 - 04 - 18 . Archived from the original on 2011 - 11 - 28 . Retrieved 2011 - 10 - 27 .   ^ Jump up to : Reisner , Marc ( 1993 ) . Cadillac Desert . p. 407 . ISBN 0 - 14 - 017824 - 4 .   ^ Jump up to : Dylan J. McDonald ( 2006 ) . The Teton Dam Disaster . ISBN 978 - 0 - 7385 - 4861 - 6 .   Jump up ^ `` The Snake River Plain '' Archived 2014 - 09 - 19 at the Wayback Machine . on National Atlas.gov ( U.S. Department of the Interior )   ^ Jump up to : Arthur , H.G. , 1977 . Teton Dam Failure , pp. 61 -- 71 , in The Evaluation of Dam Safety ( Engineering Foundation Conference Proceedings , Asilomar , Nov. 28 -- Dec. 3 , 1976 ) , American Society of Civil Engineers , New York , 523 p .   Jump up ^ Marc Reisner ( 1993 ) . Cadillac Desert . p. 397 . ISBN 0 - 14 - 017824 - 4 .   Jump up ^ Smalley , Ian . `` The Teton Dam : rhyolite foundation + loess core = disaster '' Geology Today v. 8 , n. 1 ( January 1992 ) , pp. 19 -- 22   Jump up ^ Reisner , p. 380   Jump up ^ Reisner , p. 383   Jump up ^ `` Detailed Information on the Bureau of Reclamation -- Safety of Dams Program Assessment '' . Archived from the original on 10 February 2011 . Retrieved 25 May 2011 .   Jump up ^ Marc Reisner ( 1993 ) . Cadillac Desert . p. 404 . ISBN 0 - 14 - 017824 - 4 .   Jump up ^ Johnson , Elaine . `` Teton Dam Flood , June 5 , 1976 ''   Jump up ^ Marc Reisner ( 1993 ) . Cadillac Desert . p. 405 . ISBN 0 - 14 - 017824 - 4 .   Jump up ^ `` Data From American Falls Dam '' . Zeb Palmer ( data courtesy Bureau of Reclamation ) . Archived from the original on February 10 , 2013 . Retrieved December 20 , 2008 .   Jump up ^ Ford , Gerald. `` Remarks Upon Signing the Teton Dam Disaster Assistance Bill . September 7 , 1976 '' on the American Presidency Project at the University of California Santa Barbara   Jump up ^ Levy , Ken ( June 29 , 2011 ) . `` Teton Dam rebuild still option for water storage News tetonvalleynews.net '' . Teton Valley News . Retrieved June 4 , 2017 .    External links ( edit )       Wikimedia Commons has media related to Teton Dam .      Bureau of Reclamation overview with photos and link to final report   The Teton Basin Project , Eric A. Stene , Bureau of Reclamation History Program , 1996   `` The Bureau That Changed the West '' One That Got Away : Teton Dam   Teton Dam Flood Museum , Rexburg , Idaho   Teton Dam Collection -- Oral History reports and newspaper articles , includes more than 50 oral history interviews of those living in the area when the disaster occurred .   Images showing progressive dam erosion damage , taken at the time by Mrs. Eunice Olson   Teton Dam Failure Narrative   Teton River Canyon , ID Teton Dam Collapse and Flooding , Jun 1976 at GenDisasters.com   Johnson , Elaine , `` Teton Dam Flood , June 5 , 1976 '' now at http://www.fremont.idgenweb.org/history-flood.html   Retrieved from `` https://en.wikipedia.org/w/index.php?title=Teton_Dam&amp;oldid=846244772 '' Categories :   1976 disasters   1976 floods   1976 in Idaho   Dams completed in 1976   Dam failures in the United States   Dams in Idaho   Disasters in Idaho   Environmental disasters in the United States   Buildings and structures in Fremont County , Idaho   Buildings and structures in Madison County , Idaho   United States Bureau of Reclamation dams   Hidden categories :   Webarchive template wayback links   Coordinates on Wikidata           Talk                                           Contents                   About Wikipedia                                                 Català   Deutsch   Español   Français   Italiano   </t>
    </r>
    <r>
      <rPr>
        <sz val="11"/>
        <color rgb="FF000000"/>
        <rFont val="Noto Sans CJK SC"/>
        <family val="2"/>
      </rPr>
      <t xml:space="preserve">日本 語   </t>
    </r>
    <r>
      <rPr>
        <sz val="11"/>
        <color rgb="FF000000"/>
        <rFont val="Calibri"/>
        <family val="0"/>
        <charset val="1"/>
      </rPr>
      <t xml:space="preserve">Simple English   Edit links   This page was last edited on 17 June 2018 , at 11 : 49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</si>
  <si>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teton dam break in idaho</t>
  </si>
  <si>
    <t xml:space="preserve"> The Teton Dam was an earthen dam on the Teton River in Idaho , United States . It was built by the Bureau of Reclamation , one of eight federal agencies authorized to construct dams . Located in the eastern part of the state , between Fremont and Madison counties , it suffered a catastrophic failure on June 5 , 1976 , as it was filling for the first time . </t>
  </si>
  <si>
    <t xml:space="preserve">Attack on Pearl Harbor - wikipedia  Attack on Pearl Harbor   Coordinates : 21 ° 22 ′ N 157 ° 57 ′ W ﻿ / ﻿ 21.367 ° N 157.950 ° W ﻿ / 21.367 ; - 157.950     Attack on Pearl Harbor     Part of the Asia and the Pacific Theater of World War II     Photograph of Battleship Row taken from a Japanese plane at the beginning of the attack . The explosion in the center is a torpedo strike on USS West Virginia . Two attacking Japanese planes can be seen : one over USS Neosho and one over the Naval Yard .        Date   December 7 , 1941 ; 76 years ago ( 1941 - 12 - 07 )     Location   Primarily Pearl Harbor , Hawaii Territory , U.S.     Result    Major Japanese tactical victory ; precipitated the entrance of the United States into World War II    See consequences of the attack on Pearl Harbor          Belligerents     United States   Japan     Commanders and leaders     ADM Husband E. Kimmel LTG Walter Short   VADM Chūichi Nagumo ADM Isoroku Yamamoto CDR Mitsuo Fuchida     Strength     8 battleships 8 cruisers 30 destroyers 4 submarines 3 USCG Cutters 47 other ships ≈ 390 aircraft   Mobile Unit : 6 aircraft carriers 2 battleships 2 heavy cruisers 1 light cruiser 9 destroyers 8 tankers 23 fleet submarines 5 midget submarines 414 aircraft     Casualties and losses     4 battleships sunk 4 battleships damaged 1 ex-battleship sunk 1 harbor tug sunk 3 cruisers damaged 3 destroyers damaged 3 other ships damaged 188 aircraft destroyed 159 aircraft damaged 2,335 killed 1,143 wounded   4 midget submarines sunk 1 midget submarine grounded 29 aircraft destroyed 74 aircraft damaged 64 killed 1 sailor captured     Civilian casualties 68 killed 35 wounded 3 aircraft shot down               Hawaiian Islands Campaign       Pearl Harbor   Niihau   1st Midway   Johnston and Palmyra   2nd Midway     3rd Midway                 Japanese offensives , 1940 -- 1942       French Indochina   Thailand   Malaya   Borneo   Pearl Harbor   Hong Kong   Philippines   Guam   Wake   Dutch East Indies   New Guinea   Singapore   Burma   Australia   Indian Ocean   Solomons   Coral Sea   North America                 Pacific War     Central Pacific   Hawaii   Marshalls - Gilberts raids   Doolittle Raid   Coral Sea   Midway   RY   Solomons   Gilberts &amp; Marshalls   Marianas &amp; Palau   Volcano &amp; Ryukyu   Truk    Southeast Asia    Indochina ( 1940 )   Indian Ocean ( 1940 -- 45 )   Philippines 1941 -- 42   Franco - Thai War   Thailand   Dutch East Indies   Malaya   Hong Kong   Singapore   Indochina ( 1945 )   Malacca Strait   Jurist   Tiderace   Zipper   Strategic bombing ( 1944 -- 45 )    Burma    Burma ( 1941 -- 42 )   Burma ( 1942 -- 43 )   Burma ( 1944 )   Burma ( 1944 -- 45 )    Southwest Pacific    Dutch East Indies 1941 -- 42   Portuguese Timor   Australia   New Guinea   Philippines 1944 -- 45   Borneo 1945    North America    Ellwood     Aleutian Islands   Estevan Point Lighthouse   Fort Stevens   Lookout Air Raids   Fire balloon   Project Hula   PX    Japan    Air raids   Mariana Islands   Volcano &amp; Ryukyu Is   Tokyo   Starvation   Naval bombardments   Yokosuka   Sagami Bay   Kure   Downfall   Hiroshima &amp; Nagasaki   Kurils   Karafuto   Japanese surrender    Manchuria    Kantokuen   Manchuria ( 1945 )   Mutanchiang   Sakhalin Island   Kuril Islands   Shumshu   Second Sino - Japanese War     The attack on Pearl Harbor was a surprise military strike by the Imperial Japanese Navy Air Service against the United States naval base at Pearl Harbor , Hawaii Territory , on the morning of December 7 , 1941 . The attack , also known as the Battle of Pearl Harbor , led to the United States ' entry into World War II . The Japanese military leadership referred to the attack as the Hawaii Operation and Operation AI , and as Operation Z during its planning .   Japan intended the attack as a preventive action to keep the U.S. Pacific Fleet from interfering with its planned military actions in Southeast Asia against overseas territories of the United Kingdom , the Netherlands , and the United States . Over the course of seven hours there were coordinated Japanese attacks on the U.S. - held Philippines , Guam and Wake Island and on the British Empire in Malaya , Singapore , and Hong Kong .   The attack commenced at 7 : 48 a.m. Hawaiian Time ( 18 : 18 GMT ) . The base was attacked by 353 Imperial Japanese aircraft ( including fighters , level and dive bombers , and torpedo bombers ) in two waves , launched from six aircraft carriers . All eight U.S. Navy battleships were damaged , with four sunk . All but the USS Arizona were later raised , and six were returned to service and went on to fight in the war . The Japanese also sank or damaged three cruisers , three destroyers , an anti-aircraft training ship , and one minelayer . One hundred eighty - eight U.S. aircraft were destroyed ; 2,403 Americans were killed and 1,178 others were wounded . Important base installations such as the power station , dry dock , shipyard , maintenance , and fuel and torpedo storage facilities , as well as the submarine piers and headquarters building ( also home of the intelligence section ) , were not attacked . Japanese losses were light : 29 aircraft and five midget submarines lost , and 64 servicemen killed . One Japanese sailor , Kazuo Sakamaki , was captured .   The surprise attack came as a profound shock to the American people and led directly to the American entry into World War II in both the Pacific and European theaters . The following day , December 8 , the United States declared war on Japan , and several days later , on December 11 , Germany and Italy each declared war on the U.S. The U.S. responded with a declaration of war against Germany and Italy . Domestic support for non-interventionism , which had been fading since the Fall of France in 1940 , disappeared .   There were numerous historical precedents for unannounced military action by Japan , but the lack of any formal warning , particularly while negotiations were still apparently ongoing , led President Franklin D. Roosevelt to proclaim December 7 , 1941 , `` a date which will live in infamy '' . Because the attack happened without a declaration of war and without explicit warning , the attack on Pearl Harbor was later judged in the Tokyo Trials to be a war crime .   Contents    1 Background to conflict   1.1 Diplomatic background   1.2 Military planning   1.3 Objectives     2 Approach and attack   2.1 Submarines   2.2 Japanese declaration of war   2.3 First wave composition   2.4 Second wave composition   2.5 American casualties and damage   2.6 Japanese losses   2.7 Possible third wave     3 Ships lost or damaged   3.1 Battleships   3.2 Ex-battleship ( target / AA training ship )   3.3 Cruisers   3.4 Destroyers   3.5 Auxiliaries     4 Salvage   5 Aftermath   5.1 Niihau Incident   5.2 Strategic implications   5.3 Retrospective debate on American intelligence     6 In popular culture   7 See also   8 References   9 External links    Background to conflict  Main article : Events leading to the attack on Pearl Harbor  Diplomatic background   War between Japan and the United States had been a possibility that each nation had been aware of , and planned for , since the 1920s . However , tensions did not seriously grow until Japan 's invasion of Manchuria in 1931 . Over the next decade , Japan expanded into China , leading to the Second Sino - Japanese War in 1937 . Japan spent considerable effort trying to isolate China , and endeavored to secure enough independent resources to attain victory on the mainland . The `` Southern Operation '' was designed to assist these efforts .  Pearl Harbor on October 30 , 1941 , looking southwest  Starting in December 1937 , events such as the Japanese attack on USS Panay , the Allison incident , and the Nanking Massacre swung Western public opinion sharply against Japan . Fearing Japanese expansion , the United States , United Kingdom , and France assisted China with its loans for war supply contracts .   In 1940 , Japan invaded French Indochina , attempting to stymie the flow of supplies reaching China . The United States halted shipments of airplanes , parts , machine tools , and aviation gasoline to Japan , which the latter perceived as an unfriendly act . The United States did not stop oil exports , however , partly because of the prevailing sentiment in Washington : given Japanese dependence on American oil , such an action was likely to be considered an extreme provocation .   In mid-1940 , President Franklin D. Roosevelt moved the Pacific Fleet from San Diego to Hawaii . He also ordered a military buildup in the Philippines , taking both actions in the hope of discouraging Japanese aggression in the Far East . Because the Japanese high command was ( mistakenly ) certain any attack on the United Kingdom 's Southeast Asian colonies , including Singapore , would bring the U.S. into the war , a devastating preventive strike appeared to be the only way to prevent American naval interference . An invasion of the Philippines was also considered necessary by Japanese war planners . The U.S. War Plan Orange had envisioned defending the Philippines with an elite force of 40,000 men ; this option was never implemented due to opposition from Douglas MacArthur , who felt he would need a force ten times that size . By 1941 , U.S. planners expected to abandon the Philippines at the outbreak of war . Late that year , Admiral Thomas C. Hart , commander of the Asiatic Fleet , was given orders to that effect .   The U.S. finally ceased oil exports to Japan in July 1941 , following the seizure of French Indochina after the Fall of France , in part because of new American restrictions on domestic oil consumption . Because of this decision , Japan proceeded with plans to take the oil - rich Dutch East Indies . On August 17 , Roosevelt warned Japan that America was prepared to take opposing steps if `` neighboring countries '' were attacked . The Japanese were faced with a dichotomy -- either withdraw from China and lose face , or seize new sources of raw materials in the resource - rich European colonies of Southeast Asia .   Japan and the U.S. engaged in negotiations during 1941 , attempting to improve relations . In the course of these negotiations , Japan offered to withdraw from most of China and Indochina after making peace with the Nationalist government . It also proposed to adopt an independent interpretation of the Tripartite Pact and to refrain from trade discrimination , provided all other nations reciprocated . Washington rejected these proposals . Japanese Prime Minister Konoye then offered to meet with Roosevelt , but Roosevelt insisted on reaching an agreement before any meeting . The U.S. ambassador to Japan repeatedly urged Roosevelt to accept the meeting , warning that it was the only way to preserve the conciliatory Konoye government and peace in the Pacific . However , his recommendation was not acted upon . The Konoye government collapsed the following month , when the Japanese military rejected a withdrawal of all troops from China .   Japan 's final proposal , delivered on November 20 , offered to withdraw from southern Indochina and to refrain from attacks in Southeast Asia , so long as the United States , United Kingdom , and Netherlands ceased aid to China and lifted their sanctions against Japan . The American counter-proposal of November 26 ( November 27 in Japan ) , the Hull note , required Japan completely evacuate China without conditions and conclude non-aggression pacts with Pacific powers . On November 26 in Japan , the day before the note 's delivery , the Japanese task force left port for Pearl Harbor .   Military planning   Preliminary planning for an attack on Pearl Harbor to protect the move into the `` Southern Resource Area '' ( the Japanese term for the Dutch East Indies and Southeast Asia generally ) had begun very early in 1941 under the auspices of Admiral Isoroku Yamamoto , then commanding Japan 's Combined Fleet . He won assent to formal planning and training for an attack from the Imperial Japanese Navy General Staff only after much contention with Naval Headquarters , including a threat to resign his command . Full - scale planning was underway by early spring 1941 , primarily by Rear Admiral Ryūnosuke Kusaka , with assistance from Captain Minoru Genda and Yamamoto 's Deputy Chief of Staff , Captain Kameto Kuroshima . The planners studied the 1940 British air attack on the Italian fleet at Taranto intensively .   Over the next several months , pilots were trained , equipment was adapted , and intelligence was collected . Despite these preparations , Emperor Hirohito did not approve the attack plan until November 5 , after the third of four Imperial Conferences called to consider the matter . Final authorization was not given by the emperor until December 1 , after a majority of Japanese leaders advised him the `` Hull Note '' would `` destroy the fruits of the China incident , endanger Manchukuo and undermine Japanese control of Korea . ''   By late 1941 , many observers believed that hostilities between the U.S. and Japan were imminent . A Gallup poll just before the attack on Pearl Harbor found that 52 % of Americans expected war with Japan , 27 % did not , and 21 % had no opinion . While U.S. Pacific bases and facilities had been placed on alert on many occasions , U.S. officials doubted Pearl Harbor would be the first target ; instead , they expected the Philippines would be attacked first . This presumption was due to the threat that the air bases throughout the country and the naval base at Manila posed to sea lanes , as well as to the shipment of supplies to Japan from territory to the south . They also incorrectly believed that Japan was not capable of mounting more than one major naval operation at a time .   Objectives   The Japanese attack had several major aims . First , it intended to destroy important American fleet units , thereby preventing the Pacific Fleet from interfering with Japanese conquest of the Dutch East Indies and Malaya and to enable Japan to conquer Southeast Asia without interference . Second , it was hoped to buy time for Japan to consolidate its position and increase its naval strength before shipbuilding authorized by the 1940 Vinson - Walsh Act erased any chance of victory . Third , to deliver a blow to America 's ability to mobilize its forces in the Pacific , battleships were chosen as the main targets , since they were the prestige ships of any navy at the time . Finally , it was hoped that the attack would undermine American morale such that the U.S. government would drop its demands contrary to Japanese interests , and would seek a compromise peace with Japan .   Striking the Pacific Fleet at anchor in Pearl Harbor carried two distinct disadvantages : the targeted ships would be in very shallow water , so it would be relatively easy to salvage and possibly repair them ; and most of the crews would survive the attack , since many would be on shore leave or would be rescued from the harbor . A further important disadvantage -- this of timing , and known to the Japanese -- was the absence from Pearl Harbor of all three of the U.S. Pacific Fleet 's aircraft carriers ( Enterprise , Lexington , and Saratoga ) . IJN top command was attached to Admiral Mahan 's `` decisive battle '' doctrine , especially that of destroying the maximum number of battleships . Despite these concerns , Yamamoto decided to press ahead .   Japanese confidence in their ability to achieve a short , victorious war also meant other targets in the harbor , especially the navy yard , oil tank farms , and submarine base , were ignored , since -- by their thinking -- the war would be over before the influence of these facilities would be felt .   Approach and attack  See also : Order of battle of the Attack on Pearl Harbor Route followed by the Japanese fleet to Pearl Harbor and back An Imperial Japanese Navy Mitsubishi A6M Zero fighter on the aircraft carrier Akagi    On November 26 , 1941 , a Japanese task force ( the Striking Force ) of six aircraft carriers -- Akagi , Kaga , Sōryū , Hiryū , Shōkaku , and Zuikaku -- departed Hittokapu Bay on Kasatka ( now Iterup ) Island in the Kurile Islands , en route to a position northwest of Hawaii , intending to launch its 408 aircraft to attack Pearl Harbor : 360 for the two attack waves and 48 on defensive combat air patrol ( CAP ) , including nine fighters from the first wave .   The first wave was to be the primary attack , while the second wave was to attack carriers as its first objective and cruisers as its second , with battleships as the third target . The first wave carried most of the weapons to attack capital ships , mainly specially adapted Type 91 aerial torpedoes which were designed with an anti-roll mechanism and a rudder extension that let them operate in shallow water . The aircrews were ordered to select the highest value targets ( battleships and aircraft carriers ) or , if these were not present , any other high value ships ( cruisers and destroyers ) . First wave dive bombers were to attack ground targets . Fighters were ordered to strafe and destroy as many parked aircraft as possible to ensure they did not get into the air to intercept the bombers , especially in the first wave . When the fighters ' fuel got low they were to refuel at the aircraft carriers and return to combat . Fighters were to serve CAP duties where needed , especially over U.S. airfields .   Before the attack commenced , two reconnaissance aircraft launched from cruisers Chikuma and Tone were sent to scout over Oahu and Maui and report on U.S. fleet composition and location . Reconnaissance aircraft flights risked alerting the U.S. , and were not necessary . U.S. fleet composition and preparedness information in Pearl Harbor was already known due to the reports of the Japanese spy Takeo Yoshikawa . A report of the absence of the U.S. fleet in Lahaina anchorage off Maui was received from the fleet submarine I - 72 . Another four scout planes patrolled the area between the Japanese carrier force ( the Kidō Butai ) and Niihau , to detect any counterattack .   Submarines   Fleet submarines I - 16 , I - 18 , I - 20 , I - 22 , and I - 24 each embarked a Type A midget submarine for transport to the waters off Oahu . The five I - boats left Kure Naval District on November 25 , 1941 . On December 6 , they came to within 10 nmi ( 19 km ; 12 mi ) of the mouth of Pearl Harbor and launched their midget subs at about 01 : 00 on December 7 . At 03 : 42 Hawaiian Time , the minesweeper Condor spotted a midget submarine periscope southwest of the Pearl Harbor entrance buoy and alerted the destroyer Ward . The midget may have entered Pearl Harbor . However , Ward sank another midget submarine at 06 : 37 in the first American shots in the Pacific Theater . A midget submarine on the north side of Ford Island missed the seaplane tender Curtiss with her first torpedo and missed the attacking destroyer Monaghan with her other one before being sunk by Monaghan at 08 : 43 .   A third midget submarine , Ha - 19 , grounded twice , once outside the harbor entrance and again on the east side of Oahu , where it was captured on December 8 . Ensign Kazuo Sakamaki swam ashore and was captured by Hawaii National Guard Corporal David Akui , becoming the first Japanese prisoner of war . A fourth had been damaged by a depth charge attack and was abandoned by its crew before it could fire its torpedoes . Japanese forces received a radio message from a midget submarine at 00 : 41 on December 8 claiming damage to one or more large warships inside Pearl Harbor .   In 1992 , 2000 , and 2001 , Hawaii Undersea Research Laboratory 's submersibles found the wreck of the fifth midget submarine lying in three parts outside Pearl Harbor . The wreck was in the debris field where much surplus U.S. equipment was dumped after the war , including vehicles and landing craft . Both of its torpedoes were missing . This correlates with reports of two torpedoes fired at the light cruiser St. Louis at 10 : 04 at the entrance of Pearl Harbor , and a possible torpedo fired at destroyer Helm at 08 : 21 .   Japanese declaration of war  See also : Japanese war crimes  The attack took place before any formal declaration of war was made by Japan , but this was not Admiral Yamamoto 's intention . He originally stipulated that the attack should not commence until thirty minutes after Japan had informed the United States that peace negotiations were at an end . However , the attack began before the notice could be delivered . Tokyo transmitted the 5000 - word notification ( commonly called the `` 14 - Part Message '' ) in two blocks to the Japanese Embassy in Washington . Transcribing the message took too long for the Japanese ambassador to deliver it on schedule ; in the event , it was not presented until more than an hour after the attack began . ( In fact , U.S. code breakers had already deciphered and translated most of the message hours before he was scheduled to deliver it . ) The final part is sometimes described as a declaration of war . While it was viewed by a number of senior U.S government and military officials as a very strong indicator negotiations were likely to be terminated and that war might break out at any moment , it neither declared war nor severed diplomatic relations . A declaration of war was printed on the front page of Japan 's newspapers in the evening edition of December 8 , but not delivered to the U.S. government until the day after the attack .   For decades , conventional wisdom held that Japan attacked without first formally breaking diplomatic relations only because of accidents and bumbling that delayed the delivery of a document hinting at war to Washington . In 1999 , however , Takeo Iguchi , a professor of law and international relations at International Christian University in Tokyo , discovered documents that pointed to a vigorous debate inside the government over how , and indeed whether , to notify Washington of Japan 's intention to break off negotiations and start a war , including a December 7 entry in the war diary saying , `` ( O ) ur deceptive diplomacy is steadily proceeding toward success . '' Of this , Iguchi said , `` The diary shows that the army and navy did not want to give any proper declaration of war , or indeed prior notice even of the termination of negotiations ... and they clearly prevailed . ''   In any event , even if the Japanese had decoded and delivered the 14 - Part Message before the beginning of the attack , it would not have constituted either a formal break of diplomatic relations or a declaration of war . The final two paragraphs of the message read :   Thus the earnest hope of the Japanese Government to adjust Japanese - American relations and to preserve and promote the peace of the Pacific through cooperation with the American Government has finally been lost .   The Japanese Government regrets to have to notify hereby the American Government that in view of the attitude of the American Government it can not but consider that it is impossible to reach an agreement through further negotiations .   First wave composition  The Japanese attacked in two waves . The first wave was detected by U.S. Army radar at 136 nautical miles ( 252 km ) , but was misidentified as USAAF bombers arriving from the American mainland Top : A. Ford Island NAS B. Hickam Field C. Bellows Field D. Wheeler Field E. Kaneohe NAS F. Ewa MCAS R - 1 . Opana Radar Station R - 2 . Kawailoa RS R - 3 . Kaaawa RS G. Haleiwa H. Kahuku I. Wahiawa J. Kaneohe K. Honolulu 0 . B - 17s from mainland 1 . First strike group 1 - 1 . Level bombers 1 -- 2 . Torpedo bombers 1 -- 3 . Dive bombers 2 . Second strike group 2 - 1 . Level bombers 2 - 1F . Fighters 2 - 2 . Dive bombers Bottom : A. Wake Island B. Midway Islands C. Johnston Island D. Hawaii D - 1 . Oahu 1 . USS Lexington 2 . USS Enterprise 3 . First Air Fleet  49 feet ( 14.9 m ) City Army base Navy base Attacked targets : 1 : USS California 2 : USS Maryland 3 : USS Oklahoma 4 : USS Tennessee 5 : USS West Virginia 6 : USS Arizona 7 : USS Nevada 8 : USS Pennsylvania 9 : Ford Island NAS 10 : Hickam field Ignored infrastructure targets : A : Oil storage tanks B : CINCPAC headquarters building C : Submarine base D: Navy Yard  The first attack wave of 183 planes was launched north of Oahu , led by Commander Mitsuo Fuchida . Six planes failed to launch due to technical difficulties . It included :    1st Group ( targets : battleships and aircraft carriers )   49 Nakajima B5N Kate bombers armed with 800 kg ( 1760 lb ) armor - piercing bombs , organized in four sections ( 1 failed to launch )   40 B5N bombers armed with Type 91 torpedoes , also in four sections     2nd Group -- ( targets : Ford Island and Wheeler Field )   51 Aichi D3A Val dive bombers armed with 550 lb ( 249 kg ) general - purpose bombs ( 3 failed to launch )     3rd Group -- ( targets : aircraft at Ford Island , Hickam Field , Wheeler Field , Barber 's Point , Kaneohe )   43 Mitsubishi A6M `` Zero '' fighters for air control and strafing ( 2 failed to launch )      As the first wave approached Oahu , it was detected by the U.S. Army SCR - 270 radar at Opana Point near the island 's northern tip . This post had been in training mode for months , but was not yet operational . The operators , Privates George Elliot Jr. and Joseph Lockard , reported a target . But Lieutenant Kermit A. Tyler , a newly assigned officer at the thinly manned Intercept Center , presumed it was the scheduled arrival of six B - 17 bombers from California . The Japanese planes were approaching from a direction very close ( only a few degrees difference ) to the bombers , and while the operators had never seen a formation as large on radar , they neglected to tell Tyler of its size . Tyler , for security reasons , could not tell the operators of the six B - 17s that were due ( even though it was widely known ) .   As the first wave planes approached Oahu , they encountered and shot down several U.S. aircraft . At least one of these radioed a somewhat incoherent warning . Other warnings from ships off the harbor entrance were still being processed or awaiting confirmation when the attacking planes began bombing and strafing . Nevertheless , it is not clear any warnings would have had much effect even if they had been interpreted correctly and much more promptly . The results the Japanese achieved in the Philippines were essentially the same as at Pearl Harbor , though MacArthur had almost nine hours warning that the Japanese had already attacked Pearl Harbor .   The air portion of the attack began at 7 : 48 a.m. Hawaiian Time ( 3 : 18 a.m. December 8 Japanese Standard Time , as kept by ships of the Kido Butai ) , with the attack on Kaneohe . A total of 353 Japanese planes in two waves reached Oahu . Slow , vulnerable torpedo bombers led the first wave , exploiting the first moments of surprise to attack the most important ships present ( the battleships ) , while dive bombers attacked U.S. air bases across Oahu , starting with Hickam Field , the largest , and Wheeler Field , the main U.S. Army Air Forces fighter base . The 171 planes in the second wave attacked the Army Air Forces ' Bellows Field near Kaneohe on the windward side of the island , and Ford Island . The only aerial opposition came from a handful of P - 36 Hawks , P - 40 Warhawks , and some SBD Dauntless dive bombers from the carrier Enterprise .  A destroyed Vindicator at Ewa field , the victim of one of the smaller attacks on the approach to Pearl Harbor  In the first wave attack , about eight of the forty - nine 800 kg ( 1760 lb ) armor - piercing bombs dropped hit their intended battleship targets . At least two of those bombs broke up on impact , another detonated before penetrating an unarmored deck , and one was a dud . Thirteen of the forty torpedoes hit battleships , and four torpedoes hit other ships . Men aboard U.S. ships awoke to the sounds of alarms , bombs exploding , and gunfire , prompting bleary - eyed men to dress as they ran to General Quarters stations . ( The famous message , `` Air raid Pearl Harbor . This is not drill . '' , was sent from the headquarters of Patrol Wing Two , the first senior Hawaiian command to respond . ) The defenders were very unprepared . Ammunition lockers were locked , aircraft parked wingtip to wingtip in the open to prevent sabotage , guns unmanned ( none of the Navy 's 5 `` / 38s , only a quarter of its machine guns , and only four of 31 Army batteries got in action ) . Despite this low alert status , many American military personnel responded effectively during the attack . Ensign Joe Taussig Jr. , aboard Nevada , commanded the ship 's antiaircraft guns and was severely wounded , but continued to be on post . Lt. Commander F.J. Thomas commanded Nevada in the captain 's absence and got her under way until the ship was grounded at 9 : 10 a.m. One of the destroyers , Aylwin , got underway with only four officers aboard , all ensigns , none with more than a year 's sea duty ; she operated at sea for 36 hours before her commanding officer managed to get back aboard . Captain Mervyn Bennion , commanding West Virginia , led his men until he was cut down by fragments from a bomb which hit Tennessee , moored alongside .   Second wave composition   The second planned wave consisted of 171 planes : 54 B5Ns , 81 D3As , and 36 A6Ms , commanded by Lieutenant - Commander Shigekazu Shimazaki . Four planes failed to launch because of technical difficulties . This wave and its targets comprised :    1st Group -- 54 B5Ns armed with 550 lb ( 249 kg ) and 132 lb ( 60 kg ) general - purpose bombs   27 B5Ns -- aircraft and hangars on Kaneohe , Ford Island , and Barbers Point   27 B5Ns -- hangars and aircraft on Hickam Field     2nd Group ( targets : aircraft carriers and cruisers )   78 D3As armed with 550 lb ( 249 kg ) general - purpose bombs , in four sections ( 3 aborted )     3rd Group -- ( targets : aircraft at Ford Island , Hickam Field , Wheeler Field , Barber 's Point , Kaneohe )   35 A6Ms for defense and strafing ( 1 aborted )      The second wave was divided into three groups . One was tasked to attack Kāne ʻohe , the rest Pearl Harbor proper . The separate sections arrived at the attack point almost simultaneously from several directions .   American casualties and damage   Ninety minutes after it began , the attack was over . Two thousand and eight sailors were killed , and 710 others wounded ; 218 soldiers and airmen ( who were part of the Army until the independent U.S. Air Force was formed in 1947 ) were killed and 364 wounded ; 109 marines were killed and 69 wounded ; and 68 civilians were killed and 35 wounded . In total , 2,403 Americans died and 1,178 were wounded . Eighteen ships were sunk or run aground , including five battleships . All of the Americans killed or wounded during the attack were non-combatants , given the fact there was no state of war when the attack occurred .  USS Arizona during the attack USS Nevada , on fire and down at the bow , attempting to leave the harbor before being deliberately beached  Of the American fatalities , nearly half were due to the explosion of Arizona 's forward magazine after it was hit by a modified 16 - inch ( 410 mm ) shell .   Already damaged by a torpedo and on fire amidships , Nevada attempted to exit the harbor . She was targeted by many Japanese bombers as she got under way and sustained more hits from 250 lb ( 113 kg ) bombs , which started further fires . She was deliberately beached to avoid blocking the harbor entrance .  USS West Virginia was sunk by six torpedoes and two bombs during the attack  California was hit by two bombs and two torpedoes . The crew might have kept her afloat , but were ordered to abandon ship just as they were raising power for the pumps . Burning oil from Arizona and West Virginia drifted down on her , and probably made the situation look worse than it was . The disarmed target ship Utah was holed twice by torpedoes . West Virginia was hit by seven torpedoes , the seventh tearing away her rudder . Oklahoma was hit by four torpedoes , the last two above her belt armor , which caused her to capsize . Maryland was hit by two of the converted 16 '' shells , but neither caused serious damage .   Although the Japanese concentrated on battleships ( the largest vessels present ) , they did not ignore other targets . The light cruiser Helena was torpedoed , and the concussion from the blast capsized the neighboring minelayer Oglala . Two destroyers in dry dock , Cassin and Downes were destroyed when bombs penetrated</t>
  </si>
  <si>
    <t xml:space="preserve">what was the japanese motivation for bombing pearl harbor</t>
  </si>
  <si>
    <t xml:space="preserve"> Japan intended the attack as a preventive action to keep the U.S. Pacific Fleet from interfering with its planned military actions in Southeast Asia against overseas territories of the United Kingdom , the Netherlands , and the United States . Over the course of seven hours there were coordinated Japanese attacks on the U.S. - held Philippines , Guam and Wake Island and on the British Empire in Malaya , Singapore , and Hong Kong . </t>
  </si>
  <si>
    <t xml:space="preserve">Fiddler on the Roof - wikipedia  Fiddler on the Roof  Jump to : navigation , search This article is about the 1964 musical . For the film , see Fiddler on the Roof ( film ) .    Fiddler on the Roof     Playbill from the Original Broadway Production     Music   Jerry Bock     Lyrics   Sheldon Harnick     Book   Joseph Stein     Basis   Tevye and His Daughters by Sholem Aleichem     Productions     1964 Broadway   1967 West End   1971 film   1976 Broadway revival   1981 Broadway revival   1983 West End revival   1990 Broadway revival   1994 West End revival   2003 UK tour   2004 Broadway revival   2007 West End revival   2008 UK tour   2009 US Tour   2015 Broadway revival       Awards     Tony Award for Best Musical   Tony Award for Best Score   Tony Award for Best Book       Fiddler on the Roof is a musical with music by Jerry Bock , lyrics by Sheldon Harnick , and book by Joseph Stein , set in the Pale of Settlement of Imperial Russia in 1905 . It is based on Tevye and his Daughters ( or Tevye the Dairyman ) and other tales by Sholem Aleichem . The story centers on Tevye , the father of five daughters , and his attempts to maintain his Jewish religious and cultural traditions as outside influences encroach upon the family 's lives . He must cope both with the strong - willed actions of his three older daughters , who wish to marry for love -- each one 's choice of a husband moves further away from the customs of his faith -- and with the edict of the Tsar that evicts the Jews from their village .   The original Broadway production of the show , which opened in 1964 , had the first musical theatre run in history to surpass 3,000 performances . Fiddler held the record for the longest - running Broadway musical for almost 10 years until Grease surpassed its run . It remains the sixteenth longest - running show in Broadway history . The production was extraordinarily profitable and highly acclaimed . It won nine Tony Awards , including Best Musical , score , book , direction and choreography . It spawned five Broadway revivals and a highly successful 1971 film adaptation and has enjoyed enduring international popularity . It has also been a popular choice for school and community productions .     Contents  ( hide )   1 Background   2 Synopsis   2.1 Act I   2.2 Act II     3 Musical numbers   4 Principal characters   5 Productions   5.1 Original productions   5.2 Broadway revivals   5.3 London revivals   5.4 UK tours   5.5 Australian productions   5.6 US tours   5.7 International and amateur productions     6 Film adaptation and recordings   7 Cultural influence   7.1 Parodies   7.2 Covers   7.3 Other song versions     8 Awards   9 Notes   10 References   11 Further reading   12 External links      Background ( edit )   Fiddler on the Roof is based on Tevye and his Daughters ( or Tevye the Dairyman ) , a series of stories by Sholem Aleichem that he wrote in Yiddish between 1894 and 1914 about Jewish life in a village in the Pale of Settlement of Imperial Russia at the turn of the 20th century . It is also influenced by Life Is with People , by Mark Zborowski and Elizabeth Herzog . Aleichem wrote a dramatic adaptation of the stories that he left unfinished at his death , but which was produced in Yiddish in 1919 by the Yiddish Art Theater and made into a film in the 1930s . In the late 1950s , a musical based on the stories , called Tevye and his Daughters , was produced Off - Broadway by Arnold Perl . Rodgers and Hammerstein and then Mike Todd briefly considered bringing this musical to Broadway but dropped the idea .   Investors and some in the media worried that Fiddler on the Roof might be considered `` too Jewish '' to attract mainstream audiences . Other critics considered that it was too culturally sanitized , `` middlebrow '' and superficial ; Philip Roth , writing in The New Yorker , called it shtetl kitsch . For example , it portrays the local Russian officer as sympathetic , instead of brutal and cruel , as Sholom Aleichem had described him . Aleichem 's stories ended with Tevye alone , his wife dead and his daughters scattered ; at the end of Fiddler , the family members are alive , and most are emigrating together to America . The show found the right balance for its time , even if not entirely authentic , to become `` one of the first popular post-Holocaust depictions of the vanished world of Eastern European Jewry '' . Harold Prince replaced the original producer Fred Coe and brought in director / choreographer Jerome Robbins . The writers and Robbins considered naming the musical Tevye , before landing on a title suggested by various paintings by Marc Chagall that also inspired the original set design . Contrary to popular belief , the `` title of the musical does not refer to any specific painting '' . During rehearsals , one of the stars , Jewish actor Zero Mostel , feuded with Robbins , whom he held in contempt because Robbins had testified before the House Un-American Activities Committee and hid his Jewish heritage from the public . Other cast members also had run - ins with Robbins , who reportedly `` abused the cast , drove the designers crazy ( and ) strained the good nature of Hal Prince '' .   Synopsis ( edit )   Act I ( edit )   Tevye , a poor Jewish milkman with five daughters , explains the customs of the Jews in the Russian shtetl of Anatevka in 1905 , where their lives are as precarious as the perch of a fiddler on a roof ( `` Tradition '' ) . At Tevye 's home , everyone is busy preparing for the Sabbath meal . His sharp - tongued wife , Golde , orders their daughters , Tzeitel , Hodel , Chava , Shprintze and Bielke , about their tasks . Yente , the village matchmaker , arrives to tell Golde that Lazar Wolf , the wealthy butcher , a widower older than Tevye , wants to wed Tzeitel , the eldest daughter . The next two daughters , Hodel and Chava , are excited about Yente 's visit , but Tzeitel is unenthusiastic ( `` Matchmaker , Matchmaker '' ) . A girl from a poor family must take whatever husband Yente brings , but Tzeitel wants to marry her childhood friend , Motel the tailor .  The Fiddler by Marc Chagall , from which the musical takes its name  Tevye is delivering milk , pulling the cart himself , as his horse is lame . He asks God : Whom would it hurt `` If I Were a Rich Man '' ? Avram , the bookseller , has news from the outside world about pogroms and expulsions . A stranger , Perchik , hears their conversation and scolds them for doing nothing more than talk . The men dismiss Perchik as a radical , but Tevye invites him home for the Sabbath meal and offers him food and a room in exchange for tutoring his two youngest daughters . Golde tells Tevye to meet Lazar after the Sabbath but does not tell him why , knowing that Tevye does not like Lazar . Tzeitel is afraid that Yente will find her a husband before Motel asks Tevye for her hand . But Motel resists : he is afraid of Tevye 's temper , and tradition says that a matchmaker arranges marriages . Motel is also very poor and is saving up to buy a sewing machine before he approaches Tevye , to show that he can support a wife . The family gathers for the `` Sabbath Prayer . ''   After the Sabbath , Tevye meets Lazar at Mordcha 's inn , assuming mistakenly that Lazar wants to buy his cow . Once the misunderstanding is cleared up , Tevye agrees to let Lazar marry Tzeitel -- with a rich butcher , his daughter will never want for anything . All join in the celebration of Lazar 's good fortune ; even the Russian youths at the inn join in the celebration and show off their dancing skills ( `` To Life '' ) . Outside the inn , Tevye happens upon the Russian Constable , who has jurisdiction over the Jews in the town . The Constable warns him that there is going to be a `` little unofficial demonstration '' in the coming weeks ( a euphemism for a minor pogrom ) . The Constable has sympathy for the Jewish community but is powerless to prevent the violence .   The next morning , after Perchik 's lessons with her young sisters , Tevye 's second daughter Hodel mocks Perchik 's Marxist interpretation of a Bible story . He , in turn , criticizes her for hanging on to the old traditions of Judaism , noting that the world is changing . To illustrate this , he dances with her , defying the prohibition against opposite sexes dancing together . The two begin to fall in love . Later , a hungover Tevye announces that he has agreed that Tzeitel will marry Lazar Wolf . Golde is overjoyed , but Tzeitel is devastated and begs Tevye not to force her . Motel arrives and tells Tevye that he is the perfect match for Tzeitel and that he and Tzeitel gave each other a pledge to marry . He promises that Tzeitel will not starve as his wife . Tevye is stunned and outraged at this breach of tradition , but impressed at the timid tailor 's display of backbone . After some soul - searching ( `` Tevye 's Monologue '' ) , Tevye agrees to let them marry , but he worries about how to break the news to Golde . An overjoyed Motel celebrates with Tzeitel ( `` Miracle of Miracles '' ) .   In bed with Golde , Tevye pretends to be waking from a nightmare . Golde offers to interpret his dream , and Tevye `` describes '' it ( `` Tevye 's Dream '' ) . Golde 's grandmother Tzeitel returns from the grave to bless the marriage of her namesake , but to Motel , not to Lazar Wolf . Lazar 's formidable late wife , Fruma - Sarah , rises from her grave to warn , in graphic terms , of severe retribution if Tzeitel marries Lazar . The superstitious Golde is terrified , and she quickly counsels that Tzeitel must marry Motel . While returning from town , Tevye 's third daughter , the bookish Chava , is teased and intimidated by some gentile youths . One , Fyedka , protects her , dismissing the others . He offers Chava the loan of a book , and a secret relationship begins .   The wedding day of Tzeitel and Motel arrives , and all the Jews join the ceremony ( `` Sunrise , Sunset '' ) and the celebration ( `` The Wedding Dance '' ) . Lazar gives a fine gift , but an argument arises with Tevye over the broken agreement . Perchik ends the tiff by breaking another tradition : he crosses the barrier between the men and women to dance with Tevye 's daughter Hodel . The celebration ends abruptly when a group of Russians rides into the village to perform the `` demonstration '' . They disrupt the party , damaging the wedding gifts and wounding Perchik , who attempts to fight back , and wreak more destruction in the village . Tevye instructs his family to clean up the mess .   Act ii ( edit )  Fiddler On the Roof by Lev Segal in Netanya , Israel  Months later , Perchik tells Hodel he must return to Kiev to work for the revolution . He proposes marriage , admitting that he loves her , and says that he will send for her . She agrees ( `` Now I Have Everything '' ) . They tell Tevye that they are engaged , and he is appalled that they are flouting tradition by making their own match , especially as Perchik is leaving . When he forbids the marriage , Perchik and Hodel inform him that they do not seek his permission , only his blessing . After more soul searching , Tevye relents -- the world is changing , and he must change with it ( `` Tevye 's Rebuttal '' ) . He informs the young couple that he gives them his blessing and his permission .   Tevye explains these events to an astonished Golde . `` Love , '' he says , `` it 's the new style . '' Tevye asks Golde , despite their own arranged marriage , `` Do You Love Me ? '' After dismissing Tevye 's question as foolish , she eventually admits that , after 25 years of living and struggling together and raising five daughters , she does . Meanwhile , Yente tells Tzeitel that she saw Chava with Fyedka . News spreads quickly in Anatevka that Perchik has been arrested and exiled to Siberia ( `` The Rumor / I Just Heard '' ) , and Hodel is determined to join him there . At the railway station , she explains to her father that her home is with her beloved , wherever he may be , although she will always love her family ( `` Far From the Home I Love '' ) .   Time passes . Motel has purchased a used sewing machine , and he and Tzeitel have had a baby . Chava finally gathers the courage to ask Tevye to allow her marriage to Fyedka . Again Tevye reaches deep into his soul , but marriage outside the Jewish faith is a line he will not cross . He forbids Chava to speak to Fyedka again . When Golde brings news that Chava has eloped with Fyedka , Tevye wonders where he went wrong ( `` Chavaleh Sequence '' ) . Chava returns and tries to reason with him , but he refuses to speak to her and tells the rest of the family to consider her dead . Meanwhile , rumors are spreading of the Russians expelling Jews from their villages . While the villagers are gathered , the Constable arrives to tell everyone that they have three days to pack up and leave the town . In shock , they reminisce about `` Anatevka '' and how hard it will be to leave what has been their home for so long .   As the Jews leave Anatevka , Chava and Fyedka stop to tell her family that they are also leaving for Kraków , unwilling to remain among the people who could do such things to others . Tevye still will not talk to her , but when Tzeitel says goodbye to Chava , Tevye prompts her to add `` God be with you . '' Motel and Tzeitel go to Poland as well but will join the rest of the family when they have saved up enough money . As Tevye , Golde and their two youngest daughters leave the village for America , the fiddler begins to play . Tevye beckons with a nod , and the fiddler follows them out of the village .   Musical numbers ( edit )       Act I     `` Prologue : Tradition '' -- Tevye and the Company   `` Matchmaker , Matchmaker '' -- Tzeitel , Hodel and Chava   `` If I Were a Rich Man '' -- Tevye   `` Sabbath Prayer '' -- Tevye , Golde and the Company   `` To Life '' -- Tevye , Lazar Wolf and the Company   `` Tevye 's Monologue '' -- Tevye   `` Miracle of Miracles '' -- Motel   `` Tevye 's Dream '' -- Tevye , Golde , Grandma Tzeitel , Fruma - Sarah , Company   `` Sunrise , Sunset '' -- Tevye , Golde , Perchik , Hodel and the Company   `` The Bottle Dance '' -- Instrumental       Act II     `` Entr'acte '' -- Orchestra   `` Now I Have Everything '' -- Perchik and Hodel   `` Tevye 's Rebuttal '' -- Tevye   `` Do You Love Me ? '' -- Tevye and Golde   `` The Rumor / I Just Heard '' -- Yente and villagers §   `` Far From the Home I Love '' -- Hodel   `` Chavaleh ( Little Bird ) '' -- Tevye   `` Anatevka '' -- The Company       § The 2004 revival featured a song for Yente and some women of the village ( Rivka and Mirala ) titled `` Topsy Turvy '' , discussing the disappearing role of the matchmaker in society . The number replaced `` The Rumor / I Just Heard '' .   Principal characters ( edit )   All of the characters are Jewish , except as noted :    Tevye , a poor milkman with five daughters . A firm supporter of the traditions of his faith , he finds many of his convictions tested by the actions of his three oldest daughters .   Golde , Tevye 's sharp - tongued wife .   Tzeitel , their oldest daughter , about nineteen . She loves her childhood friend Motel and marries him , even though he 's poor , begging her father not to force her to marry Lazar Wolf .   Hodel , their daughter , about seventeen . Intelligent and spirited , she falls in love with Perchik and later joins him in Siberia .   Chava , their daughter , about fifteen . A shy book lover , who falls in love with Fyedka .   Shprintze , their daughter , about twelve .   Bielke , their youngest daughter , about nine .   Motel Kamzoil , a poor but hardworking tailor who loves , and later marries , Tzeitel .   Perchik , a scholar and Bolshevik revolutionary who comes to Anatevka and falls in love with Hodel . He leaves for Kiev and is exiled to Siberia .   Fyedka , a young Christian man . He shares Chava 's passion for reading and is outraged by the Russians ' treatment of the Jews .   Lazar Wolf , the wealthy village butcher . Widower of Fruma - Sarah . Attempts to arrange a marriage for himself to Tzeitel .   Yente , the gossipy village matchmaker who matches Tzeitel and Lazar .   Fruma - Sarah , Lazar Wolf 's dead wife , who rises from the grave in Tevye 's `` nightmare '' .   Grandma Tzeitel , Golde 's dead grandmother , also featured in the `` nightmare '' .   Mordcha , the innkeeper .   Rabbi , the wise village rabbi .   Constable , a Christian man ; the head of the local Russian police .    Productions ( edit )   Original productions ( edit )  Zero Mostel as Tevye in the original Broadway production , 1964  Following its tryout at Detroit 's Fisher Theatre in July and August 1964 , then Washington in August to September , the original Broadway production opened on September 22 , 1964 , at the Imperial Theatre , transferred in 1967 to the Majestic Theatre and in 1970 to The Broadway Theatre , and ran for a record - setting total of 3,242 performances . The production was directed and choreographed by Robbins -- his last original Broadway staging . The set , designed in the style of Marc Chagall 's paintings , was by Boris Aronson . A colorful logo for the production , also inspired by Chagall 's work , was designed by Tom Morrow . Chagall reportedly did not like the musical .   The cast included Zero Mostel as Tevye the milkman , Maria Karnilova as his wife Golde ( each of whom won a Tony for their performances ) , Beatrice Arthur as Yente the matchmaker , Austin Pendleton as Motel , Bert Convy as Perchik the student revolutionary , Gino Conforti as the fiddler , and Julia Migenes as Hodel . Mostel ad - libbed increasingly as the run went on , `` which drove the authors up the wall . '' Joanna Merlin originated the role of Tzeitel , which was later assumed by Bette Midler during the original run . Carol Sawyer was Fruma Sarah , Adrienne Barbeau took a turn as Hodel , and Pia Zadora played the youngest daughter , Bielke . Both Peg Murray and Dolores Wilson made extended appearances as Golde , while other stage actors who have played Tevye include Herschel Bernardi , Theodore Bikel and Harry Goz ( in the original Broadway run ) , and Leonard Nimoy . Mostel 's understudy in the original production , Paul Lipson , went on to appear as Tevye in more performances than any other actor ( until Chaim Topol ) , clocking over 2,000 performances in the role in the original run and several revivals . Florence Stanley took over the role of Yente nine months into the run . The production earned $1,574 for every dollar invested in it . It was nominated for ten Tony Awards , winning nine , including Best Musical , score , book , direction and choreography , and acting awards for Mostel and Karnilova .   The original London West End production opened on February 16 , 1967 , at Her Majesty 's Theatre and played for 2,030 performances . It starred Topol as Tevye , a role he had previously played in Tel Aviv , and Miriam Karlin as Golde . Alfie Bass , Lex Goudsmit and Barry Martin eventually took over as Tevye . Topol later played Tevye in the 1971 film adaptation , for which he was nominated for an Academy Award , and in several revivals over the next four decades . The show was revived in London for short seasons in 1983 at the Apollo Victoria Theatre and in 1994 at the London Palladium .   Broadway revivals ( edit )   The first Broadway revival opened on December 28 , 1976 , and ran for 176 performances at the Winter Garden Theatre . Zero Mostel starred as Tevye . Robbins directed and choreographed . A second Broadway revival opened on July 9 , 1981 , and played for a limited run ( 53 performances ) at Lincoln Center 's New York State Theater . It starred Herschel Bernardi as Tevye and Karnilova as Golde . Other cast members included Liz Larsen , Fyvush Finkel , Lawrence Leritz and Paul Lipson . Robbins directed and choreographed . The third Broadway revival opened on November 18 , 1990 , and ran for 241 performances at the George Gershwin Theatre . Topol starred as Tevye , and Marcia Lewis was Golde . Robbins ' production was reproduced by Ruth Mitchell and choreographer Sammy Dallas Bayes . The production won the Tony Award for Best Revival .   A fourth Broadway revival opened on February 26 , 2004 , and ran for 36 previews and 781 performances at the Minskoff Theatre . Alfred Molina , and later Harvey Fierstein , starred as Tevye , and Randy Graff , and later Andrea Martin and Rosie O'Donnell , was Golde . Barbara Barrie and later Nancy Opel played Yente , Laura Michelle Kelly played Hodel and Lea Michele played Sprintze . It was directed by David Leveaux . This production replaced Yente 's song `` The Rumor '' with a song for Yente and two other women called `` Topsy - Turvy '' . The production was nominated for six Tonys but did not win any . In June 2014 , to celebrate the show 's 50th anniversary , a gala celebration and reunion was held at The Town Hall in New York City to benefit The National Yiddish Theatre -- Folksbiene , with appearances by many of the cast members of the various Broadway productions and the 1971 film .   The fifth Broadway revival began previews on November 20 and opened on December 20 , 2015 at the Broadway Theatre , with concept and choreography based on the original by Jerome Robbins . Bartlett Sher directed , and Hofesh Shechter choreographed . The cast starred Danny Burstein as Tevye , with Jessica Hecht as Golde , Alexandra Silber as Tzeitel , Adam Kantor as Motel , Ben Rappaport as Perchik , Samantha Massell as Hodel and Melanie Moore as Chava . Judy Kuhn replaced Hecht as Golde on November 22 , 2016 , for the last five weeks of the run . Designers include Michael Yeargan ( sets ) , Catherine Zuber ( costumes ) and Donald Holder ( lighting ) . Initial reviews were mostly positive , finding Burstein and the show touching . The production was nominated for three Tony Awards but won none . It closed on December 31 , 2016 after 463 performances .   London revivals ( edit )   Fiddler was first revived in London in 1983 at the Apollo Victoria Theatre ( a four - month season starring Topol ) and again in 1994 at the London Palladium for two months and then on tour , again starring Topol , and directed and choreographed by Sammy Dallas Bayes , recreating the Robbins production .   After a two - month tryout at the Crucible Theatre in Sheffield , England , a London revival opened on May 19 , 2007 , at the Savoy Theatre starring Henry Goodman as Tevye , Beverley Klein as Golde , Alexandra Silber as Hodel , Damian Humbley as Perchik and Victor McGuire as Lazar Wolf . The production was directed by Lindsay Posner . Robbins ' choreography was recreated by Sammy Dallas Bayes ( who did the same for the 1990 Broadway revival ) , with additional choreography by Kate Flatt .   UK tours ( edit )   A 2003 national tour played for seven months , with a radical design , directed by Julian Woolford and choreographed by Chris Hocking . The production 's minimalist set and costumes were monochromatic , and Fruma - Sarah was represented by a 12 - foot puppet . This production was revived in 2008 starring Joe McGann .   The show toured the UK again in 2013 and 2014 starring Paul Michael Glaser as Tevye with direction and choreography by Craig Revel Horwood .   Australian productions ( edit )   The original Australian production opened on June 16 , 1967 , at Her Majesty 's Theatre in Sydney . It starred Hayes Gordon as Tevye and Brigid Lenihan as Golde . The production ran for two years . The first professional revival tour was staged by the Australian Opera in 1984 with Gordon again playing Tevye . A young Anthony Warlow played Fyedka .   In 2005 and 2007 , Topol recreated his role as Tevye in Australian productions , with seasons in Sydney , Brisbane , Melbourne , Perth , Wellington and Auckland . The musical was again revived in Melbourne and Sydney in 2015 -- 2016 with Anthony Warlow as Tevye , Sigrid Thornton as Golde and Lior as Motel .   US tours ( edit )   Topol in ' Fiddler on the Roof ' : The Farewell Tour opened on January 20 , 2009 , in Wilmington , Delaware . Topol left the tour in November 2009 due to torn muscles . He was replaced by Harvey Fierstein .   International and amateur productions ( edit )  2006 production at the Brno City Theatre in the Czech Republic  The musical was an international hit , with early productions playing throughout Europe , in South America , Africa and Australia ; 100 different productions were mounted in the former West Germany in the first three decades after the musical 's premiere , and within five years after the collapse of the Berlin Wall , 23 productions were staged in the former East Germany ; and it was the longest - running musical ever seen in Tokyo .   A Hebrew language staging was produced in Tel Aviv by the Israeli impresario Giora Godik in the 1960s . This version was so successful that Godik soon produced a Yiddish version translated by Shraga Friedman . A 2008 Hebrew language production ran at the Cameri Theatre in Tel Aviv for more than six years . It was directed by Moshe Kepten , choreographed by Dennis Courtney and starred Natan Datner .   Un violon sur le toît was produced in French at Paris 's théâtre Marigny from November 1969 to May 1970 , resuming from September to January 1971 ( a total of 292 performances ) with Ivan Rebroff as Tevye and Maria Murano as Golde . Another adaptation was produced in 2005 at the théâtre Comédia in Paris with Franck Vincent as Tevye and Isabelle Ferron as Golde . The Stratford Shakespeare Festival produced the musical from April to October 2013 at the Festival Theatre directed and choreographed by Donna Feore . It starred Scott Wentworth as Tevye .   The musical receives about 500 amateur productions a year in the US alone .   Film adaptation and recordings ( edit )  Main article : Fiddler on the Roof ( film )  The film version was released in 1971 , directed and produced by Norman Jewison , and Stein adapted his own book for the screenplay . The casting of Chaim Topol over Zero Mostel for the role of Tevye caused controversy at first . The film received mostly positive reviews from film critics and became the highest - grossing film of 1971 . Fiddler received eight Oscar nominations , including Best Picture , Best Director for Jewison , Best Actor in a Leading Role for Topol , and Best Actor in a Supporting Role for Leonard Frey ( as Motel ; in the original Broadway production , Frey was the rabbi 's son ) . It won three , including best score / adaptation for arranger - conductor John Williams .   In the film version , the character of Yente is reduced , and Perchik 's song to Hodel `` Now I Have Everything '' is cut and replaced by a scene in Kiev . The `` Chagall color palette '' of the original Broadway production was exchanged for a grittier , more realistic depiction of the village of Anatevka .   Theatre writer John Kenrick writes that the original Broadway cast album released by RCA Victor in 1964 , `` shimmers -- an essential recording in any show lover 's collection '' , praising the cast . The remastered CD includes two recordings not on the original album , the bottle dance from the wedding scene and `` Rumor '' performed by Beatrice Arthur . Kenrick writes that while the original Broadway cast version is the clear first choice among recordings of this musical , he also likes the Columbia Records studio cast album with Bernardi as Tevye ; the film soundtrack , although he feels that the pace drags a bit ; and some of the numerous foreign versions , including the Israeli , German and Japanese casts .   Cultural influence ( edit )  Statue of Tevye , his horse , wagon , and passenger in Birobidzhan , Russia  The musical 's popularity has led to numerous references in popular media and elsewhere . The show or its songs have been parodied and covered widely :   Parodies ( edit )   Parodies relating to the show have included Antenna on the Roof ( Mad Magazine # 156 , January 1973 ) , which speculated about the lives of Tevye 's descendants living in an assimilated 1970s suburban America . The H.P. Lovecraft Historical Society published a musical theatre and album parody of Fiddler on the Roof called A Shoggoth on the Roof , which incorporates the works of H.P. Lovecraft . In the film Mrs. Doubtfire ( 1993 ) , Robin Williams parodies `` Matchmaker '' .   References to the musical on television have included a 2005 episode of Gilmore Girls titled `` Jews and Chinese Food '' , involving a production of the musical . A skit by The Electric Company about a village fiddler with a fear of heights , so he is deemed `` Fiddler on the Chair '' . In the Family Guy episode `` When You Wish Upon a Weinstein '' ( 2003 ) , William Shatner is depicted as playing Tevye in a scene from Fiddler . The second episode of Muppets Tonight , in 1996 , featured Garth Brooks doing a piece of `` If I were a Rich Man '' in which he kicks several chickens off the roof . `` The Rosie Show '' , a 1996 episode of The Nanny , parodied the dream scene , when Mr. Sheffield fakes a dream to convince Fran not to be a regular on a TV show . A 2011 episode of NBC 's Community , entitled `` Competitive Wine Tasting '' , included a parody of Fiddler titled , `` Fiddler , Please ! '' , with an all - black cast dressed in Fiddler on the Roof costumes singing `` It 's Hard to Be Jewish in Russia , Yo '' . Chabad.org kicked off their 2008 `` To Life '' Telethon with a pastiche of the fiddle solo and bottle dance from the musical .   Broadway references have included Spamalot , where a `` Grail dance '' sends up the `` bottle dance '' in Fiddler 's wedding scene . The Producers ( 2001 ) includes a musical number in the style of Jerry Bock that features an actual fiddler on a roof . Also in 2001 , Chicago 's Improv Olympic produced a well - received parody , `` The Roof Is on Fiddler '' , that used most of the original book of the musical but replaced the songs with 1980 's pop songs . The original Broadway cast of the musical Avenue Q and the Broadway 2004 revival cast of Fiddler on the Roof collaborated for a Broadway Cares / Equity Fights AIDS benefit and produced an approximately 10 - minute - long show , `` Avenue Jew '' , that incorporated characters from both shows , including puppets .   Covers ( edit )   Songs from the musical have been covered by notable artists . For example , in 1964 , jazz saxophonist Cannonball Adderley recorded the album Fiddler on the Roof , which featured jazz arrangements of eight songs from the musical . AllMusic awarded the album 4 stars and states `` Cannonball plays near his peak ; this is certainly the finest album by this particular sextet '' . That same year , Eydie Gormé released a single of `` Matchmaker '' . In 1999 , Knitting Factory Records released Knitting on the Roof , a compilation CD featuring covers of Fiddler songs by alternative bands such as The Residents , Negativland , and The Magnetic Fields . Indie rock band Bright Eyes recorded an adaptation of `` Sunrise , Sunset '' on their 2000 album Fevers and Mirrors . Allmusic gave the album a favorable review , and the online music magazine Pitchfork Media ranked it at number 170 on their list of top 200 albums of the 2000s . In 2005 , Melbourne punk band Yidcore released a reworking of the entire show called Fiddling on Ya Roof .   Gwen Stefani and Eve covered `` If I Were a Rich Man '' as `` Rich Girl '' for Stefani 's 2004 debut solo album Love . Angel . Music . Baby . in 2004 . The song was inspired by the 1993 British Louchie Lou &amp; Michie One ragga version of the same name . Stefani 's version reached # 7 on the Billboard Hot 100 chart , where it remained for over six months . It was certified gold by the RIAA and nominated for a Grammy Award for Best Rap / Sung Collaboration . It was also covered in 2008 and 2009 by the Capitol Steps , poking fun at Illinois politics , especially then - Governor Rod Blagojevich . The Santa Clara Vanguard Drum and Bugle Corps performs the `` Bottle Dance '' from Fiddler as a `` recurring trademark '' , including at the Drum Corps International World Championships .   Other song versions ( edit )   The song `` Sunrise , Sunset '' is often played at weddings , and in 2011 Sheldon Harnick wrote two versions of the song , suitable for same - sex weddings , with minor word changes . For example , for male couples , changes include `` When did they grow to be so handsome '' .   Awards ( edit )  Main article : List of awards and nominations for the musical Fiddler on the Roof  Fiddler 's original Broadway production in 1964 was nominated for ten Tony Awards , winning nine , including Best Musica</t>
  </si>
  <si>
    <t xml:space="preserve">cast of characters in fiddler on the roof</t>
  </si>
  <si>
    <t xml:space="preserve">  Tevye , a poor milkman with five daughters . A firm supporter of the traditions of his faith , he finds many of his convictions tested by the actions of his three oldest daughters .   Golde , Tevye 's sharp - tongued wife .   Tzeitel , their oldest daughter , about nineteen . She loves her childhood friend Motel and marries him , even though he 's poor , begging her father not to force her to marry Lazar Wolf .   Hodel , their daughter , about seventeen . Intelligent and spirited , she falls in love with Perchik and later joins him in Siberia .   Chava , their daughter , about fifteen . A shy book lover , who falls in love with Fyedka .   Shprintze , their daughter , about twelve .   Bielke , their youngest daughter , about nine .   Motel Kamzoil , a poor but hardworking tailor who loves , and later marries , Tzeitel .   Perchik , a scholar and Bolshevik revolutionary who comes to Anatevka and falls in love with Hodel . He leaves for Kiev and is exiled to Siberia .   Fyedka , a young Christian man . He shares Chava 's passion for reading and is outraged by the Russians ' treatment of the Jews .   Lazar Wolf , the wealthy village butcher . Widower of Fruma - Sarah . Attempts to arrange a marriage for himself to Tzeitel .   Yente , the gossipy village matchmaker who matches Tzeitel and Lazar .   Fruma - Sarah , Lazar Wolf 's dead wife , who rises from the grave in Tevye 's `` nightmare '' .   Grandma Tzeitel , Golde 's dead grandmother , also featured in the `` nightmare '' .   Mordcha , the innkeeper .   Rabbi , the wise village rabbi .   Constable , a Christian man ; the head of the local Russian police .  </t>
  </si>
  <si>
    <t xml:space="preserve">Stand by Me ( film ) - wikipedia  Stand by Me ( film )  Jump to : navigation , search      This article needs additional citations for verification . Please help improve this article by adding citations to reliable sources . Unsourced material may be challenged and removed . ( May 2009 ) ( Learn how and when to remove this template message )       Stand by Me     American theatrical release poster     Directed by   Rob Reiner     Produced by     Bruce A. Evans   Andrew Scheinman       Written by     Bruce A. Evans   Raynold Gideon       Based on   The Body by Stephen King     Starring     Wil Wheaton   River Phoenix   Corey Feldman   Jerry O'Connell   Kiefer Sutherland       Music by   Jack Nitzsche     Cinematography   Thomas Del Ruth     Edited by   Robert Leighton     Production company   Act III Productions     Distributed by   Columbia Pictures     Release date     August 22 , 1986 ( 1986 - 08 - 22 )               Running time   89 minutes     Country   United States     Language   English     Budget   $8 million     Box office   $52.3 million     Stand by Me is a 1986 American coming - of - age comedy - drama film directed by Rob Reiner and starring Wil Wheaton , River Phoenix , Corey Feldman , and Jerry O'Connell . The film , whose plot is based on Stephen King 's novella The Body ( 1982 ) and title is derived from Ben E. King 's eponymous song , which plays over the ending credits , tells the story of four boys in a small town in Oregon who go on a hike to find the dead body of a missing child .     Contents  ( hide )   1 Plot   2 Cast   3 Production   3.1 Casting   3.2 Locations   3.3 Title   3.4 Music     4 Reception   4.1 Box office   4.2 Critical response   4.3 Accolades   4.3. 1 Nominations   4.3. 2 Wins       5 Legacy   5.1 Events and tourism   5.2 Production company   5.3 Movies   5.4 Music   5.5 Television     6 References   7 External links   7.1 Reviews        Plot ( edit )   Author Gordie Lachance reads in the newspaper that his childhood friend Chris Chambers has been stabbed to death . Gordie narrates a flashback ( later revealed to be Gordie writing ) to a childhood incident when he and three buddies undertook a journey to find the body of a missing boy near the town of Castle Rock , Oregon , over Labor Day weekend in 1959 .   Young Gordie is a quiet , bookish boy who likes to tell stories . His parents , grieving the recent death of Gordie 's older brother Denny , neglect their younger son . Gordie 's friends are Chris , who comes from a family of drunks and criminals ; Teddy Duchamp , a joker who was burned and physically scarred by his mentally ill father ; and Vern Tessio , who is overweight and timid .   Vern overhears his older brother Billy and his friend Charlie Hogan discussing Ray Brower , a young boy who is missing and presumed dead . Gordie , Chris , Teddy , and Vern decide to find Ray 's body , hoping to become local heroes . Chris steals his father 's M1911 pistol , and the boys set out , stopping at the town 's junkyard to drink from its water pump . The boys hang out in the junkyard for a while , while Gordie leaves to buy food for the journey . When Gordie returns , he sees his friends jumping the fence to escape Milo Pressman , the junkman , and his dog Chopper . Gordie escapes as well . Pressman , infuriated , threatens to call the boys ' parents and calls Teddy 's father a `` loony '' ; an enraged Teddy attempts to attack Pressman , but the boys restrain him and they leave .   At nighttime , Gordie tells the other boys a story of Davie `` Lard - Ass '' Hogan , an overweight boy who is constantly teased and bullied . Hogan enters a pie - eating contest , but his goal was not to win , but to exact revenge . Prior to the contest , Hogan consumed a full bottle of castor oil and a raw egg . After eating several pies and briefly dominating the contest , Hogan vomits , inducing the vomiting of the contestants and crowd members , humiliating and embarrassing his tormentors .   After a series of misadventures and self - revelations , the boys locate the body . However , local hoodlum `` Ace '' Merrill and his gang , including Chris ' older brother `` Eyeball '' Chambers , arrive to claim the body and the credit for finding it . When Chris refuses to allow this , Ace draws a switchblade with intent to kill him , but Gordie intervenes with the pistol Chris had stolen . Ace and his gang leave and Ace vows revenge .   The boys agree to report the body via an anonymous phone call to the authorities and hike back to Castle Rock and bid each other farewell until they see each other in a few days , in the local junior high school .   The present - day Gordie writes that while he and Chris remained friends , they drifted apart from Teddy and Vern shortly after that day . Gordie notes how everyone 's life turned out : Vern married immediately after high school , has four children , and drives a forklift at a local lumberyard . Teddy tried enlisting in the Army but was turned down because of bad eyesight and an ear injury ; he later served time in prison and now does odd jobs around town . Chris went to college and became a lawyer ; when attempting to break up a fight in a fast - food restaurant , he was stabbed to death .   After finishing the story , adult Gordie , a successful , published writer , walks outside and drives away with his son and his son 's friend to take them swimming .   Cast ( edit )    Wil Wheaton as Gordie Lachance ( aged 12 )   Richard Dreyfuss as Gordie Lachance ( adult ; credited as `` The Writer '' )     River Phoenix as Chris Chambers   Corey Feldman as Teddy Duchamp   Jerry O'Connell as Vern Tessio   Kiefer Sutherland as John `` Ace '' Merrill , gang leader   Casey Siemaszko as Billy Tessio , gang member   John Cusack as Denny Lachance   Marshall Bell as Mr. Lachance   Frances Lee McCain as Mrs. Lachance   Gary Riley as Charlie Hogan , gang member   Bradley Gregg as Richard `` Eyeball '' Chambers , gang member   Jason Oliver as Vince Desjardins , gang member   Bruce Kirby as Mr. Quidacioluo , store owner   William Bronder as Milo Pressman , junkyard owner   Scott Beach as Mayor Grundy   Andy Lindberg as Davie `` Lard - Ass '' Hogan    Production ( edit )   Bruce A. Evans sent a copy of Stephen King 's novella The Body to Karen Gideon , the wife of his friend and writing partner Raynold Gideon on August 29 , 1983 as a gift for her birthday . Both Gideon and Evans quickly became fans of the novella and shortly thereafter contacted King 's agent , Kirby McCauley , seeking to negotiate film rights ; McCauley replied that King 's terms were $100,000 and 10 % of the gross profits . Although the money was not an issue , the share of gross profits was considered excessive , especially considering that no stars could be featured to help sell the movie . In response , Evans and Gideon pursued an established director , Adrian Lyne , to help sell the project .   After reading the novella , Lyne teamed up with Evans and Gideon , but all the studios the trio approached turned the project down except for Martin Shafer at Embassy Pictures . Embassy spent four months negotiating the rights with McCauley , settling on $50,000 and a smaller share of the profits , and Evans and Gideon spent eight weeks writing the screenplay . Evans and Gideon asked to also produce the film , but Shafer suggested they team up with Andy Scheinman , a more experienced producer . Embassy was unwilling to meet Lyne 's salary for directing the film until Evans and Gideon agreed to give up half of their share of profits to meet Lyne 's asking price .   Reiner later recalled that Lyne was going to direct the film , but had promised himself a vacation following the production of 91⁄2 Weeks , and would not be available to start production until the spring of 1986 . Reiner , better known at the time as the actor who had played ' Meathead ' Stivic in All in the Family , was sent the script by Scheinman , and his initial reaction was the script had promise but `` no focus '' . After Lyne withdrew from the project , Reiner signed on to direct in September 1984 . Reiner realized the story should focus on Gordie , as `` his father always paid more attention to his older brother '' and he identified with that , as he struggled with the shadow of fame cast by his comedian father , Carl Reiner . The writers incorporated Reiner 's suggestions , producing a new script by December 1984 for Embassy 's review and approval .   Days before shooting started in the summer of 1985 , Embassy was sold to Columbia Pictures , who made plans to cancel the production . Norman Lear , one of the co-owners of Embassy , gave $7.5 million of his own money to complete the film , citing his faith in Reiner and the script . However , since Embassy also would have distributed the film , once the film was completed it had no distributor . The producers showed a print to Michael Ovitz , head of the powerful Creative Artists Agency , and Ovitz promised to help them find a distributor . Paramount , Universal Pictures , and Warner Bros. all passed on the film ; Columbia Pictures production head Guy McElwaine screened the film at his house because he was feeling ill , and the positive reaction of his daughters convinced him to distribute the film .   Casting ( edit )   In a 2011 interview with NPR , Wil Wheaton attributed the film 's success to the director 's casting choices :   Rob Reiner found four young boys who basically were the characters we played . I was awkward and nerdy and shy and uncomfortable in my own skin and really , really sensitive , and River was cool and really smart and passionate and even at that age kind of like a father figure to some of us , Jerry was one of the funniest people I had ever seen in my life , either before or since , and Corey was unbelievably angry and in an incredible amount of pain and had an absolutely terrible relationship with his parents .   Feldman recalled how his home life translated into his onscreen character : `` ( Most kids are n't ) thinking they 're going to get hit by their parents because they 're not doing well enough in school , which will prevent them from getting a work permit , which will prevent them from being an actor . '' O'Connell agreed that he was cast based on how his personality fit the role , saying `` Rob really wanted us to understand our characters . He interviewed our characters . ( ... ) I tried to stay like Vern and say the stupid things Vern would . I think I was Vern that summer . '' Reiner and the producers interviewed more than 70 boys for the four main roles , out of more than 300 who auditioned ; Phoenix originally read for the part of Gordie Lachance .   Rather than start shooting right away , Reiner put the four main actors together for two weeks to play games from Viola Spolin 's Improvisation for the Theater ( which Reiner called `` the bible '' of theater games ) and build camaraderie , which led to a real friendship between them and several one - shot takes , where the young actors hit their cues perfectly . Wheaton would recall `` When you saw the four of us being comrades , that was real life , not acting . ''   Before settling on Richard Dreyfuss as the narrator ( and the role of the adult Gordie ) , Reiner considered David Dukes , Ted Bessell , and Michael McKean .   Locations ( edit )  Bridge on the road leading into Brownsville , Oregon , which was used for the penultimate scenes ( 2009 )  Parts of the film were shot in Brownsville , Oregon , which stood in for the fictional town of Castle Rock . The town was selected for its small town , 1950s ambience . The town fondly remembers the making of the movie in June and July 1985 , in which approximately 100 local residents were employed as extras , and since 2007 has held an annual Stand By Me Day each July which has drawn international attendees .   The blueberry pie eating contest was also filmed in Brownsville ; residents were employed as extras and a local bakery supplied the pies and extra filling , which was mixed with large - curd cottage cheese to simulate the vomit . The quantity of simulated vomit varied per person , from as much as 5 US gallons ( 19 l ) during the triggering event to little as ⁄ US gallon ( 0.24 l ) .   Scenes that include the `` mailbox baseball '' game and the junkyard scenes were filmed in Veneta , Oregon . The junkyard is still in operation . The campout / standing guard scene was filmed in Eugene , Oregon , just a few miles from Veneta . The general store is in Franklin , Oregon , just north of Veneta . Scenes along the railroad tracks were shot near Cottage Grove , Oregon , along the Oregon , Pacific and Eastern Railway . The line was abandoned 1994 ; the roadbed was repurposed as the Row River National Recreation Trail .  McCloud River Railroad trestle across Lake Britton ( 2012 )  The scene where the boys outrace a steam train engine across an 80 - foot tall trestle was filmed on the McCloud River Railroad , above Lake Britton Reservoir , near McArthur - Burney Falls Memorial State Park in California . The scene took a full week of shooting , making use of four small adult female stunt doubles with closely cropped hair , made up to look like the film 's protagonists . Plywood planks were laid across the trestles to provide a safer surface on which the stunt doubles could run . The locomotive used for the scene , M.C.R.R. 25 , is still in daily operation for excursion service on the Oregon Coast Scenic Railroad . Telephoto compression was used to make the train appear much closer than it actually was , and the actors did not feel a sense of danger until Reiner threatened them . `` You see those guys ? They do n't want to push that dolly down the track any more . And the reason they 're getting tired is because of you . I told them if they were n't worried that the train was going to kill them , then they should worry that I was going to . And that 's when they ran . ''   Title ( edit )   In March 1986 , Columbia Pictures , concerned that the original title , The Body , was misleading , renamed the film Stand by Me . According to screenwriter Raynold Gideon , `` ... it sounded like either a sex film , a bodybuilding film or another Stephen King horror film . Rob came up with Stand by Me , and it ended up being the least unpopular option . ''   Music ( edit )   Jack Nitzsche composed the film 's musical score . On August 8 , 1986 , a soundtrack album was released containing many of the 1950s and early 1960s oldies songs featured in the film :    `` Everyday '' ( Buddy Holly ) -- 2 : 07   `` Let the Good Times Roll '' ( Shirley and Lee ) -- 2 : 22   `` Come Go with Me '' ( The Del - Vikings ) -- 2 : 40   `` Whispering Bells '' ( The Del - Vikings ) -- 2 : 25   `` Get a Job '' ( The Silhouettes ) -- 2 : 44   `` Lollipop '' ( The Chordettes ) -- 2 : 09   `` Yakety Yak '' ( The Coasters ) -- 1 : 52   `` Great Balls of Fire '' ( Jerry Lee Lewis ) -- 1 : 52   `` Mr. Lee '' ( The Bobbettes ) -- 2 : 14   `` Stand by Me '' ( Ben E. King ) -- 2 : 55    Reception ( edit )   Box office ( edit )   The film was a box office success in North America . It opened in a limited release on August 8 , 1986 in 16 theaters and grossed $242,795 , averaging $15,174 per theater . The film then had its wide opening in 745 theaters on August 22 and grossed $3,812,093 , averaging $5,116 per theater and ranking # 2 . The film 's widest release was 848 theaters , and it ended up earning $52,287,414 overall , well above its $8 million budget .   Critical response ( edit )   Reviewing for The New York Times , Walter Goodman thought the direction was rather self - conscious , `` looking constantly at his audience '' ; Goodman called it a `` trite narrative '' and that `` Reiner 's direction hammers in every obvious element in an obvious script . '' Dave Kehr wrote `` there 's nothing natural in the way Reiner has overloaded his film with manufactured drama '' in his review for the Chicago Tribune . In contrast , Sheila Benson called it `` ( a treasure ) absolutely not to be missed '' in her review for the Los Angeles Times . Paul Attanasio , reviewing for The Washington Post , called the acting ensemble `` wonderful '' , and particularly praised the performances by Wheaton and Phoenix .   Stephen King , whose novella this film was adapted from , was very impressed with the finished result and indicated , on the special features of the 25th anniversary Blu - ray set , that he considered the film to be the first successful translation to film of any of his works . According to a later interview with Gene Siskel , Reiner recalls that after a private early screening of the film , King excused himself for fifteen minutes to compose himself , returning to remark `` That 's the best film ever made out of anything I 've written , which is n't saying much . But you 've really captured my story . It is autobiographical . ''   On review aggregator website Rotten Tomatoes , the film has an approval rating of 91 % based on 53 reviews , with a rating average of 8 / 10 . The site 's critical consensus reads , `` Stand by Me is a wise , nostalgic movie with a weird streak that captures both Stephen King 's voice and the trials of growing up . '' At Metacritic , which assigns a weighted mean rating to reviews , the film has score of 75 based on 20 critics , indicated `` generally favorably reviews . ''   Accolades ( edit )  Nominations ( edit )   Academy Award for Best Adapted Screenplay ( Raynold Gideon and Bruce A. Evans )   Directors Guild of America Award for Outstanding Directing -- Feature Film ( Rob Reiner )   Golden Globe Award for Best Motion Picture -- Drama   Golden Globe Award for Best Director ( Rob Reiner )   Independent Spirit Award for Best Film ( Andrew Scheinman , Raynold Gideon , and Bruce A. Evans )   Independent Spirit Award for Best Director ( Rob Reiner )   Independent Spirit Award for Best Screenplay ( Raynold Gideon and Bruce A. Evans )   National Board of Review Awards 1986 Top Ten Films   WGA Award for Best Screenplay Based on Material from Another Medium ( Raynold Gideon and Bruce A. Evans )   Wins ( edit )   8th Youth in Film Awards The Jackie Coogan Award for Outstanding Contribution to Youth Through Motion Picture ( Wil Wheaton , River Phoenix , Corey Feldman , and Jerry O'Connell )    Legacy ( edit )   Events and tourism ( edit )   Brownsville has held an annual `` Stand By Me Day '' since 2007 , which has attracted international participants and includes a pie eating contest . On July 24 , 2010 , a 25th Anniversary Celebration of the filming of Stand by Me was held in Brownsville , Oregon . The event included a cast and crew Q&amp;A session , an amateur blueberry pie eating contest , and an outdoor showing of the film .   Stand By Me Day was officially fixed to July 23 by the Brownsville Chamber of Commerce in 2013 . To encourage tourism , the city has embedded a penny in the street at Main and Park , where Vern found one , and an advertising mural painted for the movie production has survived .   Production company ( edit )   In 1987 , following the success of Stand by Me , Reiner co-founded a film and television production company and named it Castle Rock Entertainment , after the fictional setting of the story .   Movies ( edit )    Jonathan Bernstein states the pop culture discussions between characters in films by Quentin Tarantino originate in the similar semi-serious banter between the boys of Stand by Me .   Reviewers have seen an influence from Stand by Me in the 2011 movie Attack the Block , directed by Joe Cornish .   The movie Mud ( 2012 ) has a character ( Neckbone ) who has been called a `` perfect fusion of River Phoenix and Jerry O'Connell in ' Stand by Me . ' '' The writer and director , Jeff Nichols , said of the film `` Yeah , you know , I basically remade Stand by Me '' when defending the work - in - progress to studio executives .   The Kings of Summer , a 2013 coming - of - age film by Jordan Vogt - Roberts , has been reviewed as being inspired by Stand by Me .    Music ( edit )    Dan Mangan 's song `` Rows of Houses '' ( 2011 ) is based on this movie and takes the perspective of Gordie Lachance .    Television ( edit )    Seinfeld , the first television show produced by Reiner 's Castle Rock production company , featured banter between Jerry Seinfeld and George Costanza that was reminiscent of the dialogue between the protagonists of Stand by Me .   The plotline of `` The Blunder Years '' , a 2001 episode from the thirteenth season of The Simpsons , revolves around a repressed childhood trauma in which Homer Simpson , along with his friends Lenny and Carl , discover a body blocking an inlet for the Springfield Quarry .   Actors auditioning for roles on the Netflix show Stranger Things were asked to read lines from Stand by Me and one episode was titled `` The Body '' in homage to the source novella .    References ( edit )    Jump up ^ `` STAND BY ME ( 15 ) '' . British Board of Film Classification . September 12 , 1986 . Retrieved August 15 , 2015 .   ^ Jump up to : `` Stand by Me '' . The Numbers . Retrieved 2015 - 01 - 06 .   ^ Jump up to : Scott , Vernon ( 21 November 1986 ) . `` How ' Stand By Me ' Was Almost Left Standing At The Gate '' . Chicago Tribune . United Press International . Retrieved 24 April 2017 .   ^ Jump up to : Hannaford , Alex ( 13 June 2011 ) . `` 25 years of ' Stand by Me ' '' . The Telegraph . Retrieved 13 April 2017 .   Jump up ^ FoundationINTERVIEWS ( March 20 , 2008 ) . `` Rob Reiner - Archive Interview Part 6 of 8 '' . Retrieved October 8 , 2017 -- via YouTube .   ^ Jump up to : Lang , Brent ( 28 July 2016 ) . `` ' Stand by Me ' Oral History : Rob Reiner and Cast on River Phoenix and How Coming - of - Age Classic Almost Did n't Happen '' . Variety . Retrieved 23 April 2017 .   Jump up ^ Wheaton , Wil ( August 6 , 2011 ) . `` All Things Considered '' . National Public Radio ( Interview ) . Interview with David Greene . Meriden , Connecticut : WNPR . Retrieved August 6 , 2011 .   ^ Jump up to : Harmetz , Aljean ( 16 September 1986 ) . `` How 4 boys in ' Stand by Me ' became a film team '' . The New York Times . Retrieved 24 April 2017 .   ^ Jump up to : Paul , Alex ( July 20 , 2016 ) . `` Linda McCormick Can Tell You All About the Film ' Stand by Me ' '' . Albany Democrat - Herald . Retrieved 21 April 2017 . ; special section , pg . S2 .   Jump up ^ `` Stand By Me Filming Locations '' . Fast Rewind. 2015 . Retrieved 13 April 2017 .   ^ Jump up to : McGovern , Joe ( 12 May 2016 ) . `` ' Stand by Me ' turns 30 : The blueberry pie scene gets an oral history '' . Entertainment Weekly . Retrieved 2 May 2017 .   ^ Jump up to : Paul , Alex ( July 20 , 2016 ) . `` Bend Attorney Helped Drive ' Stand By Me ' Train '' . Albany Democrat - Herald . Retrieved 21 April 2017 . ; special section , pp. S3 , S8 .   Jump up ^ Stand By Me DVD Booklet . Columbia TriStar Home Video . 2000 .   Jump up ^ `` Stand by Me ( 1986 ) - Box Office Mojo '' .   Jump up ^ Goodman , Walter ( 8 August 1986 ) . `` Movie Review : Rob Reiner 's ' Stand By Me ' '' . The New York Times . Retrieved 24 April 2017 .   Jump up ^ Kehr , Dave ( 22 August 1986 ) . `` Textbook Drama Trips Up ' Stand By Me ' '' . Chicago Tribune . Retrieved 24 April 2017 .   Jump up ^ Benson , Sheila ( 8 August 1986 ) . `` From the Archives : ' Stand by Me ' is a summer standout '' . Los Angeles Times . Retrieved 24 April 2017 .   Jump up ^ Attanasio , Paul ( 22 August 1986 ) . `` Movies : ' Stand by Me ' '' . The Washington Post . Retrieved 24 April 2017 .   ^ Jump up to : Herman , Karen ( November 29 , 2004 ) . `` Interview with Rob Reiner '' . Archive of American Television .   Jump up ^ Siskel , Gene ( 17 August 1986 ) . `` ' Meathead ' Rob Reiner Meets And Defeats His Longtime Demons '' . Chicago Tribune . Retrieved 24 April 2017 .   Jump up ^ Stand by Me , retrieved 2018 - 04 - 01   Jump up ^ Stand by Me , retrieved 2018 - 04 - 01   Jump up ^ Paul , Alex ( July 10 , 2010 ) . `` ' Stand By Me ' festival slated '' . Albany Democrat - Herald . Retrieved December 7 , 2012 .   Jump up ^ Moody , Jennifer ( 15 July 2013 ) . `` Brownsville gears up for Stand By Me Day '' . Albany Democrat - Herald . Retrieved 21 April 2017 .   Jump up ^ Zawicki , Neil ( 23 July 2016 ) . `` 30 years on for Stand By Me '' . Albany Democrat - Herald . Retrieved 21 April 2017 .   ^ Jump up to : Bernstein , Jonathan ( February 1997 ) . `` 10 -- The Next Generation : Neurotics , Psychotics , Weirdos , Underachievers and Would - be Teen Idols '' . Pretty in Pink : The Golden Age of Teenage Movies . New York , New York : St. Martin 's Griffin . pp. 208 -- 210 . ISBN 0 - 312 - 15194 - 2 . Retrieved 2 May 2017 .   Jump up ^ Melin , Eric ( 29 October 2011 ) . `` ' Dazed and Confused ' Blu - Ray Finally Out , and ' Attack the Block ' '' . Scene Stealers . Retrieved 1 May 2017 .   ^ Jump up to : Gallen , Sean ( 9 August 2016 ) . `` Stand By Me : 5 Times It Inspired Pop Culture '' . Movie Pilot . Retrieved 1 May 2017 .   Jump up ^ Emerson , Jim ( 25 April 2013 ) . `` Mud ( review ) '' . RogerEbert.com . Retrieved 1 May 2017 .   Jump up ^ Jeff Nichols ( 25 March 2016 ) . `` The Shot Caller Q + A : Midnight Special Director Jeff Nichols '' ( Interview ) . Interview with Zach Baron . GQ . Retrieved 1 May 2017 .   Jump up ^ Pols , Mary ( 31 May 2013 ) . `` The Kings of Summer : Boys N the Woods '' . Time . Retrieved 1 May 2017 .   Jump up ^ Lussier , Germain ( 24 January 2013 ) . `` ' The Kings of Summer ' Review : ' Superbad ' Meets ' Stand By Me ' ( Sundance 2013 ) '' . Slashfilm . Retrieved 1 May 2017 .   Jump up ^ `` Dan Mangan ' Row of Houses ' : Video for the Canadian singer - songwriter 's new single ' Row of Houses ' '' . Rolling Stone . September 27 , 2011 .   Jump up ^ Maxtone - Graham , Ian ( 9 December 2001 ) . `` The Blunder Years '' . Simpsons Archive . Retrieved 1 May 2017 .   Jump up ^ Lai , Kristin ( 8 August 2016 ) . `` The True Story Behind Stephen King 's ' The Body ' And ' Stand By Me ' '' . Movie Pilot . Retrieved 1 May 2017 .    External links ( edit )       Wikiquote has quotations related to : Stand by Me ( film )      Stand by Me on IMDb   Stand by Me at the TCM Movie Database   Stand by Me at Box Office Mojo   Stand by Me at Rotten Tomatoes   Brownsville , Oregon Stand by Me film locations from Brownsville Chamber of Commerce   `` Stand By Me '' . Then &amp; Now Movie Locations ( blog ) . October 2012 . Retrieved 13 April 2017 .    Reviews ( edit )    Denby , David ( 18 August 1986 ) . `` Roughing It '' . New York Magazine . pp. 58 -- 59 . Retrieved 1 May 2017 .   Franco , James ( 1 August 2013 ) . `` Keep Standing by Me '' . Vice . Retrieved 1 May 2017 .              Films directed by Rob Reiner       This Is Spinal Tap ( 1984 )   The Sure Thing ( 1985 )   Stand by Me ( 1986 )   The Princess Bride ( 1987 )   When Harry Met Sally ... ( 1989 )   Misery ( 1990 )   A Few Good Men ( 1992 )   North ( 1994 )   The American President ( 1995 )   Ghosts of Mississippi ( 1996 )   The Story of Us ( 1999 )   Alex &amp; Emma ( 2003 )   Rumor Has It ( 2005 )   The Bucket List ( 2007 )   Flipped ( 2010 )   The Magic of Belle Isle ( 2012 )   And So It Goes ( 2014 )   Being Charlie ( 2015 )   LBJ ( 2016 )   Shock and Awe ( 2017 )                 Stephen King       Bibliography   Short fiction   Unpublished and uncollected   Awards and nominations       Novels     Carrie ( 1974 )   ' Salem 's Lot ( 1975 )   The Shining ( 1977 )   The Stand ( 1978 )   The Dead Zone ( 1979 )   Firestarter ( 1980 )   Cujo ( 1981 )   Christine ( 1983 )   Pet Sematary ( 1983 )   Cycle of the Werewolf ( 1983 )   The Talisman ( 1984 )   It ( 1986 )   The Eyes of the Dragon ( 1987 )   Misery ( 1987 )   The Tommyknockers ( 1987 )   The Dark Half ( 1989 )   Needful Things ( 1991 )   Gerald 's Game ( 1992 )   Dolores Claiborne ( 1992 )   Insomnia ( 1994 )   Rose Madder ( 1995 )   The Green Mile ( 1996 )   Desperation ( 1996 )   Bag of Bones ( 1998 )   The Girl Who Loved Tom Gordon ( 1999 )   The Plant ( 2000 ; unfinished )   Dreamcatcher ( 2001 )   Black House ( 2001 )   From a Buick 8 ( 2002 )   The Colorado Kid ( 2005 )   Cell ( 2006 )   Lisey 's Story ( 2006 )   Duma Key ( 2008 )   Under the Dome ( 2009 )   11 / 22 / 63 ( 2011 )   Joyland ( 2013 )   Doctor Sleep ( 2013 )   Mr. Mercedes ( 2014 )   Revival ( 2014 )   Finders Keepers ( 2015 )   End of Watch ( 2016 )   Gwendy 's Button Box ( 2017 )   Sleeping Beauties ( 2017 )   The Outsider ( 2018 )   Elevation ( 2018 )       The Dark Tower series     The Gunslinger ( 1982 )   The Drawing of the Three ( 1987 )   The Waste Lands ( 1991 )   Wizard and Glass ( 1997 )   Wolves of the Calla ( 2003 )   Song of Susannah ( 2004 )   The Dark Tower ( 2004 )   The Wind Through the Keyhole ( 2012 )       Richard Bachman novels     Rage ( 1977 )   The Long Walk ( 1979 )   Roadwork ( 1981 )   The Running Man ( 1982 )   Thinner ( 1984 )   The Bachman Books ( 1985 )   The Regulators ( 1996 )   Blaze ( 2007 )       Short fiction collections     Night Shift ( 1978 )   Different Seasons ( 1982 )   Skeleton Crew ( 1985 )   Four past Midnight ( 1990 )   Nightmares &amp; Dreamscapes ( 1993 )   Hearts in Atlantis ( 1999 )   Everything 's Eventual ( 2002 )   Just After Sunset ( 2008 )   Full Dark , No Stars ( 2010 )   The Bazaar of Bad Dreams ( 2015 )       Non-fiction     Danse Macabre ( 1981 )   Nightmares in the Sky ( 1988 )   On Writing ( 2000 )   Secret Windows ( 2000 )   Faithful ( 2004 )   `` Guns '' ( 2013 )       Screenplays     Creepshow ( 1982 )   Cat 's Eye ( 1985 )   Silver Bullet ( 1985 )   Maximum Overdrive ( 1986 ; also director )   Pet Sematary ( 1989 )   Sleepwalkers ( 1992 )   A Good Marriage ( 2014 )   Cell ( 2016 )       Teleplays     `` Sorry , Right Number '' ( 1987 )   Golden Years ( 1991 )   The Stand ( 1994 )   The Shining ( 1997 )   `` Chinga '' ( 1998 )   Storm of the Century ( 1999 )   Rose Red ( 2002 )   Kingdom Hospital ( 2004 )   Desperation ( 2006 )   `` Heads Will Roll '' ( 2014 )       Comics     Heroes for Hope ( 1985 )   American Vampire ( 2010 )       Musical collaborations     Michael Jackson 's Ghosts ( 1997 )   Black Ribbons ( 2010 )   Ghost Brothers of Darkland County ( 2012 )       Anthologies edited     The Best American Short Stories 2007 ( 2007 )   Six Scary Stories ( 2016 )       Worlds and concepts     Fictional locations of Maine   Jerusalem 's Lot   Castle Rock   Derry     Fictional books   Multiverse   All - World     Dollar Baby       Related articles     List of adaptations   Books about Stephen King   Rock Bottom Remainders   Philtrum Press   Six Stories   Stephen King Goes to the Movies   Charlie the Choo - Choo   Hearts in Suspension   Tabitha King   Joe Hill   Owen King         Book                   Adaptations of works by Stephen King           Films       The Shining ( 1980 )   Cujo ( 1983 )   The Dead Zone ( 1983 )   Christine ( 1983 )   Cat 's Eye ( 1985 )   Silver Bullet ( 1985 )   The Running Man ( 1987 )   Tales from the Darkside : The Movie ( 1990 )   Graveyard Shift ( 1990 )   Misery ( 1990 )   Sleepwalkers ( 1992 )   Needful Things ( 1993 )   The Dark Half ( 1993 )   Dolores Claiborne ( 1995 )   Thinner ( 1996 )   The Night Flier ( 1997 )   The Green Mile ( 1999 )   Hearts in Atlantis ( 2001 )   Dreamcatcher ( 2003 )   Secret Window ( 2004 )   Riding the Bullet ( 2004 )   1408 ( 2007 )   The Mist ( 2007 )   Dolan 's Cadillac ( 2009 )   A Good Marriage ( 2014 )   Mercy ( 2014 )   Cell ( 2016 )   The Dark Tower ( 2017 )   Gerald 's Game ( 2017 )   1922 ( 2017 )             Carrie     Carrie ( 1976 )   The Rage : Carrie 2 ( 1999 )   Carrie ( 2002 )   Carrie ( 2013 )       Creepshow     Creepshow ( 1982 )   Creepshow 2 ( 1987 )   Creepshow 3 ( 2007 )       Children of the Corn     Disciples of the Crow ( 1983 )   Children of the Corn ( 1984 )   The Final Sacrifice ( 1992 )   Urban Harvest ( 1995 )   The Gathering ( 1996 )   Fields of Terror ( 1998 )   Isaac 's Return ( 1999 )   Revelation ( 2001 )   Children of the Corn ( 2009 )   Genesis ( 2011 )   Runaway ( 2018 )       Different Seasons     Stand by Me ( 1986 )   The Shawshank Redemption ( 1994 )   Apt Pupil ( 1998 )       Firestarter     Firestarter ( 1984 )   Rekindled ( 2002 )       Trucks     Maximum Overdrive ( 1986 )   Trucks ( 1997 )       Pet Sematary     Pet Sematary ( 1989 )   Pet Sematary Two ( 1992 )       The Mangler     The Mangler ( 1995 )   The Mangler 2 ( 2002 )   The Mangler Reborn ( 2005 )       The Lawnmower Man     The Lawnmower Man ( 1992 )   Beyond Cyberspace ( 1996 )       It     It ( 2017 )   It : Chapter Two ( 2019 )                   TV films , episodes , and miniseries       `` Gramma '' ( 1986 )   `` Sorry , Right Number ''</t>
  </si>
  <si>
    <t xml:space="preserve">when was the movie stand by me made</t>
  </si>
  <si>
    <t xml:space="preserve"> Stand by Me is a 1986 American coming - of - age comedy - drama film directed by Rob Reiner and starring Wil Wheaton , River Phoenix , Corey Feldman , and Jerry O'Connell . The film , whose plot is based on Stephen King 's novella The Body ( 1982 ) and title is derived from Ben E. King 's eponymous song , which plays over the ending credits , tells the story of four boys in a small town in Oregon who go on a hike to find the dead body of a missing child . </t>
  </si>
  <si>
    <t xml:space="preserve">Northern Ireland Open ( snooker ) - wikipedia  Northern Ireland Open ( snooker )  Jump to : navigation , search Not to be confused with Irish Masters or Irish Professional Championship . For the previous tournament held in Belfast , see Northern Ireland Trophy . For the previous tournament held in Tallaght , see Irish Open ( snooker ) .  Northern Ireland Open   Tournament information     Location   Belfast     Country   Northern Ireland     Established   2016     Organisation ( s )   World Professional Billiards and Snooker Association     Format   Ranking event     Total prize fund   £ 366,000     Current champion ( s )   Mark Williams     The Northern Ireland Open is a professional ranking snooker tournament .     Contents  ( hide )   1 History   2 Winners   3 See also   4 References   5 External links      History ( edit )   On April 29 , 2015 , World Snooker chairman Barry Hearn announced it would be added to the main tour in 2016 as the `` Northern Ireland Open '' at a Belfast venue , as part of a new Home Nations Series with the existing Welsh Open and new English Open and Scottish Open tournaments .   Winners ( edit )     Year   Winner   Runner - up   Final score   Sponsor   Venue   Season     Northern Ireland Open ( ranking )     2016   Mark King   Barry Hawkins   9 -- 8   Coral   Belfast   2016 / 17     2017   Mark Williams   Yan Bingtao   9 -- 8   Dafabet   2017 / 18     See also ( edit )    Malta Cup   Irish Masters   Irish Professional Championship   Northern Ireland Trophy   2011 Alex Higgins International Trophy    References ( edit )    Jump up ^ http://www.worldsnooker.com/tournaments/irish-open-2016/   Jump up ^ https://www.bbc.co.uk/sport/0/snooker/32519199   Jump up ^ http://www.worldsnooker.com/hearn-announces-new-five-year-plan/    External links ( edit )    Chris Turner 's Snooker Archive : Major European Tournaments              Home Nations Series     English Open     2016   2017       Northern Ireland Open     2016   2017       Scottish Open     2016   2017       Welsh Open     2017   2018                 Active professional snooker tournaments     Ranking events     Riga Masters   China Championship   Paul Hunter Classic   Indian Open   World Open   European Masters   English Open   International Championship   Shanghai Masters   Northern Ireland Open   UK Championship   Scottish Open   German Masters   Snooker Shoot - Out   World Grand Prix   Welsh Open   Gibraltar Open   Players Championship   China Open   World Snooker Championship       Non-ranking events     World Cup ( team event )   Hong Kong Masters   World Games   CVB Snooker Challenge ( team event )   Haining Open   Champion of Champions   The Masters   Championship League       World Seniors Tour     UK Seniors Championship   Seniors Irish Masters   World Seniors Championship   The Seniors Masters       Variant events     Six - red World Championship       Pro-am events     Vienna Snooker Open   Belgium Snooker Open   Pink Ribbon       Related articles     World Snooker Tour   Triple Crown   Q School   List of snooker ranking tournaments   List of ranking title winners   Withdrawn tournaments         Current season   Current world rankings   ranking points        Retrieved from `` https://en.wikipedia.org/w/index.php?title=Northern_Ireland_Open_(snooker)&amp;oldid=828579343 '' Categories :   Northern Ireland Open ( snooker )   Home Nations Series   2016 establishments in Northern Ireland   Snooker ranking tournaments   Snooker competitions in Northern Ireland   Recurring sporting events established in 2016           Talk                                           Contents                   About Wikipedia                                           Беларуская   Български   Deutsch   Français   Norsk   Русский   Svenska   Edit links   This page was last edited on 3 March 2018 , at 13 : 10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</si>
  <si>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the northern ireland open snooker championship</t>
  </si>
  <si>
    <t xml:space="preserve">   Year   Winner   Runner - up   Final score   Sponsor   Venue   Season     Northern Ireland Open ( ranking )     2016   Mark King   Barry Hawkins   9 -- 8   Coral   Belfast   2016 / 17     2017   Mark Williams   Yan Bingtao   9 -- 8   Dafabet   2017 / 18   </t>
  </si>
  <si>
    <t xml:space="preserve">Eiffel tower - wikipedia  Eiffel tower  Jump to : navigation , search For other uses , see Eiffel Tower ( disambiguation ) .    Eiffel Tower     Tour Eiffel     The Eiffel Tower seen from the Champ de Mars     Location within Paris     Record height     Tallest in the world from 1889 to 1930     General information     Type   Observation tower Broadcasting tower     Location   7th arrondissement , Paris , France     Coordinates   48 ° 51 ′ 29.6 '' N 2 ° 17 ′ 40.2 '' E ﻿ / ﻿ 48.858222 ° N 2.294500 ° E ﻿ / 48.858222 ; 2.294500 Coordinates : 48 ° 51 ′ 29.6 '' N 2 ° 17 ′ 40.2 '' E ﻿ / ﻿ 48.858222 ° N 2.294500 ° E ﻿ / 48.858222 ; 2.294500     Construction started   28 January 1887     Completed   15 March 1889     Opening   31 March 1889 ( 128 years ago )     Owner   City of Paris , France     Management   Société d'Exploitation de la Tour Eiffel ( SETE )     Height     Architectural   300 m ( 984 ft )     Tip   324 m ( 1,063 ft )     Top floor   276 m ( 906 ft )     Technical details     Floor count       Lifts / elevators   8     Design and construction     Architect   Stephen Sauvestre     Structural engineer   Maurice Koechlin Émile Nouguier     Main contractor   Compagnie des Etablissements Eiffel     Website     toureiffel. paris     References     I. ^ Eiffel Tower at Emporis     The Eiffel Tower ( / ˈaɪfəl ˈtaʊ. ər / EYE - fəl TOW - ər ; French : tour Eiffel , pronounced ( tuʁ ‿ ɛfɛl ) listen ) is a wrought iron lattice tower on the Champ de Mars in Paris , France . It is named after the engineer Gustave Eiffel , whose company designed and built the tower .   Constructed from 1887 -- 89 as the entrance to the 1889 World 's Fair , it was initially criticized by some of France 's leading artists and intellectuals for its design , but it has become a global cultural icon of France and one of the most recognisable structures in the world . The Eiffel Tower is the most - visited paid monument in the world ; 6.91 million people ascended it in 2015 .   The tower is 324 metres ( 1,063 ft ) tall , about the same height as an 81 - storey building , and the tallest structure in Paris . Its base is square , measuring 125 metres ( 410 ft ) on each side . During its construction , the Eiffel Tower surpassed the Washington Monument to become the tallest man - made structure in the world , a title it held for 41 years until the Chrysler Building in New York City was finished in 1930 . Due to the addition of a broadcasting aerial at the top of the tower in 1957 , it is now taller than the Chrysler Building by 5.2 metres ( 17 ft ) . Excluding transmitters , the Eiffel Tower is the second - tallest structure in France after the Millau Viaduct .   The tower has three levels for visitors , with restaurants on the first and second levels . The top level 's upper platform is 276 m ( 906 ft ) above the ground -- the highest observation deck accessible to the public in the European Union . Tickets can be purchased to ascend by stairs or lift ( elevator ) to the first and second levels . The climb from ground level to the first level is over 300 steps , as is the climb from the first level to the second . Although there is a staircase to the top level , it is usually accessible only by lift .     Contents  ( hide )   1 History   1.1 Origin   1.2 Artists ' protest   1.3 Construction   1.3. 1 Lifts     1.4 Inauguration and the 1889 exposition   1.5 Subsequent events     2 Design   2.1 Material   2.2 Wind considerations   2.3 Accommodation   2.4 Passenger lifts   2.5 Engraved names   2.6 Aesthetics   2.7 Maintenance     3 Tourism   3.1 Transport   3.2 Popularity   3.3 Restaurants     4 Replicas   5 Communications   5.1 FM radio   5.2 Digital television     6 Illumination copyright   7 Taller structures   7.1 Lattice towers taller than the Eiffel Tower   7.2 Structures in France taller than the Eiffel Tower     8 See also   9 References   10 Bibliography   11 External links      History   Origin   The design of the Eiffel Tower was the product of Maurice Koechlin and Émile Nouguier , two senior engineers working for the Compagnie des Établissements Eiffel , after discussion about a suitable centrepiece for the proposed 1889 Exposition Universelle , a world 's fair to celebrate the centennial of the French Revolution . Eiffel openly acknowledged that inspiration for a tower came from the Latting Observatory built in New York City in 1853 . In May 1884 , working at home , Koechlin made a sketch of their idea , described by him as `` a great pylon , consisting of four lattice girders standing apart at the base and coming together at the top , joined together by metal trusses at regular intervals '' . Eiffel initially showed little enthusiasm , but he did approve further study , and the two engineers then asked Stephen Sauvestre , the head of company 's architectural department , to contribute to the design . Sauvestre added decorative arches to the base of the tower , a glass pavilion to the first level , and other embellishments .  First drawing of the Eiffel Tower by Maurice Koechlin including size comparison with other Parisian landmarks such as Notre Dame de Paris , the Statue of Liberty and the Vendôme Column  The new version gained Eiffel 's support : he bought the rights to the patent on the design which Koechlin , Nougier , and Sauvestre had taken out , and the design was exhibited at the Exhibition of Decorative Arts in the autumn of 1884 under the company name . On 30 March 1885 , Eiffel presented his plans to the Société des Ingénieurs Civils ; after discussing the technical problems and emphasising the practical uses of the tower , he finished his talk by saying the tower would symbolise ,   Not only the art of the modern engineer , but also the century of Industry and Science in which we are living , and for which the way was prepared by the great scientific movement of the eighteenth century and by the Revolution of 1789 , to which this monument will be built as an expression of France 's gratitude .   Little progress was made until 1886 , when Jules Grévy was re-elected as president of France and Édouard Lockroy was appointed as minister for trade . A budget for the exposition was passed and , on 1 May , Lockroy announced an alteration to the terms of the open competition being held for a centrepiece to the exposition , which effectively made the selection of Eiffel 's design a foregone conclusion , as entries had to include a study for a 300 m ( 980 ft ) four - sided metal tower on the Champ de Mars . ( A 300 - meter tower was then considered a herculean engineering effort ) . On 12 May , a commission was set up to examine Eiffel 's scheme and its rivals , which , a month later , decided that all the proposals except Eiffel 's were either impractical or lacking in details .   After some debate about the exact location of the tower , a contract was signed on 8 January 1887 . This was signed by Eiffel acting in his own capacity rather than as the representative of his company , and granted him 1.5 million francs toward the construction costs : less than a quarter of the estimated 6.5 million francs . Eiffel was to receive all income from the commercial exploitation of the tower during the exhibition and for the next 20 years . He later established a separate company to manage the tower , putting up half the necessary capital himself .   Artists ' protest  Caricature of Gustave Eiffel comparing the Eiffel tower to the Pyramids  The proposed tower had been a subject of controversy , drawing criticism from those who did not believe it was feasible and those who objected on artistic grounds . These objections were an expression of a long - standing debate in France about the relationship between architecture and engineering . It came to a head as work began at the Champ de Mars : a `` Committee of Three Hundred '' ( one member for each metre of the tower 's height ) was formed , led by the prominent architect Charles Garnier and including some of the most important figures of the arts , such as Adolphe Bouguereau , Guy de Maupassant , Charles Gounod and Jules Massenet . A petition called `` Artists against the Eiffel Tower '' was sent to the Minister of Works and Commissioner for the Exposition , Charles Alphand , and it was published by Le Temps on 14 February 1887 :   We , writers , painters , sculptors , architects and passionate devotees of the hitherto untouched beauty of Paris , protest with all our strength , with all our indignation in the name of slighted French taste , against the erection ... of this useless and monstrous Eiffel Tower ... To bring our arguments home , imagine for a moment a giddy , ridiculous tower dominating Paris like a gigantic black smokestack , crushing under its barbaric bulk Notre Dame , the Tour Saint - Jacques , the Louvre , the Dome of les Invalides , the Arc de Triomphe , all of our humiliated monuments will disappear in this ghastly dream . And for twenty years ... we shall see stretching like a blot of ink the hateful shadow of the hateful column of bolted sheet metal .  A calligram by Guillaume Apollinaire  Gustave Eiffel responded to these criticisms by comparing his tower to the Egyptian pyramids : `` My tower will be the tallest edifice ever erected by man . Will it not also be grandiose in its way ? And why would something admirable in Egypt become hideous and ridiculous in Paris ? '' These criticisms were also dealt with by Édouard Lockroy in a letter of support written to Alphand , ironically saying , `` Judging by the stately swell of the rhythms , the beauty of the metaphors , the elegance of its delicate and precise style , one can tell this protest is the result of collaboration of the most famous writers and poets of our time '' , and he explained that the protest was irrelevant since the project had been decided upon months before , and construction on the tower was already under way .   Indeed , Garnier was a member of the Tower Commission that had examined the various proposals , and had raised no objection . Eiffel was similarly unworried , pointing out to a journalist that it was premature to judge the effect of the tower solely on the basis of the drawings , that the Champ de Mars was distant enough from the monuments mentioned in the protest for there to be little risk of the tower overwhelming them , and putting the aesthetic argument for the tower : `` Do not the laws of natural forces always conform to the secret laws of harmony ? ''   Some of the protesters changed their minds when the tower was built ; others remained unconvinced . Guy de Maupassant supposedly ate lunch in the tower 's restaurant every day because it was the one place in Paris where the tower was not visible .   By 1918 , it had become a symbol of Paris and of France after Guillaume Apollinaire wrote a nationalist poem in the shape of the tower ( a calligram ) to express his feelings about the war against Germany . Today , it is widely considered to be a remarkable piece of structural art , and is often featured in films and literature .   Construction  Foundations of the Eiffel Tower  Work on the foundations started on 28 January 1887 . Those for the east and south legs were straightforward , with each leg resting on four 2 m ( 6.6 ft ) concrete slabs , one for each of the principal girders of each leg . The west and north legs , being closer to the river Seine , were more complicated : each slab needed two piles installed by using compressed - air caissons 15 m ( 49 ft ) long and 6 m ( 20 ft ) in diameter driven to a depth of 22 m ( 72 ft ) to support the concrete slabs , which were 6 m ( 20 ft ) thick . Each of these slabs supported a block of limestone with an inclined top to bear a supporting shoe for the ironwork .   Each shoe was anchored to the stonework by a pair of bolts 10 cm ( 4 in ) in diameter and 7.5 m ( 25 ft ) long . The foundations were completed on 30 June , and the erection of the ironwork began . The visible work on - site was complemented by the enormous amount of exacting preparatory work that took place behind the scenes : the drawing office produced 1,700 general drawings and 3,629 detailed drawings of the 18,038 different parts needed . The task of drawing the components was complicated by the complex angles involved in the design and the degree of precision required : the position of rivet holes was specified to within 0.1 mm ( 0.0039 in ) and angles worked out to one second of arc . The finished components , some already riveted together into sub-assemblies , arrived on horse - drawn carts from a factory in the nearby Parisian suburb of Levallois - Perret and were first bolted together , with the bolts being replaced with rivets as construction progressed . No drilling or shaping was done on site : if any part did not fit , it was sent back to the factory for alteration . In all , 18,038 pieces were joined together using 2.5 million rivets .   At first the legs were constructed as cantilevers , but about halfway to the first level , construction was paused in order to create a substantial timber scaffold . This renewed concerns about the structural integrity of the tower , and sensational headlines such as `` Eiffel Suicide ! '' and `` Gustave Eiffel Has Gone Mad : He Has Been Confined in an Asylum '' appeared in the tabloid press . At this stage , a small `` creeper '' crane designed to move up the tower was installed in each leg . They made use of the guides for the lifts which were to be fitted in the four legs . The critical stage of joining the legs at the first level was completed by the end of March 1888 . Although the metalwork had been prepared with the utmost attention to detail , provision had been made to carry out small adjustments in order to precisely align the legs ; hydraulic jacks were fitted to the shoes at the base of each leg , capable of exerting a force of 800 tonnes , and the legs were intentionally constructed at a slightly steeper angle than necessary , being supported by sandboxes on the scaffold . Although construction involved 300 on - site employees , only one person died thanks to Eiffel 's stringent safety precautions and the use of movable gangways , guardrails and screens .     The start of the erection of the metalwork .     7 December 1887 : Construction of the legs with scaffolding .     20 March 1888 : Completion of the first level .     15 May 1888 : Start of construction on the second stage .     21 August 1888 : Completion of the second level .     26 December 1888 : Construction of the upper stage .     15 March 1889 : Construction of the cupola .    Lifts The Roux , Combaluzier &amp; Lepape lifts during construction . Note the drive sprockets and chain in the foreground  Equipping the tower with adequate and safe passenger lifts was a major concern of the government commission overseeing the Exposition . Although some visitors could be expected to climb to the first level , or even the second , lifts clearly had to be the main means of ascent .   Constructing lifts to reach the first level was relatively straightforward : the legs were wide enough at the bottom and so nearly straight that they could contain a straight track , and a contract was given to the French company Roux , Combaluzier &amp; Lepape for two lifts to be fitted in the east and west legs . Roux , Combaluzier &amp; Lepape used a pair of endless chains with rigid , articulated links to which the car was attached . Lead weights on some links of the upper or return sections of the chains counterbalanced most of the car 's weight . The car was pushed up from below , not pulled up from above : to prevent the chain buckling , it was enclosed in a conduit . At the bottom of the run , the chains passed around 3.9 m ( 12 ft 10 in ) diameter sprockets . Smaller sprockets at the top guided the chains .  The Otis lifts originally fitted in the north and south legs  Installing lifts to the second level was more of a challenge because a straight track was impossible . No French company wanted to undertake the work . The European branch of Otis Brothers &amp; Company submitted a proposal but this was rejected : the fair 's charter ruled out the use of any foreign material in the construction of the tower . The deadline for bids was extended but still no French companies put themselves forward , and eventually the contract was given to Otis in July 1887 . Otis were confident they would eventually be given the contract and had already started creating designs .   The car was divided into two superimposed compartments , each holding 25 passengers , with the lift operator occupying an exterior platform on the first level . Motive power was provided by an inclined hydraulic ram 12.67 m ( 41 ft 7 in ) long and 96.5 cm ( 38.0 in ) in diameter in the tower leg with a stroke of 10.83 m ( 35 ft 6 in ) : this moved a carriage carrying six sheaves . Five fixed sheaves were mounted higher up the leg , producing an arrangement similar to a block and tackle but acting in reverse , multiplying the stroke of the piston rather than the force generated . The hydraulic pressure in the driving cylinder was produced by a large open reservoir on the second level . After being exhausted from the cylinder , the water was pumped back up to the reservoir by two pumps in the machinery room at the base of the south leg . This reservoir also provided power to the lifts to the first level .   The original lifts for the journey between the second and third levels were supplied by Léon Edoux . A pair of 81 m ( 266 ft ) hydraulic rams were mounted on the second level , reaching nearly halfway up to the third level . One lift car was mounted on top of these rams : cables ran from the top of this car up to sheaves on the third level and back down to a second car . Each car only travelled half the distance between the second and third levels and passengers were required to change lifts halfway by means of a short gangway . The 10 - ton cars each held 65 passengers .   Inauguration and the 1889 exposition  General view of the Exposition Universelle  The main structural work was completed at the end of March 1889 and , on 31 March , Eiffel celebrated by leading a group of government officials , accompanied by representatives of the press , to the top of the tower . Because the lifts were not yet in operation , the ascent was made by foot , and took over an hour , with Eiffel stopping frequently to explain various features . Most of the party chose to stop at the lower levels , but a few , including the structural engineer , Émile Nouguier , the head of construction , Jean Compagnon , the President of the City Council , and reporters from Le Figaro and Le Monde Illustré , completed the ascent . At 2 : 35 pm , Eiffel hoisted a large Tricolour to the accompaniment of a 25 - gun salute fired at the first level .   There was still work to be done , particularly on the lifts and facilities , and the tower was not opened to the public until nine days after the opening of the exposition on 6 May ; even then , the lifts had not been completed . The tower was an instant success with the public , and nearly 30,000 visitors made the 1,710 - step climb to the top before the lifts entered service on 26 May . Tickets cost 2 francs for the first level , 3 for the second , and 5 for the top , with half - price admission on Sundays , and by the end of the exhibition there had been 1,896,987 visitors .   After dark , the tower was lit by hundreds of gas lamps , and a beacon sent out three beams of red , white and blue light . Two searchlights mounted on a circular rail were used to illuminate various buildings of the exposition . The daily opening and closing of the exposition were announced by a cannon at the top .  Illumination of the tower at night during the exposition  On the second level , the French newspaper Le Figaro had an office and a printing press , where a special souvenir edition , Le Figaro de la Tour , was made . There was also a pâtisserie .   At the top , there was a post office where visitors could send letters and postcards as a memento of their visit . Graffitists were also catered for : sheets of paper were mounted on the walls each day for visitors to record their impressions of the tower . Gustave Eiffel described some of the responses as vraiment curieuse ( `` truly curious '' ) .   Famous visitors to the tower included the Prince of Wales , Sarah Bernhardt , `` Buffalo Bill '' Cody ( his Wild West show was an attraction at the exposition ) and Thomas Edison . Eiffel invited Edison to his private apartment at the top of the tower , where Edison presented him with one of his phonographs , a new invention and one of the many highlights of the exposition . Edison signed the guestbook with this message :   To M Eiffel the Engineer the brave builder of so gigantic and original specimen of modern Engineering from one who has the greatest respect and admiration for all Engineers including the Great Engineer the Bon Dieu , Thomas Edison .   Eiffel had a permit for the tower to stand for 20 years . It was to be dismantled in 1909 , when its ownership would revert to the City of Paris . The City had planned to tear it down ( part of the original contest rules for designing a tower was that it should be easy to dismantle ) but as the tower proved to be valuable for communication purposes , it was allowed to remain after the expiry of the permit .   Eiffel made use of his apartment at the top of the tower to carry out meteorological observations , and also used the tower to perform experiments on the action of air resistance on falling bodies .   Subsequent events  Play media Panoramic view during ascent of the Eiffel Tower by the Lumière brothers , 1898 Play media Franz Reichelt 's preparations and jump from the Eiffel Tower  For the 1900 Exposition Universelle , the lifts in the east and west legs were replaced by lifts running as far as the second level constructed by the French firm Fives - Lille . These had a compensating mechanism to keep the floor level as the angle of ascent changed at the first level , and were driven by a similar hydraulic mechanism to the Otis lifts , although this was situated at the base of the tower . Hydraulic pressure was provided by pressurised accumulators located near this mechanism . At the same time the lift in the north pillar was removed and replaced by a staircase to the first level . The layout of both first and second levels was modified , with the space available for visitors on the second level . The original lift in the south pillar was removed 13 years later .   On 19 October 1901 , Alberto Santos - Dumont , flying his No. 6 airship , won a 100,000 - franc prize offered by Henri Deutsch de la Meurthe for the first person to make a flight from St. Cloud to the Eiffel Tower and back in less than half an hour .   Many innovations took place at the Eiffel Tower in the early 20th century . In 1910 , Father Theodor Wulf measured radiant energy at the top and bottom of the tower . He found more at the top than expected , incidentally discovering what are known today as cosmic rays . Just two years later , on 4 February 1912 , Austrian tailor Franz Reichelt died after jumping from the first level of the tower ( a height of 57 metres ) to demonstrate his parachute design . In 1914 , at the outbreak of World War I , a radio transmitter located in the tower jammed German radio communications , seriously hindering their advance on Paris and contributing to the Allied victory at the First Battle of the Marne . From 1925 to 1934 , illuminated signs for Citroën adorned three of the tower 's sides , making it the tallest advertising space in the world at the time . In April 1935 , the tower was used to make experimental low - resolution television transmissions , using a shortwave transmitter of 200 watts power . On 17 November , an improved 180 - line transmitter was installed .   On two separate but related occasions in 1925 , the con artist Victor Lustig `` sold '' the tower for scrap metal . A year later , in February 1926 , pilot Leon Collet was killed trying to fly under the tower . His aircraft became entangled in an aerial belonging to a wireless station . A bust of Gustave Eiffel by Antoine Bourdelle was unveiled at the base of the north leg on 2 May 1929 . In 1930 , the tower lost the title of the world 's tallest structure when the Chrysler Building in New York City was completed . In 1938 , the decorative arcade around the first level was removed .  American soldiers watch the French flag flying on the Eiffel Tower , c. 25 August 1944  Upon the German occupation of Paris in 1940 , the lift cables were cut by the French . The tower was closed to the public during the occupation and the lifts were not repaired until 1946 . In 1940 , German soldiers had to climb the tower to hoist a swastika - centered Reichskriegsflagge , but the flag was so large it blew away just a few hours later , and was replaced by a smaller one . When visiting Paris , Hitler chose to stay on the ground . When the Allies were nearing Paris in August 1944 , Hitler ordered General Dietrich von Choltitz , the military governor of Paris , to demolish the tower along with the rest of the city . Von Choltitz disobeyed the order . On 25 June , before the Germans had been driven out of Paris , the German flag was replaced with a Tricolour by two men from the French Naval Museum , who narrowly beat three men led by Lucien Sarniguet , who had lowered the Tricolour on 13 June 1940 when Paris fell to the Germans .   A fire started in the television transmitter on 3 January 1956 , damaging the top of the tower . Repairs took a year , and in 1957 , the present radio aerial was added to the top . In 1964 , the Eiffel Tower was officially declared to be a historical monument by the Minister of Cultural Affairs , André Malraux . A year later , an additional lift system was installed in the north pillar .   According to interviews , in 1967 , Montreal Mayor Jean Drapeau negotiated a secret agreement with Charles de Gaulle for the tower to be dismantled and temporarily relocated to Montreal to serve as a landmark and tourist attraction during Expo 67 . The plan was allegedly vetoed by the company operating the tower out of fear that the French government could refuse permission for the tower to be restored in its original location .  Base of the Eiffel Tower  In 1982 , the original lifts between the second and third levels were replaced after 97 years in service . These had been closed to the public between November and March because the water in the hydraulic drive tended to freeze . The new cars operate in pairs , with one counterbalancing the other , and perform the journey in one stage , reducing the journey time from eight minutes to less than two minutes . At the same time , two new emergency staircases were installed , replacing the original spiral staircases . In 1983 , the south pillar was fitted with an electrically driven Otis lift to serve the Jules Verne restaurant . The Fives - Lille lifts in the east and west legs , fitted in 1899 , were extensively refurbished in 1986 . The cars were replaced , and a computer system was installed to completely automate the lifts . The motive power was moved from the water hydraulic system to a new electrically driven oil - filled hydraulic system , and the original water hydraulics were retained solely as a counterbalance system . A service lift was added to the south pillar for moving small loads and maintenance personnel three years later .   Robert Moriarty flew a Beechcraft Bonanza under the tower on 31 March 1984 . In 1987 , A.J. Hackett made one of his first bungee jumps from the top of the Eiffel Tower , using a special cord he had helped develop . Hackett was arrested by the police . On 27 October 1991 , Thierry Devaux , along with mountain guide Hervé Calvayrac , performed a series of acrobatic figures while bungee jumping from the second floor of the tower . Facing the Champ de Mars , Devaux used an electric winch between figures to go back up to the second floor . When firemen arrived , he stopped after the sixth jump .  The tower is the focal point of New Year 's Eve and Bastille Day ( 14 July ) celebrations in Paris .  For its `` Countdown to the Year 2000 '' celebration on 31 December 1999 , flashing lights and high - powered searchlights were installed on the tower . Fireworks were set off all over it . An exhibition above a cafeteria on the first floor commemorates this event . The searchlights on top of the tower made it a beacon in Paris 's night sky , and 20,000 flashing bulbs gave the tower a sparkly appearance for five minutes every hour on the hour .   The lights sparkled blue for several nights to herald the new millennium On 31 December 2000 . The sparkly lighting continued for 18 months until July 2001 . The sparkling lights were turned on again on 21 June 2003 , and the display was planned to last for 10 years before they needed replacing .   The tower received its 200,000,000 th guest on 28 November 2002 . The tower has operated at its maximum capacity of about 7 million visitors since 2003 . In 2004 , the Eiffel Tower began hosting a seasonal ice rink on the first level . A glass floor was installed on the first level during the 2014 refurbishment .   Design   Material  The Eiffel Tower from below  The puddled iron ( wrought iron ) of the Eiffel Tower weighs 7,300 tons , and the addition of lifts , shops and antennae have brought the total weight to approximately 10,100 tons . As a demonstration of the economy of design , if the 7,300 tons of metal in the structure were melted down , it would fill the square base , 125 metres ( 410 ft ) on each side , to a depth of only 6.25 cm ( 2.46 in ) assuming the density of the metal to be 7.8 tons per cubic metre . Additionally , a cubic box surrounding the tower ( 324 mx 125 mx 125 m ) would contain 6,200 tons of air , weighing almost as much as the iron itself . Depending on the ambient temperature , the top of the tower may shift away from the sun by up to 18 cm ( 7 in ) due to thermal expansion of the metal on the side facing the sun .   Wind considerations   When it was built , many were shocked by the tower 's daring form . Eiffel was accused of trying to create something artistic with no regard to the principles of engineering . However , Eiffel and his team -- experienced bridge builders -- understood the importance of wind forces , and knew that if they were going to build the tallest structure in the world , they had to be sure it could withstand them . In an interview with the newspaper Le Temps published on 14 February 1887 , Eiffel said :   Is it not true that the very conditions which give strength also conform to the hidden rules of harmony ? ... Now to what phenomenon did I have to give primary concern in designing the Tower ? It was wind resistance . Well then ! I hold that the curvature of the monument 's four outer edges , which is as mathematical calculation dictated it should be ... will give a great impression of strength and beauty , for it will reveal to the eyes of the observer the boldness of the design as a whole .   He used graphical methods to determine the strength of the tower and empirical evidence to account for the effects of wind , rather than a mathematical formula . Close examination of the tower reveals a basically exponential shape . All parts of the tower were over-designed to ensure maximum resistance to wind forces . The top half was even assumed to have no gaps in the latticework . In the years since it was completed , engineers have put forward various mathematical hypotheses in an attempt to explain the success of the design . The most recent , devised in 2004 after letters sent by Eiffel to the French Society of Civil Engineers in 1885 were translated into English , is described as a non-linear integral equation based on counteracting the wind pressure on any point of the tower with the tension between the construction elements at that point .   The Eiffel Tower sways by up to 9 centimetres ( 3.5 in ) in the wind .   Accommodation  Gustave Eiffel 's apartment  When originally built , the first level contained three restaurants -- one French , one Russian and one Flemish -- and an `` Anglo - American Bar '' . After the exposition closed , the Flemish restaurant was converted to a 250 - seat theatre . A promenade 2.6 - metre ( 8 ft 6 in ) wide ran around the outside of the first level . At the top , there were laboratories for various experiments , and a small apartment reserved for Gustave Eiffel to entertain guests , which is now open to the public , complete with period decorations and lifelike mann</t>
  </si>
  <si>
    <t xml:space="preserve">is the eiffel tower made of steel or iron</t>
  </si>
  <si>
    <t xml:space="preserve"> The Eiffel Tower ( / ˈaɪfəl ˈtaʊ. ər / EYE - fəl TOW - ər ; French : tour Eiffel , pronounced ( tuʁ ‿ ɛfɛl ) listen ) is a wrought iron lattice tower on the Champ de Mars in Paris , France . It is named after the engineer Gustave Eiffel , whose company designed and built the tower . </t>
  </si>
  <si>
    <r>
      <rPr>
        <sz val="11"/>
        <color rgb="FF000000"/>
        <rFont val="Calibri"/>
        <family val="0"/>
        <charset val="1"/>
      </rPr>
      <t xml:space="preserve">Fort Myers , Florida - wikipedia  Fort Myers , Florida  Jump to : navigation , search City in Florida , United States    Fort Myers , Florida     City     Sidney and Berne Davis Art Museum in downtown Fort Myers     Nickname ( s ) : `` City of Palms ''     Location in Lee County , Florida     U.S. Census Bureau map showing city limits     Coordinates : 26 ° 37 ′ N 81 ° 50 ′ W ﻿ / ﻿ 26.617 ° N 81.833 ° W ﻿ / 26.617 ; - 81.833 Coordinates : 26 ° 37 ′ N 81 ° 50 ′ W ﻿ / ﻿ 26.617 ° N 81.833 ° W ﻿ / 26.617 ; - 81.833     Country   United States     State   Florida     County   Lee     Founded   March 24 , 1886     Government     Type   Council -- manager     Mayor   Randy Henderson , Jr .     Area     Total   48.97 sq mi ( 126.84 km )     Land   39.78 sq mi ( 103.02 km )     Water   9.20 sq mi ( 23.82 km )     Elevation   10 ft ( 3 m )     Population ( 2010 )     Total   62,298     Estimate ( 2016 )   77,146     Density   1,939.46 / sq mi ( 748.84 / km )     Time zone   Eastern ( EST ) ( UTC - 5 )     Summer ( DST )   EDT ( UTC - 4 )     ZIP code ( s )   33900 - 33999     Area code ( s )   239     FIPS code   12 - 24125     GNIS feature ID   0282700     Website   cityftmyers.com     Fort Myers or Ft . Myers , is the county seat and commercial center of Lee County , Florida , United States . It has grown rapidly in recent years . As of the 2010 census , the city population was 62,298 and in 2016 was estimated at 77,146 .   Fort Myers is a gateway to the Southwest Florida region and a major tourist destination within Florida . The winter estates of Thomas Edison ( `` Seminole Lodge '' ) and Henry Ford ( `` The Mangoes '' ) are major attractions . The city is named after Colonel Abraham Myers .     Contents  ( hide )   1 History   1.1 Settlement and founding   1.2 20th century     2 Geography and climate   3 Demographics   4 Government   5 Education   5.1 Secondary schools   5.2 Higher education   5.3 Libraries     6 Sports   7 Points of interest   8 Public Transportation   8.1 Airports   8.2 Ground Transport     9 Fort Myers in popular culture   9.1 In film   9.2 In print     10 Notable people   10.1 Present   10.2 Past     11 Sister cities   12 References   13 External links      History ( edit )   Spain originally had colonial influence in Florida , succeeded by Great Britain and , lastly , the United States . During the American Indian Wars of the 1830s , the United States built Fort Myers as one of the first forts along the Caloosahatchee River ; it was used as a base of operations against the Seminole . During the Seminole Wars and Indian Removal period , Fort Myers was a strategic location , with access to Atlantic waterways . While many Seminole were forced to remove to Indian Territory west of the Mississippi River , others used their knowledge of the Everglades and Florida wilderness to resist the Americans . They were never defeated and two federally recognized Seminole tribes still control some of their historic territory .   During the American Civil War , Confederate blockade runners and cattle ranchers were based in Fort Myers . These settlers prospered through trading with the Seminole and Union soldiers .   Settlement and founding ( edit )   The Fort Myers community was founded after the American Civil War by Captain Manuel A. Gonzalez on February 21 , 1866 . Captain Gonzalez was familiar with the area as a result of his years of service delivering mail and supplies to the Union Army at the Fort during the Seminole Indian Wars and Civil War . When the U.S. Government abandoned the fort following the Civil War , Gonzalez sailed from Key West , Florida to found the community . Three weeks later , Joseph Vivas and his wife , Christianna Stirrup Vivas , arrived with Gonzalez 's wife , Evalina , and daughter Mary .   Gonzalez settled his family near the abandoned Fort Myers , where he began the area 's first trading post . Gonzalez traded tobacco , beads , and gunpowder , and sold otter , bobcat , and gator hide , to the neighboring Seminole . A small community began to form around the trading post .   In the late 19th century , northerners began to travel to Florida in the winter . Some saw development opportunities . In 1881 , the wealthy industrialist Hamilton Disston of Philadelphia , Pennsylvania came to the Caloosahatchee Valley . He planned to dredge and drain the Everglades for development . Diston connected Lake Okeechobee with the Caloosahatchee River ; this allowed steamboats to run from the Gulf of Mexico to Lake Okeechobee and up the Kissimmee River .   On August 12 , 1885 , the small town of Fort Myers -- all 349 residents -- was incorporated . By that time , it was the second - largest town on Florida 's Gulf Coast south of Cedar Key .   In 1885 , inventor Thomas Alva Edison was cruising Florida 's west coast and stopped to visit Fort Myers . He soon bought 13 acres along the Caloosahatchee River in town . There he built his home `` Seminole Lodge '' , as a winter retreat . It included a laboratory for his continuing work . After the Lodge was completed in 1886 , Edison and his wife , Mina , spent many winters in Fort Myers . Edison also enjoyed local recreational fishing , for which Fort Myers had gained a national reputation .   In 1898 , the Royal Palm Hotel was constructed . This luxury hotel attracted many tourists and established Fort Myers nationally as a winter resort destination .   20th century ( edit )   On May 10 , 1904 , access to the Fort Myers area was greatly improved with the opening of the Atlantic Coast Line Railroad , connecting Punta Gorda to Fort Myers . This route provided Lee County both passenger and freight railroad service .   In 1908 , the Arcade Theater was constructed in downtown Fort Myers . It served originally as a vaudeville house . Thomas Edison viewed films here for the first time with friends Henry Ford and Harvey Firestone . With the growth of the film industry , the Arcade Theatre was converted into a full movie house . A wall divided the stage in order to form two screening rooms . Changes in moviegoing habits since the late 20th century have led to the renovation of the theater for use again in live performance . It is now host to the Florida Repertory Theatre , a performing arts hall .   During the period of 1914 - 1918 ( World War I ) , Edison became concerned about America 's reliance on foreign supplies of rubber . He partnered with tire producer Harvey Firestone , of the Firestone Tire and Rubber Company , and Henry Ford , of the Ford Motor Company , to try to find a rubber tree or plant that could grow quickly in the United States . He sought one that would contain enough latex to support his research endeavor . In 1927 , the three men contributed $25,000 each , and created the Edison Botanic Research Corporation in an attempt to find a solution to this problem .   In 1928 , the Edison Botanic Research Corporation laboratory was constructed . It was in Fort Myers that Edison conducted the majority of his research and planted exotic plants and trees . He sent results and sample rubber residues to West Orange , New Jersey , for further work at his large Thomas A. Edison `` Invention Factory '' ( now preserved in the Thomas Edison National Historical Park ) . Through Edison 's efforts , the royal palms lining Riverside Avenue ( now McGregor Boulevard ) were imported and planted . They inspired Fort Myers ' nickname as `` City of Palms '' .   After testing 17,000 plant samples , Edison eventually discovered a source in the plant Goldenrod ( Solidago leavenworthii ) . Thomas Edison died in 1931 . The rubber project was transferred to the United States Department of Agriculture five years later .  The Mangoes : Henry Ford 's Winter home  In 1916 , automobile magnate Henry Ford purchased the home next door to Edison 's from Robert Smith of New York . Ford named his estate `` the Mangoes '' . Ford 's craftsman - style `` bungalow '' was built in 1911 by Smith . Ford , Harvey Firestone and Edison , were the three top leaders in American industry . They were part of an exclusive group titled `` the Millionaires ' Club '' . The three men have been memorialized in statues in downtown Fort Myers ' Centennial Park .   In 1924 , with the beginning of construction of the Edison Bridge , named for Thomas Edison , the city 's population steadily grew . The bridge was opened on February 11 , 1931 , the 84th birthday of its namesake . Edison dedicated the bridge , and was the first to drive across it .  Architecture of Downtown Fort Myers .  In the decade following the bridge 's construction , the city had a real estate boom . Several new residential subdivisions were built beyond Downtown , including Dean Park , Edison Park , and Seminole Park Edison Park , located across McGregor Boulevard from the Edison and Ford properties , includes a number of Fort Myers ' most stately homes . The historic development showcases a variety of architectural styles . In the 21st century , it is known for its community activities and strong neighborhood ties .   In 1947 , Mina Edison deeded Seminole Lodge to the City of Fort Myers , in memory of her late husband and for the enjoyment of the public . By 1988 , the adjacent Henry Ford winter estate was purchased by the city and opened for public tours in 1990 . The combined properties today are known as the Edison and Ford Winter Estates .   Geography and climate ( edit )   According to the United States Census Bureau , the city has a total area of 40.4 square miles ( 105 km ) , of which 31.8 square miles ( 82 km ) is land and 8.6 square miles ( 22 km ) ( 21.25 % ) is water .   Fort Myers experiences a tropical savanna climate ( Köppen Aw ) , with short , warm winters , and long , hot , humid summers , with most of the year 's rain falling from June to September , from showers and thunderstorms .   The temperature rarely rises to 100 ° F ( 38 ° C ) or lowers to the freezing mark . Fort Myers has 89 days annually in which a thunderstorm is close enough for thunder to be heard , the most in the nation .   The monthly daily average temperature ranges from 64.2 ° F ( 17.9 ° C ) in January to 83.4 ° F ( 28.6 ° C ) in August , with the annual mean being 75.1 ° F ( 23.9 ° C ) .   Records range from 24 ° F ( − 4 ° C ) on December 29 , 1894 up to 103 ° F ( 39 ° C ) on June 16 -- 17 , 1981 .     ( hide ) Climate data for Fort Myers , Florida ( Page Field ) , 1981 -- 2010 normals     Month   Jan   Feb   Mar   Apr   May   Jun   Jul   Aug   Sep   Oct   Nov   Dec   Year     Record high ° F ( ° C )   90 ( 32 )   92 ( 33 )   93 ( 34 )   96 ( 36 )   99 ( 37 )   103 ( 39 )   101 ( 38 )   100 ( 38 )   98 ( 37 )   95 ( 35 )   95 ( 35 )   90 ( 32 )   103 ( 39 )     Average high ° F ( ° C )   75 ( 24 )   77 ( 25 )   80 ( 27 )   85 ( 29 )   89 ( 32 )   92 ( 33 )   92 ( 33 )   92 ( 33 )   92 ( 33 )   87 ( 31 )   81 ( 27 )   77 ( 25 )   84.7 ( 29.3 )     Daily mean ° F ( ° C )   64.2 ( 17.9 )   66.6 ( 19.2 )   69.9 ( 21.1 )   73.9 ( 23.3 )   79.0 ( 26.1 )   82.5 ( 28.1 )   83.2 ( 28.4 )   83.4 ( 28.6 )   82.4 ( 28 )   77.9 ( 25.5 )   71.7 ( 22.1 )   66.5 ( 19.2 )   75.1 ( 23.9 )     Average low ° F ( ° C )   54 ( 12 )   56 ( 13 )   59 ( 15 )   63 ( 17 )   69 ( 21 )   74 ( 23 )   75 ( 24 )   75 ( 24 )   74 ( 23 )   69 ( 21 )   62 ( 17 )   56 ( 13 )   65.5 ( 18.6 )     Record low ° F ( ° C )   27 ( − 3 )   27 ( − 3 )   33 ( 1 )   39 ( 4 )   50 ( 10 )   58 ( 14 )   66 ( 19 )   65 ( 18 )   63 ( 17 )   45 ( 7 )   34 ( 1 )   24 ( − 4 )   24 ( − 4 )     Average rainfall inches ( mm )   1.89 ( 48 )   2.13 ( 54.1 )   2.84 ( 72.1 )   2.02 ( 51.3 )   2.72 ( 69.1 )   10.28 ( 261.1 )   9.14 ( 232.2 )   10.21 ( 259.3 )   8.55 ( 217.2 )   2.67 ( 67.8 )   1.92 ( 48.8 )   1.69 ( 42.9 )   56.06 ( 1,423.9 )     Average rainy days ( ≥ 0.01 in )   5.5   5.2   6.2   4.2   6.8   16.0   17.6   17.9   15.4   6.8   4.4   4.5   110.5     Source : NOAA ( extremes 1892 -- present )     Demographics ( edit )     Historical population     Census   Pop .     % ±     1890   575     --     1900   943     64.0 %     1910   2,463     161.2 %     1920   3,678     49.3 %     1930   9,082     146.9 %     1940   10,604     16.8 %     1950   13,195     24.4 %     1960   22,523     70.7 %     1970   27,351     21.4 %     1980   36,638     34.0 %       45,206     23.4 %     2000   48,208     6.6 %       62,298     29.2 %     Est. 2016   77,146     23.8 %     source :       Fort Myers Demographics     2010 Census   Fort Myers   Lee County   Florida     Total population   62,298   618,754   18,801,310     Population , percent change , 2000 to 2010   + 29.2 %   + 40.3 %   + 17.6 %     Population density   1,559.1 / sq mi   788.7 / sq mi   350.6 / sq mi     ( Non-Hispanic White or Caucasian )   54.6 %   53.9 %   57.9 %     Black or African - American   32.3 %   18.3 %   16.0 %     Hispanic or Latino ( of any race )   20.0 %   20.4 %   22.5 %     Asian   1.6 %   1.4 %   2.4 %     Native American or Native Alaskan   0.6 %   0.4 %   0.4 %     Pacific Islander or Native Hawaiian   0.1 %   0.1 %   0.1 %     Two or more races ( Multiracial )   2.8 %   2.1 %   2.5 %     Other races   8.0 %   4.7 %   3.6 %     The population of Fort Myers was 62,298 during the 2010 census . Between the 2000 census and 2010 census , the city 's population increased at a rate of 29.2 percent .   Fort Myers is one of two cities that make up the Cape Coral - Fort Myers Metropolitan Statistical Area . The 2010 population for the metropolitan area was 618,754 .   The population of Lee County , Florida and the Cape Coral - Fort Myers Metropolitan Statistical Area has grown 40.3 percent since the census in 2000 , much faster than the average growth rate of 17.6 percent experienced throughout the State of Florida .   Government ( edit )   Fort Myers is governed by a six - member city council where each member is elected from a single member ward . The city practices a council -- manager form of government where the city council is responsible for the legislative functions of the municipality . The city council is responsible for establishing policy , passing local ordinances , voting appropriations , and developing an overall vision for the city .   The mayor is elected in a citywide vote . The current mayor of Fort Myers is Randy Henderson , Jr .   Policing of Fort Myers is performed by the Fort Myers Police Department .   Education ( edit )   Secondary schools ( edit )  Bishop Verot Catholic High School  See : Lee County School District for other public schools in the area .    Secondary schools in the city include :     Dunbar High School whose Science Olympiad teams won 15th place overall in the 2007 Florida State Science Olympiad , including a win in the remote sensing category .   Fort Myers Senior High School , an International Baccalaureate school , is ranked as one of the best public schools in the nation by Newsweek magazine .   Bishop Verot High School , a private , Roman Catholic high school in Ft . Myers , operated by the Diocese of Venice , Florida .    Higher education ( edit )   Institutions of higher learning in the city include :    Hodges University   Keiser University   Nova Southeastern University   Rasmussen College   Southern Technical College   Fort Myers Technical College    Libraries ( edit )   See : Lee County Library System for other libraries in the county . Library Services include :    Fort Myers Regional Library : The Fort Myers Regional Library is the hub for the Lee County Library System , holding the main collections of legal , business , news , and financial information . The Library is located in Downtown Fort Myers at 2450 Main Street and is home to Cornog Plaza .   Dunbar - Jupiter Hammon Public Library : The library officially opened on October 7 , 1974 . The founders named the library Jupiter Hammon Public Library in honor of the first African poet to have his work published . Dunbar , the community 's name , was added at the request of its residents . The library was moved in 1996 to its current location at 3095 Blount Street . It is home to the largest African - American book collection in Southwest Florida .    Sports ( edit )   The City of Palms Classic is an annual high school basketball tournament held in Fort Myers , Florida , since 1973 . Several of its alumni have made it to the NBA .   Points of interest ( edit )  Murphy - Burroughs House   The Calusa Nature Center and Planetarium is a private , not - for - profit , environmental education organization . Set on a 105 - acre ( 0.42 km ) site , it has a museum , three nature trails , a planetarium , butterfly and bird aviaries , a gift shop and meeting and picnic areas .   City of Palms Park , former home of the Boston Red Sox spring training program , close to downtown Fort Myers .   Edison and Ford Winter Estates   Edison Mall   Historic Downtown , waterfront entertainment district   Murphy - Burroughs House   Imaginarium Science Center   Southwest Florida Museum of History    Public transportation ( edit )   Airports ( edit )  Fort Myers has experienced rapid population growth .  The Fort Myers Metropolitan Area is served by two separate airports in and around the city limits .    The area is primarily served by Southwest Florida International Airport ( RSW ) , located southeast of the city . The airport , which sits on 13,555 acres of land is the 45th busiest airport ( by annual passengers ) . In 2017 the airport served 8,842,549 people . It has been ranked as one of the top ten under ten million in the United States .   The Fort Myers area is secondarily served by Page Field , which is a small airport whose primary traffic consist of smaller aircraft .    Ground transport ( edit )   Buses run by LeeTran provide local service in Fort Myers .   Fort Myers in popular culture ( edit )   In film ( edit )    The abandoned city scene with the Edison Theatre , from the movie Day of the Dead ( 1985 ) was filmed in downtown Fort Myers .   Some courthouse and other `` city '' scenes in Just Cause ( 1995 ) were filmed in downtown Ft . Myers .   Part of the independent film Trans ( 1999 ) was filmed in Fort Myers , Florida .    In print ( edit )    Fort Myers is part of the setting of Red Grass River : A Legend ( 1998 ) , an award - winning novel by James Carlos Blake    Notable people ( edit )   Present ( edit )    Nate Allen - safety for Miami Dolphins   Haley Bennett - actress   Jason Bartlett - Tampa Bay Rays shortstop   Bob Beamon - track and field athlete , gold medalist in 1968 Summer Olympics long jump , world record holder 1968 to 1991   Bert Blyleven -- Hall of Fame pitcher for Minnesota Twins , Texas Rangers , Pittsburgh Pirates , Cleveland Indians and California Angels   James Carlos Blake - author and former faculty member of Edison Community College   Phillip Buchanon -- cornerback for the Washington Redskins , Tampa Bay Buccaneers , Houston Texans , Oakland Raiders   Stacy Carter -- former WWE wrestler   Terrence Cody -- nose tackle for Baltimore Ravens   Casey Coleman - former pitcher for Chicago Cubs   Bill Davey -- professional bodybuilder   Noel Devine -- running back for CFL 's Montreal Alouettes   Richard Fain - former NFL player   Earnest Graham -- NFL running back , Tampa Bay Buccaneers   Mike Greenwell -- former Boston Red Sox left fielder and NASCAR driver   Mario Henderson -- offensive tackle , Oakland Raiders   Nolan Henke -- professional golfer   Anthony Henry -- cornerback , Detroit Lions , Dallas Cowboys , Cleveland Browns   Adam Johnson - former pitcher for Minnesota Twins   Tarah Kayne - figure skater , 2016 national champion   Jevon Kearse -- defensive end , Philadelphia Eagles , Tennessee Titans   Terri Kimball -- Playboy Playmate of the Month for May 1964   Derek Lamely - professional golfer   Craig Leon -- music and visual producer of the Ramones , Blondie , Luciano Pavarotti , Joshua Bell   George McNeill - professional golfer   Peter Mellor - English - born American footballer and coach   Terry - Jo Myers - professional golfer , winner of three LPGA Tour tournaments   Seth Petruzelli -- professional MMA fighter   Plies ( Algernod Lanier Washington ) -- rapper   Lennie Rosenbluth ( born 1933 ) - college and NBA basketball player   Deion Sanders -- Hall of Fame NFL cornerback for six teams , inducted to Pro Football Hall of Fame as a Dallas Cowboy , and Major League Baseball outfielder for five teams   Peggy Schoolcraft -- professional bodybuilder , 1997 NPC Team Universe Champion   Chad Senior - two - time Olympian ( Sydney Australia , 2000 - Athens Greece , 2004 ) , competed in pentathlon   Vonzell Solomon -- American Idol third - place finisher   Greg Spires - former NFL player   Elissa Steamer -- professional skateboarder   Sammy Watkins - wide receiver for Buffalo Bills , Los Angeles Rams   Tommy Watkins -- former Minnesota Twins baseball player   Jeremy Ware - cornerback for Oakland Raiders   Walt Wesley -- professional basketball player ( 1966 -- 1976 ) for Cincinnati Royals and six other NBA teams   Cliff Williams -- bass player for AC / DC   Julio Zuleta -- former first baseman for Chicago Cubs    Past ( edit )    Verna Aardema - children 's book author   G. Harold Alexander - Florida Republican Party state chairman , c. 1952 - 1964   Patty Berg -- Hall of Fame golfer , one of LPGA 's founders   Gerard Damiano -- adult film director   Thomas Edison -- improved and perfected the incandescent light bulb and audio recording methods , had a winter estate next to Henry Ford 's   Harvey Firestone -- founded Firestone Tire Company , had a winter estate near Edison and Ford 's homes   Henry Ford -- founded the Ford Motor Company , and father of the assembly line , had a winter estate next to Thomas Edison 's   Charles Ghigna -- poet and children 's author known as `` Father Goose ; '' boyhood home 1950 - 1973   Sara Hildebrand -- United States Olympic diver ( 2000 , 2004 )   Jerry Lawler -- WWE wrestler and announcer   Denise Masino -- professional bodybuilder   Mindy McCready -- country music artist   Diamond Dallas Page -- former WCW and WWE wrestler , actor   Kimberly Page -- former member of the WCW Nitro Girls and Playboy model   Marius Russo - professional baseball player   Walt Wesley - professional basketball player    Sister cities ( edit )   Fort Myers has twinning agreements with the following sister cities :    Santiago de los Caballeros ( Dominican Republic )    References ( edit )    Jump up ^ `` US Gazetteer files : 2010 , 2000 , and 1990 '' . United States Census Bureau . 2011 - 02 - 12 . Retrieved 2011 - 04 - 23 .   Jump up ^ `` 2016 U.S. Gazetteer Files '' . United States Census Bureau . Retrieved Jul 7 , 2017 .   ^ Jump up to : `` US Board on Geographic Names '' . United States Geological Survey . 2007 - 10 - 25 . Retrieved 2008 - 01 - 31 .   ^ Jump up to : `` American FactFinder '' . United States Census Bureau . Retrieved 2008 - 01 - 31 .   ^ Jump up to : `` Population and Housing Unit Estimates '' . Retrieved June 9 , 2017 .   Jump up ^ `` Find a County '' . National Association of Counties . Archived from the original on 2011 - 05 - 31 . Retrieved 2011 - 06 - 07 .   Jump up ^ `` Southwest Florida Visitor Center '' . Swflvisitor.com . Retrieved 17 November 2017 .   Jump up ^ `` The History of Downtown Fort Myers '' . Downtown Fort Myers . Archived from the original on 25 December 2010 . Retrieved 26 December 2010 .   Jump up ^ Gannett , Henry ( 1905 ) . The Origin of Certain Place Names in the United States . Govt . Print . Off . p. 129 .   ^ Jump up to : `` Fort Myers Florida History '' . Fortmyers-online.com . Retrieved 17 November 2017 .   ^ Jump up to : `` Founder 's kin converge at City of Palms '' . News-press.com . Retrieved 17 November 2017 .   ^ Jump up to : ( 1 )   Jump up ^ `` Exclusive : History Uncovered along Fort Myers Riverfront '' . News - Press . 5 June 2012 . Archived from the original on 2013 - 06 - 30 . Retrieved 2013 - 04 - 17 .   Jump up ^ `` Influential Local Capt . Manuel Gonzalez / Archived copy '' . 29 July 2009 . Archived from the original on 2013 - 06 - 29 . Retrieved 2013 - 04 - 17 .   ^ Jump up to : `` The History of Fort Myers - Greater Fort Myers Chamber of Commerce '' . Fortmyers.org . Retrieved 17 November 2017 .   ^ Jump up to : `` History of Ft Myers '' . Myriverdistrict.com . Retrieved 17 November 2017 .   Jump up ^ Technology , Florida Center for Instructional . `` Royal Palm Hotel in Fort Myers '' . Fcit.usf.edu . Retrieved 17 November 2017 .   Jump up ^ Turner , Gregg M. , A Journey Into Florida Railroad History , University Press of Florida , Library of Congress # 2007050375 , ISBN 978 - 0 - 8130 - 3233 - 7 , p. 156   Jump up ^ `` Arcade Theater in Fort Myers , FL - Cinema Treasures '' . cinematreasures.org . Retrieved 17 November 2017 .   Jump up ^ McGregor history , Fort Myers Online   ^ Jump up to : `` NowData - NOAA Online Weather Data '' . National Oceanic and Atmospheric Administration . Retrieved 2012 - 02 - 13 .   Jump up ^ `` Weather Variety - Annual Days With Thunderstorms '' . Weatherpages.com . Archived from the original on 2012 - 02 - 20 . Retrieved 2012 - 06 - 12 .   Jump up ^ `` Census Of Population And Housing '' . U.S. Census Bureau . Retrieved 2014 - 09 - 19 .   ^ Jump up to : `` American FactFinder2 '' . Census.gov . Archived from the original on 2013 - 09 - 11 . Retrieved Nov 13 , 2014 .   Jump up ^ 2007 Scores . Dunbar is also Home to the First Ever Microsoft Certified High School in the world ... Archived 2008 - 02 - 06 at the Wayback Machine .   Jump up ^ `` America 's Top Public High Schools - Newsweek Best High Schools '' . Newsweek.com . Retrieved 17 November 2017 .   Jump up ^ `` Keiser University - Ft . Myers '' . Keiser University . Retrieved 3 April 2010 .   Jump up ^ `` NSU Campus info '' . Nova Southeastern University . Retrieved 3 August 2011 .   Jump up ^ `` Rasmussen College - Ft . Myers campus '' . Retrieved 25 June 2010 .   Jump up ^ Logan , Casey ( June 8 , 2015 ) . `` Fort Myers , Cape Coral technical institutes now colleges '' . News - Press . Retrieved 9 June 2015 .   Jump up ^ ( 2 )   Jump up ^ `` Dunbar Jupiter Hammon Public Library '' . Leegov.com . Archived from the original on 2016 - 04 - 13 . Retrieved 2016 - 04 - 20 .   Jump up ^ `` Welcome to Calusa Nature Center &amp; Planetarium '' . Calusanature.com . Retrieved 2012 - 06 - 12 .   Jump up ^ `` LeeTran '' . Lee County Southwest Florida . Retrieved 17 November 2017 .   Jump up ^ Stetson , Nancy ( September 7 , 2011 ) . `` STARRING SW FLORIDA '' . Florida Weekly . Retrieved 25 July 2014 .   Jump up ^ `` Production Credits - The Beaches of Fort Myers &amp; Sanibel '' . Fortmyers-sanibel.com . Retrieved 17 November 2017 .   Jump up ^ `` Filmed in Fort Myers - Film Fort Myers '' ( PDF ) . Filmfortmyers.com . Archived from the original ( PDF ) on 4 August 2016 . Retrieved 17 November 2017 .   Jump up ^ James Carlos Blake ( 1998 ) . Red Grass River : A Legend . New York : Avon .   Jump up ^ `` Broadcasters twinsbaseball.com : Team '' . Mlb.mlb.com . Retrieved 2010 - 07 - 29 .   Jump up ^ Nobles , Charlie ( November 27 , 2001 ) . `` COLLEGES ; Hurricanes ' Buchanon Might Be the Best of the Best '' . The New York Times . Retrieved April 2 , 2010 .   ^ Jump up to : Lawler , Jerry ( 2002 ) . It 's Good to be the King ... Sometimes . World Wrestling Entertainment . ISBN 978 - 0 - 7434 - 5768 - 2 .   Jump up ^ `` ' Bama 's mountain of a nosetackle : 365 - pound Terrence Cody '' . CNN . September 25 , 2008 . Retrieved April 2 , 2010 .   Jump up ^ `` Casey Coleman Stats '' . Baseball Almanac . Retrieved November 26 , 2012 .   Jump up ^ `` Pro Profiles - Bill Davey Pro Bodybuilding Profile '' . Bodybuilders.com. 1966 - 07 - 20 . Retrieved 2010 - 07 - 29 .   Jump up ^ Peek into inner circle shows Noel Devine 's no deviant Archived 2007 - 10 - 02 at the Wayback Machine. , August 28 , 2006   Jump up ^ Mark Aumann , NASCAR.COM ( 2006 - 05 - 17 ) . `` Ex-ballplayer Greenwell to make Truck debut - May 17 , 2006 '' . Nascar.Com . Retrieved 2010 - 07 - 29 .   Jump up ^ `` Mario Henderson '' . Nfl.com. 1984 - 10 - 29 . Retrieved 2010 - 07 - 29 .   Jump up ^ `` Nolan Henke - Golf - CBSSports.com PGA '' . Cbssports.com . Retrieved 2010 - 07 - 29 .   Jump up ^ `` Adam Johnson Stats - Baseball-Reference.com '' . Baseball-Reference.com . Retrieved 17 November 2017 .   Jump up ^ `` Terri Kimball - Terri Kimball Nude - Terri Kimball Pics '' . Playboy.com. 2009 - 01 - 27 . Archived from the original on 2010 - 01 - 17 . Retrieved 2010 - 07 - 29 .   Jump up ^ `` Derek Lamely '' . PGA Tour . Archived from the original on October 19 , 2012 . Retrieved November 26 , 2012 .   Jump up ^ LPGA Tour profile for Terry - Jo Myers Archived June 29 , 2011 , at the Wayback Machine .   Jump up ^ Wetzel , Dan . `` Final curtain for the Kimbo show - UFC - Yahoo ! Sports '' . Sports.yahoo.com . Retrieved 2010 - 07 - 29 .   Jump up ^ `` Warner Music Canada - Plies '' . Warnermusic.ca . Archived from the original on 2011 - 06 - 07 . Retrieved 2010 - 07 - 29 .   Jump up ^ `` ESPN.com : Where Sanders goes , teams win '' . Espn.go.com. 1967 - 08 - 09 . Retrieved 2010 - 07 - 29 .   Jump up ^ `` Peggy Schoolcraft IFBB Pro Bodybuilder '' . Bodybuilding.com . October 9 , 2002 . Retrieved 8 September 2011 .   Jump up ^ `` 2001 Ms. International results '' . Getbig.com . March 2 , 2001 . Retrieved 8 September 2011 .   Jump up ^ `` Vonzell Solomon '' . American Idol . Retrieved 2010 - 07 - 29 .   Jump up ^ `` In - Spires '' . Naplesnews.com . Retrieved 17 November 2017 .   Jump up ^ Lisa Winston / MLB.com ( 2010 - 02 - 15 ) . `` Article MiLB.com News The Official Site of Minor League Baseball '' . Web.minorleaguebaseball.com . Retrieved 2010 - 07 - 29 . CS1 maint : Multiple names : authors list ( link )   Jump up ^ `` Jeremy Ware Stats - Pro-Football-Reference.com '' . Pro-Football-Reference.com . Retrieved 17 November 2017 .   Jump up ^ `` Walt Wesley NBA &amp; ABA Statistics '' . Basketball-Reference.com . Retrieved 2010 - 07 - 29 .   Jump up ^ `` Florida : Edison Pageant of Light ( Local Legacies : Celebrating Community Roots - Library of Congress ) '' . Lcweb2.loc.gov . Retrieved 2010 - 07 - 29 .   Jump up ^ `` Lee '' . Sao.cjis20.org . Retrieved 2010 - 07 - 29 .   Jump up ^ `` Hildebrand Hired as First Diving Coach at Florida Gulf Coast '' . Swimming World . August 31 , 2006 . Retrieved 2 March 2018 .   Jump up ^ `` Singer Mindy McCready taken into custody '' . USA Today . July 26 , 2007 . Retrieved May 2 , 2010 .    External links ( edit )    Florida portal   Find more aboutFort Myers , Floridaat Wikipedia 's sister projects   Media from Wikimedia Commons   Travel guide from Wikivoyage     Official website   Fort Myers Economy at a Glance , U.S. Department of Labor              Municipalities and communities of Lee County , Florida , United States     County seat : Fort Myers     Cities     Bonita Springs   Cape Coral   Fort Myers   Sanibel         Town     Fort Myers Beach       Village     Estero       CDPs     Alva   Bokeelia   Buckingham   Burnt Store Marina   Captiva   Charleston Park   Cypress Lake   Fort Myers Shores   Gateway   Harlem Heights   Iona   Lehigh Acres   Lochmoor Waterway Estates   Matlacha   Matlacha Isles - Matlacha Shores   McGregor   North Fort Myers   Olga   Page Park   Palmona Park   Pine Island Center   Pine Manor   Pineland   Punta Rassa   St. James City   San Carlos Park   Suncoast Estates   Three Oaks   Tice   Villas   Whiskey Creek       Unincorporated community     Boca Grande               GND : 4460089 - 6   LCCN : n81076972   NARA : 10046062   VIAF : 247610496      Retrieved from `` https://en.wikipedia.org/w/index.php?title=Fort_Myers,_Florida&amp;oldid=842850023 '' Categories :   Fort Myers , Florida   Cities in Florida   Cities in Lee County , Florida   County seats in Florida   Thomas Edison   1886 establishments in Florida   Populated places established in 1886   Hidden categories :   Webarchive template wayback links   CS1 maint : Multiple names : authors list   Articles with short description   Coordinates on Wikidata   Pages using div col with deprecated parameters   Wikipedia articles with GND identifiers   Wikipedia articles with LCCN identifiers   Wikipedia articles with VIAF identifiers           Talk                                           Contents                   About Wikipedia                                             Wikivoyage         Bân - lâm - gú   Català   Cebuano   Čeština   Dansk   Deutsch   Español   Esperanto   Euskara   فارسی   Français   </t>
    </r>
    <r>
      <rPr>
        <sz val="11"/>
        <color rgb="FF000000"/>
        <rFont val="Noto Sans CJK SC"/>
        <family val="2"/>
      </rPr>
      <t xml:space="preserve">한국어   </t>
    </r>
    <r>
      <rPr>
        <sz val="11"/>
        <color rgb="FF000000"/>
        <rFont val="Calibri"/>
        <family val="0"/>
        <charset val="1"/>
      </rPr>
      <t xml:space="preserve">Ido   Interlingua   Italiano   Kiswahili   Kreyòl ayisyen   Lumbaart   Magyar   Nederlands   नेपाल भाषा   </t>
    </r>
    <r>
      <rPr>
        <sz val="11"/>
        <color rgb="FF000000"/>
        <rFont val="Noto Sans CJK SC"/>
        <family val="2"/>
      </rPr>
      <t xml:space="preserve">日本 語   </t>
    </r>
    <r>
      <rPr>
        <sz val="11"/>
        <color rgb="FF000000"/>
        <rFont val="Calibri"/>
        <family val="0"/>
        <charset val="1"/>
      </rPr>
      <t xml:space="preserve">Norsk   Oʻzbekcha / ўзбекча   Polski   Português   Simple English   Српски / srpski   Srpskohrvatski / српскохрватски   S</t>
    </r>
  </si>
  <si>
    <t xml:space="preserve">where is fort myers florida located in florida</t>
  </si>
  <si>
    <t xml:space="preserve">   Fort Myers , Florida     City     Sidney and Berne Davis Art Museum in downtown Fort Myers     Nickname ( s ) : `` City of Palms ''     Location in Lee County , Florida     U.S. Census Bureau map showing city limits     Coordinates : 26 ° 37 ′ N 81 ° 50 ′ W ﻿ / ﻿ 26.617 ° N 81.833 ° W ﻿ / 26.617 ; - 81.833 Coordinates : 26 ° 37 ′ N 81 ° 50 ′ W ﻿ / ﻿ 26.617 ° N 81.833 ° W ﻿ / 26.617 ; - 81.833     Country   United States     State   Florida     County   Lee     Founded   March 24 , 1886     Government     Type   Council -- manager     Mayor   Randy Henderson , Jr .     Area     Total   48.97 sq mi ( 126.84 km )     Land   39.78 sq mi ( 103.02 km )     Water   9.20 sq mi ( 23.82 km )     Elevation   10 ft ( 3 m )     Population ( 2010 )     Total   62,298     Estimate ( 2016 )   77,146     Density   1,939.46 / sq mi ( 748.84 / km )     Time zone   Eastern ( EST ) ( UTC - 5 )     Summer ( DST )   EDT ( UTC - 4 )     ZIP code ( s )   33900 - 33999     Area code ( s )   239     FIPS code   12 - 24125     GNIS feature ID   0282700     Website   cityftmyers.com   </t>
  </si>
  <si>
    <r>
      <rPr>
        <sz val="11"/>
        <color rgb="FF000000"/>
        <rFont val="Calibri"/>
        <family val="0"/>
        <charset val="1"/>
      </rPr>
      <t xml:space="preserve">Hermaphroditus - wikipedia  Hermaphroditus  Jump to : navigation , search For other uses , see Hermaphrodite ( disambiguation ) .    Hermaphroditus     Minor deity of unions , androgyny , marriage , sexuality and fertility     Herculaneum fresco 1 - 50 AD , National Archaeological Museum , Naples .     Abode   Mount Ida     Symbol   Thyrsus , Kantharos     Personal Information     Consort   Silenus , Maenad , Satyrs     Parents   Hermes and Aphrodite     Siblings   Eros / Cupid , Harmonia / Concordia , Phobos , Deimos , Pan , Priapus , Tyche     In Greek mythology , Hermaphroditus or Hermaphroditos / hərˌmæf. rəˈdaɪ. təs / ( listen ) ( Ancient Greek : Ἑρμαφρόδιτος ) was the son of Aphrodite and Hermes . According to Ovid , he was born a remarkably handsome boy with whom the water nymph Salmacis fell in love and prayed to be united forever . A god , in answer to her prayer , merged their two forms into one and transformed them into an androgynous form . His name is compounded of his parents ' names , Hermes and Aphrodite . He was one of the Erotes .   Because he was a son of Hermes , and consequently a great - grandson of Atlas , sometimes he is called Atlantiades ( Greek : Ατλαντιάδης ) . Hermaphroditus ' father , Hermes , was also called Atlantiades because his mother , Maia was the daughter of Atlas .   His name is the basis for the word hermaphrodite .     Contents  ( hide )   1 Symbolism   2 Mythology   3 Cult and worship   4 Literature   5 In art   5.1 Paintings and engravings   5.2 Sculpture   5.3 Music   5.4 Film     6 See also   7 Notes   8 References   9 External links      Symbolism ( edit )  Hermaphroditos , holding a torch and a kantharos , between Silenus ( right ) and maenad ( left ) ; Roman fresco from the triclinium of the procurator in the Casa del Centenario ( IX 8 , 3 - 6 ) in Pompeii .  Hermaphroditus , the two - sexed child of Aphrodite and Hermes ( Venus and Mercury ) had long been a symbol of androgyny or effeminacy , and was portrayed in Greco - Roman art as a female figure with male genitals .   Theophrastus 's account also suggests a link between Hermaphroditus and the institution of marriage . The reference to the fourth day of the month is telling : this is the luckiest day to have a wedding . Hermaphroditus 's association with marriage seems to have been that , by embodying both masculine and feminine qualities , he symbolized the coming together of men and women in sacred union . Another factor linking Hermaphroditus to weddings was his parents ' role in protecting and blessing brides .   Hermaphroditus 's name is derived from those of his parents Hermes and Aphrodite . All three of these gods figure largely among erotic and fertility figures , and all possess distinctly sexual overtones . Sometimes , Hermaphroditus is referred to as Aphroditus . The phallic god Priapus was the son of Hermes by some accounts and the youthful god of desire Eros of Ares and Aphrodite .   Mythology ( edit )  Further information : Salmacis and Salmacis ( fountain )  Ovid 's account relates that Hermaphroditus was nursed by naiads in the caves of Mount Ida , a sacred mountain in Phrygia ( present day Turkey ) . At the age of fifteen , he grew bored with his surroundings and traveled to the cities of Lycia and Caria . It was in the woods of Caria , near Halicarnassus ( modern Bodrum , Turkey ) that he encountered the nymph , Salmacis , in her pool . She was overcome by lust for the boy , who was very handsome but still young , and tried to seduce him , but was rejected . When he thought her to be gone , Hermaphroditus undressed and entered the waters of the empty pool . Salmacis sprang out from behind a tree and jumped into the pool . She wrapped herself around the boy , forcibly kissing him and touching his breast . While he struggled , she called out to the gods that they should never part . Her wish was granted , and their bodies blended into one form , `` a creature of both sexes '' . Hermaphroditus prayed to Hermes and Aphrodite that anyone else who bathed in the pool would be similarly transformed , and his wish was granted . `` In this form the story was certainly not ancient , '' Karl Kerenyi noted . He compared the myth of the beautiful ephebe with Narcissus and Hyacinthus , who had an archaic hero - cult , and Hymenaios .   Diodorus Siculus in his work Library of History mention , that some say that Hermaphroditus is a god and appears at certain times among men , but there are some who declare that such creatures of two sexes are monstrosities , and coming rarely into the world as they do have the quality of presaging the future , sometimes for evil and sometimes for good .   Cult and worship ( edit )  Main article : Aphroditus  The oldest traces of the cult in Greek countries are found in Cyprus . Here , according to Macrobius ( Saturnalia , iii. 8 ) , there was a bearded statue of a male Aphrodite , called Aphroditos by Aristophanes . Philochorus in his Atthis ( ap . Macrobius loc . cit . ) further identified this divinity , at whose sacrifices men and women exchanged garments , with the Moon . A terracotta plaque from the 7th century BC depicting Aphroditos was found in Perachora , which suggests it was an archaic cult .   The deification and the origins of the cult of hermaphrodite beings stem from Eastern religions , where the hermaphrodite nature expressed the idea of a primitive being that united both genders . This double sex also attributed to Dionysus and Priapus - the union in one being of the two principles of generation and conception - denotes extensive fertilizing and productive powers .   This Cyprian Aphrodite is the same as the later Hermaphroditos , which simply means Aphroditos in the form of a herm ( see Hermae ) , and first occurs in the Characters ( 16 ) of Theophrastus . After its introduction at Athens ( probably in the 5th century BC ) , the importance of this deity seems to have declined . It appears no longer as the object of a special cult , but limited to the homage of certain sects , expressed by superstitious rites of obscure significance .   We find in Alciphron that there was at Athens a temple of Hermaphroditus . The passage proposes that he might be considered as the deity who presided over married people ; the strict union between husband and wife being aptly represented by a deity , who was male and female inseparably blended together .   Literature ( edit )   The earliest mention of Hermaphroditus in Greek literature is by the philosopher Theophrastus ( 3rd century BC ) , in his book The Characters , XVI The Superstitious Man , in which he portrays various types of eccentric people .   The first mention of Hermes and Aphrodite as Hermaphroditus 's parents was by the Greek historian , Diodorus Siculus ( 1st century BC ) , in his book Bibliotheca historica , book IV , 4.6. 5 .   Hermaphroditus , as he has been called , who was born of Hermes and Aphrodite and received a name which is a combination of those of both his parents . Some say that this Hermaphroditus is a god and appears at certain times among men , and that he is born with a physical body which is a combination of that of a man and that of a woman , in that he has a body which is beautiful and delicate like that of a woman , but has the masculine quality and vigour of a man . But there are some who declare that such creatures of two sexes are monstrosities , and coming rarely into the world as they do they have the quality of presaging the future , sometimes for evil and sometimes for good .   The only full narration of his myth is that of Ovid 's Metamorphoses , IV. 274 - 388 ( 8 AD ) , where the emphasis is on the feminine snares of the lascivious water - nymph Salmacis and her compromising of Hermaphroditus ' erstwhile budding manly strength , detailing his bashfulness and the engrafting of their bodies .   A rendering of the story into an epyllion , published anonymously in 1602 , was later ( 1640 ) attributed by some to Francis Beaumont .   In the Palatine Anthology , IX. 783 ( 980 AD ) , there is a reference to a sculpture of Hermaphroditus which was placed in a bath for both sexes . The passage IX. 317 is in dialogue form , based on the dialogue between Hermaphroditus and Silenus . The latter claims that he has had sexual intercourse with Hermaphroditus three times . Hermaphroditus complains and objects to the fact by invoking Hermes in an oath , while Silenus invokes Pan for the reliability of his allegations .   Algernon Charles Swinburne 's poem `` Hermaphroditus '' in Poems and Ballads is subscribed Au Musée du Louvre , Mars 1863 , leaving no doubt that it was the Borghese Hermaphroditus that had inspired his ode .   In art ( edit )  Drawing of a relief depicting Hermaphroditus and Eros crowning a herm by Antonio Maria Zanetti ( circa 1721 ) Borghese Hermaphroditus , Roman copy of the 2nd century AD ( Louvre ) . Hermaphroditus statue from Pergamum , Hellenistic , 3rd century BC ( Istanbul ) .  Paintings and engravings ( edit )    In Greek vase painting Hermaphroditus was depicted as a winged youth ( erotes ) with male and female attributes .   Roman frescos found at Pompeii and Herculaneum show Hermaphroditus in various styles , alone and interacting with satyrs , Pan and Silenus .   The Nymph Salmacis and Hermaphroditus by Francois - Joseph Navez , Museum of Fine Arts , Ghent   Salmacis and Hermaphroditus by Bartholomeus Spranger , Kunsthistorisches Museum , Wien   Salmacis and Hermaphroditus by Scarsellino , Galleria Borghese , Rome   Salmacis and Hermaphroditus by Jean François de Troy   Salmacis and Hermaphroditus by Ludovico Carracci   Salmacis and Hermaphroditus by Francesco Albani   Salmacis and Hermaphroditus by Giovanni Antonio Pellegrini   Salmacis and Hermaphroditus by Roberto Ferri   Salmacis and Hermaphroditus by Jean - Auguste - Dominique Ingres   Salmacis and Hermaphroditus by Bernard Picart   Salmacis and Hermaphroditus by Johannes Glauber   Salmacis and Hermaphroditus by Johann Wilhelm Baur   Salmacis and Hermaphroditus by Virgil Solis   Hermaphroditus and Salmacis by Louis Finson   The Nymph of Salmacis by Rupert Bunny   Hermaphrodite Among Roses by Aubrey Beardsley   Hermaphrodite Figure by Jacopo Pontormo   The metamorphosis of Hermaphrodite and Salmacis by Jan Gossaert ( Jan Mabuse )   Salmacis et Hermaphrodite by Jean Daullé    Sculpture ( edit )    The most famous sculpture of this figure is the Borghese Hermaphroditus .   Hermaphroditus , Palais des Beaux - Arts de Lille   A life size sculpture of Hermaphroditus from Pergamon is one of the largest found standing 186.5 cm tall at the Istanbul Archaeological Museums .   A statue by John Henry Foley was shown at the 1851 Great Exhibition and later donated to the Bancroft Gardens , Stratford - upon - Avon where it now stands .   A marble statue of Hermaphroditus was found near the south end of the Garden . II. 2.2 . Room 13 , House of Loreius Tiburtinus    Music ( edit )    The myth was the basis for the early Genesis song , `` The Fountain of Salmacis , '' the final track from the Nursery Cryme album ( 1971 ) .   `` Hermaphroditos '' is a song by Frank Black and the Catholics which appears on the album Dog in the Sand ( 2001 ) .   Zwitter ( Hermaphrodite ) , is a song on the Mutter album , released by Rammstein in 2001 .    Film ( edit )   A persona named ' Hermaphroditus ' appears in the film Fellini Satyricon as a childlike , physically weak god who is able to heal human supplicants afflicted by various ailments but apparently unable to heal him / herself . Hermaphroditus is not mentioned in the original Petronius novel Satyricon , on which Fellini 's film is loosely based . According to one source , the film episode `` may be based on a Pseudo-Petronian poem sometimes printed along with the Satyricon '' .   See also ( edit )    Intersex in history   Ardhanarishvara , an androgynous Hindu deity   Arjuna , a protagonist of the ancient Indian epic Mahabharata   Agdistis , a Phrygian hermaphrodite goddess   Futanari , the Japanese idea of hermaphrodites   Galli , eunuch priests of the goddess Cybele    Notes ( edit )    Jump up ^ The seer Tiresias had experienced life as a man and as a woman , but not the two at the same time : Hermaphroditus is unique in Greek myth .   Jump up ^ Diodorus Siculus , Library of History 4 . 6 . 5 `` ... Hermaphroditus , as he has been called , who was born of Hermes and Aphrodite and received a name which is a combination of those of both his parents . ''   Jump up ^ Ovid , Metamorphoses 4 . 28   Jump up ^ Antonio Beccadelli ( Eugene Michael O'Connor , tr. , ed . ) Hermaphroditus : Introduction .   Jump up ^ Smith , William , ed. ( 1890 ) . `` Hermaphroditus '' . Dictionary of Greek and Roman Antiquities ( 3rd ed . ) . London : John Murray .   Jump up ^ C. Scott Littleton ( 2005 ) . Gods , Goddesses , and Mythology , Volume 1 . Marshall Cavendish Corporation . ISBN 0 - 7614 - 7559 - 1 . pp. 666 -- 669 , 674   Jump up ^ Ovid Alcithoë tells the story of Salmacis in Metamorphoses Book IV , lines 274 - 316   Jump up ^ Ovid Salmacis and Hermaphroditus merge in Metamorphoses Book IV , lines 346 - 388   Jump up ^ Kerenyi , p. 172 .   Jump up ^ Diodorus Siculus , Library of History 4 . 6 . 5   Jump up ^ Three books of occult philosophy by Heinrich Cornelius Agrippa von Nettesheim ( 1993 ) p. 495   Jump up ^ Yulia Ustinova , The Supreme Gods of the Bosporan Kingdom : Celestial Aphrodite and the Most High God , Religions in the Graeco - Roman World , BRILL , 1998 , p 106 googlebooks preview ( accessed 25 November 2017   Jump up ^ Encyclopaedia of the Hellenistic World , Asia Minor : Hermaphroditus - Cult   Jump up ^ Encyclopaedia of the Hellenistic World , Asia Minor : Hermaphroditus - Literary sources   Jump up ^ Encyclopædia Britannica , 1911 : Hermaphroditus Archived 2011 - 11 - 28 at the Wayback Machine .   Jump up ^ Alciphron ( 1896 ) . Alciphron : literally and completely translated from the Greek , with introduction and notes . Athens : Privately printed for the Athenian Society . p. 142 .   Jump up ^ an eudæmonist : The Characters of Theophrastus   Jump up ^ Diodorus Siculus , Library of History Book IV 4.6. 5 ( translated by Charles Henry Oldfather ) at Theoi.com   Jump up ^ Garth , Sir Samuel Translation of Metamorphoses IV at Wikisource   Jump up ^ Salmacis and Hermaphroditus 1602 text , accessed in Renascence Editions at University of Oregon   Jump up ^ The Greek Anthology IX. 783   Jump up ^ The Greek Anthology IX. 317   Jump up ^ Swinburne AC Hermaphroditus Library Electronic Text Resource Service ( LETRS ) / Digital Library Program , Indiana University   Jump up ^ Cicero , De Natura Deorum 3 . 21 - 23 ( trans . Rackham ) ( Roman rhetorician C1st B.C. ) : `` Engendered from the sea - foam , we are told she ( Aphrodite ) became the mother by Mercurius ( Hermes ) of the second Cupidus ( literally Eros , but Cicero is probably referring to Hermaphroditos ) ''   Jump up ^ Greek and Hellenistic Lovemaking , Embodying Male and Female Sexuality : Hermaphroditus p. 54   Jump up ^ Alpay Pasinli ( 1989 ) . Istanbul Archaeological Museums . A Turizm Yayinlari . p. 66 .   Jump up ^ At Waymark UK Image Gallery An explanatory plaque is also accessible here .   Jump up ^ A video clip from the film Fellini Satyricon when protagonists gather at the temple seeking a cure   Jump up ^ Fellini - Satyricon by Federico Fellini ( 1968 ) -- Why are classicists like directors ? Archived 2006 - 09 - 22 at the Wayback Machine . Francesca D'Alessandro Behr , Department of Modern and Classical Languages , University of Houston    References ( edit )    Clarke , John R. ( 1998 ) . Looking at Lovemaking : Constructions of Sexuality in Roman Art , 100 B.C. - A.D. 250 . University of California Press . pp. 49 -- 54 . ISBN 0520200241 .   Grimal , Pierre ( 1996 ) . The Dictionary of Classical Mythology . Wiley - Blackwell . p. 209 . ISBN 978 - 0 - 631 - 20102 - 1 .   Kerenyi , Karl ( 1951 ) . The Gods of the Greeks . London : Thames &amp; Hudson .   Seyffert , Oskar ( 1894 ) . Dictionary of Classical Antiquities . London : S. Sonnenschein and Co. ; New York : Macmillan and Co .   Schmitz , Leonhard ( 1870 ) . `` Hermaphroditus '' . In Smith , William . Dictionary of Greek and Roman Biography and Mythology. 2 . pp. 408 -- 409 .   Siculus , Diodorus ( 1814 ) . The Historical Library of Diodorus the Sicilian : In Fifteen Books . W. McDowall . p. 223 .    Attribution :    This article incorporates text from a publication now in the public domain : Chisholm , Hugh , ed. ( 1911 ) . `` Hermaphroditus '' . Encyclopædia Britannica. 13 ( 11th ed . ) . Cambridge University Press . p. 367 .    External links ( edit )       Wikimedia Commons has media related to Hermaphroditus .     The dictionary definition of Hermaphroditus at Wiktionary    Hermaphroditos at Theoi Project   Hermaphroditus at Greek Mythology Link   Hermaphroditus at Encyclopædia Britannica Online          GND : 1036792072                 Intersex topics     Human rights and legal issues     Compulsory sterilization   Discrimination   Human rights   reports     Legal recognition   Malta declaration   Medical interventions   Sex assignment   Sex characteristics ( legal term )   Yogyakarta Principles       Medicine and biology     Disorders of sex development   Genetic diagnosis   Hermaphrodite   Medical interventions   history     Orchidometer   Phall - O - Meter   Prader scale   Quigley scale   Sexual differentiation   more ...       Society and culture     Civil society organizations   Fictional characters ‎   Films   Flag   Intersex and LGBT   Literature   People   Religion   Researchers   Sex verification in sports   Television       History and events     History   of surgery   timeline     Intersex Awareness Day   Intersex Day of Remembrance   International Intersex Forum       Rights by country     Argentina   Australia   Chile   China   Colombia   France   Germany   India   Kenya   Malta   Mexico   Nepal   New Zealand   South Africa   Switzerland   Uganda   United Kingdom   United States       See also     Children 's rights   Disability   rights     Gender   LGBT   Androgyny   Non-binary   Non-binary recognition   Queer theory   Third gender   Transgender     Sex differences in humans      Retrieved from `` https://en.wikipedia.org/w/index.php?title=Hermaphroditus&amp;oldid=817492691 '' Categories :   Androgyny   LGBT themes in mythology   LGBT themes in Greek mythology   Metamorphoses in Greek mythology   Roman mythology   Greek deities   Love and lust gods   Deities of classical antiquity   Offspring of Hermes   Offspring of Aphrodite   Fertility deities   Sexuality in ancient Rome   Transgender topics and religion   Intersex in religion and mythology   Greek love and lust deities   Intersex in history   Hidden categories :   Wikipedia articles incorporating a citation from the Dictionary of Greek and Roman Antiquities   Webarchive template wayback links   Pages using infobox deity with unknown parameters   Articles with hAudio microformats   Articles including recorded pronunciations ( English )   Articles containing Ancient Greek - language text   Articles containing Greek - language text   Wikipedia articles incorporating a citation from the DGRBM   Wikipedia articles incorporating a citation from the DGRBM with a Wikisource reference   Wikipedia articles incorporating a citation from the 1911 Encyclopaedia Britannica with Wikisource reference   Wikipedia articles incorporating text from the 1911 Encyclopædia Britannica   Wikipedia articles with GND identifiers           Talk                                           Contents                   About Wikipedia                                                 Afrikaans   Беларуская   Български   Català   Čeština   Dansk   Deutsch   Ελληνικά   Español   Esperanto   Euskara   فارسی   Français   </t>
    </r>
    <r>
      <rPr>
        <sz val="11"/>
        <color rgb="FF000000"/>
        <rFont val="Noto Sans CJK SC"/>
        <family val="2"/>
      </rPr>
      <t xml:space="preserve">한국어   </t>
    </r>
    <r>
      <rPr>
        <sz val="11"/>
        <color rgb="FF000000"/>
        <rFont val="Calibri"/>
        <family val="0"/>
        <charset val="1"/>
      </rPr>
      <t xml:space="preserve">Bahasa Indonesia   Italiano   עברית   ქართული   Kaszëbsczi   Latina   Lëtzebuergesch   Lietuvių   Magyar   მარგალური   Nederlands   </t>
    </r>
    <r>
      <rPr>
        <sz val="11"/>
        <color rgb="FF000000"/>
        <rFont val="Noto Sans CJK SC"/>
        <family val="2"/>
      </rPr>
      <t xml:space="preserve">日本 語   </t>
    </r>
    <r>
      <rPr>
        <sz val="11"/>
        <color rgb="FF000000"/>
        <rFont val="Calibri"/>
        <family val="0"/>
        <charset val="1"/>
      </rPr>
      <t xml:space="preserve">Norsk   Norsk nynorsk   Polski   Português   Русский   Simple English   Slovenčina   Српски / srpski   Srpskohrvatski / српскохрватски   Suomi   Svenska   Українська   </t>
    </r>
    <r>
      <rPr>
        <sz val="11"/>
        <color rgb="FF000000"/>
        <rFont val="Noto Sans CJK SC"/>
        <family val="2"/>
      </rPr>
      <t xml:space="preserve">中文   </t>
    </r>
    <r>
      <rPr>
        <sz val="11"/>
        <color rgb="FF000000"/>
        <rFont val="Calibri"/>
        <family val="0"/>
        <charset val="1"/>
      </rPr>
      <t xml:space="preserve">Edit links   This page was last edited on 28 December 2017 , at 19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</si>
  <si>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name of the youth loved by salmacis</t>
  </si>
  <si>
    <t xml:space="preserve"> In Greek mythology , Hermaphroditus or Hermaphroditos / hərˌmæf. rəˈdaɪ. təs / ( listen ) ( Ancient Greek : Ἑρμαφρόδιτος ) was the son of Aphrodite and Hermes . According to Ovid , he was born a remarkably handsome boy with whom the water nymph Salmacis fell in love and prayed to be united forever . A god , in answer to her prayer , merged their two forms into one and transformed them into an androgynous form . His name is compounded of his parents ' names , Hermes and Aphrodite . He was one of the Erotes . </t>
  </si>
  <si>
    <t xml:space="preserve">The Magisterium series - wikipedia  The Magisterium series  Jump to : navigation , search  The Iron Trial   The cover of the first book in the series     Author   Holly Black , Cassandra Clare     Cover artist   Scott Fischer     Country   USA     Language   English     Series   Magisterium     Genre   Fantasy / adventure     Publisher   Scholastic Corporation     Publication date   September 2014     The Magisterium Series is intended to be a 5 - book series for young adults . It is a fantasy series co-authored by Holly Black and Cassandra Clare . It is their first collaboration . The series was acquired by Scholastic in April 2012 . The first book , The Iron Trial , was published in September 2014 , and hit third on the New York Times Middle Grade Bestseller List . The series is set in an underground school where mages train apprentices to control the elements . The books are illustrated by Scott Fischer . The main characters are Callum Hunt , Tamara Rajavi , Aaron Stewart , Master Rufus , and Havoc , Call 's pet .     Contents  ( hide )   1 The Iron Trial   2 The Copper Gauntlet   3 The Bronze Key   4 Books   5 Reception   6 References      The Iron Trial ( edit )  Main article : The Iron Trial  The protagonist of the series is twelve - year - old Callum Hunt , or Call , who was raised by his father and former mages - Alastair Hunt . Alastair rejected the world of magic after the death of his wife Sarah at the Cold Massacre during the Second Mage War . ' The Enemy of Death ' , Constantine Madden , was responsible for her death .   In the first book ' The Iron Trial ' , Call participates in a series of tests to see whether he has sufficient magic to attend training at the Magisterium . At the Magisterium apprentices are trained to be mages using the four elements of fire , air , water , and earth . Alastair instructs Call to fail the tests by whatever means necessary . Call , without effort , fails the tests , scoring even lower than those who do not even possess magical ability . But Master Rufus , a master at the Magisterium , sees that Call has power , but lacks control . Master Rufus decides to take him on as an apprentice . He also selects Tamara Rajavi and Aaron Stewart - the topped ranked students .   During the book after doing countless seemingly pointless and boring exercises the three apprentices become friends after a frigid start and Call starts to decide to stay on at the Magisterium after his Iron year to receive more tutelage and go against his father 's wishes . After an exercise in the caverns Call , Tamara and Aaron are confronted by a fire elemental who tells them their fates . ' One will die , one will fail , another is already dead . ' Call at dinner mentions this to the other students , one of whom , Drew , says the prophecy is complete babble . When Call walks out of the Cafeteria Drew asks for a moment to talk to him and says that it was n't a good idea to tell everyone about the prophecy , but Call gets confused about what Drew means . At this Drew realizes something important and that night runs away leaving a note behind . When his note is found Call and the other apprentices and Masters go to look for him . After finding him Call , Aaron , Tamara , a bronze year student Alex Strike , and Drew are confronted by a pack of chaos - ridden wolves . Chaos is the fifth element and only Makars can wield it . When confronted Aaron ends up saving their lives by sending the wolves to the void using chaos magic and in doing so reveals himself to be a makar , astonishing everyone . On the way back to the Magisterium , Jasper DeWinter , someone whom Call dislikes and vice versa , tells everyone the story of Constantine Madden the chaos mage , and why he started the third mage war . While Jasper is telling this story Call finds a chaos - ridden wolf pup in the snow and decides to take the wolf , later named Havoc , into the Magisterium with him without telling anyone . Later after , an incident where Call foolishly decides to participate in an activity that he could not accomplish because of his bad leg that was smashed when he was a baby , Aaron is kidnapped by the Enemy 's minions when taking Havoc for a walk . As neither Tamara nor Call wanted to leave Aaron then decided to save him without telling anyone . Walking in the forest outside the mission gate and the magisterium they come to a bowling alley where they find Aaron tied up and being dangled on top of a chaos elemental by their classmate Drew who works for the Enemy . Tamara releases Aaron and Call tries too leave too but Drew stops him by releasing the chaos elemental , which kills Drew after he calls the elemental a coward . Chased into another room Call is confronted by the Enemy of Death who , while being briefly angry about his son Drew 's death , takes off his mask and tells Call that Call is Constantine Madden , The Enemy of Death and that he is Master Joseph who taught Constantine / Call . Callum and Master Joseph have a conversation where Joseph explains that , during the Cold Massacre Constantine had been mortally wounded and was dying , so he placed his soul into the body of a baby . That baby was Callum . Call also finds out that his father suspects he is The Enemy of Death as during the massacre after Constantine 's soul had entered Call 's body , Call 's mother had written the words , ' Kill the Child ' on the ice where she lay almost dead . Alastair had also sent a letter to Master Rufus earlier that year asking him to bind Callum 's magic , sending Master Rufus a wristband that later turned out to be Constantine 's . Then , Tamara and Aaron accidentally broke the roof with the bowling alley sign . Master Joseph disappeared and Call was rescued . Later Call was back at the Infirmary after passing out . There he has a conversation with Master Rufus about what happened in the bowling alley . Call does n't tell him though , about Master Joseph and their conversation . After that , Master Rufus gives him permission to contact his father . When Call is out of the Infirmary , he and his friends pass through the First Gate   The copper gauntlet ( edit )   In the second book ' The Copper Gauntlet ' , Call finds that his father may be trying to destroy both him and Havoc , and runs away from home to go back to the magical world . When he leaves his house he notices a design of what appears to be a copper gauntlet . He meets up with his friends Aaron and Tamara at Tamara 's house . There , he meets Alex Strike , the boyfriend of Tamara 's sister , Kimiya . He finds out from Tamara 's parents that his dad used to be an exceptional metal mage . They go back to the Magisterium , when they find out that an attack was made on a dangerous weapon called the Alkahest . The research the Alkahest , and discover that it 's the copper gauntlet that Call 's dad , Alastair was researching . The Alkahest is a weapon that can only harm a Makar , and can be used to rip out the Makar 's soul . Call predicts that his dad faked an attack on the Alkahest , so that they 'd move the Alkahest to a more secure vault made of metal . He concludes that Alastair wants to use the Alkahest on Call to destroy Constantine 's soul and potentially kill Call . He tells Tamara about his dad potentially trying to steal the Alkahest . Tamara misunderstands Call 's concerns and thinks that Alastair wants to use the Alkahest to kill Aaron . She tells Master Rufus this and later , it is confirmed that the Alkahest is missing . Alex Strike tells Call that the mages will not hesitate to kill his dad to protect the Makar , Aaron , so Call decides to set out to find and warn his dad . Tamara and Aaron agree to go with him , and because Jasper catches them , they force Jasper to come along with them . They stop at a junkyard where they think Calls father may have been and they find letters from Master Joseph , to his father that describe his location using coordinate points . That night , they wake up to find a metal elemental named , Automontes . Automontes was controlled by the school , and after defeating it they decide that they can not return to the Magisterium . They are found by the Masters on the highway , and the Masters use air elementals to take control of their car and carry them away . Call and the others escape the car and hide out and rest in a cave , made by Aaron . The next day they are surrounded by Chaos - ridden . Instead of killing them , the Chaos - ridden kneel in front of Call and Call is forced to explain his identity to everyone there . They are escorted by the army to the coordinate points which turns out to be a tomb . In the tomb it is revealed that Constantine 's body is still intact , and that Joseph plans to transfer the soul from Call 's body to Constantine 's body . His plans are quickly foiled though , as Alastair quickly steals the Alkahest and destroys Constantine Madden 's body , therefore foiling the plan to transfer the souls . Because of Constantine 's death , Call receives the chaos magic in Constantine 's body , and becomes a Makar . They quickly escape , and bring along Constantine 's head as proof they killed the `` Enemy '' , but his soul was still living inside Call . When they get back , they are praised as heroes , but a shocking fact is revealed . Nobody from the Assembly sent the elementals , so it must have been a spy . And he is out to kill Call .   The bronze key ( edit )   In the third book ' The Bronze Key ' , the action starts shortly after the ending of the second as Call , Aaron and Tamara are beginning their third or bronze year at the Magisterium . The book picks up the story with a death among the students and a spy on the loose threatening Call . The group is invited to a party in their honor , where two tragic incidents occur . First , Call is almost killed by a falling chandelier when he is invited to a room by Celia with a note , but it is not as it seems . A few minutes later , he sees Jennifer , the person who delivered the note , dead in the water . This throws the party into chaos , and everybody starts to evacuate . Call 's dad takes the children to the Magisterium , where he believes they will be safe . Tamara and Aaron both believe that the spy , who they think tried to kill Call , is from the Magisterium , so they both keep an eye on Call 24 / 7 . But that night , when Call comes to bed he is attacked by an elemental and almost killed if Aaron did n't step in and send the elemental to the void using his Makar or chaos powers . They started to investigate themselves , and wanted to go down to the prison where they held the elementals . But to do that , they would have to break into Anastasia Tarquin 's room , Alex 's stepmother . Upon entering Anastasia 's room , they discover that the key they look for is hidden inside a voice - activated safe . After multiple faulty attempts , Call comes to a realization and enunciates the word that opens the safe : Jericho . Jericho is the mame of Constantine 's twin brother , killed in an accident while they were students . Constantine was driven to find a method of `` curing death '' because of the loss of his brother . After retrieving the key , the trio enter it in the elemental gate , and as the gates disappear , they rush inside with a purpose . No information is retrieved from the elementals . Master Rufus surprises them by announcing that Alma , the leader of the Order of Disorder , will be teaching Aaron and Call . Aaron and Call make a deal with Alma to help her free the Chaos - ridden animals if she helps them communicate with the first victim , Jennifer . Later , Callum and Aaron help free the Chaos - ridden , assisted by Anastasia Tarquin and Alex Strike . Call passes out afteto a truck . When he wakes up , Aaron goes with him to visit Alma . Alma teaches them how to communicate with the dead . Callum interrogates Jennifer and finds out that she was killed by a `` boy she liked '' and Jennifer starts screaming for Kimiya to stay away . While trying to figure out more information , Callum accidentally raises her from the dead and Alma becomes suspicious of him . Call runs back to the hospital to find out that Tamara has left . They head back to their rooms when Alex rushes through the gates and alerts them that Tamara was kidnapped by the spy , and Havoc ran off into the woods surrounding the Magisterium . After running with Alex for a while , Call asks Alex to take off his hoodie . Upon seeing two black stripes up his sleeve , ( which Call recognises from a photograph of Constantane and Master Joseph ) Call realizes that Alex is indeed the spy in the Magisterium , working for the Enemy of Death . Alex drags the pair to his hideout in the woods , and extracts the Chaos from Aaron 's body using the Alkahest , killing him in the process . After subduing Call and Tamara , Alex escapes with wounds inflicted by Havoc . The masters arrive , and in Call 's desperation rant about how he did n't do it , he mentions that he is the Enemy of Death , and the Masters `` clap him in chains '' He is taken to the Panopticon , the prison , and as the book ends , Anastasia Tarquin is at Call 's cell door , telling him she shall free him , and that he is her `` son '' as she was Constantine 's mother .   Books ( edit )    The Iron Trial ( September 9 , 2014 )   The Copper Gauntlet ( September 1 , 2015 )   The Bronze Key ( August 30 , 2016 )   The Silver Mask ( October 26 , 2017 )   The Golden Tower ( September 7 , 2018 )    The last book is not out yet   Reception ( edit )   The first book in the series , The Iron Trial , was well received . Kirkus Reviews praised the setting and `` refreshingly nuanced '' characters , and a Publishers Weekly starred review predicted that the `` string of ominous revelations '' would leave readers wanting more . Though Kirkus noted that the similarities to Harry Potter can be distracting , a reviewer at The Daily Telegraph wrote that the book `` moves deftly into the gap '' left by the JK Rowling series .   In 2012 , Constantin Film acquired the rights to the book series . Black and Clare will adapt the script itself , and serve as executive producers . Constantin is one of the production companies behind another adaptation of Clare 's , The Mortal Instruments : City of Bones .   References ( edit )    Children and Young Adult Literature portal     Jump up ^ Yin , Maryann . `` Cassandra Clare &amp; Holly Black Ink Deal for 5 - Book Series '' . GalleyCat . Retrieved 20 June 2013 .   Jump up ^ `` Children 's Middle Grade Bestsellers '' . The New York Times . 21 September 2014 . Retrieved 7 December 2014 .   Jump up ^ `` Cassandra Clare has teen fiction down like clockwork '' . USA Today . March 13 , 2013 . Retrieved March 13 , 2013 .   Jump up ^ `` The Iron Trial '' . Kirkus. 9 September 2014 . Retrieved 7 December 2014 .   Jump up ^ `` The Iron Trial '' . Publishers Weekly . September 2014 . Retrieved 7 December 2014 .   Jump up ^ Chilton , Martin ( 8 September 2014 ) . `` Magisterium : The Iron Trial , by Holly Black and Cassandra Clare : review '' . The Telegraph . Retrieved 7 December 2014 .   Jump up ^ `` Constantin Nabs Rights To Cassandra Clare &amp; Holly Black Fantasy Books '' . Deadline . Retrieved 20 June 2013 .   Jump up ^ `` Constantin boards Clare , Black project : ' The Iron Trial ' centers on boy magician '' . Chicago Tribune . 20 April 2012 . Retrieved 13 March 2013 .   Retrieved from `` https://en.wikipedia.org/w/index.php?title=The_Magisterium_Series&amp;oldid=802276536 '' Categories :   Series of children 's books   Fantasy novel series   Hidden categories :   Pages to import images to Wikidata           Talk                                           Contents                   About Wikipedia                                           Nederlands   Svenska   Edit links   This page was last edited on 25 September 2017 , at 03 : 18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</si>
  <si>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is the next magisterium book coming out</t>
  </si>
  <si>
    <t xml:space="preserve"> The Silver Mask ( October 26 , 2017 ) </t>
  </si>
  <si>
    <r>
      <rPr>
        <sz val="11"/>
        <color rgb="FF000000"/>
        <rFont val="Calibri"/>
        <family val="0"/>
        <charset val="1"/>
      </rPr>
      <t xml:space="preserve">2018 Winter Olympics opening ceremony - wikipedia  2018 Winter Olympics opening ceremony  Jump to : navigation , search `` The template below ( Incomplete ) is being considered for deletion . See templates for discussion to help reach a consensus . ''      This article is incomplete . Please help to improve it , or discuss the issue on the talk page . ( February 2018 )     2018 Winter Olympics opening ceremony   Yuna Kim , South Korean Olympic figure skating champion , lights the Olympic cauldron     Date   9 February 2018 ( 2018 - 02 - 09 )     Time   20 : 00 -- 22 : 20 KST ( UTC + 9 )     Location   Pyeongchang , South Korea     Coordinates   37 ° 40 ′ 03 '' N 128 ° 42 ′ 20 '' E ﻿ / ﻿ 37.66750 ° N 128.70556 ° E ﻿ / 37.66750 ; 128.70556 Coordinates : 37 ° 40 ′ 03 '' N 128 ° 42 ′ 20 '' E ﻿ / ﻿ 37.66750 ° N 128.70556 ° E ﻿ / 37.66750 ; 128.70556     Also known as   Peace in Motion     Filmed by   SBS and OBS           Part of a series on the     2018 Winter Olympics       Bid process ( bid details )   Venues   Torch relay   Mascots   Broadcasters   Opening ceremony ( flag bearers )   Chronological summary   Medal table ( medalists )   World and Olympic records   Controversies ( ban on Russian athletes )   Closing ceremony ( flag bearers )   Paralympics     IOC   KOC   POCOG               The opening ceremony of the 2018 Winter Olympics was held at the Pyeongchang Olympic Stadium in Pyeongchang , South Korea on 9 February 2018 . It began at 20 : 00 KST and finished at approximately 22 : 20 KST . The Games were officially opened by President of the Republic of Korea Moon Jae - in .     Contents  ( hide )   1 Preparations   2 Ceremony   3 Programme   3.1 Parade of Nations   3.2 Torch lighting   3.3 Wish Fire   3.4 Intel ® Drone Light Show     4 Controversies   4.1 Mike Pence   4.2 Russian hacking     5 Dignitaries in attendance   6 Anthems   7 Ceremony key team   8 References   9 External links      Preparations ( edit )   The site of the opening ceremony , Pyeongchang Olympic Stadium , was built specifically for the Games . The pentagonal stadium seats 35,000 . The organizers for the event said the shape was chosen because it is a combination of different shapes , a circle , a square , and a triangle , which represent heaven , earth , and mankind . No Olympic or Paralympic events will be held at the stadium , which will only be used for the opening and closing ceremonies . The venue will be torn down afterwards .   The broadcast of the Opening Ceremony of the 2018 Winter Olympic Games was available in more than 200 countries around the world .    Ha Hyun - woo of the band Guckkasten , Ahn Ji - young of the musical duo Bolbbalgan4 , Lee Eun - mi and Jeon In - kwon with his band Deulgukhwa performed and sang John Lennon 's `` Imagine '' at the opening ceremony .   The Rainbow Children 's Choir performed an arrangement , with Korean traditional musical instruments , of the national anthem , `` Aegukga '' . The song was written to educate the public about various ethnicities .   Insooni sang the theme song for the PyeongChang 2018 Olympic Torch Relay , `` Let Everyone Shine '' .    Ceremony ( edit )   The ceremony 's message centered on peace , passion , harmony , and convergence .   Five children from rural Gangwon province led the ceremony , which included animals , nature and a cast of 2,000 . Five children were used to symbolize the five Olympic rings , and the five names were chosen to represent fire , water , wood , metal , and earth , the five elements that are believed to make up the Earth .   Augmented reality and 5G technology were also incorporated in the event . The largest drone show in history , featuring 1,218 Shooting Star drones , was planned for the ceremony but cancelled at the last minute ; television audiences were shown a version that had been recorded the previous December .   During the opening ceremony the organizing committee was a victim of a cyber attack , but without major consequences .   Programme ( edit )   Parade of Nations ( edit )  Main article : 2018 Winter Olympics Parade of Nations  The Parade of Nations was led , according to custom due to hosting the original ancient Olympics , by the Greek team , followed by other competing countries in alphabetical order based on their names in the Korean language , with the host country , South Korea , concluding the march .   The delegations from both the host nation South Korea and North Korea ( Korea at the 2018 Winter Olympics ) marched under the Korean unification flag . South Korean Won Yun - jong and North Korean Hwang Chung - gum both held the flagpole .   Even though the temperature in the stadium during the ceremony was very cold , Bermuda 's delegation wore shorts and Tongan Pita Taufatofua repeated his shirtless and oiled up Summer Olympic appearance .   Background music for the parade began with an instrumental version of `` Hand in Hand '' by Koreana and included modern dance remixes of songs such as `` </t>
    </r>
    <r>
      <rPr>
        <sz val="11"/>
        <color rgb="FF000000"/>
        <rFont val="Noto Sans CJK SC"/>
        <family val="2"/>
      </rPr>
      <t xml:space="preserve">단발 머리 </t>
    </r>
    <r>
      <rPr>
        <sz val="11"/>
        <color rgb="FF000000"/>
        <rFont val="Calibri"/>
        <family val="0"/>
        <charset val="1"/>
      </rPr>
      <t xml:space="preserve">'' by Cho Yong - pil and of traditional Korean music , as well as the following K - pop hits : `` Gangnam Style '' by Psy , `` Likey '' by Twice , `` Fantastic Baby '' by Big Bang , `` DNA '' by BTS , and `` Red Flavor '' by Red Velvet . `` Red Flavor '' was cut off just as the unified Korean team was introduced .   Torch lighting ( edit )  See also : 2018 Winter Olympics torch relay Cauldron  The Olympic flame was on a 101 - day relay across South Korea . The start of the ceremony takes place in Olympia of Greece . Apostles Angelis , 24 years old cross-country skier , is selected to be the first torchbearer . He said `` It is a great honour for me to be chosen as the first torchbearer for the Olympic Winter Games of 2018 . It is truly a unique moment that I am looking forward to . I feel very proud and with a unique sense of happiness . '' Park Ji - Sung , football player in Republic of Korea , was the second person to hold the torch . After the flame touring around Greece for a week , it reached the Acropolis on 30th of October . There were 36 ceremonies held in different cities over a week , then the flame arrived to the PyeongChang Panathenaic Stadium . More than 500 torchbearers participated to follow the rituals of Olympic cycle , and carried the message of peace . In the stadium , Opera soloist Sumi Hwang sang the Olympic anthem during the torch lighting ceremony . The final person to hold the torch was Inbee Park , the golfer from Republic of Korea . Chung Su - hyon from North Korea and Park Jong - ah from South Korea carried the torch and headed up stairs toward the cauldron . As the torch neared the cauldron , an ice skating rink with South Korean figure skater Yuna Kim was revealed . Yuna Kim is the well - known figure skater who won gold medal in 2010 and silver metal in 2014 . The cauldron was designed to represent a full moon when it is not lit . Kim received the torch and lit the cauldron .   Wish fire ( edit )   The final segment entitled `` Wish Fire '' featured Korean dance group Just Jerk ( who became known internationally for their participation in the twelfth season of America 's Got Talent ) entered the stage dressed as Dokkaebi , and performers with sparklers on roller blades . This segment in total featured 2,000 fireworks within and out of the stadium , some reaching as high as 1,300 metres ( 4,300 ft ) .   Intel ® drone light Show ( edit )   More than 1,200 Intel Unmanned Aerial Vehicles ( UAVs ) or drones flying above Pyeong Chang to celebrate the opening of 2018 Winter Olympic Games . Intel ® drone team now holds the Guinness World Record of flying largest number of drones . The drones flew together to form custom animations illustrating snow boarding , skiing , other different sports , as well as the iconic Olympic rings . The Shooting Star drones carried on the symbol of unity and progress from lighting of the torch .   Controversies ( edit )   Mike Pence ( edit )   While there is no protocol requiring guests to stand for the host country 's arrival , United States Vice President Mike Pence was criticized for not standing , as North and South Korean athletes entered during the Parade of Athletes . Pence was accused of hypocrisy , with critics drawing parallels to national anthem protests by NFL athletes .   Russian hacking ( edit )   On 24 February , the Washington Post reported that U.S. intelligence uncovered Russian spies hacked computers during the Opening Ceremony , an act that was previously speculated to be the work of North Korea . Analysts believed the Russians instigated the February 9 attack as a way to retaliate for the International Olympic Committee 's decision to ban Russia from the 2018 Winter Olympics as punishment for doping violations .   Dignitaries in attendance ( edit )  Mike Pence , Vice President of the United States   Co-Prince of Andorra and President of France Emmanuel Macron   Governor General Julie Payette   Politburo standing member Han Zheng   Vice President Óscar Naranjo   President Kersti Kaljulaid   Minister of Europe and Foreign Affairs Jean - Yves Le Drian and Minister of Sports Laura Flessel   President Frank - Walter Steinmeier   Sports Minister Luca Lotti   Prime Minister Shinzo Abe   President of Korea Moon Jae - In   President Dalia Grybauskaitė   President Hashim Thaçi   Grand Duke Henri   Prince Albert II   King Willem Alexander , Queen Máxima and Prime Minister Mark Rutte   President of the Presidium of the Supreme People 's Assembly Kim Yong - nam and Director of the Propaganda and Agitation Department of the Workers ' Party of Korea Kim Yo - jong   President Andrzej Duda   Minister of Youth and Sports Vanja Udovičić   President Andrej Kiska   President Alain Berset   Princess Anne   Vice President Mike Pence and Second Lady Karen Pence   Secretary - General António Guterres   Kim Yo - jong attending the ceremony  On 9 February 2018 , Kim Yo - jong -- sister of Kim Jong - un -- attended the ceremony in Pyeongchang , South Korea . This was a first time that a member of the ruling Kim dynasty had visited South Korea since the Korean War . Kim Yo - jong shook hands with South Korean president Moon Jae - in before sitting down to watch the ceremony together .   Anthems ( edit )    Rainbow Children 's Choir -- South Korean National Anthem   Sumi Hwang -- Olympic Hymn    Ceremony key team ( edit )    Artistic Director : Yang Jung - woong   Executive Director , creative : Song Seung - whan   Executive Director , cinematography : Lim Tae - hong , Andrew    References ( edit )    ^ Jump up to : Chappell , Bill ( February 9 , 2018 ) . `` Winter Olympics Opening Ceremony : Pyeongchang Welcomes The World '' . NPR . Retrieved February 11 , 2018 .   Jump up ^ Eaton , Joe ( February 9 , 2018 ) . `` It 's Time for the Pop - Up Olympics '' . CITYLAB . Retrieved February 11 , 2018 .   Jump up ^ `` Pyeongchang 2018 Opening Ceremony LIVE on 9 February 2018 '' . 18 January 2018 . Retrieved 8 February 2018 .   ^ Jump up to : Hong , C. ( 30 January 2018 ) . `` Ha Hyun Woo , Bolbbalgan4 's Ahn Ji Young , And More To Perform At Olympics Opening Ceremony '' . Soompi . Viki , Inc . Retrieved 1 February 2018 .   ^ Jump up to : Garcia , Maira ( 10 February 2018 ) . `` Who Were the Singers at the Opening Ceremony of the Winter Olympics ? '' . nytimes.com . Retrieved 2018 - 02 - 11 .   Jump up ^ Garcia , Maira ( 10 Feb 2018 ) . `` Who Were the Singers at the Opening Ceremony of the Winter Olympics ? '' . PyeongChang 2018 .   Jump up ^ PyeongChang 2018 ( 21 September 2017 ) . `` ( ENG ) Theme song for the PyeongChang 2018 Olympic Torch Relay ( ENG sub ) '' . Retrieved 8 February 2018 -- via YouTube .   Jump up ^ `` Inside the Olympics Opening Ceremony World - Record Drone Show '' . WIRED . Retrieved 2018 - 02 - 09 .   ^ Jump up to : `` Winter Olympics 2018 opening ceremony -- live ! '' . Guardian . 9 February 2018 . Retrieved 9 February 2018 .   ^ Jump up to : `` Winter Olympics 2018 opening ceremony review : Pyeongchang unites the world in a blizzard of emotion and effects '' . The Telegraph . Retrieved February 11 , 2018 .   Jump up ^ Kaufman , Gil ( 6 December 2017 ) . `` 2018 Winter Olympics Kick Off With Korean Stars PSY &amp; BTS During Opening Ceremonies '' . Billboard . Retrieved 9 February 2018 .   ^ Jump up to : `` Olympia Awaits Flame Lighting Ceremony for PyeongChang 2018 '' . Olympic Games . 19 October 2017 .   Jump up ^ `` Information to the Media - PyeongChang 2018 Olympic Flame - Lighting Ceremony '' . Olympic Games . 23 October 2017 .   ^ Jump up to : Keh , Andrew ( 9 Feb 2018 ) . `` Winter Olympics 2018 Opening Ceremony : Highlights and Analysis '' . PyeongChang 2018 .   Jump up ^ Behind the Scenes of the PyeongChang 2018 Opening Ceremony   Jump up ^ `` Intel ® Drones at The Olympic Games '' . intel ® .   Jump up ^ `` A Record - Breaking Show at PyeongChang 2018 '' . intel ® . 2018 .   ^ Jump up to : Radnofsky , Louise ; Cheng , Jonathan ( 10 February 2018 ) . `` Pence Sat During Opening Ceremony . Some Koreans Took Offense '' . The Wall Street Journal .   Jump up ^ Banks , Paul M. ( 9 February 2018 ) . `` Winter Olympics Verify Mike Pence Hypocrisy on NFL National Anthem Protests '' . ChicagoNow . Retrieved 13 February 2018 .   Jump up ^ Zilber , Ariel ( 10 February 2018 ) . `` Mike Pence accused of hypocrisy for refusing to stand for Unified Korea during Winter Olympics opening ceremony -- months after walking out of an NFL game because of kneeling players '' . Daily Mail . Retrieved 13 February 2018 .   Jump up ^ Meeks , David ( 12 February 2018 ) . `` By not standing for Korea at the 2018 Winter Olympics , VP Mike Pence embarrassed America '' . USA Today . Retrieved 13 February 2018 .   Jump up ^ Report : Russian spies behind Winter Olympics cyber attack . US Today . Retrieved 26 February 2018 .   Jump up ^ Russian spies reportedly hacked Winter Olympics . CNET . Retrieved 26 February 2018 .   ^ Jump up to : `` Winter Olympics opening ceremony : Koreans enter under unified flag -- as it happened '' . The Guardian . Retrieved February 11 , 2018 .   Jump up ^ `` Gov. Gen. Julie Payette to attend opening of winter Olympics '' .   Jump up ^ `` SOUTH KOREA - CHINA - HAN ZHENG - WINTER OLYMPICS - OPENING CEREMONY '' . February 9 , 2018 . Retrieved February 10 , 2018 .   Jump up ^ `` Korea - Estonia summit to help launch peace through Olympics '' . Korea.net. 7 February 2018 . Retrieved 10 February 2018 . President Moon Jae - in held a meeting with President Kersti Kaljulaid of Estonia who is on a visit to Korea to attend the PyeongChang 2018 Olympic and Paralympic Winter Games .   Jump up ^ `` </t>
    </r>
    <r>
      <rPr>
        <sz val="11"/>
        <color rgb="FF000000"/>
        <rFont val="Noto Sans CJK SC"/>
        <family val="2"/>
      </rPr>
      <t xml:space="preserve">평창 오는 외국 정상 벌써 </t>
    </r>
    <r>
      <rPr>
        <sz val="11"/>
        <color rgb="FF000000"/>
        <rFont val="Calibri"/>
        <family val="0"/>
        <charset val="1"/>
      </rPr>
      <t xml:space="preserve">15 </t>
    </r>
    <r>
      <rPr>
        <sz val="11"/>
        <color rgb="FF000000"/>
        <rFont val="Noto Sans CJK SC"/>
        <family val="2"/>
      </rPr>
      <t xml:space="preserve">명 </t>
    </r>
    <r>
      <rPr>
        <sz val="11"/>
        <color rgb="FF000000"/>
        <rFont val="Calibri"/>
        <family val="0"/>
        <charset val="1"/>
      </rPr>
      <t xml:space="preserve">... ' </t>
    </r>
    <r>
      <rPr>
        <sz val="11"/>
        <color rgb="FF000000"/>
        <rFont val="Noto Sans CJK SC"/>
        <family val="2"/>
      </rPr>
      <t xml:space="preserve">올림픽 외교 </t>
    </r>
    <r>
      <rPr>
        <sz val="11"/>
        <color rgb="FF000000"/>
        <rFont val="Calibri"/>
        <family val="0"/>
        <charset val="1"/>
      </rPr>
      <t xml:space="preserve">' </t>
    </r>
    <r>
      <rPr>
        <sz val="11"/>
        <color rgb="FF000000"/>
        <rFont val="Noto Sans CJK SC"/>
        <family val="2"/>
      </rPr>
      <t xml:space="preserve">꽃 피운다 </t>
    </r>
    <r>
      <rPr>
        <sz val="11"/>
        <color rgb="FF000000"/>
        <rFont val="Calibri"/>
        <family val="0"/>
        <charset val="1"/>
      </rPr>
      <t xml:space="preserve">'' . 26 December 2017 . Retrieved 8 February 2018 .   Jump up ^ `` Presidente de Alemania apoya diálogo entre Coreas '' ( in Spanish ) . Deutsche Welle . Retrieved 10 February 2018 .   Jump up ^ Daniela Cotto ( 9 February 2018 ) . `` Il ministro Lotti a Casa Italia , l'incontro con Lindsey Vonn '' ( in Italian ) . La Stampa . Retrieved 10 February 2018 .   Jump up ^ `` Mandatarios de Japón y Corea del Sur acuerdan continuar ejerciendo presión sobre Corea del Norte '' ( in Spanish ) . NHK World . Retrieved 10 February 2018 . Abe y Moon sostuvieron una reunión de aproximadamente una hora en un hotel cerca del Estadio Olímpico de Pyeongchang antes de asistir el viernes a la ceremonia de apertura de los Juegos Olímpicos de Invierno .   Jump up ^ `` Lío de protocolo ante la inauguración de los juegos de invierno de Pyeongchang '' ( in Spanish ) . La Vanguardia . Retrieved 10 February 2018 .   Jump up ^ `` The President attends the opening ceremony of Winter Olympics '' . President of the Republic of Lithuania. 9 February 2018 . Retrieved 10 February 2018 .   Jump up ^ Alan Crosby ( 10 February 2018 ) . `` Winter Olympics Debut A 10th - Anniversary Gift For Kosovo '' . Radio Free Europe / Radio Liberty . Retrieved 10 February 2018 . Hashim Thaci , president of Kosovo , said on February 5 during a ceremony presenting the official Kosovar flag to Tahiri .   Jump up ^ `` Grand Duke Henri to Attend Winter Olympics '' . Chronicle.lu . Retrieved 10 February 2018 .   Jump up ^ `` Prince Albert II of Monaco ( C ) reacts as he visits the House of Switzerland during the PyeongChang 2018 Olympic Games , South Korea '' . european pressphoto agency . Retrieved 10 February 2018 .   Jump up ^ `` Koningspaar en premier Rutte bij openingsceremonie Pyeongchang '' .   Jump up ^ Talmadge , Eric ( 9 February 2018 ) . `` At Olympic Games , Kim Jong Un 's sister takes VIP seat '' . ABC News . AP . Retrieved 2018 - 02 - 09 .   Jump up ^ `` Szczerski o rozmowie Dudy z wiceprezydentem USA : od razu wiadomo , że się odbędzie '' . Retrieved 8 February 2018 .   Jump up ^ `` Зимске олимпијске игре свечано отворене у Пјончангу -- СПОРТСКИ ЖУРНАЛ '' .   Jump up ^ `` 33 </t>
    </r>
    <r>
      <rPr>
        <sz val="11"/>
        <color rgb="FF000000"/>
        <rFont val="Noto Sans CJK SC"/>
        <family val="2"/>
      </rPr>
      <t xml:space="preserve">개국 정상급 </t>
    </r>
    <r>
      <rPr>
        <sz val="11"/>
        <color rgb="FF000000"/>
        <rFont val="Calibri"/>
        <family val="0"/>
        <charset val="1"/>
      </rPr>
      <t xml:space="preserve">45 </t>
    </r>
    <r>
      <rPr>
        <sz val="11"/>
        <color rgb="FF000000"/>
        <rFont val="Noto Sans CJK SC"/>
        <family val="2"/>
      </rPr>
      <t xml:space="preserve">명 참석 밝혀 </t>
    </r>
    <r>
      <rPr>
        <sz val="11"/>
        <color rgb="FF000000"/>
        <rFont val="Calibri"/>
        <family val="0"/>
        <charset val="1"/>
      </rPr>
      <t xml:space="preserve">... </t>
    </r>
    <r>
      <rPr>
        <sz val="11"/>
        <color rgb="FF000000"/>
        <rFont val="Noto Sans CJK SC"/>
        <family val="2"/>
      </rPr>
      <t xml:space="preserve">靑 경호 처가 근접 보호 </t>
    </r>
    <r>
      <rPr>
        <sz val="11"/>
        <color rgb="FF000000"/>
        <rFont val="Calibri"/>
        <family val="0"/>
        <charset val="1"/>
      </rPr>
      <t xml:space="preserve">'' . Retrieved 8 February 2018 .   Jump up ^ `` JO 2018 : Alain Berset à Pyeongchang pour affirmer la présence de la Suisse '' ( in French ) . La Côte. 10 February 2018 . Retrieved 10 February 2018 .   Jump up ^ `` Guterres se reunió con el líder norcoreano Kim Yong - nam '' ( in Spanish ) . Deutsche Welle. 10 February 2018 . Retrieved 10 February 2018 . El secretario general de la ONU , Antonio Guterres , se encontró con el presidente nominal de Corea del Norte , Kim Yong - nam , en el marco de la inauguración de los Juegos Olímpicos de invierno en Pyeongchang .   Jump up ^ `` </t>
    </r>
    <r>
      <rPr>
        <sz val="11"/>
        <color rgb="FF000000"/>
        <rFont val="Noto Sans CJK SC"/>
        <family val="2"/>
      </rPr>
      <t xml:space="preserve">美 펜스 </t>
    </r>
    <r>
      <rPr>
        <sz val="11"/>
        <color rgb="FF000000"/>
        <rFont val="Calibri"/>
        <family val="0"/>
        <charset val="1"/>
      </rPr>
      <t xml:space="preserve">, </t>
    </r>
    <r>
      <rPr>
        <sz val="11"/>
        <color rgb="FF000000"/>
        <rFont val="Noto Sans CJK SC"/>
        <family val="2"/>
      </rPr>
      <t xml:space="preserve">올림픽 대표단 끌고 평창 行 </t>
    </r>
    <r>
      <rPr>
        <sz val="11"/>
        <color rgb="FF000000"/>
        <rFont val="Calibri"/>
        <family val="0"/>
        <charset val="1"/>
      </rPr>
      <t xml:space="preserve">... </t>
    </r>
    <r>
      <rPr>
        <sz val="11"/>
        <color rgb="FF000000"/>
        <rFont val="Noto Sans CJK SC"/>
        <family val="2"/>
      </rPr>
      <t xml:space="preserve">이방 카 참석 은 </t>
    </r>
    <r>
      <rPr>
        <sz val="11"/>
        <color rgb="FF000000"/>
        <rFont val="Calibri"/>
        <family val="0"/>
        <charset val="1"/>
      </rPr>
      <t xml:space="preserve">' </t>
    </r>
    <r>
      <rPr>
        <sz val="11"/>
        <color rgb="FF000000"/>
        <rFont val="Noto Sans CJK SC"/>
        <family val="2"/>
      </rPr>
      <t xml:space="preserve">미정 </t>
    </r>
    <r>
      <rPr>
        <sz val="11"/>
        <color rgb="FF000000"/>
        <rFont val="Calibri"/>
        <family val="0"/>
        <charset val="1"/>
      </rPr>
      <t xml:space="preserve">' '' . 10 January 2018 . Retrieved 8 February 2018 .   Jump up ^ `` 9 February 2018 , Buckingham Palace '' . Court Circular. 9 February 2018 . Retrieved 21 February 2018 . The Princess Royal , Member , International Olympic Committee , and President , British Olympic Association , this evening attended the Opening Reception and Ceremony of the XXIII Winter Olympic Games .   Jump up ^ Haas , Benjamin ( 9 February 2018 ) . `` US vice-president skips Olympics dinner in snub to North Korea officials '' . the Guardian . Retrieved 2018 - 02 - 09 .   Jump up ^ `` Olympics - Pyeongchang picks ' Nanta ' producer for 2018 ceremonies '' . Seoul , South Korea . Reuters. 2 July 2015 . Retrieved 1 February 2018 .    External links ( edit )    Media related to 2018 Winter Olympics opening ceremony at Wikimedia Commons      ( hide )         Olympic Games ceremonies     Opening ceremonies      Summer     1896   1900   1904   1908   1912   1920   1924   1928   1932   1936   1948   1952   1956   1960   1964   1968   1972   1976   1980   1984   1988   1992     2000     2008   2012   2016   2020   2024   2028   2032       Winter     1924   1928   1932   1936   1948   1952   1956   1960   1964   1968   1972   1976   1980   1984   1988   1992   1994   1998   2002   2006     2014   2018   2022   2026   2030          Closing ceremonies      Summer     1896   1900   1904   1908   1912   1920   1924   1928   1932   1936   1948   1952   1956   1960   1964   1968   1972   1976   1980   1984   1988   1992     2000     2008   2012   2016   2020   2024   2028   2032       Winter     1924   1928   1932   1936   1948   1952   1956   1960   1964   1968   1972   1976   1980   1984   1988   1992   1994   1998   2002   2006     2014   2018   2022   2026   2030           Olympics portal   South Korea portal   Retrieved from `` https://en.wikipedia.org/w/index.php?title=2018_Winter_Olympics_opening_ceremony&amp;oldid=835559840 '' Categories :   2018 Winter Olympics   Ceremonies in South Korea   Olympics opening ceremonies   Hidden categories :   CS1 Spanish - language sources ( es )   CS1 Italian - language sources ( it )   CS1 French - language sources ( fr )   Articles to be expanded from February 2018   Use dmy dates from February 2018   Use British English from February 2018   Coordinates on Wikidata           Talk                                           Contents                   About Wikipedia                                                 Asturianu   Español   Français   </t>
    </r>
    <r>
      <rPr>
        <sz val="11"/>
        <color rgb="FF000000"/>
        <rFont val="Noto Sans CJK SC"/>
        <family val="2"/>
      </rPr>
      <t xml:space="preserve">한국어   日本 語   </t>
    </r>
    <r>
      <rPr>
        <sz val="11"/>
        <color rgb="FF000000"/>
        <rFont val="Calibri"/>
        <family val="0"/>
        <charset val="1"/>
      </rPr>
      <t xml:space="preserve">ไทย   Українська   </t>
    </r>
    <r>
      <rPr>
        <sz val="11"/>
        <color rgb="FF000000"/>
        <rFont val="Noto Sans CJK SC"/>
        <family val="2"/>
      </rPr>
      <t xml:space="preserve">中文   </t>
    </r>
    <r>
      <rPr>
        <sz val="11"/>
        <color rgb="FF000000"/>
        <rFont val="Calibri"/>
        <family val="0"/>
        <charset val="1"/>
      </rPr>
      <t xml:space="preserve">Edit links   This page was last edited on 9 April 2018 , at 12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</si>
  <si>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performing at the 2018 olympics opening ceremony</t>
  </si>
  <si>
    <t xml:space="preserve">  Ha Hyun - woo of the band Guckkasten , Ahn Ji - young of the musical duo Bolbbalgan4 , Lee Eun - mi and Jeon In - kwon with his band Deulgukhwa performed and sang John Lennon 's `` Imagine '' at the opening ceremony .   The Rainbow Children 's Choir performed an arrangement , with Korean traditional musical instruments , of the national anthem , `` Aegukga '' . The song was written to educate the public about various ethnicities .   Insooni sang the theme song for the PyeongChang 2018 Olympic Torch Relay , `` Let Everyone Shine '' .  </t>
  </si>
  <si>
    <t xml:space="preserve">Dead bolt - wikipedia  Dead bolt  For other uses , see Deadbolt ( disambiguation ) . Door with two locks , one in the doorknob and a separate deadbolt .  A dead bolt , deadbolt or dead lock is a locking mechanism distinct from a spring bolt lock because a deadbolt can not be moved to the open position except by rotating the key . The more common spring bolt lock uses a spring to hold the bolt in place , allowing retraction by applying force to the bolt itself . A deadbolt can therefore make a door more resistant to entry without the correct key .   A deadbolt is often used to complement a spring - bolt lock on an entry door to a building .   Contents    1 Common types   2 Safety   3 See also   4 References    Common types ( edit )   A deadlock , if it is cylinder operated , may be either single cylinder or double cylinder . A single cylinder deadlock will accept a key on one side of the lock , but is operated by a twist knob on the other side . Double cylinder locks will accept a key on both sides and therefore do not require ( and often do not have ) any twist knob . This prevents unwanted unlocking of the door by forced access to the interior twist knob ( via a nearby window , for example ) . Double cylinder locks are sometimes banned from areas because they can be difficult to open from the inside and violate fire safety regulations . Some lock manufacturers also have a `` lockable '' knob : a key is always needed on one side ( usually external ) , and a twist knob can be used on the other ( internal ) , unless a button has been pressed , in which case a key is also needed on the internal side .   A variant of the standard deadbolt is the vertical deadbolt , invented by Samuel Segal . Vertical deadbolts resist jimmying , in which an intruder inserts a pry bar between the door and the jamb and attempts to pry the bolt out of the door .   Other types of deadbolts include :    Classroom - function ( thumb - turn only unlocks door )   Exit - only function ( no external cylinder )   Push - button deadbolt ( mechanical or electrical )   Single cylinder with removable thumb - turn    Safety ( edit )   The double cylinder design raises a safety issue . In the event of a fire , occupants will be prevented from escaping through double - cylinder locked doors unless the correct key is used . This is often an avoidable cause of death in house fires . The risk can be mitigated by locking the deadlock only when there are no occupants inside the building , or leaving the key near the keyhole . Some fire departments suggest putting the key on a small nail or screw near the door at floor level , since the cleanest air is at floor level and you may be crawling to get to the exit , thus placing the key where it is easiest to find .   Note that single cylinder dead locks ( with an unlocked twist mechanism on the inside of the door ) do not have this problem , and therefore are most commonly used on fire exits . Some areas have fire safety codes that do not allow a locked exit .   See also ( edit )    Door security   Lock bumping    References ( edit )    Jump up ^ https://www.homesecuritysystems.tips/types-of-systems/what-is-deadbolt-lock-and-its-benefits . Missing or empty title = ( help )   Jump up ^ Abloy . `` Lockable Thumbturn H2X Deadbolts '' . Retrieved 2011 - 10 - 22 .   Jump up ^ Abloy . `` Lockable Thumbturn H2X Deadbolts '' . Retrieved 2011 - 10 - 22 .   Jump up ^ Kennedy , Les ( 2004 - 06 - 08 ) . `` Deadlocked doors seen as fatal in house fire '' . The Sydney Morning Herald . Retrieved 2010 - 11 - 16 .   Jump up ^ `` Hardware requirements for access and egress '' ( PDF ) . Canada government . Archived from the original ( PDF ) on 27 March 2014 . Retrieved 12 June 2014 .   Jump up ^ `` Building Codes ( p. 127 ) '' ( PDF ) . New York City . Retrieved 12 June 2014 .              Locksmithing &amp; lock picking     Topics     Electric strike   Key control   Key relevance   Lock bumping   Lock picking   Lockout - tagout   Maison key system   Rekeying   Single - point locking   Three - point locking         Components     Bitting   Bolt stump   Break   Interchangeable core   Key blank   Key code   Keyhole   Lockset   Shear line   Split pin       Key types     Berlin key   Bump key   Change key   Master key   Skeleton key   Smart key   Tubular key   Transponder key       Mechanical locks     Bored cylindrical lock   Bramah lock   Cylinder lock   Disc tumbler lock   Key retainer   Lever tumbler lock ( Chubb detector lock )   Magnetic - coded lock   Magnetic keyed lock   Mortise lock   Padlock   Combination lock   Rotary combination lock   Time - delay combination locks   Pin tumbler lock ( snib )   Protector lock   Relocking device   Rim lock   Time lock   Tubular pin tumbler lock   Warded lock   Wafer tumbler lock       Electronic locks     Electromagnetic lock   Electronic lock   Electric strike   Magnetic - coded lock   Keycard lock   Electronic / digital - cylinder pin tumbler lock       Specific lock types     Bicycle lock   Chamber lock   Child safety lock   Dead bolt   Keycard lock   Kensington Security Slot   Luggage lock   Power door locks   The Club   TSA lock       Tools     Lockpick   Slim Jim   Snap gun   Tubular lock pick       Related     Bolt cutter   Door chain   Exit control lock   Famous locksmiths   Interlock ( engineering )   Keychain   Key ( engineering )   Lock manufacturers   Lock puzzle   Lock snapping   Locksport   Two - man rule         Category : Locksmithing   Keys   Locks   Book      Retrieved from `` https://en.wikipedia.org/w/index.php?title=Dead_bolt&amp;oldid=825809280 '' Categories :   Doors   Locksmithing   Locks ( security device )   Hidden categories :   Pages with citations lacking titles   Pages with citations having bare URLs           Talk                                           Contents                   About Wikipedia          Tools                                  Русский   Sicilianu   Українська   Edit links   This page was last edited on 15 February 2018 , at 15 : 22 ( UTC ) .         About Wikipedia                    </t>
  </si>
  <si>
    <t xml:space="preserve">what is a deadlock lock on a door</t>
  </si>
  <si>
    <t xml:space="preserve"> A dead bolt , deadbolt or dead lock is a locking mechanism distinct from a spring bolt lock because a deadbolt can not be moved to the open position except by rotating the key . The more common spring bolt lock uses a spring to hold the bolt in place , allowing retraction by applying force to the bolt itself . A deadbolt can therefore make a door more resistant to entry without the correct key . </t>
  </si>
  <si>
    <t xml:space="preserve">Do n't You ( Forget About Me ) - wikipedia  Do n't You ( Forget About Me )  Jump to : navigation , search    `` Do n't You ( Forget About Me ) ''     Standard international artwork     Single by Simple Minds     from the album The Breakfast Club ( Original Motion Picture Soundtrack )     B - side   `` A Brass Band in African Chimes ''     Released   20 February 1985 ( US ) 8 April 1985 ( UK )     Format     12 ''   7 ''       Recorded   10 July 1984     Genre   New wave , synthpop , pop rock     Length   4 : 20 6 : 32 ( extended version )     Label   Virgin A&amp;M ( US )     Songwriter ( s )     Keith Forsey   Steve Schiff       Simple Minds singles chronology        `` Up on the Catwalk '' ( 1984 )   `` Do n't You ( Forget About Me ) '' ( 1985 )   `` Alive and Kicking '' ( 1985 )           `` Up on the Catwalk '' ( 1984 )   `` Do n't You ( Forget About Me ) '' ( 1985 )   `` Alive and Kicking '' ( 1985 )            Audio sample       file   help       Music video     `` Do n't You ( Forget About Me ) '' on YouTube         `` Do n't You ( Forget About Me ) '' is a 1985 pop song performed by Scottish rock band Simple Minds . The song is best known for being played during the opening and closing credits of the John Hughes film The Breakfast Club . It was written and composed by producer Keith Forsey and Steve Schiff , the latter of whom was a guitarist and songwriter from the Nina Hagen band .     Contents  ( hide )   1 Recording history   2 Music video   3 Charts and certifications   3.1 Weekly charts   3.2 Year - end charts   3.3 Certifications     4 Notable Appearances in Other Media   5 See also   6 References   7 External links      Recording history ( edit )   Forsey asked Cy Curnin from The Fixx , Bryan Ferry and Billy Idol to record the song , but all three declined ; Idol did later perform a cover of it on his 2001 compilation album Greatest Hits . Schiff then suggested Forsey ask Simple Minds who , after refusing as well , agreed under the encouragement of their label , A&amp;M . According to frontman Jim Kerr , the band was reluctant to record the song as they felt they should only record their own material , relenting after persuasion from Kerr 's wife at the time , Chrissie Hynde of The Pretenders , and a phone call from Forsey in which he expressed his admiration for the band . According to one account , the band `` rearranged and recorded ' Do n't You ( Forget About Me ) ' in three hours in a north London studio and promptly forgot about it . ''   Continuing the rock direction recently taken on Sparkle in the Rain but also glancing back at their melodic synthpop past , it caught the band at their commercial peak and , propelled by the success of The Breakfast Club , became a # 1 hit in the U.S. and around the world . It is also the band 's only # 1 hit on the U.S. Top Rock Tracks chart , staying atop for three weeks . While only reaching # 7 in the UK , it stayed on the charts from 1985 to 1987 , one of the longest time spans for any single in the history of the chart .   The song did not appear on the band 's subsequent album Once Upon a Time , but it did appear on the 1992 best - of Glittering Prize 81 / 92 . It soon became a fixture of the band 's live sets - with an extended audience participation section during its inclusion on the 2015 tour to promote the band 's Big Music album .   Two versions were created for release . A short version , 4 : 23 in duration , appeared on the single and the original motion picture soundtrack album of The Breakfast Club . A longer version , 6 : 32 in duration , was released as a 12 '' single . This version contains longer breakdowns and drum fills , a second appearance of the bridge and a longer ending .   John Leland from Spin wrote that `` ' Do n't You Forget About Me , ' a romantic and melancholy dance track , therefore cuts ice both in the living room and on the dance floor . ''   Music video ( edit )   The music video , directed by Daniel Kleinman , takes place on a dancing floor in a dark room with a chandelier , a rocking horse , and television sets displaying scenes from The Breakfast Club . The video on YouTube had been viewed over 75 million times as of July 26 , 2017 .   Charts and certifications ( edit )      Weekly charts ( edit )     Chart ( 1985 )   Peak Position     Australia ( Kent Music Report )   6     Austria ( Ö3 Austria Top 40 )   5     Belgium ( Ultratop 50 Flanders )       Belgium ( VRT Top 30 Flanders )       Canada Top Singles ( RPM )       Canada ( CHUM )       France ( SNEP )   24     Germany ( Official German Charts )       Ireland ( IRMA )       Italy ( FIMI )       Netherlands ( Dutch Top 40 )       Netherlands ( Single Top 100 )       New Zealand ( Recorded Music NZ )       South Africa ( Springbok Radio )   10     Sweden ( Sverigetopplistan )   13     Switzerland ( Schweizer Hitparade )   8     UK Singles ( Official Charts Company )   7     US Billboard Hot 100       US Dance Club Songs ( Billboard )   9     US Mainstream Rock ( Billboard )       US Cash Box Top 100         Chart ( 1988 )   Peak Position     UK Singles ( Official Charts Company )   100       Chart ( 2004 )   Peak Position     Italy ( FIMI )   16       Chart ( 2012 )   Peak Position     US Rock Digital Songs ( Billboard )   41       Year - end charts ( edit )     Chart ( 1985 )   Position     Australia ( Kent Music Report )   47     Austria ( Ö3 Austria Top 40 )   28     Belgium ( Ultratop 50 Flanders )       Canada Top Singles ( RPM )   21     Germany ( Official German Charts )   23     Italy ( FIMI )   6     Netherlands ( Dutch Top 40 )   8     Netherlands ( Single Top 100 )   11     New Zealand ( Recorded Music NZ )   26     Switzerland ( Schweizer Hitparade )   26     US Billboard Hot 100   16     US Dance Club Songs ( Billboard )   33     US Mainstream Rock ( Billboard )   10     US Cash Box Top 100   12     Certifications ( edit )     Region   Certification   Certified units / Sales     Canada ( Music Canada )   Gold   5,000     Canada ( Music Canada )   Platinum   10,000     United Kingdom ( BPI )   Silver   250,000      shipments figures based on certification alone           Chart successions        Preceded by `` Forever Man '' by Eric Clapton   US Billboard Mainstream Rock number - one single 20 April 1985 -- 4 May 1985 ( 3 weeks )   Succeeded by `` Trapped '' by Bruce Springsteen &amp; the E Street Band     Preceded by `` Crazy for You '' by Madonna   US Billboard Hot 100 number - one single 18 May 1985 ( 1 week )   Succeeded by `` Everything She Wants '' by Wham !     Preceded by `` We Are the World '' by USA for Africa   Dutch Top 40 number - one single 1 June 1985 -- 15 June 1985 ( 3 weeks )   Succeeded by `` Dancing in the Dark '' by Bruce Springsteen     Preceded by `` Crazy for You '' by Madonna   Canadian `` RPM '' Singles Chart number - one single 1 June 1985 ( 1 week )   Succeeded by `` Everybody Wants to Rule the World '' by Tears for Fears        Notable appearances in other media ( edit )    This song played on the British television soap EastEnders on 30th May 1985 , on 4th July 1985 , on 8th August 1985 , and on 9th August 2013 .   This song played in the episode of the American animated comedy series Futurama on 11th March 2001 .   This song played in the episode of the American medical comedy series Scrubs on 10th April 2003 .   This song played in an episode of the American comedy series 30 Rock on 4th December 2008 .   This song played in an episode of the British television soap Hollyoaks on 22nd May 2009 .   This song played in an episode of the British chat show Loose Women on 15th July 2009 .   This song played in an episiode of the American teen drama series Friday Night Lights on 16th December 2009 .   This song played in the American comedy film Easy A in 2010 .   This song played in an episode of the American crime drama series Cold Case on 2nd May 2010 .   This song played in an episode of the American television series The Handmaid 's Tale on 26th April 2017 .    See also ( edit )    List of number - one singles of 1985 ( Canada )   List of Billboard Hot 100 number - one singles of the 1980s   List of Billboard Hot 100 number - one singles of 1985   List of Billboard Mainstream Rock number - one songs of the 1980s   List of Dutch Top 40 number - one singles of 1985    References ( edit )    Jump up ^ Simpson , Dave ( 15 November 2016 ) . `` Simple Minds : how we made Do n't You ( Forget About Me ) '' . theguardian.com . Retrieved 15 November 2016 .   Jump up ^ `` A History of Simple Minds '' . The Official Glasgow Barrowland &amp; Barras Market Site . Retrieved 15 September 2011 .   ^ Jump up to : `` Simple Minds -- Chart history '' Billboard Hot 100 for Simple Minds . Retrieved 27 November 2016 .   Jump up ^ Simpson , Dave ( April 2015 ) . `` The Guardian '' . The Guardian ( 2 ) . Retrieved 11 April 2015 .   Jump up ^ Leland , John ( June 1985 ) . `` Singles '' . Spin. 1 ( 2 ) : 37 . Retrieved 15 September 2011 .   Jump up ^ SimpleMindsVEVO ( 2010 - 12 - 03 ) , Simple Minds - Do n't You ( Forget About Me ) , retrieved 2017 - 03 - 08   Jump up ^ bulion . `` Forum - ARIA Charts : Special Occasion Charts - CHART POSITIONS PRE 1989 '' . ARIA . Australian-charts.com . Archived from the original on 20 October 2013 . Retrieved 27 November 2016 .   Jump up ^ `` Austriancharts.at -- Simple Minds -- Do n't You ( Forget About Me ) '' ( in German ) . Ö3 Austria Top 40 . Retrieved 27 November 2016 .   Jump up ^ `` Ultratop.be -- Simple Minds -- Do n't You ( Forget About Me ) '' ( in Dutch ) . Ultratop 50 . Retrieved 27 November 2016 .   Jump up ^ `` Radio 2 Top 30 '' ( in Dutch ) . Top 30 . Archived from the original on 31 March 2016 . Retrieved 27 November 2016 .   Jump up ^ `` Top RPM Singles : Issue 0530 . '' RPM . Library and Archives Canada . Retrieved 27 November 2016 .   Jump up ^ `` CHART NUMBER 1485 -- Saturday , June 08 , 1985 '' . Archived from the original on 7 November 2006 . Retrieved 2017 - 01 - 08 . CS1 maint : BOT : original - url status unknown ( link ) . CHUM .   Jump up ^ `` Lescharts.com -- Simple Minds -- Do n't You ( Forget About Me ) '' ( in French ) . Les classement single . Retrieved 27 November 2016 .   Jump up ^ `` Offiziellecharts.de -- Simple Minds -- Do n't You ( Forget About Me ) '' . GfK Entertainment Charts . Retrieved 27 November 2016 .   Jump up ^ `` The Irish Charts -- Search Results -- Do n't You ( Forget About Me ) '' . Irish Singles Chart . Retrieved 27 November 2016 .   Jump up ^ `` Hit Parade Italia '' . HitParadeItalia ( in Italian ) . Retrieved 27 November 2016 .   Jump up ^ `` Nederlandse Top 40 -- week 22 , 1985 '' ( in Dutch ) . Dutch Top 40 Retrieved 27 November 2016 .   Jump up ^ `` Dutchcharts.nl -- Simple Minds -- Do n't You ( Forget About Me ) '' ( in Dutch ) . Single Top 100 . Retrieved 27 November 2016 .   Jump up ^ `` Charts.org.nz -- Simple Minds -- Do n't You ( Forget About Me ) '' . Top 40 Singles . Retrieved 27 November 2016 .   Jump up ^ `` South African Rock Lists Website SA Charts 1965 -- 1989 Acts S '' . The South African Rock Encyclopedia . Retrieved 27 November 2016 .   Jump up ^ `` Swedishcharts.com -- Simple Minds -- Do n't You ( Forget About Me ) '' . Singles Top 100 . Retrieved 27 November 2016 .   Jump up ^ `` Swisscharts.com -- Simple Minds -- Do n't You ( Forget About Me ) '' . Swiss Singles Chart . Retrieved 27 November 2016 .   Jump up ^ `` Official Singles Chart Top 100 '' . Official Charts Company . Retrieved 27 November 2016 .   Jump up ^ `` Simple Minds -- Chart history '' Billboard Hot Dance Club Songs for Simple Minds . Retrieved 27 November 2016 .   Jump up ^ `` Simple Minds -- Chart history '' Billboard Mainstream Rock Songs for Simple Minds . Retrieved 27 November 2016 .   Jump up ^ `` CASH BOX Top 100 Singles -- Week ending MAY 18 , 1985 '' . Archived from the original on 1 October 2012 . Retrieved 2017 - 01 - 08 . CS1 maint : BOT : original - url status unknown ( link ) . Cash Box magazine .   Jump up ^ `` Official Singles Chart Top 100 '' . Official Charts Company . Retrieved 27 November 2016 .   Jump up ^ `` Italiancharts.com -- Simple Minds -- Do n't You ( Forget About Me ) '' . Top Digital Download . Retrieved 27 November 2016 .   Jump up ^ `` Simple Minds - Chart History '' . Rock Digital Songs . for Simple Minds . Retrieved 27 November 2016 .   Jump up ^ `` Forum -- ARIA Charts : Special Occasion Charts -- Top 100 End of Year AMR Charts - 1980s '' . Australian-charts.com . Hung Medien . Archived from the original on 28 August 2014 . Retrieved 27 November 2016 .   Jump up ^ `` Jahreshitparade Singles 1985 '' . Ö3 Austria Top 40 ( in German ) . Retrieved 27 November 2016 .   Jump up ^ `` Ultratop Jaaroverzichten 1985 '' . Ultratop 50 ( in Dutch ) . Archived from the original on 10 June 2014 . Retrieved 27 November 2016 .   Jump up ^ `` Top RPM Singles : Issue 0619 . '' RPM . Library and Archives Canada . Retrieved 27 November 2016 .   Jump up ^ `` Top 100 Single - Jahrescharts 1985 '' . GfK Entertainment Charts ( in German ) . Retrieved 27 November 2016 .   Jump up ^ `` Hit Parade Italia - I singoli più venduti del 1985 '' . FIMI ( in Italian ) . Retrieved 27 November 2016 .   Jump up ^ `` Top 100 - Jaaroverzicht van 1985 '' . Dutch Top 40 ( in Dutch ) . Retrieved 27 November 2016 .   Jump up ^ `` Dutch Charts Jaaroverzichten Single 1985 '' . Single Top 100 ( in Dutch ) . Retrieved 27 November 2016 .   Jump up ^ `` The Official NZ Music Charts - End of Year Charts 1985 '' . Recorded Music NZ . Retrieved 27 November 2016 .   Jump up ^ `` SWISS YEAR - END CHARTS 1985 '' . Swiss Singles Chart . Retrieved 27 November 2016 .   Jump up ^ `` Top Pop Singles '' ( PDF ) . Billboard . Vol. 97 no . 52 . New York , NY , USA . 28 December 1985 . p . T - 21 . Retrieved 27 November 2016 .   Jump up ^ `` Top Dance Sales Singles '' ( PDF ) . Billboard . Vol. 97 no . 52 . New York , NY , USA . 28 December 1985 . p . T - 23 . Retrieved 27 November 2016 .   Jump up ^ `` Top Rock Tracks '' ( PDF ) . Billboard . Vol. 97 no . 52 . New York , NY , USA . 28 December 1985 . p . T - 30 . Retrieved 27 November 2016 .   Jump up ^ `` The CASH BOX Year - End Charts : 1985 '' . Archived from the original on 30 September 2012 . Retrieved 2014 - 05 - 07 . CS1 maint : BOT : original - url status unknown ( link ) . Cash Box magazine .   ^ Jump up to : `` Canadian single certifications -- Simple Minds -- Do n't You Forget About Me '' . Music Canada . Retrieved 27 November 2016 .   Jump up ^ `` British single certifications -- Simple Minds -- Do n't You Forget About Me '' . British Phonographic Industry . Retrieved 27 November 2016 . Enter Do n't You Forget About Me in the search field and then press Enter .    External links ( edit )    AllMusic : Keith Forsey   Lyrics of this song at MetroLyrics      Preceded by `` Leave Right Now '' by Will Young   American Idol Farewell Song Season 10 ( 2011 )   Succeeded by `` Please Remember Me '' by Scotty McCreery               Simple Minds       Jim Kerr   Charlie Burchill   Mel Gaynor   Andy Gillespie   Ged Grimes     Brian McGee   Tony Donald   Duncan Barnwell   Mick MacNeil   Derek Forbes   Kenny Hyslop   Mike Ogletree   John Giblin   Eddy Duffy       Albums     Life in a Day   Real to Real Cacophony   Empires and Dance   Sons and Fascination / Sister Feelings Call   New Gold Dream ( 81 -- 82 -- 83 -- 84 )   Sparkle in the Rain   Once Upon a Time   Street Fighting Years   Real Life   Good News from the Next World   Néapolis   Our Secrets Are the Same   Neon Lights   Cry   Black &amp; White 050505   Graffiti Soul   Big Music   Acoustic       Live albums     Live in the City of Light   Real Live 91   Sunday Express -- Live ( Volumes 1 &amp; 2 )   5X5 Live   Live -- Big Music Tour 2015       Compilations     Themes for Great Cities 79 / 81   Celebration   Glittering Prize 81 / 92   The Promised   The Best of Simple Minds   Early Gold   Silver Box   Celebrate : The Greatest Hits       Singles     `` Love Song ''   `` Promised You a Miracle ''   `` Glittering Prize ''   `` Someone Somewhere ( In Summertime ) ''   `` Waterfront ''   `` Speed Your Love to Me ''   `` Up on the Catwalk ''   `` Do n't You ( Forget About Me ) ''   `` Alive and Kicking ''   `` Sanctify Yourself ''   `` All the Things She Said ''   `` Ghost Dancing ''   `` Belfast Child ''   `` This Is Your Land ''   `` Kick It In ''   `` Let There Be Love ''   `` Stand By Love ''       Promo singles     `` Mandela Day '' ( US )       Themes series     Themes -- Volume 1 : March 79 -- April 82   Themes -- Volume 2 : August 82 -- April 85   Themes -- Volume 3 : September 85 -- June 87   Themes -- Volume 4 : February 89 -- May 90   Themes -- Volume 5 : March 91 -- September 92       Related articles     Discography   Lostboy ! AKA Jim Kerr       Concert tours     Simple Minds concert tours                 David Cook     Discography     Studio albums     Analog Heart   David Cook   This Loud Morning   Digital Vein       Extended plays     This Quiet Night       Singles     `` The Time of My Life ''   `` Light On ''   `` Come Back to Me / Bar - ba - sol ''   `` Permanent ''   `` The Last Goodbye ''   `` Fade into Me ''   `` The Last Song I 'll Write for You ''   `` Laying Me Low ''       Tours     American Idols LIVE ! Tour 2008   The Declaration Tour -- 2009       Other songs     `` Do n't You ( Forget About Me ) ''   `` Dream Big ''   `` Jumpin ' Jack Flash ''       Related articles     American Idol ( season 7 )   Axium   `` Kiss You Tonight ''      Retrieved from `` https://en.wikipedia.org/w/index.php?title=Don%27t_You_(Forget_About_Me)&amp;oldid=807402542 '' Categories :   1985 singles   1985 songs   Simple Minds songs   Billboard Hot 100 number - one singles   Billboard Mainstream Rock number - one singles   Dutch Top 40 number - one singles   RPM Top Singles number - one singles   Songs written by Keith Forsey   Songs written for films   Virgin Records singles   A&amp;M Records singles   Billy Idol songs   Hidden categories :   CS1 Dutch - language sources ( nl )   CS1 maint : BOT : original - url status unknown   CS1 Italian - language sources ( it )   CS1 German - language sources ( de )   Use British English from January 2014   Use dmy dates from January 2014   Articles with hAudio microformats   Singlechart usages for Austria   Singlechart usages for Flanders   Singlechart usages for Canadatopsingles   Singlechart called without artist   Singlechart called without song   Singlechart making named ref   Singlechart usages for France   Singlechart usages for Germany2   Singlechart usages for Ireland2   Singlechart usages for Dutch40   Singlechart usages for Dutch100   Singlechart usages for New Zealand   Singlechart usages for Sweden   Singlechart usages for Switzerland   Singlechart usages for UK   Singlechart usages for Billboardhot100   Singlechart usages for Billboarddanceclubplay   Singlechart usages for Billboardmainstreamrock   Singlechart usages for Italy   Certification Table Entry usages for Canada   Certification Table Entry usages for United Kingdom           Talk                                           Contents                   About Wikipedia                                           Deutsch   Español   Français   Italiano   Nederlands   Português   Svenska   Edit links   This page was last edited on 27 October 2017 , at 18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</si>
  <si>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film has the song don't you forget about me</t>
  </si>
  <si>
    <t xml:space="preserve"> `` Do n't You ( Forget About Me ) '' is a 1985 pop song performed by Scottish rock band Simple Minds . The song is best known for being played during the opening and closing credits of the John Hughes film The Breakfast Club . It was written and composed by producer Keith Forsey and Steve Schiff , the latter of whom was a guitarist and songwriter from the Nina Hagen band . </t>
  </si>
  <si>
    <t xml:space="preserve">Standard deviation - wikipedia  Standard deviation  Jump to : navigation , search For other uses , see Standard deviation ( disambiguation ) . A plot of normal distribution ( or bell - shaped curve ) where each band has a width of 1 standard deviation -- See also : 68 -- 95 -- 99.7 rule Cumulative probability of a normal distribution with expected value 0 and standard deviation 1 .  In statistics , the standard deviation ( SD , also represented by the Greek letter sigma σ or the Latin letter s ) is a measure that is used to quantify the amount of variation or dispersion of a set of data values . A low standard deviation indicates that the data points tend to be close to the mean ( also called the expected value ) of the set , while a high standard deviation indicates that the data points are spread out over a wider range of values .   The standard deviation of a random variable , statistical population , data set , or probability distribution is the square root of its variance . It is algebraically simpler , though in practice less robust , than the average absolute deviation . A useful property of the standard deviation is that , unlike the variance , it is expressed in the same units as the data . There are also other measures of deviation from the norm , including average absolute deviation , which provide different mathematical properties from standard deviation .   In addition to expressing the variability of a population , the standard deviation is commonly used to measure confidence in statistical conclusions . For example , the margin of error in polling data is determined by calculating the expected standard deviation in the results if the same poll were to be conducted multiple times . This derivation of a standard deviation is often called the `` standard error '' of the estimate or `` standard error of the mean '' when referring to a mean . It is computed as the standard deviation of all the means that would be computed from that population if an infinite number of samples were drawn and a mean for each sample were computed . It is very important to note that the standard deviation of a population and the standard error of a statistic derived from that population ( such as the mean ) are quite different but related ( related by the inverse of the square root of the number of observations ) . The reported margin of error of a poll is computed from the standard error of the mean ( or alternatively from the product of the standard deviation of the population and the inverse of the square root of the sample size , which is the same thing ) and is typically about twice the standard deviation -- the half - width of a 95 percent confidence interval . In science , researchers commonly report the standard deviation of experimental data , and only effects that fall much farther than two standard deviations away from what would have been expected are considered statistically significant -- normal random error or variation in the measurements is in this way distinguished from likely genuine effects or associations . The standard deviation is also important in finance , where the standard deviation on the rate of return on an investment is a measure of the volatility of the investment .   When only a sample of data from a population is available , the term standard deviation of the sample or sample standard deviation can refer to either the above - mentioned quantity as applied to those data or to a modified quantity that is an unbiased estimate of the population standard deviation ( the standard deviation of the entire population ) .     Contents  ( hide )   1 Basic examples   1.1 Sample standard deviation of metabolic rate of Northern Fulmars   1.2 Population standard deviation of grades of eight students   1.3 Standard deviation of average height for adult men     2 Definition of population values   2.1 Discrete random variable   2.2 Continuous random variable     3 Estimation   3.1 Uncorrected sample standard deviation   3.2 Corrected sample standard deviation   3.3 Unbiased sample standard deviation   3.4 Confidence interval of a sampled standard deviation     4 Identities and mathematical properties   5 Interpretation and application   5.1 Application examples   5.1. 1 Experiment , industrial and hypothesis testing   5.1. 2 Weather   5.1. 3 Finance     5.2 Geometric interpretation   5.3 Chebyshev 's inequality   5.4 Rules for normally distributed data     6 Relationship between standard deviation and mean   6.1 Standard deviation of the mean     7 Rapid calculation methods   7.1 Weighted calculation     8 History   9 See also   10 References   11 External links      Basic examples ( edit )   Sample standard deviation of metabolic rate of Northern fulmars ( edit )   Logan gives the following example . Furness and Bryant measured the resting metabolic rate for 8 male and 6 female breeding Northern fulmars . The table shows the furness data set .     The graph shows the metabolic rate for males and females . By visual inspection , it appears that the variability of the metabolic rate is greater for males than for females .     The sample standard deviation of the metabolic rate for the female fulmars is calculated as follows . The formula for the sample standard deviation is    s = ∑ i = 1 N ( x i − x _̄ ) 2 N − 1 . ( \ displaystyle s = ( \ sqrt ( \ frac ( \ sum _ ( i = 1 ) ^ ( N ) ( x_ ( i ) - ( \ overline ( x ) ) ) ^ ( 2 ) ) ( N - 1 ) ) ) . )    where ( x 1 , x 2 , ... , x N ) ( \ displaystyle \ scriptstyle \ ( x_ ( 1 ) , \ , x_ ( 2 ) , \ , \ ldots , \ , x_ ( N ) \ ) ) are the observed values of the sample items , x _̄ ( \ displaystyle \ scriptstyle ( \ overline ( x ) ) ) is the mean value of these observations , and N is the number of observations in the sample .   In the sample standard deviation formula , for this example , the numerator is the sum of the squared deviation of each individual animal 's metabolic rate from the mean metabolic rate . The table below shows the calculation of this sum of squared deviations for the female fulmars . For females , the sum of squared deviations is 886047.09 , as shown in the table .     The denominator in the sample standard deviation formula is N -- 1 , where N is the number of animals . In this example , there are N = 6 females , so the denominator is 6 -- 1 = 5 . The sample standard deviation for the female fulmars is therefore    s = ∑ i = 1 N ( x i − x _̄ ) 2 N − 1 = 886047.09 5 = 420.96 . ( \ displaystyle s = ( \ sqrt ( \ frac ( \ sum _ ( i = 1 ) ^ ( N ) ( x_ ( i ) - ( \ overline ( x ) ) ) ^ ( 2 ) ) ( N - 1 ) ) ) = ( \ sqrt ( \ frac ( 886047.09 ) ( 5 ) ) ) = 420.96 . )    For the male fulmars , a similar calculation gives a sample standard deviation of 894.37 , approximately twice as large as the standard deviation for the females . The graph shows the metabolic rate data , the means ( red dots ) , and the standard deviations ( red lines ) for females and males .     Use of the sample standard deviation implies that these 14 fulmars are a sample from a larger population of fulmars . If these 14 fulmars comprised the entire population ( perhaps the last 14 surviving fulmars ) , then instead of the sample standard deviation , the calculation would use the population standard deviation . In the population standard deviation formula , the denominator is N instead of N - 1 . It is rare that measurements can be taken for an entire population , so , by default , statistical software packages calculate the sample standard deviation . Similarly , journal articles report the sample standard deviation unless otherwise specified .   Population standard deviation of grades of eight students ( edit )   Suppose that the entire population of interest was eight students in a particular class . For a finite set of numbers , the population standard deviation is found by taking the square root of the average of the squared deviations of the values from their average value . The marks of a class of eight students ( that is , a statistical population ) are the following eight values :    2 , 4 , 4 , 4 , 5 , 5 , 7 , 9 . ( \ displaystyle 2 , \ 4 , \ 4 , \ 4 , \ 5 , \ 5 , \ 7 , \ 9 . )    These eight data points have the mean ( average ) of 5 :    2 + 4 + 4 + 4 + 5 + 5 + 7 + 9 8 = 5 . ( \ displaystyle ( \ frac ( 2 + 4 + 4 + 4 + 5 + 5 + 7 + 9 ) ( 8 ) ) = 5 . )    First , calculate the deviations of each data point from the mean , and square the result of each :    ( 2 − 5 ) 2 = ( − 3 ) 2 = 9 ( 5 − 5 ) 2 = 0 2 = 0 ( 4 − 5 ) 2 = ( − 1 ) 2 = 1 ( 5 − 5 ) 2 = 0 2 = 0 ( 4 − 5 ) 2 = ( − 1 ) 2 = 1 ( 7 − 5 ) 2 = 2 2 = 4 ( 4 − 5 ) 2 = ( − 1 ) 2 = 1 ( 9 − 5 ) 2 = 4 2 = 16 . ( \ displaystyle ( \ begin ( array ) ( lll ) ( 2 - 5 ) ^ ( 2 ) = ( - 3 ) ^ ( 2 ) = 9&amp;&amp; ( 5 - 5 ) ^ ( 2 ) = 0 ^ ( 2 ) = 0 \ \ ( 4 - 5 ) ^ ( 2 ) = ( - 1 ) ^ ( 2 ) = 1&amp;&amp; ( 5 - 5 ) ^ ( 2 ) = 0 ^ ( 2 ) = 0 \ \ ( 4 - 5 ) ^ ( 2 ) = ( - 1 ) ^ ( 2 ) = 1&amp;&amp; ( 7 - 5 ) ^ ( 2 ) = 2 ^ ( 2 ) = 4 \ \ ( 4 - 5 ) ^ ( 2 ) = ( - 1 ) ^ ( 2 ) = 1&amp;&amp; ( 9 - 5 ) ^ ( 2 ) = 4 ^ ( 2 ) = 16. \ \ \ end ( array ) ) )    The variance is the mean of these values :    9 + 1 + 1 + 1 + 0 + 0 + 4 + 16 8 = 4 . ( \ displaystyle ( \ frac ( 9 + 1 + 1 + 1 + 0 + 0 + 4 + 16 ) ( 8 ) ) = 4 . )    and the population standard deviation is equal to the square root of the variance :    4 = 2 . ( \ displaystyle ( \ sqrt ( 4 ) ) = 2 . )    This formula is valid only if the eight values with which we began form the complete population . If the values instead were a random sample drawn from some large parent population ( for example , they were 8 marks randomly and independently chosen from a class of 2 million ) , then one often divides by 7 ( which is n − 1 ) instead of 8 ( which is n ) in the denominator of the last formula . In that case the result of the original formula would be called the sample standard deviation . Dividing by n − 1 rather than by n gives an unbiased estimate of the variance of the larger parent population . This is known as Bessel 's correction .   Standard deviation of average height for adult men ( edit )   If the population of interest is approximately normally distributed , the standard deviation provides information on the proportion of observations above or below certain values . For example , the average height for adult men in the United States is about 70 inches ( 177.8 cm ) , with a standard deviation of around 3 inches ( 7.62 cm ) . This means that most men ( about 68 % , assuming a normal distribution ) have a height within 3 inches ( 7.62 cm ) of the mean ( 67 -- 73 inches ( 170.18 -- 185.42 cm ) ) -- one standard deviation -- and almost all men ( about 95 % ) have a height within 6 inches ( 15.24 cm ) of the mean ( 64 -- 76 inches ( 162.56 -- 193.04 cm ) ) -- two standard deviations . If the standard deviation were zero , then all men would be exactly 70 inches ( 177.8 cm ) tall . If the standard deviation were 20 inches ( 50.8 cm ) , then men would have much more variable heights , with a typical range of about 50 -- 90 inches ( 127 -- 228.6 cm ) . Three standard deviations account for 99.7 % of the sample population being studied , assuming the distribution is normal ( bell - shaped ) . ( See the 68 - 95 - 99.7 rule , or the empirical rule , for more information . )   Definition of population values ( edit )   Let X be a random variable with mean value μ :    E ⁡ ( X ) = μ . ( \ displaystyle \ operatorname ( E ) ( X ) = \ mu . \ , \ ! )    Here the operator E denotes the average or expected value of X . Then the standard deviation of X is the quantity    σ = E ⁡ ( ( X − μ ) 2 ) = E ⁡ ( X 2 ) + E ⁡ ( − 2 μ X ) + E ⁡ ( μ 2 ) = E ⁡ ( X 2 ) − 2 μ E ⁡ ( X ) + μ 2 = E ⁡ ( X 2 ) − 2 μ 2 + μ 2 = E ⁡ ( X 2 ) − μ 2 = E ⁡ ( X 2 ) − ( E ⁡ ( X ) ) 2 ( \ displaystyle ( \ begin ( aligned ) \ sigma &amp; = ( \ sqrt ( \ operatorname ( E ) ( ( X - \ mu ) ^ ( 2 ) ) ) ) \ \ &amp; = ( \ sqrt ( \ operatorname ( E ) ( X ^ ( 2 ) ) + \ operatorname ( E ) ( - 2 \ mu X ) + \ operatorname ( E ) ( \ mu ^ ( 2 ) ) ) ) \ \ &amp; = ( \ sqrt ( \ operatorname ( E ) ( X ^ ( 2 ) ) - 2 \ mu \ operatorname ( E ) ( X ) + \ mu ^ ( 2 ) ) ) \ \ &amp; = ( \ sqrt ( \ operatorname ( E ) ( X ^ ( 2 ) ) - 2 \ mu ^ ( 2 ) + \ mu ^ ( 2 ) ) ) \ \ &amp; = ( \ sqrt ( \ operatorname ( E ) ( X ^ ( 2 ) ) - \ mu ^ ( 2 ) ) ) \ \ &amp; = ( \ sqrt ( \ operatorname ( E ) ( X ^ ( 2 ) ) - ( \ operatorname ( E ) ( X ) ) ^ ( 2 ) ) ) \ end ( aligned ) ) )    ( derived using the properties of expected value ) .   In other words , the standard deviation σ ( sigma ) is the square root of the variance of X ; i.e. , it is the square root of the average value of ( X − μ ) .   The standard deviation of a ( univariate ) probability distribution is the same as that of a random variable having that distribution . Not all random variables have a standard deviation , since these expected values need not exist . For example , the standard deviation of a random variable that follows a Cauchy distribution is undefined because its expected value μ is undefined .   Discrete random variable ( edit )   In the case where X takes random values from a finite data set x , x , ... , x , with each value having the same probability , the standard deviation is    σ = 1 N ( ( x 1 − μ ) 2 + ( x 2 − μ ) 2 + ⋯ + ( x N − μ ) 2 ) , w h e r e μ = 1 N ( x 1 + ⋯ + x N ) , ( \ displaystyle \ sigma = ( \ sqrt ( ( \ frac ( 1 ) ( N ) ) \ left ( ( x_ ( 1 ) - \ mu ) ^ ( 2 ) + ( x_ ( 2 ) - \ mu ) ^ ( 2 ) + \ cdots + ( x_ ( N ) - \ mu ) ^ ( 2 ) \ right ) ) ) , ( \ rm ( \ \ where \ \ ) ) \ mu = ( \ frac ( 1 ) ( N ) ) ( x_ ( 1 ) + \ cdots + x_ ( N ) ) , )    or , using summation notation ,    σ = 1 N ∑ i = 1 N ( x i − μ ) 2 , w h e r e μ = 1 N ∑ i = 1 N x i . ( \ displaystyle \ sigma = ( \ sqrt ( ( \ frac ( 1 ) ( N ) ) \ sum _ ( i = 1 ) ^ ( N ) ( x_ ( i ) - \ mu ) ^ ( 2 ) ) ) , ( \ rm ( \ \ where \ \ ) ) \ mu = ( \ frac ( 1 ) ( N ) ) \ sum _ ( i = 1 ) ^ ( N ) x_ ( i ) . )    If , instead of having equal probabilities , the values have different probabilities , let x have probability p , x have probability p , ... , x have probability p . In this case , the standard deviation will be    σ = ∑ i = 1 N p i ( x i − μ ) 2 , w h e r e μ = ∑ i = 1 N p i x i . ( \ displaystyle \ sigma = ( \ sqrt ( \ sum _ ( i = 1 ) ^ ( N ) p_ ( i ) ( x_ ( i ) - \ mu ) ^ ( 2 ) ) ) , ( \ rm ( \ \ where \ \ ) ) \ mu = \ sum _ ( i = 1 ) ^ ( N ) p_ ( i ) x_ ( i ) . )    Continuous random variable ( edit )   The standard deviation of a continuous real - valued random variable X with probability density function p ( x ) is    σ = ∫ X ( x − μ ) 2 p ( x ) d x , w h e r e μ = ∫ X x p ( x ) d x , ( \ displaystyle \ sigma = ( \ sqrt ( \ int _ ( \ mathbf ( X ) ) ( x - \ mu ) ^ ( 2 ) \ , p ( x ) \ , ( \ rm ( d ) ) x ) ) , ( \ rm ( \ \ where \ \ ) ) \ mu = \ int _ ( \ mathbf ( X ) ) x \ , p ( x ) \ , ( \ rm ( d ) ) x , )    and where the integrals are definite integrals taken for x ranging over the set of possible values of the random variable X .   In the case of a parametric family of distributions , the standard deviation can be expressed in terms of the parameters . For example , in the case of the log - normal distribution with parameters μ and σ , the standard deviation is ( ( exp ( σ ) − 1 ) exp ( 2μ + σ ) ) .   Estimation ( edit )    See also : Sample variance Main article : Unbiased estimation of standard deviation  One can find the standard deviation of an entire population in cases ( such as standardized testing ) where every member of a population is sampled . In cases where that can not be done , the standard deviation σ is estimated by examining a random sample taken from the population and computing a statistic of the sample , which is used as an estimate of the population standard deviation . Such a statistic is called an estimator , and the estimator ( or the value of the estimator , namely the estimate ) is called a sample standard deviation , and is denoted by s ( possibly with modifiers ) . However , unlike in the case of estimating the population mean , for which the sample mean is a simple estimator with many desirable properties ( unbiased , efficient , maximum likelihood ) , there is no single estimator for the standard deviation with all these properties , and unbiased estimation of standard deviation is a very technically involved problem . Most often , the standard deviation is estimated using the corrected sample standard deviation ( using N − 1 ) , defined below , and this is often referred to as the `` sample standard deviation '' , without qualifiers . However , other estimators are better in other respects : the uncorrected estimator ( using N ) yields lower mean squared error , while using N − 1.5 ( for the normal distribution ) almost completely eliminates bias .   Uncorrected sample standard deviation ( edit )   The formula for the population standard deviation ( of a finite population ) can be applied to the sample , using the size of the sample as the size of the population ( though the actual population size from which the sample is drawn may be much larger ) . This estimator , denoted by s , is known as the uncorrected sample standard deviation , or sometimes the standard deviation of the sample ( considered as the entire population ) , and is defined as follows :    s N = 1 N ∑ i = 1 N ( x i − x _̄ ) 2 , ( \ displaystyle s_ ( N ) = ( \ sqrt ( ( \ frac ( 1 ) ( N ) ) \ sum _ ( i = 1 ) ^ ( N ) ( x_ ( i ) - ( \ overline ( x ) ) ) ^ ( 2 ) ) ) , )    where ( x 1 , x 2 , ... , x N ) ( \ displaystyle \ scriptstyle \ ( x_ ( 1 ) , \ , x_ ( 2 ) , \ , \ ldots , \ , x_ ( N ) \ ) ) are the observed values of the sample items and x _̄ ( \ displaystyle \ scriptstyle ( \ overline ( x ) ) ) is the mean value of these observations , while the denominator N stands for the size of the sample : this is the square root of the sample variance , which is the average of the squared deviations about the sample mean .   This is a consistent estimator ( it converges in probability to the population value as the number of samples goes to infinity ) , and is the maximum - likelihood estimate when the population is normally distributed . However , this is a biased estimator , as the estimates are generally too low . The bias decreases as sample size grows , dropping off as 1 / N , and thus is most significant for small or moderate sample sizes ; for N &gt; 75 ( \ displaystyle N &gt; 75 ) the bias is below 1 % . Thus for very large sample sizes , the uncorrected sample standard deviation is generally acceptable . This estimator also has a uniformly smaller mean squared error than the corrected sample standard deviation .   Corrected sample standard deviation ( edit )   If the biased sample variance ( the second central moment of the sample , which is a downward - biased estimate of the population variance ) is used to compute an estimate of the population 's standard deviation , the result is    s N = 1 N ∑ i = 1 N ( x i − x _̄ ) 2 . ( \ displaystyle s_ ( N ) = ( \ sqrt ( ( \ frac ( 1 ) ( N ) ) \ sum _ ( i = 1 ) ^ ( N ) ( x_ ( i ) - ( \ overline ( x ) ) ) ^ ( 2 ) ) ) . )    Here taking the square root introduces further downward bias , by Jensen 's inequality , due to the square root being a concave function . The bias in the variance is easily corrected , but the bias from the square root is more difficult to correct , and depends on the distribution in question .   An unbiased estimator for the variance is given by applying Bessel 's correction , using N − 1 instead of N to yield the unbiased sample variance , denoted s :    s 2 = 1 N − 1 ∑ i = 1 N ( x i − x _̄ ) 2 . ( \ displaystyle s ^ ( 2 ) = ( \ frac ( 1 ) ( N - 1 ) ) \ sum _ ( i = 1 ) ^ ( N ) ( x_ ( i ) - ( \ overline ( x ) ) ) ^ ( 2 ) . )    This estimator is unbiased if the variance exists and the sample values are drawn independently with replacement . N − 1 corresponds to the number of degrees of freedom in the vector of deviations from the mean , ( x 1 − x _̄ , ... , x n − x _̄ ) . ( \ displaystyle \ scriptstyle ( x_ ( 1 ) - ( \ overline ( x ) ) , \ ; \ dots , \ ; x_ ( n ) - ( \ overline ( x ) ) ) . )   Taking square roots reintroduces bias ( because the square root is a nonlinear function , which does not commute with the expectation ) , yielding the corrected sample standard deviation , denoted by s :    s = 1 N − 1 ∑ i = 1 N ( x i − x _̄ ) 2 . ( \ displaystyle s = ( \ sqrt ( ( \ frac ( 1 ) ( N - 1 ) ) \ sum _ ( i = 1 ) ^ ( N ) ( x_ ( i ) - ( \ overline ( x ) ) ) ^ ( 2 ) ) ) . )    As explained above , while s is an unbiased estimator for the population variance , s is still a biased estimator for the population standard deviation , though markedly less biased than the uncorrected sample standard deviation . The bias is still significant for small samples ( N less than 10 ) , and also drops off as 1 / N as sample size increases . This estimator is commonly used and generally known simply as the `` sample standard deviation '' .   Unbiased sample standard deviation ( edit )   For unbiased estimation of standard deviation , there is no formula that works across all distributions , unlike for mean and variance . Instead , s is used as a basis , and is scaled by a correction factor to produce an unbiased estimate . For the normal distribution , an unbiased estimator is given by s / c , where the correction factor ( which depends on N ) is given in terms of the Gamma function , and equals :    c 4 ( N ) = 2 N − 1 Γ ( N 2 ) Γ ( N − 1 2 ) . ( \ displaystyle c_ ( 4 ) ( N ) \ , = \ , ( \ sqrt ( \ frac ( 2 ) ( N - 1 ) ) ) \ , \ , \ , ( \ frac ( \ Gamma \ left ( ( \ frac ( N ) ( 2 ) ) \ right ) ) ( \ Gamma \ left ( ( \ frac ( N - 1 ) ( 2 ) ) \ right ) ) ) . )    This arises because the sampling distribution of the sample standard deviation follows a ( scaled ) chi distribution , and the correction factor is the mean of the chi distribution .   An approximation can be given by replacing N − 1 with N − 1.5 , yielding :    σ ^ = 1 N − 1.5 ∑ i = 1 N ( x i − x _̄ ) 2 , ( \ displaystyle ( \ hat ( \ sigma ) ) = ( \ sqrt ( ( \ frac ( 1 ) ( N - 1.5 ) ) \ sum _ ( i = 1 ) ^ ( N ) ( x_ ( i ) - ( \ bar ( x ) ) ) ^ ( 2 ) ) ) , )    The error in this approximation decays quadratically ( as 1 / N ) , and it is suited for all but the smallest samples or highest precision : for n = 3 the bias is equal to 1.3 % , and for n = 9 the bias is already less than 0.1 % .   For other distributions , the correct formula depends on the distribution , but a rule of thumb is to use the further refinement of the approximation :    σ ^ = 1 N − 1.5 − 1 4 γ 2 ∑ i = 1 N ( x i − x _̄ ) 2 , ( \ displaystyle ( \ hat ( \ sigma ) ) = ( \ sqrt ( ( \ frac ( 1 ) ( N - 1.5 - ( \ tfrac ( 1 ) ( 4 ) ) \ gamma _ ( 2 ) ) ) \ sum _ ( i = 1 ) ^ ( N ) ( x_ ( i ) - ( \ bar ( x ) ) ) ^ ( 2 ) ) ) , )    where γ denotes the population excess kurtosis . The excess kurtosis may be either known beforehand for certain distributions , or estimated from the data .   Confidence interval of a sampled standard deviation ( edit )  See also : Margin of error , Variance § Distribution of the sample variance , and Student's_t - distribution § Robust_parametric_modeling  The standard deviation we obtain by sampling a distribution is itself not absolutely accurate , both for mathematical reasons ( explained here by the confidence interval ) and for practical reasons of measurement ( measurement error ) . The mathematical effect can be described by the confidence interval or CI . To show how a larger sample will make the confidence interval narrower , consider the following examples : A small population of N = 2 has only 1 degree of freedom for estimating the standard deviation . The result is that a 95 % CI of the SD runs from 0.45 × SD to 31.9 × SD ; the factors here are as follows :    Pr ( q α / 2    where q p ( \ displaystyle q_ ( p ) ) is the p - th quantile of the chi - square distribution with k degrees of freedom , and 1 − α ( \ displaystyle 1 - \ alpha ) is the confidence level . This is equivalent to the following :    Pr ( k s 2 q 1 − α / 2    With k = 1 , q 0.025 = 0.000982 ( \ displaystyle q_ ( 0.025 ) = 0.000982 ) and q 0.975 = 5.024 ( \ displaystyle q_ ( 0.975 ) = 5.024 ) . The reciprocals of the square roots of these two numbers give us the factors 0.45 and 31.9 given above .   A larger population of N = 10 has 9 degrees of freedom for estimating the standard deviation . The same computations as above give us in this case a 95 % CI running from 0.69 * SD to 1.83 * SD . So even with a sample population of 10 , the actual SD can still be almost a factor 2 higher than the sampled SD . For a sample population N = 100 , this is down to 0.88 * SD to 1.16 * SD . To be more certain that the sampled SD is close to the actual SD we need to sample a large number of points .   These same formulae can be used to obtain confidence intervals on the variance of residuals from a least squares fit under standard normal theory , where k is now the number of degrees of freedom for error .   Identities and mathematical properties ( edit )   The standard deviation is invariant under changes in location , and scales directly with the scale of the random variable . Thus , for a constant c and random variables X and Y :    σ ( c ) = 0 ( \ displaystyle \ sigma ( c ) = 0 \ , )     σ ( X + c ) = σ ( X ) , ( \ displaystyle \ sigma ( X + c ) = \ sigma ( X ) , \ , )     σ ( c X ) = c σ ( X ) . ( \ displaystyle \ sigma ( cX ) = c \ sigma ( X ). \ , )    The standard deviation of the sum of two random variables can be related to their individual standard deviations and the covariance between them :    σ ( X + Y ) = var ⁡ ( X ) + var ⁡ ( Y ) + 2 cov ⁡ ( X , Y ) . ( \ displaystyle \ sigma ( X + Y ) = ( \ sqrt ( \ operatorname ( var ) ( X ) + \ operatorname ( var ) ( Y ) + 2 \ , \ operatorname ( cov ) ( X , Y ) ) ). \ , )    where var = σ 2 ( \ displaystyle \ scriptstyle \ operatorname ( var ) \ , = \ , \ sigma ^ ( 2 ) ) and cov ( \ displaystyle \ scriptstyle \ operatorname ( cov ) ) stand for variance and covariance , respectively .   The calculation of the sum of squared deviations can be related to moments calculated directly from the data . In the following formula , the letter E is interpreted to mean expected value , i.e. , mean .    σ ( X ) = E ( ( X − E ( X ) ) 2 ) = E ( X 2 ) − ( E ( X ) ) 2 . ( \ displaystyle \ sigma ( X ) = ( \ sqrt ( E ( ( X-E ( X ) ) ^ ( 2 ) ) ) ) = ( \ sqrt ( E ( X ^ ( 2 ) ) - ( E ( X ) ) ^ ( 2 ) ) ) . )    The sample standard deviation can be computed as :    s ( X ) = N N − 1 E ( ( X − E ( X ) ) 2 ) . ( \ displaystyle s ( X ) = ( \ sqrt ( \ frac ( N ) ( N - 1 ) ) ) ( \ sqrt ( E ( ( X-E ( X ) ) ^ ( 2 ) ) ) ) . )    For a finite population with equal probabilities at all points , we have    1 N ∑ i = 1 N ( x i − x _̄ ) 2 = 1 N ( ∑ i = 1 N x i 2 ) − x _̄ 2 = ( 1 N ∑ i = 1 N x i 2 ) − ( 1 N ∑ i = 1 N x i ) 2 . ( \ displaystyle ( \ sqrt ( ( \ frac ( 1 ) ( N ) ) \ sum _ ( i = 1 ) ^ ( N ) ( x_ ( i ) - ( \ overline ( x ) ) ) ^ ( 2 ) ) ) = ( \ sqrt ( ( \ frac ( 1 ) ( N ) ) \ left ( \ sum _ ( i = 1 ) ^ ( N ) x_ ( i ) ^ ( 2 ) \ right ) - ( \ overline ( x ) ) ^ ( 2 ) ) ) = ( \ sqrt ( \ left ( ( \ frac ( 1 ) ( N ) ) \ sum _ ( i = 1 ) ^ ( N ) x_ ( i ) ^ ( 2 ) \ right ) - \ left ( ( \ frac ( 1 ) ( N ) ) \ sum _ ( i = 1 ) ^ ( N ) x_ ( i ) \ right ) ^ ( 2 ) ) ) . )    This means that the standard deviation is equal to the square root of the difference between the average of the squares of the values and the square of the average value . See computational formula for the variance for proof , and for an analogous result for the sample standard deviation .   Interpretation and application ( edit )  Further information : Prediction interval and Confidence interval Example of samples from two populations with the same mean but different standard deviations . Red population has mean 100 and SD 10 ; blue population has mean 100 and SD 50 .  A large standard deviation indicates that the data points can spread far from the mean and a small standard deviation indicates that they are clustered closely around the mean .   For example , each of the three populations ( 0 , 0 , 14 , 14 ) , ( 0 , 6 , 8 , 14 ) and ( 6 , 6 , 8 , 8 ) has a mean of 7 . Their standard deviations are 7 , 5 , and 1 , respectively . The third population has a much smaller standard deviation than the other two because its values are all close to 7 . It will have the same units as the data points themselves . If , for instance , the data set ( 0 , 6 , 8 , 14 ) represents the ages of a population of four siblings in years , the standard deviation is 5 years . As another example , the population ( 1000 , 1006 , 1008 , 1014 ) may represent the distances traveled by four athletes , measured in meters . It has a mean of 1007 meters , and a standard deviation of 5 meters .   Standard deviation may serve as a measure of uncertainty . In physical science , for example , the reported standard deviation of a group of repeated measurements gives the precision of those measurements . When deciding whether measurements agree with a theoretical prediction , the standard deviation of those measurements is of crucial importance : if the mean of the measurements is too far away from the prediction ( with the distance measured in standard deviations ) , then the theory being tested probably needs to be revised . This makes sense since they fall outside the range of values that could reasonably be expected to occur , if the prediction were correct and the standard deviation appropriately quantified . See prediction interval .   While the standard deviation does measure how far typical values tend to be from the mean , other measures are available . An example is the mean absolute deviation , which might be considered a more direct measure of average distance , compared to the root mean square distance inherent in the standard deviation .   Application examples ( edit )   The practical value of understanding the standard deviation of a set of values is in appreciating how much variation there is from the average ( mean ) .  Experiment , industrial and hypothesis testing ( edit )  Standard deviation is often used to compare real - world data against a model to test the model . For example , in industrial applications the weight of products coming off a production line may need to comply with a legally required value . By weighing some fraction of the products an average weight can be found , which will always be slightly different to the long - term average . By using standard deviations , a minimum and maximum value can be calculated that the averaged weight will be within some very high percentage of the time ( 99.9 % or more ) . If it falls outside the range then the production process may need to be corrected . Statistical tests such as these are particularly important when the testing is relatively expensive . For example , if the product needs to be opened and drained and weighed , or if the product was otherwise used up by the test .   In experimental science , a theoretical model of reality is used . Particle physics conventionally uses a standard of `` 5 sigma '' for the declaration of a discovery . A five - sigma level translates to one chance in 3.5 million that a random fluctuation would yield the result . This level of certainty was required in order to assert that a particle consistent with the Higgs boson had been discovered in two independent experiments at CERN , and this was also the significance level leading to the declaration of the first detection of gravitational waves .  Weather ( edit )  As a simple example , consider the average daily maximum temperatures for two cities , one inland and one on the coast . It is helpful to understand that the range of daily maximum temperatures for cities near the coast is smaller than for cities inland . Thus , while these two cities may each have the same average maximum temperature , the standard deviation of the daily maximum temperature for the coastal city will be less than that of the inland city as , on any particular day , the actual maximum temperature is more likely to be farther from the average maximum temperature for the inland city than for the coastal one .  Finance ( edit )  In finance , standard deviation is often used as a measure of the risk associated with price - fluctuations of a given asset ( stocks , bonds , property , etc . ) , or the risk of a portfolio of assets ( actively managed mutual funds , index mutual funds , or ETFs ) . Risk is an important factor in determining how to efficiently manage a portfolio of investments because it determines the variation in returns on the asset and / or portfolio and gives investors a mathematical basis for investment decisions ( known as mean - variance optimization ) . The fundamental concept</t>
  </si>
  <si>
    <t xml:space="preserve">the standard deviation of all possible values is called the</t>
  </si>
  <si>
    <t xml:space="preserve"> In addition to expressing the variability of a population , the standard deviation is commonly used to measure confidence in statistical conclusions . For example , the margin of error in polling data is determined by calculating the expected standard deviation in the results if the same poll were to be conducted multiple times . This derivation of a standard deviation is often called the `` standard error '' of the estimate or `` standard error of the mean '' when referring to a mean . It is computed as the standard deviation of all the means that would be computed from that population if an infinite number of samples were drawn and a mean for each sample were computed . It is very important to note that the standard deviation of a population and the standard error of a statistic derived from that population ( such as the mean ) are quite different but related ( related by the inverse of the square root of the number of observations ) . The reported margin of error of a poll is computed from the standard error of the mean ( or alternatively from the product of the standard deviation of the population and the inverse of the square root of the sample size , which is the same thing ) and is typically about twice the standard deviation -- the half - width of a 95 percent confidence interval . In science , researchers commonly report the standard deviation of experimental data , and only effects that fall much farther than two standard deviations away from what would have been expected are considered statistically significant -- normal random error or variation in the measurements is in this way distinguished from likely genuine effects or associations . The standard deviation is also important in finance , where the standard deviation on the rate of return on an investment is a measure of the volatility of the investment . </t>
  </si>
  <si>
    <t xml:space="preserve">U.S. state Temperature Extremes - wikipedia  U.S. state Temperature Extremes  Jump to : navigation , search  The following table lists the highest and lowest temperatures recorded in each state in the United States , in both Fahrenheit and Celsius during the past two centuries .     State   Record high temperature   Date   Place ( s )   Record low temperature   Date   Place ( s )     Alabama   110 ° F / 44 ° C   000000001925 - 09 - 05 - 0000 September 5 , 1925   Centreville   − 27 ° F / − 33 ° C   000000001966 - 01 - 30 - 0000 January 30 , 1966   New Market     Alaska   100 ° F / 38 ° C   000000001915 - 06 - 27 - 0000 June 27 , 1915   Fort Yukon   − 80 ° F / − 62 ° C   000000001971 - 01 - 23 - 0000 January 23 , 1971   Prospect Creek     Arizona   128 ° F / 53 ° C   000000001994 - 06 - 29 - 0000 June 29 , 1994   Lake Havasu City   − 40 ° F / − 40 ° C   000000001971 - 01 - 07 - 0000 January 7 , 1971   McNary     Arkansas   120 ° F / 49 ° C   000000001936 - 08 - 10 - 0000 August 10 , 1936   Ozark   − 29 ° F / − 34 ° C   000000001905 - 02 - 13 - 0000 February 13 , 1905   Gravette     California   134 ° F / 57 ° C   000000001913 - 07 - 10 - 0000 July 10 , 1913   Furnace Creek   − 45 ° F / − 43 ° C   000000001937 - 01 - 20 - 0000 January 20 , 1937   Boca     Colorado   114 ° F / 46 ° C   000000001954 - 07 - 11 - 0000 July 11 , 1954   Sedgwick   − 61 ° F / − 52 ° C   000000001985 - 02 - 01 - 0000 February 1 , 1985   Maybell     Connecticut   106 ° F / 41 ° C   000000001995 - 07 - 15 - 0000 July 15 , 1995   Danbury   − 37 ° F / − 38 ° C   000000001943 - 02 - 16 - 0000 February 16 , 1943   Norfolk     Delaware   110 ° F / 43 ° C   000000001930 - 07 - 21 - 0000 July 21 , 1930   Millsboro   − 17 ° F / − 27 ° C   000000001893 - 01 - 17 - 0000 January 17 , 1893   Millsboro     District of Columbia   106 ° F / 41 ° C   000000001930 - 07 - 20 - 0000 July 20 , 1930   Washington   − 15 ° F / − 26 ° C   000000001899 - 02 - 11 - 0000 February 11 , 1899   Washington     Florida   109 ° F / 43 ° C   000000001931 - 06 - 29 - 0000 June 29 , 1931   Monticello   − 2 ° F / − 19 ° C   000000001899 - 02 - 13 - 0000 February 13 , 1899   Tallahassee     Georgia   112 ° F / 44 ° C   000000001983 - 08 - 20 - 0000 August 20 , 1983 *   Greenville   − 17 ° F / − 27 ° C   000000001940 - 01 - 27 - 0000 January 27 , 1940   Chatsworth     Hawaii   98 ° F / 37 ° C   000000001957 - 07 - 14 - 0000 July 14 , 1957   Puunene *   15 ° F / - 9 ° C   000000001975 - 01 - 05 - 0000 January 5 , 1975   Mauna Kea Observatories     Idaho   118 ° F / 48 ° C   000000001934 - 07 - 28 - 0000 July 28 , 1934   Orofino   − 60 ° F / − 51 ° C   000000001943 - 01 - 18 - 0000 January 18 , 1943   Island Park     Illinois   117 ° F / 47 ° C   000000001954 - 07 - 14 - 0000 July 14 , 1954   East Saint Louis   − 36 ° F / − 38 ° C   000000001999 - 01 - 05 - 0000 January 5 , 1999   Congerville     Indiana   116 ° F / 47 ° C   000000001936 - 07 - 14 - 0000 July 14 , 1936   Collegeville   − 36 ° F / − 38 ° C   000000001994 - 01 - 19 - 0000 January 19 , 1994   New Whiteland     Iowa   118 ° F / 48 ° C   000000001934 - 07 - 20 - 0000 July 20 , 1934   Keokuk   − 47 ° F / − 44 ° C   000000001996 - 02 - 03 - 0000 February 3 , 1996 *   Elkader     Kansas   121 ° F / 49 ° C   000000001936 - 07 - 24 - 0000 July 24 , 1936 *   Alton   − 40 ° F / − 40 ° C   000000001905 - 02 - 13 - 0000 February 13 , 1905   Lebanon     Kentucky   114 ° F / 46 ° C   000000001930 - 07 - 28 - 0000 July 28 , 1930   Greensburg   − 37 ° F / − 38 ° C   000000001994 - 01 - 19 - 0000 January 19 , 1994   Shelbyville     Louisiana   114 ° F / 46 ° C   000000001936 - 08 - 10 - 0000 August 10 , 1936   Plain Dealing   − 16 ° F / − 27 ° C   000000001899 - 02 - 13 - 0000 February 13 , 1899   Minden     Maine   105 ° F / 41 ° C   000000001911 - 07 - 10 - 0000 July 10 , 1911 *   North Bridgton   − 50 ° F / − 46 ° C   000000002009 - 01 - 16 - 0000 January 16 , 2009   Clayton Lake     Maryland   109 ° F / 43 ° C   000000001936 - 07 - 10 - 0000 July 10 , 1936 *   Cumberland   − 40 ° F / − 40 ° C   000000001912 - 01 - 13 - 0000 January 13 , 1912   Oakland     Massachusetts   107 ° F / 42 ° C   000000001975 - 08 - 02 - 0000 August 2 , 1975   New Bedford   − 40 ° F / − 40 ° C   000000001984 - 01 - 22 - 0000 January 22 , 1984   Chester     Michigan   112 ° F / 44 ° C   000000001936 - 07 - 13 - 0000 July 13 , 1936   Mio   − 51 ° F / − 46 ° C   000000001934 - 02 - 09 - 0000 February 9 , 1934   Vanderbilt     Minnesota   115 ° F / 46 ° C   000000001917 - 07 - 29 - 0000 July 29 , 1917   Beardsley   − 60 ° F / − 51 ° C   000000001996 - 02 - 02 - 0000 February 2 , 1996   Tower     Mississippi   115 ° F / 46 ° C   000000001930 - 07 - 29 - 0000 July 29 , 1930   Holly Springs   − 19 ° F / − 28 ° C   000000001966 - 01 - 30 - 0000 January 30 , 1966   Corinth     Missouri   118 ° F / 48 ° C   000000001954 - 07 - 14 - 0000 July 14 , 1954 *   Warsaw   − 40 ° F / − 40 ° C   000000001905 - 02 - 13 - 0000 February 13 , 1905   Warsaw     Montana   117 ° F / 47 ° C   000000001937 - 07 - 05 - 0000 July 5 , 1937   Medicine Lake   − 70 ° F / − 57 ° C   000000001954 - 01 - 20 - 0000 January 20 , 1954   Lincoln ( Rogers Pass )     Nebraska   118 ° F / 48 ° C   000000001936 - 07 - 24 - 0000 July 24 , 1936 *   Minden   − 47 ° F / − 44 ° C   000000001989 - 12 - 22 - 0000 December 22 , 1989 *   Oshkosh     Nevada   125 ° F / 52 ° C   000000001994 - 06 - 29 - 0000 June 29 , 1994   Laughlin   − 50 ° F / − 46 ° C   000000001937 - 01 - 08 - 0000 January 8 , 1937   San Jacinto     New Hampshire   106 ° F / 41 ° C   000000001911 - 07 - 04 - 0000 July 4 , 1911   Nashua   − 47 ° F / − 44 ° C   000000001885 - 01 - 22 - 0000 January 22 , 1885   Randolph     New Jersey   110 ° F / 43 ° C   000000001936 - 07 - 10 - 0000 July 10 , 1936   Runyon   − 34 ° F / − 37 ° C   000000001904 - 01 - 05 - 0000 January 5 , 1904   River Vale     New Mexico   122 ° F / 50 ° C   000000001994 - 06 - 27 - 0000 June 27 , 1994   Waste Isolation Pilot Plant   − 50 ° F / − 46 ° C   000000001951 - 02 - 01 - 0000 February 1 , 1951   Gavilan     New York   109 ° F / 43 ° C   000000001926 - 07 - 22 - 0000 July 22 , 1926   Troy   − 52 ° F / − 47 ° C   000000001979 - 02 - 18 - 0000 February 18 , 1979 *   Old Forge     North Carolina   110 ° F / 43 ° C   000000001983 - 08 - 21 - 0000 August 21 , 1983   Fayetteville   − 34 ° F / − 37 ° C   000000001985 - 01 - 21 - 0000 January 21 , 1985   Burnsville     North Dakota   121 ° F / 49 ° C   000000001936 - 07 - 06 - 0000 July 6 , 1936   Steele   − 60 ° F / − 51 ° C   000000001936 - 02 - 15 - 0000 February 15 , 1936   Parshall     Ohio   113 ° F / 45 ° C   000000001934 - 07 - 21 - 0000 July 21 , 1934   Gallipolis   − 39 ° F / − 39 ° C   000000001899 - 02 - 10 - 0000 February 10 , 1899   Milligan     Oklahoma   120 ° F / 49 ° C   000000001936 - 08 - 12 - 0000 August 12 , 1936 *   Altus   − 31 ° F / − 35 ° C   000000002011 - 02 - 10 - 0000 February 10 , 2011   Nowata     Oregon   117 ° F / 47 ° C   000000001939 - 07 - 27 - 0000 July 27 , 1939   Umatilla   − 54 ° F / − 48 ° C   000000001933 - 02 - 10 - 0000 February 10 , 1933 *   Seneca     Pennsylvania   111 ° F / 44 ° C   000000001936 - 07 - 10 - 0000 July 10 , 1936 *   Phoenixville   − 42 ° F / − 41 ° C   000000001904 - 01 - 05 - 0000 January 5 , 1904   Smethport     Rhode Island   104 ° F / 40 ° C   000000001975 - 08 - 02 - 0000 August 2 , 1975   Providence   − 28 ° F / − 33 ° C   000000001942 - 01 - 17 - 0000 January 17 , 1942   Richmond     South Carolina   113 ° F / 45 ° C   000000002012 - 06 - 30 - 0000 June 30 , 2012 *   Camden   − 22 ° F / − 30 ° C   000000001985 - 01 - 21 - 0000 January 21 , 1985   Landrum     South Dakota   120 ° F / 49 ° C   000000002006 - 07 - 15 - 0000 July 15 , 2006 *   Fort Pierre *   − 58 ° F / − 50 ° C   000000001936 - 02 - 17 - 0000 February 17 , 1936   McIntosh     Tennessee   113 ° F / 45 ° C   000000001933 - 08 - 09 - 0000 August 9 , 1933 *   Perryville   − 32 ° F / − 36 ° C   000000001917 - 12 - 30 - 0000 December 30 , 1917   Mountain City     Texas   120 ° F / 49 ° C   000000001994 - 06 - 28 - 0000 June 28 , 1994 *   Monahans   − 23 ° F / − 31 ° C   000000001933 - 02 - 08 - 0000 February 8 , 1933 *   Seminole     Utah   117 ° F / 47 ° C   000000001985 - 07 - 05 - 0000 July 5 , 1985   Saint George   − 69 ° F / − 46 ° C   000000001985 - 02 - 01 - 0000 February 1 , 1985   Peter Sinks     Vermont   105 ° F / 41 ° C   000000001911 - 07 - 04 - 0000 July 4 , 1911   Vernon   − 50 ° F / − 46 ° C   000000001933 - 12 - 30 - 0000 December 30 , 1933   Bloomfield     Virginia   110 ° F / 43 ° C   000000001954 - 07 - 15 - 0000 July 15 , 1954   Balcony Falls   − 30 ° F / − 34 ° C   000000001985 - 01 - 22 - 0000 January 22 , 1985   Pembroke     Washington   118 ° F / 48 ° C   000000001961 - 08 - 05 - 0000 August 5 , 1961 *   Burbank   − 48 ° F / − 44 ° C   000000001968 - 12 - 30 - 0000 December 30 , 1968   Mazama     West Virginia   112 ° F / 44 ° C   000000001936 - 07 - 10 - 0000 July 10 , 1936 *   Martinsburg   − 37 ° F / − 38 ° C   000000001917 - 12 - 30 - 0000 December 30 , 1917   Lewisburg     Wisconsin   114 ° F / 46 ° C   000000001936 - 07 - 13 - 0000 July 13 , 1936   Wisconsin Dells   − 55 ° F / − 48 ° C   000000001996 - 02 - 04 - 0000 February 4 , 1996   Couderay     Wyoming   115 ° F / 46 ° C   000000001983 - 08 - 08 - 0000 August 8 , 1983   Basin   − 63 ° F / − 53 ° C   000000001933 - 02 - 09 - 0000 February 9 , 1933   Moran     * Also on earlier date or dates in that state   References ( edit )    Jump up ^ National Climatic Data Center . `` State Climate Extremes Committee ( SCsEC ) '' . Retrieved 2015 - 02 - 14 .   ^ Jump up to : : Christopher C. Burt . `` Some Errors in the NCDC U.S.A. State Weather Extreme Records Data : Part 2 '' . wunderground.com . Archived from the original on 2015 - 10 - 12 . CS1 maint : BOT : original - url status unknown ( link )   ^ Jump up to : : Christopher C. Burt . `` Some Errors in the NCDC U.S.A. State Weather Extreme Records Data : Part 1 '' . wunderground.com . Archived from the original on 2015 - 10 - 12 . CS1 maint : BOT : original - url status unknown ( link )   Jump up ^ `` Peter Sinks Temperature Monitoring '' . Utah Climate Center . Retrieved February 20 , 2018 .    External links ( edit )    NOAA Satellite and Information Service , National Climatic Data Center   NOAA Website - Weather Extremes   NOAA Website - Record Highest Temperatures by State   NOAA Website - Record Lowest Temperatures by State                Extreme temperatures around the world       Afghanistan   Albania   Algeria   Andorra   Angola   Antigua and Barbuda   Argentina   Armenia   Australia   Austria   Azerbaijan   Bahamas   Bahrain   Bangladesh   Barbados   Belarus   Belgium   Belize   Benin   Bhutan   Bolivia   Bosnia and Herzegovina   Botswana   Brazil   Brunei   Bulgaria   Burkina Faso   Burundi   Cambodia   Cameroon   Canada   Cape Verde   Central African Republic   Chad   Chile   China   Colombia   Comoros   Costa Rica   Croatia   Cuba   Cyprus   Czech Republic   Democratic Republic of the Congo   Denmark   Djibouti   Dominica   Dominican Republic   East Timor   Ecuador   Egypt   El Salvador   Equatorial Guinea   Eritrea   Estonia   Ethiopia   Federated States of Micronesia   Fiji   Finland   France   Gabon   Gambia   Georgia   Germany   Ghana   Greece   Grenada   Guatemala   Guinea   Guinea - Bissau   Guyana   Haiti   Honduras   Hungary   Iceland   India   Indonesia   Iran   Iraq   Ireland   Israel   Italy   Ivory Coast   Jamaica   Japan   Jordan   Kazakhstan   Kenya   Kiribati   Kosovo   Kuwait   Kyrgyzstan   Laos   Latvia   Lebanon   Lesotho   Liberia   Libya   Liechtenstein   Lithuania   Luxembourg   Madagascar   Malawi   Malaysia   Maldives   Mali   Malta   Marshall Islands   Mauritania   Mauritius   Mexico   Moldova   Monaco   Mongolia   Montenegro   Morocco   Mozambique   Myanmar   Namibia   Nauru   Nepal   Netherlands   New Zealand   Nicaragua   Niger   Nigeria   North Korea   Norway   Oman   Pakistan   Palau   Palestine   Panama   Papua New Guinea   Paraguay   Peru   Philippines   Poland   Portugal   Qatar   Republic of Macedonia   Republic of the Congo   Romania   Russia   Rwanda   Saint Kitts and Nevis   Saint Lucia   Saint Vincent and the Grenadines   Samoa   San Marino   Saudi Arabia   Senegal   Serbia   Seychelles   Sierra Leone   Singapore   Slovakia   Slovenia   Solomon Islands   Somalia   South Africa   South Korea   South Sudan   Spain   Sri Lanka   Sudan   Suriname   Swaziland   Sweden   Switzerland   Syria   São Tomé and Príncipe   Taiwan   Tajikistan   Tanzania   Thailand   Togo   Tonga   Trinidad and Tobago   Tunisia   Turkey   Turkmenistan   Tuvalu   Uganda   Ukraine   United Arab Emirates   United Kingdom   United States   Uruguay   Uzbekistan   Vanuatu   Vatican City   Venezuela   Vietnam   Western Sahara   Yemen   Zambia   Zimbabwe        Weather portal   Retrieved from `` https://en.wikipedia.org/w/index.php?title=U.S._state_temperature_extremes&amp;oldid=826696733 '' Categories :   Climatology   Lists of states of the United States   Hidden categories :   CS1 maint : BOT : original - url status unknown           Talk                                                             About Wikipedia                                           Add links   This page was last edited on 20 February 2018 , at 15 : 02 .         About Wikipedia                    </t>
  </si>
  <si>
    <t xml:space="preserve">what is the lowest temperature ever recorded in vermont</t>
  </si>
  <si>
    <t xml:space="preserve">   State   Record high temperature   Date   Place ( s )   Record low temperature   Date   Place ( s )     Alabama   110 ° F / 44 ° C   000000001925 - 09 - 05 - 0000 September 5 , 1925   Centreville   − 27 ° F / − 33 ° C   000000001966 - 01 - 30 - 0000 January 30 , 1966   New Market     Alaska   100 ° F / 38 ° C   000000001915 - 06 - 27 - 0000 June 27 , 1915   Fort Yukon   − 80 ° F / − 62 ° C   000000001971 - 01 - 23 - 0000 January 23 , 1971   Prospect Creek     Arizona   128 ° F / 53 ° C   000000001994 - 06 - 29 - 0000 June 29 , 1994   Lake Havasu City   − 40 ° F / − 40 ° C   000000001971 - 01 - 07 - 0000 January 7 , 1971   McNary     Arkansas   120 ° F / 49 ° C   000000001936 - 08 - 10 - 0000 August 10 , 1936   Ozark   − 29 ° F / − 34 ° C   000000001905 - 02 - 13 - 0000 February 13 , 1905   Gravette     California   134 ° F / 57 ° C   000000001913 - 07 - 10 - 0000 July 10 , 1913   Furnace Creek   − 45 ° F / − 43 ° C   000000001937 - 01 - 20 - 0000 January 20 , 1937   Boca     Colorado   114 ° F / 46 ° C   000000001954 - 07 - 11 - 0000 July 11 , 1954   Sedgwick   − 61 ° F / − 52 ° C   000000001985 - 02 - 01 - 0000 February 1 , 1985   Maybell     Connecticut   106 ° F / 41 ° C   000000001995 - 07 - 15 - 0000 July 15 , 1995   Danbury   − 37 ° F / − 38 ° C   000000001943 - 02 - 16 - 0000 February 16 , 1943   Norfolk     Delaware   110 ° F / 43 ° C   000000001930 - 07 - 21 - 0000 July 21 , 1930   Millsboro   − 17 ° F / − 27 ° C   000000001893 - 01 - 17 - 0000 January 17 , 1893   Millsboro     District of Columbia   106 ° F / 41 ° C   000000001930 - 07 - 20 - 0000 July 20 , 1930   Washington   − 15 ° F / − 26 ° C   000000001899 - 02 - 11 - 0000 February 11 , 1899   Washington     Florida   109 ° F / 43 ° C   000000001931 - 06 - 29 - 0000 June 29 , 1931   Monticello   − 2 ° F / − 19 ° C   000000001899 - 02 - 13 - 0000 February 13 , 1899   Tallahassee     Georgia   112 ° F / 44 ° C   000000001983 - 08 - 20 - 0000 August 20 , 1983 *   Greenville   − 17 ° F / − 27 ° C   000000001940 - 01 - 27 - 0000 January 27 , 1940   Chatsworth     Hawaii   98 ° F / 37 ° C   000000001957 - 07 - 14 - 0000 July 14 , 1957   Puunene *   15 ° F / - 9 ° C   000000001975 - 01 - 05 - 0000 January 5 , 1975   Mauna Kea Observatories     Idaho   118 ° F / 48 ° C   000000001934 - 07 - 28 - 0000 July 28 , 1934   Orofino   − 60 ° F / − 51 ° C   000000001943 - 01 - 18 - 0000 January 18 , 1943   Island Park     Illinois   117 ° F / 47 ° C   000000001954 - 07 - 14 - 0000 July 14 , 1954   East Saint Louis   − 36 ° F / − 38 ° C   000000001999 - 01 - 05 - 0000 January 5 , 1999   Congerville     Indiana   116 ° F / 47 ° C   000000001936 - 07 - 14 - 0000 July 14 , 1936   Collegeville   − 36 ° F / − 38 ° C   000000001994 - 01 - 19 - 0000 January 19 , 1994   New Whiteland     Iowa   118 ° F / 48 ° C   000000001934 - 07 - 20 - 0000 July 20 , 1934   Keokuk   − 47 ° F / − 44 ° C   000000001996 - 02 - 03 - 0000 February 3 , 1996 *   Elkader     Kansas   121 ° F / 49 ° C   000000001936 - 07 - 24 - 0000 July 24 , 1936 *   Alton   − 40 ° F / − 40 ° C   000000001905 - 02 - 13 - 0000 February 13 , 1905   Lebanon     Kentucky   114 ° F / 46 ° C   000000001930 - 07 - 28 - 0000 July 28 , 1930   Greensburg   − 37 ° F / − 38 ° C   000000001994 - 01 - 19 - 0000 January 19 , 1994   Shelbyville     Louisiana   114 ° F / 46 ° C   000000001936 - 08 - 10 - 0000 August 10 , 1936   Plain Dealing   − 16 ° F / − 27 ° C   000000001899 - 02 - 13 - 0000 February 13 , 1899   Minden     Maine   105 ° F / 41 ° C   000000001911 - 07 - 10 - 0000 July 10 , 1911 *   North Bridgton   − 50 ° F / − 46 ° C   000000002009 - 01 - 16 - 0000 January 16 , 2009   Clayton Lake     Maryland   109 ° F / 43 ° C   000000001936 - 07 - 10 - 0000 July 10 , 1936 *   Cumberland   − 40 ° F / − 40 ° C   000000001912 - 01 - 13 - 0000 January 13 , 1912   Oakland     Massachusetts   107 ° F / 42 ° C   000000001975 - 08 - 02 - 0000 August 2 , 1975   New Bedford   − 40 ° F / − 40 ° C   000000001984 - 01 - 22 - 0000 January 22 , 1984   Chester     Michigan   112 ° F / 44 ° C   000000001936 - 07 - 13 - 0000 July 13 , 1936   Mio   − 51 ° F / − 46 ° C   000000001934 - 02 - 09 - 0000 February 9 , 1934   Vanderbilt     Minnesota   115 ° F / 46 ° C   000000001917 - 07 - 29 - 0000 July 29 , 1917   Beardsley   − 60 ° F / − 51 ° C   000000001996 - 02 - 02 - 0000 February 2 , 1996   Tower     Mississippi   115 ° F / 46 ° C   000000001930 - 07 - 29 - 0000 July 29 , 1930   Holly Springs   − 19 ° F / − 28 ° C   000000001966 - 01 - 30 - 0000 January 30 , 1966   Corinth     Missouri   118 ° F / 48 ° C   000000001954 - 07 - 14 - 0000 July 14 , 1954 *   Warsaw   − 40 ° F / − 40 ° C   000000001905 - 02 - 13 - 0000 February 13 , 1905   Warsaw     Montana   117 ° F / 47 ° C   000000001937 - 07 - 05 - 0000 July 5 , 1937   Medicine Lake   − 70 ° F / − 57 ° C   000000001954 - 01 - 20 - 0000 January 20 , 1954   Lincoln ( Rogers Pass )     Nebraska   118 ° F / 48 ° C   000000001936 - 07 - 24 - 0000 July 24 , 1936 *   Minden   − 47 ° F / − 44 ° C   000000001989 - 12 - 22 - 0000 December 22 , 1989 *   Oshkosh     Nevada   125 ° F / 52 ° C   000000001994 - 06 - 29 - 0000 June 29 , 1994   Laughlin   − 50 ° F / − 46 ° C   000000001937 - 01 - 08 - 0000 January 8 , 1937   San Jacinto     New Hampshire   106 ° F / 41 ° C   000000001911 - 07 - 04 - 0000 July 4 , 1911   Nashua   − 47 ° F / − 44 ° C   000000001885 - 01 - 22 - 0000 January 22 , 1885   Randolph     New Jersey   110 ° F / 43 ° C   000000001936 - 07 - 10 - 0000 July 10 , 1936   Runyon   − 34 ° F / − 37 ° C   000000001904 - 01 - 05 - 0000 January 5 , 1904   River Vale     New Mexico   122 ° F / 50 ° C   000000001994 - 06 - 27 - 0000 June 27 , 1994   Waste Isolation Pilot Plant   − 50 ° F / − 46 ° C   000000001951 - 02 - 01 - 0000 February 1 , 1951   Gavilan     New York   109 ° F / 43 ° C   000000001926 - 07 - 22 - 0000 July 22 , 1926   Troy   − 52 ° F / − 47 ° C   000000001979 - 02 - 18 - 0000 February 18 , 1979 *   Old Forge     North Carolina   110 ° F / 43 ° C   000000001983 - 08 - 21 - 0000 August 21 , 1983   Fayetteville   − 34 ° F / − 37 ° C   000000001985 - 01 - 21 - 0000 January 21 , 1985   Burnsville     North Dakota   121 ° F / 49 ° C   000000001936 - 07 - 06 - 0000 July 6 , 1936   Steele   − 60 ° F / − 51 ° C   000000001936 - 02 - 15 - 0000 February 15 , 1936   Parshall     Ohio   113 ° F / 45 ° C   000000001934 - 07 - 21 - 0000 July 21 , 1934   Gallipolis   − 39 ° F / − 39 ° C   000000001899 - 02 - 10 - 0000 February 10 , 1899   Milligan     Oklahoma   120 ° F / 49 ° C   000000001936 - 08 - 12 - 0000 August 12 , 1936 *   Altus   − 31 ° F / − 35 ° C   000000002011 - 02 - 10 - 0000 February 10 , 2011   Nowata     Oregon   117 ° F / 47 ° C   000000001939 - 07 - 27 - 0000 July 27 , 1939   Umatilla   − 54 ° F / − 48 ° C   000000001933 - 02 - 10 - 0000 February 10 , 1933 *   Seneca     Pennsylvania   111 ° F / 44 ° C   000000001936 - 07 - 10 - 0000 July 10 , 1936 *   Phoenixville   − 42 ° F / − 41 ° C   000000001904 - 01 - 05 - 0000 January 5 , 1904   Smethport     Rhode Island   104 ° F / 40 ° C   000000001975 - 08 - 02 - 0000 August 2 , 1975   Providence   − 28 ° F / − 33 ° C   000000001942 - 01 - 17 - 0000 January 17 , 1942   Richmond     South Carolina   113 ° F / 45 ° C   000000002012 - 06 - 30 - 0000 June 30 , 2012 *   Camden   − 22 ° F / − 30 ° C   000000001985 - 01 - 21 - 0000 January 21 , 1985   Landrum     South Dakota   120 ° F / 49 ° C   000000002006 - 07 - 15 - 0000 July 15 , 2006 *   Fort Pierre *   − 58 ° F / − 50 ° C   000000001936 - 02 - 17 - 0000 February 17 , 1936   McIntosh     Tennessee   113 ° F / 45 ° C   000000001933 - 08 - 09 - 0000 August 9 , 1933 *   Perryville   − 32 ° F / − 36 ° C   000000001917 - 12 - 30 - 0000 December 30 , 1917   Mountain City     Texas   120 ° F / 49 ° C   000000001994 - 06 - 28 - 0000 June 28 , 1994 *   Monahans   − 23 ° F / − 31 ° C   000000001933 - 02 - 08 - 0000 February 8 , 1933 *   Seminole     Utah   117 ° F / 47 ° C   000000001985 - 07 - 05 - 0000 July 5 , 1985   Saint George   − 69 ° F / − 46 ° C   000000001985 - 02 - 01 - 0000 February 1 , 1985   Peter Sinks     Vermont   105 ° F / 41 ° C   000000001911 - 07 - 04 - 0000 July 4 , 1911   Vernon   − 50 ° F / − 46 ° C   000000001933 - 12 - 30 - 0000 December 30 , 1933   Bloomfield     Virginia   110 ° F / 43 ° C   000000001954 - 07 - 15 - 0000 July 15 , 1954   Balcony Falls   − 30 ° F / − 34 ° C   000000001985 - 01 - 22 - 0000 January 22 , 1985   Pembroke     Washington   118 ° F / 48 ° C   000000001961 - 08 - 05 - 0000 August 5 , 1961 *   Burbank   − 48 ° F / − 44 ° C   000000001968 - 12 - 30 - 0000 December 30 , 1968   Mazama     West Virginia   112 ° F / 44 ° C   000000001936 - 07 - 10 - 0000 July 10 , 1936 *   Martinsburg   − 37 ° F / − 38 ° C   000000001917 - 12 - 30 - 0000 December 30 , 1917   Lewisburg     Wisconsin   114 ° F / 46 ° C   000000001936 - 07 - 13 - 0000 July 13 , 1936   Wisconsin Dells   − 55 ° F / − 48 ° C   000000001996 - 02 - 04 - 0000 February 4 , 1996   Couderay     Wyoming   115 ° F / 46 ° C   000000001983 - 08 - 08 - 0000 August 8 , 1983   Basin   − 63 ° F / − 53 ° C   000000001933 - 02 - 09 - 0000 February 9 , 1933   Moran   </t>
  </si>
  <si>
    <t xml:space="preserve">1980 eruption of Mount St. Helens - wikipedia  1980 eruption of Mount St. Helens       1980 eruption of Mt . St. Helens     Photograph of the eruption column , May 18 , 1980     Volcano   Mount St. Helens     Date   May 18 , 1980 ; 38 years ago ( 1980 - 05 - 18 )     Time   8 : 32 am PDT     Type   Plinian , Peléan     Location   Skamania County , Washington , U.S. 46 ° 12 ′ 1 '' N 122 ° 11 ′ 12 '' W ﻿ / ﻿ 46.20028 ° N 122.18667 ° W ﻿ / 46.20028 ; - 122.18667     VEI   5     Impact   Approximately 57 deaths , about $1.1 billion in property damage ; caused a partial collapse of the volcano 's flank , deposited ash in 11 U.S. states and five Canadian provinces         Map of eruption deposits     On May 18 , 1980 , a major volcanic eruption occurred at Mount St. Helens , a volcano located in Skamania County , in the State of Washington . The eruption ( a VEI 5 event ) was the most significant volcanic eruption to occur in the contiguous 48 U.S. states since the much smaller 1915 eruption of Lassen Peak in California . It has often been declared as the most disastrous volcanic eruption in U.S. history . The eruption was preceded by a two - month series of earthquakes and steam - venting episodes , caused by an injection of magma at shallow depth below the volcano that created a large bulge and a fracture system on the mountain 's north slope .   An earthquake at 8 : 32 : 17 a.m. PDT ( UTC − 7 ) on Sunday , May 18 , 1980 , caused the entire weakened north face to slide away , creating the largest landslide ever recorded . This allowed the partly molten , high - pressure gas - and steam - rich rock in the volcano to suddenly explode northwards toward Spirit Lake in a hot mix of lava and pulverized older rock , overtaking the avalanching face .   An eruption column rose 80,000 feet ( 24 km ; 15 mi ) into the atmosphere and deposited ash in 11 U.S. states . At the same time , snow , ice and several entire glaciers on the volcano melted , forming a series of large lahars ( volcanic mudslides ) that reached as far as the Columbia River , nearly 50 miles ( 80 km ) to the southwest . Less severe outbursts continued into the next day , only to be followed by other large , but not as destructive , eruptions later that year . Thermal energy released during the eruption was equal to 26 megatons .   Approximately 57 people were killed directly , including innkeeper Harry R. Truman , photographers Reid Blackburn and Robert Landsburg , and geologist David A. Johnston . Hundreds of square miles were reduced to wasteland , causing over $1 billion in damage ( equivalent to over $3 billion as of 2018 ) , thousands of animals were killed , and Mount St. Helens was left with a crater on its north side . At the time of the eruption , the summit of the volcano was owned by the Burlington Northern Railroad , but afterward the land passed to the United States Forest Service . The area was later preserved , as it was , in the Mount St. Helens National Volcanic Monument .  Mount St. Helens from Monitor Ridge showing the cone of devastation , the huge crater open to the north , the post-eruption lava dome inside and Crater Glacier surrounding the lava dome . The small photo on the left was taken from Spirit Lake before the eruption and the small photo on the right was taken after the eruption from approximately the same place . Spirit Lake can also be seen in the larger image , as well as two other Cascade volcanoes .  Contents  ( hide )   1 Build - up to the eruption   2 Landslide and eruption   3 Pyroclastic flows   3.1 Initial lateral blast   3.2 Lateral blast result   3.3 Later flows     4 Ash column   5 Ash properties   5.1 Chemical composition   5.2 Index of refraction     6 Mudslides flow downstream   7 Aftermath   7.1 Direct results   7.1. 1 Disputed death toll     7.2 Ash damage and removal   7.3 Cost     8 Later eruptions   8.1 1980 -- 1991   8.2 2004 -- 2008     9 Summary table   10 See also   11 Notes   12 References   13 Further reading   14 External links    Build - up to the eruption ( edit )   Mount St. Helens remained dormant from its last period of activity in the 1840s and 1850s until March 1980 . Several small earthquakes , apparently beginning on March 15 , indicated that magma may have begun moving below the volcano . On March 20 , at 3 : 45 p.m. Pacific Standard Time ( all times will be in PST or PDT ) , a shallow magnitude 4.2 earthquake centered below the volcano 's north flank , signaled the volcano 's violent return from 123 years of hibernation . A gradually building earthquake swarm saturated area seismographs and started to climax at about noon on March 25 , reaching peak levels in the next two days , including an earthquake registering 5.1 on the Richter scale . A total of 174 shocks of magnitude 2.6 or greater were recorded during those two days .  USGS photo showing a pre-avalanche eruption on April 10  Shocks of magnitude 3.2 or greater occurred at a slightly increasing rate during April and May with five earthquakes of magnitude 4 or above per day in early April , and eight per day the week before May 18 . Initially there was no direct sign of eruption , but small earthquake - induced avalanches of snow and ice were reported from aerial observations .   At 12 : 36 p.m. on March 27 , phreatic eruptions ( explosions of steam caused by magma suddenly heating groundwater ) ejected and smashed rock from within the old summit crater , excavating a new crater 250 feet ( 75 m ) wide and sending an ash column about 7,000 feet ( 2.1 km ) into the air . By this date a 16,000 - foot - long ( 3.0 mi ; 4.9 km ) eastward - trending fracture system had also developed across the summit area . This was followed by more earthquake swarms and a series of steam explosions that sent ash 10,000 to 11,000 feet ( 3,000 to 3,400 m ) above their vent . Most of this ash fell between 3 and 12 miles ( 5 and 19 km ) from its vent , but some was carried 150 miles ( 240 km ) south to Bend , Oregon , or 285 miles ( 460 km ) east to Spokane , Washington .  Photo showing the cryptodome on April 27  A second , new crater and a blue flame were observed on March 29 . The flame was visibly emitted from both craters and was probably created by burning gases . Static electricity generated from ash clouds rolling down the volcano sent out lightning bolts that were up to 2 miles ( 3 km ) long . Ninety - three separate outbursts were reported on March 30 , and increasingly strong harmonic tremors were first detected on April 1 , alarming geologists and prompting Governor Dixy Lee Ray to declare a state of emergency on April 3 . Governor Ray issued an executive order on April 30 creating a `` red zone '' around the volcano ; anyone caught in this zone without a pass faced a $500 fine or six months in jail . This precluded many cabin owners from visiting their property .   By April 7 , the combined crater was 1,700 by 1,200 feet ( 520 by 370 m ) and 500 feet ( 150 m ) deep . A USGS team determined in the last week of April that a 1.5 - mile - diameter ( 2.4 km ) section of St. Helens ' north face was displaced outward by at least 270 feet ( 82 m ) . For the rest of April and early May this bulge grew by 5 to 6 feet ( 1.5 to 1.8 m ) per day , and by mid-May it extended more than 400 feet ( 120 m ) north . As the bulge moved northward , the summit area behind it progressively sank , forming a complex , down - dropped block called a graben . Geologists announced on April 30 that sliding of the bulge area was the greatest immediate danger and that such a landslide might spark an eruption . These changes in the volcano 's shape were related to the overall deformation that increased the volume of the volcano by 0.03 cubic miles ( 0.13 km ) by mid-May . This volume increase presumably corresponded to the volume of magma that pushed into the volcano and deformed its surface . Because the intruded magma remained below ground and was not directly visible , it was called a cryptodome , in contrast to a true lava dome exposed at the surface .   On May 7 , eruptions similar to those in March and April resumed , and over the next days the bulge approached its maximum size . All activity had been confined to the 350 - year - old summit dome and did not involve any new magma . A total of about 10,000 earthquakes were recorded prior to the May 18 event , with most concentrated in a small zone less than 1.6 miles ( 2.6 km ) directly below the bulge . Visible eruptions ceased on May 16 , reducing public interest and consequently the number of spectators in the area . Mounting public pressure then forced officials to allow 50 carloads of property owners to enter the danger zone on Saturday , May 17 , to gather whatever property they could carry . Another trip was scheduled for 10 a.m. the next day , and because that was Sunday , more than 300 loggers were not working in the area . By the time of the climactic eruption , dacite magma intruding into the volcano had forced the north flank outward nearly 500 feet ( 150 m ) and heated the volcano 's groundwater system , causing many steam - driven explosions ( phreatic eruptions ) .   Landslide and eruption ( edit )  Sequence of events on May 18 . Lakes nearest to Mount St. Helens have been partly covered with felled trees for more than thirty years . This photograph was taken in 2012 . North Fork Toutle River valley filled with landslide deposits  As May 18 dawned , Mount St. Helens ' activity did not show any change from the pattern of the preceding month . The rate of bulge movement , sulfur dioxide emission , and ground temperature readings did not reveal any changes indicating a catastrophic eruption . USGS volcanologist David A. Johnston was on duty at an observation post approximately 6 miles ( 10 km ) north of the volcano : as of 6 a.m. , Johnston 's measurements did not indicate any unusual activity .   Suddenly , at 8 : 32 a.m. , a magnitude 5.1 earthquake centered directly below the north slope triggered that part of the volcano to slide , approximately 7 -- 20 seconds after the shock . The landslide , the largest in recorded history , travelled at 110 to 155 miles per hour ( 177 to 249 km / h ) and moved across Spirit Lake 's west arm . Part of it hit a 1,150 - foot - high ( 350 m ) ridge about 6 miles ( 10 km ) north . Some of the slide spilled over the ridge , but most of it moved 13 miles ( 21 km ) down the North Fork Toutle River , filling its valley up to 600 feet ( 180 m ) deep with avalanche debris . An area of about 24 square miles ( 62 km ) was covered , and the total volume of the deposit was about 0.7 cubic miles ( 2.9 km ) .   Scientists were able to reconstruct the motion of the landslide from a series of rapid photographs by Gary Rosenquist , who was camping 11 miles ( 18 km ) away from the blast . Rosenquist , his party and his photographs survived because the blast was deflected by local topography 1 mile ( 1.6 km ) short of his location .       Sound of the eruption of Mount St. Helens , as heard from 140 miles away Amateur recording of a series of booms produced by the eruption , as heard from the town of Newport , Oregon ( audio filtered and amplified ) .     Problems playing this file ? See media help .     Most of St. Helens ' former north side became a rubble deposit 17 miles ( 27 km ) long , averaging 150 feet ( 46 m ) thick ; the slide was thickest at 1 mile ( 1.6 km ) below Spirit Lake and thinnest at its western margin . The landslide temporarily displaced the waters of Spirit lake to the ridge north of the lake , in a giant wave approximately 600 feet ( 180 m ) high . This in turn created a 295 feet ( 90 m ) avalanche of debris consisting of the returning waters and thousands of uprooted trees and stumps . Some of these remained intact with roots , but most had been sheared off at the stump seconds earlier by the blast of super-heated volcanic gas and ash that had immediately followed and overtook the initial landslide . The debris was transported along with the water as it returned to its basin , raising the surface level of Spirit Lake by about 200 feet . More than three decades after the eruption , floating log mats persist on Spirit Lake and nearby St. Helens Lake , changing position with the wind . The rest of the trees , especially those that were not completely detached from their roots , were turned upright by their own weight and became waterlogged , sinking into the muddy sediments at the bottom where they have become petrified in the anaerobic and mineral - rich waters . This provides insight into other sites with a similar fossil record .   Pyroclastic flows ( edit )   Initial lateral blast ( edit )  Computer graphic showing the May 18 landslide ( green ) being overtaken by the initial pyroclastic flow ( red )  The landslide exposed the dacite magma in St. Helens ' neck to much lower pressure , causing the gas - charged , partially molten rock and high - pressure steam above it to explode a few seconds after the landslide started . Explosions burst through the trailing part of the landslide , blasting rock debris northward . The resulting blast laterally directed the pyroclastic flow of very hot volcanic gases , ash and pumice formed from new lava , while the pulverized old rock hugged the ground , initially moving at 220 miles per hour ( 350 km / h ) but quickly accelerating to 670 mph ( 1,080 km / h ) , and it might have briefly passed the speed of sound .   Pyroclastic flow material passed over the moving avalanche and spread outward , devastating a fan - shaped area 23 miles across by 19 miles long ( 37 km × 31 km ) . In total about 230 square miles ( 600 km ) of forest was knocked down , and extreme heat killed trees miles beyond the blow - down zone . At its vent the lateral blast probably did not last longer than about 30 seconds , but the northward - radiating and expanding blast cloud continued for about another minute .   Superheated flow material flashed water in Spirit Lake and North Fork Toutle River to steam , creating a larger , secondary explosion that was heard as far away as British Columbia , Montana , Idaho , and Northern California . Yet many areas closer to the eruption ( Portland , Oregon , for example ) did not hear the blast . This so - called `` quiet zone '' extended radially a few tens of miles from the volcano and was created by the complex response of the eruption 's sound waves to differences in temperature and air motion of the atmospheric layers and , to a lesser extent , local topography .   Later studies indicated that one - third of the 0.045 cubic miles ( 0.19 km ) of material in the flow was new lava , and the rest was fragmented , older rock .   Lateral blast result ( edit )  Photographer Reid Blackburn 's car after the eruption Many trees in the Direct blast zone were snapped off at their bases and the earth was stripped and scorched .  The huge ensuing ash cloud sent skyward from St. Helens ' northern foot was visible throughout the quiet zone . The near - supersonic lateral blast , loaded with volcanic debris , caused devastation as far as 19 miles ( 31 km ) from the volcano . The area affected by the blast can be subdivided into three roughly concentric zones :    Direct blast zone , the innermost zone , averaged about 8 miles ( 13 km ) in radius , an area in which virtually everything , natural or artificial , was obliterated or carried away . For this reason , this zone also has been called the `` tree - removal zone '' . The flow of the material carried by the blast was not deflected by topographic features in this zone . The blast released energy equal to 24 Megatons of TNT .   Channelized blast zone , an intermediate zone , extended out to distances as far as 19 miles ( 31 km ) from the volcano , an area in which the flow flattened everything in its path and was channeled to some extent by topography . In this zone , the force and direction of the blast are strikingly demonstrated by the parallel alignment of toppled large trees , broken off at the base of the trunk as if they were blades of grass mown by a scythe . This zone was also known as the `` tree - down zone '' . Channeling and deflection of the blast caused strikingly varied local effects that still remained conspicuous after some decades . Where the blast struck open land directly , it scoured it , breaking trees off short and stripping vegetation and even topsoil , thereby delaying revegetation for many years . Where the blast was deflected so as to pass overhead by several metres , it left the topsoil and the seeds it contained , permitting faster revegetation with scrub and herbaceous plants , and later with saplings . Trees in the path of such higher - level blasts were broken off wholesale at various heights , whereas nearby stands in more sheltered positions recovered comparatively rapidly without conspicuous long - term harm .   Seared zone , also called the `` standing dead '' zone , the outermost fringe of the impacted area , a zone in which trees remained standing but were singed brown by the hot gases of the blast .   Volcanologist David A. Johnston ( photographed on April 4 , 1980 ) was one of the 57 people killed in the eruption .  By the time this pyroclastic flow hit its first human victims , it was still as hot as 360 ° C ( 680 ° F ) and filled with suffocating gas and flying debris . Most of the 57 people known to have died in that day 's eruption succumbed to asphyxiation while several died from burns . Lodge owner Harry R. Truman was buried under hundreds of feet of avalanche material . Volcanologist David A. Johnston was one of those killed , as was Reid Blackburn , a National Geographic photographer . Robert Landsburg , another photographer , was killed by the ash cloud . He was able to protect his film with his body , and the surviving photos provided geologists with valuable documentation of the historic eruption .   Later flows ( edit )   Subsequent outpourings of pyroclastic material from the breach left by the landslide consisted mainly of new magmatic debris rather than fragments of preexisting volcanic rocks . The resulting deposits formed a fan - like pattern of overlapping sheets , tongues and lobes . At least 17 separate pyroclastic flows occurred during the May 18 eruption , and their aggregate volume was about 0.05 cubic miles ( 0.21 km ) .   The flow deposits were still at about 300 to 420 ° C ( 570 to 790 ° F ) two weeks after they erupted . Secondary steam - blast eruptions fed by this heat created pits on the northern margin of the pyroclastic - flow deposits , at the south shore of Spirit Lake , and along the upper part of the North Fork Toutle River . These steam - blast explosions continued sporadically for weeks or months after the emplacement of pyroclastic flows , and at least one occurred a year later , on May 16 , 1981 .   Ash column ( edit )  The ash cloud produced by the eruption , as seen from the village of Toledo , Washington , 35 miles ( 56 km ) away , northwest from Mount St. Helens . The cloud was roughly 40 miles ( 64 km ) wide and 15 miles ( 24 km ) high . Ash cloud from Mt . St. Helens as captured by the GOES 3 weather satellite at 15 : 45 UTC  As the avalanche and initial pyroclastic flow were still advancing , a huge ash column grew to a height of 12 miles ( 19 km ) above the expanding crater in less than 10 minutes and spread tephra into the stratosphere for 10 straight hours . Near the volcano , the swirling ash particles in the atmosphere generated lightning , which in turn started many forest fires . During this time , parts of the mushroom - shaped ash - cloud column collapsed , and fell back upon the earth . This fallout , mixed with magma , mud , and steam , sent additional pyroclastic flows speeding down St. Helens ' flanks . Later , slower flows came directly from the new north - facing crater and consisted of glowing pumice bombs and very hot pumiceous ash . Some of these hot flows covered ice or water which flashed to steam , creating craters up to 65 feet ( 20 m ) in diameter and sending ash as much as 6,500 feet ( 2,000 m ) into the air .   Strong high - altitude wind carried much of this material east - northeasterly from the volcano at an average speed of about 60 miles per hour ( 100 km / h ) . By 9 : 45 a.m. it had reached Yakima , Washington , 90 miles ( 140 km ) away , and by 11 : 45 a.m. it was over Spokane , Washington . A total of 4 to 5 inches ( 100 to 130 mm ) of ash fell on Yakima , and areas as far east as Spokane were plunged into darkness by noon where visibility was reduced to 10 feet ( 3.0 m ) and 0.5 inches ( 13 mm ) of ash fell . Continuing eastward , St. Helens ' ash fell in the western part of Yellowstone National Park by 10 : 15 p.m. and was seen on the ground in Denver , Colorado , the next day . In time , ash fall from this eruption was reported as far away as Minnesota and Oklahoma , and some of the ash drifted around the globe within about 2 weeks .   During the nine hours of vigorous eruptive activity , about 540,000,000 tons ( 540 × 10 ^ short tons or 490 × 10 ^ t ) of ash fell over an area of more than 22,000 square miles ( 57,000 km ) . The total volume of the ash before its compaction by rainfall was about 0.3 cubic miles ( 1.3 km ) . The volume of the uncompacted ash is equivalent to about 0.05 cubic miles ( 0.21 km ) of solid rock , or about 7 % of the amount of material that slid off in the debris avalanche . By around 5 : 30 p.m. on May 18 , the vertical ash column declined in stature , but less severe outbursts continued through the next several days .   Ash properties ( edit )  Residual lateral blast effects in the channelized blast zone , some thirty years after the eruption . Damage ranged from scorched earth , through tree trunks snapped at various heights , to more superficial effects .  Generally , given that the way airborne ash is deposited after an eruption is strongly influenced by the meteorological conditions , a certain variation of the ash type will occur , as a function of distance to the volcano or time elapsed from eruption . The ash from Mount St. Helens is no exception , and hence the ash properties have large variations .   Chemical composition ( edit )   The bulk chemical composition of the ash has been found to be approximately 65 % silicon dioxide , 18 % aluminium oxide , 5 % ferric oxide , 4 % each calcium oxide and sodium oxide and 2 % magnesium oxide . Trace chemicals were also detected , their concentrations varying as shown : 0.05 -- 0.09 % chlorine , 0.02 -- 0.03 % fluorine , and 0.09 -- 0.3 % sulfur .   Index of refraction ( edit )   The index of refraction , a number used in physics to describe how light propagates through a particular substance , is an important property of volcanic ash . This number is complex having both real and imaginary parts , the real part indicating how light disperses and the imaginary part indicating how light is absorbed by the substance .   It is known that the silicate particles have a real index of refraction ranging between 1.5 and 1.6 for visible light . However , there is a spectrum of colors associated with samples of volcanic ash , from very light to dark gray . This makes for variations in the measured imaginary refractive index under visible light .   In the case of Mount St. Helens , the ash settled in three main layers on the ground :    the bottom layer was dark gray and was found to be abundant in older rocks and crystal fragments   the middle layer consisted of a mixture of glass shards and pumice   the top layer was ash consisting of very fine particles    For example , when comparing the imaginary part of the refractive index k of stratospheric ash from 15 km and 18 km from the volcano it has been discovered that they have similar values around 700 nm ( around 0.009 ) , while they differ significantly around 300 nm . Here , the 18 km ( k was found to be around 0.009 ) sample was much more absorbent than the 15 km sample ( k was found to be around 0.002 ) .   Mudslides flow downstream ( edit )  Mudline next to Muddy River from the 1980 lahars  The hot , exploding material also broke apart and melted nearly all of the mountain 's glaciers along with most of the overlying snow . As in many previous St. Helens ' eruptions , this created huge lahars ( volcanic mudflows ) and muddy floods that affected three of the four stream drainage systems on the mountain , and which started to move as early as 8 : 50 a.m. Lahars travelled as fast as 90 miles per hour ( 140 km / h ) while still high on the volcano but progressively slowed to about 3 miles per hour ( 4.8 km / h ) on the flatter and wider parts of rivers . Mudflows from the southern and eastern flanks had the consistency of wet concrete as they raced down Muddy River , Pine Creek and Smith Creek to their confluence at the Lewis River . Bridges were taken out at the mouth of Pine Creek and the head of Swift Reservoir , which rose 2.6 feet ( 0.79 m ) by noon to accommodate the nearly 18,000,000 cubic yards ( 14,000,000 m ) of additional water , mud and debris .   Glacier and snow melt mixed with tephra on the volcano 's northeast slope to create much larger lahars . These mudflows traveled down the north and south forks of the Toutle River and joined at the confluence of the Toutle forks and the Cowlitz River near Castle Rock , Washington , at 1 : 00 p.m. Ninety minutes after the eruption , the first mudflow had moved 27 miles ( 43 km ) upstream where observers at Weyerhaeuser 's Camp Baker saw a 12 - foot - high ( 4 m ) wall of muddy water and debris pass . Near the confluence of the Toutle 's north and south forks at Silver Lake , a record flood stage of 23.5 feet ( 7.2 m ) was recorded .   A large but slower - moving mudflow with a mortar - like consistency was mobilized in early afternoon at the head of the Toutle River north fork . By 2 : 30 p.m. the massive mudflow had destroyed Camp Baker , and in the following hours seven bridges were carried away . Part of the flow backed up for 2.5 miles ( 4.0 km ) soon after entering the Cowlitz River , but most continued downstream . After traveling 17 miles ( 27 km ) further , an estimated 3,900,000 cubic yards ( 3,000,000 m ) of material were injected into the Columbia River , reducing the river 's depth by 25 feet ( 8 m ) for a 4 - mile ( 6 km ) stretch . The resulting 13 - foot ( 4.0 m ) river depth temporarily closed the busy channel to ocean - going freighters , costing Portland , Oregon , an estimated five million US dollars . Ultimately more than 65 million cubic yards ( 50 million cubic metres ) of sediment were dumped along the lower Cowlitz and Columbia Rivers .   Aftermath ( edit )  Mount St. Helens one day before the eruption , photographed from the Johnston ridge Mount St. Helens four months after the eruption , photographed from approximately the same location as the earlier picture  Direct results ( edit )   The May 18 , 1980 , event was the most deadly and economically destructive volcanic eruption in the history of the contiguous United States . Approximately fifty - seven people were killed directly from the blast and 200 houses , 47 bridges , 15 miles ( 24 km ) of railways and 185 miles ( 298 km ) of highway were destroyed ; two people were killed indirectly in accidents that resulted from poor visibility , and two more suffered fatal heart attacks from shoveling ash . U.S. President Jimmy Carter surveyed the damage and said it looked more desolate than a moonscape . A film crew was dropped by helicopter on Mount St. Helens on May 23 to document the destruction . However , their compasses spun in circles and they quickly became lost . A second eruption occurred the next day ( see below ) , but the crew survived and were rescued two days after that . The eruption ejected more than 1 cubic mile ( 4.2 km ) of material . A quarter of that volume was fresh lava in the form of ash , pumice and volcanic bombs while the rest was fragmented , older rock . The removal of the north side of the mountain ( 13 % of the cone 's volume ) reduced Mount St. Helens ' height by about 1,280 feet ( 390 m ) and left a crater 1 to 2 miles ( 2 to 3 km ) wide and 2,100 feet ( 640 m ) deep with its north end open in a huge breach .   More than 4,000,000,000 board feet ( 9,400,000 m ) of timber was damaged or destroyed , mainly by the lateral blast . At least 25 % of the destroyed timber was salvaged after September 1980 . Downwind of the volcano , in areas of thick ash accumulation , many agricultural crops , such as wheat , apples , potatoes and alfalfa , were destroyed . As many as 1,500 elk and 5,000 deer were killed , and an estimated 12 million Chinook and Coho salmon fingerlings died when their hatcheries were destroyed . Another estimated 40,000 young salmon were lost when they swam through turbine blades of hydroelectric generators after reservoir levels were lowered along the Lewis River to accommodate possible mudflows and flood waters .   In total Mount St. Helens released 24 megatons of thermal energy , 7 of which were a direct result of the blast . This is equivalent to 1,600 times the size of the atomic bomb dropped on Hiroshima .  Disputed death toll ( edit )  There is a minor controversy in regard to the exact death toll . The figure most commonly cited is fifty - seven . However , there are two points of dispute .   The first point regards two officially listed victims , Paul Hiatt and Dale Thayer . They were reported missing after the explosion . In the aftermath , investigators were able to locate individuals named Paul Hiatt and Dale Thayer who were alive and well . However , they were unable to determine who reported Hiatt missing , and the person who was listed as reporting Thayer missing claimed she was n't the one who had done so . Since the investigators could not thus verify that they were the same Hiatt and Thayer who were reported missing , the names remain listed among the presumed dead .   The second point regards three missing people who are not officially listed as victims : Robert Ruffle , Steven Whitsett and Mark Melanson . Cowlitz County Emergency Services Management lists them as `` Possibly Missing -- Not on ( the official ) List '' . According to Melanson 's brother , in October 1983 , Cowlitz County officials told his family that Melanson `` is believed ( ... ) a victim of the May 18 , 1980 , eruption '' and that after years of searching , the family eventually decided `` he 's buried in the ash '' .   Taking these two points of dispute into consideration , the direct death toll could be as low as fifty - five or as high as sixty . When combined with the four indirect victims mentioned earlier , those numbers range from fifty - nine to sixty - four .   Ash damage and removal ( edit )  Map of ash distribution over the United States  The ash fall created some temporary major problems with transportation , sewage disposal , and water treatment systems . Visibility was greatly decreased during the ash fall , closing many highways and roads . Interstate 90 from Seattle to Spokane was closed for a week and a half . Air travel was disrupted for between a few days and two weeks , as several airports in eastern Washington shut down because of ash accumulation and poor visibility . Over a thousand commercial flights were cancelled following airport closures . Fine - grained , gritty ash caused substantial problems for internal - combustion engines and other mechanical and electrical equipment . The ash contaminated oil systems and clogged air filters , and scratched moving surfaces . Fine ash caused short circuits in electrical transformers , which in turn caused power blackouts .   Removing and disposing of the ash was a monumental task for some Eastern Washington communities . State and federal agencies estimated that over 2,400,000 cubic yards ( 1,800,000 m ) of ash , equivalent to about 900,000 tons in weight , were removed from highways and airports in Washington . The ash removal cost $2.2 million and took 10 weeks in Yakima . The need to remove ash quickly from transport routes and civil works dictated the selection of some disposal sites . Some cities used old quarries and existing sanitary landfills ; others created dump sites wherever expedient . To minimize wind reworking of ash dumps , the surfaces of some disposal sites were covered with topsoil and seeded with grass . In Portland , Oregon , the mayor eventually threatened businesses with fines if they failed to remove the ash from their parking lots .   Cost ( edit )  One of the 200 houses destroyed by the eruption  A refined estimate of $1.1 billion ( $3.4 billion as of 2018 ) was determined in a study by the International Trade Com</t>
  </si>
  <si>
    <t xml:space="preserve">when was the last time mount saint helens exploded</t>
  </si>
  <si>
    <t xml:space="preserve"> On May 18 , 1980 , a major volcanic eruption occurred at Mount St. Helens , a volcano located in Skamania County , in the State of Washington . The eruption ( a VEI 5 event ) was the most significant volcanic eruption to occur in the contiguous 48 U.S. states since the much smaller 1915 eruption of Lassen Peak in California . It has often been declared as the most disastrous volcanic eruption in U.S. history . The eruption was preceded by a two - month series of earthquakes and steam - venting episodes , caused by an injection of magma at shallow depth below the volcano that created a large bulge and a fracture system on the mountain 's north slope . </t>
  </si>
  <si>
    <r>
      <rPr>
        <sz val="11"/>
        <color rgb="FF000000"/>
        <rFont val="Calibri"/>
        <family val="0"/>
        <charset val="1"/>
      </rPr>
      <t xml:space="preserve">7 - Eleven - Wikipedia  7 - Eleven  For other uses , see 7 - Eleven ( disambiguation ) .  7 - Eleven       Type   Subsidiary     Industry   Retail ( Convenience stores )     Founded   1927 ; 91 years ago ( 1927 ) ( as Tote 'm Stores )     Founders   Joe C. Thompson Jr .     Headquarters   Dallas , Texas , U.S.     Number of locations   66,579     Key people   Joseph DePinto ( CEO &amp; President ) Stanley Reynolds ( EVP &amp; CFO )     Products   Slurpee beverage Big Gulp beverage cup Other products include : coffee , candy , prepared foods , gasoline , dairy , snacks , various assortment of beverages     Number of employees   45,000 ( 2010 NA )     Parent   Seven &amp; I Holdings Co. ( 2005 -- present )     Website   www.7-eleven.com    Countries with 7 - Eleven stores  7 - Eleven Inc. is a Japanese - owned American international chain of convenience stores , headquartered in Dallas , Texas . The chain was known as Tote 'm Stores until it was renamed in 1946 . Its parent company , Seven - Eleven Japan Co. , Ltd. , operates , franchises , and licenses 66,579 stores in 17 countries as of 30 June 2018 . Seven - Eleven Japan is headquartered in Chiyoda , Tokyo and held by the Seven &amp; I Holdings Co .   Contents    1 Etymologies   2 History   3 Products and services   4 Global operations   4.1 Asia   4.1. 1 Hong Kong   4.1. 2 Indonesia   4.1. 3 Japan   4.1. 4 Macau   4.1. 5 Mainland China   4.1. 6 Malaysia   4.1. 7 Philippines   4.1. 8 Singapore   4.1. 9 South Korea   4.1. 10 Taiwan   4.1. 11 Thailand   4.1. 12 Turkey   4.1. 13 United Arab Emirates   4.1. 14 Vietnam     4.2 Europe   4.2. 1 Denmark   4.2. 2 Norway   4.2. 3 Sweden   4.2. 4 United Kingdom     4.3 North America   4.3. 1 Canada   4.3. 2 Mexico   4.3. 3 United States   4.3. 3.1 Fuel       4.4 Oceania   4.4. 1 Australia   4.4. 1.1 Wage theft         5 See also   6 References   7 External links    Etymologies ( edit )   The company 's first outlets were named `` Tote 'm Stores '' because customers `` toted '' away their purchases . Some stores featured genuine Alaskan totem poles in front of the store . In 1946 , the chain 's name was changed from `` Tote 'm '' to `` 7 - Eleven '' to reflect the company 's new , extended hours , 7 : 00 am to 11 : 00 pm , seven days per week . In November 1999 , the corporate name of the US company was changed from `` The Southland Corporation '' to `` 7 - Eleven Inc . ''   History ( edit )   In 1927 , Southland Ice Company employee John Jefferson Green began selling eggs , milk , and bread from one of 16 ice house storefronts in Dallas , with permission from one of Southland 's founding directors , Joe C. Thompson , Sr. Although small grocery stores and general merchandisers were available , Thompson theorized that selling products such as bread and milk in convenience stores would reduce the need for customers to travel long distances for basic items . He eventually bought the Southland Ice Company and turned it into Southland Corporation , which oversaw several locations in the Dallas area .   In 1928 , Jenna Lira brought a totem pole as a souvenir from Alaska and placed it in front of the store . The pole served as a marketing tool for the company , as it attracted a great deal of attention . Soon , executives added totem poles in front of every store and eventually adopted an Alaska Native - inspired theme for their stores . Later on , the stores began operating under the name `` Tote 'm Stores '' . In the same year , the company began constructing gasoline stations in some of its Dallas locations as an experiment . Joe Thompson also provided a distinct characteristic to the company 's stores , training the staff so that people would receive the same quality and service in every store . Southland also started to have a uniform for its ice station service boys . This became the major factor in the company 's success as a retail convenience store .   In 1931 , the Great Depression affected the company , sending it toward bankruptcy . Nevertheless , the company continued its operations through re-organization and receivership . A Dallas banker , W.W. Overton Jr. , also helped to revive the company 's finances by selling the company 's bonds for seven cents on the dollar . This brought the company 's ownership under the control of a board of directors .   In 1946 , in an effort to continue the company 's post-war recovery , the name of the franchise was changed to 7 - Eleven to reflect the stores ' new hours of operation ( 7 am to 11 pm ) , which were unprecedented at the time . In 1963 , 7 - Eleven experimented with a 24 - hour schedule in Austin , Texas , after an Austin store stayed open all night to satisfy customer demand . Later on , 24 - hour stores were established in Fort Worth and Dallas , Texas , as well as Las Vegas , Nevada . In 1971 , Southland acquired convenience stores of the former Pak - A-Sak chain owned by Graham Allen Penniman , Sr. ( 1903 -- 1985 ) , of Shreveport , Louisiana .  Play media Inside a Florida - based 7 - Eleven store in 1987 .  With the purchase in 1964 of 126 Speedee Mart franchised convenience stores in California , the company entered the franchise business . The company signed its first area licensing agreement in 1968 with Garb - Ko , Inc. of Saginaw , Michigan , which became the first US domestic area 7 - Eleven licensee .   In the late 1980s , Southland Corporation was threatened by a rumored corporate takeover , prompting the Thompson family to take steps to convert the company into a private model by buying out public shareholders in a tender offer . In December 1987 , John Philp Thompson , the chairman and CEO of 7 - Eleven , completed a $5.2 billion management buyout of the company . The buyout suffered from the effects of the 1987 stock market crash and after failing initially to raise high yield debt financing , the company was required to offer a portion of stock as an inducement to invest in the company 's bonds .   Various assets , such as the Chief Auto Parts chain , the ice division , and hundreds of store locations , were sold between 1987 and 1990 to relieve debt incurred during the buyout . This downsizing also resulted in numerous metropolitan areas losing 7 - Eleven stores to rival convenience store operators . In October 1990 , the heavily indebted Southland Corp. filed a pre-packaged Chapter 11 bankruptcy in order to transfer control of 70 % of the company to Japanese affiliate Ito - Yokado .   Southland exited bankruptcy in March 1991 , after a cash infusion of $430 million from Ito - Yokado and Seven - Eleven Japan . These two Japanese entities now controlled 70 % of the company , with the founding Thompson family retaining 5 % . In 1999 , Southland Corp. changed its name to 7 - Eleven , Inc. , citing the divestment of operations other than 7 - Eleven . Ito - Yokado formed Seven &amp; I Holdings Co. and 7 - Eleven became its subsidiary in 2005 . In 2007 , Seven &amp; I Holdings announced that it would be expanding its American operations , with an additional 1,000 7 - Eleven stores in the United States .   For the 2010 rankings , 7 - Eleven climbed to the No. 3 spot in Entrepreneur Magazine 's 31st Annual Franchise 500 , `` the first and most comprehensive ranking in the world '' . This was the 17th year 7 - Eleven was named in the top 10 .   Also in 2010 , the first `` green '' 7 - Eleven store opened in DeLand , Florida . The store features U.S. Green Building Council 's ( USGBC ) Leadership in Energy and Environmental Design ( LEED ) elements . Also , the environmentally - friendly design brings the store savings in energy costs . That same year , 7 - Eleven went mobile with the launch of the iconic Slurpee drink 's iPhone and Android Application ( App ) . The Slurpee drink app made it easy to find 7 - Eleven stores and provides driving directions . The following year , 7 - Eleven celebrated its 40,000 th store opening and within two years of that milestone opened its 50,000 th store .   Products and services ( edit )  1.2 - liter ( 41 U.S. fl oz ) Super Big Gulp  7 - Eleven in the United States sells Slurpee drinks , a partially frozen soft drink introduced in 1965 ( Oklahoma 's stores are known as Icee Drink ) , and Big Gulp beverages , introduced in 1976 . Other products include : 7 - Select private - brand products , coffee , fresh - made daily sandwiches , fresh fruit , salads , bakery items , hot and prepared foods , gasoline , dairy products , carbonated beverages and energy drinks , juices , financial services , and product delivery services .   7 - Eleven is known for its relatively large drink sizes . 7 - Eleven offers beverages that are 32 ounces ( 946ml ) ( Big Gulp ) , 44 U.S. fluid ounces ( 1.301 L ) ( Super Big Gulp ) , 53 ounces ( 1567ml ) ( X-Treme Gulp ) , 64 ounces ( 1893ml ) ( Double Gulp ) , or 128 ounces ( 3785ml ) ( Team Gulp ) , as well as the 20 ounce Gulp . These beverage sizes were all among the largest sold soft drinks when they were introduced . 7 - Eleven has often been associated with these large sodas in popular culture . For example , Mayor Michael Bloomberg 's proposed ban on large sodas in New York City was frequently referred to as the ' Big Gulp ban ' .   In 2012 , 7 - Eleven changed the size of the Double Gulp from 64 ounces to 50 ounces ( 1478ml ) . The older style cups were too wide at the bottom and did not fit beverage holders in cars . This was not a reaction to the large soda ban proposal , according to a spokesperson .   Global operations ( edit )   Asia ( edit )  Hong Kong ( edit ) 7 - Eleven in Shek Tong Tsui , Hong Kong  7 - Eleven first opened in Hong Kong in 1981 , and today operates as a subsidiary of the Dairy Farm . It is popularly called tsat jai ( </t>
    </r>
    <r>
      <rPr>
        <sz val="11"/>
        <color rgb="FF000000"/>
        <rFont val="Noto Sans CJK SC"/>
        <family val="2"/>
      </rPr>
      <t xml:space="preserve">七 仔 </t>
    </r>
    <r>
      <rPr>
        <sz val="11"/>
        <color rgb="FF000000"/>
        <rFont val="Calibri"/>
        <family val="0"/>
        <charset val="1"/>
      </rPr>
      <t xml:space="preserve">, meaning `` little seven '' ) or se fun ( </t>
    </r>
    <r>
      <rPr>
        <sz val="11"/>
        <color rgb="FF000000"/>
        <rFont val="Noto Sans CJK SC"/>
        <family val="2"/>
      </rPr>
      <t xml:space="preserve">些 粉 </t>
    </r>
    <r>
      <rPr>
        <sz val="11"/>
        <color rgb="FF000000"/>
        <rFont val="Calibri"/>
        <family val="0"/>
        <charset val="1"/>
      </rPr>
      <t xml:space="preserve">, based on the English `` seven '' ) . As of 2012 , 7 - Eleven had 964 stores in Hong Kong , of which 563 were operated by franchisees . Hong Kong reportedly has the second - highest density of 7 - Eleven stores , after Macao . All 7 - Eleven stores in Hong Kong accept the ubiquitous Octopus card as a method of payment . They also accept payments for utility bills and public housing rent .   In November 1980 , Southland Corporation and Hong Kong conglomerate Jardine Matheson signed a franchise agreement to bring 7 - Eleven to the territory . The first 7 - Eleven shop opened in Happy Valley on 3 April 1981 . The chain expanded aggressively across Hong Kong throughout the 1980s . The 50th store opened in Kwai Chung on 6 October 1983 , while the 200th was inaugurated by Simon Keswick at Tai Po Centre on 7 May 1987 . The stores were sold to Dairy Farm , part of the Jardine Matheson group , in 1989 .   Octopus card readers were introduced in all 7 - Eleven stores in July 1999 , although at first these could only be used to add value to the card . In September 2004 , the number of locations in Hong Kong was substantially boosted when Dairy Farm acquired Daily Stop , a rival convenience store chain , from SCMP Retailing ( HK ) . The chain 's 84 shops , located mainly in MTR and Kowloon -- Canton Railway stations ( as well as shopping centres and housing estates ) , were converted to 7 - Eleven stores .   In 2009 , a 7 - Eleven location in Quarry Bay opened with a hot food counter , called `` 7 Café '' , selling traditional Hong Kong street food and milk tea . This feature was subsequently extended to select other 7 - Eleven locations across Hong Kong under the `` Daily Café '' and `` Hot Shot '' brands .  Indonesia ( edit )  In 2008 , 7 - Eleven announced plans to expand its business in Indonesia through a master franchise agreement with Modern Sevel Indonesia and Media Nusantara Citra . Modern Sevel Indonesia 's initial plans were to focus on opening stores in Jakarta , targeting densely populated commercial and business areas . There are 190 7 - Eleven stores in Indonesia as of 2014 and it has reduced to only 166 stores as September 2016 .   In April 2017 , PT Modern Seven Indonesia announced that they will be acquired by PT Charoen Pokphand Restu Indonesia , subsidiary of Charoen Pokphand Group in Thailand . The acquisition process planned to be completed before June 2017 . Charoen Pokphand Group is also the master franchise holder of approximately 9500 7 - Eleven stores in Thailand . But on June 22 , 2017 , PT Modern International Tbk announced that all the remaining 30 7 - Eleven stores in Indonesia will be closed on June 30 , 2017 due to the cancellation of its acquisition process .  Japan ( edit ) Japan 's first 7 - Eleven store in Kōtō , Tokyo opened in May 1974  Japan has more 7 - Eleven locations than anywhere else in the world , where they often bear the name of its holding company `` Seven &amp; I Holdings '' . Of the 66,579 stores around the globe , 20,392 stores ( 31 percent of global stores ) are in Japan , with 2,665 stores in Tokyo alone . On September 1 , 2005 , Seven &amp; I Holdings Co. , Ltd. , a new holding company , became the parent company of 7 - Eleven , Ito - Yokado , and Denny 's Japan . 7 - Eleven has stores in all prefectures of Japan , except Okinawa Prefecture .   The aesthetics of the store are somewhat different from that of 7 - Eleven stores in other countries as the stores offer a wider selection of products and services .   Following the example of other convenience stores in Japan , 7 - Eleven has solar panels and LEDs installed in about 1,400 of its stores .  Macau ( edit )  7 - Eleven entered the Macau market in 2005 under the ownership of Dairy Farm , the same conglomeration group operating Hong Kong 's 7 - Eleven . With only 25.9 square kilometres , Macau has 45 stores , making it the single market with the highest density of 7 - Eleven stores , containing one store per 0.65 square kilometers .  Mainland China ( edit )  7 - Eleven opened its first store in China in Shenzhen , Guangdong in 1992 and later expanded to Beijing in 2004 , Tianjin in 2009 , Chengdu and Shanghai in 2011 , Qingdao in 2012 , Chongqing in 2013 , and Nanjing in 2018 . In China 's 7 - Eleven stores where Slurpees are offered , the Chinese name </t>
    </r>
    <r>
      <rPr>
        <sz val="11"/>
        <color rgb="FF000000"/>
        <rFont val="Noto Sans CJK SC"/>
        <family val="2"/>
      </rPr>
      <t xml:space="preserve">思 乐 冰 </t>
    </r>
    <r>
      <rPr>
        <sz val="11"/>
        <color rgb="FF000000"/>
        <rFont val="Calibri"/>
        <family val="0"/>
        <charset val="1"/>
      </rPr>
      <t xml:space="preserve">( sīlèbīng ) is used . They also offer a wide array of warm food , including traditional items like steamed buns , and stores in Chengdu offer a full variety of onigiri ( </t>
    </r>
    <r>
      <rPr>
        <sz val="11"/>
        <color rgb="FF000000"/>
        <rFont val="Noto Sans CJK SC"/>
        <family val="2"/>
      </rPr>
      <t xml:space="preserve">饭团 </t>
    </r>
    <r>
      <rPr>
        <sz val="11"/>
        <color rgb="FF000000"/>
        <rFont val="Calibri"/>
        <family val="0"/>
        <charset val="1"/>
      </rPr>
      <t xml:space="preserve">) . Beverages , alcohol , candy , periodicals , and other convenience items are available as well . The majority of these stores are open for 24 hours a day .  Malaysia ( edit ) A 7 - Eleven store in Kuala Lumpur , Malaysia  Malaysian 7 - Eleven stores are owned by 7 - Eleven Malaysia Sdn . Bhd. , which operates 2,225 stores nationwide . 7 - Eleven in Malaysia was incorporated on June 4 , 1984 , by the Berjaya Group Berhad . The first 7 - Eleven store was opened in October 1984 , in Jalan Bukit Bintang , Kuala Lumpur .  Philippines ( edit )  In the Philippines , 7 - Eleven is run by the Philippine Seven Corporation ( PSC ) . Its first store , located in Quezon City , opened in 1984 . In 2000 , President Chain Store Corporation ( PCSC ) of Taiwan , also a licensee of 7 - Eleven , purchased the majority shares of PSC and thus formed a strategic alliance for the convenience store industry within the area . The number of stores reached 1,602 at the end of 2015 . As of 2017 , there are 2,285 7 - Eleven stores all over The Philippines . Some 7 - Eleven branches are in near the gas stations like in Caltex , it has transferred from Star Mart in mid-2000's to 2010 due to close of Star Mart in the Philippines .  Singapore ( edit )  In Singapore , 7 - Eleven forms the largest chain of convenience stores island - wide . There are 393 7 - Eleven stores scattered throughout the country as of February 2018 . Stores in Singapore are operated by Dairy Farm International Holdings , franchised under a licensing agreement with 7 - Eleven Incorporated . The first 7 - Eleven store in Singapore was opened along Upper Changi Road in 1983 , and in 1986 the first franchised 7 - Eleven store ( under the Jardine Matheson Group ) was opened . The license was then acquired by Cold Storage Singapore , a subsidiary of the Dairy Farm Group , in 1989 .   In 2006 , Shell Singapore and 7 - Eleven agreed to rebrand all 68 of its Shell Select convenience stores into 7 - Eleven . The partnership was terminated in October 2017 , and the remaining 52 7 - Eleven stores in Shell petrol stations will be gradually rebranded back into Shell Select .  South Korea ( edit ) 7 - Eleven at Godeok Station in Seoul , South Korea  7 - Eleven has a major presence in the Republic of Korea convenience store market , where it competes with CU ( store ) , GS25 ( formerly LG25 ) , and independent competitors . There are 9,231 7 - Eleven stores in the Republic of Korea ; with only Japan and Thailand hosting more stores . The first 7 - Eleven store in the Republic of Korea opened in 1989 in Songpa - gu in Seoul with a franchise license under the Lotte Group . In January 2010 , Lotte Group acquired the Buy the Way convenience store chain and rebranded its 1,000 stores under the 7 - Eleven brand .  Taiwan ( edit ) Two 7 - Eleven stores at the same intersection in Xindian District , New Taipei City , Taiwan  In Taiwan , 7 - Eleven is the largest convenience store chain and is owned by President Chain Store Corporation under Uni-President Enterprises Corporation . The first fourteen stores opened in 1979 , and struggled to make a profit . Southland Corporation partnered with Uni-President to modernize the stores . However , business was still slow , and Uni-President opted to stock Asian foods . In 1986 , 7 - Eleven made its first profit in Taiwan . The 5,000 th store was opened in July 2014 . In January 2018 , an experimental and unstaffed shop branded the X-Store was opened . There are 5,221 stores currently in Taiwan .  Thailand ( edit ) 7 - Eleven , Sukhumvit Soi 11 , Bangkok , Thailand  The first store opened in 1989 on Patpong Road in Bangkok . The franchise in Thailand is the CP ALL Public Company Limited , which in turn grants franchises to operators . In January 2018 there were 10,300 stores in Thailand . 7 - Eleven holds a 70 percent market share in the convenience store category . Thailand has the second largest number of 7 - Eleven stores after Japan .  Turkey ( edit )  7 - Eleven entered the Turkish market in 1989 , opening its first store on September 12 , 1989 . Major stakeholder of the master franchise , Özer Çiller sold his shares in 1993 , after his wife Tansu Çiller became the Prime Minister . In the 2010s , 7 - Eleven left the Turkish market , transferring most of its stores to franchise owners .  United Arab Emirates ( edit )  Seven &amp; I Holdings announced in June 2014 that they had agreed a contract with Seven Emirates Investment LLC to open the first Middle Eastern 7 - Eleven in Dubai , United Arab Emirates during the summer of 2015 . The company also said that they had plans to open about 100 stores in the country by the end of 2017 . The first store was opened in October 2015 . The country has 13 stores by January 2018 .  Vietnam ( edit )  Seven and i - Holding making the first 7 - Eleven was open in Saigon Trade Center in 2017 . As of January 2018 , Vietnam has 11 stores in Ho Chi Minh City .   Europe ( edit )   The first European 7 - Eleven store was opened in Stockholm , Sweden in 1978 . 7 - Eleven was available in Spain until 2000 with many stores inside Repsol petrol stations , as well as some other petrol - stations across the country . 7 - Eleven stores are now solely located in the Scandinavian region of Europe .   The owner of the master franchise for 7 - Eleven in Scandinavia is Reitan Servicehandel , an arm of the Norwegian retail group , Reitan Group . After Reitangruppen bought the filling station chain , HydroTexaco ( now YX Energy ) , in Norway and Sweden in 2006 , it announced that several of the stores at the petrol stations would be rebranded as 7 - Elevens and that the petrol would be supplied by Shell . Other stores remain under the YX brand .  Denmark ( edit ) 7 - Eleven in Strøget , Copenhagen , Denmark  The first 7 - Eleven store in Denmark was opened at Østerbro in Copenhagen on September 14 , 1993 . There are 183 stores , mostly in Copenhagen , Aarhus , Aalborg , and Odense , including eight stores at Copenhagen Central Station . In Denmark , 7 - Eleven has an agreement with Shell , with a nationwide network of Shell / 7 - Eleven service stations , and an agreement with DSB to have 7 - Eleven stores at most S - train stations .  Norway ( edit ) 7 - Eleven in Bergen , Norway  The first 7 - Eleven store in Norway was opened at Grünerløkka in Oslo on September 13 , 1986 . As of January 2018 , there are 153 7 - Eleven stores in Norway , more than 50 % located in Oslo . Norway has the northernmost 7 - Eleven in the world , situated in Tromsø . On a per - capita basis , Norway has one 7 -- Eleven store for every 47,000 Norwegians , compared to Canada , which has one for every 74,000 Canadians .  Sweden ( edit ) 7 - Eleven at Mårtenstorget in Lund , Sweden  The Reitan Group has held the license in Sweden since December 1997 . In the mid-1990s period , 7 - Eleven in Sweden received adverse publicity due to the unfavourable labour contracts offered by its then - licensee , Small Shops , an American - based company , resulting in many stores being sold and closed down . For a time , there were only 7 - Elevens in Stockholm and Gothenburg .   7 - Eleven returned to the south of Sweden in 2001 , when a convenience store opened in Lund . Later in the 2000s , the Swedish 7 - Eleven chain was involved in controversy when the Swedish TV channel TV3 exposed widespread fraud on the part of the Reitan Group in its management of the 7 - Eleven franchise , which the Reitan Group eventually admitted to on its website .   On 27 August 2007 , the Reitan Group and Shell , announced a ten - year agreement to re-brand some 269 service stations across Norway , Sweden , Finland and Denmark , as 7 - Elevens . The contract meant that 7 - Eleven would expand from 77 stores to 189 stores in Sweden . The country now has 187 stores .  United kingdom ( edit )  During the 1980s , small 7 - Eleven convenience stores were common in the larger towns and cities of London and the South East of England . The first shop opened in London , in Sydenham South East London in 1985 . The company ceased trading operations in 1997 , but considered resuming UK trading in 2014 .   North America ( edit )  Canada ( edit ) A 7 - Eleven store with gas station in Woodstock , Ontario , Canada  The first 7 - Eleven store to open in Canada was in Calgary , Alberta , on June 29 , 1969 . There are 640 7 - Eleven stores in Canada as of 2017 . Winnipeg , Manitoba , has the world 's largest number of Slurpee consumers , with an estimated 1,500,000 Slurpees sold since the first 7 - Eleven opened on March 21 , 1970 . All 7 - Eleven locations in Canada are corporate operated . Like its U.S. counterparts every July 11 the stores offer free Slurpees on `` 7 - Eleven Day '' .   A limited number of 7 - Eleven locations feature gas stations from Shell Canada , Petro - Canada , or Esso . In November 2005 , 7 - Eleven started offering the Speak Out Wireless cellphone service in Canada . 7 - Eleven locations also featured CIBC ATMs -- in June 2012 , these machines were replaced with ATMs operated by Scotiabank. 7 - Eleven abandoned the Ottawa , Ontario , market in December 2009 after selling its six outlets to Quickie Convenience Stores , a regional chain . Following concerns over the fate of Speak Out Wireless customers , Quickie offered to assume existing SpeakOut customers and phones into its Good2Go cellphone program . 7 - Eleven is similarly absent from the Quebec market due to its saturation by chains like Alimentation Couche - Tard and Boni - soir , and by independent dépanneurs .   In March 2016 , 7 - Eleven acquired 148 Imperial Oil - owned Esso gas stations in Alberta and British Columbia for C $2.8 billion . Their convenience stores were converted to 7 - Eleven stores , and they remain supplied by Esso .  Mexico ( edit )  In Mexico , the first 7 - Eleven store opened in 1971 in Monterrey in association with Grupo Chapa ( now Iconn ) and 7 - Eleven , Inc. under the name Super 7 . In 1995 , Super 7 was renamed to 7 - Eleven , which now has 1,835 stores in several areas of the country . When stores are located within classically designed buildings ( such as in Centro Histórico buildings ) or important landmarks , the storefront logo is displayed in monochrome with gold or silver lettering . The main competitors in Mexico are OXXO ( Femsa ) , Super City ( Soriana ) , and Farmacias Guadalajara , among others .  United States ( edit ) A 7 - Eleven store cobranded with Gulf Oil for gasoline sales in Ellwood City , Pennsylvania , U.S.  Supermarket News ranked 7 - Eleven 's North American operations No. 11 in the 2007 `` Top 75 North American Food Retailers , '' based on the 2006 fiscal year estimated sales of US $15.0 billion . Based on the 2005 revenue , 7 - Eleven is the 24th largest retailer in the United States . As of 2013 , 8,144 7 - Eleven franchised units exist across the United States . Franchise fees range between US $10,000 -- $1,000,000 and the ongoing royalty rate varies . 7 - Eleven America has its headquarters in the Cypress Waters development in Irving , Texas . Small - size Slurpees are free on `` 7 - Eleven Day '' , on July 11 .   7 - Eleven Stores of Oklahoma have operated independently since 1953 under an agreement with William Brown . It is now led by his son , James Brown . As part of this franchise agreement , 7 - Elevens in Oklahoma bear slight differences to stores elsewhere : for instance , products such as Big Bite hot dogs are not sold there , the Slurpee is branded as the `` Icy Drink '' , and Oklahoma stores operate their own loyalty program called `` Thx ! '' , which does not intersect with the national 7Rewards system . There are currently 8,421 stores in the country .  Fuel ( edit )  In the U.S. , many 7 - Eleven locations used to have filling stations with gasoline distributed by Citgo , which in 1983 was purchased by Southland Corporation . 50 % of Citgo was sold in 1986 to Petróleos de Venezuela , S.A. , and the remaining 50 % was acquired in 1990 . Although Citgo was the predominant partner of 7 - Eleven , other oil companies are also co-branded with 7 - Eleven , including Fina , Exxon , Gulf , Marathon , BP , Shell , Chevron ( some former TETCO convenience stores were co-branded with Chevron , and Texaco prior to the 7 - Eleven purchase in late 2012 ) , and Pennzoil . Conoco is the largest 7 - Eleven licensee in North America .   7 - Eleven signed an agreement with ExxonMobil in December 2010 for the acquisition of 183 sites in Florida . This was followed by the acquisition of 51 ExxonMobil sites in North Texas in August 2011 .   Oceania ( edit )  7 - Eleven in Melbourne , Australia in 2018 Australia ( edit )  The first 7 - Eleven in Australia opened on August 24 , 1977 , in the Melbourne suburb of Oakleigh . The majority of stores are located in metropolitan areas , particularly in central business district areas . Stores in suburban areas often operate as petrol stations and most are owned and operated as franchises , with a central administration . 7 - Eleven bought Mobil 's remaining Australian petrol stations in 2010 , converting them to 7 - Eleven outlets , resulting in an immediate and unprecedented overnight major expansion of the brand . In South Australia all Mobil petrol stations were sold to Peregrine Corporation and branded as On the Run petrol stations .   7 - Eleven stores in Australia sell a wide range of items , including daily newspapers , drinks , confectionery , and snack foods . They sell gift cards , including three types of pre-paid Visa cards . The chain has partnered with BankWest , placing a BankWest ATM in each of their stores nationwide . Each year on November 7 , 7 - Eleven promotes `` 7 - Eleven Day '' by giving away a free Slurpee to customers .   In April 2014 , 7 - Eleven announced plans to start operating stores in Western Australia , with 11 stores planned to operate within the first year and a total of 75 stores established within five years . The first store was opened on October 30 , 2014 in the city of Fremantle . The country has 675 stores as of January 2018 .  Wage theft ( edit )  In August 2015 , Fairfax Media and the ABC 's Four Corners programme reported on the employment practices of certain 7 - Eleven franchisees in Australia . The investigation found that many 7 - Eleven employees were being underpaid at rates of around A $ 10 to A $14 per hour before tax , well under the legally - required minimum award rate of A $24.69 per hour .   Franchisees underpaying their staff would typically maintain rosters and pay records that would appear to show the employee being paid the legally - required rate , however these records would in fact only include half of the hours the employee actually worked in a week . Employees would then be paid on the basis of these records , resulting in them effectively being paid half the legally - required rate .   It was also reported that workers were often not paid loadings and penalty rates that they are legally entitled to , for working overtime hours , nights , weekends , and public holidays .   After these reports came to light and received widespread attention , some employees had alleged to Fairfax Media that they had begun to be paid correctly through the 7 - Eleven payroll system , however would then be asked by the franchisee to pay back half their wages in cash . 7 - Eleven subsequently announced they would fund an inquiry to investigate instances of wage fraud . The inquiry is to be conducted by an independent panel chaired by former Australian Competition and Consumer Commission chairman Allan Fels , and with the support of professional services firm Deloitte . The inquiry invited submissions from current and former 7 - Eleven employees who allege they have been underpaid , and assess each individual claim .   In September 2015 , chairman Russ Withers and chief executive Warren Wilmon announced they would resign from the company . Deputy chairman Michael Smith replaced Withers , while Bob Baily was appointed as interim chief executive .   The Four Corners investigation into 7 - Eleven won a Walkley Award in 2015 . In December 2015 , Stewart Levitt of law firm Levitt Robinson Solicitors , who featured prominently in the Four Corners program , announced a potential class action lawsuit against 7 - Eleven head office on behalf of franchisees who had allegedly been lured into signing on with 7 - Eleven by false representations .   See also ( edit )    Companies portal     List of convenience stores    References ( edit )    Jump up ^ `` 7 - Eleven around the world '' . Seven - Eleven Japan Co. Ltd. 2018 . Retrieved August 16 , 2018 .   Jump up ^ `` Corporate Profile '' . SEVEN - ELEVEN JAPAN CO. , LTD . Retrieved 16 August 2018 .   Jump up ^ Plunkett , Jack W. ( December 2008 ) . Plunkett 's Retail Industry Almanac 2009 . Plunkett Research , Ltd .   ^ Jump up to : `` '' History - 7 - Eleven Corporate `` '' . 7 - Eleven , Inc . Archived from the original on March 17 , 2017 . Retrieved April 18 , 2017 .   Jump up ^ `` 7 - Eleven Corporate '' . corp.7-eleven.com. 7 - Eleven Corporate . Retrieved February 10 , 2015 .   Jump up ^ Smith , Andrew F. ( May 2007 ) . The Oxford Companion to American Food and Drink . Oxford University Press . p. 146 .   Jump up ^ `` 7 - Eleven , Inc . History '' Retrieved July 20 , 2012 .   Jump up ^ Press , Hoover 's Business ( 2010 ) . Hoover 's Handbook of Private Companies . Hoover 's Business Press . p. 209 .   Jump up ^ `` Open Around the Clock - 7 - Eleven Corporate '' . 7 - Eleven , Inc . Archived from the original on April 18 , 2017 . Retrieved April 18 , 2017 .   Jump up ^ `` G. Allen Penniman '' . geni.com . Retrieved October 12 , 2015 .   Jump up ^ `` Edgar Erwin Penniman '' . Pensacola News Journal . May 2 , 2015 . Retrieved October 12 , 2015 .   Jump up ^ Sims , Calvin ( July 6 , 1987 ) . `` 7 - Eleven Owner in $5 Billion to Sell Company '' . New York Times . Retrieved August 4 , 2015 .   Jump up ^ `` Company News ; Southland Holders Approve Buyout '' . New York TImes . Associated Press . December 9 , 1987 . Retrieved August 3 , 2015 .   Jump up ^ Frank , Peter H. ( November 11 , 1987 ) . `` Southland Buyout Hits Snag '' . The New York Times . Retrieved August 3 , 2015 .   Jump up ^ Wayne , Leslie ( January 4 , 1988 ) . `` Takeovers Revert to the Old Mode '' . The New York Times . Retrieved August 3 , 2015 .   Jump up ^ `` Company News : Southland to Sell Chief Auto Unit '' </t>
    </r>
  </si>
  <si>
    <t xml:space="preserve">how many 7 elevens are in the world</t>
  </si>
  <si>
    <t xml:space="preserve"> 7 - Eleven Inc. is a Japanese - owned American international chain of convenience stores , headquartered in Dallas , Texas . The chain was known as Tote 'm Stores until it was renamed in 1946 . Its parent company , Seven - Eleven Japan Co. , Ltd. , operates , franchises , and licenses 66,579 stores in 17 countries as of 30 June 2018 . Seven - Eleven Japan is headquartered in Chiyoda , Tokyo and held by the Seven &amp; I Holdings Co . </t>
  </si>
  <si>
    <t xml:space="preserve">when do booth and brennan become a couple</t>
  </si>
  <si>
    <t xml:space="preserve"> At the start of Season 7 , a very pregnant Brennan and Booth are a couple but are going back and forth between apartments . Booth suggests that they should have their own place , whereas Brennan wants Booth to move into her apartment . It causes a minor rift between them , but is resolved when Booth admits why he wants to move into a new house and Brennan having some time to think over it says it 's a good idea because she 'd need him practically , emotionally and sexually . In episode 6 , `` The Crack in the Code , '' they decide to buy a two - story house in the suburbs -- which they jokingly called `` The Mighty Hut '' -- that Booth found at a police auction and renovate it , ( according to a mailed check sent to Brennan in `` The Heiress in the Hill '' , in season 9 , the `` Mighty Hut '' 's address is `` 1297 Janus Street , Washington DC , 20002 '' ) . In episode 7 , `` The Prisoner in the Pipe '' , Brennan goes into labor inside a prison just as she discovers who killed in an inmate there and Booth rushes her out with the intention to take her to the nearest hospital , but they both know she wo n't make it in time . This leads them to driving to an inn close to the prison . At first , they are rejected and are told to leave , but after some desperate pleading from an agonized Brennan , the two of them are led to a stall where she gives birth to their daughter , Christine Angela Booth ( named after Temperance 's mother , Christine Brennan , and Temperance 's best friend Angela Montenegro ) . Some time after the delivery , Temperance and Seeley both go back to their home where they celebrate with their friends from the Jeffersonian , who brought dinners that would last a few nights as well as a few baby supplies . In `` The Past in the Present '' , Brennan becomes the prime suspect in the murder of her schizophrenic friend , Ethan Sawyer , after supposedly threatening to kill Christine . Max advises Brennan to get off the grid and go into hiding , but she and Booth do not follow up at this suggestion . However , at the end of the episode , after Christine is christened in a Catholic church , it is revealed Brennan decided to take her father 's advice and flee with her daughter until her name is cleared . Just before Brennan flees town with Christine , she tells Booth she loves him and not just because of their daughter . After she is cleared of Sawyer 's murder , Brennan , Booth and Christine resume their family life . </t>
  </si>
  <si>
    <t xml:space="preserve">Nice one Cyril - wikipedia  Nice one Cyril  Jump to : navigation , search    `` Nice One Cyril ''     Single by Cockerel Chorus     B - side   `` Cyril Marches On ''     Released   February 1973     Format   7 '' Single     Genre   Singalong , Football     Label   Young Blood International     Songwriter ( s )   Harold Spiro , Helen Clarke     Producer ( s )   Martin Clarke     `` Nice One Cyril '' is a single by Cockerel Chorus written by Harold Spiro and Helen Clarke . The song title is a reference to Cyril Knowles , a left back who played for Tottenham Hotspur . It was released before the 1973 Football League Cup Final where Tottenham played Norwich City . It reached No. 14 on the British single chart after Tottenham won , and its writers Spiro and Clarke received an Ivor Novello Award for Best Novel or Unusual Song in 1974 .     Contents  ( hide )   1 Origin   2 Chart performance   3 Popular culture   4 References      Origin ( edit )   In 1972 , Wonderloaf Bread created a television advertising campaign written by Peter Mayle with the slogan `` Nice one , Cyril '' , where the slogan was used to congratulate a baker named Cyril for making a good loaf of bread . The slogan was picked by fans of the football club Tottenham Hotspur , who chanted `` Nice one Cyril '' to praise a Tottenham player named Cyril Knowles . Harold Spiro , a fan of the club , wrote the song with Helen Clarke based on the chant . The following year in 1973 , Tottenham reached the League Cup Final , and the song was released . The song was performed by the Cockerel Chorus ( the cockerel is the emblem of Tottenham Hotspur ) fronted by Spiro , with Jamie Phillips singing the opening operatic part .   Chart performance ( edit )   The song was released before the League Cup Final , and entered the chart at No. 43 on 24 February 1973 . It peaked at No. 14 a month later after Tottenham had won the League Cup 1 -- 0 against Norwich on 3 March 1973 .   Popular culture ( edit )   Due to the popularity of the TV slogan and the song , `` Nice one Cyril '' became a popular catchphrase in the 1970s used to praise someone . In Cockney rhyming slang it was adopted to mean `` squirrel '' , and it was the title of the autobiography of Cyril Fletcher , The phrase continued to be used in later decades , but limited to those named Cyril or similar ; the refrain of the song `` Nice one Cyril , nice one son '' was used as a tribute to another footballer Cyrille Regis in 2018 .   References ( edit )    Jump up ^ `` Cockerel Chorus - Nice One Cyril '' . Discogs .   Jump up ^ `` Two in U.K. Get Writer Novellos '' . Billboard. 1 June 1974 .   Jump up ^ `` The Ivors 1974 '' . The Ivors .   Jump up ^ Parkinson , Judy ( 1 October 2003 ) . Catchphrase , Slogan and Cliche . Michael O'Mara Books Ltd . ISBN 978 - 1843170631 .   Jump up ^ Newland , Francesca ( 1 October 1999 ) . `` Martin Reavley , the co-creator of `` Nice one Cyril '' , dies at 51 `` . Campaign .   ^ Jump up to : Seddon , Peter ( 1 August 2004 ) . Football Talk : The Language &amp; Folklore of the World 's Greatest Game . Robson Books Ltd . ISBN 978 - 1861056832 .   Jump up ^ Elizabeth Knowles , ed. ( 23 August 2007 ) . Oxford Dictionary of Modern Quotations . Oxford University Press . ISBN 978 - 0199208951 .   Jump up ^ Hilliard , Ernie ( 29 October 2013 ) . `` The Cockerel Chorus '' . Spurs Web .   Jump up ^ `` Cockerel Chorus '' . The Official Charts Company .   Jump up ^ Tom Dalzell , Terry Victor , eds. ( 5 December 2005 ) . The New Partridge Dictionary of Slang and Unconventional English : J-Z ( 9th ed . ) . Routledge . p. 1366 . ISBN 978 - 0415259385 . CS1 maint : Uses editors parameter ( link )   Jump up ^ Partridge , Eric . A Dictionary of Catch Phrases . Routledge . ISBN 9781134929986 .   Jump up ^ Smith , Daniel . The Language of London : Cockney Rhyming Slang .   Jump up ^ Fletcher , Cyril ( 1978 ) . Nice One Cyril : Being the Odd Odessey and the Anecdotage of a Comedian . Random House . ISBN 0 - 214 - 20581 - 9 .   Jump up ^ White , Jim ( 30 January 2018 ) . `` Cyrille Regis memorial service : ' He helped to change hearts and minds ' '' . The Daily Telegraph .      ( hide )         Hit singles recorded by Tottenham Hotspur Football Club       `` Ossie 's Dream ( Spurs Are on Their Way to Wembley ) '' ( 1981 )   `` Tottenham , Tottenham '' ( 1982 )   `` Hot Shot Tottenham ! '' ( 1987 )   `` When the Year Ends in One '' ( 1991 )       See also : All UK hit singles by footballers    Retrieved from `` https://en.wikipedia.org/w/index.php?title=Nice_One_Cyril&amp;oldid=834486208 '' Categories :   1973 singles   Tottenham Hotspur F.C. songs   Football songs and chants   1973 songs   Songs about sportspeople   Hidden categories :   CS1 maint : Uses editors parameter           Talk                                           Contents                   About Wikipedia                                           Add links   This page was last edited on 6 April 2018 , at 00 : 09 .         About Wikipedia                    </t>
  </si>
  <si>
    <t xml:space="preserve">who sang nice one cyril nice one son</t>
  </si>
  <si>
    <t xml:space="preserve"> `` Nice One Cyril '' is a single by Cockerel Chorus written by Harold Spiro and Helen Clarke . The song title is a reference to Cyril Knowles , a left back who played for Tottenham Hotspur . It was released before the 1973 Football League Cup Final where Tottenham played Norwich City . It reached No. 14 on the British single chart after Tottenham won , and its writers Spiro and Clarke received an Ivor Novello Award for Best Novel or Unusual Song in 1974 . </t>
  </si>
  <si>
    <t xml:space="preserve">Red Red Wine - wikipedia  Red Red Wine  Jump to : navigation , search    `` Red Red Wine ''         Single by Neil Diamond     from the album Just for You     B - side   `` Red Rubber Ball ''     Released   1967 ( 1967 )     Format   7 ''     Genre     Pop   soft rock       Length   2 : 42     Label   Bang     Songwriter ( s )   Neil Diamond     Producer ( s )     Jeff Barry   Ellie Greenwich       Neil Diamond singles chronology        `` New Orleans '' ( 1968 )   `` Red Red Wine '' ( 1967 )   `` Brooklyn Roads '' ( 1968 )           `` New Orleans '' ( 1968 )   `` Red Red Wine '' ( 1968 )   `` Brooklyn Roads '' ( 1968 )        `` Red Red Wine '' is a song originally written , performed , and recorded by American singer Neil Diamond in 1967 . It is included on Neil 's second studio album , Just for You . The lyrics are sung from the perspective of a person who finds that drinking red wine is the only way to forget his woes .   When Neil left the Bang Records label in 1968 , Bang continued to release Neil Diamond singles , often adding newly recorded instruments and background vocals to album tracks from the two Neil Diamond albums that Bang had issued . For the `` Red Red Wine '' single , Bang added a background choir without Neil 's involvement or permission . Diamond 's version reached number sixty - two on the Billboard Hot 100 chart in 1968 . A live version was released on Diamond 's The Greatest Hits ( 1966 -- 92 ) but the 1968 single version has never been issued on a vinyl album or CD .   The song was covered by several artists shortly after Diamond 's recording was released . In 1968 , the Dutch singer Peter Tetteroo ( from the band Tee Set ) had a hit with a cover of the song in Netherlands . Tony Tribe covered the song in 1969 in a reggae - influenced style . In 1983 , UB40 recorded perhaps the best known version of the song , in a lighter reggae style . The UB40 version topped the Billboard Hot 100 and the UK Singles Chart . Diamond later performed a UB40 - inspired version of the song while on tour .     Contents  ( hide )   1 Chart performance   2 UB40 version   2.1 Charts   2.2 Certifications   2.3 Chart successions     3 Other cover songs   4 References      Chart performance ( edit )     Chart ( 1969 )   Peak position     U.S. Billboard Hot 100   62     UB40 version ( edit )     `` Red Red Wine ''         Single by UB40     from the album Labour of Love     B - side   `` Sufferin ' ''     Released     20 August 1983 ( 1983 - 08 - 20 )   1988 -- 2000 ( re-releases )       Format     7 ''   12 ''       Recorded   1982     Genre   Reggae fusion     Length   5 : 20     Label     DEP ( UK )   A&amp;M ( US )   Virgin       Songwriter ( s )   Neil Diamond     Producer ( s )     Ray `` Pablo '' Falconer   UB40       UB40 singles chronology        `` I 've Got Mine '' ( 1983 )   `` Red Red Wine '' ( 1983 )   `` Please Do n't Make Me Cry '' ( 1983 )           `` I 've Got Mine '' ( 1983 )   `` Red Red Wine '' ( 1983 -- 2000 )   `` Please Do n't Make Me Cry '' ( 1983 )        UB40 recorded their rendition for their album of cover versions , Labour of Love . According to the band , they were only familiar with Tony Tribe 's version ( they apparently did n't realise that the writer , credited simply as `` Diamond '' , was in fact Neil Diamond ) , and their version featured a lighter , reggae - style flavor compared to Diamond 's somber , acoustic ballad . The UB40 version adds a toasted verse by UB40 member Astro , opening : `` Red Red Wine , you make me feel so fine / You keep me rocking all of the time '' , which was edited from the single that reached number one on the UK Singles Chart in August 1983 and number 34 in the United States in March 1984 but not from the version that reached number one on the Billboard Hot 100 a few months after being performed at the Nelson Mandela 70th Birthday Concert in 1988 . In September 2014 , the Official Charts Company announced that sales in the UK had reached one million .   Songwriter Neil Diamond has stated that it is one of his favorite covers of his songs . Diamond frequently performs the song live using the UB40 reggae arrangement as opposed to the original version .   Charts ( edit )     Chart ( 1983 -- 2001 )   Peak position     Australia ( Kent Music Report )       Austria ( Ö3 Austria Top 40 )   5     Canada ( RPM )       Germany ( Official German Charts )   12     Ireland ( IRMA )       Netherlands ( Dutch Top 40 )       New Zealand ( Recorded Music NZ )       Norway ( VG - lista )   10     Sweden ( Sverigetopplistan )   14     Switzerland ( Schweizer Hitparade )   8     UK Singles ( Official Charts Company )       US Billboard Hot 100       Certifications ( edit )     Region   Certification   Certified units / Sales     United Kingdom ( BPI )   Platinum   1,000,000      sales figures based on certification alone shipments figures based on certification alone      Chart successions ( edit )     Preceded by `` Give It Up '' by KC &amp; The Sunshine Band   UK number - one single 3 September 1983 -- 17 September 1983 ( 3 weeks )   Succeeded by `` Karma Chameleon '' by Culture Club     Preceded by `` Love Bites '' by Def Leppard   Billboard Hot 100 number - one single 15 October 1988 ( 1 week )   Succeeded by `` A Groovy Kind of Love '' by Phil Collins     Other cover songs ( edit )   Swedish group Tom &amp; Mick &amp; Maniacs released their version of the song in 1967 . This appears to be the first recorded version of the song .   Jimmy James and The Vagabonds released a cover version the same year as Diamond 's version ( 1968 ) , for the UK market . It charted at number thirty - six .   In 1968 , singer Peter Tetteroo , of Dutch beat group Tee Set , released a cover version that reached number six on the Dutch top - 40 chart .   Tony Tribe , a Jamaican singer , recorded a reggae - influenced version in 1969 which reached number forty - six on the UK Singles Chart , this became Trojan Records first chart hit and has been included in numerous reggae compilations since . The song was also covered in 1969 by singer Charles Mann .   In 1970 , a remake by Vic Dana became a minor Billboard Hot 100 hit , peaking at number 72 and reached number 30 on the Adult Contemporary chart . In early 1972 , singer Roy Drusky enjoyed a top 20 hit with his version , reaching number 17 on the Billboard Hot Country Songs chart and number 16 on the Canada Country chart .   The Hobos included the song on their 2004 double studio album , Radio Jah Jah . `` Red Red Wine '' was also performed by Peter Tetteroo , former singer of Tee Set , a Dutch band , in 1968 . The song has also been performed by Cas Haley along with UB40 on the last episode of the season two show America 's Got Talent .   In 2001 , singer Elan Atias released a dancehall version on the Buy Out Riddim instrumental , best known performed by Sean Paul , with the song entitled , `` Like Glue '' . This was the first time the song was performed on a totally different instrumental tracking . The lyrics were also re-written . In 2008 , Sizzla also released a dancehall single ( `` No Time To Gaze '' ) based on the UB40 version .   In August 2012 , Ballyhoo ! 's lead singer was requested to perform an acoustic version based on the UB40 version , and posted it on SoundCloud .   In March 2017 , Andrew Bogut posted the UB40 version on his Twitter to signify he was joining the Cleveland Cavaliers -- the team 's colours include the darkish red `` wine '' .   References ( edit )    Jump up ^ Moss , Liv ( 22 September 2014 ) . `` Now That 's What I Call A Million tracklisting revealed ! '' . Official Charts Company . Retrieved 22 September 2014 .   Jump up ^ `` Singer / songwriter Neil Diamond here , AMA ! '' . Reddit. 16 October 2014 . Retrieved 17 October 2014 .   Jump up ^ Kent , David ( 1993 ) . Australian Chart Book 1970 -- 1992 ( Illustrated ed . ) . St. Ives , N.S.W. : Australian Chart Book . p. 316 . ISBN 0 - 646 - 11917 - 6 . N.B. The Kent Report chart was licensed by ARIA between mid 1983 and 19 June 1988 .   Jump up ^ `` Austriancharts.at -- UB40 -- Red Red Wine '' ( in German ) . Ö3 Austria Top 40 .   Jump up ^ `` RPM Weekly February 18 , 1984 '' .   Jump up ^ `` Musicline.de -- UB40 Single - Chartverfolgung '' ( in German ) . Media Control Charts . PhonoNet GmbH .   Jump up ^ `` De Nederlandse Top 40 , week 39 , 1983 '' .   Jump up ^ `` Charts.org.nz -- UB40 -- Red Red Wine '' . Top 40 Singles .   Jump up ^ `` Norwegiancharts.com -- UB40 -- Red Red Wine '' . VG - lista .   Jump up ^ `` Swedishcharts.com -- UB40 -- Red Red Wine '' . Singles Top 100 .   Jump up ^ `` Swisscharts.com -- UB40 -- Red Red Wine '' . Swiss Singles Chart .   Jump up ^ `` Archive Chart : 1983 - 08 - 28 '' UK Singles Chart .   Jump up ^ `` UB40 -- Chart history '' Billboard Hot 100 for UB40 .   Jump up ^ Roberts , David ( 2006 ) . British Hit Singles &amp; Albums ( 19th ed . ) . London : Guinness World Records Limited . p. 565 . ISBN 1 - 904994 - 10 - 5 .   Jump up ^ http://www.trojanrecords.com/the-trojan-records-story   Jump up ^ https://twitter.com/andrewbogut/status/836738332306595840              Neil Diamond singles discography     Singles 1960s     1962   `` You Are My Love at Last ''   `` I 'm Afraid ''     1963   `` At Night ''     1966   `` Solitary Man ''   `` Cherry , Cherry ''   `` I Got the Feelin ' ( Oh No No ) ''     1967   `` Girl , You 'll Be a Woman Soon ''   `` Thank the Lord for the Night Time ''   `` Kentucky Woman ''   `` Some Day Baby ''     1968   `` New Orleans ''   `` Red Red Wine ''   `` Brooklyn Roads ''   `` Two - Bit Manchild ''   `` Shilo ''   `` Sunday Sun ''     1969   `` Brother Love 's Travelling Salvation Show ''   `` Sweet Caroline ''   `` Holly Holy ''       Singles 1970s     1970   `` Shilo ''   `` Until It 's Time for You to Go ''   `` Soolaimon ''   `` And The Grass Wo n't Pay No Mind ''   `` Solitary Man ''   `` Cracklin ' Rosie ''   `` He Ai n't Heavy , He 's My Brother ''   `` Do It ''     1971   `` I Am ... I Said ''   `` Done Too Soon ''   `` I 'm a Believer ''   `` Stones ''     1972   `` Song Sung Blue ''   `` Play Me ''   `` Walk on Water ''     1973   `` Cherry , Cherry ''   `` The Long Way Home ''   `` The Last Thing on My Mind ''   `` Be ''       `` Skybird ''   `` Longfellow Serenade ''       `` Morningside ''   `` I 've Been This Way Before ''   `` The Last Picasso ''     1976   `` If You Know What I Mean ''   `` Do n't Think ... Feel ''   `` Beautiful Noise ''     1977   `` Stargazer ''   `` Lady - Oh ''   `` Desiree ''     1978   `` God Only Knows ''   `` Let Me Take You In My Arms Again ''   `` I 'm Glad You 're Here With Me Tonight ''   `` You Do n't Bring Me Flowers ''   `` The Dancing Bumble Bee / Bumble Boogie ''     1979   `` Forever in Blue Jeans ''   `` Say Maybe ''   `` The American Popular Song ''   `` September Morn ''       Singles 1980s     1980   `` That Kind ''   `` The Good Lord Loves You ''   `` Dancing in the Street ''   `` Love on the Rocks ''     1981   `` Hello Again ''   `` America ''   `` Yesterday 's Songs ''     1982   `` On the Way to the Sky ''   `` Be Mine Tonight ''   `` Rainy Day Song ''   `` Heartlight ''       `` I 'm Alive ''   `` Turn Around ''                 UB40       Jimmy Brown   Robin Campbell   Earl Falconer   Norman Hassan   Brian Travers   Duncan Campbell     Ali Campbell   Yomi Babayemi   Jimmy Lynn   Mickey Virtue   Astro       Studio albums     Signing Off   Present Arms   UB44   Labour of Love   Geffery Morgan   Baggariddim   Rat in the Kitchen   UB40   Labour of Love II   Promises and Lies   Guns in the Ghetto   Labour of Love III   Cover Up   Homegrown   Who You Fighting For ?   TwentyFourSeven   Labour of Love IV   Getting Over the Storm       Compilation albums     The Singles Album   More UB40 Music   The UB40 File   The Best of UB40 -- Volume One   Labour of Love , Volumes I and II   The Best of UB40 - Volume Two   UB40 Present the Dancehall Album   The Very Best of UB40 1980 - 2000   UB40 Present the Fathers of Reggae   Labour of Love , Volumes I , II and III - Platinum Collection   The Best Of UB40 , Volumes 1 &amp; 2   Love Songs   Best of Labour of Love   All the Best       Live albums     UB40 Live   UB40 CCCP : Live in Moscow       Remix albums     Present Arms in Dub   Dub Sessions       Notable songs     `` Food for Thought ''   `` One in Ten ''   `` Do n't Slow Down ''   `` Red Red Wine ''   `` Please Do n't Make Me Cry ''   `` Many Rivers to Cross ''   `` Cherry Oh Baby ''   `` If It Happens Again ''   `` Sing Our Own Song ''   `` Rat in Mi Kitchen ''   `` I Got You Babe ''   `` Breakfast in Bed ''   `` Homely Girl ''   `` Kingston Town ''   `` I 'll Be Your Baby Tonight ''   `` The Way You Do the Things You Do ''   `` ( I Ca n't Help ) Falling in Love With You ''   `` Higher Ground ''   `` Reasons ''   `` Swing Low ''       See also     UB40 discography   Dep International      Retrieved from `` https://en.wikipedia.org/w/index.php?title=Red_Red_Wine&amp;oldid=799903038 '' Categories :   1967 songs   1968 singles   1983 singles   1988 singles   Neil Diamond songs   UB40 songs   Billboard Hot 100 number - one singles   Dutch Top 40 number - one singles   Number - one singles in New Zealand   RPM Top Singles number - one singles   UK Singles Chart number - one singles   Songs written by Neil Diamond   Reggae songs   Songs about alcohol   Bang Records singles   Hidden categories :   Articles with hAudio microformats   Singlechart usages for Austria   Singlechart usages for Germany   Singlechart usages for New Zealand   Singlechart usages for Norway   Singlechart usages for Sweden   Singlechart usages for Swiss   Singlechart usages for UK   Singlechart called without artist   Singlechart called without song   Singlechart usages for Billboardhot100   Use dmy dates from July 2011           Talk                                           Contents                   About Wikipedia                                           Deutsch   Français   Italiano   Latina   Norsk   Norsk nynorsk   Polski   Simple English   Svenska   Edit links   This page was last edited on 10 September 2017 , at 14 : 20 .         About Wikipedia                    </t>
  </si>
  <si>
    <t xml:space="preserve">who sang red red wine in the 80's</t>
  </si>
  <si>
    <t xml:space="preserve"> `` Red Red Wine '' is a song originally written , performed , and recorded by American singer Neil Diamond in 1967 . It is included on Neil 's second studio album , Just for You . The lyrics are sung from the perspective of a person who finds that drinking red wine is the only way to forget his woes . </t>
  </si>
  <si>
    <t xml:space="preserve">Compact cassette - Wikipedia  Compact cassette  Jump to : navigation , search  Compact Cassette       A TDK SA90 Type II Compact Cassette     Media type   Magnetic tape     Encoding   Analog signal     Capacity   Typically 30 or 45 minutes of audio per side ( C60 and C90 formats respectively ) , 120 minutes also available     Read mechanism   Tape head     Write mechanism   Magnetic recording head     Developed by   Philips     Usage   Audio and data storage     The Compact Cassette or Musicassette ( MC ) , also commonly called cassette tape , audio cassette , or simply tape or cassette , is an analog magnetic tape recording format for audio recording and playback . It was released by Philips in 1962 , having been developed in Hasselt , Belgium . Compact cassettes come in two forms , either already containing content as a pre-recorded cassette , or as a fully recordable `` blank '' cassette . Both forms are reversible by the user .   The compact cassette technology was originally designed for dictation machines , but improvements in fidelity led the Compact Cassette to supplant the Stereo 8 - track cartridge and reel - to - reel tape recording in most non-professional applications . Its uses ranged from portable audio to home recording to data storage for early microcomputers . The first cassette player ( although mono ) designed for use in car dashes was introduced in 1968 . Between the early 1970s and the early 2000s , the cassette was one of the two most common formats for prerecorded music , first alongside the LP record and later the compact disc ( CD ) .   Compact Cassettes contain two miniature spools , between which the magnetically coated , polyester - type plastic film ( magnetic tape ) is passed and wound . These spools and their attendant parts are held inside a protective plastic shell . Two stereo pairs of tracks ( four total ) or two monaural audio tracks are available on the tape ; one stereo pair or one monophonic track is played or recorded when the tape is moving in one direction and the second ( pair ) when moving in the other direction . This reversal is achieved either by manually flipping the cassette , or by having the machine itself change the direction of tape movement and head respectively ( `` auto - reverse '' ) .     Contents  ( hide )   1 History   1.1 Before the Compact Cassette   1.2 Introduction of the Compact Cassette   1.3 Popularity of music cassettes   1.4 Decline   1.5 21st century use   1.6 Recent mainstream releases on cassette     2 Features   2.1 Cassette types   2.2 Tape length   2.3 Track width   2.4 Write - protection   2.5 Tape leaders   2.6 Endless loop cassette   2.7 Flaws     3 Cassette players and recorders   4 Applications   4.1 Audio   4.2 Broadcasting   4.3 Home studio   4.4 Home dubbing   4.5 Institutional duplication   4.6 Data recording     5 Successors   6 See also   7 References   8 External links      History ( edit )   Before the Compact cassette ( edit )  Cassettes of varying tape quality and playing time . The top is a Maxell MX ( Type IV ) , bottom right is a TDK SA ( Type II ) and the bottom left is a TDK D ( Type I ) . One of the first ( portable ) cassette recorders from Philips , the Typ EL 3302 ( 1968 )  In 1935 , decades before the introduction of the Compact Cassette , AEG released the first reel - to - reel tape recorder ( in German : Tonbandgerät ) , with the commercial name `` Magnetophon '' . It was based on the invention of the magnetic tape ( 1928 ) by Fritz Pfleumer , which used similar technology but with open reels ( for which the tape was manufactured by BASF ) . These instruments were very expensive and relatively difficult to use and were therefore used mostly by professionals in radio stations and recording studios .   In 1958 , following four years of development , RCA Victor introduced the stereo , quarter - inch , reversible , reel - to - reel RCA tape cartridge . However , it was a large cassette ( 5 '' × 7 `` ) , and offered few pre-recorded tapes . Despite the multiple versions , it failed .   Consumer use of magnetic tape machines only took off in the early 1960s , after playback machines reached a comfortable , user - friendly design . This was achieved primarily by the introduction of transistors which replaced the bulky , fragile , and costly vacuum tubes of earlier designs . Reel - to - reel tape then became more suitable to household use , but still remained an esoteric product .   Introduction of the Compact cassette ( edit )   In 1962 , Philips invented the Compact Cassette medium for audio storage , introducing it in Europe on 30 August 1963 at the Berlin Radio Show , and in the United States ( under the Norelco brand ) in November 1964 , with the trademark name Compact Cassette . The team at Philips was led by Lou Ottens in Hasselt , Belgium .   `` Philips was competing with Telefunken and Grundig in a race to establish its cassette tape as the worldwide standard , and it wanted support from Japanese electronics manufacturers . '' However , the Philips ' Compact Cassette became dominant as a result of Philips ' decision ( under pressure from Sony ) to license the format free of charge . Philips also released the Norelco Carry - Corder 150 recorder / player in the US in November 1964 . By 1966 over 250,000 recorders had been sold in the US alone and Japan soon became the major source of recorders . By 1968 , 85 manufacturers had sold over 2.4 million players . By the end of the 1960s , the cassette business was worth an estimated 150 million dollars .   In the early years sound quality was mediocre , but it improved dramatically by the early 1970s when it caught up with the quality of 8 - track tape and kept improving . The Compact Cassette went on to become a popular ( and re-recordable ) alternative to the 12 - inch vinyl LP during the late 1970s .   Popularity of music cassettes ( edit )   The mass production of blank ( recordable ) Compact Cassettes began in 1964 in Hanover , Germany . Prerecorded music cassettes ( also known as Music - Cassettes , and later just Musicassettes ; M.C. for short ) were launched in Europe in late 1965 . The Mercury Record Company , a US affiliate of Philips , introduced M.C. to the US in July 1966 . The initial offering consisted of 49 titles . However , the system had been designed initially for dictation and portable use , with the audio quality of early players not well suited for music . Some early models also had unreliable mechanical design . In 1971 , the Advent Corporation introduced their Model 201 tape deck that combined Dolby type B noise reduction and chromium dioxide ( CrO ) tape , with a commercial - grade tape transport mechanism supplied by the Wollensak camera division of 3M Corporation . This resulted in the format being taken more seriously for musical use , and started the era of high fidelity cassettes and players .   Although the birth and growth of the cassette began in the 1960s , its cultural moment took place during the 1970s and 1980s . The cassette 's popularity grew during these years as a result of being a more effective , convenient and portable way of listening to music . Stereo tape decks and boom boxes became some of the most highly sought - after consumer products of both decades . Portable pocket recorders and high - fidelity ( `` hi - fi '' ) players , such as Sony 's Walkman ( 1979 ) , also enabled users to take their music with them anywhere with ease . The increasing user - friendliness of the cassette led to its popularity around the globe . The body of the Walkman was not much larger than the cassette tape itself , with mechanical keys on one side , or electronic buttons or a display on the face . Sony 's WM - 10 was even smaller than the cassette itself , and expanded to hold and play a cassette .  The Sony Walkman  Like the transistor radio in the 1950s and 1960s , the portable CD player in the 1990s , and the MP3 player in the 2000s , the Walkman defined the portable music market for the decade of the ' 80s , with cassette sales overtaking those of LPs . Total vinyl record sales remained higher well into the 1980s due to greater sales of singles , although cassette singles achieved popularity for a period in the 1990s . Another barrier to cassettes overtaking vinyl in sales was shoplifting ; compact cassettes were small enough that a thief could easily place one inside a pocket and walk out of a store without being noticed . To prevent this , retailers would place cassettes inside oversized `` spaghetti box '' containers or locked display cases , either of which would significantly inhibit browsing , thus reducing cassette sales . During the early 1980s some record labels sought to solve this problem by introducing new , larger packages for cassettes which would allow them to be displayed alongside vinyl records and compact discs , or giving them a further market advantage over vinyl by adding bonus tracks . Willem Andriessen wrote that the development in technology allowed `` hardware designers to ( ... ) discover and satisfy one of the collective desires of human beings all over the world , independent of region , climate , religion , culture , race , sex , age and education : the desire to enjoy music at any time , at any place , ( ... ) in any desired sound quality and almost at any wanted price .   Apart from the purely technological advances cassettes brought , they also served as catalysts for social change . Their durability and ease of copying helped bring underground rock and punk music behind the Iron Curtain , creating a foothold for Western culture among the younger generations . For similar reasons , cassettes became popular in developing nations .   One of the most famous political uses of cassette tapes was the dissemination of sermons by the Ayatollah Khomeini throughout Iran before the 1979 Iranian Revolution , in which Khomeini urged the overthrow of the regime of the Shah , Mohammad Reza Pahlavi . In 1970s India , cassettes were blamed for bringing unwanted Christian and Islamic influences into traditionally Sikh and Hindu areas . Cassette technology was a booming market for pop music in India , drawing criticism from conservatives while at the same time creating a huge market for legitimate recording companies , as well as pirated tapes .   Between 1985 and 1992 , the cassette tape was the most popular format in the UK and wealthy record labels experimented with innovative packaging designs . A designer during the era explained : `` There was so much money in the industry at the time , we could try anything with design . '' The introduction of the cassette single , called a `` cassingle '' , was also part of this era and featured a music single in Compact Cassette form . Until 2005 , cassettes remained the dominant medium for purchasing and listening to music in some developing countries , but compact disc ( CD ) technology had superseded the Compact Cassette in the vast majority of music markets throughout the world by this time .   Decline ( edit )   In Western Europe and North America , the market for cassettes declined sharply after its peak in the late 1980s . This was particularly noticeable with pre-recorded cassettes , the sales of which were overtaken by those of CDs during the early 1990s . By 1993 , annual shipments of CD players had reached 5 million , up 21 % from the year before ; while cassette player shipments had dropped 7 % to approximately 3.4 million . The decline continued , and in 2001 cassettes accounted for only 4 % of all music sold . Since then , further decline occurred , with very few retailers stocking them because they are no longer issued by the major music labels .   Sales of pre-recorded music cassettes in the U.S. dropped from 442 million in 1990 to 274,000 by 2007 . Another record low was registered in 2009 , with 34,000 cassettes sold . Most of the major U.S. music companies had discontinued production of cassette tapes by 2003 . However , as of 2012 , blank cassettes were still being produced and are still sold at some retail stores , while facilities for cassette duplication remain available . Cassette recorders and players are gradually becoming more scarce , but are still widely available and featured in some hi - fi systems .   Cassettes remained popular for specific applications , such as car audio and telephone answering machines , well into the 1990s . Cassettes and their players were typically more rugged and resistant to dust , heat , and shocks than the main digital competitor , the CD . Their lower fidelity was not considered a serious drawback . However , the advent of `` shock proof '' buffering technology in CD players , the general heightening of consumer expectations , and the introduction of CD auto - changers meant that , by the early 2000s , the CD player rapidly replaced the cassette player as the default audio component in the majority of new vehicles in Europe and America . The last new car with an available cassette player was a 2010 Lexus SC 430 .   While digital voice recorders are now common , Compact Cassette -- or microcassette -- recorders may be cheaper and of sufficient quality to serve as adjuncts or substitutes for note taking in business and educational settings . Audiobooks , church services , and other spoken word material are still frequently sold on cassette , as lower fidelity generally is not a drawback for such content , and some people prefer the convenience of the tape controls for rewinding to repeat a missed passage . While most publishers sell CD audiobooks , they usually also offered a cassette version at the same price well into the 2000s . In the audiobooks application , where recordings may span several hours , cassettes also have the advantage of holding up to 150 minutes of material , whereas the average CD holds less than 80 .   21st century use ( edit )   Although portable digital recorders are most common today , analog tape remains a desirable option for certain artists and consumers . Older genres like `` dansband '' may favor the format most familiar to their fans . Some musicians and DJs in the independent music community maintain a tradition of using and releasing cassettes due to its low cost and ease of use . Underground and DIY communities release regularly , and sometimes exclusively , on cassette format , particularly in experimental music circles and to a lesser extent in hardcore punk , death metal , and black metal circles , out of a fondness for the format . Even among major label stars , the form has its devotees : Eminem has made his favor known , and Thurston Moore claimed in 2009 , `` I only listen to cassettes . ''   In 2010 , Botswana - based Diamond Studios announced plans for establishing a plant to mass - produce cassettes in a bid to combat piracy .   In South Korea , the early English education boom for toddlers encourages a continuous demand for English language cassettes , as of 2011 , due to the affordable cost .   In 2011 , the Oxford English Dictionary removed the word `` cassette player '' from its 12th edition Concise version . Some media sources mistakenly claimed that the word `` cassette tape '' was being removed and this caused some media backlash . The term was removed to help make room for more than 400 new words being added to the dictionary .   In India , film and devotional music continued to be released in the cassette format due to its low cost until 2009 .   National Audio Company in Missouri , the largest of the few remaining manufacturers of audiocassettes in the U.S. , oversaw the mass production of the `` Awesome Mix # 1 '' cassette from the film Guardians of the Galaxy in 2014 . They reported that they had produced more than 10 million tapes in 2014 and that sales were up 20 percent the following year , their best year since they opened in 1969 . In 2016 , cassette sales in the United States rose by 74 % to 129,000 .   In 2016 , retail chain Urban Outfitters , which had long carried Vinyl LPs , started carrying a line of new pre-recorded cassette tapes along with blank cassettes and players featuring both new and vintage albums . These new pre-recorded tapes no longer use the Dolby noise reduction system as Dolby Laboratories no longer licenses nor produces the electronic components required to implement the system for recording or playback .   Recent mainstream releases on cassette ( edit )   Since the sale of vinyl records has steadily increased since 2006 , more albums are made available in this format these days , whereas only a few albums are made available as cassettes . Recent mainstream albums which were made available through record companies include :    Guardians of the Galaxy ( soundtrack ) ( 2014 )   Purpose by Justin Bieber ( 2015 )   Revival by Selena Gomez ( 2015 )   Lust For Life by Lana Del Rey ( 2017 )   Grateful by DJ Khaled ( 2017 )   World Be Gone by Erasure ( 2017 )    Features ( edit )  Visualization of the magnetic field on a stereo cassette containing a 1kHz audio tone .  The cassette was a great step forward in convenience from reel - to - reel audio tape recording , although , because of the limitations of the cassette 's size and speed , it initially compared poorly in quality . Unlike the 4 - track stereo open - reel format , the two stereo tracks of each side lie adjacent to each other , rather than being interleaved with the tracks of the other side . This permitted monaural cassette players to play stereo recordings `` summed '' as mono tracks and permitted stereo players to play mono recordings through both speakers . The tape is 3.81 mm ( 0.150 in ) wide , with each stereo track 0.6 mm wide and an unrecorded guard band between each track . The tape moves at 4.76 cm / s ( 17⁄8 inch / s ) from left to right . For comparison , the typical open - reel format in consumer use was 6.35 mm ( 1⁄4 inch ) wide , each stereo track nominally 1.0 mm ( ⁄ inch ) wide , and running at either twice or four times the speed of a cassette .   Cassette types ( edit )  Notches on the top surface of the Compact Cassette indicate its type . The rear-most cassette at the top of this picture , with only write - protect notches ( here covered by write - protect tabs ) , is Type I , its tape consisting of iron oxide . The next cassette down , with additional notches adjacent to the write - protect tabs , is Type II , its tape consisting of chrome and cobalt . The bottom two cassettes , featuring the Type II notches plus an additional pair in the middle of the cassette , are Type IV ( metal ) ; note the removal of the tabs on the second of these , meaning the tape is write - protected .  Cassette tapes are made of a polyester type plastic film with a magnetic coating . The original magnetic material was based on gamma ferric oxide ( Fe O ) . Circa 1970 , 3M Company developed a cobalt volume - doping process combined with a double - coating technique to enhance overall tape output levels . This product was marketed as `` High Energy '' under its Scotch brand of recording tapes . Inexpensive cassettes commonly are labeled `` low - noise , '' but typically are not optimized for high frequency response . For this reason , some low - grade IEC Type I tapes have been marketed specifically as better suited for data storage than for sound recording .   At about the same time , chromium dioxide ( CrO ) tape , later designated Type II , was introduced by DuPont , the inventor of the particle , and BASF , the inventor and longtime manufacturer of magnetic recording tape . Next , coatings using magnetite ( Fe O ) such as TDK 's Audua were produced in an attempt to approach or exceed the sound quality of vinyl records . Cobalt - absorbed iron oxide ( Avilyn ) was introduced by TDK in 1974 and proved very successful . `` Type IV '' tapes using pure metal particles ( as opposed to oxide formulations ) were introduced in 1979 by 3M under the trade name Metafine . The tape coating on most cassettes sold today as either `` normal '' or `` chrome '' consists of ferric oxide and cobalt mixed in varying ratios ( and using various processes ) ; there are very few cassettes on the market that use a pure ( CrO ) coating .   Simple voice recorders and earlier cassette decks are designed to work with standard ferric formulations . Newer tape decks usually are built with switches and later detectors for the different bias and equalization requirements for higher grade tapes . The most common , iron oxide tapes ( defined by the IEC 60094 standard , as `` Type I '' ) use 120 μs equalization , while chrome and cobalt - absorbed tapes ( IEC Type II ) require 70 μs equalization . The recording bias levels also were different . BASF and Sony tried a dual layer tape with both ferric oxide and chrome dioxide known as ' ferrichrome ' ( FeCr ) ( IEC Type III ) , but these were available for only a short time in the 1970s . These also use 70 μs , just like Type II did . Metal cassettes ( IEC Type IV ) also use 70 μs equalization , and provide still further improvement in sound quality as well as durability . The quality normally is reflected in the price ; Type I cassettes generally are the cheapest , and Type IV are usually the most expensive . BASF chrome tape used in commercially pre-recorded cassettes used type I equalization to allow greater high - frequency dynamic range for better sound quality , but the greater selling point for the music labels was that the Type I cassette shell could be used for both ferric and for chrome music cassettes .   Notches on top of the cassette shell indicate the type of tape . Type I cassettes have only write - protect notches , Type II have an additional pair next to the write protection ones , and Type IV ( metal ) have a third set near the middle of the top of the cassette shell . These allow later cassette decks to detect the tape type automatically and select the proper bias and equalization . Virtually all recent hi - fi systems ( with cassette decks ) lack this feature ; only a small niche of cassette decks ( hi - fi separates ) have the tape type selector . Playing Type II and IV tapes on a player without detection will produce exaggerated treble , but it may not be noticeable because such devices typically have amplifiers that lack extended high - frequency output . Recording on these units , however , results in very low sound reproduction , and sometimes distortion and noise is heard . Also , these cheaper units can not erase high bias or metal bias tapes . Attempting to do so will result in an incomplete erasure . This is due to the fact that the bias levels for high and metal position require greater levels .   An exception to this standard were mechanical storytelling dolls from the 1980s ( e.g. Teddy Ruxpin ) which used the Type IV metal configuration cassette shell but had normal Type I voice grade tape inside . These toys used the Type IV notches to detect that a specially coded tape had been inserted , where the audio of the story is stored on the left channel and various cue tones to tell the doll 's servos how and when to move along with the story on the right channel .   Most pre-recorded chrome cassettes require 120 μs equalisation and are treated as Type I ( with notches as Type I ferric cassettes ) , to ensure compatibility with budget equipment .     Tape length ( edit )   Tape length usually is measured in minutes of total playing time . The most popular varieties are C46 ( 23 minutes per side ) , C60 ( 30 minutes per side ) , C90 , and C120 . The C46 and C60 lengths typically are 15 to 16 micrometers ( 0.59 to 0.63 mils ) thick , but C90s are 10 to 11 μm ( 0.39 to 0.43 mils ) and ( the less common ) C120s are just 9 μm ( 0.35 mils ) thick , rendering them more susceptible to stretching or breakage . BASF declared the C60 with 88 meters ( 289 feet ) . Some vendors are more generous than others , providing 132 or 135 meters ( 433 or 443 feet ) rather than 129 meters ( 423 feet ) of tape for a C90 cassette . Even C180 tapes were available at one time , but these were extremely thin and fragile and suffered from such effects as print - through , which made them unsuitable for general use . 150 minute length is still available from Maxell ( UR 150 ) , Sony ( CDixI 150 ) and TDK ( TDK AE 150 ) .   Although the TDK - D C180 was produced for a decade ( 1972 -- 82 ) , it is very rare , because of several technical flaws . The tape had to be so thin that it was nearly transparent and therefore had fewer particles to magnetize , resulting in a poor sound quality and even worse durability . It required a strong motor to be driven , and had high wow - and - flutter . Finally , it took a relatively long time to rewind .   Other lengths are ( or were ) also available from some vendors , including C10 and C15 ( useful for saving data from early home computers and in telephone answering machines ) , C30 , C40 , C50 , C54 , C64 , C70 , C74 , C80 , C84 , C100 , C105 , and C110 . As late as 2010 , Thomann still offered C10 , C20 , C30 and C40 IEC Type II tape cassettes for use with 4 - and 8 - track portastudios .   Some companies included a complimentary blank cassette with their portable cassette recorders in the early 1980s . Panasonic 's was a C14 and came with a song recorded on side one , and a blank side two . Except for C74 and C100 , such non-standard lengths always have been hard to find , and tend to be more expensive than the more popular lengths . Home taping enthusiasts may have found certain lengths useful for fitting an album neatly on one or both sides of a tape . For instance , the initial maximum playback time of Compact Discs was 74 minutes , explaining the relative popularity of C74 cassettes .  Inside a cassette showing the leader at the beginning of side A . The tape `` plays '' from left to right ( though , of course , an auto - reverse deck can play in either direction ) . The tape is pressed into close contact with the read - head by the pressure pad ; guide rollers help keep the tape in the correct position . Smooth running is assisted by a slippery liner ( slip sheet ) between the spools and the shell ; here the liner is transparent . The magnetic shield reduces pickup of stray signals by the heads of the player . The tab at the top - left corner of the shell permits recording on the current side .  Track width ( edit )   The full tape width is 3.8 mm . For mono recording the track width is 1.5 mm . In stereo mode each channel has width of 0.6 mm with a 0.3 mm separation to avoid crosstalk .   The head is 2 μm which gives a theoretical maximum frequency of about 12 kHz . A larger gap would give a higher frequency limit but also weaker magnetization .   Write - protection ( edit )   All cassettes include a write protection mechanism to prevent re-recording and accidental erasure of important material . Each side of the cassette has a plastic tab on the top that may be broken off , leaving a small indentation in the shell . This indentation allows the entry of a sensing lever that prevents the operation of the recording function when the cassette is inserted into a cassette deck . If the cassette is held with one of the labels facing the user and the tape opening at the bottom , the write - protect tab for the corresponding side is at the top - left . Occasionally , manufacturers provided a movable panel that could be used to enable or disable write - protect on tapes .   If later required , a piece of adhesive tape can be placed over the indentation to bypass the protection , or ( on some decks ) , the lever can be manually depressed to record on a protected tape . Extra care is required to avoid covering the additional indents on high bias or metal bias tape cassettes adjacent to the write - protect tabs .   Tape leaders ( edit )   In most cassettes , the magnetic tape is attached to each spool with a leader , usually made of strong plastic . This leader protected the weaker magnetic tape from the shock occurring when the tape reached the end . Leaders can be complex : a plastic slide - in wedge anchors a short fully opaque plastic tape to the take - up hub ; one or more tinted semi-opaque plastic segments follow ; the clear leader ( a tintless semi-opaque plastic segment ) follows , which wraps almost all the way around the supply reel , before splicing to the magnetic tape itself . The clear leader spreads the shock load to a long stretch of tape instead of to the microscopic splice . Various patents have been issued detailing leader construction and associated tape player mechanisms to detect leaders . Cassette tape users would also use spare leaders to repair broken tapes .   The disadvantage with tape leaders was that the sound recording or playback did not start at the beginning of the tape , forcing the user to cue forward to the start of the magnetic section . For certain applications , such as dictation , special cassettes containing leaderless tapes were made , typically with stronger material and for use in machines that had more sophisticated end - of - tape prediction . Home computers that made use of cassettes prior to the advent of floppy discs ( i.e. Apple II , Commodore PET ) were designed to not start writing or reading data until leaders had spooled past .   Endless loop cassette ( edit )   Some cassettes were made to play a continuous loop of tape without stopping . Lengths available are from around 30 seconds to a standard full length . They are used in situations where a short message or musical jingle is to be played , either continuously or whenever a device is triggered , or whenever continuous recording or playing is needed . Some include a sensing foil on the tape to allow tape players to re-cue . From as early as 1969 various patents have been issued , covering such uses as uni-directional , bi-directional , and compatibility with auto - shut - off and anti-tape - eating mechanisms . One variant has a half - width loop of tape for an answering machine outgoing message , and another half - width tape on spools to record incoming messages .   Flaws ( edit )   Cassette playback suffered from some flaws frustrating to both professionals and home recording enthusiasts . Tape speed could vary between devices , resulting in pitch that was too low or too high . Speed often was calibrated at the factory , and could not be changed by users . The slow tape speed increased tape hiss and noise , and in practice delivered higher values of wow and flutter . Different tape formulation and noise reduction schemes artificially boosted or cut high frequencies and inadvertently elevated noise levels . Noise reduction also adds some artifacts to the sound , which a trained ear can hear sometimes quite easily .   A common mechanical problem occurred when a worn - out or dirty player rotated the supply spool faster than the take - up spool or failed to release the heads from the tape upon ejection . This would cause the magnetic tape to be fed out through the bottom of the cassette and become tangled in the mechanism of the player . In these cases the player was said to have `` eaten '' or `` chewed '' the tape , and it often destroyed the playability of the cassette altogether . Cutting blocks , analogous to those used for open - reel 1 / 4 '' tape were readily available , though used mainly for retrieving valued recordings , could be used to remove the damaged portion , or repair the break in the tape .   Cassette players and recorders ( edit )   The first cassette machines ( e.g. the Philips EL 3300 , introduced in August 1963 ) were simple mono - record and - playback units . Early machines required attaching an external dynamic microphone . Most units from the 1980s onwards also incorporated built - in condenser microphones , which have extended high - frequency response , but may also pick up noises from the recorder motor .   A portable recorder format still common today is a long box , the width of a cassette , with a speaker at the top , a cassette bay in the middle , and `` piano key '' controls at the bottom edge . Another format is only slightly larger than the cassette , also adapted for stereo `` Walkman '' player applications .   The markings of `` piano key '' controls soon were standardized , and are a legacy still emulated on many software control panels . These symbols are commonly a square for `` stop '' , a vertically pointed triangle with a line under it for `` eject '' , a right - pointing triangle for `` play '' , double triangles for `` fast - forward '' and `` rewind '' , a red dot for `` record '' , and a vertically divided square ( two rectangles side - by - side ) for `` pause '' .  Main article : Cassette deck A typical </t>
  </si>
  <si>
    <t xml:space="preserve">how long can you record on a cassette tape</t>
  </si>
  <si>
    <t xml:space="preserve"> Tape length usually is measured in minutes of total playing time . The most popular varieties are C46 ( 23 minutes per side ) , C60 ( 30 minutes per side ) , C90 , and C120 . The C46 and C60 lengths typically are 15 to 16 micrometers ( 0.59 to 0.63 mils ) thick , but C90s are 10 to 11 μm ( 0.39 to 0.43 mils ) and ( the less common ) C120s are just 9 μm ( 0.35 mils ) thick , rendering them more susceptible to stretching or breakage . BASF declared the C60 with 88 meters ( 289 feet ) . Some vendors are more generous than others , providing 132 or 135 meters ( 433 or 443 feet ) rather than 129 meters ( 423 feet ) of tape for a C90 cassette . Even C180 tapes were available at one time , but these were extremely thin and fragile and suffered from such effects as print - through , which made them unsuitable for general use . 150 minute length is still available from Maxell ( UR 150 ) , Sony ( CDixI 150 ) and TDK ( TDK AE 150 ) . </t>
  </si>
  <si>
    <r>
      <rPr>
        <sz val="11"/>
        <color rgb="FF000000"/>
        <rFont val="Calibri"/>
        <family val="0"/>
        <charset val="1"/>
      </rPr>
      <t xml:space="preserve">Muckraker - wikipedia  Muckraker  Jump to : navigation , search McClure 's ( cover , January 1901 ) published many early muckraker articles .  The term muckraker was used in the Progressive Era to characterize reform - minded American journalists who attacked established institutions and leaders as corrupt . They typically had large audiences in some popular magazines . In the US , the modern term is investigative journalism -- it has different and more pejorative connotations in British English -- and investigative journalists in the USA today are often informally called ' muckrakers ' .   The muckrakers played a highly visible role during the Progressive Era period , 1890s -- 1920s . Muckraking magazines -- notably McClure 's of the publisher S.S. McClure -- took on corporate monopolies and political machines while trying to raise public awareness and anger at urban poverty , unsafe working conditions , prostitution , and child labor .   In contemporary American use , the term describes either a journalist who writes in the adversarial or alternative tradition , or a non-journalist whose purpose in publication is to advocate reform and change . Investigative journalists view the muckrakers as early influences and a continuation of watchdog journalism . In British English the term muckraker is more likely to mean a journalist ( often on a tabloid newspaper ) who specialises in scandal and malicious gossip about celebrities or well - known personalities and is generally used in a derogatory sense .   The term is a reference to a character in John Bunyan 's classic Pilgrim 's Progress , `` the Man with the Muck - rake '' , who rejected salvation to focus on filth . It became popular after President Theodore Roosevelt referred to the character in a 1906 speech ; Roosevelt acknowledged that `` the men with the muck rakes are often indispensable to the well being of society ; but only if they know when to stop raking the muck ... ''     Contents  ( hide )   1 History   1.1 Changes in journalism prior to 1903   1.1. 1 Other works that predate the muckrakers     1.2 Magazines   1.3 Origin of the term , Theodore Roosevelt     2 Early 20th century muckraking   2.1 Muckrakers and their works     3 Disappearance   4 Impact   5 Since 1945   6 See also   7 Notes   8 References   9 External links      History ( edit )   While a literature of reform had already appeared by the mid-19th century , the kind of reporting that would come to be called `` muckraking '' began to appear around 1900 . By the 1900s , magazines such as Collier 's Weekly , Munsey 's Magazine and McClure 's Magazine were already in wide circulation and read avidly by the growing middle class . The January 1903 issue of McClure 's is considered to be the official beginning of muckraking journalism , although the muckrakers would get their label later . Ida M. Tarbell ( `` The History of Standard Oil '' ) , Lincoln Steffens ( `` The Shame of Minneapolis '' ) and Ray Stannard Baker ( `` The Right to Work '' ) , simultaneously published famous works in that single issue . Claude H. Wetmore and Lincoln Steffens ' previous article `` Tweed Days in St. Louis '' in McClure 's October 1902 issue was called the first muckraking article .   Changes in journalism prior to 1903 ( edit )  Julius Chambers Nellie Bly  The muckrakers would become known for their investigative journalism , evolving from the eras of `` personal journalism '' -- a term historians Emery and Emery used in The Press and America ( 6th ed . ) to describe the 19th century newspapers that were steered by strong leaders with an editorial voice ( p. 173 ) -- and yellow journalism .   One of the biggest urban scandals of the post-Civil War era was the corruption and bribery case of Tammany boss William M. Tweed in 1871 that was uncovered by newspapers . In his first muckraking article `` Tweed Days in St. Louis , '' Lincoln Steffens exposed the graft , a system of political corruption , that was ingrained in St. Louis . While some muckrakers had already worked for reform newspapers of the personal journalism variety , such as Steffens who was a reporter for the New York Evening Post under Edwin Lawrence Godkin , other muckrakers had worked for yellow journals before moving on to magazines around 1900 , such as Charles Edward Russell who was a journalist and editor of Joseph Pulitzer 's New York World . Publishers of yellow journals , such as Joseph Pulitzer and William Randolph Hearst , were more intent on increasing circulation through scandal , crime , entertainment and sensationalism .   Just as the muckrakers became well known for their crusades , journalists from the eras of `` personal journalism '' and `` yellow journalism '' had gained fame through their investigative articles , including articles that exposed wrongdoing . Note that in yellow journalism , the idea was to stir up the public with sensationalism , and thus sell more papers . If , in the process , a social wrong was exposed that the average man could get indignant about , that was fine , but it was not the intent ( to correct social wrongs ) as it was with true investigative journalists and muckrakers .   Julius Chambers , New York Tribune , could be considered to be the original muckraker . Chambers undertook a journalistic investigation of Bloomingdale Asylum in 1872 , having himself committed with the help of some of his friends and his newspaper 's city editor . His intent was to obtain information about alleged abuse of inmates . When articles and accounts of the experience were published in the Tribune , it led to the release of twelve patients who were not mentally ill , a reorganization of the staff and administration of the institution and , eventually , to a change in the lunacy laws . This later led to the publication of the book A Mad World and Its Inhabitants ( 1876 ) . From this time onward , Chambers was frequently invited to speak on the rights of the mentally ill and the need for proper facilities for their accommodation , care and treatment .   Nellie Bly , another yellow journalist , used the undercover technique of investigation in reporting Ten Days in a Mad - House , her 1887 exposé on patient abuse at Bellevue Mental Hospital , first published as a series of articles in The World newspaper and then as a book . Nellie would go on to write more articles on corrupt politicians , sweat - shop working conditions and other societal injustices .  Other works that predate the muckrakers ( edit )   Helen Hunt Jackson ( 1831 -- 1885 ) -- A Century of Dishonor , U.S. policy regarding Native Americans .   Henry Demarest Lloyd ( 1847 -- 1903 ) -- Wealth Against Commonwealth , exposed the corruption within the Standard Oil Company .   Ida B. Wells ( 1862 -- 1931 ) -- an author of a series of articles concerning Jim Crow laws and the Chesapeake and Ohio Railroad in 1884 , and co-owned the newspaper The Free Speech in Memphis in which she began an anti-lynching campaign .   Ambrose Bierce ( 1842 -- 1913 ( ? ) ) -- author of a long - running series of articles published from 1883 through 1896 in The Wasp and the San Francisco Examiner attacking the Big Four and the Central Pacific Railroad for political corruption .   B.O. Flower ( 1858 - 1918 ) - author of articles in The Arena from 1889 through 1909 advocating for prison reform and prohibition of alcohol .    The muckrakers appeared at a moment when journalism was undergoing changes in style and practice . In response to yellow journalism , which had exaggerated facts , objective journalism , as exemplified by The New York Times under Adolph Ochs after 1896 , turned away from sensationalism and reported facts with the intention of being impartial and a newspaper of record . The growth of wire services had also contributed to the spread of the objective reporting style . Muckraking publishers like Samuel S. McClure , also emphasized factual reporting , but he also wanted what historian Michael Schudson had identified as one of the preferred qualities of journalism at the time , namely , the mixture of `` reliability and sparkle '' to interest a mass audience . In contrast with objective reporting , the journalists , whom Roosevelt dubbed `` muckrakers '' , saw themselves primarily as reformers and were politically engaged . Journalists of the previous eras were not linked to a single political , populist movement as the muckrakers were associated with Progressive reforms . While the muckrakers continued the investigative exposures and sensational traditions of yellow journalism , they wrote to change society . Their work reached a mass audience as circulation figures of the magazines rose on account of visibility and public interest .   Magazines ( edit )  A map from 1894 by W.T. Stead , pioneer journalist of the `` new journalism '' , which paved the way for the modern tabloid .  Magazines were the leading outlets for muckraking journalism . Samuel S. McClure and John Sanborn Phillips started McClure 's Magazine in May 1893 . McClure led the magazine industry by cutting the price of an issue to 15 cents , attracting advertisers , giving audiences illustrations and well - written content and then raising ad rates after increased sales , with Munsey 's and Cosmopolitan following suit .   McClure sought out and hired talented writers , like the then unknown Ida M. Tarbell or the seasoned journalist and editor Lincoln Steffens . The magazine 's pool of writers were associated with the muckraker movement , such as Ray Stannard Baker , Burton J. Hendrick , George Kennan ( explorer ) , John Moody ( financial analyst ) , Henry Reuterdahl , George Kibbe Turner , and Judson C. Welliver , and their names adorned the front covers . The other magazines associated with muckraking journalism were American Magazine ( Lincoln Steffens ) , Arena ( G.W. Galvin and John Moody ) , Collier 's Weekly ( Samuel Hopkins Adams , C.P. Connolly , L.R. Glavis , Will Irwin , J.M. Oskison , Upton Sinclair ) , Cosmopolitan ( Josiah Flynt , Alfred Henry Lewis , Jack London , Charles P. Norcross , Charles Edward Russell ) , Everybody 's Magazine ( William Hard , Thomas William Lawson , Benjamin B. Lindsey , Frank Norris , David Graham Phillips , Charles Edward Russell , Upton Sinclair , Lincoln Steffens , Merrill A. Teague , Bessie and Marie Van Vorst ) , Hampton 's ( Rheta Childe Dorr , Benjamin B. Hampton , John L. Mathews , Charles Edward Russell , and Judson C. Welliver ) , The Independent ( George Walbridge Perkins , Sr . ) , Outlook ( William Hard ) , Pearson 's Magazine ( Alfred Henry Lewis , Charles Edward Russell ) , Twentieth Century ( George French ) , and World 's Work ( C.M. Keys and Q.P. ) . Other titles of interest include Chatauquan , Dial , St. Nicholas . In addition , Theodore Roosevelt wrote for Scribner 's Magazine after leaving office .   Origin of the term , Theodore Roosevelt ( edit )  Theodore Roosevelt Pilgrim 's Progress , a first edition  After President Theodore Roosevelt took office in 1901 , he began to manage the press corps . To do so , he elevated his press secretary to cabinet status and initiated press conferences . The muckraking journalists who emerged around 1900 , like Lincoln Steffens , were not as easy for Roosevelt to manage as the objective journalists , and the President gave Steffens access to the White House and interviews to steer stories his way .   Roosevelt used the press very effectively to promote discussion and support for his Square Deal policies among his base in the middle - class electorate . When journalists went after different topics , he complained about their wallowing in the mud . In a speech on April 14 , 1906 on the occasion of dedicating the House of Representatives office building , he drew on a character from John Bunyan 's 1678 classic , Pilgrim 's Progress , saying :   ... you may recall the description of the Man with the Muck - rake , the man who could look no way but downward with the muck - rake in his hands ; who was offered a celestial crown for his muck - rake , but who would neither look up nor regard the crown he was offered , but continued to rake to himself the filth of the floor .   While cautioning about possible pitfalls of keeping one 's attention ever trained downward , `` on the muck , '' Roosevelt emphasized the social benefit of investigative muckraking reporting , saying :   There are , in the body politic , economic and social , many and grave evils , and there is urgent necessity for the sternest war upon them . There should be relentless exposure of and attack upon every evil man whether politician or business man , every evil practice , whether in politics , in business , or in social life . I hail as a benefactor every writer or speaker , every man who , on the platform , or in book , magazine , or newspaper , with merciless severity makes such attack , provided always that he in his turn remembers that the attack is of use only if it is absolutely truthful .  -- Theodore Roosevelt  Most of these journalists detested being called muckrakers . They felt betrayed that Roosevelt would coin them with such a term after they had helped him with his election . Muckraker David Graham Philips believed that the tag of muckraker brought about the end of the movement as it was easier to group and attack the journalists .   The term eventually came to be used in reference to investigative journalists who reported about and exposed such issues as crime , fraud , waste , public health and safety , graft , illegal financial practices . A muckraker 's reporting may span businesses and government .   Early 20th century muckraking ( edit )     Early Writers of the Muckraking Tradition            Ray Stannard Baker           Lincoln Steffens           Ida M Tarbell           Upton Sinclair           Will Irwin           David Graham Phillips           Jacob Riis           Charles Edward Russell           William English Walling        Some of the key documents that came to define the work of the muckrakers were :   Ray Stannard Baker published `` The Right to Work '' in McClure 's Magazine in 1903 , about coal mine conditions , a coal strike , and the situation of non-striking workers ( or scabs ) . Many of the non-striking workers had no special training or knowledge in mining , since they were simply farmers looking for work . His investigative work portrayed the dangerous conditions in which these people worked in the mines , and the dangers they faced from union members who did not want them to work .   Lincoln Steffens published `` Tweed Days in St. Louis '' , in which he profiled corrupt leaders in St. Louis , in October 1902 , in McClure 's Magazine . The prominence of the article helped lawyer Joseph Folk to lead an investigation of the corrupt political ring in St. Louis .   Ida Tarbell published The Rise of the Standard Oil Company in 1902 , providing insight into the manipulation of trusts . One trust they manipulated was with Christopher Dunn Co . She followed that work with The History of The Standard Oil Company : the Oil War of 1872 , which appeared in McClure 's Magazine in 1908 . She condemned Rockefeller 's immoral and ruthless business tactics and emphasized `` our national life is on every side distinctly poorer , uglier , meaner , for the kind of influence he exercises . '' Her book generated enough public anger that it led to the splitting up of Standard Oil under the Sherman Anti Trust Act .   Upton Sinclair published The Jungle in 1906 , which revealed conditions in the meat packing industry in the United States and was a major factor in the establishment of the Pure Food and Drug Act and Meat Inspection Act . Sinclair wrote the book with the intent of addressing unsafe working conditions in that industry , not food safety . Sinclair was not a professional journalist but his story was first serialized before being published in book form . Sinclair considered himself to be a muckraker .   `` The Treason of the Senate : Aldrich , the Head of it All '' , by David Graham Phillips , published as a series of articles in Cosmopolitan magazine in February 1906 , described corruption in the U.S. Senate . This work was a keystone in the creation of the Seventeenth Amendment which established the election of Senators through popular vote .   The Great American Fraud ( 1905 ) by Samuel Hopkins Adams revealed fraudulent claims and endorsements of patent medicines in America . This article shed light on the many false claims that pharmaceutical companies and other manufactures would make as to the potency of their medicines , drugs and tonics . This exposure contributed heavily to the creation of the Pure Food and Drug Act alongside Upton Sinclair 's work . Using the example of Peruna in his article , Adams described how this tonic , which was made of seven compound drugs and alcohol , did not have `` any great potency '' . Manufacturers sold it at an obscene price and hence made immense profits . His work forced a crackdown on a number of other patents and fraudulent schemes of medicinal companies .   Many other works by muckrakers brought to light a variety of issues in America during the Progressive era . These writers focused on a wide range of issues including the monopoly of Standard Oil ; cattle processing and meat packing ; patent medicines ; child labor ; and wages , labor , and working conditions in industry and agriculture . In a number of instances , the revelations of muckraking journalists led to public outcry , governmental and legal investigations , and , in some cases , legislation was enacted to address the issues the writers ' identified , such as harmful social conditions ; pollution ; food and product safety standards ; sexual harassment ; unfair labor practices ; fraud ; and other matters . The work of the muckrakers in the early years , and those today , span a wide array of legal , social , ethical and public policy concerns .   Muckrakers and their works ( edit )    Samuel Hopkins Adams ( 1871 -- 1958 ) -- The Great American Fraud ( 1905 ) , exposed false claims about patent medicines   Paul Y. Anderson ( August 29 , 1893 -- December 6 , 1938 ) is best known for his reporting of a race riot and the Teapot Dome scandal .   Ray Stannard Baker ( 1870 -- 1946 ) -- of McClure 's &amp; The American Magazine   Louis D. Brandeis ( 1856 -- 1941 ) -- published his combined findings of the monopolies of big banks and big business in his 1914 book Other People 's Money And How the Bankers Use It , Subsequently , appointed to the Supreme Court ( 1916 )   Burton J. Hendrick ( 1870 -- 1949 ) -- `` The Story of Life Insurance '' May -- November 1906 McClure 's   Frances Kellor ( 1873 -- 1952 ) -- studied chronic unemployment in her book Out of Work ( 1904 )   Thomas William Lawson ( 1857 -- 1924 ) Frenzied Finance ( 1906 ) on Amalgamated Copper stock scandal   Edwin Markham ( 1852 -- 1940 ) -- published an exposé of child labor in Children in Bondage ( 1914 )   Gustavus Myers ( 1872 -- 1942 ) -- documented corruption in his first book `` The History of Tammany Hall '' ( 1901 ) unpublished , Revised edition , Boni and Liveright , 1917 . His second book ( in three volumes ) related a `` History of the Great American Fortunes '' Chicago : Charles H. Kerr &amp; Co. , 1909 -- 10 ; Single volume Modern Library edition , New York , 1936 . Other works include `` History of The Supreme Court of the United States '' Chicago : Charles H. Kerr &amp; Co. , 1912 . `` A History of Canadian Wealth '' Chicago : Charles H. Kerr &amp; Co. , 1914 . `` History of Bigotry in the United States '' New York : Random House , 1943 Published posthumously .   Frank Norris ( 1870 -- 1902 ) The Octopus   Mrs. Fremont Older ( 1856 -- 1935 ) -- wrote on San Francisco corruption and on the case of Tom Mooney   Drew Pearson ( 1897 -- 1969 ) -- wrote syndicated newspaper column `` Washington Merry - Go - Round '' .   Jacob Riis ( 1849 -- 1914 ) -- How the Other Half Lives , the slums   Charles Edward Russell ( 1860 -- 1941 ) -- investigated Beef Trust , Georgia 's prison   Upton Sinclair ( 1878 -- 1968 ) -- The Jungle ( 1906 ) , US meat - packing industry , and the books in the `` Dead Hand '' series that critique the institutions ( journalism , education , etc . ) that could but did not prevent these abuses .   John Spargo ( 1876 -- 1966 ) -- American reformer and author , The Bitter Cry of Children ( child labor )   Lincoln Steffens ( 1866 -- 1936 ) The Shame of the Cities ( 1904 ) - uncovered the corruption of several political machines in major cities .   Ida M. Tarbell ( 1857 -- 1944 ) exposé , The History of the Standard Oil Company   John Kenneth Turner ( 1879 -- 1948 ) - author of Barbarous Mexico ( 1910 ) , an account of the exploitative debt - peonage system used in Mexico under Porfirio Díaz .   Ida B. Wells ( 1862 - 1931 ) - The Free Speech ( 1892 ) condemned the flaws in the United States justice system that allowed lynching to happen .    Disappearance ( edit )   The influence of the muckrakers began to fade during the more conservative presidency of William Howard Taft . Corporations and political leaders were also more successful in silencing these journalists as advertiser boycotts forced some magazines to go bankrupt . The most significant factor in the disappearance of the muckrakers was their success . Through their exposés , the nation was changed by reforms in cities , business , politics , and more . Monopolies such as Standard Oil were broken up and political machines fell apart ; the problems uncovered by muckrakers were resolved and thus muckrakers were needed no longer .   Impact ( edit )   According to Fred J. Cook , the muckrakers ' journalism resulted in litigation or legislation that had a lasting impact , such as the end of Standard Oil 's monopoly over the oil industry , the establishment of the Pure Food and Drug Act of 1906 , the creation of the first child labor laws in the United States around 1916 . Their reports exposed bribery and corruption at the city and state level , as well as in Congress , that led to reforms and changes in election results .   `` The effect on the soul of the nation was profound . It can hardly be considered an accident that the heyday of the muckrakers coincided with one of America 's most yeasty and vigorous periods of ferment . The people of the country were aroused by the corruptions and wrongs of the age -- and it was the muckrakers who informed and aroused them . The results showed in the great wave of progressivism and reform cresting in the remarkable spate of legislation that marked the first administration of Woodrow Wilson from 1913 to 1917 . For this , the muckrakers had paved the way . ''   Other changes that resulted from muckraker articles include the reorganization of the U.S. Navy ( after Henry Reuterdahl published a controversial article in McClure 's ) . Articles like David Graham Phillip 's `` Treason of the Senate '' were used to change the way Senators were elected by the Seventeenth Amendment to the U.S. Constitution .   Since 1945 ( edit )   Some today use `` investigative journalism '' as a synonym for muckraking . Carey McWilliams , editor of the Nation , assumed in 1970 that investigative journalism , and reform journalism , or muckraking , were the same type of journalism . Journalism textbooks point out that McClure 's muckraking standards , `` Have become integral to the character of modern investigative journalism . '' Furthermore , the successes of the early muckrakers have continued to inspire journalists . Moreover , muckraking has become an integral part of journalism in American History . Bob Woodward and Carl Bernstein exposed the workings of the Nixon Administration in Watergate which led to Nixon 's impeachment . More recently , Edward Snowden disclosed the activities of governmental spying , albeit illegally , which gave the public knowledge of the extent of the infringements on their privacy .   See also ( edit )    Journalism portal     History of American newspapers   Whistleblower    Notes ( edit )    Jump up ^ Filler , Louis ( 1976 ) . The Muckrakers : New and Enlarged Edition of Crusaders for American Liberalism . University Park : Pennsylvania State University Press . pp. 361 , 367 -- 68 , 372 . ISBN 0 - 271 - 01212 - 9 .   Jump up ^ Herbert Shapiro , ed. , The muckrakers and American society ( Heath , 1968 ) , contains representative samples as well as academic commentary .   Jump up ^ Lapsansky - Werner , Emma J. United States History : Modern America , Boston , MA : Pearson Learning Solutions , 2011 , p. 102 .   Jump up ^ Regier 1957 , p. 49 .   Jump up ^ American epoch : a history of the United States since the 1890 's ( 1st ed . ) . New York : Knopf. 1955 . p. 62 .   Jump up ^ Brinkley , Alan . `` Chapter 21 : Rise of Progressivism '' . In Barrosse , Emily . American History , A Survey ( twelfth ed . ) . Los Angeles , CA , US : McGraw Hill . pp. 566 -- 67 . ISBN 978 - 0 - 07 - 325718 - 1 .   Jump up ^ Weinberg &amp; Weinberg 1964 , p. 2 .   Jump up ^ Steffens , Lincoln ( 1958 ) . The Autobiography of Lincoln Steffens , abridged . New York : Harcourt , Brace &amp; World . p. 145 .   Jump up ^ Cook , Fred J. ( 1972 ) . The Muckrakers : Crusading Journalists who Changed America . Garden City , New York : Doubleday . p. 131 .   Jump up ^ `` Crucible Of Empire : The Spanish - American War -- PBS Online '' . Pbs.org . Retrieved January 4 , 2014 .   Jump up ^ `` A New Hospital for the Insane '' ( Dec. 1876 ) Brooklyn Daily Eagle   Jump up ^ `` An Insane Hospital for Brooklyn '' . New York Times . December 23 , 1876 . Retrieved January 4 , 2014 .   Jump up ^ http://www.biography.com/people/nellie-bly-9216680?page=2   Jump up ^ Walker , Martin ( 1983 ) . Powers of the Press : Twelve of the World 's Influential Newspapers . New York : Adama Books . pp. 215 -- 217 . ISBN 0 - 915361 - 10 - 8 .   Jump up ^ Weinberg , p. 2   Jump up ^ Schudson , Michael ( 1978 ) . Discovering the News : A Social History of American Newspapers . New York : BasicBooks . p. 79 .   Jump up ^ Chalmers , David Mark ( 1964 ) . The Social and Political Ideas of Muckrakers . New York : Citadel Press . pp. 105 -- 08 .   Jump up ^ Wilson , p. 63   Jump up ^ Weinberg , p. 441 - 443   Jump up ^ Rivers , William L ( 1970 ) . The Adversaries : Politics and the Press . Boston : Beacon Press . pp. 16 -- 20 .   Jump up ^ Steffens 1958 , pp. 347 -- 59 .   Jump up ^ Stephen E. Lucas , `` Theodore Roosevelt 's ' the man with the muck ‐ rake ' : A reinterpretation . '' Quarterly Journal of Speech 59 # 4 ( 1973 ) : 452 - 462 .   ^ Jump up to : Roosevelt , Theodore ( 1958 ) ( 1913 ) . Andrews , Wayne , ed . The Autobiography , Condensed from the Original Edition , Supplemented by Letters , Speeches , and Other Writings ( 1st ed . ) . New York City : Charles Scribner 's Sons . pp. 246 -- 47 .   Jump up ^ SpartacusEducational.com . `` Muckraking Journalism . '' ( 1997 ) Spartacus Educational . http://spartacus-educational.com/Jmuckraking.htm . Retrieved May 18 , 2017 .   Jump up ^ Gallagher 2006 , p. 13 .   Jump up ^ smithosonianmag.com `` The Woman Who Took On a Tycoon . '' http://www.smithsonianmag.com/history/the-woman-who-took-on-the-tycoon-651396/ . Retrieved May 17 , 2017 .   ^ Jump up to : Ushistory.org . `` Muckrakers . '' ( 2014 ) . U.S. History Online Textbook . http://www.ushistory.org/us/42b.asp . Retrieved January 21 , 2014 .   ^ Jump up to : Weinberg , p. 195   Jump up ^ Lee D. Baker . `` Ida B. Wells - Barnett and Her Passion for Justice . '' ( 1996 ) Duke University . http://people.duke.edu/~ldbaker/classes/AAIH/caaih/ibwells/ibwbkgrd.html . Retrieved May 17 , 2017 .   Jump up ^ Biography.com . `` Ida B. Wells . '' ( 2017 ) Biography . http://www.biography.com/people/ida-b-wells-9527635 . Retrieved May 17 , 2017 .   Jump up ^ Encyclopedia.com . `` Muckrakers . '' ( 2003 ) Online Encyclopedia . http://www.encyclopedia.com/social-sciences-and-law/sociology-and-social-reform/social-reform/muckrakers . Retrieved May 17 , 2017 .   Jump up ^ Cook , Fred J. ( 1972 ) . The Muckrakers : Crusading Journalists who Changed America . Garden City , New York : Doubleday . p. 179 .   Jump up ^ James L. Aucoin , The Evolution of American Investigative Journalism ( University of Missouri Press , 2007 ) p. 90 .   Jump up ^ W. David Sloan ; Lisa Mullikin Parcell ( 2002 ) . American Journalism : History , Principles , Practices . McFarland . pp. 211 -- 213 ...   Jump up ^ Cecelia Tichi , Exposés and excess : Muckraking in America , 1900 / 2000 ( University of Pennsylvania Press , 2013 )   Jump up ^ Stephen Hess , Whatever Happened to the Washington Reporters , 1978 - 2012 ( 2012 )    References ( edit )    Applegate , Edd . Muckrakers : A Biographical Dictionary of Writers and Editors ( Scarecrow Press , 2008 ) ; 50 entries , mostly American contents   Cook , Fred J ( 1972 ) , The Muckrakers , Garden City , NY : Doubleday &amp; Co .   Gallagher , Aileen ( 2006 ) , The Muckrakers , American Journalism During the Age of Reform , New York : The Rosen Publishing Group .   Lucas , Stephen E. `` Theodore Roosevelt 's ' the man with the muck ‐ rake ' : A reinterpretation . '' Quarterly Journal of Speech 59 # 4 ( 1973 ) : 452 - 462 .   Regier , CC ( 1957 ) , The Era of the Muckrakers , Gloucester , MA : Peter Smith .   Steffens , Lincoln ( 1958 ) , The Autobiography of Lincoln Steffens ( abridged ed . ) , New York : Harcourt , Brace &amp; World   Swados , Harvey , ed. ( 1962 ) , Years of Conscience : The Muckrakers , Cleveland : World Publishing Co .   Weinberg , Arthur ; Weinberg , Lila , eds. ( 1964 ) , The Muckrackers : The Era in Journalism that Moved America to Reform , the Most Significant Magazine Articles of 1902 -- 1912 , New York : Capricon Books .   Wilson , Harold S. ( 1970 ) . McClure 's Magazine and the Muckrakers . Princeton , NJ : Princeton University Press . ISBN 069104600X .    External links ( edit )    The dictionary definition of muckraker at Wiktionary   Original Nellie Bly articles at Nellie Bly Online      ( hide )         Journalism     Roles     Journalist   Reporter   Editor   Columnist   Copy editor   Meteorologist   News presenter   Photographer   Political commentator   Blogger       Profession     News   News writing style   Ethics   Objectivity   Values   Attribution   Defamation   Editorial independence   Journalism school       Areas     Arts   Business   Data - driven   Entertainment   Environment   Fashion   Medicine   Politics   Science   Sports   Technical   Trade   Traffic   Video games   Weather   World       Genres     Advocacy   Analytic   Blogging   Broadcast   Churnalism   Citizen   Civic   Collaborative   Community   Data   Database   Embedded   Gonzo   Investigative   Literary   Muckraking   Narrative   New Journalism   Non-profit journalism   Online   Opinion   Peace   Photojournalism   Presstitute   Scientific   Visual   Watchdog       Social impact     Fake news   Fourth Estate   Freedom of the press   Infotainment   Media bias   Public relations   Yellow journalism       News media     Newspapers   Magazines   TV and radio   Internet   News agencies   Alternative media       List of journalism articles    Retrieved from `` https://en.wikipedia.org/w/index.php?title=Muckraker&amp;oldid=815866521 '' Categories :   Investigative journalism   Journalism genres   Political metaphors referring to people   Journalism occupations   Progressive Era in the United States   Hidden categories :   Use mdy dates from July 2014   All articles with unsourced statements   Articles with unsourced statements from May 2011   Articles with unsourced statements from March 2012   Articles with unsourced statements from November 2015           Talk                                           Contents                   About Wikipedia                                           Català   Čeština   Deutsch   Español   Esperanto   فارسی   Français   Italiano   Norsk   Polski   Русский   Simple English   Українська   </t>
    </r>
    <r>
      <rPr>
        <sz val="11"/>
        <color rgb="FF000000"/>
        <rFont val="Noto Sans CJK SC"/>
        <family val="2"/>
      </rPr>
      <t xml:space="preserve">中文   </t>
    </r>
    <r>
      <rPr>
        <sz val="11"/>
        <color rgb="FF000000"/>
        <rFont val="Calibri"/>
        <family val="0"/>
        <charset val="1"/>
      </rPr>
      <t xml:space="preserve">Edit links   This page was last edited on 17 December 2017 , at 18 : 27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</si>
  <si>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term muckraker has been used to describe authors whose writing deal mainly with</t>
  </si>
  <si>
    <t xml:space="preserve"> The term muckraker was used in the Progressive Era to characterize reform - minded American journalists who attacked established institutions and leaders as corrupt . They typically had large audiences in some popular magazines . In the US , the modern term is investigative journalism -- it has different and more pejorative connotations in British English -- and investigative journalists in the USA today are often informally called ' muckrakers ' . </t>
  </si>
  <si>
    <r>
      <rPr>
        <sz val="11"/>
        <color rgb="FF000000"/>
        <rFont val="Calibri"/>
        <family val="0"/>
        <charset val="1"/>
      </rPr>
      <t xml:space="preserve">Do You Hear What I Hear ? - Wikipedia  Do You Hear What I Hear ?  Jump to : navigation , search    `` Do You Hear What I Hear ? ''     Song by Harry Simeone     Written   October 1962     Composer ( s )   Gloria Shayne Baker     Lyricist ( s )   Noël Regney     `` Do You Hear What I Hear ? '' is a song written in October 1962 , with lyrics by Noël Regney and music by Gloria Shayne Baker . The pair , married at the time , wrote it as a plea for peace during the Cuban Missile Crisis . Regney had been invited by a record producer to write a Christmas song , but he was hesitant due to the commercialism of the Christmas holiday . It has sold tens of millions of copies and has been covered by hundreds of artists .     Contents  ( hide )   1 Songwriting   2 Recordings and versions   2.1 Original recordings   2.2 Cover versions   2.3 Use in a medley with other songs     3 References      Songwriting ( edit )   Regney wrote the lyrics for the song , while Shayne composed the music in October 1962 . This was an unusual arrangement for the two writers . Usually it was Shayne who wrote the lyrics for their songs while Regney composed the music , as they did when they wrote a song based on the classic children 's song `` Rain Rain Go Away '' .   Regney was inspired to write the lyrics `` Said the night wind to the little lamb , ' Do you see what I see ? ' '' and `` Pray for peace , people everywhere '' after watching babies being pushed in strollers on the sidewalks of New York City . Shayne stated in an interview years later that neither could personally perform the entire song at the time they wrote it because of the emotions surrounding the Cuban Missile Crisis . `` Our little song broke us up . You must realize there was a threat of nuclear war at the time . ''   Recordings and versions ( edit )   Original recordings ( edit )   `` Do You Hear What I Hear ? '' was released shortly after Thanksgiving in 1962 . The song was originally recorded for Mercury Records by the Harry Simeone Chorale , a group which had also popularized `` The Little Drummer Boy '' ; and it was released as part of the album `` The Wonderful Songs Of Christmas With The Harry Simeone Chorale '' . As a 45 rpm single , it went on to sell more than a quarter - million copies during the 1962 Christmas holiday season .   Bing Crosby made the song into a hit when he recorded his own version of it on October 21 , 1963 , with the record being released as a single on October 26 . Crosby also performed the song on a Bob Hope Christmas television special on December 13 of that year . Over the years , Crosby 's recording of the song has been widely played on the radio , and has been available on numerous compilation Christmas albums and compact discs put out by Capitol Records .   Cover versions ( edit )       This section may contain indiscriminate , excessive , or irrelevant examples . Please improve the article by adding more descriptive text and removing less pertinent examples . See Wikipedia 's guide to writing better articles for further suggestions . ( June 2017 )     The song was later recorded in diverse ways by hundreds of artists including :    Jack Jones ( 1964 - The Jack Jones Christmas Album )   Eddie Fisher ( 1965 - Mary Christmas )   Andy Williams ( 1965 - Merry Christmas )   Pat Boone ( 1966 - Christmas is a Comin ' )   The Joystrings ( 1966 - Well Seasoned )   Kate Smith ( 1966 - The Kate Smith Christmas Album )   Ed Ames ( 1967 - Christmas with Ed Ames )   Anita Bryant ( 1967 - Christmas with Anita Bryant )   Diahann Carroll ( 1967 ) ( appears on various artists ' 1995 holiday album Christmas Encore ! )   Jim Nabors ( 1967 - Jim Nabors ' Christmas Album )   Perry Como ( 1968 - The Perry Como Christmas Album )   Robert Goulet ( 1968 - Robert Goulet 's Wonderful World of Christmas )   Mahalia Jackson ( 1968 - Christmas with Mahalia )   Johnny Mathis ( 1969 - Give Me Your Love for Christmas )   Gladys Knight &amp; the Pips ( 1975 - Bless This House )   The Carpenters ( 1984 - An Old - Fashioned Christmas )   Hampton String Quartet ( 1986 ) ( What if Mozart Wrote Have Yourself a Merry Little Christmas )   Whitney Houston ( 1987 ) ( for the Special Olympics benefit album A Very Special Christmas )   Anne Murray ( 1988 - Anne Murray Christmas )   Jose Mari Chan ( 1990 - Christmas in Our Hearts )   Vince Gill ( 1993 - Let There Be Peace on Earth )   Bob Hope &amp; Dolores Hope ( 1993 - Hopes for the Holidays )   John Tesh ( 1994 - The Choirs of Christmas )   La Bouche ( 1994 - Bravo Dance X-Mas )   Glen Campbell ( 1995 - Christmas with Glen Campbell )   Patti LaBelle ( 1995 - for a Washington , DC Christmas Musical ) ( 2007 - Miss Patti 's Christmas )   David Arkenstone ( 1997 - Enchantment : A Magical Christmas )   Minimum Wage ( 1997 - from various artists ' holiday album A Punk &amp; Ska Christmas Gone Wrong )   United States Air Force Symphony Orchestra ( 1997 - This Is Christmas )   Anthony Way ( 1997 - The Choirboy 's Christmas ) ( with St. Paul 's Cathedral Choir &amp; English Chamber Orchestra )   Rosie O'Donnell with Elmo ( 1999 - A Rosie Christmas )   Martina McBride ( 1999 - White Christmas )   Linda Eder with The Broadway Gospel Choir ( 2000 - Christmas Stays the Same )   Kelly Rowland ( 2001 - from the Destiny 's Child album 8 Days of Christmas )   Mannheim Steamroller ( 2001 - Christmas Extraordinaire )   Tropical Flavor Steel Drum Band ( 2001 - Island Christmas )   South African singer Jo Day ( 2002 - for various artists ' holiday album The Santa Sessions )   Kenny G ( 2002 - Wishes : A Holiday Album )   Delta Goodrem ( 2002 - for the holiday compilation album The Spirit of Christmas 2002 )   Jim Brickman ( 2003 - Peace )   Larry Norman ( 2003 - Christmastime : The Day that a Child Appeared ) ( as `` Do You See What I See '' )   Copeland ( 2004 - for the holiday compilation album Maybe This Christmas Tree )   Flyleaf ( 2005 - Do You Hear What I Hear )   Third Day ( 2006 - Christmas Offerings )   Patti LaBelle , 2007 Miss Patti Christmas .   Carrie Underwood ( 2008 - Walmart holiday edition of her album Carnival Ride )   Johnny Cash ( recording date unknown , released 2008 )   Kristin Chenoweth ( 2008 - A Lovely Way to Spend Christmas )   Heather Headley ( 2008 - Do You Hear What I Hear )   Lani Misalucha ( 2008 - The Gift of Christmas )   Connie Talbot ( 2008 - Connie Talbot 's Christmas Album ) ( 2009 - Connie Talbot 's Holiday Magic )   Kristinia DeBarge ( 2009 ) ( for the Special Olympics holiday album A Very Special Christmas 7 )   Bob Dylan ( 2009 - Christmas in the Heart )   Ali Slaight and Theo Tams ( 2009 )   Joey McIntyre ( 2009 ) from the album Come Home for Christmas   Susan Boyle with Amber Stassi ( 2010 - from Susan Boyle 's album The Gift )   Pink Martini ( 2010 - Joy to the World )   Vanessa Carlton ( 2011 - Hear the Bells )   Sufjan Stevens ( 2012 - Silver &amp; Gold )   William Beckett ( 2013 - for the holiday compilation album Punk Goes Christmas )   Idina Menzel ( 2014 - Holiday Wishes )   Home Free Vocal Band ( 2014 - Full of Cheer ; 2016 - Full of ( Even More ) Cheer )   Jackie Evancho ( 2016 - Someday at Christmas )    Use in a medley with other songs ( edit )    Bobby Lloyd &amp; The Skeletons ( 1990 - Christmas Party with Eddie G . ) ( performed as a medley with the rock classic `` You Really Got Me '' )   Vanessa Williams ( 1996 - Star Bright ) ( performed in a medley with `` Little Drummer Boy '' )   Moya Brennan ( 2005 - An Irish Christmas ) ( in medley with `` Don oiche ... '' )    Regney said that his favorite version of the song was performed by Robert Goulet : as The New York Times noted , when the singer came to the line `` pray for peace , people everywhere , '' he `` almost shouted the words . ''   References ( edit )    ^ Jump up to : Noland , Claire ( 2008 - 03 - 15 ) . `` Pianist wrote music for holiday song '' . Los Angeles Times . Retrieved 2016 - 11 - 29 .   ^ Jump up to : Fox , Margalit ( 2008 - 03 - 11 ) . `` Gloria Shayne Baker , Composer and Lyricist , Dies at 84 '' . The New York Times . Retrieved 2008 - 03 - 23 .   Jump up ^ http://www.americancatholic.org/Messenger/Dec2007/Feature2.asp   Jump up ^ `` A Bing Crosby Discography : Song Index '' . Bing Magazine . 31 December 2016 . http://www.bingmagazine.co.uk/bingmagazine/crosbySongs.html   Jump up ^ Jones , Jack . `` Do You Hear What I Hear '' . Second Hand Songs . 1964 . https://secondhandsongs.com/performance/183019   Jump up ^ Fisher , Eddie . `` Mary Christmas '' . Dot Records . 1965 . http://www.allmusic.com/album/mary-christmas-mw0001263978   Jump up ^ Boone , Pat . `` Christmas Is A Comin ' ( Vinyl , LP , Album , Stereo ) '' . Dot Records . 1966 . https://www.discogs.com/Pat-Boone-Christmas-Is-A-Comin/release/2951463   Jump up ^ The Joystrings . `` Well Seasoned ( Vinyl , LP , Album , Stereo ) '' . Regal Zonophone . November 1966 . https://www.discogs.com/Joy-Strings-Well-Seasoned/release/4194430   Jump up ^ Smith , Kate . `` The Kate Smith Christmas Album '' . RCA / Sony Music Distribution. 28 November 1966 . http://www.allmusic.com/album/the-kate-smith-christmas-album-mw0000613874   Jump up ^ Ames , Ed . `` Christmas with Ed Ames ( Vinyl , LP , Album ) '' . RCA Victor . 1967 . https://www.discogs.com/Ed-Ames-Christmas-With-Ed-Ames/release/3888020   Jump up ^ Carroll , Diahann . `` Discography '' . Diahann ! http://www.diahann-carroll.com/discography/misc1.html   Jump up ^ Various Artists . `` Christmas Encore '' . Legacy / Sony Music Distribution. 15 August 1995 . http://www.allmusic.com/album/christmas-encore-mw0000176602   Jump up ^ Nabors , Jim . `` Jim Nabors ' Christmas Album '' ( Vinyl , LP , Album , Stereo ) . Columbia . 1967 . https://www.discogs.com/Jim-Nabors-Jim-Nabors-Christmas-Album/release/1840248   Jump up ^ Perry Como with The Ray Charles Singers . `` The Perry Como Christmas Album '' . Kokomo / RCA Victor . Mid-Late August 1968 . `` Archived copy '' . Archived from the original on 2012 - 04 - 02 . Retrieved 2010 - 05 - 26 .   Jump up ^ Goulet , Robert . `` Robert Goulet 's Wonderful World of Christmas '' . Columbia . 1968 . https://www.discogs.com/Robert-Goulet-Robert-Goulets-Wonderful-World-Of-Christmas/release/3488798   Jump up ^ Jackson , Mahalia . `` Christmas with Mahalia '' . Columbia / Sony Music Distribution. 1968 . http://www.allmusic.com/album/christmas-with-mahalia-columbia-mw0002348379   Jump up ^ Gladys Knight &amp; the Pips Cover of Harry Simeone Chorale 's `` Do You Hear What I Hear '' . WhoSampled.com . http://www.whosampled.com/cover/193975/Gladys-Knight-%26-the-Pips-Do-You-Hear-What-I-Hear%3F-The-Harry-Simeone-Chorale-Do-You-Hear-What-I-Hear%3F/   Jump up ^ Hampton String Quartet . `` Do You Hear What I Hear '' . YouTube : Hampton String Quartet - Topic. 25 February 2015 . https://m.youtube.com/watch?v=kR04NONU5IU   Jump up ^ Murray , Anne . `` Do You Hear What I Hear '' . YouTube : Anne Murray - Topic. 8 November 2014 . https://m.youtube.com/watch?v=AKsZT2hQwpo   Jump up ^ Bob Hope &amp; Dolores Hope . `` Hopes for the Holidays '' . Hope Enterprises , Inc. 1993 . https://www.amazon.com/Hopes-Holidays-Bob-Dolores-Hope/dp/B000MOSAEM   Jump up ^ Tesh , John . `` The Choirs of Christmas ( CD , Album ) '' . GTSP Records . 1994 . https://www.discogs.com/John-Tesh-The-Choirs-Of-Christmas/release/8757129   Jump up ^ LaBelle , Patti . `` Do You Hear What I Hear ... '' . YouTube : House of Black Music . 5 January 2017 . https://m.youtube.com/watch?v=i5GP2BvenaQ   Jump up ^ Arkenstone , David . `` Enchantment : A Magical Christmas '' . Narada. 9 September 1997 . http://www.allmusic.com/album/enchantment-a-magical-christmas-mw0000029953   Jump up ^ Various . `` A Punk &amp; Ska Christmas Gone Wrong '' ( CD , Album , Compilation ) . Drive - Thru Records . 1997 . https://www.discogs.com/Various-A-Punk-Ska-Christmas-Gone-Wrong/release/5236966   Jump up ^ United States Air Force Symphony Orchestra . `` This Is Christmas '' . Altissimo. 23 September 1997 . http://www.allmusic.com/album/this-is-christmas!-mw0000394012   Jump up ^ Anthony Way with St. Paul 's Cathedral Choir . `` Do You Hear What I Hear '' . YouTube : Maureen Ruiz. 24 December 2009 . https://m.youtube.com/watch?v=Kx4GGKxmcuk   Jump up ^ Choir of King 's College Cambridge . `` The Ultimate Carol Collection '' . Decca Classics. 10 November 1997 . http://www.deccaclassics.com/us/cat/4588632   Jump up ^ Rosie O'Donnell and Elmo Cover of Harry Simeone Chorale 's `` Do You Hear What I Hear '' . WhoSampled.com . http://www.whosampled.com/cover/73918/Elmo-Rosie-O%27donnell-Do-You-Hear-What-I-Hear%3F-The-Harry-Simeone-Chorale-Do-You-Hear-What-I-Hear%3F/   Jump up ^ McBride , Martina . `` White Christmas ( CD , HDCD , Album ) '' . RCA Records Label. 1999 . https://www.discogs.com/Martina-McBride-White-Christmas/release/6642985   Jump up ^ Linda Eder and The Broadway Gospel Choir . `` Do You Hear What I Hear '' . Second Hand Songs . 2000 . https://secondhandsongs.com/performance/507153/versions   Jump up ^ Tropical Flavor Steel Drum Band . `` Do You Hear What I Hear '' . YouTube : T.F.S.D.B. - Topic. 14 October 2015 . https://m.youtube.com/watch?v=i7g7GgYuiss   Jump up ^ Horn , Tracy . `` Various Artists - 5fm Presents The Santa Sessions '' . November 2002 . http://www.rock.co.za/legends/2000plus/santa.html Retrieved 15 October 2013 .   Jump up ^ Norman , Larry . `` Christmastime : The Day That a Child Appeared '' ( CDr , Album , Reissue ) . Solid Rock Records . 2003 , 2014 . https://www.discogs.com/Larry-Norman-ChristmastimeDay-That-A-Child-Appeared/release/7826940   Jump up ^ Flyleaf . `` Do You Hear What I Hear '' . Octone. 2005 . https://www.christianrock.net/songs/Do_You_Hear_What_I_Hear__by__Flyleaf   Jump up ^ Underwood , Carrie . `` Carnival Ride ( 2 X CD , Album , Walmart Edition ) '' . Arista. 21 October 2008 . https://www.discogs.com/Carrie-Underwood-Carnival-Ride/release/6245339   Jump up ^ `` A Country Christmas '' . Toronto Public Library . 2008 . Retrieved 2015 - 12 - 24 .   Jump up ^ Headley , Heather . `` Do You Hear What I Hear '' . YouTube : Heather Headley - Topic. 13 March 2014 . https://m.youtube.com/watch?v=rysBIoluNN0   Jump up ^ Misalucha , Lani . `` The Gift of Christmas '' . Universal Records . November 2008 . http://regalo7107.com/?pid=1579829   Jump up ^ Ali Slaight and Theo Tams : `` Do You Hear What I Hear ( File , AAC , Single ) '' . Sony Music Canada , 10 November 2009 . ( Discogs )   Jump up ^ McIntyre invites New Kids fans to `` Come Home for Christmas '' . Sean 's Space on blogspot on The Poughkeepsie Journal , 8 December 2011 .   Jump up ^ Vanessa Carlton Cover of Harry Simeone Chorale 's `` Do You Hear What I Hear '' . WhoSampled.com . http://www.whosampled.com/cover/129887/Vanessa-Carlton-Do-You-Hear-What-I-Hear%3F-The-Harry-Simeone-Chorale-Do-You-Hear-What-I-Hear%3F/   Jump up ^ Various . `` Christmas Party with Eddie G . '' ( CD , Album , Compilation ) . Strikin ' It Rich / Columbia . 1990 . https://www.discogs.com/Various-Christmas-Party-With-Eddie-G/release/7442919   Jump up ^ Douglas Martin : Noel Regney , Songwriter Known for ' Do You Hear What I Hear ? ' Is Dead at 80 . NYTimes.com , December 1 , 2012 , last acess Dec. 25 , 2017 .   Retrieved from `` https://en.wikipedia.org/w/index.php?title=Do_You_Hear_What_I_Hear%3F&amp;oldid=821387821 '' Categories :   American Christmas songs   Songs written by Noël Regney   1962 songs   Songs written by Gloria Shayne Baker   Glen Campbell songs   Bing Crosby songs   Hidden categories :   Articles with too many examples   Pages using div col without cols and colwidth parameters           Talk                                           Contents                   About Wikipedia                                           Italiano   Nederlands   </t>
    </r>
    <r>
      <rPr>
        <sz val="11"/>
        <color rgb="FF000000"/>
        <rFont val="Noto Sans CJK SC"/>
        <family val="2"/>
      </rPr>
      <t xml:space="preserve">中文   </t>
    </r>
    <r>
      <rPr>
        <sz val="11"/>
        <color rgb="FF000000"/>
        <rFont val="Calibri"/>
        <family val="0"/>
        <charset val="1"/>
      </rPr>
      <t xml:space="preserve">Edit links   This page was last edited on 20 January 2018 , at 04 : 43 .         About Wikipedia                    </t>
    </r>
  </si>
  <si>
    <t xml:space="preserve">who wrote the christmas carol do you hear what i hear</t>
  </si>
  <si>
    <t xml:space="preserve"> `` Do You Hear What I Hear ? '' is a song written in October 1962 , with lyrics by Noël Regney and music by Gloria Shayne Baker . The pair , married at the time , wrote it as a plea for peace during the Cuban Missile Crisis . Regney had been invited by a record producer to write a Christmas song , but he was hesitant due to the commercialism of the Christmas holiday . It has sold tens of millions of copies and has been covered by hundreds of artists . </t>
  </si>
  <si>
    <t xml:space="preserve">FIFA World Cup - Wikipedia  FIFA World Cup  This article is about the men 's association football tournament . For the women 's tournament , see FIFA Women 's World Cup .    FIFA World Cup   Founded   1930 ; 88 years ago ( 1930 )     Region   International ( FIFA )     Number of teams   32 ( finals ) 211 ( eligible to enter qualification )     Related competitions   FIFA Confederations Cup     Current champions   France ( 2nd title )     Most successful team ( s )   Brazil ( 5 titles )     Television broadcasters   List of broadcasters     Website   fifa.com/worldcup/     2018 FIFA World Cup       The 2018 FIFA World Cup opening ceremony     Tournaments       1930   1934   1938   1950   1954   1958   1962   1966   1970     1978   1982   1986   1990   1994   1998   2002   2006     2014   2018   2022   2026   2030   2034       The FIFA World Cup , often simply called the World Cup , is an international association football competition contested by the senior men 's national teams of the members of the Fédération Internationale de Football Association ( FIFA ) , the sport 's global governing body . The championship has been awarded every four years since the inaugural tournament in 1930 , except in 1942 and 1946 when it was not held because of the Second World War . The current champion is France , which won its second title at the 2018 tournament in Russia .   The current format of the competition involves a qualification phase , which currently takes place over the preceding three years , to determine which teams qualify for the tournament phase , which is often called the World Cup Finals . After this , 32 teams , including the automatically qualifying host nation ( s ) , compete in the tournament phase for the title at venues within the host nation ( s ) over a period of about a month .   The 21 World Cup tournaments have been won by eight national teams . Brazil have won five times , and they are the only team to have played in every tournament . The other World Cup winners are Germany and Italy , with four titles each ; Argentina , France and inaugural winner Uruguay , with two titles each ; and England and Spain with one title each .   The World Cup is the most prestigious association football tournament in the world , as well as the most widely viewed and followed sporting event in the world , exceeding even the Olympic Games ; the cumulative audience of all matches of the 2006 World Cup was estimated to be 26.29 billion with an estimated 715.1 million people watching the final match , a ninth of the entire population of the planet .   17 countries have hosted the World Cup . Brazil , France , Italy , Germany and Mexico have each hosted twice , while Uruguay , Switzerland , Sweden , Chile , England , Argentina , Spain , the United States , Japan and South Korea ( jointly ) , South Africa and Russia have each hosted once . Qatar are planned as hosts of the 2022 finals , and 2026 will be a joint hosted finals between Canada , the United States and Mexico , which will give Mexico the distinction of being the first country to have hosted games in three different finals .   Contents  ( hide )   1 History   1.1 Previous international competitions   1.2 World Cups before World War II   1.3 World Cups after World War II   1.4 Expansion to 32 teams   1.5 Expansion to 48 teams   1.6 2015 FIFA corruption case   1.7 Other FIFA tournaments     2 Trophy   3 Format   3.1 Qualification   3.2 Final tournament     4 Hosts   4.1 Selection process   4.2 Performances     5 Attendance   6 Broadcasting and promotion   7 Results   7.1 Teams reaching the top four   7.2 Best performances by continental zones     8 Awards   9 Records and statistics   9.1 Top goalscorers   9.2 All - time table for champions     10 See also   11 Notes and references   12 Bibliography   13 External links    History  Main article : History of the FIFA World Cup  Previous international competitions   The world 's first international football match was a challenge match played in Glasgow in 1872 between Scotland and England , which ended in a 0 -- 0 draw . The first international tournament , the inaugural British Home Championship , took place in 1884 . As football grew in popularity in other parts of the world at the start of the 20th century , it was held as a demonstration sport with no medals awarded at the 1900 and 1904 Summer Olympics ( however , the IOC has retroactively upgraded their status to official events ) , and at the 1906 Intercalated Games .   After FIFA was founded in 1904 , it tried to arrange an international football tournament between nations outside the Olympic framework in Switzerland in 1906 . These were very early days for international football , and the official history of FIFA describes the competition as having been a failure .   At the 1908 Summer Olympics in London , football became an official competition . Planned by The Football Association ( FA ) , England 's football governing body , the event was for amateur players only and was regarded suspiciously as a show rather than a competition . Great Britain ( represented by the England national amateur football team ) won the gold medals . They repeated the feat at the 1912 Summer Olympics in Stockholm .   With the Olympic event continuing to be contested only between amateur teams , Sir Thomas Lipton organised the Sir Thomas Lipton Trophy tournament in Turin in 1909 . The Lipton tournament was a championship between individual clubs ( not national teams ) from different nations , each one of which represented an entire nation . The competition is sometimes described as The First World Cup , and featured the most prestigious professional club sides from Italy , Germany and Switzerland , but the FA of England refused to be associated with the competition and declined the offer to send a professional team . Lipton invited West Auckland , an amateur side from County Durham , to represent England instead . West Auckland won the tournament and returned in 1911 to successfully defend their title .   In 1914 , FIFA agreed to recognise the Olympic tournament as a `` world football championship for amateurs '' , and took responsibility for managing the event . This paved the way for the world 's first intercontinental football competition , at the 1920 Summer Olympics , contested by Egypt and 13 European teams , and won by Belgium . Uruguay won the next two Olympic football tournaments in 1924 and 1928 . Those were also the first two open world championships , as 1924 was the start of FIFA 's professional era .   World Cups before World war II  Estadio Centenario , the location of the first World Cup final in 1930 in Montevideo , Uruguay  Due to the success of the Olympic football tournaments , FIFA , with President Jules Rimet as the driving force , again started looking at staging its own international tournament outside of the Olympics . On 28 May 1928 , the FIFA Congress in Amsterdam decided to stage a world championship itself . With Uruguay now two - time official football world champions and to celebrate their centenary of independence in 1930 , FIFA named Uruguay as the host country of the inaugural World Cup tournament .   The national associations of selected nations were invited to send a team , but the choice of Uruguay as a venue for the competition meant a long and costly trip across the Atlantic Ocean for European sides . Indeed , no European country pledged to send a team until two months before the start of the competition . Rimet eventually persuaded teams from Belgium , France , Romania , and Yugoslavia to make the trip . In total , 13 nations took part : seven from South America , four from Europe and two from North America .   The first two World Cup matches took place simultaneously on 13 July 1930 , and were won by France and the USA , who defeated Mexico 4 -- 1 and Belgium 3 -- 0 respectively . The first goal in World Cup history was scored by Lucien Laurent of France . In the final , Uruguay defeated Argentina 4 -- 2 in front of a crowd of 93,000 people in Montevideo , and in doing so became the first nation to win the World Cup .   After the creation of the World Cup , FIFA and the IOC disagreed over the status of amateur players , and so football was dropped from the 1932 Summer Olympics . Olympic football returned at the 1936 Summer Olympics , but was now overshadowed by the more prestigious World Cup .   The issues facing the early World Cup tournaments were the difficulties of intercontinental travel , and war . Few South American teams were willing to travel to Europe for the 1934 World Cup and all North and South American nations except Brazil and Cuba boycotted the 1938 tournament . Brazil was the only South American team to compete in both . The 1942 and 1946 competitions , which Germany and Brazil sought to host , were cancelled due to World War II and its aftermath .   World Cups after World war II  The opening game of the Maracanã Stadium in Rio de Janeiro , shortly before the 1950 FIFA World Cup . From the National Archives of Brazil  The 1950 World Cup , held in Brazil , was the first to include British participants . British teams withdrew from FIFA in 1920 , partly out of unwillingness to play against the countries they had been at war with , and partly as a protest against foreign influence on football , but rejoined in 1946 following FIFA 's invitation . The tournament also saw the return of 1930 champions Uruguay , who had boycotted the previous two World Cups . Uruguay won the tournament again after defeating the host nation Brazil , in the match called `` Maracanazo '' ( Portuguese : Maracanaço ) .   In the tournaments between 1934 and 1978 , 16 teams competed in each tournament , except in 1938 , when Austria was absorbed into Germany after qualifying , leaving the tournament with 15 teams , and in 1950 , when India , Scotland , and Turkey withdrew , leaving the tournament with 13 teams . Most of the participating nations were from Europe and South America , with a small minority from North America , Africa , Asia , and Oceania . These teams were usually defeated easily by the European and South American teams . Until 1982 , the only teams from outside Europe and South America to advance out of the first round were : USA , semi-finalists in 1930 ; Cuba , quarter - finalists in 1938 ; North Korea , quarter - finalists in 1966 ; and Mexico , quarter - finalists in 1970 .   Expansion to 32 teams  Interior view of the Soccer City in Johannesburg , South Africa , during a match at the 2010 FIFA World Cup  The tournament was expanded to 24 teams in 1982 , and then to 32 in 1998 , also allowing more teams from Africa , Asia and North America to take part . Since then , teams from these regions have enjoyed more success , with several having reached the quarter - finals : Mexico , quarter - finalists in 1986 ; Cameroon , quarter - finalists in 1990 ; South Korea , finishing in fourth place in 2002 ; Senegal , along with USA , both quarter - finalists in 2002 ; Ghana , quarter - finalists in 2010 ; and Costa Rica , quarter - finalists in 2014 . Nevertheless , European and South American teams continue to dominate , e.g. , the quarter - finalists in 1994 , 1998 , 2006 and 2018 were all from Europe or South America and so were the finalists of all tournaments so far .   Two hundred teams entered the 2002 FIFA World Cup qualification rounds ; 198 nations attempted to qualify for the 2006 FIFA World Cup , while a record 204 countries entered qualification for the 2010 FIFA World Cup .   Expansion to 48 teams   In October 2013 , Sepp Blatter spoke of guaranteeing the Caribbean Football Union 's region a position in the World Cup . In the edition of 25 October 2013 of the FIFA Weekly Blatter wrote that : `` From a purely sporting perspective , I would like to see globalisation finally taken seriously , and the African and Asian national associations accorded the status they deserve at the FIFA World Cup . It can not be that the European and South American confederations lay claim to the majority of the berths at the World Cup . '' Those two remarks suggested to commentators that Blatter could be putting himself forward for re-election to the FIFA Presidency .   Following the magazine 's publication , Blatter 's would - be opponent for the FIFA Presidency , UEFA President Michel Platini , responded that he intended to extend the World Cup to 40 national associations , increasing the number of participants by eight . Platini said that he would allocate an additional berth to UEFA , two to the Asian Football Confederation and the Confederation of African Football , two shared between CONCACAF and CONMEBOL , and a guaranteed place for the Oceania Football Confederation . Platini was clear about why he wanted to expand the World Cup . He said : `` ( The World Cup is ) not based on the quality of the teams because you do n't have the best 32 at the World Cup ... but it 's a good compromise ... It 's a political matter so why not have more Africans ? The competition is to bring all the people of all the world . If you do n't give the possibility to participate , they do n't improve . ''   In October 2016 FIFA president Gianni Infantino stated his support for a 48 - team World Cup in 2026 . On 10 January 2017 , FIFA confirmed the 2026 World Cup will have 48 finalist teams .   2015 FIFA corruption case  Main article : 2015 FIFA corruption case  By May 2015 , the games were under a particularly dark cloud because of the 2015 FIFA corruption case , allegations and criminal charges of bribery , fraud and money laundering to corrupt the issuing of media and marketing rights ( rigged bids ) for FIFA games , with FIFA officials accused of taking bribes totaling more than $150 million over 24 years . In late May , the U.S. Justice Department announced a 47 - count indictment with charges of racketeering , wire fraud and money laundering conspiracy against 14 people . Arrests of over a dozen FIFA officials were made since that time , particularly on 29 May and 3 December . By the end of May 2015 , a total of nine FIFA officials and five executives of sports and broadcasting markets had already been charged on corruption . At the time , FIFA president Sepp Blatter announced he would relinquish his position in February 2016 .   On 4 June 2015 Chuck Blazer while co-operating with the FBI and the Swiss authorities admitted that he and the other members of FIFA 's then - executive committee were bribed in order to promote the 1998 and 2010 World Cups . On 10 June 2015 Swiss authorities seized computer data from the offices of Sepp Blatter . The same day , FIFA postponed the bidding process for the 2026 FIFA World Cup in light of the allegations surrounding bribery in the awarding of the 2018 and 2022 tournaments . Then - secretary general Jérôme Valcke stated , `` Due to the situation , I think it 's nonsense to start any bidding process for the time being . '' On 28 October 2015 , Blatter and FIFA VP Michel Platini , a potential candidate for presidency , were suspended for 90 days ; both maintained their innocence in statements made to the news media .   On 3 December 2015 two FIFA vice-presidents were arrested on suspicion of bribery in the same Zurich hotel where seven FIFA officials had been arrested in May . An additional 16 indictments by the U.S. Department of Justice were announced on the same day .   Other FIFA tournaments  The BC Place in Vancouver hosting a 2015 Women 's World Cup match  An equivalent tournament for women 's football , the FIFA Women 's World Cup , was first held in 1991 in China . The women 's tournament is smaller in scale and profile than the men 's , but is growing ; the number of entrants for the 2007 tournament was 120 , more than double that of 1991 .   Men 's football has been included in every Summer Olympic Games except 1896 and 1932 . Unlike many other sports , the men 's football tournament at the Olympics is not a top - level tournament , and since 1992 , an under - 23 tournament with each team allowed three over-age players . Women 's football made its Olympic debut in 1996 .   The FIFA Confederations Cup is a tournament held one year before the World Cup at the World Cup host nation ( s ) as a dress rehearsal for the upcoming World Cup . It is contested by the winners of each of the six FIFA confederation championships , along with the FIFA World Cup champion and the host country .   FIFA also organises international tournaments for youth football ( FIFA U-20 World Cup , FIFA U-17 World Cup , FIFA U-20 Women 's World Cup , FIFA U-17 Women 's World Cup ) , club football ( FIFA Club World Cup ) , and football variants such as futsal ( FIFA Futsal World Cup ) and beach soccer ( FIFA Beach Soccer World Cup ) . The latter three do not have a women 's version , although a FIFA Women 's Club World Cup has been proposed .   The FIFA U-20 Women 's World Cup is held the year before each Women 's World Cup and both tournaments are awarded in a single bidding process . The U-20 tournament serves as a dress rehearsal for the larger competition .   Trophy  Main article : FIFA World Cup Trophy Queen Elizabeth II presenting the Jules Rimet trophy to 1966 World Cup winning England captain Bobby Moore  From 1930 to 1970 , the Jules Rimet Trophy was awarded to the World Cup winning team . It was originally simply known as the World Cup or Coupe du Monde , but in 1946 it was renamed after the FIFA president Jules Rimet who set up the first tournament . In 1970 , Brazil 's third victory in the tournament entitled them to keep the trophy permanently . However , the trophy was stolen in 1983 and has never been recovered , apparently melted down by the thieves .  The current World Cup trophy , presented since 1974  After 1970 , a new trophy , known as the FIFA World Cup Trophy , was designed . The experts of FIFA , coming from seven countries , evaluated the 53 presented models , finally opting for the work of the Italian designer Silvio Gazzaniga . The new trophy is 36 cm ( 14.2 in ) high , made of solid 18 carat ( 75 % ) gold and weighs 6.175 kg ( 13.6 lb ) . The base contains two layers of semi-precious malachite while the bottom side of the trophy bears the engraved year and name of each FIFA World Cup winner since 1974 . The description of the trophy by Gazzaniga was : `` The lines spring out from the base , rising in spirals , stretching out to receive the world . From the remarkable dynamic tensions of the compact body of the sculpture rise the figures of two athletes at the stirring moment of victory . ''   This new trophy is not awarded to the winning nation permanently . World Cup winners retain the trophy only until the post-match celebration is finished . They are awarded a gold - plated replica rather than the solid gold original immediately afterwards .   Currently , all members ( players , coaches , and managers ) of the top three teams receive medals with an insignia of the World Cup Trophy ; winners ' ( gold ) , runners - up ' ( silver ) , and third - place ( bronze ) . In the 2002 edition , fourth - place medals were awarded to hosts South Korea . Before the 1978 tournament , medals were only awarded to the eleven players on the pitch at the end of the final and the third - place match . In November 2007 , FIFA announced that all members of World Cup - winning squads between 1930 and 1974 were to be retroactively awarded winners ' medals .   Format   Qualification  Main article : FIFA World Cup qualification  Since the second World Cup in 1934 , qualifying tournaments have been held to thin the field for the final tournament . They are held within the six FIFA continental zones ( Africa , Asia , North and Central America and Caribbean , South America , Oceania , and Europe ) , overseen by their respective confederations . For each tournament , FIFA decides the number of places awarded to each of the continental zones beforehand , generally based on the relative strength of the confederations ' teams .   The qualification process can start as early as almost three years before the final tournament and last over a two - year period . The formats of the qualification tournaments differ between confederations . Usually , one or two places are awarded to winners of intercontinental play - offs . For example , the winner of the Oceanian zone and the fifth - placed team from the Asian zone entered a play - off for a spot in the 2010 World Cup . From the 1938 World Cup onwards , host nations receive automatic qualification to the final tournament . This right was also granted to the defending champions between 1938 and 2002 , but was withdrawn from the 2006 FIFA World Cup onward , requiring the champions to qualify . Brazil , winners in 2002 , were the first defending champions to play qualifying matches .   Final tournament  For the various formats used in previous tournaments , see History of the FIFA World Cup § Format of each final tournament .  The current final tournament has been used since 1998 and features 32 national teams competing over the course of a month in the host nation ( s ) . There are two stages : the group stage followed by the knockout stage .   In the group stage , teams compete within eight groups of four teams each . Eight teams are seeded , including the hosts , with the other seeded teams selected using a formula based on the FIFA World Rankings and / or performances in recent World Cups , and drawn to separate groups . The other teams are assigned to different `` pots '' , usually based on geographical criteria , and teams in each pot are drawn at random to the eight groups . Since 1998 , constraints have been applied to the draw to ensure that no group contains more than two European teams or more than one team from any other confederation .   Each group plays a round - robin tournament , in which each team is scheduled for three matches against other teams in the same group . This means that a total of six matches are played within a group . The last round of matches of each group is scheduled at the same time to preserve fairness among all four teams . The top two teams from each group advance to the knockout stage . Points are used to rank the teams within a group . Since 1994 , three points have been awarded for a win , one for a draw and none for a loss ( before , winners received two points ) .   If one considers all possible outcomes ( win , draw , loss ) for all six matches in a group , there are 729 ( = 3 ) outcome combinations possible . However , 207 of these combinations lead to ties between the second and third places . In such case , the ranking among these teams is determined as follows :    Greatest combined goal difference in all group matches   Greatest combined number of goals scored in all group matches   If more than one team remain level after applying the above criteria , their ranking will be determined as follows :   Greatest number of points in head - to - head matches among those teams   Greatest goal difference in head - to - head matches among those teams   Greatest number of goals scored in head - to - head matches among those teams   Fair play points , defined by the number of yellow and red cards received in the group stage :   Yellow card : minus 1 point   Indirect red card ( as a result of a second yellow card ) : minus 3 points   Direct red card : minus 4 points   Yellow card and direct red card : minus 5 points       If any of the teams above remain level after applying the above criteria , their ranking will be determined by the drawing of lots    The knockout stage is a single - elimination tournament in which teams play each other in one - off matches , with extra time and penalty shootouts used to decide the winner if necessary . It begins with the round of 16 ( or the second round ) in which the winner of each group plays against the runner - up of another group . This is followed by the quarter - finals , the semi-finals , the third - place match ( contested by the losing semi-finalists ) , and the final .   On 10 January 2017 , FIFA approved a new format , the 48 - team World Cup ( to accommodate more teams ) , which consists of 16 groups of three teams each , with two teams qualifying from each group , to form a round of 32 knockout stage , to be implemented by 2026 .   Hosts  Main article : FIFA World Cup hosts Map of FIFA World Cup final hosts , 1930 -- 2022 . Green : once ; dark green : twice ; light green : planned  Selection process   Early World Cups were given to countries at meetings of FIFA 's congress . The locations were controversial because South America and Europe were by far the two centres of strength in football and travel between them required three weeks by boat . The decision to hold the first World Cup in Uruguay , for example , led to only four European nations competing . The next two World Cups were both held in Europe . The decision to hold the second of these in France was disputed , as the South American countries understood that the location would alternate between the two continents . Both Argentina and Uruguay thus boycotted the 1938 FIFA World Cup .   Since the 1958 FIFA World Cup , to avoid future boycotts or controversy , FIFA began a pattern of alternating the hosts between the Americas and Europe , which continued until the 1998 FIFA World Cup . The 2002 FIFA World Cup , hosted jointly by South Korea and Japan , was the first one held in Asia , and the first tournament with multiple hosts . South Africa became the first African nation to host the World Cup in 2010 . The 2014 FIFA World Cup was hosted by Brazil , the first held in South America since Argentina 1978 , and was the first occasion where consecutive World Cups were held outside Europe .  Russian delegates celebrate being chosen as the host of the 2018 FIFA World Cup  The host country is now chosen in a vote by FIFA 's Council . This is done under an exhaustive ballot system . The national football association of a country desiring to host the event receives a `` Hosting Agreement '' from FIFA , which explains the steps and requirements that are expected from a strong bid . The bidding association also receives a form , the submission of which represents the official confirmation of the candidacy . After this , a FIFA designated group of inspectors visit the country to identify that the country meets the requirements needed to host the event and a report on the country is produced . The decision on who will host the World Cup is usually made six or seven years in advance of the tournament . However , there have been occasions where the hosts of multiple future tournaments were announced at the same time , as was the case for the 2018 and 2022 World Cups , which were awarded to Russia and Qatar , with Qatar becoming the first Middle Eastern country to host the tournament .   For the 2010 and 2014 World Cups , the final tournament is rotated between confederations , allowing only countries from the chosen confederation ( Africa in 2010 , South America in 2014 ) to bid to host the tournament . The rotation policy was introduced after the controversy surrounding Germany 's victory over South Africa in the vote to host the 2006 tournament . However , the policy of continental rotation will not continue beyond 2014 , so any country , except those belonging to confederations that hosted the two preceding tournaments , can apply as hosts for World Cups starting from 2018 . This is partly to avoid a similar scenario to the bidding process for the 2014 tournament , where Brazil was the only official bidder .   The 2026 FIFA World Cup was chosen to be held in the United States , Canada and Mexico , marking the first time a World Cup has been shared by three host nations . The 2026 tournament will be the biggest World Cup ever held , with 48 teams playing 80 matches . Sixty matches will take place in the US , including all matches from the quarter - finals onward , while Canada and Mexico will host 10 games each .   Performances  See also : Results of host nations in the FIFA World Cup  Six of the eight champions have won one of their titles while playing in their own homeland , the exceptions being Brazil , who finished as runners - up after losing the deciding match on home soil in 1950 and lost their semi-final against Germany in 2014 , and Spain , which reached the second round on home soil in 1982 . England ( 1966 ) won its only title while playing as a host nation . Uruguay ( 1930 ) , Italy ( 1934 ) , Argentina ( 1978 ) and France ( 1998 ) won their first titles as host nations but have gone on to win again , while Germany ( 1974 ) won their second title on home soil .   Other nations have also been successful when hosting the tournament . Switzerland ( quarter - finals 1954 ) , Sweden ( runners - up in 1958 ) , Chile ( third place in 1962 ) , South Korea ( fourth place in 2002 ) , and Mexico ( quarter - finals in 1970 and 1986 ) all have their best results when serving as hosts . So far , South Africa ( 2010 ) has been the only host nation to fail to advance beyond the first round .   Attendance  See also : List of sports attendance figures    Year   Hosts   Venues / Cities   Total attendance   Matches   Avg . attendance   Highest attendances †     Number   Venue   Game ( s )     1930   Uruguay   3 / 1   590,549   18   32,808   93,000   Estadio Centenario , Montevideo   Uruguay 6 -- 1 Yugoslavia , Semi-final     1934   Italy   8 / 8   363,000   17   21,353   55,000   Stadio Nazionale PNF , Rome   Italy 2 -- 1 Czechoslovakia , Final     1938   France   10 / 9   375,700   18   20,872   58,455   Olympique de Colombes , Paris   France 1 -- 3 Italy , Quarter - final     1950   Brazil   6 / 6   1,045,246   22   47,511   173,850   Maracanã Stadium , Rio de Janeiro   Brazil 1 -- 2 Uruguay , Deciding match     1954   Switzerland   6 / 6   768,607   26   29,562   63,000   Wankdorf Stadium , Bern   West Germany 3 -- 2 Hungary , Final     1958   Sweden   12 / 12   819,810   35   23,423   50,928   Ullevi Stadium , Gothenburg   Brazil 2 -- 0 Soviet Union , Group stage     1962   Chile   4 / 4   893,172   32   27,912   68,679   Estadio Nacional , Santiago   Brazil 4 -- 2 Chile , Semi-final     1966   England   8 / 7   1,563,135   32   48,848   98,270   Wembley Stadium , London   England 4 -- 2 West Germany , Final     1970   Mexico   5 / 5   1,603,975   32   50,124   108,192   Estadio Azteca , Mexico City   Mexico 1 -- 0 Belgium , Group stage       West Germany   9 / 9   1,865,753   38   49,099   83,168   Olympiastadion , West Berlin   West Germany 1 -- 0 Chile , Group stage     1978   Argentina   6 / 5   1,545,791   38   40,679   71,712   River Plate Stadium , Buenos Aires   Italy 1 -- 0 Argentina , Group stage     1982   Spain   17 / 14   2,109,723   52   40,572   95,500   Camp Nou , Barcelona   Argentina 0 -- 1 Belgium , Opening match     1986   Mexico   12 / 11   2,394,031   52   46,039   114,600   Estadio Azteca , Mexico City   Mexico 1 -- 1 Paraguay , Group stage Argentina 3 -- 2 West Germany , Final     1990   Italy   12 / 12   2,516,215   52   48,389   74,765   San Siro , Milan   West Germany 4 -- 1 Yugoslavia , Group stage     1994   United States   9 / 9   3,587,538   52   68,991   94,194   Rose Bowl , Pasadena , California   Brazil 0 ( 3 ) -- ( 2 ) 0 Italy , Final     1998   France   10 / 10   2,785,100   64   43,517   80,000   Stade de France , Saint - Denis   Brazil 0 -- 3 France , Final     2002   South Korea Japan   10 / 10 10 / 10   2,705,197   64   42,269   69,029   International Stadium , Yokohama , Japan   Brazil 2 -- 0 Germany , Final     2006   Germany   12 / 12   3,359,439   64   52,491   72,000   Olympiastadion , Berlin   Germany 1 ( 4 ) -- ( 2 ) 1 Argentina , Quarter - final       South Africa   10 / 9   3,178,856   64   49,670   84,490   Soccer City , Johannesburg   Spain 1 -- 0 Netherlands , Final     2014   Brazil   12 / 12   3,429,873   64   53,592   74,738   Maracanã Stadium , Rio de Janeiro   Germany 1 -- 0 Argentina , Final     2018   Russia   12 / 11   3,031,768   64   47,371   78,011   Luzhniki Stadium , Moscow   France 4 -- 2 Croatia , Final     Overall   40,532,478   900   45,036   171,772   Maracanã Stadium , Rio ( 1950 )       The best - attended single match , shown in the last three columns , has been the final in half of the 20 World Cups as of 2014 . Another match or matches drew more attendance than the final in 1930 , 1938 , 1958 , 1962 , 1970 -- 1982 , 1990 and 2006 .    Source : FIFA    Broadcasting and promotion  See also : List of FIFA World Cup broadcasters A Coca - Cola bottle promoting the 2002 World Cup in South Korea and Japan  The World Cup was first televised i</t>
  </si>
  <si>
    <t xml:space="preserve">how many teams in world cup semi finals</t>
  </si>
  <si>
    <t xml:space="preserve"> The knockout stage is a single - elimination tournament in which teams play each other in one - off matches , with extra time and penalty shootouts used to decide the winner if necessary . It begins with the round of 16 ( or the second round ) in which the winner of each group plays against the runner - up of another group . This is followed by the quarter - finals , the semi-finals , the third - place match ( contested by the losing semi-finalists ) , and the final . </t>
  </si>
  <si>
    <t xml:space="preserve">Mariska Hargitay - wikipedia  Mariska Hargitay  Jump to : navigation , search    Mariska Hargitay     Hargitay in November 2011       Mariska Magdolna Hargitay ( 1964 - 01 - 23 ) January 23 , 1964 ( age 54 ) Santa Monica , California , U.S.     Alma mater   University of California , Los Angeles     Occupation   Actress , director , executive producer     Years active   1983 -- present     Spouse ( s )   Peter Hermann ( m . 2004 )     Children       Parent ( s )   Mickey Hargitay Jayne Mansfield     Relatives   Jayne Marie Mansfield ( maternal half - sister )     Signature         Mariska Magdolna Hargitay ( / məˈrɪʃkə ˈhɑːrɡɪteɪ / mə - RISH - kə HAR - ghih - tay ; born January 23 , 1964 ) is an American actress best known for her role as Detective / Sergeant / Lieutenant Olivia Benson on the NBC drama series Law &amp; Order : Special Victims Unit , for which she has earned multiple awards and nominations , including winning a Primetime Emmy Award and Golden Globe Award .   The daughter of bodybuilder and actor Mickey Hargitay and actress Jayne Mansfield , Hargitay made her film debut in the 1985 horror - comedy film Ghoulies and her major television debut in the 1986 adventure drama series Downtown . She appeared in numerous roles in film and television shows throughout the late 1980s and 1990s before being cast as Olivia Benson , a role that led to her founding the Joyful Heart Foundation , which provides support to women who have been sexually abused .     Contents  ( hide )   1 Early life   2 Career   2.1 Law &amp; Order : Special Victims Unit     3 Personal life   3.1 Health problems     4 Charity work   5 Filmography   5.1 Television   5.2 Film   5.3 Video games   5.4 Director   5.5 Producer   5.6 Music videos     6 Awards and accolades   7 Notes   8 References   9 External links      Early Life ( edit )   Hargitay was born at St. John 's Hospital in Santa Monica , California , the daughter of actress and 1950s - era sex symbol Jayne Mansfield . Her father was the Hungarian - born former Mr. Universe Mickey Hargitay . Her first and middle names are Hungarian and refer to Mary Magdalene ( Mariska is a diminutive of Mary ) . Hargitay was raised Roman Catholic . She has two older brothers , Miklós and Zoltán , and three half - siblings , Jayne Marie Mansfield and Antonio `` Tony '' Cimber ( from her mother 's first and third marriages , respectively ) and Tina Hargitay ( from her father 's first marriage ) .   Hargitay 's parents divorced in May 1963 , but a judge later found their Mexican divorce invalid . They reconciled a few months before Hargitay 's birth in January 1964 , but soon separated again . In August 1964 her mother successfully petitioned the court to rule the Mexican divorce legal . A few weeks later , Mansfield married the director Matt Cimber , who had directed her in a 1964 production of the William Inge play Bus Stop . On June 29 , 1967 , Mansfield was killed in an automobile accident on a stretch of U.S. Route 90 between New Orleans and Bay St. Louis , Mississippi . Her boyfriend , Sam Brody , and the driver were also killed . Asleep in the back of the vehicle , Hargitay , then three and a half years old , was left with a zigzag scar on one side of her head . Her brothers Miklós and Zoltán were also in the car , but escaped with minor injuries . After the death of their mother , the three siblings were raised by their father and his third wife , Ellen Siano . Hargitay dislikes comparisons with her famous mother and at age 18 said , `` My dad was Mr. Universe , so it would be fun for me to be Miss Universe . ''   While a student at her Catholic secondary school , Marymount High School , Hargitay was active in cheerleading , student government , athletics , and the theater program . She enjoyed acting and enrolled at UCLA after graduation from high school in 1982 . That same year , Hargitay was crowned Miss Beverly Hills USA . By the time she was a freshman in college , Hargitay had an agent and several small roles to her credit . She attended UCLA School of Theater Film and Television ( where she was a member of Kappa Kappa Gamma ) . She left before completing her degree when she began her acting career .   Hargitay attended Groundlings Theatre and School in Los Angeles . Her improv teacher was Kathy Griffin . Griffin stated in an interview ,    `` We started class , and in the Groundlings curriculum , one of the first exercises you do is the cliched ' trust ' game . I made everyone stand in a circle , with me in the center , and I said , being onstage , you have to trust your fellow actors , especially when you 're an improviser . You 're going to be there for each other , and they 're going to be there for you . For example , I 'm going to fall back , knowing that you 'll catch me . Then I let myself fall backward , and sure enough , I was caught . Everyone gets out some nervous laughter , and then they all took turns doing it . By the time it got around to Mariska Hargitay , we 'd already done it with ten or eleven students , and they had clearly gotten the point . Then it was Mariska 's turn . ' Okay , Mariska , cross your arms in front of you and gently fall back , ' I said . She fell back and nobody caught her . She fell flat on her ass . I was horrified . This had never happened in one of my classes before . ''    Career ( edit )   In 1982 , after Hargitay was crowned Miss Beverly Hills USA , she then competed in the Miss California USA pageant the following year , placing fourth runner - up to Julie Hayek , who was later crowned Miss USA . In 1984 , she appeared in Ronnie Milsap 's music video for `` She Loves My Car '' . A year later she had a small role in the horror film , Ghoulies .   Hargitay said in 1986 that she never thought about doing television until a role for the one - hour adventure drama series Downtown was offered . In 1988 , she had a recurring role as Carly Fixx in the soap opera Falcon Crest . She portrayed police officer Angela Garcia in the 1992 series Tequila and Bonetti , and appeared in an episode of the fourth season of Seinfeld . Two years later , Hargitay portrayed Didi Edelstein , the sexy next - door neighbor , in the 1995 sitcom Ca n't Hurry Love , which starred Nancy McKeon . In 1997 , Hargitay played detective Nina Echeverria on the drama series Prince Street , and had a recurring role as Cynthia Hooper during the fourth season of ER . Hargitay has appeared on numerous other television programs , including : Freddy 's Nightmares ; Ellen ; All - American Girl ; Baywatch ; Cracker ; Gabriel 's Fire ; In the Heat of the Night ; The Single Guy ; Wiseguy and thirtysomething . Her voice is featured on the 2005 video game True Crime : New York City .   Hargitay also had a minor role in the 1995 film Leaving Las Vegas , and briefly replaced Gabrielle Fitzpatrick as Dulcea , in Mighty Morphin Power Rangers : The Movie , although her scenes were cut from the film and was let go when Fitzpatrick recovered from her surgery and returned to the film .  Hargitay on set of season 12 of Law &amp; Order : SVU in August 2010  In January 2007 she and her son , August , appeared in a Got Milk ? advertisement .   Law &amp; Order : Special Victims Unit ( edit )   Casting for the lead characters of NBC police procedural television drama series Law &amp; Order : Special Victims Unit occurred in the spring of 1999 . Dick Wolf , along with officials from NBC and Studios USA , were at the final auditions for the two leads at Rockefeller Center . The last round had been narrowed down to six finalists . For the female lead -- Detective Olivia Benson -- Samantha Mathis , Reiko Aylesworth , and Hargitay were being considered . For the male role -- Detective Elliot Stabler -- the finalists were Tim Matheson , John Slattery , and Christopher Meloni . Meloni and Hargitay had auditioned in the final round together and after the actors left , there was a moment of dead silence , after which Wolf blurted out , `` Oh well . There 's no doubt who we should choose -- Hargitay and Meloni . '' The duo , who Wolf believed had the perfect chemistry from the first time he saw them together , were his first choice . Garth Ancier , then head of NBC Entertainment , agreed , and the rest of the panel assembled voiced their assent . Hargitay trained as a rape crisis advocate to prepare for the role of Benson .   During the last months of her pregnancy in 2006 , she took maternity leave from SVU , and was temporarily replaced by Connie Nielsen .   In May 2009 , after the show 's tenth season , Hargitay and Meloni 's contracts expired when they were reportedly making $375,000 -- $385,000 per episode . During negotiations in April for a new contract , the duo attempted to receive a percentage of the show 's profits as other high - profile Law and Order actors had done in the past . It was rumored that NBC threatened to replace Hargitay and Meloni if they persisted in their demands . However , two months later it was officially reported that both their contracts had been renewed for two more years . When the thirteenth season was about to air , initial reports indicated that Hargitay would appear in only the first 13 episodes . However , NBC chairman Bob Greenblatt later clarified that she would be in every episode of the season .   As of August 2012 , Hargitay was earning approximately $400,000 -- $500,000 per episode .   Personal Life ( edit )  Hargitay in May 2007  Hargitay speaks five languages : English , French , Hungarian , Spanish , and Italian .   On August 28 , 2004 , in Santa Barbara , California , Hargitay married Peter Hermann , an actor whom she met on the set of Law &amp; Order : SVU , on which he plays the recurring role of Defense Attorney Trevor Langan . On June 28 , 2006 , Hargitay gave birth to their son , August Miklos Friedrich Hermann , by an emergency caesarean section . In April 2011 , she and her husband adopted Amaya Josephine and attended her birth . In October 2011 , she and her husband adopted a baby boy , Andrew Nicolas Hargitay Hermann , who had been born in mid-2011 .   Upon winning her Emmy on August 27 , 2006 , Hargitay made a point of thanking her father . On September 14 , 2006 , her father died from multiple myeloma in Los Angeles , California , at age 80 .   Health problems ( edit )   In late December 2008 , Hargitay suffered a partially collapsed lung after taking a fall during a stunt on the set of SVU . She underwent surgery in January and returned to work shortly afterward . On March 3 , 2009 , she was hospitalized after suffering chest pains related to the injury . She missed one episode on SVU 's tenth season .   Charity work ( edit )  Hargitay reading Oh ! The Places You 'll Go ! by Dr. Seuss at the 2010 White House Easter Egg Roll  Hargitay is founder and president of the Joyful Heart Foundation , an organization established in 2004 to provide support to survivors of sexual assault , domestic violence , and child abuse . According to Hargitay , she was inspired by an encounter with a school of dolphins that surrounded her while she was swimming off the coast of Hawaii at the age of 15 . The encounter , which had ignited profound spiritual feelings within her , was one that Hargitay hoped to share with others . As of November 2010 , the Joyful Heart Foundation has sent over 5,000 women and children on therapeutic programs in New York , Los Angeles , and Hawaii , which combine yoga , meditation , massage , journaling , and swimming with dolphins . Hargitay said ,   I started getting fan mail from survivors who felt a connection to Olivia . In many of these letters , people would disclose their personal stories of abuse -- some for the very first time . I remember getting the sense that many were living in isolation with so much shame , but the shame belonged to the perpetrators . I wanted to help find a way to help people reclaim their lives and live them with a renewed sense of possibility and hope . And that 's what we work to do every day at Joyful Heart .   According to Hargitay , the Foundation has raised $20 million and helped approximately 5,000 survivors as of April 2011 . Reference to the Joyful Heart Foundation was worked into episodes of Special Victims Unit , via a necklace containing two pendants representing the Foundation that Hargitay 's character began wearing in the show 's 13th season .   Hargitay has worked with Michigan Police and Wayne County Prosecutor Kym Worthy to raise awareness about the statistics of untested rape kits . While planning to produce a documentary called Shelved , about the thousands of untested rape kits , Hargitay call this lack of testing `` the clearest and most shocking demonstration of how we regard these crimes in our country .   Hargitay appeared in the 17th season of NBC 's The More You Know public service announcements in 2006 , and again in the spring of 2009 . She is an honorary board member director of the Multiple Myeloma Research Foundation .   On September 27 , 2011 , Hargitay donated $100,000 to her alma mater , the UCLA School of Theater Film and Television for scholarship .   In 2012 , Hargitay campaigned for the reauthorization of the Violence Against Women Act ( VAWA ) .   On February 17 , 2012 , Hargitay made a donation of $35,800 to the Obama Victory Fund , the maximum individual contribution allowed by law at the time .   Filmography ( edit )   Television ( edit )     Year   Title   Role   Notes     1986   Downtown   Jesse Smith   14 episodes     1988   In the Heat of the Night   Audine Higgs   Episode : `` ... And Then You Die ''     1988   Freddy 's Nightmares   Marsha Wildmon   Episode : `` Freddy 's Tricks and Treats ''     1988   Falcon Crest   Carly Fixx   15 episodes     1989   Finish Line   Lisa Karsh   Television film     1989   Baywatch   Lisa Peters   Episode : `` Second Wave ''     1990   Wiseguy   Debbie Vitale   Episode : `` Romp ''     1990   thirtysomething   Courtney Dunn   Episode : `` Fathers and Lovers ''     1990   Booker   Michelle Larkina   Episode : `` Black Diamond Run ''     1990   Gabriel 's Fire   Carmen   Episode : `` Windows ''     1991   Adam - 12   Michelle Brown   Episode : `` Anatomy of a Rape ''     1992   Tequila and Bonetti   Officer Angela Garcia   11 episodes     1992   Grapevine   Katie   Episode : `` The Katie and Adam Story ''     1993   Hotel Room   Diane   Episode : `` Getting Rid of Robert '' Episode : `` Blackout ''     1993   Blind Side   Melanie   Television film     1993   Key West   Laurel   Episode : `` Less Moonlight ''     1993   Seinfeld   Melissa Shannon   Episode : `` The Pilot ''       Gambler V : Playing for Keeps   Etta Place   Television film     1995   All - American Girl   Jane   Episode : `` Young Americans ''     1995 -- 96   Ca n't Hurry Love   Didi Edelstein   19 episodes       Ellen   Dara   Episode : `` The Mugging ''       Single Guy , The The Single Guy   Kate Conklin / The Mounted Cop   Episode : `` Mounted Cop '' Episode : `` Kept Man '' Episode : `` The Virgin ''     1997   Night Sins   Paige Price   Television film     1997   Prince Street   Det . Nina Echeverria   6 episodes     1997   Cracker   Det . Penny Hatfield   Episode : `` True Romance 1 ''     1997   The Advocate 's Devil   Rendi   Television film     1997 -- 98   ER   Cynthia Hooper   13 episodes     1999   Love , American Style   Wendy   Segment : `` Love And The Blind Date ''     1999 -- present   Law &amp; Order : Special Victims Unit   Detective / Sergeant / Lieutenant Olivia Benson   423 episodes     2000 , 2005   Law &amp; Order   Detective Olivia Benson   Episode : `` Entitled '' Episode : `` Fools For Love '' Episode : `` Flaw ''       Plain Truth   Ellie Harrison   Television film     2005   Law &amp; Order : Trial by Jury   Detective Olivia Benson   Episode : `` Day ''       Kathy Griffin : My Life on the D - List   Herself   Episode : `` Kathy with a Z ''     2011   Barefoot Contessa   Herself   Episode : `` Sweet Charity ''     2014 -- 16   Chicago P.D.   Sergeant / Lieutenant Olivia Benson   Episode : `` They 'll Have to Go Through Me '' Episode : `` The Number of Rats '' Episode : `` The Song of Gregory Williams Yates ''     2015   Chicago Fire   Episode : `` We Called Her Jellybean ''     2015   The Jim Gaffigan Show   Herself   Episode : `` Maria ''     2017   Nightcap   Herself   Episode : `` Guest in a Snake ''     Film ( edit )  Hargitay attending the 60th Primetime Emmy Awards on September 21 , 2008 . She received eight consecutive Primetime Emmy Award nominations from 2004 to 2011 , winning once in 2006 .    Year   Title   Role   Notes     1985   Ghoulies   Donna       1986   Welcome to 18   Joey         Jocks   Nicole       1988   Mr. Universe   Herself   ( Mickey Hargitay 's daughter )     1991   Hard Time Romance   Anita       1991   Perfect Weapon , The The Perfect Weapon   Jennifer       1991   Strawberry Road   Jill Banner       1993   Bank Robber   Marisa Benoit       1995   Leaving Las Vegas   Hooker at Bar       1999   Lake Placid   Myra Okubo         Perfume   Darcy   ( as Marishka Hargitay )     2006   Tales from Earthsea   Tenar   Voice     2008   Love Guru , The The Love Guru   Herself   Cameo     Video games ( edit )     Year   Title   Role   Notes     2005   True Crime : New York City   Deena Dixon   Voice     Director ( edit )     Year   Title   Episodes     2014 --   Law &amp; Order : Special Victims Unit   Criminal Stories ( 2014 )  Padre Sandunguero ( 2015 )   A Misunderstanding ( 2016 )   Sheltered Outcasts ( 2016 )   Motherly Love ( 2017 )      Producer ( edit )     Year   Title   Notes     2014 -- present   Law &amp; Order : Special Victims Unit   seasons 15 , 16 , 17 , 18     2017   I am Evidence       Music videos ( edit )     Year   Title   Artist   Role   Ref     1984   `` She Loves My Car ''   Ronnie Milsap         2015   `` Bad Blood ''   Taylor Swift   Justice       Awards and accolades ( edit )   Hargitay won an Emmy and Golden Globe for her role as Detective Olivia Benson . She received UCLA 's TFT Distinguished Alumni Award in 2011 and was honored at the school 's June commencement ceremony . Hargitay was awarded with the 2,511 th star of the Hollywood Walk of Fame on November 8 , 2013 . Her star is placed next to the star of her mother , which is located at 6328 Hollywood Boulevard .   All awards and nominations are for the television show Law &amp; Order : Special Victims Unit , except for the 2015 MTV Video Music Awards , won by Taylor Swift and all of the celebrities that appeared in the music video for her song `` Bad Blood '' .     Year   Award     Result     2000   Satellite Awards   Best Performance by an Actress in a Series , Drama   Nominated     Viewers for Quality Television Awards   Best Actress in a Quality Drama Series   Nominated     TV Guide Award   Favorite Actress in a New Series   Nominated       Screen Actors Guild Awards   Outstanding Performance by a Female Actor in a Drama Series   Nominated     Gracie Allen Awards   Individual Achievement for Best Female Lead - Drama - Series   Won     Emmy Awards   Outstanding Lead Actress in a Drama Series   Nominated     2005   Golden Globe Award   Best Performance by an Actress in a Television Series - Drama   Won     Emmy Awards   Outstanding Lead Actress in a Drama Series   Nominated     2006   Screen Actors Guild Awards   Outstanding Performance by a Female Actor in a Drama Series   Nominated     Emmy Awards   Outstanding Lead Actress in a Drama Series   Won     2007   TV Land Awards   Favorite Lady Gumshoe   Nominated     Screen Actors Guild Awards   Outstanding Performance by a Female Actor in a Drama Series   Nominated     Emmy Awards   Outstanding Lead Actress in a Drama Series   Nominated     2008   Emmy Awards   Outstanding Lead Actress in a Drama Series   Nominated     2009   Screen Actors Guild Awards   Outstanding Performance by a Female Actor in a Drama Series   Nominated     People 's Choice Awards   Favorite Female TV Star   Nominated     Gracie Allen Awards   Outstanding Female Lead - Drama Series   Won     Golden Globe Awards   Best Performance by an Actress in a Television Series - Drama   Nominated     Emmy Awards   Outstanding Lead Actress in a Drama Series   Nominated       Screen Actors Guild Awards   Outstanding Performance by a Female Actor in a Drama Series   Nominated     Emmy Awards   Outstanding Lead Actress in a Drama Series   Nominated     People 's Choice Awards   Favorite TV Drama Actress   Nominated     2011   People 's Choice Awards   Favorite TV Crime Fighter   Nominated     Screen Actors Guild Awards   Outstanding Performance by a Female Actor in a Drama Series   Nominated     Emmy Awards   Outstanding Lead Actress in a Drama Series   Nominated     2012   Muse Awards   New York Women in Film &amp; Television   Won     TV Guide Award   Favorite Actress   Nominated     2013   Star on the Walk of Fame   Television   Won     2014   People 's Choice Awards   People 's Choice for Best Dramatic Actress   Nominated     Gracie Allen Awards   Outstanding Female Actor in a Leading Role in a Drama   Won     TV Guide Award   Favorite Actress   Nominated     2015   People 's Choice Awards   Favorite Crime Drama TV Actress   Nominated     MTV Video Music Award   Video of the Year   Won     2016   People 's Choice Awards   Favorite Crime Drama TV Actress   Nominated     2017   People 's Choice Awards   Favorite Crime Drama TV Actress   Nominated     Gracie Awards   Actress in a Leading Role - Drama   Won     Notes ( edit )    ^ Jump up to : `` Mariska Hargitay Biography '' . Encyclopedia of Biography. 2006 .   Jump up ^ `` Focus Forum '' . The Times - Picayune . Advance Publications . October 1 , 1995 . p . T14 .   Jump up ^ Inside the Actors Studio : Mariska Hargitay ( television production ) . The Actors Studio . September 22 , 2014 . Mariska says her own first name and the name of her father ; the interviewer , James Lipton , also says her full name near the start of the show .   Jump up ^ `` Jayne shows new baby '' . The Cumberland News . Cumberland , Maryland . January 25 , 1964 . Retrieved November 27 , 2016 .   Jump up ^ A. Keeps , David ( December 10 , 1998 ) . `` Mariska Hargitay : Staying Sane When Life Is Moving Fast '' . Annie Daly . Good Housekeeping . Archived from the original on October 23 , 2011 . Retrieved August 12 , 2010 . Though she was raised Catholic and has a very strong faith , Hargitay calls herself a Christian who does n't go to church every Sunday .   Jump up ^ Graydon , Carter E. ( June 7 , 1982 ) . `` People : Jun. 7 , 1982 '' . Time . Time Inc. p. 2 .   Jump up ^ Woliman Rusoff , Jane ( February 14 , 2001 ) . `` Jayne 's little girl kicks on '' . Herald Sun . The Herald and Weekly Times : H10 .   ^ Jump up to : Graydon , Carter E. ( June 7 , 1982 ) . `` People : Jun. 7 , 1982 '' . Time . Time Inc. p. 1 . Retrieved August 4 , 2008 .   Jump up ^ `` Bruin Life 1983 , The Yearbook at UCLA '' . University of California , Los Angeles . Internet Archive. 1983 . Archived from the original on October 23 , 2011 . Retrieved July 22 , 2009 .   Jump up ^ `` NOTABLE ALUMNI ACTORS '' . UCLA School of Theater , Film and Television . Retrieved September 29 , 2014 .   Jump up ^ Virtel , Louis ( March 4 , 2010 ) . `` Was Kathy Griffin 's Censored SVU Scene Payback from an Injured Mariska Hargitay ? '' . Movieline . PMC . Archived from the original on October 23 , 2011 . Retrieved October 22 , 2011 .   Jump up ^ Gladstone , Mark ( January 10 , 1983 ) . `` New Rules Make Runner - up in Beauty Contest a Winner '' ( PDF ) . Los Angeles Times . Tribune Company . Archived from the original ( PDF ) on October 23 , 2011 .   ^ Jump up to : Buck , Jerry ( January 7 , 1988 ) . `` Mariska Hargitay Joins ' Falcon Crest ' Cast '' . Chicago Tribune . Tribune Company . p. 4 .   ^ Jump up to : Mills , Bart ( August 12 , 1986 ) . `` Hargitay goes ` Downtown ' '' . Daily Breeze : C1 .   Jump up ^ `` Interview with David Yost Part 2 '' . Anime Festival Orlando 2010 . YouTube . Augusta 25 , 2010 . accessed August 10 , 2011 .   Jump up ^ `` The hottest mom in Hollywood '' . Self . No . January 2007 . Condé Nast Publications . January 1 , 2007 . pp. 24 -- 25 . Archived from the original on February 22 , 2008 . Retrieved January 24 , 2010 .   Jump up ^ Green , Susan ; Dawn , Randee ( 2009 ) . Law &amp; Order : Special Victims Unit Unofficial Companion . BenBella Books , Inc. p. 11 . ISBN 978 - 1 - 933771 - 88 - 5 .   ^ Jump up to : Oglethorpe , Alice . `` Real American Heroes '' Shape , November 2010 , Page 186   Jump up ^ Silverman , Stephen ( January 25 , 2006 ) . `` Maternity Leave Looms for Mariska Hargitay '' . People . Time Inc . Retrieved January 24 , 2010 .   Jump up ^ `` SVU `` Replaces '' Benson `` . TV Guide . February 1 , 2006 . Archived from the original on October 23 , 2011 . Retrieved January 24 , 2010 .   Jump up ^ Schneider , Michael ( June 29 , 2009 ) . `` Meloni , Hargitay seal deal with ' SVU ' '' . Variety . Reed Business Information . Archived from the original on October 23 , 2011 . Retrieved February 23 , 2010 .   ^ Jump up to : Martin , Denise ( June 29 , 2009 ) . `` ' Law &amp; Order : SVU ' stars Christopher Meloni and Mariska Hargitay sign on for two more years '' . Los Angeles Times . Tribune Company . Archived from the original on October 23 , 2011 . Retrieved February 23 , 2010 .   Jump up ^ Ausiello , Michael ( April 8 , 2009 ) . `` ' SVU ' exclusive : NBC to replace Chris and Mariska ? ! '' . Entertainment Weekly . Time Inc . Archived from the original on October 23 , 2011 . Retrieved February 23 , 2010 .   Jump up ^ Andreeva , Nellie ( May 14 , 2011 ) . `` Law &amp; Order : SVU Scoop : Hargitay Inks New Deal , Jennifer Love Hewitt May Succeed Her '' . TVLine . PMC . Archived from the original on October 23 , 2011 . Retrieved May 14 , 2011 .   Jump up ^ Porter , Rick ( August 1 , 2011 ) . `` ' Law &amp; Order : SVU ' : Mariska Hargitay is n't going anywhere , NBC chief says '' . Zap2it . Archived from the original on October 23 , 2011 . Retrieved October 22 , 2011 .   Jump up ^ Battaglio , Stephen ; Schneider , Michael ( August 26 , 2013 ) . `` What They Earn '' . TV Guide . pp. 16 - 20 .   Jump up ^ Goldberg , Lesley ( April 20 , 2012 ) . `` ' Law &amp; Order : SVU ' Star Mariska Hargitay Inks New Deal With Universal Television ( Exclusive ) '' . The Hollywood Reporter . Retrieved April 20 , 2012 .   Jump up ^ Diaz , Johnny ( November 13 , 2005 ) . `` Speaking volumes : Use of Spanish booms on network programs '' . The Boston Globe . The New York Times Company : N1 . Archived from the original on June 21 , 2006 .   Jump up ^ `` Law &amp; Order 's Mariska Hargitay Gets Married '' . People . Time Inc . September 2 , 2004 . Archived from the original on December 31 , 2016 .   ^ Jump up to : Ravitz , Justin ( October 19 , 2011 ) . `` Mariska Hargitay Adopts For Second Time in Six Months : New Details '' . Us Weekly . Archived from the original on November 27 , 2015 . Retrieved October 19 , 2011 .   Jump up ^ Masterson , Lawrie ( September 17 , 2007 ) . `` Mum 's the word for Mariska '' . Sunday Herald Sun . The Herald and Weekly Times : X06 .   Jump up ^ Kimpton , Roger ( Summer 2010 ) . `` Hollywood on the Palisades '' . Palisade : 13 .   Jump up ^ Triggs , Charlotte ( April 6 , 2011 ) . `` Mariska Hargitay Adopts a Baby '' . People . Time Inc . Archived from the original on December 31 , 2016 . Retrieved April 6 , 2011 .   Jump up ^ Hubbard , Amy ( October 19 , 2011 ) . `` Mariska Hargitay adopts second baby in 6 months : Give ' em an ' A ' '' . Los Angeles Times . Tribune Company . Archived from the original on October 20 , 2011 . Retrieved October 19 , 2011 .   Jump up ^ Triggs , Charlotte ( October 19 , 2011 ) . `` Mariska Hargitay Adopts Son Andrew Nicolas '' . People . Time Inc . Archived from the original on April 16 , 2016 .   Jump up ^ `` Mariska Hargitay '' . Television Academy . Retrieved February 23 , 2015 .   Jump up ^ `` Biography for Mariska Hargitay '' . Turner Classic Movies . Time Warner . Retrieved January 25 , 2010 .   Jump up ^ Bonawitz , Amy ( September 19 , 2006 ) . `` Actor Mickey Hargitay Dead At 80 '' . CBS News . CBS Corporation . Archived from the original on October 20 , 2011 . Retrieved September 20 , 2006 .   Jump up ^ McLellan , Dennis ( September 20 , 2006 ) , `` Bodybuilder - actor Mickey Hargitay dies '' , Bangor Daily News , p. 25 , retrieved January 25 , 2010   Jump up ^ `` Mariska Hargitay Says `` Stunt '' Led to Partially Collapsed Lung `` . TVGuide . OpenGate Capital . May 19 , 2009 . Retrieved May 19 , 2009 .   Jump up ^ `` Mariska Hargitay hospitalized for chest pains '' . Access Hollywood . March 4 , 2009 . Archived from the original on December 31 , 2016 . Retrieved March 5 , 2009 -- via Today .   Jump up ^ Dos Santos , Kristin ; Megan Masters ( March 16 , 2009 ) . `` Exclusive ! SVU Boss : Mariska Hargitay Will Be Back This Season '' . E ! Online . Comcast . Archived from the original on October 23 , 2011 . Retrieved March 17 , 2009 .   Jump up ^ Martin , Crystal . `` Behind the Scenes with Mariska Hargitay '' . Redbook . Hearst Corporation . Archived from the original on September 28 , 2011 . Retrieved January 24 , 2010 .   Jump up ^ `` The Guide : What 's Worth Watching '' . TV Guide : 8 . July 5 , 2010 .   Jump up ^ Ross , Robyn ( February 19 , 2010 ) . `` SVU 's Mariska Hargitay Helps Trauma Survivors On - Screen and Off '' . TV Guide . Lionsgate . Archived from the original on February 23 , 2010 . Retrieved February 22 , 2010 .   Jump up ^ Sonia Harmon , Kate Meyers and Susan Pocharski . `` Ladies Who Give Back '' , Ladies ' Home Journal ( April 2011 ) , pages 84 -- 85   Jump up ^ Keck , William . `` Ask Keck '' . TV Guide . November 7 , 2011 . Page 10 .   Jump up ^ `` 100 serial rapists identified by DNA among ignored rape kits '' . Russia Today . March 13 , 2014 . Retrieved February 14 , 2015 .   Jump up ^ `` NBC Universal 's `` The More You Know '' Launches Its 17th Season of Public Service Announcements with new Theme , New Look and New Faces '' ( PDF ) . The More You Know . NBC Universal . December 16 , 2005 . Archived from the original ( PDF ) on July 3 , 2010 . Retrieved January 24 , 2010 .   Jump up ^ `` The More You Know '' . The National Domestic Violence Hotline . Archived from the original on August 5 , 2011 . Retrieved August 5 , 2011 .   Jump up ^ `` MMRF Honorary Board of Directors '' . 2007 . Archived from the original on January 25 , 2010 . Retrieved January 24 , 2010 .   ^ Jump up to : Goldberg , Lesley ( September 27 , 2011 ) . `` ' Law &amp; Order : SVU 's ' Mariska Hargitay Donates $100,000 to UCLA '' . The Hollywood Reporter . Archived from the original on September 28 , 2011 . Retrieved September 28 , 2011 .   Jump up ^ Hargitay , Mariska ( April 26 , 2012 ) . `` Violence Against Women Act Helps Restore Lives '' . The Huffington Post   Jump up ^ `` Mariska Hargitay Political Campaign Contributions 2012 Election Cycle '' . CampaginMoney.com . Retrieved December 21 , 2011 .   Jump up ^ `` The surreal music - video masterpiece in Mariska Hargitay 's past '' . the Bleader . Retrieved May 7 , 2017 .   Jump up ^ `` Taylor Swift 's ' Bad Blood ' Video : Cindy Crawford , Mariska Hargitay , Ellen Pompeo Posters REVEALED ( SEE PICS ) '' . Fashion &amp; Style . Archived from the original on May 20 , 2015 . Retrieved May 16 , 2015 .   Jump up ^ `` Mariska Hargitay to join mum on Hollywood Walk of Fame '' . Hollywood.com . November 1 , 2013 . Retrieved October 31 , 2013 .   Jump up ^ `` All stars of the Bad Blod music video to win a Moon Man award '' . Instagram.com . November 17 , 2015 . Retrieved November 18 , 2015 .    References ( edit )    D'Arminio , Aubry . Mariska Hargitay Biography . Allrovi ( All Media Guide ) . Circa 2007 . Accessed January 24 , 2010 .    External links ( edit )       Wikimedia Commons has media related to Mariska Hargitay .      Official website   Joyful Heart Foundation , founded by Hargitay   Mariska Hargitay on IMDb      Awards for Mariska Hargitay                Golden Globe Award for Best Actress -- Television Series Drama       Linda Cristal ( 1969 )   Peggy Lipton ( 1970 )   Patricia Neal ( 1971 )   Gail Fisher ( 1972 )   Lee Remick ( 1973 )   Angie Dickinson ( 1974 )   Lee Remick ( 1975 )   Susan Blakely ( 1976 )   Lesley Ann Warren ( 1977 )   Rosemary Harris ( 1978 )   Natalie Wood ( 1979 )   Yoko Shimada ( 1980 )   Linda Evans / Barbara Bel Geddes ( 1981 )   Joan Collins ( 1982 )   Jane Wyman ( 1983 )   Angela Lansbury ( 1984 )   Sharon Gless ( 1985 )   Angela Lansbury ( 1986 )   Susan Dey ( 1987 )   Jill Eikenberry ( 1988 )   Angela Lansbury ( 1989 )   Sharon Gless / Patricia Wettig ( 1990 )   Angela Lansbury ( 1991 )   Regina Taylor ( 1992 )   Kathy Baker ( 1993 )   Claire Danes ( 1994 )   Jane Seymour ( 1995 ) </t>
  </si>
  <si>
    <t xml:space="preserve">who plays olivia benson on law and order</t>
  </si>
  <si>
    <t xml:space="preserve"> Mariska Magdolna Hargitay ( / məˈrɪʃkə ˈhɑːrɡɪteɪ / mə - RISH - kə HAR - ghih - tay ; born January 23 , 1964 ) is an American actress best known for her role as Detective / Sergeant / Lieutenant Olivia Benson on the NBC drama series Law &amp; Order : Special Victims Unit , for which she has earned multiple awards and nominations , including winning a Primetime Emmy Award and Golden Globe Award . </t>
  </si>
  <si>
    <t xml:space="preserve">Fifty Shades of Grey - wikipedia  Fifty Shades of Grey  Jump to : navigation , search This article is about the novel . For its film adaptation , see Fifty Shades of Grey ( film ) . For the novel series , see Fifty Shades trilogy .  Fifty Shades of Grey   2012 paperback cover     Author   E.L. James     Country   United Kingdom     Language   English     Series   Fifty Shades trilogy     Genre   Erotic romance     Published   20 June 2011 ( Vintage Books )     Media type   Print ( Hardcover , paperback )     Pages   514     ISBN   978 - 1 - 61213 - 028 - 6     OCLC   780307033     Followed by   Fifty Shades Darker     Fifty Shades of Grey is a 2011 erotic romance novel by British author E.L. James , originally a Twilight fan fiction with Christian Grey as a non-vampire Edward Cullen and Anastasia Steele as a wan , gamine Bella Swan . It is the first instalment in the Fifty Shades trilogy that traces the deepening relationship between a college graduate , Anastasia Steele , and a young business magnate , Christian Grey . It is notable for its explicitly erotic scenes featuring elements of sexual practices involving bondage / discipline , dominance / submission , and sadism / masochism ( BDSM ) . Originally self - published as an ebook and a print - on - demand , publishing rights were acquired by Vintage Books in March 2012 .   Fifty Shades of Grey has topped best - seller lists around the world , selling over 125 million copies worldwide by June 2015 . It has been translated into 52 languages , and set a record in the United Kingdom as the fastest - selling paperback of all time . Critical reception of the book , however , has tended towards the negative , with the quality of its prose generally seen as poor . Universal Pictures and Focus Features produced a film adaptation , which was released on 13 February 2015 and also received generally unfavourable reviews .   The second and third volumes of the trilogy , Fifty Shades Darker and Fifty Shades Freed , were published in 2012 . Grey : Fifty Shades of Grey as Told by Christian , a version of Fifty Shades of Grey being told from Christian 's point of view , was published in June 2015 .     Contents  ( hide )   1 Plot   2 Background and publication   3 Reception   3.1 Critical response   3.2 Controversy   3.3 Censorship     4 Media   4.1 Film adaptation   4.2 Film soundtrack   4.3 Classical album   4.4 Parodies   4.4. 1 In print   4.4. 2 In film   4.4. 3 Online   4.4. 4 On stage       5 See also   6 References   7 External links      Plot ( edit )   Anastasia `` Ana '' Steele is a 21 - year - old college senior attending Washington State University in Vancouver , Washington . Her best friend is Katherine `` Kate '' Kavanagh , who writes for the college newspaper . Due to an illness , Kate is unable to interview 27 - year - old Christian Grey , a successful and wealthy Seattle entrepreneur , and asks Ana to take her place . Ana finds Christian attractive as well as intimidating . As a result , she stumbles through the interview and leaves Christian 's office believing it went poorly . Ana does not expect to meet Christian again , but he appears at the hardware store where she works . While he purchases various items including cable ties , masking tape , and rope , Ana informs Christian that Kate would like some photographs to illustrate her article about him . Christian gives Ana his phone number . Later , Kate urges Ana to call Christian and arrange a photo shoot with their photographer friend , José Rodriguez .   The next day José , Kate , and Ana arrive for the photo shoot at the Heathman Hotel , where Christian is staying . Christian asks Ana out for coffee and asks if she is dating anyone , specifically José . Ana replies that she is not dating anyone . During the conversation , Ana learns that Christian is also single , but he says he is not romantic . Ana is intrigued but believes she is not attractive enough for Christian . Later , Ana receives a package from Christian containing first edition copies of Tess of the d'Urbervilles , which stuns her . Later that night , Ana goes out drinking with her friends and ends up drunk dialling Christian , who informs her that he will be coming to pick her up because of her inebriated state . Ana goes outside to get some fresh air , and José attempts to kiss her , but he is stopped by Christian 's arrival . Ana leaves with Christian , but not before she discovers that Kate has been flirting with Christian 's brother , Elliot . Later , Ana wakes to find herself in Christian 's hotel room , where he scolds her for not taking proper care of herself . Christian then reveals that he would like to have sex with her . He initially says that Ana will first have to fill in paperwork , but later goes back on this statement after making out with her in the elevator .   Ana goes on a date with Christian , on which he takes her in his helicopter , Charlie Tango , to his apartment . Once there , Christian insists that she sign a non-disclosure agreement forbidding her from discussing anything they do together , which Ana agrees to sign . He also mentions other paperwork , but first takes her to his playroom full of BDSM toys and gear . There , Christian informs her that the second contract will be one of dominance and submission , and there will be no romantic relationship , only a sexual one . The contract even forbids Ana from touching Christian or making eye contact with him . At this point , Christian realises that Ana is a virgin and agrees to take her virginity without making her sign the contract . The two then have sex . The following morning , Ana and Christian again have sex . His mother arrives moments after their sexual encounter and is surprised by the meeting , having previously thought Christian was homosexual , because he was never seen with a woman . Christian later takes Ana out to eat , and he reveals that he lost his virginity at age 15 to one of his mother 's friends , Elena Lincoln , and that his previous dominant / submissive relationships failed due to incompatibility . Christian also reveals that in his first dominant / submissive relationship he was the submissive . Christian and Ana plan to meet again , and he takes Ana home , where she discovers several job offers and admits to Kate that she and Christian had sex .   Over the next few days , Ana receives several packages from Christian . These include a laptop to enable her to research the BDSM lifestyle in consideration of the contract ; to communicate with him , since she has never previously owned a computer ; and to receive a more detailed version of the dominant / submissive contract . She and Christian email each other , with Ana teasing him and refusing to honour parts of the contract , such as only eating foods from a specific list . Ana later meets with Christian to discuss the contract and becomes overwhelmed by the potential BDSM arrangement and the potential of having a sexual relationship with Christian that is not romantic in nature . Because of these feelings , Ana runs away from Christian and does not see him again until her college graduation , where he is a guest speaker . During this time , Ana agrees to sign the dominant / submissive contract . Ana and Christian once again meet to further discuss the contract , and they go over Ana 's hard and soft limits . Christian spanks Ana for the first time , and the experience leaves her both enticed and slightly confused . This confusion is exacerbated by Christian 's lavish gifts and the fact that he brings her to meet his family . The two continue with the arrangement without Ana 's having yet signed the contract . After successfully landing a job with Seattle Independent Publishing ( SIP ) , Ana further bristles under the restrictions of the non-disclosure agreement and her complex relationship with Christian . The tension between Ana and Christian eventually comes to a head after Ana asks Christian to punish her in order to show her how extreme a BDSM relationship with him could be . Christian fulfils Ana 's request , beating her with a belt , and Ana realises they are incompatible . Devastated , she breaks up with Christian and returns to the apartment she shares with Kate .   Background and publication ( edit )  E.L. James in 2012  The Fifty Shades trilogy was developed from a Twilight fan fiction series originally titled Master of the Universe and published episodically on fan - fiction websites under the pen name `` Snowqueen 's Icedragon '' . The piece featured characters named after Stephenie Meyer 's characters in Twilight , Edward Cullen and Bella Swan . After comments concerning the sexual nature of the material , James removed the story from the fan - fiction websites and published it on her own website , FiftyShades.com . Later she rewrote Master of the Universe as an original piece , with the principal characters renamed Christian Grey and Anastasia Steele and removed it from her website before publication . Meyer commented on the series , saying `` that 's really not my genre , not my thing ... Good on her -- she 's doing well . That 's great ! ''   This reworked and extended version of Master of the Universe was split into three parts . The first , titled Fifty Shades of Grey , was released as an e-book and a print on demand paperback in May 2011 by The Writers ' Coffee Shop , a virtual publisher based in Australia . The second volume , Fifty Shades Darker , was released in September 2011 ; and the third , Fifty Shades Freed , followed in January 2012 . The Writers ' Coffee Shop had a restricted marketing budget and relied largely on book blogs for early publicity , but sales of the novel were boosted by word - of - mouth recommendation . The book 's erotic nature and perceived demographic of its fan base as being composed largely of married women over thirty led to the book being dubbed `` Mommy Porn '' by some news agencies . The book has also reportedly been popular among teenage girls and college women . By the release of the final volume in January 2012 , news networks in the United States had begun to report on the Fifty Shades trilogy as an example of viral marketing and of the rise in popularity of female erotica , attributing its success to the discreet nature of e-reading devices . Due to the heightened interest in the series , the license to the Fifty Shades trilogy was picked up by Vintage Books for re-release in a new and revised edition in April 2012 . The attention that the series has garnered has also helped to spark a renewed interest in erotic literature . Many other erotic works quickly became best - sellers following Fifty Shade 's success , while other popular works , such as Anne Rice 's The Sleeping Beauty trilogy , have been reissued ( this time without pseudonyms ) to meet the higher demand .   On 1 August 2012 , Amazon UK announced that it had sold more copies of Fifty Shades of Grey than it had the entire Harry Potter series combined , making E.L. James its best - selling author , replacing J.K. Rowling , though worldwide the Harry Potter series sold more than 450 million copies compared with Fifty Shades of Grey 's sales of 60 million copies .   Reception ( edit )   Fifty Shades of Grey has topped best - seller lists around the world , including those of the United Kingdom and the United States . The series had sold over 125 million copies worldwide by June 2015 and has been translated into 52 languages , and set a record in the United Kingdom as the fastest - selling paperback of all time .   Critical response ( edit )   It has received mixed to negative reviews , with most critics noting poor literary qualities of the work . Salman Rushdie said about the book : `` I 've never read anything so badly written that got published . It made Twilight look like War and Peace . '' Maureen Dowd described the book in The New York Times as being written `` like a Bronte devoid of talent , '' and said it was `` dull and poorly written . '' Jesse Kornbluth of The Huffington Post said : `` As a reading experience , Fifty Shades ... is a sad joke , puny of plot '' .   Princeton professor April Alliston wrote , `` Though no literary masterpiece , Fifty Shades is more than parasitic fan fiction based on the recent Twilight vampire series . '' Entertainment Weekly writer Lisa Schwarzbaum gave the book a `` B + '' rating and praised it for being `` in a class by itself . '' British author Jenny Colgan in The Guardian wrote `` It is jolly , eminently readable and as sweet and safe as BDSM ( bondage , discipline , sadism and masochism ) erotica can be without contravening the trade descriptions act '' and also praised the book for being `` more enjoyable '' than other `` literary erotic books '' . The Daily Telegraph noted that the book was `` the definition of a page - turner '' , noting that the book was both `` troubling and intriguing '' . A reviewer for the Ledger - Enquirer described the book as guilty fun and escapism , and that it `` also touches on one aspect of female existence ( female submission ) . And acknowledging that fact -- maybe even appreciating it -- should n't be a cause for guilt . '' The New Zealand Herald stated that the book `` will win no prizes for its prose '' and that `` there are some exceedingly awful descriptions , '' although it was also an easy read ; `` ( If you only ) can suspend your disbelief and your desire to -- if you 'll pardon the expression -- slap the heroine for having so little self respect , you might enjoy it . '' The Columbus Dispatch stated that , `` Despite the clunky prose , James does cause one to turn the page . '' Metro News Canada wrote that `` suffering through 500 pages of this heroine 's inner dialogue was torturous , and not in the intended , sexy kind of way '' . Jessica Reaves , of the Chicago Tribune , wrote that the `` book 's source material is n't great literature '' , noting that the novel is `` sprinkled liberally and repeatedly with asinine phrases '' , and described it as `` depressing '' .   The book garnered some accolades . In December 2012 , it won both `` Popular Fiction '' and `` Book of the Year '' categories in the UK National Book Awards . In that same month , Publishers Weekly named E.L. James the ' Publishing Person of the Year ' , a decision whose criticism in the LA Times and the New York Daily News was referred to by and summarised in The Christian Science Monitor . Earlier , in April 2012 , when E.L. James was listed as one of Time magazine 's `` 100 Most Influential People in the World '' , Richard Lawson of The Atlantic Wire criticised her inclusion due to the trilogy 's fan fiction beginnings .   Controversy ( edit )   Fifty Shades of Grey has attracted criticism due to its depictions of BDSM , with some BDSM participants stating that the book confuses BDSM with abuse and presents it as a pathology to be overcome , as well as showing incorrect and possibly dangerous BDSM techniques .   Coinciding with the release of the book and its surprising popularity , injuries related to BDSM and sex toy use spiked dramatically . In 2012 , the year after the book was published , injuries requiring Emergency Room visits increased by over 50 % from 2010 ( the year before the book was published ) . This is speculated to be due to people unfamiliar with both the proper use of these toys and the safe practice of bondage and other `` kinky '' sexual fetishes attempting what they had read in the book .   There has also been criticism against the fact that BDSM is part of the book . Archbishop Dennis Schnurr of Cincinnati said in an early February 2015 letter , `` The story line is presented as a romance ; however , the underlying theme is that bondage , dominance , and sadomasochism are normal and pleasurable . '' The feminist anti-pornography organisation Stop Porn Culture called for a boycott of the movie based on the book because of its sex scenes involving bondage and violence . By contrast , Timothy Laurie and Jessica Kean argue that `` film fleshes out an otherwise legalistic concept like ' consent ' into a living , breathing , and at times , uncomfortable interpersonal experience , '' and `` dramatises the dangers of unequal negotiation and the practical complexity of identifying one 's limits and having them respected . ''   Several critics and scientists have expressed concern that the nature of the main couple 's relationship is not BDSM at all , but rather is characteristic of an abusive relationship . In 2013 , social scientist Professor Amy E. Bonomi published a study wherein the books were read by multiple professionals and assessed for characteristics of intimate partner violence , or IPV , using the CDC 's standards for emotional abuse and sexual violence . The study found that nearly every interaction between Ana and Christian was emotionally abusive in nature , including stalking , intimidation , and isolation . The study group also observed pervasive sexual violence within the CDC 's definition , including Christian 's use of alcohol to circumvent Ana 's ability to consent , and that Ana exhibits classic signs of an abused woman , including constant perceived threat , stressful managing , and altered identity .   A second study in 2014 was conducted to examine the health of women who had read the series , compared with a control group that had never read any part of the novels . The results showed a correlation between having read at least the first book and exhibiting signs of an eating disorder , having romantic partners that were emotionally abusive and / or engaged in stalking behaviour , engaging in binge drinking in the last month , and having 5 or more sexual partners before age 24 . The authors could not conclude whether women already experiencing these `` problems '' were drawn to the series , or if the series influenced these behaviours to occur after reading by creating underlying context . The study 's lead researcher contends that the books romanticise dangerous behaviour and `` perpetuate dangerous abuse standards . '' The study was limited in that only women up to age 24 were studied , and no distinction was made among the reader sample between women who enjoyed the series and those that had a strong negative opinion of it , having only read it out of curiosity due to the media hype or other obligation .   At the beginning of the media hype , Dr. Drew and sexologist Logan Levkoff discussed on The Today Show whether the book perpetuated violence against women ; Levkoff said that while that is an important subject , this trilogy had nothing to do with it -- this was a book about a consensual relationship . Dr. Drew commented that the book was `` horribly written '' in addition to being `` disturbing '' but stated that `` if the book enhances women 's real - life sex lives and intimacy , so be it . ''   Censorship ( edit )   In March 2012 , branches of the public library in Brevard County , Florida , removed copies of Fifty Shades of Grey from their shelves , with an official stating that it did not meet the selection criteria for the library and that reviews for the book had been poor . A representative for the library stated that it was due to the book 's sexual content and that other libraries had declined to purchase copies for their branches . Deborah Caldwell - Stone of the American Library Association commented that `` If the only reason you do n't select a book is that you disapprove of its content , but there is demand for it , there 's a question of whether you 're being fair . In a public library there is usually very little that would prevent a book from being on the shelf if there is a demand for the information . '' Brevard County public libraries later made their copies available to their patrons due to public demand .   In Macaé , Brazil , Judge Raphael Queiroz Campos ruled in January 2013 that bookstores throughout the city must either remove the series entirely from their shelves or ensure that the books are wrapped and placed out of the reach of minors . The judge stated that he was prompted to make such an order after seeing children reading them , basing his decision on a law stating that `` magazines and publications whose content is improper or inadequate for children and adolescents can only be sold if sealed and with warnings regarding their content '' .   In February 2015 , the Malaysian Home Ministry banned the Fifty Shades of Grey books shortly after banning its film adaption after permitting them for three years in local bookstores , citing morality - related reasons .   Media ( edit )   Film adaptation ( edit )  Main article : Fifty Shades of Grey ( film ) Jamie Dornan and Dakota Johnson were cast in the roles of Christian Grey and Anastasia Steele , respectively .  A film adaptation of the book was produced by Focus Features , Michael De Luca Productions , and Trigger Street Productions , with Universal Pictures and Focus Features securing the rights to the trilogy in March 2012 . Universal is also the film 's distributor . Charlie Hunnam was originally cast in the role of Christian Grey alongside Dakota Johnson in the role of Anastasia Steele , but Hunnam gave up the part in October 2013 , with Jamie Dornan announced for the role on 23 October .   The film was released on 13 February 2015 , and although popular at the box office , critical reactions were mixed to negative .   Film Soundtrack ( edit )  Main article : Fifty Shades of Grey : Original Motion Picture Soundtrack  E.L. James announced the film 's soundtrack would be released on 10 February 2015 . Prior to the soundtrack 's release , the first single , `` Earned It '' , by The Weeknd , was released on 24 December 2014 . On 7 January 2015 , the second single , `` Love Me like You Do '' by Ellie Goulding was released . Australian singer Sia released the soundtrack 's third single , `` Salted Wound '' , on 27 January 2015 .   Classical album ( edit )   An album of songs selected by E.L. James was released on 11 September 2012 by EMI Classics under the title Fifty Shades of Grey : The Classical Album , and reached number four on the US Billboard classical music albums chart in October 2012 . A Seattle P-I reviewer favourably wrote that the album would appeal both to fans of the series and to `` those who have no intention of reading any of the Grey Shades '' .   Parodies ( edit )   The Fifty Shades of Grey trilogy has inspired many parodies in print , in film , online , and on stage . In November 2012 , Universal Studios attempted to prevent the release of Fifty Shades of Grey : A XXX Adaptation , a pornographic film based on the novel , citing copyright and trademark infringement . Smash Pictures , the porn producer , later responded to the lawsuit with a counterclaim that `` much or all '' of the Fifty Shades material was placed in the public domain in its original Twilight - based form , but later capitulated and stopped production of their film .  In print ( edit )  Amazon.com lists over 50 book parodies , e.g. :    Fifty Shades of Oy Vey ( 2013 ) by E.L. Jamesbergstein   Fifty Shames of Earl Grey ( 2012 ) by Fanny Merkin ( a.k.a. Andrew Shaffer )   In film ( edit )   Fifty Shades of Black ( 2016 )   Online ( edit )   Parodying the fan fiction origins of Fifty Shades of Grey , Ivy league MBA students have created Erotic FinFiction , a blog containing steamy entries written in business jargon .   On stage ( edit )  Stage productions include :    50 Shades ! The Musical Parody   Cuff Me : The Fifty Shades of Grey Musical Parody   Spank ! The Fifty Shades Parody    See also ( edit )    United Kingdom portal   2010s portal   Novels portal   Pornography portal     Maestra , a 2016 novel frequently compared to Fifty Shades of Grey   BDSM in culture and media   Sadism and masochism in fiction    References ( edit )    Jump up ^ Eakin , Marah . `` Holy crow ! Fifty Shades Of Grey is crazy similar to its Twilight origin story '' . News . Retrieved 2017 - 10 - 08 .   ^ Jump up to : `` Universal Shifts ' 50 Shades ' Release Date to February 2015 '' . Variety . Retrieved 18 November 2013 .   Jump up ^ Boog , Jason ( 21 November 2012 ) . `` The Lost History of Fifty Shades of Grey '' . Media bistro .   Jump up ^ `` Fifty Shades of Grey : Stephenie Meyer Speaks Out '' . MTV . 29 May 2012 .   Jump up ^ ' 50 Shades of Grey , ' a Self - Published E-Book , Is the Future of Publishing . Lizzie Shurnick . The Daily Beast. 17 March 2012 . Retrieved 8 March 2014 .   Jump up ^ Bestseller Success Stories that Started Out as Self - Published Books . Ronald H. Balsom. 8 October 2013 .   Jump up ^ Bosman , Julie ( 20 March 2012 ) . `` Discreetly Digital , Erotic Novel Sets American Women Abuzz '' . The New York Times .   ^ Jump up to : Goudreau , Jenna ( 19 March 2012 ) . `` Will Fifty Shades of Grey Make ' Mommy Porn ' The Next Big Thing ? '' . Forbes . Retrieved 7 May 2012 .   Jump up ^ `` Fifty Shades of Grey author EL James reveals real - life secrets to her readers '' . The Belfast Telegraph . 4 July 2012 . Retrieved 8 July 2012 .   Jump up ^ Lewak , Doree ( 11 July 2012 ) . `` The hot sex text '' . New York Post .   Jump up ^ `` Erotic novel 50 Shades of Grey unites gals , unnerves some guys '' . Fox News . 14 March 2012 . Retrieved 7 May 2012 .   Jump up ^ Bennett - Smith , Meredith ( 15 March 2012 ) . `` 50 Shades of Grey : What is the appeal ? '' . The Christian Science Monitor . Retrieved 7 May 2012 .   Jump up ^ Julie Bosman . Fifty Shades of Gray Hits a Sales Milestone . The New York Times . 27 February 2014 . page C3 .   Jump up ^ `` Fifty Shades of Grey '' Sales Hit 100 Million . Andy Lewis . The Hollywood Reporter. 16 February 2014 .   Jump up ^ `` Publishing world is turned on by ' Fifty Shades of Grey ' '' . USA Today . 29 August 2012 . Archived from the original on 12 April 2013 . Retrieved 15 March 2013 .   Jump up ^ Meredith , Charlotte ( 1 August 2012 ) , `` Fifty Shades of Grey becomes the bestselling book of all time '' , Daily Express , UK   Jump up ^ `` EL James ' Fifty Shades of Grey tops New York Times list '' . UK : BBC . 11 March 2012 . Retrieved 31 May 2012 .   Jump up ^ `` Erotic book Fifty Shades of Grey becomes UK bestseller '' . UK : BBC . 19 April 2012 . Retrieved 31 May 2012 .   Jump up ^ Alex Stedman . `` ' Fifty Shades ' Spinoff ' Grey ' Stolen From Publisher ( Report ) '' . Variety . Retrieved 9 September 2015 .   Jump up ^ `` Fifty Shades of Grey Release Date Pushed Back to February 13 , 2015 -- Just in Time for Valentine 's Day ! '' . E ! Online . 13 November 2013 . Retrieved 9 September 2015 .   Jump up ^ Bentley , Paul ( 18 June 2012 ) . `` Fifty Shades of Grey outstrips Harry Potter to become fastest selling paperback of all time '' . Daily Mail . London . Retrieved 18 June 2012 .   Jump up ^ Irvine , Chris ( 9 October 2012 ) . `` Sir Salman Rushdie : ' Fifty Shades of Grey makes Twilight look like War and Peace ' '' . The Daily Telegraph . London . Retrieved 30 April 2013 .   Jump up ^ Dowd , Maureen ( 31 March 2012 ) . `` She 's Fit to Be Tied '' . The New York Times . Retrieved 30 April 2013 .   Jump up ^ Kornbluth , Jesse ( 12 March 2012 ) . `` ' Fifty Shades Of Grey ' : Is The Hottest - Selling Book In America Really Just ' S&amp;M For Dummies ? ' '' . The Huffington Post . Retrieved 30 April 2013 .   Jump up ^ `` ' Mommy porn ' novel has retro message '' . CNN . 29 March 2012 .   Jump up ^ Schwarzbaum , Lisa ( 21 March 2012 ) . `` Fifty Shades of Grey '' . Entertainment Weekly . Retrieved 24 June 2012 .   Jump up ^ Colgan , Jenny ( 13 April 2012 ) . `` Fifty Shades of Grey '' . The Guardian . London . Retrieved 24 June 2012 .   Jump up ^ Barnett , Laura ( 13 April 2012 ) . `` Mommy porn ? : Fifty Shades of Grey by EL James : review '' . The Daily Telegraph . London .   Jump up ^ Sorich , Sonya ( 11 April 2012 ) . `` Fifty Shades of Grey : The undressed review '' . Ledger - Enquirer .   Jump up ^ Sheehy , Christine ( 13 April 2012 ) . `` The ' mommy porn ' seducing women '' . The New Zealand Herald .   Jump up ^ Osterheldt , Jenee ( 26 March 2012 ) . `` Book Review -- Fifty Shades of Grey : Sultry subject spells success '' . The Columbus Dispatch .   Jump up ^ Napier , Jessica ( 16 April 2012 ) . `` Fifty Shades of Grey as dull as a razor blade commercial '' . Metro News Canada . Retrieved 7 September 2015 .   Jump up ^ Reaves , Jessica ( 14 April 2012 ) . `` Fifty shades of retrograde '' . Chicago Tribune . Retrieved 25 April 2012 .   Jump up ^ Flood , Alison ( 5 December 2012 ) . `` EL James comes out on top at National Book awards '' . The Guardian . London . Retrieved 5 December 2012 .   Jump up ^ Flood , Alison ( 26 December 2012 ) . `` Fifty Shades of Grey voted the most popular book of 2012 '' . The Guardian . London . Retrieved 26 December 2012 .   Jump up ^ Driscoll , Molly ( 3 December 2012 ) . `` EL James as ' Publishing Person of the Year ' draws outcry from literary world '' . The Christian Science Monitor . Retrieved 5 December 2012 .   Jump up ^ `` The 100 Most Influential People in the World : 2012 '' . Time . Archived from the original on 25 August 2013 . Retrieved 10 August 2013 .   Jump up ^ Lawson , Richard ( 18 April 2012 ) . `` Five Things Wrong with This Year 's ' Time 100 ' '' . The Atlantic Wire . Archived from the original on 1 October 2012 .   Jump up ^ Velvet , Lady . ( 14 February 2015 ) ' Fifty Shades of Grey ' : A Dominatrix 's View ( Guest Column ) . Hollywood Reporter . Retrieved on 27 February 2015 .   Jump up ^ ' Fifty Shades Of Grey ' Is n't A Movie About BDSM , And That 's A Problem . Huffingtonpost.com ( 16 February 2015 ) . Retrieved on 27 February 2015 .   Jump up ^ Ingraham , Christopher . `` Sex Toy Injuries Surged after ' Fifty Shades of Grey 's was Published '' . The Washington Post . 10 February   Jump up ^ Fifty Shades of Grey is an ' assault on marriage ' , say bishops . CatholicHerald.co.uk ( 12 February 2015 ) . Retrieved on 27 February 2015 .   Jump up ^ Bishop : Seeing ' 50 Shades of Grey ' is a sin . Azcentral.com ( 13 February 2015 ) . Retrieved on 27 February 2015 .   Jump up ^ Laurie , Timothy ; Kean , Jessica ( 2015 ) . `` Why consenting adults should see 50 Shades of Grey - and take their teens '' . The Sydney Morning Herald . 19 February   Jump up ^ Bonomi , Amy E. ; Altenburger , Lauren E. ; Walton , Nicole L. ( September 2013 ) . `` '' Double crap ! '' Abuse and harmed identity in Fifty Shades of Grey `` . Journal of Women 's Health . Mary Ann Liebert , Inc. 22 ( 9 ) : 733 -- 744 . doi : 10.1089 / jwh. 2013.4344 . PMID 23931257 .   Jump up ^ Bonomi , Amy E. ( 12 August 2013 ) . `` Is Fifty Shades triumphant for women ? Or further entrapping them ? '' . The Huffington Post . AOL .   Jump up ^ Bonomi , Amy E. ; Nemeth , Julianna M. ; Altenburger , Lauren E. ; Anderson , Melissa L. ; Snyder , Anastasia ; Dotto , Irma ( August 2014 ) . `` Fiction or not ? Fifty Shades is associated with health risks in adolescent and young adult females '' . Journal of Women 's Health . Mary Ann Liebert , Inc. 23 ( 9 ) : 720 -- 728 . doi : 10.1089 / jwh. 2014.4782 . PMID 25144515 .   Jump up ^ `` Fifty Shades : Exploring the Sexual Revolution '' . Newsweek Special Issue / Topix Media Lab Special # 13 . New York , NY : Topix Media Lab : Page 13 . 2015 .   Jump up ^ `` Reading ' Fifty Shades ' linked to unhealthy behaviors '' . ScienceDaily . Retrieved 22 August 2014 .   Jump up ^ Logan Levkoff on The Today Show -- Fifty Shades of Grey on YouTube   Jump up ^ `` Dr. Drew : 50 Shades of Grey pathological , poorly written '' . WTOP - FM . 22 May 2012 .   ^ Jump up to : Schwartz , Meredith ( 11 May 2012 ) . `` Florida County Pulls Fifty Shades of Grey From Shelves '' . Library Journal .   Jump up ^ Clarke , Suzan ( 30 May 2012 ) . `` Florida County Library Lifts Ban on 50 Shades of Grey '' . ABC News .   Jump up ^ `` BRAZIL JUDGE ORDERS ' 50 SHADES OF GREY ' SEALED '' . Associated Press . Archived from the original on 23 February 2015 . Retrieved 18 January 2013 .   Jump up ^ `` Brazil judge orders ' 50 Shades of Grey ' removed '' . USA Today . 18 January 2013 . Retrieved 1 March 2013 .   Jump up ^ `` Brazilian bondage browsers tied down by court order '' . Global Legal Post . Retrieved 1 March 2013 .   Jump up ^ `` After movie , Malaysia also bans ' Fifty Shades ' books '' . Malay Mail . Archived from the original on 27 February 2015 . Retrieved 10 December 2017 .   Jump up ^ Fleming , Mike ( 26 March 2012 ) . `` Universal Pictures and Focus Features win Fifty Shades of Grey '' . Deadline.com . PMC . Retrieved 7 May 2012 .   Jump up ^ Miller , Julie ( 10 July 2012 ) . `` Fifty Shades of Grey Film Gets Oscar - Nominated Producers , Christian Grey</t>
  </si>
  <si>
    <t xml:space="preserve">how many copies did fifty shades of grey sell</t>
  </si>
  <si>
    <t xml:space="preserve"> Fifty Shades of Grey has topped best - seller lists around the world , selling over 125 million copies worldwide by June 2015 . It has been translated into 52 languages , and set a record in the United Kingdom as the fastest - selling paperback of all time . Critical reception of the book , however , has tended towards the negative , with the quality of its prose generally seen as poor . Universal Pictures and Focus Features produced a film adaptation , which was released on 13 February 2015 and also received generally unfavourable reviews . </t>
  </si>
  <si>
    <t xml:space="preserve">Green Bay , Wisconsin - wikipedia  Green Bay , Wisconsin  Jump to : navigation , search For the town , see Green Bay ( town ) , Wisconsin .    Green Bay , Wisconsin     City     Clockwise from top : Downtown Green Bay , Resch Center , Leo Frigo Memorial Bridge , Brown County Courthouse , Lambeau Field        Seal        Nickname ( s ) : `` Titletown '' , `` Bayland '' , `` Bay City '' , `` Packerland '' , and `` Packer City ''     Location of Green Bay in Brown County , Wisconsin .     Green Bay , Wisconsin Location in the United States     Coordinates : 44 ° 30 ′ 48 '' N 88 ° 0 ′ 57 '' W ﻿ / ﻿ 44.51333 ° N 88.01583 ° W ﻿ / 44.51333 ; - 88.01583 Coordinates : 44 ° 30 ′ 48 '' N 88 ° 0 ′ 57 '' W ﻿ / ﻿ 44.51333 ° N 88.01583 ° W ﻿ / 44.51333 ; - 88.01583     Country   United States     State   Wisconsin     County   Brown     Government     Mayor   Jim Schmitt     Area     City   55.96 sq mi ( 144.94 km )     Land   45.47 sq mi ( 117.77 km )     Water   10.49 sq mi ( 27.17 km )     Elevation   581 ft ( 177 m )     Population ( 2010 )     City   104,057     Estimate ( 2016 )   105,139     Rank   US : 272nd     Density   2,288.5 / sq mi ( 883.6 / km )     Urban   206,520 ( US : 176th )     Metro   312,409 ( US : 158th )     Time zone   Central ( UTC − 6 )     Summer ( DST )   CDT ( UTC − 5 )     ZIP code   54301 - 08 , 54311 , 54313 , 54324 , 54344     Area code   920     FIPS code   55 - 31000     GNIS feature ID   1565801     Website   greenbaywi.gov     Green Bay is a city in and the county seat of Brown County in the U.S. state of Wisconsin , at the head of Green Bay , a sub-basin of Lake Michigan , at the mouth of the Fox River . It is 581 feet ( 177 m ) above sea level and 112 miles ( 180 km ) north of Milwaukee . The population was 104,057 at the 2010 census . Green Bay is the third - largest city in the state of Wisconsin , after Milwaukee and Madison , and the third - largest city on Lake Michigan 's west shore , after Chicago and Milwaukee . Green Bay is home to the National Football League team Green Bay Packers .   Green Bay is the principal city of the Green Bay Metropolitan Statistical Area , which covers Brown , Kewaunee , and Oconto counties ; the MSA had a combined population of 306,241 at the 2010 census .   Green Bay is an industrial city with several meatpacking plants , paper mills , and a port on Green Bay , an arm of Lake Michigan known locally as `` the Bay of Green Bay '' . Green Bay hosts the Neville Public Museum , with exhibitions of art , history , and science ; the Children 's Museum ; and the University of Wisconsin -- Green Bay .     Contents  ( hide )   1 History   1.1 From the trading post La Baie des Puants to the town La Baie verte   1.2 The British take - over   1.3 After Independence     2 Geography   2.1 Climate     3 Demographics   3.1 2010 census   3.2 2000 census     4 Government   4.1 Law enforcement     5 Infrastructure   5.1 Transportation   5.1. 1 Railroads   5.1. 2 Airport   5.1. 3 Highways   5.1. 4 Local transit   5.1. 5 Water     5.2 Utilities   5.2. 1 Electricity   5.2. 2 Water     5.3 Health care     6 Education   6.1 Higher education     7 Public libraries   8 Religion   9 Sports   10 Arts and culture   11 Media and internet   12 Economy   12.1 Industry   12.2 Largest employers     13 Points of interest   13.1 Shopping   13.1. 1 East Town Mall   13.1. 2 Green Bay Plaza       14 Notable people   15 Gallery   16 Buildings   17 Sister cities   18 Trivia   19 Notes   20 References   21 External links      History ( edit )   Samuel de Champlain , the founder of New France , commissioned Jean Nicolet to form a peaceful alliance with Native Americans in the western areas , whose unrest interfered with French fur trade , and to search for a shorter trade route to China through Canada . Nicolet and others had learned from other First Nations of the Ho - Chunk ( Winnebago ) people , who identified as `` People of the Sea '' , and believed they must reside on or near the Pacific Ocean . Champlain had also heard about natural resources in the area , including fertile soil , forests , and animals . Nicolet began his journey for this new land shortly before winter in 1634 . In what later became a French fur - trading route , he sailed up the Ottawa River , through Lake Nipissing and down the French River to Lake Huron , then through the straits of Michilimackinac into Lake Michigan . He is believed to have landed at Red Banks , near the site of the modern - day city of Green Bay , Wisconsin .   From the trading post La Baie des Puants to the town La Baie Verte ( edit )   Nicolet founded a small trading post here in 1634 , originally named La Baye or La Baie des Puants ( French for `` the Bay of Stinking Waters '' ) . Nicolet 's settlement was one of the oldest European permanent settlements in America .   When Nicolet arrived in the Green Bay area , he encountered the Menominee , as this was their territory . He also met the Ho - Chunk , also known as the Winnebago , a people who spoke a Sioux language . The Winnebago hunted , fished , and cultivated corn , bean , squash , and tobacco . Wild rice , which they had incorporated as a dietary staple , grew in abundance along the riverbanks . They regularly harvested and cooked this , along with a wide variety of nuts , berries , and edible roots of the woods . The tribe had clearly distinguished gender roles . The men typically hunted and fished for food , and the women processed game and other foods in cooking . They prepared and made clothing from the furs as well as using other parts of animals for tools , cord , etc . Women also had a role in the political process , as no action could be taken without agreement of half of the women . Nicolet stayed with this tribe for about a year , becoming an ally . He helped open up opportunities for trade and commerce with them before returning to Quebec .   A few months after Nicolet returned to Quebec , Champlain died . His death halted other journeys to La Baie Verte ( French for `` The Green Bay '' ) . Père Claude Allouez sent Nicolas Perrot to La Baie . After this , the French avoided the area for some decades , because of the intensity of First Nations and European conflicts in the east . In 1671 , a Jesuit Mission was set up in the area . A fort was added in 1717 and gradually associated development took place . The town was incorporated in 1754 . As Great Britain took control of French areas during the Seven Years ' War , known as the French and Indian War in some areas of North America , this town came under British control in 1761 . The French ceded their North American lands East of the Mississippi River to the British following defeat in 1763 .   The first permanent French settlers were Charles de Langlade and his family from Canada , who moved to Green Bay in 1765 , becoming the first European - American settlers in today 's Wisconsin . Langlade , called the `` Founder and Father of Wisconsin '' , was an Ottawa war chief with a French father . He is credited with planning the ambush of British General Braddock and George Washington in the French and Indian War . The Grignons , Porliers and Lawes , who followed , brought Canadian - French culture with them . Colorful `` jack - knife Judge '' Reaume dispensed British justice in the territory . These early French settlers set the tone for many who followed .   The British take - over ( edit )  File : Tourist 's Pocket Map Of Michigan ( Samuel Augustus Mitchell , 1835 ). jpg Green Bay and Lake Winnebago on the 1835 Tourist 's Pocket Map of Michigan among the `` Mennomonie '' villages of Wisconsin Territory  The British gradually took over Wisconsin during the French and Indian War , taking control of Green Bay in 1761 and gaining control of all of Wisconsin in 1763 . Like the French , the British were interested in little but the fur trade . One notable event in the fur trading industry in Wisconsin occurred in 1791 , when two free African Americans set up a fur trading post among the Menominee at present day Marinette . The first permanent settlers , mostly French Canadians , some Anglo - New Englanders and a few African American freedmen , arrived in Wisconsin while it was under British control . Charles Michel de Langlade is generally recognized as the first settler , establishing a trading post at Green Bay in 1745 , and moving there permanently in 1764 . Settlement began at Prairie du Chien around 1781 . The French residents at the trading post in what is now Green Bay , referred to the town as `` La Bey '' , however British fur traders referred to it as `` Green Bay '' , because the water and the shore assumed green tints in early spring . The old French title was gradually dropped , and the British name of `` Green Bay '' stuck . The region coming under British rule had virtually no adverse effect on the French residents as the British needed the cooperation of the French fur traders and the French fur traders needed the goodwill of the British . During the French occupation of the region licenses for fur trading had been issued scarcely and only to select groups of traders , whereas the British , in an effort to make as much money as possible from the region , issued licenses for fur trading freely , both to British and French residents . The fur trade in what is now Wisconsin reached its height under British rule , and the first self - sustaining farms in the state were established as well . From 1763 to 1780 , Green Bay was a prosperous community which produced its own foodstuff , built graceful cottages and held dances and festivities .   After independence ( edit )   The Green Bay area was still under British control until the 1783 treaty formally ended the American Revolutionary War . Following the War of 1812 , which in part was over disputes related to the border with Canada , the United States built Fort Howard on the Fox River in 1816 to protect its northern border . Doty , Whitney , Arndt , Baird and Martin were among the many British - American settlers whose numbers pushed French culture into the background . As British settlers in the area came to outnumber the French , they referred to the town as `` Green Bay '' ( from the French : Baie Verte ) .   The Erie Canal was completed in 1825 , linking New England with the Great Lakes . This led to the advance of Green Bay as a trading center . The end of the Black Hawk War in 1832 also gave impetus to settlement of the region . Most of the settlers were farmers from New England who began using the Erie Canal to pour into Wisconsin . As more and more New England settlers arrived , Green Bay developed into a trading center for this population .  Built in 1837 , the Hazelwood Historic House Museum is on the National Register of Historic Places and is now used as the Brown County Historical Society .  Wisconsin 's first newspaper , The Green Bay Intelligencer , was started in 1833 by Albert Ellis and John V. Suydam . The borough of Green Bay , created in 1838 , is the center of the present - day city . The borough combined the town of Astoria ( a company town of the American Fur Company ) , with Navarino , platted by Daniel Whitney . Before Wisconsin became a state in 1848 , its commerce was based on the fur trade , which became dominated by John Jacob Astor 's American Fur Company . After statehood , there was a shift away from fur trading toward lumbering . `` For a short time in 1860s and 1870s , iron smelting in charcoal kilns rivaled the timber industry while the port handled increasing amounts of fuel , feed , and lumber . Today 's major local industry had its start in 1865 when the first paper mill was built . ''  1867 bird 's eye illustration of Green Bay  By 1850 the town had a population of 1,923 . The town was incorporated as the city of Green Bay in 1854 . The Green Bay Area Public School District was founded in 1856 . Throughout the 1850s , word spread of America 's cheap land and good soil , bringing in an influx of Belgian people , German , Scandinavian , Irish and Dutch immigrants , each adding to the culture . The greatest concentration of newcomers came from Belgium . They cleared the land to farm and build their homes .   The railroad arrived in the 1860s . Chicago and Northwestern Railroad companies were formed , which allowed people and products to travel all over the state , increasing business and trade opportunities . The area was able to grow and enrich itself with the use of the river and the plentiful timber resources . This led to the paper industry becoming the major employer in Green Bay , and opened up the port for international trade .   In 1934 , President Franklin D. Roosevelt came to Green Bay to honor its tercentenary . By 1950 , the city had a population of 52,735 . In 1964 , the Town of Preble was consolidated with the city of Green Bay .   Geography ( edit )   Green Bay is in the northeastern part of Wisconsin at the mouth of the Fox River . Today , Interstate 43 meets U.S. Route 41 in Green Bay , about 90 miles ( 140 km ) north of Milwaukee .   According to the United States Census Bureau , the city has a total area of 55.96 square miles ( 144.94 km ) , of which , 45.47 square miles ( 117.77 km ) is land and 10.49 square miles ( 27.17 km ) is water .   Climate ( edit )   Green Bay has a humid continental climate ( Köppen climate classification Dfb ) , with some moderation due to the city 's proximity to Lake Michigan . Like other cities with this type of climate , there are four distinct seasons , often with severe or extreme variation between them in terms of temperature and precipitation . Green Bay experiences warm , humid , frequently hot summers and long , cold and snowy winters . The variance in temperature and precipitation between months is severe and often extreme . Tornadoes are rare in the Green Bay area , with the strongest being an F3 tornado that hit the community of Pittsfield on June 26 , 1969 .   Monthly mean temperatures range from 16.6 ° F ( − 8.6 ° C ) in January to 69.1 ° F ( 20.6 ° C ) in July . In July , the warmest month , the average high temperature is 81.2 ° F ( 27.3 ° C ) . There are 6.1 days of 90 ° F ( 32 ° C ) + highs , 68 days where the high remains at or below freezing , and 19 days with sub-0 ° F ( − 18 ° C ) lows annually . From December to February , even during thaws , the temperature rarely reaches 50 ° F ( 10 ° C ) . Extremes have ranged from − 36 ° F ( − 38 ° C ) on January 21 , 1888 to 104 ° F ( 40 ° C ) on July 13 , 1936 .   The wettest month in Green Bay is August , when 3.77 inches ( 95.8 mm ) of precipitation falls , mostly in the form of rainfall from thunderstorms . The driest month in Green Bay is February , when the majority of precipitation falls as low moisture - content snow due to cold , dry air . On average , 1.01 inches ( 25.7 mm ) of precipitation falls in February .     ( show ) Climate data for Green Bay , Wisconsin ( Austin Straubel Int'l ) , 1981 -- 2010 normals , extremes 1886 -- present     Month   Jan   Feb   Mar   Apr   May   Jun   Jul   Aug   Sep   Oct   Nov   Dec   Year     Record high ° F ( ° C )   56 ( 13 )   65 ( 18 )   82 ( 28 )   89 ( 32 )   99 ( 37 )   101 ( 38 )   104 ( 40 )   100 ( 38 )   97 ( 36 )   88 ( 31 )   74 ( 23 )   64 ( 18 )   104 ( 40 )     Average high ° F ( ° C )   24.3 ( − 4.3 )   28.2 ( − 2.1 )   39.2 ( 4 )   53.9 ( 12.2 )   66.0 ( 18.9 )   75.3 ( 24.1 )   79.8 ( 26.6 )   77.7 ( 25.4 )   69.9 ( 21.1 )   56.6 ( 13.7 )   42.2 ( 5.7 )   28.5 ( − 1.9 )   53.5 ( 11.9 )     Average low ° F ( ° C )   9.0 ( − 12.8 )   12.4 ( − 10.9 )   22.4 ( − 5.3 )   33.8 ( 1 )   44.0 ( 6.7 )   54.1 ( 12.3 )   58.4 ( 14.7 )   56.9 ( 13.8 )   48.5 ( 9.2 )   37.7 ( 3.2 )   26.9 ( − 2.8 )   14.4 ( − 9.8 )   34.9 ( 1.6 )     Record low ° F ( ° C )   − 36 ( − 38 )   − 33 ( − 36 )   − 29 ( − 34 )   7 ( − 14 )   21 ( − 6 )   32 ( 0 )   40 ( 4 )   38 ( 3 )   24 ( − 4 )   8 ( − 13 )   − 12 ( − 24 )   − 27 ( − 33 )   − 36 ( − 38 )     Average precipitation inches ( mm )   1.13 ( 28.7 )   1.11 ( 28.2 )   1.85 ( 47 )   2.63 ( 66.8 )   2.93 ( 74.4 )   3.88 ( 98.6 )   3.50 ( 88.9 )   3.37 ( 85.6 )   3.04 ( 77.2 )   2.44 ( 62 )   2.13 ( 54.1 )   1.51 ( 38.4 )   29.52 ( 749.8 )     Average snowfall inches ( cm )   13.0 ( 33 )   9.9 ( 25.1 )   8.1 ( 20.6 )   2.9 ( 7.4 )   0.2 ( 0.5 )   0 ( 0 )   0 ( 0 )   0 ( 0 )   0 ( 0 )   0.2 ( 0.5 )   4.0 ( 10.2 )   13.1 ( 33.3 )   51.4 ( 130.6 )     Average precipitation days ( ≥ 0.01 in )   9.9   8.4   10.6   11.1   11.4   10.3   10.4   10.4   9.7   10.5   10.0   10.3   123.0     Average snowy days ( ≥ 0.1 in )   9.6   7.8   6.9   2.5   0.1   0   0   0   0   0.3   3.8   9.2   40.2     Average relative humidity ( % )   74.0   73.5   72.8   67.0   65.9   68.9   71.3   75.1   76.5   74.4   76.9   77.3   72.8     Mean monthly sunshine hours   146.7   159.8   198.6   222.1   285.1   302.8   314.5   278.7   205.2   158.0   107.4   112.3   2,491.2     Percent possible sunshine   51   55   54   55   62   65   67   64   55   46   37   41   56     Source : NOAA ( relative humidity and sun 1961 -- 1990 )     Demographics ( edit )     Historical population     Census   Pop .     % ±     1860   2,276     --     1870   4,698     106.4 %     1880   7,476     59.1 %     1890   9,069     21.3 %     1900   23,748     161.9 %     1910   25,216     6.2 %     1920   31,643     25.5 %     1930   37,407     18.2 %     1940   46,205     23.5 %     1950   52,735     14.1 %     1960   62,952     19.4 %     1970   87,829     39.5 %     1980   87,947     0.1 %       96,466     9.7 %     2000   102,313     6.1 %       104,057     1.7 %     Est. 2016   105,139     1.0 %     U.S. Decennial Census 2013 Estimate     2010 Census ( edit )   As of the census of 2010 , there were 104,057 people , 42,244 households , and 24,699 families residing in the city . The population density was 2,288.5 inhabitants per square mile ( 883.6 / km ) . There were 45,241 housing units at an average density of 995.0 per square mile ( 384.2 / km ) . The racial makeup of the city was 77.9 % White , 3.5 % African American , 4.1 % Native American , 4.0 % Asian , 0.1 % Pacific Islander , 7.2 % from other races , and 3.1 % from two or more races . Hispanic or Latino of any race were 13.4 % of the population .   There were 42,244 households of which 31.4 % had children under the age of 18 living with them , 40.4 % were married couples living together , 12.5 % had a female householder with no husband present , 5.6 % had a male householder with no wife present , and 41.5 % were non-families. 32.4 % of all households were made up of individuals and 9.6 % had someone living alone who was 65 years of age or older . The average household size was 2.39 and the average family size was 3.06 .   The median age in the city was 33.7 years . 24.7 % of residents were under the age of 18 ; 11.7 % were between the ages of 18 and 24 ; 27.7 % were from 25 to 44 ; 24.5 % were from 45 to 64 ; and 11.3 % were 65 years of age or older . The gender makeup of the city was 49.4 % male and 50.6 % female .   2000 Census ( edit )   As of the census of 2000 , there were 102,313 people , 41,591 households , and 24,663 families residing in the city . The population density was 2,332.1 people per square mile ( 900.5 / km ) . There were 43,123 housing units at an average density of 982.9 per square mile ( 379.5 / km ) . The racial makeup of the city was 85.86 % White , 1.38 % African American , 3.28 % Native American , 3.76 % Asian , 0.04 % Pacific Islander , 3.72 % from other races , and 1.97 % from two or more races . Hispanic or Latino of any race were 7.13 % of the population .   There were 41,591 households of which 30.6 % had children under the age of 18 living with them , 44.1 % were married couples living together , 10.8 % had a female householder with no husband present , and 40.7 % were non-families . About 31.6 % of all households were made up of individuals and 9.9 % had someone living alone who was 65 years of age or older . The average household size was 2.40 and the average family size was 3.06 .   In the city , the age distribution of the population shows 25.4 % under the age of 18 , 11.6 % from 18 to 24 , 31.7 % from 25 to 44 , 19.5 % from 45 to 64 , and 11.8 % who were 65 years of age or older . The median age was 33 years . For every 100 females there were 97.2 males . For every 100 females age 18 and over , there were 94.8 males .   The median income for a household in the city was $38,820 , and the median income for a family was $48,678 . Males had a median income of $33,246 versus $23,825 for females . The per capita income for the city was $19,269 . About 7.4 % of families and 10.5 % of the population were below the poverty line , including 12.7 % of those under the age of 18 and 9.2 % of those 65 and older .   Government ( edit )   Green Bay is governed by a mayor and a city council . The mayor is elected in a citywide vote . The city council consists of 12 members each elected from districts .  See also : List of mayors of Green Bay , Wisconsin      Mayors        W.C.E. Thomas 1854   Francis X . Desnoyers 1855   H.E. Eastman 1856 , 1857   Burley Follett 1858 , 1863   Nathan Goodell 1859 , 1864   E.H. Ellis 1860   Henry S. Baird 1861 , 1862   M.P. Lindsley 1865   Charles D. Robinson 1866 , 1872   James S. Marshall 1868   Anton Klaus 1868 , 1869 , 1870   Alonzo Kimball 1871 , 1873   Dr. C.E. Crane 1874 , 1875 , 1877 , 1878 , 1879   F.S. Ellis 1876   J.C. Neville 1880   W.J. Abrams 1881 , 1883 , 1884   J.H.M. Wigman 1882   Charles Hartung 1885 , 1886 , 1887   Arthur C. Neville 1888 , 1889   James H. Elmore 1890 , 1891 , 1892 , 1893 , 1894 , 1895   Frank B. Desnoyers 1896 , 1897 , 1898       Simon J. Murphy , Jr. 1899 , 1900 , 1901   J.H. Tayler 1902 , 1903   Robert E. Minahan 1904 − 1907   Winford Abrams 1908 − 1916   Elmer S. Hall 1916 − 1920   Wenzel Wiesner 1921 − 1927   James H. McGillan 1927 − 1929   John V. Diener 1929 − 1937   John S. Farrell 1937 − 1938   Alex Biemeret 1938 − 1945   Dominic Olejniczak 1945 − 1955   Otto Rachals 1955 − 1959   Roman Denissen 1959 − 1965   Donald Tilleman 1965 − 1972   Harris Burgoyne 1972 − 1973   Thomas Atkinson 1973 − 1975   Michael Monfils 1975 − 1979   Samuel J. Halloin 1979 − 1995   Paul F. Jadin 1995 − 2003   James J. Schmitt 2003 −      City Hall W.C.E. Thomas , first mayor of Green Bay Chicago and North Western Railway Passenger Depot ( Green Bay ) Austin Straubel International Airport Brown County Courthouse . Weidner Center , part of UW -- Green Bay Cathedral of Saint Francis Xavier Lambeau Field Brown County Veterans Memorial Arena  Green Bay is represented by Mike Gallagher ( R ) in the United States House of Representatives , and by Ron Johnson ( R ) and Tammy Baldwin ( D ) in the United States Senate . Frank Lasee ( R ) , Robert Cowles ( R ) , and Dave Hansen ( D ) represent Green Bay in the Wisconsin State Senate , and David Steffen ( R ) , John Macco ( R ) , and Eric Genrich ( D ) represent Green Bay in the Wisconsin State Assembly .   Law enforcement ( edit )   The Green Bay Police Department was established in on August 27 , 1857 , when the Green Bay Police Corps was established , and Henry Baird was named Chief of Police . The Green Bay Police Department provides many specialized services such as a Dive Team , Harbor Patrol , Motorcycle Patrol , and a S.W.A.T. Team .   Since the establishment of the Green Bay Police Department , one officer has died in the line of duty .   Infrastructure ( edit )   Transportation ( edit )  Railroads ( edit )  From 1896 to 1993 the city was the headquarters of the Green Bay and Western Railroad . In 1993 , the line was purchased by the Wisconsin Central . In 2001 , the WC was merged into the Canadian National Railway . The Chicago and North Western Railway also served Green Bay and its depot still stands . Green Bay was last served with a regular passenger train , the CNW 's Peninsula 400 , in 1971 . The CNW sold its trackage from Green Bay south to Sheboygan in 1987 to the Fox River Valley Railroad , which became part of the WC in 1993 . Green Bay also saw passenger service from the Milwaukee Road 's Chippewa - Hiawatha , which ran from Chicago into the upper peninsula of Michigan . Green Bay is also served by the Escanaba and Lake Superior Railroad .  Airport ( edit )  Green Bay is served by Green Bay - Austin Straubel International Airport . Delta Airlines , American Airlines , and United Airlines all offer flights out of Green Bay .  Highways ( edit )   I - 43 Northbound terminates at the northwestern side of Green Bay . Southbound continues to Manitowoc and Milwaukee .   I - 41 Northbound terminates at the northwestern side of Green Bay . Southbound continues to Appleton and Milwaukee .   US 41 travels towards Marinette , and south concurrently with I - 41 , continuing to Milwaukee .   US 141 begins east of Green Bay in Bellevue , and continues north towards Crivitz .   WIS 29 travels east towards Kewaunee , and west towards Shawano and Wausau .   WIS 32 travels north towards Pulaski , and south towards Chilton and Milwaukee .   WIS 54 travels east to Algoma , and west towards Seymour .   WIS 57 travels north towards Sturgeon Bay , and south towards Milwaukee .   WIS 172 begins at I - 43 and travels west to Hobart .   Local transit ( edit )  Green Bay Metro provides mass transit bus service throughout Green Bay and the surrounding suburbs .   Greyhound Lines , Jefferson Lines , Indian Trails , and Lamers Bus Lines provide intercity transportation from the central Green Bay Metro station which is downtown .  Water ( edit )  Green Bay is served by the Port of Green Bay . The port handled 1.99 million tons of cargo in 2015 . The primary shipments into and out of the port include coal , limestone , salt , and cement .   Utilities ( edit )  Electricity ( edit )  Green Bay is served by Wisconsin Public Service Corporation , which operates the J.P. Pulliam Generating Station within the city .  Water ( edit )  Water service is provided to the city by the Green Bay Water Utility .   Sewer service is provided by the Green Bay Metropolitan Sewerage District , also known as NEW Water .   Health care ( edit )   Green Bay is the headquarters of Bellin Health and Prevea Health , regional health care providers .   Green Bay is home to four hospitals : Aurora Baycare Medical Center , Bellin Hospital , St. Mary 's Hospital Medical Center , and St. Vincent Hospital .   Green Bay is also home to the Milo C. Huempfner VA Outpatient Clinic , and Bellin Psychiatric Center and Willow Creek Behavioral Health , the city 's two psychiatric hospitals .   Education ( edit )  Main article : Green Bay Area Public School District  Green Bay is served by the Green Bay Area Public School District . It operates 25 elementary schools , two K - 8 schools , four middle schools , four high schools , and one alternative school in the city and surrounding area . Private schools in Green Bay include Notre Dame de la Baie Academy , Northeastern Wisconsin Lutheran High School , and Bay City Baptist School .   Higher education ( edit )   Green Bay area colleges and universities :    Bellin College of Nursing   Concordia University Wisconsin , Green Bay Center   College of Menominee Nation   Lakeland College , Green Bay Center   Medical College of Wisconsin -- Green Bay campus   Northeast Wisconsin Technical College   Rasmussen College   University of Wisconsin - Green Bay    Public libraries ( edit )   The Brown County Library ( BCL ) Central Branch is downtown in downtown Green Bay and has served as the county public library since 1968 . The Central Branch is the headquarters for the BCL system , which encompasses all public libraries in Brown County , including eight branch libraries and a bookmobile that regularly visits locations throughout the county . In 1994 , the Brown County Library was named Wisconsin Library of the Year .   Religion ( edit )   In 2000 , the American Religion Data Archive reported Green Bay to be predominantly Catholic ( 71.5 % ) , with Lutherans composing an additional 16.4 % . The remaining 12 % is almost entirely made - up of other Protestant denominations .   The Wisconsin Evangelical Lutheran Synod has four churches in Green Bay : St. Paul Lutheran Church , First Evangelical Lutheran Church , Beautiful Savior Lutheran Church , and Messiah Lutheran Church .   The city is the seat of the Roman Catholic Diocese of Green Bay . The Cathedral of Saint Francis Xavier in Green Bay is the mother church of the Diocese . The diocese is in the province of the Archdiocese of Milwaukee . The Saint Joseph Oratory is in Green Bay .   The Islamic Society of Wisconsin , Green Bay serves the Islamic community . The Green Bay Area Unitarian Universalist Fellowship is in the city . Congregation Cnesses Israel Temple , serving the area 's Jewish population , is on the city 's east side .   Sports ( edit )  The Resch Center    Club   Sport   Founded   Current League   Stadium     Green Bay Packers   Football   1919   National Football League   Lambeau Field     Green Bay Blizzard   Indoor Football   2003   Indoor Football League   Resch Center     Green Bay Phoenix ( University of Wisconsin - Green Bay )   15 Varsity teams   1965   Horizon League   Resch Center , Kress Events Center , Aldo Santaga Stadium     St. Norbert Green Knights ( St. Norbert College )   18 Varsity teams   1898   Midwest League   Schneider Stadium , Mel Nicks Sports Complex , Schuldes Center , Cornerstone Community Ice Center     Green Bay Bullfrogs   Summer College baseball   2007   Northwoods League   Joannes Stadium     Green Bay Gamblers   Junior Ice hockey     United States Hockey League   Resch Center     Other major sporting events in Green Bay include the Bellin Run and the Cellcom Green Bay Marathon .   Arts and culture ( edit )  The Meyer Theatre Downtown Green Bay CityDeck along the Fox River  The Meyer Theatre and the Hotel Northland are on the National Register of Historic Places . The Northland was once the largest hotel in Wisconsin .   Daddy D Productions perform at Riverside Ballroom and Let Me Be Frank Productions perform at the Meyer Theatre . The Green Bay Civic Symphony performs at the Meyer Theatre , its home venue . The former Green Bay Symphony Orchestra disbanded after their 2014 -- 2015 season , after performing for over 100 years , citing financial difficulties .   Performance venues in Green Bay include : Lambeau Field , Resch Center , Brown County Veterans Memorial Arena , Shopko Hall , Weidner Center , and the Meyer Theatre .   The Artgarage and the Automotive Gallery are art galleries in the downtown area .   Museums in the city include the Neville Public Museum and the Hazelwood Historic House Museum .   Every summer , the downtown area plays host to ArtStreet , an art festival featuring studio displays , demonstrations , and live entertainment . Dine on the Deck is an event that allows patrons to dine on the CityDeck and features dishes from local restaurants . Taste on Broadway has live entertainment and dishes served by local restaurants who compete for awards . The Broadway Neighborhood association hosts a farmer 's market every Wednesday from May to October .   Media and internet ( edit )  See also : List of radio stations in Green Bay  Television stations in Green Bay are WBAY ( 2 ) , ( ABC ) ; WFRV ( 5 ) , ( CBS ) ; WLUK ( 11 ) , ( FOX ) ; WCWF ( 14 ) , ( CW ) ; WGBA ( 26 ) , ( NBC ) ; WACY ( 32 ) , ( MNT ) ; and WPNE ( 38 ) , a PBS affiliate . Green Bay is served by the Green Bay Press - Gazette . Another local newspaper , the Green Bay News - Chronicle , ceased publication in 2005 .  WBAY - TV studio .  The free public Wi - Fi system in the downtown Green Bay Broadway District went into operation in 2007 .   Economy ( edit )   Industry ( edit )   Green Bay is known as the `` Toilet Paper Capital of the World '' because of the prevalence of the paper industry in the city . Northern Paper Company , Fort Howard Paper Company , and Hoberg Paper Company were among Green Bay 's first paper companies . Northern Paper Company offered the first splinter - free toilet paper in the early 1930s . The presence of the paper industry helped Green Bay avoid the worst effects of the Great Depression . Today , major paper producers include Georgia - Pacific , Procter &amp; Gamble , and Steen - Macek Paper Company .   Among the earliest packing companies in Green Bay were Acme Packing Company and Indian Packing Company , the namesake of the Green Bay Packers . Today , major meatpackers in the city include JBS S.A. ( formerly Packerland Packing ) and American Foods Group .   Largest employers ( edit )   As of 2014 , the largest employers in the city were :     #   Employer   # of Employe</t>
  </si>
  <si>
    <t xml:space="preserve">when was the city of green bay founded</t>
  </si>
  <si>
    <t xml:space="preserve"> Nicolet founded a small trading post here in 1634 , originally named La Baye or La Baie des Puants ( French for `` the Bay of Stinking Waters '' ) . Nicolet 's settlement was one of the oldest European permanent settlements in America . </t>
  </si>
  <si>
    <r>
      <rPr>
        <sz val="11"/>
        <color rgb="FF000000"/>
        <rFont val="Calibri"/>
        <family val="0"/>
        <charset val="1"/>
      </rPr>
      <t xml:space="preserve">Hip bone - wikipedia  Hip bone     Hip bone     Position of the hip bones ( shown in red )     Details     Identifiers     Latin   Os coxa ( e ) , os innominatum     MeSH   D010384     TA   A02. 5.01. 001     FMA   16585     Anatomical terms of bone ( edit on Wikidata )     The hip bone ( os coxa , innominate bone , pelvic bone or coxal bone ) is a large flat bone , constricted in the center and expanded above and below . In some vertebrates ( including humans before puberty ) it is composed of three parts : the ilium , ischium , and the pubis .   The two hip bones join at the pubic symphysis and together with the sacrum and coccyx ( the pelvic part of the spine ) comprise the skeletal component of the pelvis -- the pelvic girdle which surrounds the pelvic cavity . They are connected to the sacrum , which is part of the axial skeleton , at the sacroiliac joint . Each hip bone is connected to the corresponding femur ( thigh bone ) ( forming the primary connection between the bones of the lower limb and the axial skeleton ) through the large ball and socket joint of the hip .   Contents    1 Structure   1.1 Ilium   1.2 Ischium   1.3 Pubis   1.4 Pelvic Brim   1.5 False Pelvis   1.6 Development     2 Function   2.1 Muscle attachment     3 Clinical significance   3.1 Fractures     4 In animals   5 Additional images   6 References   7 External links    Structure ( edit )  The skeleton of the human pelvis : 2 -- 4 . Hip bone ( os coxae ) 1 . Sacrum ( os sacrum ) , 2 . Ilium ( os ilium ) , 3 . Ischium ( os ischii ) 4 . Pubic bone ( os pubis ) ( 4a . corpus , 4b . ramus superior , 4c . ramus inferior , 4d . tuberculum pubicum ) 5 . Pubic symphysis , 6 . Acetabulum ( of the hip joint ) , 7 . Foramen obturatum , 8 . Coccyx / tailbone ( os coccygis ) Dotted . Linea terminalis of the pelvic brim  The hip bone is formed by three parts : ilium , ischium , and pubis . At birth , these three components are separated by hyaline cartilage . They join each other in a Y - shaped portion of cartilage in the acetabulum . By the end of puberty the three regions will have fused together , and by the age of 25 they will have ossified . The two hip bones join each other at the pubic symphysis . Together with the sacrum and coccyx , the hip bones form the pelvis .   Ilium ( edit )  Main article : Ilium ( bone )  Ilium ( plural ilia ) is the uppermost and largest region . It makes up two fifths of the acetabulum . It is divisible into two parts : the body and the ala or wing of ilium ; the separation is indicated on the top surface by a curved line , the arcuate line , and on the external surface by the margin of the acetabulum . The body of ilium forms the sacroiliac joint with the sacrum . The edge of the wing of ilium forms the S - shaped iliac crest which is easily located through the skin . The iliac crest shows clear marks of the attachment of the three abdominal wall muscles .   Ischium ( edit )  Main article : Ischium  The ischium forms the lower and back part of the hip bone and is located below the ilium and behind the pubis . The ischium is the strongest of the three regions that form the hip bone . It is divisible into three portions : the body , the superior ramus , and the inferior ramus . The body forms approximately one - third of the acetabulum .   The ischium forms a large swelling , the tuberosity of the ischium , also referred to colloquially as the `` sit bone '' . When sitting , the weight is frequently placed upon the ischial tuberosity . The gluteus maximus covers it in the upright posture , but leaves it free in the seated position .   Pubis ( edit )  Main article : Pubis ( bone )  The pubic region or pubis is the ventral and anterior of the three parts forming the hip bone . It is divisible into a body , a superior ramus , and an inferior ramus . The body forms one - fifth of the acetabulum . The body forms the wide , strong , medial and flat portion of the pubic bone which unites with the other pubic bone in the pubic symphysis . The fibrocartilaginous pad which lies between the symphysial surfaces of the coxal bones , that secures the pubic symphysis , is called the interpubic disc .   Pelvic Brim ( edit )   Is a continuous oval ridge of bone that runs along the pubic symphysis , pubic crests , arcuate lines , sacral alae , and sacral promontory . ( J Bridges )   False pelvis ( edit )   False Pelvis - Is that portion superior to the pelvic brim ; it is bounded by the alae of the ilia laterally and the sacral promontory and lumbar vertebrae posteriorly . ( J Bridges ) True Pelvis - is the region inferior to the pelvic brim that is almost entirely surrounded by bone . ( J Bridges ) Pelvic Inlet - Is the opening delineated by the pelvic brim . The widest dimension of the pelvic inlet is from left to right , that is , along the frontal plane . ( J Bridges ) Pelvic Outlet - Is the margin of the true pelvis . It is bounded anteriorly by the pubic arch , laterally by the ischia , and posteriorly by the sacrum and coccyx. ( J Bridges )   The superior pubic ramus is a part of the pubic bone which forms a portion of the obturator foramen . It extends from the body to the median plane where it articulates with its fellow of the opposite side . It is conveniently described in two portions : a medial flattened part and a narrow lateral prismoid portion .   The inferior pubic ramus is thin and flat . It passes laterally and downward from the medial end of the superior ramus . It becomes narrower as it descends and joins with the inferior ramus of the ischium below the obturator foramen .   Development ( edit )  Plan of ossification of the hip bone . Left hip bone , external surface .  The hip bone is ossified from eight centers : three primary , one each for the ilium , ischium , and pubis , and five secondary , one each for the iliac crest , the anterior inferior spine ( said to occur more frequently in the male than in the female ) , the tuberosity of the ischium , the pubic symphysis ( more frequent in the female than in the male ) , and one or more for the Y - shaped piece at the bottom of the acetabulum . The centers appear in the following order : in the lower part of the ilium , immediately above the greater sciatic notch , about the eighth or ninth week of fetal life ; in the superior ramus of the ischium , about the third month ; in the superior ramus of the pubis , between the fourth and fifth months . At birth , the three primary centers are quite separate , the crest , the bottom of the acetabulum , the ischial tuberosity , and the inferior rami of the ischium and pubis being still cartilaginous . By the seventh or eighth year , the inferior rami of the pubis and ischium are almost completely united by bone . About the thirteenth or fourteenth year , the three primary centers have extended their growth into the bottom of the acetabulum , and are there separated from each other by a Y - shaped portion of cartilage , which now presents traces of ossification , often by two or more centers . One of these , the os acetabuli , appears about the age of twelve , between the ilium and pubis , and fuses with them about the age of eighteen ; it forms the pubic part of the acetabulum . The ilium and ischium then become joined , and lastly the pubis and ischium , through the intervention of this Y - shaped portion . At about the age of puberty , ossification takes place in each of the remaining portions , and they join with the rest of the bone between the twentieth and twenty - fifth years . Separate centers are frequently found for the pubic tubercle and the ischial spine , and for the crest and angle of the pubis .   Function ( edit )  The male pelvis , formed by left and right hip bones , sacrum , and coccyx . The female pelvis is wider than the male pelvis to accommodate childbirth .  Muscle attachment ( edit )   Several muscles attach to the hip bone including the internal muscles of the pelvic , abdominal muscles , back muscles , all the gluteal muscles , muscles of the lateral rotator group , hamstring muscles , two muscles from the anterior compartment of the thigh and even a single shoulder muscle .   Abdominal muscles    The abdominal external oblique muscle attaches to the iliac crest .   The abdominal internal oblique muscle attaches to pecten pubis .   The transversus abdominis muscle attaches to the pubic crest and pecten pubis via a conjoint tendon    Back muscles    The multifidus muscle in the sacral region attaches to the medial surface of posterior superior iliac spine , the posterior sacroiliac ligaments and several places to the sacrum .    Gluteal muscles    The gluteus maximus muscle arises from the posterior gluteal line of the inner upper ilium , and the rough portion of bone including the iliac crest , the fascia covering the gluteus medius ( gluteal aponeurosis ) , as well as the sacrum , coccyx , the erector spinae ( lumbodorsal fascia ) , the sacrotuberous ligament .   The gluteus medius muscle : originates on the outer surface of the ilium between the iliac crest and the posterior gluteal line above , and the anterior gluteal line below . The gluteus medius also originates from the gluteal aponeurosis that covers its outer surface .   Gluteus minimus muscle originates between the anterior and inferior gluteal lines , and from the margin of the greater sciatic notch .    Lateral rotator group    The piriformis muscle originates from the superior margin of the greater sciatic notch ( as well as the sacroiliac joint capsule and the sacrotuberous ligament and part of the spine and sacrum .   The superior gemellus muscle arises from the outer surface of the ischial spine   The obturator internus muscle arises from the inner surface of the antero - lateral wall of the hip bone , where it surrounds the greater part of the obturator foramen , being attached to the inferior rami of the pubis and ischium , and at the side to the inner surface of the hip bone below and behind the pelvic brim , reaching from the upper part of the greater sciatic foramen above and behind to the obturator foramen below and in front . It also arises from the pelvic surface of the obturator membrane except in the posterior part , from the tendinous arch , and to a slight extent from the obturator fascia , which covers the muscle .   The inferior gemellus muscle arises from the upper part of the tuberosity of the ischium , immediately below the groove for the obturator internus tendon .   The obturator externus muscle arises from the margin of bone immediately around the medial side of the obturator foramen , from the rami of the pubis , and the inferior ramus of the ischium ; it also arises from the medial two - thirds of the outer surface of the obturator membrane , and from the tendinous arch .    Hamstrings    The long head biceps femoris arises from the lower and inner impression on the back part of the tuberosity of the ischium , by a tendon common to it and the semitendinosus , and from the lower part of the sacrotuberous ligament ;   The semitendinosus arises from the lower and medial impression on the tuberosity of the ischium , by a tendon common to it and the long head of the biceps femoris ; it also arises from an aponeurosis which connects the adjacent surfaces of the two muscles to the extent of about 7.5 cm. from their origin .   The semimembranosus arises from the lower and medial impression on the tuberosity of the ischium    Anterior compartment of thigh    The rectus femoris muscle arises by two tendons : one , the anterior or straight , from the anterior inferior iliac spine ; the other , the posterior or reflected , from a groove above the rim of the acetabulum .   The sartorius muscle arises by tendinous fibres from the anterior superior iliac spine ,    Shoulder muscles    The latissimus dorsi muscle attaches to the iliac crest and several places on the spine and ribs .    Clinical significance ( edit )   The proportions of the female hip bone may affect the ease of passage of the baby during childbirth . Pelvimetry is the assessment of the female pelvis in relation to the birth of a baby in order to detect an increased risk for obstructed labor .   Fractures ( edit )  Main article : Pelvic fracture  Fractures of the hip bone are termed pelvic fractures , and should not be confused with hip fractures , which are actually femoral fractures that occur in the proximal end of the femur .   In animals ( edit )   The hip bone first appears in fishes , where it consists of a simple , usually triangular bone , to which the pelvic fin articulates . The hip bones on each side usually connect with each other at the forward end , and are even solidly fused in lungfishes and sharks , but they never attach to the vertebral column .   In the early tetrapods , this early hip bone evolved to become the ischium and pubis , while the ilium formed as a new structure , initially somewhat rod - like in form , but soon adding a larger bony blade . The acetabulum is already present at the point where the three bones meet . In these early forms , the connection with the vertebral column is not complete , with a small pair of ribs connecting the two structures ; nonetheless the pelvis already forms the complete ring found in most subsequent forms .   In practice , modern amphibians and reptiles have substantially modified this ancestral structure , based on their varied forms and lifestyles . The obturator foramen is generally very small in such animals , although most reptiles do possess a large gap between the pubis and ischium , referred to as the thyroid fenestra , which presents a similar appearance to the obturator foramen in mammals . In birds , the pubic symphysis is present only in the ostrich , and the two hip bones are usually widely separated , making it easier to lay large eggs .   In therapsids , the hip bone came to rotate counter-clockwise , relatives to its position in reptiles , so that the ilium moved forward , and the pubis and ischium moved to the rear . The same pattern is seen in all modern mammals , and the thyroid fenestra and obturator foramen have merged to form a single space . The ilium is typically narrow and triangular in mammals , but is much larger in ungulates and humans , in which it anchors powerful gluteal muscles . Monotremes and marsupials also possess a fourth pair of bones , the prepubes or `` marsupial bones '' , which extend forward from the pubes , and help to support the abdominal muscles and , in marsupials , the pouch . In placental mammals , the pelvis as a whole is generally wider in females than in males , to allow for the birth of the young .   The pelvic bones of cetaceans were formerly considered to be vestigial , but they are now known to play a role in sexual selection .   Additional images ( edit )     Female pelvis .     Position of the hip bones ( shown in red ) . Animation .     Right hip bone . Animation .     Right hip bone . External surface .     Right hip bone . Internal surface .     Left hip - joint , opened by removing the floor of the acetabulum from within the pelvis .     Hip bone. Medial view .     Hip bone . Lateral view .     References ( edit )   This article incorporates text in the public domain from page 231 of the 20th edition of Gray 's Anatomy ( 1918 )    Jump up ^ Merriam Webster , http://www.merriam-webster.com/medical/hip+bone   ^ Jump up to : Bojsen - Møller , Finn ; Simonsen , Erik B. ; Tranum - Jensen , Jørgen ( 2001 ) . Bevægeapparatets anatomi ( Anatomy of the Locomotive Apparatus ) ( in Danish ) ( 12th ed . ) . pp. 237 -- 239 . ISBN 978 - 87 - 628 - 0307 - 7 .   Jump up ^ `` Gray 's Anatomy '' . 1918 . Archived from the original on 2009 - 12 - 22 .   Jump up ^ `` pelvimetry '' at Dorland 's Medical Dictionary   Jump up ^ TheFreeDictionary &gt; hip fracture Citing : McGraw - Hill Concise Dictionary of Modern Medicine . Copyright 2002   ^ Jump up to : Romer , Alfred Sherwood ; Parsons , Thomas S. ( 1977 ) . The Vertebrate Body . Philadelphia , PA : Holt - Saunders International . pp. 188 -- 192 . ISBN 0 - 03 - 910284 - X .   Jump up ^ Dines , James P. , et al. `` Sexual selection targets cetacean pelvic bones . '' Evolution 68.11 ( 2014 ) : 3296 - 3306 .    External links ( edit )       Wikimedia Commons has media related to Hip bone .      hip / hip % 20bones / bones3 at the Dartmouth Medical School 's Department of Anatomy              Bones of the pelvis     General     sacrum   coccyx   hip bone       Ilium      body     arcuate line       wing      gluteal lines     posterior   anterior   inferior       iliac spines     anterior superior   anterior inferior   posterior superior   posterior inferior       other :     crest   tuberosity   tubercle   fossa             Ischium      body     ischial spine   lesser sciatic notch       superior ramus     tuberosity of the ischium       inferior ramus     no substructures          Pubis      body     pubic crest       superior ramus     pubic tubercle   obturator crest       inferior ramus     pectineal line          Compound     acetabulum   acetabular notch     iliopubic eminence / iliopectineal line   linea terminalis   ischiopubic ramus / pubic arch   Foramina   obturator foramen   greater sciatic foramen / greater sciatic notch   lesser sciatic foramen     Landmarks   pelvic inlet   pelvic brim   pelvic outlet          Anatomy portal   Retrieved from `` https://en.wikipedia.org/w/index.php?title=Hip_bone&amp;oldid=861010162 '' Categories :   Wikipedia articles incorporating text from the 20th edition of Gray 's Anatomy ( 1918 )   Bones of the lower limb   Bones of the pelvis   Irregular bones   Skeletal system   Pelvis   Hidden categories :   CS1 Danish - language sources ( da )   All articles with dead external links   Articles with dead external links from September 2016           Talk                                           Contents                   About Wikipedia                                                 Afrikaans     Azərbaycanca   বাংলা   Башҡортса   Bosanski   Brezhoneg   Català   Čeština   Ελληνικά   Español   Euskara   فارسی   Français   Galego   </t>
    </r>
    <r>
      <rPr>
        <sz val="11"/>
        <color rgb="FF000000"/>
        <rFont val="Noto Sans CJK SC"/>
        <family val="2"/>
      </rPr>
      <t xml:space="preserve">한국어   </t>
    </r>
    <r>
      <rPr>
        <sz val="11"/>
        <color rgb="FF000000"/>
        <rFont val="Calibri"/>
        <family val="0"/>
        <charset val="1"/>
      </rPr>
      <t xml:space="preserve">Ido   Italiano   Latviešu   Lietuvių   Македонски   Polski   Português   Русский   Shqip   Slovenščina   کوردی   Српски / srpski   Srpskohrvatski / српскохрватски   Suomi   Svenska   தமிழ்   Українська   Tiếng Việt   </t>
    </r>
    <r>
      <rPr>
        <sz val="11"/>
        <color rgb="FF000000"/>
        <rFont val="Noto Sans CJK SC"/>
        <family val="2"/>
      </rPr>
      <t xml:space="preserve">中文  </t>
    </r>
    <r>
      <rPr>
        <sz val="11"/>
        <color rgb="FF000000"/>
        <rFont val="Calibri"/>
        <family val="0"/>
        <charset val="1"/>
      </rPr>
      <t xml:space="preserve">26 more  Edit links   This page was last edited on 24 September 2018 , at 15 : 36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</si>
  <si>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 the ilium the ischium and the pubis meet</t>
  </si>
  <si>
    <t xml:space="preserve"> The hip bone is formed by three parts : ilium , ischium , and pubis . At birth , these three components are separated by hyaline cartilage . They join each other in a Y - shaped portion of cartilage in the acetabulum . By the end of puberty the three regions will have fused together , and by the age of 25 they will have ossified . The two hip bones join each other at the pubic symphysis . Together with the sacrum and coccyx , the hip bones form the pelvis . </t>
  </si>
  <si>
    <t xml:space="preserve">Pak'nSave - Wikipedia  Pak'nSave  Jump to : navigation , search `` Pak'n Save '' redirects here . It is not to be confused with the supermarket chain in California , currently owned by Safeway Inc ...      This article needs additional citations for verification . Please help improve this article by adding citations to reliable sources . Unsourced material may be challenged and removed . ( February 2012 ) ( Learn how and when to remove this template message )     PAK'nSAVE       Type   Private subsidiary     Industry   Retail     Founded   1985 ; 32 years ago     Headquarters   Wellington , New Zealand     Number of locations   57     Parent   Foodstuffs     Website   www.paknsave.co.nz     Pak'nSave ( stylised PAK'nSAVE , originally PAK ' N SAVE ) is a New Zealand discount food warehouse chain owned by the Foodstuffs cooperative .   Founded in 1985 , Pak'nSave was the last of the three major New Zealand supermarket chains ( the other two are Countdown and New World ) to be founded . As of September 2017 , there were 57 Pak'nSave stores operating across the North and South Islands of New Zealand .   Pak'nSave's key policy is to provide everyday food and groceries at low prices , which they state in their current slogan ( as of March 2013 ) ' Our Policy : NZ 's Lowest Food Prices ' . Stores are large and have a no - frills environment , often with unlined interiors and concrete floors . Customers are left to pack their own bags , and charged for plastic bags in most stores . Many stores offer boxes set on or under a large desk where customers can pack their groceries for easier convenience . Pak'nSave is still the cheapest supermarket in New Zealand .     Contents  ( hide )   1 History   2 Operations   2.1 Competition     3 Marketing   4 Fuel discounts   4.1 Fuel sites     5 Fundraising   6 References   7 External links      History ( edit )   Pak'nSave was developed following a trip by a group of Foodstuffs executives to the United States in 1985 . On that visit they saw Cub Foods , operated by SuperValu , Pak ' n Save operated by Safeway , and other box warehouse supermarkets . Foodstuffs then copied this format in New Zealand . The original Pak'nSave format was almost an identical copy of Safeway 's Pak ' n Save chain in northern California .   The first store , styled `` PAK ' N SAVE '' , opened in June 1985 at Kaitaia in the North Island .   Operations ( edit )  Pak'nSave store in New Plymouth  As of September 2017 , there were 57 Pak'nSave stores across New Zealand .   The name probably originates from the cost - saving practice of leaving customers to pack their own groceries , with checkout operators simply placing the products purchased back into a trolley . Pak'nSave provides the cardboard boxes used for shipping products to the store , or plastic supermarket bags can be purchased at the checkout for 10 cents . Customers are encouraged to purchase longer - lasting bags or to bring their own .   The stores are laid out as supermarket aisles , but with minimalistic design , and often perpendicular to the checkout lanes rather than the traditional parallel found in other New Zealand supermarkets and retailers . Extra products that are not on shelves are stacked above the shelves on the pallets they were delivered in . meaning that the floor space can be used for retail and storage . The stores are supplied daily from their co-operative distributor Foodstuffs .   Pak'nSave stores often buys stock in bulk . This process means that stores do n't offer a wide variety of brands and pack sizes as full - service supermarkets , with products often restricted to market leaders and store brands . A 2009 Consumer magazine survey noticed the lack of range especially in the pet food and toilet paper categories .   Most stores have self checkout and some have self scanning facilities . Self - checkout facilities are small checkout for express ( 15 items or less ) purchases , where customers scan and bag their own groceries , with several self - checkouts monitored over by a single staff member for assistance and to clear any restricted transactions ( e.g. alcohol ) . Self - scanning facilities ( Shop n ' Go ) are where a pre-registered customer scans each item with a hand - held scanner as they put them in their trolley . This reduces waiting time at the checkout , with most customers only requiring to pay for the groceries , although random rescans do take place . All stores have conventional checkout operator scanning available .   Competition ( edit )   Pak'nSave's main competitors are Countdown , owned by Progressive Enterprises , and Foodstuffs ' full - service supermarket , New World .   In the annual Consumer magazine survey of supermarket prices , Pak'nSave has been named the country 's cheapest supermarket ( either unanimously or by majority of centres surveyed ) in all eleven surveys since the current survey methodology was adopted in 2003 . The latest survey was conducted in May 2013 , which was based on the purchase of forty common products , including food , non-alcoholic drinks , personal care and cleaning items ( but excluding meat , fresh fruit and vegetables due to quality comparison issues and alcohol due to local licensing rules and heavy discounting practises ) . In the survey , Pak'nSave was named cheapest in six of the seven centres surveyed ( north Auckland , south - east Auckland , Tauranga , Napier - Hastings , Christchurch and Dunedin ) , and was named second - cheapest in the remaining centre ( Wellington ) behind Countdown .   Pak'nSave also came out the cheapest supermarkets in the 2001 and 2002 Consumer magazine surveys . These surveys were paper surveys where prices on 140 items were recorded by surveyors visiting the supermarket and recording the shelf prices . However , the method was prone to supermarkets cheating by temporarily marking down shelf prices while the surveyor was in store , and the method was scrapped in 2003 . Since then , the survey is conducted on only forty items , purchased by undercover surveyors through the checkouts and the prices taken from the till receipt , with the food purchased donated to local food banks .   Marketing ( edit )   Pak'nSave is well known for its `` cut price '' television and print adverts utilising a stick figure , named `` Stickman '' , in black on a yellow background ( occasionally , the colour scheme is reversed , including during the 2011 Rugby World Cup and the 2012 Summer Olympics ) . The television adverts are voiced by comedian Paul Ego .   In 2011 , the Stickman adverts were one of the finalists for Best Ad in the annual Fair Go Ad Awards , but ultimately lost ( by landslide ) to the New Zealand Lotteries Commission 's `` Wilson the Dog '' adverts .   Fuel discounts ( edit )   Pak'nSave offers fuel discounts to shoppers for spending a qualifying amount on shopping . Pak'nSave stores with on - site Pak'nSave fuel filling stations offer vouchers to use at these stations . The Pak'nSave fuel vouchers are unique in that they can only be used at the fuel site associated with the store of purchase , whereas all other New Zealand supermarkets ' fuel discount vouchers operate at any participating station across the country . Stores without on - site Pak'nSave fuel filling stations offer vouchers for use at Mobil service stations ( before January 2013 , the vouchers were accepted at Mobil instead ) . Competition for fuel discounts has grown in the past few years , with cases of offering discounts of 50 cents per litre to customers when they spend at least $400 in store . The standard fuel price at the Pak'nSave pump can often be higher than that of neighbouring service stations , thereby partially negating the Pak'nSave discount .   Fuel sites ( edit )   In December 2002 , the first Pak'nSave fuel site was opened at the Pak'nSave in Tamatea . It was originally owned by BP New Zealand and Foodstuffs . More fuel sites were opened in more Pak'nSave stores and New World joined for the fuel sites later . In 2012 , when BP New Zealand ended its contract with Foodstuffs , they changed ownership to Mobil and Foodstuffs .   Fundraising ( edit )   In November 2015 Pak'nSave stores around New Zealand participated in the annual Movember fundraising effort , raising NZ $106,000 for Movember New Zealand . This was the largest sum ever raised by a New Zealand company for the charity .   References ( edit )    Jump up ^ `` Pak'nSave wins price fight again '' . Bay of Plenty Times . 22 February 2015 . Retrieved 21 March 2015 .   Jump up ^ `` Pak'nSave Wins the Supermarket Price Wars '' . Scoop. 5 November 2014 . Retrieved 21 March 2015 .   ^ Jump up to : Allen , Christine ( 5 August 2015 ) . `` Couple 's big gamble paid off '' . The Northern Advocate . Retrieved 25 March 2016 .   Jump up ^ `` Store Map PAK'nSAVE '' . www.paknsave.co.nz . Retrieved 12 September 2017 .   Jump up ^ Vass , Beck ( 11 September 2009 ) . `` Where to find the cheapest groceries '' . The New Zealand Herald . Retrieved 17 December 2009 .   Jump up ^ `` Cheapest supermarket in the country revealed '' . The New Zealand Herald . 5 June 2013 . Retrieved 11 June 2013 .   Jump up ^ Dearnaley , Matthew ( 5 September 2003 ) . `` Grocers scramble after ' skulduggery ' in survey '' . The New Zealand Herald . Retrieved 22 February 2012 .   Jump up ^ `` Comedians freestyle through laughs '' . The Southland Times ( via Stuff.co.nz ) . 29 November 2012 . Retrieved 31 January 2013 .   Jump up ^ `` Fair Go ad awards - 26 October '' . Television New Zealand . 26 October 2011 . Retrieved 23 February 2012 .   Jump up ^ `` Pak ' N Save sets Movember record '' . Stuff . Retrieved 2015 - 12 - 03 .    External links ( edit )    Official website   Retrieved from `` https://en.wikipedia.org/w/index.php?title=Pak%27nSave&amp;oldid=807800248 '' Categories :   Supermarkets of New Zealand   Catering and food service companies of New Zealand   Retail companies established in 1985   Discount stores   1985 establishments in New Zealand   Hidden categories :   Use New Zealand English from August 2015   All Wikipedia articles written in New Zealand English   Use dmy dates from January 2013   Articles needing additional references from February 2012   All articles needing additional references   Pages using deprecated image syntax   All articles with unsourced statements   Articles with unsourced statements from November 2016           Talk                                           Contents                   About Wikipedia                                           Русский   Edit links   This page was last edited on 30 October 2017 , at 05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</si>
  <si>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founder of pak n save</t>
  </si>
  <si>
    <t xml:space="preserve"> Pak'nSave was developed following a trip by a group of Foodstuffs executives to the United States in 1985 . On that visit they saw Cub Foods , operated by SuperValu , Pak ' n Save operated by Safeway , and other box warehouse supermarkets . Foodstuffs then copied this format in New Zealand . The original Pak'nSave format was almost an identical copy of Safeway 's Pak ' n Save chain in northern California . </t>
  </si>
  <si>
    <t xml:space="preserve">Flora of India - Wikipedia  Flora of India    Lotus , the national flower of India    Part of a series on the     Wildlife of India         Biodiversity ( show )   Flora   Fauna     Lists     Amphibians   Ants   Birds     Butterflies   Fish   Mammals     Molluscs   Moths   Odonates     Reptiles   Spiders     Endangered animals       Protected areas ( show )   Biosphere reserves     Wildlife sanctuaries     Conservation areas     Private protected areas   Reserved and protected forests Conservation and community reserves   Communal forests     Lists     National parks     Ramsar Sites       Conservation ( show )   Projects     Tiger   Elephant     Acts of Parliament     Indian Forest Act 1927     Wildlife Protection Act 1972     Wildlife Protection Act 2002       Organisations ( show )   National   Ministry of Environment and Forests   National Biodiversity Authority     Indian Forest Service / Survey     Forest Institute     Wildlife Institute     Tiger Conservation Authority     Zoo Authority     International   Convention on International Trade in Endangered Species ( CITES ) International Union for Conservation of Nature ( IUCN ) South Asian Zoo Association ( SAZARC ) World Association of Zoos and Aquariums ( WAZA ) World Society for the Protection of Animals ( WSPA ) World Wide Fund for Nature ( WWF )     Related topics ( show )   Indian natural history     Environmental issues     Fossil parks     Forestry   Tourism     Lists     Ecoregions     Botanical gardens     Zoological gardens         Portal                   The flora of India is one of the richest in the world due to the wide range of climate , topology and habitat in the country . There are estimated to be over 18,000 species of flowering plants in India , which constitute some 6 - 7 percent of the total plant species in the world . India is home to more than 50,000 species of plants , including a variety of endemics . The use of plants as a source of medicines has been an integral part of life in India from the earliest times . There are more than 3000 Indian plant species officially documented as possessing great medicinal potential . India is divided into eight main floristic regions : Western Himalayas , Eastern Himalayas , Assam , Indus plain , Ganges plain , the Deccan , Malabar and the Andaman Islands .   Contents    1 Forests and wildlife resource   2 See also   3 References   4 External links    Forests and wildlife resource ( edit )  Mudumalai Wildlife Reserve in Tamil Nadu  In 1992 , around 7 , 43,534 km of land in the country was under forests and 92 percent of that belongs to the government . Only 22.7 percent is forested compared to the recommended 33 percent of the National Forest Policy Resolution 1952 . Majority of it are broad - leaved deciduous trees which comprise one - sixth sal and one - tenth teak . Coniferous types are found in the northern high altitude regions and comprise pines , junipers and deodars . India 's forest cover ranges from the tropical rainforest of the Andaman Islands , Western Ghats , and Northeast India to the coniferous forest of the Himalaya . Between these extremes lie the sal - dominated moist deciduous forest of eastern India ; teak - dominated dry deciduous forest of central and southern India ; and the babul - dominated thorn forest of the central Deccan and western Gangetic plain . Pine , fir , spruce , cedar , larch and cypress are the timber - yielding plants of which several also occur widely in the hilly regions of India   See also ( edit )    Flora of the Indian epic period   Indian Council of Forestry Research and Education    References ( edit )    Jump up ^ Majid , Husain ( 2014 - 01 - 01 ) . Geography of India . McGraw - Hill Education . p. 5.2 . ISBN 9789351343578 .   Jump up ^ Nag , Prithvish ; Sengupta , Smita ( 1992 - 01 - 01 ) . Geography of India . Concept Publishing Company . p. 79 . ISBN 9788170223849 .     SPECIES CHECKLIST : Species Diversity in India ; ENVIS Centre : Wildlife &amp; Protected Areas ( Secondary Database ) ; Wildlife Institute of India ( WII )   ENVIS Centre : Wildlife &amp; Protected Areas ( Secondary Database ) ; Wildlife Institute of India ( WII )   Free EBOOK : Special Habitats and Threatened Plants of India ; Wildlife Institute of India ( WII )   ENVIS Centre on Conservation of Ecological Heritage and Sacred Sights of India ; ENVIS ; C.P.R. Environmental Education Centre is a Centre of Excellence of the Ministry of Environment and Forests , Government of India .    External links ( edit )       Wikimedia Commons has media related to Flora of India .      List of Indian medicinal plants on the Biodiversity of India website . A list of 932 commercially traded Indian medicinal plants ( as per the ENVIS - FRLHT database ) and their taxonomic status .   Hooker , J.D. Flora of British India Volume 1   Hooker , J.D. Flora of British India Volume 2   Hooker , J.D. Flora of British India Volume 3   Hooker , J.D. Flora of British India Volume 4   Hooker , J.D. Flora of British India Volume 5   Hooker , J.D. Flora of British India Volume 6   Flora of Andhra Pradesh By Sharfudding Khan   Flora of Andhra Pradesh by RD Reddy              Geography of India     Climate     Climate   Climatic regions       Geology     Fossil Parks   Geology of India   Indian Plate   Stones       Landforms     Beaches   Canals   Desert   Extreme points   Glaciers   Islands   Lakes   Mountains   Rivers   Valleys   Volcanoes   Waterfalls   Plains   Indo - Gangetic   Eastern Coastal   Western Coastal         Regions     North India   Northeast India   East India   South India   West India   Central India       Subdivisions     Autonomous administrative divisions   States and territories   Districts   Cities   Towns   Municipalities       Environment     Biogeographic classification   Ecoregions   Fauna   Flora   Forests   Issues   Protected Areas   Wildlife                 Flora of Asia     Sovereign states     Afghanistan   Armenia   Azerbaijan   Bahrain   Bangladesh   Bhutan   Brunei   Cambodia   China   Cyprus   East Timor ( Timor - Leste )   Egypt   Georgia   India   Indonesia   Iran   Iraq   Israel   Japan   Jordan   Kazakhstan   North Korea   South Korea   Kuwait   Kyrgyzstan   Laos   Lebanon   Malaysia   Maldives   Mongolia   Myanmar   Nepal   Oman   Pakistan   Philippines   Qatar   Russia   Saudi Arabia   Singapore   Sri Lanka   Syria   Tajikistan   Thailand   Turkey   Turkmenistan   United Arab Emirates   Uzbekistan   Vietnam   Yemen       States with limited recognition     Abkhazia   Artsakh   Northern Cyprus   Palestine   South Ossetia   Taiwan       Dependencies and other territories     British Indian Ocean Territory   Christmas Island   Cocos ( Keeling ) Islands   Hong Kong   Macau      Retrieved from `` https://en.wikipedia.org/w/index.php?title=Flora_of_India&amp;oldid=846651026 '' Categories :   Flora of India   Hidden categories :   Use dmy dates from March 2016   Use Indian English from March 2016   All Wikipedia articles written in Indian English   All articles with dead external links   Articles with dead external links from October 2017   Articles with permanently dead external links           Talk                                           Contents                   About Wikipedia                                                 ދިވެހިބަސް   മലയാളം   తెలుగు   Edit links   This page was last edited on 20 June 2018 , at 02 : 50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</si>
  <si>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species of plants are found in india</t>
  </si>
  <si>
    <t xml:space="preserve"> The flora of India is one of the richest in the world due to the wide range of climate , topology and habitat in the country . There are estimated to be over 18,000 species of flowering plants in India , which constitute some 6 - 7 percent of the total plant species in the world . India is home to more than 50,000 species of plants , including a variety of endemics . The use of plants as a source of medicines has been an integral part of life in India from the earliest times . There are more than 3000 Indian plant species officially documented as possessing great medicinal potential . India is divided into eight main floristic regions : Western Himalayas , Eastern Himalayas , Assam , Indus plain , Ganges plain , the Deccan , Malabar and the Andaman Islands . </t>
  </si>
  <si>
    <t xml:space="preserve">Automotive industry in the United Kingdom - wikipedia  Automotive industry in the United Kingdom  Jump to : navigation , search  The automotive industry in the United Kingdom is now best known for premium and sports car marques including Aston Martin , Bentley , Caterham Cars , Daimler , Jaguar , Lagonda , Land Rover , Lister Cars , Lotus , McLaren , MG , Mini , Morgan and Rolls - Royce . Volume car manufacturers with a major presence in the UK include Honda , Nissan , Toyota and Vauxhall Motors ( subsidiary of Adam Opel AG , subsidiary of the French automotive company Groupe PSA ) . Commercial vehicle manufacturers active in the UK include Alexander Dennis , Ford , GMM Luton ( owned by Adam Opel AG ) , Leyland Trucks ( owned by Paccar ) and London Taxis International ( owned by Geely ) .   In 2008 the UK automotive manufacturing sector had a turnover of £ 52.5 billion , generated £ 26.6 billion of exports and produced around 1.45 million passenger vehicles and 203,000 commercial vehicles . In that year around 180,000 people were directly employed in automotive manufacturing in the UK , with a further 640,000 people employed in automotive supply , retail and servicing . This declined to 147,000 including supply industry in 2014 ( - 18 % ) The UK is a major centre for engine manufacturing and in 2008 around 3.16 million engines were produced in the country . The UK has a significant presence in auto racing and the UK motorsport industry currently employs around 38,500 people , comprises around 4,500 companies and has an annual turnover of around £ 6 billion .   The origins of the UK automotive industry date back to the final years of the 19th century . By the 1950s the UK was the second - largest manufacturer of cars in the world ( after the United States ) and the largest exporter . However , in subsequent decades the industry experienced considerably lower growth than competitor nations such as France , Germany and Japan and by 2008 the UK was the 12th - largest producer of cars measured by volume . Since the early 1990s many British car marques have been acquired by foreign companies including BMW ( Mini and Rolls - Royce ) , SAIC ( MG ) , TATA ( Jaguar and Land Rover ) and Volkswagen Group ( Bentley ) . Rights to many currently dormant marques , including Austin , Riley , Rover and Triumph , are also owned by foreign companies .   Famous and iconic British cars include the Aston Martin DB5 , Aston Martin V8 Vantage , Bentley 41⁄2 Litre , Jaguar E-Type , Land Rover Defender , Lotus Esprit , McLaren F1 , MGB , original two - door Mini , Range Rover , Rolls - Royce Phantom III and Rover P5 . Notable British car designers include David Bache , Laurence Pomeroy , John Polwhele Blatchley , Ian Callum , Colin Chapman , Alec Issigonis , Charles Spencer King and Gordon Murray .     Contents  ( hide )   1 History   1.1 1896 to 1900   1.2 1900 to 1939   1.3 1939 to 1955   1.4 1955 to 1968   1.5 1968 to 1987   1.6 1987 to 2001   1.7 2001 to 2011   1.8 2011 to present     2 Assembly plants   3 Production data   3.1 Production forecast     4 Car design   5 Motorsport   6 Inactive marques   7 Dealership groups   8 See also   9 References   10 External links      History ( edit )   1896 to 1900 ( edit )  Frederick Simms in his Motor Scout , in June 1899 .  The inception of the British motor industry can be traced back to the late 1880s , when Frederick Simms , a London - based consulting engineer , became friends with Gottlieb Daimler , who had , in 1885 , patented a successful design for a high - speed petrol engine . Simms acquired the British rights to Daimler 's engine and associated patents and from 1891 successfully sold launches using these Cannstatt - made motors from Eel Pie Island in the Thames . In 1893 he formed The Daimler Motor Syndicate Limited for his various Daimler - related enterprises .   In June 1895 Simms and his friend Evelyn Ellis promoted motorcars in the United Kingdom by bringing a Daimler - engined Panhard &amp; Levassor to England and in July it completed , without police intervention , the first British long - distance motorcar journey from Southampton to Malvern .   Simms ' documented plans to manufacture Daimler motors and Daimler Motor Carriages ( in Cheltenham ) were taken over , together with his company and its Daimler licences , by London company - promoter HJ Lawson . Lawson contracted to buy The Daimler Motor Syndicate Limited and all its rights and on 14 January 1896 formed and in February successfully floated in London The Daimler Motor Company Limited . It then purchased from a friend of Lawson a disused cotton mill in Coventry for car engine and chassis manufacture where , it is claimed , the UK 's first serial production car was made .  Daimler shooting brake 6 hp , twin - cylinder , 1526 cc engine , mounted at the front of the car , four - speed gearbox and chain drive manufactured Coventry 1897 in the UK 's first series production run Louwman Museum  The claim for the first all - British motor car is contested , but George Lanchester 's first cars of 1895 and 1896 did include French and German components . In 1891 Richard Stephens , a mining engineer from South Wales , returned from a commission in Michigan to establish a bicycle works in Clevedon , Somerset . Whilst in America he had seen the developments in motive power and by 1897 he had produced his first car . This was entirely of his own design and manufacture , including the two - cylinder engine , apart from the wheels which he bought from Starley in Coventry . This was probably the first all - British car and Stephens set up a production line , manufacturing in all , twelve vehicles , including four - and six - seater cars and hackneys , and nine - seater buses .   Early motor vehicle development in the UK had been effectively stopped by a series of Locomotive Acts introduced during the 19th century which severely restricted the use of mechanically propelled vehicles on the public highways . Following intense advocacy by motor vehicle enthusiasts , including Harry J. Lawson of Daimler , the worst restrictions of these acts , ( the need for each vehicle to be accompanied by a crew of three , and a 2 mph ( 3.2 km / h ) speed limit in towns ) , was lifted by the Locomotives on Highways Act 1896 . Under this regulation , light locomotives ( those vehicles under 3 tons unladen weight ) were exempt from the previous restrictions , and a higher speed limit -- 14 mph ( 23 km / h ) was set for them . To celebrate the new freedoms Lawson organised the Emancipation Run held on 14 November 1896 , the day the new Act came into force . This occasion has been commemorated since 1927 by the annual London to Brighton Veteran Car Run .   1900 to 1939 ( edit )  The Rolls - Royce 10 hp , which was the first car to be produced as a result of the agreement between Charles Rolls and Henry Royce .  The early British vehicles of the late 19th century relied mainly upon developments from Germany and France . By 1900 however , the first all - British 4 - wheel car had been designed and built by Herbert Austin as manager of The Wolseley Sheep Shearing Machine Company . In 1901 , backed by ( Vickers Limited ) brothers ' Colonel Tom ' and Albert Vickers , Austin started what became Wolseley Motors Limited in Birmingham and UK 's largest car manufacturer until Ford in 1913 .   The great bulk of the pioneering car producers , many of them from the bicycle industry , got off to a shaky start . Of the 200 British makes of car that had been launched up until 1913 , only about 100 of the firms were still in existence . In 1910 UK vehicle production was 14,000 units . By 1913 Henry Ford had built a new factory in Manchester and was the leading UK producer , building 7310 cars that year , followed by Wolseley at 3000 , Humber ( making cars since 1898 in Coventry ) at 2500 , Rover ( Coventry car maker since 1904 ) at 1800 and Sunbeam ( producing cars since 1901 ) at 1700 , with the plethora of smaller producers bringing the 1913 total up to about 16,000 vehicles . Car production virtually came to an end during the war years 1914 -- 1918 , although the requirements of war production led to the development of new mass - production techniques in the motor industry .  A 1934 MG PA  By 1922 there were 183 motor companies in the UK , and by 1929 , following the slump years , there were 58 companies remaining . In 1929 production was dominated by Morris ( founded by William Morris in 1910 in Oxford ) and Austin ( founded by Herbert Austin in Birmingham in 1905 after he left Wolseley ) which between them produced around 60 % of total UK output . Singer ( Coventry motorcycle manufacturer started building cars in 1905 ) followed in third place that year with 15 % of production .   In 1932 the UK overtook France to become Europe 's largest car producer ( a position which it retained until 1955 ) . In 1937 the UK produced 379,310 passenger cars and 113,946 commercial vehicles . To celebrate the granting of his peerage , William Morris upon becoming Viscount Nuffield , reorganised his motor vehicle companies in 1938 , which by then included not only Morris Motors and MG , but also Wolseley and Riley ( bicycle company founded in Coventry in 1890 and making cars since 1913 ) , into the Nuffield Organisation . In 1939 the top producers were Morris : 27 % , Austin : 24 % , Ford : 15 % , Standard ( founded in Coventry in 1903 ) : 13 % , Rootes ( which had acquired Humber and Sunbeam ) : 11 % , Vauxhall ( building cars since 1903 , acquired by GM in 1925 ) : 10 % .   1939 to 1955 ( edit )  The Land Rover Series I , introduced in 1948 .  During the Second World War car production in the UK gave way to commercial and military vehicle production , and many motor vehicle plants were converted to aircraft and aero engine production . Following the war the government controlled the supply of steel , and priority was given to supplying foreign - revenue - raising export businesses . In 1947 steel was available only to businesses which exported at least 75 % of their production . This , coupled with the inevitably limited competition from continental Europe , and with demand for new vehicles in America and in Australia being greater than the American industry alone could supply , resulted in British vehicle exports reaching record levels and the UK became the world 's largest motor vehicle exporter . In 1937 the UK provided 15 % of world vehicle exports . By 1950 , a year in which 75 % of British car production and 60 % of its commercial vehicle production was exported , the UK provided 52 % of the world 's exported vehicles .   This situation remained until the mid-1950s , by which time the American industry production had caught up with American demand , and European production was recovering . By 1952 the American owned producers in the UK ( Ford and GM 's Vauxhall ) had between them a 29 % share of the British market , which exceeded the share of either of the UK 's two top domestically owned manufacturers . It was in that context that Viscount Nuffield agreed to the merger of his company , the Nuffield Organisation , with Austin , to form the British Motor Corporation ( BMC ) . Thus BMC , comprising Austin , Morris , MG , Riley and Wolseley was formed in 1952 and commanded a 40 % share of the British market . German production was increasing yearly , and by 1953 it had exceeded that of France , and by 1956 it had overtaken that of the UK .   1955 to 1968 ( edit )  Jaguar E-type ( introduced 1961 )  By 1955 five companies produced 90 % of the UK 's motor vehicle output : BMC , Ford , Rootes , Standard - Triumph and Vauxhall . Of the dozen or so smaller producers Rover and Jaguar were strong niche producers . By 1960 the UK had dropped from being the world 's second largest motor vehicle producer into third place . Labour - intensive methods , and wide model ranges hindered opportunities to reduce manufacturing costs -- the UK 's unit costs were higher than those of their major Japanese , European and American competitors . Although rationalisation of motor vehicle companies had started , full integration did not occur . BMC continued to produce vehicles under the marque names of its incorporated companies , many of which competed with each other . Standard - Triumph 's attempts to reduce costs by embracing a modern volume production strategy almost led to their bankruptcy in 1960 , the result was that they were purchased by the commercial vehicle manufacturing company Leyland Motors . In 1966 , BMC and Jaguar came together , to form British Motor Holdings ( BMH ) . Leyland had achieved some sales success with Leyland - Triumph and in 1967 it acquired Rover . By 1966 the UK had slipped to become the world 's fourth largest motor vehicle producer . Following a gradual process which had begun in 1964 , Chrysler UK ( CUK ) had fully acquired Rootes by 1967 .  1967 Mini ( introduced 1959 )  In the context of BMC 's wide , complex , and expensive - to - produce model range , Ford 's conventionally designed Cortina challenging for the number one spot in the domestic market , and the heavy reliance of the British economy on motor vehicle production , in 1968 the Government brokered the merger of the successful Leyland - Triumph - Rover and the struggling BMH , to form Europe 's fourth - largest car maker , the British Leyland Motor Corporation ( BLMC ) . The new company announced its intention to invest in a new volume car range , and to equip its factories with the latest capital - intensive production methods .   BMC 's Mini , designed by Alec Issigonis , had revolutionized the small car market in 1959 , and the car remained among the UK 's best selling cars for more than 20 years after its launch , the last version finally rolling off the production line on 4 October 2000 after a run of 41 years . The Rootes Group launched the similar - sized Hillman Imp four years later , but by the end of the 1960s Ford and Vauxhall had yet to launch a comparable product , and even with foreign imports slowly starting to gain ground on the British market , Italy 's Fiat 500 was one of the few comparable alternatives to the virtual monopoly of the Mini and Hillman Imp in this sector of the market .   Also designed by Alec Issigonis was the Morris Minor , which was heavily updated in 1956 having originally gone into production in 1948 . It earned a reputation for low running costs , good reliability and competitive pricing , and continued to sell well throughout the 1960s in spite of the popularity of BMC 's 1100 / 1300 range which was launched in 1962 , The Morris Minor was also the first British car to reach one million in production in 1961 with this record number reached a special model of the Morris Minor was created and sent to all of the main dealerships under the name `` Morris Million '' .   Ford 's competitor in this sector was the Anglia , which featured unconventional styling but was still one of the country 's most successful cars from its launch in 1959 up to the end of production in 1967 , after which it was replaced by the Escort . Other British competitors in this sector were the Vauxhall Viva and Hillman Minx .   Larger family cars enjoyed strong sales in the 1960s , namely the Ford Cortina ( launched in 1962 ) , Austin / Morris 1800 ( 1964 ) and Vauxhall Victor ( 1957 ) . Later in the 1960s , the Rootes Group launched a new competitor in this growing sector of the market - the Hillman Hunter .   The Rover P6 , launched in 1963 and the first winner of the European Car of the Year award , was arguably the most popular luxury model in the UK during the 1960s .   The iconic Jaguar E-Type sports car , designed by Malcolm Sayer , with a top speed of 145 mph and the choice of a coupe or roadster bodystyle , was launched in 1961 and would remain in production until 1975 . Cheaper sports cars also enjoyed strong sales during the 1960s , including the MG B and Triumph Spitfire which were launched in the early part of the decade , and the Ford Capri which was launched just before the decade 's end .   The 1960s saw a slow but sure increase in the popularity of foreign cars on the British market . Volkswagen of West Germany had imported the iconic Beetle to Britain since 1953 ; this car was first launched in 1937 as a `` people 's car '' for the German market under the Nazi regime . Its arrival on the UK market less than a decade after the end of World War II was met with hostility , with many examples being vandalised soon after being distributed , but it quickly became popular , with nearly 10,000 being sold in 1959 . Volkswagen also began importing examples of its people carrier and van models , and by 1963 had sold 100,000 cars in Britain. Renault of France had actually built UK market versions of its cars at a site in Acton , West London , from 1902 until 1962 , but its popularity actually increased after the end of UK production , helped by the arrival of the Renault 4 minicar in 1961 and the world 's first production hatchback model , the Renault 16 , in 1965 . By the end of the decade , it had launched a smaller hatchback model , the Renault 6 , and a mid-range saloon , the Renault 12 , and was continuing to grow in popularity . Renault 's French rival Peugeot also enjoyed success in the 1960s with its 404 saloon and even more so with its successor , the 504 , which was launched in 1968 . This set the scene for even more sales for foreign carmakers on the UK market during the next two decades , as their market share continued to grow .   Japanese cars also started to appear on the UK market during the 1960s , although they were a rare on British roads until exploding in popularity during the early 1970s . The Daihatsu Compagno was the first Japanese car to be sold in Britain when imports began during 1964 . This car was not popular with British buyers and was withdrawn from sale within a few years , although Daihatsu would return to the UK market in the early 1980s . A year later , Toyota became the second Japanese carmaker to import cars to Britain . It was followed shortly afterwards by Nissan ( which used the Datsun brand for the UK market ) and Mazda . Honda was also enjoying great success on the motorcycle market by this stage , although it did n't start importing passenger cars to the UK until 1972 .   1968 to 1987 ( edit )  The first - generation Range Rover , which was in production from 1970 to 1996 .  By 1968 UK motor vehicle production was dominated by four companies : BLMC , Chrysler ( UK ) , Ford , and Vauxhall ( GM ) . The Rootes Group had taken on the name Chrysler UK after its takeover by the American car giant Chrysler , which had also taken over French carmaker Simca .   The national champion , BLMC ( British Leyland from 1968 ) , was handicapped in its attempts to modernise by internal rivalries . Unattractive new products ( particularly the Austin Allegro and Morris Marina ) which were widely criticised by the motoring press , retention of legacy marques and models , labour disputes , quality issues , supplier problems and inefficient use of new equipment thwarted the dream of efficient high volume production . Increased overseas competition , arising from lowered tariffs and membership of the European Union , and high unit costs , led to low profits , which in turn jeopardised investment plans . Although the cars continued to sell well in Britain , they were less popular on overseas markets . As well as that , the company often produced several cars to compete in the same market sector . For instance , it produced four competitors for the Ford Cortina at the same time - the Morris Marina , Austin Maxi , Triumph Dolomite and Leyland Princess .   Japanese cars , particularly the Datsun badged cars built by Nissan enjoyed a strong surge in popularity during the first half of the 1970s , while French carmaker Renault and West German carmaker Volkswagen also enjoyed an upturn on the British market , helped by the arrival of well received new cars , particularly the Renault 5 in 1972 and Volkswagen Golf in 1974 .   The fortunes of foreign carmakers on the British market were also assisted by the fact that most British manufacturers adopted the hatchback bodystyle , mostly featuring front - wheel drive , considerably later than their continental rivals . For instance , the arrival of the front - wheel drive Volkswagen Golf hatchback in 1974 came four years before any of the four British - based carmakers had launched an equivalent car . By the time the first small British - built hatchback , the Vauxhall Chevette , was launched in 1975 , the French Renault 5 had already been in production for three years . However , British Leyland 's larger Austin Maxi had been sold with a hatchback and front - wheel drive since its 1969 launch , although it sold similar - sized cars like the Morris Marina and Triumph Dolomite alongside it as a rear - wheel drive saloon alternative , with the Dolomite being sold further upmarket than the Marina . For buyers wanting six - cylinder and larger four - cylinder engines , the Princess was launched in 1975 . Chrysler launched the Alpine for this market sector in 1975 , featuring front wheel drive and a hatchback , but kept the Hunter in production alongside it until 1979 for buyers who still preferred rear - wheel drive and a saloon or estate bodystyle .   At the luxury end of the market , British Leyland was actually one of the first manufacturers in the world to put a hatchback on an upmarket car when it launched the Rover SD1 in 1976 . This car signalled the beginning of rationalisation at British Leyland , with the SD1 replacing two model ranges - the Rover P6 and Triumph 2000 / 2500 .   The popularity of Nissan 's range of Datsun - badged cars in the 1970s was largely down to their low prices , cheap running costs , good equipment levels and a reputation for better reliability than most British cars , although these cars also went on to gain a reputation for being prone to rust .   BLMC 's share of the UK market dropped from 40 % to 32 % between 1971 and 1973 , with its new Morris Marina and Austin Allegro family cars selling well on the British market but not proving popular on many export markets , with the motoring media being critical of the styling of these new models as well as questions regarding the level of quality .  The Triumph Dolomite Sprint , in production from 1973 to 1980 .  By 1974 the UK 's position as a world motor vehicle manufacturer had dropped to sixth place . In 1974 , both BLMC and Chrysler UK appealed to the Government for financial help . The Government rejected the idea of a merger between the two companies , and instead Chrysler UK received a loan and BLMC was subjected to a series of studies to determine its future . The Government 's official BLMC enquiry , led by Lord Ryder , suggested that BLMC 's strategy was sound , but required huge Government investment to improve productivity by providing mechanisation and improving labour relations .   Despite the effective nationalisation of BLMC as British Leyland ( BL ) in 1975 , the recovery never happened . Chrysler sold its European interests ( including those in the UK ) to Peugeot in 1978 , to allow it to concentrate on its own difficulties in America . The UK interests were renamed Peugeot - Talbot , with production of the Chrysler - developed cars continuing , with the last Rootes - developed car , the Avenger , being discontinued in 1981 . Peugeot also developed a saloon version of the Alpine called the Solara , and also launched the larger Tagora , which had been in development by Chrysler when it sold its European operations . It also replaced the entry - level Sunbeam with the Peugeot based Samba in 1981 .   As in most other developed countries , the 1970s saw major changes to the cars produced in the UK . Front - wheel drive , which had been pioneered by BMC on several new models between 1959 and 1965 , now became a common feature on family cars after decades of producing only rear - wheel drive models . The hatchback bodystyle , which had debuted in Europe on the French Renault 16 in 1965 , became more popular , with many of Britain 's best selling cars being available with a hatchback by the early 1980s .   Many Ford and Vauxhall models were also being produced at their parent company 's continental factories by 1980 . Ford had switched Capri and Granada production to Germany by this stage , while production of its new Fiesta supermini was divided between Britain , West Germany and a new plant in Spain from its 1976 launch . General Motors had not only decided to make its Vauxhall and Opel badged cars mechanically identical during the 1970s , but it had also imported some of its Vauxhall - badged cars from Opel factories in West Germany and Belgium , and its Corsa supermini ( Vauxhall Nova in the UK ) was solely assembled at a factory in Zaragoza , Spain , which opened in 1982 . British Leyland 's overseas outposts in countries like Italy ( where cars were produced under the Innocenti brand ) were gradually closed down or sold to other carmakers , so by the 1980s it was entirely a British - based operation .  The Austin Metro , which was introduced in 1980  By the end of the 1970s Ford , Peugeot - Talbot and Vauxhall ( GM ) were well integrated with their parent companies ' other European operations . BL stood alone in the UK as an increasingly junior player . As part of the drive for increased productivity in the late 1970s , BL reduced its workforce and number of plants , and strived to centralise its management activities . The city of Coventry suffered particularly badly , with many thousands becoming unemployed after the closure of the Triumph car factory in the city in 1980 .   In 1979 , BL struck a collaboration deal with Honda to share the development and production of a new mid-sized car ( Triumph Acclaim / Honda Ballade ) , which was launched in 1981 . The new car combined Honda engine and transmission designs with a BL body , as did its successor model - the Rover 200 Series - in 1984 . The next plan was to work on a new luxury car together , the end product being the Rover 800 Series , which arrived in 1986 .   Although the UK political scene changed in 1979 with the election of the Thatcher government , the Government continued to support BL with funds for the development of a new mass - market model range ( Mini Metro , Maestro , Montego and another Honda collaboration the Rover 800 ) , which were all launched between 1980 and 1986 . The Metro was the most successful of these cars .   Car assembly , with the exception of Jaguars , was concentrated into two central plants -- Longbridge and Cowley . In July 1986 BL was renamed the Rover Group .   By the mid 1980s , front - wheel drive was now the rule rather than the exception on mass market cars , with most new models having a hatchback bodystyle as at least an option . Although Ford had adopted front - wheel drive for its new Spanish built Fiesta supermini in 1976 and the third generation Escort in 1980 , it had curiously retained rear - wheel drive for its larger Sierra ( the Cortina replacement ) in 1982 , although the Sierra did feature a hatchback bodystyle and was not available as a saloon until 1987 . In 1983 , it recognised the continuing demand for smaller and medium - sized family saloons by introducing the Orion , which was based on the Escort floorpan .   The supermini sector had expanded rapidly since the early 1970s . BMC 's Mini had remained popular beyond its 20th anniversary , but successor organization British Leyland had started work on a more modern and practical alternative by the mid 1970s , the final result being the Austin Metro in 1980 - the new car featured more modern styling and a hatchback bodystyle . Chrysler Europe had axed the long - running Hillman Imp ( launched by the Rootes Group in 1963 ) in 1976 and replaced it with the Chrysler Sunbeam hatchback a year later . General Motors had already adopted this bodystyle with the Vauxhall Chevette ( which was also available as a saloon or estate ) and Ford with the Fiesta . Comparable foreign products like the Fiat 127 , Renault 5 and Volkswagen Polo were also proving popular in the UK .   Ford had now divided its European operations between its British factories and other European plants in Spain , Belgium and West Germany . General Motors had started importing some of its West German and Belgian built Opel products to the UK to be badged as Vauxhalls , and by 1983 its Nova supermini ( badged as the Opel Corsa on the continent ) was built solely in its Spanish factory . Peugeot was dividing production of most of the Talbot badged vehicles between the Ryton plant near Coventry ( the Linwood plant in Scotland closed in 1981 ) and its French factories by the early 1980s , and started producing its own models at Coventry in 1985 after deciding to axe the Talbot marque due to falling sales .   Foreign carmakers continued to gain ground on the British market during the 1980s , with the likes of Renault , Peugeot , Citroen ( France ) , Volvo ( Sweden ) , Volkswagen ( West Germany ) and Fiat ( Italy ) proving particularly popular .   The Russian - built Lada , first sold in Britain in 1974 , also sold well in Britain despite its outdated Fiat - sourced design , with buyers mostly being attracted by its low price . By the late 1980s , with the four - wheel drive Niva and a front - wheel drive hatchback , the Samara , complimenting the long - running Riva , Lada sales in Britain had amounted to more than 30,000 a year ( some 1.5 % of the new car market ) , but tailed off after 1990 as a result of growing competition and a lack of new model launches . Imports to Britain finally ceased in 1997 due to Lada 's difficulties in meeting emissions requirements . Skoda also enjoyed similarly decent sales of its well - priced rear - engined saloon cars during the 1970s and 1980s , going from strength to strength in the 1990s following its takeover by Volkswagen and the launch of new model ranges with modern technology and styling . Zastava 's Yugo - badged cars , based on Fiat designs from the 1970s , also sold reasonably well in Britain during the 1980s , but the carmaker was forced to halt imports in 1992 due to sanctions imposed on Yugoslavia as a result of the civil war there . Polish carmaker FSO imported its version of the Fiat 125 to Britain from 1975 , later launching a hatchback model ( the Polonez ) alongside it . However , by 1998 , Skoda was the only Eastern European carmaker still importing cars to Britain , now competing with budget - priced Far Eastern cars from the likes of Daewoo , Kia , Hyundai and Proton .   Nissan had axed the Datsun brand by 1984 and used its own name on all cars , and in 1986 opened a factory in Britain near Sunderland , which produced the mid-range Bluebird hatchbacks and saloons , although it was the Japanese - built Micra which was the company 's best - selling car in Britain during the 1980s .   The decade also saw the arrival of purpose - built people carriers on the British market , starting with the Japanese Mitsubishi Space Wagon in 1984 , and then the market - leading Renault Espace in 1985 , but by the end of the decade this type of vehicle still had only a very small share of the British market and there were still no British - built people carriers available , although a few seven - seater estate models including Austin Rover 's Montege were being produced .   The decade also saw a fall in demand for sports cars , perhaps due to the rising popularity of `` hot hatchbacks '' ( high performance versions of hatchback cars ) , and so a number of manufacturers pulled out of the sports car market . British Leyland finished production of its MG and Triumph sports cars early in the decade , with no replacement . General Motors had launched coupe versions of its Cavalier mid-range model in the 1970s , but did not produce any equivalent models of the MK2 Cavalier which arrived in 1981 . It did , however , continue to offer the German - built Opel Manta to British buyers until the end of production in 1988 , replacing it with the Calibra ( also built in Germany ) a year later . Ford had enjoyed success in the 1970s with its Capri coupe , but this declined in popularity after 1980 and when production ended in 1986 , there was no direct replacement .   As well as the rebranding of the former Rootes Group and its eventual integration into Peugeot , the 1980s also saw the disappearance of several long - established car brands . Production of MG sports cars finished when the Abingdon factory closed in 1980 , although the</t>
  </si>
  <si>
    <t xml:space="preserve">which non-british company owns both the famous british rolls- royce and mini brands</t>
  </si>
  <si>
    <t xml:space="preserve"> The origins of the UK automotive industry date back to the final years of the 19th century . By the 1950s the UK was the second - largest manufacturer of cars in the world ( after the United States ) and the largest exporter . However , in subsequent decades the industry experienced considerably lower growth than competitor nations such as France , Germany and Japan and by 2008 the UK was the 12th - largest producer of cars measured by volume . Since the early 1990s many British car marques have been acquired by foreign companies including BMW ( Mini and Rolls - Royce ) , SAIC ( MG ) , TATA ( Jaguar and Land Rover ) and Volkswagen Group ( Bentley ) . Rights to many currently dormant marques , including Austin , Riley , Rover and Triumph , are also owned by foreign companies . </t>
  </si>
  <si>
    <t xml:space="preserve">Los Angeles Dodgers - wikipedia  Los Angeles Dodgers  Jump to : navigation , search `` Dodgers '' redirects here . For other uses , see Dodger ( disambiguation ) .      This article needs additional citations for verification . Please help improve this article by adding citations to reliable sources . Unsourced material may be challenged and removed . ( July 2015 ) ( Learn how and when to remove this template message )       Los Angeles Dodgers     2018 Los Angeles Dodgers season     Established in 1883     Based in Los Angeles since 1958              Team logo   Cap insignia        Major league affiliations       National League ( 1890 -- present )   West Division ( 1969 -- present )       American Association ( 1884 -- 1889 )       Current uniform         Retired numbers           19   20   24   32   39   42   53       Colors       Dodger blue , white , red       Name       Los Angeles Dodgers ( 1958 -- present )   Brooklyn Dodgers ( 1932 -- 1957 )   Brooklyn Robins ( 1914 -- 1931 )   Brooklyn Superbas ( 1913 )   Brooklyn Trolley Dodgers ( 1911 -- 1912 )   Brooklyn Superbas ( 1899 -- 1910 )   Brooklyn Bridegrooms ( 1896 -- 1898 )   Brooklyn Grooms ( 1891 -- 1895 )   Brooklyn Bridegrooms ( 1888 -- 1890 )   Brooklyn Grays ( 1885 -- 1887 )   Brooklyn Atlantics ( 1884 )   ( 1932 is the first year in which the nickname appeared on the uniforms of the Brooklyn Base Ball Club ) .     Other nicknames       The Boys In Blue , The Blue Crew , Los Doyers       Ballpark       Dodger Stadium ( 1962 -- present )   Los Angeles Memorial Coliseum ( 1958 -- 1961 )   Roosevelt Stadium ( Jersey City , New Jersey ) ( 1956 -- 1957 )   Ebbets Field ( Brooklyn ) ( 1913 -- 1957 )   Washington Park ( II ) ( Brooklyn ) ( 1898 -- 1912 )   Eastern Park ( Brooklyn ) ( 1891 -- 1897 )   Ridgewood Park ( Brooklyn ) : Sunday games only ( 1886 -- 1889 )   Washington Park ( I ) ( Brooklyn ) ( 1884 -- 1890 )       Major league titles     World Series titles ( 6 )     1955   1959   1963   1965   1981   1988       NL Pennants ( 22 )     1890   1899   1900   1916   1920   1941   1947   1949   1952   1953   1955   1956   1959   1963   1965   1966     1977   1978   1981   1988   2017       AA Pennants ( 1 )   1889     West Division titles ( 16 )       1977   1978   1981     1985   1988   1995     2008   2009   2013   2014   2015   2016   2017       Wild card berths ( 2 )       2006       Front office     Owner ( s )   Guggenheim Baseball Management     Manager   Dave Roberts     General Manager   Farhan Zaidi     President of Baseball Operations   Andrew Friedman    Jeff Pfeffer , 1916 Brooklyn Robins  The Los Angeles Dodgers are an American professional baseball team based in Los Angeles , California . The Dodgers compete in Major League Baseball ( MLB ) as a member club of the National League ( NL ) West division . Established in 1883 in Brooklyn , New York , the team moved to Los Angeles before the 1958 season . They played for four seasons at the Los Angeles Memorial Coliseum before moving to their current home of Dodger Stadium in 1962 .   The Dodgers as a franchise have won six World Series titles and 22 National League pennants. 11 NL MVP award winners have played for the Dodgers , winning a total of 13 MVP Awards , Eight Cy Young Award winners have pitched for the Dodgers , winning a total of twelve Cy Young Awards . The team has also produced 18 Rookie of the Year Award winners , twice as many as the next closest team , including four consecutive from 1979 to 1982 and five consecutive from 1992 to 1996 .     Contents  ( hide )   1 History   2 Team history   2.1 Brooklyn Dodgers   2.2 Jackie Robinson   2.3 Move to Los Angeles   2.4 Los Angeles Dodgers     3 Other historical notes   3.1 Historical records and firsts   3.2 Origin of the nickname   3.3 Uniforms   3.4 Asian players     4 Rivalries   4.1 San Francisco Giants   4.2 Los Angeles Angels of Anaheim   4.3 Historical rivalry   4.3. 1 New York Yankees       5 Fan support   6 Radio and television   7 Management   8 Achievements   8.1 Baseball Hall of Famers   8.2 Ford C. Frick Award recipients   8.3 Team captains   8.4 Retired numbers   8.5 Awards   8.6 Team records     9 Personnel   9.1 Current roster   9.2 Presidents   9.3 Managers   9.4 General Managers   9.5 Public address announcers / organists   9.6 Other     10 Minor league affiliations   10.1 Minor league rosters     11 See also   12 References   13 Further reading   14 External links      History ( edit )   In the early 20th century , the team , then known as the Robins , won league pennants in 1916 and 1920 , losing the World Series both times , first to Boston and then Cleveland . In the 1930s , the team changed its name to the Dodgers , named after the Brooklyn pedestrians who dodged the streetcars in the city . In 1941 , the Dodgers captured their third National League pennant , only to lose to the New York Yankees . This marked the onset of the Dodgers -- Yankees rivalry , as the Dodgers would face them in their next six World Series appearances . Led by Jackie Robinson , the first black Major League Baseball player of the modern era ; and three - time National League Most Valuable Player Roy Campanella , also signed out of the Negro Leagues , the Dodgers captured their first World Series title in 1955 by defeating the Yankees for the first time , a story notably described in the 1972 book The Boys of Summer .   Following the 1957 season the team left Brooklyn . In just their second season in Los Angeles , the Dodgers won their second World Series title , beating the Chicago White Sox in six games in 1959 . Spearheaded by the dominant pitching style of Sandy Koufax and Don Drysdale , the Dodgers captured three pennants in the 1960s and won two more World Series titles , sweeping the Yankees in four games in 1963 , and edging the Minnesota Twins in seven in 1965 . The 1963 sweep was their second victory against the Yankees , and their first against them as a Los Angeles team . The Dodgers won four more pennants in 1966 , 1974 , 1977 and 1978 , but lost in each World Series appearance . They went on to win the World Series again in 1981 , thanks in part to pitching sensation Fernando Valenzuela . The early 1980s were affectionately dubbed `` Fernandomania . '' In 1988 , another pitching hero , Orel Hershiser , again led them to a World Series victory , aided by one of the most memorable home runs of all time , by their injured star outfielder Kirk Gibson coming off the bench to pinch hit with two outs in the bottom of the ninth inning of game 1 , in his only appearance of the series .   The Dodgers share a fierce rivalry with the San Francisco Giants , the oldest rivalry in baseball , dating back to when the two franchises played in New York City . Both teams moved west for the 1958 season . The Brooklyn Dodgers and Los Angeles Dodgers have collectively appeared in the World Series 19 times , while the New York Giants and San Francisco Giants have collectively appeared 20 times and have been invited 21 times . The Giants have won two more World Series ( 8 ) ; the Dodgers have won 22 National League pennants , while the Giants hold the record with 23 . Although the two franchises have enjoyed near equal success , the city rivalries are rather lopsided and in both cases , a team 's championships have predated to the other 's first one in that particular location . When the two teams were based in New York , the Giants won five World Series championships , and the Dodgers one . After the move to California , the Dodgers have won five in Los Angeles , the Giants have won three in San Francisco .   Team history ( edit )   Brooklyn Dodgers ( edit )  Main article : History of the Brooklyn Dodgers  The Dodgers were founded in 1883 as the Brooklyn Atlantics , taking the name of a defunct team that had played in Brooklyn before them . The team joined the American Association in 1884 and won the AA championship in 1889 before joining the National League in 1890 . They promptly won the NL Championship their first year in the League . The team was known alternatively as the Bridegrooms , Grooms , Superbas , Robins , and Trolley Dodgers before officially becoming the Dodgers in the 1930s .   In Brooklyn , the Dodgers won the NL pennant several times ( 1890 , 1899 , 1900 , 1916 , 1920 , 1941 , 1947 , 1949 , 1952 , 1953 , 1955 , 1956 ) and the World Series in 1955 . After moving to Los Angeles , the team won National League pennants in 1959 , 1963 , 1965 , 1966 , 1974 , 1977 , 1978 , 1981 , 1988 , and 2017 , with World Series championships in 1959 , 1963 , 1965 , 1981 and 1988 . In all , the Dodgers have appeared in 19 World Series : 9 in Brooklyn and 10 in Los Angeles .   Jackie Robinson ( edit )  Main article : Jackie Robinson  For most of the first half of the 20th century , no Major League Baseball team employed an African American player . Jackie Robinson became the first African American to play for a Major League Baseball team when he played his first major league game on April 15 , 1947 , as a member of the Brooklyn Dodgers . This was mainly due to general manager Branch Rickey 's efforts . The deeply religious Rickey 's motivation appears to have been primarily moral , although business considerations were also a factor . Rickey was a member of The Methodist Church , the antecedent denomination to The United Methodist Church of today , which was a strong advocate for social justice and active later in the American Civil Rights Movement .   This event was the harbinger of the integration of professional sports in the United States , the concomitant demise of the Negro Leagues , and is regarded as a key moment in the history of the American Civil Rights movement . Robinson was an exceptional player , a speedy runner who sparked the team with his intensity . He was the inaugural recipient of the Rookie of the Year award , which is now named the Jackie Robinson Award in his honor . The Dodgers ' willingness to integrate , when most other teams refused to , was a key factor in their 1947 -- 1956 success . They won six pennants in those 10 years with the help of Robinson , three - time MVP Roy Campanella , Cy Young Award winner Don Newcombe , Jim Gilliam and Joe Black . Robinson would eventually go on to become the first African - American elected to the Baseball Hall of Fame in 1962 .   Move to Los Angeles ( edit )  Former Dodger greats who played in both Brooklyn and Los Angeles adorn the exterior of Dodger Stadium .  Real estate businessman Walter O'Malley acquired majority ownership of the Dodgers in 1950 , when he bought the 25 percent share of co-owner Branch Rickey and became allied with the widow of the another equal partner , Mrs. John L. Smith . Before long , he was working to buy new land in Brooklyn to build a more accessible and better arrayed ballpark than Ebbets Field . Beloved as it was , Ebbets Field was no longer well - served by its aging infrastructure and the Dodgers could no longer sell out the park even in the heat of a pennant race , despite largely dominating the National League from 1946 to 1957 .   O'Malley wanted to build a new , state of the art stadium in Brooklyn . But City Planner Robert Moses and New York politicians refused to grant him the eminent domain authority required to build pursuant to O'Malley's plans . To put pressure on the city , during the 1955 season , O'Malley announced that the team would play seven regular season games and one exhibition game at Jersey City 's Roosevelt Stadium in 1956 . Moses and the City considered this an empty threat , and did not believe O'Malley would go through with moving the team from New York City .   After teams began to travel to and from games by air instead of train , it became possible to include locations in the far west . Los Angeles officials attended the 1956 World Series looking to the Washington Senators to move to the West Coast . When O'Malley heard that LA was looking for a club , he sent word to the Los Angeles officials that he was interested in talking . LA offered him what New York would not : a chance to buy land suitable for building a ballpark , and own that ballpark , giving him complete control over all revenue streams . When the news came out , NYC Mayor Robert F. Wagner , Jr. and Moses made an offer to build a ballpark on the World 's Fair Grounds in Queens that would be shared by the Giants and Dodgers . However , O'Malley was interested in his park only under his conditions , and the plans for a new stadium in Brooklyn seemed like a pipe dream . O'Malley decided to move the Dodgers to California , convincing Giants owner Horace Stoneham to move to San Francisco instead of Minneapolis to keep another team on the West Coast to ease approval of the moves . There was no turning back : the Dodgers were heading for Hollywood .   The Dodgers played their final game at Ebbets Field on September 24 , 1957 , which the Dodgers won 2 -- 0 over the Pittsburgh Pirates .   New York would remain a one - team town with the New York Yankees until 1962 , when Joan Payson founded the New York Mets and brought National League baseball back to the city . The blue background used by the Dodgers , would be adopted by the Mets , honoring their New York NL forebears with a blend of Dodgers blue and Giants orange .   Los Angeles Dodgers ( edit )  Main article : History of the Los Angeles Dodgers  The Dodgers were the first Major League Baseball team to ever play in Los Angeles . On April 18 , 1958 , the Dodgers played their first LA game , defeating the former New York and now new San Francisco Giants , 6 -- 5 , before 78,672 fans at the Los Angeles Memorial Coliseum . Catcher Roy Campanella , left partially paralyzed in an off - season accident , was never able to play in Los Angeles .  The 1959 World Series was played partially at the LA Coliseum while Dodger Stadium was being built .  Construction on Dodger Stadium was completed in time for Opening Day 1962 . With its clean , simple lines and its picturesque setting amid hills and palm trees , the ballpark quickly became an icon of the Dodgers and their new California lifestyle . O'Malley was determined that there would not be a bad seat in the house , achieving this by cantilevered grandstands that have since been widely imitated . More importantly for the team , the stadium 's spacious dimensions , along with other factors , gave defense an advantage over offense and the Dodgers moved to take advantage of this by assembling a team that would excel with its pitching .   Since moving to Los Angeles , the Dodgers have won 10 more National League Championships and five World Series rings .   Other historical Notes ( edit )   Historical records and firsts ( edit )    First baseball team to win championships in different leagues in consecutive years ( 1889 -- 1890 )   First television broadcast ( 1939 )   First use of batting helmets ( 1941 )   First MLB team to employ and start an African - American player in the 20th century ( Jackie Robinson , 1947 )   First MLB team to have numbers on the front of their uniforms ( 1952 )   First West Coast team ( 1958 ) -- along with the San Francisco Giants   First MLB team to allow a female sports journalist into a locker room ( Anita Martini , 1974 )   Largest home - opener attendance : 78,672 ( 1958 ) ( since broken by the Colorado Rockies in 1993 )   Largest single game attendance : 93,103 ( 1959 ) and 115,300 ( 2008 ) * World Record   First MLB team to open an office in Asia ( 1998 )   Longest MLB record for home start going 13 -- 0 ( 2009 )   North American record for the buying of a sports team ( $2 billion , 2012 )   First MLB team to employ a female lead trainer ( Sue Falsone , 2012 )    Origin of the nickname ( edit )   The Dodgers ' official history reports that the term `` Trolley Dodgers '' was attached to the Brooklyn ballclub due to the complex maze of trolley cars that weaved its way through the borough of Brooklyn .   In 1892 , the city of Brooklyn ( Brooklyn was an independent city until annexed by New York City in 1898 ) began replacing its slow - moving , horse - drawn trolley lines with the faster , more powerful electric trolley lines . Within less than three years , by the end of 1895 , electric trolley accidents in Brooklyn had resulted in more than 130 deaths and maimed well over 500 people . Brooklyn 's high - profile , the significant number of widely reported accidents , and a trolley strike in early 1895 , combined to create a strong association in the public 's mind between Brooklyn and trolley dodging .   Sportswriters started using the name `` trolley dodgers '' to refer to the Brooklyn team early in the 1895 season . The name was shortened to , on occasion , the `` Brooklyn Dodgers '' as early as 1898 .   Sportswriters in the early 20th century began referring to the Dodgers as the `` Bums '' , in reference to the team 's fans and possibly because of the `` street character '' nature of Jack Dawkins , the `` Artful Dodger '' in Charles Dickens ' Oliver Twist . Newspaper cartoonist Willard Mullin used a drawing of famous clown Emmett Kelly to depict `` Dem Bums '' : the team would later use `` Weary Willie '' in promotional images , and Kelly himself was a club mascot during the 1950s .   Other team names used by the franchise were the Atlantics , Grays , Grooms , Bridegrooms , Superbas and Robins . All of these nicknames were used by fans and sportswriters to describe the team , but not in any official capacity . The team 's legal name was the Brooklyn Base Ball Club . However , the Trolley Dodger nickname was used throughout this period , simultaneously with these other nicknames , by fans and sportswriters of the day . The team did not use the name in any formal sense until 1932 , when the word `` Dodgers '' appeared on team jerseys . The `` conclusive shift '' came in 1933 , when both home and road jerseys for the team bore the name `` Dodgers '' .   Examples of how the many popularized names of the team were used are available from newspaper articles before 1932 . A New York Times article describing a game in 1916 starts out : `` Jimmy Callahan , pilot of the Pirates , did his best to wreck the hopes the Dodgers have of gaining the National League pennant '' , but then goes on to comment : `` the only thing that saved the Superbas from being toppled from first place was that the Phillies lost one of the two games played '' . What is interesting about the use of these two nicknames is that most baseball statistics sites and baseball historians generally now refer to the pennant - winning 1916 Brooklyn team as the Robins . A 1918 New York Times article uses the nickname in its title : `` Buccaneers Take Last From Robins '' , but the subtitle of the article reads : `` Subdue The Superbas By 11 To 4 , Making Series An Even Break '' .   Another example of the use of the many nicknames is found on the program issued at Ebbets Field for the 1920 World Series , which identifies the matchup in the series as `` Dodgers vs. Indians '' despite the fact that the Robins nickname had been in consistent use for around six years . The `` Robins '' nickname was derived from the name of their Hall of Fame manager , Wilbert Robinson , who led the team from 1914 to 1931 .   Uniforms ( edit )  The Dodgers ' home uniform has remained relatively unchanged for 70 years  The Dodgers ' uniform has remained relatively unchanged since the 1930s . The home jersey is white with `` Dodgers '' written in script across the chest in Dodger Blue . The road jersey is gray with `` Los Angeles '' written in script across the chest in Dodger Blue . The word `` Dodgers '' was first used on the front of the team 's home jersey in 1933 ; the uniform was then white with red pinstripes and a stylized `` B '' on the left shoulder . The Dodgers also wore green outlined uniforms and green caps throughout the 1937 season but reverted to blue the following year .   The current design was created in 1939 , and has remained the same ever since with only cosmetic changes . In 1952 , the home uniform added a red uniform number under the `` Dodgers '' script . The road jersey also has a red uniform number under the script . When the franchise moved from Brooklyn to Los Angeles , the city name on the road jersey changed , and the stylized `` B '' was replaced with the interlocking `` LA '' on the caps in 1958 . In 1970 , the Dodgers removed the city name from the road jerseys and had `` Dodgers '' on both the home and away uniforms . The city script returned to the road jerseys in 1999 , and the tradition - rich Dodgers flirted with an alternate uniform for the first time since 1944 ( when all - blue satin uniforms were introduced ) . These 1999 alternate jerseys had a royal blue top with the `` Dodgers '' script in white across the chest , and the red number on the front . These were worn with white pants and a new cap with silver brim , top button and Dodger logo . These alternates proved unpopular and the team abandoned them after only one season . In 2014 , the Dodgers introduced an alternate road jersey : a gray version with the `` Dodgers '' script instead of the city name .     Current logo using `` Dodgers '' Script     Los Angeles Dodgers Script on Dodger Blue     Asian players ( edit )  Chan Ho Park  The Dodgers have been groundbreaking in their signing of players from Asia ; mainly , Japan , South Korea , and Taiwan . Former owner Peter O'Malley began reaching out in 1980 by starting clinics in China and South Korea , building baseball fields in two Chinese cities , and in 1998 becoming the first major league team to open an office in Asia . The Dodgers were the second team to start a Japanese player in recent history , pitcher Hideo Nomo , the first team to start a South Korean player , pitcher Chan Ho Park , and the first Taiwanese player , Chin - Feng Chen . In addition , they were the first team to send out three Asian pitchers , from different Asian countries , in one game : Park , Hong - Chih Kuo of Taiwan , and Takashi Saito of Japan . In the 2008 season , the Dodgers had the most Asian players on its roster of any major league team with five . They included Japanese pitchers Takashi Saito and Hiroki Kuroda ; South Korean pitcher Chan Ho Park ; and Taiwanese pitcher Hong - Chih Kuo and infielder Chin - Lung Hu . In 2005 , the Dodgers ' Hee Seop Choi became the first Asian player to compete in the Home Run Derby . For the 2013 season , the Dodgers signed starting pitcher Hyun - Jin Ryu with a six - year , $36 million contract , after posting a bid of nearly $27 million to acquire him from the KBO 's Hanhwa Eagles . For the 2016 season , the Dodgers signed starting pitcher Kenta Maeda with an eight - year , $25 million contract , after posting a bid of $20 million to acquire him from the NPB 's Hiroshima Toyo Carp .   Rivalries ( edit )   The Dodgers ' rivalry with the San Francisco Giants dates back to the 19th century , when the two teams were based in New York ; the rivalry with the New York Yankees took place when the Dodgers were based in New York , but was revived with their East Coast / West Coast World Series battles in 1963 , 1977 , 1978 , and 1981 . The Dodgers rivalry with the Philadelphia Phillies also dates back to their days in New York , but was most fierce during the 1970s , 1980s , and 2000s . The Dodgers also had a heated rivalry with the Cincinnati Reds during the 1970s , 1980s and early 1990s . The rivalry with the Los Angeles Angels of Anaheim and the San Diego Padres dates back to the Angels ' and Padres ' respective inaugural seasons ( Angels in 1961 , Padres in 1969 ) . Regional proximity is behind the rivalries with both the Angels and the Padres .   San Francisco Giants ( edit )  Main article : Dodgers -- Giants rivalry  The Dodgers -- Giants rivalry is one of the longest - standing rivalries in American baseball .   The feud between the Dodgers and the San Francisco Giants began in the late 19th century when both clubs were based in New York City , with the Dodgers playing in Brooklyn and the Giants playing at the Polo Grounds in Manhattan . After the 1957 season , Dodgers owner Walter O'Malley moved the team to Los Angeles for financial and other reasons . Along the way , he managed to convince Giants owner Horace Stoneham -- who was considering moving his team to Minnesota -- to preserve the rivalry by bringing his team to California as well . New York baseball fans were stunned and heartbroken by the move . Given that the cities of Los Angeles and San Francisco have been bitter rivals in economic , cultural , and political arenas for over a century and a half , the new venue in California became fertile ground for its transplantation .   Each team 's ability to endure for over a century while moving across an entire continent , as well as the rivalry 's leap from a cross-city to a cross-state engagement , have led to the rivalry being considered one of the greatest in sports history .   Unlike many other historic baseball match - ups in which one team remains dominant for most of their history , the Dodgers -- Giants rivalry has exhibited a persistent balance in the respective successes of the two teams . While the Giants have more wins in franchise history , and lead all NL teams with 23 National League pennants , the Dodgers are second , having won 21 ; the Giants have won eight World Series titles , while the Dodgers have won six . The 2010 World Series was the Giants ' first championship since moving to California , while the Dodgers had won five World Series titles since their move , their last title coming in the 1988 World Series .   Los Angeles Angels of Anaheim ( edit )  Main article : Freeway Series  This rivalry refers to a series of games played with the Los Angeles Angels of Anaheim . The Freeway Series takes its name from the massive freeway system in the greater Los Angeles metropolitan area , the home of both teams ; one could travel from one team 's stadium to the other simply by traveling along Interstate 5 . The term is akin to Subway Series which refers to meetings between New York City baseball teams . The term `` Freeway Series '' also inspired the official name of the regions ' NHL rivalry : the Freeway Face - Off   Historical rivalry ( edit )  New York Yankees ( edit ) Main articles : Dodgers -- Yankees rivalry and Subway Series  The Dodgers -- Yankees rivalry is one of the most well - known rivalries in Major League Baseball . The two teams have met eleven times in the World Series , more times than any other pair from the American and National Leagues . The initial significance was embodied in the two teams ' proximity in New York City , when the Dodgers initially played in Brooklyn . After the Dodgers moved to Los Angeles in 1958 , the rivalry retained its significance as the two teams represented the dominant cities on each coast of the United States , and since the 1980s , the two largest cities in the United States .   Although the rivalry 's significance arose from the two teams ' numerous World Series meetings , the Yankees and Dodgers have not met in the World Series since 1981 . They would not play each other in a non-exhibition game until 2004 , when they played a three - game interleague series . Their last meeting was in September 2016 , when the Dodgers won two out of three games in New York .   Fan support ( edit )  A fan waves a rally towel during the 2008 NLCS  The Dodgers have a loyal fanbase , evidenced by the fact that the Dodgers were the first MLB team to attract more than 3 million fans in a season ( in 1978 ) , and accomplished that feat six more times before any other franchise did it once . The Dodgers drew at least 3 million fans for 15 consecutive seasons from 1996 to 2010 , the longest such streak in all of MLB . On July 3 , 2007 , Dodgers management announced that total franchise attendance , dating back to 1901 , had reached 175 million , a record for all professional sports . In 2007 , the Dodgers set a franchise record for single - season attendance , attracting over 3.8 million fans . In 2009 , the Dodgers led MLB in total attendance . The Dodger baseball cap is consistently in the top three in sales . During the 2011 - 2012 season , Frank McCourt , the owner of the Dodgers at that time , was going through a rough divorce with his wife over who should be the owner of the Dodger team . Instead , Frank McCourt paid $131 million to his wife as part of the divorce settlement . As a result , the team payroll was financially low for a big - budget team crippling the Dodgers in the free - agent market . Collectively , the team performance waned due to the distracting drama in the front office resulting in low attendance numbers .   Given the team 's proximity to Hollywood , numerous celebrities can often be seen attending home games at Dodger Stadium . Celebrities such as co-owner Magic Johnson , Mary Hart , Larry King , Tiger Woods , Alyssa Milano and Shia LaBeouf are known to sit at field box seats behind home plate where they sign autographs for fellow Dodger fans . Actor Bryan Cranston is a lifelong Dodger fan .   The Dodgers set the world record for the largest attendance for a single baseball game during an exhibition game against the Boston Red Sox on March 28 , 2008 at the Los Angeles Memorial Coliseum in honor of the Dodgers 50th anniversary , with 115,300 fans in attendance . All proceeds from the game benefited the official charity of the Dodgers , ThinkCure ! which supports cancer research at Children 's Hospital Los Angeles and City of Hope . Primarily Dodgers fans are from their own location in southern California and also parts of southern Nevada ; however there are also strong pockets of Dodger support in Mexico and throughout Asia , and their away games throughout the US will usually attract substantial numbers of expat and traveling fans .   Radio and television ( edit )  Main article : List of Los Angeles Dodgers broadcasters Hall of Fame Dodgers broadcaster Vin Scully  Vin Scully had called Dodgers games from 1950 to 2016 . His longtime partners were Jerry Doggett ( 1956 -- 1987 ) and Ross Porter ( 1977 -- 2004 ) . In 1976 , he was selected by Dodgers fans as the Most Memorable Personality ( on the field or off ) in the team 's history . He is also a recipient of the Baseball Hall of Fame 's Ford C. Frick Award for broadcasters ( inducted in 1982 ) . Unlike the modern style in which multiple sportscasters have an on - air conversation ( usually with one functioning as play - by - play announcer and the other ( s ) as color commentator ) , Scully , Doggett and Porter generally called games solo , trading with each other inning - by - inning . In the 1980s and 1990s , Scully would call the entire radio broadcast except for the third and seventh inning , allowing the other Dodger commentators to broadcast an inning .   When Doggett retired after the 1987 season , he was replaced by Hall - of - Fame Dodgers pitcher Don Drysdale , who previously broadcast games for the California Angels and Chicago White Sox . Drysdale died in his hotel room following a heart attack before a game in Montreal in 1993 . This was a difficult broadcast for Scully and Porter who could not mention it on - air until Drysdale 's family had been notified and the official announcement made . He was replaced by former Dodgers outfielder Rick Monday . Porter 's tenure ended after the 2004 season , after which the format of play - by - play announcers and color commentators was installed , led by Monday and newcomer Charley Steiner . Scully , however , continued to announce solo .   Scully called roughly 100 games per season ( all home games and road games in California and Arizona ) for both flagship radio station KLAC and on television for SportsNet LA . Scully was simulcast for the first three innings of each of his appearances , then announced only for the TV audience . If Scully was calling the game , Steiner took over play - by - play on radio beginning with the fourth inning , with Monday as color commentator . If Scully was not calling the game , Steiner and Orel Hershiser called the entire game on television while Monday and Kevin Kennedy did the same on radio . In the event the Dodgers were in post-season play , Scully called the first three and last three innings of the radio broadcast alone and Steiner and Monday handled the middle innings . Vin Scully retired from calling games in 2016 . His tenure with the Dodgers was the longest with any single sports team at 67 years .   The Dodgers also broadcast on radio in Spanish , and the play - by - play is voiced by another Frick Award winner , Jaime Jarrín , who has been with</t>
  </si>
  <si>
    <t xml:space="preserve">how many times have the dodgers gone to world series</t>
  </si>
  <si>
    <t xml:space="preserve"> The Dodgers share a fierce rivalry with the San Francisco Giants , the oldest rivalry in baseball , dating back to when the two franchises played in New York City . Both teams moved west for the 1958 season . The Brooklyn Dodgers and Los Angeles Dodgers have collectively appeared in the World Series 19 times , while the New York Giants and San Francisco Giants have collectively appeared 20 times and have been invited 21 times . The Giants have won two more World Series ( 8 ) ; the Dodgers have won 22 National League pennants , while the Giants hold the record with 23 . Although the two franchises have enjoyed near equal success , the city rivalries are rather lopsided and in both cases , a team 's championships have predated to the other 's first one in that particular location . When the two teams were based in New York , the Giants won five World Series championships , and the Dodgers one . After the move to California , the Dodgers have won five in Los Angeles , the Giants have won three in San Francisco . </t>
  </si>
  <si>
    <t xml:space="preserve">The Chronicles of Narnia - wikipedia  The Chronicles of Narnia  `` Narnia '' redirects here . For other uses , see Narnia ( disambiguation ) . This article is about the book series . For the film series , see The Chronicles of Narnia ( film series ) .    The Chronicles of Narnia   The Chronicles of Narnia boxed set       ( in publication order )   The Lion , the Witch and the Wardrobe ( 1950 )   Prince Caspian ( 1951 )   The Voyage of the Dawn Treader ( 1952 )   The Silver Chair ( 1953 )   The Horse and His Boy ( 1954 )   The Magician 's Nephew ( 1955 )   The Last Battle ( 1956 )       Author   C.S. Lewis     Illustrator   Pauline Baynes     Country   United Kingdom     Language   English     Genre   Fantasy Children 's literature     Publisher   HarperCollins     Published   16 October 1950 -- 4 September 1956     Media type   Print ( hardcover and paperback )     The Chronicles of Narnia is a series of seven fantasy novels by C.S. Lewis . It is considered a classic of children 's literature and is the author 's best - known work , having sold over 100 million copies in 47 languages . Written by Lewis , illustrated by Pauline Baynes , and originally published in London between 1950 and 1956 , The Chronicles of Narnia has been adapted several times , complete or in part , for radio , television , the stage , and film .   Set in the fictional realm of Narnia , a fantasy world of magic , mythical beasts , and talking animals , the series narrates the adventures of various children who play central roles in the unfolding history of that world . Except in The Horse and His Boy , the protagonists are all children from the real world , magically transported to Narnia , where they are called upon by the lion Aslan to protect Narnia from evil and restore the throne to its rightful line . The books span the entire history of Narnia , from its creation in The Magician 's Nephew to its eventual destruction in The Last Battle .   Inspiration for the series was taken from multiple sources ; in addition to adapting numerous traditional Christian themes , Lewis freely borrowed characters and ideas from Greek and Roman mythology as well as from traditional British and Irish fairy tales .   The books have profoundly influenced adult and children 's fantasy literature since World War II . Lewis 's exploration of themes not usually present in children 's literature , such as religion , as well as the books ' perceived treatment of issues including race and gender , has caused some controversy .   Contents    1 Background and conception   1.1 Name     2 Publication history   3 Books   3.1 The Lion , the Witch and the Wardrobe ( 1950 )   3.2 Prince Caspian : The Return to Narnia ( 1951 )   3.3 The Voyage of the Dawn Treader ( 1952 )   3.4 The Silver Chair ( 1953 )   3.5 The Horse and His Boy ( 1954 )   3.6 The Magician 's Nephew ( 1955 )   3.7 The Last Battle ( 1956 )     4 Reading order   5 Main characters   5.1 Aslan   5.2 Pevensie family   5.2. 1 Lucy Pevensie   5.2. 2 Edmund Pevensie   5.2. 3 Susan Pevensie   5.2. 4 Peter Pevensie     5.3 Eustace Scrubb   5.4 Jill Pole   5.5 Digory Kirke   5.6 Polly Plummer   5.7 ( Mr ) Tumnus   5.8 Prince Caspian / Caspian X   5.9 Trumpkin   5.10 Reepicheep   5.11 Puddleglum   5.12 Shasta / Cor   5.13 Aravis   5.14 Bree   5.15 King Tirian   5.16 Antagonists   5.16. 1 White Witch / Jadis   5.16. 2 King Miraz   5.16. 3 Lady of the Green Kirtle   5.16. 4 Prince Rabadash of Calormen   5.16. 5 Shift the Ape     5.17 Title characters   5.18 Appearances of main characters     6 Narnian universe   6.1 Inhabitants   6.2 Geography   6.3 Cosmology   6.4 History     7 Influences   7.1 Lewis 's life   7.2 Influences from mythology and cosmology   7.3 Influences from literature     8 Influences on other works   8.1 Influences on literature   8.2 Influences on popular culture   8.3 Influences on music     9 Christian themes   10 Criticism   10.1 Accusations of gender stereotyping   10.2 Accusations of racism     11 Adaptations of The Chronicles of Narnia   11.1 Television   11.2 Radio   11.3 Stage   11.4 Film     12 See also   13 Notes   14 References   15 Further reading   16 External links    Background and conception ( edit )   Although Lewis originally conceived what would become The Chronicles of Narnia in 1939 ( the picture of a Faun with parcels in a snowy wood has a history dating to 1914 ) , he did not finish writing the first book The Lion , the Witch and the Wardrobe until 1949 . The Magician 's Nephew , the penultimate book to be published , but the last to be written , was completed in 1954 . Lewis did not write the books in the order in which they were originally published , nor were they published in their current chronological order of presentation . The original illustrator , Pauline Baynes , created pen and ink drawings for the Narnia books that are still used in the editions published today . Lewis was awarded the 1956 Carnegie Medal for The Last Battle , the final book in the saga . Fellow children 's author Roger Lancelyn Green first referred to the series as The Chronicles of Narnia , in March 1951 , after he had read and discussed with Lewis his recently completed fourth book The Silver Chair , originally entitled Night under Narnia .   Lewis described the origin of The Lion , the Witch and the Wardrobe in an essay entitled `` It All Began with a Picture '' :    The Lion all began with a picture of a Faun carrying an umbrella and parcels in a snowy wood . This picture had been in my mind since I was about sixteen . Then one day , when I was about forty , I said to myself : ' Let 's try to make a story about it . '    Shortly before the start of World War II , many children were evacuated to the English countryside in anticipation of attacks on London and other major urban areas by Nazi Germany . As a result , on 2 September 1939 , three school girls , Margaret , Mary and Katherine , came to live at The Kilns in Risinghurst , Lewis 's home three miles east of Oxford city centre . Lewis later suggested that the experience gave him a new appreciation of children and in late September he began a children 's story on an odd sheet of paper which has survived as part of another manuscript :    This book is about four children whose names were Ann , Martin , Rose and Peter . But it is most about Peter who was the youngest . They all had to go away from London suddenly because of Air Raids , and because Father , who was in the Army , had gone off to the War and Mother was doing some kind of war work . They were sent to stay with a kind of relation of Mother 's who was a very old professor who lived all by himself in the country .    In `` It All Began With a Picture '' C.S. Lewis continues :    At first I had very little idea how the story would go . But then suddenly Aslan came bounding into it . I think I had been having a good many dreams of lions about that time . Apart from that , I do n't know where the Lion came from or why he came . But once he was there , he pulled the whole story together , and soon he pulled the six other Narnian stories in after him .    The manuscript for The Lion , the Witch and the Wardrobe was complete by the end of March 1949 .   Name ( edit )   The name Narnia is based on Narni , Italy , written in Latin as Narnia . Green wrote :    When Walter Hooper asked ( C.S. Lewis ) where he found the word ' Narnia ' , Lewis showed him Murray 's Small Classical Atlas , ed . G.B. Grundy ( 1904 ) , which he acquired when he was reading the classics with Mr Kirkpatrick at Great Bookham ( 1914 -- 1917 ) . On plate 8 of the Atlas is a map of ancient Italy . Lewis had underscored the name of a little town called Narnia , simply because he liked the sound of it . Narnia -- or ' Narni ' in Italian -- is in Umbria , halfway between Rome and Assisi .    Publication history ( edit )   The Chronicles of Narnia 's seven books have been in continuous publication since 1956 , selling over 100 million copies in 47 languages and with editions in Braille .   The first five books were originally published in the United Kingdom by Geoffrey Bles . The first edition of The Lion , the Witch and the Wardrobe was released in London on 16 October 1950 . Although three more books , Prince Caspian , The Voyage of the Dawn Treader and The Horse and His Boy , were already complete , they were not released immediately at that time , but appeared ( along with The Silver Chair ) one at a time in each of the subsequent years ( 1951 -- 1954 ) . The last two books ( The Magician 's Nephew and The Last Battle ) were published in the United Kingdom originally by The Bodley Head in 1955 and 1956 .   In the United States , the publication rights were first owned by Macmillan Publishers , and later by HarperCollins . The two issued both hardcover and paperback editions of the series during their tenure as publishers , while at the same time Scholastic , Inc. produced paperback versions for sale primarily through direct mail order , book clubs , and book fairs. Harper Collins also published several one - volume collected editions containing the full text of the series . As noted below ( see reading order ) , the first American publisher , Macmillan , numbered the books in publication sequence , but when Harper Collins won the rights in 1994 , at the suggestion of Lewis 's stepson they used the series ' internal chronological order . Scholastic switched the numbering of its paperback editions in 1994 to mirror that of Harper Collins .   Books ( edit )   The seven books that make up The Chronicles of Narnia are presented here in order of original publication date :   The Lion , the Witch and the Wardrobe ( 1950 ) ( edit )  Main article : The Lion , the Witch and the Wardrobe  The Lion , the Witch and the Wardrobe , completed by the end of March 1949 and published by Geoffrey Bles in the United Kingdom on 16 October 1950 , tells the story of four ordinary children : Peter , Susan , Edmund , and Lucy Pevensie , who have been evacuated to the English countryside from London in 1940 following the outbreak of World War II . They discover a wardrobe in Professor Digory Kirke 's house that leads to the magical land of Narnia . The Pevensie children help Aslan , a talking lion , save Narnia from the evil White Witch , who has reigned over the land of Narnia for a century of perpetual winter with no Christmas . The children become kings and queens of this new - found land and establish the Golden Age of Narnia , leaving a legacy to be rediscovered in later books .   Prince Caspian : the return to Narnia ( 1951 ) ( edit )  Main article : Prince Caspian  Completed after Christmas 1949 and published on 15 October 1951 , Prince Caspian : The Return to Narnia tells the story of the Pevensie children 's second trip to Narnia . They are drawn back by the power of Susan 's horn , blown by Prince Caspian to summon help in his hour of need . Narnia , as they knew it , is no more , as 1,300 years have passed and their castle is in ruins , while all Narnians have retreated so far within themselves that only Aslan 's magic can wake them . Caspian has fled into the woods to escape his uncle , Miraz , who has usurped the throne . The children set out once again to save Narnia .   The Voyage of the Dawn Treader ( 1952 ) ( edit )  Main article : The Voyage of the Dawn Treader  Written between January and February 1950 and published on 15 September 1952 , The Voyage of the Dawn Treader sees Edmund and Lucy Pevensie , along with their priggish cousin , Eustace Scrubb , return to Narnia . Once there , they join Caspian 's voyage on the ship Dawn Treader to find the seven lords who were banished when Miraz took over the throne . This perilous journey brings them face to face with many wonders and dangers as they sail toward Aslan 's country at the edge of the world .   The Silver Chair ( 1953 ) ( edit )  Main article : The Silver Chair  Completed at the beginning of March 1951 and published 7 September 1953 , The Silver Chair is the first Narnia book not involving the Pevensie children , focusing instead on Eustace . Several months after The Voyage of the Dawn Treader Aslan calls Eustace back to Narnia along with his classmate Jill Pole . They are given four signs to aid them in the search for Prince Caspian 's son Rilian , who disappeared ten years earlier on a quest to avenge his mother 's death . Fifty years have passed in Narnia ; Eustace is still a child , but Caspian , barely an adult in The Voyage of the Dawn Treader , is now an old man . Eustace and Jill , with the help of Puddleglum the Marsh - wiggle , face danger and betrayal on their quest to find Rilian .   The Horse and his Boy ( 1954 ) ( edit )  Main article : The Horse and His Boy  Begun in March and completed at the end of July 1950 , The Horse and His Boy was published on 6 September 1954 . The story takes place during the reign of the Pevensies in Narnia , an era which begins and ends in the last chapter of The Lion , the Witch and the Wardrobe . A young boy named Shasta and a talking horse named Bree , both of whom are in bondage in the country of Calormen , are the protagonists . By `` chance '' , they meet and plan their return to Narnia and freedom . Along the way they meet Aravis and her talking horse Hwin who are also fleeing to Narnia .   The Magician 's Nephew ( 1955 ) ( edit )  Main article : The Magician 's Nephew  Completed in February 1954 and published by Bodley Head in London on 2 May 1955 , the prequel The Magician 's Nephew brings the reader back to the origins of Narnia where we learn how Aslan created the world and how evil first entered it . Digory Kirke and his friend Polly Plummer stumble into different worlds by experimenting with magic rings made by Digory 's uncle . In the dying world of Charn they awaken Queen Jadis , and they witness the creation of Narnian world ( where Jadis later becomes the White Witch ) . Many long - standing questions about the world are answered as a result . The story is set in 1900 , when Digory was a 12 - year - old boy . He is a middle - aged professor by the time he hosts the Pevensie children in The Lion , the Witch and the Wardrobe 40 years later .   The Last Battle ( 1956 ) ( edit )  Main article : The Last Battle  Completed in March 1953 and published 4 September 1956 , The Last Battle chronicles the end of the world of Narnia . Jill and Eustace return to save Narnia from Shift , an ape , who tricks Puzzle , a donkey , into impersonating the lion Aslan , precipitating a showdown between the Calormenes and King Tirian . This leads to the end of Narnia , revealing the true Narnia to which Aslan brings them .   Reading order ( edit )   Fans of the series often have strong opinions over the order in which the books should be read . The issue revolves around the placement of The Magician 's Nephew and The Horse and His Boy in the series . Both are set significantly earlier in the story of Narnia than their publication order and fall somewhat outside the main story arc connecting the others . The reading order of the other five books is not disputed .  A 1970 Collier - Macmillan edition paperback boxed set ( cover art by Roger Hane ) , where the books are presented in order of original publication    Original publication order   Harper Collins order ( internally chronological )     The Lion , the Witch and the Wardrobe   The Magician 's Nephew     Prince Caspian   The Lion , the Witch and the Wardrobe     The Voyage of the Dawn Treader   The Horse and His Boy     The Silver Chair   Prince Caspian     The Horse and His Boy   The Voyage of the Dawn Treader     The Magician 's Nephew   The Silver Chair     The Last Battle   The Last Battle     When first published , the books were not numbered . The first American publisher , Macmillan , enumerated them according to their original publication order , while some early British editions specified the internal chronological order . When Harper Collins took over the series rights in 1994 , they adopted the internal chronological order . To make the case for the internal chronological order , Lewis 's stepson , Douglas Gresham , quoted Lewis 's 1957 reply to a letter from an American fan who was having an argument with his mother about the order :    I think I agree with your ( chronological ) order for reading the books more than with your mother 's . The series was not planned beforehand as she thinks . When I wrote The Lion I did not know I was going to write any more . Then I wrote P. Caspian as a sequel and still did n't think there would be any more , and when I had done The Voyage I felt quite sure it would be the last , but I found I was wrong . So perhaps it does not matter very much in which order anyone read them . I 'm not even sure that all the others were written in the same order in which they were published .    In the 2005 Harper Collins adult editions of the books , the publisher cites this letter to assert Lewis 's preference for the numbering they adopted by including this notice on the copyright page :    Although The Magician 's Nephew was written several years after C.S. Lewis first began The Chronicles of Narnia , he wanted it to be read as the first book in the series . Harper Collins is happy to present these books in the order in which Professor Lewis preferred .    Paul Ford cites several scholars who have weighed in against this view , and continues , `` most scholars disagree with this decision and find it the least faithful to Lewis 's deepest intentions '' . Scholars and readers who appreciate the original order believe that Lewis was simply being gracious to his youthful correspondent and that he could have changed the books ' order in his lifetime had he so desired . They maintain that much of the magic of Narnia comes from the way the world is gradually presented in The Lion , the Witch and the Wardrobe -- that the mysterious wardrobe , as a narrative device , is a much better introduction to Narnia than The Magician 's Nephew , where the word `` Narnia '' appears in the first paragraph as something already familiar to the reader . Moreover , they say , it is clear from the texts themselves that The Lion , the Witch and the Wardrobe was intended to be read first . When Aslan is first mentioned in The Lion , the Witch and the Wardrobe , for example , the narrator says that `` None of the children knew who Aslan was , any more than you do '' -- which is nonsensical if one has already read The Magician 's Nephew . Other similar textual examples are also cited .   Doris Meyer , author of C.S. Lewis in Context and Bareface : A guide to C.S. Lewis , writes that rearranging the stories chronologically `` lessens the impact of the individual stories '' and `` obscures the literary structures as a whole '' . Peter Schakel devotes an entire chapter to this topic in his book Imagination and the Arts in C.S. Lewis : Journeying to Narnia and Other Worlds , and in Reading with the Heart : The Way into Narnia he writes :    The only reason to read The Magician 's Nephew first ( ... ) is for the chronological order of events , and that , as every story teller knows , is quite unimportant as a reason . Often the early events in a sequence have a greater impact or effect as a flashback , told after later events which provide background and establish perspective . So it is ( ... ) with the Chronicles . The artistry , the archetypes , and the pattern of Christian thought all make it preferable to read the books in the order of their publication .    Main characters ( edit )  Further information : List of The Chronicles of Narnia characters  Aslan ( edit )  Main article : Aslan  Aslan , the Great Lion , is the eponymous lion of The Lion , the Witch and the Wardrobe , and his role in Narnia is developed throughout the remaining books . He is also the only character to appear in all seven books . Aslan is a talking lion , the King of Beasts , son of the Emperor - Over-the - Sea . He is a wise , compassionate , magical authority ( both temporal and spiritual ) who serves as mysterious and benevolent guide to the human children who visit , as well as being the guardian and saviour of Narnia . C.S. Lewis described Aslan as an alternative version of Jesus as the form in which Christ might have appeared in an alternative reality .   Pevensie family ( edit )   The four Pevensie siblings are the main human protagonists of The Chronicles of Narnia . Varying combinations of some or all of them appear in five of the seven novels . They are introduced in The Lion , the Witch and the Wardrobe ( although we do not learn their surname until The Voyage of the Dawn Treader ) , and eventually become Kings and Queens of Narnia reigning as a tetrarchy . Although introduced in the series as children , the siblings grow up into adults while reigning in Narnia . They go back to being children once they get back to their own world , but feature as adults in The Horse and His Boy during their Narnian reign .   All four appear in The Lion , the Witch , and the Wardrobe and Prince Caspian ; in the latter , however , Aslan tells Peter and Susan that they will not return , as they are getting too old . Susan , Lucy , and Edmund appear in The Horse and His Boy -- Peter is said to be away fighting giants on the other side of Narnia . Lucy and Edmund appear in The Voyage of the Dawn Treader , where Aslan tells them , too , that they are getting too old . Peter , Edmund , and Lucy appear as Kings and Queens in Aslan 's Country in The Last Battle ; Susan does not . Asked by a child in 1958 if he would please write another book entitled `` Susan of Narnia '' so that the entire Pevensie family would be reunited , C.S. Lewis replied : `` I am so glad you like the Narnian books and it was nice of you to write and tell me . There 's no use just asking me to write more . When stories come into my mind I have to write them , and when they do n't I ca n't ! ... ''  Lucy Pevensie ( edit ) Main article : Lucy Pevensie  Lucy is the youngest of the four Pevensie siblings . Of all the Pevensie children , Lucy is the closest to Aslan , and of all the human characters who visit Narnia , Lucy is perhaps the one who believes in Narnia the most . In The Lion , the Witch , and the Wardrobe she initiates the story by entering Narnia through the wardrobe , and ( with Susan ) witnesses Aslan 's execution and resurrection . She is named Queen Lucy the Valiant . In Prince Caspian she is the first to see Aslan when he comes to guide them . In The Voyage of the Dawn Treader , it is Lucy who breaks the spell of invisibility on the Dufflepuds . As an adult in The Horse and His Boy she helps fight the Calormenes at Anvard . Although a minor character in The Last Battle , much of the closing chapter is seen from her point of view .  Edmund Pevensie ( edit ) Main article : Edmund Pevensie  Edmund is the second child to enter Narnia in The Lion , the Witch , and the Wardrobe , where he falls under the White Witch 's spell from eating the Turkish Delight she gave him . Instantiating that book 's Christian theme of betrayal , repentance , and subsequent redemption via blood sacrifice , he betrays his siblings to the White Witch , but quickly realizes her true nature and her evil intentions , and is redeemed by the sacrifice of Aslan 's life . He is named King Edmund the Just . In Prince Caspian and The Voyage of the Dawn Treader he supports Lucy ; in The Horse and His Boy he leads the Narnian delegation to Calormen and , later , the Narnian army breaking the siege at Anvard .  Susan Pevensie ( edit ) Main article : Susan Pevensie  In The Lion , the Witch , and the Wardrobe Susan accompanies Lucy to see Aslan die and rise again . She is named Queen Susan the Gentle . In Prince Caspian , however , she is the last of the four to believe and follow Lucy when the latter is called by Aslan to guide them . As an adult queen in The Horse and His Boy she is courted by Prince Rabadash of Calormen but refuses his marriage proposal , and his angry response leads the story to its climax . In The Last Battle , we are told that she has stopped believing in Narnia and remembers it only as a childhood game .  Peter Pevensie ( edit ) Main article : Peter Pevensie  Peter is the eldest of the Pevensies . In The Lion , the Witch , and the Wardrobe he kills a Talking Wolf to save Susan , and leads the Narnian army against the White Witch . Aslan names him High King , and he is known as Peter the Magnificent . In Prince Caspian he duels the usurper King Miraz to restore Caspian 's throne . In The Last Battle it is Peter whom Aslan entrusts with the duty of closing the door on Narnia for the final time .   Eustace Scrubb ( edit )  Main article : Eustace Scrubb  Eustace Clarence Scrubb is a cousin of the Pevensies , and a classmate of Jill Pole at their school Experiment House . He is portrayed at first as a brat and a bully , but comes to improve his nasty behaviour when his greed turns him into a dragon for a while . His distress at having to live as a dragon causes him to reflect upon how horrible he has been , and he soon becomes a better person so Aslan changes him back into a boy . In the later books , Eustace comes across as a much nicer person , although he is still rather grumpy and argumentative . Nonetheless , he becomes a hero along with Jill Pole when the pair succeed in freeing the lost Prince Rilian from the clutches of an evil witch . He appears in The Voyage of the Dawn Treader , The Silver Chair , and The Last Battle .   Jill Pole ( edit )  Main article : Jill Pole  Jill Pole is not related to any of the other children who enter Narnia . She is a classmate and neighbour of Eustace Scrubb . She appears in The Silver Chair , where she is the viewpoint character for most of the action , and returns in The Last Battle . In The Silver Chair Eustace introduces her to the Narnian world , where Aslan gives her the task of memorising a series of signs that will help her and Eustace on their quest to find Caspian 's lost son . In The Last Battle she and Eustace accompany King Tirian in his ill - fated defence of Narnia against the Calormenes .   Digory Kirke ( edit )  Main article : Digory Kirke  Digory Kirke is the character referred to in the title of The Magician 's Nephew . He first appears as a minor character in The Lion , the Witch and the Wardrobe , known only as `` The Professor '' , who hosts the Pevensie children when they are evacuated from London and defends Lucy 's story of having found a country in the back of the wardrobe . In The Magician 's Nephew the young Digory , thanks to his uncle 's magical experimentation , inadvertently brings Jadis from her dying homeworld of Charn to the newly - created world of Narnia ; to fix his mistake Aslan sends him to fetch a magical apple which will protect Narnia and heal his dying mother . He returns in The Last Battle .   Polly Plummer ( edit )  Main article : Polly Plummer  Polly Plummer appears in The Magician 's Nephew and The Last Battle . She is the next - door neighbour of the young Digory Kirke . She is tricked by a wicked magician ( who is Digory 's uncle ) into touching a magic ring which transports her to the Wood between the Worlds and leaves her there stranded . The wicked uncle persuades Digory to follow her with a second magic ring that has the power to bring her back . This sets up the pair 's adventures into other worlds , and they witness the creation of Narnia as described in The Magician 's Nephew .   ( Mr ) Tumnus ( edit )  Main article : Mr. Tumnus  Tumnus , called `` Mr Tumnus '' by Lucy , is a faun who is featured prominently in The Lion , the Witch and the Wardrobe and also appears in The Horse and His Boy and The Last Battle . He is the first creature Lucy meets in Narnia , as well as the first Narnian to be introduced in the series ; he invites her to his home with the intention of betraying her to Jadis , but quickly repents and befriends her . In The Horse and His Boy he devises the Narnian delegation 's plan of escape from Calormen . He returns for a brief dialogue at the end of The Last Battle . Tumnus is the faun in the snowy wood the mental image of which , according to Lewis , was the initial inspiration for the entire Narnia series .   Prince Caspian / Caspian X ( edit )  Main article : Caspian X  Prince Caspian , later to become King Caspian X of Narnia , Lord of Cair Paravel and Emperor of The Lone Islands -- also called `` Caspian the Seafarer '' and `` Caspian the Navigator '' -- is the title character of the second book in the series , first introduced as the young nephew and heir of King Miraz of Narnia . Prince Caspian : The Return to Narnia is set 1300 years after the rule of High King Peter and his siblings , when Old Narnians have been driven into hiding by Caspian 's ancestors the Telmarines . Caspian is also a central character in The Voyage of the Dawn Treader , and appears briefly at the beginning and end of The Silver Chair .   Trumpkin ( edit )  Main article : Trumpkin  Trumpkin the Dwarf is the narrator of several chapters of Prince Caspian ; he is one of Caspian 's rescuers and a leading figure in the `` Old Narnian '' rebellion , and accompanies the Pevensie children from the ruins of Cair Paravel to the Old Narnian camp . In The Voyage of the Dawn Treader we learn that Caspian has made him his Regent in Narnia while he is away at sea , and he appears briefly in this role ( now elderly and very deaf ) in The Silver Chair .   Reepicheep ( edit )  Main article : Reepicheep  Reepicheep the Mouse is the leader of the Talking Mice of Narnia in Prince Caspian . Utterly fearless , infallibly courteous , obsessed with honour , he is badly wounded in the final battle but healed by Lucy and Aslan . In The Voyage of the Dawn Treader his role is greatly expanded ; he becomes a visionary as well as a warrior , and ultimately his willing self - exile to Aslan 's Country breaks the enchantment on the last three of the Lost Lords , thus achieving the final goal of the quest . Lewis identified Reepicheep as `` specially '' exemplifying the latter book 's theme of `` the spiritual life '' .   Puddleglum ( edit )  Main article : Puddleglum  Puddleglum the Marsh - wiggle guides Eustace and Jill on their quest in The Silver Chair . Though always comically pessimistic , he provides the voice of reason and as such intervenes critically in the climactic enchantment scene .   Shasta / Cor ( edit )  Main article : Shasta ( Narnia )  Shasta , later known as Cor of Archenland , is the principal character in The Horse and His Boy . Born the eldest son and heir of King Lune of Archenland , and elder twin of Prince Corin , Cor was kidnapped as an infant and raised as a fisherman 's son in the country of Calormen . Learning that he is about to be sold into slavery at the beginning of The Horse and His Boy , Shasta escapes to freedom , saves Archenland and Narnia from invasion , learns of his true identity , and is restored to his heritage . Shasta grows up to become King of Archenland , marries the Calormene Tarkheena Aravis , and fathers the next ( and most famous ) king of Archenland , Ram the Great .   Aravis ( edit )  Main article : Aravis  Aravis , daughter of Kidrash Tarkaan , is a character in The Horse and His Boy . Escaping a forced betrothal to the loathsome Ahoshta , she joins Shasta on his journey and inadvertently overhears a plot by Rabadash , crown prince of Calormen , to invade Archenland . She later marries Shasta , now known as Prince Cor , and becomes queen of Archenland at his side .   Bree ( edit )  Main article : Bree ( Narnia )  Bree ( Breehy - hinny - brinny - hoohy - hah ) is Shasta 's mount and mentor in The Horse and His Boy . A Talking Horse of Narnia , he wandered into Calormen as a foal and was captured . He first appears as a Calormene nobleman 's war - horse ; when the nobleman buys Shasta as a slave , Bree organises and carries out their joint escape . Though friendly , he is also vain and a braggart until his encounter with Aslan late in the story .   King Tirian ( edit )  Main article : Tirian  The last King of Narnia is the viewpoint character for much of The Last Battle . Having rashly killed a Calormene for mistreating a Narnian Talking Horse , he is imprisoned by the villainous ape Shift but released by Eustace and Jill . Together they fight faithfully to the last and are welcomed into Aslan 's Kingdom .   Antagonists ( edit )  White Witch / Jadis ( edit ) Main article : White Witch  Jadis , commonly known during her rule of Narnia as the White Witch , is the main villain of The Lion , The Witch and the Wardrobe and The Magician 's Nephew -- the only antago</t>
  </si>
  <si>
    <t xml:space="preserve">order of the lion the witch and the wardrobe books</t>
  </si>
  <si>
    <t xml:space="preserve"> The Chronicles of Narnia   The Chronicles of Narnia boxed set       ( in publication order )   The Lion , the Witch and the Wardrobe ( 1950 )   Prince Caspian ( 1951 )   The Voyage of the Dawn Treader ( 1952 )   The Silver Chair ( 1953 )   The Horse and His Boy ( 1954 )   The Magician 's Nephew ( 1955 )   The Last Battle ( 1956 )       Author   C.S. Lewis     Illustrator   Pauline Baynes     Country   United Kingdom     Language   English     Genre   Fantasy Children 's literature     Publisher   HarperCollins     Published   16 October 1950 -- 4 September 1956     Media type   Print ( hardcover and paperback )   </t>
  </si>
  <si>
    <r>
      <rPr>
        <sz val="11"/>
        <color rgb="FF000000"/>
        <rFont val="Calibri"/>
        <family val="0"/>
        <charset val="1"/>
      </rPr>
      <t xml:space="preserve">Clavicle - wikipedia  Clavicle  Jump to : navigation , search      ( hide ) This article has multiple issues . Please help improve it or discuss these issues on the talk page . ( Learn how and when to remove these template messages )      This article 's lead section does not adequately summarize key points of its contents . Please consider expanding the lead to provide an accessible overview of all important aspects of the article . Please discuss this issue on the article 's talk page . ( June 2015 )         This article needs additional citations for verification . Please help improve this article by adding citations to reliable sources . Unsourced material may be challenged and removed . ( July 2009 ) ( Learn how and when to remove this template message )    ( Learn how and when to remove this template message )       Clavicle ( collarbone )     Collarbone ( shown in red )     Human collarbone     Details     Identifiers     Latin   Clavicula     MeSH   D002968     TA   A02. 4.02. 001     FMA   13321     Anatomical terms of bone ( edit on Wikidata )     The clavicle or collarbone is a long bone that serves as a strut between the shoulder blade and the sternum or breastbone . There are two clavicles , one on the left and one on the right . The clavicle is the only long bone in the body that lies horizontally . Together with the shoulder blade it makes up the shoulder girdle . It is a palpable bone and in people who have less fat in this region , the location of the bone is clearly visible , as it creates a bulge in the skin . It receives its name from the Latin : clavicula ( `` little key '' ) because the bone rotates along its axis like a key when the shoulder is abducted . The clavicle is the most commonly fractured bone . It can easily be fractured due to impacts to the shoulder from the force of falling on outstretched arms or by a direct hit .     Contents  ( hide )   1 Structure   1.1 Medial end   1.2 Lateral end   1.3 Shaft   1.3. 1 Medial two - thirds of the shaft   1.3. 2 Lateral third of the shaft     1.4 Development   1.5 Variation     2 Functions   2.1 Muscle     3 Clinical significance   3.1 Collarbone fracture     4 Other animals   4.1 In dinosaurs     5 Additional images   6 See also   7 References   8 External links      Structure ( edit )   The collarbone is a large doubly curved long bone that connects the arm to the trunk of the body . Located directly above the first rib it acts as a strut to keep the scapula in place so that the arm can hang freely . Medially , it articulates with the manubrium of the sternum ( breastbone ) at the sternoclavicular joint . At its lateral end it articulates with the acromion , a process of the scapula ( shoulder blade ) at the acromioclavicular joint . It has a rounded medial end and a flattened lateral end .         Right clavicle -- from below , and from above         Left clavicle -- from above , and from below     From the roughly pyramidal sternal end , each collarbone curves laterally and anteriorly for roughly half its length . It then forms an even larger posterior curve to articulate with the acromion of the scapula . The flat acromial end of the collarbone is broader than the sternal end . The acromial end has a rough inferior surface that bears a ridge , the trapezoid line , and a slight rounded projection , the conoid tubercle ( above the coracoid process ) . These surface features are attachment sites for muscles and ligaments of the shoulder .   It can be divided into three parts : medial end , lateral end and shaft .   Medial end ( edit )   The medial end is quadrangular and articulates with the clavicular notch of the manubrium of the sternum to form the sternoclavicular joint . The articular surface extends to the inferior aspect for attachment with the first costal cartilage .   It gives attachments to :    fibrous capsule joint , all around   articular disc , superoposteriorly   interclavicular ligament , superiorly    Lateral end ( edit )   The lateral end is flat from above downward . It bears a facet for attachment to the acromion process of the scapula , forming the acromioclavicular joint . The area surrounding the joint gives an attachment to the joint capsule . The anterior border is concave forward and posterior border is convex backward .   Shaft ( edit )   The shaft is divided into the medial two - thirds and the lateral one third . The medial part is thicker than the lateral .  Medial two - thirds of the shaft ( edit )  The medial two - thirds of the shaft has four surfaces and no borders .    The anterior surface is convex forward and gives origin to the pectoralis major .   The posterior surface is smooth and gives origin to the sternohyoid muscle at its medial end .   The superior surface is rough at its medial part and gives origin to the sternocleidomastoid muscle .   The inferior surface has an oval impression inferior to its medial end for the costoclavicular ligament and is called costal tuberosity . At the lateral side of the inferior surface , there is a subclavian groove for insertion of the subclavius muscle . At the lateral side of the subclavian groove , the nutrient foramen lies . The medial part is quadrangular in shape where it makes a joint with the manubrium of the sternum at the sternoclavicular joint . The margins of the subclavian groove give attachment to the clavipectoral fascia .   Lateral third of the shaft ( edit )  The lateral third of the shaft has two borders and two surfaces .    the anterior border is concave forward and gives origin to the deltoid muscle .   the posterior border is convex and gives attachment to the trapezius muscle .   the superior surface is subcutaneous .   the inferior surface has a ridge called the trapezoid line and a tubercle ; the conoid tubercle for attachment with the trapezoid and the conoid ligament , part of the coracoclavicular ligament that serves to connect the collarbone with the coracoid process of the scapula .    Development ( edit )   The collarbone is the first bone to begin the process of ossification ( laying down of minerals onto a preformed matrix ) during development of the embryo , during the fifth and sixth weeks of gestation . However , it is one of the last bones to finish ossification at about 21 -- 25 years of age . A study measuring 748 males and 252 females saw a difference in collarbone length between age groups 18 -- 20 and 21 -- 25 of about 6 and 5 mm ( 0.24 and 0.20 in ) for males and females respectively . Its lateral end is formed by intramembranous ossification while medially it is formed by endochondral ossification . It consists of a mass of cancellous bone surrounded by a compact bone shell . The cancellous bone forms via two ossification centres , one medial and one lateral , which fuse later on . The compact forms as the layer of fascia covering the bone stimulates the ossification of adjacent tissue . The resulting compact bone is known as a periosteal collar .   Even though it is classified as a long bone , the collarbone has no medullary ( bone marrow ) cavity like other long bones , though this is not always true . It is made up of spongy cancellous bone with a shell of compact bone . It is a dermal bone derived from elements originally attached to the skull .   Variation ( edit )   The shape of the clavicle varies more than most other long bones . It is occasionally pierced by a branch of the supraclavicular nerve . In males it is thicker and more curved and the sites of muscular attachments are more pronounced . The left clavicle is usually longer and not as strong as the right clavicle . In males the clavicle is larger , longer , heavier and generally more massive than that of females . Clavicle form is a reliable criterion for sex determination .   The collarbones are sometimes partly or completely absent in cleidocranial dysostosis .   The levator claviculae muscle , present in 2 -- 3 % of people , originates on the transverse processes of the upper cervical vertebrae and is inserted in the lateral half of the clavicle .   Functions ( edit )   The collarbone serves several functions :    It serves as a rigid support from which the scapula and free limb suspended ; an arrangement that keeps the upper limb away from the thorax so that the arm has maximum range of movement . Acting as a flexible , crane - like strut , it allows the scapula to move freely on the thoracic wall .   Covering the cervicoaxillary canal , it protects the neurovascular bundle that supplies the upper limb .   Transmits physical impacts from the upper limb to the axial skeleton .    Muscle ( edit )   Muscles and ligaments that attach to the collarbone include :     Attachment on collarbone   Muscle / Ligament   Other attachment     Superior surface and anterior border   Deltoid muscle   deltoid tubercle , anteriorly on the lateral third     Superior surface   Trapezius muscle   posteriorly on the lateral third     Inferior surface   Subclavius muscle   subclavian groove     Inferior surface   Conoid ligament ( the medial part of the coracoclavicular ligament )   conoid tubercle     Inferior surface   Trapezoid ligament ( the lateral part of the coracoclavicular ligament )   trapezoid line     Anterior border   Pectoralis major muscle   medial third ( rounded border )     Posterior border   Sternocleidomastoid muscle ( clavicular head )   superiorly , on the medial third     Posterior border   Sternohyoid muscle   inferiorly , on the medial third     Posterior border   Trapezius muscle   lateral third     Clinical significance ( edit )    Acromioclavicular dislocation ( `` AC Separation '' )   Degeneration of the clavicle   Osteolysis   Sternoclavicular dislocations    A vertical line drawn from the mid-clavicle called the mid-clavicular line is used as a reference in describing cardiac apex beat during medical examination . It is also useful for evaluating an enlarged liver , and for locating the gallbladder which is between the mid-clavicular line and the transpyloric plane .   Collarbone fracture ( edit )  Main article : Clavicle fracture  Clavicle fractures ( colloquially , a broken collarbone ) occur as a result of injury or trauma . The most common type of fractures occur when a person falls horizontally on the shoulder or with an outstretched hand . A direct hit to the collarbone will also cause a break . In most cases , the direct hit occurs from the lateral side towards the medial side of the bone . Fractures of the clavicle typically occur at the angle , where the greatest change in direction of the bone occurs . This results in the sternocleidomastoid muscle lifting the medial aspect superiorly , which can result in perforation of the overlying skin .   Other animals ( edit )   The clavicle first appears as part of the skeleton in primitive bony fish , where it is associated with the pectoral fin ; they also have a bone called the cleithrum . In such fish , the paired clavicles run behind and below the gills on each side , and are joined by a solid symphysis on the fish 's underside . They are , however , absent in cartilaginous fish and in the vast majority of living bony fish , including all of the teleosts .   The earliest tetrapods retained this arrangement , with the addition of a diamond - shaped interclavicle between the base of the clavicles , although this is not found in living amphibians . The cleithrum disappeared early in the evolution of reptiles , and is not found in any living amniotes , but the interclavicle is present in most modern reptiles , and also in monotremes . In modern forms , however , there are a number of variations from the primitive pattern . For example , crocodilians and salamanders lack clavicles altogether ( although crocodilians do retain the interclavicle ) , while in turtles , they form part of the armoured plastron .   The interclavicle is absent in marsupials and placental mammals . In many mammals , the clavicles are also reduced , or even absent , to allow the scapula greater freedom of motion , which may be useful in fast - running animals .   Though a number of fossil hominin ( humans and chimpanzees ) clavicles have been found , most of these are mere segments offering limited information on the form and function of the pectoral girdle . One exception is the clavicle of AL 333x6 / 9 attributed to Australopithecus afarensis which has a well - preserved sternal end . One interpretation of this specimen , based on the orientation of its lateral end and the position of the deltoid attachment area , suggests that this clavicle is distinct from those found in extant apes ( including humans ) , and thus that the shape of the human shoulder dates back to less than 3 to 4 million years ago . However , analyses of the clavicle in extant primates suggest that the low position of the scapula in humans is reflected mostly in the curvature of the medial portion of the clavicle rather than the lateral portion . This part of the bone is similar in A. afarensis and it is thus possible that this species had a high shoulder position similar to that in modern humans .   In dinosaurs ( edit )   In dinosaurs the main bones of the pectoral girdle were the scapula ( shoulder blade ) and the coracoid , both of which directly articulated with the clavicle . The clavicle was present in saurischian dinosaurs but largely absent in ornithischian dinosaurs . The place on the scapula where it articulated with the humerus ( upper bone of the forelimb ) is the called the glenoid . The clavicles fused in some theropod dinosaurs to form a furcula , which is the equivalent to a wishbone .   In birds , the clavicles and interclavicle have fused to form a single Y - shaped bone , the furcula or `` wishbone '' which evolved from the clavicles found in coelurosaurian theropods .   Additional images ( edit )            Position of collarbone ( shown in red ) . Animation .           Shape of collarbone ( left ) . Animation .           Pectoral girdle -- front           Diagram of the human shoulder joint           Muscles of the neck . Anterior view .                  See also ( edit )  This article uses anatomical terminology ; for an overview , see Anatomical terminology .   Clavicle fracture    References ( edit )    Jump up ^ `` Busy Bones '' .   Jump up ^ medind.nic.in   ^ Jump up to : Moore , Keith L. ; Dalley , Arthur F. ( 1999 ) . Clinically Oriented Anatomy ( 4th ed . ) . Lippincott Williams &amp; Wilkins . ISBN 978 - 0 - 683 - 06141 - 3 .   Jump up ^ medchrome.com - web.archive.org medchrome.com - `` Clinical Anatomy of Clavicle Medchrome ''   ^ Jump up to : Romer , Alfred Sherwood ; Parsons , Thomas S. ( 1977 ) . The Vertebrate Body . Philadelphia , PA : Holt - Saunders International . pp. 184 -- 186 . ISBN 0 - 03 - 910284 - X .   Jump up ^ Larson , Susan G. ( 2009 ) . `` Evolution of the Hominin Shoulder : Early Homo '' . In Grine , Frederick E. ; Fleagle , John G. ; Leakey , Richard E. The First Humans - Origin and Early Evolution of the Genus Homo . Springer . p. 66 . doi : 10.1007 / 978 - 1 - 4020 - 9980 - 9 . ISBN 978 - 1 - 4020 - 9979 - 3 .   Jump up ^ Martin , A.J. ( 2006 ) . Introduction to the Study of Dinosaurs . Second Edition . Oxford , Blackwell Publishing . pg. 299 - 300 . ISBN 1 - 4051 - 3413 - 5 .    External links ( edit )       Wikimedia Commons has media related to Clavicula .       ( hide )         Bones of the arm     Shoulder girdle , clavicle     conoid tubercle   trapezoid line   costal tuberosity   subclavian groove       Scapula     fossae ( subscapular , supraspinatous , infraspinatous )   notches ( suprascapular , great scapular )   glenoid cavity   tubercles ( infraglenoid , supraglenoid )   spine of scapula   acromion   coracoid process   angles ( superior , inferior , lateral )       Humerus     upper extremity : necks ( anatomical , surgical )   tubercles ( greater , lesser )   bicipital groove   body : radial sulcus   deltoid tuberosity   lower extremity : capitulum   trochlea   epicondyles ( lateral , medial )   supracondylar ridges ( lateral , medial )   fossae ( radial , coronoid , olecranon )       Forearm      Radius     near elbow ( head , tuberosity )   near wrist ( ulnar notch , styloid process , Lister 's tubercle )       Ulna     near elbow ( tuberosity , olecranon , coronoid process , radial notch , trochlear notch )   near wrist ( styloid process )          Hand      Carpal bones     scaphoid   lunate   triquetral   pisiform   trapezium   trapezoid   capitate   hamate   hamulus         Metacarpal bones     1st   2nd   3rd   4th   5th       Phalanges     proximal   intermediate   distal                GND : 4179759 - 0      Retrieved from `` https://en.wikipedia.org/w/index.php?title=Clavicle&amp;oldid=825173615 '' Categories :   Skeletal system   Upper limb anatomy   Shoulder   Clavicle   Hidden categories :   All articles with dead external links   Articles with dead external links from June 2017   Wikipedia introduction cleanup from June 2015   All pages needing cleanup   Articles covered by WikiProject Wikify from June 2015   All articles covered by WikiProject Wikify   Articles needing additional references from July 2009   All articles needing additional references   Articles with multiple maintenance issues   Articles containing Latin - language text   All articles with unsourced statements   Articles with unsourced statements from March 2012   Wikipedia articles with GND identifiers           Talk                                           Contents                   About Wikipedia                                                   ܐܪܡܝܐ   Aymar aru   Azərbaycanca   Bân - lâm - gú   Башҡортса   Беларуская ( тарашкевіца ) ‎   Български   Bosanski   Brezhoneg   Català   Чӑвашла   Čeština   Dansk   Deutsch   ދިވެހިބަސް   Eesti   Ελληνικά   Español   Esperanto   Euskara   فارسی   Français   Gaeilge   Gàidhlig   Galego   </t>
    </r>
    <r>
      <rPr>
        <sz val="11"/>
        <color rgb="FF000000"/>
        <rFont val="Noto Sans CJK SC"/>
        <family val="2"/>
      </rPr>
      <t xml:space="preserve">한국어   </t>
    </r>
    <r>
      <rPr>
        <sz val="11"/>
        <color rgb="FF000000"/>
        <rFont val="Calibri"/>
        <family val="0"/>
        <charset val="1"/>
      </rPr>
      <t xml:space="preserve">Հայերեն   Hrvatski   Ido   Bahasa Indonesia   Íslenska   Italiano   עברית   Basa Jawa   Қазақша   Kiswahili   Latina   Latviešu   Lietuvių   Magyar   Македонски   Bahasa Melayu   Nederlands   नेपाल भाषा   </t>
    </r>
    <r>
      <rPr>
        <sz val="11"/>
        <color rgb="FF000000"/>
        <rFont val="Noto Sans CJK SC"/>
        <family val="2"/>
      </rPr>
      <t xml:space="preserve">日本 語   </t>
    </r>
    <r>
      <rPr>
        <sz val="11"/>
        <color rgb="FF000000"/>
        <rFont val="Calibri"/>
        <family val="0"/>
        <charset val="1"/>
      </rPr>
      <t xml:space="preserve">Norsk   Norsk nynorsk   Polski   Português   Română   Русский   Scots   Simple English   Slovenčina   Slovenščina   Srpskohrvatski / српскохрватски   Suomi   Svenska   Tagalog   தமிழ்   తెలుగు   ไทย   Türkçe   Українська   Tiếng Việt   Walon   </t>
    </r>
    <r>
      <rPr>
        <sz val="11"/>
        <color rgb="FF000000"/>
        <rFont val="Noto Sans CJK SC"/>
        <family val="2"/>
      </rPr>
      <t xml:space="preserve">粵語   中文   </t>
    </r>
    <r>
      <rPr>
        <sz val="11"/>
        <color rgb="FF000000"/>
        <rFont val="Calibri"/>
        <family val="0"/>
        <charset val="1"/>
      </rPr>
      <t xml:space="preserve">Edit links   This page was last edited on 11 February 2018 , at 22 : 25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</si>
  <si>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at what level is the clavicle with reference to the ribs</t>
  </si>
  <si>
    <t xml:space="preserve"> The collarbone is a large doubly curved long bone that connects the arm to the trunk of the body . Located directly above the first rib it acts as a strut to keep the scapula in place so that the arm can hang freely . Medially , it articulates with the manubrium of the sternum ( breastbone ) at the sternoclavicular joint . At its lateral end it articulates with the acromion , a process of the scapula ( shoulder blade ) at the acromioclavicular joint . It has a rounded medial end and a flattened lateral end . </t>
  </si>
  <si>
    <r>
      <rPr>
        <sz val="11"/>
        <color rgb="FF000000"/>
        <rFont val="Calibri"/>
        <family val="0"/>
        <charset val="1"/>
      </rPr>
      <t xml:space="preserve">Little Brown jug ( college football trophy ) - wikipedia  Little Brown jug ( college football trophy )  Jump to : navigation , search For other uses , see Little Brown Jug . Not to be confused with The Brown Jug .  Michigan -- Minnesota football rivalry   Michigan Wolverines Minnesota Golden Gophers     First meeting   October 17 , 1892 Minnesota 14 , Michigan 6     Latest meeting   November 4 , 2017 Michigan 33 , Minnesota 10     Trophy   Little Brown Jug     Statistics     Meetings total   103     All - time series   Michigan leads 75 -- 25 -- 3     Largest victory   Michigan , 58 -- 0 ( 2011 )     Longest win streak   Michigan , 16 ( 1987 -- 2004 )     Current win streak   Michigan , 2 ( 2015 -- present )     The Michigan -- Minnesota football rivalry is an American college football rivalry between the Michigan Wolverines football team of the University of Michigan and Minnesota Golden Gophers football team of the University of Minnesota . The Little Brown Jug is an earthenware jug that serves as a trophy awarded to the winner of the game . It is one of the oldest and most played rivalries in American college football , dating to 1892 . The Little Brown Jug is the most regularly exchanged rivalry trophy in college football , the oldest trophy game in FBS college football , and the second oldest rivalry trophy overall , next to the 1899 Territorial Cup ( which did not become a travelling / exchange trophy until 2001 ) , contested between Arizona and Arizona State ( which did not become a four - year college until 1925 ) .   Both universities are founding members of the Big Ten Conference . As a result of the Big Ten not playing a complete round - robin schedule , Michigan and Minnesota occasionally did not play . In 2011 , with the conference 's initiation of divisional play , Michigan and Minnesota were both placed in the Big Ten 's Legends division under the new two - division alignment . However , when the conference expanded again three years later , the teams were split into opposite divisions ( Michigan in the East , Minnesota in the West ) . The conference stated there will be only one protected crossover matchup under the new alignment , Indiana vs. Purdue for the Old Oaken Bucket , meaning the rivalry will not be contested every year .   Michigan is the current holder of the jug with a 33 -- 10 victory on November 4 , 2017 . Through the end of the 2017 season , Michigan leads the series , 75 -- 25 -- 3 .     Contents  ( hide )   1 Series history   1.1 Pre-Brown Jug   1.2 1903 game   1.3 Other notable games     2 Accomplishments by the two rivals   3 Game results   4 References   4.1 Additional sources     5 Bibliography   6 External links      Series History ( edit )   Pre-brown jug ( edit )   The teams met for the first time in 1892 in Minneapolis , with Minnesota prevailing 14 -- 6 . Michigan and Minnesota played five more games over the next decade , Michigan winning four of those five .   1903 game ( edit )  Photograph of the `` Michigan Jug '' ( which was neither little nor brown ) from the 1909 Michiganensian  The earthenware jug , originally used by Michigan coach Fielding H. Yost , is painted with the victories of each team . The name most likely originates in the 1869 song of the same name by Joseph Winner .   After Yost took over coaching the Wolverines in 1901 , the team went on to win 28 straight games . In the meantime , Minnesota assembled one of the best teams in school history , so Gopher fans were excited about possibly ending the Wolverines ' streak .   When Yost and the team came into Minneapolis for the 1903 game , student manager Thomas B. Roberts was told to purchase something to carry water . Yost was somewhat concerned that Gopher fans might contaminate his water supply . Roberts purchased a five - gallon jug for 30 ¢ from a local variety store .   Twenty thousand fans watched the matchup between the two teams in an overflowing Northrop Field . Minnesota held the fabled `` point - a-minute '' squad to just one touchdown , but had n't yet managed to score a touchdown of their own . Finally , late in the second half , the Gophers reached the endzone to tie the game at 6 . As clouds from an impending storm hung overhead , pandemonium struck when Minnesota fans stormed the field in celebration . Eventually the game had to be called with two minutes remaining . The Wolverines walked off the field , leaving the jug behind in the locker room of the University of Minnesota Armory .   The next day custodian Oscar Munson brought the jug to L.J. Cooke , head of the Minnesota athletics department , and declared in a thick Scandinavian accent : `` Yost left his yug . '' Exactly how Munson came to possess the jug is a bit of a mystery . Some accounts say that Munson purposely stole the jug in the chaos that ended the game , although most believe it was accidentally left behind . Thomas Roberts , writing in 1956 , stated that the jug had served its purpose , so he intentionally left it sitting on the field .  Replica of the Little Brown Jug on display in Ann Arbor , Michigan in 2007 . The real jug is kept in storage .  Still , Cooke and Munson were excited to have this little bit of memorabilia , proceeding to paint it brown ( it had originally been putty - colored and currently is painted half blue , which is Michigan 's color ) and commemorate the day by writing `` Michigan Jug -- ; Captured by Oscar , October 31 , 1903 '' on the side along with the score `` Michigan 6 , Minnesota 6 '' . Of course , in the spirit of the moment , Minnesota 's score was written many times larger than that of Michigan .   When the two schools met in football again in 1909 , Cooke and the Minnesota team captain decided that playing for the jug `` might be material to build up a fine tradition between the two institutions . '' When presented with this idea , Yost and Michigan 's captain agreed , and the jug thus became the traveling trophy it is today . Michigan took home the jug in 1909 and 1910 . Minnesota and Michigan met up again in 1919 after Michigan rejoined the Big Ten Conference , marking the first year that Minnesota won the jug outright .   Other notable games ( edit )  The 2003 edition of the battle for the Little Brown Jug . This particular game was famous for being the biggest comeback in Michigan football history .  `` The Battle of Giants '' occurred in 1940 , with undefeated Minnesota facing undefeated Michigan on November 9 , 1940 . Minnesota won 7 -- 6 . Minnesota went on to go 8 -- 0 and win the national championship . In 1977 , Minnesota stunned # 1 Michigan 16 -- 0 , it was the only loss of the regular season for the Wolverines as they advanced to ( and lost ) the 1978 Rose Bowl to the Washington Huskies .   In 1986 , Minnesota was regarded as an easy victory for # 2 Michigan as a 25 - point underdog . With two minutes to go and the game tied at 17 , Minnesota quarterback Rickey Foggie scrambled to put Chip Lohmiller in position to kick the winning field goal . The Gophers took home the Little Brown Jug from Michigan for the first time since 1977 . Similarly , it was Michigan 's only loss in the regular season on their way to losing the 1987 Rose Bowl .   The 2003 game was one of the most highly anticipated Michigan -- Minnesota matchups in years . This was the 100th Anniversary of the 1903 game . The Little Brown Jug was featured on the cover of the Michigan Football Media Guide . Minnesota was ranked # 17 and Michigan was ranked # 20 with the game at Hubert H. Humphrey Metrodome . Down 28 -- 7 , Michigan put together a comeback in the fourth quarter to win 38 -- 35 . Michigan advanced to ( and lost ) the 2004 Rose Bowl . The next season , in another highly anticipated game , # 14 Michigan came back again in the fourth quarter to defeat # 13 Minnesota 27 -- 24 . Michigan advanced to ( and lost ) the 2005 Rose Bowl . In 2013 , the 2003 game was singled out as one of the biggest setbacks to the Gopher Football team rebuilding since their last Big Ten Championship in 1967 .   Michigan has dominated the series in the last four decades , during which Minnesota has held the jug only four times . On October 8 , 2005 , Minnesota claimed the jug for the first time since 1986 , defeating Michigan 23 -- 20 on a last second field goal in Ann Arbor , Michigan . The Wolverines grabbed the trophy right back the next year on September 30 , with a 28 -- 14 victory in Minneapolis .   Michigan won all 12 meetings with Minnesota at the Hubert H. Humphrey Metrodome , which the Gophers shared with the Minnesota Twins and Minnesota Vikings from 1982 through 2008 . The Wolverines made their first visit to TCF Bank Stadium in 2012 .   Accomplishments by the two rivals ( edit )     Team   Michigan   Minnesota     National titles   11   7     Bowl appearances   45   19     CFP appearances   0   0     Postseason bowl record   21 -- 24   7 -- 12     Rose Bowl Game appearances   20       Rose Bowl Game wins   8       Big Ten Division titles   0   0     Big Ten titles   42   18     Consensus All - Americans   81   33     Heisman Trophies         All - time program record   935 -- 334 -- 36   677 -- 501 -- 44     All - time win percentage   . 730   . 571     Game results ( edit )     Michigan victories   Minnesota victories   Tie games          No .   Date   Location   Winner   Score       1892   Minneapolis , MN   Minnesota   14 -- 6       1893   Ann Arbor , MI   Minnesota   34 -- 20       1895   Ann Arbor , MI   Michigan   20 -- 0       1896   Minneapolis , MN   Michigan   6 -- 4     5   1897   Ann Arbor , MI   Michigan   14 -- 0     6   1902   Ann Arbor , MI   Michigan   23 -- 6     7   1903   Minneapolis , MN   Tie   6 -- 6     8   1909   Minneapolis , MN   Michigan   15 -- 6     9   1910   Ann Arbor , MI   Michigan   6 -- 0     10   1919   Ann Arbor , MI   Minnesota   34 -- 7     11   1920   Minneapolis , MN   Michigan   3 -- 0     12   1921   Ann Arbor , MI   Michigan   38 -- 0     13   1922   Minneapolis , MN   Michigan   16 -- 7     14   1923   Ann Arbor , MI   Michigan   10 -- 0     15   1924   Minneapolis , MN   Michigan   13 -- 0     16   1925   Ann Arbor , MI   Michigan   35 -- 0     17   1926   Ann Arbor , MI   Michigan   20 -- 0     18   1926   Minneapolis , MN   Michigan   7 -- 6     19   1927   Ann Arbor , MI   Minnesota   13 -- 7     20   1929   Minneapolis , MN   Michigan   7 -- 6     21   1930   Ann Arbor , MI   Michigan   7 -- 0     22   1931   Ann Arbor , MI   Michigan   6 -- 0     23   1932   Minneapolis , MN   Michigan   3 -- 0     24   1933   Ann Arbor , MI   Tie   0 -- 0     25   1934   Minneapolis , MN   Minnesota   34 -- 0     26   1935   Ann Arbor , MI   Minnesota   40 -- 0     27   1936   Minneapolis , MN   Minnesota   26 -- 0     28   1937   Ann Arbor , MI   Minnesota   39 -- 6     29   1938   Minneapolis , MN   Minnesota   7 -- 6     30   1939   Ann Arbor , MI   Minnesota   20 -- 7     31   1940   Minneapolis , MN   Minnesota ( # 2 )   7 -- 6     32   1941   Ann Arbor , MI   Minnesota ( # 1 )   7 -- 0     33   1942   Minneapolis , MN   Minnesota ( # 13 )   16 -- 14     34   1943   Ann Arbor , MI   Michigan ( # 10 )   49 -- 6     35   1944   Minneapolis , MN   Michigan   28 -- 13     36   1945   Ann Arbor , MI   Michigan ( # 10 )   26 -- 0     37   1946   Minneapolis , MN   Michigan ( # 13 )   21 -- 0     38   1947   Ann Arbor , MI   Michigan ( # 1 )   13 -- 6     39   1948   Minneapolis , MN   Michigan ( # 1 )   27 -- 14     40   1949   Ann Arbor , MI   Michigan ( # 12 )   14 -- 7     41   1950   Minneapolis , MN   Tie   7 -- 7     42   1951   Ann Arbor , MI   Michigan   54 -- 27     43   1952   Ann Arbor , MI   Michigan ( # 19 )   21 -- 0     44   1953   Minneapolis , MN   Minnesota   22 -- 0     45   1954   Ann Arbor , MI   Michigan   34 -- 0     46   1955   Minneapolis , MN   Michigan ( # 1 )   14 -- 13     47   1956   Ann Arbor , MI   Minnesota   20 -- 7     48   1957   Minneapolis , MN   Michigan ( # 20 )   24 -- 7     49   1958   Ann Arbor , MI   Michigan   20 -- 19     50   1959   Minneapolis , MN   Michigan   14 -- 6     51   1960   Ann Arbor , MI   Minnesota ( # 6 )   10 -- 0     52   1961   Minneapolis , MN   Minnesota ( # 6 )   23 -- 20       No .   Date   Location   Winner   Score     53   1962   Ann Arbor , MI   Minnesota   17 -- 0     54   1963   Minneapolis , MN   Minnesota   6 -- 0     55   1964   Ann Arbor , MI   Michigan   19 -- 12     56   1965   Minneapolis , MN   Minnesota   14 -- 13     57   1966   Ann Arbor , MI   Michigan   49 -- 0     58   1967   Minneapolis , MN   Minnesota   20 -- 15     59   1968   Ann Arbor , MI   Michigan ( # 12 )   33 -- 20     60   1969   Minneapolis , MN   Michigan   35 -- 9     61   1970   Ann Arbor , MI   Michigan ( # 5 )   39 -- 13     62   1971   Minneapolis , MN   Michigan ( # 3 )   35 -- 7     63   1972   Ann Arbor , MI   Michigan ( # 5 )   42 -- 0     64   1973   Minneapolis , MN   Michigan ( # 4 )   34 -- 7     65     Ann Arbor , MI   Michigan ( # 3 )   49 -- 0     66     Minneapolis , MN   Michigan ( # 7 )   28 -- 21     67   1976   Ann Arbor , MI   Michigan ( # 1 )   45 -- 0     68   1977   Minneapolis , MN   Minnesota   16 -- 0     69   1978   Ann Arbor , MI   Michigan ( # 8 )   42 -- 10     70   1979   Ann Arbor , MI   Michigan ( # 11 )   31 -- 21     71   1980   Minneapolis , MN   Michigan   37 -- 14     72   1981   Minneapolis , MN   Michigan ( # 15 )   34 -- 13     73   1982   Ann Arbor , MI   Michigan ( # 20 )   52 -- 14     74     Minneapolis , MN   Michigan ( # 9 )   58 -- 10     75   1984   Ann Arbor , MI   Michigan   31 -- 7     76   1985   Minneapolis , MN   Michigan ( # 8 )   48 -- 7     77   1986   Ann Arbor , MI   Minnesota   20 -- 17     78     Minneapolis , MN   Michigan   30 -- 20     79   1988   Ann Arbor , MI   Michigan ( # 14 )   22 -- 7     80   1989   Minneapolis , MN   Michigan ( # 3 )   49 -- 15     81   1990   Ann Arbor , MI   Michigan ( # 16 )   35 -- 18     82   1991   Minneapolis , MN   Michigan ( # 4 )   52 -- 6     83   1992   Ann Arbor , MI   Michigan ( # 3 )   63 -- 13     84   1993   Minneapolis , MN   Michigan   58 -- 7     85   1994   Ann Arbor , MI   Michigan ( # 19 )   38 -- 22     86   1995   Ann Arbor , MI   Michigan ( # 9 )   52 -- 17     87     Minneapolis , MN   Michigan ( # 10 )   44 -- 10     88   1997   Ann Arbor , MI   Michigan ( # 4 )   24 -- 3     89   1998   Minneapolis , MN   Michigan ( # 22 )   15 -- 10     90   2001   Ann Arbor , MI   Michigan ( # 12 )   31 -- 10     91   2002   Minneapolis , MN   Michigan ( # 13 )   41 -- 24     92   2003   Minneapolis , MN   Michigan ( # 20 )   38 -- 35     93     Ann Arbor , MI   Michigan ( # 14 )   27 -- 24     94   2005   Ann Arbor , MI   Minnesota   23 -- 20     95   2006   Minneapolis , MN   Michigan ( # 6 )   28 -- 14     96   2007   Ann Arbor , MI   Michigan ( # 19 )   34 -- 10     97   2008   Minneapolis , MN   Michigan   29 -- 6     98   2011   Ann Arbor , MI   Michigan ( # 19 )   58 -- 0     99   2012   Minneapolis , MN   Michigan   35 -- 13     100   2013   Ann Arbor , MI   Michigan ( # 19 )   42 -- 13     101   2014   Ann Arbor , MI   Minnesota   30 -- 14     102   2015   Minneapolis , MN   Michigan ( # 15 )   29 -- 26     103   2017   Ann Arbor , MI   Michigan   33 -- 10     Series : Michigan leads 75 -- 25 -- 3        Note : Michigan and Minnesota played twice in 1926 ( on October 16 in Ann Arbor and on November 20 in Minneapolis ) due to conference scheduling issues for Minnesota .   References ( edit )    Jump up ^ Official 2007 NCAA Division I Football Records Book ( PDF ) . National Collegiate Athletic Association . 2007 . Archived from the original ( PDF ) on 2008 - 06 - 25 .   Jump up ^ `` Report : U-M , MSU to play in Big Ten ' East ' '' .   ^ Jump up to : `` Michigan 's water worries were start of `` Jug '' series `` . Spokesman - Review . ( Spokane , Washington ) . Associated Press . October 21 , 1960 . p. 16 .   Jump up ^ MCCOLLOUGH , J. BRADY -- 1903 Team Manager Tells Tale of the ' Jug ' . Michigan Daily , October 9 , 2003   Jump up ^ Account from Michigan Football Student Manager Tommy Roberts . The Grand Rapids Press Oct. 18 , 1959   Jump up ^ `` History and Philosophy of Reserver Officer Training . '' University of Minnesota ROTC Alumni Society . `` Archived copy '' . Archived from the original on 2005 - 09 - 11 . Retrieved 2006 - 03 - 03 .   Jump up ^ Dooley , Greg . `` The ( True ) Origins of The Little Brown Jug Rivalry '' . MVictors.com . Retrieved 2 November 2012 .   ^ Jump up to : Hunt , Bob -- Both teams leave 2003 game in past Michigan Daily , October 7 , 2004   ^ Jump up to : Neff , Craig -- Bo Tries On A Tie , Gets A Boot . Sports Illustrated , November 24 , 1986   Jump up ^ Angel , Brett -- Large crowd witnesses large Michigan comeback . Minnesota Daily , October 13 , 2003   Jump up ^ Michigan Football Media Guide , 2003 season   Jump up ^ Hunt , Bob -- Both teams leave 2003 game in past Archived 2007 - 09 - 30 at the Wayback Machine ... Michigan Daily , October 8 , 2004   Jump up ^ Gophers allow 28 -- 7 lead to escape Associated Press , October 10 , 2003 . `` John Navarre directed the biggest comeback in Michigan history and put the Wolverines back into the thick of the Big Ten race . ''   Jump up ^ Fuller , Marcus R. -- Gophers football : 10 years ago , Michigan changed everything Pioneer Press , October 4 , 2013   Jump up ^ Reusse , Patrick -- Patrick Reusse from Oct. 10 , 2003 : For a while , we actually believed . Star Tribune , October 2 , 2013   Jump up ^ Scoggins , Chip -- Reliving one fateful night in Gophers football Star Tribune , October 3 , 2013   Jump up ^ `` Michigan Wolverines Index '' . Sports-References.com . Retrieved 18 November 2014 .   Jump up ^ `` Minnesota Golden Gophers Index '' . Sports-Reference.com . Retrieved 2 December 2014 .   Jump up ^ `` NCAA Football Championship History '' . NCAA.com . Retrieved 18 November 2014 .   Jump up ^ `` Minnesota Championships '' . GopherSports.com . Retrieved 2 December 2014 .   Jump up ^ `` Michigan Bowl History '' . CollegeFootballPoll.com . Retrieved 26 November 2014 .   Jump up ^ `` Minnesota Bowl History '' . CollegeFootballPoll.com . Retrieved 30 November 2014 .   Jump up ^ `` Divisional Rankings '' . ESPN.go.com . Retrieved 18 November 2014 .   Jump up ^ `` Michigan Wolverines All - America Selections '' . Sports-Reference.com . Retrieved 26 November 2014 .   Jump up ^ `` Minnesota All - America Selections '' . Sports-Reference.com . Retrieved 30 November 2014 .   Jump up ^ `` Past Heisman Trophy Winners '' . NationalChamps.net . Retrieved 18 November 2014 .    Additional sources ( edit )    Woodford , John . `` The Little Brown Jug '' . Michigan Today . Archived from the original on 2004 - 10 - 21 . Retrieved 2004 - 10 - 09 .   `` The Little Brown Jug -- Minnesota vs. Michigan '' . GopherSports.com . Retrieved 2004 - 10 - 09 .   Weintraub , Sandy ( 2003 - 10 - 09 ) . `` Little Brown Jug endures century '' . The Daily Orange . Archived from the original on 2004 - 09 - 09 . Retrieved 2004 - 10 - 08 .   `` Series History : Minnesota vs. Michigan '' . College Football Data Warehouse . Archived from the original on 2007 - 09 - 30 . Retrieved 2007 - 02 - 27 .    Bibliography ( edit )    Gruver , Edward ( 2002 ) , Nitschke . Lanham : Taylor Trade Publishing . ISBN 1 - 58979 - 127 - 4    External links ( edit )       Wikimedia Commons has media related to Little Brown Jug .      MGoBlue 's Michigan - Minnesota : The Little Brown Jug Series page   Little Brown Jug Lore              Michigan Wolverines football     Venues     Washtenaw County Fairgrounds ( 1883 -- 1892 )   Regents Field ( 1893 -- 1905 )   Ferry Field ( 1906 -- 1926 )   Michigan Stadium ( 1927 -- present )       Bowls &amp; rivalries     Bowl games   Chicago ( defunct )   Michigan State ( Paul Bunyan Trophy )   Minnesota ( Little Brown Jug )   Notre Dame   Ohio State ( The Ten Year War )   Illinois       Culture &amp; lore     Early years   Yost era   Kipke years   Crisler years   Oosterbaan years   Elliott years   The Ten Year War   Snow Bowl   1969 Ohio State game   1973 Ohio State game   Miracle at Michigan   2006 Ohio State game   2007 Appalachian State game   Biff   `` The Victors ''   Marching band       People     Head coaches   Trainers   Players   All - Americans   NFL draftees   Statistical leaders       Seasons     1879   1880   1881   1882   1883   1884   1885   1886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National championship seasons in bold               Michigan Wolverines rivalries     Football     Illinois   Michigan State   Minnesota   Notre Dame   Ohio State   Chicago ( defunct )       Basketball     Duke   Michigan State       Other     Michigan State ( hockey )   Michigan State ( soccer )                 Minnesota Golden Gophers football     Venues     Athletic Park ( 1892 -- 1898 )   University of Minnesota Armory ( 1892 -- 1898 )   Northrop Field ( 1899 -- 1923 )   Memorial Stadium ( 1924 -- 1981 )   Hubert H. Humphrey Metrodome ( 1982 -- 2008 )   TCF Bank Stadium ( 2009 -- present )       Bowls &amp; rivalries     Bowl games   Iowa   Michigan   Nebraska   Penn State   Wisconsin       Culture &amp; lore     Goldy Gopher   Marching band   Spirit squad   `` Minnesota Rouser ''   `` Minnesota March ''   `` Go Gopher Victory ''   `` Minnesota Fight ''   `` Our Minnesota ''   `` Hail ! Minnesota ''   `` Battle Hymn of the Republic ''   Minnesota shift   T formation       People     Head coaches   Statistical leaders   NFL draftees   Annual awards       Seasons     1882   1883   1884   1885   1886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National championship seasons in bold               Minnesota Golden Gophers rivalries     Football     Iowa   Michigan   Nebraska   Penn State   Wisconsin       Basketball     Iowa   Wisconsin       Hockey     North Dakota   Wisconsin   Minnesota - Duluth   St. Cloud State                 Big Ten Conference football rivalries     Conference     Illinois -- Michigan   Illinois -- Northwestern   Illinois -- Ohio State   Illinois -- Purdue   Indiana -- Michigan State   Indiana -- Purdue   Iowa -- Minnesota   Iowa -- Nebraska   Iowa -- Wisconsin   Maryland -- Penn State   Maryland -- Rutgers   Michigan -- Michigan State   Michigan -- Minnesota   Michigan -- Ohio State   Michigan State -- Ohio State   Michigan State -- Penn State   Minnesota -- Nebraska   Minnesota -- Penn State   Minnesota -- Wisconsin   Nebraska -- Wisconsin   Ohio State -- Penn State       Non-conference     Alabama -- Penn State   Chicago -- Michigan   Chicago -- Purdue   Colorado -- Nebraska   Illinois -- Missouri   Indiana -- Kentucky   Iowa -- Iowa State   Johns Hopkins -- Maryland   Kansas -- Nebraska   Kansas State -- Nebraska   Maryland -- Navy   Maryland -- Virginia   Maryland -- West Virginia   Miami -- Nebraska   Michigan State -- Notre Dame   Michigan -- Notre Dame   Missouri -- Nebraska   Nebraska -- Oklahoma   Nebraska -- Texas   Northwestern -- Notre Dame   Notre Dame -- Purdue   Penn State -- Pittsburgh   Penn State -- Syracuse   Penn State -- Temple   Penn State -- West Virginia      Retrieved from `` https://en.wikipedia.org/w/index.php?title=Little_Brown_Jug_(college_football_trophy)&amp;oldid=822160851 '' Categories :   College football rivalries in the United States   Michigan Wolverines football   Minnesota Golden Gophers football   Big Ten Conference rivalries   Hidden categories :   All articles with dead external links   Articles with dead external links from January 2018   Articles with permanently dead external links   Webarchive template wayback links           Talk                                           Contents                   About Wikipedia                                                 </t>
    </r>
    <r>
      <rPr>
        <sz val="11"/>
        <color rgb="FF000000"/>
        <rFont val="Noto Sans CJK SC"/>
        <family val="2"/>
      </rPr>
      <t xml:space="preserve">中文   </t>
    </r>
    <r>
      <rPr>
        <sz val="11"/>
        <color rgb="FF000000"/>
        <rFont val="Calibri"/>
        <family val="0"/>
        <charset val="1"/>
      </rPr>
      <t xml:space="preserve">Edit links   This page was last edited on 24 January 2018 , at 19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</si>
  <si>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little brown jug made out of</t>
  </si>
  <si>
    <t xml:space="preserve"> The Michigan -- Minnesota football rivalry is an American college football rivalry between the Michigan Wolverines football team of the University of Michigan and Minnesota Golden Gophers football team of the University of Minnesota . The Little Brown Jug is an earthenware jug that serves as a trophy awarded to the winner of the game . It is one of the oldest and most played rivalries in American college football , dating to 1892 . The Little Brown Jug is the most regularly exchanged rivalry trophy in college football , the oldest trophy game in FBS college football , and the second oldest rivalry trophy overall , next to the 1899 Territorial Cup ( which did not become a travelling / exchange trophy until 2001 ) , contested between Arizona and Arizona State ( which did not become a four - year college until 1925 ) . </t>
  </si>
  <si>
    <t xml:space="preserve">Habeas corpus in the United States - wikipedia  Habeas corpus in the United States  Jump to : navigation , search  Habeas corpus ( / ˈheɪbiəs ˈkɔːrpəs / ) is a recourse in law challenging the reasons or conditions of a person 's confinement under color of law . A petition for habeas corpus is filed with a court that has jurisdiction over the custodian , and if granted , a writ is issued directing the custodian to bring the confined person before the court for examination into those reasons or conditions . The Suspension Clause of the United States Constitution specifically included the English common law procedure in Article One , Section 9 , clause 2 , which demands that `` The privilege of the writ of habeas corpus shall not be suspended , unless when in cases of rebellion or invasion the public safety may require it . ''   United States law affords persons the right to petition the federal courts for a writ of habeas corpus . Individual states also afford persons the ability to petition their own state court systems for habeas corpus pursuant to their respective constitutions and laws when held or sentenced by state authorities .   Federal habeas review did not extend to those in state custody until almost a century after the nation 's founding . During the Civil War and Reconstruction , as later during the War on Terrorism , the right to petition for a writ of habeas corpus was substantially curtailed for persons accused of engaging in certain conduct . In reaction to the former , and to ensure state courts enforced federal law , a Reconstruction Act for the first time extended the right of federal court habeas review to those in the custody of state courts ( prisons and jails ) , expanding the writ essentially to all imprisoned on American soil . The federal habeas statute that resulted , with substantial amendments , is now at 28 U.S.C. § 2241 . For many decades , the great majority of habeas petitions reviewed in federal court have been filed by those imprisoned in federal prisons by state courts for state crimes ( e.g. , murder , rape , robbery , etc . ) , since in the American system , crime has historically been a matter of state law .   The privilege of habeas corpus is not a right against unlawful arrest , but rather a right to be released from imprisonment after such arrest . If one believes the arrest is without legal merit and subsequently refuses to come willingly , he still may be guilty of resisting arrest , which can sometimes be a crime in and of itself ( even if the initial arrest itself was illegal ) depending on the state .     Contents  ( hide )   1 Origin   2 Federal law   3 Suspension during the Civil War   3.1 Presidential suspension of habeas corpus   3.2 Congressional suspension of habeas corpus   3.3 In the Confederacy     4 Suspension during Reconstruction   5 Suspension in the Philippines   6 Habeas corpus during World War II   7 Antiterrorism and Effective Death Penalty Act   8 Habeas corpus in the 21st Century   9 Differences in post-trial actions   10 Federal habeas corpus statistics   10.1 Number of cases   10.2 Types of cases in which petitions are filed   10.3 Success rates   10.4 Disposition time   10.5 Filing rates     11 References   12 Further reading   13 External links      Origin ( edit )   Habeas corpus derives from the English common law where the first recorded usage was in 1305 , in the reign of King Edward I of England . The procedure for the issuing of writs of habeas corpus was first codified by the Habeas Corpus Act 1679 , following judicial rulings which had restricted the effectiveness of the writ . A previous act had been passed in 1640 to overturn a ruling that the command of the Queen was a sufficient answer to a petition of habeas corpus . Winston Churchill , in his chapter on the English Common Law in The Birth of Britain , explains the process thus :   Only the King had a right to summon a jury . Henry ( II ) accordingly did not grant it to private courts ... But all this was only a first step . Henry also had to provide means whereby the litigant , eager for royal justice , could remove his case out of the court of his lord into the court of the King . The device which Henry used was the royal writ ... and any man who could by some fiction fit his own case to the wording of one of the royal writs might claim the King 's justice .   The writ of habeas corpus was issued by a superior court in the name of the Monarch , and commanded the addressee ( a lower court , sheriff , or private subject ) to produce the prisoner before the Royal courts of law . Petitions for habeas corpus could be made by the prisoner himself or by a third party on his behalf , and as a result of the Habeas Corpus Acts could be made regardless of whether the court was in session , by presenting the petition to a judge .   The 1679 Act remains important in 21st century cases . This Act and the historical body of British practice that relies upon it has been used to interpret the habeas rights granted by the United States Constitution , while taking into account the understanding of the writ held by the framers of the Constitution .   Federal law ( edit )   The Suspension Clause of Article I does not expressly establish a right to the writ of habeas corpus ; rather , it prevents Congress from restricting it . There has been much scholarly debate over whether the Clause positively establishes a right under the federal constitution , merely exists to prevent Congress from prohibiting state courts from granting the writ , or protects a pre-existing common law right enforceable by federal judges . However , in the cases of Immigration and Naturalization Service v. St. Cyr ( 2001 ) , and Boumediene v. Bush ( 2008 ) the U.S. Supreme Court suggested that the Suspension Clause protects `` the writ as it existed in 1789 , '' that is , as a writ which federal judges could issue in the exercise of their common law authority .   Regardless of whether the writ is positively guaranteed by the constitution , habeas corpus was first established by statute in the Judiciary Act of 1789 . This statutory writ applied only to those held in custody by officials of the executive branch of the federal government and not to those held by state governments , which independently afford habeas corpus pursuant to their respective constitutions and laws . From 1789 until 1866 , the federal writ of habeas corpus was largely restricted to prisoners in federal custody , at a time when no direct appeals from federal criminal convictions were provided for by law . Habeas corpus remained the only means for judicial review of federal capital convictions until 1889 , and the only means for review of federal convictions for other `` infamous crimes '' until 1891 . Until 1983 the writ of habeas corpus remained the only way that decisions of military courts could be reviewed by the Supreme Court .   The authority of federal courts to review the claims of prisoners in state custody was not clearly established until Congress adopted a statute ( 28 U.S.C. § 2254 ) granting federal courts that authority in 1867 , as part of the post-Civil War Reconstruction . The U.S. Supreme Court in the case of Waley v. Johnson ( 1942 ) interpreted this authority broadly to allow the writ to be used to challenge convictions or sentences in violation of a defendant 's constitutional rights where no other remedy was available .   The U.S. Congress grants federal district courts , the Supreme Court , and all Article III federal judges , acting in their own right , jurisdiction under 28 U.S.C. § 2241 to issue writs of habeas corpus to release prisoners held by any government entity within the country from custody , subject to certain limitations , if the prisoner --    Is in custody under or by color of the authority of the United States or is committed for trial before some court thereof ; or   Is in custody for an act done or omitted in pursuance of an Act of Congress , or an order , process , judgment or decree court or judge of the United States ; or   Is in custody in violation of the Constitution or laws or treaties of the United States ; or   Being a citizen of a foreign state and domiciled therein is in custody for an act done or omitted under any alleged right , title , authority , privilege , protection , or exemption claimed under the commission , order or sanction of any foreign state , or under color thereof , the validity and effect of which depend upon the law of nations ; or   It is necessary to bring said persons into court to testify or for trial .    In 1950s and 1960s , decisions by the Warren Court greatly expanded the use and scope of the federal writ largely due to the `` constitutionalizing '' of criminal procedure by applying the Bill of Rights , in part , to state courts using the incorporation doctrine . This afforded state prisoners many more opportunities to claim that their convictions were unconstitutional , which provided grounds for habeas corpus relief . In the last thirty years , decisions by the Burger and Rehnquist Courts have somewhat narrowed the writ . The Antiterrorism and Effective Death Penalty Act of 1996 ( AEDPA ) further limited the use of the federal writ by imposing a one - year statute of limitations and dramatically increasing the federal judiciary 's deference to decisions previously made in state court proceedings either on appeal or in a state court habeas corpus action .   One of AEDPA 's most controversial changes is the requirement that any constitutional right invoked to vacate a state court conviction rooted in a mistake of law by the state court must have `` resulted in a decision that was contrary to , or involved an unreasonable application of , clearly established Federal law , as determined by the Supreme Court of the United States . '' Thus , a U.S. Court of Appeals must ignore its own precedents and affirm a state court decision contrary to its precedents , if the U.S. Supreme Court has never squarely addressed a particular issue of federal law .   Suspension during the Civil war ( edit )   Presidential suspension of habeas corpus ( edit )   On April 27 , 1861 , the right of habeas corpus was unilaterally suspended by President Abraham Lincoln in Maryland during the American Civil War . Lincoln had received word that anti-war Maryland officials intended to destroy the railroad tracks between Annapolis and Philadelphia , which was a vital supply line for the army preparing to fight the south . ( Indeed , soon after , the Maryland legislature would simultaneously vote to stay in the Union and to close these rail lines , in an apparent effort to prevent war between its northern and southern neighbors . ) Lincoln did not issue a sweeping order ; it only applied to the Maryland route . Lincoln chose to suspend the writ over a proposal to bombard Baltimore , favored by his General - in - Chief Winfield Scott . Lincoln was also motivated by requests by generals to set up military courts to rein in his political opponents , `` Copperheads , '' or Peace Democrats , so named because they did not want to resort to war to force the southern states back into the Union , as well as to intimidate those in the Union who supported the Confederate cause . Congress was not yet in session to consider a suspension of the writs ; however , when it came into session it failed to pass a bill favored by Lincoln to sanction his suspensions . During this period one sitting U.S. Congressman from the opposing party , as well as the mayor , police chief , entire Board of Police , and the city council of Baltimore were arrested without charge and imprisoned indefinitely without trial .   Lincoln 's action was rapidly challenged in court and overturned by the U.S. Circuit Court of Appeals in Maryland ( led by the Chief Justice of the Supreme Court , Roger B. Taney ) in Ex Parte Merryman . Chief Justice Taney ruled the suspension unconstitutional , stating that only Congress could suspend habeas corpus . Lincoln and his Attorney General Edward Bates not only ignored the Chief Justice 's order , but when Lincoln 's dismissal of the ruling was criticized in an editorial by prominent Baltimore newspaper editor Frank Key Howard , they had the editor also arrested by federal troops without charge or trial . Ironically , the troops imprisoned Howard , who was Francis Scott Key 's grandson , in Fort McHenry , which , as he noted , was the same fort where the Star Spangled Banner had been waving `` o'er the land of the free '' in his grandfather 's song . ( In 1863 , Howard wrote about his experience as a `` political prisoner '' at Fort McHenry in the book Fourteen Months in the American Bastille ; two of the publishers selling the book were then arrested . )   When Congress convened in July 1861 it failed to support Lincoln 's unilateral suspension of habeas corpus . A joint resolution was introduced into the Senate to approve of the president 's suspension of the writ of habeas corpus , but filibustering by Senate Democrats , who did not support it , and opposition to its imprecise wording by Sen. Lyman Trumbull prevented a vote on the resolution before the end of the first session , and the resolution was not taken up again . Sen. Trumbull himself introduced a bill to suspend habeas corpus , but failed on getting a vote before the end of the first session .   Shortly thereafter , on September 17 , 1861 , the day the Maryland legislature was to reconvene , Lincoln imprisoned one third of the members of the Maryland General Assembly without charges or hearings in further defiance of the Chief Justice 's ruling . Thus , the legislative session had to be cancelled .   On February 14 , 1862 , the war was firmly in progress and Lincoln ordered most prisoners released , putting an end to court challenges for the time being . He again suspended habeas corpus on his own authority in September that same year , however , in response to resistance to his calling up of the militia .   Congressional suspension of habeas corpus ( edit )   When Congress met again in December 1862 , the House of Representatives passed a bill indemnifying the president for his suspension of habeas corpus . The Senate amended the bill , and the compromise reported out of the conference committee altered it to remove the indemnity and to suspend habeas corpus on Congress 's own authority . That bill , the Habeas Corpus Suspension Act , was signed into law March 3 , 1863 . Lincoln exercised his powers under it in September , suspending habeas corpus throughout the Union in any case involving prisoners of war , spies , traitors , or military personnel , The suspension of habeas corpus remained in effect until Andrew Johnson revoked it on December 1 , 1865 .   General Ambrose E. Burnside had former - Congressman Clement Vallandigham arrested in May 1863 for continuing to express sympathy for the Confederate cause after having been warned to cease doing so . Vallandigham was tried by a military tribunal and sentenced to two years in a military prison . Lincoln quickly commuted his sentence to banishment to the Confederacy . Vallandigham appealed his sentence , arguing that the Enrollment Act did not authorize his trial by a military tribunal rather than in ordinary civilian courts , that he was not ordinarily subject to court martial , and that Gen. Burnside could not expand the jurisdiction of military courts on his own authority . The Supreme Court did not address the substance of Vallandigham 's appeal , instead denying that it possessed the jurisdiction to review the proceedings of military tribunals without explicit congressional authorization .   In 1864 , Lambdin P. Milligan and four others were accused of planning to steal Union weapons and invade Union prisoner - of - war camps and were sentenced to hang by a military court . However , their execution was not set until May 1865 , so they were able to argue the case after the war ended . In Ex parte Milligan ( 1866 ) , the U.S. Supreme Court decided that Congress 's 1863 suspension of the writ did not empower the President to try to convict citizens before military tribunals where the civil courts were open and operational . This was one of the key Supreme Court Cases of the American Civil War that dealt with wartime civil liberties and martial law .   In the Confederacy ( edit )   In the Confederacy , Jefferson Davis also suspended habeas corpus and imposed martial law . This was in part to maintain order and spur industrial growth in the South to compensate for the economic loss inflicted by its secession .   Suspension during Reconstruction ( edit )  Main article : Civil Rights Act of 1871      This section needs expansion . You can help by adding to it . ( July 2011 )         Wikisource has original text related to this article : Ku Klux Klan Act of 1871         Wikisource has original text related to this article : Proclamation 201     Following the end of the Civil War , numerous groups arose in the South to oppose Reconstruction , including the Ku Klux Klan . In response , Congress passed the Enforcement Acts in 1870 -- 71 . One of these , the Civil Rights Act of 1871 , permitted the president to suspend habeas corpus if conspiracies against federal authority were so violent that they could not be checked by ordinary means . That same year , President Ulysses S. Grant suspended the writ of habeas corpus in nine South Carolina counties ; the Act 's sunset clause ended that suspension with the close of the next regular session of Congress .   Suspension in the philippines ( edit )       This section needs expansion . You can help by adding to it . ( July 2011 )     In response to continuing unrest , the Philippine Commission availed itself of an option in the Philippine Organic Act of 1902 , 32 Stat. 692 , and on January 31 , 1905 , requested that Governor - General Luke Edward Wright suspend the writ of habeas corpus . He did so the same day , and habeas corpus was suspended until he revoked his proclamation on October 15 , 1905 . The suspension gave rise to the United States Supreme Court case Fischer v. Baker , 203 U.S. 174 ( 1906 ) .   Habeas corpus during world war II ( edit )   Immediately following the attack on Pearl Harbor , the governor of Hawaii , Joseph Poindexter , invoked the Hawaiian Organic Act , 31 Stat. 141 ( 1900 ) , suspended habeas corpus , and declared martial law . Hawaii was governed by Lieutenant Generals Walter Short , Delos Emmons , and Robert C. Richardson , Jr. for the remainder of the war . In Duncan v. Kahanamoku , 327 U.S. 304 ( 1946 ) , the United States Supreme Court held that the declaration of martial law did not permit the trial of civilians in military tribunals for offenses unrelated to the military ( in this case , public drunkenness ) .   In 1942 , eight German saboteurs , including two U.S. citizens , who had secretly entered the United States to attack its civil infrastructure as part of Operation Pastorius were convicted by a secret military tribunal set up by President Franklin D. Roosevelt . In Ex parte Quirin ( 1942 ) , the U.S. Supreme Court decided that the writ of habeas corpus did not apply , and that the military tribunal had jurisdiction to try the saboteurs , due to their status as unlawful combatants .   The period of martial law in Hawaii ended in October 1944 . It was held in Duncan v. Kahanamoku ( 1946 ) that although the initial imposition of martial law in December 1941 may have been lawful , due to the Pearl Harbor attack and threat of imminent invasion , by 1944 the imminent threat had receded and civilian courts could again function in Hawaii . The Organic Act therefore did not authorize the military to continue to keep civilian courts closed .   After the end of the war , several German prisoners held in American - occupied Germany petitioned the District Court for the District of Columbia for a writ of habeas corpus . In Johnson v. Eisentrager ( 1950 ) the U.S. Supreme Court decided that the American court system had no jurisdiction over German war criminals who had been captured in Germany , and had never entered U.S. soil .   Antiterrorism and Effective death penalty Act ( edit )   In 1996 , following the Oklahoma City bombing , Congress passed ( 91 -- 8 in the Senate , 293 -- 133 in the House ) and President Clinton signed into law the Antiterrorism and Effective Death Penalty Act of 1996 ( AEDPA ) . The AEDPA was intended to `` deter terrorism , provide justice for victims , provide for an effective death penalty , and for other purposes . '' The AEDPA introduced one of the few limitations on habeas corpus . For the first time , its Section 101 set a statute of limitations of one year following conviction for prisoners to seek the writ . The Act limits the power of federal judges to grant relief unless the state court 's adjudication of the claim has resulted in a decision that    Is contrary to , or has involved an unreasonable application of clearly established federal law as determined by the Supreme Court of the United States ; or   Has resulted in a decision that was based on an unreasonable determination of the facts in light of the evidence presented in the state court proceeding .    It barred second or successive petitions generally but with several exceptions . Petitioners who had already filed a federal habeas petition were required first to secure authorization from the appropriate United States Court of Appeals , to ensure that such an exception was at least facially made out .   Habeas corpus in the 21st century ( edit )   The November 13 , 2001 , Presidential Military Order purported to give the President of the United States the power to detain non-citizens suspected of connection to terrorists or terrorism as enemy combatants . As such , that person could be held indefinitely , without charges being filed against him or her , without a court hearing , and without legal counsel . Many legal and constitutional scholars contended that these provisions were in direct opposition to habeas corpus , and the United States Bill of Rights and , indeed , in Hamdi v. Rumsfeld ( 2004 ) the U.S. Supreme Court re-confirmed the right of every American citizen to access habeas corpus even when declared to be an enemy combatant . The Court affirmed the basic principle that habeas corpus could not be revoked in the case of a citizen .   In Hamdan v. Rumsfeld ( 2006 ) Salim Ahmed Hamdan petitioned for a writ of habeas corpus , challenging that the military commissions set up by the Bush administration to try detainees at Guantanamo Bay `` violate both the UCMJ and the four Geneva Conventions . '' In a 5 - 3 ruling the Court rejected Congress 's attempts to strip the court of jurisdiction over habeas corpus appeals by detainees at Guantánamo Bay . Congress had previously passed the Department of Defense Appropriations Act , 2006 which stated in Section 1005 ( e ) , `` Procedures for Status Review of Detainees Outside the United States '' :   ( 1 ) Except as provided in section 1005 of the Detainee Treatment Act of 2005 , no court , justice , or judge shall have jurisdiction to hear or consider an application for a writ of habeas corpus filed by or on behalf of an alien detained by the Department of Defense at Guantanamo Bay , Cuba .   ( 2 ) The jurisdiction of the United States Court of Appeals for the District of Columbia Circuit on any claims with respect to an alien under this paragraph shall be limited to the consideration of whether the status determination ... was consistent with the standards and procedures specified by the Secretary of Defense for Combatant Status Review Tribunals ( including the requirement that the conclusion of the Tribunal be supported by a preponderance of the evidence and allowing a rebuttable presumption in favor of the Government 's evidence ) , and to the extent the Constitution and laws of the United States are applicable , whether the use of such standards and procedures to make the determination is consistent with the Constitution and laws of the United States .   On September 29 , the U.S. House and Senate approved the Military Commissions Act of 2006 , a bill which suspended habeas corpus for any alien determined to be an `` unlawful enemy combatant engaged in hostilities or having supported hostilities against the United States '' by a vote of 65 - 34 . ( This was the result on the bill to approve the military trials for detainees ; an amendment to remove the suspension of habeas corpus failed 48 - 51 . ) President Bush signed the Military Commissions Act of 2006 ( MCA ) into law on October 17 , 2006 . With the MCA 's passage , the law altered the language from `` alien detained ... at Guantanamo Bay '' :   Except as provided in section 1005 of the Detainee Treatment Act of 2005 , no court , justice , or judge shall have jurisdiction to hear or consider an application for a writ of habeas corpus filed by or on behalf of an alien detained by the United States who has been determined by the United States to have been properly detained as an enemy combatant or is awaiting such determination . '' § 1005 ( e ) ( 1 ) , 119 Stat. 2742 .   The Supreme Court ruled in Boumediene v. Bush that the MCA amounts to an unconstitutional encroachment on habeas corpus rights , and established jurisdiction for federal courts to hear petitions for habeas corpus from Guantanamo detainees tried under the Act . Under the MCA , the law restricted habeas appeals for only those aliens detained as enemy combatants , or awaiting such determination . Left unchanged was the provision that , after such determination is made , it is subject to appeal in federal courts , including a review of whether the evidence warrants the determination . If the status was upheld , then their imprisonment was deemed lawful ; if not , then the government could change the prisoner 's status to something else , at which point the habeas restrictions no longer applied .       Wikinews has related news : President Bush signed into law the Military Commissions Act of 2006     There is , however , no legal time limit which would force the government to provide a Combatant Status Review Tribunal hearing . Prisoners were , but are no longer , legally prohibited from petitioning any court for any reason before a CSRT hearing takes place .   In January 2007 , Attorney General Alberto Gonzales told the Senate Judiciary Committee that in his opinion : `` There is no express grant of habeas in the Constitution . There 's a prohibition against taking it away . '' He was challenged by Sen. Arlen Specter who asked him to explain how it is possible to prohibit something from being taken away , without first being granted . Robert Parry wrotes in the Baltimore Chronicle &amp; Sentinel :   Applying Gonzales 's reasoning , one could argue that the First Amendment does n't explicitly say Americans have the right to worship as they choose , speak as they wish or assemble peacefully . Ironically , Gonzales may be wrong in another way about the lack of specificity in the Constitution 's granting of habeas corpus rights . Many of the legal features attributed to habeas corpus are delineated in a positive way in the Sixth Amendment ...   The Department of Justice has taken the position in litigation that the Military Commissions Act of 2006 does not amount to a suspension of the writ of habeas corpus . The U.S. Court of Appeals for the D.C. Circuit agreed in a 2 - 1 decision , on February 20 , 2007 , which the U.S. Supreme Court initially declined to review . The U.S. Supreme Court then reversed its decision to deny review and took up the case in June 2007 . In June 2008 , the court ruled 5 - 4 that the act did suspend habeas and found it unconstitutional .   On June 7 , 2007 , the Habeas Corpus Restoration Act of 2007 was approved by the Senate Judiciary Committee with an 11 -- 8 vote split along party lines , with all but one Republican voting against it . Although the Act would restore statutory habeas corpus to enemy combatants , it would not overturn the provisions of the AEDPA which set a statute of limitations on habeas corpus claims from ordinary civilian federal and state prisoners .   On June 11 , 2007 , a federal appeals court ruled that Ali Saleh Kahlah al - Marri , a legal resident of the United States , could not be detained indefinitely without charge . In a two - to - one ruling by the U.S. Court of Appeals for the Fourth Circuit , the Court held the President of the United States lacks legal authority to detain al - Marri without charge ; all three judges ruled that al - Marri is entitled to traditional habeas corpus protections which give him the right to challenge his detainment in a U.S. Court .   In July 2008 , the U.S. Court of Appeals for the Fourth Circuit ruled that `` if properly designated an enemy combatant pursuant to the legal authority of the President , such persons may be detained without charge or criminal proceedings for the duration of the relevant hostilities . ''   On October 7 , 2008 , U.S. District Judge Ricardo M. Urbina ruled that 17 Uyghurs , Muslims from China 's northwestern Xinjiang region , must be brought to appear in his court in Washington , DC , three days later : `` Because the Constitution prohibits indefinite detentions without cause , the continued detention is unlawful . ''   On January 21 , 2009 , President Barack Obama issued an executive order regarding the Guantanamo Bay Naval Base and the individuals held there . This order stated that the detainees `` have the constitutional privilege of the writ of habeas corpus . ''  Regarding U.S. Citizens accused of supporting terrorism , senator Lindsey Graham has stated before the senate , `` When they say , ' I want my lawyer , ' you tell them : ' Shut up . You do n't get a lawyer . You are an enemy combatant , and we are going to talk to you about why you joined Al Qaeda . ' ''  -- U.S. Senator Lindsey Graham , 2011   Following the December 1 , 2011 , vote by the United States Senate to reject an NDAA amendment proscribing the indefinite detention of U.S. citizens , the ACLU has argued that the legitimacy of Habeas Corpus is threatened : `` The Senate voted 38 - 60 to reject an important amendment ( that ) would have removed harmful provisions authorizing the U.S. military to pick up and imprison without charge or trial civilians , including American citizens , anywhere in the world ... We 're disappointed that , despite robust opposition to the harmful detention legislation from virtually the entire national security leadership of the government , the Senate said ' no ' to the Udall amendment and ' yes ' to indefinite detention without charge or trial . '' The New York Times has stated that the vote leaves the constitutional rights of U.S. citizens `` ambiguous , '' with some senators including Carl Levin and Lindsey Graham arguing that the Supreme Court had already approved holding Americans as enemy combatants , and other senators , including Dianne Feinstein and Richard Durbin , asserting the opposite .   On April 20 , 2015 , a New York Supreme Court justice issued an order to `` show cause &amp; writ of habeas corpus '' in a proceeding on behalf of two chimpanzees used in research at the State University of New York at Stony Brook . The justice , Barbara Jaffe , amended her order later in the day by striking the reference to habeas corpus .   Differences in post-trial actions ( edit )   Habeas corpus is an action often taken after sentencing by a defendant who seeks relief for some perceived error in his criminal trial . There are a number of such post-trial actions and proceedings , their differences being potentially confusing , thus bearing some explanation . Some of the most common are an appeal to which the defendant has as a right , a writ of certiorari , a writ coram nobis and a writ of habeas corpus .   An appeal to which the defendant has a right can not be abridged by the court which is , by designation of its jurisdiction , obligated to hear the appeal . In such an appeal , the appellant feels that some error has been made in his trial , necessitating an appeal . A matter of importance is the basis on which such an appeal might be filed : generally appeals as a matter of right may only address issues which were originally raised in trial ( as evidenced by documentation in the official record ) . Any issue not raised in the original trial may not be considered on appeal and will be considered waived via estoppel . A convenient test for whether a petition is likely to succeed on the grounds of error is confirming that    a mistake was indeed made   an objection to that mistake</t>
  </si>
  <si>
    <t xml:space="preserve">when was the writ of habeas corpus created</t>
  </si>
  <si>
    <t xml:space="preserve"> Habeas corpus derives from the English common law where the first recorded usage was in 1305 , in the reign of King Edward I of England . The procedure for the issuing of writs of habeas corpus was first codified by the Habeas Corpus Act 1679 , following judicial rulings which had restricted the effectiveness of the writ . A previous act had been passed in 1640 to overturn a ruling that the command of the Queen was a sufficient answer to a petition of habeas corpus . Winston Churchill , in his chapter on the English Common Law in The Birth of Britain , explains the process thus : </t>
  </si>
  <si>
    <r>
      <rPr>
        <sz val="11"/>
        <color rgb="FF000000"/>
        <rFont val="Calibri"/>
        <family val="0"/>
        <charset val="1"/>
      </rPr>
      <t xml:space="preserve">John Deere Classic - wikipedia  John Deere Classic   John Deere Classic       Tournament information     Location   Silvis , Illinois , U.S.     Established   1971     Course ( s )   TPC Deere Run     Par   71     Length   7,257 yards ( 6,636 m )     Tour ( s )   PGA Tour     Format   Stroke play     Prize fund   $ 5.8 million     Month played   July     Tournament record score     Aggregate   257 Michael Kim ( 2018 )     To par   − 27 as above     Current champion     Michael Kim    TPC Deere Run Location in the United States TPC Deere Run Location in Illinois  The John Deere Classic is a professional golf tournament on the PGA Tour . It is played annually in July , the week before the British Open , at TPC Deere Run in the Quad Cities community of Silvis , Illinois .   The tournament began as the Quad Cities Open in 1971 and was a `` satellite event '' on the PGA Tour . It became an official tour event in 1972 . Ed McMahon served as tournament host from 1975 to 1979 . Title sponsors have included Miller Brewing Company ( 1982 -- 85 ) , Hardee 's ( 1986 -- 94 ) and John Deere ( since 1999 ) .   From the event 's inception in 1971 through 1974 , it was played at Crow Valley Country Club in Davenport , Iowa . It then moved to Oakwood Country Club in Coal Valley , Illinois from 1975 to 1999 . Beginning in 2000 , the event has been at the TPC at Deere Run in Silvis .   In 2005 and 2006 , the tournament generated more media coverage because of the sponsor 's exemptions given to teenager Michelle Wie . In 2005 , the tournament 's storyline also revolved around Sean O'Hair , whose win qualified him to play in The Open the following week and was a significant part of his PGA Tour Rookie of the Year season . The 2013 edition saw Jordan Spieth , two weeks shy of his 20th birthday , become the first teenager to win on the PGA Tour since 1931 .   In order to help attract players who will compete in the following week 's British Open , since 2008 the John Deere Classic has sponsored a charter flight that leaves the Quad Cities on Sunday night and arrives in Britain the next morning .   Since the introduction of the Open Qualifying Series , the John Deere Classic is a final chance for a player not already exempt to earn entry into The Open if he finished in the top five .   Contents    1 Sponsor 's exemptions for Michelle Wie   2 Winners   3 Multiple winners   4 References   5 External links    Sponsor 's exemptions for Michelle Wie ( edit )   Michelle Wie first received a sponsor 's exemption to play in the John Deere Classic in 2005 , part of her effort to make the cut in a men 's professional golf event . The tournament attracted thousands of visitors as fans flocked to see the 15 - year - old Wie play . She posted a 70 ( − 1 ) in the first round and was four - under for the tournament after 32 holes , but then had a double bogey and bogey on successive holes . Wie finished with two pars to shoot 141 ( − 1 ) and missed the cut by two strokes .   Wie received a sponsor 's exemption again in 2006 ; it was her first men 's event with a cut since making the cut in a men 's tournament for the first time earlier that year in Korea . She finished the first round at 77 ( + 6 ) , well behind the projected cut line of − 2 . In the moderate afternoon heat ( 88 ° F ( 31 ° C ) ) of the second day , she fell two strokes further behind after a double bogey at the 9th hole and withdrew from the tournament , citing heat exhaustion . After receiving treatment at the course medical trailer , Wie departed in an ambulance , as required by state law .   Winners ( edit )     Year   Player   Country   Score   To par   Margin of victory   Runner ( s ) - up   Winner 's share ( $ )   Purse ( $ )     John Deere Classic     2018   Michael Kim   United States   257   − 27   8 strokes   Bronson Burgoon Joel Dahmen Francesco Molinari Sam Ryder   1,044,000   5,800,000     2017   Bryson DeChambeau   United States   266   − 18   1 stroke   Patrick Rodgers   1,008,000   5,600,000     2016   Ryan Moore   United States   262   − 22   2 strokes   Ben Martin   864,000   4,800,000     2015   Jordan Spieth ( 2 )   United States   264   − 20   Playoff   Tom Gillis   846,000   4,700,000     2014   Brian Harman   United States   262   − 22   1 stroke   Zach Johnson   846,000   4,700,000     2013   Jordan Spieth   United States   265   − 19   Playoff   David Hearn Zach Johnson   828,000   4,600,000     2012   Zach Johnson   United States   264   − 20   Playoff   Troy Matteson   828,000   4,600,000     2011   Steve Stricker ( 3 )   United States   262   − 22   1 stroke   Kyle Stanley   810,000   4,500,000       Steve Stricker ( 2 )   United States   258   − 26   2 strokes   Paul Goydos   792,000   4,400,000     2009   Steve Stricker   United States   264   − 20   3 strokes   Zach Johnson Brett Quigley Brandt Snedeker   774,000   4,300,000     2008   Kenny Perry   United States   268   − 16   Playoff   Brad Adamonis Jay Williamson   756,000   4,200,000     2007   Jonathan Byrd   United States   266   − 18   1 stroke   Tim Clark   738,000   4,100,000     2006   John Senden   Australia   265   − 19   1 stroke   J.P. Hayes   720,000   4,000,000     2005   Sean O'Hair   United States   268   − 16   1 stroke   Robert Damron Hank Kuehne   720,000   4,000,000       Mark Hensby   Australia   268   − 16   Playoff   John E. Morgan   684,000   3,800,000     2003   Vijay Singh   Fiji   268   − 16   4 strokes   Jonathan Byrd J.L. Lewis Chris Riley   630,000   3,500,000     2002   J.P. Hayes   United States   262   − 22   4 strokes   Robert Gamez   540,000   3,000,000       David Gossett   United States   265   − 19   1 stroke   Briny Baird   504,000   2,800,000     2000   Michael Clark II   United States   265   − 19   Playoff   Kirk Triplett   468,000   2,600,000     1999   J.L. Lewis   United States   261   − 19   Playoff   Mike Brisky   360,000   2,000,000     Quad City Classic     1998   Steve Jones   United States   263   − 17   1 stroke   Scott Gump   279,000   1,550,000       David Toms   United States   265   − 15   3 strokes   Brandel Chamblee Robert Gamez Jimmy Johnston   243,000   1,350,000       Ed Fiori   United States   268   − 12   2 strokes   Andrew Magee   216,000   1,200,000     1995   D.A. Weibring ( 3 )   United States   197 ^   − 13   1 stroke   Jonathan Kaye   180,000   1,000,000     Hardee 's Golf Classic       Mark McCumber   United States   265   − 15   1 stroke   Kenny Perry   180,000   1,000,000       David Frost ( 2 )   South Africa   259   − 21   7 strokes   Payne Stewart D.A. Weibring   180,000   1,000,000       David Frost   South Africa   266   − 14   3 strokes   Tom Lehman Loren Roberts   180,000   1,000,000     1991   D.A. Weibring ( 2 )   United States   267   − 13   1 stroke   Paul Azinger Peter Jacobsen   180,000   1,000,000       Joey Sindelar   United States   268   − 12   Playoff   Willie Wood   180,000   1,000,000       Curt Byrum   United States   268   − 12   1 stroke   Bill Britton Brian Tennyson   126,000   700,000       Blaine McCallister   United States   261   − 19   3 strokes   Dan Forsman   108,000   600,000       Kenny Knox   United States   265   − 15   1 stroke   Gil Morgan   90,000   500,000     1986   Mark Wiebe   United States   268   − 12   1 stroke   Curt Byrum   72,000   400,000     Lite Quad Cities Open     1985   Dan Forsman   United States   267   − 13   1 stroke   Bob Tway   54,000   300,000     Miller High Life QCO     1984   Scott Hoch ( 2 )   United States   266   − 14   5 strokes   George Archer Vance Heafner Dave Stockton   36,000   200,000       Danny Edwards   United States   266   − 14   Playoff   Morris Hatalsky   36,000   200,000     1982   Payne Stewart   United States   268   − 12   2 strokes   Brad Bryant Pat McGowan   36,000   200,000     Quad Cities Open     1981   Dave Barr   Canada   270   − 10   Playoff   Woody Blackburn Frank Conner Dan Halldorson Victor Regalado   36,000   200,000     1980   Scott Hoch   United States   266   − 14   3 strokes   Curtis Strange   36,000   200,000     Ed McMahon - Jaycees Quad Cities Open     1979   D.A. Weibring   United States   266   − 14   2 strokes   Calvin Peete   36,000   200,000     1978   Victor Regalado   Mexico   269   − 15   1 stroke   Fred Marti   30,000   150,000     1977   Mike Morley   United States   267   − 17   1 stroke   Bob Murphy Victor Regalado   25,000   125,000     1976   John Lister   New Zealand   268   − 16   2 strokes   Fuzzy Zoeller   20,000   100,000       Roger Maltbie   United States   275   − 9   1 stroke   Dave Eichelberger   15,000   75,000     Quad Cities Open       Dave Stockton   United States   271   − 13   1 stroke   Bruce Fleisher   20,000   100,000     1973   Sam Adams   United States   268   − 16   3 strokes   Dwight Nevil Kermit Zarley   20,000   100,000     1972   Deane Beman ( 2 )   United States   279   − 5   1 stroke   Tom Watson   20,000   100,000      As a satellite event    Quad Cities Open    1971 -- Deane Beman -- United States    ^ Indicates weather - shortened to 54 holes Note : Green highlight indicates scoring records . Main sources   Multiple winners ( edit )   Through 2016 , six men have won the John Deere Classic more than once .    3 wins   D.A. Weibring : 1979 , 1991 , 1995   Steve Stricker : 2009 , 2010 , 2011     2 wins   Deane Beman : 1971 , 1972   Scott Hoch : 1980 , 1984   David Frost : 1992 , 1993   Jordan Spieth : 2013 , 2015      References ( edit )    Jump up ^ `` Tournament at a glance '' . John Deere Classic . 2012 . Archived from the original on July 7 , 2012 . Retrieved July 10 , 2012 .   ^ Jump up to : History : John Deere Classic   Jump up ^ `` Inside the course : TPC Deere Run '' . PGA Tour . July 9 , 2012 . Archived from the original on July 12 , 2012 . Retrieved July 10 , 2012 .   Jump up ^ `` Jordan Spieth , 19 , takes John Deere '' . ESPN . July 14 , 2013 . Retrieved July 14 , 2013 .   Jump up ^ Sherman , Ed ( July 8 , 2008 ) . `` John Deere Classic finds novel way to attract players '' . Chicago Tribune . Retrieved July 14 , 2013 .   Jump up ^ Hoggard , Rex ( July 4 , 2011 ) . `` Air Deere draws Open crowd to John Deere '' . Golf Channel . Retrieved July 14 , 2013 .   Jump up ^ `` Michelle Wie scorecard : 2005 John Deere Classic '' . Yahoo Sports . Retrieved July 10 , 2012 .   Jump up ^ `` Michelle Wie scorecard : 2006 John Deere Classic '' . Yahoo Sports . Retrieved July 10 , 2012 .   Jump up ^ `` Wie withdraws due to heat exhaustion at John Deere Classic '' . PGA Tour . July 14 , 2006 . Archived from the original on July 16 , 2006 . Retrieved July 10 , 2012 .   Jump up ^ John Deere Classic -- Winners -- at pgatour.com   Jump up ^ John Deere Classic -- Winners Archived 2014 - 07 - 14 at the Wayback Machine . -- at golfobserver.com ( 1972 -- 2009 )    External links ( edit )    Official website   Coverage on the PGA Tour 's official site   TPC Deere Run              PGA Tour events     Major championships     Masters Tournament   PGA Championship   U.S. Open   The Open Championship ( British Open )       Other tournaments     Safeway Open   CIMB Classic   CJ Cup   WGC - HSBC Champions   Sanderson Farms Championship   Shriners Hospitals for Children Open   Mayakoba Golf Classic   RSM Classic   Sentry Tournament of Champions   Sony Open in Hawaii   CareerBuilder Challenge   Farmers Insurance Open   Waste Management Phoenix Open   AT&amp;T Pebble Beach Pro-Am   Genesis Open   WGC - Mexico Championship   Puerto Rico Open   The Honda Classic   Arnold Palmer Invitational   The Players Championship   Valspar Championship   WGC - Dell Technologies Match Play   Corales Puntacana Resort and Club Championship   Valero Texas Open   RBC Heritage   Zurich Classic of New Orleans   Wells Fargo Championship   AT&amp;T Byron Nelson   Charles Schwab Challenge   Memorial Tournament   RBC Canadian Open   Travelers Championship   Rocket Mortgage Classic   3M Open   John Deere Classic   Barbasol Championship   WGC - FedEx St. Jude Invitational   Reno - Tahoe Tournament   Wyndham Championship       FedEx Cup playoff events     The Northern Trust   BMW Championship   Tour Championship       Team events     Ryder Cup   Presidents Cup   World Cup       Unofficial money events     Hero World Challenge   QBE Shootout   CVS Health Charity Classic       Former events     List of former events   Fall Series       All events are listed in chronological order .               John Deere     Vehicles     4020 Tractor   5220 Tractor   9630 Tractor   Buck ATV   DB120 Planter   Gator ATV   Military Robot   Snowmobiles   Other Tractors       Divisions     Chamberlain ( Australia )   Lanz Bulldog ( Germany )   Leyland Deere ( India ) ( 50 % )   Matbro Forklifts   Nortrax Heavy Equipment   StarFire GPS   Timberjack Forestry       People     John Deere   Hans W. Becherer   John Rusling Block   George Peek       Other     Country Song   Golf Tournament   Museum   Pavilion   Supreme Court Case   TV Show   Video Game   World Headquarters       Coordinates : 41 ° 28 ′ 37 '' N 90 ° 23 ′ 31 '' W ﻿ / ﻿ 41.477 ° N 90.392 ° W ﻿ / 41.477 ; - 90.392  Retrieved from `` https://en.wikipedia.org/w/index.php?title=John_Deere_Classic&amp;oldid=852767348 '' Categories :   PGA Tour events   Golf in Illinois   Golf in Iowa   Sports in the Quad Cities   Tourist attractions in Rock Island County , Illinois   Recurring sporting events established in 1971   John Deere   Hidden categories :   Webarchive template wayback links   Coordinates not on Wikidata           Talk                                           Contents                   About Wikipedia                                           Français   Nederlands   </t>
    </r>
    <r>
      <rPr>
        <sz val="11"/>
        <color rgb="FF000000"/>
        <rFont val="Noto Sans CJK SC"/>
        <family val="2"/>
      </rPr>
      <t xml:space="preserve">日本 語   </t>
    </r>
    <r>
      <rPr>
        <sz val="11"/>
        <color rgb="FF000000"/>
        <rFont val="Calibri"/>
        <family val="0"/>
        <charset val="1"/>
      </rPr>
      <t xml:space="preserve">Norsk   Svenska   </t>
    </r>
    <r>
      <rPr>
        <sz val="11"/>
        <color rgb="FF000000"/>
        <rFont val="Noto Sans CJK SC"/>
        <family val="2"/>
      </rPr>
      <t xml:space="preserve">中文   </t>
    </r>
    <r>
      <rPr>
        <sz val="11"/>
        <color rgb="FF000000"/>
        <rFont val="Calibri"/>
        <family val="0"/>
        <charset val="1"/>
      </rPr>
      <t xml:space="preserve">Edit links   This page was last edited on 31 July 2018 , at 06 : 42 ( UTC ) .         About Wikipedia                    </t>
    </r>
  </si>
  <si>
    <t xml:space="preserve">where are they playing the john deere classic golf tournament</t>
  </si>
  <si>
    <t xml:space="preserve"> The John Deere Classic is a professional golf tournament on the PGA Tour . It is played annually in July , the week before the British Open , at TPC Deere Run in the Quad Cities community of Silvis , Illinois . </t>
  </si>
  <si>
    <r>
      <rPr>
        <sz val="11"/>
        <color rgb="FF000000"/>
        <rFont val="Calibri"/>
        <family val="0"/>
        <charset val="1"/>
      </rPr>
      <t xml:space="preserve">Covalent bond - wikipedia  Covalent bond  Jump to : navigation , search `` Covalent '' redirects here . For other uses , see Covalent ( disambiguation ) . A covalent bond forming H ( right ) where two hydrogen atoms share the two electrons  A covalent bond , also called a molecular bond , is a chemical bond that involves the sharing of electron pairs between atoms . These electron pairs are known as shared pairs or bonding pairs , and the stable balance of attractive and repulsive forces between atoms , when they share electrons , is known as covalent bonding . For many molecules , the sharing of electrons allows each atom to attain the equivalent of a full outer shell , corresponding to a stable electronic configuration .   Covalent bonding includes many kinds of interactions , including σ - bonding , π - bonding , metal - to - metal bonding , agostic interactions , bent bonds , and three - center two - electron bonds . The term covalent bond dates from 1939 . The prefix co - means jointly , associated in action , partnered to a lesser degree , etc. ; thus a `` co-valent bond '' , in essence , means that the atoms share `` valence '' , such as is discussed in valence bond theory .   In the molecule H 2 , the hydrogen atoms share the two electrons via covalent bonding . Covalency is greatest between atoms of similar electronegativities . Thus , covalent bonding does not necessarily require that the two atoms be of the same elements , only that they be of comparable electronegativity . Covalent bonding that entails sharing of electrons over more than two atoms is said to be delocalized .     Contents  ( hide )   1 History   2 Types of covalent bonds   3 Covalent structures   4 One - and three - electron bonds   5 Resonance   5.1 Aromaticity   5.2 Hypervalence   5.3 Electron - deficiency     6 Quantum mechanical description   6.1 Covalency from atomic contribution to the electronic density of states     7 See also   8 References   9 Sources   10 External links      History  Early concepts in covalent bonding arose from this kind of image of the molecule of methane . Covalent bonding is implied in the Lewis structure by indicating electrons shared between atoms .  The term covalence in regard to bonding was first used in 1919 by Irving Langmuir in a Journal of the American Chemical Society article entitled `` The Arrangement of Electrons in Atoms and Molecules '' . Langmuir wrote that `` we shall denote by the term covalence the number of pairs of electrons that a given atom shares with its neighbors . ''   The idea of covalent bonding can be traced several years before 1919 to Gilbert N. Lewis , who in 1916 described the sharing of electron pairs between atoms . He introduced the Lewis notation or electron dot notation or Lewis dot structure , in which valence electrons ( those in the outer shell ) are represented as dots around the atomic symbols . Pairs of electrons located between atoms represent covalent bonds . Multiple pairs represent multiple bonds , such as double bonds and triple bonds . An alternative form of representation , not shown here , has bond - forming electron pairs represented as solid lines .   Lewis proposed that an atom forms enough covalent bonds to form a full ( or closed ) outer electron shell . In the diagram of methane shown here , the carbon atom has a valence of four and is , therefore , surrounded by eight electrons ( the octet rule ) , four from the carbon itself and four from the hydrogens bonded to it . Each hydrogen has a valence of one and is surrounded by two electrons ( a duet rule ) -- its own one electron plus one from the carbon . The numbers of electrons correspond to full shells in the quantum theory of the atom ; the outer shell of a carbon atom is the n = 2 shell , which can hold eight electrons , whereas the outer ( and only ) shell of a hydrogen atom is the n = 1 shell , which can hold only two .   While the idea of shared electron pairs provides an effective qualitative picture of covalent bonding , quantum mechanics is needed to understand the nature of these bonds and predict the structures and properties of simple molecules . Walter Heitler and Fritz London are credited with the first successful quantum mechanical explanation of a chemical bond ( molecular hydrogen ) in 1927 . Their work was based on the valence bond model , which assumes that a chemical bond is formed when there is good overlap between the atomic orbitals of participating atoms .   Types of covalent bonds   Atomic orbitals ( except for s orbitals ) have specific directional properties leading to different types of covalent bonds . Sigma ( σ ) bonds are the strongest covalent bonds and are due to head - on overlapping of orbitals on two different atoms . A single bond is usually a σ bond . Pi ( π ) bonds are weaker and are due to lateral overlap between p ( or d ) orbitals . A double bond between two given atoms consists of one σ and one π bond , and a triple bond is one σ and two π bonds .   Covalent bonds are also affected by the electronegativity of the connected atoms which determines the chemical polarity of the bond . Two atoms with equal electronegativity will make nonpolar covalent bonds such as H -- H. An unequal relationship creates a polar covalent bond such as with H − Cl . However polarity also requires geometric asymmetry , or else dipoles may cancel out resulting in a non-polar molecule .   Covalent structures   There are several types of structures for covalent substances , including individual molecules , molecular structures , macromolecular structures and giant covalent structures . Individual molecules have strong bonds that hold the atoms together , but there are negligible forces of attraction between molecules . Such covalent substances are usually gases , for example , HCl , SO , CO , and CH . In molecular structures , there are weak forces of attraction . Such covalent substances are low - boiling - temperature liquids ( such as ethanol ) , and low - melting - temperature solids ( such as iodine and solid CO ) . Macromolecular structures have large numbers of atoms linked by covalent bonds in chains , including synthetic polymers such as polyethylene and nylon , and biopolymers such as proteins and starch . Network covalent structures ( or giant covalent structures ) contain large numbers of atoms linked in sheets ( such as graphite ) , or 3 - dimensional structures ( such as diamond and quartz ) . These substances have high melting and boiling points , are frequently brittle , and tend to have high electrical resistivity . Elements that have high electronegativity , and the ability to form three or four electron pair bonds , often form such large macromolecular structures .   One - and three - electron bonds   Bonds with one or three electrons can be found in radical species , which have an odd number of electrons . The simplest example of a 1 - electron bond is found in the dihydrogen cation , H + 2 . One - electron bonds often have about half the bond energy of a 2 - electron bond , and are therefore called `` half bonds '' . However , there are exceptions : in the case of dilithium , the bond is actually stronger for the 1 - electron Li + 2 than for the 2 - electron Li . This exception can be explained in terms of hybridization and inner - shell effects .  Comparison of the electronic structure of the three - electron bond to the conventional covalent bond .  The simplest example of three - electron bonding can be found in the helium dimer cation , He + 2 . It is considered a `` half bond '' because it consists of only one shared electron ( rather than two ) ; in molecular orbital terms , the third electron is in an anti-bonding orbital which cancels out half of the bond formed by the other two electrons . Another example of a molecule containing a 3 - electron bond , in addition to two 2 - electron bonds , is nitric oxide , NO . The oxygen molecule , O can also be regarded as having two 3 - electron bonds and one 2 - electron bond , which accounts for its paramagnetism and its formal bond order of 2 . Chlorine dioxide and its heavier analogues bromine dioxide and iodine dioxide also contain three - electron bonds .   Molecules with odd - electron bonds are usually highly reactive . These types of bond are only stable between atoms with similar electronegativities .   Resonance  Main article : Resonance ( chemistry )  There are situations whereby a single Lewis structure is insufficient to explain the electron configuration in a molecule , hence a superposition of structures are needed . The same two atoms in such molecules can be bonded differently in different structures ( a single bond in one , a double bond in another , or even none at all ) , resulting in a non-integer bond order . The nitrate ion is one such example with three equivalent structures . The bond between the nitrogen and each oxygen is a double bond in one structure and a single bond in the other two , so that the average bond order for each N -- O interaction is 2 + 1 + 1 / 3 = 4 / 3 .     Aromaticity  Main article : Aromaticity  In organic chemistry , when a molecule with a planar ring obeys Hückel 's rule , where the number of π electrons fit the formula 4n + 2 ( where n is an integer ) , it attains extra stability and symmetry . In benzene , the prototypical aromatic compound , there are 6 π bonding electrons ( n = 1 , 4n + 2 = 6 ) . These occupy three delocalized π molecular orbitals ( molecular orbital theory ) or form conjugate π bonds in two resonance structures that linearly combine ( valence bond theory ) , creating a regular hexagon exhibiting a greater stabilization than the hypothetical 1 , 3 , 5 - cyclohexatriene .   In the case of heterocyclic aromatics and substituted benzenes , the electronegativity differences between different parts of the ring may dominate the chemical behaviour of aromatic ring bonds , which otherwise are equivalent .   Hypervalence  Main article : Hypervalent molecule  Certain molecules such as xenon difluoride and sulfur hexafluoride have higher co-ordination numbers than would be possible due to strictly covalent bonding according to the octet rule . This is explained by the three - center four - electron bond ( `` 3c -- 4e '' ) model which interprets the molecular wavefunction in terms of non-bonding highest occupied molecular orbitals in molecular orbital theory and ionic - covalent resonance in valence bond theory .   Electron - deficiency  Main article : Electron deficiency  In three - center two - electron bonds ( `` 3c -- 2e '' ) three atoms share two electrons in bonding . This type of bonding occurs in electron deficient compounds like diborane . Each such bond ( 2 per molecule in diborane ) contains a pair of electrons which connect the boron atoms to each other in a banana shape , with a proton ( nucleus of a hydrogen atom ) in the middle of the bond , sharing electrons with both boron atoms . In certain cluster compounds , so - called four - center two - electron bonds also have been postulated .   Quantum mechanical description  Main article : Chemical bonding model  After the development of quantum mechanics , two basic theories were proposed to provide a quantum description of chemical bonding : valence bond ( VB ) theory and molecular orbital ( MO ) theory . A more recent quantum description is given in terms of atomic contributions to the electronic density of states .   Covalency from atomic contribution to the electronic density of states   In COOP , COHP and BCOOP , evaluation of bond covalency is dependent on the basis set . To overcome this issue , an alternative formulation of the bond covalency can be provided in this way .   The center mass cm ( n , l , m , m ) of an atomic orbital n , l , m , m ⟩ , with quantum numbers n , l , m , m , for atom A is defined as    c m A ( n , l , m l , m s ) = ∫ E 0 E 1 E g n , l , m l , m s ⟩ A ( E ) d E ∫ E 0 E 1 g n , l , m l , m s ⟩ A ( E ) d E ( \ displaystyle cm ^ ( \ mathrm ( A ) ) ( n , l , m_ ( l ) , m_ ( s ) ) = ( \ frac ( \ int \ limits _ ( E_ ( 0 ) ) \ limits ^ ( E_ ( 1 ) ) Eg_ ( n , l , m_ ( l ) , m_ ( s ) \ rangle ) ^ ( \ mathrm ( A ) ) \ left ( E \ right ) dE ) ( \ int \ limits _ ( E_ ( 0 ) ) \ limits ^ ( E_ ( 1 ) ) g_ ( n , l , m_ ( l ) , m_ ( s ) \ rangle ) ^ ( \ mathrm ( A ) ) \ left ( E \ right ) dE ) ) )    where gA n , l , m , m ⟩ ( E ) is the contribution of the atomic orbital n , l , m , m ⟩ of the atom A to the total electronic density of states g ( E ) of the solid    g ( E ) = ∑ A ∑ n , l ∑ m l , m s g n , l , m l , m s ⟩ A ( E ) ( \ displaystyle g \ left ( E \ right ) = \ sum _ ( \ mathrm ( A ) ) \ sum _ ( n , l ) \ sum _ ( m_ ( l ) , m_ ( s ) ) ( g_ ( n , l , m_ ( l ) , m_ ( s ) \ rangle ) ^ ( \ mathrm ( A ) ) \ left ( E \ right ) ) )    where the outer sum runs over all atoms A of the unit cell . The energy window ( E , E ) is chosen in such a way that it encompasses all relevant bands participating in the bond . If the range to select is unclear , it can be identified in practice by examining the molecular orbitals that describe the electron density along the considered bond .   The relative position C of the center mass of n , l ⟩ levels of atom A with respect to the center mass of n , l ⟩ levels of atom B is given as    C n A l A , n B l B = − c m A ( n A , l A ) − c m B ( n B , l B ) ( \ displaystyle C_ ( n_ ( \ mathrm ( A ) ) l_ ( \ mathrm ( A ) ) , n_ ( \ mathrm ( B ) ) l_ ( \ mathrm ( B ) ) ) = - \ left cm ^ ( \ mathrm ( A ) ) ( n_ ( \ mathrm ( A ) ) , l_ ( \ mathrm ( A ) ) ) - cm ^ ( \ mathrm ( B ) ) ( n_ ( \ mathrm ( B ) ) , l_ ( \ mathrm ( B ) ) ) \ right )    where the contributions of the magnetic and spin quantum numbers are summed . According to this definition , the relative position of the A levels with respect to the B levels is    C A , B = − c m A − c m B ( \ displaystyle C_ ( \ mathrm ( A , B ) ) = - \ left cm ^ ( \ mathrm ( A ) ) - cm ^ ( \ mathrm ( B ) ) \ right )    where , for simplicity , we may omit the dependence from the principal quantum number n in the notation referring to C .   In this formalism , the greater the value of C , the higher the overlap of the selected atomic bands , and thus the electron density described by those orbitals gives a more covalent A -- B bond . The quantity C is denoted as the covalency of the A -- B bond , which is specified in the same units of the energy E .   See also    Bonding in solids   Bond order   Coordinate covalent bond , also known as a dipolar bond or a dative covalent bond   Covalent bond classification ( or LXZ notation )   Covalent radius   Disulfide bond   Hybridization   Hydrogen bond   Ionic bond   Linear combination of atomic orbitals   Metallic bonding   Noncovalent bonding   Resonance ( chemistry )    References    Jump up ^ Campbell , Neil A. ; Williamson , Brad ; Heyden , Robin J. ( 2006 ) . Biology : Exploring Life . Boston , MA : Pearson Prentice Hall . ISBN 0 - 13 - 250882 - 6 . Retrieved 2012 - 02 - 05 .   Jump up ^ March , Jerry ( 1992 ) . Advanced Organic Chemistry : Reactions , Mechanisms , and Structure . John Wiley &amp; Sons . ISBN 0 - 471 - 60180 - 2 .   Jump up ^ Gary L. Miessler ; Donald Arthur Tarr ( 2004 ) . Inorganic Chemistry . Prentice Hall . ISBN 0 - 13 - 035471 - 6 .   Jump up ^ Merriam - Webster -- Collegiate Dictionary ( 2000 ) .   Jump up ^ `` Chemical Bonds '' . Hyperphysics.phy-astr.gsu.edu . Retrieved 2013 - 06 - 09 .   Jump up ^ Langmuir , Irving ( 1919 - 06 - 01 ) . `` The Arrangement of Electrons in Atoms and Molecules '' . Journal of the American Chemical Society . 41 ( 6 ) : 868 -- 934 . doi : 10.1021 / ja02227a002 .   Jump up ^ Lewis , Gilbert N. ( 1916 - 04 - 01 ) . `` The atom and the molecule '' . Journal of the American Chemical Society . 38 ( 4 ) : 762 -- 785 . doi : 10.1021 / ja02261a002 .   Jump up ^ Heitler , W. ; London , F. ( 1927 ) . `` Wechselwirkung neutraler Atome und homöopolare Bindung nach der Quantenmechanik '' ( Interaction of neutral atoms and homeopolar bonds according to quantum mechanics ) . Zeitschrift für Physik. 44 ( 6 -- 7 ) : 455 -- 472 . Bibcode : 1927ZPhy ... 44 ... 455H . doi : 10.1007 / bf01397394 . English translation in Hettema , H. ( 2000 ) . Quantum Chemistry : Classic Scientific Papers . World Scientific . p. 140 . ISBN 978 - 981 - 02 - 2771 - 5 . Retrieved 2012 - 02 - 05 .   Jump up ^ Stranks , D.R. ; Heffernan , M.L. ; Lee Dow , K.C. ; McTigue , P.T. ; Withers , G.R.A. ( 1970 ) . Chemistry : A structural view . Carlton , Vic. : Melbourne University Press . p. 184 . ISBN 0 - 522 - 83988 - 6 .   Jump up ^ Weinhold , F. ; Landis , C. ( 2005 ) . Valency and Bonding . Cambridge . pp. 96 -- 100 . ISBN 0 - 521 - 83128 - 8 .   Jump up ^ Harcourt , Richard D. , ed. ( 2015 ) . `` Chapter 2 : Pauling `` 3 - Electron Bonds '' , 4 - Electron 3 - Centre Bonding , and the Need for an `` Increased - Valence '' Theory `` . Bonding in Electron - Rich Molecules : Qualitative Valence - Bond Approach via Increased - Valence Structures . Springer . ISBN 9783319166766 .   ^ Jump up to : Pauling , L. ( 1960 ) . The Nature of the Chemical Bond . Cornell University Press . pp. 340 -- 354 .   Jump up ^ Cammarata , Antonio ; Rondinelli , James M. ( 21 September 2014 ) . `` Covalent dependence of octahedral rotations in orthorhombic perovskite oxides '' . Journal of Chemical Physics. 141 ( 11 ) : 114704 . Bibcode : 2014JChPh. 141k4704C . doi : 10.1063 / 1.4895967 . PMID 25240365 .   Jump up ^ Hughbanks , Timothy ; Hoffmann , Roald ( 2002 - 05 - 01 ) . `` Chains of trans - edge - sharing molybdenum octahedra : metal - metal bonding in extended systems '' . Journal of the American Chemical Society . 105 ( 11 ) : 3528 -- 3537 . doi : 10.1021 / ja00349a027 .   Jump up ^ Dronskowski , Richard ; Bloechl , Peter E. ( 2002 - 05 - 01 ) . `` Crystal orbital Hamilton populations ( COHP ) : energy - resolved visualization of chemical bonding in solids based on density - functional calculations '' . The Journal of Physical Chemistry . 97 ( 33 ) : 8617 -- 8624 . doi : 10.1021 / j100135a014 .   Jump up ^ Grechnev , Alexei ; Ahuja , Rajeev ; Eriksson , Olle ( 2003 - 01 - 01 ) . `` Balanced crystal orbital overlap population -- a tool for analysing chemical bonds in solids '' . Journal of Physics : Condensed Matter. 15 ( 45 ) : 7751 . Bibcode : 2003JPCM ... 15.7751 G . doi : 10.1088 / 0953 - 8984 / 15 / 45 / 014 . ISSN 0953 - 8984 .    Sources    `` Covalent bonding -- Single bonds '' . chemguide. 2000 . Retrieved 2012 - 02 - 05 .   `` Electron Sharing and Covalent Bonds '' . Department of Chemistry University of Oxford . Retrieved 2012 - 02 - 05 .   `` Chemical Bonds '' . Department of Physics and Astronomy , Georgia State University . Retrieved 2012 - 02 - 05 .    External links    Covalent Bonds and Molecular Structure   Structure and Bonding in Chemistry -- Covalent Bonds              Chemical bonds     Intramolecular ( strong )      Covalent      By symmetry     Sigma ( σ )   Pi ( π )   Delta ( δ )   Phi ( φ )       By multiplicity     1 ( single )   2 ( double )   3 ( triple )   4 ( quadruple )   5 ( quintuple )   6 ( sextuple )       Miscellaneous     Agostic   Bent   Coordinate ( dipolar )   Pi backbond   Charge - shift     Hapticity   Conjugation   Hyperconjugation   Antibonding       Resonant     Electron deficiency   3c -- 2e   4c -- 2e     Hypercoordination   3c -- 4e     Aromaticity   möbius   super   sigma   homo   spiro   σ - bishomo   spherical   Y -            Metallic     Metal aromaticity       Ionic              Intramolecular ( weak )      van der Waals forces     London dispersion       Hydrogen     Low - barrier   Resonance - assisted   Symmetric   Dihydrogen bonds   C -- H O interaction       Noncovalent other     Mechanical   Halogen   Chalcogen   Aurophilicity   Intercalation   Stacking   Cation -- pi   Anion -- pi   Salt bridge          Intermolecular ( weak )      van der Waals forces     London dispersion       Hydrogen     Low - barrier   Resonance - assisted   Symmetric   Dihydrogen bonds   C -- H O interaction       Noncovalent other     Mechanical   Halogen   Chalcogen   Aurophilicity   Intercalation   Stacking   Cation -- pi   Anion -- pi   Salt bridge                    Concepts in organic chemistry       Aromaticity   Covalent bonding   Functional groups   Nomenclature   Organic compounds   Organic reactions   Organic synthesis   Publications   Spectroscopy   Stereochemistry   List of organic compounds             GND : 4143323 - 3      Retrieved from `` https://en.wikipedia.org/w/index.php?title=Covalent_bond&amp;oldid=800817761 '' Categories :   Chemical bonding   Hidden categories :   All articles lacking reliable references   Articles lacking reliable references from March 2015   Wikipedia semi-protected pages   Pages using div col without cols and colwidth parameters   Wikipedia articles with GND identifiers           Talk                           View source                 Contents                   About Wikipedia                                           Wikibooks       Afrikaans     বাংলা   Bân - lâm - gú   Беларуская   Български   Bosanski   Català   Čeština   Cymraeg   Dansk   Deutsch   Eesti   Ελληνικά   Español   Esperanto   Euskara   فارسی   Français   Gaelg   Galego   </t>
    </r>
    <r>
      <rPr>
        <sz val="11"/>
        <color rgb="FF000000"/>
        <rFont val="Noto Sans CJK SC"/>
        <family val="2"/>
      </rPr>
      <t xml:space="preserve">한국어   </t>
    </r>
    <r>
      <rPr>
        <sz val="11"/>
        <color rgb="FF000000"/>
        <rFont val="Calibri"/>
        <family val="0"/>
        <charset val="1"/>
      </rPr>
      <t xml:space="preserve">हिन्दी   Hrvatski   Bahasa Indonesia   Italiano   עברית   Basa Jawa   ქართული   Қазақша   Kreyòl ayisyen   Latviešu   Lietuvių   Magyar   Македонски   മലയാളം   मराठी   Bahasa Melayu   Nederlands   </t>
    </r>
    <r>
      <rPr>
        <sz val="11"/>
        <color rgb="FF000000"/>
        <rFont val="Noto Sans CJK SC"/>
        <family val="2"/>
      </rPr>
      <t xml:space="preserve">日本 語   </t>
    </r>
    <r>
      <rPr>
        <sz val="11"/>
        <color rgb="FF000000"/>
        <rFont val="Calibri"/>
        <family val="0"/>
        <charset val="1"/>
      </rPr>
      <t xml:space="preserve">Norsk   Norsk nynorsk   Occitan   ਪੰਜਾਬੀ   پنجابی   Polski   Português   Română   Русиньскый   Русский   Scots   Shqip   සිංහල   Simple English   Slovenčina   Slovenščina   Српски / srpski   Srpskohrvatski / српскохрватски   Basa Sunda   Suomi   Svenska   தமிழ்   ไทย   Türkçe   Українська   اردو   Tiếng Việt   </t>
    </r>
    <r>
      <rPr>
        <sz val="11"/>
        <color rgb="FF000000"/>
        <rFont val="Noto Sans CJK SC"/>
        <family val="2"/>
      </rPr>
      <t xml:space="preserve">文言   </t>
    </r>
    <r>
      <rPr>
        <sz val="11"/>
        <color rgb="FF000000"/>
        <rFont val="Calibri"/>
        <family val="0"/>
        <charset val="1"/>
      </rPr>
      <t xml:space="preserve">ייִדיש   Yorùbá   </t>
    </r>
    <r>
      <rPr>
        <sz val="11"/>
        <color rgb="FF000000"/>
        <rFont val="Noto Sans CJK SC"/>
        <family val="2"/>
      </rPr>
      <t xml:space="preserve">粵語   中文   </t>
    </r>
    <r>
      <rPr>
        <sz val="11"/>
        <color rgb="FF000000"/>
        <rFont val="Calibri"/>
        <family val="0"/>
        <charset val="1"/>
      </rPr>
      <t xml:space="preserve">Edit links   This page was last edited on 15 September 2017 , at 21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</si>
  <si>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types of elements are involved in covalent bonding</t>
  </si>
  <si>
    <t xml:space="preserve"> A covalent bond , also called a molecular bond , is a chemical bond that involves the sharing of electron pairs between atoms . These electron pairs are known as shared pairs or bonding pairs , and the stable balance of attractive and repulsive forces between atoms , when they share electrons , is known as covalent bonding . For many molecules , the sharing of electrons allows each atom to attain the equivalent of a full outer shell , corresponding to a stable electronic configuration . </t>
  </si>
  <si>
    <t xml:space="preserve">Swan song - wikipedia  Swan song  Jump to : navigation , search For other uses , see Swan song ( disambiguation ) . `` The singing swan '' ( 1655 ) by Reinier van Persijn .  The swan song ( ancient Greek : κύκνειον ᾆσμα ; Latin : carmen cygni ) is a metaphorical phrase for a final gesture , effort , or performance given just before death or retirement . The phrase refers to an ancient belief that swans ( Cygnus spp . ) sing a beautiful song just before their death , having been silent ( or alternatively , not so musical ) during most of their lifetime . This belief , whose basis in actuality is long - debated , had become proverbial in ancient Greece by the 3rd century BC , and was reiterated many times in later Western poetry and art .     Contents  ( hide )   1 Origin and description   2 Controversy   3 Post-classical cultural references   4 Idiom   5 References   6 External links      Origin and description ( edit )   In Greek mythology , the swan was a bird consecrated to Apollo , and it was therefore considered a symbol of harmony and beauty and its limited capabilities as a singer were sublimated to those of songbirds .   Aesop 's fable of `` The Swan and the Goose '' incorporates the swan song legend as saving its life when it was caught by mistake instead of the goose , but was recognized by its song . There is a subsequent reference in Aeschylus ' Agamemnon ( verses 1444 -- 5 ) from 458 BC . In that play , Clytemnestra compares the dead Cassandra to a swan who has `` sung her last final lament '' . Plato 's Phaedo ( 84d ) records Socrates saying that , although swans sing in early life , they do not do so as beautifully as before they die . Furthermore , Aristotle noted in his History of Animals ( 615b ) that swans `` are musical , and sing chiefly at the approach of death '' . By the third century BC the belief had become a proverb .   Ovid mentions it in `` The Story of Picus and Canens '' ( Metamorphoses , book XIV : 320 -- 396 ) : `` There , she poured out her words of grief , tearfully , in faint tones , in harmony with sadness , just as the swan sings once , in dying , its own funeral song . '' The swan was also described as a singer in the works of the poets Virgil and Martial .   Controversy ( edit )   The most familiar European swan , the mute swan ( Cygnus olor ) , although not actually mute , is known neither for musicality nor to vocalize as it dies . This has led some to criticize swan song beliefs since antiquity , one of the earliest being Pliny the Elder : in 77 AD , Natural History ( book 10 , chapter xxxii : olorum morte narratur flebilis cantus , falso , ut arbitror , aliquot experimentis ) , states : `` observation shows that the story that the dying swan sings is false . '' Peterson et al. note that Cygnus olor is `` not mute but lacks bugling call , merely honking , grunting , and hissing on occasion . ''   However , the whooper swan ( Cygnus cygnus ) , a winter visitor to parts of the eastern Mediterranean , does possess a ' bugling ' call , and has been noted for issuing a drawn - out series of notes as its lungs collapse upon expiry , both being a consequence of an additional tracheal loop within its sternum . This was proposed by naturalist Peter Pallas as the basis for the legend . Both mute and whooper swans appear to be represented in ancient Greek and Egyptian art .   The whooper swan 's nearest relatives , the trumpeter and tundra swans , share its musical tracheal loop . Zoologist D.G. Elliot reported in 1898 that a tundra swan he had shot and wounded in flight began a long glide down whilst issuing a series of `` plaintive and musical '' notes that `` sounded at times like the soft running of the notes of an octave '' .   Post-classical cultural references ( edit )   Chaucer wrote of `` The Ialous swan , ayens his deth that singeth . '' Leonardo da Vinci noted `` The swan is white without spot , and it sings sweetly as it dies , that song ending its life . ''   In Shakespeare 's The Merchant of Venice , Portia exclaims `` Let music sound while he doth make his choice ; Then , if he lose , he makes a swan - like end , / Fading in music . '' Similarly , in Othello , the dying Emilia exclaims , `` I will play the swan , / And die in music . ''   The well - known Orlando Gibbons madrigal `` The Silver Swan '' states the legend thus :     ``     The silver Swan , who living had no Note ,   when Death approached , unlocked her silent throat .   Leaning her breast against the reedy shore ,   thus sang her first and last , and sang no more :   `` Farewell , all joys ! O Death , come close mine eyes !   `` More Geese than Swans now live , more Fools than Wise . ''     ''     `` The Swan Song '' ( `` Schwanengesang '' ) is the nickname of the 1733 Baroque Concerto written by Georg Philipp Telemann : Concerto in D minor for oboe , strings and continuo . The concerto of Telemann begins with a sad part ( adagio ) later a glad part ( allegro ) , the singing of the swan itself , another sad part ( death ) , and finally a hopeful end .   According to the Oxford English Dictionary , the English phrase `` swan song '' or `` swan - song '' borrows from the German schwanen ( ge ) sang or schwanenlied . The Scottish cleric John Willison , in one of his Scripture Sermons , 1747 , proposes a verse from Psalm 48 as a `` swan - song '' for the faithful .   Danish painter Nicolai Abildgaard painted Ossian synger sin Svanesang , or Ossian sings his swan song , in 1780 -- 1782 .   Samuel Taylor Coleridge made comic use of the legend when he quipped ironically :     ``   Swans sing before they die -- ' t were no bad thing  Should certain persons die before they sing .    ''     Tennyson 's poem `` The Dying Swan '' is a poetic evocation of the beauty of the supposed song and so full of detail as to imply that he had actually heard it :     ``     The wild swan 's death - hymn took the soul   Of that waste place with joy   Hidden in sorrow : at first to the ear   The warble was low , and full and clear ; ...   But anon her awful jubilant voice ,   With a music strange and manifold ,   Flow 'd forth on a carol free and bold ;   As when a mighty people rejoice   With shawms , and with cymbals , and harps of gold ...     ''     Tennyson 's poem was an inspiration for the ballet The Dying Swan created for Anna Pavlova in 1905 and danced to the music of Le cygne by the French composer Camille Saint - Saëns .   The band Led Zeppelin 's record label for the second half of their career was Swan Song Records . Their first five releases were on Atlantic records , the next five were on Swan Song Records .   In the television show Supernatural , the twenty second episode of the fifth season is given the title Swan Song .   Swan Song is one of the last tracks on singer Lana Del Rey 's album Honeymoon .   Idiom ( edit )   By extension , `` swan song '' has become an idiom referring to a final theatrical or dramatic appearance , or any final work or accomplishment . For example , an athlete that wins a championship or breaks records in their final season are sometimes said to have had a `` swan song season . ''   Examples :    Derek Jeter 's walk - off hit in his final game at Yankee Stadium .   Nico Rosberg retiring five days after winning his only World Drivers ' Championship in 2016 .   Peyton Manning winning the Super Bowl in his last season .   Kobe Bryant dropping 60 points in his final game .   Xavi winning La Liga , Copa del Rey , and UEFA Champions League during his last season for FC Barcelona .   Andy Pettitte throwing his first complete game in 7 years in his final start . By being credited with the win , he evened his 2013 record to 11 -- 11 , ensuring he finished his career having never recorded a losing season .   Ned Jarrett winning the 1965 NASCAR title and then surprisingly retiring .   Raymond Borque winning the Stanley Cup in 2001 , his final season in the NHL .   Tom Searle from Architects writing Memento Mori as his final song before he died of cancer in 2016 .    References ( edit )    Jump up ^ Aesop ( 1998 ) . The Complete Fables . Penguin Classics . ISBN 0 - 14 - 044649 - 4 . , p. 127   Jump up ^ Arnott , W. Geoffrey ( October 1977 ) . `` Swan Songs '' . Greece &amp; Rome . 24 ( 2 ) : 149 -- 153 . JSTOR 642700 .   ^ Jump up to : Brazil , Mark ( 2003 ) . The Whooper Swan . T &amp; AD Poyser . ISBN 978 - 0 - 7136 - 6570 - 3 . pp. 64 -- 65 . ( Online version )   Jump up ^ Ovid . `` Metamorphoses ( Kline ) 14 , the Ovid Collection , Univ. of Virginia E-Text Center ; Bk XIV : 320 -- 396 : The transformation of Picus '' . University of Virginia .   ^ Jump up to : Arnott , W. Geoffrey ( 2007 ) . Birds in the Ancient World from A to Z . Routledge . ISBN 0 - 203 - 94662 - 6 . pp. 182 -- 184 . ( Online version )   Jump up ^ Peterson , Roger Tory ; Guy Mountfort ; P.A.D. Hollum ; P.A.D. Hollom ( 2001 ) . A Field Guide to the Birds of Britain and Europe . Houghton Mifflin Field Guides . ISBN 0 - 618 - 16675 - 0 . , p. 49   Jump up ^ Johnsgard , Paul A. ( January 2013 ) . `` The Swans of Nebraska '' . Prairie Fire . USA . Retrieved 21 January 2013 .   Jump up ^ Skeat , Walter W. ( 1896 ) . Chaucer : the Minor Poems . Clarendon Press . , p. 86 ( Online version )   Jump up ^ da Vinci , Leonardo . The Notebooks of Leonardo da Vinci , Complete . Google . ( ( 1 ) )   Jump up ^ The Merchant of Venice , Act 3 Scene 2   Jump up ^ Othello , Act 5 Scene 2   Jump up ^ James Manheim . `` Georg Philipp Telemann : Funeral Music for Garlieb Sillem '' . AllMusic .   Jump up ^ `` swan , n '' . Oxford English Dictionary . June 2011 . Retrieved 3 August 2013 .   Jump up ^ `` www.the-highway.com '' . Retrieved 3 August 2013 .   Jump up ^ `` Sal 217B '' . Statens Museum for Kunst website . Retrieved 8 February 2016 .   Jump up ^ Tennyson , `` The Dying Swan , '' The Early poems of Alfred Lord Tennyson ( Project Gutenberg text ) , search on `` shawm . '' This and other sources assert not merely that the swan sings , but that the song is beautiful .   Jump up ^ Matthew Naughtin , Ballet Music : A Handbook , p. 210   Jump up ^ `` swansong -- definition of swansong in English from the Oxford dictionary '' .   Jump up ^ Waldstein , David ( September 25 , 2014 ) . `` Night 's Hero : Who Else ? '' . The New York Times . Retrieved April 12 , 2017 .   Jump up ^ Benson , Andrew ( December 2 , 2016 ) . `` Nico Rosberg retires : World champion quits Formula 1 five days after title win '' . BBC Sport . Retrieved April 12 , 2017 .   Jump up ^ Marchand , Andrew ( September 29 , 2013 ) . `` Andy Pettitte : A day ' I 'll never forget ' '' . ESPN . ESPN Internet Ventures . Retrieved April 12 , 2017 .    External links ( edit )    The dictionary definition of swan song at Wiktionary   Retrieved from `` https://en.wikipedia.org/w/index.php?title=Swan_song&amp;oldid=837116112 '' Categories :   Legends   Swans   Hidden categories :   Use dmy dates from May 2012           Talk                                           Contents                   About Wikipedia                                           Afrikaans     Čeština   Dansk   Deutsch   Español   Esperanto   Français   Italiano   עברית   Magyar   Nederlands   Norsk   Norsk nynorsk   Português   Suomi   Svenska   اردو  9 more  Edit links   This page was last edited on 18 April 2018 , at 20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</si>
  <si>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term swan song come from</t>
  </si>
  <si>
    <t xml:space="preserve"> The swan song ( ancient Greek : κύκνειον ᾆσμα ; Latin : carmen cygni ) is a metaphorical phrase for a final gesture , effort , or performance given just before death or retirement . The phrase refers to an ancient belief that swans ( Cygnus spp . ) sing a beautiful song just before their death , having been silent ( or alternatively , not so musical ) during most of their lifetime . This belief , whose basis in actuality is long - debated , had become proverbial in ancient Greece by the 3rd century BC , and was reiterated many times in later Western poetry and art . </t>
  </si>
  <si>
    <t xml:space="preserve">Harry Potter - wikipedia  Harry Potter  Jump to : navigation , search This article is about the series of novels . For other uses , including related topics and derivative works , see Harry Potter ( disambiguation ) . For the character in the series , see Harry Potter ( character ) . For the film adaptations , see Harry Potter ( film series ) .  Harry Potter   The Harry Potter logo , used first in American editions of the novel series and later in films       The Philosopher 's Stone ( 1997 )   The Chamber of Secrets ( 1998 )   The Prisoner of Azkaban ( 1999 )   The Goblet of Fire ( 2000 )   The Order of the Phoenix ( 2003 )   The Half - Blood Prince ( 2005 )   The Deathly Hallows ( 2007 )       Author   J.K. Rowling     Country   United Kingdom     Language   English     Genre   Fantasy , drama , young adult fiction , mystery , thriller , Bildungsroman     Publisher   Bloomsbury Publishing ( UK ) Scholastic ( US )     Published   26 June 1997 -- 21 July 2007 ( initial publication )     Media type   Print ( hardback &amp; paperback ) Audiobook E-book ( as of March 2012 )     No. of books   7     Website   www.pottermore.com     Harry Potter is a series of fantasy novels written by British author J.K. Rowling . The novels chronicle the life of a young wizard , Harry Potter , and his friends Hermione Granger and Ron Weasley , all of whom are students at Hogwarts School of Witchcraft and Wizardry . The main story arc concerns Harry 's struggle against Lord Voldemort , a dark wizard who intends to become immortal , overthrow the wizard governing body known as the Ministry of Magic , and subjugate all wizards and muggles ( non-magical people ) .   Since the release of the first novel , Harry Potter and the Philosopher 's Stone , on 26 June 1997 , the books have found immense popularity , critical acclaim , and commercial success worldwide . They have attracted a wide adult audience as well as younger readers , and are often considered cornerstones of modern young adult literature . The series has also had its share of criticism , including concern about the increasingly dark tone as the series progressed , as well as the often gruesome and graphic violence it depicts . As of February 2018 , the books have sold more than 500 million copies worldwide , making them the best - selling book series in history , and have been translated into eighty languages . The last four books consecutively set records as the fastest - selling books in history , with the final instalment selling roughly eleven million copies in the United States within twenty - four hours of its release .   The series was originally published in English by two major publishers , Bloomsbury in the United Kingdom and Scholastic Press in the United States . A play , Harry Potter and the Cursed Child , based on a story co-written by Rowling , premiered in London on 30 July 2016 at the Palace Theatre , and its script was published by Little , Brown . The original seven books were adapted into an eight - part film series by Warner Bros. Pictures , which is the third highest - grossing film series of all time as of February 2018 . In 2016 , the total value of the Harry Potter franchise was estimated at $25 billion , making Harry Potter one of the highest - grossing media franchises of all time .   A series of many genres , including fantasy , drama , coming of age , and the British school story ( which includes elements of mystery , thriller , adventure , horror , and romance ) , the world of Harry Potter explores numerous themes and includes many cultural meanings and references . According to Rowling , the main theme is death . Other major themes in the series include prejudice , corruption , and madness .   The success of the books and films has allowed the Harry Potter franchise to expand , with numerous derivative works , a travelling exhibition that premiered in Chicago in 2009 , a studio tour in London that opened in 2012 , a digital platform on which J.K. Rowling updates the series with new information and insight , and a pentalogy of spin - off films premiering in November 2016 with Fantastic Beasts and Where to Find Them , among many other developments . Most recently , themed attractions , collectively known as The Wizarding World of Harry Potter , have been built at several Universal Parks &amp; Resorts amusement parks around the world .   Contents  ( hide )   1 Plot   1.1 Early years   1.2 Voldemort returns     2 Supplementary works   2.1 Harry Potter and the Cursed Child   2.2 In - universe books   2.3 Pottermore website     3 Structure and genre   4 Themes   5 Origins   6 Publishing history   6.1 Translations   6.2 Completion of the series   6.3 Cover art     7 Achievements   7.1 Cultural impact   7.2 Commercial success   7.3 Awards , honours , and recognition     8 Reception   8.1 Literary criticism   8.2 Social impact   8.3 Controversies     9 Adaptations   9.1 Films   9.1. 1 Spin - off prequels     9.2 Games   9.3 Audiobooks   9.4 Stage production     10 Attractions   10.1 The Wizarding World of Harry Potter   10.2 The Making of Harry Potter     11 References   12 Further reading   13 External links    Plot  Further information : Fictional universe of Harry Potter  The central character in the series is Harry Potter , a boy who lives in Surrey with his aunt , uncle , and cousin - the Dursleys - who discovers , at the age of eleven , that he is a wizard , though he lives in the ordinary world of non-magical people known as Muggles . The wizarding world exists parallel to the Muggle world , albeit hidden and in secrecy . His magical ability is inborn and children with such abilities are invited to attend exclusive magic schools that teach the necessary skills to succeed in the wizarding world . Harry becomes a student at Hogwarts School of Witchcraft and Wizardry , a wizarding academy in Scotland and it is here where most of the events in the series take place . As Harry develops through his adolescence , he learns to overcome the problems that face him : magical , social and emotional , including ordinary teenage challenges such as friendships , infatuation , romantic relationships , schoolwork and exams , anxiety , depression , stress , and the greater test of preparing himself for the confrontation that lies ahead in wizarding Britain 's increasingly - violent second wizarding war .   Each novel chronicles one year in Harry 's life during the period from 1991 to 1998 . The books also contain many flashbacks , which are frequently experienced by Harry viewing the memories of other characters in a device called a Pensieve .   The environment Rowling created is intimately connected to reality . The British magical community of the Harry Potter books is inspired by 1990s British culture , European folklore , classical mythology and alchemy , incorporating objects and wildlife such as magic wands , magic plants , potions , spells , flying broomsticks , centaurs , and other magical creatures , the Deathly Hallows , and the Philosopher 's Stone , beside others invented by Rowling . While the fantasy land of Narnia is an alternate universe and the Lord of the Rings ' Middle - earth a mythic past , the wizarding world of Harry Potter exists in parallel within the real world and contains magical versions of the ordinary elements of everyday life , with the action mostly set in Scotland ( Hogwarts ) , the West Country , Devon , London and Surrey in southeast England . The world only accessible to wizards and magical beings comprises a fragmented collection of overlooked hidden streets , ancient pubs , lonely country manors and secluded castles invisible to the Muggle population .   Early years   When the first novel of the series , Harry Potter and the Philosopher 's Stone ( published in America and other countries as Harry Potter and the Sorcerer 's Stone ) opens , it is apparent that some significant event has taken place in the Wizarding World -- an event so very remarkable , even Muggles ( non-magical people ) notice signs of it . The full background to this event and Harry Potter 's past is revealed gradually through the series . After the introductory chapter , the book leaps forward to a time shortly before Harry Potter 's eleventh birthday , and it is at this point that his magical background begins to be revealed .   Despite Harry 's aunt and uncle 's desperate prevention of Harry gleaning about his powers , their efforts are in vain . Harry meets a half - giant , Rubeus Hagrid , who is also his first contact with the Wizarding World . Hagrid reveals himself to be the Keeper of Keys and Grounds at Hogwarts as well as some of Harry 's history . Harry learns that , as a baby , he witnessed his parents ' murder by the power - obsessed dark wizard Lord Voldemort , who subsequently attempted to kill him as well . Instead , the unexpected happened : Harry survived with only a lightning - shaped scar on his forehead as a memento of the attack and Voldemort disappeared soon afterwards , gravely weakened by his own rebounding curse . As its inadvertent saviour from Voldemort 's reign of terror , Harry has become a living legend in the Wizarding World . However , at the orders of the venerable and well - known wizard Albus Dumbledore , the orphaned Harry had been placed in the home of his unpleasant Muggle relatives , the Dursleys , who have kept him safe but treated him poorly , including confining him to a cupboard without meals and torturing him like he is their servant . Hagrid then officially invites Harry to attend Hogwarts School of Witchcraft and Wizardry , a famous magic school in Scotland that educates young teenagers on their magical development for seven years , from age eleven to seventeen .   With Hagrid 's help , Harry prepares for and undertakes his first year of study at Hogwarts . As Harry begins to explore the magical world , the reader is introduced to many of the primary locations used throughout the series . Harry meets most of the main characters and gains his two closest friends : Ron Weasley , a fun - loving member of an ancient , large , happy , but poor wizarding family , and Hermione Granger , a gifted , bright , and hardworking witch of non-magical parentage . Harry also encounters the school 's potions master , Severus Snape , who displays a conspicuously deep and abiding dislike for him , the rich brat Draco Malfoy whom he quickly makes enemies with , and the Defence Against the Dark Arts teacher , Quirinus Quirrell , who later turns out to be allied with Lord Voldemort . He also discovers a talent of flying on broomsticks and is recruited for his house 's Quidditch team , a sport in the wizarding world where players fly on broomsticks . The first book concludes with Harry 's second confrontation with Lord Voldemort , who , in his quest to regain a body , yearns to gain the power of the Philosopher 's Stone , a substance that bestows everlasting life and turns any metal into pure gold .   The series continues with Harry Potter and the Chamber of Secrets , describing Harry 's second year at Hogwarts . He and his friends investigate a 50 - year - old mystery that appears uncannily related to recent sinister events at the school . Ron 's younger sister , Ginny Weasley , enrolls in her first year at Hogwarts , and finds an old notebook in her belongings which turns out to be an alumnus 's diary , Tom Marvolo Riddle , later revealed to be Voldemort 's younger self , who is bent on ridding the school of `` mudbloods '' , a derogatory term describing wizards and witches of non-magical parentage . The memory of Tom Riddle resides inside of the diary and when Ginny begins to confide in the diary , Voldemort is able to possess her . Through the diary , Ginny acts on Voldemort 's orders and unconsciously opens the `` Chamber of Secrets '' , unleashing an ancient monster , later revealed to be a basilisk , which begins attacking students at Hogwarts . It kills those who make direct eye contact with it and petrifies those who look at it indirectly . The book also introduces a new Defence Against the Dark Arts teacher , Gilderoy Lockhart , a highly cheerful , self - conceited wizard with a pretentious facade , later turning out to be a fraud . Harry discovers that prejudice exists in the Wizarding World through delving into the school 's history , and learns that Voldemort 's reign of terror was often directed at wizards and witches who were descended from Muggles . Harry also learns about the innate ability of his to speak the snake language Parseltongue is rare and often associated with the Dark Arts . When Hermione is attacked and petrified , Harry and Ron finally piece together the puzzles and unlock the Chamber of Secrets , with Harry destroying the diary for good and saving Ginny , and also destroying a part of Voldemort 's soul . The end of the book reveals Lucius Malfoy , Draco 's father and rival of Ron and Ginny 's father , to be the culprit who slipped the book into Ginny 's belongings and introduced the diary into Hogwarts .   The third novel , Harry Potter and the Prisoner of Azkaban , follows Harry in his third year of magical education . It is the only book in the series which does not feature Lord Voldemort in any form . Instead , Harry must deal with the knowledge that he has been targeted by Sirius Black , his father 's best friend , and , according to the Wizarding World , an escaped mass murderer who assisted in the murder of Harry 's parents . As Harry struggles with his reaction to the dementors -- dark creatures with the power to devour a human soul and feed on despair -- which are ostensibly protecting the school , he reaches out to Remus Lupin , a Defence Against the Dark Arts teacher who is eventually revealed to be a werewolf . Lupin teaches Harry defensive measures which are well above the level of magic generally executed by people his age . Harry comes to know that both Lupin and Black were best friends of his father and that Black was framed by their fourth friend , Peter Pettigrew , who had been hiding as Ron 's pet rat , Scabbers . In this book , a recurring theme throughout the series is emphasised -- in every book there is a new Defence Against the Dark Arts teacher , none of whom lasts more than one school year .   Voldemort returns  The Elephant House was one of the cafés in Edinburgh where Rowling wrote the first part of Harry Potter .  During Harry 's fourth year of school ( detailed in Harry Potter and the Goblet of Fire ) , Harry is unwillingly entered as a participant in the Triwizard Tournament , a dangerous yet exciting contest where three `` champions '' , one from each participating school , must compete with each other in three tasks in order to win the Triwizard Cup . This year , Harry must compete against a witch and a wizard `` champion '' from overseas visiting schools Beauxbatons and Durmstrang , as well as another Hogwarts student , causing Harry 's friends to distance themselves from him . Harry is guided through the tournament by their new Defence Against the Dark Arts professor , Alastor `` Mad - Eye '' Moody , who turns out to be an impostor -- one of Voldemort 's supporters named Barty Crouch , Jr. in disguise . The point at which the mystery is unravelled marks the series ' shift from foreboding and uncertainty into open conflict . Voldemort 's plan to have Crouch use the tournament to bring Harry to Voldemort succeeds . Although Harry manages to escape , Cedric Diggory , the other Hogwarts champion in the tournament , is killed by Peter Pettigrew and Voldemort re-enters the Wizarding World with a physical body .   In the fifth book , Harry Potter and the Order of the Phoenix , Harry must confront the newly resurfaced Voldemort . In response to Voldemort 's reappearance , Dumbledore re-activates the Order of the Phoenix , a secret society which works from Sirius Black 's dark family home to defeat Voldemort 's minions and protect Voldemort 's targets , especially Harry . Despite Harry 's description of Voldemort 's recent activities , the Ministry of Magic and many others in the magical world refuse to believe that Voldemort has returned . In an attempt to counter and eventually discredit Dumbledore , who along with Harry is the most prominent voice in the Wizarding World attempting to warn of Voldemort 's return , the Ministry appoints Dolores Umbridge as the High Inquisitor of Hogwarts and the new Defence Against the Dark Arts teacher . She transforms the school into a dictatorial regime and refuses to allow the students to learn ways to defend themselves against dark magic .   With Ron and Hermione 's suggestion , Harry forms `` Dumbledore 's Army '' , a secret study group aimed to teach his classmates the higher - level skills of Defence Against the Dark Arts that he has learned from his previous encounters with Dark wizards . Through those lessons , Harry begins to develop a crush on the popular and attractive Cho Chang . Juggling schoolwork , Umbridge 's incessant and persistent efforts to land him in trouble and the defensive lessons , Harry begins to lose sleep as he constantly receives disturbing dreams about a dark corridor in the Ministry of Magic , followed by a burning desire . An important prophecy concerning Harry and Lord Voldemort is then revealed , and Harry discovers that he and Voldemort have a painful connection , allowing Harry to view some of Voldemort 's actions telepathically . In the novel 's climax , Harry is tricked into seeing Sirius tortured and races to the Ministry of Magic . He and his friends face off against Voldemort 's followers ( nicknamed Death Eaters ) at the Ministry of Magic . Although the timely arrival of members of the Order of the Phoenix saves the teenagers ' lives , Sirius Black is killed in the conflict .   In the sixth book , Harry Potter and the Half - Blood Prince , Voldemort begins waging open warfare . Harry and his friends are relatively protected from that danger at Hogwarts . They are subject to all the difficulties of adolescence -- Harry eventually begins dating Ginny , Ron establishes a strong infatuation with fellow Hogwarts student Lavender Brown , and Hermione starts to develop romantic feelings towards Ron . Near the beginning of the novel , lacking his own book , Harry is given an old potions textbook filled with many annotations and recommendations signed by a mysterious writer titled ; `` the Half - Blood Prince . '' This book is a source of scholastic success and great recognition from their new potions master , Horace Slughorn , but because of the potency of the spells that are written in it , becomes a source of concern . With war drawing near , Harry takes private lessons with Dumbledore , who shows him various memories concerning the early life of Voldemort in a device called a Pensieve . These reveal that in order to preserve his life , Voldemort has split his soul into pieces , creating a series of Horcruxes -- evil enchanted items hidden in various locations , one of which was the diary destroyed in the second book . On their way to collect a Horcrux , Draco , who has joined with the Death Eaters , attempts to attack Dumbledore , and the book culminates in the killing of Dumbledore by Professor Snape , the titular Half - Blood Prince .   Harry Potter and the Deathly Hallows , the last original novel in the series , begins directly after the events of the sixth book . Lord Voldemort has completed his ascension to power and gained control of the Ministry of Magic . Harry , Ron and Hermione drop out of school so that they can find and destroy Voldemort 's remaining Horcruxes . To ensure their own safety as well as that of their family and friends , they are forced to isolate themselves . A ghoul pretends to be Ron ill with a contagious disease , Harry and the Dursleys separate , and Hermione wipes her parents ' memories . As they search for the Horcruxes , the trio learns details about an ancient prophecy about the Deathly Hallows , three legendary items that when united under one Keeper , would supposedly grant that person to be the Master of Death . Harry discovers his handy Invisibility Cloak to be one of those items , and Voldemort to be searching for another : the Elder Wand , the most powerful wand in history . At the end of the book , Harry and his friends learn about Dumbledore 's past , as well as Snape 's true motives -- he had worked on Dumbledore 's behalf since the murder of Harry 's mother . Eventually , Snape is killed by Voldemort out of paranoia .   The book culminates in the Battle of Hogwarts . Harry , Ron and Hermione , in conjunction with members of the Order of the Phoenix and many of the teachers and students , defend Hogwarts from Voldemort , his Death Eaters , and various dangerous magical creatures . Several major characters are killed in the first wave of the battle , including Remus Lupin and Fred Weasley , Ron 's older brother . After learning that he himself is a Horcrux , Harry surrenders himself to Voldemort in the Forbidden Forest , who casts a killing curse ( Avada Kedavra ) at him . The defenders of Hogwarts do not surrender after learning of Harry 's presumed death and continue to fight on . Harry awakens and faces Voldemort , whose Horcruxes have all been destroyed . In the final battle , Voldemort 's killing curse rebounds off Harry 's defensive spell ( Expelliarmus ) , killing Voldemort .   An epilogue `` Nineteen Years Later '' ( set on 1 September 2017 ) describes the lives of the surviving characters and the effects of Voldemort 's death on the Wizarding World . In the epilogue , Harry and Ginny are married with three children , and Ron and Hermione are married with two children .   Supplementary works   Harry Potter and the Cursed Child  Main article : Harry Potter and the Cursed Child  Harry Potter and the Cursed Child is a two - part West End stage play . It was written by Jack Thorne , based on a story by J.K. Rowling , Thorne and director John Tiffany . The play opened on 30 July 2016 at the Palace Theatre , London , England . The script was released on 31 July 2016 . The story is set nineteen years after the ending of Harry Potter and the Deathly Hallows and follows Harry Potter , now a Ministry of Magic employee , and his youngest son Albus Severus Potter . The play 's official synopsis was released on 23 October 2015 :   It was always difficult being Harry Potter and it is n't much easier now that he is an overworked employee of the Ministry of Magic , a husband , and father of three school - age children .   While Harry grapples with a past that refuses to stay where it belongs , his youngest son Albus must struggle with the weight of a family legacy he never wanted . As past and present fuse ominously , both father and son learn the uncomfortable truth : sometimes , darkness comes from unexpected places .   In - universe books  See also : J.K. Rowling § Philanthropy  Rowling has expanded the Harry Potter universe with several short books produced for various charities . In 2001 , she released Fantastic Beasts and Where to Find Them ( a purported Hogwarts textbook ) and Quidditch Through the Ages ( a book Harry reads for fun ) . Proceeds from the sale of these two books benefited the charity Comic Relief . In 2007 , Rowling composed seven handwritten copies of The Tales of Beedle the Bard , a collection of fairy tales that is featured in the final novel , one of which was auctioned to raise money for the Children 's High Level Group , a fund for mentally disabled children in poor countries . The book was published internationally on 4 December 2008 . Rowling also wrote an 800 - word prequel in 2008 as part of a fundraiser organised by the bookseller Waterstones . All three of these books contain extra information about the wizarding world not included in the original novels .   In 2016 , she released three new e-books : Hogwarts : An Incomplete and Unreliable Guide , Short Stories from Hogwarts of Power , Politics and Pesky Poltergeists and Short Stories from Hogwarts of Heroism , Hardship and Dangerous Hobbies .   Pottermore website   In 2011 , Rowling launched a new website announcing an upcoming project called Pottermore . Pottermore opened to the general public on 14 April 2012 . Pottermore allows users to be sorted , be chosen by their wand and play various minigames . The main purpose of the website was to allow the user to journey though the story with access to content not revealed by JK Rowling previously , with over 18,000 words of additional content .   In September 2015 , the website was completely overhauled and most of the features were removed . The site has been redesigned and it mainly focuses on the information already available , rather than exploration .   Structure and genre   The Harry Potter novels are mainly directed at a young adult audience as opposed to an audience of middle grade readers , children , or adults . The novels fall within the genre of fantasy literature , and qualify as a type of fantasy called `` urban fantasy '' , `` contemporary fantasy '' , or `` low fantasy '' . They are mainly dramas , and maintain a fairly serious and dark tone throughout , though they do contain some notable instances of tragicomedy and black humour . In many respects , they are also examples of the bildungsroman , or coming of age novel , and contain elements of mystery , adventure , horror , thriller , and romance . The books are also , in the words of Stephen King , `` shrewd mystery tales '' , and each book is constructed in the manner of a Sherlock Holmes - style mystery adventure . The stories are told from a third person limited point of view with very few exceptions ( such as the opening chapters of Philosopher 's Stone , Goblet of Fire and Deathly Hallows and the first two chapters of Half - Blood Prince ) .   The series can be considered part of the British children 's boarding school genre , which includes Rudyard Kipling 's Stalky &amp; Co. , Enid Blyton 's Malory Towers , St. Clare 's and the Naughtiest Girl series , and Frank Richards 's Billy Bunter novels : the Harry Potter books are predominantly set in Hogwarts , a fictional British boarding school for wizards , where the curriculum includes the use of magic . In this sense they are `` in a direct line of descent from Thomas Hughes 's Tom Brown 's School Days and other Victorian and Edwardian novels of British public school life '' , though they are , as many note , more contemporary , grittier , darker , and more mature than the typical boarding school novel , addressing serious themes of death , love , loss , prejudice , coming - of - age , and the loss of innocence in a 1990s British setting .   The Harry Potter stories feature much medieval imagery and motifs drawn from the King Arthur stories . Hogwarts resembles a medieval university - cum - castle with several professors who belonging to an Order of Merlin ; Old Professor Binns still lectures about the International Warlock Convention of 1289 ; and a real historical person , a 14th century scribe Sir Nicolas Flamel , described as a holder of the Philosopher 's Stone . Other medieval elements in Hogwarts include coats - of - arms and medieval weapons on the walls , letters written on parchment and sealed with wax , the Great Hall of Hogwarts which is similar to the Great Hall of Camelot , the use of Latin phrases , the tents put up for Quidditch tournaments are similar to the `` marvelous tents '' put up for knightly tournaments , imaginary animals like dragons and unicorns which exist around Hogwarts , and the banners with heraldic animals for the four Houses of Hogwarts . Many of the motifs of the Potter stories such as the hero 's quest invoking objects that confer invisibility , magical animals and trees , a forest full of danger and the recognition of a character based upon scars are drawn from medieval French Arthurian romances . Other aspects borrowed from French Arthurian romances include the use of owls as messengers , werewolves as characters , and white deer . The American scholars Heather Arden and Kathrn Lorenz in particular argue that many aspects of the Potter stories are inspired by a 14th century French Arthurian romance , Claris et Laris , writing of the `` startling '' similarities between the adventures of Potter and the knight Claris . Arden and Lorenz noted that Rowling graduated from the University of Exeter in 1986 with a degree in French literature and spent a year living in France afterwards .   Arnden and Lorenz wrote about the similarity between the Arthurian romances , where Camelot is a place of wonder and safety , and from the heroic knights must venture forth facing various perils , usually in an enchanted forest ; and Hogwarts , likewise a wondrous safe place , where Harry Potter and friends must periodically venture forth from to the magical forest that surrounds Hogwarts . In the same way that knights in the Arthurian romances usually have a female helper , who is very intelligent and has a connection with nature , Harry has Hermione who plays a similar role . Like an Arthurian knight , Harry receives advice and encouragement from his mentor , Albus Dumbldore , who resembles both Merlin and King Arthur , but must vanish his foes alone . Arnden and Lorenz wrote that with Rowling 's books , the characters are `` ... not a simple reworking of the well - known heroes of romance , but a protean melding of different characters to form new ones ... '' ... However , Lorenz and Arnden argue the main inspiration for Harry Potter was Sir Percival , one of the Knights of the Round Table who searches for the Holy Grail . Both Potter and Sir Percival had an `` orphaned or semi-orphaned youth , with inherent nobility and powers '' , being raised by relatives who tried to keep them away from the places where they really belong , Hogwarts and Camelot respectively . Both Percival and Potter are however outsiders in the places that they belong , unfamiliar with the rules of knighthood and magic , but both show extraordinary natural abilities with Percival proving himself an exceptional fighter while Potter is an excellent player of Quidditch . And finally , both Percival and Potter found love and acceptance from surrogate families , in the form of the Knights of the Round Table and the Weasley family respectively .   Each of the seven books is set over the course of one school year . Harry struggles with the problems he encounters , and dealing with them often involves the need to violate some school rules . If students are caught breaking rules , they are often disciplined by Hogwarts professors . The stories reach their climax in the summer term , near or just after final exams , when events escalate far beyond in - school squabbles and struggles , and Harry must confront either Voldemort or one of his followers , the Death Eaters , with the stakes a matter of life and death -- a point underlined , as the series progresses , by characters being killed in each of the final four books . In the aftermath , he learns important lessons through exposition and discussions with head teacher and mentor Albus Dumbledore . The only exception to this school - centred setting is the final novel , Harry Potter and the Deathly Hallows , in which Harry and his friends spend most of their time away from Hogwarts , and only return there to face Voldemort at the dénouement .   Themes   According to Rowling , a major theme in the series is death : `` My books are largely about death . They open with the death of Harry 's parents . There is Voldemort 's obsession with conquering death and his quest for immortality at any price , the goal of anyone with magic . I so understand why Voldemort wants to conquer death . We 're all frightened of it . ''   Rowling stated that `` Harry Potter books have always , in fact , dealt explicitly with religious themes and questions '' and that she did not reveal its Christian parallels in the beginning because doing so would have `` give ( n ) too much away to fans who might then see the parallels . '' In the final book of the series Harry Potter and the Deathly Hallows , Rowling makes the book 's Christian imagery more explict , quoting both Matthew 6 : 19 and 1 Corinthians 15 : 26 when Harry visits his parents ' graves . Hermione Granger teaches Harry Potter that the meaning of these verses from the Christian Bible are `` living beyond death . Living after death '' , which Rowling states is `` one of the central foundations of resurrection theology '' and that these bible verses `` epitomize the whole series '' .   Academics and journalists have developed many other interpretations of themes in the books , some more c</t>
  </si>
  <si>
    <t xml:space="preserve">how many pages does all the harry potter books have</t>
  </si>
  <si>
    <t xml:space="preserve"> Jenny Sawyer wrote in Christian Science Monitor on 25 July 2007 that the books represent a `` disturbing trend in commercial storytelling and Western society '' in that stories `` moral center ( sic ) have all but vanished from much of today 's pop culture ... after 10 years , 4,195 pages , and over 375 million copies , J.K. Rowling 's towering achievement lacks the cornerstone of almost all great children 's literature : the hero 's moral journey '' . Harry Potter , Sawyer argues , neither faces a `` moral struggle '' nor undergoes any ethical growth , and is thus `` no guide in circumstances in which right and wrong are anything less than black and white '' . In contrast Emily Griesinger described Harry 's first passage through to Platform 93⁄4 as an application of faith and hope , and his encounter with the Sorting Hat as the first of many in which Harry is shaped by the choices he makes . She also noted the `` deeper magic '' by which the self - sacrifice of Harry 's mother protects the boy throughout the series , and which the power - hungry Voldemort fails to understand . </t>
  </si>
  <si>
    <t xml:space="preserve">List of presidents who did n't win reelection - wikipedia  List of presidents who did n't win reelection   This is a list of incumbent Presidents who ran for another term but were n't reelected .   List ( edit )     Term in office   President   Country   Lost election   Notes     1797 -- 1801   John Adams   United States   United States presidential election , 1800       1825 -- 1829   John Quincy Adams   United States   United States presidential election , 1828       1885 - 1889   Grover Cleveland   United States   United States presidential election , 1888       1889 - 1893   Benjamin Harrison   United States   United States presidential election , 1892       1909 - 1913   William Taft   United States   United States presidential election , 1912       1929 - 1933   Herbert Hoover   United States   United States presidential election , 1932       1931 -- 1937   Pehr Evind Svinhufvud   Finland   Finnish presidential election , 1937       1948 -- 1955   Luigi Einaudi   Italy   Italian presidential election , 1955       1955 -- 1962   Giovanni Gronchi   Italy   Italian presidential election , 1962       1960 -- 1967   Aden Abdullah Osman Daar   Somalia   Somali presidential election , 1967       1964 -- 1971   Giuseppe Saragat   Italy   Italian presidential election , 1971       1974 -- 1977   Gerald Ford   United States   United States presidential election , 1976       1976 -- 1980   Jimmy Carter   United States   United States presidential election , 1980       1985 - 1990   Daniel Ortega   Nicaragua   Nicaraguan general election , 1990       1974 -- 1981   Valéry Giscard d'Estaing   France   French presidential election , 1981       1972 -- 1991   Mathieu Kérékou   Benin   Beninese presidential election , 1991       1964 -- 1991   Kenneth Kaunda   Zambia   Zambian general election , 1991       1989 -- 1993   George H.W. Bush   United States   United States presidential election , 1992       1989 -- 1992   Václav Havel   Czechoslovakia   Czechoslovak presidential election , 1992   Later elected President of the Czech Republic .     1975 -- 1993 1996 -- 2001   Didier Ratsiraka   Madagascar   Malagasy presidential election , 1992 - 93 Malagasy presidential election , 2001       1987 -- 1993   Pierre Buyoya   Burundi   Burundian presidential election , 1993   Returned to power in 1996     1981 -- 1993   André Kolingba   Central African Republic   Central African general election , 1993       1966 -- 1994   Hastings Banda   Malawi   Malawian general election , 1994       1991 -- 1994   Leonid Kravchuk   Ukraine   Ukrainian presidential election , 1994       1990 -- 1995   Lech Wałęsa   Poland   Polish presidential election , 1995   Also lost 2000 election .     1991 -- 1996   Nicéphore Soglo   Benin   Beninese presidential election , 1996   Also lost in 2001     1993 -- 1996   Albert Zafy   Madagascar   Malagasy presidential election , 1996 , 2001       1990 -- 1997   Mircea Snegur   Moldova   Moldovan presidential election , 1996       1990 -- 1997   Punsalmaagiin Ochirbat   Mongolia   Mongolian presidential election , 1997       1999 -- 2000   Robert Guéï   Ivory Coast   Ivorian presidential election , 2000       1989 -- 1996   Ion Iliescu   Romania   Romanian general election , 1996   Returned to office after 2000 election .     1981 -- 2000   Abdou Diouf   Senegal   Senegalese presidential election , 2000       1996 -- 2001   Petar Stoyanov   Bulgaria   Bulgarian presidential election , 2001       1998 -- 2003   Valdas Adamkus   Lithuania   Lithuanian presidential election , 2002 -- 2003   Returned to the office in 2004 .     2000 - 2004   Hipólito Mejía   Dominican Republic   Dominican Republic presidential election , 2004       2001 -- 2004   Megawati Sukarnoputri   Indonesia   Indonesian presidential election , 2004   Also lost 2009 election .     1999 -- 2004   Rudolf Schuster   Slovakia   Slovak presidential election , 2004       2001 -- 2006   Arnold Rüütel   Estonia   Estonian presidential election , 2006       2005 -- 2009   Nambaryn Enkhbayar   Mongolia   Mongolian presidential election , 2009       2000 -- 2011   Laurent Gbagbo   Ivory Coast   Ivorian presidential election , 2010       2002 -- 2010   Dahir Riyale Kahin   Somaliland   Somaliland presidential election , 2010       2004 -- 2010   Viktor Yushchenko   Ukraine   Ukrainian presidential election , 2010       2007 -- 2011   Valdis Zatlers   Latvia   Latvian presidential election , 2011       2008 -- 2011   Rupiah Banda   Zambia   Zambian general election , 2011       2007 -- 2012   Nicolas Sarkozy   France   French presidential election , 2012   Also ran in 2017 but lost The Republicans primary .     2000 -- 2012   Abdoulaye Wade   Senegal   Senegalese presidential election , 2012       2004 -- 2012   Boris Tadić   Serbia   Serbian presidential election , 2012       2007 -- 2012   Danilo Türk   Slovenia   Slovenian presidential election , 2012       2012 -- 2014   Joyce Banda   Malawi   Malawian general election , 2014       2010 -- 2015   Ivo Josipović   Croatia   Croatian presidential election , 2014 -- 15       2010 -- 2015   Goodluck Jonathan   Nigeria   Nigerian presidential election , 2015       2010 -- 2015   Bronisław Komorowski   Poland   Polish presidential election , 2015       1994 -- 2017   Yahya Jammeh   The Gambia   Gambian presidential election , 2016       2012 -- 2017   John Mahama   Ghana   Ghanaian general election , 2016       2011 -- 2016   Manuel Pinto da Costa   São Tomé and Príncipe   São Toméan presidential election , 2016       2011 -- 2016   Yevgeny Shevchuk   Transnistria   Transnistrian presidential election , 2016       2012 -- 2017   Hassan Sheikh Mohamud   Somalia   Somali presidential election , 2017       2012 -- 2017   Leonid Tibilov   South Ossetia   South Ossetian presidential election , 2017       References ( edit )  Retrieved from `` https://en.wikipedia.org/w/index.php?title=List_of_Presidents_who_didn%27t_win_reelection&amp;oldid=850701399 '' Categories :   Lists of presidents   Lists of elections           Talk                                                             About Wikipedia                                           Add links   This page was last edited on 17 July 2018 , at 14 : 59 ( UTC ) .         About Wikipedia                    </t>
  </si>
  <si>
    <t xml:space="preserve">when was the last time an incumbent president lost</t>
  </si>
  <si>
    <t xml:space="preserve">   Term in office   President   Country   Lost election   Notes     1797 -- 1801   John Adams   United States   United States presidential election , 1800       1825 -- 1829   John Quincy Adams   United States   United States presidential election , 1828       1885 - 1889   Grover Cleveland   United States   United States presidential election , 1888       1889 - 1893   Benjamin Harrison   United States   United States presidential election , 1892       1909 - 1913   William Taft   United States   United States presidential election , 1912       1929 - 1933   Herbert Hoover   United States   United States presidential election , 1932       1931 -- 1937   Pehr Evind Svinhufvud   Finland   Finnish presidential election , 1937       1948 -- 1955   Luigi Einaudi   Italy   Italian presidential election , 1955       1955 -- 1962   Giovanni Gronchi   Italy   Italian presidential election , 1962       1960 -- 1967   Aden Abdullah Osman Daar   Somalia   Somali presidential election , 1967       1964 -- 1971   Giuseppe Saragat   Italy   Italian presidential election , 1971       1974 -- 1977   Gerald Ford   United States   United States presidential election , 1976       1976 -- 1980   Jimmy Carter   United States   United States presidential election , 1980       1985 - 1990   Daniel Ortega   Nicaragua   Nicaraguan general election , 1990       1974 -- 1981   Valéry Giscard d'Estaing   France   French presidential election , 1981       1972 -- 1991   Mathieu Kérékou   Benin   Beninese presidential election , 1991       1964 -- 1991   Kenneth Kaunda   Zambia   Zambian general election , 1991       1989 -- 1993   George H.W. Bush   United States   United States presidential election , 1992       1989 -- 1992   Václav Havel   Czechoslovakia   Czechoslovak presidential election , 1992   Later elected President of the Czech Republic .     1975 -- 1993 1996 -- 2001   Didier Ratsiraka   Madagascar   Malagasy presidential election , 1992 - 93 Malagasy presidential election , 2001       1987 -- 1993   Pierre Buyoya   Burundi   Burundian presidential election , 1993   Returned to power in 1996     1981 -- 1993   André Kolingba   Central African Republic   Central African general election , 1993       1966 -- 1994   Hastings Banda   Malawi   Malawian general election , 1994       1991 -- 1994   Leonid Kravchuk   Ukraine   Ukrainian presidential election , 1994       1990 -- 1995   Lech Wałęsa   Poland   Polish presidential election , 1995   Also lost 2000 election .     1991 -- 1996   Nicéphore Soglo   Benin   Beninese presidential election , 1996   Also lost in 2001     1993 -- 1996   Albert Zafy   Madagascar   Malagasy presidential election , 1996 , 2001       1990 -- 1997   Mircea Snegur   Moldova   Moldovan presidential election , 1996       1990 -- 1997   Punsalmaagiin Ochirbat   Mongolia   Mongolian presidential election , 1997       1999 -- 2000   Robert Guéï   Ivory Coast   Ivorian presidential election , 2000       1989 -- 1996   Ion Iliescu   Romania   Romanian general election , 1996   Returned to office after 2000 election .     1981 -- 2000   Abdou Diouf   Senegal   Senegalese presidential election , 2000       1996 -- 2001   Petar Stoyanov   Bulgaria   Bulgarian presidential election , 2001       1998 -- 2003   Valdas Adamkus   Lithuania   Lithuanian presidential election , 2002 -- 2003   Returned to the office in 2004 .     2000 - 2004   Hipólito Mejía   Dominican Republic   Dominican Republic presidential election , 2004       2001 -- 2004   Megawati Sukarnoputri   Indonesia   Indonesian presidential election , 2004   Also lost 2009 election .     1999 -- 2004   Rudolf Schuster   Slovakia   Slovak presidential election , 2004       2001 -- 2006   Arnold Rüütel   Estonia   Estonian presidential election , 2006       2005 -- 2009   Nambaryn Enkhbayar   Mongolia   Mongolian presidential election , 2009       2000 -- 2011   Laurent Gbagbo   Ivory Coast   Ivorian presidential election , 2010       2002 -- 2010   Dahir Riyale Kahin   Somaliland   Somaliland presidential election , 2010       2004 -- 2010   Viktor Yushchenko   Ukraine   Ukrainian presidential election , 2010       2007 -- 2011   Valdis Zatlers   Latvia   Latvian presidential election , 2011       2008 -- 2011   Rupiah Banda   Zambia   Zambian general election , 2011       2007 -- 2012   Nicolas Sarkozy   France   French presidential election , 2012   Also ran in 2017 but lost The Republicans primary .     2000 -- 2012   Abdoulaye Wade   Senegal   Senegalese presidential election , 2012       2004 -- 2012   Boris Tadić   Serbia   Serbian presidential election , 2012       2007 -- 2012   Danilo Türk   Slovenia   Slovenian presidential election , 2012       2012 -- 2014   Joyce Banda   Malawi   Malawian general election , 2014       2010 -- 2015   Ivo Josipović   Croatia   Croatian presidential election , 2014 -- 15       2010 -- 2015   Goodluck Jonathan   Nigeria   Nigerian presidential election , 2015       2010 -- 2015   Bronisław Komorowski   Poland   Polish presidential election , 2015       1994 -- 2017   Yahya Jammeh   The Gambia   Gambian presidential election , 2016       2012 -- 2017   John Mahama   Ghana   Ghanaian general election , 2016       2011 -- 2016   Manuel Pinto da Costa   São Tomé and Príncipe   São Toméan presidential election , 2016       2011 -- 2016   Yevgeny Shevchuk   Transnistria   Transnistrian presidential election , 2016       2012 -- 2017   Hassan Sheikh Mohamud   Somalia   Somali presidential election , 2017       2012 -- 2017   Leonid Tibilov   South Ossetia   South Ossetian presidential election , 2017     </t>
  </si>
  <si>
    <t xml:space="preserve">Baily bridge - Wikipedia  Baily bridge  Jump to : navigation , search This article is about a bridge in India . For the portable prefabricated bridge , see Bailey bridge .  The Baily Bridge is the bridge at the highest elevation in the world . This bridge is located in the Himalayan mountains between the Dras River and Suru River in the Ladakh Valley in the Indian state of Jammu and Kashmir . It is 30 metres ( 98 ft ) long and is at an altitude of 5,602 metres ( 18,379 ft ) above the mean sea level . It is a bailey bridge built in 1982 by the Indian Army .   Resources ( edit )    Bridge Facts , retrieved February 23 , 2006 ll   incredblindia.blogspot.com   india.gov.in            This article about a bridge in India is a stub . You can help Wikipedia by expanding it .            Retrieved from `` https://en.wikipedia.org/w/index.php?title=Baily_Bridge&amp;oldid=756566675 '' Categories :   Bridges in Jammu and Kashmir   Asian bridge ( structure ) stubs   Indian building and structure stubs   India transport stubs   Hidden categories :   Jammu and Kashmir articles missing geocoordinate data   All articles needing coordinates   All stub articles           Talk                                                             About Wikipedia                                           Afrikaans   ગુજરાતી   മലയാളം   தமிழ்   Edit links   This page was last edited on 25 December 2016 , at 05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</si>
  <si>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name the highest bridge in the world built by indian army</t>
  </si>
  <si>
    <t xml:space="preserve"> The Baily Bridge is the bridge at the highest elevation in the world . This bridge is located in the Himalayan mountains between the Dras River and Suru River in the Ladakh Valley in the Indian state of Jammu and Kashmir . It is 30 metres ( 98 ft ) long and is at an altitude of 5,602 metres ( 18,379 ft ) above the mean sea level . It is a bailey bridge built in 1982 by the Indian Army . </t>
  </si>
  <si>
    <t xml:space="preserve">List of Backward compatible games for Xbox One - wikipedia  List of Backward compatible games for Xbox One  Jump to : navigation , search  The Xbox One gaming console has received updates from Microsoft since its launch in 2013 that enable it to play select games from its two predecessor consoles , Xbox and Xbox 360 . On June 15 , 2015 , backward compatibility with supported Xbox 360 games became available to eligible Xbox Preview program users with a beta update to the Xbox One system software . The dashboard update containing backward compatibility was released publicly on November 12 , 2015 . On October 24 , 2017 , another such update added games from the original Xbox library . The following is a list of all backward compatible games on Xbox One under this functionality .     Contents  ( hide )   1 History   1.1 Xbox 360   1.2 Xbox     2 Xbox One X enhancements   3 List of compatible titles from Xbox 360   4 List of compatible titles from Xbox   5 See also   6 References   7 External links      History ( edit )   At its launch in November 2013 , the Xbox One did not have native backward compatibility with original Xbox or Xbox 360 games . Xbox Live director of programming Larry `` Major Nelson '' Hryb suggested users could use the HDMI - in port on the console to pass an Xbox 360 or any other device with HDMI output through Xbox One . Senior project management and planning director Albert Penello explained that Microsoft was considering a cloud gaming platform to enable backward compatibility , but he felt it would be `` problematic '' due to varying internet connection qualities .   Xbox 360 ( edit )   During Microsoft 's E3 2015 press conference on June 15 , 2015 , Microsoft announced plans to introduce Xbox 360 backward compatibility on the Xbox One at no additional cost . Supported Xbox 360 games will run within an emulator and have access to certain Xbox One features , such as recording and broadcasting gameplay . Games do not run directly from discs . A ported form of the game is downloaded automatically when a supported game is inserted , while digitally - purchased games will automatically appear for download in the user 's library once available . As with Xbox One titles , if the game is installed using physical media , the disc is still required for validation purposes .   Not all Xbox 360 games will be supported ; 104 Xbox 360 games were available for the feature 's public launch on November 12 , 2015 with Xbox One preview program members getting early access . Microsoft stated that publishers will only need to provide permission to the company to allow the repackaging , and they expect the list to grow significantly over time . Unlike the emulation of original Xbox games on the Xbox 360 , the Xbox One does not require game modification , since it emulates an exact replica of its predecessor 's environment -- both hardware and software operating systems . The downloaded game is a repackaged version of the original that identifies itself as an Xbox One title to the console . At Gamescom , Microsoft revealed it has plans to ensure `` all future Xbox 360 Games with Gold titles will be playable on Xbox One . '' On December 17 , 2015 Microsoft made another sixteen Xbox 360 games compatible with Xbox One , including titles such as Halo : Reach , Fable III and Deus Ex : Human Revolution . On January 21 , 2016 , Microsoft made another ten Xbox 360 games compatible , including The Witcher 2 : Assassins of Kings and Counter-Strike : Global Offensive . On May 13 , 2016 , Microsoft made Xbox 360 titles with multiple discs compatible , starting with Deus Ex : Human Revolution Director 's Cut .   In January 2016 , Microsoft announced that future titles would be added as they became available , instead of waiting until a specific day each month .   Xbox ( edit )   During Microsoft 's E3 2017 press conference on June 11 , 2017 , Microsoft announced that roughly 50 % of Xbox One users had played an Xbox 360 game on Xbox One through the system 's backward - compatibility feature . Based on popular demand , Phil Spencer , Microsoft 's Head of Xbox , announced that Xbox One consoles would be able to play select games made for the original Xbox console , first released in 2001 . The compatibility will work on all consoles in the Xbox One family , including the Xbox One X , and will be available as a free update planned for the fall of 2017 .   The functionality will be similar to that for back - compatibility with Xbox 360 games . Users insert the Xbox game disc into their Xbox One console to install the compatible version of the game . While players will not be able to access any old game saves or connect to Xbox Live on these titles , system link functions will remain available . Xbox games will not receive achievement support , although when asked about this component , Spencer responded that they had nothing to announce at the current time .   Realizing that game discs for original Xbox consoles could be scarce , Spencer said that plans were in place to make compatible Xbox games available digitally . Spencer also said that such games may also be incorporated into the Xbox Game Pass subscription service . In a later interview , Spencer indicated that the potential library of Xbox titles being playable on Xbox One will be smaller than that currently available from the Xbox 360 library . Spencer noted two reasons for the more limited library were the availability of content rights for the games and the technical difficulties related to the conversion .   Xbox One X enhancements ( edit )   Backwards compatible original Xbox and Xbox 360 titles will benefit from becoming Xbox One X enhanced with the following :    Improved framerate stability   Games utilizing a dynamic resolution will hit their max resolution more often , or at all times   16x anisotropic filtering   Forced V - sync   Variable refresh rate compatibility ( when used with a compatible display )    List of compatible titles from Xbox 360 ( edit )   There are currently 472 on this list out of 1233 games released for the Xbox 360 .     Title   Publisher ( s )   Format   Xbox One X Enhanced   Date added   Notes / References     0 Day Attack on Earth   Gulti   XBLA     000000002017 - 10 - 30 - 0000 October 30 , 2017       3D Ultra Minigolf   Activision   XBLA     000000002017 - 04 - 20 - 0000 April 20 , 2017       A Kingdom for Keflings   Microsoft Studios   XBLA     000000002015 - 06 - 15 - 0000 June 15 , 2015       A World of Keflings   Microsoft Studios   XBLA     000000002015 - 06 - 15 - 0000 June 15 , 2015       Aegis Wing   Microsoft Studios   XBLA     000000002016 - 01 - 21 - 0000 January 21 , 2016   North America only .     Age of Booty   Capcom   XBLA     000000002016 - 01 - 21 - 0000 January 21 , 2016       Alan Wake   Microsoft Studios       000000002016 - 03 - 17 - 0000 March 17 , 2016   Also available as a bonus with purchase of Quantum Break .     Alan Wake 's American Nightmare   Microsoft Studios   XBLA     000000002016 - 02 - 11 - 0000 February 11 , 2016   Also included as a pre-order bonus with Quantum Break .     Alice : Madness Returns   Electronic Arts       000000002017 - 01 - 24 - 0000 January 24 , 2017       Alien Hominid   Microsoft Studios   XBLA     000000002015 - 06 - 15 - 0000 June 15 , 2015       Altered Beast   Sega   XBLA     000000002016 - 04 - 26 - 0000 April 26 , 2016       Anomaly : Warzone Earth   Microsoft Studios   XBLA     000000002016 - 06 - 07 - 0000 June 7 , 2016       Aqua   Microsoft Studios   XBLA     000000002016 - 06 - 07 - 0000 June 7 , 2016       ARKANOID Live !   Taito Corporation   XBLA     000000002016 - 09 - 08 - 0000 September 8 , 2016       Army of Two   Electronic Arts       000000002017 - 03 - 28 - 0000 March 28 , 2017       Assassin 's Creed   Ubisoft       000000002016 - 03 - 21 - 0000 March 21 , 2016       Assassin 's Creed II   Ubisoft       000000002015 - 11 - 12 - 0000 November 12 , 2015   Also available in Assassin 's Creed : The Ezio Collection which includes remastered versions of Assassin 's Creed II , Assassin 's Creed : Brotherhood and Assassin 's Creed : Revelations for Xbox One .     Assassin 's Creed III   Ubisoft       000000002017 - 05 - 23 - 0000 May 23 , 2017       Assassin 's Creed IV : Black Flag   Ubisoft       000000002018 - 04 - 03 - 0000 April 3 , 2018   Also released as a launch title for Xbox One .     Assassin 's Creed : Brotherhood   Ubisoft       000000002017 - 06 - 27 - 0000 June 27 , 2017   Also available in Assassin 's Creed : The Ezio Collection which includes remastered versions of Assassin 's Creed II , Assassin 's Creed : Brotherhood and Assassin 's Creed : Revelations for Xbox One .     Assassin 's Creed : Revelations   Ubisoft       000000002017 - 03 - 23 - 0000 March 23 , 2017   Also available in Assassin 's Creed : The Ezio Collection which includes remastered versions of Assassin 's Creed II , Assassin 's Creed : Brotherhood and Assassin 's Creed : Revelations for Xbox One .     Assassin 's Creed Rogue   Ubisoft       000000002017 - 02 - 23 - 0000 February 23 , 2017   Also available as a remastered version on Xbox One .     Assault Heroes 2   Sierra Entertainment   XBLA     000000002017 - 04 - 25 - 0000 April 25 , 2017       Asteroids &amp; Deluxe   Atari   XBLA     000000002015 - 11 - 12 - 0000 November 12 , 2015       Astropop   PopCap Games   XBLA     000000002016 - 11 - 29 - 0000 November 29 , 2016       Axel &amp; Pixel   2K Play   XBLA     000000002018 - 03 - 13 - 0000 March 13 , 2018       Babel Rising   Ubisoft   XBLA     000000002016 - 06 - 16 - 0000 June 16 , 2016       Band of Bugs   Microsoft Studios   XBLA     000000002017 - 05 - 04 - 0000 May 4 , 2017       Banjo - Kazooie   Microsoft Studios   XBLA     000000002015 - 06 - 15 - 0000 June 15 , 2015   Also included as part of the Rare Replay collection of games .     Banjo - Kazooie : Nuts &amp; Bolts   Microsoft Studios       000000002015 - 08 - 04 - 0000 August 4 , 2015   Also included as part of the Rare Replay collection of games .     Banjo - Tooie   Microsoft Studios   XBLA     000000002015 - 06 - 15 - 0000 June 15 , 2015   Also included as part of the Rare Replay collection of games .     Batman : Arkham Origins   WB Games   Disc Only     000000002017 - 08 - 08 - 0000 August 8 , 2017       BattleBlock Theater   Microsoft Studios   XBLA     000000002015 - 06 - 15 - 0000 June 15 , 2015       Battlefield 3   Electronic Arts       000000002017 - 01 - 10 - 0000 January 10 , 2017   Available in the Vault of EA Access .     Battlefield : Bad Company 2   Electronic Arts       000000002017 - 01 - 10 - 0000 January 10 , 2017   Available in the Vault of EA Access .     Battlefield : Bad Company   Electronic Arts       000000002017 - 08 - 17 - 0000 August 17 , 2017   Available in the Vault of EA Access .     Battlestations : Midway   Square Enix       000000002016 - 10 - 11 - 0000 October 11 , 2016       Bayonetta   Sega       000000002016 - 09 - 08 - 0000 September 8 , 2016       Beat'n Groovy   Konami   XBLA     000000002017 - 01 - 12 - 0000 January 12 , 2017       Bejeweled 2   Microsoft Studios   XBLA     000000002015 - 11 - 12 - 0000 November 12 , 2015   Available in the Vault of EA Access .     Bejeweled 3   PopCap Games   XBLA     000000002016 - 09 - 06 - 0000 September 6 , 2016   Available in the Vault of EA Access .     Bellator : MMA Onslaught   345 Games   XBLA     000000002015 - 11 - 12 - 0000 November 12 , 2015       Beyond Good &amp; Evil HD   Ubisoft   XBLA     000000002015 - 11 - 12 - 0000 November 12 , 2015       Bionic Commando Rearmed 2   Capcom   XBLA     000000002016 - 07 - 21 - 0000 July 21 , 2016       BioShock   2K Games       000000002016 - 12 - 13 - 0000 December 13 , 2016   Also available in BioShock : The Collection , featuring remastered versions of all 3 BioShock titles on Xbox One .     BioShock 2   2K Games       000000002016 - 12 - 13 - 0000 December 13 , 2016   Also available in BioShock : The Collection , featuring remastered versions of all 3 BioShock titles on Xbox One .     BioShock Infinite   2K Games       000000002016 - 12 - 13 - 0000 December 13 , 2016   Also available in BioShock : The Collection , featuring remastered versions of all 3 BioShock titles on Xbox One .     Bit. Trip Presents ... Runner2 : Future Legend of Rhythm Alien   Aksys Games   XBLA     000000002016 - 05 - 05 - 0000 May 5 , 2016       Blazing Angels : Squadrons of WWII   Ubisoft       000000002017 - 06 - 27 - 0000 June 27 , 2017       Blood Knights   Kalypso Media   XBLA     000000002016 - 06 - 23 - 0000 June 23 , 2016       Blood of the Werewolf   Midnight City   XBLA     000000002015 - 11 - 12 - 0000 November 12 , 2015       Bloodforge   Microsoft Studios   XBLA     000000002016 - 06 - 30 - 0000 June 30 , 2016       BloodRayne : Betrayal   Majesco Entertainment   XBLA     000000002015 - 11 - 12 - 0000 November 12 , 2015       Blue Dragon   Microsoft Studios       000000002016 - 11 - 01 - 0000 November 1 , 2016       Bolt   Disney Interactive       000000002017 - 08 - 08 - 0000 August 8 , 2017       Bomberman Live : Battlefest   Hudson Soft   XBLA     000000002016 - 08 - 18 - 0000 August 18 , 2016       Boom Boom Rocket   Electronic Arts   XBLA     000000002016 - 07 - 26 - 0000 July 26 , 2016       Bound by Flame   Focus Home Interactive       000000002016 - 09 - 15 - 0000 September 15 , 2016       Borderlands   2K Games       000000002015 - 09 - 03 - 0000 September 3 , 2015   All versions of the game , including physical and digital copies , receive all DLC as a free download ( on Xbox One only ) .     Borderlands 2   2K Games       000000002017 - 02 - 23 - 0000 February 23 , 2017   Also available in Borderlands : The Handsome Collection which includes remastered versions of Borderlands 2 and Borderlands : The Pre-Sequel for Xbox One .     Braid   Microsoft Studios   XBLA     000000002015 - 12 - 17 - 0000 December 17 , 2015       Brain Challenge   Ubisoft   XBLA     000000002016 - 06 - 16 - 0000 June 16 , 2016       Brave : The Video Game   Disney Interactive       000000002018 - 02 - 20 - 0000 February 20 , 2018       Bullet Soul   5pb .       000000002017 - 05 - 04 - 0000 May 4 , 2017       Bullet Soul - Infinite Burst -   5pb .       000000002017 - 05 - 04 - 0000 May 4 , 2017       Bully : Scholarship Edition   Rockstar Games       000000002016 - 12 - 15 - 0000 December 15 , 2016       Burnout Paradise   Electronic Arts       000000002016 - 11 - 22 - 0000 November 22 , 2016   Remastered as Burnout Paradise Remastered for Xbox One .     Cabela 's Alaskan Adventures   Activision       000000002017 - 04 - 27 - 0000 April 27 , 2017       Cabela 's Dangerous Hunts 2013   Activision       000000002017 - 04 - 27 - 0000 April 27 , 2017       Cabela 's Hunting Expeditions   Activision       000000002017 - 04 - 27 - 0000 April 27 , 2017       Cabela 's Survival : Shadows of Katmai   Activision       000000002017 - 04 - 27 - 0000 April 27 , 2017       Call of Duty : Advanced Warfare   Activision       000000002017 - 09 - 28 - 0000 September 28 , 2017   Also released on Xbox One .     Call of Duty : Black Ops   Activision       000000002016 - 05 - 17 - 0000 May 17 , 2016       Call of Duty : Black Ops II   Activision       000000002017 - 04 - 11 - 0000 April 11 , 2017       Call of Duty : Ghosts   Activision       000000002017 - 06 - 29 - 0000 June 29 , 2017   Also released as a launch title for Xbox One .     Call of Duty : World at War   Activision       000000002016 - 09 - 27 - 0000 September 27 , 2016       Call of Duty 2   Activision       000000002016 - 08 - 23 - 0000 August 23 , 2016       Call of Duty 3   Activision       000000002016 - 09 - 22 - 0000 September 22 , 2016       Call of Duty 4 : Modern Warfare   Activision       000000002018 - 03 - 29 - 0000 March 29 , 2018   Also available in a remastered version .     Call of Juarez : Gunslinger   Ubisoft   XBLA     000000002015 - 11 - 12 - 0000 November 12 , 2015   Digital download removed from Xbox Marketplace , but existing digital owners can download it .     Capcom Arcade Cabinet   Capcom   XBLA     000000002016 - 07 - 21 - 0000 July 21 , 2016       Carcassonne   Sierra Online   XBLA     000000002016 - 02 - 26 - 0000 February 26 , 2016       Cars : Mater - National Championship   Disney Interactive Studios       000000002017 - 11 - 14 - 0000 November 14 , 2017       Cars 2 : The Video Game   Disney Interactive Studios       000000002017 - 03 - 02 - 0000 March 2 , 2017       Castlevania : Symphony of the Night   Konami   XBLA     000000002016 - 03 - 17 - 0000 March 17 , 2016       Castle Crashers   Microsoft Studios   XBLA     000000002015 - 11 - 12 - 0000 November 12 , 2015       Castle of Illusion Starring Mickey Mouse   Sega   XBLA     000000002016 - 08 - 30 - 0000 August 30 , 2016       CastleStorm   Microsoft Studios   XBLA     000000002015 - 11 - 12 - 0000 November 12 , 2015       Catherine   Atlus       000000002016 - 12 - 15 - 0000 December 15 , 2016       Cave , The The Cave   Sega   XBLA     000000002016 - 04 - 26 - 0000 April 26 , 2016       Centipede &amp; Millipede   Atari   XBLA     000000002015 - 11 - 12 - 0000 November 12 , 2015       Child of Eden   Ubisoft       000000002017 - 10 - 12 - 0000 October 12 , 2017       CLANNAD   Prototype       000000002016 - 12 - 15 - 0000 December 15 , 2016   Japan only .     Commanders : Attack of the Genos   Sierra Entertainment   XBLA     000000002017 - 04 - 25 - 0000 April 25 , 2017       Comic Jumper   Microsoft Studios   XBLA     000000002016 - 06 - 23 - 0000 June 23 , 2016       Comix Zone   Sega   XBLA     000000002016 - 04 - 26 - 0000 April 26 , 2016       Condemned : Criminal Origins   Sega       000000002015 - 11 - 12 - 0000 November 12 , 2015       Contra   Konami   XBLA     000000002017 - 04 - 20 - 0000 April 20 , 2017       Costume Quest 2   Midnight City   XBLA     000000002017 - 07 - 18 - 0000 July 18 , 2017       Counter-Strike : Global Offensive   Valve Corporation   XBLA     000000002016 - 01 - 21 - 0000 January 21 , 2016       Crackdown   Microsoft Studios       000000002018 - 02 - 27 - 0000 February 27 , 2018       Crazy Taxi   Sega   XBLA     000000002015 - 11 - 12 - 0000 November 12 , 2015       Crystal Defenders   Square Enix   XBLA     000000002016 - 07 - 21 - 0000 July 21 , 2016       Crystal Quest   Microsoft Studios   XBLA     000000002016 - 06 - 23 - 0000 June 23 , 2016       Cyber Troopers Virtual - On Oratorio Tangram   Sega   XBLA     000000002017 - 06 - 27 - 0000 June 27 , 2017       Dark Souls   Bandai Namco Entertainment       000000002016 - 03 - 23 - 0000 March 23 , 2016   Available as a digital pre-order bonus with Dark Souls 3 on the Xbox store .     Dark Void   Capcom       000000002016 - 03 - 21 - 0000 March 21 , 2016       Darkness II , The The Darkness II   2K Games       000000002018 - 01 - 30 - 0000 January 30 , 2018       Darksiders   THQ       000000002017 - 03 - 23 - 0000 March 23 , 2017   Remastered as Darksiders : Warmastered Edition for Xbox One .     Darksiders 2   THQ       000000002017 - 03 - 23 - 0000 March 23 , 2017   Remastered as Darksiders II : Deathinitive Edition for Xbox One .     Daytona USA   Sega   XBLA     000000002017 - 03 - 21 - 0000 March 21 , 2017       de Blob 2   THQ       000000002016 - 09 - 08 - 0000 September 8 , 2016       Dead Rising 2 : Case Zero   Capcom   XBLA     000000002017 - 03 - 02 - 0000 March 2 , 2017       Dead Rising 2 : Case West   Capcom   XBLA     000000002017 - 03 - 02 - 0000 March 2 , 2017       Dead Space   Electronic Arts       000000002016 - 03 - 30 - 0000 March 30 , 2016   Available in the Vault of EA Access .     Dead Space 2   Electronic Arts       000000002017 - 04 - 27 - 0000 April 27 , 2017   Available in the Vault of EA Access .     Dead Space 3   Electronic Arts       000000002017 - 04 - 27 - 0000 April 27 , 2017   Available in the Vault of EA Access .     Dead Space Ignition   Electronic Arts   XBLA     000000002016 - 11 - 15 - 0000 November 15 , 2016   Available in the Vault of EA Access .     Deadfall Adventures   Nordic Games       000000002017 - 10 - 26 - 0000 October 26 , 2017       Deadliest Warrior   Spike Games   XBLA     000000002017 - 08 - 08 - 0000 August 8 , 2017       Deadliest Warrior : Legends   345 Games Spike Games   XBLA     000000002015 - 11 - 12 - 0000 November 12 , 2015       Deadly Premonition   Marvelous Entertainment       000000002017 - 11 - 02 - 0000 November 2 , 2017       DeathSpank : Thongs of Virtue   Electronic Arts   XBLA     000000002016 - 09 - 06 - 0000 September 6 , 2016       Defense Grid : The Awakening   Microsoft Studios   XBLA     000000002015 - 06 - 15 - 0000 June 15 , 2015       Deus Ex : Human Revolution   Square Enix       000000002015 - 12 - 17 - 0000 December 17 , 2015       Deus Ex : Human Revolution Director 's Cut   Square Enix   Disc Only     000000002016 - 05 - 10 - 0000 May 10 , 2016   First Multi-Disc game made available .     Dig Dug   Bandai Namco Entertainment   XBLA     000000002016 - 05 - 05 - 0000 May 5 , 2016       DiRT 3   Codemasters       000000002015 - 11 - 12 - 0000 November 12 , 2015       DiRT Showdown   Codemasters       000000002015 - 11 - 12 - 0000 November 12 , 2015       Discs of Tron   Disney Interactive Studios   XBLA     000000002015 - 11 - 12 - 0000 November 12 , 2015       Divinity II   Larian Studios       000000002018 - 04 - 03 - 0000 April 3 , 2018       Domino Master   Microsoft Studios   XBLA     000000002016 - 05 - 24 - 0000 May 24 , 2016       Doom   Bethesda Softworks   XBLA     000000002015 - 11 - 12 - 0000 November 12 , 2015   Available as a digital pre-order bonus with Doom on the Xbox store .     Doom II : Hell on Earth   Bethesda Softworks   XBLA     000000002015 - 11 - 12 - 0000 November 12 , 2015   Available as a digital pre-order bonus with Doom on the Xbox store .     Doom 3 BFG Edition   Bethesda Softworks   Disc Only     000000002016 - 04 - 14 - 0000 April 14 , 2016       Doritos Crash Course   Microsoft Studios   XBLA     000000002015 - 12 - 17 - 0000 December 17 , 2015       Double Dragon Neon   Majesco Entertainment   XBLA     000000002016 - 04 - 26 - 0000 April 26 , 2016       Dragon Age : Origins   Electronic Arts       000000002017 - 01 - 10 - 0000 January 10 , 2017   Available in the Vault of EA Access .     Dragon 's Lair   Microsoft Studios   XBLA     000000002016 - 10 - 11 - 0000 October 11 , 2016       Driver : San Francisco   Ubisoft   Disc Only     000000002018 - 01 - 16 - 0000 January 16 , 2018   Available on disc only , but existing digital owners can download it .     DuckTales Remastered   Capcom   XBLA     000000002016 - 05 - 24 - 0000 May 24 , 2016       Duke Nukem : Manhattan Project   Microsoft Studios   XBLA     000000002016 - 04 - 12 - 0000 April 12 , 2016       Dungeons and Dragons : Chronicles of Mystara   Capcom   XBLA     000000002016 - 06 - 23 - 0000 June 23 , 2016       Dungeon Siege III   Square Enix       000000002015 - 11 - 16 - 0000 November 16 , 2015       Earth Defense Force : Insect Armageddon   D3 Publisher       000000002017 - 07 - 11 - 0000 July 11 , 2017       Earth Defense Force 2017   D3 Publisher       000000002017 - 11 - 30 - 0000 November 30 , 2017       Earthworm Jim HD   Microsoft Studios   XBLA     000000002015 - 11 - 12 - 0000 November 12 , 2015       Eat Lead : The Return of Matt Hazard   D3 Publisher       000000002016 - 10 - 13 - 0000 October 13 , 2016       Elder Scrolls IV , The The Elder Scrolls IV : Oblivion   Bethesda       000000002016 - 11 - 29 - 0000 November 29 , 2016       Encleverment Experiment   Microsoft Studios   XBLA     000000002016 - 09 - 27 - 0000 September 27 , 2016       Epic Mickey 2 : The Power of Two   Disney Interactive Studios       000000002017 - 08 - 03 - 0000 August 3 , 2017       Escape Dead Island   Deep Silver       000000002016 - 11 - 15 - 0000 November 15 , 2016       Every Extend Extra Extreme   Microsoft Studios   XBLA     000000002016 - 09 - 27 - 0000 September 27 , 2016       F1 2014   Codemasters       000000002017 - 07 - 11 - 0000 July 11 , 2017       Fable Anniversary   Microsoft Studios       000000002017 - 10 - 05 - 0000 October 5 , 2017       Fable II   Microsoft Studios       000000002015 - 11 - 12 - 0000 November 12 , 2015       Fable II Pub Games   Microsoft Studios   XBLA     000000002017 - 10 - 05 - 0000 October 5 , 2017       Fable III   Microsoft Studios       000000002015 - 12 - 17 - 0000 December 17 , 2015       Faery : Legends of Avalon   Focus Home Interactive   XBLA     000000002016 - 05 - 10 - 0000 May 10 , 2016       Fallout 3   Bethesda Softworks       000000002015 - 11 - 12 - 0000 November 12 , 2015   Was also available as a bonus with purchase of Fallout 4 . Also , owners of the Xbox 360 Game of the Year Edition can run the game with all the DLC using disc 2 .     Fallout : New Vegas   Bethesda Softworks       000000002016 - 06 - 23 - 0000 June 23 , 2016   Owners of the Xbox 360 Ultimate Edition can run the game with all the DLC using disc 2 .     Far Cry 2   Ubisoft       000000002018 - 01 - 16 - 0000 January 16 , 2018       Far Cry 3   Ubisoft       000000002017 - 03 - 30 - 0000 March 30 , 2017       Far Cry 3 : Blood Dragon   Ubisoft   XBLA     000000002016 - 08 - 09 - 0000 August 9 , 2016       Feeding Frenzy   PopCap Games   XBLA     000000002015 - 11 - 12 - 0000 November 12 , 2015   Available in the Vault of EA Access .     Feeding Frenzy 2 : Shipwreck Showdown   PopCap Games   XBLA     000000002015 - 11 - 12 - 0000 November 12 , 2015   Available in the Vault of EA Access .     Fighting Vipers   Sega   XBLA     000000002017 - 08 - 08 - 0000 August 8 , 2017       Final Fight : Double Impact   Capcom   XBLA     000000002016 - 05 - 10 - 0000 May 10 , 2016       Flashback   Ubisoft   XBLA     000000002016 - 06 - 16 - 0000 June 16 , 2016       Flock !   Capcom   XBLA     000000002016 - 07 - 19 - 0000 July 19 , 2016       Forza Horizon   Microsoft Studios       000000002016 - 08 - 30 - 0000 August 30 , 2016       Foul Play   Mastertronic Group   XBLA     000000002016 - 06 - 09 - 0000 June 9 , 2016       Fret Nice   Koei Tecmo   XBLA     000000002016 - 07 - 21 - 0000 July 21 , 2016       Frogger   Konami   XBLA     000000002016 - 04 - 28 - 0000 April 28 , 2016       Frogger 2   Konami   XBLA     000000002016 - 05 - 10 - 0000 May 10 , 2016       Frontlines : Fuel of War   THQ       000000002017 - 07 - 18 - 0000 July 18 , 2017       FunTown Mahjong   Microsoft Studios   XBLA     000000002016 - 09 - 27 - 0000 September 27 , 2016       Galaga   Bandai Namco Entertainment   XBLA     000000002016 - 02 - 15 - 0000 February 15 , 2016       Galaga Legions   Bandai Namco Entertainment   XBLA     000000002016 - 10 - 20 - 0000 October 20 , 2016       Galaga Legions DX   Bandai Namco Entertainment   XBLA     000000002016 - 04 - 28 - 0000 April 28 , 2016       Garou : Mark of the Wolves   SNK Playmore   XBLA     000000002016 - 04 - 12 - 0000 April 12 , 2016       Gatling Gears   Electronic Arts   XBLA     000000002016 - 09 - 06 - 0000 September 6 , 2016       Gears of War   Microsoft Studios       000000002015 - 08 - 03 - 0000 August 3 , 2015   Was also available as a bonus with purchase of Gears of War : Ultimate Edition .     Gears of War 2   Microsoft Studios       000000002015 - 11 - 12 - 0000 November 12 , 2015   Was also available as a bonus with purchase of Gears of War : Ultimate Edition .     Gears of War 3   Microsoft Studios       000000002015 - 11 - 12 - 0000 November 12 , 2015   Was also available as a bonus with purchase of Gears of War : Ultimate Edition .     Gears of War : Judgment   Microsoft Studios       000000002015 - 11 - 12 - 0000 November 12 , 2015   Was also available as a bonus with purchase of Gears of War : Ultimate Edition .     Geometry Wars : Retro Evolved   Microsoft Studios   XBLA     000000002016 - 02 - 25 - 0000 February 25 , 2016       Geometry Wars : Retro Evolved 2   Activision   XBLA     000000002017 - 05 - 02 - 0000 May 2 , 2017       Geometry Wars 3 : Dimensions   Sierra Entertainment   XBLA     000000002017 - 05 - 02 - 0000 May 2 , 2017       Ghostbusters : Sanctum of Slime   Atari   XBLA     000000002016 - 04 - 26 - 0000 April 26 , 2016       Ghostbusters : The Video Game   Atari       000000002017 - 01 - 10 - 0000 January 10 , 2017       Gin Rummy   Activision   XBLA     000000002017 - 04 - 20 - 0000 April 20 , 2017       Girl Fight   Kung Fu Factory   XBLA     000000002017 - 10 - 26 - 0000 October 26 , 2017       Go ! Go ! Break Steady   Microsoft Studios   XBLA     000000002016 - 06 - 30 - 0000 June 30 , 2016       Goat Simulator   Coffee Stain Studios   XBLA     000000002017 - 10 - 12 - 0000 October 12 , 2017       Golden Axe   Sega   XBLA     000000002015 - 11 - 12 - 0000 November 12 , 2015       Golf : Tee It Up !   Activision   XBLA     000000002017 - 04 - 20 - 0000 April 20 , 2017       Grand Theft Auto IV   Rockstar Games       000000002017 - 02 - 09 - 0000 February 9 , 2017   Including `` Episodes From Liberty City '' DLC .     Grid 2   Codemasters       000000002016 - 03 - 21 - 0000 March 21 , 2016       Gripshift   Microsoft Studios   XBLA     000000002016 - 06 - 30 - 0000 June 30 , 2016       Guardian Heroes   Sega   XBLA     000000002016 - 11 - 08 - 0000 November 8 , 2016       Gunstar Heroes   Sega   XBLA     000000002016 - 04 - 06 - 0000 April 6 , 2016       Guwange   CAVE   XBLA     000000002016 - 09 - 29 - 0000 September 29 , 2016       Gyromancer   Square Enix   XBLA     000000002017 - 02 - 23 - 0000 February 23 , 2017       Gyruss   Konami   XBLA     000000002017 - 07 - 25 - 0000 July 25 , 2017       Half - Minute Hero : Super Mega Neo Climax   Microsoft Studios   XBLA     000000002016 - 07 - 19 - 0000 July 19 , 2016       Halo 3   Microsoft Studios       000000002017 - 09 - 21 - 0000 September 21 , 2017   Remastered version available in Halo : The Master Chief Collection .     Halo 3 : ODST Campaign Edition   Microsoft Studios       000000002017 - 09 - 21 - 0000 September 21 , 2017   Remastered version available in Halo : The Master Chief Collection via downloadable content .     Halo 4   Microsoft Studios       000000002017 - 09 - 21 - 0000 September 21 , 2017   Remastered version available in Halo : The Master Chief Collection .     Halo : Combat Evolved Anniversary   Microsoft Studios       000000002017 - 09 - 21 - 0000 September 21 , 2017   Remastered version available in Halo : The Master Chief Collection .     Halo : Reach   Microsoft Studios       000000002015 - 12 - 17 - 0000 December 17 , 2015       Halo : Spartan Assault   Microsoft Studios   XBLA     000000002015 - 11 - 12 - 0000 November 12 , 2015       Halo Wars   Microsoft Studios       000000002016 - 03 - 28 - 0000 March 28 , 2016       Hard Corps : Uprising   Konami   XBLA     000000002017 - 05 - 04 - 0000 May 4 , 2017       Hardwood Backgammon   Microsoft Studios   XBLA     000000002015 - 11 - 12 - 0000 November 12 , 2015       Hardwood Hearts   Microsoft Studios   XBLA     000000002015 - 11 - 12 - 0000 November 12 , 2015       Hardwood Spades   Microsoft Studios   XBLA     000000002015 - 11 - 12 - 0000 November 12 , 2015       Harm 's Way   Microsoft Studios   XBLA     000000002017 - 05 - 04 - 0000 May 4 , 2017       Haunted House   Atari   XBLA     000000002016 - 12 - 01 - 0000 December 1 , 2016       Heavy Weapon   Microsoft Studios   XBLA     000000002015 - 11 - 12 - 0000 November 12 , 2015   Available in the Vault of EA Access .     Hexic HD   Microsoft Studios   XBLA     000000002015 - 06 - 15 - 0000 June 15 , 2015   This originally bundled Xbox 360 game can now be downloaded for free in certain regions from the Xbox store here .     Hexic 2   Microsoft Studios   XBLA     000000002016 - 05 - 24 - 0000 May 24 , 2016       Hitman : Absolution   Square Enix       000000002017 - 02 - 14 - 0000 February 14 , 2017   Hitman : Sniper Challenge pre-order bonus is also compatible .     Hitman : Blood Money   Eidos Interactive       000000002018 - 03 - 06 - 0000 March 6 , 2018       Hydro Thunder Hurricane   Microsoft Studios   XBLA     000000002015 - 12 - 17 - 0000 December 17 , 2015       I Am Alive   Ubisoft   XBLA     000000002016 - 06 - 23 - 0000 June 23 , 2016       Ikaruga   Microsoft Studios   XBLA     000000002015 - 11 - 12 - 0000 November 12 , 2015       ilomilo   Microsoft Studios   XBLA     000000002017 - 05 - 23 - 0000 May 23 , 2017       Injustice : Gods Among Us   Warner Bros. Interactive Entertainment       000000002016 - 12 - 01 - 0000 December 1 , 2016       Insanely Twisted Shadow Planet   Microsoft Studios   XBLA     000000002017 - 04 - 04 - 0000 April 4 , 2017       Interpol : The Trail of Dr. Chaos   Microsoft Studios   XBLA     000000002016 - 07 - 14 - 0000 July 14 , 2016       Iron Brigade   Microsoft Studios   XBLA     000000002015 - 12 - 17 - 0000 December 17 , 2015       Jeremy M</t>
  </si>
  <si>
    <t xml:space="preserve">will xbox 360 disc work on xbox one</t>
  </si>
  <si>
    <t xml:space="preserve"> The Xbox One gaming console has received updates from Microsoft since its launch in 2013 that enable it to play select games from its two predecessor consoles , Xbox and Xbox 360 . On June 15 , 2015 , backward compatibility with supported Xbox 360 games became available to eligible Xbox Preview program users with a beta update to the Xbox One system software . The dashboard update containing backward compatibility was released publicly on November 12 , 2015 . On October 24 , 2017 , another such update added games from the original Xbox library . The following is a list of all backward compatible games on Xbox One under this functionality . </t>
  </si>
  <si>
    <t xml:space="preserve">How to Pay for the war : a Radical plan for the Chancellor of the Exchequer - wikipedia  How to Pay for the war : a Radical plan for the Chancellor of the Exchequer  Jump to : navigation , search      This article needs additional citations for verification . Please help improve this article by adding citations to reliable sources . Unsourced material may be challenged and removed . ( October 2016 ) ( Learn how and when to remove this template message )    How to Pay for the War , 1940  How to Pay for the War : A Radical Plan for the Chancellor of the Exchequer is a book by John Maynard Keynes , published in 1940 by Macmillan and Co. , Ltd ... It is an application of Keynesian thinking and principles to a practical economic problem and a relatively late text . Keynes died in 1946 .   Summary ( edit )   In How to Pay for the War , John Maynard Keynes describes a macroeconomic strategy of how Britain , a nation with a population at the time of 40 million people , could conduct a long war against Germany , a nation of 80 millions . At the time How to Pay for the War was written , neither the United States nor the Soviet Union were at war with either Germany or Japan . As a result , the first step for Britain to effectively conduct a war against Germany was to mobilize all its resources for production . Thus , the first two chapters of How to Pay for the War , are an argument for the need for full employment and chapter 3 , Our Output Capacity and The National Income , is a manual to achieve full employment .   Keynes maintained , however , that the resources of Britain , even at full employment , would not suffice to conduct a war against Germany . Internally , Britain would need to increase production while reducing consumption and diverting resources to the war effort . Externally , Britain would have to be able to count on more resources than internally available , running as large a deficit as its allies were willing to allow . Chapters IV ( 4 ) to X ( 10 ) and appendices II ( 2 ) to IV ( 4 ) are dedicated to measures for allocating resources to the war effort , while controlling prices and reducing wartime consumption .   Keynes outlined a plan for Deferred Pay that would , in part , be legislated in the Budget of Sir Kingsley Wood , Chancellor of the Exchequer . The deferred pay became a system of post-war credits which were progressively repaid after the war , albeit at reduced value .   Keynes devotes much attention to price controls , proposing a number of measures to control ( but not planning to eliminate ) inflation , measures including deferred pay and forced savings . Most of the book , Chapters IV to X , is dedicated to the problems of resource allocation and price control .   The book is an exercise in Keynesian macroeconomics , a prime example of Keynesian analysis and technique , by John Maynard Keynes himself .   References ( edit )    Jump up ^ http://hansard.millbanksystems.com/commons/1972/mar/09/post-war-credits   Retrieved from `` https://en.wikipedia.org/w/index.php?title=How_to_Pay_for_the_War:_A_Radical_Plan_for_the_Chancellor_of_the_Exchequer&amp;oldid=812162533 '' Categories :   Strategy   Keynesian economics   Inflation   Books by John Maynard Keynes   Full employment   Hidden categories :   Articles needing additional references from October 2016   All articles needing additional references           Talk                                                             About Wikipedia                                           Add links   This page was last edited on 26 November 2017 , at 09 : 45 .         About Wikipedia                    </t>
  </si>
  <si>
    <t xml:space="preserve">who wrote an article on war finance titled how to pay for the war</t>
  </si>
  <si>
    <t xml:space="preserve"> How to Pay for the War : A Radical Plan for the Chancellor of the Exchequer is a book by John Maynard Keynes , published in 1940 by Macmillan and Co. , Ltd ... It is an application of Keynesian thinking and principles to a practical economic problem and a relatively late text . Keynes died in 1946 . </t>
  </si>
  <si>
    <r>
      <rPr>
        <sz val="11"/>
        <color rgb="FF000000"/>
        <rFont val="Calibri"/>
        <family val="0"/>
        <charset val="1"/>
      </rPr>
      <t xml:space="preserve">Quicken Loans Arena - wikipedia  Quicken Loans Arena  Jump to : navigation , search  Quicken Loans Arena       Aerial view in 2014 from Terminal Tower     Former names   Gund Arena ( 1994 -- 2005 )     Address   1 Center Court     Location   Cleveland , Ohio     Coordinates   41 ° 29 ′ 47 '' N 81 ° 41 ′ 17 '' W ﻿ / ﻿ 41.49639 ° N 81.68806 ° W ﻿ / 41.49639 ; - 81.68806 Coordinates : 41 ° 29 ′ 47 '' N 81 ° 41 ′ 17 '' W ﻿ / ﻿ 41.49639 ° N 81.68806 ° W ﻿ / 41.49639 ; - 81.68806     Public transit   Tower City     Owner   Atlanta Hawks     Operator   CAVS / Quicken Loans Arena Company     Capacity   Basketball : 20,562 Ice Hockey : 10,025 ( expandable to 20,056 ) Arena football : 20,056     Construction     Broke ground   April 27 , 1992     Opened   October 17 , 1994     Construction cost   $ 100 million ( $162 million in 2016 dollars )     Architect   Ellerbe Becket     Project manager   Seagull Bay Sports , LLC .     Services engineer   URS Corporation     General contractor   Turner / Choice / Bradley / Zunt     Tenants     Current : Cleveland Cavaliers ( NBA ) ( 1994 -- present ) Cleveland State Vikings ( NCAA ) ( secondary ; 2015 -- present ) Cleveland Monsters ( AHL ) ( 2007 -- present ) Cleveland Gladiators ( AFL ) ( 2008 -- 2017 , 2020 -- present ) Former : Cleveland Crush ( LFL ) ( 2011 -- 2013 ) Cleveland Rockers ( WNBA ) ( 1997 -- 2003 ) Cleveland Barons ( AHL ) ( 2001 -- 2006 ) Cleveland Lumberjacks ( IHL ) ( 1994 -- 2001 )     Quicken Loans Arena , commonly known as `` The Q '' , is a multi-purpose arena in downtown Cleveland , Ohio , United States . The building is the home of the Cleveland Cavaliers of the National Basketball Association ( NBA ) , the Cleveland Monsters of the American Hockey League , and the Cleveland Gladiators of the Arena Football League . It also serves as a secondary arena for Cleveland State Vikings men 's and women 's basketball .   The arena opened in October 1994 as part of the Gateway Sports and Entertainment Complex with adjacent Progressive Field , which opened in April of that year . It is named for the retail mortgage lender Quicken Loans , whose chairman and founder is Dan Gilbert , the majority owner of the Cavaliers , Monsters , and Gladiators . From its opening until August 2005 , it was known as Gund Arena , named for former Cavaliers owner Gordon Gund , after he paid for the naming rights . The Q replaced the Richfield Coliseum as the primary entertainment facility for the region and the home of the Cavaliers , and supplanted the Wolstein Center at Cleveland State University , which opened in 1990 , as the primary concert and athletic venue in downtown Cleveland .   Quicken Loans Arena seats 20,562 people in its basketball configuration and up to 20,056 for ice hockey , making it the second - largest arena in the NBA by seating capacity . It is a frequent site for concerts and other athletic events such as the men 's and women 's basketball tournaments of the Mid-American Conference ( MAC ) , hosting the men 's tournament since 2000 and the women 's tournament since 2001 . It has also been the host venue for the 2007 NCAA Women 's Division I Basketball Final Four , opening and regional semifinal games in the NCAA Division I Men 's Basketball Tournament , and the U.S. Figure Skating Championships in 2000 and 2009 . In July 2016 , The Q hosted the 2016 Republican National Convention .     Contents  ( hide )   1 History   1.1 Design and operations     2 Tenants   2.1 Current   2.2 Former     3 Events   3.1 College Sports   3.2 Other events     4 References   5 External links      History ( edit )  The arena logo from 1994 to 2005 .  The Q was preceded in downtown Cleveland by the Cleveland Arena , a facility built in 1937 with a seating capacity for basketball of approximately 12,000 . It was best known as the site of the Moondog Coronation Ball in 1952 , widely regarded as the first rock and roll concert . Cleveland Arena was the first home of the Cavaliers in 1970 .   The Cleveland Arena was also the home of an earlier professional basketball team , the Cleveland Rebels of the Basketball Association of America , the original Cleveland Barons ice hockey team , and hosted several games of the Cincinnati Royals of the NBA in the 1960s . By 1970 , however , Cleveland Arena was outdated and in disrepair . The Cavs played there their first four seasons . It was replaced in 1974 by the 20,273 - seat Richfield Coliseum , located in Richfield , between Cleveland and Akron .   During the 1980s , the site of the Central Market , a fruit and vegetable market that dated back to 1856 , was selected for construction of a multi-purpose domed stadium for the Cleveland Browns and Cleveland Indians , but the ballot measure to fund it was defeated by voters . The market site was acquired in 1985 and cleared in 1987 in a continued push for new downtown sports facilities by city and business leaders . In 1990 , voters approved a sin tax on alcohol and tobacco products in Cuyahoga County to fund the Gateway Sports and Entertainment Complex , which includes the Q and adjacent Progressive Field . Construction began in 1992 with the ballpark opening in April 1994 and the arena in October 1994 . The arena opened with a concert by Billy Joel on October 17 , 1994 . The Cavaliers played their first regular - season game in the arena a few weeks later , a loss to the Houston Rockets , on November 8 , 1994 .   As part of his purchase of the team and the arena naming rights in 2005 , Dan Gilbert , owner of Quicken Loans , funded renovations of the arena , which included installing new wine - colored seats , state - of - the - art scoreboards , video systems , and sound systems , new arena graphics and signage , and upgrades to security , locker rooms , and the suites , all of which were in place for the start of the Cavaliers 2005 -- 2006 season , except for the seats , which were replaced a few sections at a time .   Gilbert purchased the then - inactive Utah Grizzlies franchise of the American Hockey League on May 16 , 2006 , and announced that it would move to Quicken Loans Arena to replace the departed Cleveland Barons . The team name was announced as the Lake Erie Monsters on January 25 , 2007 , and began play in the 2007 -- 08 season . The Lake Erie Monsters changed their name to the Cleveland Monsters on August 9 , 2016 .   The Las Vegas Gladiators of the Arena Football League announced on October 16 , 2007 , that they would move to Quicken Loans Arena , becoming the Cleveland Gladiators .   Plans for a two - year , $140 million renovation project to begin in 2017 were released by the Cavaliers in December 2016 . The project calls for an increase in the square footage of the concourses and open areas , along with upgrades throughout the building . It is scheduled to be completed by late 2019 .   Design and operations ( edit )   The arena seats 20,562 for basketball , with 2,000 club seats and 88 luxury suites . Seating is divided into three levels , with two main levels of suites and five `` platinum suites '' on the event level . Around the seating there are two main concourses , one on the ground level to access the 100 level seating and 32 lower suites , and an upper concourse for the top 200 level seating . The lower concourse also includes the ticket office and the two - level main team shop . In between is the club level , which provides access to the 60 upper suites and club seating . Also on the club level is an auxiliary gym , which was used by the Cavaliers as their main practice court until the opening of the Cleveland Clinic Courts practice facility in 2007 .   In the hockey and arena football configuration , capacity is 20,056 . During most Monsters games , the upper - level seating is closed and covered by a large curtain , reducing capacity to 10,025 . In the basketball configuration , when the upper level seating is closed , capacity is listed at 11,751. 60 % of the seating is located in the lower two levels .  The scoreboard with flames during player introductions in 2014  The main scoreboard at The Q , nicknamed Humongotron , is the second largest scoreboard used in an NBA arena . It was installed in October 2014 after Cavs owner Dan Gilbert had seen a similar scoreboard at the Toyota Center in Houston during the 2013 NBA All - Star Weekend . The scoreboard includes four large high - definition video screens with large sabers on each corner that can extend outward to shoot fire , usually as part of player introductions . The two screens facing the sidelines are 31.5 feet ( 9.6 m ) high and 56.69 feet ( 17.28 m ) wide , while the two screens facing the baselines measure 29.92 feet ( 9.12 m ) high and 33.07 feet ( 10.08 m ) wide .   On the roof of the building is a large LED message board that measures 360 feet ( 110 m ) by 90 feet ( 27 m ) , described as the `` largest LED roof sign on the planet '' by Cavaliers owner Dan Gilbert . The sign was approved by the Cleveland City Planning Commission in March 2016 with the stipulation that only the arena 's name or its naming rights sponsor can be shown . Any other use of the sign needs commission approval . The message board was installed later in 2016 and debuted in May during Game 1 of the Eastern Conference finals .   The arena , along with neighboring Progressive Field and an adjacent parking garage , is owned by the Gateway Economic Development Corporation of Greater Cleveland , an entity made up of members appointed by the governments of the city of Cleveland and Cuyahoga County . Gateway leases the arena to the Cavaliers , who also manage the Cleveland Monsters and the Cleveland Gladiators . Food service is managed by Aramark and includes items contributed by award - winning chef Michael Symon . Two existing restaurants were renamed in 2009 after Symon 's bar - bistros `` Bar Symon '' and `` The B - Spot '' , and some of his signature dishes are available as suite catering offerings .   In March 2017 , in partnership with the non-profit organization KultureCity , Quicken Loans Arena officially introduced the availability of accommodations during all events for guests with hypersensitivity needs , such as attendees with autism spectrum disorders . This includes staff training , free `` sensory bags '' with headphones , a blanket , and other items geared towards attendees with sensory needs , as well as a sensory room and exemptions from re-entry policies if they are overwhelmed by the environment . The arena became the first in the NBA to be certified by KultureCity as being `` sensory inclusive '' .   Tenants ( edit )   Current ( edit )   As home of the Cavaliers , Monsters , and Gladiators , The Q has hosted a number of notable events for each team , including playoff and championship games . Through the 2015 -- 16 season , the Cavs have hosted playoff games in 10 of their 22 seasons at The Q , including games three and four of the 2007 NBA Finals , and games three , four , and six of the 2015 and 2016 Finals . The arena was also the site of the 1997 NBA All - Star Game , which celebrated the 50th anniversary of the founding of the NBA .   The Gladiators have qualified for the Arena Football League playoffs in four of their seven seasons in Cleveland through 2015 , and hosted playoff games in 2008 , 2011 , and 2014 . During the 2014 season , the team finished 15 -- 1 overall and advanced to ArenaBowl XXVII , which hosted at Quicken Loans Arena . The game drew 18,410 fans and was held at the same time as a Cleveland Browns home preseason game at FirstEnergy Stadium , and a Cleveland Indians home game at adjacent Progressive Field .   The Monsters made their playoff debut in 2011 and returned to the playoffs in 2016 . In the 2016 Calder Cup playoffs , the team advanced to the Calder Cup final and swept the Hershey Bears in four games for their first Calder Cup in franchise history . Games three and four were held at The Q. Game four , held on June 11 , was a sell - out and drew 19,665 fans , which set a record for largest crowd to ever see a professional hockey game in the state of Ohio and the second - largest postseason crowd in American Hockey League history .   Former ( edit )   Quicken Loans Arena has been home to other franchises that have either relocated or folded . When it opened in 1994 , in addition to being home of the Cavaliers , it was also the home arena for the Cleveland Lumberjacks of the International Hockey League ( IHL ) . The Lumberjacks played at the arena until 2001 when the team folded along with the IHL . Later that year a new incarnation of the Cleveland Barons , who played in the American Hockey League , began play and were tenants at the arena until 2006 when the team moved to Worcester , Massachusetts .   Two women 's professional teams have also called the arena home . From 1997 to 2003 , the Cleveland Rockers , one of the eight charter members of the Women 's National Basketball Association ( WNBA ) , played at The Q. The team folded after the 2003 WNBA season because the Gunds , who still owned the Cavs at that point , no longer wished to operate the Rockers franchise and a new ownership group could not be obtained . The Cleveland Crush of the Lingerie Football League played at The Q for their 2011 -- 12 and 2012 -- 13 seasons before moving to Toledo , Ohio , in late 2013 .   Events ( edit )   College Sports ( edit )   In addition to its professional sports tenants , The Q has hosted a number of intercollegiate sporting events . It has been home to the Mid-American Conference ( MAC ) Men 's Basketball Tournament since 2000 and the MAC MAC Women 's Basketball Tournament since 2001 . `` MAC Madness '' , as it is known , has become a strong draw for the arena . The men 's semifinal and championship games routinely draw 10,000 - 15,000 attendees . In addition , Quicken Loans Arena has served as a host for games of the NCAA Men 's Division I Basketball Championship , hosting early round games in 2011 and regional semifinal and final games in 2015 . The Q has also hosted games for the NCAA Women 's Division I Basketball Championship , hosting regional semifinals and finals for the 2006 tournament and the Final Four and national championship game of the 2007 tournament .   In 2015 , it was announced that arena management and Cleveland State University came to an agreement where select CSU Vikings men 's and women 's basketball games would take place at The Q , while Quicken Loans Arena would essentially take over operations of the Wolstein Center ( CSU 's primary home arena ) , being in charge of promoting and booking events at the venue .  A view from inside the arena .  Other events ( edit )   In addition to team sports , The Q has hosted a number of other events , including the 2000 and 2009 U.S. Figure Skating Championships along with professional wrestling broadcasts for Raw and SmackDown , and numerous WWE pay -- per -- view events :    SummerSlam ( 1996 ) - headlined by Shawn Michaels vs. Vader for the WWF Championship   No Mercy ( 1999 ) - headlined by Triple H vs. Stone Cold Steve Austin for the WWF Championship   Invasion ( 2001 ) - headlined by Team Alliance vs. Team WWF .   Survivor Series ( 2004 ) - headlined by Team Orton vs. Team Triple H   Unforgiven ( 2008 ) - headlined by the first ever Championship Scramble matches .   TLC : Tables , Ladders and Chairs ( 2014 ) - headlined by Bray Wyatt vs. Dean Ambrose in a TLC match .   Fastlane ( 2016 ) - headlined by Brock Lesnar vs. Roman Reigns vs. Dean Ambrose in a Triple Threat match for the # 1 contender for the WWE World Heavyweight Championship at WrestleMania 32 .    LeBron James gathered almost 20,000 people at the arena on October 29 , 2008 , for a viewing of Democratic presidential nominee Barack Obama 's 30 - minute American Stories , American Solutions television advertisement . It was shown on a large screen above the stage , where Jay - Z later held a free concert .   Quicken Loans Arena was selected in July 2014 as the host site for the 2016 Republican National Convention . The arena hosted the first Republican presidential debate of the 2016 election , aired by Fox News Channel , on August 6 , 2015 . The convention was held July 18 -- 21 , 2016 .   Cleveland - area native Stipe Miocic defended his heavyweight championship at UFC 203 , which was held at The Q on September 10 , 2016 .   References ( edit )    Jump up ^ Federal Reserve Bank of Minneapolis Community Development Project . `` Consumer Price Index ( estimate ) 1800 -- '' . Federal Reserve Bank of Minneapolis . Retrieved January 2 , 2017 .   Jump up ^ `` Quicken Loans Arena ( formerly Gund Arena ) '' . Ellerbe Becket.com . Retrieved July 7 , 2010 .   Jump up ^ Project Management Consultants : Project Profiles - Ballparks , Stadium &amp; Arenas Archived November 4 , 2011 , at the Wayback Machine .   Jump up ^ PCI Journal - March / April 1994   Jump up ^ Quicken Loans Arena at emporis.com   ^ Jump up to : `` Cleveland Arena '' . Encyclopedia of Cleveland History . Case Western Reserve University . March 27 , 1998 . Retrieved December 15 , 2015 .   Jump up ^ Stoffel , Jennifer ( June 13 , 1990 ) . `` Real Estate ; New Sports Complex for Cleveland '' . The New York Times . Retrieved November 7 , 2010 .   Jump up ^ `` Central Market '' . The Encyclopedia of Cleveland History . Case Western Reserve University . March 25 , 1998 . Retrieved July 7 , 2010 .   Jump up ^ `` Quicken Loans Arena '' . Encyclopedia of Cleveland History . Case Western Reserve University . September 12 , 2008 . Retrieved December 15 , 2015 .   Jump up ^ `` Houston Rockets at Cleveland Cavaliers Box Score '' . Basketball-Reference.com . November 8 , 1994 . Retrieved October 5 , 2012 .   Jump up ^ Withers , Tom ( December 13 , 2016 ) . `` Cleveland Cavaliers announce plans for $140 M renovation of arena - NBA.com '' . NBA.com . Associated Press . Retrieved December 13 , 2016 . The Cavaliers announced plans Tuesday for a $140 million project to renovate Quicken Loans Arena , the downtown home of the NBA champions since 1994 .   ^ Jump up to : `` Quicken Loans Arena Fun Facts '' . Quicken Loans Arena. 2015 . Retrieved December 16 , 2015 .   Jump up ^ `` Sneak Peek At New Quicken Loans Arena HD Jumbotron '' ( Press release ) . Cleveland Cavaliers . September 25 , 2014 . Retrieved December 16 , 2015 .   Jump up ^ `` Cavaliers Announce Quicken Loans Arena Is Now Home to NBA 's Biggest Scoreboard '' ( Press release ) . Bleacher Report , Inc . October 27 , 2014 . Retrieved October 28 , 2014 .   Jump up ^ Jarboe , Michelle ( March 18 , 2016 ) . `` Cleveland Cavaliers ' plan for giant LED sign atop The Q gets planning commission 's OK '' . The Plain Dealer . Retrieved February 10 , 2017 .   Jump up ^ Allard , Sam ( May 18 , 2016 ) . `` The New `` Quicken Loans Arena '' LED Sign Debuted Last Night `` . Cleveland Scene . Retrieved February 10 , 2017 .   Jump up ^ `` Who We Are '' . Gateway Economic Development Corporation of Greater Cleveland . 2013 . Retrieved December 16 , 2015 .   Jump up ^ `` Acclaimed Chef Michael Symon Brings His Signature Menu to Quicken Loans Arena , in Partnership with Cleveland Cavaliers and ARAMARK '' ( Press release ) . NBA.com . October 2 , 2009 . Retrieved July 7 , 2010 .   Jump up ^ `` Cleveland Cavaliers have first sensory inclusive sporting arena . Here 's what that means and why it matters '' . SB Nation . Retrieved 1 April 2017 .   Jump up ^ `` Cavaliers debut The Quiet Space sensory room aimed at expanding accessibility inside The Q '' . Cleveland.com . Booth Newspapers . Retrieved 1 April 2017 .   Jump up ^ Warsinskey , Tim ( August 10 , 2014 ) . `` Cleveland Gladiators advance to ArenaBowl XXVII , defeat Orlando Predators , 56 - 46 '' . The Plain Dealer . Retrieved June 24 , 2016 .   Jump up ^ Boone , Faith ( August 22 , 2014 ) . `` MAP : Where to park for the Browns , Indians or Gladiators games this weekend '' . NewsNet5.com . Archived from the original on August 5 , 2016 . Retrieved June 23 , 2016 .   Jump up ^ `` Monsters bring Calder Cup back to Cleveland '' . theAHL.com . American Hockey League . June 11 , 2016 . Retrieved June 24 , 2016 .   Jump up ^ Allard , Sam ( December 17 , 2013 ) . `` Cleveland Crush Franchise Will Relocate to Toledo '' . CleveScene . Retrieved June 23 , 2016 .   Jump up ^ `` 2011 NCAA Division I Men 's Basketball Championship '' . Quicken Loans Arena . March 19 , 2010 . Retrieved July 7 , 2010 .   Jump up ^ Quicken Loans Arena Official Website . `` Quicken Loans Arena and Cleveland State University Announce Partnership to Grow the Sports and Entertainment Landscape in Downtown Cleveland '' . Retrieved 1 April 2016 .   Jump up ^ `` Jay - Z , LeBron James get out vote for Obama '' . MSNBC . October 30 , 2010 .   Jump up ^ Walshe , Shushannah &amp; Klein , Rick ( July 8 , 2014 ) . `` Republicans Choose Cleveland As 2016 Convention Site '' . ABC News . Retrieved July 27 , 2014 .    External links ( edit )       Wikimedia Commons has media related to Quicken Loans Arena .      Official website   Quicken Loans Arena Seating Chart      ( show ) Events and tenants     Preceded by Richfield Coliseum   Home of the Cleveland Cavaliers 1994 -- present   Succeeded by current     Preceded by Orleans Arena   Home of the Cleveland Gladiators 2008 -- present   Succeeded by current     Preceded by E Center   Home of the Cleveland Monsters 2007 -- present   Succeeded by current     Preceded by SeaGate Convention Centre   Host of the Mid-American Conference Men 's Basketball Tournament 2000 -- present   Succeeded by current     Preceded by Alamodome   Host of the NBA All - Star Game 1997   Succeeded by Madison Square Garden               Current arenas in the National Basketball Association     Eastern Conference      Atlantic     Air Canada Centre   Barclays Center   Madison Square Garden   TD Garden   Wells Fargo Center       Central     Bankers Life Fieldhouse   BMO Harris Bradley Center   Little Caesars Arena   Quicken Loans Arena   United Center       Southeast     American Airlines Arena   Amway Center   Capital One Arena   Philips Arena   Spectrum Center          Western Conference      Northwest     Chesapeake Energy Arena   Moda Center   Pepsi Center   Target Center   Vivint Smart Home Arena       Pacific     Golden 1 Center   Oracle Arena   Staples Center   Talking Stick Resort Arena       Southwest     American Airlines Center   AT&amp;T Center   FedExForum   Smoothie King Center   Toyota Center                    Current arenas in the American Hockey League     Eastern Conference      Atlantic     Dunkin ' Donuts Center   Giant Center   MassMutual Center   Mohegan Sun Arena at Casey Plaza   PPL Center   Webster Bank Arena   XL Center       North     Adirondack Bank Center   Blue Cross Arena   Floyd L. Maines Veterans Memorial Arena   Oncenter War Memorial Arena   Place Bell   Ricoh Coliseum   Yardmen Arena          Western Conference      Central     Allstate Arena   Bell MTS Place   BMO Harris Bank Center   Bojangles ' Coliseum   Quicken Loans Arena   UW -- Milwaukee Panther Arena   Van Andel Arena   Wells Fargo Arena       Pacific     AT&amp;T Center   Citizens Business Bank Arena   H-E-B Center   Rabobank Arena   SAP Center at San Jose   Stockton Arena   Valley View Casino Center   Tucson Convention Center                    Current arenas in the Arena Football League     Arenas     Amalie Arena   Capital One Arena   Quicken Loans Arena   Royal Farms Arena   Wells Fargo Center                 Cleveland Cavaliers       Founded in 1970   Based in Cleveland , Ohio       Franchise     History   1970 Expansion Draft   All - time roster   Draft history   Seasons   Head coaches   Current season       Arenas     Cleveland Arena   Richfield Coliseum   Quicken Loans Arena       Key personnel     Owner : Dan Gilbert   General manager : Koby Altman   Head coach : Tyronn Lue       Culture and lore     Big Three   `` Cleveland Rocks ''   Cleveland sports curse   Joe Tait   Ted Stepien rule   The Block   The Decision   The Miracle of Richfield   The Shot       Rivalries     Chicago Bulls   Golden State Warriors       Playoff appearances ( 21 )     1976   1977   1978   1985                   1998   2006   2007   2008   2009     2015   2016   2017       Central Division titles ( 6 )     1976   2009     2015   2016   2017       Eastern Conference titles ( 4 )     2007   2015   2016   2017       NBA Championships ( 1 )     2016       Retired numbers     7   11   22   25   34   42   43       Hall of Fame inductees     Wayne Embry   Nate Thurmond   Lenny Wilkens       G League affiliate     Canton Charge       Media     Broadcasters   Radio network   Flagships : WTAM   WMMS   Spanish : WLFM - LP     Television : Fox Sports Ohio                 Cleveland Monsters     Franchise     History   Utah Grizzlies     Seasons   Records   Players   All articles       Arenas     Quicken Loans Arena       Coaches     Joe Sacco   David Quinn   Dean Chynoweth   Jared Bednar   John Madden       Retired numbers       9   15       Rivalries     Grand Rapids Griffins       Affiliates     Columbus Blue Jackets ( NHL )       Championships     Calder Cup   2016   Western Conference   2016       Media     WMMS - HD2   Fox Sports Ohio   SportsTime Ohio                 Cleveland Gladiators       Formerly the New Jersey Red Dogs , the New Jersey Gladiators , and the Las Vegas Gladiators   Founded in 1997   Based in Cleveland , Ohio       Franchise     Franchise   Seasons   Players       Arenas     Continental Airlines Arena   Thomas &amp; Mack Center   Orleans Arena   Quicken Loans Arena       Head coaches     Hufnagel   Guy   Kuharich   Haege   James   Wilpolt   Thonn   Selesky       Playoff appearances ( 10 )     1997   1998   2002   2003   2008   2011   2014   2015   2016   2017       ArenaBowl appearances ( 1 )     XXVII       Division championships ( 3 )     2002   2011   2014       Hall of Fame members     Clint Dolezel   George LaFrance   Stevie Thomas       Current league affiliations     League : Arena Football League   Conference : National Conference       Media     WKRK - FM   Spectrum Sports ( Ohio )          Seasons ( 20 )     1990s     1997   1998   1999       2000s                             2010s       2011   2012   2013   2014   2015   2016   2017                    Venues of the Republican National Convention       Musical Fund Hall ( 1856 )   Wigwam ( 1860 )   Front Street Theater ( 1864 )   Crosby 's Opera House ( 1868 )   Academy of Music ( 1872 )   Exposition Hall ( Cincinnati ) ( 1876 )   Interstate Exposition Building ( 1880 )   Exposition Hall ( Chicago ) ( 1884 )   Auditorium ( 1888 )   Industrial Exposition Building ( 1892 )   St. Louis Exposition and Music Hall ( 1896 )   Convention Hall ( 1900 )   Chicago Coliseum ( 1904 )   Chicago Coliseum ( 1908 )   Chicago Coliseum ( 1912 )   Chicago Coliseum ( 1916 )   Chicago Coliseum ( 1920 )   Public Auditorium ( 1924 )   Convention Hall ( 1928 )   Chicago Stadium ( 1932 )   Public Auditorium ( 1936 )   Convention Hall ( 1940 )   Chicago Stadium ( 1944 )   Convention Hall ( 1948 )   International Amphitheatre ( 1952 )   Cow Palace ( 1956 )   International Amphitheatre ( 1960 )   Cow Palace ( 1964 )   Miami Beach Convention Center ( 1968 )   Miami Beach Convention Center ( 1972 )   Kemper Arena ( 1976 )   Joe Louis Arena ( 1980 )   Reunion Arena ( 1984 )   Louisiana Superdome ( 1988 )   Houston Astrodome ( 1992 )   San Diego Convention Center ( 1996 )   First Union Center ( 2000 )   Madison Square Garden ( 2004 )   Xcel Energy Center ( 2008 )   Tampa Bay Times Forum ( 2012 )   Quicken Loans Arena ( 2016 )                 Music venues of Ohio     Outdoor venues     Blossom Music Center   FirstEnergy Stadium   Glass Bowl   Great American Ball Park   Jacobs Pavilion   Mapfre Stadium   Ohio Stadium   PNC Pavilion   Paul Brown Stadium   Progressive Field   Riverbend Music Center   Rubber Bowl       Theaters and clubs     Bogart 's   Franklin County Veterans Memorial Auditorium   Stranahan Theater   Taft Theatre       Arenas     Battelle Hall   Beeghly Center   Canton Memorial Civic Center   Cincinnati Gardens   Cintas Center   Covelli Centre   Fifth Third Arena   Hara Arena   Huntington Center   James A. Rhodes Arena   Memorial Athletic and Convocation Center   Nationwide Arena   Nutter Center   Public Auditorium   Quicken Loans Arena   Savage Arena   SeaGate Convention Centre   U.S. Bank Arena   University of Dayton Arena   Value City Arena   Wolstein Center       Historic venues     Cleveland Stadium   Coliseum at Richfield   Germain Amphitheater   Time Warner Cable Amphitheater      Retrieved from `` https://en.wikipedia.org/w/index.php?title=Quicken_Loans_Arena&amp;oldid=815991043 '' Categories :   1994 establishments in Ohio   Arena football venues   Basketball venues in Ohio   Cleveland Barons ( 2001 -- 06 )   Cleveland Cavaliers venues   Cleveland Gladiators   Cleveland Monsters   Cleveland Rockers venues   College basketball venues in the United States   Event venues established in 1994   Indoor ice hockey venues in Ohio   Legends Football League venues   National Basketball Association venues   Sports venues in Cleveland   Music venues in Cleveland   Sports venues completed in 1994   Indoor arenas in Ohio   Rock Ventures   Downtown Cleveland   Hidden categories :   Webarchive template wayback links   All articles with dead external links   Articles with dead external links from July 2016   Articles with permanently dead external links   Pages using deprecated image syntax   Coordinates on Wikidata   All articles with unsourced statements   Articles with unsourced statements from August 2017           Talk                                           Contents                   About Wikipedia                                                 Aragonés   Català   Dansk   Deutsch   Ελληνικά   Español   Euskara   Français   Galego   </t>
    </r>
    <r>
      <rPr>
        <sz val="11"/>
        <color rgb="FF000000"/>
        <rFont val="Noto Sans CJK SC"/>
        <family val="2"/>
      </rPr>
      <t xml:space="preserve">한국어   </t>
    </r>
    <r>
      <rPr>
        <sz val="11"/>
        <color rgb="FF000000"/>
        <rFont val="Calibri"/>
        <family val="0"/>
        <charset val="1"/>
      </rPr>
      <t xml:space="preserve">Italiano   עברית   Nederlands   </t>
    </r>
    <r>
      <rPr>
        <sz val="11"/>
        <color rgb="FF000000"/>
        <rFont val="Noto Sans CJK SC"/>
        <family val="2"/>
      </rPr>
      <t xml:space="preserve">日本 語   </t>
    </r>
    <r>
      <rPr>
        <sz val="11"/>
        <color rgb="FF000000"/>
        <rFont val="Calibri"/>
        <family val="0"/>
        <charset val="1"/>
      </rPr>
      <t xml:space="preserve">Polski   Português   Русский   Svenska   Українська   </t>
    </r>
    <r>
      <rPr>
        <sz val="11"/>
        <color rgb="FF000000"/>
        <rFont val="Noto Sans CJK SC"/>
        <family val="2"/>
      </rPr>
      <t xml:space="preserve">中文   </t>
    </r>
    <r>
      <rPr>
        <sz val="11"/>
        <color rgb="FF000000"/>
        <rFont val="Calibri"/>
        <family val="0"/>
        <charset val="1"/>
      </rPr>
      <t xml:space="preserve">Edit links   This page was last edited on 18 December 2017 , at 14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</si>
  <si>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cavs play before the gund arena</t>
  </si>
  <si>
    <t xml:space="preserve"> The arena opened in October 1994 as part of the Gateway Sports and Entertainment Complex with adjacent Progressive Field , which opened in April of that year . It is named for the retail mortgage lender Quicken Loans , whose chairman and founder is Dan Gilbert , the majority owner of the Cavaliers , Monsters , and Gladiators . From its opening until August 2005 , it was known as Gund Arena , named for former Cavaliers owner Gordon Gund , after he paid for the naming rights . The Q replaced the Richfield Coliseum as the primary entertainment facility for the region and the home of the Cavaliers , and supplanted the Wolstein Center at Cleveland State University , which opened in 1990 , as the primary concert and athletic venue in downtown Cleveland . </t>
  </si>
  <si>
    <r>
      <rPr>
        <sz val="11"/>
        <color rgb="FF000000"/>
        <rFont val="Calibri"/>
        <family val="0"/>
        <charset val="1"/>
      </rPr>
      <t xml:space="preserve">Third Amendment to the United States Constitution - wikipedia  Third Amendment to the United States Constitution  Jump to : navigation , search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The Bill of Rights in the National Archives  The Third Amendment ( Amendment III ) to the United States Constitution places restrictions on the quartering of soldiers in private homes without the owner 's consent , forbidding the practice in peacetime . The amendment is a response to Quartering Acts passed by the British parliament during the buildup to the American Revolutionary War , which had allowed the British Army to lodge soldiers in private residences .   The Third Amendment was introduced in Congress in 1789 by James Madison as a part of the United States Bill of Rights , in response to Anti-Federalist objections to the new Constitution . Congress proposed the amendment to the states on September 28 , 1789 , and by December 15 , 1791 , the necessary three - quarters of the states had ratified it . Secretary of State Thomas Jefferson announced the adoption of the amendment on March 1 , 1792 .   The amendment is one of the least controversial of the Constitution and is rarely litigated , with the American Bar Association calling it the `` runt piglet '' of the U.S. Constitution . To date , it has never been the primary basis of a Supreme Court decision , though it was the basis of the Court of Appeals for the Second Circuit case Engblom v. Carey .     Contents  ( hide )   1 Text   2 Background   3 Adoption   3.1 Proposal and ratification     4 Judicial interpretation   5 See also   6 References   7 External links      Text ( edit )   The amendment as proposed by Congress in 1789 reads as follows :   No Soldier shall , in time of peace be quartered in any house , without the consent of the Owner , nor in time of war , but in a manner to be prescribed by law .  The hand - written copy of the proposed Bill of Rights , 1789 , cropped to just show the text that would later be ratified as the Third Amendment  Background ( edit )   In 1765 , the British parliament enacted the first of the Quartering Acts , requiring the American colonies to pay the costs of British soldiers serving in the colonies , and requiring that if the local barracks provided insufficient space , that the colonists lodge the troops in alehouses , inns , and livery stables . After the Boston Tea Party , the Quartering Act of 1774 was enacted . One of the Intolerable Acts that pushed the colonies toward revolution , it authorized British troops to be housed wherever necessary , including in private homes . The quartering of troops was cited as one of the colonists ' grievances in the United States Declaration of Independence .   Adoption ( edit )   After several years of comparatively weak government under the Articles of Confederation , a Constitutional Convention in Philadelphia proposed a new constitution on September 17 , 1787 , featuring a stronger chief executive and other changes . George Mason , a Constitutional Convention delegate and the drafter of Virginia 's Declaration of Rights , proposed that a bill of rights listing and guaranteeing civil liberties be included . Other delegates -- including future Bill of Rights drafter James Madison -- disagreed , arguing that existing state guarantees of civil liberties were sufficient and that any attempt to enumerate individual rights risked the implication that other , unnamed rights were unprotected . After a brief debate , Mason 's proposal was defeated by a unanimous vote of the state delegations .   For the constitution to be ratified , however , nine of the thirteen states were required to approve it in state conventions . Opposition to ratification ( `` Anti-Federalism '' ) was partly based on the Constitution 's lack of adequate guarantees for civil liberties . Supporters of the Constitution in states where popular sentiment was against ratification ( including Virginia , Massachusetts , and New York ) successfully proposed that their state conventions both ratify the Constitution and call for the addition of a bill of rights . Several state conventions specifically proposed a provision against the quartering of troops in private homes . At the 1788 Virginia Ratifying Convention , Patrick Henry stated , `` One of our first complaints , under the former government , was the quartering of troops among us . This was one of the principal reasons for dissolving the connection with Great Britain . Here we may have troops in time of peace . They may be billeted in any manner -- to tyrannize , oppress , and crush us . ''   Proposal and ratification ( edit )  James Madison , drafter of the Bill of Rights  In the 1st United States Congress , following the state legislatures ' request , James Madison proposed twenty constitutional amendments based on state bills of rights and English sources such as the Bill of Rights 1689 ; one of these was a prohibition against quartering troops in private homes . Several revisions to the future Third Amendment were proposed in Congress , which chiefly differed in the way in which peace and war were distinguished ( including the possibility of a situation , such as unrest , which was neither peace nor war ) , and whether the executive or the legislature would have the authority to authorize quartering . However , the amendment ultimately passed Congress almost unchanged and by unanimous vote . Congress reduced Madison 's proposed twenty amendments to twelve , and these were submitted to the states for ratification on September 25 , 1789 .   By the time the Bill of Rights was submitted to the states for ratification , opinions had shifted in both parties . Many Federalists , who had previously opposed a Bill of Rights , now supported the Bill as a means of silencing the Anti-Federalists ' most effective criticism . Many Anti-Federalists , in contrast , now opposed it , realizing that the Bill 's adoption would greatly lessen the chances of a second constitutional convention , which they desired . Anti-Federalists such as Richard Henry Lee also argued that the Bill left the most objectionable portions of the Constitution , such as the federal judiciary and direct taxation , intact .   On November 20 , 1789 , New Jersey ratified eleven of the twelve amendments , rejecting Article II , which regulated Congressional pay raises . On December 19 and 22 , respectively , Maryland and North Carolina ratified all twelve amendments . On January 19 , 25 , and 28 , 1790 , respectively , South Carolina , New Hampshire , and Delaware ratified the Bill , though New Hampshire rejected the amendment on Congressional pay raises , and Delaware rejected Article I , which regulated the size of the House . This brought the total of ratifying states to six of the required ten , but the process stalled in other states : Connecticut and Georgia found a Bill of Rights unnecessary and so refused to ratify , while Massachusetts ratified most of the amendments , but failed to send official notice to the Secretary of State that it had done so .   In February through June 1790 , New York , Pennsylvania , and Rhode Island ratified eleven of the amendments , though all three rejected the amendment on Congressional pay raises . Virginia initially postponed its debate , but after Vermont was admitted to the Union in 1791 , the total number of states needed for ratification rose to eleven . Vermont ratified on November 3 , 1791 , approving all twelve amendments , and Virginia finally followed on December 15 , 1791 . Secretary of State Thomas Jefferson announced the adoption of the ten successfully ratified amendments on March 1 , 1792 .   Judicial interpretation ( edit )  Justice William O. Douglas  The Third Amendment is among the least cited sections of the U.S. Constitution . In the words of Encyclopædia Britannica , `` as the history of the country progressed with little conflict on American soil , the amendment has had little occasion to be invoked . '' To date , no major Supreme Court decision has used the amendment as its primary basis .   The Third Amendment has been invoked in a few instances as helping establish an implicit right to privacy in the Constitution . Justice William O. Douglas used the amendment along with others in the Bill of Rights as a partial basis for the majority decision in Griswold v. Connecticut ( 1965 ) , which cited the Third Amendment as implying a belief that an individual 's home should be free from agents of the state .   In one of the seven opinions in Youngstown Sheet &amp; Tube Co. v. Sawyer ( 1952 ) , Justice Robert H. Jackson cited the Third Amendment as providing evidence of the Framers ' intent to constrain executive power even during wartime :   `` ( t ) hat military powers of the Commander in Chief were not to supersede representative government of internal affairs seems obvious from the Constitution and from elementary American history . Time out of mind , and even now in many parts of the world , a military commander can seize private housing to shelter his troops . Not so , however , in the United States , for the Third Amendment says ... ( E ) ven in war time , his seizure of needed military housing must be authorized by Congress . ''   One of the few times a federal court was asked to invalidate a law or action on Third Amendment grounds was in Engblom v. Carey ( 1982 ) . In 1979 , prison officials in New York organized a strike ; they were evicted from their prison facility residences , which were reassigned to members of the National Guard who had temporarily taken their place as prison guards . The United States Court of Appeals for the Second Circuit ruled : ( 1 ) that the term owner in the Third Amendment includes tenants ( paralleling similar cases regarding the Fourth Amendment , governing search and seizure ) , ( 2 ) National Guard troops count as soldiers for the purposes of the Third Amendment , and ( 3 ) that the Third Amendment is incorporated ( that is , that it applies to the states ) by virtue of the Fourteenth Amendment . The case was remanded to the district court , which dismissed the case on the grounds that state officials could not have been aware of this interpretation .   In the most recent Third Amendment decision handed down by a federal court , on February 2 , 2015 , the United States District Court for the District of Nevada held in Mitchell v. City of Henderson that the Third Amendment does not apply to intrusions by municipal police officers since they are not soldiers .   In an earlier case , United States v. Valenzuela ( 1951 ) , the defendant asked that a federal rent - control law be struck down because it was `` the incubator and hatchery of swarms of bureaucrats to be quartered as storm troopers upon the people in violation of Amendment III of the United States Constitution . '' The court declined his request . Later , in Jones v. United States Secretary of Defense ( 1972 ) , Army reservists unsuccessfully cited the Third Amendment as justification for refusing to march in a parade . Similar arguments in a variety of contexts have been denied in other cases .   See also ( edit )    Dragonnades   List of Amendments to the United States Constitution   Quartering Acts    References ( edit )    Notes     Jump up ^ All three states would later ratify the Bill of Rights for sesquicentennial celebrations in 1939 .     Citations     Jump up ^ `` How Did America 's Police Become a Military Force On the Streets ? '' . American Bar Association . 2013 . Retrieved March 21 , 2015 .   Jump up ^ `` The Third Amendment '' . Revolutionary War and Beyond . 7 September 2012 . Retrieved 26 February 2014 .   ^ Jump up to : Mahoney , Dennis J. ( 1986 ) . `` Third Amendment '' . Encyclopedia of the American Constitution . -- via HighBeam Research ( subscription required ) . Retrieved July 15 , 2013 .   ^ Jump up to : `` Third Amendment '' . U * X * L Encyclopedia of U.S. History . -- via HighBeam Research ( subscription required ) . January 1 , 2009 . Retrieved July 15 , 2013 .   Jump up ^ `` Bill of Rights ( 1791 ) '' . PBS . December 2006 .   Jump up ^ `` Parliament passes the Quartering Act '' . HISTORY.com .   ^ Jump up to : Alderman and Kennedy , pp. 107 - 108   Jump up ^ Beeman , pp. 341 -- 43   Jump up ^ Bell , pp. 135 -- 36   Jump up ^ `` Bill of Rights '' . National Archives . Archived from the original on April 4 , 2013 . Retrieved April 4 , 2013 .   Jump up ^ Wood , p. 71   ^ Jump up to : Levy , Leonard W. ( 1986 ) . `` Bill of Rights ( United States ) '' . Encyclopedia of the American Constitution . -- via HighBeam Research ( subscription required ) . Retrieved July 16 , 2013 .   ^ Jump up to : Labunski , p. 245   Jump up ^ Labunski , p. 255   Jump up ^ Bell , p. 140   Jump up ^ `` Third Amendment '' . Encyclopædia Britannica . Retrieved July 19 , 2013 .   ^ Jump up to : Amar , p. 62   Jump up ^ 381 U.S. 479 , 484 ( 1965 )   Jump up ^ Youngstown Sheet &amp; Tube Co. v. Sawyer , 343 U.S. 579 , 644 ( 1952 )   Jump up ^ 677 F. 2d 957 ( 2d . Cir. 1982 )   Jump up ^ Bell , p. 143   Jump up ^ Young , Stephen E. ( 2003 ) . The Posse Comitatus Act of 1878 : A Documentary History . Wm . S. Hein Publishing . p . CRS - 14 ( fn29 ) . ISBN 978 - 0 - 8377 - 3900 - 7 . Retrieved 25 July 2013 .   Jump up ^ Mitchell v. City of Henderson , No. 2 : 13 -- cv -- 01154 -- APG -- CWH , 2015 WL 427835 ( D. Nev . Feb. 2 , 2015 )   Jump up ^ 95 F. Supp. 363 ( S.D. Cal. 1951 )   Jump up ^ Bell , p. 142   Jump up ^ 346 F. Supp. 97 ( D. Minn . 1972 )   Jump up ^ Bell , pp. 141 -- 42     Bibliography     Alderman , Ellen and Caroline Kennedy ( 1991 ) . In Our Defense . Avon .   Amar , Akhil Reed ( 1998 ) . The Bill of Rights . Yale University Press .   Beeman , Richard ( 2009 ) . Plain , Honest Men : The Making of the American Constitution . Random House .   Bell , Tom W. ( 1993 ) `` The Third Amendment : Forgotten but Not Gone '' . William &amp; Mary Bill of Rights Journal 2.1 : pp. 117 -- 150 .   Labunski , Richard E. ( 2006 ) . James Madison and the struggle for the Bill of Rights . Oxford University Press .   Wood , Gordon S. ( 2009 ) . Empire of Liberty : A History of the Early Republic , 1789 -- 1815 . Oxford University Press .    External links ( edit )       Wikisource has original text related to this article : Third Amendment of the full text Constitution of the United States of America      National Constitution Center : Amendment III   CRS Annotated Constitution : Third Amendment      ( hide )         United States Constitution     Text ( via Wikisource )     Preamble and Articles I -- VII   Amendments 1 -- 10   Amendments 11 -- 27   Unsuccessful Proposed Amendments   Debates in State Conventions on the Adoption of the Constitution       Preamble and articles     Preamble     II   III   IV   V   VI   VII       Amendments      Ratified      Bill of Rights             5   6   7   8   9   10       Others     11   12   13   14   15   16   17   18   19   20   21   22   23   24   25   26   27          Pending     Congressional Apportionment   Titles of Nobility   Corwin Amendment   Child Labor       Repealed     Eighteenth Amendment       Unsuccessful     Equal Rights   District of Columbia Voting Rights         List of Amendments   Bill of Rights ( Amendments 1 -- 10 )   Reconstruction Amendments ( Amendments 13 -- 15 )         Amendment proposals in Congress   Convention to propose amendments   State ratifying conventions          Formation     History   Articles of Confederation   Mount Vernon Conference   Annapolis Convention   Philadelphia Convention   Virginia Plan   New Jersey Plan   Connecticut Compromise   Three - Fifths Compromise   Committee of Detail   Signing   Independence Hall   Syng inkstand     The Federalist Papers   Anti-Federalist Papers   Massachusetts Compromise   Virginia Ratifying Convention   Hillsborough Convention   Rhode Island ratification   Drafting and ratification timeline       Clauses     Appointments   Appropriations   Assistance of Counsel   Bill of credit   Case or Controversy   Citizenship   Commerce   Compact   Compulsory Process   Confrontation   Contract   Copyright and Patent   Double Jeopardy   Due Process   Equal Protection   Establishment   Exceptions   Excessive Bail   Ex post facto   Extradition   Free Exercise   Free Speech   Fugitive Slave   Full Faith and Credit   General Welfare   Guarantee   Impeachment   Import - Export   Ineligibility   Militia   Natural - born citizen   Necessary and Proper   New States   No Religious Test   Oath or Affirmation   Origination   Petition   Postal   Presentment   Privileges and Immunities   Privileges or Immunities   Recommendation   Self - Incrimination   Speech or Debate   Speedy Trial   State of the Union   Supremacy   Suspension   Take Care   Takings   Taxing and Spending   Territorial   Title of Nobility   Treaty   Trial by Jury   Vesting   Vicinage   War Powers   List of clauses       Interpretation     Concurrent powers   Congressional enforcement   Constitutional law   Criminal procedure   Criminal sentencing   Dormant Commerce Clause   Enumerated powers   Equal footing   Executive privilege   Incorporation of the Bill of Rights   Judicial review   Nondelegation doctrine   Preemption   Saxbe fix   Separation of church and state   Separation of powers   Taxation power   Unitary executive theory       Display and legacy     National Archives   Charters of Freedom Rotunda     Independence Mall   Constitution Day   Constitution Gardens   National Constitution Center   Scene at the Signing of the Constitution ( painting )   A More Perfect Union ( film )   Worldwide influence       US Government Portal Law Portal Wikipedia book             VIAF : 178725466   LCCN : n97009284      Retrieved from `` https://en.wikipedia.org/w/index.php?title=Third_Amendment_to_the_United_States_Constitution&amp;oldid=800952635 '' Categories :   1790 in American law   1791 in American politics   Amendments to the United States Constitution   Hidden categories :   Subscription required using via   Pages containing links to subscription - only content   Good articles   Wikipedia articles with VIAF identifiers   Wikipedia articles with LCCN identifiers           Talk                                           Contents                   About Wikipedia                                           Ænglisc   Беларуская   Català   Deutsch   Español   فارسی   Français   </t>
    </r>
    <r>
      <rPr>
        <sz val="11"/>
        <color rgb="FF000000"/>
        <rFont val="Noto Sans CJK SC"/>
        <family val="2"/>
      </rPr>
      <t xml:space="preserve">한국어   </t>
    </r>
    <r>
      <rPr>
        <sz val="11"/>
        <color rgb="FF000000"/>
        <rFont val="Calibri"/>
        <family val="0"/>
        <charset val="1"/>
      </rPr>
      <t xml:space="preserve">Íslenska   Italiano   עברית   Nederlands   Polski   Português   Русский   Simple English   Suomi   Українська   </t>
    </r>
    <r>
      <rPr>
        <sz val="11"/>
        <color rgb="FF000000"/>
        <rFont val="Noto Sans CJK SC"/>
        <family val="2"/>
      </rPr>
      <t xml:space="preserve">中文   </t>
    </r>
    <r>
      <rPr>
        <sz val="11"/>
        <color rgb="FF000000"/>
        <rFont val="Calibri"/>
        <family val="0"/>
        <charset val="1"/>
      </rPr>
      <t xml:space="preserve">Edit links   This page was last edited on 16 September 2017 , at 19 : 08 .         About Wikipedia                  </t>
    </r>
  </si>
  <si>
    <t xml:space="preserve">the 3rd amendment prohibition on forced boarding of soldiers</t>
  </si>
  <si>
    <t xml:space="preserve"> The Third Amendment ( Amendment III ) to the United States Constitution places restrictions on the quartering of soldiers in private homes without the owner 's consent , forbidding the practice in peacetime . The amendment is a response to Quartering Acts passed by the British parliament during the buildup to the American Revolutionary War , which had allowed the British Army to lodge soldiers in private residences . </t>
  </si>
  <si>
    <t xml:space="preserve">Nuclear arms race - wikipedia  Nuclear arms race  Jump to : navigation , search United States and Soviet Union / Russia nuke stockpiles    Nuclear weapons         Background       History   Warfare   Design   Testing   Delivery   Yield     Effects and estimated megadeaths of explosions     Winter   Workers   Ethics     Arsenals   Arms race   Espionage   Proliferation   Disarmament   Terrorism   Opposition       Nuclear - armed states       NPT recognized United States   Russia   United Kingdom   France   China     Others India   Israel ( undeclared )   Pakistan   North Korea     Former South Africa   Belarus   Kazakhstan   Ukraine                   The nuclear arms race was a competition for supremacy in nuclear warfare between the United States , the Soviet Union , and their respective allies during the Cold War . During this period , in addition to the American and Soviet nuclear stockpiles , other countries developed nuclear weapons , though none engaged in warhead production on nearly the same scale as the two superpowers .     Contents  ( hide )   1 World War II   2 Early Cold War   2.1 Warhead Development   2.2 Arms Race   2.3 Delivery Vehicles   2.4 Mutual Assured Destruction ( MAD )     3 Initial nuclear proliferation   4 Cuban Missile Crisis   5 Détente   5.1 Treaties     6 Reagan and the Strategic Defense Initiative   7 The end of the Cold War   8 Post -- Cold War   9 India and Pakistan   10 Defense against nuclear attacks   11 See also   12 References   13 Further reading   14 External links      World War II ( edit )   The first nuclear weapon was created by the U.S. during the Second World War and was developed to be used against the Axis powers . Scientists of the Soviet Union were aware of the potential of nuclear weapons and had also been conducting research on the field .   The Soviet Union was not informed officially of the Manhattan Project until Stalin was briefed at the Potsdam Conference on July 24 , 1945 , by U.S. President Harry S. Truman , eight days after the first successful test of a nuclear weapon . Despite their wartime military alliance , the United States and Britain had not trusted the Soviets enough to keep knowledge of the Manhattan Project safe from German spies : there were also concerns that , as an ally , the Soviet Union would request and expect to receive technical details of the new weapon .   When President Truman informed Stalin of the weapons , he was surprised at how calmly Stalin reacted to the news and thought that Stalin had not understood what he had been told . Other members of the United States and British delegations who closely observed the exchange formed the same conclusion .   In fact Stalin had long been aware of the program , despite the Manhattan Project having a secret classification so high that , even as Vice President , Truman did not know about it or the development of the weapons ( Truman was not informed until shortly after he became president ) . A ring of spies operating within the Manhattan Project , ( including Klaus Fuchs and Theodore Hall ) had kept Stalin well informed of American progress . They provided the Soviets with detailed designs of the implosion bomb and the hydrogen bomb . Fuchs ' arrest in 1950 led to the arrests of many other Russian spies , including Harry Gold , David Greenglass , and Ethel and Julius Rosenberg .   In August 1945 , on Truman 's orders , two atomic bombs were dropped on Japanese cities . The first bomb was dropped on Hiroshima , and the second bomb was dropped on Nagasaki by the B - 29 bombers named Enola Gay and Bockscar respectively .   Shortly after the end of the Second World War in 1945 , the United Nations was founded . During the United Nation 's first General Assembly in London in January 1946 , they discussed the future of Nuclear Weapons and created the United Nations Atomic Energy Commission . The goal of this assembly was to eliminate the use of all Nuclear weapons . The United States presented their solution , which was called the Baruch Plan . This plan proposed that there should be an international authority that controls all dangerous atomic activities . The Soviet Union disagreed with this proposal and rejected it . The Soviets ' proposal involved universal nuclear disarmament . Both the American and Soviet proposals were refused by the UN .   Early Cold War ( edit )  Main articles : massive retaliation , Cold War ( 1947 -- 53 ) , and Cold War ( 1953 -- 62 )  Warhead development ( edit )   In the years immediately after the Second World War , the United States had a monopoly on specific knowledge of and raw materials for nuclear weaponry . American leaders hoped that their exclusive ownership of nuclear weapons would be enough to draw concessions from the Soviet Union but this proved ineffective .   Just six months after the UN General Assembly , the United States conducted its first post-war nuclear tests . This was called Operation Crossroads . The purpose of this operation was to test the effectiveness of nuclear explosions on ships . These tests were performed at Bikini Atoll in the Pacific on 95 ships , including German and Japanese ships that were captured during World War II . One plutonium implosion - type bomb was detonated over the fleet , while the other one was detonated underwater .   Behind the scenes , the Soviet government was working on building its own atomic weapons . During the war , Soviet efforts had been limited by a lack of uranium but new supplies in Eastern Europe were found and provided a steady supply while the Soviets developed a domestic source . While American experts had predicted that the Soviet Union would not have nuclear weapons until the mid-1950s , the first Soviet bomb was detonated on August 29 , 1949 , shocking the entire world . The bomb , named `` First Lightning '' by the West , was more or less a copy of `` Fat Man '' , one of the bombs the United States had dropped on Japan in 1945 .   Both governments spent massive amounts to increase the quality and quantity of their nuclear arsenals . Both nations quickly began the development of a hydrogen bomb and the United States detonated the first hydrogen bomb on November 1 , 1952 , on Enewetak , an atoll in the Pacific Ocean . Code - named `` Ivy Mike '' , the project was led by Edward Teller , a Hungarian - American nuclear physicist . It created a cloud 100 miles wide and 25 miles high , killing all life on the surrounding islands . Again , the Soviets surprised the world by exploding a deployable thermonuclear device in August 1953 although it was not a true multi-stage hydrogen bomb . However , it was small enough to be dropped from an airplane , making it ready for use . The development of these two Soviet bombs was greatly aided by the Russian spies Harry Gold and Klaus Fuchs .   On March 1 , 1954 , the U.S. conducted the Castle Bravo test , which tested another hydrogen bomb on Bikini Atoll . Scientists significantly underestimated the size of the bomb , thinking it would yield 5 megatons . However , it yielded 14.8 megatons , which is the largest nuclear explosion tested by the U.S. The explosion was so large the nuclear fallout exposed residents up to 300 miles away to significant amounts of radiation . They were eventually evacuated , but most of them experienced radiation poisoning and resulted in one death from a crew member of a fishing boat 90 miles from the explosion .   The Soviet Union detonated its first `` true '' hydrogen bomb on November 22 , 1955 , which had a yield of 1.6 megatons . On October 30 , 1961 , the Soviets detonated a hydrogen bomb with a yield of approximately 58 megatons .   Arms race ( edit )   With both sides in the `` cold war '' having nuclear capability , an arms race developed , with the Soviet union attempting first to catch up and then to surpass the Americans .   Delivery vehicles ( edit )   Strategic bombers were the primary delivery method at the beginning of the Cold War .   Missiles had long been regarded the ideal platform for nuclear weapons , and were potentially a more effective delivery system than bombers . Starting in the 1950s , medium - range ballistic missiles and intermediate - range ballistic missiles ( `` IRBM '' s ) were developed for delivery of tactical nuclear weapons , and the technology developed to the progressively longer ranges , eventually becoming intercontinental ballistic missiles ( ICBMs ) . On October 4 , 1957 , the Soviet Union showed the world that they had missiles able to reach any part of the world when they launched the Sputnik satellite into Earth orbit . The United States launched its first satellite Explorer 1 on January 31 , 1958 .   Meanwhile , submarine - launched ballistic missiles were also developed . By the 1960s , the `` triad '' of nuclear weapon delivery was established , with each side deploying bombers , ICBMs , and SLBMs , in order to insure that even if a defense was found against one delivery method , the other methods would still be available .   Some in the United States during the early 1960s pointed out that although all of the individual components of nuclear missiles had been tested separately ( warheads , navigation systems , rockets ) , it was infeasible to test them all combined . Critics charged that it was not really known how a warhead would react to the gravity forces and temperature differences encountered in the upper atmosphere and outer space , and Kennedy was unwilling to run a test of an ICBM with a live warhead . The closest thing to an actual test was 1962 's Operation Frigate Bird , in which the submarine USS Ethan Allen ( SSBN - 608 ) launched a Polaris A2 missile over 1,000 miles to the nuclear test site at Christmas Island . It was challenged by , among others , Curtis LeMay , who put missile accuracy into doubt to encourage the development of new bombers . Other critics pointed out that it was a single test which could be an anomaly ; that it was a lower - altitude SLBM and therefore was subject to different conditions than an ICBM ; and that significant modifications had been made to its warhead before testing .   Intercontinental Ballistic Missiles ( ICBMs ) , warheads and throw - weights of United States and Soviet Union , 1964 -- 1982   Year   Launchers   Warheads   Megatonnage     United States   Soviet Union   United States   Soviet Union   United States   Soviet Union     1964   2,416   375   6,800   500   7,500   1,000     1966   2,396   435   5,000   550   5,600   1,200     1968   2,360   1,045   4,500   850   5,100   2,300     1970   2,230   1,680   3,900   1,800   4,300   3,100     1972   2,230   2,090   5,800   2,100   4,100   4,000       2,180   2,380   8,400   2,400   3,800   4,200     1976   2,100   2,390   9,400   3,200   3,700   4,500     1978   2,058   2,350   9,800   5,200   3,800   5,400     1980   2,042   2,490   10,000   7,200   4,000   6,200     1982   2,032   2,490   11,000   10,000   4,100   8,200     Mutual assured destruction ( mad ) ( edit )  Main article : Mutual assured destruction  By the 1950s both the United States and Soviet Union had enough nuclear power to obliterate the other side . Both sides developed a capability to launch a devastating attack even after sustaining a full assault from the other side ( especially by means of submarines ) , called a second strike . This policy became known as Mutual Assured Destruction : both sides knew that any attack upon the other would be devastating to themselves , thus in theory restraining them from attacking the other .   Both Soviet and American experts hoped to use nuclear weapons for extracting concessions from the other , or from other powers such as China , but the risk connected with using these weapons was so grave that they refrained from what John Foster Dulles referred to as brinkmanship . While some , like General Douglas MacArthur , argued nuclear weapons should be used during the Korean War , both Truman and Eisenhower opposed the idea .   Both sides were unaware of the details of the capacity of the enemy 's arsenal of nuclear weapons . The Americans suffered from a lack of confidence , and in the 1950s they believed in a non-existing bomber gap . Aerial photography later revealed that the Soviets had been playing a sort of Potemkin village game with their bombers in their military parades , flying them in large circles , making it appear they had far more than they truly did . The 1960 American presidential election saw accusations of a wholly spurious missile gap between the Soviets and the Americans . On the other side , the Soviet government exaggerated the power of Soviet weapons to the leadership and Nikita Khrushchev .   Initial nuclear proliferation ( edit )  Main article : Nuclear proliferation  In addition to the United States and the Soviet Union , three other nations , the United Kingdom , People 's Republic of China , and France developed nuclear weapons during the early cold war years .   In 1952 , the United Kingdom became the third nation to possess nuclear weapons when it detonated an atomic bomb in Operation Hurricane on October 3 , 1952 , which had a yield of 25 kilotons . Despite major contributions to the Manhattan Project by both Canadian and British governments , the U.S. Congress passed the Atomic Energy Act of 1946 , which prohibited multi-national cooperation on nuclear projects . The McMahon Act fueled resentment from British scientists and Winston Churchill , as they believed that there were agreements regarding post-war sharing of nuclear technology , and led to Britain developing its own nuclear weapons . Britain did not begin planning the development of their own nuclear weapon until January 1947 . Because of Britain 's small size , they decided to test their bomb on the Monte Bello Islands , off the coast of Australia . Following this successful test , under the leadership of Churchill , Britain decided to develop and test a hydrogen bomb . The first successful hydrogen bomb test occurred on November 8 , 1957 , which had a yield of 1.8 megatons . An amendment to the Atomic Energy Act in 1958 allowed nuclear cooperation once again , and British - U.S. nuclear programs resumed . During the Cold War , British nuclear deterrence came from submarines and nuclear - armed aircraft . The Resolution class ballistic missile submarines armed with the American - built Polaris missile provided the sea deterrent , while aircraft such as the Avro Vulcan , SEPECAT Jaguar , Panavia Tornado and several other Royal Air Force strike aircraft carrying WE. 177 gravity bomb provided the air deterrent .   France became the fourth nation to possess nuclear weapons on February 13 , 1960 , when the atomic bomb `` Gerboise Bleue '' was detonated in Algeria , then still a French colony ( Formally a part of the Metropolitan France . ) France began making plans for a nuclear - weapons program shortly after the Second World War , but the program did not actually begin until the late 1950s . Eight years later , France conducted its first thermonuclear test above Fangatuafa Atoll . It had a yield of 2.6 megatons . This bomb significantly contaminated the atoll with radiation for six years , making it off - limits to humans . During the Cold War , the French nuclear deterrent was centered around the Force de frappe , a nuclear triad consisting of Dassault Mirage IV bombers carrying such nuclear weapons as the AN - 22 gravity bomb and the ASMP stand - off attack missile , Pluton and Hades ballistic missiles , and the Redoutable class submarine armed with strategic nuclear missiles .   The People 's Republic of China became the fifth nuclear power on October 16 , 1964 when it detonated a 25 kiloton uranium - 235 bomb in a test codenamed 596 at Lop Nur . In the late 1950s , China began developing nuclear weapons with substantial Soviet assistance in exchange for uranium ore . However , the Sino - Soviet ideological split in the late 1950s developed problems between China and the Soviet Union . This caused the Soviets to cease helping China develop nuclear weapons . However , China continued developing nuclear weapons without Soviet support and made remarkable progress in the 1960s . Due to Soviet / Chinese tensions , the Chinese might have used nuclear weapons against either the United States or the Soviet Union in the event of a nuclear war between the United States and the Soviet Union . During the Cold War , the Chinese nuclear deterrent consisted of gravity bombs carried aboard H - 6 bomber aircraft , missile systems such as the DF - 2 , DF - 3 , and DF - 4 , and in the later stages of the Cold War , the Type 092 ballistic missile submarine . On June 14 , 1967 , China detonated its first hydrogen bomb .   Cuban missile Crisis ( edit )  Main article : Cuban Missile Crisis  On January 1 , 1959 , the Cuban government fell to communist revolutionaries , propelling Fidel Castro into power . The Soviet Union supported and praised Castro and his resistance , and the new government was recognized by the Soviet government on January 10 . When the United States began boycotting Cuban sugar , the Soviet Union began purchasing large quantities to support the Cuban economy in return for fuel and eventually placing nuclear ballistic missiles on Cuban soil . These missiles would be capable of reaching the United States very quickly . On October 14 , 1962 , an American spy plane discovered these nuclear missile sites under construction in Cuba .   President Kennedy immediately called a series of meetings for a small group of senior officials to debate the crisis . The group was split between a militaristic solution and a diplomatic one . President Kennedy ordered a naval blockage around Cuba and all military forces to DEFCON 3 . As tensions increased , Kennedy eventually ordered U.S. military forces to DEFCON 2 . This was the closest the world has been to a nuclear war . While the U.S. military had been ordered to DEFCON 2 , reaching a nuclear war was still a ways off . The theory of mutually assured destruction seems to put the entry into nuclear war an unlikely possibility . While the public perceived the Cuban Missile Crisis as a time of near mass destruction , the leaders of the United States and the Soviet Union were working behind the sight of the public eye in order to come to a peaceful conclusion . Premier Khrushchev writes to President Kennedy in a telegram on October 26 , 1962 saying that , `` Consequently , if there is no intention to tighten that knot and thereby to doom the world to the catastrophe of thermonuclear war , then let us not only relax the forces pulling on the ends of the rope , let us take measures to untie that knot . '' It is apparently clear that both men wanted to avoid nuclear war due to mutually assured destruction which leads to the question of just how close the world was from experiencing a nuclear war .   Eventually , on October 28 , through much discussion between U.S and Soviet officials , Khrushchev announced that the Soviet Union would withdraw all missiles from Cuba . Shortly after , the U.S. withdrew all their nuclear missiles from Turkey in secret , which had threatened the Soviets . The U.S. 's withdrawal of their Jupiter Missiles from Turkey was kept private for decades after , causing the negotiations between the two nations to appear to the world as a major U.S. victory . This ultimately led to the downfall of Premier Khrushchev .   Détente ( edit )  Main article : Détente  By the 1970s , with the cold war entering its 30th year with no direct conflict between the superpowers , the United States and the Soviet Union entered a period of reduced conflict , in which the two powers engaged in trade and exchanges with each other . This period known as détente . This period included negotiation of a number of arms control agreements , building with the Nuclear Test Ban Treaty in the 1950s , but with significant new treaties negotiated in the 1970s . These treaties were only partially successful . Although both states continued to hold massive numbers of nuclear weapons and research more effective technology , the growth in number of warheads was first limited , and later , with the START I , reversed .   Treaties ( edit )   In 1958 , both the U.S. and Soviet Union agreed to informally suspend nuclear testing . However , this agreement was ended when the Soviets resumed testing in 1961 , followed by a series of nuclear tests conducted by the U.S. These events led to much political fallout , as well as the Cuban Missile Crisis in 1962 . Something had to be done to ease the great tensions between these two countries , so on October 10 , 1963 , the Limited Test Ban Treaty ( LTBT ) was signed . This was an agreement between the U.S. , the Soviet Union , and the U.K. , which significantly restricted nuclear testing . All atmospheric , underwater , and outer space nuclear testing were agreed to be halted , but testing was still allowed underground . An additional 113 countries have signed this treaty since 1963 .   SALT I and SALT II limited the size of the states ' arsenals . Bans on nuclear testing , anti-ballistic missile systems , and weapons in space all attempted to limit the expansion of the arms race through the Partial Test Ban Treaty .   In November , 1969 , Strategic Arms Limitation Talks ( SALT ) begun . This was primarily due to the economic impact that nuclear testing and production had on both U.S. and Soviet economies . The SALT I Treaty , which was signed in May , 1972 , produced an agreement on two significant documents . These were the Anti-Ballistic Missile Treaty ( ABM Treaty ) and the Interim Agreement on the Limitation of Strategic Offensive Arms . The ABM treaty limited each country to two ABM sites , while the Interim Agreement froze each country 's number of intercontinental ballistic missiles ( ICBMs ) and submarine - launched ballistic missiles ( SLBMs ) at current levels for five years . This treaty significantly reduced nuclear - related costs as well as the risk of nuclear war . However , SALT I failed to address how many nuclear warheads could be placed on one missile . A new technology , known as multiple - independently targetable re-entry vehicle ( MIRV ) , allowed single missiles to hold and launch multiple nuclear missiles at targets while in mid-air . Over the next 10 years , the Soviet Union and U.S added 12,000 nuclear warheads to their already built arsenals .   Throughout the 1970s , both the Soviet Union and United States replaced old missiles and warheads with newer , more powerful and effective ones . This continued to worsen Soviet - U.S relations . On June 18 , 1979 , the SALT II treaty was signed in Vienna . This treaty limited both sides ' nuclear arsenals and technology . However , this treaty as well as the era of the détente ended with the Soviet Union 's invasion of Afghanistan in January , 1980 . The United States once again significantly increased military and nuclear spending , while the Soviets were unable to respond and continued to pursue the détente .   In 1991 , the START ( Strategic Arms Reduction Treaty ) was negotiated between the U.S. and the Soviet Union , to reduce the number and limit the capabilities of limitation of strategic offensive arms . This was eventually succeeded by the START II , START III , and New START treaties .   Reagan and the Strategic defense Initiative ( edit )  Main article : Strategic Defense Initiative  Despite détente , both sides continued to develop and introduce more accurate weapons and weapons with more warheads ( `` MIRVs '' ) . The presidency of Ronald Reagan proposed a missile defense programmed tagged the Strategic Defense Initiative , a space based anti-ballistic missile system derided as `` Star Wars '' by its critics ; simultaneously , missile defense was also being researched in the Soviet Union . However , the SDI would require technology that had not yet been developed , or even researched . This system proposed both space - and earth - based laser battle stations . It would also need sensors on the ground , in the air , and in space with radar , optical , and infrared technology to detect incoming missiles . Simultaneously , however , Reagan initiated negotiations with Mikhail Gorbachev ultimately resulting in the Strategic Arms Reduction Treaty on reducing nuclear stockpiles .   Due to high costs and complex technology for its time , the scope of the SDI project was reduced from defense against a massive attack to a system for defending against limited attacks , transitioning into the Ballistic Missile Defense Organization .   The end of the Cold War ( edit )  Main article : Cold War ( 1985 -- 1991 )  During the mid-1980s , the U.S - Soviet relations significantly improved , Mikhail Gorbachev assumed control of the Soviet Union after the deaths of several former Soviet leaders , and announced a new era of perestroika and glasnost , meaning restructuring and openness respectively . Gorbachev proposed a 50 % reduction of nuclear weapons for both the U.S and Soviet Union at the meeting in Reykjavik , Iceland in October 1986 . However , the proposal was refused due to disagreements over Reagan 's SDI . Instead , the Intermediate Nuclear Forces ( INF ) Treaty was signed on December 8 , 1987 in Washington , which eliminated an entire class of nuclear weapons .   Due to the dramatic economic and social changes occurring within the Soviet Union , many of its constituent republics began to declare their independence . With the wave of revolutions sweeping across Eastern - Europe , the Soviet Union was unable to impose its will on its satellite states and so its sphere of influence slowly diminished . By December 16 , 1991 , all of the republics had declared independence from the Union . The Soviet leader , Mikhail Gorbachev resigned as the country 's President on December 25 and the Soviet Union was declared non-existent the following day .   Post -- Cold War ( edit )       The examples and perspective in this article may not include all significant viewpoints . Please improve the article or discuss the issue . ( December 2016 ) ( Learn how and when to remove this template message )    Main article : Effects of the Cold War  With the end of the Cold War , the United States and Russia cut down on nuclear weapons spending . Fewer new systems were developed and both arsenals were reduced ; although both countries maintain significant stocks of nuclear missiles . In the United States , stockpile stewardship programs have taken over the role of maintaining the aging arsenal .   After the Cold War ended , large inventories of nuclear weapons and facilities remained . Some are being recycled , dismantled , or recovered as valuable substances . As a result , a large amount of resources and money which was once spent on developing nuclear weapons in Soviet Union was then spent on repairing the environmental damage produced by the nuclear arms race , and almost all former production sites are now major cleanup sites . In the United States , the plutonium production facility at Hanford , Washington and the plutonium pit fabrication facility at Rocky Flats , Colorado are among the most polluted sites .   Military policies and strategies have been modified to reflect the increasing intervals without major confrontation . In 1995 , United States policy and strategy regarding nuclear proliferation was outlined in the document `` Essentials of Post -- Cold War Deterrence '' , produced by the Policy Subcommittee of the Strategic Advisory Group ( SAG ) of the United States Strategic Command .   On April 8 , 2010 , former U.S. President Barack Obama and Russian President Dmitry Medvedev signed the New START Treaty , which called for a fifty percent reduction of strategic nuclear missile launchers and a curtailment of deployed nuclear warheads . The U.S. Senate ratified the treaty in December 2010 by a three - quarter majority .   On December 22 , 2016 , U.S. President Donald Trump proclaimed in a tweet that `` the United States must greatly strengthen and expand its nuclear capability until such time as the world comes to its senses regarding nukes , '' effectively challenging the world to re-engage in a race for nuclear dominance . The next day , Trump reiterated his position to Morning Joe host Mika Brzezinski of MSNBC , stating : `` Let it be an arms race . We will outmatch them at every pass and outlast them all . ''   India and Pakistan ( edit )  Further information : India and weapons of mass destruction and Pakistan and weapons of mass destruction  In South Asia , India and Pakistan have also engaged in a technological nuclear arms race since the 1970s . The nuclear competition started in 1974 with India detonating the device , codename Smiling Buddha , at the Pokhran region of the Rajasthan state . The Indian government termed this test as a `` peaceful nuclear explosion '' , but according to independent sources , it was actually part of an accelerated covert nuclear program of India .   This test generated great concern and doubts in Pakistan , with fear it would be at the mercy of its long -- time arch rival . Pakistan had its own covert atomic bomb projects in 1972 which extended over many years since the first Indian weapon was detonated . After the 1974 test , Pakistan 's atomic bomb program picked up a great speed and accelerated its atomic project to successfully build its own atomic weapons program . In the last few decades of the 20th century , India and Pakistan began to develop nuclear - capable rockets and nuclear military technologies . Finally , in 1998 India , under Atal Bihari Vajpayee government , test detonated 5 more nuclear weapons . While the international response to the detonation was muted , domestic pressure within Pakistan began to build steam and Prime Minister Nawaz Sharif ordered the test , detonated 6 nuclear war weapons ( Chagai - I and Chagai - II ) in a tit - for - tat fashion and to act as a deterrent .   Defense against nuclear attacks ( edit )  Main article : Missile defense  From the beginning of the Cold War , The United States , Russia , and other nations have all attempted to develop Anti-ballistic missiles . The United States developed the LIM - 49 Nike Zeus in the 1950s in order to destroy incoming ICBMs .   Russia has , too , developed ABM missiles in the form of the A-35 anti-ballistic missile system and the later A-135 anti-ballistic missile system . Chinese state media has also announced to have tested anti-ballistic missiles , though specific information is not public .   India has successfully developed its Ballistic Missile Shield in the programme Indian Ballistic Missile Defence Programme with the test fire of Prithvi Air Defense ( PAD ) and it has also developed a cruise missile defense Akash Air Defense ( AAD ) to intercept low flying missiles making India one of the five countries with Missile Shield .   See also ( edit )    Nuclear warfare   Essentials of Post -- Cold War Deterrence   Deterrence theory   Nuclear disarmament   Historical nuclear weapons stockpiles and nuclear tests by country   Space race   Brinkmanship   Brinkmanship ( Cold War )    References ( edit )    Jump up ^ `` Key Issues : Nuclear Weapons : History : Pre Cold War : Manhattan Project '' . nuclearfiles.org .   Jump up ^ `` The Soviet Nuclear Weapons Program '' . nuclearweaponarchive.org .   Jump up ^ The Potsdam Conference between allied forces Archived 2007 - 10 - 24 at the Wayback Machine .   Jump up ^ `` Atomic Bomb : Decision - Truman Tells Stalin , July 24 , 1945 '' . dannen.com .   Jump up ^ `` Atomic Bomb : Decision - Truman Tells Stalin , July 24 , 1945 '' . dannen.com .   ^ Jump up to : Potsdam Note ( Animation ) Archived 2007 - 11 - 16 at the Wayback Machine .   Jump up ^ Klaus Fuchs : Atom Bomb Spy   Jump up ^ Mike Fisk , Chief Information Officer , Los Alamos National Laboratory , Operated Los Alamos National Security , LLC , for the U.S. Department of Energy . `` Our History '' . lanl.gov . CS1 maint : Multiple names : authors list ( link )   Jump up ^ `` Atomic Espionage '' .   Jump up ^ `` The Beginnings of the Cold War '' . Retrieved 24 November 2012 .   Jump up ^ `` Operation Crossroads '' . Retrieved 24 November 2012 .   Jump up ^ `` The Mike Test '' . Retrieved 24 November 2012 .   Jump up ^ `` The Soviet Atomic Bomb '' . Retrieved 24 November 2012 .   Jump up ^ `` The Bravo Test '' .   Jump up ^ `` The Soviet Response '' .   Jump up ^ `` More accurate than the `` race '' metaphor is the observation that if it was a contest at all , the Americans walked while the Soviets trotted . There was no race - but to the extent that there was an arms competition ,</t>
  </si>
  <si>
    <t xml:space="preserve">who won the arms race in the cold war</t>
  </si>
  <si>
    <t xml:space="preserve"> Throughout the 1970s , both the Soviet Union and United States replaced old missiles and warheads with newer , more powerful and effective ones . This continued to worsen Soviet - U.S relations . On June 18 , 1979 , the SALT II treaty was signed in Vienna . This treaty limited both sides ' nuclear arsenals and technology . However , this treaty as well as the era of the détente ended with the Soviet Union 's invasion of Afghanistan in January , 1980 . The United States once again significantly increased military and nuclear spending , while the Soviets were unable to respond and continued to pursue the détente . </t>
  </si>
  <si>
    <t xml:space="preserve">Aroldis Chapman - wikipedia  Aroldis Chapman    This name uses Spanish naming customs : the first or paternal family name is Chapman and the second or maternal family name is de la Cruz .    Aroldis Chapman     Chapman pitching for the New York Yankees in 2016     New York Yankees -- No. 54     Relief pitcher     Born : ( 1988 - 02 - 28 ) February 28 , 1988 ( age 30 ) Holguín Province , Cuba        Bats : Left   Throws : Left        MLB debut     August 31 , 2010 , for the Cincinnati Reds     MLB statistics ( through August 14 , 2018 )     Win -- loss record   30 -- 24     Earned run average   2.20     Strikeouts   789     Saves   235     WHIP   1.01         Teams       Cincinnati Reds ( 2010 -- 2015 )   New York Yankees ( 2016 )   Chicago Cubs ( 2016 )   New York Yankees ( 2017 -- present )       Career highlights and awards       5 × All - Star ( 2012 -- 2015 , 2018 )   World Series champion ( 2016 )     MLB records     Fastest pitch in MLB history -- 105.1 miles per hour ( 169.1 km / h )   Fastest MLB pitcher to reach 500 strikeouts       Medals ( hide )        Men 's Baseball     Representing Cuba     Pan American Games       2007 Rio de Janeiro   Team     Baseball World Cup       2007 Taipei   Team        Albertín Aroldis Chapman de la Cruz ( Spanish : ( aˈɾoldis ˈtʃapman ) ; born February 28 , 1988 ) is a Cuban - American professional baseball pitcher for the New York Yankees of Major League Baseball ( MLB ) . He previously played in MLB for the Cincinnati Reds and Chicago Cubs and in the Cuban National Series for Holguín . Chapman bats and throws left - handed , and is nicknamed the Cuban Missile or the Cuban Flame Thrower .   Chapman pitched for Holguín domestically and internationally for the Cuban national baseball team . He defected from Cuba in 2009 and signed a contract with the Reds in 2010 . Chapman made his MLB debut that season . He won the MLB Delivery Man of the Month Award as the best relief pitcher for July 2012 , and has been named to four straight National League All - Star teams from 2012 to 2015 . The Reds traded Chapman to the Yankees after the 2015 season , and the Yankees traded Chapman to the Cubs during the 2016 season . With the Cubs , Chapman won Game 7 of the 2016 World Series . He signed with the Yankees after the 2016 season .   On July 11 , 2014 , Chapman broke the record , previously held by Bruce Sutter , for the most consecutive relief appearances with a strikeout , having struck out at least one batter in 40 consecutive appearances . Chapman 's streak began on August 21 , 2013 , and lasted 49 consecutive games over two seasons , with the 49th and final game being on August 13 , 2014 . He shares the record for the fastest recorded pitch speed in MLB history , at 105.1 miles per hour ( 169.1 km / h ) , as well as the Guinness World Record for fastest baseball pitch .   Contents    1 Early life   2 Cuban career   3 American career   3.1 Defection   3.2 Cincinnati Reds   3.2. 1 2010 season   3.2. 2 2011 season   3.2. 3 2012 season   3.2. 4 2013 season   3.2. 5 2014 season   3.2. 6 2015 season     3.3 New York Yankees   3.4 Chicago Cubs   3.5 New York Yankees ( second stint )     4 Pitching style   4.1 Repertoire   4.2 Speed records   4.3 Mechanics     5 Personal life   6 See also   7 References   8 External links    Early life ( edit )   Chapman was born in Holguín , Cuba , on February 28 , 1988 . He lived in a three - room house with his parents and two sisters . Chapman 's father was a boxing trainer and then later worked for the city . His mother did not work outside the home . Chapman 's paternal grandparents had emigrated from Jamaica to Cuba in order to get a better education , The Chapmans , whose last name can be traced to English settlers in Jamaica in the late 1600s , were not a prominent family .   A friend of Chapman invited him to join a local baseball team at the age of 15 . He began playing as a first baseman until the coach noticed that Chapman could throw well enough to become a pitcher , which Chapman began in 2003 .   Cuban career ( edit )       This section needs expansion . You can help by adding to it . ( December 2009 )     Chapman joined the Holguín Sabuesos of the Cuban National Series League in 2006 . In 327 ​ ⁄ career innings , Chapman compiled a 24 -- 19 win -- loss record , a 3.74 earned run average ( ERA ) , and 365 strikeouts . He was used mainly as a starting pitcher , although he made 11 relief appearances in the 2007 season .   Chapman was part of the Cuban national team at the 2007 Pan American Games and the 2009 World Baseball Classic .   American career ( edit )   Defection ( edit )   After a failed attempt to defect in the spring of 2008 , Chapman reported to Havana to meet with Cuban President Raúl Castro who gave him a conditional reprieve , suspending him for the remainder of the National Series season and also keeping him off Cuba 's national team for the 2008 Summer Olympics but allowing him to return to the National Series and play in the WBC in 2009 .   Chapman successfully defected from Cuba while in Rotterdam , Netherlands where the Cuban national team was participating in the World Port Tournament on July 1 , 2009 ; Chapman walked out the front door of the team hotel and entered into an automobile driven by an acquaintance . Gerardo Concepción defected from the Cuban national team in the same tournament . Chapman eventually established residency in Andorra and petitioned the MLB to be granted free agent status .   Cincinnati Reds ( edit )  Chapman pitching for the Cincinnati Reds in 2010 spring training  On January 10 , 2010 , Chapman agreed to a long - term contract with the Cincinnati Reds . The Reds announced that they had signed Chapman to a six - year contract , worth $30.25 million according to MLB sources . The Associated Press reported that the bonus totals $100.25 million , paid annually over 11 years , with an additional bonus if he became eligible for salary arbitration in 2012 or 2013 .  2010 season ( edit )  Chapman began the 2010 season assigned to the Triple - A Louisville Bats , and made his professional debut with the Louisville Bats on Sunday , April 11 , in Toledo against the Mud Hens , where he pitched ​ 4 ⁄ innings , giving up 1 unearned run , while striking out 9 . Chapman made 13 starts with Louisville , pitching to a 4.11 ERA , and pitched to a 2.40 ERA after the team used him as a relief pitcher .   Chapman made his Major League debut August 31 , 2010 , in the eighth inning against the Milwaukee Brewers ; his first pitch was clocked at 98 mph ( 158 km / h ) as a called strike ( which was promptly tossed to the dugout by catcher Ryan Hanigan , to be saved ) . In nine pitches he retired the side . He recorded his first Major League win on September 1 after pitching an inning of relief against the Brewers . Chapman threw the fastest pitch recognized by MLB on September 24 , 2010 at Petco Park in San Diego , California . It was clocked at 105.1 mph to Tony Gwynn Jr. in the eighth inning .   In Game 2 of the 2010 NLDS against the Philadelphia Phillies , Chapman allowed 3 runs ( all unearned ) due to miscues of the outfielders . Chapman would get his first career postseason loss and the Reds would lose the division series to the Phillies in a three - game sweep .  Chapman pitching in the bullpen with the Louisville Bats , triple - A affiliates of the Reds , in 2011 2011 season ( edit ) Chapman pitching for the Cincinnati Reds in 2011  Chapman served solely as a relief pitcher in 2011 , appearing in 54 regular season games and finishing the season with a 3.60 ERA . He also struck out 71 batters in just 50.0 innings of work that season .  2012 season ( edit )  Chapman was due to be introduced as a starter for the 2012 season , but preseason injuries to closer Ryan Madson and middle relievers Bill Bray and Nick Masset led manager Dusty Baker to put Chapman in the setup role . Interim closer Sean Marshall struggled early in the season , and Chapman was given the closer role in late May .   On July 1 , 2012 , Chapman was named to his first All - Star Game . Chapman won the MLB Delivery Man of the Month Award for July 2012 , in which he recorded 13 saves while not allowing a run in ​ 14 ⁄ innings while striking out 31 batters -- more than 60 % of the batters he faced . It was the third month of the season in which he did not allow a single run . He was named the August Delivery Man of the Month as well . Chapman finished the 2012 season with a 1.51 ERA and 38 saves in 43 chances , recording 122 strikeouts and 23 walks in ​ 71 ⁄ innings .  2013 season ( edit )  In March 2013 , it was announced that Chapman would be the closer for the Cincinnati Reds . He was an All - Star selection for the second season in a row . He finished the 2013 year with 38 saves , a 4 -- 5 record , 112 strikeouts , and a 2.54 ERA .  2014 season ( edit )  During a spring training game against the Kansas City Royals on March 19 , 2014 , Chapman was struck in the head by a line drive from Salvador Pérez . The spring - training game between the Reds and the Royals was ended at that point with Kansas City leading 8 - 3 . Chapman underwent surgery to fix a skull fracture above his left eye . A metal plate was inserted into his head to stabilize the fracture .   Chapman began the 2014 season on the 15 - day disabled list . On April 18 , Chapman was cleared to begin throwing batting practice sessions . Reds manager Bryan Price said that he was n't sure when Chapman would throw but said it likely would be during the team 's 10 - game trip that ended April 27 . He was activated from the disabled list on May 10 . Chapman recorded his 100th save against the Arizona Diamondbacks on July 29 , 2014 , becoming the eighth - fastest pitcher to reach the milestone . In the 20 - pitch appearance , Chapman threw 15 fastballs , all of which were above 100 mph . In 54 appearances , Chapman produced 106 strikeouts with 36 saves going 0 -- 3 with an ERA of exactly 2.00 .  2015 season ( edit )  Chapman and the Reds agreed to a one - year , $8.05 million contract on February 13 , 2015 . Chapman was selected to the 2015 MLB All - Star Game . He pitched a scoreless ninth inning and struck out the side on 14 pitches , 12 of which were recorded at 100 mph or greater . In the 2015 year , Chapman made 65 relief appearances with a 4 -- 4 record , a 1.63 ERA , and 33 saves .   New York Yankees ( edit )  Chapman with the Yankees in 2016 )  On December 28 , 2015 , Chapman was traded to the New York Yankees . Cincinnati received four minor league players including right - handed pitchers Caleb Cotham and Rookie Davis , and infielders Eric Jagielo and Tony Renda in the exchange . On January 11 , 2016 , manager Joe Girardi named Chapman the team 's new closer . He avoided arbitration on February 12 , 2016 , by agreeing to a one - year contract worth $11.325 million . Chapman was suspended for the first 30 games of the season due to an off - season personal conduct policy violation related to domestic violence . He made his first appearance for the Yankees on May 9 , 2016 striking out 2 and allowing a run as the Yankees won 6 -- 3 over the Kansas City Royals . On July 18 against the Orioles , Chapman threw for 105 mph twice in the top of the ninth inning , averaging 103.2 mph with his fastball .   Chicago Cubs ( edit )  Chapman pitching for the Chicago Cubs in Game 7 of the 2016 World Series  On July 25 , 2016 , the Yankees traded Chapman to the Chicago Cubs for Gleyber Torres , Billy McKinney , Adam Warren , and Rashad Crawford . In an interview with ESPN , Chapman stated he was thrilled that the Cubs went after him , especially considering the recent success of Héctor Rondón . Chapman made his first appearance as a member of the Cubs on July 27 , pitching a 1 -- 2 -- 3 ninth and striking out two batters in a non-save situation .   Chapman made three saves in four save opportunities in the 2016 National League Division Series against the San Francisco Giants to tie and set new Division Series records respectively ; Wade Davis tied his record in the 2017 National League Division Series , but did it in each of his opportunities .   Chapman made four appearances during the 2016 National League Championship Series ( NLCS ) against the Los Angeles Dodgers . Chapman blew a save opportunity during the first game of the NLCS . However , the Cubs rallied back and Chapman remained in the game to earn the winning decision . He pitched during the final two innings in Game 6 to secure the Cubs first pennant since 1945 .   Chapman 's workload in the 2016 World Series escalated with the Cubs facing elimination at the hands of the Cleveland Indians . Down 3 -- 1 in the series , Chapman pitched through the seventh , eighth , and ninth innings of Game 5 , allowing only one hit and preserving the Cubs ' 3 -- 2 lead . He was called upon again in the ninth inning of Game 6 , where he allowed one hit and one run en route to a 9 -- 3 victory . Chapman appeared the subsequent day to close out Game 7 with a 6 -- 3 lead in the bottom of the eighth inning . However , he blew the save opportunity and allowed Cleveland to tie the game , though Chapman prevented Cleveland from scoring additional runs in the ninth inning . The Cubs tallied the game - winning run in the 10th inning , making Chapman the game 's winning pitcher and giving him his first World Series title of his career .   New York Yankees ( second stint ) ( edit )   On December 15 , 2016 , Chapman signed a five - year , $86 million contract to return to the Yankees . This is the largest contract given to a relief pitcher as of 2017 .   On May 14 , 2017 , Chapman was placed on the 10 - day disabled list due to rotator cuff inflammation in his left shoulder . Although MRIs revealed no structure damage , Chapman was ruled out for at least two weeks . On June 18 , the Yankees activated Chapman from the DL and he pitched that afternoon against the Oakland A 's .   On August 13 , Chapman gave up a home run to opposing batter Rafael Devers of the Boston Red Sox . The pitch was clocked at 103 mph , making it the fastest pitch hit for a home run in the Statcast era ( breaking Kurt Suzuki 's home run off of a Chapman 102 mph pitch the previous year ) . It was also Chapman 's first home run given up to a left handed batter since Luke Scott of the Baltimore Orioles did so in 2011 . Later that month , Chapman would give up only his third home run off a left hander when Yonder Alonso of the Seattle Mariners hit one of his 101 mph fastballs out .   In 2018 , Chapman was elected as an MLB All - Star , representing the American League . On July 13 , 2018 , Chapman announced that he would skip the All Star Game to rest his knee due to tendinitis . On August 22 , Chapman was placed on the 10 - day disabled list due to left knee tendinitis .   Pitching style ( edit )   Repertoire ( edit )   With a three - quarters delivery , Chapman currently throws three pitches : a four - seam fastball averaging 99 -- 100 miles per hour ( 159 -- 161 km / h ) , a slider averaging 87 -- 88 miles per hour ( 140 -- 142 km / h ) , and an occasional change - up . Chapman 's fastball averaged 100.3 miles per hour ( 161.4 km / h ) in 2010 , but that declined to 98.6 miles per hour ( 158.7 km / h ) in 2011 and 97.8 miles per hour ( 157.4 km / h ) through August 2012 . This more modest speed may be part of an attempt to better control his fastball . By 2015 , Chapman 's fastball averaged 99.98 miles per hour ( 160.90 km / h ) . That same year , Statcast revealed that Chapman threw the 62 fastest pitches of the season , topping out at 103.92 miles per hour ( 167.24 km / h ) .   Both pitches have extraordinarily high whiff rates of 33 % for the fastball and 58 % for the slider . These have given Chapman a career strikeouts per nine innings rate of 14.66 as of August 2012 , second all - time to Craig Kimbrel , and the third - highest career percentage of pitches for swinging strikes ( 16.5 % ) .   Scouts worried about his control issues and lack of a solid third pitch , noting that these issues could affect his ability to be a Major League starter . However , Chapman 's control seems to have improved . After issuing 41 walks in 50 innings the previous season , Chapman only walked 23 batters in 2012 over ​ 71 ⁄ innings .   Speed Records ( edit )   According to MLB scouts , Chapman 's fastball has been clocked as high as 105 mph ( 169 km / h ) ( during the 2010 minor league season ) .   On September 24 , 2010 , against the San Diego Padres , Chapman was clocked at 105.1 mph ( 169.1 km / h ) , according to PITCHf / x , which is the fastest pitch ever recorded in Major League Baseball . On July 19 , 2016 , Chapman matched his previous record of 105.1 mph when he threw a ball to Baltimore 's J.J. Hardy .   On April 18 , 2011 , Chapman threw a pitch to Pittsburgh 's Andrew McCutchen that the scoreboard at Great American Ball Park clocked at a speed of 106 mph ( 170.6 km / h ) , although the box on Fox Sports Ohio 's broadcast listed it at 105 mph ( 169 km / h ) and the PITCHf / x system calculated a release speed of 102.4 mph ( 164.8 km / h ) . The disparity between these speeds has been widely discussed and questioned .   Mechanics ( edit )   Sports Illustrated writer Joe Posnanski described Chapman thus : `` There is no violence at all in his motion ; he 's like the anti-Bob Gibson in that way . Just a slow beginning , a fluid motion , and BLAMMO the ball just fires out like the Batmobile rolling out of the cave . '' A more technical analysis reveals that    Chapman breaks his hands late , so his arm gets involved late .   He shifts his weight before he breaks his hands .   Chapman gets low and creates tremendous leg drive .   At landing , he quickly braces his front leg and hip .   He also powerfully flexes his trunk forward over his landing knee .    One scout noted that although `` ( t ) here are no obvious flaws in Chapman 's delivery ... Chapman has to coordinate a lot of moving parts , '' which may limit his consistency . Chapman 's extreme pitch speed may also pose an injury risk to his pitching arm over time .   Personal life ( edit )   When Chapman defected , he left behind his father , mother , two sisters , girlfriend Raidelmis Mendosa Santiestelas , and newborn baby , Ashanty Brianna . He would later be reunited with them when he helped them defect ; the details of how they defected remain confidential . On June 30 , 2014 , his son , Atticus Gabriel Chapman , was born in Cincinnati , Ohio . In May 2012 , it was reported that Chapman was being sued after he allegedly served as `` an informant for Cuban state authorities after a failed defection attempt and helped turn in another man in order to get back on the country 's national baseball team . ''   On December 7 , 2015 , news broke that he was involved in an alleged domestic violence incident with his girlfriend in Davie , Florida at Chapman 's home on October 30 , 2015 . A pending trade with the Los Angeles Dodgers was put on hold as MLB announced it would be investigating the incident as part of its domestic violence policy . In the incident , he was accused of choking his girlfriend and firing eight gunshots . No charges were filed by the police due to inconsistency in his girlfriend 's reports and lack of physical evidence , and his attorney issued a statement denying the allegations . The trade was rescinded and the Reds traded Chapman to the Yankees three weeks later . Although he was not charged , the MLB banned him for 30 games as a result of `` Chapman 's use of the firearm and its effect on his partner , '' ending May 9 , 2016 . He was the first player disciplined by new rules enacted in August 2015 , which allows the MLB to ban a player from games without a final sentence .   Chapman became an American citizen in April 2016 .   See also ( edit )    Biography portal   Baseball portal   Cuba portal     List of Major League Baseball players from Cuba   List of baseball players who defected from Cuba   List of Major League Baseball players suspended for domestic violence   Cincinnati Reds award winners and league leaders    References ( edit )    Jump up ^ `` Aroldis Chapman , SP , International Player '' . USA Today . usatoday.com . December 9 , 2009 . Retrieved January 14 , 2010 .   Jump up ^ Randhawa , Manny ( July 12 , 2014 ) . `` Aroldis sets MLB record with K in 40th straight game '' . MLB.com . Retrieved July 12 , 2014 .   ^ Jump up to : `` Chapman 's 105 - mph pitch was fastest ever '' . Cincinnati.reds.mlb.com . September 25 , 2010 . Retrieved July 18 , 2016 .   Jump up ^ `` Fastest baseball pitch ( male ) '' . Guinness World Records . Guinness World Records . Retrieved October 28 , 2016 .   ^ Jump up to : Fehrman , Craig ( January 3 , 2013 ) . `` The Enigma of Mr. 105 '' . Cincinnati Magazine . Retrieved February 4 , 2017 .   Jump up ^ Davenport , Clay ( August 13 , 2009 ) . `` Defection Alert '' . Baseball Prospectus . Retrieved August 14 , 2012 .   ^ Jump up to : Jose Arangue , Jr . ( August 9 , 2009 ) . `` New world of hope awaits Chapman '' . ESPN . Retrieved August 9 , 2009 .   Jump up ^ Retrieved on 2009 - 07 - 02 .   Jump up ^ Enrique Rojas ( January 18 , 2012 ) . `` Cuban left - hander Gerardo Concepcion declared a free agent , player agent says '' . Espn.go.com . Retrieved May 20 , 2012 .   Jump up ^ `` Coveted Cuban defector Chapman establishes residency in Andorra '' . CNN . September 21 , 2009 . Retrieved April 25 , 2010 .   Jump up ^ `` Aroldis Chapman awaits ruling on MLB free - agency status '' . Sports.Espn.Go.com . September 21 , 2009 . Retrieved August 30 , 2010 .   Jump up ^ `` Sources : Cuban lefty Aroldis Chapman OKs deal with Reds '' . Msn.foxsports.com . January 11 , 2010 . Retrieved August 30 , 2010 .   Jump up ^ Mark Sheldon ( January 10 , 2010 ) . `` Cuban star Chapman joins Reds '' . Mlb.mlb.com . Retrieved August 30 , 2010 .   Jump up ^ `` Cuban ace Aroldis Chapman inks 6 - year deal with Cincinnati Reds '' . Sports.espn.go.com . January 12 , 2010 . Archived from the original on August 28 , 2010 . Retrieved August 30 , 2010 .   Jump up ^ `` Reds send Aroldis Chapman to Triple - A - MLB '' . nbcsports.msnbc.com. April 2 , 2010 . Retrieved August 30 , 2010 .   Jump up ^ Mark Sheldon ( April 9 , 2010 ) . `` Watch Chapman 's US debut on Sunday '' . Cincinnati.reds.mlb.com . Archived from the original on April 14 , 2010 . Retrieved August 30 , 2010 .   Jump up ^ Roth , David ( September 1 , 2010 ) . `` Chapman 's 103 - MPH Big - League Debut '' . The Wall Street Journal . Archived from the original on September 2 , 2010 . Retrieved September 1 , 2010 .   Jump up ^ `` Reds ' Aroldis Chapman debuts with four pitches topping 100 mph '' . Sporting News.com . August 31 , 2010 . Archived from the original on September 3 , 2010 . Retrieved September 1 , 2010 .   Jump up ^ `` Reds ' Aroldis Chapman perfect again , gets first victory '' . Sporting News.com . September 2 , 2010 . Archived from the original on September 6 , 2010 . Retrieved September 2 , 2010 .   Jump up ^ Jones , Todd ( August 14 , 2012 ) . `` Reds ' Chapman is wizard of whiffs '' . The Columbus Dispatch . Retrieved August 14 , 2012 .   Jump up ^ Sheldon , Mark ( May 20 , 2012 ) . `` Chapman assumes closer 's role , earns save '' . MLB.com . Retrieved August 14 , 2012 .   Jump up ^ ( 1 ) Archived July 7 , 2012 , at the Wayback Machine .   Jump up ^ `` Chapman named Delivery Man of the Month winner '' . MLB . August 3 , 2012 . Retrieved August 4 , 2012 .   Jump up ^ `` Aroldis Chapman 2012 Pitching Splits '' . Baseball-Reference.com . Retrieved August 14 , 2012 .   Jump up ^ `` Aroldis Chapman of the Cincinnati Reds named the Major League Baseball Delivery Man of the Month for August '' . MLB.com ( Press release ) . Major League Baseball . September 4 , 2012 . Retrieved September 4 , 2012 .   Jump up ^ `` Chapman matures in closer 's role '' . Mlb.mlb.com . June 19 , 2012 . Retrieved February 18 , 2013 .   Jump up ^ `` Aroldis Chapman to stay closer '' . ESPN.com . Associated Press . March 22 , 2013 . Retrieved April 4 , 2013 .   Jump up ^ `` Reds ' Chapman ' lucky ' to have only broken bone '' . aol.com . March 20 , 2014 . Retrieved March 20 , 2014 .   Jump up ^ Fox Sports . `` Reds ' Chapman cleared to throw batting practice '' . FOX Sports . Retrieved October 4 , 2014 .   Jump up ^ `` Reds activate Aroldis Chapman '' . ESPN.com . May 10 , 2014 . Retrieved May 10 , 2014 .   Jump up ^ Randhawa , Manny ( July 29 , 2014 ) . `` Chapman earns 100th career save '' . MLB.com . Retrieved August 17 , 2014 .   Jump up ^ Randhawa , Manny ( July 29 , 2014 ) . `` Chapman turns up the heat against D - backs '' . Retrieved August 17 , 2014 .   Jump up ^ `` Aroldis Chapman , Reds reach dea '' . ESPN . Retrieved February 13 , 2015 .   Jump up ^ Sheldon , Mark ( July 15 , 2015 ) . `` High heat : Chapman freezes batters '' . MLB.com . Retrieved October 5 , 2015 .   Jump up ^ Brown , David ( December 28 , 2015 ) . `` Yankees acquire closer Aroldis Chapman in trade with Reds '' . CBS Sports . Retrieved December 28 , 2015 .   Jump up ^ Kuty , Brendan ( January 12 , 2016 ) . `` Yankees make Aroldis Chapman closer : 4 reasons it 's the right move '' . NJ.com . Retrieved January 15 , 2016 .   Jump up ^ `` Closer Aroldis Chapman agrees with Yankees at $11,325,000 '' . ESPN.com . Associated Press . February 12 , 2016 . Retrieved February 14 , 2016 .   Jump up ^ ( 2 )   Jump up ^ `` Aroldis Chapman throws 105 mph to tie his own record for fastest MLB pitch '' . ftw.usatoday.com . July 18 , 2016 . Retrieved July 23 , 2016 .   Jump up ^ Gonzales , Mark ( July 25 , 2016 ) . `` Cubs land marquee closer Aroldis Chapman from Yankees '' . Chicago Tribune . Retrieved July 25 , 2016 .   Jump up ^ Cohen , Jay ( October 16 , 2016 ) . `` Montero 's pinch - hit slam lifts Cubs over Dodgers 8 -- 4 '' . ESPN . Retrieved November 17 , 2016 .   Jump up ^ Klapisch , Bob ( October 31 , 2016 ) . `` After Aroldis Chapman 's effort , now we have a World Series '' . USA TODAY . Retrieved November 1 , 2016 .   Jump up ^ Berg , Ted ( October 31 , 2016 ) . `` Cubs survive , force Game 6 of World Series in Cleveland '' . USA Today . Retrieved November 17 , 2016 .   Jump up ^ `` Cubs outlast Indians in Game 7 , win first World Series since 1908 '' . ESPN . November 3 , 2016 . Retrieved November 17 , 2016 .   ^ Jump up to : `` Yankees finalize 5 - year deal with Chapman '' . MLB.com . December 15 , 2016 . Retrieved December 15 , 2016 .   Jump up ^ Roberts , Quinn . `` Aroldis Chapman goes on DL with inflamed rotator cuff '' . MLB . Retrieved May 14 , 2017 .   Jump up ^ http://m.mlb.com/cutfour/2017/08/14/248344244/here-are-5-amazing-facts-from-rafael-devers-game-tying-home-run-off-aroldis-chapman   Jump up ^ `` Arolsid Chapman goes on DL with knee tendinitis '' . MLB . Retrieved August 22 , 2018 .   Jump up ^ `` Aroldis Chapman '' Statistics '' Pitching - FanGraphs Baseball `` .   ^ Jump up to : `` Brooks Baseball Home of the PitchFX Tool - Player Card : Albertin Aroldis Chapman '' . Brooks Baseball . Retrieved August 10 , 2012 .   Jump up ^ Fay , John ( August 7 , 2012 ) . `` BaseballAmerica.com : Majors : Best Tools : Reds ' Aroldis Chapman Dominates With MLB 's Best Fastball '' . Baseball America . Retrieved August 14 , 2012 .   Jump up ^ `` Cincinnati 's Chapman throws 62 fastest pitches of season '' . ESPN.com . Associated Press . October 4 , 2015 . Retrieved October 5 , 2015 .   Jump up ^ `` Major League Leaderboards '' 2012 '' Pitchers '' Plate Discipline Statistics `` . Fangraphs . Retrieved August 14 , 2012 . Data goes back to 2002 season . Minimum 100 innings pitched .   Jump up ^ Jonathan Mayo . `` Scouts see Chapman as rare package '' . Cincinnati.Reds.MLB.com . Retrieved August 30 , 2010 .   Jump up ^ Daugherty , Paul ( April 27 , 2012 ) . `` Cincinnati Reds pitcher Aroldis Chapman on verge of stardom '' . Sports Illustrated . Retrieved August 14 , 2012 .   Jump up ^ `` Aroldis Chapman Statistics and History '' . fangraphs.com . Retrieved May 7 , 2013 .   Jump up ^ Arangure , Jorge ( March 15 , 2009 ) . `` Cuba might be team to beat : Chapman , powerful lineup make Cubans a strong WBC contender '' . ESPN.com .   Jump up ^ Pepin , Matt ( August 26 , 2010 ) . `` Aroldis Chapman hits 105 mph '' . Boston.com . Archived from the original on August 31 , 2010 . Retrieved August 30 , 2010 .   Jump up ^ Nowak , Joey ( August 4 , 2014 ) . `` For Chapman , it 's fast , faster , fastest '' . MLB.com . Retrieved August 17 , 2014 .   Jump up ^ `` Chapman 's 105.1 mph pitch matches fastest since 2008 '' . www.foxsports.com . July 19 , 2016 .   Jump up ^ Passan , Jeff ( April 19 , 2011 ) . `` Chapman 's 106 - mph fastball was likely bogus '' . Sports.Yahoo.com . Retrieved May 20 , 2012 .   Jump up ^ ( 3 ) Archived September 9 , 2010 , at the Wayback Machine .   Jump up ^ `` The Aroldis Chapman X-Factor : Maximize Pitching Velocity To 106 MPH '' . Retrieved December 11 , 2016 .   Jump up ^ Eisenberg , Alex ( November 19 , 2009 ) . `` Aroldis Chapman : Everything You Need to Know '' . Baseball - Intellect . Archived from the original on August 1 , 2012 . Retrieved August 14 , 2012 .   Jump up ^ `` A. Chapman piensa en Grandes Ligas para el 2010 '' . Mlb.mlb.com . November 13 , 2009 . Retrieved August 30 , 2010 .   Jump up ^ http://m.mlb.com/news/article/68637504/entire-family-in-us-reds-closer-aroldis-chapman-finding-peace-off-field/   Jump up ^ `` Chapman reportedly being sued for $18 M '' . MLB.com . Retrieved May 20 , 2012 .   Jump up ^ `` Police report : Aroldis Chapman allegedly fired gunshots , ' choked ' girlfriend in domestic incident '' . Yahoo Sports . December 8 , 2015 .   Jump up ^ Plunkett , Bill ( December 7 , 2015 ) . `` Dodgers pursue Reds closer Aroldis Chapman , but report of gun incident could put deal on hold '' . OC Register . Retrieved December 7 , 2015 .   Jump up ^ `` Aroldis Chapman fired gun , accused of choking girlfriend in Oct. incident '' . ESPN.com . December 7 , 2015 . Retrieved December 7 , 2015 .   Jump up ^ Hagen , Paul ; Hoch , Bryan . `` Chapman gets 30 - game suspension from MLB '' . mlb.com . MLB.com . Retrieved August 23 , 2016 .   Jump up ^ `` Yankees ' Aroldis Chapman now a U.S. citizen '' . Major League Baseball . Retrieved December 8 , 2016 .    External links ( edit )       Wikimedia Commons has media related to Aroldis Chapman .      Career statistics and player information from MLB , or ESPN , or Baseball - Reference , or Fangraphs , or The Baseball Cube , or Baseball - Reference ( Minors )   Cuban Baseball Career statistics              Cuba roster -- 2009 World Baseball Classic -- 6th place       2 Eduardo Paret   3 Luis Miguel Navas   8 Ariel Pestano   10 Yuli Gurriel   12 Michel Enríquez   14 Joan Carlos Pedroso   15 Danny Betancourt   17 Vladimir García   20 Norge Luis Vera   24 Frederich Cepeda   26 Leonys Martín   28 Héctor Olivera   32 Norberto González   40 Rolando Meriño   42 Miguel Lahera   46 Yosvani Peraza   48 Yulieski González   51 Yoenis Céspedes   52 Aroldis Chapman   54 Alfredo Despaigne   55 Alexander Mayeta   56 Leslie Anderson   59 Ismel Jiménez   72 Ciro Licea   74 Luis Miguel Rodríguez   92 Yolexis Ulacia   97 Yunieski Maya   99 Pedro Luis Lazo         Manager 39 Higinio Vélez   Coach 41 Francisco Escaurido   Coach 22 Enrique Cepero   Coach 34 Jose Elosegui   Coach 30 Pedro Perez   Coach 21 Lourdes Gourriel                 Chicago Cubs 2016 World Series champions       3 David Ross   5 Albert Almora   6 Carl Edwards Jr .   8 Chris Coghlan   9 Javier Báez ( NLCS MVP )   12 Kyle Schwarber   17 Kris Bryant ( NL MVP )   18 Ben Zobrist ( World Series MVP )   22 Jason Heyward   24 Dexter Fowler   27 Addison Russell   28 Kyle Hendricks   34 Jon Lester ( NLCS MVP )   37 Travis Wood   38 Mike Montgomery   40 Willson Contreras   41 John Lackey   44 Anthony Rizzo   46 Pedro Strop   47 Miguel Montero   49 Jake Arrieta   52 Justin Grimm   54 Aroldis Chapman   56 Héctor Rondón   68 Jorge Soler         Manager 70 Joe Maddon     Third Base Coach 1 Gary Jones   Bench Coach 4 Dave Martinez   Hitting Coach 11 John Mallee   First Base Coach 16 Brandon Hyde   Pitching Coach 25 Chris Bosio   Bullpen Coach 35 Lester Strode   Catching Coach 58 Mike Borzello   Assistant Hitting Coach 77 Eric Hinske   Quality Control Coach 64 Henry Blanco   Bullpen Catcher 95 Chad Noble         Regular season   National League Division Series   National League Championship Series                 Major League Baseball Reliever of the Year Award     Delivery Man Award ( 2005 -- 2013 )     2005 : Mariano Rivera   2006 : Mariano Rivera   2007 : Jonathan Papelbon   2008 : Brad Lidge   2009 : Maria</t>
  </si>
  <si>
    <t xml:space="preserve">who has the fastest fastball in the mlb</t>
  </si>
  <si>
    <t xml:space="preserve"> On July 11 , 2014 , Chapman broke the record , previously held by Bruce Sutter , for the most consecutive relief appearances with a strikeout , having struck out at least one batter in 40 consecutive appearances . Chapman 's streak began on August 21 , 2013 , and lasted 49 consecutive games over two seasons , with the 49th and final game being on August 13 , 2014 . He shares the record for the fastest recorded pitch speed in MLB history , at 105.1 miles per hour ( 169.1 km / h ) , as well as the Guinness World Record for fastest baseball pitch . </t>
  </si>
  <si>
    <t xml:space="preserve">Cinco de Mayo - wikipedia  Cinco de Mayo  Jump to : navigation , search `` 5th of May '' redirects here . For the date , see May 5 . Not to be confused with Mexican Independence Day , which occurs on September 16 .    Cinco de Mayo     Battle of Puebla     Observed by   Americans , Mexicans , mixed nationality     Type   Multinational     Significance   Celebration of the Mexican victory over French forces at the Battle of Puebla , on May 5 , 1862     Celebrations   Parades , food , music , folkloric dancing , battle reenactments     Date   May 5     Next time   5 May 2019 ( 2019 - 05 - 05 )     Frequency   annual     Related to   El Día de la Batalla de Puebla     Cinco de Mayo ( pronounced ( ˈsiŋko ðe ˈmaʝo ) in Latin America , Spanish for `` Fifth of May '' ) is an annual celebration held on May 5 . The date is observed to commemorate the Mexican Army 's unlikely victory over the French Empire at the Battle of Puebla , on May 5 , 1862 , under the leadership of General Ignacio Zaragoza .   In the United States , Cinco de Mayo has taken on a significance beyond that in Mexico . More popularly celebrated in the United States than Mexico , the date has become associated with the celebration of Mexican - American culture . In Mexico , the commemoration of the battle continues to be mostly ceremonial , such as through military parades or battle reenactments .   Cinco de Mayo is sometimes mistaken for Mexico 's Independence Day -- the most important national holiday in Mexico -- which is celebrated on September 16 , commemorating the Cry of Dolores that initiated the war of Mexican independence from Spain .     Contents  ( hide )   1 Background   1.1 Events leading to the Battle of Puebla   1.2 French invasion and Mexican victory   1.3 Events after the battle   1.4 Significance     2 History of the holiday   2.1 United States   2.2 Mexico   2.3 Elsewhere     3 See also   4 References   5 External links      Background ( edit )  `` May 5 , 1862 and the siege of Puebla '' , a 1901 image from the Biblioteca del Niño Mexicano , a series of booklets for children detailing the history of Mexico  Events leading to the Battle of Puebla ( edit )   Cinco de Mayo has its roots in the Second French intervention in Mexico , which took place in the aftermath of the 1846 -- 48 Mexican -- American War and the 1858 -- 61 Reform War . The Reform War was a civil war that pitted Liberals ( who believed in separation of church and state , and freedom of religion ) against Conservatives ( who favored a tight bond between the Catholic Church and the Mexican state ) . These wars nearly bankrupted the Mexican Treasury . On July 17 , 1861 , Mexican President Benito Juárez issued a moratorium in which all foreign debt payments would be suspended for two years . In response , Britain , France , and Spain sent naval forces to Veracruz to demand reimbursement . Britain and Spain negotiated with Mexico and withdrew , but France , at the time ruled by Napoleon III , decided to use the opportunity to establish an empire in Mexico that would favor French interests , the Second Mexican Empire . The empire was part of an envisioned `` Latin America '' ( term used to imply cultural kinship of the region with France ) that would rebuild French influence in the American continent and exclude Anglophone American territories .   French invasion and Mexican victory ( edit )  Main article : Battle of Puebla  Late in 1861 , a well - armed French fleet stormed Veracruz , landing a large French force and driving President Juárez and his government into retreat . Moving on from Veracruz towards Mexico City , the French army encountered heavy resistance from the Mexicans close to Puebla , at the Mexican forts of Loreto and Guadalupe . The French army of 8,000 attacked the poorly equipped Mexican army of 4,000 . On May 5 , 1862 , the Mexicans decisively defeated the French army . The victory represented a significant morale boost to the Mexican army and the Mexican people at large and helped establish a sense of national unity and patriotism .   Events after the Battle ( edit )   The Mexican victory , however , was short - lived . A year later , with 30,000 troops , the French were able to defeat the Mexican army , capture Mexico City , and install Emperor Maximilian I as ruler of Mexico . The French victory was itself short - lived , lasting only three years , from 1864 to 1867 . By 1865 , `` with the American Civil War now over , the U.S. began to provide more political and military assistance to Mexico to expel the French '' . Upon the conclusion of the American Civil War , Napoleon III , facing a persistent Mexican guerilla resistance , the threat of war with Prussia , and `` the prospect of a serious scrap with the United States '' , retreated from Mexico starting in 1866 . The Mexicans recaptured Mexico City , and Maximilian I was apprehended and executed , along with his Mexican generals Miguel Miramón and Tomás Mejía Camacho in Cerro de las Campanas , Querétaro . `` On June 5 , 1867 , Benito Juárez finally entered Mexico City where he installed a new government and reorganized his administration . ''   Significance ( edit )   The Battle of Puebla was significant , both nationally and internationally , for several reasons . First , although considerably outnumbered , the Mexicans defeated a much - better - equipped French army . `` This battle was significant in that the 4,000 Mexican soldiers were greatly outnumbered by the well - equipped French army of 8,000 that had not been defeated for almost 50 years . '' Second , since the Battle of Puebla , some have argued that no country in the Americas has subsequently been invaded by any other European military force . Historian Justo Sierra has written in his Political Evolution of the Mexican People that , had Mexico not defeated the French in Puebla on May 5 , 1862 , France would have gone to the aid of the Confederacy in the U.S. Civil War and the United States ' destiny would have been different .   History of the holiday ( edit )   United States ( edit )  Cinco de Mayo performers at the White House  According to a paper published by the UCLA Center for the Study of Latino Health and Culture about the origin of the observance of Cinco de Mayo in the United States , the modern American focus on that day first started in California in 1863 in response to the resistance to French rule in Mexico . `` Far up in the gold country town of Columbia ( now Columbia State Park ) Mexican miners were so overjoyed at the news that they spontaneously fired off rifle shots and fireworks , sang patriotic songs and made impromptu speeches . ''   A 2007 UCLA Newsroom article notes that , `` the holiday , which has been celebrated in California continuously since 1863 , is virtually ignored in Mexico . '' TIME magazine reports that `` Cinco de Mayo started to come into vogue in 1940s America during the rise of the Chicano Movement . '' The holiday crossed over from California into the rest of the United States in the 1950s and 1960s but did not gain popularity until the 1980s when marketers , especially beer companies , capitalized on the celebratory nature of the day and began to promote it . It grew in popularity and evolved into a celebration of Mexican culture and heritage , first in areas with large Mexican - American populations , like Los Angeles , Chicago , Houston and San Jose .   In a 1998 study in the Journal of American Culture it was reported that there were more than 120 official US celebrations of Cinco de Mayo in 21 different states . An update in 2006 found that the number of official Cinco de Mayo events was 150 or more , according to José Alamillo , a professor of ethnic studies at Washington State University in Pullman , who has studied the cultural impact of Cinco de Mayo north of the border . Los Angeles ' Fiesta Broadway has been billed as the largest Cinco de Mayo celebration in the world , which it most certainly was at its peak in the 1990s when it attracted crowds of 500,000 or more . In recent years attendance has seen a dramatic decrease .  Cinco de Mayo celebration in Saint Paul , Minnesota  On June 7 , 2005 , the United States Congress issued a concurrent resolution calling on the President of the United States to issue a proclamation calling upon the people of the United States to observe Cinco de Mayo with appropriate ceremonies and activities . To celebrate , many display Cinco de Mayo banners while school districts hold special events to educate students about its historical significance . Special events and celebrations highlight Mexican culture , especially in its music and regional dancing . Examples include baile folklórico and mariachi demonstrations held annually at the Plaza del Pueblo de Los Ángeles , near Olvera Street . Commercial interests in the United States have capitalized on the celebration , advertising Mexican products and services , with an emphasis on alcoholic beverages , foods , and music . According to Nielsen , in 2013 more than $600 million worth of beer was purchased in the United States for Cinco de Mayo , more than for the Super Bowl or St. Patrick 's Day .   Mexico ( edit )  The former Forts of Guadalupe and Loreto now house a museum .  On May 9 , 1862 , President Juárez declared that the anniversary of the Battle of Puebla would be a national holiday regarded as `` Battle of Puebla Day '' or `` Battle of Cinco de Mayo '' .   Today , the commemoration of the battle is not observed as a national holiday in Mexico ( i.e. not a statutory holiday ) . However , all public schools are closed nationwide in Mexico on May 5 . The day is an official holiday in the State of Puebla , where the Battle took place , and also a full holiday ( no work ) in the neighboring State of Veracruz .   In Puebla , historical reenactments , parades , and meals take place to commemorate the battle . Parade participants dress as French and Mexican soldiers to reenact the battle . Every year the city also hosts the Festival Internacional de Puebla , which gathers national and international artists , traditional musicians and dancers . As well as the Festival Internacional del Mole , with an emphasis on the city 's iconic mole poblano .   In Mexico City , military commemoration is occasionally held at the Campo Marte . A street , Avenida Cinco de Mayo , in the Historic Center of Mexico City was named after the battle in 1862 by Benito Juárez .   Elsewhere ( edit )   Events tied to Cinco de Mayo also occur outside Mexico and the United States . As in the United States , celebrations elsewhere also emphasize Mexican cuisine , culture and music . For example , Windsor , Ontario , Canada , holds a `` Cinco de Mayo Street Festival '' , some Canadian pubs play Mexican music and serve Mexican food and drink , and a sky - diving club near Vancouver holds a Cinco de Mayo skydiving event . In the Cayman Islands , in the Caribbean , there is an annual Cinco de Mayo air guitar competition , and at Montego Bay , Jamaica , there is a Cinco de Mayo celebration . The city of Brisbane , Queensland , Australia , holds an annual Mexican Festival to honor the day , and celebrations are held in London and New Zealand . Other celebrations of the day can also be found in Cape Town , South Africa , Lagos , Nigeria , and in Paris . Cinco de Mayo is celebrated in Japan in Osaka and in Tokyo 's Yoyogi Park Event Space as a celebration of Latin American culture .   See also ( edit )    Siege of Puebla ( 1863 ) , fall of Puebla to the Imperialists   Third Battle of Puebla ( 1867 ) , recapture of Puebla and decisive victory for the restoration of the Republic    References ( edit )   Notes    Jump up ^ Other sources give the size of the French force as 6,500. ( 1 )   Jump up ^ According to Mexico 's National Institute of Historical Studies on the Mexican Revolution the Mexican force consisted of 4,802 soldiers. ( 2 ) And Peter Hicks of the French Fondation Napoléon and other French sources state the size of the Mexican force was 12,000 men . ( 3 ) ( 4 ) . Hayes - Batista clarifies on page 60 of his El Cinco de Mayo : An American Tradition that after the smaller Mexican force had defeated the French on May 5 , they received reinforcements on May 6 and 7 of approximately 12,000 additional Mexican soldiers .   Jump up ^ It has been pointed out that , contrary to reports on PBS and in Philadelphia 's The Bulletin , the French were in fact considered to have been defeated by the Russians at the Siege of Petropavlovsk in 1854 .   Jump up ^ The statement in The Bulletin is , `` This was the last time any army from another continent invaded the Americas . '' Note it says `` invaded '' , and not `` attacked . '' Thus , since Cinco de Mayo no army from another continent has invaded the Americas . The War of the Falklands War , for example , was fought in the Americas but the Islands were invaded by a military from the Americas ( the Argentine military ) . They were subsequently attacked ( not invaded ) by the UK . Another example , Pearl Harbor , experienced an attack , not an invasion by the Japanese . The only possible exception to the Cinco de Mayo claim above might be the brief occupation / invasion of two of the Alaskan Aleutian Islands by the Japanese military during WWII . This event , however , was so insignificant as to be virtually negligible : the islands invaded had a total population of 12 Americans and some 45 natives , the invasion was short - lived , and the battle fought there had no notoriety other than the psychological effect on the Americans that the Japanese had invaded American territory again ( Alaska was not yet a full - fledged state ) . In short , the military importance of these small pieces of land was nowhere comparable to the superior military significance of the Battle of Puebla .    Citations    ^ Jump up to : Lovgren , Stefan ( May 5 , 2006 ) . `` Cinco de Mayo , From Mexican Fiesta to Popular U.S. Holiday '' . National Geographic News .   Jump up ^ `` RECOGNIZING THE SIGNIFICANCE OF CINCO DE MAYO '' . Congress.gov . House of Representatives . May 4 , 2009 . Retrieved May 1 , 2017 .   ^ Jump up to : `` Cinco de Mayo '' . University of California at Los Angeles . Archived from the original on April 8 , 2006 . Retrieved May 5 , 2011 .   Jump up ^ `` Cinco de Mayo celebrations run all weekend '' . Deseret News . Retrieved May 8 , 2007 .   Jump up ^ `` Cinco de Mayo has become a day for celebrating Mexican culture in the United States , and celebrations there easily outshine those in Mexico '' . About.com . Retrieved May 8 , 2007 .   Jump up ^ Krogstad , Jens ( May 5 , 2003 ) . `` University community celebrates Cinco de Mayo '' . The Minnesota Daily . University of Minnesota . Archived from the original on November 18 , 2007 . Retrieved April 25 , 2016 . Today , the holiday is celebrated more in the United States than in Mexico   Jump up ^ `` Why is Cinco de Mayo More Popular in America Than in Mexico ? '' . US News &amp; World Report . Retrieved 5 May 2018 .   Jump up ^ Lauren Effron ( May 5 , 2010 ) . `` Cinco de Mayo : NOT Mexico 's Independence Day '' . Discovery Channel . Retrieved May 5 , 2011 .   Jump up ^ Minster , Christopher ( December 16 , 2013 ) . `` Cinco De Mayo / The Battle of Puebla '' . About.com . Retrieved April 25 , 2016 .   ^ Jump up to : Herz , May . `` Cinco de Mayo '' . Inside Mexico . Retrieved May 5 , 2011 .   Jump up ^ `` Cinco de Mayo '' . History.com . Retrieved May 5 , 2011 .   Jump up ^ `` Cinco de Mayo '' . Mexico Online . April 25 , 2007 . Retrieved May 5 , 2011 .   Jump up ^ `` Cinco de Mayo : What 's all the fuss about ? '' Julia Goralka . The Washington Times . May 2 , 2012 . Retrieved November 15 , 2012 .   Jump up ^ Happy Cinco de Mayo -- Sorta . Ray Suarez . PBS News Hour . May 4 , 2012 . Retrieved October 28 , 2012 .   Jump up ^ Cinco de Mayo . Mexico Online : The Oldest and most trusted online guide to Mexico . Retrieved November 13 , 2012 .   Jump up ^ Cinco de Mayo . 2011 . The History Channel website . Retrieved May 5 , 2011 .   Jump up ^ The Significance of `` Cinco de Mayo '' . Ignacio González. 1996 . Retrieved November 15 , 2012 .   Jump up ^ Cinco de Mayo - The Backstory . Archived May 13 , 2013 , at the Wayback Machine . Tony Azios . ' Llero . Jaws Communications . 2010 . Retrieved November 15 , 2012 .   Jump up ^ Cheryl VanBuskirk ( May 7 , 2009 ) . `` Cinco De Mayo : Join In The Celebration On The Fifth Of May '' . The Bulletin : Philadelphia 's Family Newspaper . Archived from the original on May 11 , 2009 . Retrieved May 10 , 2010 .   Jump up ^ History Channel.com . Retrieved May 14 , 2010 .   ^ Jump up to : Happy Cinco de Mayo : Top 10 Drunkest Holidays ... Time . By Frances Romero . Wednesday , May . 05 , 2010 ... Retrieved May 14 , 2010 .   Jump up ^ `` Cinco de Mayo '' . Mexico Online . April 25 , 2007 . Retrieved May 5 , 2011 .   ^ Jump up to : `` Cinco de Mayo '' . Mexico Online : The Oldest and most trusted online guide to Mexico .   Jump up ^ Michael C. Meyer ; William H. Beezley ( 2000 ) . The Oxford History of Mexico . Oxford University Press . pp. 387 -- 8 .   ^ Jump up to : Cinco De Mayo : Join In The Celebration On The Fifth Of May . Archived May 11 , 2009 , at the Wayback Machine . Cheryl VanBuskirk . The Bulletin : Philadelphia 's Family Newspaper . Philadelphia , Pennsylvania , US . May 7 , 2009 . Retrieved June 5 , 2009 .   Jump up ^ The Battle of Puebla and Cinco de Mayo . PBS . Retrieved February 6 , 2009 .   Jump up ^ Cinco De Mayo : Join In The Celebration On The Fifth Of May . Archived May 11 , 2009 , at the Wayback Machine . Cheryl VanBuskirk . The Bulletin : Philadelphia 's Family Newspaper , May 7 , 2009 . Retrieved June 5 , 2009 .   Jump up ^ `` Mexico 's Lasting European Influence . By Jose Antonio Burciaga . Free Lance - Star Publishing . May , 2007 . ( First released in The Hispanic News Link. 1981 . ) '' . Banderasnews.com . Retrieved May 5 , 2011 .   Jump up ^ Robert L. Bidwell ( Apr 1971 ) . `` The Political Evolution of the Mexican People . By Justo Sierra . Translated by Charles Ramsdell . Austin , TX : The University of Texas Press . 1969 '' . Journal of Interamerican Studies and World Affairs . Center for Latin American Studies at the University of Miami . 13 ( 2 ) : 306 -- 308 . JSTOR 174689 .   ^ Jump up to : Southern California Quarterly `` Cinco de Mayo 's First Seventy - Five Years in Alta California : From Spontaneous Behavior to Sedimented Memory , 1862 to 1937 '' Spring 2007 ( see American observation of Cinco de Mayo started in California ) Retrieved October 30 , 2007 .   Jump up ^ Hayes - Bautista , David E. ( April 2009 ) . `` Cinco de Mayo : The Real Story '' . EGP News . Eastern Group Publications . Retrieved June 2 , 2016 . Far up in the gold country town of Columbia ( now Columbia State Park ) Mexican miners were so overjoyed at the news that they spontaneously fired off rifles shots and fireworks , sang patriotic songs and made impromptu speeches .   Jump up ^ Cinco de Mayo minor holiday in Mexico . UPI . World News . May 5 , 2010 . Retrieved May 15 , 2010 . Verified March 20 , 2013 .   Jump up ^ Cesares , Oscar ( May 5 , 2010 ) . `` Holiday of Cinco de Mayo is minor event in Mexico '' . Houston Chronicle . Retrieved May 15 , 2010 .   Jump up ^ `` Cinco de Mayo '' . History.com . Retrieved March 10 , 2013 .   Jump up ^ Lovgren , Stefan . `` Cinco de Mayo History : From Bloodshed to Beer Fest '' . National Geographic . Los Angeles . Retrieved May 5 , 2011 .   Jump up ^ Canalis , John ( April 26 , 1992 ) . L.A. hosts nation 's biggest Cinco de Mayo party . UPI Archives . Retrieved August 22 , 2016 .   Jump up ^ Jamison , Peter ( April 24 , 2016 ) . With thinner crowds in a smaller space , Fiesta Broadway feels deeply diminished . Los Angeles Times . Retrieved August 22 , 2016 .   Jump up ^ Library of Congress ( U.S.A. ) Declaration . Retrieved February 6 , 2009 .   Jump up ^ Kane , Courtney ( May 2 , 2003 ) . `` Marketers extend their holiday efforts to a Mexican celebration and even to Lent '' . The New York Times . Retrieved April 25 , 2016 . ( Cinco de Mayo ) gives us an opportunity ... to really get a jump - start on the summer beer - selling season   Jump up ^ `` Constellation Brands and Crown Imports Ring in Cinco de Mayo at New York Stock Exchange '' . ACNNewswire.com . Victor , New York : Asian Corporate News Network . May 3 , 2012 . Retrieved May 8 , 2012 .   Jump up ^ Salem , Nancy ( May 4 , 2007 ) . `` Cinco de Mayo 's history neglected ; it 's an excuse to party '' . The Albuquerque Tribune . Archived from the original on September 14 , 2007 . Retrieved April 25 , 2016 . From my perspective as a marketing professional , Cinco de Mayo has morphed into a national holiday designed by Fifth Avenue to sell alcohol and excite consumership around a party - type theme   Jump up ^ Alamillo , José M. `` Contesting Cinco de Mayo : Cultural Politics and Commercialization of Ethnic Festivals , 1930 -- 1950 '' . Smithsonian Institution . Retrieved May 8 , 2007 . Cinco de Mayo is not just a fiesta anymore , the gringos have taken it on as a good sales pitch   Jump up ^ `` What Is Cinco de Mayo ? '' . The New York Times . 5 May 2018 . Retrieved 6 May 2018 .   Jump up ^ Did You Know ? Cinco de Mayo is more widely celebrated in USA than Mexico . Tony Burton . Mexconnect . Retrieved May 8 , 2013 .   Jump up ^ Cultural adaptation : the Cinco de Mayo holiday is far more widely celebrated in the USA than in Mexico . Geo - Mexico . May 2 , 2011 . Retrieved May 8 , 2013 .   Jump up ^ 25 Latino Craft Projects : Celebrating Culture in Your Library . Ana Elba Pabon . Diana Borrego. 2003 . American Library Association . Page 14 . Retrieved May 8 , 2013 .   Jump up ^ 7 Things You May Not Know About Cinco de Mayo . Jesse Greenspan . May 3 , 2012 . Retrieved May 8 , 2013 .   Jump up ^ Congressional Record -- House . Page 7488 . 9 May 2001 . Retrieved May 8 , 2013 . Note that contrary to most other sources , this source states the date Juarez declared Cinco de Mayo to be a national holiday was September 8 , 1862 .   Jump up ^ Holidays 2013 . Archived May 13 , 2013 , at the Wayback Machine . U.S. Consulate in Mexico . Retrieved April 16 , 2013 .   Jump up ^ Los días de 2013 que , por ley , debes descansar . January 9 , 2013 . Retrieved April 16 , 2013 .   Jump up ^ Calendario Escolar 2012 -- 2013 . Archived April 13 , 2013 , at the Wayback Machine . Secretaria de Educacion Publica . Government of Mexico . Retrieved April 16 , 2013 .   Jump up ^ Calendario Puebla 2012 ... Retrieved April 16 , 2013 .   Jump up ^ Circular 0077 - 13 Calendario Oficial de Días Festivos 2013 . Adelante . Gobierno del Estado de Veracruz . January 16 , 2013 . Retrieved April 16 , 2013 .   ^ Jump up to : `` How people actually celebrate Cinco de Mayo in Mexico '' . Business Insider . Retrieved May 3 , 2017 .   Jump up ^ `` Peña Nieto no estará en Puebla para desfile del 5 de Mayo ; conmemora Batalla en Campo Marte '' . SDPnoticias.com ( in Spanish ) . May 5 , 2015 .   Jump up ^ `` Cinco de Mayo at Kensington Court -- Eyes on Windsor '' . eyesonwindsor.com . Retrieved May 3 , 2017 .   Jump up ^ `` Windsor Cinco de Mayo Celebration 2017 Windsor , CA -- Official Website '' . www.townofwindsor.com . Retrieved May 3 , 2017 .   Jump up ^ Canadian celebration Archived August 27 , 2012 , at the Wayback Machine. ; St. Albert , Canada 2012 celebration ; Montreal celebration . Retrieved May 8 , 2012 .   Jump up ^ `` Cinco de Mayo Skydiving Boogie 2008 '' . Abbotsford , British Columbia , Canada . Archived from the original on April 19 , 2008 . Retrieved May 5 , 2008 .   Jump up ^ Cayman Cinco de Mayo air guitar Archived January 16 , 2015 , at the Wayback Machine ... Retrieved May 5 , 2008 .   Jump up ^ Jamaica celebration Archived July 18 , 2012 , at the Wayback Machine ... Retrieved May 8 , 2012 .   Jump up ^ `` Brisbane Cinco de Mayo Mexican Festival '' ; Brisbane celebration Archived July 9 , 2012 , at the Wayback Machine .   Jump up ^ `` Where to Celebrate Cinco de Mayo in London '' . Retrieved May 8 , 2012 .   Jump up ^ Mexican Ambassador to New Zealand honors Cinco de Mayo . Retrieved May 8 , 2012 .   Jump up ^ Cinco de Mayo in South Africa Retrieved May 5 , 2016   Jump up ^ Cinco de Mayo in Lagos , Nigeria Retrieved May 5 , 2016   Jump up ^ `` El cinco de mayo -- Paris -- jeudi 05 mai '' After Work . Retrieved May 8 , 2012 .   Jump up ^ Cinco de Mayo festivals in Osaka and Tokyo Retrieved May 5 , 2016   Jump up ^ `` Cinco De Mayo Festival in Tokyo '' Archived February 22 , 2014 , at the Wayback Machine . JapanBases.com . Retrieved August 16 , 2013 .   Jump up ^ `` Cinco de Mayo 2013 : Celebrating the Americas '' Cinco de Mayo Festival . Retrieved August 16 , 2013 .    Sources    Hayes - Bautista , David E. El Cinco de Mayo : An American Tradition ( University of California Press ; 2012 ) 293 pages    External links ( edit )       Wikimedia Commons has media related to Cinco de Mayo .      Cinco De Mayo Videos on The History Channel   Cinco De Mayo Quick Facts   `` Cinco de Mayo is NOT Mexican Independence Day ? '' on The Law Library of Congress 's blog   `` Origin of the Cinco De Mayo celebration '' -- Mexican American News / Xcano Media              Public holidays in Mexico     Statutory holidays     Año Nuevo   Día de la Constitución   Natalicio de Benito Juárez   Día del Trabajo   Día de Independencia   Día de la Revolución   Transmisión del Poder Ejecutivo Federal   Navidad       Civic holidays     Día del Ejército   Día de la Bandera   Aniversario de la Expropiación petrolera   Heroica Defensa de Veracruz   Cinco de Mayo   Natalicio de Miguel Hidalgo   Día de la Marina   Grito de Dolores   Día de los Niños Héroes   Consumación de la Independencia   Natalicio de José Ma . Morelos y Pavón   Descubrimiento de América       Festivities     Día de los Santos Reyes   Día de San Valentín   Día del Niño   Día de las Madres   Día del Maestro   Día del estudiante   Día del Padre   Día de Todos los Santos   Día de los Fieles Difuntos   Día de la Virgen de Guadalupe   Las Posadas   Nochebuena   Dia de los Santos Inocentes                 Holidays , observances , and celebrations in the United States     January     New Year 's Day ( federal )   Martin Luther King Jr . Day ( federal )     Confederate Heroes Day ( TX )   Fred Korematsu Day ( CA , FL , HI , VA )   Idaho Human Rights Day ( ID )   Inauguration Day ( federal quadrennial , DC area )   Kansas Day ( KS )   Lee -- Jackson Day ( formerly Lee -- Jackson -- King Day ) ( VA )   Robert E. Lee Day ( FL )   Stephen Foster Memorial Day ( 36 )   The Eighth ( LA , former federal )       January -- February     Super Bowl Sunday       February American Heart Month Black History Month     Washington 's Birthday / Presidents ' Day ( federal )   Valentine 's Day     Georgia Day ( GA )   Groundhog Day   Lincoln 's Birthday ( CA , CT , IL , IN , MO , NJ , NY , WV )   National Girls and Women in Sports Day   National Freedom Day ( 36 )   Primary Election Day ( WI )   Ronald Reagan Day ( CA )   Rosa Parks Day ( CA , MO )   Susan B. Anthony Day ( CA , FL , NY , WI , WV , proposed federal )       February -- March     Mardi Gras     Ash Wednesday ( religious )   Courir de Mardi Gras ( religious )   Super Tuesday       March Irish - American Heritage Month National Colon Cancer Awareness Month Women 's History Month     St. Patrick 's Day ( religious )   Spring break ( week )     Casimir Pulaski Day ( IL )   Cesar Chavez Day ( CA , CO , TX , proposed federal )   Evacuation Day ( Suffolk County , MA )   Harriet Tubman Day ( NY )   Holi ( NY , religious )   Mardi Gras ( AL ( in two counties ) , LA )   Maryland Day ( MD )   National Poison Prevention Week ( week )   Prince Jonah Kūhiō Kalanianaʻole Day ( HI )   Saint Joseph 's Day ( religious )   Seward 's Day ( AK )   Texas Independence Day ( TX )   Town Meeting Day ( VT )       March -- April     Easter ( religious )     Palm Sunday ( religious )   Passover ( religious )   Good Friday ( CT , NC , PR , religious )   Easter Monday ( religious )       April Confederate History Month     420 Day   April Fools ' Day   Arbor Day   Confederate Memorial Day ( AL , MS )   Days of Remembrance of the Victims of the Holocaust ( week )   Earth Day   Emancipation Day ( DC )   Thomas Jefferson 's Birthday ( AL )   Pascua Florida ( FL )   Patriots ' Day ( MA , ME )   San Jacinto Day ( TX )   Siblings Day   Walpurgis Night ( religious )       May Asian Pacific American Heritage Month Jewish American Heritage Month     Memorial Day ( federal )   Mother 's Day ( 36 )   Cinco de Mayo     Harvey Milk Day ( CA )   Law Day ( 36 )   Loyalty Day ( 36 )   Malcolm X Day ( CA , IL , proposed federal )   May Day   Military Spouse Day   National Day of Prayer ( 36 )   National Defense Transportation Day ( 36 )   National Maritime Day ( 36 )   Peace Officers Memorial Day ( 36 )   Truman Day ( MO )       June Lesbian , Gay , Bisexual and Transgender Pride Month     Father 's Day ( 36 )     Bunker Hill Day ( Suffolk County , MA )   Carolina Day ( SC )   Emancipation Day In Texas / Juneteenth ( TX )   Flag Day ( 36 , proposed federal )   Helen Keller Day ( PA )   Honor America Days ( 3 weeks )   Jefferson Davis Day ( AL , FL )   Kamehameha Day ( HI )   Odunde Festival ( Philadelphia , PA )   Senior Week ( week )   West Virginia Day ( WV )       July     Independence Day ( federal )     Lā Hoʻihoʻi Ea ( HI , unofficial )   Parents ' Day ( 36 )   Pioneer Day ( UT )       July -- August     Summer vacation       August     American Family Day ( AZ )   Barack Obama Day ( IL )   Bennington Battle Day ( VT )   Hawaii Admission Day / Statehood Day ( HI )   Lyndon Baines Johnson Day ( TX )   National Aviation Day ( 36 )   Service Reduction Day ( MD )   Victory over Japan Day ( RI , former federal )   Women 's Equality Day ( 36 )       September Prostate Cancer Awareness Month     Labor Day ( federal )     California Admission Day ( CA )   Carl Garner Federal Lands Cleanup Day ( 36 )   Constitution Day ( 36 )   Constitution Week ( week )   Defenders Day ( MD )   Gold Star Mother 's Day ( 36 )   National Grandparents Day ( 36 )   National Payroll Week ( week )   Native American Day ( CA , TN , proposed federal )   Patriot Day ( 36 )       September -- October Hispanic Heritage Month     Oktoberfest     Rosh Hashanah ( religious )   Yom Kippur ( religious )       October Breast Cancer Awareness Month Disability Employment Awareness Month Filipino American History Month LGBT History Month     Columbus Day ( federal )   Halloween     Alaska Day ( AK )   Child Health Day ( 36 )   General Pulaski Memorial Day   German - American Day   Indigenous Peoples ' Day ( VT )   International Day of Non-Violence   Leif Erikson Day ( 36 )   Missouri Day ( MO )   National School Lunch Week   Native American Day ( SD )   Nevada Day ( NV )   Sweetest Day   White Cane Safety Day ( 36 )       October -- November     Diwali ( religious )       November Native American Indian Heritage Month     Veterans Day ( federal )   Thanksgiving ( federal )     Day after Thanksgiving ( 24 )   Election Day ( CA , DE , HI , KY , MT , NJ , NY , OH , PR , WV , proposed federal )   Family Day ( NV )   Hanukkah ( religious )   Lā Kūʻokoʻa ( HI , unofficial )   Native American Heritage Day ( MD , WA )   Obama Day ( Perry County , AL )       December     Christmas ( religious , federal )     Alabama Day ( AL )   Christmas Eve ( KY , NC , SC )   Day after Christmas ( KY , NC , SC , TX )   Festivus   Hanukkah ( religious , week )   Indiana Day ( IN )   Kwanzaa ( religious , week )   National Pearl Harbor Remembrance Day ( 36 )   New Year 's Eve   Pan American Aviation Day ( 36 )   Rosa Parks Day ( OH , OR )   Wright Brothers Day ( 36 )       Varies ( year round )     Eid al - Adha ( religious )   Eid al - Fitr ( religious )   Ramadan ( religious , month )       Legend :  ( federal ) = federal holidays , ( state ) = state holidays , ( religious ) = religious holidays , ( week ) = weeklong holidays , ( month ) = monthlong holidays , ( 36 ) = Title 36 Observances and Ceremonies Bold indicates major holidays commonly celebrated in the United States , which often represent the major celebrations of the month .  See also : Lists of holidays , Hallmark holidays , public holidays in the United States , New Jersey , New York , Puerto Rico and the United States Virgin Islands .    Retrieved from `` https://en.wikipedia.org/w/index.php?title=Cinco_de_Mayo&amp;oldid=842489882 '' Categories :   Public holidays in Mexico   Public holidays in the United States   May observances   Mexican - American culture   Second French intervention in Mexico   Remembrance days   Spring ( season ) events in Mexico </t>
  </si>
  <si>
    <t xml:space="preserve">where did the cinco de mayo celebration originate</t>
  </si>
  <si>
    <t xml:space="preserve"> Cinco de Mayo ( pronounced ( ˈsiŋko ðe ˈmaʝo ) in Latin America , Spanish for `` Fifth of May '' ) is an annual celebration held on May 5 . The date is observed to commemorate the Mexican Army 's unlikely victory over the French Empire at the Battle of Puebla , on May 5 , 1862 , under the leadership of General Ignacio Zaragoza . </t>
  </si>
  <si>
    <t xml:space="preserve">San Joaquin Valley - wikipedia  San Joaquin Valley     San Joaquin Valley     San Joaquin Valley     A map of the counties encompassing the San Joaquin Valley ecoregion     Location   California , United States     Geography     Bounded by   Sierra Nevada ( east ) , Sacramento -- San Joaquin River Delta ( north ) , Coast Range , San Francisco Bay ( west ) , Tehachapi Mountains ( south )     Coordinates   36 ° 37 ′ 44 '' N 120 ° 11 ′ 06 '' W ﻿ / ﻿ 36.62889 ° N 120.18500 ° W ﻿ / 36.62889 ; - 120.18500 Coordinates : 36 ° 37 ′ 44 '' N 120 ° 11 ′ 06 '' W ﻿ / ﻿ 36.62889 ° N 120.18500 ° W ﻿ / 36.62889 ; - 120.18500     Population centers   Stockton , Porterville , Modesto , Turlock , Merced , Fresno , Visalia , Bakersfield , Clovis     Traversed by   Interstate 5 , State Route 99     Watercourses   San Joaquin River    The San Joaquin River and its tributaries , showing the extent of the valley .  The San Joaquin Valley ( / ˌsæn hw ɑː ˈkiːn / SAN whah - KEEN ) is the area of the Central Valley of the U.S. state of California that lies south of the Sacramento -- San Joaquin River Delta and is drained by the San Joaquin River . It comprises seven Northern California counties -- all of Kings County ; a majority of Fresno , Merced , Stanislaus counties ; segments of Madera and Tulare counties -- and a majority of Kern County , in Southern California . Although a majority of the valley is rural , it does contain cities such as Fresno , Bakersfield , Stockton , Modesto , Turlock , Porterville , Visalia , Merced , and Hanford .   San Joaquin Valley was originally inhabited by the Yokuts and Miwok peoples . The first European to enter the valley was Pedro Fages in 1772 .     Contents  ( hide )   1 Geography   1.1 Geological history   1.2 Climate     2 Population   3 Economy   3.1 Agriculture   3.2 Petroleum   3.3 Culture   3.4 Other major industries and employers   3.5 Poverty   3.6 Ethnic and cultural groups   3.6. 1 Mexicans / Chicanos   3.6. 2 European and Asian groups   3.6. 3 African Americans   3.6. 4 Okies and Arkies     3.7 Recent changes     4 Educational institutions   5 Transportation   5.1 Roads   5.2 Rail     6 Pollution   6.1 Air Pollution   6.2 Water Pollution   6.3 Nitrates in Groundwater   6.3. 1 High - intensity crop production   6.3. 2 Large dairy herds   6.3. 3 Possible solutions and alternatives   6.3. 4 Incidents of Nitrates in Groundwater       7 Medical interest   8 Cities and counties   8.1 Cities with more than 500,000 inhabitants   8.2 Cities with 100,000 to 500,000 inhabitants   8.3 Cities with 20,000 to 100,000 inhabitants   8.4 Cities with fewer than 20,000 inhabitants     9 In popular culture   10 See also   11 External links   12 References      Geography ( edit )   The San Joaquin Valley extends from the Sacramento -- San Joaquin River Delta in the north to the Tehachapi Mountains in the south , and from the various California coastal ranges ( from the Diablo Range in the north to the Temblor Range in the south ) in the west to the Sierra Nevada in the east . Unlike the Sacramento Valley , the river system for which the San Joaquin Valley is named does not extend very far along the valley . Most of the valley south of Fresno , instead , drains into Tulare Lake , which no longer exists continuously due to diversion of its sources . The valley 's primary river is the San Joaquin , which drains north through about half of the valley into the Sacramento -- San Joaquin River Delta . The Kings and Kern Rivers are in the southern endorheic basin of the valley , all of which have been largely diverted for agricultural uses and are mostly dry in their lower reaches .   Geological history ( edit )   The San Joaquin Valley began to form about 66 million years ago during the early Paleocene era . Broad fluctuations in the sea level caused various areas of the valley to be flooded with ocean water for the next 60 million years . About 5 million years ago , the marine outlets began to close due to uplift of the coastal ranges and the deposition of sediment in the valley . Starting 2 million years ago , a series of glacial episodes periodically caused much of the valley to become a fresh water lake . Lake Corcoran was the last widespread lake to fill the valley about 700,000 years ago . At the beginning of the Holocene there were three major lakes remaining in the southern part of the Valley , Tulare Lake , Buena Vista Lake and Kern Lake . In the late 19th and in the 20th century , agricultural diversion of the Kern River eventually dried out these lakes . Today , only a fragment of Buena Vista Lake remains as two small lakes Lake Webb and Lake Evans in a portion of the former Buena Vista Lakebed   Climate ( edit )  See also : Climate change in California § Drought  The San Joaquin Valley has hot , dry summers and has historically enjoyed cool rainy winters characterized by dense tule fog . Its rainy season normally runs from November through April , but since 2011 when a drought became evident it generally received minimal to no rain at all . The drought was still extant by mid-August 2014 with scientists saying it would likely continue indefinitely , for anywhere from several years to several decades to come . As of February 2017 the majority of the Valley experienced a reprieve from the drought . However , as of February 2018 , much of the Valley appears to be headed back into drought along with much of the rest of the State .   In August 2015 , the Director of the California Department of Water Resources stated , `` Because of increased pumping , groundwater levels are reaching record lows -- up to 100 feet lower than previous records . '' Research from NASA shows that parts of the San Joaquin Valley sank as much as 8 inches ( 0.20 m ) in a four - month period , and land near Corcoran sank 13 inches ( 0.33 m ) in 8 months . The sinking has destroyed thousands of groundwater well casings and has the potential to damage aqueducts , roads , bridges , and flood - control structures . In the long term , the subsidence caused by extracting groundwater could irreversibly reduce the underground aquifer 's water storage capacity , although immediate and short term needs are given higher priority and sense of urgency than long term sustainability .   The National Weather Service Forecast Office for the San Joaquin Valley is located in Hanford and includes a Doppler weather radar . Weather forecasts and climatological information for the San Joaquin Valley are available from its official website .   Population ( edit )   The total population of the eight counties comprising the San Joaquin Valley at the time of the 2011 - 2015 American Community Survey 5 - year Estimates by United States Census Bureau reported a population of 4,080,509 . The racial composition of San Joaquin Valley was 2,775,074 ( 68.0 % ) White , 193,694 ( 4.7 % ) Black or African American , 40,911 ( 1.0 % ) American Indian and Alaska Native , 310 , 557 ( 7.6 % ) Asian , 13,000 ( 0.32 % ) Native Hawaiian and other Pacific Islander , and 2,048,280 ( 50.2 % ) Hispanic or Latino .   The educational attainment of high school graduate or higher is 72.7 % .   Economy ( edit )   Agriculture ( edit )   By some estimates , federal restrictions on shallow well irrigation systems threaten the productivity of the San Joaquin Valley , which produces the majority of the 12.8 % of the United States ' agricultural production ( as measured by dollar value ) that comes from California . Grapes -- table , raisin , and to a lesser extent wine -- are perhaps the valley 's highest - profile product , but equally ( if not more ) important are cotton , nuts ( especially almonds and pistachios ) , citrus , and vegetables . Though it has been called `` The food basket of the World '' , the San Joaquin Valley has not been nationally recognized for the diversity of its produce . Walnuts , oranges , peaches , garlic , tangerines , tomatoes , kiwis , hay , alfalfa and numerous other crops have been harvested with great success . DeRuosi Nut , a large walnut processing plant in Escalon , has been in the valley since 1947 . Certain places are identified quite strongly with a given crop : Stockton produces the majority of the domestic asparagus consumed in the United States , and Fresno is the largest producer of raisins .   In spite of its agricultural productivity , the San Joaquin Valley has the state 's highest rate of food insecurity .   Cattle and sheep ranching are also vitally important to the valley 's economy . During the late 19th century and early 20th century , the Miller &amp; Lux corporation built an agricultural monopoly centered around cattle . The corporation can be characterized as a precursor to corporate farming transforming the yeoman farmer into wage workers . The success of the business can be attributed to his direct management style which is reflected in his detailed correspondences to his subordinates . During recent years , dairy farming has greatly expanded in importance . As areas such as Chino and Corona have become absorbed into the suburban sprawl of Los Angeles , many dairy farmers have cashed out and moved their herds to Kings , Tulare , and Kern counties .   Between 1990 and 2004 , 28,092 hectares ( 70,231 acres ) of agricultural land was lost to urban development in the San Joaquin Valley . Although there have been some token efforts at confronting the problems of ( sub ) urban sprawl , the politically Conservative climate of the Valley generally prefers traditional suburban sprawl type of growth such as low density housing and strip malls anchored by so - called big box stores and opposes measures such as `` Smart Growth '' , `` Transit Oriented Development '' , `` High Density Housing '' , and increased public transit such as light and commuter rail . By August 2014 , a three - year drought was prompting changes to the agriculture industry in the valley . Farmers began using complex irrigation systems and using treated waste water to feed crops , while many were switching from farming cotton to other commodities , chief among them , almonds .   Petroleum ( edit )  Map of Northern San Joaquin Valley Oil and Gas Fields Map of Southern San Joaquin Valley Oil and Gas Fields  California has long been one of the nation 's most important oil - producing states , and the San Joaquin Valley has long since eclipsed the Los Angeles Basin as the state 's primary oil production region . Scattered oil wells on small oil fields are found throughout the region , and several enormous extraction facilities -- most notably near Lost Hills and Taft , including the enormous Midway - Sunset Oil Field , the third - largest oil field in the United States -- are veritable forests of pumps .   Shell operated a major refinery in Bakersfield ; it was sold in 2005 to Flying J , a Salt Lake - based firm that operates truck stops and refineries . Flying J 's bankruptcy in 2009 resulted in the refinery being shut down .   The oil and gas fields in Kern County are receiving increased attention since the July 2009 announcement by Occidental Petroleum of significant discovery of oil and gas reserves Even prior to this discovery the region retains more oil reserves than any other part of California . Of California fields outside of the San Joaquin Valley , only the Wilmington Oil Field in Los Angeles County has untapped reserves greater than 100,000,000 barrels ( 16,000,000 m ) , while six fields in the San Joaquin Valley ( Midway - Sunset , Kern River , South Belridge , Elk Hills , Cymric , and Lost Hills ) each have reserves exceeding 100,000,000 barrels ( 16,000,000 m ) of oil .   Culture ( edit )   The San Joaquin Valley has been a major influence in American country , soul , nu metal , R&amp;B , and hip hop music particularly through the Bakersfield Sound , the Doowop Era , and the Bakersfield Rap Scene , also referred to as Central California Hip Hop , Central Valley Hip Hop , or Central California Rap , which are all subgenres of Gangsta rap , Bass - Rap , West Coast G - funk , and West Coast Hip hop which are all different styles of West Coast Rap . The Valley has been the home to many country , nu metal , and doo - wop musicians and singers , such as Buck Owens , Merle Haggard , Billy Mize , Korn , Red Simpson , Dennis Payne , The Maddox Brothers and Rose , The Paradons , The Colts , and the Sons of the San Joaquin . The San Joaquin Valley is also home to many Indie Hip Hop labels , R&amp;B singers , Jazz &amp; Funk musicians , and Hip Hop artist such as : Fashawn , Killa Tay , The Def Dames , Cali Agents , Planet Asia . The Valley also has a strong literary tradition , heavy in poetry , producing many famous poets such as Sherley Anne Williams , and Gary Soto , current U.S. Poet Laureate Juan Felipe Herrera , and David St. John . An MFA Creative Writing program started by former US Poet Laureate Philip Levine , resides at Fresno State , continuing to cultivate the region 's literary talent .       This article needs additional citations for verification . Please help improve this article by adding citations to reliable sources . Unsourced material may be challenged and removed . ( April 2009 ) ( Learn how and when to remove this template message )         This article includes a list of references , but its sources remain unclear because it has insufficient inline citations . Please help to improve this article by introducing more precise citations. ( April 2009 ) ( Learn how and when to remove this template message )     Other major industries and employers ( edit )   The isolation and vastness of the San Joaquin Valley , as well as its poverty and need for jobs , have led the state to build numerous prisons in the area . The most notable of these is Corcoran , whose inmates have included Charles Manson and Juan Corona . Other correctional facilities in the valley are at Avenal , Chowchilla , Tracy , Delano , Coalinga , and Wasco .   The only significant military base in the region is Naval Air Station Lemoore , a vast air base located 25 kilometres ( 16 mi ) WSW of Hanford . Unlike many of California 's other military installations , NAS Lemoore 's operational importance has increased in the 1990s and 2000s . The other , Castle Air Force Base , located near Atwater was closed during the Base Realignment and Closure of the 1990s . Although both are in Kern County , Edwards Air Force Base and China Lake Naval Air Weapons Station are located in the High Desert area of that county .   Poverty ( edit )   The United States Census Bureau issued a report entitled the American Community Survey in 2007 , which found that six San Joaquin Valley counties had the highest percentage of residents living below the federal poverty line in 2006 of any counties in California . The report also revealed that the same six counties were among the 52 counties with the highest poverty rate in the United States . The median income for a household in the valley was $46,713 . The poverty rate for individuals below the poverty level is 23.7 % . In most Valley cities crime rates such as burglary , theft , and assault tend to be significantly higher than the national averages .   Ethnic and cultural groups ( edit )  Mexicans / Chicanos ( edit ) César Chávez at a United Farmworkers rally , 1974  First - generation Mexican immigrants and well - established Chicanos are important populations in the San Joaquin Valley . Since not long after the onset of the bracero program during World War II , all but a minor percentage of the farmworkers in the region have been of Mexican ancestry . Ethnic and economic friction between Mexican - Americans and the valley 's predominantly white farming elite manifested itself most notably during the 1960s and 1970s , when the United Farm Workers , led by César Chávez , went on numerous strikes and called for boycotts of table grapes . The UFW generated enormous sympathy throughout the United States , even managing to terminate several agricultural mechanization projects at the United States Department of Agriculture . However , from the 1970s onward , landlords and large corporations have also hired undocumented immigrants . This has allowed them to increase their profits due to low overhead on wages .  European and Asian groups ( edit )  The San Joaquin Valley has -- by California standards -- an unusually large number of European , Middle Eastern , and Asian ethnicities in the heritage of its citizens . These communities are often quite large and , relative to Americans immigration patterns , quite eclectic : for example , there are more Azorean Portuguese in the San Joaquin Valley than in the Azores . Many groups are found in majorities in specific cities , and hardly anywhere else in the region . For example , Assyrians are concentrated in Turlock , Dutch in Ripon , Sikhs in Stockton and Livingston , and Croats in Delano . Kingsburg is famous for its distinctly Swedish air , having been founded by immigrants from that country . Ethnic groups found in a broader area are Portuguese , Armenians , Basques , and the `` Okies '' who migrated to California from the Midwest and South . Since the early 1970s East Indians of predominantly Punjabi , Gujrati and Southern India have settled in the valley communities . Most recently large numbers of Pakistanis have settled in Modesto and Lodi . In addition , the late 1970s and 80s saw an influx of immigrants from Indochina following the War in Vietnam . These immigrants , the majority of whom are Hmong , Thai , Laotian , Cambodian , and Vietnamese , have settled in the communities of Stockton , Modesto , Merced , and Fresno .   The Filipino American population is concentrated in Delano and Lathrop . Filipinos have a strong history in Stockton . Filipino organizations in Stockton are reflected in various commercial buildings identified as Filipino . Filipinos fought for the U.S. against Japan in WWII , in exchange for favorable immigration status . Stockton has been an adjunct to the San Francisco Bay Area , which was a major military production and transit area during WWII . Filipino emigration to Stockton followed .   These cultures are often the result of established ethnic communities and groups of immigrants coming to the United States at once . This is in part due to the founding of religious communes in the San Joaquin Valley : for example , the first permanent Sikh Gurdwara was founded in Stockton in 1915 . These cultures are very different and unique .  African Americans ( edit )  Colonel Allensworth State Historic Park marks the location of the only California town to be founded , financed and governed by African Americans . The small farming community was founded in 1908 by Lt. Colonel Allen Allensworth , Professor William Payne , William Peck , a minister , John W. Palmer , a miner , and Harry A. Mitchell , a real estate agent , dedicated to improving the economic and social status of African Americans . Uncontrollable circumstances , including a drop in the area 's water table , resulted in the town 's demise . The `` Allensworth Historic District '' is listed on the National Register of Historic Places . The park is in Allensworth , California , an unincorporated area in Tulare County , California , United States .  Okies and Arkies ( edit )  The Depression - era migrants to the San Joaquin Valley from the South and Midwest are one of the more well - known groups in the Central Valley , in large part due to the popularity of John Steinbeck 's novel The Grapes of Wrath and the Henry Fonda movie made from it . By 1910 , agriculture in the southern Great Plains had become nearly unviable due to soil erosion and poor rainfall . Much of the rural population of states such as Kansas , Texas , Oklahoma , and Arkansas left at this time , selling their land and moving to Chicago , Kansas City , Detroit , and fast - growing Los Angeles . Those who remained experienced continuing deterioration of conditions , which reached their nadir during the drought that began in the late 1920s and created the infamous Dust Bowl . ( Small cotton farmers in states such as Mississippi and Alabama suffered similar problems from the first major infestation of the boll weevil . ) When the onset of the Great Depression created a national banking crisis , family farmers -- usually heavily in debt -- often had their mortgages foreclosed by banks desperate to shore up their balance sheets . In response , many farmers loaded their families and portable possessions into their automobiles and drove west .   Taking Route 66 to Barstow or Los Angeles and crossing the Tehachapi or Tejon passes , they began new lives as fruit and vegetable pickers on truck farms in the San Joaquin Valley . Having gone from the relative independence of homesteading to a condition that was essentially peasantry , many of them lived in squalid agricultural camps and were deeply unhappy with their economic plight ; domestic disputes , crime , and suicide were rampant , and occasional riots broke out . New Deal measures alleviated some of these problems , albeit belatedly : by the time that The Grapes of Wrath drew public attention to the Okies ' plight , many of them had already left the valley . Those who did n't were gradually assimilated into California culture and society where many of them and their descendants became noted artists , tradesmen , educators , legislators and professional business people , and their influence remains strong in many parts of the Valley today , especially in the south near Bakersfield .   Many of the Okies and Arkies left the San Joaquin Valley during World War II , most of them going to Los Angeles , San Francisco and San Diego to work in war related industries . Many of those who stayed ended up in Bakersfield and Oildale , as the southern San Joaquin Valley became an important area of oil production after major Southern California oil fields such as Signal Hill began to dry up . Their influence remains strong : Bakersfield resembles a West Texas town such as Odessa or Lubbock far more than it resembles most other places in California . Country music legends Buck Owens and Merle Haggard came out of Bakersfield 's honky - tonk scene and created a hard - driving sound that is still deeply associated with the city .   Recent changes ( edit )   The California real estate boom that began in the late 1990s has significantly changed the San Joaquin Valley . Once distinctly and fiercely independent of Los Angeles and San Francisco , the area has seen increasing exurban development as the cost of living forces young families and small businesses further and further away from the coastal urban cores . Stockton , Modesto , Tracy , Manteca , and Los Banos are increasingly dominated by commuters to San Francisco and Silicon Valley , and the small farming towns to the south are finding themselves in the Bay Area 's orbit as well . Bakersfield , traditionally a boom - bust oil town once described by urban scholar Joel Kotkin as an `` American Abu Dhabi , '' has seen a massive influx of former Los Angeles business owners and commuters , to the extent that gated communities containing million - dollar homes are going up on the city 's outskirts . Wal - Mart , IKEA , Target , Amazon , CVS Pharmacy , Restoration Hardware , and other various large shipping firms have built huge distribution centers both in the southern end of the valley and northern part of the valley because of quick access to major interstates and low local wages . Further integration with the rest of the state is likely to continue for the foreseeable future .   See : Mountain House ( new town planned for 45,000 ) .   Educational institutions ( edit )  San Joaquin Valley `` Biblioteca Ambulante '' ( Traveling Library ) in 1972   University of California , Merced , Merced   California State University , Bakersfield , Bakersfield   California State University , Fresno , Fresno   California State University , Stanislaus , Turlock   Fresno Pacific University , Fresno   Humphreys College , Stockton   University of the Pacific , Stockton   Bakersfield College , Bakersfield   Cerro Coso Community College , Kern County and surrounding areas   College of the Sequoias , Visalia   Fresno City College , Fresno   Merced College , Merced   Modesto Junior College , Modesto   Porterville College , Porterville   Reedley College , Reedley   A.T. Still University , Porterville   San Joaquin College of Law , Clovis   San Joaquin Delta College , Stockton   Taft College , Taft   West Hills College Coalinga , Coalinga   West Hills College Lemoore , Lemoore    Transportation ( edit )   Roads ( edit )   Interstate 5 ( I - 5 ) and State Route 99 ( SR 99 , or just `` 99 '' ) each run along for almost the entire length of the San Joaquin Valley . I - 5 runs in the western part of the valley , bypassing the major population centers ( including Fresno , currently the largest U.S. city without an Interstate highway ) , while 99 runs through them . Both highways then merge at the southern end of valley en route to Los Angeles . When the Interstate Highway System was created in the 1950s , the decision was made to build I - 5 as an entirely then - new freeway bypass instead of upgrading the then - existing U.S. 99 . Since then , state and federal representatives have pushed to convert 99 to an Interstate , although this can not occur until all of the portions of 99 between I - 5 and the U.S. 50 junction in Sacramento are upgraded to freeway standards .   State Route 58 ( SR 58 ) , which is a freeway in Bakersfield and along most of its route until its terminus in Barstow , is an extremely important and very heavily traveled route for truckers from the valley and the Bay Area who want to cross the Sierra Nevada and leave California ( by way of Interstate 15 or Interstate 40 ) without having to climb Donner Pass or brave the traffic congestion of Los Angeles . Proposals have also been made to designate this highway as a western extension of I - 40 once the entirety of the route between Mojave and Barstow has been upgraded to a freeway . This would provide an Interstate connection for Bakersfield , currently the second - largest U.S. city without an Interstate . The most recent additions to this system are State Highway 168 and 180 . Route 168 begins at Fresno on Route 180 linking to Huntington Lake in the mountains through Clovis and many smaller communities . This route is part of the California Freeway and Expressway System ( 2 ) and is eligible for the State Scenic Highway System ( 3 ) . State Route 180 is a state highway in California , United States , which runs through the heart of the San Joaquin Valley from Mendota through Fresno to Kings Canyon National Park . A short piece near the eastern end , through the Grant Grove section of Kings Canyon National Park , is not state - maintained . The part east of unbuilt State Route 65 near Minkler is eligible for the State Scenic Highway System ; the road east of Dunlap is the Kings Canyon Scenic Byway , a Forest Service Byway .   Other important highways in the valley include State Route 46 ( SR 46 ) and State Route 41 ( SR 41 ) , which respectively link the California Central Coast with Bakersfield and Fresno ; State Route 33 , which runs south to north along the valley 's western rim and provides a connection to Ventura and Santa Barbara over the Santa Ynez Mountains ; and State Route 152 ( SR 152 ) , an important commuter route linking Silicon Valley with its fast - growing exurbs such as Los Banos .   Rail ( edit )   Amtrak provides rail service through the San Joaquin Valley .   Pollution ( edit )   Air pollution ( edit )   Hemmed in by mountains and rarely having strong winds to disperse smog , the San Joaquin Valley has long suffered from some of the United States ' worst air pollution . This pollution , exacerbated by stagnant weather , comes mainly from diesel and gasoline fueled vehicles and agricultural operations . Population growth has caused the San Joaquin Valley to rank with Los Angeles and Houston in most measures of air pollution . Only the Inland Empire region east of Los Angeles has worse overall air quality , and the San Joaquin Valley led the nation in 2004 in the number of days with quantities of ozone considered unhealthy by the Environmental Protection Agency . The San Joaquin Valley has been deemed an `` extreme non-attainment zone '' by the Environmental Protection Agency , meaning residents are exposed to air quality that is confirmed to be hazardous to human health . Although industrial activity , as well as driving , occurs year - round , the air pollution is worse in the winter . San Joaquin County has better air quality than any other region in the San Joaquin Valley , while the Sacramento region and Stanislaus County have the worst .  PM 2.5 Pollution Over Time  Water pollution ( edit )   Less water is used for irrigation than in the early 20th century due to Federal restrictions on shallow water irrigation . This results in seasonal run - off in wetter winters concentrated with fertilizer and contaminants from the air . Such run - off poses a biohazard without water treatment in the agricultural ditches themselves . Lack of such irrigation is also an economic burden as it restricts food production capability in the valley . In areas of endorheic evaporation of seasonal watercourses and of the water table in the flatter and closing parts of the valley , soil salination results where the upper layers of soil are impermeable . Fertility and economic viability of potentially highly fertile tracts such as the Tulare lake bed has been lost in order to provide a federal law solution to high Southern California water demand . Land owners in such areas may be able to farm again if water is piped from the far north of the state , however one of the main deterrents to this is that without advanced run - off treatment apparatus this would worsen the quality of the ground water in the valley .   Nitrates in groundwater ( edit )   San Joaquin Valley , within the Central Valley of California , is made up of eight counties that are well known for agriculture . Overuse of nitrogen fertilizers and irrigated agriculture is common , and according to Thomas Harter , the Chair for Water Resources Management and Policy at UC Davis , `` more than 80 pounds of nitrogen per acre per year may leach into groundwater beneath irrigated lands , usually as nitrates '' . Between the 1950s and 1980s , when nitrogen fertilizer use grew sixfold , nitrate concentrations in groundwater increased 2.5 times . Fertilizer runoffs contributes roughly 90 % of all nitrate inputs to the alluvial groundwater system . Within agriculture , the two major factors are High - Intensity Crop Production and Large Dairy Herds . Because these communities are cut off from larger water distribution , they are dependent on wells , making groundwater a source of drinking water for 90 % of San Joaquin Valley 's residents .  High - Intensity crop production ( edit )  Within the past century , farmers have been increasing their production to meet the high demand that a developed country requires . To help increase output and efficiency , farmers have been increasing the amount of fertilizers used , which means increasing the level of nitrates being used . However , only a fraction of the nitrogen in fertilizers is efficiently used to help produce crops . This has led to a greater concentration of nitrates and phosphates in the waters , contaminating and causing eutrophication of possible drinking water .  Large dairy herds ( edit )  Roaming dairy herds before the exponential demand of meat products and dairy has contributed an insignificant amount of nitrate pollution to the underlying groundwater systems . However , within the past few decades , the increasing amount of cattle has been one of the main contributors of nitrate contamination in the groundwater systems of California . Roughly around 1960 , cattle were openly grazing pastures , and because of the large amount of lands which they roamed manure was not intensively managed . However , even though manure was not closely managed , `` Nitrogen excretion and deposition in pastures likely did not exceed pasture buffering capacity and had no significant leaching to groundwater '' It was not until the mid 1970s when the transition to dry - lot and free stall - based dairy farming , coupled with irrigated forage crops , that dairy herds were a contributor to nitrogen contamination .  Possible solutions and alternatives ( edit )  The large dairy herds create manure , which is used to create the fertilizers that is applied to the crop fields . Because of the exponential demand for cro</t>
  </si>
  <si>
    <t xml:space="preserve">where is the san joaquin valley located on a map</t>
  </si>
  <si>
    <t xml:space="preserve"> The San Joaquin Valley ( / ˌsæn hw ɑː ˈkiːn / SAN whah - KEEN ) is the area of the Central Valley of the U.S. state of California that lies south of the Sacramento -- San Joaquin River Delta and is drained by the San Joaquin River . It comprises seven Northern California counties -- all of Kings County ; a majority of Fresno , Merced , Stanislaus counties ; segments of Madera and Tulare counties -- and a majority of Kern County , in Southern California . Although a majority of the valley is rural , it does contain cities such as Fresno , Bakersfield , Stockton , Modesto , Turlock , Porterville , Visalia , Merced , and Hanford . </t>
  </si>
  <si>
    <t xml:space="preserve">Autograph - wikipedia  Autograph  Jump to : navigation , search For other uses , see Autograph ( disambiguation ) .      ( hide ) This article has multiple issues . Please help improve it or discuss these issues on the talk page . ( Learn how and when to remove these template messages )      The neutrality of this article is disputed . Relevant discussion may be found on the talk page . Please do not remove this message until conditions to do so are met . ( May 2015 ) ( Learn how and when to remove this template message )         This article possibly contains original research . Please improve it by verifying the claims made and adding inline citations . Statements consisting only of original research should be removed . ( May 2015 ) ( Learn how and when to remove this template message )         This article needs additional citations for verification . Please help improve this article by adding citations to reliable sources . Unsourced material may be challenged and removed . ( May 2015 ) ( Learn how and when to remove this template message )    ( Learn how and when to remove this template message )    John Hancock 's signature on the United States Declaration of Independence Autograph of Martin Luther . Actor Eric Bana autographing and posing with fans at the 2009 Tribeca Film Festival . Singer Anja Orthodox ( pl ) autographing the body of one of her fans .  An autograph ( from the Greek : αὐτός , autós , `` self '' and γράφω , gráphō , `` write '' ) is a document transcribed entirely in the handwriting of its author , as opposed to a typeset document or one written by an amanuensis or a copyist ; the meaning overlaps with that of the word holograph .   Autograph also refers to a famous person 's artistic signature . This term is used in particular for the practice of collecting autographs of celebrities . The hobby of collecting autographs is known as philography .   What might be considered the oldest `` autograph '' is a Sumerian clay table from about 3100 BC which includes the name of the scribe Gar. Ama . No ancient written autographs have been found , and the earliest one known for a major historical figure is that of El Cid from 1098 .     Contents  ( hide )   1 Categories of celebrities   2 Commercialization   3 Secretarial signatures   4 Autopen autographing   5 Forged autographs   5.1 Deceptive devices   5.2 Other authenticity issues   5.3 Authentication     6 Copyright status of signatures   7 Glossary   8 See also   9 References   10 Further reading   11 External links      Categories of celebrities ( edit )  A rugby ball signed by all of the All Blacks 2006 Tri Nations Series squad Boxing autograph collection  Some of the most popular categories of autograph subjects are presidents , military soldiers , athletes , movie stars , artists , social and religious leaders , scientists , astronauts and authors .   Some collectors may specialize in specific fields ( such as Nobel Prize winners ) or general topics ( military leaders participating in World War I ) or specific documents ( i.e. , signers of the Charter of the United Nations ; signers of the U.S. Constitution ; signers of the Israeli Declaration of Independence ; signers of the Charter of the European Common Union ; signers of the World War II German or Japanese surrender documents ) .   Sports memorabilia signed by a whole team can often be sold for hundreds or thousands of dollars .   Commercialization ( edit )   Some celebrities still enjoy signing autographs for free for fans , keeping it an interesting hobby .   Many people who stand outside premieres , asking for autographs are actually professional autograph traders , who make their living or supplement their income by selling them for full profit , rather than keeping them as a personal souvenir . This is one of the main reasons why some celebrities will only distribute their signatures for a price . Joe DiMaggio was able to command more money on signing fees than he made in his playing career , though he also gave individual autographs . Bill Russell does not sign at all in public , and only sparingly at private sessions . Michael Jordan reportedly did not sign for most of his career because of safety concerns about frenzied attempts to get his signature , which is worth hundreds of dollars . Jordan has frequently signed at more peaceful events , such as golf tournaments . Pete Rose was paid to sign 30 baseballs with the inscription `` I 'm sorry I bet on baseball . '' In the 1980s , actor / comedian Steve Martin carried business cards which he handed out to fans requesting an autograph ; the cards read `` This certifies that you have had a personal encounter with me and that you found me warm , polite , intelligent and funny . ''   Realizing the potential profit in the sale of pop culture autographs , many dealers also would wait for hours for a celebrity to emerge from a location , present several photos for the celebrity to sign and then sell most of them . Michael Jackson 's experience was typical ; he often signed just a handful of autographs as he rushed from his hotel to his vehicle . Some collectors take note of which celebrities are the most gracious or the least forthcoming . Some dealers would locate a celebrity 's home address and write to them repeatedly asking for autographs . The celebrities soon grew tired of the practice and limited their responses . Because of the many autographs a celebrity might sign over time , some check requests against a record of past requests . Boxer George Foreman , for instance , records the names and addresses of every person requesting an autograph to limit such abuses . Canadian sculptor Christian Cardell Corbet has his assistant research all requested autographs and also records all sent out . Some famous people flatly refuse to autograph anything for fans , such as the actors Paul Newman and Greta Garbo , and the aviator Charles A. Lindbergh .   Secretarial signatures ( edit )   Celebrities sometimes authorized secretaries to sign their correspondence . In the early months of World War II , U.S. Army Chief of Staff George C. Marshall felt obligated to sign every condolence letter sent to the families of slain soldiers . But as the death rate increased , he was forced to assign an assistant to `` forge '' his signature to the letters . The surrogate signatures were hard to distinguish from the originals . General Douglas MacArthur rarely signed a WWII condolence letter personally and all of his letters to families were signed by one of two assistants who tried hard to duplicate his signature but the forged signatures were distinguished by an unusually high letter `` l '' and a skinny `` D '' . During the early stage of the Korean War , MacArthur personally signed condolence letters . As the fatalities increased , the General began to use letters with pre-printed signatures .   In the 1952 U.S. presidential election , General Dwight D. Eisenhower often had secretaries forge his name to campaign letters and `` personally inscribed '' autographed photographs .   Player signatures on baseballs and footballs that are actually signed by coaches and ballboys are called clubhouse signatures .   Autopen autographing ( edit )  Portrait of U.S. President Richard Nixon with autopen signature  Since the early 1950s almost all American presidents have had an autopen or robot machine for the automatic signing of a signature as an autograph machine for their letters , photographs , books , official documents , and even memorabilia items such as baseballs and golf balls . Some former presidents even have continued to utilize the autopen after they have left office . The Signa - Signer can even write out in ink an authentically looking handwritten message that has been typed into the machine . One book detailing the use of this machine by President John F. Kennedy ( 1961 -- 63 ) is The Robot That Helped to Make a President .   Since the 1960s , the practice of using an autopen has spread to U.S. Cabinet members , U.S. Senators , some state governors , and many other personalities who have a high volume of correspondence with the public .   Astronaut Alan Shepard acknowledged that NASA used the autopen machine to sign the astronauts ' voluminous correspondence . Many large corporations also use these machines for signing business letters . One might think that autopen signatures would constantly match one another . However , even autopen signatures will eventually change as the signature drum becomes worn and thereby alters the signature . Due to these professional imitations , one must be wary of buying presidential or astronaut signatures from unknown sellers .   Forged autographs ( edit )   Autograph collecting is an enthralling hobby to collectors , who enjoy assembling a series of historical documents , letters or objects that have been signed or autographed by a notable person as a way of capturing a piece of history . However , collectors must be aware that the hobby is fraught with documents , photographs and sports items that were signed by forgers seeking to profit by selling forged items to unwitting buyers . Sometimes just the signature has been forged , in other instances the entire document has been fabricated . Forged autographs of nearly all famous personalities abound . Differentiating forged from authentic autographs is almost impossible for the amateur collector and a professional should be consulted .   One method commonly seen on eBay is called `` preprinting '' by many sellers . The item is only a photocopy of an actual autographed photo , usually printed on glossy home photo paper . Since this is almost always disclosed to the buyer , some may not consider these actual forgeries . In October 2012 Chad Richard Baldwin of Gresham Oregon was sentenced to 2 years in prison for the sale of forged Babe Ruth and Beatles autographs . Mr. Baldwin is a highly skilled forger of sports memorabilia .   Forgers may go to great lengths to make their forgeries appear authentic . Some use blank end papers from old books upon which to write their fake signatures in an attempt to match the paper of the era in which the personality lived . They have researched ink formulations of the era that they want to replicate . One book that explores the production of impressive fake manuscripts pertaining to Mormons is A Gathering of Saints by Robert Lindsey .   One must know the era in which American presidents signed their documents . American presidents signed land grants until President Andrew Jackson ( c. 1836 ) became bored with the time - consuming task . Since then secretaries of the president have mimicked their masters ' signatures on these documents ( known as `` proxy '' signatures ) . Many movie stars have their secretaries sign their letters and photographs for them . When President Ronald Reagan was an actor during the 1940s , he had his mother sign his name to much of his fan mail .   During the American Civil War ( 1861 -- 1865 ) , the president of the Confederate States of America was Jefferson Davis . Due to his extensive correspondence , Davis ' wife frequently signed his name to his dictated letters . As she duplicated his signature so well , she usually placed a period after the signature so that he could discern her signatures from his own .   All of the Union and Confederate generals from the American Civil War have had their signatures forged . Many were faked during the 1880s , a period that included the fad of aging soldiers in collecting Civil War autographs . Most deceptions were of mere signatures on a small piece of paper , but extensively written letters were forged as well . Autograph collectors should be cautious of clipped signatures . The bogus autograph is glued onto an authentic steel - engraved portrait of the subject . Some steel engravings may have reprinted the autograph of the portrayed subject ; this is known as a facsimile autograph , and to an uninformed buyer it may appear to be real .   Deceptive devices ( edit )   Some personalities have used a rubber or steel hand - stamp to `` sign '' their documents . American President Andrew Johnson ( c. 1866 ) did so during his tenure as a senator prior to assuming the presidency , since his right hand was injured in a train accident . This is why his autograph as President differs from previous autographs . President Warren Harding frequently used a rubber stamp while he was a senator . Presidents Theodore Roosevelt and Franklin Delano Roosevelt used them , along with President Woodrow Wilson ( c. 1916 ) . England 's King Henry VIII and Pennsylvania colony founder William Penn used a deceiving hand stamp .   Joseph Stalin had several rubber signature stamps which were used on awards and Communist party cards . Nikita Khrushchev and Lavrenti Beria , the KGB Chief , used similar stamps .   Quality forgeries have been made for many of Europe 's past rulers . The French nobles had their secrétaires sign their documents . Many forgeries of Napoleon 's ( c. 1800 ) war orders exist ; he was so busy with battle concerns that he barely had enough time to sign promotion orders for generals , so his scribes applied his name to lesser documents .   Many famous scientists , astronauts , Arctic explorers , musicians , poets , and literary authors have had forgeries of their epistles and signatures produced . False signatures of Charles Lindbergh were clandestinely signed onto real 1930 - era airmail envelopes bought at stamp shops and then re-sold to unwary buyers ; the same has occurred with Amelia Earhart and the Wright brothers . `` Mickey Mouse '' creator , Walt Disney ( 1955 ) , had several of his cartoonists duplicate his artistic signature on replies to children seeking his autograph . ( Disney 's actual autograph was distinctly different from the way it appears in his cartoons . )   Texan paper currency was signed in ink by Sam Houston , though not handwritten by Houston himself .   The October 1986 Smithsonian magazine explored the `` melting timepieces '' artwork of the Spanish painter Salvador Dalí . It quoted one of his secretaries as claiming that she signed the artist 's signature to postcard depictions of his paintings . Another article in the April 2005 Smithsonian noted : `` In 1965 he began selling signed sheets of otherwise blank lithograph paper for $10 a sheet . He may have signed well over 50,000 in the remaining quarter century of his life , an action that resulted in a flood of Dalí lithograph forgeries . ''   Some deceivers cut pages from books that American President Richard Nixon ( c. 1970 ) signed on the blank flyleaf , typed his letter of resignation from the presidency on that signed page , and then sold the doctored item as if Nixon had personally signed a scarce copy of the historical document . The miscreant has changed the value of a lower - priced signed book quite easily to a much more lucrative item ; changing a mere signature into a signed manuscript . This practice has expanded to include quotations from George W. Bush , Richard Nixon , Hillary Clinton , John F. Kennedy and Franklin D. Roosevelt . Although now marketed as `` souvenir '' signed copies , they are , by definition , fraudulent creations .   Other authenticity issues ( edit )   Forgers buy real American Revolutionary War - era documents and surreptitiously pen a famous patriot 's name between other real signatures in a manuscript in hope of deceiving an unsuspecting buyer . Others will use tea or tobacco stains to brown or age their modern missives .   It has been estimated that over 80 percent of the autographed items of famous American sports players being sold over the Internet are fakes . Baseball legend Babe Ruth , for instance , has had his signature forged on old baseballs , then rubbed in dirt to make them appear to be from the 1930s .   Authentication ( edit )   With the recent enormous growth of autograph sellers on eBay , and the appearance of a multitude of new galleries and retailers offering expensive autographs , casual autograph collectors and one - time buyers have in many instances sought `` certificates of authenticity '' issued by the seller at the time of sale . As with any guarantee , these certificates are only as dependable as the seller issuing them , and if the seller is a fraud , then your certificate , and the possibility that your signed item could be considered worthless . Any COA or similar issued by a seller should always include the sellers full contact details and any details of Association memberships , and these should always be double checked on the Associations website .  Legendary vaudeville entertainer Sophie Tucker 's autograph in a copy of her 1945 autobiography  In many instances , sellers will use a professional authenticator to determine the authenticity of the material they wish to bring to market . The autograph industry is currently contentiously split between two types of authenticators : those who rely upon their professional expertise and experience personally having collected and / or sold large inventories of autographs over a period of many years , and `` forensic examiners '' who rely on academic credentials . Disputes have led to court actions , most notably gallery owner American Royal Arts vs. Beatles autograph dealer Frank Caiazzo , often used by autograph sources such as RR Auction .   Potential autograph buyers uncertain of the legitimacy of the seller or authenticator should carefully research both parties , and should always check any dealer who claims membership of any association . PADA , the UACC and AFTAL include a list of dealers on their websites for anyone to view . This research should not be limited to a seller 's or an authenticator 's website which could be prejudiced . Some dealers have been known to invent their own Association , e.g. ' The Universal Manuscript Society ' , to enhance their own reputations .   Mastro Auctions , a major sports autograph auction house which used a professional authenticator to determine the authenticity of material offered for sale , was sued by a dealer in 2006 ( Bill Daniels v. Mastro Auctions , Boone County , Indiana , case # 06D01 - 0502 - PL - 0060 ) . Daniels said that he had bought more than 2,000 signed photographs of athletes from Mastro and claimed that the catalog incorrectly described them as all being in color and 8x10 in size . Daniels also claimed that some of the autographs on the photographs may have been fakes . He produced two dealers who he said were autograph experts , but Superior Court Judge Matthew C. Kincaid excluded their testimony saying that neither Steve Koschal nor Richard Simon `` possess sufficient skill , knowledge or experience in the fields in which they were asked to render opinions . '' The law for each state is different regarding qualifications to testify . Mr. Simon and Mr. Koschal have both testified in states where their testimony is accepted in court .   Copyright status of signatures ( edit )    see Copyright    Glossary ( edit )   In autograph - auction catalogues the following abbreviations are used to help describe the type of letter or document that is being offered for sale .    AD : Autograph Document ( hand - written by the person to be collected , but not signed )   ADS : Autograph Document Signed ( written and signed by same individual )   AL : Autograph Letter ( hand - written by the person to be collected , but not signed )   ALS : Autograph Letter Signed ( hand - written and signed by same individual )   AMs : Autograph Manuscript ( hand - written ; such as the draft of a play , research paper or music sheet )   AMsS : Autograph Manuscript Signed ( hand - written and signed by same individual )   AMusQs : Autograph Musical Quotation Signed ( hand - written and signed by same individual )   AN : Autograph Note ( no salutation or closing , usually shorter than a letter )   ANS : Autograph Note Signed ( hand - written and signed by same individual )   APCS : Autograph Postcard Signed ( hand - written and signed by same individual )   AQS : Autograph Quote Signed ( hand - written and signed by same individual ; poem verse , sentence , or bar - of - music )   DS : Document signed ( printed , or while hand - written by another , is signed by individual sought to be collected )   LS : Letter Signed ( hand - written by someone else , but signed by the individual sought to be collected , frequently handwritten by secretaries before the advent of the typewriter )   PS : Photograph Signed or Postcard Signed   SP : Signed Photograph   TLS : Typed Letter Signed   TNS : Typed Note Signed   folio : A printer 's sheet of paper folded once to make two leaves , double quarto size or larger .   octavo ( 8vo ) : A manuscript page about six - by - nine inches . ( Originally determined by folding a printer 's sheet of paper to form eight leaves . )   quarto ( 4to ) : A manuscript page of about nine and one - half by twelve inches . ( Originally determined by folding a printer 's sheet of paper twice to form four leaves . )    See also ( edit )    Autograph club   Tughra   Kaō    References ( edit )    Jump up ^ `` The Earliest Autograph Signatures ( Circa 3,100 BCE ) : HistoryofInformation.com '' .   Jump up ^ Fletcher , Richard A. ( 1 January 1989 ) . `` The Quest for El Cid '' . Oxford University Press -- via Google Books .   Jump up ^ `` Joe Dimaggio 's rings bats and thee shots '' . New York Times .   Jump up ^ `` GO.com '' . Sports.espn.go.com . September 19 , 2006 . Retrieved January 10 , 2012 .   Jump up ^ Contact A.J. Daulerio : Email the author Comment ( February 26 , 2009 ) . `` Deadspin '' . Deadspin . Retrieved January 10 , 2012 .   Jump up ^ `` Steve Martin abandons pre-signed autographs '' . 6 December 2011 .   Jump up ^ `` Depp named ' best autograph giver ' '' . BBC News . December 17 , 2007 . Retrieved January 10 , 2012 .   Jump up ^ `` GarboForever - Garbo 's Signature '' .   Jump up ^ Gee , Cee ( 3 October 2011 ) . `` How to Determine the Difference Between a Real and Fake Autograph : Terminology and Photo Examples '' . Autograph Live . Retrieved 18 September 2016 .   Jump up ^ `` More Fake Autographs and COAs Have Oregon Detectives Busy '' . 25 August 2011 .   Jump up ^ Andon , Stephen Patrick ( May 11 , 2011 ) . `` Sporting Materiality : Commodification and Fan Agency in Collections , Memorabilia , Jerseys , and Dirt '' . Retrieved September 18 , 2016 -- via Florida State University Libraries .   Jump up ^ `` Lack of intent seen in flubs at auctions '' . NY Daily News . July 15 , 2007 . Retrieved January 10 , 2012 .    Further reading ( edit )    Forging History : The Detection of Fake Letters and Documents by Kenneth W. Rendell , University of Oklahoma Press , 1994 , 173 pages .   Great Forgers and Famous Fakes by Charles Hamilton , Crown Publishers , 1980 , 278 pages .   Making Money in Autographs by George Sullivan , 1977 , 223 pages .   Collecting Autographs by Herman M. Darvick , Julian Messner , a Simon &amp; Schuster Division of Gulf &amp; Western Corporation , 1981 , 96 pages .   Collecting Autographs and Manuscripts by Charles Hamilton , Univ. of Oklahoma Press , 1961 , 269 pages .   Autographs and Manuscripts : A Collector 's Manual edited by Ed Berkeley , Charles Scribner 's Sons Pub. , 1978 , 565 pages .   Scribblers &amp; Scoundrels by Charles Hamilton , Eriksson Pub. , 1968 , 282 pages .   Manuscripts : The First Twenty Years edited by Priscilla Taylor , Greenwood Press , 1984 , 429 pages .   Autographs : A Key to Collecting by Mary Benjamin , 1963 , 345 pages   Big Name Hunting : A Beginners Guide to Autograph Collecting by Charles Hamilton , Simon &amp; Schuster Pub. , 1973 , 95 pages .   The Signature of America by Charles Hamilton , Harper &amp; Row , 1979 , 279 pages .   Word Shadows of the Great : The Lure of Autograph Collecting by Thomas Madigan , Frederick A. Stokes Co. , 1930 , 300 pages .   Collecting Autographs For Fun and Profit by Robert Pelton , Betterway Pub. , 1987 , 160 pages .   From the White House Inkwell by John Taylor , Tuttle Co. , 1968 , 147 pages .   Autograph Collector 's Checklist edited by John Taylor , The Manuscript Society , 1990 , 172 pages .   The Autograph Collector by Robert Notlep , Crown Pub. , 1968 , 240 pages .   The Complete Book of Autograph Collecting by George Sullivan , 1971 , 154 pages .   A Gathering of Saints by Robert Lindsey , Simon &amp; Schuster , 1988 , 397 pages .   Dönitz at Nuremberg : A Re-Appraisal by H.K. Thompson , Amber Pub. , 1976 , 198 pages .   Leaders and Personalities of the Third Reich by Charles Hamilton , 2 vols. , Bender Pub. , 1984 ( Vol. 1 ) and 1996 ( Vol. 2 ) .   The Guinness Book of World Autographs by Ray Rawlins , 1997 , 244 pages .   The Robot that Helped to Make a President by Charles Hamilton , 1965 .   War Between the States : Autographs and Biographical Sketches by Jim Hayes , Palmetto Pub. , 1989 , 464 pages .   American Autographs by Charles Hamilton , 2 vols. , Univ. of Oklahoma Press , 1983 , 634 pages .   Autographs of Indian Personalities by S.S. Hitkari , Phulkari Pub. , 1999 , 112 pages .   Ieri Ho Visto Il Duce : Trilogia dell'iconografia mussoliniana ed . Ermanno Alberti. ( in Italian )   Who 's Who series ; Who 's Who in America , etc .   Appletons ' Cyclopaedia of American Biography ed. by James Wilson , 6 vols. , 1888 .   Autograph , Please by Santosh Kumar Lahoti , Reesha Books International Pub. , 2009 , : India .   Play Ball , Mr. President : A Century of Baseballs Signed by U.S. Presidents by Dan Cohen , 2008 , 48 pages .   `` Signs of the Times : Autographs of luminaries : from Lincoln to Liberace '' , Steve Kemper , Smithsonian magazine , Nov. 1997 .   `` The Surreal World of Salvador Dali '' , Stanley Meisler , Smithsonian magazine , Apr. 2005 .   `` The Tumultuous Life and Love of Salvador Dali '' , Meryle Secrest , Smithsonian magazine , Oct. 1986 .   Israel , Lee . Can You Ever Forgive Me ? Memoirs of a Literary Forger , 2008 .    External links ( edit )       Wikimedia Commons has media related to Autographs .      Shapell Manuscript Foundation   Real Autograph Collectors Club ( RACC ) , An online community of in person autograph collectors and sellers with 5,000 + members in over 100 countries .   RACC Trusted Sellers - A list of reputable autograph collectors and sellers , maintained by the largest online autograph community .   uacc.info , Universal Autograph Collectors Club , a federally approved 501c3 non-profit organization founded in 1965 .   aftal.co.uk , UK based autograph dealer association .   StarTiger , online autograph community and celebrity address database   Chisholm , Hugh , ed. ( 1911 ) . `` Autographs '' . Encyclopædia Britannica ( 11th ed . ) . Cambridge University Press .   Retrieved from `` https://en.wikipedia.org/w/index.php?title=Autograph&amp;oldid=804990859 '' Categories :   Documents   Memorabilia   Hidden categories :   NPOV disputes from May 2015   All NPOV disputes   Articles that may contain original research from May 2015   All articles that may contain original research   Articles needing additional references from May 2015   All articles needing additional references   Interlanguage link template link number   Articles containing Greek - language text   All articles with unsourced statements   Articles with unsourced statements from April 2015   Articles with unsourced statements from February 2007   Articles with unsourced statements from April 2011   Articles with Italian - language external links   Wikipedia articles incorporating a citation from the 1911 Encyclopaedia Britannica with Wikisource reference           Talk                                           Contents                   About Wikipedia                                                   Azərbaycanca   تۆرکجه   Dansk   Deutsch   Eesti   Español   Esperanto   Français   Hrvatski   Ido   Italiano   עברית   Қазақша   Кыргызча   Magyar   Nederlands   Norsk   Polski   Português   Русский   Simple English   سنڌي   Slovenčina   Српски / srpski   Srpskohrvatski / српскохрватски   Svenska   తెలుగు   Українська   اردو   Edit links   This page was last edited on 12 October 2017 , at 10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</si>
  <si>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proper term used for the signature given by celebrities to their fans</t>
  </si>
  <si>
    <t xml:space="preserve"> Autograph also refers to a famous person 's artistic signature . This term is used in particular for the practice of collecting autographs of celebrities . The hobby of collecting autographs is known as philography . </t>
  </si>
  <si>
    <r>
      <rPr>
        <sz val="11"/>
        <color rgb="FF000000"/>
        <rFont val="Calibri"/>
        <family val="0"/>
        <charset val="1"/>
      </rPr>
      <t xml:space="preserve">Willy Wonka &amp; the Chocolate Factory - Wikipedia  Willy Wonka &amp; the Chocolate Factory  Jump to : navigation , search For the 2005 film adaptation , see Charlie and the Chocolate Factory ( film ) . For the book , see Charlie and the Chocolate Factory .    Willy Wonka &amp; the Chocolate Factory     Theatrical release poster     Directed by   Mel Stuart     Produced by     Stan Margulies   David L. Wolper       Screenplay by   Roald Dahl     Based on   Charlie and the Chocolate Factory by Roald Dahl     Starring     Gene Wilder   Jack Albertson   Peter Ostrum   Roy Kinnear   Julie Dawn Cole   Leonard Stone   Denise Nickerson   Dodo Denney   Paris Themmen       Music by     Leslie Bricusse   Anthony Newley   Walter Scharf       Cinematography   Arthur Ibbetson     Edited by   David Saxon     Production company     Wolper Pictures , Ltd   The Quaker Oats Company       Distributed by   Paramount Pictures     Release date     June 30 , 1971 ( 1971 - 06 - 30 ) ( United States )               Running time   99 minutes     Country   United States     Language   English     Budget   $3 million     Box office   $4 million     Willy Wonka &amp; the Chocolate Factory is a 1971 American musical fantasy film directed by Mel Stuart , and starring Gene Wilder as Willy Wonka . It is an adaptation of the 1964 novel Charlie and the Chocolate Factory by Roald Dahl . Dahl was credited with writing the film 's screenplay ; however , David Seltzer , who went uncredited in the film , was brought in to re-work Dahl 's screenplay against his wishes , making major changes to the ending and adding musical numbers . These changes and other decisions made by the director led Dahl to disown the film .   The film tells the story of Charlie Bucket ( Peter Ostrum ) as he receives a Golden Ticket and visits Willy Wonka 's chocolate factory with four other children from around the world . Filming took place in Munich in 1970 , and the film was released by Paramount Pictures on June 30 , 1971 . With a budget of just $3 million , the film received generally positive reviews and earned $4 million by the end of its original run . Paramount distributed the film until 1977 , and beginning in the 1980s , Warner Bros. assumed control of the rights for home entertainment purposes . The film then made an additional $21 million during its re-release by Warner Bros. under its Family Entertainment banner in 1996 . The film became highly popular in part through repeated television airings and home entertainment sales . In 1972 , the film received an Academy Award nomination for Best Original Score , and Wilder was nominated for a Golden Globe as Best Actor in a Musical or Comedy , but lost both to Fiddler on the Roof . The film also introduced the song `` The Candy Man '' , which went on to become a popular hit when recorded by Sammy Davis Jr . In 2014 , the film was selected for preservation in the United States National Film Registry by the Library of Congress as being `` culturally , historically , or aesthetically significant '' .     Contents  ( hide )   1 Plot   2 Main cast   2.1 Oompa Loompas     3 Production   3.1 Development   3.2 Casting   3.3 Filming   3.4 Promotion     4 Reception   4.1 Dahl 's reaction     5 Television   6 Adaptation   7 Home media   8 Music   9 Soundtrack   10 See also   11 Notes   12 References   13 External links      Plot ( edit )   In an unnamed town , children visit a candy shop . Charlie Bucket , a poor paperboy , stares through the window as the shop owner sings `` The Candy Man '' . Walking home , he passes Willy Wonka 's chocolate factory . A mysterious tinker recites the first lines of William Allingham 's poem `` The Fairies '' , and tells Charlie , `` Nobody ever goes in , and nobody ever comes out . '' Charlie rushes home to his widowed mother and bedridden grandparents . After telling Grandpa Joe about the tinker , Joe reveals that Wonka locked the factory because other candy makers , including rival Arthur Slugworth , sent in spies to steal his recipes . Wonka disappeared , but for three years resumed selling candy ; the origin of Wonka 's labor force is unknown .   The next day , Wonka announces that he hid five `` Golden Tickets '' in chocolate Wonka Bars . Finders of the tickets will receive a factory tour and a lifetime supply of chocolate . Four of the tickets are found by Augustus Gloop , a gluttonous boy ; Veruca Salt , a spoiled girl ; Violet Beauregarde , a gum - chewing girl ; and Mike Teavee , a television - obsessed boy . As each winner 's announced on TV , a man whispers to them . Charlie opens two Wonka Bars but finds no Golden Ticket and loses hope . The newspapers announce the fifth ticket was found by a millionaire in Paraguay . Charlie finds money in a gutter and uses it to buy a Scrumdiddlyumptious bar . With the change , he buys a Wonka Bar for Joe . Walking home , as Charlie hears newspapers revealing that the Paraguayan millionaire 's ticket is a forgery , he opens the Wonka Bar and finds the fifth golden ticket . While rushing home , he is confronted by the same man seen whispering to the other winners , who introduces himself as Slugworth and offers a reward for a sample of Wonka 's latest creation , the Everlasting Gobstopper .   Charlie returns home with the Golden Ticket and chooses Grandpa Joe as his chaperone and they sing `` I 've Got A Golden Ticket '' . The next day , Wonka greets the ticket winners and leads them inside where each signs a contract before the tour . The factory includes a river of chocolate , edible mushrooms , lickable wallpaper , and other sweets and inventions . As the visitors sample these , Wonka sings `` Pure Imagination '' . The visitors see Wonka 's workers , small men known as Oompa - Loompas , who sing their song whenever a ticket holder falls into a trap . Augustus falls into the chocolate river and is sucked up a pipe to the Fudge Room . In the Inventing Room , everyone receives an Everlasting Gobstopper . Violet becomes a large blueberry after chewing an experimental gum containing a three - course meal , despite Wonka 's warnings . The group reaches the Fizzy Lifting Drinks Room , where Charlie and Grandpa Joe ignore Wonka 's warning and sample the drinks . They float and have a near - fatal encounter with an exhaust fan before burping back to the ground . In the Chocolate Eggs Room , Veruca demands a golden goose for herself before falling into a garbage chute leading to the furnace , with her father falling in trying to rescue her . The group tests out Wonka 's Wonkavision , only to have Mike teleport himself and become only a few inches tall .   Only Charlie and Grandpa Joe remain , but Wonka dismisses them without the promised chocolate . When Grandpa Joe asks him why , Wonka angrily explains that they violated the contract by stealing Fizzy Lifting Drinks and will receive nothing . An angered Grandpa Joe suggests to Charlie that he should give Slugworth the Gobstopper in revenge , but Charlie returns the candy back to Wonka . With this selfless act , Wonka declares Charlie as the winner . He reveals that Slugworth is actually `` Mr. Wilkinson '' , an employee of his , and the offer to buy the Gobstopper was a morality test which only Charlie passed . The trio enter the `` Wonkavator '' , a multi-directional glass elevator that flies out of the factory . Soaring over the city , Wonka reveals that his actual prize is the factory ; Wonka created the contest to find a worthy heir enough , and so Charlie and his family can immediately move in . Wonka then reminds Charlie not to forget about the man who suddenly received everything he ever wanted . Charlie asks , `` What ever happened to him ? '' to which Wonka replies , `` He lived happily ever after . ''     Main cast ( edit )  The main cast . Back row ( left to right ) : Michael Bollner , Ursula Reit , Gene Wilder Front row ( left to right ) : Leonard Stone , Denise Nickerson , Roy Kinnear , Julie Dawn Cole , Dodo Denny , Paris Themmen , Peter Ostrum , Jack Albertson Main article : List of Willy Wonka and the Chocolate Factory characters   Gene Wilder as Willy Wonka   Jack Albertson as Grandpa Joe   Peter Ostrum as Charlie Bucket   Roy Kinnear as Henry Salt   Julie Dawn Cole as Veruca Salt   Leonard Stone as Sam Beauregarde   Denise Nickerson as Violet Beauregarde   Dodo Denney as Mrs. Teevee   Paris Themmen as Mike Teevee   Ursula Reit as Mrs. Gloop   Michael Bollner as Augustus Gloop   Diana Sowle as Mrs. Bucket   Aubrey Woods as Bill , the Candy Shop owner   David Battley as Mr. Turkentine   Günter Meisner as Arthur Slugworth / Mr. Wilkinson   Peter Capell as The Tinker   Werner Heyking as Mr. Jopeck   Peter Stuart as Winkelmann    Oompa Loompas ( edit )    Rusty Goffe   Rudy Borgstaller   George Claydon   Malcolm Dixon   Ismed Hassan   Norman McGlen   Angelo Muscat   Pepe Poupee   Marcus Powell   Albert Wilkinson    Production ( edit )   Development ( edit )   The idea for adapting the book into a film came about when director Mel Stuart 's ten - year - old daughter read the book and asked her father to make a film out of it , with `` Uncle Dave '' ( producer David L. Wolper ) producing it . Stuart showed the book to Wolper , who happened to be in the midst of talks with the Quaker Oats Company regarding a vehicle to introduce a new candy bar from its Chicago - based Breaker Confections subsidiary ( since renamed the Willy Wonka Candy Company and sold to Nestlé ) . Wolper persuaded the company , which had no previous experience in the film industry , to buy the rights to the book and finance the picture for the purpose of promoting a new Quaker Oats Wonka Bar .   It was agreed that the film would be a children 's musical , and that Dahl himself would write the screenplay . However , the title was changed to Willy Wonka and the Chocolate Factory .   Screenwriter David Seltzer conceived a gimmick exclusively for the film that had Wonka quoting numerous literary sources , such as Arthur O'Shaughnessy 's Ode , Oscar Wilde 's The Importance of Being Earnest , Samuel Taylor Coleridge 's The Rime of the Ancient Mariner and William Shakespeare 's The Merchant of Venice . Seltzer also worked Slugworth ( only mentioned as a rival candy maker in the book ) into the plot as an actual character ( only to be revealed to be Wilkinson , one of Wonka 's agents , at the end of the film ) .   Casting ( edit )   All six members of Monty Python : Graham Chapman , John Cleese , Eric Idle , Terry Gilliam , Terry Jones and Michael Palin , expressed interest in playing Wonka , but at the time they were deemed not big enough names for an international audience . Three of the members , Cleese , Idle and Palin , were later seriously considered for the same role in Tim Burton 's version .   Before Wilder was officially cast for the role , producers considered Fred Astaire , Joel Grey , Ron Moody and Jon Pertwee . Spike Milligan was Roald Dahl 's original choice to play Willy Wonka . Peter Sellers even begged Dahl for the role .   When Wilder was cast for the role , he accepted it on one condition :   When I make my first entrance , I 'd like to come out of the door carrying a cane and then walk toward the crowd with a limp . After the crowd sees Willy Wonka is a cripple , they all whisper to themselves and then become deathly quiet . As I walk toward them , my cane sinks into one of the cobblestones I 'm walking on and stands straight up , by itself ; but I keep on walking , until I realize that I no longer have my cane . I start to fall forward , and just before I hit the ground , I do a beautiful forward somersault and bounce back up , to great applause .  -- Gene Wilder  The reason why Wilder wanted this in the film was that `` from that time on , no one will know if I 'm lying or telling the truth . ''   Jean Stapleton turned down the role of Mrs. Teevee . Jim Backus was considered for the role of Sam Beauregarde . Sammy Davis , Jr. wanted to play Bill , the candy store owner , but Stuart did not like the idea because he felt that the presence of a big star in the candy store scene would break the reality . Nevertheless , Davis ' recording of the film 's opening musical number , `` The Candy Man , '' would top the Billboard magazine record charts in 1972 , despite the fact that Davis initially hated the song . Anthony Newley also wanted to play Bill , but Stuart also objected to this for the same reason .   Filming ( edit )   Principal photography commenced on April 30 , 1970 , and ended on November 19 , 1970 . The primary shooting location was Munich , Bavaria , West Germany , because it was significantly cheaper than filming in the United States and the setting was conducive to Wonka 's factory ; Stuart also liked the ambiguity and unfamiliarity of the location . External shots of the factory were filmed at the gasworks of Stadtwerke München ( Emmy - Noether - Straße 10 ) ; the entrance and side buildings still exist . The exterior of Charlie Bucket 's house , which was only a set constructed for the film , was filmed at Quellenstraße in Munich , Bavaria . Charlie 's school was filmed at Katholisches Pfarramt St. Sylvester , Biedersteiner Straße 1 in Munich . Bill 's Candy Shop was filmed at Lilienstraße , Munich . The closing sequence when the Wonkavator is flying above the factory is footage of Nördlingen in Bavaria .     Munich Gasworks as it appears today ( building on the left )     Munich Gasworks as it appears today     Nördlingen , the town seen from above at the end of the film     Production designer Harper Goff centered the factory on the massive Chocolate Room . According to Paris Themmen , who played Mike Teevee , `` The river was made of water with food coloring . At one point , they poured some cocoa powder into it to try to thicken it but it did n't really work . When asked this question , Michael Böllner , who played Augustus Gloop , answers , ' It vas dirty , stinking vater . ' ''   When interviewed for the 30th anniversary special edition , Gene Wilder stated that he enjoyed working with most of the child actors , but said that he and the crew had some problems with Paris Themmen , claiming that he was `` a handful '' .   Promotion ( edit )   Before its release , the film received advance publicity though TV commercials offering a `` Willy Wonka candy factory kit '' for sending $1.00 and two seals from boxes of Quaker cereals such as King Vitaman , Life and any of the Cap'n Crunch brands .   Reception ( edit )   Willy Wonka was released on June 30 , 1971 . The film was not a big success , being the fifty - third highest - grossing film of the year in the U.S. , earning just over $2.1 million on its opening weekend , although it received positive reviews from critics such as Roger Ebert , who compared it to The Wizard of Oz .   By the mid-1980s , Willy Wonka &amp; the Chocolate Factory had experienced a spike in popularity thanks in large part to repeated television broadcasts and home video sales . Following a 25th anniversary theatrical re-release in 1996 , it was released on DVD the next year , allowing it to reach a new generation of viewers . The film was released as a remastered special edition on DVD and VHS in 2001 to commemorate the film 's 30th anniversary . In 2003 , Entertainment Weekly ranked it 25th in the `` Top 50 Cult Movies '' of all time .   As of 2017 , the film holds a 90 % `` Fresh '' rating on Rotten Tomatoes with an average rating of 7.7 / 10 based on 42 reviews . The site 's critical consensus states : `` Willy Wonka &amp; the Chocolate Factory is strange yet comforting , full of narrative detours that do n't always work but express the film 's uniqueness '' .   Willy Wonka was ranked No. 74 on Bravo 's 100 Scariest Movie Moments for the `` scary tunnel '' scene .   Dahl 's reaction ( edit )   Dahl disowned the film , the script of which was partially rewritten by David Seltzer after Dahl failed to meet deadlines . Dahl said he was `` disappointed '' because `` he thought it placed too much emphasis on Willy Wonka and not enough on Charlie '' , as well as the casting of Gene Wilder instead of Spike Milligan . Dahl was also `` infuriated '' by the deviations in the plot Seltzer devised in his draft of the screenplay , including the conversion of Slugworth , a minor character in the book , into a spy ( so that the movie could have a villain ) and the `` fizzy lifting drinks '' scene along with music other than the original Oompa Loompa compositions ( including `` Pure Imagination '' and `` The Candy Man '' ) , and the ending dialogue for the movie . In 1996 , Dahl 's second wife Felicity commented on her husband 's objections towards the film saying `` they always want to change a book 's storyline . What makes Hollywood think children want the endings changed for a film , when they accept it in a book ? ''   Television ( edit )   The film made its television debut on November 23 , 1975 on NBC . There was some controversy with the showing as the Oakland Raiders vs Washington Redskins ( 26 - 23 ) Football game went into overtime , and the first 40 minutes of the movie were cut . The film placed 19th in the TV Ratings for the week ending Nov 23 , beating out The Streets of San Francisco and Little House on the Prairie . The next TV showing of the film was on May 2 , 1976 , where it placed 46th in the ratings . Some TV listings indicate the showing was part of the World of Disney time slot .   Adaptation ( edit )  Main article : Tom and Jerry : Willy Wonka and the Chocolate Factory  In 2017 , an adaptation of the film with Tom and Jerry was released . Tom and Jerry : Willy Wonka and the Chocolate Factory stars JP Karliak as Willy Wonka and is dedicated to Gene Wilder , who died under a year before the release .   Home media ( edit )   The film was first released on DVD in 1997 / 1999 in a `` 25th anniversary edition '' as a double sided disc containing a widescreen and `` standard '' version . The `` standard '' version is an open matte print , where the mattes used to make the image widescreen are removed , revealing information originally intended to be hidden from viewers . VHS copies were also available , but only containing the `` standard '' version .   A special edition DVD was released , celebrating the film 's 30th anniversary , on August 28 , 2001 , but in fullscreen only . Due to the lack of a letterboxed release , fan petitioning eventually led Warner Home Video to issue a widescreen version on November 13 , 2001 . It was also released on VHS , with only one of the special features ( a making - of feature ) . Several original cast members reunited to film documentary footage for this special edition DVD release . The two editions featured restored sound , and better picture quality . In addition to the documentary , the DVD included a trailer , a gallery , and audio commentary by the cast .   In 2007 , Warner Home Video released the film on HD DVD with all the bonus features from the 2001 DVD . The film was released on Blu - ray on October 20 , 2009 . It includes all the bonus features from the 2001 DVD and 2007 HD - DVD as well as a 38 - page book .   In 2011 , a new deluxe - 40th - anniversary edition Blu - ray / DVD set was released on November 1 , consisting of the film on Blu - ray Disc and DVD as well as a bonus features disc . The set also included a variety of rarities such as a Wonka Bar - designed tin , four scented pencils , a scented eraser , a book detailing the making of the film , original production papers and a Golden Ticket to win a trip to Los Angeles . The set is now out of print .   Music ( edit )   The Academy Award - nominated original score and songs were composed by Leslie Bricusse and Anthony Newley , and musical direction was by Walter Scharf . The soundtrack was first released by Paramount Records in 1971 . On October 8 , 1996 , Hip - O Records ( in conjunction with MCA Records , which by then owned the Paramount catalog ) , released the soundtrack on CD as a `` 25th Anniversary Edition '' .   The music and songs , in order of appearance , are :    `` Main Title '' -- Instrumental medley of `` ( I 've Got A ) Golden Ticket '' and `` Pure Imagination ''   `` The Candy Man '' -- Aubrey Woods   `` Cheer Up , Charlie '' -- Diana Lee ( dubbing over Diana Sowle )   `` ( I 've Got A ) Golden Ticket '' -- Jack Albertson and Peter Ostrum   `` Pure Imagination '' -- Gene Wilder   `` Oompa Loompa ( Augustus ) '' -- The Oompa Loompas   `` The Wondrous Boat Ride '' / `` The Rowing Song '' -- Gene Wilder   `` Oompa Loompa ( Violet ) '' -- The Oompa Loompas   `` I Want It Now ! '' -- Julie Dawn Cole   `` Oompa Loompa ( Veruca ) '' -- The Oompa Loompas   `` Ach , so fromm '' ( alternately titled `` M'appari '' , from Martha ) -- Gene Wilder   `` Oompa Loompa ( Mike ) '' -- The Oompa Loompas   `` End Credits '' -- `` Pure Imagination ''    Soundtrack ( edit )   The track listing for the soundtrack 's as follows :    `` Main Title '' ( `` Golden Ticket '' / `` Pure Imagination '' )   `` The Candy Man ''   `` Charlie 's Paper Run ''   `` Cheer Up Charlie ''   `` Lucky Charlie ''   `` ( I 've Got A ) Golden Ticket ''   `` Pure Imagination ''   `` Oompa Loompa ''   `` The Wondrous Boat Ride ''   `` Everlasting Gobstoppers / Oompa Loompa ''   `` The Bubble Machine ''   `` I Want It Now / Oompa Loompa ''   `` Wonkamobile , Wonkavision / Oompa Loompa ''   `` Wonkavator / End Title '' ( `` Pure Imagination '' )    See also ( edit )    Film portal   1970s portal     List of American films of 1971    Notes ( edit )    Jump up ^ Because Paramount Pictures decided not to renew distribution rights , the film rights were transferred to Warner Bros. in 1977 , when Wolper Pictures , Ltd. was bought by the company and Quaker Oats sold its share of the film    References ( edit )    Jump up ^ `` Willy Wonka and the Chocolate Factory ( U ) '' . British Board of Film Classification . August 20 , 1971 . Retrieved August 9 , 2015 .   Jump up ^ `` Willy Wonka &amp; the Chocolate Factory ( 1971 ) '' .   ^ Jump up to : `` Willy Wonka &amp; the Chocolate Factory ( 1971 ) - Financial Information '' . The-numbers.com . Retrieved February 15 , 2017 .   Jump up ^ `` Why Roald Dahl Hated The Willy Wonka And The Chocolate Factory Film '' . yahoo . Retrieved September 12 , 2016 .   Jump up ^ Liz Buckingham , trustee for the Roald Dahl Museum , quoted in Tom Bishop : `` Willy Wonka 's Everlasting Film Plot '' , BBC News , July 2005   Jump up ^ `` Willy Wonka and the Chocolate Factory '' . AFI Catalog of Feature Films . Retrieved August 30 , 2016 .   ^ Jump up to : J.M. Kenny ( Writer , Director , Producer ) ( 2001 ) . Pure Imagination : The Story of Willy Wonka and the Chocolate Factory ( DVD ) . USA : Warner Home Video . Retrieved December 2 , 2006 .   ^ Jump up to : Paur , Joey . `` 25 Fun Facts About Willy Wonka and the Chocolate Factory '' . Retrieved July 8 , 2015 .   ^ Jump up to : Honeybone , Nigel ( April 25 , 2012 ) . `` Film Review : Willy Wonka and the Chocolate Factory ( 1971 ) '' . Retrieved July 8 , 2015 .   Jump up ^ Segal , David ( March 28 , 2005 ) . `` Gene Wilder : It Hurts to Laugh '' . The Washington Post . Retrieved July 8 , 2015 .   Jump up ^ Evans , Bradford ( January 31 , 2013 ) . `` The Lost Roles of Peter Sellers '' . Splitsider . Retrieved July 11 , 2015 .   ^ Jump up to : Perkins , Will . `` Gene Wilder 's Willy Wonka Demands Revealed '' . Yahoo.com . Yahoo . Retrieved 18 September 2015 .   Jump up ^ `` Jean Stapleton Dies : Top 10 Facts You Need to Know '' . Heavy.com . June 1 , 2013 . Retrieved July 13 , 2015 .   Jump up ^ Chandler , Ed ( June 3 , 2013 ) . `` Five Things You Should Know About Jean Stapleton '' . Retrieved July 13 , 2015 .   ^ Jump up to : `` Willy Wonka and the Chocolate Factory ( 1971 ) : Notes '' . Turner Classic Movies . Retrieved July 13 , 2015 .   Jump up ^ `` ParisThemmenAMA comments on I am Paris Themmen . I played Mike Teevee in the original Willy Wonka . AMA ! '' . Reddit.com . September 2 , 2014 . Retrieved May 4 , 2015 .   Jump up ^ Stuart , Mel ; Young , Josh ( November 1 , 2001 ) . Pure Imagination : The Making of Willy Wonka and the Chocolate Factory . St. Martin 's Press . ISBN 978 - 0312287771 .   Jump up ^ robatsea2009 ( December 19 , 2011 ) . `` Willy Wonka Candy Factory 1971 TV commercial '' -- via YouTube .   Jump up ^ `` Willy Wonka &amp; the Chocolate Factory : Box Office Data , DVD and Blu - ray Sales , Movie News , Cast and Crew Information '' . The-numbers.com . Retrieved May 4 , 2015 .   Jump up ^ Ebert , Roger ( January 1 , 1971 ) . `` Willy Wonka and the Chocolate Factory '' . Chicago Sun - Times .   Jump up ^ Willy Wonka &amp; the Chocolate Factory at Rotten Tomatoes   Jump up ^ `` Bravo 's ' The 100 Scariest Movie Moments ' '' . Archived from the original on August 1 , 2007 .   ^ Jump up to : Bishop , Tom ( July 11 , 2005 ) . `` Willy Wonka 's Everlasting Film Plot '' . BBC News . Retrieved January 29 , 2014 . He thought it placed too much emphasis on Willy Wonka and not enough on Charlie , '' said Liz Attenborough , trustee of the Roald Dahl Museum and Story Centre in Buckinghamshire . `` For him the book was about Charlie .   Jump up ^ Pure Imagination : The Story of `` Willy Wonka and the Chocolate Factory '' . Two Dog Productions Inc. 2001 .   Jump up ^ `` Raiders , NBC 0 -- 2 in N.Y. ; First Heidi , Now Willy Wonka '' . Los Angeles Times . November 24 , 1975 . p . C2 .   Jump up ^ `` 4 Movies Shake Up Week 's Nielsen List '' . Los Angeles Times . November 26 , 1975 . p. 15 .   Jump up ^ `` TV Guide Listings '' . Los Angeles Times . May 2 , 1976 . p. 10 .   Jump up ^ Williams , Ken ( May 11 , 1976 ) . `` Among Other Things '' . Journal - News . Hamilton , OH . p. 7 .   Jump up ^ `` Willy Wonka &amp; the Chocolate Factory ( 1971 ) '' . Dvdmg.com . Retrieved May 4 , 2015 .   Jump up ^ `` Willy Wonka &amp; the Chocolate Factory : 30th Anniversary Edition ( 1971 ) '' . Dvdmg.com . Retrieved May 4 , 2015 .   Jump up ^ `` Willy Wonka and the Chocolate Factory ( HD DVD ) - IGN '' . Dvd.ign.com . June 6 , 2007 . Retrieved May 4 , 2015 .   Jump up ^ `` News : Willy Wonka &amp; The Chocolate Factory ( US - BD ) '' . DVDActive.com . Retrieved May 4 , 2015 .   Jump up ^ Cook , Tommy ( November 1 , 2011 ) . `` Willy Wonka and the Chocolate Factory 40th Anniversary Box Set Blu - ray Review '' . Collider.com . Retrieved May 4 , 2015 .    External links ( edit )       Wikiquote has quotations related to : Willy Wonka &amp; the Chocolate Factory         Wikimedia Commons has media related to Willy Wonka &amp; the Chocolate Factory .      Willy Wonka &amp; the Chocolate Factory on IMDb   Willy Wonka &amp; the Chocolate Factory at the TCM Movie Database   Willy Wonka &amp; the Chocolate Factory at Rotten Tomatoes   The AFI Catalog of Feature Films ... Willy Wonka and the Chocolate Factory              Roald Dahl 's Charlie and the Chocolate Factory     Books     Charlie and the Chocolate Factory   Charlie and the Great Glass Elevator       Films     Willy Wonka &amp; the Chocolate Factory   Charlie and the Chocolate Factory   soundtrack     Tom and Jerry : Willy Wonka and the Chocolate Factory       Characters     Willy Wonka       Theater     Roald Dahl 's Willy Wonka ( 2004 musical )   Charlie and the Chocolate Factory ( 2013 musical )   The Golden Ticket       Music     Charlie and the Chocolate Factory : Original Motion Picture Soundtrack   `` Pure Imagination ''   `` The Candy Man ''       Miscellaneous     The Ride   Video games   Wonka Bar   Everlasting Gobstopper   Primus &amp; the Chocolate Factory with the Fungi Ensemble   The Willy Wonka Candy Company                 Films directed by Mel Stuart       Four Days in November ( 1964 )   If It 's Tuesday , This Must Be Belgium ( 1969 )   I Love My Wife ( 1970 )   Willy Wonka &amp; the Chocolate Factory ( 1971 )   One Is a Lonely Number ( 1972 )   Wattstax ( 1973 )   Mean Dog Blues ( 1978 )   The Triangle Factory Fire Scandal ( 1979 )   The White Lions ( 1981 )                 Roald Dahl     Children 's fiction     The Gremlins ( 1943 )   James and the Giant Peach ( 1961 )   Charlie and the Chocolate Factory ( 1964 )   The Magic Finger ( 1966 )   Fantastic Mr Fox ( 1970 )   Charlie and the Great Glass Elevator ( 1972 )   Danny , the Champion of the World ( 1975 )   The Enormous Crocodile ( 1978 )   The Twits ( 1980 )   George 's Marvellous Medicine ( 1981 )   The BFG ( 1982 )   The Witches ( 1983 )   The Giraffe and the Pelly and Me ( 1985 )   Matilda ( 1988 )   Esio Trot ( 1990 )   The Vicar of Nibbleswicke ( 1991 )   The Minpins ( 1991 )       Children 's poetry     Revolting Rhymes ( 1982 )   Dirty Beasts ( 1983 )   Rhyme Stew ( 1989 )       Adult novels     Sometime Never : A Fable for Supermen ( 1948 )   My Uncle Oswald ( 1979 )       Adult short story collections     Over to You : Ten Stories of Flyers and Flying ( 1946 )   Someone Like You ( 1953 )   Kiss Kiss ( 1960 )   Lamb to the Slaughter ( 1953 )   Switch Bitch ( 1974 )   The Wonderful Story of Henry Sugar and Six More ( 1977 )   The Best of Roald Dahl ( 1978 )   Tales of the Unexpected ( 1979 )   More Tales of the Unexpected ( 1980 )   The Roald Dahl Omnibus ( 1986 )   Two Fables ( 1986 )   Ah , Sweet Mystery of Life : The Country Stories of Roald Dahl ( 1989 )   The Collected Short Stories of Roald Dahl ( 1991 )   The Roald Dahl Treasury ( 1997 )   The Great Automatic Grammatizator ( 1998 )   Skin and Other Stories ( 2000 )   Roald Dahl : Collected Stories ( 2006 )       Non-fiction     The Mildenhall Treasure ( 1946 )   Boy : Tales of Childhood ( 1984 )   Going Solo ( 1986 )   Memories with Food at Gipsy House ( 1991 )   Roald Dahl 's Guide to Railway Safety ( 1991 )   My Year ( 1993 )       Film adaptations     36 Hours ( 1965 )   Willy Wonka &amp; the Chocolate Factory ( 1971 )   Danny , the Champion of the World ( 1989 )   The BFG ( 1989 )   The Witches ( 1990 )   Four Rooms ( 1995 )   James and the Giant Peach ( 1996 )   Matilda ( 1996 )   Charlie and the Chocolate Factory ( 2005 )   Fantastic Mr. Fox ( 2009 )   Roald Dahl 's Esio Trot ( 2015 )   The BFG ( 2016 )   Revolting Rhymes ( 2016 )       Film scripts     The Bells of Hell Go Ting - a-ling - a-ling ( 1966 , unfinished )   You Only Live Twice ( 1967 )   Chitty Chitty Bang Bang ( 1968 )   The Night Digger ( 1971 )   Willy Wonka &amp; the Chocolate Factory ( 1971 )       Television series     ' Way Out ( 1961 )   Tales of the Unexpected ( 1979 -- 88 )       Musicals and plays     The Honeys ( 1955 )   Matilda ( 2010 )   Charlie and the Chocolate Factory ( 2013 )   Fantastic Mr Fox ( 2016 )       See also     Quentin Blake   Roald Dahl bibliography   Roald Dahl short stories bibliography   Roald Dahl 's Book of Ghost Stories ( 1983 )   List of Tales of the Unexpected episodes       Related     Roald Dahl Museum and Story Centre   Roald Dahl Children 's Gallery   Patricia Neal ( wife )   Tessa Dahl ( daughter )   Ophelia Dahl ( daughter )   Lucy Dahl ( daughter )   Sophie Dahl ( granddaughter )      Retrieved from `` https://en.wikipedia.org/w/index.php?title=Willy_Wonka_%26_the_Chocolate_Factory&amp;oldid=800521727 '' Categories :   1971 films   English - language films   Willy Wonka   American films   1970s musical films   1970s fantasy films   American children 's fantasy films   American musical films   Compositions by Leslie Bricusse   Films about children   Films about food and drink   Films based on British novels   Films based on children 's books   Films based on fantasy novels   Films based on works by Roald Dahl   Films directed by Mel Stuart   Films set in Europe   Films shot in Bavaria   Musical fantasy films   Quaker Oats Company   Screenplays by Roald Dahl   Size change in fiction   United States National Film Registry films   The Wolper Organization films   Paramount Pictures films   Hidden categories :   Use mdy dates from April 2017   All Wikipedia articles needing clarification   Wikipedia articles needing clarification from September 2017   Articles containing potentially dated statements from 2017   All articles containing potentially dated statements           Talk                                           Contents                   About Wikipedia                                             Wikiquote         Български   Català   Cymraeg   Dansk   Deutsch   Eesti   Español   Esperanto   Euskara   فارسی   Français   Bahasa Indonesia   Íslenska   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Srpskohrvatski / српскохрватски   Suomi   Svenska   Türkçe   Edit links   This page was last edited on 14 September 2017 , at 02 : 00 .   Text is available under the Creative Commons Attribution - ShareAlike License ; additional terms may apply . By using this site , you agree to the Terms of Use and Privacy Policy . Wikip</t>
    </r>
  </si>
  <si>
    <t xml:space="preserve">who owns willy wonka and the chocolate factory</t>
  </si>
  <si>
    <t xml:space="preserve"> The film tells the story of Charlie Bucket ( Peter Ostrum ) as he receives a Golden Ticket and visits Willy Wonka 's chocolate factory with four other children from around the world . Filming took place in Munich in 1970 , and the film was released by Paramount Pictures on June 30 , 1971 . With a budget of just $3 million , the film received generally positive reviews and earned $4 million by the end of its original run . Paramount distributed the film until 1977 , and beginning in the 1980s , Warner Bros. assumed control of the rights for home entertainment purposes . The film then made an additional $21 million during its re-release by Warner Bros. under its Family Entertainment banner in 1996 . The film became highly popular in part through repeated television airings and home entertainment sales . In 1972 , the film received an Academy Award nomination for Best Original Score , and Wilder was nominated for a Golden Globe as Best Actor in a Musical or Comedy , but lost both to Fiddler on the Roof . The film also introduced the song `` The Candy Man '' , which went on to become a popular hit when recorded by Sammy Davis Jr . In 2014 , the film was selected for preservation in the United States National Film Registry by the Library of Congress as being `` culturally , historically , or aesthetically significant '' . </t>
  </si>
  <si>
    <t xml:space="preserve">Sign of the Times ( Harry Styles song ) - wikipedia  Sign of the Times ( Harry Styles song )  Jump to : navigation , search    `` Sign of the Times ''         Single by Harry Styles     from the album Harry Styles     Released   7 April 2017 ( 2017 - 04 - 07 )     Format     Digital download   streaming       Genre     Pop rock   soft rock       Length     5 : 40 ( album version )   4 : 06 ( radio edit )       Label     Erskine   Columbia       Songwriter ( s )     Harry Styles   Jeff Bhasker   Mitch Rowland   Ryan Nasci   Alex Salibian   Tyler Johnson       Producer ( s )     Bhasker   Salibian   Johnson       Harry Styles singles chronology          `` Sign of the Times '' ( 2017 )   `` Two Ghosts '' ( 2017 )             `` Sign of the Times '' ( 2017 )   `` Two Ghosts '' ( 2017 )            Music video     `` Sign of the Times '' on YouTube         `` Sign of the Times '' is the debut solo single by English singer and songwriter Harry Styles for his self - titled debut studio album . It is his first single outside of the boy band One Direction . Released on 7 April 2017 , by Erskine and Columbia Records , it was written by Styles , Ryan Nasci , Mitch Rowland and its producers Jeff Bhasker , Tyler Johnson , and Alex Salibian . Musically , it was defined by critics as a pop rock and soft rock ballad . Its music video was released on 8 May .     Contents  ( hide )   1 Background and release   2 Composition   3 Music video   4 Critical reception   5 Chart performance   6 Live performances   7 Charts   7.1 Weekly charts   7.2 Year - end charts     8 Certifications   9 References   10 External links      Background and release ( edit )   Early rumours about Styles going on a solo career sparkled in 2015 , when it was reported that Sony Music wanted Styles to release a solo album during One Direction 's hiatus . By the end of 2015 , four new songs written and performed by Styles were registered on the American Society of Composers , Authors and Publishers ( ASCAP ) online database , which was believed to be for his potential debut solo album at the time . Shortly after , Styles signed up with American agent Jeffrey Azoff and moved to Columbia Records . In September 2016 , Styles was on the cover of Another Man , which led the media to expect a new album in the future .   In February 2017 , chairman and CEO of Columbia Records , Rob Stringer , admitted that the album was close to finish and called it `` authentic '' . A month later , it was reported that the album sounded like David Bowie and Queen , while also being revealed that he worked on the album with only one producer , Jeff Bhasker . It was also hinted that the lead single would be released in late April or early May and it sounded `` like it would be a smash in any decade '' . In the same month , US radio host Elvis Duran accidentally revealed during his show that Styles ' debut single would be released on 7 April 2017 . On 25 March , Styles teased the new single with a television ad during The Voice UK . On 31 March , the singer revealed through social media that his single is titled `` Sign of the Times '' . On 7 April , the song premiered during Nick Grimshaw 's breakfast show on BBC Radio 1 .   Composition ( edit )   The song is a pop rock , soft rock , piano ballad , with glam rock influences . According to a Billboard writer , it `` folds in psychedelic soul , indie rock and spacey pop '' . The `` apocalyptic '' power ballad shows influences from 1970s British rock . In an interview with Rolling Stone , Styles stated , `` The song is written from a point of view as if a mother was giving birth to a child and there 's a complication . The mother is told , ' The child is fine , but you 're not going to make it . ' The mother has five minutes to tell the child , ' Go forth and conquer . ' ''   According to the song credits provided by Styles ' label , the track was co-written by the song 's producer , Jeff Bhasker , as well as his frequent collaborators and track co-producers Alex Salibian and Tyler Johnson . Songwriters also include Mitch Rowland , Ryan Nasci and Styles himself . Rowland played guitar and drums , Nasci the bass and Bhasker the piano , keyboard and lap steel parts . The track was recorded at Village Studios in Los Angeles and Geejam Hotel Recording Studio in Port Antonio , Jamaica . The song was mixed by Mark `` Spike '' Stent .   Music video ( edit )   Directed by Woodkid , the song 's music video was released on 8 May . It features Styles singing in a meadow , and soaring in the skies , walking on water . A writer from USA Today described Styles to be `` auditioning to be Marvel Comics next superhero or in a new biblical epic '' . It was filmed on the Isle of Skye in Scotland . The video 's stunt pilot , Will Banks , stated that Styles flew more than 1,550 feet high during the shoot . Banks also claimed that no green screen or CGI effects were employed during filming . A stunt double was used for some scenes .   Critical reception ( edit )   Billboard 's Gil Kaufman wrote , `` Every artist is an accumulation of their influences , and in ( this song ) they come fast and furious , as Styles appears to be both showing his range and making a clear effort to step boldly away from the manufactured , plastic pop of his past '' . Kaufman opined it `` rakes in influences from Pink Floyd and David Bowie to Queen , Spacehog , Suede , Coldplay , The Beatles , Eric Carmen and Prince '' . Also for Billboard , Jason Lipshutz wrote it is `` resolute , determined , wholly committed to its messaging and sound , radio trends be damned . Although it wears its influences on its sleeve ( Bowie ) nothing about this single bends toward someone else 's expectations '' . He concluded saying the song `` sounds effortless , but to arrive without any incomplete features is an accomplishment in a music industry where pop artists are expected to produce new music at an unsustainable rate '' .   Tim Jonze of The Guardian described it as `` a ballad , but not so much in the boyband style '' and compared the song to the music of American indie rock band The Walkmen . Jonze also addressed early rumors that the song would be influenced by the music of David Bowie , noting `` If it is indeed Bowie-esque , then it 's the Bowie of Hunky Dory '' . Jamieson Cox in Pitchfork felt the `` skyscraping Bowie ballad '' manages to sound like both fun. 's `` We Are Young '' and Coldplay 's `` The Scientist '' . NPR 's Ann Powers argued the song mirrors more closely `` Britpop anthems '' like Blur 's `` Tender '' or The Verve 's `` Bittersweet Symphony '' `` than anything Bowie released in his prime '' .   Writing for Rolling Stone , Brittany Spanos thought it `` aligns much more with the Seventies - inspired pop - rock of One Direction 's more recent albums like Made in the A.M. '' . Anjali Raguraman from The Straits Times considered it the `` strongest '' track on the album , saying `` the conviction of his delivery is beyond his years '' .   In The Atlantic , Spencer Kornhaber opined that the song `` continues with One Direction 's po - mo project of recycling classic - rock sounds as bubblegum . But he 's now embracing such sounds with more abandon , less chirpiness , some trend bucking , and the kind of uplifting lyrics that nod to planetary anxiety '' . Kornhaber described the song opens with ballad piano , `` encroaching '' violins , and Styles `` crooning in pain '' , `` but then there 's the bwang of a guitar and the song rockets into an arena - rock reverie that feels so , so familiar to anyone who remembers the ' 90s but also so , so foreign to today 's landscape '' .   In The Telegraph , Alice Vincent described it as a `` swooning piano ballad with somewhat overdone production '' and opined , `` it is also ... a little boring . A big , blousy singalong which shows off Styles 's vocal prowess -- especially with an unexpected , slightly yelping falsetto bridge -- but is n't enormously fun '' . Roising O'Connor of The Independent gave it three out of five stars , and concluded , `` it 's going to take something bigger than this one track to assert Styles as a serious artist . '' Since it was released on the 30th anniversary of Prince 's Sign o ' the Times , Spin 's Andy Cush commented , `` it 's clear that this is Styles 's attempt to distinguish himself as an artist with real depth . But the music itself has almost nothing to do with Prince -- instead , think Oasis , Elton John at his most bombastic , ' 70s John Lennon '' . Cush noted it `` has only those three chords , and it goes straight for cruising altitude with an onslaught of cymbals and guitar on the first chorus , expecting you to be moved without pausing to consider why '' .   Rolling Stone ranked it as the best song released in 2017 . Billboard staff considered it the 8th best song of the year . Spin staff ranked it as the 13th best boy - band solo debut single .   Chart performance ( edit )   `` Sign of the Times '' reached number one on the UK Singles Chart with a combined sales of 62,900 units . In its first week , it sold 39,000 downloads together with 3.5 million streams that give 23,472 equivalent units , pausing Ed Sheeran 's run of 13 weeks at the top of the chart with `` Shape of You '' .   In the United States , the song debuted at number four on the Billboard Hot 100 . In its first week , it sold 142,000 copies ( topping Digital Songs ) , earned 16.5 million streams and 23 million airplay impressions .   Live performances ( edit )   Styles performed the song on 15 April 2017 episode of Saturday Night Live 's 42nd season . On 21 April , Styles appeared on the BBC 's The Graham Norton Show , for his first solo performance in his native UK . He also performed the song on The Late Late Show with James Corden . Styles performed the song on The Today Show on May 9 . He also performed it at The Garage in London , England on 13 May and at the Troubadour in West Hollywood , California on 19 May . He performed it live on a French talk show , Quotidien , on 26 April 2017 .   Charts ( edit )      Weekly charts ( edit )     Chart ( 2017 )   Peak position     Argentina ( Monitor Latino )   10     Australia ( ARIA )       Austria ( Ö3 Austria Top 40 )       Belgium ( Ultratop 50 Flanders )   8     Belgium ( Ultratop 50 Wallonia )       Brazil Hot 100 ( Billboard )       Brazil Hot Pop Songs ( Billboard )   20     Canada ( Canadian Hot 100 )   6     Canada AC ( Billboard )   7     Canada CHR / Top 40 ( Billboard )   14     Canada Hot AC ( Billboard )   6     Colombia ( National - Report )   83     Croatia ( HRT )       Czech Republic ( Rádio Top 100 )   9     Czech Republic ( Singles Digitál Top 100 )   5     Denmark ( Tracklisten )   20     Finland Download ( Latauslista )       France ( SNEP )       Germany ( Official German Charts )   20     Hungary ( Rádiós Top 40 )   31     Hungary ( Single Top 40 )   5     Iceland ( RÚV )       Ireland ( IRMA )   6     Italy ( FIMI )   9     Latvia ( Latvijas Top 40 )       Lebanon ( Lebanese Top 20 )   8     Malaysia ( RIM )   14     Mexico ( Billboard Ingles Airplay )       Netherlands ( Dutch Top 40 )   16     Netherlands ( Single Top 100 )   26     New Zealand ( Recorded Music NZ )   6     Norway ( VG - lista )   20     Paraguay ( Monitor Latino )   13     Philippines ( Philippine Hot 100 )   52     Poland ( Polish Airplay Top 100 )       Portugal ( AFP )   6     Scotland ( Official Charts Company )       Slovakia ( Rádio Top 100 )   5     Slovakia ( Singles Digitál Top 100 )       Slovenia ( SloTop50 )   15     Spain ( PROMUSICAE )       Sweden ( Sverigetopplistan )   15     Switzerland ( Schweizer Hitparade )       UK Singles ( Official Charts Company )       US Billboard Hot 100       US Adult Alternative Songs ( Billboard )   25     US Adult Contemporary ( Billboard )   21     US Adult Top 40 ( Billboard )   12     US Mainstream Top 40 ( Billboard )   12       Year - end charts ( edit )     Chart ( 2017 )   Position     Argentina ( Monitor Latino )   31     Austria ( Ö3 Austria Top 40 )   36     Belgium ( Ultratop Flanders )   20     Belgium ( Ultratop Wallonia )   13     Canada ( Canadian Hot 100 )   48     Germany ( Official German Charts )   75     Israel ( Media Forest )   28     Switzerland ( Schweizer Hitparade )   21     US Billboard Hot 100   87     US Billboard Digital Song Sales   56        Certifications ( edit )     Region   Certification   Certified units / Sales     Australia ( ARIA )   2 × Platinum   140,000     Austria ( IFPI Austria )   Gold   15,000     Belgium ( BEA )   Platinum   30,000     Canada ( Music Canada )   2 × Platinum   160,000     Denmark ( IFPI Denmark )   Gold   30,000     France ( SNEP )   Gold   75,000     Germany ( BVMI )   Gold   200,000     Italy ( FIMI )   2 × Platinum   100,000     Mexico ( AMPROFON )   Gold   30,000     New Zealand ( RMNZ )   Gold   15,000     Poland ( ZPAV )   Platinum   20,000     Spain ( PROMUSICAE )   Gold   20,000     Sweden ( GLF )   Platinum   40,000     United Kingdom ( BPI )   Gold   400,000     United States ( RIAA )   Platinum   1,000,000      sales figures based on certification alone shipments figures based on certification alone sales + streaming figures based on certification alone      References ( edit )    ^ Jump up to : `` Here Are The Lyrics To Harry Style 's ' Sign Of The Times ' '' . Billboard. 7 April 2017 .   Jump up ^ Wass , Mike ( 7 April 2017 ) . `` Harry Styles Takes Flight With `` Sign Of The Times '' `` . Idolator .   Jump up ^ `` Sign of the Times - Single by Harry Styles on Apple Music '' . iTunes Store . United States : Apple Music . 10 April 2017 .   Jump up ^ Menyes , Carolyn ( 25 August 2015 ) . `` Harry Styles Solo Album : Sony Wants One Direction Star During Band 's Hiatus '' . Music Times . Retrieved 14 April 2017 .   Jump up ^ Stutz , Colin ( 30 December 2015 ) . `` Harry Styles ' 4 New Solo Song Titles : What to Make of His Copyright Registrations '' . Billboard . Retrieved 14 April 2017 .   ^ Jump up to : Corner , Lewis ( 28 November 2016 ) . `` Harry Styles new album : 2017 release date , new songs , movie career and everything else you need to know '' . Digital Spy . Retrieved 15 April 2017 .   Jump up ^ Halperin , Shirley ( 9 February 2017 ) . `` Incoming Sony Music Head Rob Stringer on Harry Styles ' ' Authentic ' Solo Debut : ' We 're Close ' '' . Billboard . Retrieved 15 April 2017 .   Jump up ^ Levine , Nick ( 22 March 2017 ) . `` Harry Styles ' solo album ' sounds like David Bowie and Queen ' , say insiders '' . NME . Retrieved 15 April 2017 .   Jump up ^ Britton , Luke Morgan ( 24 March 2017 ) . `` Harry Styles ' debut solo single release date revealed ? '' . NME . Retrieved 15 April 2017 .   Jump up ^ Iasimone , Ashley ( 25 March 2017 ) . `` Harry Styles to Release a Single on April 7 '' . Billboard .   Jump up ^ Tom , Lauren ( 31 March 2017 ) . `` Harry Styles Debuts Cover Art for First Solo Single , ' Sign of the Times ' '' . Billboard .   Jump up ^ Savage , Mark ( 7 April 2017 ) . `` Harry Styles ' Sign Of The Times : Everything you need to know about Harry 's solo debut '' . BBC Music .   ^ Jump up to : Vincent , Alice ( 7 April 2017 ) . `` Harry Styles 's solo single Sign of the Times is mournful , sensitive and a little boring - review '' . The Telegraph .   Jump up ^ `` Harry Styles channels glam rock in post-One Direction debut '' . CTV News . 7 April 2017 . Retrieved 9 April 2017 .   ^ Jump up to : Kaufman , Gil ( 7 April 2017 ) . `` Harry Styles ' Biggest ' Sign of the Times ' Influences : From Bowie to Pink Floyd &amp; Coldplay '' . Billboard .   ^ Jump up to : `` Watch Harry Styles Crush ' Sign Of The Times ' on ' The Late Late Show ' '' . Variety . 16 May 2017 . Retrieved 27 May 2017 .   Jump up ^ `` Harry Styles goes ' 70s glam : Hear his new solo single ' Sign of the Times ' '' . Los Angeles Times . 7 April 2017 .   Jump up ^ Crowe , Cameron ( 18 April 2017 ) . `` Harry Styles ' New Direction '' . Rolling Stone . Retrieved 18 April 2017 .   Jump up ^ Kaufman , Gil ( 14 April 2017 ) . `` Check out full credits for Harry Styles ' Sign of the Times '' . Billboard .   Jump up ^ `` Harry Styles - Sign of the Times '' . YouTube . 8 May 2017 . Retrieved 8 May 2017 .   Jump up ^ McDermott , Maeve ( May 8 , 2017 ) . `` Harry Styles drops Jesus - like music video for ' Sign of the Times ' '' . USA Today . Retrieved December 17 , 2017 .   Jump up ^ `` Harry Styles drops Jesus - like music video for ' Sign of the Times ' '' . usatoday.com . Retrieved 2 June 2017 .   Jump up ^ `` Watch Harry Styles Take Flight in Epic ' Sign of the Times ' Video '' . billboard.com . Retrieved 2 June 2017 .   Jump up ^ `` Harry Styles Dangles from helicopter as he shoots for music video '' . dailymail.co.uk . Retrieved 2 June 2017 .   Jump up ^ Lipshutz , Jason ( 7 March 2017 ) . `` Harry Styles ' ' Sign of the Times ' &amp; The Virtue of Patience '' . Billboard .   ^ Jump up to : Jonze , Tim . `` Harry Styles debuts Sign of the Times . Is he really the new Bowie ? '' . The Guardian .   Jump up ^ Cox , Jamieson ( 16 May 2017 ) . `` Harry Styles : Harry Styles Album Review '' . Pitchfork . Retrieved 18 May 2017 .   Jump up ^ Powers , Ann ( 16 May 2017 ) . `` Styles Of The Times '' . NPR . Retrieved 7 July 2017 .   Jump up ^ Spanos , Brittany ( 7 April 2017 ) . `` Hear Harry Styles ' Sweeping Debut Solo Song ' Sign of the Times ' '' . Rolling Stone .   Jump up ^ `` Soft rock with an edge '' . The Straits Times . 17 May 2017 . Retrieved 25 June 2017 .   Jump up ^ Kornhaber , Spencer ( 7 April 2017 ) . `` Even Former Boy - Banders Are Making Music About the End Times '' . The Atlantic .   Jump up ^ O'Connor , Roisin ( 7 April 2017 ) . `` Harry Styles new song ' Sign of the Times ' review : Bowie nods are n't enough to move him out of One Direction territory '' . The Independent . Retrieved 9 December 2017 .   Jump up ^ Cush , Andy ( 7 April 2017 ) . `` Harry Styles ' `` Sign of the Times '' Is Pompous , Overblown , and Too Long , and His Fans Are Gonna Love It `` . Spin .   Jump up ^ Weingarten , Christopher R. ; Spanos , Brittany ; Aaron , Charles ; Vozick - Levinson , Simon ; Sheffield , Rob ( 29 November 2017 ) . `` 50 Best Songs of 2017 '' . Rolling Stone . Retrieved 30 November 2017 .   Jump up ^ `` Billboard 's 100 Best Songs of 2017 : Critics ' Picks '' . Billboard. 13 December 2017 . Retrieved 14 December 2017 .   Jump up ^ `` Best Boy Band Solo Debut Singles , Ranked '' . Spin. 20 April 2017 . Retrieved 12 July 2017 .   Jump up ^ Jones , Alan ( 14 April 2017 ) . `` Official Charts Analysis : Harry Styles ends Ed Sheeran 's reign as No. 1 single '' . Music Week .   Jump up ^ Jonze , Tim ( 14 April 2017 ) . `` Harry Styles 's solo debut single ends Ed Sheeran 's 13 weeks at top of charts '' . The Guardian . Retrieved 14 April 2017 .   Jump up ^ Trust , Gary ( 17 April 2017 ) . `` Ed Sheeran Tops Hot 100 for 12th Week , as Harry Styles Starts at No. 4 '' . Billboard . Retrieved 18 April 2017 .   Jump up ^ Lipshutz , Jason ( 7 April 2017 ) . `` Harry Styles Will Perform a Second New Song on ' Saturday Night Live ' '' . Billboard . Retrieved 7 April 2017 .   Jump up ^ `` Harry Styles is making his solo UK debut on The Graham Norton Show '' . Digital Spy. 5 April 2017 .   Jump up ^ `` Harry Styles Performs Hit ' Sign Of The Times ' On The Today Plaza - Today '' . 9 May 2017 -- via YouTube .   Jump up ^ `` Harry Styles Emulates Folk - Rock Heroes at Intimate Los Angeles Gig '' .   Jump up ^ `` Harry styles - sign of the times ( french tv show - quotidien ) # Quotidien '' . especialmusica.tv .   Jump up ^ `` Top 20 Argentina -- Del 19 al 25 de Junio , 2017 '' ( in Spanish ) . Monitor Latino . 19 June 2017 . Retrieved 26 June 2017 .   Jump up ^ `` Australian-charts.com -- Harry Styles -- Sign of the Times '' . ARIA Top 50 Singles . Retrieved 15 April 2017 .   Jump up ^ `` Austriancharts.at -- Harry Styles -- Sign of the Times '' ( in German ) . Ö3 Austria Top 40 . Retrieved 25 May 2017 .   Jump up ^ `` Ultratop.be -- Harry Styles -- Sign of the Times '' ( in Dutch ) . Ultratop 50 . Retrieved 16 June 2017 .   Jump up ^ `` Ultratop.be -- Harry Styles -- Sign of the Times '' ( in French ) . Ultratop 50 . Retrieved 4 August 2017 .   Jump up ^ `` Rankings - Billboard Hot 100 '' . Billboard Brasil . Internet Group . Retrieved 31 March 2017 .   Jump up ^ `` Pop Brasil : Finalmente , `` Despacito '' assume a liderança do ranking `` . Billboard Brasil ( in Portuguese ) . May 29 , 2017 . Retrieved May 29 , 2017 .   Jump up ^ `` Harry Styles Chart History ( Canadian Hot 100 ) '' . Billboard . Retrieved 18 April 2017 .   Jump up ^ `` Harry Styles Chart History ( Canada AC ) '' . Billboard . Retrieved 6 July 2017 .   Jump up ^ `` Harry Styles Chart History ( Canada CHR / Top 40 ) '' . Billboard . Retrieved 24 June 2017 .   Jump up ^ `` Harry Styles Chart History ( Canada Hot AC ) '' . Billboard . Retrieved 10 June 2017 .   Jump up ^ `` Top 100 Colombia - Semana 22 del 2017 - Del 26 / 05 / 2017 al 1 / 06 / 2017 '' ( in Spanish ) . National - Report . 2 June 2017 . Retrieved 2 June 2017 .   Jump up ^ `` STRANA - Top do topa ( 17.6. 2017 . ) '' . HRT . Retrieved 16 June 2017 .   Jump up ^ `` ČNS IFPI '' ( in Czech ) . Hitparáda -- Radio Top 100 Oficiální . IFPI Czech Republic . Note : insert 201731 into search . Retrieved 7 August 2017 .   Jump up ^ `` ČNS IFPI '' ( in Czech ) . Hitparáda -- Digital Top 100 Oficiální . IFPI Czech Republic . Note : insert 201715 into search . Retrieved 19 April 2017 .   Jump up ^ `` Danishcharts.com -- Harry Styles -- Sign of the Times '' . Tracklisten . Retrieved 19 April 2017 .   Jump up ^ `` Harry Styles : Sign of the Times '' ( in Finnish ) . Musiikkituottajat -- IFPI Finland . Retrieved 16 April 2017 .   Jump up ^ `` Lescharts.com -- Harry Styles -- Sign of the Times '' ( in French ) . Les classement single . Retrieved 15 April 2017 .   Jump up ^ `` Offiziellecharts.de -- Harry Styles -- Sign of the Times '' . GfK Entertainment Charts . Retrieved 18 April 2017 .   Jump up ^ `` Archívum -- Slágerlisták -- MAHASZ '' ( in Hungarian ) . Rádiós Top 40 játszási lista . Magyar Hanglemezkiadók Szövetsége . Retrieved 20 July 2017 .   Jump up ^ `` Archívum -- Slágerlisták -- MAHASZ '' ( in Hungarian ) . Single ( track ) Top 40 lista . Magyar Hanglemezkiadók Szövetsége . Retrieved 21 April 2017 .   Jump up ^ `` Harry Styles Chart History '' . RÚV . Retrieved 10 June 2017 .   Jump up ^ `` IRMA - Irish Charts '' . Irish Recorded Music Association . Retrieved 14 April 2017 .   Jump up ^ `` Italiancharts.com -- Harry Styles -- Sign of the Times '' . Top Digital Download . Retrieved 15 April 2017 .   Jump up ^ `` Latvijas Top 40 '' . Latvijas Radio . 29 May 2017 . Retrieved 29 May 2017 .   Jump up ^ `` Harry Styles Lebanese Chart Top 20 History '' . The Official Lebanese Top 20 . 12 June 2017 . Retrieved 12 June 2017 .   Jump up ^ `` Top 20 Most Streamed International &amp; Domestic Singles in Malaysia '' ( PDF ) . Recording Industry Association of Malaysia . Retrieved 13 June 2017 .   Jump up ^ `` Mexico Ingles Airplay '' . Billboard. 6 May 2017 . Retrieved 27 April 2017 . ( Subscription required ( help ) ) .   Jump up ^ `` Nederlandse Top 40 -- week 19 , 2017 '' ( in Dutch ) . Dutch Top 40 Retrieved 12 May 2017 .   Jump up ^ `` Dutchcharts.nl -- Harry Styles -- Sign of the Times '' ( in Dutch ) . Single Top 100 . Retrieved 20 May 2017 .   Jump up ^ `` Charts.org.nz -- Harry Styles -- Sign of the Times '' . Top 40 Singles . Retrieved 14 April 2017 .   Jump up ^ `` Norwegiancharts.com -- Harry Styles -- Sign of the Times '' . VG - lista . Retrieved 15 April 2017 .   Jump up ^ `` Monitor Latino -- Top 20 General -- Paraguay -- Del 26 de Junio al 2 de Julio , 2017 '' ( in Spanish ) . monitorlatino.com . Retrieved 6 July 2017 .   Jump up ^ `` BillboardPH Hot 100 '' . Billboard Philippines . 12 June 2017 . Retrieved 12 June 2017 .   Jump up ^ `` Listy bestsellerów , wyróżnienia : : Związek Producentów Audio - Video '' . Polish Airplay Top 100 . Retrieved 19 June 2017 .   Jump up ^ `` Portuguesecharts.com -- Harry Styles -- Sign of the Times '' . AFP Top 100 Singles . Retrieved 9 June 2017 .   Jump up ^ `` Official Scottish Singles Sales Chart Top 100 '' . Official Charts Company . Retrieved 15 April 2017 .   Jump up ^ `` SNS IFPI '' ( in Slovak ) . Hitparáda -- Radio Top 100 Oficiálna . IFPI Czech Republic . Note : insert 201729 into search . Retrieved 25 July 2017 .   Jump up ^ `` SNS IFPI '' ( in Slovak ) . Hitparáda -- Singles Digital Top 100 Oficiálna . IFPI Czech Republic . Note : insert 201715 into search . Retrieved 19 April 2017 .   Jump up ^ `` SloTop50 : Slovenian official singles weekly chart '' ( in Slovenian ) . SloTop50 . Retrieved 2 July 2017 .   Jump up ^ `` Spanishcharts.com -- Harry Styles -- Sign of the Times '' Canciones Top 50 . Retrieved 19 April 2017 .   Jump up ^ `` Swedishcharts.com -- Harry Styles -- Sign of the Times '' . Singles Top 100 . Retrieved 14 April 2017 .   Jump up ^ `` Swisscharts.com -- Harry Styles -- Sign of the Times '' . Swiss Singles Chart . Retrieved 29 May 2017 .   Jump up ^ `` Official Singles Chart Top 100 '' . Official Charts Company . Retrieved 15 April 2017 .   Jump up ^ `` Harry Styles Chart History ( Hot 100 ) '' . Billboard . Retrieved 18 April 2017 .   Jump up ^ `` Harry Styles Chart History ( Adult Alternative Songs ) '' . Billboard . Retrieved 13 June 2017 .   Jump up ^ `` Harry Styles Chart History ( Adult Contemporary ) '' . Billboard . Retrieved 20 June 2017 .   Jump up ^ `` Harry Styles Chart History ( Adult Pop Songs ) '' . Billboard . Retrieved 20 June 2017 .   Jump up ^ `` Harry Styles Chart History ( Pop Songs ) '' . Billboard . Retrieved 23 May 2017 .   Jump up ^ `` Top 100 Anual Argentina '' . Monitor Latino . Retrieved 10 December 2017 .   Jump up ^ `` Ö3 Austria Top 40 -- Single - Charts 2017 '' . oe3.orf.at . Retrieved 29 December 2017 .   Jump up ^ `` Jaaroverzichten 2017 '' . Ultratop . Retrieved 21 December 2017 .   Jump up ^ `` Rapports Annuels 2017 '' . Ultratop . Retrieved 21 December 2017 .   Jump up ^ `` Canadian Hot 100 -- Year - End 2017 '' . Billboard . Retrieved 15 December 2017 .   Jump up ^ `` Top 100 Single - Jahrescharts '' . GfK Entertainment ( in German ) . offiziellecharts.de . Retrieved 29 December 2017 .   Jump up ^ `` Top 50 Israel airplay 2017 '' . mediaforest. bizz . Retrieved 2 January 2018 .   Jump up ^ `` Schweizer Jahreshitparade 2017 -- hitparade.ch '' . Hung Medien . Retrieved 31 December 2017 .   Jump up ^ `` Hot 100 Songs -- Year - End 2017 '' . Billboard . Retrieved 12 December 2017 .   Jump up ^ `` Digital Song Sales -- Year - End 2017 '' . Billboard . Retrieved 12 December 2017 .   Jump up ^ `` ARIA Charts -- Accreditations -- 2017 Singles '' . Australian Recording Industry Association . 29 July 2017 . Retrieved 29 July 2017 .   Jump up ^ `` Austrian single certifications -- Harry Styles -- Sign of the Times '' ( in German ) . IFPI Austria . Retrieved 9 August 2017 . Enter Harry Styles in the field Interpret . Enter Sign of the Times in the field Titel . Select single in the field Format . Click Suchen   Jump up ^ `` Ultratop − Goud en Platina -- 2017 '' . Ultratop . Hung Medien. 18 August 2017 . Retrieved 12 August 2017 .   Jump up ^ `` Canadian single certifications -- Harry Styles -- Sign of the Times '' . Music Canada . 19 September 2017 . Retrieved 23 November 2017 .   Jump up ^ `` Harry Styles `` Sign Of The Times '' `` . IFPI Denmark . September 5 , 2017 . Retrieved September 5 , 2017 .   Jump up ^ `` French single certifications -- Harry Styles -- Sign of the Times '' ( in French ) . Syndicat National de l'Édition Phonographique. 11 August 2017 . Retrieved 30 August 2017 .   Jump up ^ `` Gold - / Platin - Datenbank ( Harry Styles ; ' Sign of the Times ' ) '' ( in German ) . Bundesverband Musikindustrie . Retrieved 7 September 2017 .   Jump up ^ `` Italian single certifications -- Harry Styles -- Sign of the Times '' ( in Italian ) . Federazione Industria Musicale Italiana . Retrieved 20 November 2017 .   Jump up ^ `` Certificaciones -- Harry Styles '' ( in Spanish ) . Asociación Mexicana de Productores de Fonogramas y Videogramas . Retrieved 24 May 2017 .   Jump up ^ `` New Zealand single certifications -- Harry Styles -- Sign of the Times '' . Recorded Music NZ . Retrieved 26 May 2017 .   Jump up ^ `` Polish single certifications -- Harry Styles -- Sign of the Times '' ( in Polish ) . Polish Society of the Phonographic Industry . Retrieved 14 September 2017 .   Jump up ^ `` Spanish single certifications -- Harry Styles -- Sign of the Times '' ( PDF ) ( in Spanish ) . Productores de Música de España . Retrieved 13 July 2017 . Select single under `` Chart '' , enter 2017 in the field `` Year '' . Select ' ' in the field `` Semana '' . Click on `` Search Charts ''   Jump up ^ `` Guld - och Platinacertifikat '' ( in Swedish ) . IFPI Sweden . Retrieved 13 September 2017 . Type Harry Styles in the top right search bar . Click on `` Sok '' and select Sign of the Times and see certification .   Jump up ^ `` British single certifications -- Harry Styles -- Sign of the Times '' . British Phonographic Industry . Retrieved 23 June 2017 . Enter Sign of the Times in the search field and then press Enter .   Jump up ^ `` American single certifications -- Harry Styles -- Sign of the Times '' . Recording Industry Association of America . 22 August 2017 . Retrieved 17 November 2017 . If necessary , click Advanced , then click Format , then select Single , then click SEARCH    External links ( edit )    Lyrics of this song at MetroLyrics   `` Sign of the Times '' ( audio ) on YouTube      ( hide )         Harry Styles     Discography     Studio albums     Harry Styles       Singles     `` Sign of the Times ''   `` Two Ghosts ''   `` Kiwi ''       Promotional singles     `` Sweet Creature ''       Concert tours     Harry Styles : Live on Tour       Related articles     One Direction      Retrieved from `` https://en.wikipedia.org/w/index.php?title=Sign_of_the_Times_(Harry_Styles_song)&amp;oldid=818217077 '' Categories :   2010s ballads   2017 singles   2017 songs   Debut singles   Songs written by Jeff Bhasker   Song recordings produced by Jeff Bhasker   Songs written by Harry Styles   Harry Styles songs   UK Singles Chart number - one singles   Number - one singles in Australia   Number - one singles in Poland   Songs written by Tyler Johnson ( music )   British soft rock songs   Rock ballads   Songs about death   Songs written by Alex Salibian   Hidden categories :   CS1 Spanish - language sources ( es )   CS1 Portuguese - language sources ( pt )   Pages containing links to subscription - only content   CS1 Slovenian - language sources ( sl )   CS1 German - language sources ( de )   CS1 French - language sources ( fr )   CS1 Italian - language sources ( it )   CS1 Polish - language sources ( pl )   CS1 Swedish - language sources ( sv )   Use dmy dates from June 2017   Articles with hAudio microformats   Singlechart usages for Australia   Singlechart usages for Austria   Singlechart usages for Flanders   Singlechart usages for Wallonia   Singlechart usages for Canada   Singlechart called without song   Singlechart usages for Billboardcanadaac   Singlechart usages for Billboardcanadachrtop40   Singlechart usages for Billboardcanadahotac   Singlechart usages for Czech Republic   Singlechart called without artist   Singlechart usages for Czechdigital   Singlechart usages for Denmark   Singlechart usages for Finnishdownload   Singlechart usages for France   Singlechart usages for Germany2   Singlechart usages for Hungary   Singlechart usages for Hungarysingle   Singlechart usages for Italy   Singlechart usages for Dutch40   Singlechart usages for Dutch100   Singlechart usages for New Zealand   Singlechart usages for Norway   Singlechart usages for Poland   Singlechart usages for Portugal   Singlechart usages for Scotland   Singlechart usages for Slovakia   Singlechart usages for Slovakdigital   Singlechart usages for Spain   Singlechart usages for Sweden   Singlechart usages for Switzerland   Singlechart usages for UK   Singlechart usages for Billboardhot100   Singlechart usages for Billboardadultalternativesongs   Singlechart usages for Billboardadultcontemporary   Singlechart usages for Billboardadultpopsongs   Singlechart usages for Billboardpopsongs   Certification Table Entry usages for Australia   Certification Table Entry usages for Austria   Certification Table Entry usages for Belgium   Certification Table Entry usages for Canada   Certification Table Entry usages for Denmark   Certification Table Entry usages for France   Certification Table Entry usages for Germany   Certification Table Entry usages for Italy   Ce</t>
  </si>
  <si>
    <t xml:space="preserve">who directed sign of the times music video</t>
  </si>
  <si>
    <t xml:space="preserve"> Directed by Woodkid , the song 's music video was released on 8 May . It features Styles singing in a meadow , and soaring in the skies , walking on water . A writer from USA Today described Styles to be `` auditioning to be Marvel Comics next superhero or in a new biblical epic '' . It was filmed on the Isle of Skye in Scotland . The video 's stunt pilot , Will Banks , stated that Styles flew more than 1,550 feet high during the shoot . Banks also claimed that no green screen or CGI effects were employed during filming . A stunt double was used for some scenes . </t>
  </si>
  <si>
    <t xml:space="preserve">Once Upon a Time ( season 7 ) - wikipedia  Once Upon a Time ( season 7 )  Jump to : navigation , search    Once Upon a Time ( season 7 )     Promotional poster     Starring     Lana Parrilla   Colin O'Donoghue   Andrew J. West   Dania Ramirez   Gabrielle Anwar   Alison Fernandez   Robert Carlyle   Mekia Cox       Country of origin   United States     No. of episodes   8     Release     Original network   ABC     Original release   October 6 , 2017 ( 2017 - 10 - 06 ) -- present ( present )     Season chronology     ← Previous Season 6     List of Once Upon a Time episodes     The seventh season of the American ABC fantasy - drama Once Upon a Time was ordered on May 11 , 2017 . It will consist of 22 episodes , airing on Fridays , having premiered on October 6 , 2017 .   This season marks a significant change for the series , as it was announced at the end of the sixth season that the majority of the main cast members would not be returning for season 7 . Lana Parrilla , Colin O'Donoghue , and Robert Carlyle will be the only ones remaining . Andrew J. West and Alison Fernandez were announced as new regulars in May 2017 . Dania Ramirez and Gabrielle Anwar were announced as additional regulars in July 2017 . In August 2017 , it was announced that Mekia Cox had been promoted to series regular after initially joining the cast in July as recurring .   The storyline is softly rebooted with a new main narrative led by an adult Henry Mills , set many years after the last season 's events .     Contents  ( hide )   1 Cast and characters   1.1 Regular   1.2 Recurring   1.3 Guest     2 Episodes   3 Production   3.1 Development   3.2 Casting     4 Ratings   5 References   6 External links      Cast and characters ( edit )  Main article : List of Once Upon a Time characters  Regular ( edit )    Lana Parrilla as Evil Queen / Regina Mills / Roni   Colin O'Donoghue as Captain Hook / Killian Jones / Rogers   Andrew J. West as Henry Mills   Dania Ramirez as Cinderella / Jacinda   Gabrielle Anwar as Lady Tremaine / Victoria Belfrey   Alison Fernandez as Lucy   Robert Carlyle as Rumplestiltskin / Mr. Gold / Weaver   Mekia Cox as Tiana / Sabine    Recurring ( edit )    Adelaide Kane as Drizella / Ivy Belfrey   Rose Reynolds as Alice / Tilly   Emma Booth as Gothel / Eloise Gardener   Rebecca Mader as Wicked Witch of the West / Zelena   Meegan Warner as Rapunzel   Tiera Skovbye as Robin   Nathan Parsons as Jack / Nick Branson    Guest ( edit )    Jared S. Gilmore as young Henry Mills   Jennifer Morrison as Emma Swan   Emilie de Ravin as Belle   Giles Matthey as Gideon   Robin Givens as Eudora   Kevin Ryan as Robert   Daniel Francis as Dr. Facilier   Chris Gauthier as William Smee   Yael Yurman as Anastasia   TBA as Naveen   Chad Rook as TBA    Episodes ( edit )  See also : List of Once Upon a Time episodes    No . overall   No. in season   Title   Directed by   Written by   Original air date   U.S. viewers ( millions )     134     `` Hyperion Heights ''   Ralph Hemecker   Edward Kitsis &amp; Adam Horowitz   October 6 , 2017 ( 2017 - 10 - 06 )   3.26     In a flashback , an 18 - year - old Henry says goodbye to Regina as he departs Storybrooke on a trip to new realms in hopes of finding his own story . Many years later , Henry runs into Cinderella 's carriage in the Magical Forest and after a string of events that almost get them captured at a ball , he offers her the chance at a new start back in Storybrooke , as he is due to return through a portal that evening . When Henry finds a glass slipper left for him at their meeting spot , he decides to stay behind . In present - day Seattle , an older Henry is reunited with his daughter Lucy , whom he does not remember because of a curse . In hopes of breaking it , Lucy leads him to her neighborhood of Hyperion Heights , home to many other cursed fairytale characters including Jacinda , Lucy 's down - on - her - luck single mother who is in a contentious relationship with her powerful stepmother Victoria . Others include Roni , a bar owner who is struggling with having to sell her establishment to Victoria , and Rogers , a cop who gets promoted to a detective and is introduced to his new partner , Weaver .     135     `` A Pirate 's Life ''   Tara Nicole Weyr   Jane Espenson &amp; Jerome Schwartz   October 13 , 2017 ( 2017 - 10 - 13 )   2.74     In a flashback , Emma expresses her worries about Henry leaving home and Hook presents her with a `` message in a bottle '' that Henry can use to keep in contact . Many years later , as Henry is about to be captured by Lady Tremaine , he uses the bottle to call on Emma , Hook , and Regina for help . Hook and Regina arrive and rescue him though , unbeknownst to them , the bottle also summoned the Hook from the Wish Realm , who later appears and knocks the original Hook out to assume his place . When Emma arrives and reveals to Henry that she is pregnant , the other Hook feels guilty and decides to switch back , though the real Hook ends up stabbing him in a fight . The other Hook then reveals that he had a daughter who got trapped in a tower by a witch . After hearing this , Hook gets Emma to heal his counterpart . Afterwards , Henry does not feel like it is time to go back home yet and gets Emma 's blessing to continue his journey . Henry , Regina , and the other Hook decide to travel together , while Emma and Hook return to Storybrooke . In the present , Victoria hires Rogers and Weaver to drive Henry out of the neighborhood . Rogers does not agree with Weaver 's methods and helps Henry instead . Rogers , Henry , and Roni end up forming an alliance against Victoria . Meanwhile , Jacinda has to find another way to be at Lucy 's ballet recital after Victoria makes things difficult for her .     136     `` The Garden of Forking Paths ''   Ron Underwood   David H. Goodman &amp; Brigitte Hales   October 20 , 2017 ( 2017 - 10 - 20 )   2.49     In a flashback , Cinderella arrives at the spot in the forest where she is supposed to meet Henry , but does not find him there . She then meets Princess Tiana , who recruits her to be part of the resistance against Lady Tremaine . She leaves one of her glass slippers behind for Henry to find . A short while later , Henry , Regina , and Hook arrive at their campsite and join the efforts . Later , Cinderella sneaks into Tremaine 's castle alone , where Tremaine reveals that she has kept her almost - deceased daughter Anastasia preserved since her `` death '' at age 14 and needs a pure heart to revive her . She tasks Cinderella with stealing Henry 's , since he has the heart of the truest believer . In the present day , Jacinda tries to save Lucy 's beloved community garden from Victoria , while Lucy takes a skeptical Henry on a trip under the garden lot in hopes of finding proof of everyone 's fairytale pasts . Meanwhile , Henry , Roni , and Rogers find their first lead against Victoria . Rogers captures the man working with her , but is irritated to find Weaver setting the man free to use him as a future connection . Also , it is revealed that Victoria is not cursed and has been keeping a witch as her prisoner at the top of Belfrey Towers .     137     `` Beauty ''   Mick Garris   Dana Horgan &amp; Leah Fong   October 27 , 2017 ( 2017 - 10 - 27 )   2.44     In a flashback to Gideon 's first birthday , Rumple and Belle decide to leave Storybrooke to travel the world . Years later , Rumple tells Belle that he wants to stop being the Dark One so he can be mortal again and live out one single life with her . Over the years , they search for ways to get rid of his darkness . When Gideon is 18 , Belle comes across a prophecy that leads them to the Edge of Realms , where they must wait for the sun 's brightest set before they can be guided to the path Rumple must take to get rid of the Darkness . They build a home there as they wait for the event to occur . However , an aging Belle eventually admits that the `` sun '' of which the prophecy spoke was actually herself and that her death will mark the start of his journey . When Belle dies , Rumple sets off to search for a Guardian who will be able to take over the Darkness from him so that he can ultimately be reunited with Belle . In the present day , Tilly , who is actually Alice , begins to wake up from the curse after she stops taking pills given to her by Victoria . In her new state of clarity , she tries to get Weaver to remember his true identity . Meanwhile , Ivy is tasked with taking Lucy trick - or - treating and loses her in the streets . She ends up bonding with Henry and defies her mother to give Jacinda and Lucy time together .     138   5   `` Greenbacks ''   Geofrey Hildrew   Christopher Hollier &amp; Adam Karp   November 3 , 2017 ( 2017 - 11 - 03 )   2.29     In the flashbacks , Tiana seeks a prince to help save her kingdom and is guided by Dr. Facilier to a man named Robert . She soon realizes that Facilier had enlisted Robert to steal a magical ruby from her in exchange for reuniting him with his lover who had been turned into a frog . In the present day , Tiana decides to run a pop - up beignet shop out of Mr. Cluck 's with Jacinda 's help . Victoria sends someone to burn the place down , which then causes friction between the two roommates. Rogers comes across a detainee at the police station who he thinks is connected to Eloise Gardener , the missing girl he 's trying to find . Meanwhile , Roni decides to investigate Ivy 's interest in helping Henry . Ivy takes her to the top of the towers and Roni finds a photo of herself and a young Henry taken in Storybrooke . However , it is later revealed that Ivy has n't been cursed either and has her own dealings with the witch of which her mother is unaware .     139   6   `` Wake Up Call ''   Sharat Raju   Jerome Schwartz &amp; Jane Espenson   November 10 , 2017 ( 2017 - 11 - 10 )   2.37     In a flashback , Regina comes across Drizella , who is looking for magic to escape from her mother . When she reveals that she was actually born with magic , Regina begins to train her . However after Regina runs into Rumple , who tells her that Lady Tremaine must have been aware of the magic lessons , the two women realize that Lady Tremaine was counting on using Drizella 's heart to revive Anastasia . Drizella ends up blackening her own heart by killing the prince , making it unusable for revival , and vows to cast a curse like Regina 's to make her mother suffer . In the present day , Roni struggles with what to believe about the mysterious photo , which is complicated by newly discovered information about `` Regina Mills '' into which Lucy encouraged her to look . Drizella gathers the ingredients for a plant that the witch then cultivates and , when she serves its essence to Roni , she wakes up and remembers her life as Regina . Drizella then reveals that she cast the curse and blackmails Regina into keeping Henry and Jacinda apart , reminding her of a special contingency that was put into the curse that would force her to comply .     140   7   `` Eloise Gardener ''   Alex Kalymnios   David H. Goodman &amp; Brigitte Hales   November 17 , 2017 ( 2017 - 11 - 17 )   2.28     In a flashback to the Wish Realm shortly after the Charmings have stopped Regina from casting her curse , Hook agrees to procure magic for her from a witch . When he arrives at the witch 's tower , he finds Rapunzel instead . She instructs him to retrieve a golden flower from the witch 's garden . When he returns with it to help her , they spend a night together . The next morning , it is revealed that Rapunzel is actually Gothel and their night together produced a baby , whom Gothel leaves behind so she can escape the tower . Hook gives the Jolly Roger to Smee and decides to stay with his daughter , who is unable to leave due to the tower 's spell . He names her Alice after his own mother . In the present day , Rogers is on a mad hunt for Eloise , with help from Henry and Tilly . Tilly later informs him that Eloise has died but it turns out that the news had been planted by Weaver to throw him off the case . Weaver warns Rogers that Eloise is n't the person he thinks she is . When Rogers finds Gothel , he mistakenly believes that she is Eloise and frees her from Victoria , who gets locked up for kidnapping . Meanwhile , Tremaine has discovered that Drizella is awake and Regina tries to put some distance between Henry and Jacinda .     141   8   `` Pretty in Blue ''   Ralph Hemecker   Dana Horgan &amp; Leah Fong   November 17 , 2017 ( 2017 - 11 - 17 )   2.28     In the flashbacks , Hook is reunited with Alice , who claims that they have been cured of their curse . However , when they try to embrace , Hook gets hurt and Alice runs away in fear . Henry and Ella chase her back to Wonderland , a place where Ella reveals that her mother Cecilia had ran to after abandoning her and her stepfather . She takes a shrinking potion and leaves Henry to head into the Infinite Maze alone to find answers . She finds Alice , who tells her that she had met Cecilia before and that the woman had also been afflicted with the same Curse of the Poisoned Heart . Drizella is also in Wonderland with a plan to curse Henry but Alice and Ella are able to save him . Henry and Ella then share their first kiss . In the present day , Jacinda contacts Nick ( a cursed friend of Henry 's from Fairy Tale Land ) , a lawyer whom she has been cursed to believe is Lucy 's father . He agrees to help her regain custody of Lucy , to Henry 's disdain , and Lucy encourages Henry to fight for Jacinda . Meanwhile , Drizella and Gothel plan to revive Anastasia but when they open her coffin , her body is missing . After Regina confronts Rumple , who refuses to confirm that he has woken up from the curse , she announces to Henry that she 's heading to San Francisco to meet with someone who had been pushed out of town by Victoria . He agrees to join her on the trip .     142   9   `` One Little Tear ''   TBA   Christopher Hollier &amp; Adam Karp   December 8 , 2017 ( 2017 - 12 - 08 )   TBD     143   10   `` The Eighth Witch ''   TBA   Jane Espenson &amp; Jerome Schwartz   TBA   TBD     144   11   `` Secret Garden ''   TBA   Edward Kitsis &amp; Adam Horowitz   TBA   TBD     145   12   `` A Taste of the Heights ''   TBA   David H. Goodman &amp; Brigitte Hales   TBA   TBD     146   13   `` Knightfall ''   TBA   Jerome Schwartz &amp; Miguel Ian Raya   TBA   TBD     Production ( edit )   Development ( edit )   In January 2017 , while season 6 was still in production , ABC president Channing Dungey spoke of a possible `` reset '' of the show 's narrative in the event that the show received a season 7 order . After much speculation , executive producers Adam Horowitz and Edward Kitsis later confirmed that certain characters would have their storylines wrapped up and that the back - end of the sixth season had been written with the season 7 narrative change in mind . Despite the major changes from seasons past , the showrunners have said that they do not view season 7 as a complete reboot of the show : `` We 're more thinking about it as a hybrid of a lot of things . We 're paying homage to the original premise , but there are certain characters who are returning and some who are not . It 's a combination of a lot of things , but what we 're trying to do is go in a new direction but stay true to the spirit of what the show has always been . ''   In July 2017 , the creators announced that the series now take place in the Seattle neighborhood of Hyperion Heights , which was created under a new and darker curse . Residents of this neighborhood include displaced characters from the original and new versions of the Enchanted Forest , as well as regular people from the Land Without Magic . This differs from Storybrooke in season 1 , which was an isolated town that was blocked off from real - world Maine . The initial villain is Lady Tremaine , assumes the role of an urban developer who seeks to `` gentrify the neighborhood '' and push out and separate fairy tale residents . Meanwhile , Storybrooke and various Fairy Tale Land locations still appear in the flashbacks of the season as the story bounces back and forth between the characters ' lives before and during the latest curse .   Casting ( edit )   In May 2017 , it was announced that Lana Parrilla , Colin O'Donoghue , and Robert Carlyle would be the only series regulars from season 6 to continue onto season 7 . It was teased that the three would be portraying their original characters but with cursed identities , similar to the circumstances in season 1 . In July , the first promo of the season revealed that Killian is now a Seattle police officer with the last name Rogers , who is living with an unexplained sense of loss . In August , it was revealed that Regina is now a bar owner named Roni , who is more dressed down and is `` no longer in charge . ''   Former main cast member Jennifer Morrison has confirmed that she has agreed to return for one episode , later revealed to be the second episode of the season . Morrison announced her last filming day on July 19 , 2017 . On July 22 , it was confirmed that Emilie de Ravin would return for the fourth episode in the seventh season .   In March 2017 , Andrew J. West and Alison Fernandez were cast for unknown guest roles in the season six finale . During the episode , it was revealed that West was portraying an adult Henry Mills , while Fernandez portrayed his daughter , Lucy . After that episode 's airing , they were confirmed as series regulars for season 7 . West will be taking over the role from Jared S. Gilmore , who has been confirmed to appear in at least the first two episodes of the season .   On July 6 , 2017 , it was announced that Dania Ramirez and Gabrielle Anwar would be two additional series regulars for season 7 . Additionally , Adelaide Kane , Mekia Cox , and Rose Reynolds were cast in recurring roles for the upcoming season . On July 15 , it was announced that Ramirez would be portraying Cinderella , albeit a different version from the one previously played by Jessy Schram for the first six seasons . On July 22 at San Diego Comic - Con , it was revealed that Anwar and Kane will be portraying Lady Tremaine and Drizella , respectively . Cox would be portraying Tiana from The Princess and the Frog , while Reynolds would be playing an alternate version of Alice , a character previously heavily featured in the spin - off Once Upon a Time in Wonderland . In August 2017 , Cox was promoted to series regular .   On August 1 , it was announced that Giles Matthey would return as an adult Gideon for the season 's fourth episode . The episode , also featuring Emilie de Ravin , would be centered around Rumple . On that same day , it was also announced that Emma Booth was cast in a major recurring role as the Witch , whose more specific identity would be revealed later on during the season . On August 25 , Kevin Ryan announced that he would be making an appearance as a new prince in the upcoming season . On August 30 , it was announced that Robin Givens had been cast as Tiana 's mother , Eudora .   On September 8 , it was announced that Meegan Warner would be guest starring as an alternate version of Rapunzel , a character previously featured in one episode of season 3 . It was later revealed that the character would appear in a multi-episode arc . On September 20 , it was announced that former main Rebecca Mader would return for multiple episodes in the seventh season as Zelena , who will also have a cursed identity .   On October 2 , it was announced that Dr. Facilier from The Princess and the Frog would make an appearance during the season , later revealed to be portrayed by Daniel Francis in the season 's fifth episode . On October 3 , it was announced that flashbacks of the ninth episode would feature a `` tweenage '' Anastasia , Lady Tremaine 's other biological daughter .   On November 1 , it was announced that Tiera Skovbye would be recurring as an older version of Robin , the daughter of Zelena and Robin Hood . On November 2 , it was announced that Nathan Parsons had been cast in a recurring role as Nick , a lawyer and potential love interest for another character . On November 3 , it was announced that the show was casting for the role of Naveen from The Princess and the Frog , who will be appearing in the second half of the season . On November 16 , actor Chad Rook announced that he had been cast in an unknown role .   Ratings ( edit )     No .   Title   Air date   Rating / share ( 18 -- 49 )   Viewers ( millions )   DVR ( 18 -- 49 )   DVR viewers ( millions )   Total ( 18 -- 49 )   Total viewers ( millions )       `` Hyperion Heights ''   October 6 , 2017   0.7 / 3   3.26   0.7   1.72   1.4   4.98       `` A Pirate 's Life ''   October 13 , 2017   0.7 / 3   2.74   0.6   N / A   1.3   N / A       `` The Garden of Forking Paths ''   October 20 , 2017   0.5 / 3   2.49   0.6   N / A   1.1   N / A       `` Beauty ''   October 27 , 2017   0.5 / 2   2.44   0.5   N / A   1.0   N / A     5   `` Greenbacks ''   November 3 , 2017   0.5 / 2   2.29   0.5   1.27   1.0   3.56     6   `` Wake Up Call ''   November 10 , 2017   0.5 / 2   2.37   TBD   TBD   TBD   TBD     7   `` Eloise Gardener ''   November 17 , 2017   0.5 / 2   2.28   TBD   TBD   TBD   TBD     8   `` Pretty in Blue ''   November 17 , 2017   0.5 / 2   2.28   TBD   TBD   TBD   TBD     References ( edit )    Jump up ^ Goldberg , Lesley ( May 11 , 2017 ) . `` ' Once Upon a Time ' Renewed for Season 7 at ABC '' . The Hollywood Reporter . Retrieved May 11 , 2017 .   Jump up ^ Macke , Johnni ( July 5 , 2017 ) . `` New ' Once Upon A Time ' Tease Reveals Where The Series Will Pick Up In Season 7 '' . People 's Choice . Retrieved July 6 , 2017 .   ^ Jump up to : Mitovich , Matt Webb ( May 16 , 2017 ) . `` Once Upon a Time Season 7 : Get Fresh Details on Henry 's ' Epic Quest ' -- Plus , New Identities for Regina &amp; Co. ? ! '' . TVLine . Retrieved July 6 , 2017 .   ^ Jump up to : Mitovich , Matt Webb ( July 6 , 2017 ) . `` Once Upon a Time Season 7 Reset : Gabrielle Anwar , Devious Maids Alum , Reign Star Among 5 New Additions '' . TVLine . Retrieved July 6 , 2017 .   ^ Jump up to : Abrams , Natalie ( August 31 , 2017 ) . `` Spoiler Room : Scoop on Once Upon a Time , Supergirl , Teen Wolf , and more '' . Entertainment Weekly . Retrieved August 31 , 2017 .   ^ Jump up to : Andreeva , Nellie ( January 10 , 2017 ) . `` ' Once Upon A Time ' : Current Narrative To Wrap At End Of Season 6 ; Will There Be Season 7 ? '' . Deadline . Retrieved April 25 , 2017 .   ^ Jump up to : Ausiello , Michael ( July 15 , 2017 ) . `` Once Upon a Time : Dania Ramirez Is Playing ' New ' Cinderella -- Photo '' . TVLine . Retrieved July 15 , 2017 .   ^ Jump up to : `` ( # 701 ) `` Hyperion Heights '' `` . The Futon Critic . Retrieved September 18 , 2017 .   Jump up ^ Abrams , Natalie ( October 3 , 2017 ) . `` Once Upon a Time 's Adelaide Kane talks millennial meanie Drizella '' . Entertainment Weekly . Retrieved October 3 , 2017 .   Jump up ^ Abrams , Natalie ( October 5 , 2017 ) . `` Once Upon a Time 's Rose Reynolds introduces streetwise , enigmatic Alice '' . Entertainment Weekly . Retrieved October 5 , 2017 .   ^ Jump up to : Andreeva , Nellie ( August 1 , 2017 ) . `` ' Once Upon A Time ' : Emma Booth Joins ABC Fairytale Drama As Recurring '' . Deadline.com . Retrieved August 1 , 2017 .   Jump up ^ Abrams , Natalie ( November 17 , 2017 ) . `` Once Upon a Time officially confirms identity of Hook 's daughter -- and her mom ! '' . Entertainment Weekly . Retrieved November 17 , 2017 .   ^ Jump up to : Mitovich , Matt ( September 20 , 2017 ) . `` Once Upon a Time : Rebecca Mader to Return for Multiple Season 7 Episodes '' . TVLine . Retrieved September 20 , 2017 .   ^ Jump up to : Ausiello , Michael ( September 8 , 2017 ) . `` Once Upon a Time Casts TURN Alum Meegan Warner as the New ( Spoiler ) '' . TVLine . Retrieved September 8 , 2017 .   ^ Jump up to : Mitovich , Matt Webb ( November 1 , 2017 ) . `` Once Upon a Time Casts Riverdale 's Tiera Skovbye as ( Spoiler ) 's Daughter '' . TVLine . Retrieved November 1 , 2017 .   ^ Jump up to : Abrams , Natalie ( November 2 , 2017 ) . `` Once Upon a Time books The Originals star as potential love interest '' . Entertainment Weekly . Retrieved November 2 , 2017 .   ^ Jump up to : `` ( # 707 / 708 ) `` Eloise Gardener / Pretty in Blue '' `` . The Futon Critic . Retrieved November 15 , 2017 .   ^ Jump up to : Abrams , Natalie ( July 15 , 2017 ) . `` Once Upon a Time bosses drop new clues on season 7 '' . Entertainment Weekly . Retrieved July 15 , 2017 .   Jump up ^ Andreeva , Nellie ( May 8 , 2017 ) . `` Jennifer Morrison On Why She Is Leaving ' Once Upon a Time ' , Emma 's Final Battle &amp; What 's Next '' . Deadline . Retrieved May 9 , 2017 .   ^ Jump up to : Abrams , Natalie ( July 22 , 2017 ) . `` Once Upon a Time : Emilie de Ravin books return in season 7 '' . Entertainment Weekly . Retrieved July 22 , 2017 .   ^ Jump up to : Abrams , Natalie ( August 1 , 2017 ) . `` Once Upon a Time : Giles Matthey to return in season 7 '' . Entertainment Weekly . Retrieved August 1 , 2017 .   ^ Jump up to : Abrams , Natalie ( August 30 , 2017 ) . `` Once Upon a Time adds Robin Givens as Tiana 's mom '' . Entertainment Weekly . Retrieved August 30 , 2017 .   ^ Jump up to : `` ( # 705 ) `` Greenbacks '' `` . The Futon Critic . Retrieved October 30 , 2017 .   ^ Jump up to : Ausiello , Michael ( October 3 , 2017 ) . `` Ask Ausiello : Spoilers on This Is Us , Flash , New Girl , Arrow , Grey 's Anatomy , The Blacklist , Supernatural and More '' . TVLine . Retrieved October 3 , 2017 .   Jump up ^ Yael Yurman ( @ yael_yurman ) ( October 22 , 2017 ) . `` Thank you so much ! I hope you like the season so far ! '' ( Tweet ) . Retrieved October 23 , 2017 -- via Twitter .   ^ Jump up to : Ausiello , Michael ( November 3 , 2017 ) . `` Ask Ausiello : Spoilers on New Girl , Grey 's Anatomy , Big Little Lies , Flash , Walking Dead , Will &amp; Grace and More '' . TVLine . Retrieved November 3 , 2017 .   ^ Jump up to : Chad Rook ( @ ChadRook ) ( November 16 , 2017 ) . `` Just found out that I will be joining the cast of # OnceUponATime ! ! ! Ca n't wait for you all to see my character . ; ) '' ( Tweet ) . Retrieved November 20 , 2017 -- via Twitter .   ^ Jump up to : Porter , Rick ( October 9 , 2017 ) . `` ' Hawaii Five - 0 ' and ' Hell 's Kitchen ' adjust up , ' Exorcist ' adjusts down : Friday final ratings '' . TV by the Numbers . Retrieved October 9 , 2017 .   ^ Jump up to : Welch , Alex ( October 16 , 2017 ) . `` ' Hell 's Kitchen , ' ' MacGyver , ' ' Once Upon a Time , ' &amp; more remain unchanged : Friday final ratings '' . TV by the Numbers . Retrieved October 16 , 2017 .   ^ Jump up to : Porter , Rick ( October 23 , 2017 ) . `` ' Jane the Virgin , ' ' Hawaii Five - 0 , ' all others unchanged : Friday final ratings '' . TV by the Numbers . Retrieved October 23 , 2017 .   ^ Jump up to : Porter , Rick ( October 30 , 2017 ) . `` ' MacGyver , ' ' Jane the Virgin ' and World Series adjust up : Friday final ratings '' . TV by the Numbers . Retrieved October 30 , 2017 .   ^ Jump up to : Porter , Rick ( November 6 , 2017 ) . `` ' Hawaii Five - 0 , ' ' Once Upon a Time ' and others unchanged : Friday final ratings '' . TV by the Numbers . Retrieved November 6 , 2017 .   ^ Jump up to : Porter , Rick ( November 13 , 2017 ) . `` ' Hawaii Five - 0 , ' ' Hell 's Kitchen , ' everything else unchanged : Friday final ratings '' . TV by the Numbers . Retrieved November 13 , 2017 .   ^ Jump up to : Porter , Rick ( November 20 , 2017 ) . `` ' Hell 's Kitchen , ' ' MacGyver ' and all others unchanged : Friday final ratings '' . TV by the Numbers . Retrieved November 20 , 2017 .   Jump up ^ Adam Horowitz ( @ AdamHorowitzLA ) ( September 30 , 2017 ) . `` Here 's another # OnceUponATime # titlespoiler -- hope to see ya 10 / 6 ! '' ( Tweet ) . Retrieved September 30 , 2017 -- via Twitter .   Jump up ^ `` Shows A-Z - once upon a time on abc '' . The Futon Critic . Retrieved November 17 , 2017 .   Jump up ^ Adam Horowitz ( @ AdamHorowitzLA ) ( October 14 , 2017 ) . `` Here 's another # OnceUponATime # titlespoiler -- hope to see ya Friday ! '' ( Tweet ) . Retrieved October 14 , 2017 -- via Twitter .   Jump up ^ Adam Horowitz ( @ AdamHorowitzLA ) ( October 18 , 2017 ) . `` Here 's another # OnceUponATime # titlespoiler -- hope to see ya Friday ! '' ( Tweet ) . Retrieved October 18 , 2017 -- via Twitter .   Jump up ^ Adam Horowitz ( @ AdamHorowitzLA ) ( November 1 , 2017 ) . `` Here 's another # OnceUponATime # scripttease -- hope to see ya Friday ! '' ( Tweet ) . Retrieved November 1 , 2017 -- via Twitter .   Jump up ^ Adam Horowitz ( @ AdamHorowitzLA ) ( November 13 , 2017 ) . `` Here 's another # OnceUponATime # titlespoiler -- hope to see ya Friday ! '' ( Tweet ) . Retrieved November 13 , 2017 -- via Twitter .   Jump up ^ Mitovich , Matt ( April 15 , 2017 ) . `` Once Upon a Time Cast Shake - Up : Finale Will Accommodate Any Changes , No Story Will Feel ' Incomplete ' '' . TVLine . Retrieved April 25 , 2017 .   Jump up ^ MacDonald , Lindsay ( May 14 , 2017 ) . `` ' Once Upon a Time ' Creators Explain the `` Next Chapter '' to Come in Season 7 `` . The Hollywood Reporter . Retrieved July 7 , 2017 .   Jump up ^ Abrams , Natalie ( July 25 , 2017 ) . `` Once Upon a Time bosses explain new curse '' . Entertainment Weekly . Retrieved August 29 , 2017 .   ^ Jump up to : Swift , Andy ( July 22 , 2017 ) . `` Once Upon a Time @ Comic - Con : Season 7 's Secret Roles Revealed , a ' Prominent LGBQT Storyline ' and More '' . TVLine . Retrieved July 22 , 2017 .   Jump up ^ Abrams , Natalie ( August 6 , 2017 ) . `` Once Upon a Time reveals Hook , Regina , Rumple alt - identities '' . Entertainment Weekly . Retrieved August 9 , 2017 .   Jump up ^ Mitovich , Matt ( May 8 , 2017 ) . `` Once Upon a Time 's Jennifer Morrison Opens Up About Her Exit : ' Emma Had Reached a Really Beautiful Place ' '' . TVLine . Retrieved May 11 , 2017 .   Jump up ^ Mitovich , Matt ( August 6 , 2017 ) . `` Once Upon a Time Creators / Cast Tease Rumple 's Menacing New Identity , Regina / Henry Reunion and More '' . TVLine . Retrieved August 6 , 2017 .   Jump up ^ Morrison , Jennifer ( July 19 , 2017 ) . `` Movie magic . Emma 's long locks are back for one last day :) # steveston # onceuponatime # emmaswan '' . Instagram . Retrieved September 9 , 2017 .   Jump up ^ Byrne , Craig ( August 9 , 2017 ) . `` Once Upon A Time EPs Talk About The New `` Book , '' `` Roni '' &amp; Returning Faces `` . KSite TV . Retrieved August 9 , 2017 .   Jump up ^ Natalie Abrams ( @ NatalieAbrams ) ( August 1 , 2017 ) . `` Emma Booth joins Once Upon a Time as a witch whose identity will be revealed later in the season bit.ly/2tv8t4F @ AdamHorowitzLA '' ( Tweet ) . Retrieved August 1 , 2017 -- via Twitter .   Jump up ^ Kevin J Ryan ( @ KevinRyanII ) ( August 25 , 2017 ) . `` Lov'in da # keithrichards inspired get up 4 da new prince in town . Fairytale land does n't know wats comin @ OnceABC # onceuponatime # abc '' ( Tweet ) . Retrieved August 25 , 2017 -- via Twitter .   Jump up ^ Logan , Michael ( November 10 , 2017 ) . `` ' Once Upon a Time ' First Look : Rapunzel Returns '' . TV Insider . Retrieved November 10 , 2017 .   Jump up ^ Bentley , Jean ( October 6 , 2017 ) . `` ' Once Upon a Time ' Bosses Explain Season 7 Premiere 's Biggest Mysteries and Reveals '' . The Hollywood Reporter . Retrieved October 7 , 2017 .   Jump up ^ Logan , Michael ( October 2 , 2017 ) . `` ' Once Upon a Time ' Season 7 Is ' Hopeful ' and ' Sentimental , ' EP Says '' . TV Insider . Retrieved October 2 , 2017 .   Jump up ^ Porter , Rick ( October 18 , 2017 ) . `` ' The Orville , ' ' Once Upon a Time , ' 5 more shows double in week 2 broadcast Live + 7 ratings '' . TV by the Numbers . Retrieved October 18 , 2017 .   Jump up ^ Porter , Rick ( October 25 , 2017 ) . `` ' The Good Doctor ' is the most - watched show on TV in week 3 broadcast Live + 7 ratings '' . TV by the Numbers . Retrieved October 25 , 2017 .   Jump up ^ Porter , Rick ( November 2 , 2017 ) . `` ' Chicago PD , ' 10 more shows double in week 4 broadcast Live + 7 ratings '' . TV by the Numbers . Retrieved November 2 , 2017 .   Jump up ^ Porter , Rick ( November 9 , 2017 ) . `` ' Grey 's Anatomy ' keeps rolling along in week 5 broadcast Live + 7 ratings '' . TV by the Numbers . Retrieved November 9 , 2017 .   Jump up ^ Porter , Rick ( November 17 , 2017 ) . `` ' This Is Us ' and 12 more shows double in week 6 broadcast Live + 7 ratings '' . TV by the Numbers . Retrieved November 17 , 2017 .    External links ( edit )    Official website              Once Upon a Time     Episodes     Season 1         5   </t>
  </si>
  <si>
    <t xml:space="preserve">who plays cinderella in once upon a time 2017</t>
  </si>
  <si>
    <t xml:space="preserve"> Dania Ramirez as Cinderella / Jacinda </t>
  </si>
  <si>
    <r>
      <rPr>
        <sz val="11"/>
        <color rgb="FF000000"/>
        <rFont val="Calibri"/>
        <family val="0"/>
        <charset val="1"/>
      </rPr>
      <t xml:space="preserve">Kit Harington - wikipedia  Kit Harington  Jump to : navigation , search    Kit Harington     Harington at Comic - Con , July 2013       Christopher Catesby Harington ( 1986 - 12 - 26 ) December 26 , 1986 ( age 31 ) Acton , London , England     Nationality   British     Alma mater   Central School of Speech and Drama , University of London     Occupation   Actor , producer     Years active   2008 -- present     Partner ( s )   Rose Leslie     Christopher Catesby `` Kit '' Harington ( born 26 December 1986 ) is an English actor and producer . Born in Acton , Greater London , Harington began his career in theatre . His first role was in the National Theatre 's adaptation of War Horse . His film debut was in Silent Hill : Revelation ( 2012 ) . He has since appeared in several feature films , such as the historical romance film Pompeii ( 2014 ) , the computer - animated film How to Train Your Dragon 2 ( 2014 ) , and the British drama film Testament of Youth ( 2014 ) .   Since 2011 , Harington has risen to prominence playing the role of Jon Snow in the HBO television series Game of Thrones , which garnered him a nomination for the 2016 Primetime Emmy Award . In 2017 , Harington became one of the highest - paid actors on television and earned £ 2 million per episode of Game of Thrones .     Contents  ( hide )   1 Early life and ancestry   2 Career   2.1 2008 -- 2010 : Early work in theatre   2.2 2011 -- present : Breakthrough with Game of Thrones and film roles     3 Personal life   4 Filmography   4.1 Film   4.2 Television   4.3 Video games     5 Theatre   6 Awards and nominations   7 References   8 Further reading   9 External links      Early Life and ancestry ( edit )  Coat of Arms of the Harington baronets , ancestors of Kit Harington  Harington was born on 26 December 1986 in Acton , London , to Deborah Jane ( Catesby ) , a former playwright , and Sir David Harington , 15th Baronet , a businessman . His full name is Christopher Catesby Harington . His mother named him after Christopher Marlowe , whose first name was shortened to Kit , a name Harington prefers . Harington 's uncle was Sir Nicholas John Harington , 14th Baronet , and his patrilineal great - grandfather was Sir Richard Harington , 12th Baronet . The Haringtons are an ancient family that once spelled their name Haverington and derived the name from their estate , a lordship in Cumberland . The first person identified with their name was one Robert De Haverington , the son of Osulphus or Oswulf whose manor was Flemingby . Through his paternal grandmother , Lavender Cecilia Denny , Harington 's eighth - great - grandfather was Charles II of England . Also , through his father , Harington descends from Scottish politician Henry Dundas , 1st Viscount Melville .   He is related to people who were involved on opposite sides of the Gunpowder Plot . He claims a family connection with the leader of the plot Robert Catesby on his mother 's side , while through his father 's side , he was related to James I ( grandfather of Charles II ) the target of the assassination attempt , and Lord Harington who was in the Houses of Parliament that Catesby and his co-conspirators tried to blow up . Another relation John Harington ( different branch of the family ) observed at the age of 13 the displayed head of Catesby after his execution and later commented on it .   Harington was a pupil at the Southfield Primary School from 1992 to 1998 . When he was 11 , his family moved to Worcestershire and he studied at the Chantry High School in Martley until 2003 . He became interested in acting after watching a production of Waiting for Godot when he was 14 , and he performed in several school productions .   He attended Worcester Sixth Form College , where he studied Drama and Theatre ( 2003 -- 05 ) . When he was 17 , he was inspired to attend a drama school after seeing a performance by Ben Whishaw as Hamlet in 2004 . Harington moved back to London when he was eighteen and , a year later , attended the Central School of Speech and Drama , graduating in 2008 .   Career ( edit )   2008 -- 2010 : early work in Theatre ( edit )   Before acting , Harington originally wanted to become a journalist . While still at drama school , he landed the role of Albert in the National Theatre 's adaptation of War Horse . The play won two Olivier Awards and gained Harington a great deal of recognition . He was later cast in his second play Posh , a dark ensemble comedy about upper - class men attending Oxford University .   2011 -- present : breakthrough with Game of Thrones and film roles ( edit )  Harington at Comic Con in 2011  After War Horse , Harington auditioned for and landed his first television role as Jon Snow in the television series Game of Thrones . The show debuted in 2011 to great critical acclaim and was quickly picked up by the network for a second season . Harington 's role is largely filmed in Iceland and Northern Ireland . The series was renewed for a seventh season , which premiered on 16 July 2017 , and will conclude with its eighth season in 2018 / 19 . Game of Thrones takes place on the fictional continents of Westeros and Essos and chronicles the power struggles among noble families as they fight for control of the Iron Throne of the Seven Kingdoms . Jon Snow is introduced as the illegitimate son of Ned Stark , the honorable lord of Winterfell , an ancient fortress in the North of the fictional continent of Westeros .   Harington has received praise for his performance . In 2012 , Harington was nominated for a Saturn Award for Best Supporting Actor on Television for the role . In 2016 , Harington was nominated for a Primetime Emmy Award for Outstanding Supporting Actor in a Drama Series . He said , `` It is a serious understatement to say that I am somewhat stunned ... For my work on Game of Thrones to be recognized in this way is an emotional moment for me . I could not be more humbled . '' In 2017 , Harington became one of the highest paid actors on television and earned £ 2 million per episode of Game of Thrones ( based on shared percentages of syndication payments ) .   Harington made his cinematic debut in 2012 as Vincent in Silent Hill : Revelation 3D . The horror film was based on the survival horror video game Silent Hill 3 , and was a sequel to the film Silent Hill . He was honoured with Actor of the Year at the Young Hollywood Awards 2013 , which celebrates the best emerging young talent in film , music and television .  Harington at a Game Of Thrones season 3 premiere screening in 2013  Harington 's first major lead role in a feature film occurred when he played Milo in the film Pompeii . Production for the film commenced in 2013 and took place in and around Toronto , Ontario , Canada . Some scenes were also shot in the actual city of Pompeii itself . The film was a modest box office success and received mixed reviews from critics . That year , Harington also voiced Eret in How to Train Your Dragon 2 , which was a critically acclaimed , box - office success , won the Golden Globe Award for Best Animated Feature Film and received an Academy Award nomination .   In 2014 , Harington also appeared alongside Jeff Bridges in the film Seventh Son , a poorly received fantasy -- adventure film . Harington played Billy Bradley , Jeff Bridges first apprentice killed early in the movie by a character played by Julianne Moore . Ben Barnes , Alicia Vikander and Emily Watson also star . The film was released in wide distribution in the UK on 16 January 2015 . Its world premiere was in The Centrepiece Gala , supported by the Mayor of London , at the British Film Institute London Film Festival in October 2014 .   In December 2014 , it was announced that he would feature in Xavier Dolan 's upcoming movie The Death and Life of John F. Donovan , with Jessica Chastain , Kathy Bates , Thandie Newton and Susan Sarandon . He starred in the 2015 HBO comedy 7 Days in Hell , a short film about a seven - day tennis match .   In June 2015 , it was confirmed that Harington would star in Martin Koolhoven 's upcoming western thriller film Brimstone , replacing Robert Pattinson . In 2016 , Harington starred as the main villain in the first - person shooter video game Call of Duty : Infinite Warfare . He is the driver in the 2016 commercial for the Infiniti Q60 sport coupe car . It is his latest role in product commercials .   On 19 February 2017 , it was reported that he would write , star and executive produce a three - part historical drama for BBC based on the real story of the Gunpowder Plot . Harington will play the role of his ancestor Robert Catesby alongside actors Mark Gatiss , Liv Tyler and Peter Mullan .   Personal Life ( edit )   Harington has been dating Game of Thrones co-star Rose Leslie since 2012 . They announced their engagement through The Times in September , 2017 .   On 12 September 2016 , Harington , as well as Cate Blanchett , Chiwetel Ejiofor , Peter Capaldi , Douglas Booth , Neil Gaiman , Keira Knightley , Juliet Stevenson , Jesse Eisenberg , and Stanley Tucci , featured in a video from the United Nations ' refugee agency UNHCR to help raise awareness of the global refugee crisis . The video , titled `` What They Took With Them '' , has the actors reading a poem , written by Jenifer Toksvig and inspired by primary accounts of refugees , and is part of UNHCR 's # WithRefugees campaign , which also includes a petition to governments to expand asylum to provide further shelter , integrating job opportunities , and education .   Filmography ( edit )   Film ( edit )     Title   Year   Role   Director   Notes   Ref ( s )     Silent Hill : Revelation   2012   Smith ! Vincent Smith   Bassett ! Michael J. Bassett         Pompeii   2014   Milo   Anderson ! Paul W.S. Anderson         How to Train Your Dragon 2   Eret   DeBlois ! Dean DeBlois   Voice       Testament of Youth   Leighton ! Roland Leighton   Kent ! James Kent         Seventh Son   Bradley ! Billy Bradley   Bodrov ! Sergei Bodrov         Spooks : The Greater Good   2015   Holloway ! Will Holloway   Nalluri ! Bharat Nalluri         Brimstone   2016   Samuel   Koolhoven ! Martin Koolhoven         Death ! The Death and Life of John F. Donovan   2018 ( projected )   Donovan ! John F. Donovan   Dolan ! Xavier Dolan   Post-production       How to Train Your Dragon 3   2019 ( projected )   Eret   DeBlois ! Dean DeBlois   Voice       Television ( edit )     Title   Year   Role   Network   Notes   Ref .     Game of Thrones   2011 -- present   Jon Snow   HBO   Main role       7 Days in Hell   2015   Poole ! Charles Poole   Television film       Gunpowder   2017   Catesby ! Robert Catesby   BBC One   3 episodes ; also developer and executive producer       Video games ( edit )     Title   Year   Voice role   Ref .     Game of Thrones   2015   Snow ! Jon Snow       Call of Duty : Infinite Warfare   2016   Kotch ! Salen Kotch ( Also Performance capture and Likeness )       Theatre ( edit )     Title   Year   Role   Notes   Ref ( s )     War Horse   2008 -- 2009   Albert Narracott   Olivier Theatre and New London Theatre       Posh     Ed Montgomery   Royal Court Theatre       The Vote   2015   Colin Henderson   Donmar Warehouse       Doctor Faustus   2016   Faustus   Duke of York 's Theatre       Awards and nominations ( edit )     Year   Award     Work   Result   Ref .     2011   Scream Award   Best Ensemble ( shared with the cast )   Game of Thrones   Nominated       Screen Actors Guild Award   Outstanding Performance by an Ensemble in a Drama Series ( shared with the cast )   Nominated       IGN Award   Best TV Hero   Nominated       IGN People 's Choice Award   Best TV Hero   Nominated       Saturn Award   Best Supporting Actor on Television   Nominated       2012   Golden Nymph Award   Outstanding Actor in a Drama Series   Nominated       2013   Young Hollywood Awards   Actor of the Year   Won       Screen Actors Guild Award   Outstanding Performance by an Ensemble in a Drama Series ( shared with the cast )   Game of Thrones   Nominated       2014   Screen Actors Guild Award   Outstanding Performance by an Ensemble in a Drama Series ( shared with the cast )   Nominated       2015   Empire Award   Empire Hero Award ( shared with the cast )   Won       Saturn Awards   Best Supporting Actor on Television   Nominated       Screen Actors Guild Award   Outstanding Performance by an Ensemble in a Drama Series ( shared with the cast )   Nominated       2016   Gold Derby TV Awards   Best Drama Supporting Actor   Won       Primetime Emmy Award   Outstanding Supporting Actor in a Drama Series   Nominated       Critics ' Choice Television Award   Best Supporting Actor in a Drama Series   Nominated       Screen Actors Guild Award   Outstanding Performance by an Ensemble in a Drama Series ( shared with the cast )   Nominated       Saturn Awards   Best Supporting Actor on Television   Nominated       2017   Giffoni Film Festival   Giffoni Experience Award   Won       Screen Actors Guild Award   Outstanding Performance by an Ensemble in a Drama Series ( shared with the cast )   Game of Thrones   Nominated       2018   44th Saturn Awards   Best Supporting Actor on a Television Series   Pending       References ( edit )    Jump up ^ `` Kit Harrington '' . TV Guide . Archived from the original on 3 April 2016 . Retrieved 24 June 2015 .   Jump up ^ Sophie Heawood ( 1 May 2014 ) . `` Meet Kit Harington : Game of Thrones hunk and Hollywood 's hottest new player '' . London Evening Standard .   Jump up ^ Ed Cumming ( 3 May 2015 ) . `` Kit Harington : ' The acting never feels like work ' '' . The Observer .   Jump up ^ Cindy Pearlman ( 20 March 2014 ) . `` Jon Snow knows the right moves -- sometimes '' . Chicago Sun - Times .   ^ Jump up to : `` Kit Harington '' . Yahoo ! Movies . Archived from the original on 2 March 2014 . Retrieved 13 July 2014 .   Jump up ^ Lenny Ann Low ( 22 March 2014 ) . `` Game of Throne 's Kit Harington : Man for all seasons '' . The Sydney Morning Herald .   Jump up ^ Emma Brown . `` The HBO Heartthrob : Kit Harington '' . Interview .   Jump up ^ `` Person Page 43217 : Christopher Harington '' . thepeerage.com. 2014 . Retrieved 14 July 2014 .   Jump up ^ `` Nicholas John Harington '' . Geneall.net . Retrieved 5 June 2013 .   Jump up ^ `` Featured article about Kit Harington on TheGenealogist '' . TheGenealogist . Retrieved 27 October 2017 .   Jump up ^ `` Lavender Cecilia Denny '' . Geneall.net . Retrieved 5 June 2013 .   Jump up ^ Siobhan Synnot ( 11 January 2015 ) . `` Kit Harington discusses release of his new film '' . The Scotsman .   Jump up ^ `` Kit Harington reveals family connection to the ' Gunpowder Plot ' '' . BBC . 20 October 2017 .   Jump up ^ `` Kit Harington plays his ancestor in BBC 's New Epic Drama , Gunpowder '' . The Genealogist. 26 October 2017 .   ^ Jump up to : Alex Bilmes ( 6 May 2015 ) . `` Mr Kit Harington '' . Mr Porter .   Jump up ^ `` Nerdist Podcast Episode 482 : Kit Harington '' . Nerdist. 28 February 2014 . Retrieved 13 July 2014 .   ^ Jump up to : James Connell ( 7 April 2014 ) . `` Game of Thrones star says Worcester will always be home '' . Worcester News .   Jump up ^ Nojan Aminosharei ( 1 April 2013 ) . `` Q&amp;A : Kit Harington '' . Details .   Jump up ^ Ruben V. Nepales ( 7 February 2014 ) . `` ' Thrones ' star bulked up , then slimmed down for film role '' . Philippine Daily Inquirer .   Jump up ^ `` Kit Harington '' . Royal National Theatre . August 2008 . Retrieved 14 July 2014 .   Jump up ^ Tara Abell ( 30 March 2012 ) . `` Game of Thrones Star Kit Harington Loves Iceland , Fears Flying '' . The Daily Traveller .   ^ Jump up to : `` Kit Harington Biography '' . TV Guide . Retrieved 13 July 2014 .   Jump up ^ `` Kit Harington -- Biography '' . Internet Movie Database. 2014 . Retrieved 14 July 2014 .   Jump up ^ `` HBO Re-commissions ' Game of Thrones ' '' . IFTN. 19 April 2011 .   Jump up ^ Low , Lenny Ann ( 22 March 2014 ) . `` Game of Throne 's Kit Harington : Man for all seasons '' . The Sydney Morning Herald . Retrieved 24 April 2015 .   Jump up ^ `` Exclusive interview with Kit Harington '' . myfanbase.de. 2013 . Retrieved 14 July 2014 .   Jump up ^ Hibberd , James ( July 18 , 2016 ) . `` Game of Thrones : HBO announces summer return , 7 episodes '' . Entertainment Weekly . Retrieved May 13 , 2017 .   Jump up ^ Roots , Kimberly ( March 9 , 2017 ) . `` Game of Thrones Season 7 Premiere Date ( Finally ) Set at HBO '' . TVLine . Retrieved May 13 , 2017 .   Jump up ^ `` Game of Thrones to end after season eight in 2018 '' . BBC News . July 30 , 2016 . Archived from the original on August 3 , 2016 . Retrieved May 13 , 2017 .   Jump up ^ Fowler , Matt ( April 8 , 2011 ) . `` Game of Thrones : `` Winter is Coming '' Review `` . IGN . Archived from the original on September 1 , 2016 . Retrieved May 16 , 2017 .   Jump up ^ Gilbert , Matthew ( April 15 , 2011 ) . `` Fantasy comes true with HBO 's Game of Thrones '' . Boston Globe . Retrieved May 16 , 2017 .   Jump up ^ Goldberg , Matt ( 29 February 2012 ) . `` Saturn Award Nominations Announced ; HUGO and HARRY POTTER Lead with 10 Nominations Each '' . Collider . Retrieved 5 March 2017 .   Jump up ^ Rice , Lynette ( July 14 , 2016 ) . `` Emmy nominations 2016 : See the full list '' . Entertainment Weekly . Retrieved June 7 , 2017 .   Jump up ^ Prudom , Laura ( July 14 , 2016 ) . `` Game of Thrones Rules 2016 Emmy Race With 23 Nominations '' . Variety . Archived from the original on August 30 , 2016 . Retrieved June 7 , 2017 .   Jump up ^ Parker , Mike ( April 25 , 2017 ) . `` Game Of Thrones season 7 : Stars set to earn £ 2 Million per episode '' . Daily Express . Archived from the original on April 25 , 2017 . Retrieved April 25 , 2017 .   Jump up ^ Hooton , Christopher ( April 25 , 2017 ) . `` Game of Thrones season 7 : Actors ' set to earn £ 2million per episode ' , making them highest - paid ever '' . The Independent . Archived from the original on April 25 , 2017 . Retrieved April 25 , 2017 .   ^ Jump up to : McNary , Dave ( 7 March 2011 ) . `` Clemens , Harington join ' Silent Hill ' '' . Variety . Retrieved 8 March 2011 .   Jump up ^ `` ' Game of Thrones ' Kit Harington ( Jon Snow ) : My big break '' . OnTheRedCarpet.com. 2 August 2013 . Retrieved 13 July 2014 .   ^ Jump up to : DeMara , Bruce ( 19 February 2013 ) . `` Paul W.S. Anderson to shoot Pompeii in Toronto '' . The Star . Retrieved 7 December 2013 .   ^ Jump up to : Harmanian , Harout ( 20 June 2012 ) . `` ' How to Train Your Dragon 2 ' Gets Kit Harington '' . MovieWeb . Retrieved 13 July 2014 .   Jump up ^ `` Box Office : ' How To Train Your Dragon 2 ' Crosses $500 M Following China Debut '' . Forbes . 15 August 2014 . Retrieved 15 January 2015 .   Jump up ^ `` Golden Globes : ' How to Train Your Dragon 2 ' Wins Best Animated Feature Film '' . The Hollywood Reporter. 11 January 2015 . Retrieved 15 January 2015 .   Jump up ^ `` ' Birdman , ' ' Budapest ' lead Oscar nominations '' . USA Today . 15 January 2015 . Retrieved 15 January 2015 .   ^ Jump up to : `` Seventh Son '' . Rotten Tomatoes . Retrieved 7 February 2015 .   Jump up ^ http://www.imdb.com/title/tt1121096/   ^ Jump up to : Kit , Borys ( 4 February 2014 ) . `` ' Game of Thrones ' Star Kit Harington to Headline ' Testament of Youth ' '' . The Hollywood Reporter . Retrieved 16 March 2014 .   Jump up ^ Edward Davis . `` Indiewire : Watch : First Trailer For ' Testament Of Youth ' '' . Retrieved 1 August 2014 .   Jump up ^ Clare Stewart . `` British Film Institute : Testament of Youth '' . Retrieved 3 September 2014 .   Jump up ^ `` ' Game of Thrones ' Star Joins Jessica Chastain in Xavier Dolan Celebrity Satire '' . Deadline Hollywood . 4 December 2014 .   ^ Jump up to : `` 7 Days in Hell : HBO 's tennis mockumentary is a grand slam '' . The Guardian . 2015 . Retrieved 13 July 2015 .   ^ Jump up to : Szalai , Georg ; Roxborough , Scott ( 24 June 2015 ) . `` ' Game of Thrones ' Star Kit Harington Joins Thriller ' Brimstone ' '' . The Hollywood Reporter . Retrieved 5 March 2017 .   Jump up ^ Bruner , Raisa ( 23 June 2016 ) . `` See Kit Harington Transform into Call of Duty 's Newest Villain '' . Time .   Jump up ^ Tartaglione , Nancy ( 19 February 2017 ) . `` ' Gunpowder ' : Kit Harington , Mark Gatiss , Liv Tyler &amp; Peter Mullan Light Up BBC Drama '' . Deadline . Retrieved 19 February 2017 .   Jump up ^ Low , Valentine ( 2017 - 09 - 27 ) . `` Game of Thrones stars Kit Harington and Rose Leslie to marry '' . The Times . ISSN 0140 - 0460 . Retrieved 2017 - 09 - 30 .   Jump up ^ `` Cate Blanchett video highlights what refugees take when they flee '' . Retrieved 14 September 2016 .   Jump up ^ `` What They Took With Them - # WithRefugees '' . 7 September 2016 . Retrieved 14 September 2016 .   Jump up ^ Kemp , Stuart ( 7 November 2013 ) . `` AFM : Kit Harington , Jennifer Ehle Sign on for ' Spooks ' '' . The Hollywood Reporter . Retrieved 17 September 2016 .   Jump up ^ Yamato , Jen ( 4 December 2014 ) . `` ' Game of Thrones ' Star Joins Jessica Chastain in Xavier Dolan Celebrity Satire '' . Deadline Hollywood . Retrieved 17 September 2016 .   Jump up ^ `` Game of Thrones : Cast '' . HBO . Archived from the original on 1 September 2016 . Retrieved 17 September 2016 .   Jump up ^ `` BBC One orders Gunpowder from Kudos '' . BBC . Retrieved 19 February 2017 .   Jump up ^ Futter , Mike ( 20 November 2014 ) . `` ( Exclusive ) Meet The Exiled Son of Game of Thrones ' House Forrester '' . Game Informer . GameStop . Archived from the original on 1 September 2016 . Retrieved 17 September 2016 .   Jump up ^ Matulef , Jeffery ( 10 June 2016 ) . `` Jon Snow actor Kit Harington will play Call of Duty : Infinite Warfare 's villain '' . Eurogamer . Retrieved 17 September 2016 .   Jump up ^ `` Theatre Interview with Kit Harington -- The 22 - Year - Old Stars in War Horse at the New London Theatre '' . The London Paper . 2 July 2009 . Archived from the original on 20 January 2010 . Retrieved 20 January 2010 .   Jump up ^ `` Kit Harington '' . London Theatre Database . Archived from the original on 18 December 2010 . Retrieved 20 January 2010 .   ^ Jump up to : `` Game of Thrones 's Kit Harington looking for another stage role ? '' . What 's on Stage. 18 June 2015 . Retrieved 14 July 2015 .   Jump up ^ `` Doctor Faustus '' . Best of Theatre . Retrieved 29 February 2016 .   Jump up ^ `` 2011 SCREAM Awards : Best Ensemble '' . Spike . Archived from the original on 26 April 2012 . Retrieved 30 June 2016 .   Jump up ^ `` The 18th Annual Screen Actors Guild Awards '' . Screen Actors Guild Award . Screen Actors Guild. 29 January 2012 . Archived from the original on 19 June 2012 . Retrieved 7 June 2012 .   ^ Jump up to : `` Best Television Hero 2011 '' . IGN . Archived from the original on 3 March 2012 . Retrieved 30 June 2016 .   Jump up ^ `` Nominations for the 38th Annual Saturn Awards '' . Academy of Science Fiction , Fantasy &amp; Horror Films. 29 February 2012 . Archived from the original on 27 September 2007 . Retrieved 29 February 2012 .   Jump up ^ `` Nominees / Competition 2012 '' ( PDF ) . Golden Nymph Awards . 2012 . p. 8 . Archived from the original ( PDF ) on 17 September 2012 . Retrieved 30 June 2016 .   Jump up ^ Carbone , Gina ( 1 August 2013 ) . `` 2013 Young Hollywood Awards : Check Out Early Winners '' . Wetpaint . Archived from the original on 23 September 2013 . Retrieved 30 June 2016 .   Jump up ^ `` SAG Awards Nominations : ' 12 Years A Slave ' And ' Breaking Bad ' Lead Way '' . Deadline Hollywood . 11 December 2013 . Retrieved 11 December 2013 .   Jump up ^ Hipes , Patrick ( 10 December 2014 ) . `` SAG Awards Nominations : ' Birdman ' &amp; ' Boyhood ' Lead Film Side , HBO &amp; ' Modern Family ' Rule TV -- Full List '' . Deadline Hollywood . Archived from the original on 26 January 2015 . Retrieved 26 January 2015 .   Jump up ^ `` Empire Hero Award '' . Empire . 2015 . Archived from the original on 14 July 2015 . Retrieved 1 April 2015 .   Jump up ^ Bryant , Jacob ( 24 February 2016 ) . `` Star Wars , Mad Max , Walking Dead Lead Saturn Awards Nominations '' . Variety . Retrieved 24 February 2016 .   Jump up ^ `` Home -- Screen Actors Guild Awards '' .   Jump up ^ Montgomery , Daniel ( 7 September 2016 ) . `` Gold Derby TV Awards 2016 : ' People v. O.J. Simpson ' leads winners , ' Game of Thrones ' &amp; ' Veep ' also prevail '' . Gold Derby . Archived from the original on 11 September 2016 . Retrieved 11 September 2016 .   Jump up ^ `` Emmys 2016 : The Full List of Nominations '' . The Hollywood Reporter. 2016 . Retrieved 14 July 2016 .   Jump up ^ `` Critics ' Choice TV Awards : HBO Leads With 22 Nominations '' . 14 November 2016 . Retrieved 14 November 2016 .   Jump up ^ Nolfi , Joey ( 14 December 2016 ) . `` SAG Awards nominations 2017 : See the full list '' . Entertainment Weekly . Retrieved 14 December 2016 .   Jump up ^ Couch , Aaron ( 2 March 2017 ) . `` ' Rogue One , ' ' Walking Dead ' Lead Saturn Awards Nominations '' . The Hollywood Reporter . Archived from the original on 2 March 2017 . Retrieved 3 March 2017 .   Jump up ^ `` Kit Harington King of GFF 2017 : Game of Thrones Star Receives The Giffoni Experience Award '' . Giffoni Experience . 19 July 2017 . Retrieved 21 July 2017 .   Jump up ^ Anderson , Ariston ( 19 July 2017 ) . `` ' Game of Thrones ' : Kit Harington Does n't Think Jon Snow Will Become King '' . The Hollywood Reporter . Retrieved 21 July 2017 .   Jump up ^ Hipes , Patrick ( 13 December 2017 ) . `` SAG Awards Nominations : ' Three Billboards ' Tops Film List , Netflix Leads In TV '' . Deadline . Retrieved 13 December 2017 .   Jump up ^ McNary , Dave ( 15 March 2018 ) . `` ' Black Panther , ' ' Walking Dead ' Rule Saturn Awards Nominations '' . Variety . Retrieved 15 March 2018 .    Further reading ( edit )    Heath , Chris ( April 2014 ) . `` Kit Harington on Game of Thrones , Nudity , and His Butt Double '' . GQ . Retrieved 14 July 2014 .     London portal   film portal   television portal    External links ( edit )       Wikimedia Commons has media related to Kit Harington .      Kit Harington on IMDb   Kit Harington at AllMovie   Kit Harington speaks about War Horse , London 's West End theatre on YouTube            VIAF : 233519535   LCCN : no2012042345   ISNI : 0000 0003 6797 1285   GND : 1022824678   SUDOC : 177452366   BNF : cb16683830j ( data )      Retrieved from `` https://en.wikipedia.org/w/index.php?title=Kit_Harington&amp;oldid=834335566 '' Categories :   1986 births   Living people   21st - century English male actors   Alumni of the Central School of Speech and Drama   English male film actors   English male stage actors   English male television actors   English male video game actors   English male voice actors   English people of Scottish descent   Male actors from London   People from Acton , London   Younger sons of baronets   Hidden categories :   EngvarB from July 2016   Use dmy dates from July 2016   Articles with hCards   All accuracy disputes   Articles with disputed statements from January 2018   Wikipedia articles with VIAF identifiers   Wikipedia articles with LCCN identifiers   Wikipedia articles with ISNI identifiers   Wikipedia articles with GND identifiers   Wikipedia articles with BNF identifiers           Talk                                           Contents                   About Wikipedia                                                   تۆرکجه   বাংলা   Български   Català   Čeština   Dansk   Deutsch   Eesti   Ελληνικά   Español   Euskara   فارسی   Français   Galego   </t>
    </r>
    <r>
      <rPr>
        <sz val="11"/>
        <color rgb="FF000000"/>
        <rFont val="Noto Sans CJK SC"/>
        <family val="2"/>
      </rPr>
      <t xml:space="preserve">한국어   </t>
    </r>
    <r>
      <rPr>
        <sz val="11"/>
        <color rgb="FF000000"/>
        <rFont val="Calibri"/>
        <family val="0"/>
        <charset val="1"/>
      </rPr>
      <t xml:space="preserve">Հայերեն   Bahasa Indonesia   Italiano   עברית   Basa Jawa   ಕನ್ನಡ   ქართული   Қазақша   Кыргызча   Latina   Magyar   Македонски   മലയാളം   მარგალური   Nederlands   </t>
    </r>
    <r>
      <rPr>
        <sz val="11"/>
        <color rgb="FF000000"/>
        <rFont val="Noto Sans CJK SC"/>
        <family val="2"/>
      </rPr>
      <t xml:space="preserve">日本 語   </t>
    </r>
    <r>
      <rPr>
        <sz val="11"/>
        <color rgb="FF000000"/>
        <rFont val="Calibri"/>
        <family val="0"/>
        <charset val="1"/>
      </rPr>
      <t xml:space="preserve">Norsk   Occitan   ਪੰਜਾਬੀ   پنجابی   Polski   Português   Română   Русский   Scots   Shqip   Simple English   Slovenčina   Slovenščina   Српски / srpski   Srpskohrvatski / српскохрватски   Suomi   Svenska   தமிழ்   ไทย   Türkçe   Українська   اردو   Tiếng Việt   </t>
    </r>
    <r>
      <rPr>
        <sz val="11"/>
        <color rgb="FF000000"/>
        <rFont val="Noto Sans CJK SC"/>
        <family val="2"/>
      </rPr>
      <t xml:space="preserve">中文  </t>
    </r>
    <r>
      <rPr>
        <sz val="11"/>
        <color rgb="FF000000"/>
        <rFont val="Calibri"/>
        <family val="0"/>
        <charset val="1"/>
      </rPr>
      <t xml:space="preserve">47 more  Edit links   This page was last edited on 5 April 2018 , at 04 : 42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</si>
  <si>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jon snow in game of thrones</t>
  </si>
  <si>
    <t xml:space="preserve"> Christopher Catesby `` Kit '' Harington ( born 26 December 1986 ) is an English actor and producer . Born in Acton , Greater London , Harington began his career in theatre . His first role was in the National Theatre 's adaptation of War Horse . His film debut was in Silent Hill : Revelation ( 2012 ) . He has since appeared in several feature films , such as the historical romance film Pompeii ( 2014 ) , the computer - animated film How to Train Your Dragon 2 ( 2014 ) , and the British drama film Testament of Youth ( 2014 ) . </t>
  </si>
  <si>
    <t xml:space="preserve">Probability - wikipedia  Probability  Jump to : navigation , search For the mathematical field of probability specifically rather than a general discussion , see Probability theory . For other uses , see Probability ( disambiguation ) .    Probability           Outline   Catalog of articles   Probabilists   Glossary   Notation   Journals   Category                     Part of a series on     Certainty       Approximation   Belief   Certainty   Doubt   Determinism   Fallibilism   Fatalism   Hypothesis   Justification   Nihilism   Proof   Scientific theory   Skepticism   Solipsism   Theory   Truth   Uncertainty        Related concepts and fundamentals :    Agnosticism   Epistemology   Presupposition   Probability                   Probability is the measure of the likelihood that an event will occur . See glossary of probability and statistics . Probability is quantified as a number between 0 and 1 , where , loosely speaking , 0 indicates impossibility and 1 indicates certainty . The higher the probability of an event , the more likely it is that the event will occur . A simple example is the tossing of a fair ( unbiased ) coin . Since the coin is fair , the two outcomes ( `` heads '' and `` tails '' ) are both equally probable ; the probability of `` heads '' equals the probability of `` tails '' ; and since no other outcomes are possible , the probability of either `` heads '' or `` tails '' is 1 / 2 ( which could also be written as 0.5 or 50 % ) .   These concepts have been given an axiomatic mathematical formalization in probability theory , which is used widely in such areas of study as mathematics , statistics , finance , gambling , science ( in particular physics ) , artificial intelligence / machine learning , computer science , game theory , and philosophy to , for example , draw inferences about the expected frequency of events . Probability theory is also used to describe the underlying mechanics and regularities of complex systems .     Contents  ( hide )   1 Interpretations   2 Etymology   3 History   4 Theory   5 Applications   6 Mathematical treatment   6.1 Independent events   6.2 Mutually exclusive events   6.3 Not mutually exclusive events   6.4 Conditional probability   6.5 Inverse probability   6.6 Summary of probabilities     7 Relation to randomness and probability in quantum mechanics   8 See also   9 Notes   10 Bibliography   11 External links      Interpretations ( edit )  Main article : Probability interpretations  When dealing with experiments that are random and well - defined in a purely theoretical setting ( like tossing a fair coin ) , probabilities can be numerically described by the number of desired outcomes divided by the total number of all outcomes . For example , tossing a fair coin twice will yield `` head - head '' , `` head - tail '' , `` tail - head '' , and `` tail - tail '' outcomes . The probability of getting an outcome of `` head - head '' is 1 out of 4 outcomes or 1 / 4 or 0.25 ( or 25 % ) . When it comes to practical application however , there are two major competing categories of probability interpretations , whose adherents possess different views about the fundamental nature of probability :    Objectivists assign numbers to describe some objective or physical state of affairs . The most popular version of objective probability is frequentist probability , which claims that the probability of a random event denotes the relative frequency of occurrence of an experiment 's outcome , when repeating the experiment . This interpretation considers probability to be the relative frequency `` in the long run '' of outcomes . A modification of this is propensity probability , which interprets probability as the tendency of some experiment to yield a certain outcome , even if it is performed only once .   Subjectivists assign numbers per subjective probability , i.e. , as a degree of belief . The degree of belief has been interpreted as , `` the price at which you would buy or sell a bet that pays 1 unit of utility if E , 0 if not E . '' The most popular version of subjective probability is Bayesian probability , which includes expert knowledge as well as experimental data to produce probabilities . The expert knowledge is represented by some ( subjective ) prior probability distribution . These data are incorporated in a likelihood function . The product of the prior and the likelihood , normalized , results in a posterior probability distribution that incorporates all the information known to date . By Aumann 's agreement theorem , Bayesian agents whose prior beliefs are similar will end up with similar posterior beliefs . However , sufficiently different priors can lead to different conclusions regardless of how much information the agents share .    Etymology ( edit )  See also : History of probability § Etymology Further information : Likelihood  The word probability derives from the Latin probabilitas , which can also mean `` probity '' , a measure of the authority of a witness in a legal case in Europe , and often correlated with the witness 's nobility . In a sense , this differs much from the modern meaning of probability , which , in contrast , is a measure of the weight of empirical evidence , and is arrived at from inductive reasoning and statistical inference .   History ( edit )  Main article : History of probability  The scientific study of probability is a modern development of mathematics . Gambling shows that there has been an interest in quantifying the ideas of probability for millennia , but exact mathematical descriptions arose much later . There are reasons for the slow development of the mathematics of probability . Whereas games of chance provided the impetus for the mathematical study of probability , fundamental issues are still obscured by the superstitions of gamblers .  Christiaan Huygens likely published the first book on probability  According to Richard Jeffrey , `` Before the middle of the seventeenth century , the term ' probable ' ( Latin probabilis ) meant approvable , and was applied in that sense , unequivocally , to opinion and to action . A probable action or opinion was one such as sensible people would undertake or hold , in the circumstances . '' However , in legal contexts especially , ' probable ' could also apply to propositions for which there was good evidence .  Gerolamo Cardano  The sixteenth century Italian polymath Gerolamo Cardano demonstrated the efficacy of defining odds as the ratio of favourable to unfavourable outcomes ( which implies that the probability of an event is given by the ratio of favourable outcomes to the total number of possible outcomes ) . Aside from the elementary work by Cardano , the doctrine of probabilities dates to the correspondence of Pierre de Fermat and Blaise Pascal ( 1654 ) . Christiaan Huygens ( 1657 ) gave the earliest known scientific treatment of the subject . Jakob Bernoulli 's Ars Conjectandi ( posthumous , 1713 ) and Abraham de Moivre 's Doctrine of Chances ( 1718 ) treated the subject as a branch of mathematics . See Ian Hacking 's The Emergence of Probability and James Franklin 's The Science of Conjecture for histories of the early development of the very concept of mathematical probability .   The theory of errors may be traced back to Roger Cotes 's Opera Miscellanea ( posthumous , 1722 ) , but a memoir prepared by Thomas Simpson in 1755 ( printed 1756 ) first applied the theory to the discussion of errors of observation . The reprint ( 1757 ) of this memoir lays down the axioms that positive and negative errors are equally probable , and that certain assignable limits define the range of all errors . Simpson also discusses continuous errors and describes a probability curve .   The first two laws of error that were proposed both originated with Pierre - Simon Laplace . The first law was published in 1774 and stated that the frequency of an error could be expressed as an exponential function of the numerical magnitude of the error , disregarding sign . The second law of error was proposed in 1778 by Laplace and stated that the frequency of the error is an exponential function of the square of the error . The second law of error is called the normal distribution or the Gauss law . `` It is difficult historically to attribute that law to Gauss , who in spite of his well - known precocity had probably not made this discovery before he was two years old . ''   Daniel Bernoulli ( 1778 ) introduced the principle of the maximum product of the probabilities of a system of concurrent errors .  Carl Friedrich Gauss  Adrien - Marie Legendre ( 1805 ) developed the method of least squares , and introduced it in his Nouvelles méthodes pour la détermination des orbites des comètes ( New Methods for Determining the Orbits of Comets ) . In ignorance of Legendre 's contribution , an Irish - American writer , Robert Adrain , editor of `` The Analyst '' ( 1808 ) , first deduced the law of facility of error ,    φ ( x ) = c e − h 2 x 2 , ( \ displaystyle \ phi ( x ) = ce ^ ( - h ^ ( 2 ) x ^ ( 2 ) ) , )    where h ( \ displaystyle h ) is a constant depending on precision of observation , and c ( \ displaystyle c ) is a scale factor ensuring that the area under the curve equals 1 . He gave two proofs , the second being essentially the same as John Herschel 's ( 1850 ) . Gauss gave the first proof that seems to have been known in Europe ( the third after Adrain 's ) in 1809 . Further proofs were given by Laplace ( 1810 , 1812 ) , Gauss ( 1823 ) , James Ivory ( 1825 , 1826 ) , Hagen ( 1837 ) , Friedrich Bessel ( 1838 ) , W.F. Donkin ( 1844 , 1856 ) , and Morgan Crofton ( 1870 ) . Other contributors were Ellis ( 1844 ) , De Morgan ( 1864 ) , Glaisher ( 1872 ) , and Giovanni Schiaparelli ( 1875 ) . Peters 's ( 1856 ) formula for r , the probable error of a single observation , is well known .   In the nineteenth century authors on the general theory included Laplace , Sylvestre Lacroix ( 1816 ) , Littrow ( 1833 ) , Adolphe Quetelet ( 1853 ) , Richard Dedekind ( 1860 ) , Helmert ( 1872 ) , Hermann Laurent ( 1873 ) , Liagre , Didion , and Karl Pearson . Augustus De Morgan and George Boole improved the exposition of the theory .   Andrey Markov introduced the notion of Markov chains ( 1906 ) , which played an important role in stochastic processes theory and its applications . The modern theory of probability based on the measure theory was developed by Andrey Kolmogorov ( 1931 ) .   On the geometric side ( see integral geometry ) contributors to The Educational Times were influential ( Miller , Crofton , McColl , Wolstenholme , Watson , and Artemas Martin ) .  Further information : History of statistics  Theory ( edit )  Main article : Probability theory  Like other theories , the theory of probability is a representation of its concepts in formal terms -- that is , in terms that can be considered separately from their meaning . These formal terms are manipulated by the rules of mathematics and logic , and any results are interpreted or translated back into the problem domain .   There have been at least two successful attempts to formalize probability , namely the Kolmogorov formulation and the Cox formulation . In Kolmogorov 's formulation ( see probability space ) , sets are interpreted as events and probability itself as a measure on a class of sets . In Cox 's theorem , probability is taken as a primitive ( that is , not further analyzed ) and the emphasis is on constructing a consistent assignment of probability values to propositions . In both cases , the laws of probability are the same , except for technical details .   There are other methods for quantifying uncertainty , such as the Dempster -- Shafer theory or possibility theory , but those are essentially different and not compatible with the laws of probability as usually understood .   Applications ( edit )   Probability theory is applied in everyday life in risk assessment and modeling . The insurance industry and markets use actuarial science to determine pricing and make trading decisions . Governments apply probabilistic methods in environmental regulation , entitlement analysis ( Reliability theory of aging and longevity ) , and financial regulation .   A good example of the use of probability theory in equity trading is the effect of the perceived probability of any widespread Middle East conflict on oil prices , which have ripple effects in the economy as a whole . An assessment by a commodity trader that a war is more likely can send that commodity 's prices up or down , and signals other traders of that opinion . Accordingly , the probabilities are neither assessed independently nor necessarily very rationally . The theory of behavioral finance emerged to describe the effect of such groupthink on pricing , on policy , and on peace and conflict .   In addition to financial assessment , probability can be used to analyze trends in biology ( e.g. disease spread ) as well as ecology ( e.g. biological Punnett squares ) . As with finance , risk assessment can be used as a statistical tool to calculate the likelihood of undesirable events occurring and can assist with implementing protocols to avoid encountering such circumstances . Probability is used to design games of chance so that casinos can make a guaranteed profit , yet provide payouts to players that are frequent enough to encourage continued play .   The discovery of rigorous methods to assess and combine probability assessments has changed society . It is important for most citizens to understand how probability assessments are made , and how they contribute to decisions .   Another significant application of probability theory in everyday life is reliability . Many consumer products , such as automobiles and consumer electronics , use reliability theory in product design to reduce the probability of failure . Failure probability may influence a manufacturer 's decisions on a product 's warranty .   The cache language model and other statistical language models that are used in natural language processing are also examples of applications of probability theory .   Mathematical treatment ( edit )  See also : Probability axioms  Consider an experiment that can produce a number of results . The collection of all possible results is called the sample space of the experiment . The power set of the sample space is formed by considering all different collections of possible results . For example , rolling a dice can produce six possible results . One collection of possible results gives an odd number on the dice . Thus , the subset ( 1 , 3 , 5 ) is an element of the power set of the sample space of dice rolls . These collections are called `` events '' . In this case , ( 1 , 3 , 5 ) is the event that the dice falls on some odd number . If the results that actually occur fall in a given event , the event is said to have occurred .   A probability is a way of assigning every event a value between zero and one , with the requirement that the event made up of all possible results ( in our example , the event ( 1 , 2 , 3 , 4 , 5 , 6 ) ) is assigned a value of one . To qualify as a probability , the assignment of values must satisfy the requirement that if you look at a collection of mutually exclusive events ( events with no common results , e.g. , the events ( 1 , 6 ) , ( 3 ) , and ( 2 , 4 ) are all mutually exclusive ) , the probability that at least one of the events will occur is given by the sum of the probabilities of all the individual events .   The probability of an event A is written as P ( A ) ( \ displaystyle P ( A ) ) , p ( A ) ( \ displaystyle p ( A ) ) , or Pr ( A ) ( \ displaystyle ( \ text ( Pr ) ) ( A ) ) . This mathematical definition of probability can extend to infinite sample spaces , and even uncountable sample spaces , using the concept of a measure .   The opposite or complement of an event A is the event ( not A ) ( that is , the event of A not occurring ) , often denoted as A _̄ , A ∁ , ¬ A ( \ displaystyle ( \ overline ( A ) ) , A ^ ( \ complement ) , \ neg A ) , or ∼ A ( \ displaystyle ( \ sim ) A ) ; its probability is given by P ( not A ) = 1 − P ( A ) . As an example , the chance of not rolling a six on a six - sided die is 1 -- ( chance of rolling a six ) = 1 − 1 6 = 5 6 ( \ displaystyle = 1 - ( \ tfrac ( 1 ) ( 6 ) ) = ( \ tfrac ( 5 ) ( 6 ) ) ) . See Complementary event for a more complete treatment .   If two events A and B occur on a single performance of an experiment , this is called the intersection or joint probability of A and B , denoted as P ( A ∩ B ) ( \ displaystyle P ( A \ cap B ) ) .   Independent events ( edit )   If two events , A and B are independent then the joint probability is    P ( A and B ) = P ( A ∩ B ) = P ( A ) P ( B ) , ( \ displaystyle P ( A ( \ mbox ( and ) ) B ) = P ( A \ cap B ) = P ( A ) P ( B ) , \ , )    for example , if two coins are flipped the chance of both being heads is 1 2 × 1 2 = 1 4 ( \ displaystyle ( \ tfrac ( 1 ) ( 2 ) ) \ times ( \ tfrac ( 1 ) ( 2 ) ) = ( \ tfrac ( 1 ) ( 4 ) ) ) .   Mutually exclusive events ( edit )   If either event A or event B but never both occurs on a single performance of an experiment , then they are called mutually exclusive events .   If two events are mutually exclusive then the probability of both occurring is denoted as P ( A ∩ B ) ( \ displaystyle P ( A \ cap B ) ) .    P ( A and B ) = P ( A ∩ B ) = 0 ( \ displaystyle P ( A ( \ mbox ( and ) ) B ) = P ( A \ cap B ) = 0 )    If two events are mutually exclusive then the probability of either occurring is denoted as P ( A ∪ B ) ( \ displaystyle P ( A \ cup B ) ) .    P ( A or B ) = P ( A ∪ B ) = P ( A ) + P ( B ) − P ( A ∩ B ) = P ( A ) + P ( B ) − 0 = P ( A ) + P ( B ) ( \ displaystyle P ( A ( \ mbox ( or ) ) B ) = P ( A \ cup B ) = P ( A ) + P ( B ) - P ( A \ cap B ) = P ( A ) + P ( B ) - 0 = P ( A ) + P ( B ) )    For example , the chance of rolling a 1 or 2 on a six - sided die is P ( 1 or 2 ) = P ( 1 ) + P ( 2 ) = 1 6 + 1 6 = 1 3 . ( \ displaystyle P ( 1 ( \ mbox ( or ) ) 2 ) = P ( 1 ) + P ( 2 ) = ( \ tfrac ( 1 ) ( 6 ) ) + ( \ tfrac ( 1 ) ( 6 ) ) = ( \ tfrac ( 1 ) ( 3 ) ) . )   Not mutually exclusive events ( edit )   If the events are not mutually exclusive then    P ( A or B ) = P ( A ∪ B ) = P ( A ) + P ( B ) − P ( A and B ) . ( \ displaystyle P \ left ( A ( \ hbox ( or ) ) B \ right ) = P ( A \ cup B ) = P \ left ( A \ right ) + P \ left ( B \ right ) - P \ left ( A ( \ mbox ( and ) ) B \ right ) . )    For example , when drawing a single card at random from a regular deck of cards , the chance of getting a heart or a face card ( J , Q , K ) ( or one that is both ) is 13 52 + 12 52 − 3 52 = 11 26 ( \ displaystyle ( \ tfrac ( 13 ) ( 52 ) ) + ( \ tfrac ( 12 ) ( 52 ) ) - ( \ tfrac ( 3 ) ( 52 ) ) = ( \ tfrac ( 11 ) ( 26 ) ) ) , because of the 52 cards of a deck 13 are hearts , 12 are face cards , and 3 are both : here the possibilities included in the `` 3 that are both '' are included in each of the `` 13 hearts '' and the `` 12 face cards '' but should only be counted once .   Conditional probability ( edit )   Conditional probability is the probability of some event A , given the occurrence of some other event B. Conditional probability is written P ( A ∣ B ) ( \ displaystyle P ( A \ mid B ) ) , and is read `` the probability of A , given B '' . It is defined by    P ( A ∣ B ) = P ( A ∩ B ) P ( B ) . ( \ displaystyle P ( A \ mid B ) = ( \ frac ( P ( A \ cap B ) ) ( P ( B ) ) ). \ , )    If P ( B ) = 0 ( \ displaystyle P ( B ) = 0 ) then P ( A ∣ B ) ( \ displaystyle P ( A \ mid B ) ) is formally undefined by this expression . However , it is possible to define a conditional probability for some zero - probability events using a σ - algebra of such events ( such as those arising from a continuous random variable ) .   For example , in a bag of 2 red balls and 2 blue balls ( 4 balls in total ) , the probability of taking a red ball is 1 / 2 ( \ displaystyle 1 / 2 ) ; however , when taking a second ball , the probability of it being either a red ball or a blue ball depends on the ball previously taken , such as , if a red ball was taken , the probability of picking a red ball again would be 1 / 3 ( \ displaystyle 1 / 3 ) since only 1 red and 2 blue balls would have been remaining .   Inverse probability ( edit )   In probability theory and applications , Bayes ' rule relates the odds of event A 1 ( \ displaystyle A_ ( 1 ) ) to event A 2 ( \ displaystyle A_ ( 2 ) ) , before ( prior to ) and after ( posterior to ) conditioning on another event B ( \ displaystyle B ) . The odds on A 1 ( \ displaystyle A_ ( 1 ) ) to event A 2 ( \ displaystyle A_ ( 2 ) ) is simply the ratio of the probabilities of the two events . When arbitrarily many events A ( \ displaystyle A ) are of interest , not just two , the rule can be rephrased as posterior is proportional to prior times likelihood , P ( A B ) ∝ P ( A ) P ( B A ) ( \ displaystyle P ( A B ) \ propto P ( A ) P ( B A ) ) where the proportionality symbol means that the left hand side is proportional to ( i.e. , equals a constant times ) the right hand side as A ( \ displaystyle A ) varies , for fixed or given B ( \ displaystyle B ) ( Lee , 2012 ; Bertsch McGrayne , 2012 ) . In this form it goes back to Laplace ( 1774 ) and to Cournot ( 1843 ) ; see Fienberg ( 2005 ) . See Inverse probability and Bayes ' rule .   Summary of probabilities ( edit )   Summary of probabilities   Event   Probability       P ( A ) ∈ ( 0 , 1 ) ( \ displaystyle P ( A ) \ in ( 0 , 1 ) \ , )     not A   P ( A ∁ ) = 1 − P ( A ) ( \ displaystyle P ( A ^ ( \ complement ) ) = 1 - P ( A ) \ , )     A or B   P ( A ∪ B ) = P ( A ) + P ( B ) − P ( A ∩ B ) P ( A ∪ B ) = P ( A ) + P ( B ) if A and B are mutually exclusive ( \ displaystyle ( \ begin ( aligned ) P ( A \ cup B ) &amp; = P ( A ) + P ( B ) - P ( A \ cap B ) \ \ P ( A \ cup B ) &amp; = P ( A ) + P ( B ) \ qquad ( \ mbox ( if A and B are mutually exclusive ) ) \ \ \ end ( aligned ) ) )     A and B   P ( A ∩ B ) = P ( A B ) P ( B ) = P ( B A ) P ( A ) P ( A ∩ B ) = P ( A ) P ( B ) if A and B are independent ( \ displaystyle ( \ begin ( aligned ) P ( A \ cap B ) &amp; = P ( A B ) P ( B ) = P ( B A ) P ( A ) \ \ P ( A \ cap B ) &amp; = P ( A ) P ( B ) \ qquad ( \ mbox ( if A and B are independent ) ) \ \ \ end ( aligned ) ) )     A given B   P ( A ∣ B ) = P ( A ∩ B ) P ( B ) = P ( B A ) P ( A ) P ( B ) ( \ displaystyle P ( A \ mid B ) = ( \ frac ( P ( A \ cap B ) ) ( P ( B ) ) ) = ( \ frac ( P ( B A ) P ( A ) ) ( P ( B ) ) ) \ , )     Relation to randomness and probability in quantum mechanics ( edit )  Main article : Randomness See also : Quantum fluctuation § Interpretations      This section needs expansion . You can help by adding to it . ( April 2017 )     In a deterministic universe , based on Newtonian concepts , there would be no probability if all conditions were known ( Laplace 's demon ) , ( but there are situations in which sensitivity to initial conditions exceeds our ability to measure them , i.e. know them ) . In the case of a roulette wheel , if the force of the hand and the period of that force are known , the number on which the ball will stop would be a certainty ( though as a practical matter , this would likely be true only of a roulette wheel that had not been exactly levelled -- as Thomas A. Bass ' Newtonian Casino revealed ) . This also assumes knowledge of inertia and friction of the wheel , weight , smoothness and roundness of the ball , variations in hand speed during the turning and so forth . A probabilistic description can thus be more useful than Newtonian mechanics for analyzing the pattern of outcomes of repeated rolls of a roulette wheel . Physicists face the same situation in kinetic theory of gases , where the system , while deterministic in principle , is so complex ( with the number of molecules typically the order of magnitude of the Avogadro constant 7023602000000000000 ♠ 6.02 × 10 ) that only a statistical description of its properties is feasible .   Probability theory is required to describe quantum phenomena . A revolutionary discovery of early 20th century physics was the random character of all physical processes that occur at sub-atomic scales and are governed by the laws of quantum mechanics . The objective wave function evolves deterministically but , according to the Copenhagen interpretation , it deals with probabilities of observing , the outcome being explained by a wave function collapse when an observation is made . However , the loss of determinism for the sake of instrumentalism did not meet with universal approval . Albert Einstein famously remarked in a letter to Max Born : `` I am convinced that God does not play dice '' . Like Einstein , Erwin Schrödinger , who discovered the wave function , believed quantum mechanics is a statistical approximation of an underlying deterministic reality . In some modern interpretations of the statistical mechanics of measurement , quantum decoherence is invoked to account for the appearance of subjectively probabilistic experimental outcomes .   See also ( edit )    Mathematics portal   Logic portal   Main article : Outline of probability   Chance ( disambiguation )   Class membership probabilities   Equiprobability   Heuristics in judgment and decision - making   Probability theory   Statistics   Estimators   Estimation Theory   Probability density function     In Law     Balance of probabilities    Notes ( edit )    Jump up ^ `` Probability '' . Webster 's Revised Unabridged Dictionary . G &amp; C Merriam , 1913   Jump up ^ Strictly speaking , a probability of 0 indicates that an event almost never takes place , whereas a probability of 1 indicates than an event almost certainly takes place . This is an important distinction when the sample space is infinite . For example , for the continuous uniform distribution on the real interval ( 5 , 10 ) , there are an infinite number of possible outcomes , and the probability of any given outcome being observed -- for instance , exactly 7 -- is 0 . This means that when we make an observation , it will almost surely not be exactly 7 . However , it does not mean that exactly 7 is impossible . Ultimately some specific outcome ( with probability 0 ) will be observed , and one possibility for that specific outcome is exactly 7 .   Jump up ^ `` Kendall 's Advanced Theory of Statistics , Volume 1 : Distribution Theory '' , Alan Stuart and Keith Ord , 6th Ed , ( 2009 ) , ISBN 9780534243128   Jump up ^ William Feller , `` An Introduction to Probability Theory and Its Applications '' , ( Vol 1 ) , 3rd Ed , ( 1968 ) , Wiley , ISBN 0 - 471 - 25708 - 7   Jump up ^ Probability Theory The Britannica website   Jump up ^ Hacking , Ian ( 1965 ) . The Logic of Statistical Inference . Cambridge University Press . ISBN 0 - 521 - 05165 - 7 .   Jump up ^ Finetti , Bruno de ( 1970 ) . `` Logical foundations and measurement of subjective probability '' . Acta Psychologica. 34 : 129 -- 145 . doi : 10.1016 / 0001 - 6918 ( 70 ) 90012 - 0 .   Jump up ^ Hájek , Alan . `` Interpretations of Probability '' . The Stanford Encyclopedia of Philosophy ( Winter 2012 Edition ) , Edward N. Zalta ( ed . ) . Retrieved 22 April 2013 .   Jump up ^ Hogg , Robert V. ; Craig , Allen ; McKean , Joseph W. ( 2004 ) . Introduction to Mathematical Statistics ( 6th ed . ) . Upper Saddle River : Pearson . ISBN 0 - 13 - 008507 - 3 .   Jump up ^ Jaynes , E.T. ( 2003 - 06 - 09 ) . `` Section 5.3 Converging and diverging views '' . In Bretthorst , G. Larry . Probability Theory : The Logic of Science ( 1 ed . ) . Cambridge University Press . ISBN 9780521592710 .   ^ Jump up to : Hacking , I. ( 2006 ) The Emergence of Probability : A Philosophical Study of Early Ideas about Probability , Induction and Statistical Inference , Cambridge University Press , ISBN 978 - 0 - 521 - 68557 - 3   Jump up ^ Freund , John . ( 1973 ) Introduction to Probability . Dickenson ISBN 978 - 0822100782 ( p. 1 )   Jump up ^ Jeffrey , R.C. , Probability and the Art of Judgment , Cambridge University Press . ( 1992 ) . pp. 54 -- 55 . ISBN 0 - 521 - 39459 - 7   Jump up ^ Franklin , J. ( 2001 ) The Science of Conjecture : Evidence and Probability Before Pascal , Johns Hopkins University Press . ( pp. 22 , 113 , 127 )   Jump up ^ Some laws and problems in classical probability and how Cardano anticipated them Gorrochum , P. Chance magazine 2012   Jump up ^ Abrams , William , A Brief History of Probability , Second Moment , retrieved 2008 - 05 - 23   Jump up ^ Ivancevic , Vladimir G. ; Ivancevic , Tijana T. ( 2008 ) . Quantum leap : from Dirac and Feynman , across the universe , to human body and mind . Singapore ; Hackensack , NJ : World Scientific . p. 16 . ISBN 978 - 981 - 281 - 927 - 7 .   Jump up ^ Franklin , James ( 2001 ) . The Science of Conjecture : Evidence and Probability Before Pascal . Johns Hopkins University Press . ISBN 0801865697 .   ^ Jump up to : Wilson EB ( 1923 ) `` First and second laws of error '' . Journal of the American Statistical Association , 18 , 143   Jump up ^ Seneta , Eugene William . `` '' Adrien - Marie Legendre '' ( version 9 ) `` . StatProb : The Encyclopedia Sponsored by Statistics and Probability Societies . Archived from the original on 3 February 2016 . Retrieved 27 January 2016 .   Jump up ^ http://www.statslab.cam.ac.uk/~rrw1/markov/M.pdf   Jump up ^ Vitanyi , Paul M.B. ( 1988 ) . `` Andrei Nikolaevich Kolmogorov '' . CWI Quarterly ( 1 ) : 3 -- 18 . Retrieved 27 January 2016 .   Jump up ^ Singh , Laurie ( 2010 ) `` Whither Efficient Markets ? Efficient Market Theory and Behavioral Finance '' . The Finance Professionals ' Post , 2010 .   Jump up ^ Gao , J.Z. ; Fong , D. ; Liu , X. ( April 2011 ) . `` Mathematical analyses of casino rebate systems for VIP gambling '' . International Gambling Studies . 11 ( 1 ) : 93 -- 106 . doi : 10.1080 / 14459795.2011. 552575 .   ^ Jump up to : `` Data : Data Analysis , Probability and Statistics , and Graphing '' . archon.educ.kent.edu . Retrieved 2017 - 05 - 28 .   Jump up ^ Gorman , Michael ( 2011 ) `` Management Insights '' . Management Science   Jump up ^ Ross , Sheldon . A First course in Probability , 8th Edition . Pages 26 -- 27 .   Jump up ^ Olofsson ( 2005 ) Page 8 .   Jump up ^ Olofsson ( 2005 ) , page 9   Jump up ^ Olofsson ( 2005 ) page 35 .   Jump up ^ Olofsson ( 2005 ) page 29 .   Jump up ^ Burgi , Mark ( 2010 ) `` Interpretations of Negative Probabilities '' , p. 1 . arXiv : 1008.1287 v1   Jump up ^ Jedenfalls bin ich überzeugt , daß der Alte nicht würfelt . Letter to Max Born , 4 December 1926 , in : Einstein / Born Briefwechsel 1916 - 1955 .   Jump up ^ Moore , W.J. ( 1992 ) . Schrödinger : Life and Thought . Cambridge University Press . p. 479 . ISBN 0 - 521 - 43767 - 9 .    Bibliography ( edit )    Kallenberg , O. ( 2005 ) Probabilistic Symmetries and Invariance Principles . Springer - Verlag , New York . 510 pp. ISBN 0 - 387 - 25115 - 4   Kallenberg , O. ( 2002 ) Foundations of Modern Probability , 2nd ed . Springer Series in Statistics . 650 pp. ISBN 0 - 387 - 95313 - 2   Olofsson , Peter ( 2005 ) Probability , Statistics , and Stochastic Processes , Wiley - Interscience. 504 pp ISBN 0 - 471 - 67969 - 0 .    External links ( edit )       Wikiquote has quotations related to : Probability         Wikibooks has more on the topic of : Probability         Wikimedia Commons has media related to Probability .       Library resources about Probability       Resources in your library        Virtual Laboratories in Probability and Statistics ( Univ. of Ala. - Huntsville )   Probability on In Our Time at the BBC .   Probability and Statistics EBook   Edwin Thompson Jaynes . Probability Theory : The Logic of Science . Preprint : Washington University , ( 1996 ) . -- HTML index with links to PostScript files and PDF ( first three chapters )   People from the History of Probability and Statistics ( Univ. of Southampton )   Probability and Statistics on the Earliest Uses Pages ( Univ. of Southampton )   Earliest Uses of Symbols in Probability and Statistics on Earliest Uses of Various Mathematical Symbols   A tutorial on probability and Bayes ' theorem devised for first - year Oxford University students   ( 1 ) pdf file of An Anthology of Chance Operations ( 1963 ) at UbuWeb   Introduction to Probability - eBook , by Charles Grinstead , Laurie Snell Source ( GNU Free Documentation License )   ( in English ) ( in Italian ) Bruno de Finetti , Probabilità e induzione , Bologna , CLUEB , 1993 . ISBN 88 - 8091 - 176 - 7 ( digital version )   Richard P. Feynman 's Lecture on probability .      ( hide )         Logic       Outline   History       Fields     Argumentation theory   Axio</t>
  </si>
  <si>
    <t xml:space="preserve">which term is defined as the chance that a given event will occur</t>
  </si>
  <si>
    <t xml:space="preserve"> Probability is the measure of the likelihood that an event will occur . See glossary of probability and statistics . Probability is quantified as a number between 0 and 1 , where , loosely speaking , 0 indicates impossibility and 1 indicates certainty . The higher the probability of an event , the more likely it is that the event will occur . A simple example is the tossing of a fair ( unbiased ) coin . Since the coin is fair , the two outcomes ( `` heads '' and `` tails '' ) are both equally probable ; the probability of `` heads '' equals the probability of `` tails '' ; and since no other outcomes are possible , the probability of either `` heads '' or `` tails '' is 1 / 2 ( which could also be written as 0.5 or 50 % ) . </t>
  </si>
  <si>
    <r>
      <rPr>
        <sz val="11"/>
        <color rgb="FF000000"/>
        <rFont val="Calibri"/>
        <family val="0"/>
        <charset val="1"/>
      </rPr>
      <t xml:space="preserve">Pride and Prejudice ( 1940 film ) - wikipedia  Pride and Prejudice ( 1940 film )  Jump to : navigation , search    Pride and Prejudice     Theatrical release poster     Directed by   Robert Z . Leonard     Produced by   Hunt Stromberg     Written by   Helen Jerome ( dramatization )     Screenplay by     Aldous Huxley   Jane Murfin       Based on   Pride and Prejudice 1813 novel by Jane Austen     Starring     Greer Garson   Laurence Olivier   Mary Boland   Edna May Oliver   Maureen O'Sullivan   Ann Rutherford   Frieda Inescort       Music by   Herbert Stothart     Cinematography   Karl Freund     Edited by   Robert Kern     Production company   MGM     Distributed by   MGM     Release date     July 26 , 1940 ( 1940 - 07 - 26 ) ( USA )               Running time   117 minutes     Country   United States     Language   English     Budget   $1,437,000     Box office   $1.8 million     Pride and Prejudice is a 1940 American film adaptation of Jane Austen 's novel Pride and Prejudice , directed by Robert Z . Leonard and starring Greer Garson and Laurence Olivier . The screenplay was written by Aldous Huxley and Jane Murfin , adapted specifically from the stage adaptation by Helen Jerome in addition to Jane Austen 's novel . The film is about five sisters from an English family of landed gentry who must deal with issues of marriage , morality , and misconceptions . The film was released by MGM on July 26 , 1940 , in the United States and was critically well received . The New York Times film critic praised the film as `` the most deliciously pert comedy of old manners , the most crisp and crackling satire in costume that we in this corner can remember ever having seen on the screen . ''     Contents  ( hide )   1 Plot   2 Cast   3 Production   4 Reception   5 Box office   6 Awards   7 Changes from novel   8 References   9 External links      Plot ( edit )   Mrs. Bennet ( Mary Boland ) and her two eldest daughters , Jane ( Maureen O'Sullivan ) and Elizabeth ( Greer Garson ) , are shopping for new dresses when they see two gentlemen and a lady alight from a very expensive carriage outside . They learn that the men are Mr. Bingley ( Bruce Lester ) , who has just rented the local estate of Netherfield , and Mr. Darcy ( Laurence Olivier ) , both wealthy , eligible bachelors , which excites Mrs. Bennet . Collecting her other daughters , Mrs. Bennet returns home , where she tries to make Mr. Bennet see Mr. Bingley , but he refuses , having already made his acquaintance .   At the next ball , Elizabeth sees how proud Darcy is when she overhears him refusing to dance with her , and also meets Mr. Wickham , who tells Elizabeth how Darcy did him a terrible wrong . When Darcy does ask her to dance with him , she refuses , but when Wickham asks her in front of Darcy , she accepts .   The Bennets ' cousin , Mr. Collins ( Melville Cooper ) , who will inherit the Bennet estate upon the death of Mr. Bennet , arrives , looking for a wife , and decides that Elizabeth will be suitable . At a ball held at Netherfield , he keeps following her around and wo n't leave her alone . Darcy surprisingly helps her out and later asks her to dance . After seeing the reckless behavior of her mother and younger sisters , however , he leaves her again , making Elizabeth very angry with him once more . The next day , Mr. Collins asks her to marry him , but she refuses point blank . He then becomes engaged to her best friend , Charlotte Lucas ( Karen Morley ) .   Elizabeth visits Charlotte in her new home . There , she is introduced to Lady Catherine de Bourgh ( Edna May Oliver ) , Mr. Collins ' `` patroness '' , and also encounters Darcy again . At Charlotte 's insistence , Elizabeth sees Darcy who asks her to marry him , but she refuses , partly because of the story Wickham had told her about Darcy , partly because he broke up the romance between Mr. Bingley and Jane , and partly because of his `` character '' . They get into a heated argument and he leaves .   When Elizabeth returns home , she learns that Lydia has run away with Wickham but they were not married . Mr. Bennet and his brother unsuccessfully try to find Lydia . Darcy learns of this and returns to offer Elizabeth his services . He tells her that Wickham will never marry Lydia . He reveals that Wickham had tried to elope with his sister , Georgiana , who was younger than Lydia at the time . After Darcy leaves , Elizabeth realizes she loves him but believes he will never see her again .   Lydia and Wickham return to the house married . A short time later , Lady Catherine arrives and tells Elizabeth that Darcy found Lydia and forced Wickham to marry her by providing Wickham with a substantial sum of money . She also tells her that she can strip Darcy of his wealth if he marries against her wishes . She demands that Elizabeth promise that she will never become engaged to Darcy . Elizabeth refuses . Lady Catherine leaves in a huff and meets with Darcy outside who had sent her to see Elizabeth to find out if he would be welcomed by her . After Lady Catherine 's report , Darcy comes in and he and Elizabeth proclaim their love for each other in the garden . Mr. Bingley also meets Jane in the garden . The movie comes to a close with a long kiss between Elizabeth and Darcy and Mr. Bingley taking Jane 's hand , while Mrs. Bennet is spying on both couples and seeing how her other daughters have found good suitors .   Cast ( edit )  Garson as Elizabeth Bennet Olivier as Darcy   Greer Garson as Elizabeth Bennet   Laurence Olivier as Fitzwilliam Darcy   Mary Boland as Mrs. Bennet   Edna May Oliver as Lady Catherine de Bourgh   Maureen O'Sullivan as Jane Bennet   Ann Rutherford as Lydia Bennet   Frieda Inescort as Caroline Bingley   Edmund Gwenn as Mr. Bennet   Karen Morley as Charlotte Lucas Collins   Heather Angel as Kitty Bennet   Marsha Hunt as Mary Bennet   Melville Cooper as Mr. Collins   Edward Ashley Cooper as George Wickham   Bruce Lester as Mr. Bingley   E.E. Clive as Sir Willam Lucas   Marjorie Wood as Lady Lucas   Vernon Downing as Captain Carter    Production ( edit )   The filming of Pride and Prejudice was originally scheduled to start in October 1936 under Irving Thalberg 's supervision , with Clark Gable and Norma Shearer cast in the leading roles . Following Thalberg 's death on September 13 , 1936 , pre-production activity was put on hold . In August 1939 , MGM had selected George Cukor to direct the film , with Robert Donat now cast opposite Shearer . The studio had considered filming in England , but these plans were changed at the start of the war in Europe in September 1939 , which caused the closure of MGM 's England operations . Cukor was eventually replaced by Robert Z . Leonard due to a scheduling conflict .   Reception ( edit )   The film was critically well received . Bosley Crowther in his review for The New York Times described the film as `` the most deliciously pert comedy of old manners , the most crisp and crackling satire in costume that we in this corner can remember ever having seen on the screen . '' Crowther also praised casting decisions and noted of the two central protagonists :   Greer Garson is Elizabeth -- ' dear , beautiful Lizzie ' -- stepped right out of the book , or rather out of one 's fondest imagination : poised , graceful , self - contained , witty , spasmodically stubborn and as lovely as a woman can be . Laurence Olivier is Darcy , that 's all there is to it -- the arrogant , sardonic Darcy whose pride went before a most felicitous fall .   TV Guide , commenting upon the changes made to the original novel by this adaptation , calls the film `` an unusually successful adaptation of Jane Austen 's most famous novel . Although the satire is slightly reduced and coarsened and the period advanced in order to use more flamboyant costumes , the spirit is entirely in keeping with Austen 's sharp , witty portrait of rural 19th century social mores . '' The reviewer goes on to note :   Garson never did anything better than her Elizabeth Bennet . Genteel but not precious , witty yet not forced , spirited but never vulgar , Garson 's Elizabeth is an Austen heroine incarnate . Olivier , too , has rarely been better in a part requiring the passion of his Heathcliff from Wuthering Heights but strapping it into the straitjacket of snobbery .   The film received a 100 % rating from Rotten Tomatoes .   Box office ( edit )   According to MGM records the film earned $1,849,000 , resulting in a loss of $241,000 , despite the fact that its budget was $1,437,000 .   Awards ( edit )   Pride and Prejudice received an Academy Award for Best Art Direction , Black and White ( Cedric Gibbons and Paul Groesse ) .   Changes from novel ( edit )       This section does not cite any sources . Please help improve this section by adding citations to reliable sources . Unsourced material may be challenged and removed . ( January 2018 ) ( Learn how and when to remove this template message )     The film differs from the novel in a number of ways . The period of the film , for example , is later than that of Austen 's novel -- a change driven by the studio 's desire to use more elaborate and flamboyant costumes than those from Austen 's time period . Some scenes were altered significantly . For example , in the confrontation near the end of the film between Lady Catherine de Bourgh and Elizabeth Bennet , the former 's haughty demand that Elizabeth promise never to marry Darcy was changed into a hoax to test the mettle and sincerity of Elizabeth 's love . In the novel , this confrontation is an authentic demand motivated by Lady Catherine 's snobbery and , especially , by her ardent desire that Darcy marry her own daughter .   References ( edit )    ^ Jump up to : Glancy , H. Mark `` When Hollywood Loved Britain : The Hollywood ' British ' Film 1939 - 1945 '' ( Manchester University Press , 1999 )   ^ Jump up to : The Eddie Mannix Ledger , Los Angeles : Margaret Herrick Library , Center for Motion Picture Study .   ^ Jump up to : Crowther , Bosley ( August 9 , 1940 ) . `` ' Pride and Prejudice , ' a Delightful Comedy of Manners '' . The New York Times . Retrieved August 16 , 2014 .   ^ Jump up to : `` Pride and Prejudice : Notes '' . Turner Classic Movies . Retrieved August 16 , 2014 .   Jump up ^ `` Pride and Prejudice '' . TV Guide . Retrieved August 16 , 2014 .   Jump up ^ Pride and Prejudice ( 1940 ) @ Rotten Tomatoes   Jump up ^ `` Pride and Prejudice ( 1940 ) '' . The New York Times . Retrieved August 16 , 2014 .    External links ( edit )       Wikimedia Commons has media related to Pride and Prejudice ( 1940 film ) .      Jane Austen portal     Pride and Prejudice on IMDb   Pride and Prejudice at the TCM Movie Database   Pride and Prejudice at AllMovie   Pride and Prejudice at the American Film Institute Catalog              The films of Robert Z . Leonard       The Master Key ( 1914 )   Judge Not ; or The Woman of Mona Diggings ( 1915 )   Secret Love ( 1916 )   The Plow Girl ( 1916 )   On Record ( 1917 )   A Mormon Maid ( 1917 )   The Primrose Ring ( 1917 )   At First Sight ( 1917 )   Face Value ( 1918 )   The Bride 's Awakening ( 1918 )   Danger , Go Slow ( 1918 )   The Delicious Little Devil ( 1919 )   The Miracle of Love ( 1919 )   April Folly ( 1920 )   The Restless Sex ( 1920 )   The Gilded Lily ( 1921 )   Heedless Moths ( 1921 )   Peacock Alley ( 1922 )   Fascination ( 1922 )   Broadway Rose ( 1922 )   Jazzmania ( 1923 )   Mademoiselle Midnight ( 1924 )   Circe , the Enchantress ( 1924 )   Cheaper to Marry ( 1925 )   Time , the Comedian ( 1925 )   Bright Lights ( 1925 )   Dance Madness ( 1926 )   Mademoiselle Modiste ( 1926 )   The Waning Sex ( 1926 )   A Little Journey ( 1927 )   The Demi - Bride ( 1927 )   Adam and Evil ( 1927 )   Tea for Three ( 1927 )   Baby Mine ( 1928 )   The Cardboard Lover ( 1928 )   A Lady of Chance ( 1928 )   Marianne ( 1929 , silent )   Marianne ( 1929 , musical )   The Divorcee ( 1930 )   In Gay Madrid ( 1930 )   Let Us Be Gay ( 1930 )   The Bachelor Father ( 1931 )   Five and Ten ( 1931 )   It 's a Wise Child ( 1931 )   Susan Lenox ( Her Fall and Rise ) ( 1931 )   Lovers Courageous ( 1932 )   Strange Interlude ( 1932 )   Peg o ' My Heart ( 1933 )   Dancing Lady ( 1933 )   Outcast Lady ( 1934 )   After Office Hours ( 1935 )   Naughty Marietta ( 1935 )   Escapade ( 1935 )   A Tale of Two Cities ( 1935 )   The Great Ziegfeld ( 1936 )   Piccadilly Jim ( 1936 )   Maytime ( 1937 )   The Firefly ( 1937 )   The Girl of the Golden West ( 1938 )   Broadway Serenade ( 1939 )   New Moon ( 1940 )   Pride and Prejudice ( 1940 )   Third Finger , Left Hand ( 1940 )   Ziegfeld Girl ( 1941 )   When Ladies Meet ( 1941 )   We Were Dancing ( 1942 )   Stand By for Action ( 1942 )   The Man from Down Under ( 1943 )   Marriage Is a Private Affair ( 1944 )   Week - End at the Waldorf ( 1945 )   The Secret Heart ( 1946 )   Cynthia ( 1947 )   B.F. 's Daughter ( 1948 )   The Bribe ( 1949 )   In the Good Old Summertime ( 1949 )   Nancy Goes to Rio ( 1950 )   Duchess of Idaho ( 1950 )   Grounds for Marriage ( 1951 )   Too Young to Kiss ( 1951 )   Everything I Have Is Yours ( 1952 )   The Clown ( 1953 )   The Great Diamond Robbery ( 1953 )   Her Twelve Men ( 1954 )   The King 's Thief ( 1955 )   Beautiful but Dangerous ( 1955 )                 Jane Austen 's Pride and Prejudice     Characters     Bennet family   Elizabeth Bennet     Fitzwilliam Darcy   William Collins   Lady Catherine de Bourgh   Mr. Wickham       Films     Pride and Prejudice ( 1940 )   Bridget Jones 's Diary ( 2001 )   Pride &amp; Prejudice : A Latter - Day Comedy ( 2003 )   Bride and Prejudice ( 2004 film )   Pride &amp; Prejudice ( 2005 )   Pride and Prejudice and Zombies ( 2016 )       Television     Pride and Prejudice ( 1958 )   Pride and Prejudice ( 1967 )   Pride and Prejudice ( 1980 )   Trishna ( 1985 )   Pride and Prejudice ( 1995 )   Lost in Austen ( 2008 )   Death Comes to Pemberley ( 2013 )       Novels     Darcy 's Story ( 1995 )   Bridget Jones 's Diary ( 1996 )   Mr. Darcy 's Daughters ( 2003 )   Fitzwilliam Darcy , Gentleman   An Assembly Such as This ( 2003 )   Duty and Desire ( 2004 )   These Three Remain ( 2005 )     Austenland ( 2007 )   Love , Lies and Lizzie ( 2009 )   Pride and Prejudice and Zombies ( 2009 parody )   Pride and Prejudice and Zombies : Dawn of the Dreadfuls ( 2010 parody )   Death Comes to Pemberley ( 2011 )       Other     First Impressions ( 1959 musical )   Pride and Prejudice ( 1993 musical )   `` Beyond a Joke '' ( 1997 )   Stolthet och fördom ( 2011 opera )   The Lizzie Bennet Diaries ( 2012 web series )   Austenland ( 2013 film )       See also     Pride &amp; Prejudice ( soundtrack )   Pemberley   List of literary adaptations                 Jane Murfin     Plays and screenplays     Smilin ' Through ( 1919 )   Way Back Home ( 1931 )   What Price Hollywood ? ( 1932 )   Our Betters ( 1933 )   The Little Minister ( 1934 )   Spitfire ( 1934 )   Roberta ( 1935 )   Alice Adams ( 1935 )   The Women ( 1939 )   Pride and Prejudice ( 1940 )   Dragon Seed ( 1944 )       Family &amp; Relationships     Laurence Trimble   Donald Crisp                 Aldous Huxley     Novels     Crome Yellow ( 1921 )   Antic Hay ( 1923 )   Those Barren Leaves ( 1925 )   Point Counter Point ( 1928 )   Brave New World ( 1932 )   Eyeless in Gaza ( 1936 )   After Many a Summer ( 1939 )   Time Must Have a Stop ( 1944 )   Ape and Essence ( 1948 )   The Genius and the Goddess ( 1955 )   Island ( 1962 )       Short story collections     Limbo ( 1920 )   Mortal Coils ( 1922 )   Little Mexican ( 1924 )   Two or Three Graces ( 1926 )   Brief Candles ( 1930 )   Collected Short Stories ( 1957 )       Non-fiction     The Perennial Philosophy ( 1945 )   Grey Eminence ( 1941 )   The Devils of Loudun ( 1952 )   The Doors of Perception ( 1954 )       Poetry     The Burning Wheel ( 1916 )   Jonah ( 1917 )   The Defeat of Youth ( 1918 )   Leda ( 1920 )   Arabia Infelix ( 1929 )   The Cicadias and Other Poems ( 1931 )   Collected Poetry ( 1971 )       Travel writing     Along the Road ( 1925 )   Jesting Pilate ( 1926 )   Beyond the Mexique Bay ( 1934 )       Essay collections     On the Margin ( 1923 )   Essays New and Old ( 1926 )   Proper Studies ( 1927 )   Do What You Will ( 1929 )   Vulgarity in Literature ( 1930 )   Music at Night ( 1931 )   Texts and Pretexts ( 1932 )   The Olive Tree ( 1936 )   Ends and Means ( 1937 )   Words and their Meanings ( 1940 )   Science , Liberty and Peace ( 1946 )   Themes and Variations ( 1950 )   Adonis and the Alphabet ( 1956 )   Heaven and Hell ( 1956 )   Collected Essays ( 1958 )   Brave New World Revisited ( 1958 )   Literature and Science ( 1963 )   The Human Situation : 1959 Lectures at Santa Barbara ( 1977 )   Moksha : Writings on Psychedelics and the Visionary Experience ( 1999 )       Screenplays     Pride and Prejudice ( 1940 )   Madame Curie ( uncredited , 1943 )   Jane Eyre ( 1943 )   A Woman 's Vengeance ( 1947 )   Prelude to Fame ( 1950 )   Alice in Wonderland ( uncredited , 1951 )       Radio script     `` Jacob 's Hands : A Fable '' ( 1956 , published 1997 )       Plays     The Discovery ( 1924 )   The World of Light ( 1931 )   The Gioconda Smile ( 1948 )   The Genius and the Goddess ( 1957 )   The Ambassador of Captripedia ( 1965 )   Now More Than Ever ( 1997 )       Other books     The Art of Seeing ( 1942 )   The Crows of Pearblossom ( 1944 children 's book , published 1967 )   Selected Letters ( 2007 )      Retrieved from `` https://en.wikipedia.org/w/index.php?title=Pride_and_Prejudice_(1940_film)&amp;oldid=824102637 '' Categories :   1940 films   English - language films   1940s drama films   1940s romantic drama films   American black - and - white films   American drama films   American films   American romantic drama films   Films scored by Herbert Stothart   Films based on adaptations   Films based on Pride and Prejudice   Films directed by Robert Z . Leonard   Films set in country houses   Films whose art director won the Best Art Direction Academy Award   Metro - Goldwyn - Mayer films   Romantic period films   Screenplays by Aldous Huxley   Screenplays by Jane Murfin   Hidden categories :   Articles needing additional references from January 2018   All articles needing additional references   Commons category with local link different than on Wikidata           Talk                                           Contents                   About Wikipedia                                                   Беларуская   Català   Deutsch   Ελληνικά   Español   فارسی   Français   Italiano   עברית   Magyar   മലയാളം   مصرى   Nederlands   </t>
    </r>
    <r>
      <rPr>
        <sz val="11"/>
        <color rgb="FF000000"/>
        <rFont val="Noto Sans CJK SC"/>
        <family val="2"/>
      </rPr>
      <t xml:space="preserve">日本 語   </t>
    </r>
    <r>
      <rPr>
        <sz val="11"/>
        <color rgb="FF000000"/>
        <rFont val="Calibri"/>
        <family val="0"/>
        <charset val="1"/>
      </rPr>
      <t xml:space="preserve">Occitan   Polski   Português   Română   Русский   Српски / srpski   Srpskohrvatski / српскохрватски   Suomi   Svenska   Türkçe   Українська   </t>
    </r>
    <r>
      <rPr>
        <sz val="11"/>
        <color rgb="FF000000"/>
        <rFont val="Noto Sans CJK SC"/>
        <family val="2"/>
      </rPr>
      <t xml:space="preserve">中文   </t>
    </r>
    <r>
      <rPr>
        <sz val="11"/>
        <color rgb="FF000000"/>
        <rFont val="Calibri"/>
        <family val="0"/>
        <charset val="1"/>
      </rPr>
      <t xml:space="preserve">Edit links   This page was last edited on 5 February 2018 , at 09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</si>
  <si>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cast of the 1940 version of pride and prejudice</t>
  </si>
  <si>
    <t xml:space="preserve">  Greer Garson as Elizabeth Bennet   Laurence Olivier as Fitzwilliam Darcy   Mary Boland as Mrs. Bennet   Edna May Oliver as Lady Catherine de Bourgh   Maureen O'Sullivan as Jane Bennet   Ann Rutherford as Lydia Bennet   Frieda Inescort as Caroline Bingley   Edmund Gwenn as Mr. Bennet   Karen Morley as Charlotte Lucas Collins   Heather Angel as Kitty Bennet   Marsha Hunt as Mary Bennet   Melville Cooper as Mr. Collins   Edward Ashley Cooper as George Wickham   Bruce Lester as Mr. Bingley   E.E. Clive as Sir Willam Lucas   Marjorie Wood as Lady Lucas   Vernon Downing as Captain Carter  </t>
  </si>
  <si>
    <t xml:space="preserve">90210 ( season 3 ) - wikipedia  90210 ( season 3 )  Jump to : navigation , search    90210 ( season 3 )     DVD cover     Country of origin   United States     No. of episodes   22     Release     Original network   The CW     Original release   September 13 , 2010 -- May 16 , 2011     Season chronology     ← Previous Season 2 Next → Season 4     List of 90210 episodes     The third season of 90210 , an American television series , premiered on Monday September 13 , 2010 . The CW officially renewed the show for a third season on February 16 , 2010 . With the reveal of the networks fall 2010 schedule , they announced their decision to move 90210 to Monday nights at 8 : 00 pm , as a lead - in to Gossip Girl . It premiered on September 13 , 2010 and was met with generally positive reviews from critics .   The season picks up at the end of summer and focuses on the students senior year of high school . It follows Adrianna 's rise to fame , a new relationship between Silver and Navid and a confused Teddy who decides to reveal to his family and friends he is gay . It also deals with the aftermath of Naomi Clark 's assault .   The season premiered to 1.96 million viewers and a 0.9 rating in the adults 18 -- 49 demographic . Christmas - themed episode `` Holiday Madness '' , hit season highs in all key demos with 2.1 in The CW 's target demo of women 18 -- 34 , a 1.4 in adults 18 -- 34 and a 1.1 in adults 18 -- 49 . It was also the most watched episode in over a year with 2.2 million viewers tuning in . The season finale aired on May 16 , 2011 . The season averaged 1.75 million live viewers and a 0.9 adults 18 -- 49 rating . It was released on DVD in the United States on August 30 , 2011 .     Contents  ( hide )   1 Cast   1.1 Regular   1.2 Recurring   1.3 Special Guest Stars     2 Episodes   3 Production   3.1 Storylines   3.2 Cast     4 Reception   5 DVD release   6 References      Cast ( edit )      Regular ( edit )    Shenae Grimes as Annie Wilson ( 22 episodes )   Tristan Wilds as Dixon Wilson ( 22 episodes )   AnnaLynne McCord as Naomi Clark ( 22 episodes )   Ryan Eggold as Ryan Matthews ( 11 episodes )   Jessica Stroup as Erin Silver ( 22 episodes )   Michael Steger as Navid Shirazi ( 20 episodes )   Jessica Lowndes as Adrianna Tate - Duncan ( 22 episodes )   Matt Lanter as Liam Court ( 22 episodes )   Gillian Zinser as Ivy Sullivan ( 21 episodes )   Trevor Donovan as Teddy Montgomery ( 18 episodes )   Lori Loughlin as Debbie Wilson ( 15 episodes )      Recurring ( edit )    Blair Redford as Oscar ( 10 episodes )   Evan Ross as Charlie Selby ( 9 episodes )   Kelly Lynch as Laurel Cooper ( 9 episodes )   Kyle Riabko as Ian ( 9 episodes )   Josh Zuckerman as Max Miller ( 8 episodes )   Manish Dayal as Raj Kher ( 7 episodes )   Nestor Serrano as Victor Luna ( 7 episodes )   Hal Ozsan as Miles Cannon ( 7 episodes )   Abbie Cobb as Emily Bradford ( 6 episodes )   Freddie Smith as Marco Salazar ( 5 episodes )   Sara Foster as Jennifer `` Jen '' Clark ( 5 episodes )   Diego Boneta as Javier Luna ( 2 episodes )   Amanda Leighton as Alex Scarborough ( 2 episodes )      Special Guest Stars ( edit )    Kim Kardashian as herself ( 1 episode )   Khloe Kardashian as herself ( 1 episode )   Joe Jonas as himself ( 1 episode )   Nelly as himself ( 1 episode )   Snoop Dogg as himself ( 1 episode )       Episodes ( edit )  See also : List of 90210 episodes    No . overall   No. in season   Title   Directed by   Written by   Original air date   U.S. viewers ( millions )     47     `` Senior Year , Baby ''   Stuart Gillard   Jennie Snyder Urman   September 13 , 2010 ( 2010 - 09 - 13 )   1.96     Beverly Hills is rocked by an earthquake during the first day of the school year . Naomi has spent the summer in isolation , dealing with the aftermath of her rape by Mr. Cannon and keeping it a secret . Annie and Dixon are dealing with the absence of their father who has walked out on the family , while Debbie tries to hold the family together without Harry and a job . Meanwhile , Teddy and Silver find themselves happier than ever until he suffers a leg injury that could end his tennis career forever . Annie applies for an internship at a local theater company called the Abbott Playhouse . Navid welcomes Adrianna back from her tour with Javier , but their arrival brings an unexpected death . Ivy returns from Australia with her an old childhood friend , named Oscar , which makes Dixon uncomfortable . Elsewhere , Annie and Liam confront their feelings for each other .     48     `` Age of Inheritance ''   Liz Friedlander   Padma L. Atluri   September 20 , 2010 ( 2010 - 09 - 20 )   1.83     After turning eighteen , Naomi finds out she can now access the money in her large trust fund , so she decides to throw herself a huge birthday party at the Beach Club where she hires the Honey Brothers band to perform . Meanwhile , Dixon , Navid , and Teddy decide to take Oscar out for a night on the town , but their party ends when Ivy finds a Facebook photo of a drunk Dixon doing a body shot off a girl . Annie has an instant connection with Charlie , a guy she meets at a coffee shop . Jen is forced to go on bed rest until she delivers the baby and has no choice but to allow Ryan into her life . Elsewhere , Adrianna uses Javier 's song book to get back in good favor with the label . Entourage 's Adrian Grenier performs with his band at Naomi 's birthday party .     49     `` 2021 Vision ''   Millicent Shelton   Tod Himmel   September 27 , 2010 ( 2010 - 09 - 27 )   1.96     Naomi has constant flashbacks to her rape and begins taking sleeping pills in order to sleep through the night . Mr. Cannon invites Silver over to his apartment to watch his new documentary and slips something in her drink . Meanwhile , Teddy wakes up from a night of drinking and realizes he hooked up with someone , but does not remember who . Dixon learns that Ivy is a virgin . At her intern job , Annie confronts her boss , Katherine , about her awkward behavior and is shocked when she makes Annie an offer she may not be able to refuse . Adrianna sings another song stolen out of Javier 's songbook at his memorial service , but she soon regrets it when a video of her music number goes viral .     50     `` The Bachelors ''   David Warren   David S. Rosenthal   October 4 , 2010 ( 2010 - 10 - 04 )   1.79     Silver plans a cancer - awareness charity event to honor her late mother and enlists the boys to appear in a bachelor auction . Ian , a theater student at West Bev , is brought in to help choreograph a dance number for the auction , but all comes to a stand - still when Teddy directs some negative words toward him . The two later get into a fight . Meanwhile , Annie and Adrianna discover the truth about Naomi and Mr. Cannon from Silver . Elsewhere , Annie discovers Debbie 's money problems since Harry walked out on her and decides to take Katherine 's offer . A surprising connection between Charlie and Liam is revealed . Javier 's uncle , Victor , begins to blackmail Adrianna with exposure by forcing her to work for him . Also , Ivy and Dixon decide to spend the night together , but Dixon hits the brakes when his ex-girlfriend , Sasha , returns with some life - altering news .     51   5   `` Catch Me If You Cannon ''   Jim Conway   Terrence Coli   October 11 , 2010 ( 2010 - 10 - 11 )   1.81     Silver , Naomi , and Adrianna craft a plan to seduce Mr. Cannon to prove he raped Naomi , but they underestimate his ability to control the situation . Teddy and Ian are forced to do manual labor as a punishment for fighting . Dixon fears for his life and pushes Ivy away , leading her straight into the arms of Oscar ( just as he planned the whole time for ) . Meanwhile , Jen looks for a new assistant and Debbie applies for the job . Debbie also finds out about the arrangement between Annie and Katherine and forbids Annie from fulfilling it .     52   6   `` How Much Is That Liam in the Window ''   Stuart Gillard   David S. Rosenthal &amp; Jennie Snyder Urman   October 25 , 2010 ( 2010 - 10 - 25 )   2.03     When Jen and Ryan find out about Naomi 's rape , Jen decides to take matters into her own hands , while Ryan 's job may be in jeopardy when he encourages Naomi to come forward with him as a witness despite the fact that his own secret about accidentally wrecking the school sign will be revealed . Adrianna 's manager , Victor , continues to blackmail her and goes even further when he encourages her to go topless at a photo - shoot . Annie discovers a darker side of Charlie when she sneaks in to observe a staged reading of his play . Liam lands a job modeling in the window of a clothing store and receives a job opportunity from a mysterious customer , named Laura , that he ca n't refuse . Dixon apologizes to Ivy unaware that she decided to lose her virginity to someone else . Also , Oscar confronts Ivy and Laurel about his shocking past .     53   7   `` I See London , I See France ... ''   Krishna Rao   Scott Weinger   November 1 , 2010 ( 2010 - 11 - 01 )   2.00     Ryan helps Naomi press charges against Mr. Cannon and as a result , both Mr. Cannon and Ryan are suspended from their jobs . Oscar has a run - in with Mr. Cannon and unintentionally helps Naomi with her case when he sets his sights on her as his next conquest . Navid finds out that his father is employing an underage girl in his pornography business . Meanwhile , Ivy tells Dixon what happened between her and Oscar , which he predictably does not take well . Teddy struggles with rumors and innuendo about his suspected impotency . Liam continues his job of carrying purses for Laura , until he finds out that she is a drug dealer running a business right out of her mother 's own house . Elsewhere , Navid and Silver attend the Achievement Awards dinner while Annie , Teddy , Liam , Dixon , Ivy and Ian attend an under - achievement ceremony , called `` The Undies '' , at the Beach Club .     54   8   `` Mother Dearest ''   Oz Scott   Paul Sciarrotta   November 8 , 2010 ( 2010 - 11 - 08 )   1.89     Annie and Dixon drive to Pomona to visit their father , but unexpectedly meet a young woman at his door making them leave without seeing Harry . Later , Debbie tells Annie and Dixon that she knows all about the younger woman living with Harry whom is his new wife . The Wilson family decides to move on by removing all traces Harry 's existence from the house and their lives and from then on live as if Harry never existed . After a series of mishaps with her baby , Jen leaves Jacques with Ryan and leaves town . Ivy and Naomi join forces to humiliate and take down Oscar . Meanwhile , Navid asks Silver to help prove that his father is lying to him about employing underage girls at his studio by asking Silver to go undercover . Also , Victor demands Adrianna attend a red carpet event with Joe Jonas , rather than Navid .     55   9   `` They 're Playing Her Song ''   Rob Hardy   Jennie Snyder Urman &amp; Jenna Lamia   November 15 , 2010 ( 2010 - 11 - 15 )   1.76     Teddy decides to visit a gay bar in West Hollywood , but is forced to turn to Ian for help when he forgets his wallet . Meanwhile , Annie is ready to take her relationship with Charlie to the next level , but is mortified when his college friends catch a glimpse of her in lingerie . Meanwhile , Ryan turns to Debbie for parental advice , and the two end up hooking up . Navid deals with the fallout at school and at home after turning his father in to the authorities . Also , Adrianna continues to be oblivious to Navid 's situation due to her newfound fame .     56   10   `` Best Lei 'd Plans ''   David Warren   David S. Rosenthal &amp; Deborah Schoeneman   November 29 , 2010 ( 2010 - 11 - 29 )   2.01     Naomi jumps back into the dating world and tries to impress one of Ivy 's surfer friends , Zach , by pretending to know how to surf . Still upset with her mother over the Oscar situation , Ivy decides to build a relationship with her estranged father . Not knowing she has feelings for Ryan , Annie and Dixon sign Debbie up for an online dating service . While at the beach luau , Teddy gets jealous when he sees Ian with another guy and allows his feelings to control his actions . Meanwhile , Adrianna and Navid 's relationship becomes strained , leading him into the arms of Silver . Elsewhere , Liam learns more about Laura and of her ex-boyfriend whom he attempts to make jealous in her favor .     57   11   `` Holiday Madness ''   Dennis Smith   Rebecca Sinclair   December 6 , 2010 ( 2010 - 12 - 06 )   2.18     Adrianna leases an expensive new house and throws a housewarming Christmas party to celebrate her new record deal . After having enough of her egotistical attitude , Victor decides to reveal Adrianna 's secret on the Internet . Annie spends the night with Liam when he comes back from the hospital , and the two rekindle their romance . Ivy 's father 's unexpected intentions lead her to reconcile with her mother . After deciding to keep their relationship a secret , Ian and Teddy kiss unaware that Dixon saw them . Meanwhile , Navid and Silver confess their true feelings towards each other ... and share a kiss . Elsewhere , Naomi continues to reject Oscar 's advances whom tries to ask her out on a date to the Christmas party . Naomi attends solo and later returns home not knowing that Mr. Cannon is awaiting her .     58   12   `` Liars ''   Stuart Gillard   Tod Himmel   January 24 , 2011 ( 2011 - 01 - 24 )   1.69     Naomi is taken hostage in her apartment by an out - of - control Mr. Cannon who also lures Silver into the situation . Meanwhile , Annie and Dixon 's cousin Emily from Kansas comes to town for an extended visit , but Emily immediately gets on Annie 's nerves . Dixon confronts Teddy about his kiss with Ian and promises to keep his secret . Ivy has a near fatal accident during surf practice that makes her question her ability to compete in the surf competition . Adrianna 's world continues to crumble when she appears on a talk show to tell her side of the story , and she is blindsided by a surprise guest when Victor appears to give `` his '' side of the story . Given Adrianna 's disastrous situation , Navid and Silver continue to keep their hook - ups a secret .     59   13   `` It 's Getting Hot in Here ''   Liz Friedlander   David S. Rosenthal   January 31 , 2011 ( 2011 - 01 - 31 )   1.67     Naomi , Adrianna , Silver , and Annie decide to have a girls ' weekend and head to a yoga retreat in Ojai . Annie attempts to be a good cousin and invites Emily along for the weekend but confronts her about being a downer on the trip . Emily begins to show her true devious colors when she purposefully neglects to wake Annie up for a sweat lodge session and uses the opportunity to manipulate and turn the rest of the girls against Annie . Naomi , who originally thought the retreat was silly , suddenly decides to extend her stay as a way to recover from her encounter with Mr. Cannon . Silver runs into Navid at the retreat , and the two have a secret rendezvous . Adrianna returns from the retreat and calls a tabloid newspaper to sell an exclusive story . Back in Beverly Hills , Debbie plans a romantic dinner at her house for Ryan , but they are interrupted by Dixon , forcing Ryan to quickly find a place to hide . Elsewhere , Charlie finally realizes that Annie has feelings for Liam , and leaves to study abroad in France .     60   14   `` All About a Boy ''   Harry Sinclair   Paul Sciarrotta   February 7 , 2011 ( 2011 - 02 - 07 )   1.75     Navid breaks up with Adrianna after learning how she used the baby she gave up for adoption to sell a story to a tabloid news magazine . Adrianna then leans on Silver for support and makes a shocking discovery . Meanwhile , Annie gets the opportunity to audition for a play but Emily sabotages her by letting it slip about Debbie 's romance with Ryan . Teddy is being blackmailed and is surprised to find out who is behind it . At Ian 's encouragement , Teddy decides to come out to his friends . Naomi returns from her spiritual retreat and decides to throw a party for Guru Sona but realizes that she may not be the person she thinks she is . Also , Ivy has reservations about getting back in the water after her accident .     61   15   `` Revenge with the Nerd ''   Millicent Shelton   Terrence Coli   February 14 , 2011 ( 2011 - 02 - 14 )   1.37     Dixon and Navid convince a music producer to shoot a music video for Nelly at Shirazi Studios to keep the struggling studio in business . Adrianna 's suspicions about Navid having cheated on her are confirmed , and she informs Silver about her plot for revenge . Meanwhile , Emily attempts to distract Annie in an effort to seduce Liam . Teddy turns to Silver for support after coming out and his breakup with Ian . Elsewhere , reality producers follow Adrianna and her friends around trying to shoot a pilot , and Naomi is surprised by her reaction to a nerdy lab partner , Max , who helps her out with Guru Sona .     62   16   `` It 's High Time ''   Krishna Rao   Padma Alturi   February 21 , 2011 ( 2011 - 02 - 21 )   1.52     The crafty and manipulative Emily continues to cause mayhem in Annie 's life by messing with Liam , her friends , and maliciously gets Annie fired from her internship at the Abbott Playhouse and even goes as far as to provoke Annie into physically attacking her to get her suspended from school . Annie eventually realizes that no one will believe her about the not - so - innocent and no - good Emily 's true nature and begins to work on a plan to defeat Emily at her own game . Meanwhile , Silver convinces Navid to sign the release for Adrianna 's TV reality show to help distract her from their secret relationship . Naomi keeps her feelings for Max to herself . Ivy meets a new guy , named Raj , and they strike up a friendship over their use of medical marijuana . Elsewhere , Dixon , Navid , and Liam take Teddy out on the town to show that they are trying to accept him after his coming out . After watching footage from her Christmas party , Adrianna makes a stunning realization .     63   17   `` Blue Naomi ''   Elizabeth Allen   David S. Rosenthal   February 28 , 2011 ( 2011 - 02 - 28 )   1.45     Naomi attempts to impress Max by dressing up in an Avatar costume , but it does n't get the response that she was aiming for . Dixon and Navid formalize their partnership , and a chance encounter with Snoop Dogg could mean good news for them and Shirazi Studios 2.0 . Adrianna 's vindictive ways deepen after discovering the truth about Navid and Silver 's romance , and she vows to get back at both of them . Meanwhile , Annie and Liam secretly work together to expose Emily for the cynical person that she really is to everyone . As a result , Emily decides to leave town , but does n't tell Debbie of the reason why she is leaving . Elsewhere , Raj confides in Ivy about his past , revealing a shocking secret .     64   18   `` The Enchanted Donkey ''   David Paymer   Story by : Rebecca Sinclair Teleplay by : Rebecca Sinclair &amp; Paul Sciarrotta   April 18 , 2011 ( 2011 - 04 - 18 )   1.72     The group decides to spend spring break in Mexico , where things get out of control for everyone . Naomi brings along Max on the ruse that she intends to ask him for further tutoring with schoolwork . Annie and Liam spend quality time together to take in the scenery until an accident confines Annie to their hotel room . Teddy runs into Tripp , his former boarding school roommate and crush . Ivy uses the time to keep distant from Raj after thinking that he may die soon and confides in Dixon about her recent problems . Meanwhile , the rift between Silver and Adrianna comes to a shocking head .     65   19   `` Nerdy Little Secrets ''   Harry Sinclair   David Rosenberg   April 25 , 2011 ( 2011 - 04 - 25 )   1.74     Naomi becomes tired and more insecure of hiding her relationship with Max and , afraid that he might be cheating on her , follows him to an academic decathlon event to confront him , but soon regrets what happens . Navid becomes worried when Silver begins to behave erratically after Adrianna secretly swipes Silver 's bipolar medication . Meanwhile , Annie forms a bond with Marla Templeton , a veteran actress whom she is hired to work for . Elsewhere , Raj helps Ivy get over her fear of getting into the water again .     66   20   `` Women on the Verge ''   Stuart Gillard   Scott Weinger &amp; Jenna Lamia   May 2 , 2011 ( 2011 - 05 - 02 )   1.47     After receiving some distressing news , Silver has an emotional breakdown , causing Navid and Dixon to stage an intervention . Meanwhile , Annie persuades Marla to attend a Hollywood movie re-release premiere of one of her old films after Marla confides in Annie about her serious health problems . When Teddy discovers Marco has been lying to him , he begins to question if Marco is cheating on him , but learns that Marco is actually hiding something else . Naomi learns that Max was accepted to a college in a different state , while Ryan has an unexpected visitor when Jen Clark returns .     67   21   `` The Prom Before the Storm ''   Mike Listo   David Rosenthal &amp; Terrence Coli   May 9 , 2011 ( 2011 - 05 - 09 )   1.43     Just as everyone is preparing for the upcoming senior prom , Annie and Dixon receive some devastating news concerning their futures when they are told by Debbie that she can not afford to send them to private universities . Meanwhile , Ivy discovers that Raj 's health has taken a turn for the worse . Elsewhere , Adrianna takes the opportunity to try to rekindle her relationship with Navid while Silver is hospitalized in a psych ward following her relapse with her bipolar disorder . Silver begins to figure out that Adrianna may have swiped her medication , but has difficulty convincing Navid . Also , Naomi and Max 's relationship is tested to the limit when she finds out he cheated on a paper for her . Elsewhere , Jen tries to win Ryan back by wanting him to move to Paris with her .     68   22   `` To the Future ! ''   Rebecca Sinclair   Rebecca Sinclair &amp; Paul Sciarotta   May 16 , 2011 ( 2011 - 05 - 16 )   1.64     As graduation looms , Naomi makes a decision that could prevent her from graduating with her class when she takes all the blame for cheating on her term paper to save Max from getting in trouble with her . Meanwhile , Liam tells Annie that he does n't want to go to college with her , and Adrianna is ostrized from the group when they accidentally find out her scheme to get revenge on Silver . The next day , an impromptu wedding takes place as Raj and Ivy get married in a traditional Indian ceremony . Among the group , only Ivy 's mother , Laurel , disapproves of Ivy 's sudden choice to get married for she is aware of Raj 's failing health . Also , Debbie , feeling that there is nothing in California for her anymore , decides to move on with her life by moving to Paris with Ryan . At the end , Naomi visits Max at his house where she tells him that she is pregnant .     Production ( edit )   The CW officially renewed 90210 for a third season on February 16 , 2010 . On May 20 , 2010 the network announced its decision to move 90210 to Monday nights at 8 : 00 pm Eastern / 7 : 00 pm Central , as a lead - in to Gossip Girl . Together , 90210 and Gossip Girl have the highest concentration of women 18 -- 34 on network television , said The CW . The series is produced by CBS Television Studios , with Rebecca Sinclair as executive producer .   The season premiered on September 13 , 2010 . The series returned from its midseason break on January 24 , 2011 , with the season finale airing on May 16 , 2011 .   Storylines ( edit )  I kinda feel like there will be some downward spiral in a way for Naomi 's character , but she 's good at covering , so she 'll still have that facade . `` ''  -- AnnaLynne McCord on what fans can expect to see from Naomi in season 3 after being attacked by Mr Cannon .   The third season of 90210 welcomed the students of West Beverly Hills High School to their senior year with a surprising new family and the destruction of another . Adrianna 's pop career blossomed and a new love will caused the fall out of a group of friends . An earthquake hit Beverly Hills in the premiere . `` We wanted to open the season with an event that has both physical and emotional ramifications for several people , '' said co-executive producer Jennie Snyder Urman , who added that the tremors would prove particularly life - altering for one teen . `` One of them has a very serious injury that takes time to resolve and sort of changes the direction of his or her life . '' It was revealed during the summer of 2010 that either Liam , Navid , or Teddy would come out as gay in season 3 . Co-executive producer , Jennie Urman said of that matter , `` We want to address the issue in a real and relatable way . '' The character was later revealed as Teddy . Silver 's bi-polar disorder was revisited after Adrianna tampered with her medication when implementing a plot for revenge . In Season 3 , Adrianna also sees a boom in her entertainment career as an aspiring reality TV star , though is eventually driven to desperate ends to keep her show alive , such as the pronouncement that she will be seeking to regain the daughter she once gave up for adoption . TVLine revealed that a major character would find out that she was pregnant in the finale . It was later revealed that Naomi was the character in question .   Cast ( edit )  I finished my stint there and the show is kind of off on its own , and I 'm happy to walk away . It was fun , there 's a lot of energy . My friend was producing the first season of the new show , and so that was kind of my motivation to be a part of it . And then he left and it just kind of got a little wonky , so I was happy to be a part of it in the beginning . `` ''  -- Jennie Garth on leaving the series .   On February 25 , 2010 , Gillian Zinser , who plays Ivy Sullivan , was promoted to series regular for the third season . On May 20 , 2010 , with the reveal of The CW 's fall schedule , the series regulars for the third season were announced . Shenae Grimes , Tristan Wilds , AnnaLynne McCord , Ryan Eggold , Jessica Stroup , Michael Steger , Jessica Lowndes , Matt Lanter and Lori Loughlin were all announced to be continuing their roles on the show . It was also announced that Trevor Donovan , who plays Teddy Montgomery , was upgraded to series regular .   In January 2010 , it was confirmed that Jennie Garth would be leaving 90210 to focus more on her writing . Two days later it was announced that series lead , Rob Estes would also be departing the series . Failure to reach an agreement in contract negotiations have been cited as a factor in Estes ' departure , though , he apparently leaves on good terms with the producers and the network . The producers said they were willing to let them go as they are `` trying to establish a separate identity for the new show , '' and want to focus on the younger cast members and not those who starred Beverly Hills , 90210 and Melrose Place . A representative for 90210 told E ! Online , `` This is Rob 's last season on 90210 . He 's a talented actor and we could n't have asked for a better Harry Wilson . '' The actor also released a statement regarding his exit saying , `` This is my final season on 90210 and I wish the show , cast and crew nothing but the best . I am looking forward to spending time with my kids and exploring other opportunities . ''   On June 29 , 2010 , it was announced that Kim Kardashian , Kourtney Kardashian and Khloé Kardashian would guest - star in the season premiere as themselves . However , it was later revealed that just Kim and Khloe had filmed scenes . Adrian Grenier appeared in one episode with his band at Naomi 's 18th birthday party . Entertainment Weekly Blair Redford was cast in a recurring role as a character named Oscar . They revealed he would move in with Ivy and her mother . Evan Ross joined the cast as Charlie , an older newcomer who gets tangled up in a love triangle with two main cast members . Zap2It reported that Mekia Cox would reprise her role as Sasha in the October 3 episode . Kyle Riabko was cast as Ian , a love interest of Teddy . Joe Jonas guest starred in the eighth episode of the season , escorting Adrianna on a red carpet event .   Abbie Cobb began a recurring role in January 2011 . She portrayed Annie and Dixon 's cousin , Emily , who came to Beverly Hills with the purpose of stealing everything and everybody in Annie 's life . Claudia Black joined the cast as Guru Sona , a yoga teacher who Naomi comes to rely on when she meets the characters at a retreat . On December 1 , 2010 , Movieline announced that rapper Nelly would play himself in an episode of the show in 2011 . They revealed the storyline would focus on Dixon ( Tristan Wilds ) and Navid ( Michael Steger ) getting involved in the video shoot for Nelly 's song ' She 's So Fly ' . Kyle Riabko left the series to make himself available for the pilot season . Freddie Smith replaced Riabko as Teddy 's new love interest , Marco . He was described as `` hot '' , `` super-athletic '' and openly gay . Snoop Dogg made a cameo appearance as himself in the later half of the season when he ran into Dixon at a carwash . Alan Ritchson guest starred in the seasons eighteenth episode as a former prep - school roommate of Teddy 's , who hooks up with him . Oscar nominee , Sally Kellerman appeared in a multi-episode arc as Marla , a former movie star who is suffering from dementia and has become a hoarder . Marla hired Annie to help her clean out her house . Manish Dayal was cast in a recurring role as Raj , who became involved in Ivy 's life . Josh Zuckerman was cast in a recurring role as Max Miller , a nerdy student and Naomi 's lab partner whom Naomi develops feelings for .   Reception ( edit )  A line graph detailing the trend of viewership for the third season  The season premiere was watched by 1.96 million live viewers in the United States and achieved a 0.9 rating in the adults 18 -- 49 demographic , up 22.5 % in viewers and 12.5 % in demo from the season two finale . Episode 11 achieved season highs in all key demos with a 1.1 adults 18 -- 49 rating , a 1.4 in adults 18 -- 34 and a 2.1 rating in The CW 's target demographic of women 18 -- 34 . It was also the most watched episode since October , 2009 with 2.18 million viewers tuning in . Episode 15 hit series lows in women 18 -- 34 with a 1.0 rating and matched series lows in adults 18 -- 49 with a 0.7 rating . The season finale scored a 0.8 rating in adults 18 -- 49 , which was lifted to a 1.2 rating with a full week of DVR viewing taken into account . The season averaged 1.75 million viewers and a 0.9 rating in adults 18 -- 49 . With live + 7 day DVR viewing taken into account , it averaged 2.26 million viewers and a 1.2 rating . In the UK episode eight was seen by 548,000 viewers , which was higher than the pilot episode `` We 're Not in Kansas Anymore '' . `` Best Lei 'd Plans '' continued upwards with 604,000 viewers becoming the No. 2 rated show on E4 that week .   Critical reception for the season was mostly positive . TVfanatic.com rated the season premiere 3.7 out of 5 and said , `` The series started from scratch in a lot of ways , manufacturing brand new developments that added to 90210 's fluidity problem , yet may prove to be promising if the drama can actually stick with certain developments and see them through . '' Mark Estes of TVOverMind said `` The West Beverly kids are back and is it just me or did they NOT disappoint tonight ? '' His review of the second episode was also positive stating , `` Two in a row ? 90210 is really coming back strong this year as tonight 's episode introduced new people , new plot lines , and the makings of a villain in the increasingly slimy Oscar . ''   DVD release ( edit )   The DVD release of season three was released after the season has completed broadcast on television . It has been released in Regions 1 , 2 and 4 . As well as every episode from the season , the DVD release features bonus material such as deleted scenes , gag reels and behind - the - scenes featurettes .     90210 : The Third Season     Set details   Special features       22 episodes   913 minutes ( Region 1 ) ; 876 minutes ( Region 2 ) ; 877 ( Region 4 )   6 - disc set   1.85 : 1 aspect ratio   Languages :   English ( Dolby Digital 2.0 Surround )     Subtitles :   English , Danish , Dutch , Finnish , Norwegian and Spanish ( Region 1 )   English , Arabic , Dutch , Norwegian , Swedish , English For The Hearing Impaired ( Regions 2 and 4 )         Audio commentaries :   ``</t>
  </si>
  <si>
    <t xml:space="preserve">when do they find out about emily 90210</t>
  </si>
  <si>
    <t xml:space="preserve">   No . overall   No. in season   Title   Directed by   Written by   Original air date   U.S. viewers ( millions )     47     `` Senior Year , Baby ''   Stuart Gillard   Jennie Snyder Urman   September 13 , 2010 ( 2010 - 09 - 13 )   1.96     Beverly Hills is rocked by an earthquake during the first day of the school year . Naomi has spent the summer in isolation , dealing with the aftermath of her rape by Mr. Cannon and keeping it a secret . Annie and Dixon are dealing with the absence of their father who has walked out on the family , while Debbie tries to hold the family together without Harry and a job . Meanwhile , Teddy and Silver find themselves happier than ever until he suffers a leg injury that could end his tennis career forever . Annie applies for an internship at a local theater company called the Abbott Playhouse . Navid welcomes Adrianna back from her tour with Javier , but their arrival brings an unexpected death . Ivy returns from Australia with her an old childhood friend , named Oscar , which makes Dixon uncomfortable . Elsewhere , Annie and Liam confront their feelings for each other .     48     `` Age of Inheritance ''   Liz Friedlander   Padma L. Atluri   September 20 , 2010 ( 2010 - 09 - 20 )   1.83     After turning eighteen , Naomi finds out she can now access the money in her large trust fund , so she decides to throw herself a huge birthday party at the Beach Club where she hires the Honey Brothers band to perform . Meanwhile , Dixon , Navid , and Teddy decide to take Oscar out for a night on the town , but their party ends when Ivy finds a Facebook photo of a drunk Dixon doing a body shot off a girl . Annie has an instant connection with Charlie , a guy she meets at a coffee shop . Jen is forced to go on bed rest until she delivers the baby and has no choice but to allow Ryan into her life . Elsewhere , Adrianna uses Javier 's song book to get back in good favor with the label . Entourage 's Adrian Grenier performs with his band at Naomi 's birthday party .     49     `` 2021 Vision ''   Millicent Shelton   Tod Himmel   September 27 , 2010 ( 2010 - 09 - 27 )   1.96     Naomi has constant flashbacks to her rape and begins taking sleeping pills in order to sleep through the night . Mr. Cannon invites Silver over to his apartment to watch his new documentary and slips something in her drink . Meanwhile , Teddy wakes up from a night of drinking and realizes he hooked up with someone , but does not remember who . Dixon learns that Ivy is a virgin . At her intern job , Annie confronts her boss , Katherine , about her awkward behavior and is shocked when she makes Annie an offer she may not be able to refuse . Adrianna sings another song stolen out of Javier 's songbook at his memorial service , but she soon regrets it when a video of her music number goes viral .     50     `` The Bachelors ''   David Warren   David S. Rosenthal   October 4 , 2010 ( 2010 - 10 - 04 )   1.79     Silver plans a cancer - awareness charity event to honor her late mother and enlists the boys to appear in a bachelor auction . Ian , a theater student at West Bev , is brought in to help choreograph a dance number for the auction , but all comes to a stand - still when Teddy directs some negative words toward him . The two later get into a fight . Meanwhile , Annie and Adrianna discover the truth about Naomi and Mr. Cannon from Silver . Elsewhere , Annie discovers Debbie 's money problems since Harry walked out on her and decides to take Katherine 's offer . A surprising connection between Charlie and Liam is revealed . Javier 's uncle , Victor , begins to blackmail Adrianna with exposure by forcing her to work for him . Also , Ivy and Dixon decide to spend the night together , but Dixon hits the brakes when his ex-girlfriend , Sasha , returns with some life - altering news .     51   5   `` Catch Me If You Cannon ''   Jim Conway   Terrence Coli   October 11 , 2010 ( 2010 - 10 - 11 )   1.81     Silver , Naomi , and Adrianna craft a plan to seduce Mr. Cannon to prove he raped Naomi , but they underestimate his ability to control the situation . Teddy and Ian are forced to do manual labor as a punishment for fighting . Dixon fears for his life and pushes Ivy away , leading her straight into the arms of Oscar ( just as he planned the whole time for ) . Meanwhile , Jen looks for a new assistant and Debbie applies for the job . Debbie also finds out about the arrangement between Annie and Katherine and forbids Annie from fulfilling it .     52   6   `` How Much Is That Liam in the Window ''   Stuart Gillard   David S. Rosenthal &amp; Jennie Snyder Urman   October 25 , 2010 ( 2010 - 10 - 25 )   2.03     When Jen and Ryan find out about Naomi 's rape , Jen decides to take matters into her own hands , while Ryan 's job may be in jeopardy when he encourages Naomi to come forward with him as a witness despite the fact that his own secret about accidentally wrecking the school sign will be revealed . Adrianna 's manager , Victor , continues to blackmail her and goes even further when he encourages her to go topless at a photo - shoot . Annie discovers a darker side of Charlie when she sneaks in to observe a staged reading of his play . Liam lands a job modeling in the window of a clothing store and receives a job opportunity from a mysterious customer , named Laura , that he ca n't refuse . Dixon apologizes to Ivy unaware that she decided to lose her virginity to someone else . Also , Oscar confronts Ivy and Laurel about his shocking past .     53   7   `` I See London , I See France ... ''   Krishna Rao   Scott Weinger   November 1 , 2010 ( 2010 - 11 - 01 )   2.00     Ryan helps Naomi press charges against Mr. Cannon and as a result , both Mr. Cannon and Ryan are suspended from their jobs . Oscar has a run - in with Mr. Cannon and unintentionally helps Naomi with her case when he sets his sights on her as his next conquest . Navid finds out that his father is employing an underage girl in his pornography business . Meanwhile , Ivy tells Dixon what happened between her and Oscar , which he predictably does not take well . Teddy struggles with rumors and innuendo about his suspected impotency . Liam continues his job of carrying purses for Laura , until he finds out that she is a drug dealer running a business right out of her mother 's own house . Elsewhere , Navid and Silver attend the Achievement Awards dinner while Annie , Teddy , Liam , Dixon , Ivy and Ian attend an under - achievement ceremony , called `` The Undies '' , at the Beach Club .     54   8   `` Mother Dearest ''   Oz Scott   Paul Sciarrotta   November 8 , 2010 ( 2010 - 11 - 08 )   1.89     Annie and Dixon drive to Pomona to visit their father , but unexpectedly meet a young woman at his door making them leave without seeing Harry . Later , Debbie tells Annie and Dixon that she knows all about the younger woman living with Harry whom is his new wife . The Wilson family decides to move on by removing all traces Harry 's existence from the house and their lives and from then on live as if Harry never existed . After a series of mishaps with her baby , Jen leaves Jacques with Ryan and leaves town . Ivy and Naomi join forces to humiliate and take down Oscar . Meanwhile , Navid asks Silver to help prove that his father is lying to him about employing underage girls at his studio by asking Silver to go undercover . Also , Victor demands Adrianna attend a red carpet event with Joe Jonas , rather than Navid .     55   9   `` They 're Playing Her Song ''   Rob Hardy   Jennie Snyder Urman &amp; Jenna Lamia   November 15 , 2010 ( 2010 - 11 - 15 )   1.76     Teddy decides to visit a gay bar in West Hollywood , but is forced to turn to Ian for help when he forgets his wallet . Meanwhile , Annie is ready to take her relationship with Charlie to the next level , but is mortified when his college friends catch a glimpse of her in lingerie . Meanwhile , Ryan turns to Debbie for parental advice , and the two end up hooking up . Navid deals with the fallout at school and at home after turning his father in to the authorities . Also , Adrianna continues to be oblivious to Navid 's situation due to her newfound fame .     56   10   `` Best Lei 'd Plans ''   David Warren   David S. Rosenthal &amp; Deborah Schoeneman   November 29 , 2010 ( 2010 - 11 - 29 )   2.01     Naomi jumps back into the dating world and tries to impress one of Ivy 's surfer friends , Zach , by pretending to know how to surf . Still upset with her mother over the Oscar situation , Ivy decides to build a relationship with her estranged father . Not knowing she has feelings for Ryan , Annie and Dixon sign Debbie up for an online dating service . While at the beach luau , Teddy gets jealous when he sees Ian with another guy and allows his feelings to control his actions . Meanwhile , Adrianna and Navid 's relationship becomes strained , leading him into the arms of Silver . Elsewhere , Liam learns more about Laura and of her ex-boyfriend whom he attempts to make jealous in her favor .     57   11   `` Holiday Madness ''   Dennis Smith   Rebecca Sinclair   December 6 , 2010 ( 2010 - 12 - 06 )   2.18     Adrianna leases an expensive new house and throws a housewarming Christmas party to celebrate her new record deal . After having enough of her egotistical attitude , Victor decides to reveal Adrianna 's secret on the Internet . Annie spends the night with Liam when he comes back from the hospital , and the two rekindle their romance . Ivy 's father 's unexpected intentions lead her to reconcile with her mother . After deciding to keep their relationship a secret , Ian and Teddy kiss unaware that Dixon saw them . Meanwhile , Navid and Silver confess their true feelings towards each other ... and share a kiss . Elsewhere , Naomi continues to reject Oscar 's advances whom tries to ask her out on a date to the Christmas party . Naomi attends solo and later returns home not knowing that Mr. Cannon is awaiting her .     58   12   `` Liars ''   Stuart Gillard   Tod Himmel   January 24 , 2011 ( 2011 - 01 - 24 )   1.69     Naomi is taken hostage in her apartment by an out - of - control Mr. Cannon who also lures Silver into the situation . Meanwhile , Annie and Dixon 's cousin Emily from Kansas comes to town for an extended visit , but Emily immediately gets on Annie 's nerves . Dixon confronts Teddy about his kiss with Ian and promises to keep his secret . Ivy has a near fatal accident during surf practice that makes her question her ability to compete in the surf competition . Adrianna 's world continues to crumble when she appears on a talk show to tell her side of the story , and she is blindsided by a surprise guest when Victor appears to give `` his '' side of the story . Given Adrianna 's disastrous situation , Navid and Silver continue to keep their hook - ups a secret .     59   13   `` It 's Getting Hot in Here ''   Liz Friedlander   David S. Rosenthal   January 31 , 2011 ( 2011 - 01 - 31 )   1.67     Naomi , Adrianna , Silver , and Annie decide to have a girls ' weekend and head to a yoga retreat in Ojai . Annie attempts to be a good cousin and invites Emily along for the weekend but confronts her about being a downer on the trip . Emily begins to show her true devious colors when she purposefully neglects to wake Annie up for a sweat lodge session and uses the opportunity to manipulate and turn the rest of the girls against Annie . Naomi , who originally thought the retreat was silly , suddenly decides to extend her stay as a way to recover from her encounter with Mr. Cannon . Silver runs into Navid at the retreat , and the two have a secret rendezvous . Adrianna returns from the retreat and calls a tabloid newspaper to sell an exclusive story . Back in Beverly Hills , Debbie plans a romantic dinner at her house for Ryan , but they are interrupted by Dixon , forcing Ryan to quickly find a place to hide . Elsewhere , Charlie finally realizes that Annie has feelings for Liam , and leaves to study abroad in France .     60   14   `` All About a Boy ''   Harry Sinclair   Paul Sciarrotta   February 7 , 2011 ( 2011 - 02 - 07 )   1.75     Navid breaks up with Adrianna after learning how she used the baby she gave up for adoption to sell a story to a tabloid news magazine . Adrianna then leans on Silver for support and makes a shocking discovery . Meanwhile , Annie gets the opportunity to audition for a play but Emily sabotages her by letting it slip about Debbie 's romance with Ryan . Teddy is being blackmailed and is surprised to find out who is behind it . At Ian 's encouragement , Teddy decides to come out to his friends . Naomi returns from her spiritual retreat and decides to throw a party for Guru Sona but realizes that she may not be the person she thinks she is . Also , Ivy has reservations about getting back in the water after her accident .     61   15   `` Revenge with the Nerd ''   Millicent Shelton   Terrence Coli   February 14 , 2011 ( 2011 - 02 - 14 )   1.37     Dixon and Navid convince a music producer to shoot a music video for Nelly at Shirazi Studios to keep the struggling studio in business . Adrianna 's suspicions about Navid having cheated on her are confirmed , and she informs Silver about her plot for revenge . Meanwhile , Emily attempts to distract Annie in an effort to seduce Liam . Teddy turns to Silver for support after coming out and his breakup with Ian . Elsewhere , reality producers follow Adrianna and her friends around trying to shoot a pilot , and Naomi is surprised by her reaction to a nerdy lab partner , Max , who helps her out with Guru Sona .     62   16   `` It 's High Time ''   Krishna Rao   Padma Alturi   February 21 , 2011 ( 2011 - 02 - 21 )   1.52     The crafty and manipulative Emily continues to cause mayhem in Annie 's life by messing with Liam , her friends , and maliciously gets Annie fired from her internship at the Abbott Playhouse and even goes as far as to provoke Annie into physically attacking her to get her suspended from school . Annie eventually realizes that no one will believe her about the not - so - innocent and no - good Emily 's true nature and begins to work on a plan to defeat Emily at her own game . Meanwhile , Silver convinces Navid to sign the release for Adrianna 's TV reality show to help distract her from their secret relationship . Naomi keeps her feelings for Max to herself . Ivy meets a new guy , named Raj , and they strike up a friendship over their use of medical marijuana . Elsewhere , Dixon , Navid , and Liam take Teddy out on the town to show that they are trying to accept him after his coming out . After watching footage from her Christmas party , Adrianna makes a stunning realization .     63   17   `` Blue Naomi ''   Elizabeth Allen   David S. Rosenthal   February 28 , 2011 ( 2011 - 02 - 28 )   1.45     Naomi attempts to impress Max by dressing up in an Avatar costume , but it does n't get the response that she was aiming for . Dixon and Navid formalize their partnership , and a chance encounter with Snoop Dogg could mean good news for them and Shirazi Studios 2.0 . Adrianna 's vindictive ways deepen after discovering the truth about Navid and Silver 's romance , and she vows to get back at both of them . Meanwhile , Annie and Liam secretly work together to expose Emily for the cynical person that she really is to everyone . As a result , Emily decides to leave town , but does n't tell Debbie of the reason why she is leaving . Elsewhere , Raj confides in Ivy about his past , revealing a shocking secret .     64   18   `` The Enchanted Donkey ''   David Paymer   Story by : Rebecca Sinclair Teleplay by : Rebecca Sinclair &amp; Paul Sciarrotta   April 18 , 2011 ( 2011 - 04 - 18 )   1.72     The group decides to spend spring break in Mexico , where things get out of control for everyone . Naomi brings along Max on the ruse that she intends to ask him for further tutoring with schoolwork . Annie and Liam spend quality time together to take in the scenery until an accident confines Annie to their hotel room . Teddy runs into Tripp , his former boarding school roommate and crush . Ivy uses the time to keep distant from Raj after thinking that he may die soon and confides in Dixon about her recent problems . Meanwhile , the rift between Silver and Adrianna comes to a shocking head .     65   19   `` Nerdy Little Secrets ''   Harry Sinclair   David Rosenberg   April 25 , 2011 ( 2011 - 04 - 25 )   1.74     Naomi becomes tired and more insecure of hiding her relationship with Max and , afraid that he might be cheating on her , follows him to an academic decathlon event to confront him , but soon regrets what happens . Navid becomes worried when Silver begins to behave erratically after Adrianna secretly swipes Silver 's bipolar medication . Meanwhile , Annie forms a bond with Marla Templeton , a veteran actress whom she is hired to work for . Elsewhere , Raj helps Ivy get over her fear of getting into the water again .     66   20   `` Women on the Verge ''   Stuart Gillard   Scott Weinger &amp; Jenna Lamia   May 2 , 2011 ( 2011 - 05 - 02 )   1.47     After receiving some distressing news , Silver has an emotional breakdown , causing Navid and Dixon to stage an intervention . Meanwhile , Annie persuades Marla to attend a Hollywood movie re-release premiere of one of her old films after Marla confides in Annie about her serious health problems . When Teddy discovers Marco has been lying to him , he begins to question if Marco is cheating on him , but learns that Marco is actually hiding something else . Naomi learns that Max was accepted to a college in a different state , while Ryan has an unexpected visitor when Jen Clark returns .     67   21   `` The Prom Before the Storm ''   Mike Listo   David Rosenthal &amp; Terrence Coli   May 9 , 2011 ( 2011 - 05 - 09 )   1.43     Just as everyone is preparing for the upcoming senior prom , Annie and Dixon receive some devastating news concerning their futures when they are told by Debbie that she can not afford to send them to private universities . Meanwhile , Ivy discovers that Raj 's health has taken a turn for the worse . Elsewhere , Adrianna takes the opportunity to try to rekindle her relationship with Navid while Silver is hospitalized in a psych ward following her relapse with her bipolar disorder . Silver begins to figure out that Adrianna may have swiped her medication , but has difficulty convincing Navid . Also , Naomi and Max 's relationship is tested to the limit when she finds out he cheated on a paper for her . Elsewhere , Jen tries to win Ryan back by wanting him to move to Paris with her .     68   22   `` To the Future ! ''   Rebecca Sinclair   Rebecca Sinclair &amp; Paul Sciarotta   May 16 , 2011 ( 2011 - 05 - 16 )   1.64     As graduation looms , Naomi makes a decision that could prevent her from graduating with her class when she takes all the blame for cheating on her term paper to save Max from getting in trouble with her . Meanwhile , Liam tells Annie that he does n't want to go to college with her , and Adrianna is ostrized from the group when they accidentally find out her scheme to get revenge on Silver . The next day , an impromptu wedding takes place as Raj and Ivy get married in a traditional Indian ceremony . Among the group , only Ivy 's mother , Laurel , disapproves of Ivy 's sudden choice to get married for she is aware of Raj 's failing health . Also , Debbie , feeling that there is nothing in California for her anymore , decides to move on with her life by moving to Paris with Ryan . At the end , Naomi visits Max at his house where she tells him that she is pregnant .   </t>
  </si>
  <si>
    <r>
      <rPr>
        <sz val="11"/>
        <color rgb="FF000000"/>
        <rFont val="Calibri"/>
        <family val="0"/>
        <charset val="1"/>
      </rPr>
      <t xml:space="preserve">CONCACAF Gold Cup - wikipedia  CONCACAF Gold Cup  Jump to : navigation , search Not to be confused with CONCACAF Cup or CONCACAF Championship . This article is about the men 's competition . For the women 's competition , see CONCACAF Women 's Gold Cup .  CONCACAF Gold Cup       Organising body   CONCACAF     Founded   1963 ; 54 years ago ( 1963 )     Region   North America , Central America and the Caribbean     Number of teams   12 ( later 16 in 2019 )     Related competitions   CONCACAF Cup     Current champions   United States ( 6th title )     Most successful team ( s )   Mexico ( 7 titles )     Website   www.concacaf.com/category/gold-cup     2019 CONCACAF Gold Cup     The CONCACAF Gold Cup ( Spanish : Copa de Oro de la CONCACAF ) ( French : Coupe d'Or de la CONCACAF ) is the main association football ( soccer ) competition of the men 's national football teams governed by CONCACAF , determining the continental champion of North America , Central America , and the Caribbean .   The Gold Cup is held every two years . Before 2015 , when the Gold Cup did not fall in the same year as the FIFA Confederations Cup , the winner , or highest - placed team that is a member of both CONCACAF and FIFA , qualified for the next staging of that tournament . Beginning in 2015 , the winners of two successive Gold Cups ( the 2013 and 2015 editions in the first instance ) face each other in CONCACAF Cup -- a playoff to determine the CONCACAF entrant to the next Confederations Cup . If the same team has won the Gold Cup on both relevant occasions , there will be no playoff and that team will automatically qualify for the Confederations Cup .     Contents  ( hide )   1 History   1.1 Championships before CONCACAF   1.2 CONCACAF Championship ( 1963 -- 1989 )   1.3 CONCACAF Gold Cup ( 1991 -- present )     2 Tournament results   3 Performance by country   4 Records and statistics   5 Media coverage   6 See also   7 References   8 External links      History ( edit )  Winners of the CONCACAF Gold Cup up to 2017  Championships before CONCACAF ( edit )   Before the Confederation of North , Central American and Caribbean Association Football ( CONCACAF ) was formed in 1961 , association football in the region was divided into smaller , regional divisions . The two main bodies consisted of the Confederación Centroamericana y del Caribe de Fútbol ( CCCF ) founded in 1938 ( consisting of Central America and most of the Caribbean ) and the North American Football Confederation ( NAFC ) founded in 1946 ( consisting of the North American nations of United States , Mexico , Canada , and Cuba ) . Each confederation held its own competition , the CCCF Championship and the NAFC Championship . The CCCF held 10 championships from 1941 -- 1961 , Costa Rica winning seven ( 1941 , ' 46 , ' 48 , ' 53 , ' 55 , ' 60 , ' 61 ) , and one each by El Salvador ( 1943 ) , Panama ( 1951 ) and Haiti ( 1957 ) . The NAFC held four championships in 1947 and 1949 and later , after 41 years of absence , in 1990 and 1991 for the North American zone as the North American Nations Cup with Mexico winning two ( 47 &amp; ' 49 ) and Canada winning one ( 1990 ) before the introduction of the CONCACAF Gold Cup .   CONCACAF Championship ( 1963 -- 1989 ) ( edit )  For more details on this topic , see CONCACAF Championship .  CONCACAF was founded in 1961 through the merging of NAFC and CCCF which resulted in a single championship being held for the continent . The first CONCACAF tournament was held in 1963 in El Salvador with Costa Rica becoming the first champion . The CONCACAF Campeonato de Naciones , as it was called , was held every two years from 1963 -- 1973 . The second tournament was held in Guatemala in 1965 when Mexico defeated the host country in the final of a six - team tournament . The 1967 competition was held in Honduras and saw a third champion crowned , Guatemala . Costa Rica won their second title as hosts in 1969 , knocking off Guatemala , while two years later , Mexico won their second championship as the tournament moved to Trinidad &amp; Tobago , the first time in the Caribbean . In 1973 , the tournament kept the same format of six teams playing a single round - robin , but there were bigger stakes attached : CONCACAF 's berth in the FIFA World Cup tournament in 1974 . In Port - au - Prince , Haiti , the host country pulled off a shocking upset by winning the tournament and claiming a spot in the World Cup in West Germany .   With the Campeonato de Naciones doubling as the final World Cup qualifying tournament , the next two editions were held in Mexico City and Tegucigalpa , Honduras in 1977 and 1981 , respectively . In each case the host country was crowned champion and earned a spot in the World Cup . In 1985 and 1989 , the winner of the World Cup qualifying tournament was again crowned Confederation champion . Canada and Costa Rica were named champions in 1985 and 1989 , receiving a trophy .   CONCACAF Gold Cup ( 1991 -- present ) ( edit )   In 1990 , CONCACAF brought the CONCACAF Championship to an end and created the CONCACAF Gold Cup , with the USA hosting the first competition in 1991 . The host country was the inaugural champion of the eight - team tournament . Mexico dominated the remainder of the decade , winning three consecutive CONCACAF Gold Cup titles in 1993 , 1996 and 1998 .   In 1996 , the Gold Cup field included its first guest team , the defending FIFA World Cup Champions Brazil . Guests were invited to participate in the six Gold Cup tournaments from 1996 to 2005 . Starting with the 2000 Gold Cup , the tournament field was increased to twelve teams and for the 2007 tournament , the Gold Cup again was contested exclusively by nations within CONCACAF .   The 2007 Gold Cup was contested in the United States where the hosts successfully defended their title beating Mexico in the final 2 -- 1 in Chicago ; Canada and Guadeloupe shared third place . Mexico won the 2009 Gold Cup by beating the United States 5 -- 0 . In the 2011 Gold Cup , Mexico defeated the USA 4 -- 2 in the final while the USA won the 2013 Gold Cup by beating Panama 1 -- 0 .   Since the formation of the Gold Cup in 1991 , the CONCACAF Championship has been won seven times by Mexico , six times by the United States , and once by Canada . Runners - up include Brazil , Colombia , Costa Rica , Honduras , Panama , and Jamaica .   In January 2017 , Victor Montagliani announced the expansion of the Gold Cup from 12 to 16 teams , starting with the 2019 tournament .   Tournament results ( edit )     CONCACAF Gold Cup     Year   Host     Final     Third Place Match     Winner   Score   Runner - up   3rd Place   Score   4th Place     1991 Details   United States   United States   0 -- 0 a.e.t. ( 4 -- 3 pen . )   Honduras   Mexico   2 -- 0   Costa Rica     1993 Details   United States Mexico   Mexico   4 -- 0   United States   Costa Rica Jamaica   1 -- 1 a.e.t.       Details   United States   Mexico   2 -- 0   Brazil   United States   3 -- 0   Guatemala     1998 Details   United States   Mexico   1 -- 0   United States   Brazil   1 -- 0   Jamaica     2000 Details   United States   Canada   2 -- 0   Colombia   Not Held     Peru Trinidad and Tobago     2002 Details   United States   United States   2 -- 0   Costa Rica   Canada   2 -- 1   South Korea     2003 Details   United States Mexico   Mexico   1 -- 0 a.s.d.e.t.   Brazil   United States   3 -- 2   Costa Rica     2005 Details   United States   United States   0 -- 0 a.e.t. ( 3 -- 1 pen . )   Panama   Not held     Colombia Honduras     2007 Details   United States   United States   2 -- 1   Mexico   Canada Guadeloupe     2009 Details   United States   Mexico   5 -- 0   United States   Costa Rica Honduras     2011 Details   United States   Mexico   4 -- 2   United States   Honduras Panama     2013 Details   United States   United States   1 -- 0   Panama   Honduras Mexico     2015 Details   United States Canada   Mexico   3 -- 1   Jamaica   Panama   1 -- 1 a.e.t. ( 3 -- 2 pen . )   United States     2017 Details   United States   United States   2 -- 1   Jamaica   Not held     Costa Rica Mexico     2019   TBA     TBD   -   TBD     TBD     Costa Rica and Jamaica shared third place .   Teams in italics are guest nations .   Performance by country ( edit )   The following table shows cumulative top four results for all editions of the CONCACAF Gold Cup . The Third Place column lists third - place match winners , and teams eliminated in semi-finals in years without a third - place match .     Team   Winners   Runners - up   Third Place   Fourth Place     Mexico   7 ( 1993 , 1996 , 1998 , 2003 , 2009 , 2011 , 2015 )   1 ( 2007 )   3 ( 1991 , 2013 , 2017 )   --     United States   6 ( 1991 , 2002 , 2005 , 2007 , 2013 , 2017 )   4 ( 1993 , 1998 , 2009 , 2011 )   2 ( 1996 , 2003 )   1 ( 2015 )     Canada   1 ( 2000 )   --   2 ( 2002 , 2007 )   --     Panama   --   2 ( 2005 , 2013 )   2 ( 2011 , 2015 )   --     Jamaica   --   2 ( 2015 , 2017 )   1 ( 1993 )   1 ( 1998 )     Brazil   --   2 ( 1996 , 2003 )   1 ( 1998 )   --     Honduras   --   1 ( 1991 )   4 ( 2005 , 2009 , 2011 , 2013 )   --     Costa Rica   --   1 ( 2002 )   3 ( 1993 , 2009 , 2017 )   2 ( 1991 , 2003 )     Colombia   --   1 ( 2000 )   1 ( 2005 )   --     Peru   --   --   1 ( 2000 )   --     Trinidad and Tobago   --   --   1 ( 2000 )   --     Guadeloupe   --   --   1 ( 2007 )   --     Guatemala   --   --   --   1 ( 1996 )     South Korea   --   --   --   1 ( 2002 )     Records and statistics ( edit )  Main article : CONCACAF Gold Cup records and statistics  Media coverage ( edit )   In the United States , the CONCACAF Gold Cup airs on Fox Sports ( since 2007 ) and Univision Deportes ( since 2000 ) . In Mexico it airs on Televisa and TV Azteca . In Canada it switched to TSN in 2017 , after years on Sportsnet .   See also ( edit )    2017 CONCACAF Gold Cup   Football continental championships    References ( edit )    Jump up ^ `` 2007 CONCACAF Gold Cup - Technical Report '' ( pdf ) . CONCACAF. 12 November 2007 . p. 4 . Retrieved 28 November 2016 .   Jump up ^ `` 2013 , 2015 CONCACAF Gold Cup winners will play one - off match for 2017 Confederations Cup berth '' . MLS Soccer. April 5 , 2013 . access - date = requires url = ( help )   Jump up ^ www.goldcup.org   Jump up ^ `` 1985 Gabriel Kafaty Cup '' . Flickr . 3 April 2009 . Retrieved 29 November 2016 .   Jump up ^ `` Montagliani happy with 2016 , sees big things for CONCACAF in new year '' . Jamaica Observer. 5 January 2017 . Retrieved 13 February 2017 . Of course the Gold Cup is this year and it is the last edition of 12 teams as we will increase it to 16 for the 2019 version .    External links ( edit )       Wikimedia Commons has media related to CONCACAF Gold Cup .      Official Gold Cup Site at CONCACAF.com   Copa Oro coverage on Univision.com   Gold Cup at RSSSF   Gold Cup &amp; Championship on RSSSF Archive              CONCACAF Gold Cup       CONCACAF Championship ( 1963 -- 1989 )       Editions     United States 1991   United States / Mexico 1993   United States 1996   United States 1998   United States 2000   United States 2002   United States / Mexico 2003   United States 2005   United States 2007   United States 2009   United States 2011   United States 2013   United States / Canada 2015   United States 2017   TBA 2019       Finals     1991   1993     1998   2000   2002   2003   2005   2007   2009   2011   2013   2015   2017       Squads     1991   1993     1998   2000   2002   2003   2005   2007   2009   2011   2013   2015   2017       CONCACAF Cup     United States 2015   TBA 2019       Qualification     Copa Centroamericana   Caribbean Cup   CONCACAF Gold Cup qualification ( CFU -- UNCAF play - off )       Statistics     Finals   Goalscorers   Records and statistics   Venues                 CONCACAF Championship     Editions     El Salvador 1963   Guatemala 1965   Honduras 1967   Costa Rica 1969   Trinidad and Tobago 1971   Haiti 1973   Mexico 1977   Honduras 1981   1985 ( No fixed venue )   1989 ( No fixed venue )       Squads     1963   1965   1967   1969   1971   1973   1977   1981   1985           CONCACAF Gold Cup ( since 1991 )                 CONCACAF competitions        National team tournaments     CONCACAF era      Current     CONCACAF Gold Cup   Olympic   U-20   U-17   U-15     CONCACAF Cup   CONCACAF Women 's Gold Cup   Olympic   U-20   U-17   U-15     Futsal Championship   CONCACAF Beach Soccer Championship   Regional   Copa Centroamericana   Caribbean Cup   CONCACAF Gold Cup qualification ( CFU -- UNCAF play - off )     Multi-sport events   Pan-American Games   Central American and Caribbean Games   Central American Games     Copa América Centenario       Defunct     CONCACAF Championship   North American Nations Cup   CFU Championship       Proposed     CONCACAF Nations League          Pre-CONCACAF      Defunct     NAFC ( NAFC Championship )   CCCF ( CCCF Championship   CCCF Youth Championship )                Club tournaments     CONCACAF tournaments     Champions League   CONCACAF League   CONCACAF Futsal Club Championship   Regional   CFU Club Championship   Supercopa Centroamericana   UNCAF Women 's Interclub Championship         Invitational tournaments     Copa Libertadores   Copa Sudamericana ( 2004 -- 2008 )   Recopa Sudamericana       Defunct tournaments     Copa Interamericana   Copa Interclubes UNCAF   CONCACAF Cup Winners Cup   CONCACAF Giants Cup   North American SuperLiga                    International association football       FIFA   Federations   Teams   Competitions   World Cup   U-17   U-20     Confederations Cup   Olympics   Youth Olympics   Universiade   World Rankings   The Best FIFA Football Awards   Timeline of association football   Comparison of association football and futsal       Africa     CAF -- Africa Cup of Nations   U-23   U-20   U-17   Regional ( CECAFA , CEMAC , COSAFA , WAFU )         Asia     AFC -- Asian Cup   U-23   U-19   U-16   U-14   Regional ( ASEAN , EAFF , SAFF , WAFF )       Europe     UEFA -- European Championship   U-21   U-19   U-17       North America , Central America and the Caribbean     CONCACAF -- Gold Cup   U-20   U-17   U-15   Regional ( CFU , UNCAF )       Oceania     OFC -- Nations Cup   U-20   U-17       South America     CONMEBOL -- Copa América   U-20   U-17   U-15       Non-FIFA     NF - Board -- Viva World Cup   CONIFA - ConIFA World Football Cup   ConIFA European Football Cup   IGA - Island Games       Games     African Games   Asian Games   Central America   Central America and Caribbean   East Asian Games   Francophonie Games   Indian Ocean Island   Lusophony Games   Mediterranean Games   Pan American Games   Pan Arab Games   Pacific Games   South Asian Games   Southeast Asian Games         See also   Geography   Codes   Player / Club of the Century   Women 's football                 North American championships     Olympic sports      Team sports     Beach volleyball   Football   men   women     Handball   men   women     Rugby sevens   men   women     Volleyball   men   women         Individual sports     Athletics   outdoor   cross country     Table tennis          Non-Olympic sports      Team sports     Beach soccer   Cricket   Futsal   Rugby union   men   women         Individual sports     Rally                  LCCN : nb2013008781      Retrieved from `` https://en.wikipedia.org/w/index.php?title=CONCACAF_Gold_Cup&amp;oldid=796438157 '' Categories :   CONCACAF Gold Cup   CONCACAF competitions   Recurring sporting events established in 1991   Hidden categories :   Pages using citations with accessdate and no URL   Articles containing Spanish - language text   Articles containing French - language text   All articles lacking reliable references   Articles lacking reliable references from May 2017   Wikipedia articles with LCCN identifiers           Talk                                           Contents                   About Wikipedia                                                   Azərbaycanca   বাংলা   Bosanski   Català   Čeština   Dansk   Deutsch   Eesti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Հայերեն   Hrvatski   Bahasa Indonesia   Italiano   עברית   ქართული   Latviešu   Lietuvių   Magyar   Malti   मराठी   مصرى   Bahasa Melayu   Baso Minangkabau   Nederlands   </t>
    </r>
    <r>
      <rPr>
        <sz val="11"/>
        <color rgb="FF000000"/>
        <rFont val="Noto Sans CJK SC"/>
        <family val="2"/>
      </rPr>
      <t xml:space="preserve">日本 語   </t>
    </r>
    <r>
      <rPr>
        <sz val="11"/>
        <color rgb="FF000000"/>
        <rFont val="Calibri"/>
        <family val="0"/>
        <charset val="1"/>
      </rPr>
      <t xml:space="preserve">Norsk   Polski   Português   Română   Русский   Simple English   Српски / srpski   Suomi   Svenska   தமிழ்   ไทย   Türkçe   Українська   اردو   Tiếng Việt   </t>
    </r>
    <r>
      <rPr>
        <sz val="11"/>
        <color rgb="FF000000"/>
        <rFont val="Noto Sans CJK SC"/>
        <family val="2"/>
      </rPr>
      <t xml:space="preserve">粵語   中文   </t>
    </r>
    <r>
      <rPr>
        <sz val="11"/>
        <color rgb="FF000000"/>
        <rFont val="Calibri"/>
        <family val="0"/>
        <charset val="1"/>
      </rPr>
      <t xml:space="preserve">Edit links   This page was last edited on 20 August 2017 , at 20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</si>
  <si>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has won the most concacaf gold cups</t>
  </si>
  <si>
    <t xml:space="preserve">   Team   Winners   Runners - up   Third Place   Fourth Place     Mexico   7 ( 1993 , 1996 , 1998 , 2003 , 2009 , 2011 , 2015 )   1 ( 2007 )   3 ( 1991 , 2013 , 2017 )   --     United States   6 ( 1991 , 2002 , 2005 , 2007 , 2013 , 2017 )   4 ( 1993 , 1998 , 2009 , 2011 )   2 ( 1996 , 2003 )   1 ( 2015 )     Canada   1 ( 2000 )   --   2 ( 2002 , 2007 )   --     Panama   --   2 ( 2005 , 2013 )   2 ( 2011 , 2015 )   --     Jamaica   --   2 ( 2015 , 2017 )   1 ( 1993 )   1 ( 1998 )     Brazil   --   2 ( 1996 , 2003 )   1 ( 1998 )   --     Honduras   --   1 ( 1991 )   4 ( 2005 , 2009 , 2011 , 2013 )   --     Costa Rica   --   1 ( 2002 )   3 ( 1993 , 2009 , 2017 )   2 ( 1991 , 2003 )     Colombia   --   1 ( 2000 )   1 ( 2005 )   --     Peru   --   --   1 ( 2000 )   --     Trinidad and Tobago   --   --   1 ( 2000 )   --     Guadeloupe   --   --   1 ( 2007 )   --     Guatemala   --   --   --   1 ( 1996 )     South Korea   --   --   --   1 ( 2002 )   </t>
  </si>
  <si>
    <r>
      <rPr>
        <sz val="11"/>
        <color rgb="FF000000"/>
        <rFont val="Calibri"/>
        <family val="0"/>
        <charset val="1"/>
      </rPr>
      <t xml:space="preserve">Spanish colonization of the Americas - wikipedia  Spanish colonization of the Americas  Jump to : navigation , search `` Conquista '' redirects here . For other uses , see Conquista ( disambiguation ) .    Part of a series on     European colonization of the Americas           First wave of European colonization   British   Couronian   Danish   Dutch   French   German   Hospitaller ( Maltese )   Norse   Portuguese   Russian   Scottish   Spanish   Swedish   Colonization of Canada   Colonization of the United States   Decolonization       Colonialism portal                Main article : Spanish Empire Flag of Spanish conquistadors with crown of Castile on a red flag , used by Hernán Cortés , Francisco Pizarro and others  The overseas expansion under the crown of Castile was initiated under the royal authority and first accomplished by the Spanish conquistadores . The Americas were incorporated into the Spanish Empire , with the exception of Brazil and Canada , and the crown created civil and religious structures to administer the region . The motivations for colonial expansion were trade and the spread of the Catholic faith through indigenous conversions .   Beginning with the 1492 arrival of Christopher Columbus in the Caribbean and continuing control of vast territory for over three centuries , the Spanish Empire would expand across the Caribbean Islands , half of South America , most of Central America and much of North America ( including present day Mexico , Florida and the Southwestern and Pacific Coastal regions of the United States ) . It is estimated that during the colonial period ( 1492 -- 1832 ) , a total of 1.86 million Spaniards settled in the Americas and a further 3.5 million immigrated during the post-colonial era ( 1850 -- 1950 ) ; the estimate is 250,000 in the 16th century , and most during the 18th century as immigration was encouraged by the new Bourbon Dynasty .   In the early 19th century , the Spanish American wars of independence resulted in the emancipation of most Spanish colonies in the Americas , except for Cuba and Puerto Rico , which were finally given up in 1898 , following the Spanish -- American War , together with Guam and the Philippines in the Pacific . Spain 's loss of these last territories politically ended the Spanish rule in the Americas .     Contents  ( hide )   1 Conquests   1.1 West Indies   1.2 Mexico   1.3 Peru   1.4 Río de la Plata and Paraguay   1.5 New Granada     2 Governance   2.1 Dominions   2.1. 1 North America , Central America   2.1. 2 South America       3 19th century   3.1 Demographic impact     4 See also   5 References   6 Bibliography   6.1 Historiography     7 External links      Conquests ( edit )  Iberian territory of Crown of Castile ... Overseas north territory of Crown of Castile ( New Spain and Philippines ) Overseas south territory of Crown of Castile ( Perú , New Granada and Río de la Plata )  The Catholic Monarchs Isabella of Castile , Queen of Castile and her husband King Ferdinand , King of Aragon , pursued a policy of joint rule of their kingdoms and created a single Spanish monarchy . Even though Castile and Aragon were ruled jointly by their respective monarchs , they remained separate kingdoms . The Catholic Monarchs gave official approval for the plans of Genoese mariner Christopher Columbus for a voyage to reach India by sailing West . The funding came from the queen of Castile , so the profits from Spanish expedition flowed to Castile . In the extension of Spanish sovereignty to its overseas territories , authority for expeditions of discovery , conquest , and settlement resided in the monarchy .   West Indies ( edit )   Columbus made four voyages to the West Indies as the monarchs granted Columbus the governorship of the new territories , and financed more of his trans - Atlantic journeys . He founded La Navidad on the island later named Hispaniola ( now divided into Haiti and the Dominican Republic ) , in what is the present - day Haiti on his first voyage . After its destruction by the indigenous Taino people , the town of Isabella was begun in 1493 , on his second voyage . In 1496 his brother , Bartholomew , founded Santo Domingo . By 1500 , despite a high death rate , there were between 300 and 1000 Spanish settled in the area . The local Taíno people continued to resist , refusing to plant crops and abandoning their Spanish - occupied villages . The first mainland explorations were followed by a phase of inland expeditions and conquest . In 1500 the city of Nueva Cádiz was founded on the island of Cubagua , Venezuela , followed by the founding of Santa Cruz by Alonso de Ojeda in present - day Guajira peninsula . Cumaná in Venezuela was the first permanent settlement founded by Europeans in the mainland Americas , in 1501 by Franciscan friars , but due to successful attacks by the indigenous people , it had to be refounded several times , until Diego Hernández de Serpa 's foundation in 1569 . The Spanish founded San Sebastian de Uraba in 1509 but abandoned it within the year . There is indirect evidence that the first permanent Spanish mainland settlement established in the Americas was Santa María la Antigua del Darién .   Mexico ( edit )  Main article : Spanish conquest of Mexico Further information : Spanish conquest of Yucatán and Spanish conquest of Guatemala Spanish Conquest of Mexico , meeting of Cortés and Moctezuma II Map depicting Cortes ' invasion route  The Spanish conquest of Mexico is generally understood to be the Spanish conquest of the Aztec Empire ( 1519 -- 21 ) which was the base for later conquests of other regions . Later conquests were protracted campaigns with less spectacular results than the conquest of the Aztecs . The Spanish conquest of Yucatán , the Spanish conquest of Guatemala , the war of Mexico 's west , and the Chichimeca War in northern Mexico expanded Spanish control over territory and indigenous populations . But not until the Spanish conquest of Peru was the conquest of the Aztecs matched in scope by the victory over the Inca empire in 1532 .   The Spanish conquest of the Aztec empire was led by Hernán Cortés . The victory over the Aztecs was relatively quick , from 1519 to 1521 , and aided by his Tlaxcala and other allies from indigenous city - states or altepetl . These polities allied against the Aztec empire , to which they paid tribute following conquest or threat of conquest , leaving the city - states ' political hierarchy and social structure in place .   The Spanish conquest of Yucatán was a much longer campaign , from 1551 to 1697 , against the Maya peoples in the Yucatán Peninsula of present - day Mexico and northern Central America . Hernán Cortés ' landing ashore at present day Veracruz and founding the Spanish city there on April 22 , 1519 marked the beginning of 300 years of Spanish hegemony over the region . The assertion of royal control over the Kingdom of New Spain and the initial Spanish conquerors took over a decade , with importance of the region meriting the creation of the Viceroyalty of New Spain . Established by Charles V in 1535 , the first viceroy was Don Antonio de Mendoza .   Spain colonized and exerted control of Alta California through the Spanish missions in California until the Mexican secularization act of 1833 .   Peru ( edit )  Main article : Spanish conquest of the Inca Empire Vasco Núñez de Balboa claiming possession of the South Sea ( Pacific Ocean ) Map depicting the route of Pizarro from Panama to Cuzco  In 1532 at the Battle of Cajamarca a group of Spaniards under Francisco Pizarro and their indigenous Andean Indian auxiliaries native allies ambushed and captured the Emperor Atahualpa of the Inca Empire . It was the first step in a long campaign that took decades of fighting to subdue the mightiest empire in the Americas . In the following years Spain extended its rule over the Empire of the Inca civilization .   The Spanish took advantage of a recent civil war between the factions of the two brothers Emperor Atahualpa and Huáscar , and the enmity of indigenous nations the Incas had subjugated , such as the Huancas , Chachapoyas , and Cañaris . In the following years the conquistadors and indigenous allies extended control over Greater Andes Region . The Viceroyalty of Perú was established in 1542 . The last Inca stronghold was conquered by the Spanish in 1572 .   Río de la Plata and Paraguay ( edit )   European explorers arrived in Río de la Plata in 1516 . Their first Spanish settlement in this zone was the Fort of Sancti Spiritu established in 1527 next to the Paraná River . Buenos Aires , a permanent colony , was established in 1536 and in 1537 Asunción was established in the area that is now Paraguay . Buenos Aires suffered attacks by the indigenous peoples that forced the settlers away , and in 1541 the site was abandoned . A second ( and permanent ) settlement was established in 1580 by Juan de Garay , who arrived by sailing down the Paraná River from Asunción ( now the capital of Paraguay ) . He dubbed the settlement `` Santísima Trinidad '' and its port became `` Puerto de Santa María de los Buenos Aires . '' The city came to be the head of the Governorate of the Río de la Plata and in 1776 elevated to be the capital of the new Viceroyalty of the Río de la Plata .   New Granada ( edit )  Main article : Spanish conquest of the Muisca See also : Spanish conquest of the Chibchan Nations  Between 1537 and 1543 , six Spanish expeditions entered highland Colombia , conquered the Muisca Confederation , and set up the New Kingdom of Granada ( Spanish : Nuevo Reino de Granada ) . Gonzalo Jiménez de Quesada was the leading conquistador with his brother Hernán second in command . It was governed by the president of the Audiencia of Bogotá , and comprised an area corresponding mainly to modern - day Colombia and parts of Venezuela . The conquistadors originally organized it as a captaincy general within the Viceroyalty of Peru . The crown established the audiencia in 1549 . Ultimately , the kingdom became part of the Viceroyalty of New Granada first in 1717 and permanently in 1739 . After several attempts to set up independent states in the 1810s , the kingdom and the viceroyalty ceased to exist altogether in 1819 with the establishment of Gran Colombia .   Governance ( edit )  Main articles : Spanish Empire , Viceroyalty of New Spain , Viceroyalty of Peru , and Intendant § The Spanish Monarchy Argentine Cabildo council  Spain 's administration of its colonies in the Americas was divided into the Viceroyalty of New Spain 1535 ( capital , Mexico City ) , and the Viceroyalty of Peru 1542 ( capital , Lima ) . In the 18th century the additional Viceroyalty of New Granada 1717 ( capital , Bogotá ) , and Viceroyalty of Rio de la Plata 1776 ( capital , Buenos Aires ) were established from portions of the Viceroyalty of Peru . The change diminished the political and economic power of the viceroyalty and opened formal connections between the mining district of Upper Peru and the port of Buenos Aires .   The system of crown rule evolved from the era of the Catholic Monarchs , which established the Council of the Indies , to the establishment of viceroyalties in Mexico and Peru following their conquests in the Hapsburg era , and then into an Intendant system in the eighteenth century as part of the Bourbon Reforms . The reform was aimed at increasing crown control over its colonies , raising more revenue , and promoting greater efficiency .   Dominions ( edit )  Juan Ponce de León ( Santervás de Campos , Valladolid , Spain ) led the first European expedition to Florida , which he named . North America , Central America ( edit )   Viceroyalty of New Spain ( 1535 -- 1821 )   Las Californias   Nuevo Reino de León   Nuevo Santander   Nueva Vizcaya   Santa Fe de Nuevo México   Nueva Extremadura   Nueva Galicia   Captaincy General of Guatemala     Captaincy General of the Philippines ( administered by New Spain from 1565 to 1821 , then after Mexican independence transferred to and directly administered by Madrid until 1898 )   Captaincy General of Cuba ( until 1898 ) -- Included in this captaincy general until 1819 was Florida .   Captaincy General of Puerto Rico ( until 1898 )   Santo Domingo ( last Spanish rule 1861 -- 1865 )   South America ( edit )   Viceroyalty of Perú ( 1542 -- 1824 )   Captaincy General of Chile ( 1541 -- 1818 )   Viceroyalty of New Granada ( 1717 -- 1819 )   Captaincy General of Venezuela   Viceroyalty of the Río de la Plata ( 1776 -- 1814 )    19th century ( edit )  Main article : Spanish American wars of independence Spanish colonialization in the Americas .  During the Napoleonic Peninsular War in Europe between France and Spain , assemblies called juntas were established to rule in the name of Ferdinand VII of Spain . The Libertadores ( Spanish and Portuguese for `` Liberators '' ) were the principal leaders of the Spanish American wars of independence . They were predominantly criollos ( Americas - born people of European ancestry , mostly Spanish or Portuguese ) , bourgeois and influenced by liberalism and in some cases with military training in the mother country .   In 1809 the first declarations of independence from Spanish rule occurred in the Viceroyalty of New Granada . The first two were in present - day Bolivia at Sucre ( May 25 ) , and La Paz ( July 16 ) ; and the third in present - day Ecuador at Quito ( August 10 ) . In 1810 Mexico declared independence , with the Mexican War of Independence following for over a decade . In 1821 Treaty of Córdoba established Mexican independence from Spain and concluded the War . The Plan of Iguala was part of the peace treaty to establish a constitutional foundation for an independent Mexico .   These began a movement for colonial independence that spread to Spain 's other colonies in the Americas . The ideas from the French and the American Revolution influenced the efforts . All of the colonies , except Cuba and Puerto Rico , attained independence by the 1820s . The British Empire offered support , wanting to end the Spanish monopoly on trade with its colonies in the Americas .   In 1898 , the United States achieved victory in the Spanish -- American War with Spain , ending the Spanish colonial era . Spanish possession and rule of its remaining colonies in the Americas ended in that year with its sovereignty transferred to the United States . The United States took occupation of Cuba , the Philippines , and Puerto Rico . Puerto Rico continues to be a possession of the United States , now officially continues as a self - governing unincorporated territory .   Demographic impact ( edit )   It has been estimated that over 1.86 million Spaniards emigrated to Latin America in the period between 1492 and 1824 , with millions more continuing to immigrate following independence .   In Hispaniola , the indigenous Taíno pre-contact population before the arrival of Columbus of several hundred thousand had declined to sixty thousand by 1509 . Although population estimates vary , Dominican friar Bartolomé de las Casas , the `` Defender of the Indians '' estimated there were 6 million ( 6,000,000 ) Taíno and Arawak in the Caribbean at the time of Columbus 's arrival in 1492 .   The population of the Native Amerindian population in Mexico declined by an estimated 90 % ( reduced to 1 -- 2.5 million people ) by the early 17th century . In Peru the indigenous Amerindian pre-contact population of around 6.5 million declined to 1 million by the early 17th century . The overwhelming cause of the decline in both Mexico and Peru was infectious diseases , although the brutality of the Encomienda also played a significant part in the population decline .   Of the history of the indigenous population of California , Sherburne F. Cook ( 1896 -- 1974 ) was the most painstakingly careful researcher . From decades of research he made estimates for the pre-contact population and the history of demographic decline during the Spanish and post-Spanish periods . According to Cook , the indigenous Californian population at first contact , in 1769 , was about 310,000 and had dropped to 25,000 by 1910 . The vast majority of the decline happened after the Spanish period , during the Mexican and US periods of Californian history ( 1821 -- 1910 ) , with the most dramatic collapse ( 200,000 to 25,000 ) occurring in the US period ( 1846 -- 1910 ) .   See also ( edit )    New Spain portal   Colombia portal   Argentina portal   Ecuador portal   Venezuela portal     Atlantic World   Historiography of Colonial Spanish America   Black Legend   Habsburg Spain   Inter caetera   List of largest empires   New Spain   Old Spanish Trail ( trade route )   Population history of indigenous peoples of the Americas   Smallpox Epidemics in the New World   Spanish conquest of Chiapas   Spanish conquest of El Salvador   Spanish conquest of Guatemala   Spanish conquest of Honduras   Spanish conquest of Petén   Spanish conquest of the Maya   Timeline of imperialism # Colonization of North America   Valladolid debate   Viceroyalty of Peru    References ( edit )    Jump up ^ Ida Altman , S.L. Cline , and Javier Pescador , The Early History of Greater Mexico , Pearson , 2003 pp. 35 -- 36 .   Jump up ^ ( 1 ) Sucre State Government : Cumaná in History ( Spanish )   Jump up ^ Tibesar , A.S. ( 1957 ) . `` The Franciscan Province of the Holy Cross of Espanañola , 1505 -- 1559 '' . The Americas . 13 ( 4 ) : 377 -- 389 . doi : 10.2307 / 979442 . JSTOR 979442 .   Jump up ^ Robert S. Chamberlain , The Conquest and Colonization of Yucatan . Washington DC : Carnegie Institution .   Jump up ^ Ida Altman , The War for Mexico 's West . Albuquerque : University of New Mexico Press 2010 .   Jump up ^ Philip W. Powell , Soldiers , Indians , and Silver : North America 's Last Frontier War . Tempe : Center for Latin America Studies , Arizona State University 1975 . First published by University of California Press 1952 .   Jump up ^ Clements Markham , The Conquest of New Granada ( 1912 ) online   Jump up ^ Avellaneda Navas , José Ignacio . The Conquerors of the New Kingdom of Granada ( Albuquerque : University of New Mexico Press , 1995 ) ISBN 978 - 0 - 8263 - 1612 - 7   Jump up ^ https://books.google.com/books?id=lvvynCzrJOwC&amp;pg=PA64&amp;lpg=PA64&amp;dq=emigraci%C3%B3n+espa%C3%B1ola+a+las+indias+cifras&amp;source=bl&amp;ots=WIWVcSlOdq&amp;sig=4XmK7Gkv36L6qQ4jItqp7a553dI&amp;hl=es&amp;sa=X&amp;ved=0ahUKEwinzqqfsrLPAhWKAsAKHXbSBf0Q6AEINzAE#v=onepage&amp;q=emigraci%C3%B3n%20espa%C3%B1ola%20a%20las%20indias%20cifras&amp;f=false   Jump up ^ Baumhoff , Martin A. 1963 . Ecological Determinants of Aboriginal California Populations . University of California Publications in American Archaeology and Ethnology 49 : 155 -- 236 .   Jump up ^ Powers , Stephen . 1875 . `` California Indian Characteristics '' . Overland Monthly 14 : 297 -- 309 . on - line   Jump up ^ Cook 's judgement on the effects of U.S rule upon the native Californians is harsh : `` The first ( factor ) was the food supply ... The second factor was disease ... A third factor , which strongly intensified the effect of the other two , was the social and physical disruption visited upon the Indian . He was driven from his home by the thousands , starved , beaten , raped , and murdered with impunity . He was not only given no assistance in the struggle against foreign diseases , but was prevented from adopting even the most elementary measures to secure his food , clothing , and shelter . The utter devastation caused by the white man was literally incredible , and not until the population figures are examined does the extent of the havoc become evident . '' Cook , Sherburne F. 1976b . The Population of the California Indians , 1769 -- 1970 . University of California Press , Berkeley p. 200    Bibliography ( edit )    Brading , D.A. , The First America : the Spanish Monarchy , Creole Patriots , and the Liberal State , 1492 -- 1867 ( Cambridge : Cambridge University Press , 1993 ) .   Clark , Larry R. Spanish Attempts to Colonize Southeast North America : 1513 -- 1587 ( McFarland &amp; Company , 2010 ) ISBN 978 - 0 - 7864 - 5909 - 4   Elliott , J.H. Empires of the Atlantic World : Britain and Spain in America , 1492 -- 1830 ( New Haven : Yale University Press , 2007 )   Hanke , Lewis . The Spanish Struggle for Justice in the Conquest of America ( Boston : Little , Brown , and Co. , 1965 ) .   Haring , Clarence H. The Spanish Empire in America ( London : Oxford University Press , 1947 )   Kamen , Henry . Empire : How Spain Became a World Power , 1492 -- 1763 ( HarperCollins , 2004 )   Merriman , Roger Bigelow . The Rise of the Spanish Empire in the Old World and in the New ( 4 Vol . London : Macmillan , 1918 ) online free   Portuondo , María M. Secret Science : Spanish Cosmography and the New World ( Chicago : Chicago UP , 2009 ) .   Restall , Matthew and Felipe Fernández - Armesto . The Conquistadors : A Very Short Introduction ( 2012 ) excerpt and text search   Thomas , Hugh . Rivers of Gold : the rise of the Spanish Empire , from Columbus to Magellan ( 2005 )   Weber , David J. The Spanish Frontier in North America ( Yale University Press , 1992 )    Historiography ( edit )    Alejandro Cañeque . `` The Political and Institutional History of Colonial Spanish America '' History Compass ( April 2013 ) 114 pp 280 -- 291 , DOI : 10.1111 / hic3. 12043   Weber , David J. `` John Francis Bannon and the Historiography of the Spanish Borderlands : Retrospect and Prospect . '' Journal of the Southwest ( 1987 ) : 331 -- 363 . See John Francis Bannon    External links ( edit )       Wikiquote has quotations related to : Spanish colonization of the Americas      Spanish Exploration and Conquest of North America   Spain in America ( Edward Gaylord Bourne , 1904 ) ' Spain in America '   The Spanish Borderlands ( Herbert E. Bolton , 1921 ) ' The Spanish Borderlands '   Indigenous Puerto Rico DNA evidence upsets established history   The short film Spanish Empire in the New World ( 1992 ) is available for free download at the Internet Archive   `` The Political Force of Images , '' Vistas : Visual Culture in Spanish America , 1520 - 1820 .              Spanish colonization of the Americas     History     Inter caetera   Pacific Northwest   California   Inca Empire   Chile     Colombia   Chibcha   Muisca     Florida   Texas   Aztec Empire   Maya   Chiapas   Guatemala   Petén   Yucatán     El Salvador   Honduras   Nicaragua         People     Christopher Columbus   Alonso de Ojeda   Diego de Almagro   Pedro de Alvarado   Bernal Díaz del Castillo   Diego Velázquez de Cuéllar   Sebastián de Belalcázar   Francisco Vázquez de Coronado   Hernán Cortés   Luis de Carabajal y Cueva   Gonzalo Jiménez de Quesada   Hernán Pérez de Quesada   Juan Ponce de León   Francisco de Montejo   Pánfilo de Narváez   Juan de Oñate   Francisco de Orellana   Pedro de Portocarrero   Francisco Pizarro   Hernando de Soto   Pedro de Valdivia   Inés de Suárez   Pedro de Candia   Juan Pardo   Tristán de Luna y Arellano   Vasco Núñez de Balboa   Álvar Núñez Cabeza de Vaca       Related     Encomienda   Indian auxiliaries   Spanish missions in the Americas                 History of the Americas     History     North America   Mesoamerica   Central America   Caribbean   Latin America   South America   Andean South America   Genetics         Settlement     Indigenous peoples   Indigenous population   Pre-Columbian trans - oceanic contact theories   Discovery   Exploration   European colonization   Spanish colonization   French colonization   Portuguese colonization   British colonization   Columbian Exchange   Decolonization       Societies     Paleo - Indians   Pre-Columbian era   Aztec   Maya   Muisca   Inca       Related     Maps   Culture   Geography   Indigenous languages   Epidemics   Slavery       Lists     Pre-Columbian cultures   Indigenous peoples   Oldest churches   Population   Conflicts   North America   South America         Chronology     Archaeology of the Americas   North America by period   North American timelines   Mesoamerica by period   Mesoamerica timeline         Era : By period   By region   Three - age system   Ancient history   Pre-Columbian era   Classical Antiquity   Middle Ages   Modern history   Future                 Spanish Empire        Timeline       Catholic Monarchs   Habsburgs   Golden Age   Encomiendas   New Laws in favour of the indigenous   Expulsion of the Moriscos   Ottoman -- Habsburg wars   French Wars of Religion   Eighty Years ' War   Portuguese Restoration War   Piracy in the Caribbean   Bourbons   Napoleonic invasion   Independence of Spanish continental Americas   Liberal constitution   Carlist Wars   Spanish -- American War   German -- Spanish Treaty ( 1899 )   Spanish Civil War   Independence of Morocco ( Western Sahara conflict )             Territories       Kingdoms of Naples , Sicily and Sardinia   Milan   Union with Holy Roman Empire   Netherlands , Belgium , Luxembourg , northernmost France   Franche - Comté   Union with Portugal   Philippines   East Pacific ( Guam , Mariana , Caroline , Palau , Marshall , Micronesia , Moluccas )   Northern Taiwan   Tidore   Florida   New Spain ( Western United States , Mexico , Central America , Spanish Caribbean )   Spanish Louisiana ( Central United States )   Coastal Alaska   Haiti   Belize   Jamaica   Trinidad and Tobago   Venezuela , Western Guyana   New Granada ( Panama , Colombia , Ecuador , a northernmost portion of Brazilian Amazon )   Peru ( Peru , Acre )   Río de la Plata ( Argentina , Paraguay , Charcas ( Bolivia ) , Banda Oriental ( Uruguay ) , Falkland Islands )   Chile   Equatorial Guinea   North Africa ( Oran , Tunis , Béjaïa , Peñón of Algiers , Western Sahara , Spanish Morocco , Ifni and Cape Juby )             Administration       Archivo de Indias   Council of the Indies   Cabildo   Trial of residence   Laws of the Indies   Royal Decree of Graces   School of Salamanca   Exequatur   Papal bull             Administrative subdivisions        Viceroyalties     New Spain   New Granada   Perú   Río de la Plata       Audiencias     Bogotá   Buenos Aires   Caracas   Charcas   Concepción   Cusco   Guadalajara   Guatemala   Lima   Manila   Mexico   Panamá   Quito   Santiago   Santo Domingo       Captaincies General     Chile   Cuba   Guatemala   Philippines   Puerto Rico   Santo Domingo   Venezuela   Yucatán   Provincias Internas       Governorates     Castilla de Oro   Cuba   Luisiana   New Andalusia ( 1501 -- 1513 )   New Andalusia   New Castile   New Navarre   New Toledo   Paraguay   Río de la Plata                Economy        Currencies     Dollar   Real   Maravedí   Escudo   Columnario       Trade     Manila galleon   Spanish treasure fleet   Casa de Contratación   Guipuzcoan Company of Caracas   Barcelona Trading Company   Camino Real de Tierra Adentro                Military        Armies     Tercio   Army of Flanders   Free Company of Volunteers of Catalonia   Indian auxiliaries   Spanish Armada   Legión       Strategists     Duke of Alba   Antonio de Leyva   Martín de Goiti   Alfonso d'Avalos   García de Toledo Osorio   Duke of Savoy   Álvaro de Bazán the Elder   John of Austria   Charles Bonaventure de Longueval   Pedro de Zubiaur   Ambrosio Spinola   Bernardo de Gálvez       Sailors     Christopher Columbus   Pinzón brothers   Ferdinand Magellan   Juan Sebastián Elcano   Juan de la Cosa   Juan Ponce de León   Miguel López de Legazpi   Pedro Menéndez de Avilés   Sebastián de Ocampo   Álvar Núñez Cabeza de Vaca   Alonso de Ojeda   Vasco Núñez de Balboa   Alonso de Salazar   Andrés de Urdaneta   Antonio de Ulloa   Ruy López de Villalobos   Diego Columbus   Alonso de Ercilla   Nicolás de Ovando   Juan de Ayala   Sebastián Vizcaíno   Juan Fernández   Felipe González de Ahedo       Conquistadors     Hernán Cortés   Francisco Pizarro   Gonzalo Jiménez de Quesada   Hernán Pérez de Quesada   Francisco Vázquez de Coronado   Diego Velázquez de Cuéllar   Pedro de Valdivia   Gaspar de Portolà   Pere Fages i Beleta   Joan Orpí   Pedro de Alvarado   Martín de Ursúa   Diego de Almagro   Pánfilo de Narváez   Diego de Mazariegos   Jerónimo Luis de Cabrera   Pere d'Alberní i Teixidor       Battles      Old World      Won     Bicocca   Landriano   Pavia   Tunis   Mühlberg   St. Quentin   Gravelines   Malta   Lepanto   Antwerp   Azores   Mons   Gembloux   Ostend   English Armada   Cape Celidonia   White Mountain   Breda   Nördlingen   Valenciennes   Ceuta   Bitonto   Bailén   Vitoria   Tetouan   Alhucemas       Lost     Capo d'Orso   Preveza   Siege of Castelnuovo   Algiers   Ceresole   Djerba   Tunis   Spanish Armada   Leiden   Rocroi   Downs   Montes Claros   Passaro   Trafalgar   Somosierra   Annual          New World      Won     Tenochtitlan   Cajamarca   Cusco   Bogotá savanna   Reynogüelén   Penco   Guadalupe Island   San Juan   Cartagena de Indias   Cuerno Verde   Pensacola       Lost     La Noche Triste   Tucapel   Chacabuco   Carabobo   Ayacucho   Guam   Santiago de Cuba   Manila Bay   Asomante                      Spanish colonizations       Canary Islands   Aztec   Maya   Chiapas   Yucatán   Guatemala   Petén     El Salvador   Honduras   Nicaragua   Chibchan Nations   Colombia   Peru   Chile             Other civil topics       Spanish missions in the Americas   Architecture   Mesoamerican codices   Cusco painting tradition   Indochristian painting in New Spain   Quito painting tradition   Colonial universities in Latin America   Colonial universities in the Philippines   General Archive of the Indies   Colonial Spanish Horse   Castas   Old inquisition   Slavery in Spanish Empire   British and American slaves granted their freedom by Spain         Retrieved from `` https://en.wikipedia.org/w/index.php?title=Spanish_colonization_of_the_Americas&amp;oldid=834479073 '' Categories :   Spanish colonization of the Americas   Spain in the Age of Discovery   16th century in North America   16th century in Central America   16th century in South America   16th century in the Spanish Empire   History of indigenous peoples of the Americas   Spanish conquests in the Americas   Colony of Santo Domingo   Colonial Mexico   Colonial Peru   Colonial United States ( Spanish )   History of New Spain   Spanish colonial period of Cuba   Spanish West Indies   Former empires   Former Spanish colonies   History of the Americas   Hidden categories :   All articles with unsourced statements   Articles with unsourced statements from November 2016   Articles containing Spanish - language text   Articles with unsourced statements from April 2010   Pages using div col without cols and colwidth parameters           Talk                                           Contents                   About Wikipedia                                           Wikiquote         Asturianu   Беларуская   Български   Català   Čeština   Dansk   Español   Esperanto   Euskara   فارسی   Français   Galego   Հայերեն   हिन्दी   Hrvatski   Bahasa Indonesia   Italiano   ქართული   Latina   Lietuvių   Македонски   Bahasa Melayu   </t>
    </r>
    <r>
      <rPr>
        <sz val="11"/>
        <color rgb="FF000000"/>
        <rFont val="Noto Sans CJK SC"/>
        <family val="2"/>
      </rPr>
      <t xml:space="preserve">日本 語   </t>
    </r>
    <r>
      <rPr>
        <sz val="11"/>
        <color rgb="FF000000"/>
        <rFont val="Calibri"/>
        <family val="0"/>
        <charset val="1"/>
      </rPr>
      <t xml:space="preserve">Polski   Português   Română   Runa Simi   Русский   Саха тыла   Simple English   Slovenčina   Suomi   Svenska   தமிழ்   Українська   </t>
    </r>
    <r>
      <rPr>
        <sz val="11"/>
        <color rgb="FF000000"/>
        <rFont val="Noto Sans CJK SC"/>
        <family val="2"/>
      </rPr>
      <t xml:space="preserve">吴语   粵語   中文  </t>
    </r>
    <r>
      <rPr>
        <sz val="11"/>
        <color rgb="FF000000"/>
        <rFont val="Calibri"/>
        <family val="0"/>
        <charset val="1"/>
      </rPr>
      <t xml:space="preserve">30 more  Edit links   This page was last edited on 5 April 2018 , at 23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</si>
  <si>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spanish came to south america</t>
  </si>
  <si>
    <t xml:space="preserve"> Beginning with the 1492 arrival of Christopher Columbus in the Caribbean and continuing control of vast territory for over three centuries , the Spanish Empire would expand across the Caribbean Islands , half of South America , most of Central America and much of North America ( including present day Mexico , Florida and the Southwestern and Pacific Coastal regions of the United States ) . It is estimated that during the colonial period ( 1492 -- 1832 ) , a total of 1.86 million Spaniards settled in the Americas and a further 3.5 million immigrated during the post-colonial era ( 1850 -- 1950 ) ; the estimate is 250,000 in the 16th century , and most during the 18th century as immigration was encouraged by the new Bourbon Dynasty . </t>
  </si>
  <si>
    <t xml:space="preserve">History of the Philadelphia Eagles - wikipedia  History of the Philadelphia Eagles  Jump to : navigation , search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2010 ) ( Learn how and when to remove this template message )         This article possibly contains original research . Please improve it by verifying the claims made and adding inline citations . Statements consisting only of original research should be removed . ( November 2010 ) ( Learn how and when to remove this template message )         This article contains wording that promotes the subject in a subjective manner without imparting real information . Please remove or replace such wording and instead of making proclamations about a subject 's importance , use facts and attribution to demonstrate that importance . ( July 2016 ) ( Learn how and when to remove this template message )    ( Learn how and when to remove this template message )     The history of the Philadelphia Eagles begins in 1933 . In their history , the Eagles have appeared in the Super Bowl three times , losing in their first two appearances but winning the third , in 2018 . They won three NFL Championships , the precursor to the Super Bowl , in four appearances .   The beginning era of the Eagles history , 1933 to 1939 , was influenced by its owner , and then also coach , Bert Bell . After Bell ostensibly sold the team , to Alexis Thompson in 1940 , the second era of the Eagles history was largely directed by their coach and future Hall of Famer , Greasy Neale .     Contents  ( hide )   1 Beginnings ( 1933 - 39 )   1.1 Formation and Early Years   1.2 Sole Owner and Coach Bell ( 1936 - 1939 )     2 `` On the wings of Eagles '' : The golden age ( 1940 - 49 )   3 ( 1950 - 59 )   4 Struggles ( 1960 - 69 )   4.1 1960   4.2 1961 - 69     5 From hopeless to hopeful ( 1970 - 79 )   6 Mild success ( 1980 - 1990 )   6.1 1980   6.2 1981 - 85   6.3 1986 - 88   6.4 1989 - 90     7 Kotite and Rhodes ( 1991 - 98 )   8 The Reid era ( 1999 - 2012 )   8.1 1999 - 2012   8.2 2003   8.3 2004 Super Bowl run   8.3. 1 4th championship appearance   8.3. 2 Super Bowl XXXIX     8.4 2005   8.5 2006   8.6 2007   8.7 2008   8.8 2009   8.9 2010   8.10 2011 : `` Dream Team ''   8.11 2012 : End of the Reid Era     9 The Chip Kelly Era ( 2013 - 2015 )   9.1 2013 : Immediate Success   9.2 2014 : Dominance then Collapse   9.3 2015 : End of Chip Kelly Era     10 The Doug Pederson era ( 2016 -- present )   10.1 2016 : Carson Wentz 's Rookie Year   10.2 2017 : First Super Bowl Championship     11 References   12 Bibliography   13 Further reading      Beginnings ( 1933 - 39 ) ( edit )   Formation and early years ( edit )   In 1931 , Philadelphia 's NFL franchise , the Frankford Yellow Jackets , who had won the NFL Championship in 1926 , went bankrupt and ceased operations midway through the season . After more than a year searching for a suitable replacement , the NFL granted an expansion franchise to a syndicate headed by former University of Pennsylvania teammates Lud Wray and Bert Bell .   In exchange for an entry fee of $2,500 , the Bell - Wray group was awarded the assets of the failed Yellow Jackets organization . Drawing inspiration from the insignia of the centerpiece of President Franklin D. Roosevelt 's New Deal , specifically the National Recovery Act 's `` blue eagle , '' Bell and Wray named the new franchise the Philadelphia Eagles , with Bell as president and general manager and Wray as head coach . Neither the Eagles nor the NFL officially regard the two franchises as the same , citing the aforementioned period of dormancy . The Eagles simply inherited the NFL rights to the Philadelphia area . Further , Wray and Bell assembled an almost entirely new team ; only a single player from the 1931 Yellow Jackets ended up with the 1933 Eagles .   The new team played its first game on October 15 , 1933 , against the New York Giants at the Polo Grounds in New York City . They lost the game 56 - 0 . The Eagles struggled over the course of their first decade , never winning more than four games . Their best finish was in their second season , 1934 , when they finished tied for third in the East . For the most part , the Eagles ' early rosters were composed of former Penn , Temple and Villanova players who put in a few years before going on to other things .   In 1935 , Bell proposed an annual college draft to equalize talent across the league . The draft was a revolutionary concept in professional sports . Having teams select players in inverse order of their finish in the standings , a practice still followed today , strove to increase fan interest by guaranteeing that even the worst teams would have the opportunity for annual infusions of the best college talent . Between 1927 ( the year the NFL changed from a sprawling Midwestern - based association to a narrower , major - market league ) and 1934 , a triopoly of three teams ( the Chicago Bears , New York Giants and Green Bay Packers ) had won all but one title since 1927 ( the lone exception being the Providence Steam Roller of 1928 ) .   Sole owner and coach Bell ( 1936 - 1939 ) ( edit )   Having finished last in the standings , the Eagles had the first pick in the 1936 draft , an opportunity they used to select University of Chicago 's Heisman Trophy - winning back , Jay Berwanger . They then traded his rights to the Chicago Bears . Berwanger , who had no interest in playing professional football , elected to go to medical school instead .   The Eagles ' first major recruiting success would come in 1939 , with the signing of Texas Christian 's All - America quarterback , Davey O'Brien ; O'Brien proceeded to shatter numerous existing single - season NFL passing records in his rookie season . That year , the Eagles participated in the first televised football game , against the Brooklyn Dodgers , at Ebbets Field in Brooklyn ( losing the game 23 - 14 ) .   `` On the wings of Eagles '' : the golden age ( 1940 - 49 ) ( edit )   The 1940s would prove a tumultuous and ultimately triumphant decade for the young club . In 1940 , the team moved from Philadelphia Municipal Stadium to Shibe Park . Lud Wray 's half - interest in the team was purchased by Art Rooney , who had just sold the Pittsburgh Steelers to Alexis Thompson . Soon thereafter , Bell / Rooney and Thompson swapped franchises , but not teams . Bell / Rooney 's entire Eagles ' corporate organization , including most of the players , moved to Pittsburgh ( The Steelers ' corporate name remained `` Philadelphia Football Club , Inc . '' until 1945 ) and Thompson 's Steelers moved to Philadelphia , leaving only the team nicknames in their original cities . Since NFL franchises are territorial rights distinct from individual corporate entities , the NFL does not consider this a franchise move and considers the current Philadelphia Eagles as a single unbroken entity from 1933 . ( 1 )   After assuming ownership , Thompson promptly hired Greasy Neale as the team 's head coach . In its first years under Neale , the team continued to struggle . In 1943 , when manpower shortages stemming from World War II made it impossible to fill the roster , the team temporarily merged with the Steelers to form a team popularly known as the `` Steagles . '' The merger , never intended as a permanent arrangement , was dissolved at the end of the 1943 season . This season saw the team 's first winning season in its 11 - year history , with a finish of 5 - 4 - 1 . In 1944 , however , the Eagles finally experienced good fortune , as they made their finest draft pick to date : running back Steve Van Buren . At last , the team 's fortunes were about to change .   Led by Van Buren and Neale , the Eagles became a serious competitor for the first time . They had their first winning season as a separate team in 1944 . After two more second - place finishes ( in 1945 and 1946 ) , the Eagles reached the NFL title game for the first time in 1947 . Van Buren , end Pete Pihos , and Bosh Pritchard fought valiantly , but the young team fell to the Chicago Cardinals 28 - 21 at Chicago 's Comiskey Park . Undeterred , the young squad rebounded and returned to face the Cardinals once more in the 1948 championship . With home - field advantage ( and a blinding snowstorm ) on their side , the Eagles won their first NFL Championship 7 - 0 . Due to the severity of the weather , few fans were on hand to witness the joyous occasion . That would not be the case the following season , however , when the Eagles returned to the NFL championship game for the third consecutive year and won in dominating fashion in front of a large crowd in Los Angeles , beating the Los Angeles Rams 14 - 0 .   In Thompson 's final draft , Chuck Bednarik was selected as the first overall pick in the 1949 NFL Draft . An All - American lineman / linebacker from the University of Pennsylvania , Bednarik would go on to become one of the greatest and most beloved players in Eagles history . The 1949 season also saw the sale of the team by Thompson to a syndicate of 100 buyers , known as the `` Happy Hundred '' , each of whom paid a fee of $3,000 for their share of the team . While the leader of the `` Happy Hundred '' was noted Philadelphia businessman James P. Clark , one unsung investor was Leonard Tose , a name that would eventually become very familiar to Eagles fans .   ( 1950 - 59 ) ( edit )   With the turn of the decade came another turn in team fortunes . The Eagles were slated to open the 1950 season against the AAFC champion Cleveland Browns , who had just ( with the other AAFC franchises ) joined the NFL . The Eagles were expected to make short work of the Browns , who were widely reckoned at the time as the dominant team in a lesser league . However , the Browns lit up the Eagles ' vaunted defense for 487 total yards , including 246 passing yards , in a 35 - 10 rout . The Eagles never really recovered , and finished 6 - 6 .   Neale retired after the season and was replaced by Bo McMillin . Two games into the season , McMillin was forced to retire due to terminal stomach cancer . Wayne Millner finished out the season before being replaced by Jim Trimble . While the remnants of the great 1940s teams managed to stay competitive for the first few years of the decade , and while younger players like Bobby Walston and Sonny Jurgensen occasionally provided infusions of talent , the team lacked the stuff of true greatness for most of the 1950s . The Eagles considered trying to purchase Temple Stadium in 1952 when the team was unhappy with their lease at Shibe Park . Temple University claimed the property to have been appraised for $1 million and said they were uninterested in selling . In 1958 , however , the franchise took key steps to improve , hiring Buck Shaw as Head Coach and acquiring Norm Van Brocklin in a trade with the Los Angeles Rams . That year also saw the team move from Connie Mack Stadium ( formerly Shibe Park ) to Franklin Field , and attendance doubled . The 1959 squad showed real flashes of talent , and finished in second place in the Eastern Division .   Struggles ( 1960 - 69 ) ( edit )   1960 ( edit )  Main article : 1960 Philadelphia Eagles season  1960 remains the most celebrated year in Eagle history . Shaw , Van Brocklin and Chuck Bednarik ( each in his last season before retirement ) led a team more notable for its grit than its talent ( one observer later quipped that the team had `` nothing but a championship '' ) to its first division title since 1949 . The team was aided by their two Pro Bowl receivers , WR Tommy McDonald ( who would later pen a short autobiography titled `` They Pay Me to Catch Footballs '' ) and TE Pete Retzlaff . On December 26 , 1960 , one of the coldest days in recorded Philadelphia history , the Eagles faced Vince Lombardi 's Green Bay Packers in the NFL title game and dealt the mighty Lombardi the sole championship game loss of his storied career . Bednarik lined up at center on offense and at linebacker on defense . Fittingly , the game ended as Bednarik tackled a struggling Jim Taylor and refused to allow him to stand until the last seconds had ticked away .   Flush with excitement from the 17 - 13 victory , with the talented Jurgensen poised to take the reins of the offense , the future looked promising . That promise , however , proved illusory .   1961 - 69 ( edit )   In 1961 , the Eagles finished just a half - game behind the New York Giants for first place in the Eastern Conference standings with a 10 - 4 record . Despite the on - the - field success , however , the franchise was in turmoil . Van Brocklin had come to Philadelphia and agreed to play through 1960 with the tacit understanding that , upon his retirement as a player , he would succeed Shaw as head coach . Ownership , however , opted to promote assistant Nick Skorich instead , and Van Brocklin quit the organization in a fit of pique , instead becoming head coach of the expansion Minnesota Vikings . In 1962 , the bottom dropped out as the team was decimated by injury , managed only three wins and were embarrassed at home 49 - 0 by the Packers . The off - field chaos would continue through 1963 , as the remaining 65 shareholders out of the original Happy Hundred sold the team to Jerry Wolman , a 36 - year - old millionaire Washington developer who outbid local bidders for the team , paying an unprecedented $5,505,000 for control of the club . In 1964 , Wolman hired former Cardinals and Washington Redskins coach Joe Kuharich to a 15 - year contract .   Many people have heavily criticized Kuharich as a coach , as they say he wasted top - tier talent such as that of Jurgensen , Timmy Brown , Ollie Matson and Ben Hawkins and effectively ran the franchise into the ground . At Kuharich 's insistence , Jurgensen was traded to the Washington Redskins for Norm Snead in 1964 : Jurgensen would go on to a Hall of Fame career while Snead , although serviceable , lacked the talent to lift the team out of mediocrity . By 1968 , fans were in full revolt . Chants of `` Joe must go '' echoed through the increasingly empty bleachers of Franklin Field . Adding insult to injury , the Eagles managed to eke out meaningless wins in two of the last three games of the season , costing the franchise the first pick in the draft , and with it the opportunity to add O.J. Simpson to the roster . ( With the second pick , the Eagles chose Leroy Keyes , who played only four years in an Eagles uniform . ) The last game of 1968 , played on December 15 , helped cement the rowdy reputation of Philadelphia fans when some of them booed and threw snowballs at an actor playing Santa Claus . By 1969 , Wolman had lost most of his fortune and was bankrupt , leaving the franchise under the administration of a federal bankruptcy court . At the end of the bankruptcy proceedings , the Eagles were sold to Leonard Tose , the self - made trucking millionaire and original member of the Happy Hundred . Tose 's first official act was to fire Kuharich .   With an earned reputation as a fast - living high - flier , Tose infused the organization with some much - needed panache . Initially , however , he ran the team with more enthusiasm than ability , as was exemplified by his choice to replace Kuharich , the hapless Jerry Williams . Tose also selected former Eagles great Pete Retzlaff as General Manager .   From hopeless to hopeful ( 1970 - 79 ) ( edit )   In 1971 , the Eagles moved from Franklin Field to brand - new Veterans Stadium . In its first season , the `` Vet '' was widely acclaimed as a triumph of ultra-modern sports engineering , a consensus that would be short - lived . Equally short - lived was Williams 's tenure as head coach : after a 3 - 10 - 1 record in 1970 and three consecutive blowout losses to Cincinnati , Dallas and San Francisco to open the 1971 season , Williams was fired and replaced by assistant Ed Khayat , a defensive lineman on the Eagles ' 1960 NFL championship team . Williams and Khayat were hampered by Retzlaff 's decision to trade longtime starting quarterback Norm Snead to the Minnesota Vikings in early 1971 , leaving the Eagles a choice between journeyman Pete Liske and the raw Rick Arrington .   Khayat lost his first two games , but won six of the final nine in 1971 thanks to the exploits of the defense , led by All - Pro safety Bill Bradley , who led the NFL in interceptions ( 11 ) and interception return yardage ( 248 ) .  Dick Vermeil brought the Eagles back into contention . The Eagles playing against the Buccaneers in the 1979 NFC Divisional Playoff Game .  The team regressed in 1972 , and Khayat was released after the Eagles finished 2 - 11 - 1 . The two wins ( both on the road ) proved to be surprises , however . Philadelphia beat Kansas City ( which had the best record in the AFC a year before ) 21 - 20 and Houston 18 - 17 on six field goals by kicker Tom Dempsey . The latter game became known as the `` Johnny Rodgers Bowl '' , because the loser would finish with the worst record in the league and obtain the # 1 draft pick of 1973 , which was then assumed to be Nebraska wingback Johnny Rodgers . The Oilers ultimately got the # 1 pick , which instead turned out to be University of Tampa defensive end John Matuszak ( who would end up facing Philadelphia in the Super Bowl several years later ) . With the second pick , the Eagles selected USC tight end Charle Young .   Khayat was replaced by offensive guru Mike McCormick , who , aided by the skills of Roman Gabriel and towering young receiver Harold Carmichael , managed to infuse a bit of vitality into a previously moribund offense . New general manager Jim Murray also began to add talent on the defensive side of the line , most notably through the addition of future Pro Bowl linebacker Bill Bergey . Overall , however , the team was still mired in mediocrity . McCormick was fired after a 4 - 10 1975 season , and replaced by a college coach unknown to most Philadelphians . That coach would become one of the most beloved names in Philadelphia sports history : Dick Vermeil .   Vermeil faced numerous obstacles as he attempted to rejuvenate a franchise that had not seriously contended in well over a decade . Despite the team 's young talent and Gabriel 's occasional flashes of brilliance , the Eagles finished 1976 with the same result -- a 4 - 10 record -- as in 1975 . 1977 , however , saw the first seeds of hope begin to sprout . Rifle - armed quarterback Ron Jaworski was obtained by trade with the Los Angeles Rams in exchange for popular tight end Charlie Young . The defense , led by Bergey and defensive coordinator Marion Campbell , began earning a reputation as one of the hardest hitting in the league . By the next year , the Eagles had fully taken Vermeil 's enthusiastic attitude , and made the playoffs for the first time since 1960 . Young running back Wilbert Montgomery became the first Eagle since Steve Van Buren to exceed 1,000 yards in a single season . ( 1978 also bore witness to one of the greatest , and unquestionably most surreal moment in Eagles history : `` The Miracle at the Meadowlands , '' when Herman Edwards returned a late - game fumble by Giants ' quarterback Joe Pisarcik for a touchdown with 20 seconds left , resulting in a 19 - 17 Eagles victory - the Eagles would later edge into the playoffs that year with a 9 - 7 season . ) By 1979 , in which the Eagles tied for first place with an 11 - 5 record and Wilbert Montgomery shattered club rushing records with a total of 1,512 yards , the Eagles were poised to join the NFL elite .   Mild success ( 1980 - 1990 ) ( edit )   1980 ( edit )  The Eagles defeated the Cowboys in the 1980 NFC Championship Game and earned their first Super Bowl appearance . Main article : 1980 Philadelphia Eagles season  In 1980 , the team , led by coach Dick Vermeil , quarterback Ron Jaworski , running back Wilbert Montgomery , wide receiver Harold Carmichael , and linebacker Bill Bergey , dominated the NFC , facing its chief nemesis , the Dallas Cowboys , in the NFC Championship . The game was played in cold conditions in front of the Birds ' faithful fans at Veterans Stadium . Led by an incredible rushing performance from Montgomery , whose long cutback TD run in the first half is surely one of the most memorable plays in Eagles history , and a gutsy performance from fullback Leroy Harris , who scored the Eagles ' only other TD that day , the Birds earned a berth in Super Bowl XV with a 20 - 7 victory .   The Eagles traveled to New Orleans for Super Bowl XV and were heavy favorites to knock off the Oakland Raiders , who were merely a wild card team . Things did not go the Eagles ' way , beginning with the disastrous decision by Tose to bring comedian Don Rickles into the pregame locker room to lighten the mood . Jaworski 's first pass was intercepted by Rod Martin , setting up an Oakland touchdown . Later in the first quarter , a potential game - tying 40 - yard touchdown pass to Rodney Parker was nullified by an illegal motion penalty . The final score was 27 - 10 . Veteran journeyman quarterback Jim Plunkett was named the game 's MVP . In a bizarre coincidence , Joe Kuharich died on the same day .   1981 - 85 ( edit )  Randall Cunningham , here shown with the Minnesota Vikings , wore # 12 and played with the Eagles from 1985 - 1995 .  The Eagles got off to a great start in the 1981 season , winning their first six games . They eventually ended up 10 - 6 and earned a wild card berth . However , they were unable to repeat as NFC champs when they were knocked out in the wild card round by the New York Giants , 27 - 21 . After the Eagles finished 3 - 6 in the strike - shortened 1982 season , Vermeil quit the team , citing `` burnout . '' He was replaced by defensive coordinator Marion Campbell , aka `` the Swamp Fox . '' Campbell had helped to popularize the `` bend - do n't - break '' defensive strategy in the 1970s . Under Campbell , however , the team struggled , although his stewardship was notable in that it saw the arrival of all - time football greats Reggie White and Randall Cunningham . The 1983 - 85 seasons would see the Eagles go 5 - 11 , 6 - 9 - 1 , and 7 - 9 , respectively .   1986 - 88 ( edit )   Campbell 's reign of error ended in 1986 , when Buddy Ryan was named head coach . Immediately infusing the team with his tough , hard - as - nails attitude , the Eagles quickly became known for their tough defense and tougher personalities . Ryan began rejuvenating the team by releasing several aging players , including Ron Jaworski . Randall Cunningham took his place , and despite a 5 - 10 - 1 season , he began showing considerable promise . 1987 saw another strike , reducing the season by one game . The substitutes who were filling in for the strikers turned in a poor performance , being crushed 41 - 22 by the Dallas Cowboys . After the strike ended , the regular Eagles team won a 37 - 20 revenge game against Dallas . The season record was 7 - 8 , three games having been played by substitutes . The Eagles would reach the playoffs in 1988 , but lost to the Chicago Bears 20 - 12 in what became known as the `` Fog Bowl '' , due to the weather conditions during the game .   1989 - 90 ( edit )   The following two years would see playoff appearances as well , but the team could not make it past the first round . This failure was greatly frustrating to many Eagles fans , as the team was commonly acknowledged as among the most talented in the NFL . On offense , the Eagles were led by quarterback Cunningham , one of the most exciting players of his generation ; tight end Keith Jackson ; and running back Keith Byars . The defense is commonly acknowledged as among the greatest in league history , and as the best never to win a championship .   The two 1989 matches with Dallas were known as the Bounty Bowls . Both were won easily by the Eagles ( the Cowboys finished 1 - 15 that year ) , and were marked by Ryan insulting new Cowboys coach Jimmy Johnson , putting a `` bounty '' on their kicker , and for Eagles fans throwing snowballs on the season ender .   On November 12 , 1990 , during a Monday Night Football game at the Vet , the Eagles crushed the Washington Redskins by a score of 28 - 14 , with the defense scoring three of the team 's four touchdowns . More lopsided than its score would indicate , the game quickly acquired the sobriquet `` the Body Bag Game '' , attesting to the physical damage inflicted by the tougher Eagles squad . The Eagles knocked out the starting Washington quarterback , and then seriously injured his replacement as well . Running back Brian Mitchell , who would later be signed by the Eagles , was forced to play quarterback for the Redskins . Unfortunately , the Redskins returned to Veterans stadium in the first round of the playoffs and defeated the Eagles 20 - 6 , ending their season . Buddy Ryan was fired at the end of the season . Despite his tough talk , the Eagles failed to win a playoff game in the five years he had been head coach .   Kotite and Rhodes ( 1991 - 98 ) ( edit )   In 1991 , the Eagles became the first NFL team since 1975 to rank first in the league in both rushing and passing yardage allowed , but competing in a strong division were unable to reach the playoffs despite a 10 - 6 record . Along with White , notable defensive stars included Jerome Brown , Clyde Simmons , Seth Joyner , Eric Allen , Wes Hopkins , and Andre Waters .   With Ryan 's firing by Norman Braman , Ryan 's former Offensive Coordinator , Rich Kotite , took the helm of the franchise . Although Cunningham suffered a season - ending ACL tear in the season opener , the Eagles still made a respectable showing , missing the playoffs on a tiebreaker . In 1992 , Kotite led the Eagles back into the postseason with an 11 - 5 record . In the Wild Card Round , the Eagles soundly defeated the New Orleans Saints by a final score of 36 - 20 . The Eagles were eliminated by Dallas in the next round ( 34 - 10 ) . At the end of the season , DE Reggie White would leave the team through free agency . In the 1992 NFL Off - season , DT Jerome Brown died in a high - speed automobile crash on June 25 . In 1993 and 1994 , Kotite 's Eagles would fall apart after initially promising starts , and missed the playoffs in each season , going 8 - 8 and 7 - 9 . By this point , Braman had become unpopular among most local fans and a polarizing presence in the front office . Under rising scrutiny and deflating optimism , he sold the team to current owner Jeffrey Lurie . Almost Lurie 's first act was to fire Kotite .   Lurie 's choice to replace Kotite was San Francisco 49ers Defensive Coordinator Ray Rhodes , who successfully lobbied 49ers star Ricky Watters to join the team as a free agent . In 1995 , Rhodes 's first season , the Eagles got off to a slow start by losing 3 out their first 4 games : they subsequently rebounded , finishing with a 10 - 6 record and a playoff spot . In the Wild Card Round , the Eagles played at home and overwhelmed the Detroit Lions 58 - 37 , with 31 of Philadelphia 's points coming in the second quarter alone . Despite this dominating performance , yet again , the Eagles were eliminated in the next round by the Cowboys ( 30 - 11 ) . Ironically , this would be Randall Cunningham 's last game as an Eagle . Cunningham would score the only touchdown of the game and the last Eagles post season touchdown for six years .   1995 was perhaps most notable in that it signaled the end of Cunningham 's tenure as starting quarterback . Rhodes benched Cunningham in favor of Rodney Peete , leading to friction between the two . Before the benching , news reports circulated that Lurie and Rhodes tried to trade Cunningham to the Arizona Cardinals . However , no such trade was executed and Cunningham retired shortly after the season .   In 1996 , the Eagles donned new uniforms featuring a darker shade of green . They got off to a good start , winning three of their first four games . However , a week - 5 Monday night game at Veterans Stadium against the hated Cowboys would witness a season - ending knee injury to Peete and the loss of the team 's momentum , and the transition to an offense led by Ty Detmer and Watters . While Detmer played well and Watters rushed for 1,411 yards , the season followed an all - too - familiar pattern : 10 - 6 record , and early elimination ( a 14 - 0 shutout by the 49ers ) in the playoffs . The continued early playoff exits led to fans and local media blaming the high priced free agent signings ( Irving Fryar , Watters , Troy Vincent , and Guy McIntyre ) for not stepping up in big games , most notably the postseason . Rhodes gradually deteriorated under the stress of the job , and players were beginning to grow tired of his brash demeanor and often autocratic coaching style . After an up - and - down 6 - 9 - 1 campaign in 1997 , the bottom fell out in 1998 . The Eagles suffered a 3 - 13 record -- the worst in franchise history . They were ranked dead last in numerous offensive statistics . Home game attendance was declining , a quarterback controversy was deteriorating an already rudderless locker room , and the players had all but tuned out the embattled coaching staff . Left with little choice after a disastrous season , fan revolt and sagging team morale , Lurie fired Rhodes .   The Reid era ( 1999 - 2012 ) ( edit )   1999 - 2012 ( edit )   Resurgence would come under the leadership of new head coach Andy Reid , who began by drafting Syracuse QB Donovan McNabb with the # 2 pick in the 1999 draft ( the Eagles would have had the # 1 pick , but it was awarded to the rebooted Cleveland Browns ) . Despite clearing up roster space for new talent by releasing unpopular , aging veterans ( such as Watters and Irving Fryar ) , Reid was still a virtual unknown at the time of his selection as head coach , and his appointment was met with considerable skepticism in Philadelphia . McNabb was also not considered a good choice to draft by Eagles fans . When he was drafted , many Eagles fans booed the selection , believing that the Eagles should draft Ricky Williams . The choices proved wise , however : with Reid leading the way and McNabb emerging as one of the game 's great players . However , 1999 was a rebuilding year and so the Eagles only won five games and game attendance was still looking stale as two home games were not sold out - resulting in local TV blackouts - while the other 6 were only sold out due to several small business owners purchasing the remainder of the unsold tickets to spare TV viewers . The Week 5 game , on Sunday , October 10 , 1999 , in Philadelphia , Pennsylvania , saw Dallas WR Michael Irvin suffer a career - ending spinal injury where Eagles fans stood up and cheered as he lay on the field . Even the TV commentators expressed their disgust at this behavior . The 2000 season saw the team go 11 - 5 , reaching the playoffs as a wildcard which rejuvenated the fan base and optimism . After brushing aside the Tampa Bay Buccaneers 21 - 3 , the Eagles moved to the second round of the playoffs , only to lose a 20 - 10 game against the Giants .  Andy Reid was brought in to coach the Eagles in 1999 .  The 2000 regular season opener in Dallas ( September 3 ) , became known in NFL lore as the `` Pickle Juice Game '' . Kickoff temperature in Texas Stadium was 109 degrees Fahrenheit and soared to nearly 120 , making it the hottest game in league history , beating a previous record set during the 1997 Cowboys - Cardinals match in Arizona . The nickname came about because a certain Eagles trainer had been preparing for the projected high temperatures by having the players drink the juice from jars of dill pickles in order to retain body moisture and stave off cramps and heat exhaustion . The experiment proved a success as the Cowboys lost the game 44 - 14 and had multiple players benched for inability to handle the brutal temperatures ( the Eagles had no players benched ) . The game also had significance because it marked the beginning of Philadelphia 's domination of the NFC East and the end of the Cowboys ' dominance .  Brian Dawkins in 2007 .  After compiling an 11 - 5 record in 2001 , the Eagles reached the playoffs again , this time at the top of their division . In a near - rerun of the previous year , they disposed of the Buccaneers in a 31 - 9 game . In the second round , t</t>
  </si>
  <si>
    <t xml:space="preserve">ok google has the eagles ever won a superbowl</t>
  </si>
  <si>
    <t xml:space="preserve"> The history of the Philadelphia Eagles begins in 1933 . In their history , the Eagles have appeared in the Super Bowl three times , losing in their first two appearances but winning the third , in 2018 . They won three NFL Championships , the precursor to the Super Bowl , in four appearances . </t>
  </si>
  <si>
    <r>
      <rPr>
        <sz val="11"/>
        <color rgb="FF000000"/>
        <rFont val="Calibri"/>
        <family val="0"/>
        <charset val="1"/>
      </rPr>
      <t xml:space="preserve">Nancy Travis - wikipedia  Nancy Travis     Nancy Travis     Travis in 2012       Nancy Ann Travis ( 1961 - 09 - 21 ) September 21 , 1961 ( age 56 ) New York City , New York , U.S.     Nationality   American     Education   New York University     Alma mater   Circle in the Square Theatre School     Occupation   Actress , producer     Years active   1985 -- present     Spouse ( s )   Robert N. Fried ( m . 1994 )     Children       Nancy Ann Travis ( born September 21 , 1961 ) is an American actress . She began her career on Off - Broadway theater , before her first leading screen role in the ABC television miniseries Harem opposite Omar Sharif . Her breakthrough came in 1987 , playing Sylvia Bennington in the comedy film Three Men and a Baby , she later starred in its sequel , Three Men and a Little Lady ( 1990 ) .   Travis has starred in many films , include Internal Affairs ( 1990 ) , Air America ( 1990 ) , Passed Away ( 1992 ) , Chaplin ( 1992 ) , So I Married an Axe Murderer ( 1993 ) , Greedy ( 1994 ) , and Fluke ( 1995 ) . On television , Travis in 1995 went to star in the CBS sitcom Almost Perfect , which ran two seasons , and short - lived Work with Me ( 1999 ) . In 2002 , she played a leading role in the ABC miniseries Rose Red , and later joined the cast of CBS sitcom Becker for its final two seasons .   From 2011 to 2017 , Travis starred as Vanessa Baxter in the ABC sitcom Last Man Standing . In 2018 , she began starring opposite Michael Douglas in the Netflix comedy series The Kominsky Method .     Contents  ( hide )   1 Early life   2 Career   3 Personal life   4 Filmography   4.1 Film   4.2 Television     5 References   6 External links      Early Life ( edit )   Travis was born in New York City , the daughter of Theresa , a social worker , and Gordon Travis , a sales executive . Travis was raised in Boston , Massachusetts , and Baltimore , Maryland . She was raised Catholic .   Career ( edit )   Travis ' first job after graduating from high school was in a play , It 's Hard to be a Jew , at The American Jewish Theatre in NYC . After that , Travis appeared in a stage version of Neil Simon 's Brighton Beach Memoirs and was a founding member of the Off - Broadway theater company Naked Angels . She appeared in their Frank Pugliese play Aven U-Boys , as well as in King of Connecticut . She made her Broadway debut in I 'm Not Rappaport . She starred in Athol Fugard 's My Children , My Africa .   Travis has had roles in many films , including Three Men and a Baby and its sequel , Three Men and a Little Lady , plus Air America and Internal Affairs ( as the wife of Andy García 's character ) , So I Married an Axe Murderer , as the bride of Mike Myers ' character , thriller The Vanishing with Kiefer Sutherland , Greedy with Michael J. Fox , and in the action - comedy Destiny Turns on the Radio with Dylan McDermott . Other notable films include the 1995 box office bomb Fluke , 1996 Whoopi Goldberg 's comedy Bogus , political comedy / drama Running Mates with Three Men and a Baby co-star Tom Selleck , 2001 drama film Auggie Rose , 2005 comedy The Sisterhood of the Traveling Pants and 2007 ensemble cast romantic drama The Jane Austen Book Club adapted from the 2004 novel of the same name by Karen Joy Fowler . She was featured in Chaplin opposite Robert Downey , Jr. , portraying Joan Barry , the woman who filed a paternity suit against Chaplin .   Travis starred with Peter Gallagher and Isabella Rossellini in the Tom Cruise - directed episode of the Showtime series Fallen Angels in 1993 . From 1995 -- 1997 , Travis played a leading role in the CBS sitcom Almost Perfect . The show was canceled after two seasons . In 1999 she starred in the short - lived TV series Work with Me , Travis was also a producer . Due to low ratings , the show was cancelled after four episodes .   Travis had the leading role of psychology professor Dr. Joyce Reardon in 2002 's four - hour television adaptation of Stephen King 's Rose Red . In 2002 , Travis joined the cast of the CBS sitcom Becker as Chris Connor . She starred in the show for its final two seasons , replacing the series ' original female lead , Terry Farrell . From 2007 to 2009 Travis appeared in the television sitcom The Bill Engvall Show as Bill 's wife Susan . In 2009 she starred in the Hallmark Channel film Safe Harbor , about a happily married couple , Doug ( Treat Williams ) and Robbie Smith ( Travis ) about to retire and spend their days cruising the world on their sailboat . In 2010 , she starred in TV films The Pregnancy Pact , In My Shoes and was a guest star in two episodes of Desperate Housewives . In 2011 , she guest starred in the television series Grey 's Anatomy and How I Met Your Mother .   In 2011 , Travis was cast in the ABC sitcom Last Man Standing opposite Tim Allen . Travis also was cast in the same time in The CW medical drama series Hart of Dixie as Emmeline ' Mrs. H ' Hattenbarger , but due to her commitments with the 20th Century Fox - produced Last Man Standing left the show after two episodes . Last Man Standing was canceled in 2017 , after six seasons and 130 episodes but will be revived by Fox in the Fall of 2018   In 2018 , Travis was cast as a female lead opposite Michael Douglas and Alan Arkin in the Netflix comedy series The Kominsky Method , created by Chuck Lorre .   Personal Life ( edit )   In 1994 , Travis married Robert N. Fried , the former president and CEO of Savoy Pictures and currently Founder &amp; CEO of Feeln ( formerly known as SpiritClips ) . They have two sons : Benjamin E. born in 1998 , and Jeremy , born in 2001 . She starred in the 2007 short film Sally , featuring Benjamin and written by her husband .   Filmography ( edit )   Film ( edit )     Year   Title   Role   Notes     1985   Malice in Wonderland   Ann   Television film     1986   Harem   Jessica Gray   Television film       Three Men and a Baby   Sylvia Bennington       1988   Married to the Mob   Karen Lutnick       1988   Eight Men Out   Lyra Williams       1988   I 'll Be Home for Christmas   Leah Bundy         How Much Is Really True ?     Short film     1990   Loose Cannons   Riva       1990   Internal Affairs   Kathleen `` Kathy '' Avilla       1990   Air America   Corinne Landreaux       1990   Three Men and a Little Lady   Sylvia Bennington       1992   Passed Away   Cassie Slocombe       1992   Chaplin   Joan Barry       1993   The Vanishing   Rita Baker       1993   So I Married an Axe Murderer   Harriet Michaels         Greedy   Robin       1995   Fluke   Carol Johnson       1995   Lieberman in Love   Kate   Short film     1995   Destiny Turns on the Radio   Lucille       1995   Body Language   Atty . Theresa Janice ' T.J. ' Harlow         Bogus   Lorraine Franklin       1999   My Last Love   Susan Morton   Also producer     2000   Running Mates   Jennifer ' Jenny ' Pryce   Television film     2000   Beyond Suspicion   Carol       2005   The Sisterhood of the Traveling Pants   Lydia Rodman       2007   The Jane Austen Book Club   Cat Harris       2007   The Party Never Stops : Diary of a Binge Drinker   April Brenner   Television film     2007   Sally   Sally   Short film     2009   Safe Harbor   Robbie   Television film       The Pregnancy Pact   Lorraine Dougan   Television film       A Walk In My Shoes   Cindy / Trish   Television film     2014   Squatters   Carol       2014   Dissonance   Bobbi   Short film     2015   The Submarine Kid   Mrs. Koll       2017   Bernard and Huey   Mona       2018   Married Young   Rachel       Television ( edit )     Year   Title   Role   Notes     1986   Spenser : For Hire   Maggie Ellis   Episode : `` The Hopes and Fears ''     1993   Fallen Angels   Bette Allison   Episode : `` The Frightening Frammis ''     1994 -- 1997   Duckman   Bernice / Beverly / Beatrice / Grandma - ma   67 episodes , voice role     1995 -- 1997   Almost Perfect   Kim Cooper   Series regular , 34 episodes       The Real Adventures of Jonny Quest   Spencer   voice role     1998   Superman : The Animated Series   Darci Mason   1 episode , voice role     1999   Work with Me   Julie Better   Series regular , 9 episodes , also producer     2002   Stephen King 's Rose Red   Prof. Joyce Reardon   Miniseries     2002 -- 2004   Becker   Chris Connor   Series regular , 39 episodes     2007 -- 2009   The Bill Engvall Show   Susan Pearson   Series regular , 30 episodes     2008   Medium   Laura Swenson   Episode : `` Do You Hear What I Hear ? ''       Desperate Housewives   Dr. Mary Wagner   2 episodes     2011   Grey 's Anatomy   Alison   Episode : `` Not Responsible ''     2011   How I Met Your Mother   Cheryl Whittaker   Episode : `` Legendaddy ''     2011   Hart of Dixie   Emmeline Hattenbarger ( Mrs. H )   2 episodes     2011 -- present   Last Man Standing   Vanessa Baxter   Series regular , 130 episodes     2017   Mr. Mercedes   Donna Hodges   Episode : `` People in the Rain ''     2018   The Kominsky Method   Lisa   Series regular     References ( edit )    Jump up ^ `` Becker 's Nancy Travis Rekindles Her Baby Love with Ted Danson '' . People Magazine . January 13 , 2003 .   Jump up ^ `` Nancy Travis - Biography '' . Yahoo ! Movies . Retrieved July 7 , 2013 .   Jump up ^ `` The Yada Blog -- brought to you by American Jewish Life '' . Retrieved 11 December 2014 .   Jump up ^ Fluke ( 1995 ) , Box Office Mojo   Jump up ^ `` '' Work with Me '' ( 1999 ) `` . Internet Movie Database . Retrieved 2011 - 12 - 11 .   Jump up ^ Pursell , Chris ( October 25 , 1999 ) . `` CBS pink slips ' Work With Me ' '' . Variety . Retrieved 2009 - 07 - 03 .   Jump up ^ Wilkes , Neil ( Jul 18 , 2001 ) . `` ABC Fall miniseries : Full details '' . DigitalSpy . Retrieved 2011 - 12 - 11 .   Jump up ^ `` Christian Therapeutic Boarding School -- Safe Harbor Boys Home '' . Safe Harbor .   Jump up ^ Ausiello , Michael ( Sep 16 , 2010 ) . `` ' Desperate Housewives ' Exclusive : Nancy Travis is B.A.G. 's mom ! '' . Entertainment Weekly . Retrieved 2011 - 12 - 11 .   Jump up ^ Wightman , Catriona ( Jan 27 , 2011 ) . `` Nancy Travis lands ' Grey 's Anatomy ' role '' . DigitalSpy . Retrieved 2011 - 12 - 11 .   Jump up ^ Jeffery , Morgan ( Feb 2 , 2011 ) . `` Nancy Travis signs for ' HIMYM ' role '' . DigitalSpy . Retrieved 2011 - 12 - 11 .   Jump up ^ Becky Kirsch . `` ABC 2011 Pilots Including Good Christian Belles , Charlie 's Angels , Once Upon a Time , Pan Am , Last Man Standing , Scandal , Revenge '' . POPSUGAR Entertainment . Retrieved 11 December 2014 .   Jump up ^ `` Nancy Travis joins ABC Tim Allen pilot '' .   Jump up ^ `` Coming This Fall to The CW ... '' TV Fanatic . Retrieved 2011 - 12 - 11 .   Jump up ^ https://www.washingtonpost.com/news/arts-and-entertainment/wp/2018/05/14/fox-picked-up-last-man-standing-after-being-emboldened-by-response-to-roseanne/?utm_term=.4a1d77e32d4c   Jump up ^ Andreeva , Nellie ( 11 January 2018 ) . `` ' The Kominsky Method ' : Nancy Travis To Co-Star In Netflix Comedy Series '' .   Jump up ^ `` Nancy Travis on the View '' . YouTube . December 7 , 2011 . Retrieved 2011 - 12 - 11 .    External links ( edit )       Wikimedia Commons has media related to Nancy Travis .      Nancy Travis on IMDb   Nancy Travis at AllMovie            BNE : XX1112220   BNF : cb14042676x ( data )   ISNI : 0000 0001 0774 1723   LCCN : n93112993   VIAF : 64207450      Retrieved from `` https://en.wikipedia.org/w/index.php?title=Nancy_Travis&amp;oldid=845786740 '' Categories :   1961 births   Actresses from New York City   American film actresses   American stage actresses   American television actresses   American voice actresses   Circle in the Square Theatre School alumni   Living people   People from Manhattan   20th - century American actresses   21st - century American actresses   Hidden categories :   Articles with hCards   Wikipedia articles with BNE identifiers   Wikipedia articles with BNF identifiers   Wikipedia articles with ISNI identifiers   Wikipedia articles with LCCN identifiers   Wikipedia articles with VIAF identifiers           Talk                                           Contents                   About Wikipedia                                                 Asturianu   تۆرکجه   Deutsch   Español   Esperanto   فارسی   Français   Frysk   </t>
    </r>
    <r>
      <rPr>
        <sz val="11"/>
        <color rgb="FF000000"/>
        <rFont val="Noto Sans CJK SC"/>
        <family val="2"/>
      </rPr>
      <t xml:space="preserve">한국어   </t>
    </r>
    <r>
      <rPr>
        <sz val="11"/>
        <color rgb="FF000000"/>
        <rFont val="Calibri"/>
        <family val="0"/>
        <charset val="1"/>
      </rPr>
      <t xml:space="preserve">Italiano   Nederlands   </t>
    </r>
    <r>
      <rPr>
        <sz val="11"/>
        <color rgb="FF000000"/>
        <rFont val="Noto Sans CJK SC"/>
        <family val="2"/>
      </rPr>
      <t xml:space="preserve">日本 語   </t>
    </r>
    <r>
      <rPr>
        <sz val="11"/>
        <color rgb="FF000000"/>
        <rFont val="Calibri"/>
        <family val="0"/>
        <charset val="1"/>
      </rPr>
      <t xml:space="preserve">Norsk   ਪੰਜਾਬੀ   Polski   Português   Русский   Simple English   Suomi   Svenska   Tagalog   Türkçe   Українська   اردو  15 more  Edit links   This page was last edited on 14 June 2018 , at 03 : 54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</si>
  <si>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vanessa baxter on last man standing</t>
  </si>
  <si>
    <t xml:space="preserve"> From 2011 to 2017 , Travis starred as Vanessa Baxter in the ABC sitcom Last Man Standing . In 2018 , she began starring opposite Michael Douglas in the Netflix comedy series The Kominsky Method . </t>
  </si>
  <si>
    <r>
      <rPr>
        <sz val="11"/>
        <color rgb="FF000000"/>
        <rFont val="Calibri"/>
        <family val="0"/>
        <charset val="1"/>
      </rPr>
      <t xml:space="preserve">Guardians of the Galaxy ( 1969 team ) - wikipedia  Guardians of the Galaxy ( 1969 team )  Jump to : navigation , search For the modern team , see Guardians of the Galaxy ( 2008 team ) .    Guardians of the Galaxy     The Guardians of the Galaxy as featured in Guardians of the Galaxy # 1 ( June 1990 ) . Art by Jim Valentino     Publication information     Publisher   Marvel Comics     First appearance   Marvel Super-Heroes # 18 ( January 1969 )     Created by   Stan Lee Arnold Drake Roy Thomas     In - story information     Base ( s )   Freedom 's Lady USS Captain America     Member ( s )   List of Guardians of the Galaxy members     The original Guardians of the Galaxy are a superhero team appearing in American comic books published by Marvel Comics . The Guardians first appear in Marvel Super-Heroes # 18 ( Jan. 1969 ) .     Contents  ( hide )   1 Publication history   2 Fictional team history   2.1 Connection to the `` Modern '' Guardians     3 Membership   4 In other media   5 Collected editions   6 See also   7 References   8 External links      Publication history ( edit )   Roy Thomas recounted ,   ' Guardians of the Galaxy ' started out as an idea of mine : about super-guerrillas fighting against Russians and Red Chinese who had taken over and divided the USA . I got a sort of general approval out of ( editor - in - chief ) Stan ( Lee ) ( I think ) , and gave the idea to Arnold Drake , since I had not time to write and research it . Arnold went in for a conference with Stan , and Stan ( maybe Arnold , too ) decided to change it to an interplanetary situation . All the characters and situations in Guardians were created by Arnold and / or Stan .   The team first appeared in the partial reprint title Marvel Super-Heroes with issue # 18 ( Jan. 1969 ) , written by Arnold Drake and penciled by Gene Colan . Despite strong sales on this issue , the Guardians of the Galaxy would not appear again for over five years , in Marvel Two - In - One # 4 -- 5 ( July -- Sept. 1974 ) . The story 's writer , Steve Gerber , liked the team enough to use them again in Giant Size Defenders # 5 and Defenders # 26 -- 29 ( July -- Nov. 1975 ) . In each case , other heroes such as Captain America , the Thing , and the Defenders aid them in their war against the alien Badoon , necessitating the liberal use of time travel in these stories .   The Guardians were finally given their own series , Marvel Presents , starting with issue # 3 ( Feb. 1976 ) . Steve Gerber , still handling the writing chores , reflected , `` Most of the stories I was scripting were set in the present . I wanted to do something that combined the standard superhero elements with something a little different , so that I could give my imagination a bit more play . We had Dave Cockrum redesign the costumes , we created a new starship for them to pilot , and we revised the premise of the strip , so that they were no longer fighting the Badoon on Earth , and sent them off amongst the stars . '' Gerber left the series after seven issues , leaving Roger Stern to take over with Marvel Presents # 10 . The series was cancelled shortly afterwards due to poor sales , with the final issue being # 12 ( August 1977 ) . This was followed by a series of appearances in Thor Annual # 6 ( 1977 ) , The Avengers # 167 -- 177 ( Jan. -- Nov. 1978 ) and # 181 ( March 1979 ) , Ms. Marvel # 23 , Marvel Team - Up # 86 ( Oct. 1979 ) , and Marvel Two - in - One # 61 - # 63 &amp; # 69 ( Nov. 1980 ) . Marvel Two - in - One # 69 drastically changed the Guardians of the Galaxy story ; due to changes made to the past of one of the members , the future which the Guardians of the Galaxy come from and the mainstream Marvel Universe are permanently separated , becoming alternate timelines to each other . After this , the Guardians of the Galaxy were absent from published stories for over a decade .   In 1989 , Marvel editor - in - chief Tom DeFalco decided to revive the Guardians of the Galaxy in order to cash in on the soaring popularity of the TV series Star Trek : The Next Generation . DeFalco worked out a series concept using a new team of Guardians , but when he saw a series proposal for the original team that Jim Valentino had coincidentally been working on at the same time , he green lit Valentino 's idea instead . The Guardians ' first self - titled comic launched in June 1990 and ran for 62 issues . This series was initially written and illustrated by Valentino , who deliberately gave it an action - oriented , `` fun '' feel that stood out from the typical `` grim ' n ' gritty '' comics of the 1990s . Though Valentino had plotted the series ahead as far as issue # 50 , his run was cut short when he co-founded Image Comics . Having taken on two new series and the foundation of a publication company , Valentino asked editor Craig Anderson if he could switch to just writing Guardians of the Galaxy , and in response Anderson dismissed him from the series .   With issue # 29 ( Oct. 1992 ) Michael Gallagher commenced writing the title , and continued until its cancellation with issue # 62 ( July 1995 ) . According to Kevin West , who became the penciller with issue # 30 ( Nov. 1992 ) , he and Gallagher worked together closely on the series , employing the Marvel method of creation , and soon became good friends . A spin - off four - issue miniseries , Galactic Guardians ( July -- Oct. 1994 ) , also by Gallagher and West , appeared during this time . West explained why he did not draw the final issue of Guardians of the Galaxy : `` When I heard we were getting the hook , I naturally started looking for a new job . I ended up at Malibu . There was a hold - up getting the Guardians plot finished so by the time I got it , I had to pass because I had a Malibu deadline to meet . Arrgh . Despite any minor qualms I had , I really did enjoy working on the series . ''   A second volume was published in May 2008 , written by Dan Abnett and Andy Lanning . The title , set in a different timeline , features a new team , drawn from participants in the Annihilation : Conquest storyline . The 1969 team made guest appearances in # 12 -- 17 and # 25 .   A new ongoing series starring the original Guardians , titled Guardians 3000 and written by Abnett , launched in 2014 .   Fictional team history ( edit )   The Guardians are active in the 31st century in an alternative time - line of the Marvel Universe known as Earth - 691 . The original members of the team include Major Vance Astro ( later known as Major Victory ) , an astronaut from 20th century Earth who spends a thousand years travelling to Alpha Centauri in suspended animation . He is also the future alternative universe counterpart of Vance Astrovik , the hero known as Justice .   Other original team members are Martinex T'Naga , a crystalline being from Pluto ; Captain Charlie - 27 , a soldier from Jupiter ; and Yondu Udonta , a blue - skinned `` noble savage '' from Centauri - IV ( the fourth planet orbiting the star Alpha Centauri B) . Each is apparently the last of their kind and they are forced to unite as a team against the actions of the Badoon , an alien race which attempts to conquer Earth 's solar system .   During the course of the war against the Badoon , the team gains three more members - the mysterious husband and wife duo , Starhawk and Aleta , as well as Nikki , a genetically engineered young girl from Mercury seeking excitement in her life - and travel back in time , where they encounter several of the heroes of 20th century Earth , including Captain America and the Thing .   The Guardians eventually defeat the Badoon , but soon find themselves facing a new foe called Korvac , who was in part a creation of the Badoon . After teaming with the Thunder God Thor to defeat Korvac in the 31st century , the Guardians then follow Korvac to 20th century mainstream Earth , where together with the Avengers they fight a final battle .   The Guardians reappear years later and have a series of adventures in their future , with several others eventually joining the team : the Inhuman Talon , the Skrull Replica , the second Yellowjacket ( alias Rita DeMara of the 20th century ) , and an aged Simon Williams ( now called Hollywood , Man of Wonder ) .   Wanting to expand the Guardians to a multiple team organization , Martinex eventually leaves the team to look for additional members for a second unit , nicknamed the Galactic Guardians .   Connection to the `` modern '' Guardians ( edit )   During their second mission , the team that was to become the Earth - 616 incarnation of the Guardians discover a time displaced Vance Astro in a block of ice floating in space . It is his introduction as `` Major Victory of the Guardians of the Galaxy '' that inspires the team to take up the name . In # 7 and # 16 of the series , it was revealed a great `` error '' in the present day has caused the future to be destroyed -- Starhawk is constantly trying to prevent it by time travel , causing the future ( and the Guardians ) to be altered . Only Starhawk , who is changed with each reboot but is `` one who knows '' about the changes , realizes anything is different , but each change still ends in a cataclysm . In # 17 , the Guardians ' future was a universe where only a small portion remained undestroyed , which had been taken over by the Badoon . A warning was sent to the present day , though at the cost of the universe being ended .   The Vance Astro of the modern - day Guardians is revealed to be a Major Victory from one of these altered futures , rather than the original . A second potential Vance Astro appears in # 17 .   In # 18 , a third version of the Guardians ' future was shown : this time led by Killraven against the Martians .   Membership ( edit )  Main article : List of Guardians of the Galaxy members  In other media ( edit )   Various members of the original Guardians of the Galaxy team are featured in the film Guardians of the Galaxy Vol. 2 , including Michael Rooker as Yondu Udonta , Sylvester Stallone as Stakar Ogord , Michael Rosenbaum as Martinex T'Naga , Ving Rhames as Charlie - 27 , Michelle Yeoh as Aleta Ogord , Krugarr and an uncredited Miley Cyrus as the voice of Mainframe . They are revealed to be an interstellar group of thieves , smugglers , and pirates known as the Ravagers . The Ravagers are broken into groups that follow a strong code and work ethic . Yondu broke the code by transporting children to Ego unaware of his evil intent . Upon learning of the truth , he saved Peter Quill from the same fate . Nevertheless , his actions resulted in Stakar exiling Yondu 's faction from the rest of the Ravagers . In the film 's climax , Yondu sacrifices himself to save Quill , earning the respect of the rest of the Ravagers and convincing them to get back together and form their own team .   Collected editions ( edit )    Guardians of the Galaxy : Earth Shall Overcome ( 978 - 0785137863 ) : Collects Marvel Super-Heroes # 18 , Marvel Two - in - One # 4 -- 5 , Giant - Size Defenders # 5 , and Defenders # 26 -- 29 .   Guardians of the Galaxy : The Power of Starhawk ( 9780785137887 ) : Collects Marvel Presents # 3 -- 12 .   Guardians of the Galaxy : Tomorrow 's Avengers Vol. 1 ( 978 - 0785166870 ) : Collects Marvel Super Heroes # 18 , Marvel Two - In - One # 4 - 5 , Giant - Size Defenders # 5 , Defenders # 26 - 29 , Marvel Presents 3 - 12   Guardians of the Galaxy : Tomorrow 's Avengers Vol. 2 ( 978 - 0785167556 ) : Collects Thor Annual # 6 ; Avengers # 167 - 168 , 170 - 177 , 181 ; Ms. Marvel # 23 ; Marvel Team - Up # 86 ; Marvel Two - In - One # 61 - 63 , 69   Guardians of the Galaxy : Quest for the Shield ( 0871358794 ) : Collects Guardians of the Galaxy # 1 -- 6 . Released in February , 1992 .   Guardians of the Galaxy by Jim Valentino Vol. 1 ( 978 - 0785184201 ) : Collects Guardians of the Galaxy # 1 - 7 and Annual # 1 , plus material from Fantastic Four Annual # 24 , Thor Annual # 16 and Silver Surfer Annual # 4   Guardians of the Galaxy by Jim Valentino Vol. 2 ( 978 - 0785185635 ) : Collects Guardians of the Galaxy # 8 - 20   Guardians of the Galaxy by Jim Valentino Vol. 3 ( 978 - 0785198123 ) : Collects Guardians of the Galaxy # 21 - 29 , Annual # 2 , Marvel Super-Heroes # 18   Guardians of the Galaxy Classic by Jim Valentino Omnibus ( 978 - 1302904395 ) : Collects Guardians of the Galaxy # 1 - 29 , Annual # 1 - 2 , and Marvel Super-Heroes # 18 , plus material from Fantastic Four Annual # 24 , Thor Annual # 16 and Silver Surfer Annual # 4   Guardians of the Galaxy Classic : In the Year 3000 Vol. 1 ( 978 - 1302900618 ) : Collects Guardians of the Galaxy # 30 - 39 , Annual # 3 , and material from Marvel Comics Present # 134   Guardians of the Galaxy Classic : In the Year 3000 Vol. 2 ( 978 - 1302902148 ) : Collects Guardians of the Galaxy # 40 - 50 , Galactic Guardians # 1 - 4 , and material from Annual # 4   Guardians of the Galaxy Classic : In the Year 3000 Vol. 3 ( 978 - 1302904432 ) : Collects Guardians of the Galaxy # 51 - 62 , and material from Annual # 4   Guardians 3000 Vol. 1 : Time After Time ( 978 - 0785193128 ) : Collects Guardians 3000 # 1 - 5 , and material from Guardians of the Galaxy Vol. 3 # 13   Korvac Saga : Warzones ! ( 978 - 0785193135 ) : Collects Guardians 3000 # 6 - 8 , Korvac Saga # 1 - 4    See also ( edit )    List of superhero debuts    References ( edit )    ^ Jump up to : Buttery , Jarrod ( July 2013 ) . `` Explore the Marvel Universe of the 31st Century with ... the Guardians of the Galaxy '' . Back Issue ! . Raleigh , North Carolina : TwoMorrows Publishing ( 65 ) : 24 -- 35 .   Jump up ^ DeFalco , Tom ; Gilbert , Laura , ed. ( 2008 ) . `` 1960s '' . Marvel Chronicle A Year by Year History . Dorling Kindersley . p. 134 . ISBN 978 - 0756641238 . The Guardians of the Galaxy were a science - fiction version of the group from the movie Dirty Dozen ( 1967 ) and were created by writer Arnold Drake and artist Gene Colan . CS1 maint : Extra text : authors list ( link )   Jump up ^ Guardians of the Galaxy vol. 2 , # 1 ( May 2008 )   Jump up ^ `` Marvel 's Original Guardians of the Galaxy Get Ongoing Guardians 3000 Series in October '' . Newsarama . June 25 , 2014 . Retrieved December 29 , 2014 .   Jump up ^ Marvel Two - in - One # 4 -- 5 ( July -- September ( bi-monthly ) 1974 )   Jump up ^ Thor Annual # 6 ( 1977 )   Jump up ^ Avengers # 167 - 177 ( Jan . - Nov. 1978 )   Jump up ^ Marvel Super-Heroes # 18 ( January 1969 )   Jump up ^ Guardians of the Galaxy vol. 1 , # 62 ( July 1995 )   Jump up ^ Daniell , Mark ( April 25 , 2017 ) . `` Sylvester Stallone 's ' Guardians of the Galaxy Vol. 2 ' character has a big future in the MCU '' . The Whig . Archived from the original on April 27 , 2017 . Retrieved April 28 , 2017 .   Jump up ^ Keyes , Rob ( April 20 , 2017 ) . `` Kevin Feige &amp; James Gunn Explain Stallone 's Secret MCU Team '' . Screen Rant . Archived from the original on April 27 , 2017 . Retrieved April 28 , 2017 .    External links ( edit )    Guardians of the Galaxy ( Earth - 691 ) at the Comic Book DB   Guardians of the Galaxy ( 1990 ) at the Grand Comics Database   Guardians of the Galaxy ( 1990 ) at the Comic Book DB   Guardians of the Galaxy at the Big Comic Book DataBase   Marvel Directory entry   Friday Flashback : Guardians of the Galaxy , Newsarama , June 6 , 2008   Guardians of the Galaxy at Don Markstein 's Toonopedia . Archived from the original on September 1 , 2016 .              Guardians of the Galaxy     Creators     Stan Lee   Arnold Drake   Roy Thomas   Dan Abnett   Andy Lanning       Members      1969 team members     Charlie - 27   Martinex T'Naga   Nikki   Starhawk   Talon   Vance Astro / Major Victory   Yondu Udonta       2008 team members     Adam Warlock   Bug   Cosmo the Spacedog   Drax the Destroyer   Gamora   Groot   Jack Flag   Mantis   Moondragon   Quasar ( Phyla - Vell )   Rocket Raccoon   Star - Lord          Supporting characters     Annihilators   Beta Ray Bill   Gladiator   Quasar   Ronan the Accuser   Silver Surfer     Avengers   Kismet   Nova Corps   Richard Rider   Sam Alexander     Starjammers       Antagonists     Annihilus   Badoon   Blastaar   Brood   Ego the Living Planet   Galactus   Hala the Accuser   J'son   Korvac   Magus   Nebula   Shi'ar Empire   Vulcan     Skrull   Thanos   Titus   Universal Church of Truth       Storylines     Annihilation   Annihilation : Conquest   War of Kings   Realm of Kings   The Thanos Imperative   The Black Vortex       In other media     Guardians of the Galaxy ( film )   soundtrack     Guardians of the Galaxy Vol. 2   soundtrack     Guardians of the Galaxy ( TV series )   Guardians of the Galaxy : The Telltale Series       Related articles     Cosmic entities   Knowhere   Guardians of the Galaxy -- Mission : Breakout !   Guardians of the Galaxy ( Epcot Attraction )                 Marvel Comics ' Earth - 691     Titles     Cyberspace 3000   Guardians of the Galaxy       Characters     Aleta   Charlie - 27   Killraven   Korvac   Martinex   Nikki   Starhawk   Talon   Vance Astro   Yondu       Related articles     Badoon   Stark   List of Guardians of the Galaxy members                 Marvel 's cosmic setting     Alien species     Acanti   Badoon   Beyonders   Brood   Celestials   D'Bari   Dire Wraiths   Galadorians   Kree   Kymellians   Phalanx   Shi'ar   Skrulls   Symbiotes   Watcher       Groups        Access   Blood Brothers   Captain Marvel ( Mar - Vell )   High Evolutionary   Howard the Duck   Maelstrom   Magus   Molecule Man   Nebula   Paibok   Super-Skrull   Thanos   Uatu The Watcher   Wraith   Universal Church of Truth       Agents of Cosmos     Agent Venom       Elders of the Universe     Astronomer   Champion   Collector   Contemplator   Ego   Gardener   Grandmaster   Obliterator   Possessor   Runner   Trader       Fraternity of Raptors     Darkhawk   Gyre   Talon   Razor       Heralds of Galactus     Air - Walker   Fallen One   Firelord   Morg   Nova   Red Shift   Silver Surfer   Stardust   Terrax   Tyrant       Imperial Guard ( Shi'ar )     Astra   Electron   Fang   Flashfire   Gladiator   Hobgoblin   Magique   Mentor   Neutron   Nightside   Oracle   Pulsar   Smasher   Starbolt   Titan       Nova Corps     Garthan Saal   Powerhouse   Richard Rider ( Nova Prime )   Rhomann Dey   Sam Alexander       Royal Family ( Inhumans )     Ahura Boltagon   Black Bolt   Crystal   Gorgon   Karnak   Luna Maximoff   Maximus   Medusa   Triton   The Unspoken       Spaceknights     Ikon   Rom the Spaceknight   Starshine          Microverse     Jarella   Psycho - Man   Psyklop       Negative Zone     Annihilus   Blastaar   Ravenous       Storylines     The Infinity Gauntlet   The Infinity War   The Infinity Crusade   Annihilation   Annihilation : Conquest   War of Kings   Realm of Kings   The Thanos Imperative   Infinity   The Black Vortex       Superhuman races     Deviants   Eternals   Inhumans       Teams      Annihilators     Beta Ray Bill   Cosmo   Gladiator   Ikon   Quasar   Ronan the Accuser   Silver Surfer       Enigma Force     Arcturus Rann   Bug   Flare   Marionette   Quark       Guardians of the Galaxy     Adam Warlock   Drax the Destroyer   Gamora   Groot   Mantis   Quasar ( Phyla - Vell )   Rocket Raccoon   Star - Lord       Infinity Watch     Adam Warlock   Drax   Gamora   Maxam   Moondragon   Pip the Troll       Starjammers     Ch'od   Corsair   Hepzibah   Korvus   Raza Longknife   Sikorsky          Related articles     Cosmic entities   Knowhere      Retrieved from `` https://en.wikipedia.org/w/index.php?title=Guardians_of_the_Galaxy_(1969_team)&amp;oldid=806919664 '' Categories :   1990 comics debuts   Extraterrestrial superheroes   Guardians of the Galaxy   Marvel Comics titles   Comics characters introduced in 1969   Marvel Comics superhero teams   Hidden categories :   CS1 maint : Extra text : authors list   Groups pop   Moved from supergroup           Talk                                           Contents                   About Wikipedia                                                 Bân - lâm - gú   Čeština   Español   Français   </t>
    </r>
    <r>
      <rPr>
        <sz val="11"/>
        <color rgb="FF000000"/>
        <rFont val="Noto Sans CJK SC"/>
        <family val="2"/>
      </rPr>
      <t xml:space="preserve">한국어   </t>
    </r>
    <r>
      <rPr>
        <sz val="11"/>
        <color rgb="FF000000"/>
        <rFont val="Calibri"/>
        <family val="0"/>
        <charset val="1"/>
      </rPr>
      <t xml:space="preserve">Italiano   עברית   </t>
    </r>
    <r>
      <rPr>
        <sz val="11"/>
        <color rgb="FF000000"/>
        <rFont val="Noto Sans CJK SC"/>
        <family val="2"/>
      </rPr>
      <t xml:space="preserve">日本 語   </t>
    </r>
    <r>
      <rPr>
        <sz val="11"/>
        <color rgb="FF000000"/>
        <rFont val="Calibri"/>
        <family val="0"/>
        <charset val="1"/>
      </rPr>
      <t xml:space="preserve">Português   Русский   Edit links   This page was last edited on 24 October 2017 , at 23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</si>
  <si>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guardians of the galaxy comic book come out</t>
  </si>
  <si>
    <t xml:space="preserve"> The original Guardians of the Galaxy are a superhero team appearing in American comic books published by Marvel Comics . The Guardians first appear in Marvel Super-Heroes # 18 ( Jan. 1969 ) . </t>
  </si>
  <si>
    <r>
      <rPr>
        <sz val="11"/>
        <color rgb="FF000000"/>
        <rFont val="Calibri"/>
        <family val="0"/>
        <charset val="1"/>
      </rPr>
      <t xml:space="preserve">Sea level - wikipedia  Sea level  Jump to : navigation , search For other uses of `` Sea level '' , see Sea level ( disambiguation ) . This marker indicating sea level is situated between Jerusalem and the Dead Sea .  Mean sea level ( MSL ) ( often shortened to sea level ) is an average level of the surface of one or more of Earth 's oceans from which heights such as elevations may be measured . MSL is a type of vertical datum -- a standardised geodetic reference point -- that is used , for example , as a chart datum in cartography and marine navigation , or , in aviation , as the standard sea level at which atmospheric pressure is measured to calibrate altitude and , consequently , aircraft flight levels . A common and relatively straightforward mean sea - level standard is the midpoint between a mean low and mean high tide at a particular location .   Sea levels can be affected by many factors and are known to have varied greatly over geological time scales . The careful measurement of variations in MSL can offer insights into ongoing climate change , and sea level rise has been widely quoted as evidence of ongoing global warming .   The term above sea level generally refers to above mean sea level ( AMSL ) .     Contents  ( hide )   1 Measurement   1.1 Height above mean sea level   1.1. 1 Difficulties in use       2 Dry land   3 Change   3.1 Local and eustatic   3.2 Short term and periodic changes   3.3 Recent changes     4 Aviation   5 See also   6 References   7 External links      Measurement ( edit )  Sea level measurements from 23 long tide gauge records in geologically stable environments show a rise of around 200 millimetres ( 7.9 in ) during the 20th century ( 2 mm / year ) .  Precise determination of a `` mean sea level '' is difficult to achieve because of the many factors that affect sea level . Sea level varies quite a lot on several scales of time and space . This is because the sea is in constant motion , affected by the tides , wind , atmospheric pressure , local gravitational differences , temperature , salinity and so forth . The easiest way this may be calculated is by selecting a location and calculating the mean sea level at that point and use it as a datum . For example , a period of 19 years of hourly level observations may be averaged and used to determine the mean sea level at some measurement point .   To an operator of a tide gauge , MSL means the `` still water level '' -- the level of the sea with motions such as wind waves averaged out -- averaged over a period of time such that changes in sea level , e.g. , due to the tides , also get averaged out . One measures the values of MSL in respect to the land . Hence a change in MSL can result from a real change in sea level , or from a change in the height of the land on which the tide gauge operates .   In the UK , the Ordnance Datum ( the 0 metres height on UK maps ) is the mean sea level measured at Newlyn in Cornwall between 1915 and 1921 . Prior to 1921 , the datum was MSL at the Victoria Dock , Liverpool .   In Hong Kong , `` mPD '' is a surveying term meaning `` metres above Principal Datum '' and refers to height of 1.230 m below the average sea level .   In France , the Marégraphe in Marseilles measures continuously the sea level since 1883 and offers the longest collapsed data about the sea level . It is used for a part of continental Europe and main part of Africa as official sea level . Elsewhere in Europe vertical elevation references ( European Vertical Reference System ) are made to the Amsterdam Peil elevation , which dates back to the 1690s .   Satellite altimeters have been making precise measurements of sea level since the launch of TOPEX / Poseidon in 1992 . A joint mission of NASA and CNES , TOPEX / Poseidon was followed by Jason - 1 in 2001 and the Ocean Surface Topography Mission on the Jason - 2 satellite in 2008 .   Height above mean sea level ( edit )  Main article : Elevation  Height above mean sea level ( AMSL ) is the elevation ( on the ground ) or altitude ( in the air ) of an object , relative to the average sea level datum . It is also used in aviation , where some heights are recorded and reported with respect to mean sea level ( MSL ) ( contrast with flight level ) , and in the atmospheric sciences , and land surveying . An alternative is to base height measurements on an ellipsoid of the entire Earth , which is what systems such as GPS do . In aviation , the ellipsoid known as World Geodetic System 84 is increasingly used to define heights ; however , differences up to 100 metres ( 328 feet ) exist between this ellipsoid height and mean tidal height . The alternative is to use a geoid - based vertical datum such as NAVD88 .   When referring to geographic features such as mountains on a topographic map , variations in elevation are shown by contour lines . The elevation of a mountain denotes the highest point or summit and is typically illustrated as a small circle on a topographic map with the AMSL height shown in metres , feet or both .   In the rare case that a location is below sea level , the elevation AMSL is negative . For one such case , see Amsterdam Airport Schiphol .  Difficulties in use ( edit )   Ocean   Reference ellipsoid   Local plumb line   Continent   Geoid    To extend this definition far from the sea means comparing the local height of the mean sea surface with a `` level '' reference surface , or geodetic datum , called the geoid . In a state of rest or absence of external forces , the mean sea level would coincide with this geoid surface , being an equipotential surface of the Earth 's gravitational field . In reality , due to currents , air pressure variations , temperature and salinity variations , etc. , this does not occur , not even as a long - term average . The location - dependent , but persistent in time , separation between mean sea level and the geoid is referred to as ( stationary ) ocean surface topography . It varies globally in a range of ± 2 m .   Historically , adjustments were made to sea - level measurements to take into account the effects of the 235 lunar month Metonic cycle and the 223 - month eclipse cycle on the tides .   Dry land ( edit )       This section does not cite any sources . Please help improve this section by adding citations to reliable sources . Unsourced material may be challenged and removed . ( August 2015 ) ( Learn how and when to remove this template message )    Sea level sign seen on cliff ( circled in red ) at Badwater Basin , Death Valley National Park  Several terms are used to describe the changing relationships between sea level and dry land . When the term `` relative '' is used , it means change relative to a fixed point in the sediment pile . The term `` eustatic '' refers to global changes in sea level relative to a fixed point , such as the centre of the earth , for example as a result of melting ice - caps . The term `` steric '' refers to global changes in sea level due to thermal expansion and salinity variations . The term `` isostatic '' refers to changes in the level of the land relative to a fixed point in the earth , possibly due to thermal buoyancy or tectonic effects ; it implies no change in the volume of water in the oceans . The melting of glaciers at the end of ice ages is one example of eustatic sea level rise . The subsidence of land due to the withdrawal of groundwater is an isostatic cause of relative sea level rise . Paleoclimatologists can track sea level by examining the rocks deposited along coasts that are very tectonically stable , like the east coast of North America . Areas like volcanic islands are experiencing relative sea level rise as a result of isostatic cooling of the rock which causes the land to sink .   On other planets that lack a liquid ocean , planetologists can calculate a `` mean altitude '' by averaging the heights of all points on the surface . This altitude , sometimes referred to as a `` sea level '' , serves equivalently as a reference for the height of planetary features .   Change ( edit )  Not to be confused with Past sea level , Current sea - level rise , Future sea level , or Sea level rise .  Local and eustatic ( edit )  Water cycles between ocean , atmosphere and glaciers  Local mean sea level ( LMSL ) is defined as the height of the sea with respect to a land benchmark , averaged over a period of time ( such as a month or a year ) long enough that fluctuations caused by waves and tides are smoothed out . One must adjust perceived changes in LMSL to account for vertical movements of the land , which can be of the same order ( mm / yr ) as sea level changes . Some land movements occur because of isostatic adjustment of the mantle to the melting of ice sheets at the end of the last ice age . The weight of the ice sheet depresses the underlying land , and when the ice melts away the land slowly rebounds . Changes in ground - based ice volume also affect local and regional sea levels by the readjustment of the geoid and true polar wander . Atmospheric pressure , ocean currents and local ocean temperature changes can affect LMSL as well .   Eustatic change ( as opposed to local change ) results in an alteration to the global sea levels due to changes in either the volume of water in the world 's oceans or net changes in the volume of the ocean basins .   Short term and periodic changes ( edit )  Melting glaciers can cause a change in sea level  There are many factors which can produce short - term ( a few minutes to 14 months ) changes in sea level . Two major mechanisms are causing sea level to rise . First , shrinking land ice , such as mountain glaciers and polar ice sheets , is releasing water into the oceans . Second , as ocean temperatures rise , the warmer water expands .     Periodic sea level changes     Diurnal and semidiurnal astronomical tides   12 -- 24 h P   0.2 -- 10 + m     Long - period tides         Rotational variations ( Chandler wobble )   14 - month P     Meteorological and oceanographic fluctuations     Atmospheric pressure   Hours to months   − 0.7 to 1.3 m     Winds ( storm surges )   1 -- 5 days   Up to 5 m     Evaporation and precipitation ( may also follow long - term pattern )   Days to weeks       Ocean surface topography ( changes in water density and currents )   Days to weeks   Up to 1 m     El Niño / southern oscillation   6 mo every 5 -- 10 yr   Up to 0.6 m     Seasonal variations     Seasonal water balance among oceans ( Atlantic , Pacific , Indian )         Seasonal variations in slope of water surface         River runoff / floods   2 months   1 m     Seasonal water density changes ( temperature and salinity )   6 months   0.2 m     Seiches     Seiches ( standing waves )   Minutes to hours   Up to 2 m     Earthquakes     Tsunamis ( generate catastrophic long - period waves )   Hours   Up to 10 m     Abrupt change in land level   Minutes   Up to 10 m     Recent changes ( edit )  Main article : Current sea level rise Further information : Global warming , Ocean heat content , and Effects of global warming on oceans  For at least the last 100 years , sea level has been rising at an average rate of about 1.8 mm ( 0.1 in ) per year . Most of this rise can be attributed to the increase in temperature of the sea and the resulting slight thermal expansion of the upper 500 metres ( 1,640 feet ) of sea water . Additional contributions , as much as one - quarter of the total , come from water sources on land , such as melting snow and glaciers and extraction of groundwater for irrigation and other agricultural and human needs .   Aviation ( edit )  Main article : Altitude in aviation  Pilots can estimate height above sea level with an altimeter set to a defined barometric pressure . Generally , the pressure used to set the altimeter is the barometric pressure that would exist at MSL in the region being flown over . This pressure is referred to as either QNH or `` altimeter '' and is transmitted to the pilot by radio from air traffic control ( ATC ) or an automatic terminal information service ( ATIS ) . Since the terrain elevation is also referenced to MSL , the pilot can estimate height above ground by subtracting the terrain altitude from the altimeter reading . Aviation charts are divided into boxes and the maximum terrain altitude from MSL in each box is clearly indicated . Once above the transition altitude , the altimeter is set to the international standard atmosphere ( ISA ) pressure at MSL which is 1013.25 hPa or 29.92 inHg .   See also ( edit )    Above ground level   Before Present   Chart datum   Extreme points of Earth   Geopotential height   Height above average terrain   List of places on land with elevations below sea level   Marine terrace   Meltwater pulse 1A   Metres above the Adriatic   Normaal Amsterdams Peil   Normal height   Normalhöhennull   Normalnull   North West Shelf Operational Oceanographic System   Ordnance datum ( UK )   Orthometric height   Vertical datum   World Geodetic System    References ( edit )    Jump up ^ What is `` Mean Sea Level '' ? ( Proudman Oceanographic Laboratory ) .   Jump up ^ Solomon et al. , Technical Summary , Section 3.4 Consistency Among Observations in IPCC AR4 WG1 2007 ; Hegerl et al. , Executive summary , Section 1.3 : Consistency of changes in physical and biological systems with warming in IPCC AR4 SYR 2007 .   Jump up ^ US National Research Council , Bulletin of the National Research Council 1932 page 270   Jump up ^ `` Evaluating models of sea state bias in satellite altimetry '' . Journal of Geophysical Research . NASA . 99 ( C6 ) : 12581 . 1994 . Bibcode : 1994JGR ... 9912581G . doi : 10.1029 / 94JC00478 . Roman Glazman Greysukh , A.M. , Zlotnicki , V .   Jump up ^ `` Stonehenge pt 3 '' . www.celticnz.co.nz . Retrieved 2017 - 02 - 18 .   Jump up ^ `` Eustatic sea level '' . Oilfield Glossary . Schlumberger Limited . Retrieved 10 June 2011 .   Jump up ^ `` Global Warming Effects on Sea Level '' . www.climatehotmap.org . Retrieved 2016 - 12 - 02 .   Jump up ^ Bruce C. Douglas ( 1997 ) . `` Global Sea Rise : A Redetermination '' . Surveys in Geophysics. 18 ( 2 / 3 ) : 279 -- 292 . Bibcode : 1997SGeo ... 18 ... 279D . doi : 10.1023 / A : 1006544227856 .   Jump up ^ Bindoff , N.L. ; Willebrand , J. ; Artale , V. ; Cazenave , A. ; Gregory , J. ; Gulev , S. ; Hanawa , K. ; Le Quéré , C. ; Levitus , S. ; Nojiri , Y. ; Shum , C.K. ; Talley , L.D. ; Unnikrishnan , A. ( 2007 ) . `` Observations : Oceanic Climate Change and Sea Level '' ( PDF ) . In Solomon , S. ; Qin , D. ; Manning , M. ; Chen , Z. ; Marquis , M. ; Averyt , K.B. ; Tignor , M. ; Miller , H.L. Climate Change 2007 : The Physical Science Basis . Contribution of Working Group I to the Fourth Assessment Report of the Intergovernmental Panel on Climate Change . Cambridge University Press .   Jump up ^ US Federal Aviation Administration , Code of Federal Regulations Sec . 91.121    External links ( edit )       The Wikibook Historical Geology has a page on the topic of : Sea level variations         Wikimedia Commons has media related to Sea level .      Sea Level Rise : Understanding the past -- Improving projections for the future   Permanent Service for Mean Sea Level   Global sea level change : Determination and interpretation   Environment Protection Agency Sea level rise reports   Properties of isostasy and eustasy   Measuring Sea Level from Space   Rising Tide Video : Scripps Institution of Oceanography   Sea Levels Online : National Ocean Service ( CO-OPS )   Système d'Observation du Niveau des Eaux Littorales ( SONEL )   Sea level rise -- How much and how fast will sea level rise over the coming centuries ?      ( hide )         Physical oceanography     Waves     Airy wave theory   Ballantine scale   Benjamin -- Feir instability   Boussinesq approximation   Breaking wave   Clapotis   Cnoidal wave   Cross sea   Dispersion   Edge wave   Equatorial waves   Fetch   Gravity wave   Green 's law   Infragravity wave   Internal wave   Iribarren number   Kelvin wave   Kinematic wave   Longshore drift   Luke 's variational principle   Mild - slope equation   Radiation stress   Rogue wave   Rossby wave   Rossby - gravity waves   Sea state   Seiche   Significant wave height   Soliton   Stokes boundary layer   Stokes drift   Stokes wave   Swell   Trochoidal wave   Tsunami   megatsunami     Undertow   Ursell number   Wave action   Wave base   Wave height   Wave power   Wave radar   Wave setup   Wave shoaling   Wave turbulence   Wave -- current interaction   Waves and shallow water   one - dimensional Saint - Venant equations   shallow water equations     Wind wave   model           Circulation     Atmospheric circulation   Baroclinity   Boundary current   Coriolis force   Coriolis -- Stokes force   Craik -- Leibovich vortex force   Downwelling   Eddy   Ekman layer   Ekman spiral   Ekman transport   El Niño -- Southern Oscillation   General circulation model   Geostrophic current   Global Ocean Data Analysis Project   Gulf Stream   Halothermal circulation   Humboldt Current   Hydrothermal circulation   Langmuir circulation   Longshore drift   Loop Current   Modular Ocean Model   Ocean dynamics   Ocean gyre   Princeton Ocean Model   Rip current   Subsurface currents   Sverdrup balance   Thermohaline circulation   shutdown     Upwelling   Whirlpool   World Ocean Circulation Experiment       Tides     Amphidromic point   Earth tide   Head of tide   Internal tide   Lunitidal interval   Perigean spring tide   Rip tide   Rule of twelfths   Slack water   Tidal bore   Tidal force   Tidal power   Tidal race   Tidal range   Tidal resonance   Tide gauge   Tideline       Landforms     Abyssal fan   Abyssal plain   Atoll   Bathymetric chart   Coastal geography   Cold seep   Continental margin   Continental rise   Continental shelf   Contourite   Guyot   Hydrography   Oceanic basin   Oceanic plateau   Oceanic trench   Passive margin   Seabed   Seamount   Submarine canyon   Submarine volcano       Plate tectonics     Convergent boundary   Divergent boundary   Fracture zone   Hydrothermal vent   Marine geology   Mid-ocean ridge   Mohorovičić discontinuity   Vine -- Matthews -- Morley hypothesis   Oceanic crust   Outer trench swell   Ridge push   Seafloor spreading   Slab pull   Slab suction   Slab window   Subduction   Transform fault   Volcanic arc       Ocean zones     Benthic   Deep ocean water   Deep sea   Littoral   Mesopelagic   Oceanic   Pelagic   Photic   Surf   Swash       Sea level     Deep - ocean Assessment and Reporting of Tsunamis   Future sea level   Global Sea Level Observing System   North West Shelf Operational Oceanographic System   Sea - level curve   Sea level rise   World Geodetic System       Acoustics     Deep scattering layer   Hydroacoustics   Ocean acoustic tomography   Sofar bomb   SOFAR channel   Underwater acoustics       Satellites     Jason - 1   Jason - 2 ( Ocean Surface Topography Mission )   Jason - 3       Related     Argo   Benthic lander   Color of water   DSV Alvin   Marginal sea   Marine energy   Marine pollution   Mooring   National Oceanographic Data Center   Ocean   Ocean exploration   Ocean observations   Ocean reanalysis   Ocean surface topography   Ocean thermal energy conversion   Oceanography   Pelagic sediment   Sea surface microlayer   Sea surface temperature   Seawater   Science On a Sphere   Thermocline   Underwater glider   Water column   World Ocean Atlas           Commons      Retrieved from `` https://en.wikipedia.org/w/index.php?title=Sea_level&amp;oldid=805024335 '' Categories :   Sea level   Geodesy   Physical oceanography   Oceanographical terminology   Hidden categories :   Use dmy dates from September 2017   Articles needing additional references from August 2015   All articles needing additional references           Talk                                           Contents                   About Wikipedia     Recent changes                                             Afrikaans     Aragonés   Asturianu   Azərbaycanca   تۆرکجه   Bân - lâm - gú   Basa Banyumasan   Беларуская   भोजपुरी   Български   Català   Čeština   Dansk   Deutsch   Eesti   Ελληνικά   Español   Esperanto   Euskara   فارسی   Français   Frysk   Furlan   Galego   </t>
    </r>
    <r>
      <rPr>
        <sz val="11"/>
        <color rgb="FF000000"/>
        <rFont val="Noto Sans CJK SC"/>
        <family val="2"/>
      </rPr>
      <t xml:space="preserve">한국어   </t>
    </r>
    <r>
      <rPr>
        <sz val="11"/>
        <color rgb="FF000000"/>
        <rFont val="Calibri"/>
        <family val="0"/>
        <charset val="1"/>
      </rPr>
      <t xml:space="preserve">Հայերեն   हिन्दी   Hrvatski   Ilokano   Bahasa Indonesia   Interlingua   Íslenska   Italiano   עברית   ქართული   Қазақша   Kiswahili   Kurdî   Latina   Latviešu   Lietuvių   Limburgs   Македонски   മലയാളം   मराठी   მარგალური   Bahasa Melayu   Nederlands   </t>
    </r>
    <r>
      <rPr>
        <sz val="11"/>
        <color rgb="FF000000"/>
        <rFont val="Noto Sans CJK SC"/>
        <family val="2"/>
      </rPr>
      <t xml:space="preserve">日本 語   </t>
    </r>
    <r>
      <rPr>
        <sz val="11"/>
        <color rgb="FF000000"/>
        <rFont val="Calibri"/>
        <family val="0"/>
        <charset val="1"/>
      </rPr>
      <t xml:space="preserve">Нохчийн   Nordfriisk   Norsk   Norsk nynorsk   Occitan   Piemontèis   Polski   Português   Română   Русский   Scots   Simple English   Slovenčina   Soomaaliga   Srpskohrvatski / српскохрватски   Suomi   Svenska   தமிழ்   తెలుగు   ไทย   Türkçe   Українська   اردو   Tiếng Việt   </t>
    </r>
    <r>
      <rPr>
        <sz val="11"/>
        <color rgb="FF000000"/>
        <rFont val="Noto Sans CJK SC"/>
        <family val="2"/>
      </rPr>
      <t xml:space="preserve">文言   </t>
    </r>
    <r>
      <rPr>
        <sz val="11"/>
        <color rgb="FF000000"/>
        <rFont val="Calibri"/>
        <family val="0"/>
        <charset val="1"/>
      </rPr>
      <t xml:space="preserve">Winaray   </t>
    </r>
    <r>
      <rPr>
        <sz val="11"/>
        <color rgb="FF000000"/>
        <rFont val="Noto Sans CJK SC"/>
        <family val="2"/>
      </rPr>
      <t xml:space="preserve">粵語   </t>
    </r>
    <r>
      <rPr>
        <sz val="11"/>
        <color rgb="FF000000"/>
        <rFont val="Calibri"/>
        <family val="0"/>
        <charset val="1"/>
      </rPr>
      <t xml:space="preserve">Zeêuws   </t>
    </r>
    <r>
      <rPr>
        <sz val="11"/>
        <color rgb="FF000000"/>
        <rFont val="Noto Sans CJK SC"/>
        <family val="2"/>
      </rPr>
      <t xml:space="preserve">中文   </t>
    </r>
    <r>
      <rPr>
        <sz val="11"/>
        <color rgb="FF000000"/>
        <rFont val="Calibri"/>
        <family val="0"/>
        <charset val="1"/>
      </rPr>
      <t xml:space="preserve">Edit links   This page was last edited on 12 October 2017 , at 15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</si>
  <si>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sea level measured in the uk</t>
  </si>
  <si>
    <t xml:space="preserve"> In the UK , the Ordnance Datum ( the 0 metres height on UK maps ) is the mean sea level measured at Newlyn in Cornwall between 1915 and 1921 . Prior to 1921 , the datum was MSL at the Victoria Dock , Liverpool . </t>
  </si>
  <si>
    <r>
      <rPr>
        <sz val="11"/>
        <color rgb="FF000000"/>
        <rFont val="Calibri"/>
        <family val="0"/>
        <charset val="1"/>
      </rPr>
      <t xml:space="preserve">Flight of the Navigator - wikipedia  Flight of the Navigator     Flight of the Navigator     Theatrical release poster     Directed by   Randal Kleiser     Produced by     Dimitri Villard   Robert Wald       Screenplay by     Michael Burton   Matt MacManus       Story by   Mark H. Baker     Starring     Joey Cramer       Music by   Alan Silvestri     Cinematography     James Glennon   Eric McGraw ( uncredited )       Edited by     Jeff Gourson   Janice Parker       Production company     Walt Disney Pictures   Producers Sales Organization   New Star Entertainment       Distributed by   Buena Vista Pictures     Release date     August 1 , 1986 ( 1986 - 08 - 01 )               Running time   90 minutes     Country   United States     Language   English     Budget   $9 million     Box office   $18,564,613     Flight of the Navigator is a 1986 American science fiction adventure film directed by Randal Kleiser and written by Mark H. Baker , Michael Burton and Matt MacManus . It stars Joey Cramer as David Freeman , a 12 - year - old boy who is abducted by an alien spaceship and finds himself caught in a world that has changed around him .   The film 's producers initially sent the project to Walt Disney Pictures in 1984 , but the studio was unable to approve it and it was sent to Producers Sales Organization , which made a deal with Disney to distribute it in the United States . It was partially shot in Fort Lauderdale , Florida and Norway , being a co-production with Norwegian company Viking Film .   Contents    1 Plot   2 Cast   3 Production   4 Soundtrack   5 Critical reception   6 Remake   7 References   8 External links    Plot ( edit )   On the night of July 4 , 1978 , in Fort Lauderdale , Florida , 12 - year - old David Freeman walks through the woods to pick up his 8 - year - old younger brother , Jeff , from a friend 's house when he accidentally falls into a ravine and is knocked unconscious . When he comes to , he discovers that eight years have passed and it is now 1986 . While he has not aged at all , his parents are now middle - aged and Jeff is now 16 . Meanwhile , an alien spaceship crashes through power lines and is promptly confiscated by NASA . David is taken to the hospital for tests where his brainwaves reveal images of the spaceship . Dr. Louis Faraday , who has been studying it since its arrival , persuades David to come to a NASA research facility for just 48 hours for extra tests , promising him that they can help him learn the truth about what happened to him . There , Dr. Faraday discovers that David 's mind is filled with alien technical manuals and star charts covering expanses of the galaxy far exceeding anything humans have recorded . It tells the scientists that he was taken to a planet called Phaelon , 560 light years away , in just over 2.2 hours . They realize that he has experienced severe time dilation as a result of having traveled faster than the speed of light , explaining why eight years have passed on Earth , but not for him . He is unable to comprehend what Dr. Faraday tells him and flees the room , leaving Dr. Faraday muttering that 48 hours will be insufficient to finish his investigation .   The next morning , following a telepathic communication from the spaceship , David secretly boards it and meets its robotic commander , `` Trimaxion Drone Ship '' ( or `` Max '' for short ) , which refers to David as the `` Navigator '' . After they escape from the facility , Max tells David that his mission was to travel across the galaxy , collect biological specimens , take them to Phaelon for analysis , and then return them to their homes . Phaelon 's scientists discovered humans only use 10 % of their brain and , as an experiment , filled the remainder of David 's with miscellaneous information . This includes all of the star charts discovered by Phaelon 's astronomers , some of which were shown to the NASA scientists during David 's interrogation . Max then returned him to Earth , but did not take him back to his own time , having determined that a human would be unlikely to survive a trip back in time . Before leaving Earth , Max accidentally crashed the spaceship , erasing all the computer 's star charts and data . Therefore , he needs the information in David 's brain to return home .   Max programs the spaceship for a mind transfer , and David is shown the eight remaining alien specimens on board , and bonds with a `` Puckmaren '' , a tiny bat - like one , that is the last of his kind after a comet destroyed its planet , Binpuka Minor . Max performs the mind transfer on David to reacquire the star charts , but in the process also contracts human emotional attributes , resulting in eccentric behavior . He and David start bickering while their antics trigger several UFO reports in Tokyo and other cities . Meanwhile , NASA intern Carolyn McAdams contacts David 's family and tells them about his escape in the spaceship ; as a result , Dr. Faraday has them confined to the house and Carolyn is sent back to the facility .   When the spaceship stops at a gas station in the Florida Keys , David calls Jeff and asks him to send a signal to locate their new home . He sets off fireworks on the rooftop . David and Max arrive near the house , but NASA agents , having tracked the spaceship 's every move , get there first . Fearing that he would be institutionalized for life if he remains in 1986 , he orders Max to return him to 1978 , regardless of the risk to his life . After the journey back in time , he wakes up in the ravine , walks home , and finds everything as he left it . During the Fourth of July celebration , he watches Max flash across the sky against the backdrop of fireworks while Jeff is surprised to see the Puckmaren in David 's backpack .   Cast ( edit )    Joey Cramer as David Freeman   Paul Reubens ( credited as `` Paul Mall '' ) as the voice of Max   Cliff DeYoung as Bill Freeman   Veronica Cartwright as Helen Freeman   Matt Adler as Jeff Freeman       Albie Whitaker plays eight - year - old Jeff Freeman       Sarah Jessica Parker as Carolyn McAdams   Howard Hesseman as Dr. Louis Faraday   Jonathan Sanger as Dr. Carr   Richard Liberty as Larry Howard   Iris Acker as Janet Howard   Raymond Forchion as Detective Banks   Keri Rogers as Jennifer Bradley    Production ( edit )   The Trimaxion Drone Ship was rendered in computer - generated imagery ( CGI ) by Omnibus Computer Animation , under the supervision of Jeff Kleiser , the brother of director Randal Kleiser .   Soundtrack ( edit )   The music score for the film was composed by Alan Silvestri . It is distinct from his other scores in being entirely electronically generated , using the Synclavier , one of the first digital multi-track recorders and samplers .     Flight of the Navigator     Soundtrack album by Alan Silvestri     Released   1986     Genre   Electronic , film score      Theme from `` Flight of the Navigator ''   `` Main Title ''   `` The Ship Beckons ''   `` David in the Woods ''   `` Robot Romp ''   `` Transporting the Ship ''   `` Ship Drop ''   `` Have to Help a Friend ''   `` The Shadow Universe ''   `` Flight ''   `` Finale ''   `` Star Dancing ''    Critical reception ( edit )   The film received mainly positive reviews . Rotten Tomatoes rated it a fresh rating of 81 % based on 27 reviews with the consensus : `` Bolstered by impressive special effects and a charming performance from its young star , Flight of the Navigator holds up as a solidly entertaining bit of family - friendly sci - fi . ''   Kevin Thomas of the Los Angeles Times said its biggest plus was `` its entirely believable , normal American family . '' The New York Times described it as `` definitely a film most children can enjoy . '' People declared it `` out - of - this - world fun . '' Empire gave it 3 / 5 stars , saying it was `` well - made enough to keep the family happy , but it certainly wo n't challenge them . '' Variety was more critical , announcing that `` instead of creating an eye - opening panorama , Flight of the Navigator looks through the small end of the telescope . '' Dave Kehr gave it 3 stars and described it as `` a new high for Disney . ''   Remake ( edit )   In May 2009 , The Hollywood Reporter reported that Disney was readying a remake of the film . Brad Copeland was writing the script and Mandeville partners David Hoberman and Todd Lieberman would serve as producers . In November 2012 , Disney hired Safety Not Guaranteed 's director Colin Trevorrow and writer / producer Derek Connolly to rewrite the script . In September 2017 , Lionsgate and The Jim Henson Company announced that a reboot of Flight of the Navigator is in pre-production with Joe Henderson from TV 's Lucifer writing the script .   References ( edit )    ^ Jump up to : Dave Kehr ( July 30 , 1986 ) . `` ' Flight Of Navigator ' A New High For Disney '' . Chicago Tribune . Retrieved December 20 , 2009 .   Jump up ^ `` Flight of the Navigator - 1986 - Joey Cramer , Randal Kleiser - Variety Profiles '' . Variety . July 30 , 1986 . Retrieved December 20 , 2009 .   Jump up ^ `` Flight of the Navigator ( 1986 ) '' . The Powergrid . Wrap News inc . Retrieved September 8 , 2013 .   Jump up ^ Mark Damon ; Linda Schreyer ( 2008 ) . From Cowboy to Mogul to Monster : The Neverending Story of Film Pioneer Mark Damon . Bloomington , Indiana : AuthorHouse . p. 376 . ISBN 978 - 1 - 4343 - 7737 - 1 .   Jump up ^ Charles Solomon ( 1987 - 08 - 01 ) . `` Commentary : Computer Graphics Shows Its Stuff '' . Los Angeles Times . Retrieved 2012 - 06 - 10 .   Jump up ^ Anderson , Martin ( 2009 - 07 - 15 ) . `` Jeff Kleiser Discusses the Early CGI of Flight of the Navigator '' . Den of Geek ! . Retrieved 2016 - 01 - 15 .   Jump up ^ Film 's end credits   Jump up ^ Kevin Thomas ( 1986 - 07 - 31 ) . `` Movie Review : ' Flight Of Navigator ' Offers A Family Outing '' . Los Angeles Times . Retrieved 2012 - 06 - 10 .   Jump up ^ Caryn James ( 1986 - 07 - 30 ) . `` The Screen : ' Flight Of The Navigator ' '' . The New York Times . Retrieved 2013 - 09 - 08 .   Jump up ^ Scot Haller ; Tom Cunneff ; Ira Hellman ( 1986 - 08 - 18 ) . `` Picks and Pans Review : Flight of the Navigator '' . People . Retrieved 2013 - 09 - 08 .   Jump up ^ `` Flight of the Navigator '' . Empire . Archived from the original on 2014 - 02 - 22 . Retrieved 2013 - 09 - 08 .   Jump up ^ `` Review : '' Flight of the Navigator `` '' . Variety . Retrieved 2013 - 09 - 08 .   Jump up ^ Borys Kit ( 2009 - 05 - 26 ) . `` Disney , Mandeville file new ' Flight ' plan '' . The Hollywood Reporter . Retrieved 2013 - 09 - 08 .   Jump up ^ Trumbore , Dave ( 2012 - 11 - 27 ) . `` Colin Trevorrow and Derek Connolly to Rewrite FLIGHT OF THE NAVIGATOR Remake ; Trevorrow May Direct '' . Collider . Retrieved 2017 - 04 - 23 .   Jump up ^ McNary , Dave ( 2017 - 09 - 28 ) . `` ' Flight of the Navigator ' Reboot in Works With ' Lucifer ' Showrunner '' . Variety . Retrieved 2017 - 09 - 28 .    External links ( edit )    Official website   Flight of the Navigator on IMDb   Flight of the Navigator at the TCM Movie Database   Flight of the Navigator at AllMovie   Flight of the Navigator at Box Office Mojo   Flight of the Navigator at Rotten Tomatoes              Films directed by Randal Kleiser       Peege ( 1973 )   Dawn : Portrait of a Teenage Runaway ( 1976 )   The Boy in the Plastic Bubble ( 1976 )   The Gathering ( 1977 )   Grease ( 1978 )   The Blue Lagoon ( 1980 )   Summer Lovers ( 1982 )   Grandview , U.S.A. ( 1984 )   Flight of the Navigator ( 1986 )   Big Top Pee - wee ( 1988 )   Getting It Right ( 1989 )   White Fang ( 1991 )   Honey , I Blew Up the Kid ( 1992 )   It 's My Party ( 1996 )   Shadow of Doubt ( 1998 )   Love Wrecked ( 2005 )   Red Riding Hood ( 2006 )      Retrieved from `` https://en.wikipedia.org/w/index.php?title=Flight_of_the_Navigator&amp;oldid=854971824 '' Categories :   1986 films   English - language films   American films   Norwegian films   1980s adventure films   1980s science fiction films   American children 's adventure films   American children 's fantasy films   American robot films   American science fantasy films   American science fiction films   Films directed by Randal Kleiser   Films scored by Alan Silvestri   Films set in 1978   Films set in 1986   Films set in Florida   Films shot in Florida   Films shot in Norway   Fort Lauderdale , Florida   Time travel films   Walt Disney Pictures films   Hidden categories :   All articles with dead external links   Articles with dead external links from September 2010   Articles with hAudio microformats   Album infoboxes lacking a cover           Talk                                           Contents                   About Wikipedia                                           Brezhoneg   Cymraeg   Dansk   Deutsch   Español   Esperanto   Français   Italiano   עברית   ქართული   Latviešu   Magyar   Bahasa Melayu   Nederlands   </t>
    </r>
    <r>
      <rPr>
        <sz val="11"/>
        <color rgb="FF000000"/>
        <rFont val="Noto Sans CJK SC"/>
        <family val="2"/>
      </rPr>
      <t xml:space="preserve">日本 語   </t>
    </r>
    <r>
      <rPr>
        <sz val="11"/>
        <color rgb="FF000000"/>
        <rFont val="Calibri"/>
        <family val="0"/>
        <charset val="1"/>
      </rPr>
      <t xml:space="preserve">Norsk   Occitan   Oʻzbekcha / ўзбекча   Polski   Português   Română   Русский   Simple English   Српски / srpski   Suomi   Svenska   Українська  18 more  Edit links   This page was last edited on 15 August 2018 , at 01 : 31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</si>
  <si>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80's movie about a kid in a spaceship</t>
  </si>
  <si>
    <t xml:space="preserve"> Flight of the Navigator is a 1986 American science fiction adventure film directed by Randal Kleiser and written by Mark H. Baker , Michael Burton and Matt MacManus . It stars Joey Cramer as David Freeman , a 12 - year - old boy who is abducted by an alien spaceship and finds himself caught in a world that has changed around him . </t>
  </si>
  <si>
    <t xml:space="preserve">List of Texas Revolution battles - wikipedia  List of Texas Revolution battles  Jump to : navigation , search  When General Santa Anna changed the constitution and began operating as a dictator , Federalists throughout the country revolted ; in Texas , an armed uprising began on October 2 when settlers refused to return a small cannon to Mexican troops . This ( Battle of Gonzales ) ended with Mexican troops retreating empty handed to San Antonio de Bexar ( now the U.S. city of San Antonio , Texas ) . Emboldened by their victory , the Texans formed a volunteer army . A small force of Texans traveled down the Texas coastline , defeating Mexican troops at Goliad and at Fort Lipantitlán . The majority of the Texan troops followed General Stephen F. Austin to Bexar , where they initiated a siege of the Mexican garrison . After victories in several skirmishes , including the Battle of Concepción and the Grass Fight , the Texans attacked Bexar . After several days of fighting , the Siege of Bexar ended with the surrender of Mexican general The youngest person in the Alamo was 16 years old   Many Texans believed the war was now over , and the majority of the settlers returned to their homes . The remaining troops were garrisoned at the Alamo Mission in Bexar and at Presidio La Bahia in Goliad . In early January , a large number of the remaining soldiers , most of them adventurers recently arrived from the United States , began clamoring to invade Mexico . Colonel Frank W. Johnson and Dr. James Grant began preparing to attack Matamoros .   Even before Cos 's defeat , Santa Anna had been making plans to retake Texas . In January , he led the `` Army of Operations in Texas '' towards the rebellious territory . At the Rio Grande , the army divided ; Santa Anna led the bulk of the troops toward Bexar , where he laid siege to the Alamo . The remaining troops , under General Jose de Urrea , traveled up the coastline , easily defeating Johnson and Grant at the battles of San Patricio and Agua Dulce . News of these first Mexican victories cheered the Mexican force gathered at Bexar . On March 6 , Santa Anna ordered an assault on the Alamo ; all but a few of the defenders were killed . A woman , the wife of an Alamo defender , her baby , and a slave of an Alamo defender were released to tell Sam Houston what had happened . They were told to say that everyone would either surrender or die . News of the Texan defeat and approach of the Mexican army terrified the settlers ; in an event later known as the Runaway Scrape , settlers , the Texas government , and the remnants of the Texan army under the command of Sam Houston fled east , away from the approaching army . Houston ordered Colonel James Fannin to abandon Goliad and join his retreat . However , Fannin delayed his departure and sent a quarter of his troops to help evacuate the settlers at Refugio . Centralist forces in the area were stronger than the Texans expected at Refugio and defeated them . After receiving word of the defeat , Fannin finally began his retreat . His men were quickly overtaken and surrounded by Mexican soldiers . Fannin fought courageously at the Battle of Coleto , but was forced to surrender . He and his 300 men were taken prisoner , but just days later were executed in the Goliad Massacre .   The only remaining Texan troops were those retreating with Houston . After learning that Santa Anna had again divided his forces , Houston ordered an attack on April 21 , 1836 . Crying `` Remember the Alamo '' and `` Remember Goliad '' , the Texans showed little mercy during the Battle of San Jacinto . Santa Anna was captured in hiding the following day and he ordered his army to return to Mexico , ending the Texas Revolution .    Key   ( M ) -- Mexican victory   ( T ) -- Texan victory      Battle   Location   Date ( s )   Engagement remarks   Victor     Battle of Gonzales   Gonzales   October 2 , 1835   This battle resulted in the first casualties of the Texas Revolution . One Mexican soldier killed       Battle of Goliad   Goliad   October 10 , 1835   Texans captured Presidio La Bahia , blocking the Mexican Army in Texas from accessing the primary Texas port of Copano . One Texan was wounded , and estimates of Mexican casualties range from one to three soldiers killed and from three to seven wounded .       Battle of Lipantitlán   San Patricio   November 4 -- 5 , 1835   Texans captured and destroyed Fort Lipantitlán . Most of the Mexican soldiers retreated to Matamoros . One Texan was wounded , and 3 -- 5 Mexican soldiers were killed , with an additional 14 -- 17 Mexican soldiers wounded .       Battle of Concepción   San Antonio de Bexar   October 28 , 1835   In the last offensive ordered by General Martin Perfecto de Cos during the Texas Revolution , Mexican soldiers surprised a Texan force camped near Mission Concepción . The Texans repulsed several attacks with what historian Alwyn Barr described as `` able leadership , a strong position , and greater firepower '' . One Texan was injured , and Richard Andrews became the first Texan soldier to die in battle . Between 14 and 76 Mexican soldiers were killed . Historian Stephen Hardin believes that `` the relative ease of the victory at Concepción instilled in the Texans a reliance on their long rifles and a contempt for their enemies '' , which may have led to the later Texan defeat at Coleto .       Grass Fight   San Antonio de Bexar   November 26 , 1835   Texans attack a large Mexican army pack train . 4 Texans wounded and 17 Mexican casualties . Resulted in the capture of horses and hay ( grass ) .       Siege of Bexar   San Antonio de Bexar   October 12 -- December 11 , 1835   In a six - week siege , Texans attacked Bexar and fought from house to house for five days . After Cos surrendered , all Mexican troops in Texas were forced to retreat beyond the Rio Grande , leaving the Texans in military control . 150 Mexicans killed or wounded and 35 Texans killed or wounded .       Battle of San Patricio   San Patricio   February 27 , 1836   This was the first battle of the Goliad Campaign . The Johnson - Grant venture , the first battle of the Texas Revolution in which the Mexican Army was the victor . From the Johnson forces , 20 Texans killed , 32 captured and 1 Mexican loss , 4 wounded . Johnson and 4 others escaped after capture and proceeded to Goliad . Johnson would survive the Texas Revolution .       Battle of Agua Dulce   Agua Dulce   March 2 , 1836   Second battle of the Goliad Campaign . Of 27 men of the Grant and Morris forces from the Johnson - Grant venture - 12 / 15 killed ; 6 captured and imprisoned at Matamoros ; Six escaped , of whom five were killed at Goliad Massacre       Battle of the Alamo   San Antonio de Bexar   February 23 -- March 6 , 1836   Mexican President Antonio Lopez de Santa Anna personally oversaw the siege of the Alamo and the subsequent battle , where almost all 189 - 250 Texan defenders were killed . 600 Mexicans killed or wounded . Anger over Santa Anna 's lack of mercy led many Texan settlers to join the Texan Army . ( This battle is considered one of the most famous battles in American history and is the inspiration for dozens of movies and books )       Battle of Refugio   Refugio   March 14 , 1836   Third battle of the Goliad Campaign . Texans inflicted heavy casualties , but split their forces and retreated , ending in capture . About 50 Texans killed and 98 captured with some later executions , 29 spared as laborers , survivors sent to Goliad and possibly 80 - 100 Mexican casualties with 50 wounded .       Battle of Coleto   outside Goliad   March 19 -- 20 , 1836   Final battle of the Goliad Campaign . In an attempt to rendezvous with other Texan forces , the southernmost wing of Texan army brazenly departs their heavily fortified location in the midst of oppositional forces . A battle ensues with 10 Texans killed , 60 wounded and 200 Mexicans killed or wounded . After the second day of fighting , a Texan surrender is agreed upon . Approximately 342 of the captured Texans were not pardoned but were executed on March 27 in the Goliad Massacre with 20 spared and 28 escaped . Anger over Santa Anna 's lack of mercy led many future Texan settlers to join the Texan Army .       Battle of San Jacinto   near modern La Porte , Texas   April 21 , 1836   After an 18 - minute battle , Texans routed Santa Anna 's forces , eventually taking Santa Anna prisoner . This was the last battle of the Texas Revolution . 630 Mexicans killed , 208 wounded , 730 captured and 9 Texans killed , 30 wounded .       See also ( edit )    Timeline of the Texas Revolution    Footnotes ( edit )    Jump up ^ Hardin ( 1994 ) , pp. 17 , 19 .   Jump up ^ Huson ( 1974 ) , p. 13 .   Jump up ^ Roell , Craig H. , Goliad Campaign of 1835 , Handbook of Texas , retrieved 2008 - 07 - 14   Jump up ^ Scott ( 2000 ) , p. 20 .   Jump up ^ Hardin ( 1994 ) , p. 44 .   Jump up ^ Groneman ( 1998 ) , p. 36 .   Jump up ^ Hardin ( 1994 ) , pp. 46 -- 7 .   Jump up ^ Barr ( 1990 ) , pp. 24 , 27 .   ^ Jump up to : Bar ( 1990 ) , p. 26 .   Jump up ^ Hardin ( 1994 ) , p. 34 .   Jump up ^ Hardin ( 1994 ) , p. 35 .   Jump up ^ Barr ( 1990 ) , p. 60 .    References ( edit )    Barr , Alwyn ( 1990 ) . Texans in Revolt : the Battle for San Antonio , 1835 . Austin , TX : University of Texas Press . ISBN 0 - 292 - 77042 - 1 . OCLC 20354408 .   Groneman , Bill ( 1998 ) . Battlefields of Texas . Plano , TX : Republic of Texas Press . ISBN 978 - 1 - 55622 - 571 - 0 .   Hardin , Stephen L. ( 1994 ) . Texan Iliad -- A Military History of the Texas Revolution . Austin , Texas : University of Texas Press . ISBN 0 - 292 - 73086 - 1 . OCLC 29704011 .   Huson , Hobart ( 1974 ) . Captain Phillip Dimmitt 's Commandancy of Goliad , 1835 -- 1836 : An Episode of the Mexican Federalist War in Texas , Usually Referred to as the Texan Revolution . Austin , Texas : Von Boeckmann - Jones Co .   Scott , Robert ( 2000 ) . After the Alamo . Plano , Texas : Republic of Texas Press . ISBN 978 - 0 - 585 - 22788 - 7 .   Retrieved from `` https://en.wikipedia.org/w/index.php?title=List_of_Texas_Revolution_battles&amp;oldid=825807040 '' Categories :   Lists of battles   Texas Revolution           Talk                                                             About Wikipedia                                           Português   Edit links   This page was last edited on 15 February 2018 , at 15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</si>
  <si>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did the first battle of the texas revolution take place</t>
  </si>
  <si>
    <t xml:space="preserve">   Battle   Location   Date ( s )   Engagement remarks   Victor     Battle of Gonzales   Gonzales   October 2 , 1835   This battle resulted in the first casualties of the Texas Revolution . One Mexican soldier killed       Battle of Goliad   Goliad   October 10 , 1835   Texans captured Presidio La Bahia , blocking the Mexican Army in Texas from accessing the primary Texas port of Copano . One Texan was wounded , and estimates of Mexican casualties range from one to three soldiers killed and from three to seven wounded .       Battle of Lipantitlán   San Patricio   November 4 -- 5 , 1835   Texans captured and destroyed Fort Lipantitlán . Most of the Mexican soldiers retreated to Matamoros . One Texan was wounded , and 3 -- 5 Mexican soldiers were killed , with an additional 14 -- 17 Mexican soldiers wounded .       Battle of Concepción   San Antonio de Bexar   October 28 , 1835   In the last offensive ordered by General Martin Perfecto de Cos during the Texas Revolution , Mexican soldiers surprised a Texan force camped near Mission Concepción . The Texans repulsed several attacks with what historian Alwyn Barr described as `` able leadership , a strong position , and greater firepower '' . One Texan was injured , and Richard Andrews became the first Texan soldier to die in battle . Between 14 and 76 Mexican soldiers were killed . Historian Stephen Hardin believes that `` the relative ease of the victory at Concepción instilled in the Texans a reliance on their long rifles and a contempt for their enemies '' , which may have led to the later Texan defeat at Coleto .       Grass Fight   San Antonio de Bexar   November 26 , 1835   Texans attack a large Mexican army pack train . 4 Texans wounded and 17 Mexican casualties . Resulted in the capture of horses and hay ( grass ) .       Siege of Bexar   San Antonio de Bexar   October 12 -- December 11 , 1835   In a six - week siege , Texans attacked Bexar and fought from house to house for five days . After Cos surrendered , all Mexican troops in Texas were forced to retreat beyond the Rio Grande , leaving the Texans in military control . 150 Mexicans killed or wounded and 35 Texans killed or wounded .       Battle of San Patricio   San Patricio   February 27 , 1836   This was the first battle of the Goliad Campaign . The Johnson - Grant venture , the first battle of the Texas Revolution in which the Mexican Army was the victor . From the Johnson forces , 20 Texans killed , 32 captured and 1 Mexican loss , 4 wounded . Johnson and 4 others escaped after capture and proceeded to Goliad . Johnson would survive the Texas Revolution .       Battle of Agua Dulce   Agua Dulce   March 2 , 1836   Second battle of the Goliad Campaign . Of 27 men of the Grant and Morris forces from the Johnson - Grant venture - 12 / 15 killed ; 6 captured and imprisoned at Matamoros ; Six escaped , of whom five were killed at Goliad Massacre       Battle of the Alamo   San Antonio de Bexar   February 23 -- March 6 , 1836   Mexican President Antonio Lopez de Santa Anna personally oversaw the siege of the Alamo and the subsequent battle , where almost all 189 - 250 Texan defenders were killed . 600 Mexicans killed or wounded . Anger over Santa Anna 's lack of mercy led many Texan settlers to join the Texan Army . ( This battle is considered one of the most famous battles in American history and is the inspiration for dozens of movies and books )       Battle of Refugio   Refugio   March 14 , 1836   Third battle of the Goliad Campaign . Texans inflicted heavy casualties , but split their forces and retreated , ending in capture . About 50 Texans killed and 98 captured with some later executions , 29 spared as laborers , survivors sent to Goliad and possibly 80 - 100 Mexican casualties with 50 wounded .       Battle of Coleto   outside Goliad   March 19 -- 20 , 1836   Final battle of the Goliad Campaign . In an attempt to rendezvous with other Texan forces , the southernmost wing of Texan army brazenly departs their heavily fortified location in the midst of oppositional forces . A battle ensues with 10 Texans killed , 60 wounded and 200 Mexicans killed or wounded . After the second day of fighting , a Texan surrender is agreed upon . Approximately 342 of the captured Texans were not pardoned but were executed on March 27 in the Goliad Massacre with 20 spared and 28 escaped . Anger over Santa Anna 's lack of mercy led many future Texan settlers to join the Texan Army .       Battle of San Jacinto   near modern La Porte , Texas   April 21 , 1836   After an 18 - minute battle , Texans routed Santa Anna 's forces , eventually taking Santa Anna prisoner . This was the last battle of the Texas Revolution . 630 Mexicans killed , 208 wounded , 730 captured and 9 Texans killed , 30 wounded .     </t>
  </si>
  <si>
    <r>
      <rPr>
        <sz val="11"/>
        <color rgb="FF000000"/>
        <rFont val="Calibri"/>
        <family val="0"/>
        <charset val="1"/>
      </rPr>
      <t xml:space="preserve">Nucleotide - wikipedia  Nucleotide  Jump to : navigation , search This nucleotide contains the five - carbon sugar deoxyribose ( at center ) , a nitrogenous base called adenine ( upper right ) , and one phosphate group ( left ) . The deoxyribose sugar joined only to the nitrogenous base forms a Deoxyribonucleoside called deoxyadenosine , whereas the whole structure along with the phosphate group is a nucleotide , a constituent of DNA with the name deoxyadenosine monophosphate .  Nucleotides are organic molecules that serve as the monomer units for forming the nucleic acid polymers deoxyribonucleic acid ( DNA ) and ribonucleic acid ( RNA ) , both of which are essential biomolecules in all life - forms on Earth . Nucleotides are the building blocks of nucleic acids ; they are composed of three subunit molecules : a nitrogenous base , a five - carbon sugar ( ribose or deoxyribose ) , and at least one phosphate group . They are also known as phosphate nucleotides .   A nucleoside is a nitrogenous base and a 5 - carbon sugar . Thus a nucleoside plus a phosphate group yields a nucleotide .   Nucleotides also play a central role in life - form metabolism at the fundamental , cellular level . They carry packets of chemical energy -- in the form of the nucleoside triphosphates ATP , GTP , CTP and UTP -- throughout the cell to the many cellular functions that demand energy , which include synthesizing amino acids , proteins and cell membranes and parts ; moving the cell and moving cell parts , both internally and intercellularly ; dividing the cell , etc . In addition , nucleotides participate in cell signaling ( cGMP and cAMP ) , and are incorporated into important cofactors of enzymatic reactions ( e.g. coenzyme A , FAD , FMN , NAD , and NADP ) .   In experimental biochemistry , nucleotides can be radiolabeled with radionuclides to yield radionucleotides .     Contents  ( hide )   1 Structure   2 Synthesis   2.1 Pyrimidine ribonucleotide synthesis   2.2 Purine ribonucleotide synthesis   2.3 Pyrimidine and purine degradation     3 Unnatural base pair ( UBP )   4 Length unit   5 Nucleotide supplements   6 Abbreviation codes for degenerate bases   7 See also   8 References   9 Further reading   10 External links      Structure ( edit )  Showing the arrangement of nucleotides within the structure of nucleic acids : At lower left , a monophosphate nucleotide ; its nitrogenous base represents one side of a base - pair . At upper right , four nucleotides form two base - pairs : thymine and adenine ( connected by double hydrogen bonds ) and guanine and cytosine ( connected by triple hydrogen bonds ) . The individual nucleotide monomers are chain - joined at their sugar and phosphate molecules , forming two ' backbones ' ( a double helix ) of a nucleic acid , shown at upper left .  A nucleotide is composed of three distinctive chemical sub-units : a five - carbon sugar molecule , a nitrogenous base -- which two together are called a nucleoside -- and one phosphate group . With all three joined , a nucleotide is also termed a `` nucleoside monophosphate '' . The chemistry sources ACS Style Guide and IUPAC Gold Book prescribe that a nucleotide should contain only one phosphate group , but common usage in molecular biology textbooks often extends the definition to include molecules with two , or with three , phosphates . Thus , the terms `` nucleoside diphosphate '' or `` nucleoside triphosphate '' may also indicate nucleotides .   Nucleotides contain either a purine or a pyrimidine base -- i.e. , the nitrogenous base molecule , also known as a nucleobase -- and are termed ribonucleotides if the sugar is ribose , or deoxyribonucleotides if the sugar is deoxyribose . Individual phosphate molecules repetitively connect the sugar - ring molecules in two adjacent nucleotide monomers , thereby connecting the nucleotide monomers of a nucleic acid end - to - end into a long chain . These chain - joins of sugar and phosphate molecules create a ' backbone ' strand for a single - or double helix . In any one strand , the chemical orientation ( directionality ) of the chain - joins runs from the 5 ' - end to the 3 ' - end ( read : 5 prime - end to 3 prime - end ) -- referring to the five carbon sites on sugar molecules in adjacent nucleotides . In a double helix , the two strands are oriented in opposite directions , which permits base pairing and complementarity between the base - pairs , all which is essential for replicating or transcribing the encoded information found in DNA .   Unlike in nucleic acid nucleotides , singular cyclic nucleotides are formed when the phosphate group is bound twice to the same sugar molecule , i.e. , at the corners of the sugar hydroxyl groups . These individual nucleotides function in cell metabolism rather than the nucleic acid structures of long - chain molecules .   Nucleic acids then are polymeric macromolecules assembled from nucleotides , the monomer - units of nucleic acids . The purine bases adenine and guanine and pyrimidine base cytosine occur in both DNA and RNA , while the pyrimidine bases thymine ( in DNA ) and uracil ( in RNA ) in just one . Adenine forms a base pair with thymine with two hydrogen bonds , while guanine pairs with cytosine with three hydrogen bonds .  Structural elements of three nucleotides -- where one - , two - or three - phosphates are attached to the nucleoside ( in yellow , blue , green ) at center : 1st , the nucleotide termed as a nucleoside monophosphate is formed by adding a phosphate group ( in red ) ; 2nd , adding a second phosphate group forms a nucleoside diphosphate ; 3rd , adding a third phosphate group results in a nucleoside triphosphate . + The nitrogenous base ( nucleobase ) is indicated by `` Base '' and `` glycosidic bond '' ( sugar bond ) . All five primary , or canonical , bases -- the purines and pyrimidines -- are sketched at right ( in blue ) .  Synthesis ( edit )   Nucleotides can be synthesized by a variety of means both in vitro and in vivo .   In vivo , nucleotides can be synthesized de novo or recycled through salvage pathways . The components used in de novo nucleotide synthesis are derived from biosynthetic precursors of carbohydrate and amino acid metabolism , and from ammonia and carbon dioxide . The liver is the major organ of de novo synthesis of all four nucleotides . De novo synthesis of pyrimidines and purines follows two different pathways . Pyrimidines are synthesized first from aspartate and carbamoyl - phosphate in the cytoplasm to the common precursor ring structure orotic acid , onto which a phosphorylated ribosyl unit is covalently linked . Purines , however , are first synthesized from the sugar template onto which the ring synthesis occurs . For reference , the syntheses of the purine and pyrimidine nucleotides are carried out by several enzymes in the cytoplasm of the cell , not within a specific organelle . Nucleotides undergo breakdown such that useful parts can be reused in synthesis reactions to create new nucleotides .   In vitro , protecting groups may be used during laboratory production of nucleotides . A purified nucleoside is protected to create a phosphoramidite , which can then be used to obtain analogues not found in nature and / or to synthesize an oligonucleotide .   Pyrimidine ribonucleotide synthesis ( edit )  The synthesis of UMP . The color scheme is as follows : enzymes , coenzymes , substrate names , inorganic molecules Main article : Pyrimidine metabolism  The synthesis of the pyrimidines CTP and UTP occurs in the cytoplasm and starts with the formation of carbamoyl phosphate from glutamine and CO . Next , aspartate carbamoyltransferase catalyzes a condensation reaction between aspartate and carbamoyl phosphate to form carbamoyl aspartic acid , which is cyclized into 4 , 5 - dihydroorotic acid by dihydroorotase . The latter is converted to orotate by dihydroorotate oxidase . The net reaction is :    ( S ) - Dihydroorotate + O → Orotate + H O    Orotate is covalently linked with a phosphorylated ribosyl unit . The covalent linkage between the ribose and pyrimidine occurs at position C of the ribose unit , which contains a pyrophosphate , and N of the pyrimidine ring . Orotate phosphoribosyltransferase ( PRPP transferase ) catalyzes the net reaction yielding orotidine monophosphate ( OMP ) :    Orotate + 5 - Phospho - α - D - ribose 1 - diphosphate ( PRPP ) → Orotidine 5 ' - phosphate + Pyrophosphate    Orotidine 5 ' - monophosphate is decarboxylated by orotidine - 5 ' - phosphate decarboxylase to form uridine monophosphate ( UMP ) . PRPP transferase catalyzes both the ribosylation and decarboxylation reactions , forming UMP from orotic acid in the presence of PRPP . It is from UMP that other pyrimidine nucleotides are derived . UMP is phosphorylated by two kinases to uridine triphosphate ( UTP ) via two sequential reactions with ATP . First the diphosphate form UDP is produced , which in turn is phosphorylated to UTP . Both steps are fueled by ATP hydrolysis :    ATP + UMP → ADP + UDP     UDP + ATP → UTP + ADP    CTP is subsequently formed by amination of UTP by the catalytic activity of CTP synthetase . Glutamine is the NH donor and the reaction is fueled by ATP hydrolysis , too :    UTP + Glutamine + ATP + H O → CTP + ADP + P    Cytidine monophosphate ( CMP ) is derived from cytidine triphosphate ( CTP ) with subsequent loss of two phosphates .   Purine ribonucleotide synthesis ( edit )  Main article : Purine metabolism  The atoms that are used to build the purine nucleotides come from a variety of sources :  The synthesis of IMP . The color scheme is as follows : enzymes , coenzymes , substrate names , metal ions , inorganic molecules      The biosynthetic origins of purine ring atoms N arises from the amine group of Asp C and C originate from formate N and N are contributed by the amide group of Gln C , C and N are derived from Gly C comes from HCO ( CO )     The de novo synthesis of purine nucleotides by which these precursors are incorporated into the purine ring proceeds by a 10 - step pathway to the branch - point intermediate IMP , the nucleotide of the base hypoxanthine . AMP and GMP are subsequently synthesized from this intermediate via separate , two - step pathways . Thus , purine moieties are initially formed as part of the ribonucleotides rather than as free bases .   Six enzymes take part in IMP synthesis . Three of them are multifunctional :    GART ( reactions 2 , 3 , and 5 )   PAICS ( reactions 6 , and 7 )   ATIC ( reactions 9 , and 10 )    The pathway starts with the formation of PRPP . PRPS1 is the enzyme that activates R5P , which is formed primarily by the pentose phosphate pathway , to PRPP by reacting it with ATP . The reaction is unusual in that a pyrophosphoryl group is directly transferred from ATP to C of R5P and that the product has the α configuration about C1 . This reaction is also shared with the pathways for the synthesis of Trp , His , and the pyrimidine nucleotides . Being on a major metabolic crossroad and requiring much energy , this reaction is highly regulated .   In the first reaction unique to purine nucleotide biosynthesis , PPAT catalyzes the displacement of PRPP 's pyrophosphate group ( PP ) by an amide nitrogen donated from either glutamine ( N ) , glycine ( N&amp;C ) , aspartate ( N ) , folic acid ( C ) , or CO . This is the committed step in purine synthesis . The reaction occurs with the inversion of configuration about ribose C , thereby forming β - 5 - phosphorybosylamine ( 5 - PRA ) and establishing the anomeric form of the future nucleotide .   Next , a glycine is incorporated fueled by ATP hydrolysis and the carboxyl group forms an amine bond to the NH previously introduced . A one - carbon unit from folic acid coenzyme N - formyl - THF is then added to the amino group of the substituted glycine followed by the closure of the imidazole ring . Next , a second NH group is transferred from a glutamine to the first carbon of the glycine unit . A carboxylation of the second carbon of the glycin unit is concomittantly added . This new carbon is modified by the additional of a third NH unit , this time transferred from an aspartate residue . Finally , a second one - carbon unit from formyl - THF is added to the nitrogen group and the ring covalently closed to form the common purine precursor inosine monophosphate ( IMP ) .   Inosine monophosphate is converted to adenosine monophosphate in two steps . First , GTP hydrolysis fuels the addition of aspartate to IMP by adenylosuccinate synthase , substituting the carbonyl oxygen for a nitrogen and forming the intermediate adenylosuccinate . Fumarate is then cleaved off forming adenosine monophosphate . This step is catalyzed by adenylosuccinate lyase .   Inosine monophosphate is converted to guanosine monophosphate by the oxidation of IMP forming xanthylate , followed by the insertion of an amino group at C. NAD is the electron acceptor in the oxidation reaction . The amide group transfer from glutamine is fueled by ATP hydrolysis .   Pyrimidine and purine degradation ( edit )   In humans , pyrimidine rings ( C , T , U ) can be degraded completely to CO and NH ( urea excretion ) . That having been said , purine rings ( G , A ) can not . Instead they are degraded to the metabolically inert uric acid which is then excreted from the body . Uric acid is formed when GMP is split into the base guanine and ribose . Guanine is deaminated to xanthine which in turn is oxidized to uric acid . This last reaction is irreversible . Similarly , uric acid can be formed when AMP is deaminated to IMP from which the ribose unit is removed to form hypoxanthine . Hypoxanthine is oxidized to xanthine and finally to uric acid . Instead of uric acid secretion , guanine and IMP can be used for recycling purposes and nucleic acid synthesis in the presence of PRPP and aspartate ( NH donor ) .   Unnatural base pair ( UBP ) ( edit )  Main article : Base pair § Unnatural base pair ( UBP )  An unnatural base pair ( UBP ) is a designed subunit ( or nucleobase ) of DNA which is created in a laboratory and does not occur in nature . In 2012 , a group of American scientists led by Floyd Romesberg , a chemical biologist at the Scripps Research Institute in San Diego , California , published that his team designed an unnatural base pair ( UBP ) . The two new artificial nucleotides or Unnatural Base Pair ( UBP ) were named d5SICS and dNaM . More technically , these artificial nucleotides bearing hydrophobic nucleobases , feature two fused aromatic rings that form a ( d5SICS -- dNaM ) complex or base pair in DNA . In 2014 the same team from the Scripps Research Institute reported that they synthesized a stretch of circular DNA known as a plasmid containing natural T-A and C-G base pairs along with the best - performing UBP Romesberg 's laboratory had designed , and inserted it into cells of the common bacterium E. coli that successfully replicated the unnatural base pairs through multiple generations . This is the first known example of a living organism passing along an expanded genetic code to subsequent generations . This was in part achieved by the addition of a supportive algal gene that expresses a nucleotide triphosphate transporter which efficiently imports the triphosphates of both d5SICSTP and dNaMTP into E. coli bacteria . Then , the natural bacterial replication pathways use them to accurately replicate the plasmid containing d5SICS -- dNaM .   The successful incorporation of a third base pair is a significant breakthrough toward the goal of greatly expanding the number of amino acids which can be encoded by DNA , from the existing 21 amino acids to a theoretically possible 172 , thereby expanding the potential for living organisms to produce novel proteins . The artificial strings of DNA do not encode for anything yet , but scientists speculate they could be designed to manufacture new proteins which could have industrial or pharmaceutical uses .   Length unit ( edit )   Nucleotide ( abbreviated `` nt '' ) is a common unit of length for single - stranded nucleic acids , similar to how base pair is a unit of length for double - stranded nucleic acids .   Nucleotide supplements ( edit )   A study done by the Department of Sports Science at the University of Hull in Hull , UK has shown that nucleotides have significant impact on cortisol levels in saliva . Post exercise , the experimental nucleotide group had lower cortisol levels in their blood than the control or the placebo . Additionally , post supplement values of Immunoglobulin A were significantly higher than either the placebo or the control . The study concluded , `` nucleotide supplementation blunts the response of the hormones associated with physiological stress . ''   Another study conducted in 2013 looked at the impact nucleotide supplementation had on the immune system in athletes . In the study , all athletes were male and were highly skilled in taekwondo . Out of the twenty athletes tested , half received a placebo and half received 480 mg per day of nucleotide supplement . After thirty days , the study concluded that nucleotide supplementation may counteract the impairment of the body 's immune function after heavy exercise .   Abbreviation codes for degenerate bases ( edit )  Main article : Nucleic acid notation  The IUPAC has designated the symbols for nucleotides . Apart from the five ( A , G , C , T / U ) bases , often degenerate bases are used especially for designing PCR primers . These nucleotide codes are listed here . Some primer sequences may also include the character `` I '' , which codes for the non-standard nucleotide inosine . Inosine occurs in tRNAs , and will pair with adenine , cytosine , or thymine . This character does not appear in the following table however , because it does not represent a degeneracy . While inosine can serve a similar function as the degeneracy `` D '' , it is an actual nucleotide , rather than a representation of a mix of nucleotides that covers each possible pairing needed .     Symbol   Description   Bases represented       adenine                 cytosine               guanine               thymine             U   uracil         U       weak                 strong               amino               keto               purine             Y   pyrimidine               not A ( B comes after A )                 not C ( D comes after C )               not G ( H comes after G )             V   not T ( V comes after T and U )               any base ( not a gap )               See also ( edit )    Molecular and cellular biology portal     Biology   Chromosome   Gene   Genetics   Nucleic acid analogues   Nucleic acid sequence   Nucleobase    References ( edit )    ^ Jump up to : Alberts B , Johnson A , Lewis J , Raff M , Roberts K &amp; Walter P ( 2002 ) . Molecular Biology of the Cell ( 4th ed . ) . Garland Science . ISBN 0 - 8153 - 3218 - 1 . pp. 120 -- 121 .   Jump up ^ Coghill , Anne M. ; Garson , Lorrin R. , eds. ( 2006 ) . The ACS style guide : effective communication of scientific information ( 3rd ed . ) . Washington , D.C. : American Chemical Society . p. 244 . ISBN 978 - 0 - 8412 - 3999 - 9 .   Jump up ^ `` Nucleotides '' . IUPAC Gold Book . International Union of Pure and Applied Chemists . doi : 10.1351 / goldbook. N04255 . Retrieved 30 June 2014 .   Jump up ^ Lehninger , Albert L. ( 1975 ) . Biochemistry : the molecular basis of cell structure and function . New York : Worth Publishers Inc . doi : 10.1002 / jobm. 19770170116 .   Jump up ^ Stryer , Lubert ( 1988 ) . Biochemistry ( 3rd ed . ) . New York : W.H. Freeman . ISBN 9780716719205 .   Jump up ^ Garrett , Reginald H. ; Grisham , Charles M. ( 2007 ) . Biochemistry ( 4th ed . ) . Belmont , California : Brooks / Cole , Cengage Learning .   Jump up ^ Zaharevitz , DW ; Anerson , LW ; Manlinowski , NM ; Hyman , R ; Strong , JM ; Cysyk , RL . `` Contribution of de-novo and salvage synthesis to the uracil nucleotide pool in mouse tissues and tumors in vivo '' .   Jump up ^ See IUPAC nomenclature of organic chemistry for details on carbon residue numbering   Jump up ^ Jones , M.E. ( 1980 ) . `` Pyrimidine nucleotide biosynthesis in animals : Genes , enzymes , and regulation of UMP biosynthesis '' . Annu. Rev. Biochem. 49 ( 1 ) : 253 -- 79 . doi : 10.1146 / annurev. bi. 49.070180. 001345 . PMID 6105839 .   Jump up ^ McMurry , JE ; Begley , TP ( 2005 ) . The organic chemistry of biological pathways . Roberts &amp; Company . ISBN 978 - 0 - 9747077 - 1 - 6 .   Jump up ^ Malyshev , Denis A. ; Dhami , Kirandeep ; Quach , Henry T. ; Lavergne , Thomas ; Ordoukhanian , Phillip ( 24 July 2012 ) . `` Efficient and sequence - independent replication of DNA containing a third base pair establishes a functional six - letter genetic alphabet '' . Proceedings of the National Academy of Sciences of the United States of America . 109 ( 30 ) : 12005 -- 12010 . Bibcode : 2012PNAS ... 10912005M . doi : 10.1073 / pnas. 1205176109 . PMC 3409741 . PMID 22773812 . Retrieved 2014 - 05 - 11 .   ^ Jump up to : Malyshev , Denis A. ; Dhami , Kirandeep ; Lavergne , Thomas ; Chen , Tingjian ; Dai , Nan ; Foster , Jeremy M. ; Corrêa , Ivan R. ; Romesberg , Floyd E. ( May 7 , 2014 ) . `` A semi-synthetic organism with an expanded genetic alphabet '' . Nature . 509 : 385 -- 8 . doi : 10.1038 / nature13314 . PMC 4058825 . PMID 24805238 . Retrieved May 7 , 2014 .   Jump up ^ Callaway , Ewan ( May 7 , 2014 ) . `` Scientists Create First Living Organism With ' Artificial ' DNA '' . Nature News . Huffington Post . Retrieved 8 May 2014 .   ^ Jump up to : Fikes , Bradley J. ( May 8 , 2014 ) . `` Life engineered with expanded genetic code '' . San Diego Union Tribune . Retrieved 8 May 2014 .   Jump up ^ Sample , Ian ( May 7 , 2014 ) . `` First life forms to pass on artificial DNA engineered by US scientists '' . The Guardian . Retrieved 8 May 2014 .   Jump up ^ Pollack , Andrew ( May 7 , 2014 ) . `` Scientists Add Letters to DNA 's Alphabet , Raising Hope and Fear '' . New York Times . Retrieved 8 May 2014 .   Jump up ^ Mc Naughton , L. ; Bentley , D. ; Koeppel , P. ( 2007 - 03 - 01 ) . `` The effects of a nucleotide supplement on the immune and metabolic response to short term , high intensity exercise performance in trained male subjects '' . The Journal of Sports Medicine and Physical Fitness . 47 ( 1 ) : 112 -- 118 . ISSN 0022 - 4707 . PMID 17369807 .   Jump up ^ Riera , Joan ; Pons , Victoria ; Martinez - Puig , Daniel ; Chetrit , Carlos ; Tur , Josep A. ; Pons , Antoni ; Drobnic , Franchek ( 2013 - 04 - 08 ) . `` Dietary nucleotide improves markers of immune response to strenuous exercise under a cold environment '' . Journal of the International Society of Sports Nutrition. 10 ( 1 ) : 20 . doi : 10.1186 / 1550 - 2783 - 10 - 20 . PMC 3626726 . PMID 23566489 .   ^ Jump up to : Nomenclature Committee of the International Union of Biochemistry ( NC - IUB ) ( 1984 ) . `` Nomenclature for Incompletely Specified Bases in Nucleic Acid Sequences '' . Retrieved 2008 - 02 - 04 .    Further reading ( edit )    Sigel , Astrid ; Operschall , Bert P. ; Sigel , Helmut ( 2017 ) . `` Chapter 11 . Complex Formation of Lead ( II ) with Nucleotides and Their Constituents '' . In Astrid , S. ; Helmut , S. ; Sigel , R.K.O. Lead : Its Effects on Environment and Health . Metal Ions in Life Sciences . 17 . de Gruyter . pp. 319 -- 402 . doi : 10.1515 / 9783110434330 - 011 .    External links ( edit )    Abbreviations and Symbols for Nucleic Acids , Polynucleotides and their Constituents ( IUPAC )   Provisional Recommendations 2004 ( IUPAC )   Chemistry explanation of nucleotide structure      ( hide )         Genetics       Introduction   Outline   History   Index       Key components     Chromosome   DNA   RNA   Nucleotide   Genome       Fields     Classical   Conservation   Ecological   Immunogenetics   Molecular   Population   Quantitative       Archaeogenetics of     the Americas   the British Isles   Europe   Italy   the Near East   South Asia       Related topics     Behavioural genetics   Epigenetics   Geneticist   Genomics   Genetic code   Medical genetics   Molecular evolution   Reverse genetics   Genetic engineering   Genetic diversity   Heredity   Genetic monitoring   Genetic genealogy         List of genetics research organizations   Genetics                 Nucleic acid constituents     Nucleobase     Purine   Adenine   Guanine   Hypoxanthine   Xanthine   Purine analogue     Pyrimidine   Uracil   Thymine   Cytosine   Pyrimidine analogue     Unnatural base pair ( UBP )       Nucleoside      Ribonucleoside     Adenosine   Guanosine   5 - Methyluridine   Uridine   5 - Methylcytidine   Cytidine   Inosine   Xanthosine   Wybutosine       Deoxyribonucleoside     Deoxyadenosine   Deoxyguanosine   Thymidine   Deoxyuridine   Deoxycytidine   Deoxyinosine   Deoxyxanthosine          Nucleotide ( Nucleoside monophosphate )      Ribonucleotide     AMP   GMP   m UMP   UMP   CMP   IMP   XMP       Deoxyribonucleotide     dAMP   dGMP   dTMP   dUMP   dCMP   dIMP   dXMP       Cyclic nucleotide     cAMP   cGMP   c - di - GMP   cADPR          Nucleoside diphosphate        ADP   GDP   m UDP   UDP   CDP         dADP   dGDP   dTDP   dUDP   dCDP          Nucleoside triphosphate        ATP   GTP   m UTP   UTP   CTP   ITP   XTP         dATP   dGTP   dTTP   dUTP   dCTP   dITP   dXTP                    Purine receptor modulators     Receptor ( ligands )      P0 ( adenine )     Agonists : 8 - Aminoadenine   Adenine       P1 ( adenosine )     Agonists : 2 - ( 1 - Hexynyl ) - N - methyladenosine   2 - Cl - IB - MECA   2 ' - MeCCPA   4 ' - O - β - D - Glucosyl - 9 - O - ( 6 ' ' - deoxysaccharosyl ) olivil   5 ' - N - ethylcarboxamidoadenosine   Adenosine   ADP   AMP   Apadenoson   ATL - 146e   ATP   BAY 60 -- 6583   Binodenoson   Capadenoson   CCPA   CGS - 21680   CP - 532,903   Evodenoson   GR 79236   LUF - 5835   LUF - 5845   N - Cyclopentyladenosine   Namodenoson   Neladenoson dalanate   Piclidenoson   Regadenoson   SDZ WAG 994   Selodenoson   Sonedenoson   Tecadenoson   UK - 432,097     Antagonists : 8 - Chlorotheophylline   8 - Phenyl - 1 , 3 - dipropylxanthine   8 - Phenyltheophylline   Acefylline   Aminophylline   ATL - 444   Bamifylline   Cafedrine   Caffeine   Caffeine citrate   Cartazolate   CGH - 2466   CGS - 15943   Choline theophyllinate   CPX   CVT - 6883   Dimethazan   DMPX   DPCPX   Dyphylline   Enprofylline   Etazolate   Fenethylline   IBMX   Isovaleric acid   Istradefylline   KF - 26777   MRE3008F20   MRS - 1220   MRS - 1334   MRS - 1706   MRS - 1754   MRS - 3777   Paraxanthine   Pentoxifylline   Preladenant   Propentofylline   Proxyphylline   PSB - 10   PSB - 11   PSB - 36   PSB - 603   PSB - 788   PSB - 1115   Reversine   Rolofylline   SCH - 442,416   SCH - 58261   Theacrine   Theobromine   Theodrenaline   Theophylline   Tozadenant   Tracazolate   VUF - 5574   ZM - 241,385       P2 ( nucleotide )      P2X ( ATP )     Agonists : 2 - Me - SATP   α , β - Me - ATP   Adenosine   ADP   AMP   Ap4A   Ap5A   ATP   ATPγS   BzATP   Cibacron blue   CTP   D - β , γ - Me - ATP   GTP   HT - AMP   Ivermectin   L - β , γ - Me - ATP   MRS - 2219   PAPET - ATP   UTP   Zinc     Antagonists : 5 - BDBD   A-317491   A-438079   A-740003   A-804598   A-839977   AF - 353   AZ - 10606120   AZ - 11645373   BBG   Calcium   Calmidazolium   Chelerythrine   Copper   Emodin ( Rheum officinale )   Evans Blue   GW - 791343   HMA   Ip5I   isoPPADS   JNJ - 47965567   KN - 04   KN - 62   Magnesium   MRS - 2159   NF - 023   NF - 110   NF - 157   NF - 279   NF - 449   Opiranserin ( VVZ - 149 )   Oxidized - ATP   Phenol Red   Phenolphthalein   PPADS   PPNDS   PSB - 12062   Puerarin ( Radix puerariae )   Purotoxin 1   RB - 2   Ro 0437626   Ro 51   RO - 3   Sodium ferulate ( Angelica sinensis , Ligusticum wallichii )   Suramin   TC - P 262   Tetramethylpyrazine ( ligustrazine ) ( Ligusticum wallichii )   TNP - ATP   Zinc       P2Y     Agonists : 2 - Me - SADP   2 - Me - SATP   2 - Thio - UTP   5 - Br - UDP   5 - OMe - UDP   α , β - Me - ATP   Adenosine   ADP   ADPβS   Ap3A   AR - C 67085MX   ATP   ATPγS   CTP   dATP   Denufosol   Diquafosol   IDP   ITP   INS - 365   INS - 37217   MRS - 2365   MRS - 2690   MRS - 2693   MRS - 2768   MRS - 2957   MRS - 4062   NF - 546   PAPET - ATP   PSB - 0474   PSB - 1114   UDP   UDPβS   UDP - galactose   UDP - glucose   UDP - N - acetylglucosamine   Up3U   UTP   UTPγS     Antagonists : 2 - Me - SAMP   A3P5PS   AMPαS   Ap4A   AR - C 66096   AR - C 67085MX   AR - C 69931MX   AR - C 118925XX   ATP   BzATP   C1330 - 7   Cangrelor   Clopidogrel   Elinogrel   Ip5I   MRS - 2179   MRS - 2211   MRS - 2279   MRS - 2395   MRS - 2500   MRS - 2578   NF - 157   NF - 340   PIT   PPADS   Prasugrel   PSB - 0739   RB - 2   Regrelor   Suramin   Ticagrelor   Ticlopidine   UDP             Transporter ( blockers )      CNTs     6 - Hydroxy - 7 - methoxyflavone   Adenosine   dMeThPmR   Estradiol   KGO - 2142   KGO - 2173   MeThPmR   Phloridzin   Progesterone       ENTs     Barbiturates   Benzodiazepines   Cilostazol   Dilazep   Dipyridamole   Estradiol   Ethanol   Hexobendine   NBMPR   Pentoxifylline   Progesterone   Propentofylline       PMAT     Decynium - 22          Enzyme ( inhibitors )      XO     Allopurinol   Amflutizole   Benzbromarone   Caffeic acid   Cinnamaldehyde   Cinnamomum osmophloeum   Febuxostat   Myo - inositol   Kaempferol   Myricetin   Niraxostat   Oxipurinol   Phytic acid   Pistacia integerrima   Propolis   Quercetin   Tisopurine   Topiroxostat       Others     Aminopterin   Azathioprine   Methotrexate   Mycophenolic acid   Pemetrexed   Pralatrexate   Many others          Others     Precursors : Adenine   Adenosine   AMP   ADP   ATP   Cytosine   Cytidine   CMP   CDP   CTP   Guanine   Guanosine   GMP   GDP   GTP   Hypoxanthine   Inosine   IMP   IDP   ITP   Ribose   Uracil   Uridine   UMP   UDP   UTP     Others : Chrysophanol ( rhubarb )       See also : Receptor / signaling modulators           NDL : 00568741   NKC : ph123363      Retrieved from `` https://en.wikipedia.org/w/index.php?title=Nucleotide&amp;oldid=824125987 '' Categories :   Nucleotides   Genetics   DNA   Molecular biology   Hidden categories :   Pages using div col without cols and colwidth parameters           Talk                                           Contents                   About Wikipedia                                                 Afrikaans     Azərbaycanca   বাংলা   Bân - lâm - gú   Башҡортса   Беларуская   Български   Bosanski   Català   Čeština   Cymraeg   Dansk   Deutsch   Eesti   Ελληνικά   Español   Esperanto   Euskara   فارسی   Français   Gaeilge   Galego   </t>
    </r>
    <r>
      <rPr>
        <sz val="11"/>
        <color rgb="FF000000"/>
        <rFont val="Noto Sans CJK SC"/>
        <family val="2"/>
      </rPr>
      <t xml:space="preserve">한국어   </t>
    </r>
    <r>
      <rPr>
        <sz val="11"/>
        <color rgb="FF000000"/>
        <rFont val="Calibri"/>
        <family val="0"/>
        <charset val="1"/>
      </rPr>
      <t xml:space="preserve">Հայերեն   Hrvatski   Bahasa Indonesia   Íslenska   Italiano   עברית   Basa Jawa   ಕನ್ನಡ   ქართული   Қазақша   Kreyòl ayisyen   Kurdî   Кыргызча   Latina   Latviešu   Lëtzebuergesch   Lietuvių   Magyar   Македонски   Bahasa Melayu   Nederlands   </t>
    </r>
    <r>
      <rPr>
        <sz val="11"/>
        <color rgb="FF000000"/>
        <rFont val="Noto Sans CJK SC"/>
        <family val="2"/>
      </rPr>
      <t xml:space="preserve">日本 語   </t>
    </r>
    <r>
      <rPr>
        <sz val="11"/>
        <color rgb="FF000000"/>
        <rFont val="Calibri"/>
        <family val="0"/>
        <charset val="1"/>
      </rPr>
      <t xml:space="preserve">Nordfriisk   Norsk   Occitan   Polski   Português   Română   Русский   Scots   Seeltersk   Shqip   Simple English   Slovenčina   Slovenščina   کوردی   Српски / srpski   Srpskohrvatski / српскохрватски   Suomi   Svenska   தமிழ்   ไทย   Türkçe   Українська   اردو   Tiếng Việt   </t>
    </r>
    <r>
      <rPr>
        <sz val="11"/>
        <color rgb="FF000000"/>
        <rFont val="Noto Sans CJK SC"/>
        <family val="2"/>
      </rPr>
      <t xml:space="preserve">中文   </t>
    </r>
    <r>
      <rPr>
        <sz val="11"/>
        <color rgb="FF000000"/>
        <rFont val="Calibri"/>
        <family val="0"/>
        <charset val="1"/>
      </rPr>
      <t xml:space="preserve">Edit links   This page was last edited on 5 February 2018 , at 13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</si>
  <si>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are the basic components of a nucleotide</t>
  </si>
  <si>
    <t xml:space="preserve"> Nucleotides are organic molecules that serve as the monomer units for forming the nucleic acid polymers deoxyribonucleic acid ( DNA ) and ribonucleic acid ( RNA ) , both of which are essential biomolecules in all life - forms on Earth . Nucleotides are the building blocks of nucleic acids ; they are composed of three subunit molecules : a nitrogenous base , a five - carbon sugar ( ribose or deoxyribose ) , and at least one phosphate group . They are also known as phosphate nucleotides . </t>
  </si>
  <si>
    <t xml:space="preserve">Due process clause - wikipedia  Due process clause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The Fifth and Fourteenth Amendments to the United States Constitution each contain a due process clause . Due process deals with the administration of justice and thus the due process clause acts as a safeguard from arbitrary denial of life , liberty , or property by the government outside the sanction of law . The Supreme Court of the United States interprets the clauses more broadly , concluding that these clauses provide four protections : procedural due process ( in civil and criminal proceedings ) , substantive due process , a prohibition against vague laws , and as the vehicle for the incorporation of the Bill of Rights .   Contents    1 Background   2 Drafting   3 Text   4 Interpretation   4.1 Scope   4.2 `` State ''   4.3 `` Person ''   4.4 `` Life ''   4.5 `` Liberty ''   4.6 State actor   4.7 Procedural due process   4.7. 1 Civil procedural due process   4.7. 2 Criminal procedural due process     4.8 Substantive due process   4.9 Void for vagueness   4.10 Incorporation of the Bill of Rights   4.11 Reverse incorporation of equal protection   4.12 Levels of scrutiny   4.13 Remedies     5 Criticism   5.1 Substantive due process     6 Due process clauses in state constitutions   6.1 New York     7 References    Background ( edit )  Main article : Due process  Clause 39 of Magna Carta provided :   No free man shall be seized or imprisoned , or stripped of his rights or possessions , or outlawed or exiled , or deprived of his standing in any other way , nor will we proceed with force against him , or send others to do so , except by the lawful judgment of his equals or by the law of the land .   The phrase `` due process of law '' first appeared in a statutory rendition of Magna Carta in 1354 during the reign of Edward III of England , as follows :   No man of what state or condition he be , shall be put out of his lands or tenements nor taken ( taken to mean arrested or deprived of liberty by the state ) , nor disinherited , nor put to death , without he be brought to answer by due process of law .   Drafting ( edit )   New York was the only state that asked Congress to add `` due process '' language to the U.S. Constitution . New York ratified the U.S. Constitution and proposed the following amendment in 1788 :   ( N ) o Person ought to be taken imprisoned or disseized of his freehold , or be exiled or deprived of his Privileges , Franchises , Life , Liberty or Property but by due process of Law .   In response to this proposal from New York , James Madison drafted a due process clause for Congress . Madison cut out some language and inserted the word without , which had not been proposed by New York . Congress then adopted the exact wording that Madison proposed after Madison explained that the due process clause would not be sufficient to protect various other rights :   Although I know whenever the great rights , the trial by jury , freedom of the press , or liberty of conscience , come in question in that body ( Parliament ) , the invasion of them is resisted by able advocates , yet their Magna Carta does not contain any one provision for the security of those rights , respecting which the people of America are most alarmed .   Text ( edit )   The Fifth Amendment to the United States Constitution provides :   No person shall ... be deprived of life , liberty , or property , without due process of law ...   Section One of the Fourteenth Amendment to the United States Constitution provides :   ( N ) or shall any State deprive any person of life , liberty , or property , without due process of law ...   Interpretation ( edit )   Scope ( edit )   The Supreme Court has interpreted the due process clauses in the Fifth and Fourteenth Amendment identically , as Justice Felix Frankfurter once explained in a concurring opinion :   To suppose that ' due process of law ' meant one thing in the Fifth Amendment and another in the Fourteenth is too frivolous to require elaborate rejection .   In 1855 , the Supreme Court explained that , to ascertain whether a process is due process , the first step is to `` examine the constitution itself , to see whether this process be in conflict with any of its provisions '' . Also in 1855 , the U.S. Supreme Court said ,   The words , `` due process of law '' , were undoubtedly intended to convey the same meaning as the words , `` by the law of the land '' , in Magna Carta .   In the 1884 case of Hurtado v. California , the Court said :   Due process of law in the ( Fourteenth Amendment ) refers to that law of the land in each state which derives its authority from the inherent and reserved powers of the state , exerted within the limits of those fundamental principles of liberty and justice which lie at the base of all our civil and political institutions , and the greatest security for which resides in the right of the people to make their own laws , and alter them at their pleasure .   Due process also applies to the creation of taxing districts , as taxation is a deprivation of property . Due process typically requires public hearings prior to the creation of a taxing district .   `` State '' ( edit )   Due process applies to Puerto Rico , although it is not a State .   `` Person '' ( edit )   The due process clauses apply to both natural persons as well as to `` legal persons '' ( that is , corporate personhood ) as well as to individuals , including both citizens and non-citizens . The Fifth Amendment due process was first applied to corporations in 1893 by the Supreme Court in Noble v. Union River Logging . Noble was preceded by Santa Clara County v. Southern Pacific Railroad in 1886 . The due process clauses also apply to non-citizens who are within the United States -- no matter whether their presence may be or is `` unlawful , involuntary or transitory '' -- although the U.S. Supreme Court has recognized that non-citizens can be stopped , detained , and denied past immigration officials at points of entry ( e.g. at a port or airport ) without the protection of the Due Process Clause because , while technically on U.S. soil , they are not considered to have entered the United States .   `` Life '' ( edit )   In the context of the death penalty debate in the United States , it has been argued that since the Constitution explicitly contemplates the death penalty by forbidding it without due process , the death penalty can not be unconstitutional.    `` Liberty '' ( edit )   The U.S. Supreme Court has interpreted the term `` liberty '' in the due process clauses broadly :   Although the Court has not assumed to define `` liberty '' with any great precision , that term is not confined to mere freedom from bodily restraint . Liberty under law extends to the full range of conduct which the individual is free to pursue , and it can not be restricted except for a proper governmental objective .   State actor ( edit )  Main article : State actor  The prohibitions , generally , of the due process clauses apply only to the actions of state actors , and not against private citizens . However , where a private person is acting jointly with state officials in a prohibited action , they are said to be acting under the `` color of the law '' for the purposes of 42 U.S.C. § 1983 . While private actors are not generally held to the actions of private citizens , it remains that private citizens may be held criminally liable for a federal felony or misdemeanor , if they conspire with the government to commit actions which violate the due process clauses of the constitution .   Procedural due process ( edit )   Procedural due process requires government officials to follow fair procedures before depriving a person of life , liberty , or property . When the government seeks to deprive a person of one of those interests , procedural due process requires the government to afford the person , at minimum , notice , an opportunity to be heard , and a decision made by a neutral decisionmaker .   This protection extends to all government proceedings that can result in an individual 's deprivation , whether civil or criminal in nature , from parole violation hearings to administrative hearings regarding government benefits and entitlements to full - blown criminal trials . The article `` Some Kind of Hearing '' written by Judge Henry Friendly created a list of basic due process rights `` that remains highly influential , as to both content and relative priority '' . These rights , which apply equally to civil due process and criminal due process , are :    An unbiased tribunal .   Notice of the proposed action and the grounds asserted for it .   Opportunity to present reasons why the proposed action should not be taken .   The right to present evidence , including the right to call witnesses .   The right to know opposing evidence .   The right to cross-examine adverse witnesses .   A decision based exclusively on the evidence presented .   Opportunity to be represented by counsel .   Requirement that the tribunal prepares a record of the evidence presented .   Requirement that the tribunal prepares written findings of fact and reasons for its decision .   Civil procedural due process ( edit )  Procedural due process is essentially based on the concept of `` fundamental fairness '' . For example , in 1934 , the United States Supreme Court held that due process is violated `` if a practice or rule offends some principle of justice so rooted in the traditions and conscience of our people as to be ranked as fundamental '' . As construed by the courts , it includes an individual 's right to be adequately notified of charges or proceedings , the opportunity to be heard at these proceedings , and that the person or panel making the final decision over the proceedings be impartial in regards to the matter before them .   To put it more simply , where an individual is facing a deprivation of life , liberty , or property , procedural due process mandates that he or she is entitled to adequate notice , a hearing , and a neutral judge .   The Supreme Court has formulated a balancing test to determine the rigor with which the requirements of procedural due process should be applied to a particular deprivation , for the obvious reason that mandating such requirements in the most expansive way for even the most minor deprivations would bring the machinery of government to a halt . The Court set out the test as follows : `` ( I ) dentification of the specific dictates of due process generally requires consideration of three distinct factors : first , the private interest that will be affected by the official action ; second , the risk of an erroneous deprivation of such interest through the procedures used , and the probable value , if any , of additional or substitute procedural safeguards ; and , finally , the Government 's interest , including the function involved and the fiscal and administrative burdens that the additional or substitute procedural requirement would entail . ''   Procedural due process has also been an important factor in the development of the law of personal jurisdiction , in the sense that it is inherently unfair for the judicial machinery of a state to take away the property of a person who has no connection to it whatsoever . A significant portion of U.S. constitutional law is therefore directed to what kinds of connections to a state are enough for that state 's assertion of jurisdiction over a nonresident to comport with procedural due process .   The requirement of a neutral judge has introduced a constitutional dimension to the question of whether a judge should recuse himself or herself from a case . Specifically , the Supreme Court has ruled that in certain circumstances , the due process clause of the Fourteenth Amendment requires a judge to recuse himself on account of a potential or actual conflict of interest . For example , in Caperton v. A.T. Massey Coal Co. ( 2009 ) , the Court ruled that a justice of the Supreme Court of Appeals of West Virginia could not participate in a case involving a major donor to his election to that court .  Criminal procedural due process ( edit )  In criminal cases , many of these due process protections overlap with procedural protections provided by the Eighth Amendment to the United States Constitution , which guarantees reliable procedures that protect innocent people from being executed , which would be an obvious example of cruel and unusual punishment .   An example of criminal due process rights is the case Vitek v. Jones , 445 U.S. 480 ( 1980 ) . The due process clause of the Fourteenth Amendment requires certain procedural protections for state prisoners who may be transferred involuntarily to a state mental hospital for treatment of a mental disease or defect , such protections including written notice of the transfer , an adversary hearing before an independent decisionmaker , written findings , and effective and timely notice of such rights . As established by the district court and upheld by the U.S. Supreme Court in Vitek v. Jones , these due process rights include :    Written notice to the prisoner that a transfer to a mental hospital is being considered ;   A hearing , sufficiently after the notice to permit the prisoner to prepare , at which disclosure to the prisoner is made of the evidence being relied upon for the transfer and at which an opportunity to be heard in person and to present documentary evidence is given ;   An opportunity at the hearing to present testimony of witnesses by the defense and to confront and cross-examine witnesses called by the state , except upon a finding , not arbitrarily made , of good cause for not permitting such presentation , confrontation , or cross-examination ;   An independent decisionmaker ;   A written statement by the factfinder as to the evidence relied on and the reasons for transferring the inmate ;   Availability of legal counsel , furnished by the state , if the inmate is financially unable to furnish his own ( It must be noted however that a majority of Justices rejected this right to state - furnished counsel . ) ; and   Effective and timely notice of all the foregoing rights .    Substantive due process ( edit )  Main article : Substantive due process  By the middle of the 19th century , `` due process of law '' was interpreted by the U.S. Supreme Court to mean that `` it was not left to the legislative power to enact any process which might be devised . The due process article is a restraint on the legislative as well as on the executive and judicial powers of the government , and can not be so construed as to leave Congress free to make any process ' due process of law ' by its mere will . ''   The term `` substantive due process '' ( SDP ) is commonly used in two ways : first to identify a particular line of case law , and second to signify a particular attitude toward judicial review under the due process clause . The term `` substantive due process '' began to take form in 1930s legal casebooks as a categorical distinction of selected due process cases , and by 1950 had been mentioned twice in Supreme Court opinions . SDP involves liberty - based due process challenges which seek certain outcomes instead of merely contesting procedures and their effects ; in such cases , the Supreme Court recognizes a constitutionally - based `` liberty '' which then renders laws seeking to limit said `` liberty '' either unenforceable or limited in scope . Critics of SDP decisions typically assert that those liberties ought to be left to the more politically accountable branches of government .   Courts have viewed the due process clause , and sometimes other clauses of the Constitution , as embracing those fundamental rights that are `` implicit in the concept of ordered liberty '' . Just what those rights are is not always clear , nor is the Supreme Court 's authority to enforce such unenumerated rights clear . Some of those rights have long histories or `` are deeply rooted '' in American society .   The courts have largely abandoned the Lochner era approach ( c. 1897 - 1937 ) when substantive due process was used to strike down minimum wage and labor laws in order to protect freedom of contract . Since then , the Supreme Court has decided that numerous other freedoms that do not appear in the plain text of the Constitution are nevertheless protected by the Constitution . If these rights were not protected by the federal courts ' doctrine of substantive due process , they could nevertheless be protected in other ways ; for example , it is possible that some of these rights could be protected by other provisions of the state or federal constitutions , and alternatively they could be protected by legislatures .   Today , the Court focuses on three types of rights under substantive due process in the Fourteenth Amendment , which originated in United States v. Carolene Products Co. , 304 U.S. 144 ( 1938 ) , footnote 4 . Those three types of rights are :    the first eight amendments in the Bill of Rights ( e.g. , the Eighth Amendment ) ;   restrictions on the political process ( e.g. , the rights of voting , association , and free speech ) ; and   the rights of `` discrete and insular minorities '' .    The Court usually looks first to see if there is a fundamental right , by examining if the right can be found deeply rooted in American history and traditions . Where the right is not a fundamental right , the court applies a rational basis test : if the violation of the right can be rationally related to a legitimate government purpose , then the law is held valid . If the court establishes that the right being violated is a fundamental right , it applies strict scrutiny . This test inquires into whether there is a compelling state interest being furthered by the violation of the right , and whether the law in question is narrowly tailored to address the state interest .   Privacy , which is not explicitly mentioned in the Constitution , was at issue in Griswold v. Connecticut ( 1965 ) , wherein the Court held that criminal prohibition of contraceptive devices for married couples violated federal , judicially enforceable privacy rights . The right to contraceptives was found in what the Court called the `` penumbras '' , or shadowy edges , of certain amendments that arguably refer to certain privacy rights . The penumbra - based rationale of Griswold has since been discarded ; the Supreme Court now uses the due process clause as a basis for various unenumerated privacy rights . Although it has never been the majority view , some have argued that the Ninth Amendment ( addressing unenumerated rights ) could be used as a source of fundamental judicially enforceable rights , including a general right to privacy , as discussed by Justice Goldberg concurring in Griswold .   Void for vagueness ( edit )  Main article : Void for vagueness  The courts have generally determined that laws which are too vague for the average citizen to understand deprive citizens of their rights to due process . If an average person can not determine who is regulated , what conduct is prohibited , or what punishment may be imposed by a law , courts may find that law to be void for vagueness . See Coates v. Cincinnati , where the word `` annoying '' was deemed to lack due process insertion of fair warning .   Incorporation of the Bill of rights ( edit )  Main article : Incorporation of the Bill of Rights  Incorporation is the legal doctrine by which the Bill of Rights , either in full or in part , is applied to the states through the Fourteenth Amendment 's due process clause . The basis for incorporation is substantive due process regarding substantive rights enumerated elsewhere in the Constitution , and procedural due process regarding procedural rights enumerated elsewhere in the Constitution .   Incorporation started in 1897 with a takings case , continued with Gitlow v. New York ( 1925 ) , which was a First Amendment case , and accelerated in the 1940s and 1950s . Justice Hugo Black famously favored the jot - for - jot incorporation of the entire Bill of Rights . Justice Felix Frankfurter , however -- joined later by Justice John M. Harlan -- felt that the federal courts should only apply those sections of the Bill of Rights that were `` fundamental to a scheme of ordered liberty '' . It was the latter course that the Warren Court of the 1960s took , although almost all of the Bill of Rights has now been incorporated jot - for - jot against the states . The latest Incorporation is the 2nd Amendment which made the individual and fundamental right to `` keep and bear arms '' fully applicable to the States ; see McDonald v. City of Chicago , 561 U.S. ( 2010 ) .   The role of the incorporation doctrine in applying the guarantees of the Bill of Rights to the states is just as notable as the use of due process to define new fundamental rights that are not explicitly guaranteed by the Constitution 's text . In both cases , the question has been whether the right asserted is `` fundamental '' , so that , just as not all proposed `` new '' constitutional rights are afforded judicial recognition , not all provisions of the Bill of Rights have been deemed sufficiently fundamental to warrant enforcement against the states .   Some people , such as Justice Black , have argued that the Privileges or Immunities Clause of the Fourteenth Amendment would be a more appropriate textual source for the incorporation doctrine . The Court has not taken that course , and some point to the treatment given to the Privileges or Immunities Clause in the 1873 Slaughter - House Cases as a reason why . Although the Slaughter - House Court did not expressly preclude application of the Bill of Rights to the states , the clause largely ceased to be invoked in opinions of the Court following the Slaughter - House Cases , and when incorporation did begin , it was under the rubric of due process . Scholars who share Justice Black 's view , such as Akhil Amar , argue that the Framers of the Fourteenth Amendment , like Senator Jacob Howard and Congressman John Bingham , included a due process clause in the Fourteenth Amendment for the following reason : `` By incorporating the rights of the Fifth Amendment , the privileges or immunities clause would ... have prevented states from depriving ' citizens ' of due process . Bingham , Howard , and company wanted to go even further by extending the benefits of state due process to aliens . ''   The Supreme Court has consistently held that Fifth Amendment due process means substantially the same as Fourteenth Amendment due process , and therefore the original meaning of the former is relevant to the incorporation doctrine of the latter . When the Bill of Rights was originally proposed by Congress in 1789 to the states , various substantive and procedural rights were `` classed according to their affinity to each other '' instead of being submitted to the states `` as a single act to be adopted or rejected in the gross '' , as James Madison put it . Roger Sherman explained in 1789 that each amendment `` may be passed upon distinctly by the States , and any one that is adopted by three fourths of the legislatures may become a part of the Constitution '' . Thus , the states were allowed to reject the Sixth Amendment , for example , while ratifying all of the other amendments including the due process clause ; in that case , the rights in the Sixth Amendment would not have been incorporated against the federal government . The doctrine of incorporating the content of other amendments into `` due process '' was thus an innovation , when it began in 1925 with the Gitlow case , and this doctrine remains controversial today .   Reverse incorporation of equal protection ( edit )  Further information : Equal Protection Clause  In Bolling v. Sharpe 347 U.S. 497 ( 1954 ) , the Supreme Court held that `` the concepts of equal protection and due process , both stemming from our American ideal of fairness , are not mutually exclusive . '' The Court thus interpreted the Fifth Amendment 's due process clause to include an equal protection element . In Lawrence v. Texas the Supreme Court added : `` Equality of treatment and the due process right to demand respect for conduct protected by the substantive guarantee of liberty are linked in important respects , and a decision on the latter point advances both interests . ''   Levels of scrutiny ( edit )   When a law or other act of government is challenged as a violation of individual liberty under the due process clause , courts nowadays primarily use two forms of scrutiny , or judicial review , which is used by the Judicial Branch . This inquiry balances the importance of the governmental interest being served and the appropriateness of the government 's method of implementation against the resulting infringement of individual rights . If the governmental action infringes upon a fundamental right , the highest level of review -- strict scrutiny -- is used . To pass strict scrutiny review , the law or act must be narrowly tailored to further a compelling government interest .   When the governmental restriction restricts liberty in a manner that does not implicate a fundamental right , rational basis review is used . Here a legitimate government interest is enough to pass this review . There is also a middle level of scrutiny , called intermediate scrutiny , but it is primarily used in Equal Protection cases rather than in Due Process cases .   Remedies ( edit )   The Court held in 1967 that `` we can not leave to the States the formulation of the authoritative ... remedies designed to protect people from infractions by the States of federally guaranteed rights '' .   Criticism ( edit )   Substantive due process ( edit )   Critics of a substantive due process often claim that the doctrine began , at the federal level , with the infamous 1857 slavery case of Dred Scott v. Sandford . However , other critics contend that substantive due process was not used by the federal judiciary until after the Fourteenth Amendment was adopted in 1869 . Advocates of a substantive due process who assert that the doctrine was employed in Dred Scott claim that it was employed incorrectly . Additionally , the first appearance of a substantive due process as a concept arguably appeared earlier in the case of Bloomer v. McQuewan , 55 U.S. 539 ( 1852 ) , so that Chief Justice Taney would not have been entirely breaking ground in his Dred Scott opinion when he pronounced the Missouri Compromise unconstitutional because , among other reasons , an `` act of Congress that deprived a citizen of his liberty or property merely because he came himself or brought his property into a particular territory of the United States , and who had committed no offence against the laws , could hardly be dignified with the name of due process of law '' . Dissenting Justice Curtis disagreed with Taney about what `` due process '' meant in Dred Scott .   Criticisms of the doctrine continue as in the past . Critics argue that judges are making determinations of policy and morality that properly belong with legislators ( i.e. `` legislating from the bench '' ) , or argue that judges are reading views into the Constitution that are not really implied by the document , or argue that judges are claiming the power to expand the liberty of some people at the expense of other people 's liberty ( e.g. as in the Dred Scott case ) , or argue that judges are addressing substance instead of process .   Oliver Wendell Holmes , Jr. , a realist , worried that the Court was overstepping its boundaries , and the following is from one of his last dissents :   I have not yet adequately expressed the more than anxiety that I feel at the ever increasing scope given to the Fourteenth Amendment in cutting down what I believe to be the constitutional rights of the States . As the decisions now stand , I see hardly any limit but the sky to the invalidating of those rights if they happen to strike a majority of this Court as for any reason undesirable . I can not believe that the Amendment was intended to give us carte blanche to embody our economic or moral beliefs in its prohibitions . Yet I can think of no narrower reason that seems to me to justify the present and the earlier decisions to which I have referred . Of course the words due process of law , if taken in their literal meaning , have no application to this case ; and while it is too late to deny that they have been given a much more extended and artificial signification , still we ought to remember the great caution shown by the Constitution in limiting the power of the States , and should be slow to construe the clause in the Fourteenth Amendment as committing to the Court , with no guide but the Court 's own discretion , the validity of whatever laws the States may pass .   Originalists , such as Supreme Court Justice Clarence Thomas , who rejects substantive due process doctrine , and Supreme Court Justice Antonin Scalia , who has also questioned the legitimacy of the doctrine , call a substantive due process a `` judicial usurpation '' or an `` oxymoron '' . Both Scalia and Thomas have occasionally joined Court opinions that mention the doctrine , and have in their dissents often argued over how substantive due process should be employed based on Court precedent .   Many non-originalists , like Justice Byron White , have also been critical of a substantive due process . As propounded in his dissents in Moore v. East Cleveland and Roe v. Wade , as well as his majority opinion in Bowers v. Hardwick , White argued that the doctrine of a substantive due process gives the judiciary too much power over the governance of the nation and takes away such power from the elected branches of government . He argued that the fact that the Court has created new substantive rights in the past should not lead it to `` repeat the process at will '' . In his book Democracy and Distrust , non-originalist John Hart Ely criticized `` substantive due process '' as a glaring non-sequitur . Ely argued the phrase was a contradiction - in - terms , like the phrase green pastel redness .   Originalism is usually linked to opposition against substantive due process rights , and the reasons for that can be found in the following explanation that was endorsed unanimously by the Supreme Court in a 1985 case : `` ( W ) e must always bear in mind that the substantive content of the ( due process ) clause is suggested neither by its language nor by preconstitutional history ; that content is nothing more than the accumulated product of judicial interpretation of the Fifth and Fourteenth Amendments . ''   Originalists do not necessarily oppose protection of the rights heretofore protected using substantive due process ; rather , most originalists believe that such rights should be identified and protected through legislation , through passing amendments to the constitution , or via other existing provisions of the Constitution .   The perceived scope of the due process clause was originally different than it is today . For instance , even though many of the Framers of the Bill of Rights believed that slavery violated the fundamental natural rights of African - Americans , a `` theory that declared slavery to be a violation of the due process clause of the Fifth Amendment ... requires nothing more than a suspension of reason concerning the origin , intent , and past interpretation of the clause '' .   Due process clauses in state constitutions ( edit )   No state or federal constitution in the U.S. had ever before utilized any `` due process '' wording , prior to 1791 when the fede</t>
  </si>
  <si>
    <t xml:space="preserve">where is the due process clause found in the constitution</t>
  </si>
  <si>
    <t xml:space="preserve"> The Fifth and Fourteenth Amendments to the United States Constitution each contain a due process clause . Due process deals with the administration of justice and thus the due process clause acts as a safeguard from arbitrary denial of life , liberty , or property by the government outside the sanction of law . The Supreme Court of the United States interprets the clauses more broadly , concluding that these clauses provide four protections : procedural due process ( in civil and criminal proceedings ) , substantive due process , a prohibition against vague laws , and as the vehicle for the incorporation of the Bill of Rights . </t>
  </si>
  <si>
    <t xml:space="preserve">Australia 's Big Things - Wikipedia  Australia 's Big Things  Jump to : navigation , search  The big things of Australia are a loosely related set of large structures , some of which are novelty architecture and some are sculptures . There are estimated to be over 150 such objects around the country , the first being the Big Scotsman in Medindie , Adelaide , which was built in 1963 . There are big things in every state and territory in Australia .   Most big things began as tourist traps found along major roads between destinations .   The big things have become something of a cult phenomenon , and are sometimes used as an excuse for a road trip , where many or all big things are visited and used as a backdrop to a group photograph . Many of the big things are considered works of folk art and have been heritage - listed .     Contents  ( hide )   1 List of big things ( by state or territory )   1.1 Australian Capital Territory   1.2 New South Wales   1.3 Northern Territory   1.4 Queensland   1.5 South Australia   1.6 Tasmania   1.7 Victoria   1.8 Western Australia     2 In popular culture   3 See also   4 References   4.1 General references   4.2 Specific references and notes     5 External links      List of Big Things ( by state or territory ) ( edit )   Australian capital territory ( edit )     Name   Location   Built   Size   Notes   Image     Giant Mushroom   Belconnen   1998   8 m × 4 m ( 26 ft × 13 ft )   Located in the Belconnen Fresh Food Markets , the Giant Mushroom shelters a children 's playground . It was officially launched in 1998 by the ACT Chief Minister .       Giant Owl   Belconnen   2011   8 m ( 26 ft )   Located at the main entrance to Belconnen town centre , the statue cost $400,000 and was built by Melbourne sculptor Bruce Armstrong .       New South wales ( edit )     Name   Location   Built   Size   Notes   Image     Big Ant   Broken Hill   1980     A bull ant sculpture designed by artist Pro Hart , which was erected in 1980 and originally stood at the Stephens Creek Hotel . It was moved to its current location , next to the Tourist Information Centre in Broken Hill , after being donated to the city in 1990 .       Big Apple   Batlow       Located in the middle of an orchard about 3 km north of Batlow , without public access . Only its top is visible from Batlow - Tumut Road , as it is largely blocked by apple trees .       Big Apple   Yerrinbool       Visible from the Hume Highway  - 34.348504 , 150.554299        Big Avocado   Duranbah       Located at Tropical Fruit World .       The Big Axe   Kew   1979   8 m ( 26 ft )   Located alongside the Kew Visitor Information Centre . The original sculpture was replaced in 2002 as a result of ant induced damage .       Big Ayers Rock   North Arm Cove   1990     This 1 / 40 scale model of Uluru was formerly an attraction at Leyland Brothers World , and now forms the roof of the Rock Restaurant . Technically not a `` Big Thing '' ( as it is substantially smaller than the item it is modelled on ) , the Rock Restaurant is loosely grouped with the big things as an object of roadside art .       Big Banana   Coffs Harbour   1964   13 m × 5 m ( 43 ft × 16 ft )   Sometimes claimed to be the first Big Thing in Australia . The Big Banana tourist complex includes a banana - themed souvenir shop , tours of the surrounding plantation and an indoor ski slope .       The Big Beer Can   Cobar   1990   5 m × 2.5 m ( 16.4 ft × 8.2 ft )   The Big Beer Can has a Tooheys New design , and is located above the entrance to the Grand Hotel .       Big Bench   Broken Hill , New South Wales   September 2002     As part of the Landscapes and Backgrounds exhibition , a 2.5 times scale park bench was constructed on the top of the Line of Lode , which is a high hill of mine deposits in the centre of the city of Broken Hill .       The Big Blue Heeler   Muswellbrook   2001   2 m ( 6.6 ft ) high   Located adjacent to the town information centre .       The Big Bogan   Nyngan   2015   3.6 m ( 12 ft ) high   The Big Bogan is the brainchild of Reverend Graham McLeod from Nyngan 's St Mark 's Anglican Church . Located on Pangee Street next to the railway lines .       Big Bottles   Mangrove Mountain and Hanwood             Big Bowl   Lake Cathie , New South Wales       A 10 - foot high replica of a lawn bowl , consisting of one - and - a-half tonnes of steel and concrete .       Big Bull   Wauchope     14 m × 21 m ( 46 ft × 69 ft )   The Big Bull was pulled down in October 2007 .       Big Bunch of Bananas   Coffs Harbour       Formerly located in Sawtell , the Big Bunch of Bananas was relocated when the Pacific Highway bypassed the town and now lie just to the south of Coffs Harbour .       The Big Bicycle   Chullora     9 m × 6 m ( 30 ft × 20 ft )   The bicycle built by Jonh Ridley , Andy Lugiz and Phillip Becker adorns the entrance to the Chullora Waste Transfer Station , Chullora .       Big Cheese   Bodalla       The Big Cheese is located at the former Bodalla cheese factory on the Princes Hwy , Bodalla . It is as of 2013 closed .       Big Cherries   Young       Originally located off Short Street , but moved with the tourist information centre to Lovell Street to the old railway station .       Big Chook   Moonbi   1970s   2 m × 4 m ( 6.6 ft × 13.1 ft )         Big Chook   Mount Vernon     4 m × 4 m ( 13 ft × 13 ft )         Big Fish   Manilla       The Big Fish is located at the Big Fish Roadhouse at 79 Arthur Street Manilla .       Big Flower   Ourimbah             Big Funnel Web Spider   Jamberoo , New South Wales   2015   19.7 m × 22.2 m ( 65 ft × 73 ft )   The Big Funnel Web Spider was built at Jamberoo Action Park located 20 minutes south of Wollongong and is a steel , fibreglass and concrete structure 420 times larger than a female Sydney funnel - web spider . It was awarded a Guinness World Record as the Largest Spider Sculpture in August 2015 .       The Big Gold Panner   Bathurst   1979   5 m × 3 m ( 16.4 ft × 9.8 ft )   Located in front of the Gold Panner Motor Inn .       The Big Gold Pick and Pan   Grenfell   2005   Pick 4 m , Pan 3 m ( diam )   Located between the Goods Shed and historic Station Building at the old Railway Station precinct , just off the northern end of West Street .       The Big Golden Guitar   Tamworth   1988   12 m × 4 m ( 39 ft × 13 ft )   Modelled on the Golden Guitar trophies given to winners at the Country Music Awards of Australia ceremony night during the Tamworth Country Music Festival .       The Big Knight   Knockrow       At the entrance to the Macadamia Castle , a nut - themed park and store .       The Big Hammer   Mudgee       Located at Fairview Artspace in Mudgee is a Tig Crawley 's artwork `` Water Hammer '' . This installation is located in the front garden and has beautiful view of Mudgee and the countryside     The Big Headphones   Newcastle   2015   3 m ( 9.8 ft )   Located on Darby St , this fully operational pair of headphones was designed by Mark Tisdell and built in collaboration with Tom Ireland ( fabrication and design detailing ) , Sean Bell ( graphics ) , Adrian Garner ( electrical engineering ) , Brad Phillips and Rhian Leek ( architectural design ) , with the support of the Darby Street Traders Group .       The Big Kookaburra   Kurri Kurri   2009   4.5 m ( 15 ft )   Sculpture by Chris Fussell . It is located in Rotary Park .       The Big Lamb   Guyra   1988     Erected by the town and district to promote the lamb and potato industries in New England . The lamb is stood over a potato plant .       The Big Merino   Goulburn   1985   15 m × 18 m ( 49 ft × 59 ft )   A sculpture of a merino ram , built in 1985 . Goulburn and The Big Merino were bypassed by the Hume Highway in 1992 , leading to a reduction in visitor numbers . On 26 May 2007 , Rambo ( as the Merino is locally known ) was relocated by low - loader to a new home within sight of the highway .       The Big Miner 's Lamp   Lithgow             Big Mosquito   Hexham   1993     `` Ossie the Mossie '' at the Hexham Bowls Club is modelled on the local Ochlerotatus alternans mosquito species , known as `` Hexham Greys '' . It includes illuminated eyes which switch on at night .       Big Murray Cod   Tocumwal   1967   2 m × 7 m ( 6.6 ft × 23.0 ft )   Located near the corner of Deniliquin Rd and Murray St , near the Murray River .       Big Orange   Tenterfield             The Big Oyster   Taree     12 m × 4 m ( 39 ft × 13 ft )         The Big Playable Guitar   Narrandera   1991   6 m × 2 m ( 19.7 ft × 6.6 ft )   The largest playable guitar in the world .       Ploddy the Dinosaur   Somersby   1963     Situated in the Australian Reptile Park , and commissioned by the Park 's founder , Eric Worrell . The concrete structure , based on the shape of a Diplodocus , is 30 metres long and weighs almost 100 tonnes .       The Big Potato   Robertson   1977   10 m × 4 m ( 33 ft × 13 ft )   A giant potato constructed by farmer Jim Mauger in 1977 .       The Big Poo   Kiama   2002   1 m × 5 m ( 3.3 ft × 16.4 ft )   The Big Poo was built by local residents as a protest against Sydney Water 's decision not to reuse waste water in the area . Built from foam , it was unveiled by Ian Cohen on 29 April 2002 .       The Big Prawn   Ballina   1989   6 m × 9 m ( 20 ft × 30 ft )   On 24 September 2009 , Ballina Shire Council voted to allow the demolition of the Big Prawn , but this permission was never acted upon . Bunnings Warehouse purchased the site in 2011 and refurbished the Prawn as part of the redevelopment . The prawn now sits on a stand next to the entrance of the Bunnings Warehouse carpark .       Big Rabbit Trap   Albert   2013     A Big Rabbit Trap , located on the roof of the Rabbit Trap Hotel .       The Big Rocket   Moree   2009   14 m ( 46 ft ) high   The Big Rocket , launched during the International Year of Astronomy and the 40th anniversary of the first manned moon landing , contains two slides and a space - themed command centre playground .       Big Rubik 's Cube   Maroubra   2008     A cement cube painted as per a Rubik 's Cube on top of a storm water drain on Maroubra Beach .       The Big Slurpee   Coffs Harbour   2009   15.24 m ( 50 ft )   Dismantled in 2009 .       The Big Soldier   Uralla       In front of Hassett 's Military Museum .       The Big Spider   Urana   2009     The Big Spider ( named `` Not so Itsy '' by the artist ) was created by Andrew Whitehead , a nearby resident of the town . The spider commemorates the local football club , who were , for many years , known as the Spiders , and is built from a range of materials -- including a wash tub and a hot dog muffler .       The World 's Biggest Sundial   Singleton       A 25 - foot high sundial presented as a gift from Lemington Mine , to honour the occasion of the Australian Bicentenary . At the time of its creation , it was recognised by the Guinness Book of World Records as the world 's largest sundial , and still lays claim to being the largest one - piece sundial in the Southern hemisphere .       The Big Swan   Dunedoo       In front of the Swan Motel .       Big Tennis Racquet   Barellan   3 October 2009   13.8 m ( 45 ft ) long   Built in honour of Evonne Goolagong , who grew up in Barellan .       The Big Trout   Adaminaby   1973   10 m × 3 m ( 32.8 ft × 9.8 ft )   Designed by Andy Lomnici , the Big Trout is located in the town of Adaminaby , near Lake Eucumbene in the Snowy Mountains . Opened in 1973 , the trout is built from fiberglass over a steel frame .       The Big Trout   Oberon             The Big Turtle   Forster       Carved from timber , the big turtle is located behind the main street of Forster on a riverside boardwalk .       The Big Ugg Boots   Thornton   20 April 2015     Mortels Sheepskin Factory is home to The Big Ugg Boots . These big ugg boots are 13 times the size of a women 's US size 8 ugg boot . The Big Ugg Boots are located in the Hunter Region of NSW .     The Big Windmill   Coffs Harbour   1972     Although work started on the Big Windmill in 1972 , the death of Franz De Kever in 1974 delayed completion until 1982 , as it was not until the site was purchased by Hans Eecen that work was able to resume . The Big Windmill has since changed hands , and is now operated by Mark and Jodi Taylor . The site includes a 41 - room motel and a restaurant .       The Big Wine Barrel   Hanwood , Griffith   1973     Located at the McWilliam 's Winery . The cellar door with historical displays and a giant glass mural are located within .       The Big Wine Bottle   Pokolbin   1998   7 m × 1.5 m ( 23.0 ft × 4.9 ft )   Located at the Hunter Valley Gardens . The neck forms a chimney for an open fire contained within .       The Big Wine Cask   Mourquong     8 m × 6 m ( 26 ft × 20 ft )   Located at the Constellation Stanley winery * Edit - as of Dec 2013 no longer there . Building is , but has been painted out and is not accessible *       Northern territory ( edit )     Name   Location   Built   Size   Notes   Image     The Big Boxing Crocodile   Humpty Doo   1988   8 m × 8 m ( 26 ft × 26 ft )   Outside the United fuel station ( formerly known as the Bush Shop ) on the Arnhem Highway at Humpty Doo . The Boxing Crocodile was built by Ray Park in 1988 on a commission by Ray Whear and Marshall Brentnall  who was the owner of The Bush Shop at that time . It was created to celebrate Australia winning the America 's Cup in 1983 and to assist with attracting tourism to the area . The Boxing Crocodile is Humpty Doo 's equivalent to the Boxing Kangaroo .        The Big Aboriginal Hunter   Anmatjere Community       Located approx. 150 km north of Alice Springs at the Aileron roadhouse / caravan park .       The Big Jumping Crocodile   Mary River       Located at Mary River near the entrance to Kakadu National Park .       The Big Stockwhip   Acacia     7 m × 10 m ( 23 ft × 33 ft )         The Big Stubbie   Larrimah             The Big Dinosaur   Yarrawonga     13 m ( 43 ft )   Visible from the Stuart Highway this large fibreglass Brachiosaurus is a garden feature for ' Finlays Joint Cafe '  Originally brought by Tom Finlay a Stonemason whose business , Finlay 's Stonemasonry Pty Ltd formally known as ' Get Stoned , ' to compliment a sculptured Dragon in Mr. Finlays Landscaping supply section of his business.Mr . Finlay also purchased several other large dinosaurs made by the same Philippine - based Dutch company that produces models for adventure parks but began selling them in 2010 .        The BIG Fish   Wanguri       Visible from Gsell St this BIG Fish decorates Wanguri Pre-School front yard .       Queensland ( edit )     Name   Location   Built   Size   Notes   Image     The Big Apple   Thulimbah   1978   4 m × 4.5 m ( 13 ft × 15 ft )   From the `` Landmark Legends of Stanthorpe '' , `` The original Big Apple , a Granny Smith , lived at the petrol station at Applethorpe from 1978 . The steel and fibreglass sculpture stands 4m tall and the apple is 4.5 m in diameter . It was crafted by local artisan Johnny Ross . It went into temporary retirement in 2003 when the Applethorpe site was redeveloped . After a brief facelift , the re-grafted apple emerged as a Royal Gala apple slightly north of town at Thulimbah . Its new home is Vincenzo 's at the Big Apple , which is situated on the opposite side of the new England Highway to Suttons Apple Orchard &amp; Cidery . ''       Big Apple   Acacia Ridge       Located at 1102 Beaudesert Road .       Banana the Bullock   Banana       Dun bullock after which the Shire and Town of Banana were named .       Big Banana   North Mackay     9.2 m × 1.8 m ( 30.2 ft × 5.9 ft )         Big Kronosaurus   Richmond       ' Krono ' , a full sized replica of the Kronosaurus queenslandicus . Outside Kronosaurus Korner Fossil Museum , Richmond .       Big Barrel   Bundaberg   2005   25 m × 10 m ( 82 ft × 33 ft )   The Barrel is an interpretive visitors ' centre , gift and bottle shop for Bundaberg Brewed Drinks , located at 147 Bargara Road . According to a commemorative plaque inside the Barrel , it was opened by the Hon . Mr. Mark Vaile MP , Deputy Prime Minister and Leader of the Nationals on Friday , 18 November 2005 .       The Big Barramundi   Normanton   1995   7 m × 2 m ( 23.0 ft × 6.6 ft )         The Big Barramundi   Daintree   1986   7.5 m × 2 m ( 24.6 ft × 6.6 ft )         Big Bolt and Nut   Roma       Located in front of Banks Bolts and Fastners at 177 -- 183 Raglan Street .       The Big Boot / Shoe   Chermside   1960s     A large shoe mounted on the roof of a car sales yard on the corner of Rode and Gympie Roads ( 621 Gympie Road ) . The boot originally came from a boot and footwear factory on the corner of Hale and Caxton Streets in Paddington , operated by the Morris family in 1960 . In 1976 , the factory became a restaurant called the Spaghetti Emporium , and the boot remained on the roof there until it was brought to its current location in the late 1970s as a marker for Boots Camping .       The Big Brolga   Townsville   1988           Big Brolgas and Snake   Near Mackay             Big Bulls   Rockhampton   1978     Initially there were two bull statues but over time others were added reaching a total of seven . Five of the bulls were created by sculptor Hugh Anderson .       The Big Cane Toad   Sarina     4 m × 1 m ( 13.1 ft × 3.3 ft )   `` Buffy '' , short for the cane toad 's scientific name ' Bufo Marinus ' , is located in Broad Street , Sarina .  Built out of Paper Mache in 1983 , for a float in the Apex Sugar Festival Parade , the Sarina council eventually cast the Big Toad in fiberglass to become a permanent fixture in the town 's centre .        The Big Captain Cook   Cairns   1972   14 m × 2 m ( 45.9 ft × 6.6 ft )   Modelled on the explorer Captain Cook .       The Big Cassowary   Mission Beach     4 m × 4 m ( 13 ft × 13 ft )   Built by Darryl Lourigan .       The Big Cockatoo   Mossman       In front of the Mossman Hotel and Holiday Villas .       The Big Cow   Kulangoor   1976   12 m × 7.62 m ( 39.4 ft × 25.0 ft )         Big ( Mud ) Crab   Cardwell   1986   4 m × 1 m ( 13.1 ft × 3.3 ft )   Built by Terry Tebble , senior preparator at the Queensland museum . Located at Muddies Restaurant in Cardwell North . The original mold is kept at NatureWorks , a company near Samford , QLD .       Big Crab   Miriam Vale   1979     Located at the Shell petrol station and roadhouse on the corner of Dougall Street and Roe Street ( Bruce Highway ) . Created by proprietor Lex Milner , who owned the service station at the time and wanted to promote his tasty mud crab sandwiches .       Big Crocodile   Daintree   2001   2 m × 4 m ( 6.6 ft × 13.1 ft )         Big Crocodile   Hartley 's Creek   1984   7.9 m × 1 m ( 25.9 ft × 3.3 ft )   Also known as ' Big Ted ' , this Big Thing is at Hartley 's Creek Adventures , a crocodile farm with over 3000 crocs . Big Ted is a life - sized replica of one shot by Krys Pawlowski near Karumba in 1957 .       Big Crocodile   Normanton     8.63 m ( 28.31 ft )   An accurate artist 's impression of the largest recorded saltwater crocodile ever killed . `` Krys the Savannah King '' was shot in 1957 by Krystina Pawlowski on the banks of the Norman River .       Big Deck Chair   Winton   2002   18.3 m ( 60.04 ft )   Located at the Royal Theatre , an open air picture show , on Elderslie Street . The chair was donated in April 2005 by the Free Masons Taskforce Victoria . Claimed to be the World 's largest , but claim has not been verified .       The Big Dinosaur   Ballandean   1998   2.1 m × 6.7 m ( 6.9 ft × 22.0 ft )   Also known as ' The Big Triceratops ' or ' Fruitisforus ' , this large fibreglass triceratops was originally used as a float in the 1998 Apple &amp; Grape Festival . After the festival , residents placed it on the roadside to help sell fruit for a local fundraiser , and it became a popular landmark . The triceratops was refurbished in 2009 to repair weather damage and then returned to its original post in front of the Ballandean railway station .       The Big Dugong   Rockhampton   1992   22 m × 12 m ( 72 ft × 39 ft )   Located at the Rockhampton Dreamtime Cultural Centre .       The Big Easel   Emerald   1999   25 m ( 82 ft )   The Big Easel , located off Capricorn Highway in Morton Park , holds a 7 m × 10 m ( 23 ft × 33 ft ) reproduction of one of Van Gogh 's Sunflower paintings .       The Big G   Gracemere   2015   5.4 m × 6.6 m ( 18 ft × 22 ft )   Made from 6mm mild steel and weighing Almost 5000 kg , this impressive structure marks the entry to Gracemere Industry Park .       Big Golf Ball   Broadbeach             The Big Golden Gumboot   Tully   2003   8 m × 6.1 m ( 26 ft × 20 ft )         The Big Gun   Underwood       A 155 mm ( 6.1 in ) field gun mounted on top of a two - story fruit shop . The gun was in a metal scrap yard that occupied the site in the 1960s before the shops and offices were built in the 70s .       The Big Hard Rock Guitar   Surfers Paradise     10 m × 3 m ( 32.8 ft × 9.8 ft )   The iconic large guitar that fronts every Hard Rock Cafe . The Surfers Paradise location was established 22 March 1996 .       The Big Macadamia Nut   Nambour   1978   16 m ( 52 ft )   Six years after the Big Pineapple opened the owners built the Big Macadamia nut . Once part of the `` Nut Country Tour '' , the building was eventually converted to the `` Rainforest Creatures of the Night '' display in 2000 . The building has since closed , and remains unused as of June 2013 .       The Big Mandarin   Mundubbera     11 m × 15 m ( 36 ft × 49 ft )         The Big Mango   Bowen   2002   10 m × 8 m ( 33 ft × 26 ft )   The Big Mango stands at the tourist information centre in Bowen . In February 2014 , the Mango was temporarily `` stolen '' by restaurant chain Nando 's as a publicity stunt .       The Big Marlin   Cairns   1980   10 m × 2 m ( 32.8 ft × 6.6 ft )         Matilda The Kangaroo   Kybong   1982   13 m ( 42.7 ft )   Built to be the mascot for the 1982 Commonwealth Games , Matilda the Kangaroo now resides at Matilda Fuel 's Kybong service centre on the Bruce Highway , South of Gympie .       Big Meat Ant   Augathella   2011   5 m ( 16 ft )   A giant meat ant sculpture commissioned by Murweh Shire Council , in the hope of attracting `` thousands of tourists '' .       Big Merino   Blackall     3 m × 4 m ( 9.8 ft × 13.1 ft )         The Big Miner   Rubyvale       In front of the Bobby Dazzler mine . Missing its left hand in May 2012 . Hand repaired and statue repainted prior to December 2012 .       The Big Mower   Beerwah     11 m × 3.6 m ( 36 ft × 12 ft )         The Big Ned Kelly   Maryborough     7 m × 2 m ( 23.0 ft × 6.6 ft )   The Big Ned Kelly stands in front of the Ned Kelly Motel and service station . Built by Dat Romano .       The Big Orange   Gayndah   1977           The Big Orange   Lockyer Valley       Corner of Lake Clarendon Way and Crowley Vale Road .       The Big Paperclip   West End , Brisbane     3 m × 2 m ( 9.8 ft × 6.6 ft )   This was a public sculpture that once stood on the lot next to Paul 's dairy factory on Montague Road . The area is now part of the ramp onto the Go Between bridge , and the fate of the sculpture is unknown . Last photo located on the internet was dated 2007 .       The Big Peanut   Tolga   1977           The Big Pelican   Noosaville       Mounted on a motorised float in parkland next to the Noosa River .       The Big Pick , Shovel and Sieve   Sapphire   1999   4 m × 2.5 m ( 13.1 ft × 8.2 ft )   Located in front of the Blue Gem Store Van Park . Built by Barry Richardson and David Gould .       The Big Pie   Yatala   late 1970s   4.5 m ( 15 ft ) diameter   Mounted atop a 10 m ( 33 ft ) pole next to the car park of the Yatala Pies drive - through pie shop .       Big Pineapple   Gympie   1971   16 m ( 52 ft ) high   Formerly located next to a service station on the Bruce Highway , the Gympie Big Pineapple was demolished in 2008 during redevelopment of the site .       The Big Pineapple   Woombye   1971   16 m × 6 m ( 52 ft × 20 ft )   The Big Pineapple is a tourist attraction on the Sunshine Coast in South East Queensland , Australia . It is 16 metres high and is claimed to be the world 's largest pineapple , gaining this title after a large pineapple - shaped water tower in Hawaii was dismantled in 1993 ( see List of World 's Largest Roadside Attractions ) . The pineapple was originally opened on 15 August 1971 , and is situated on a 165 - hectare site in Woombye .       The Big Pumpkin   Beaudesert             The Big Pumpkin   Gumlu       The Big Pumpkin is situated outside the same roadside fruit and vegetable store as the Big Watermelon .       The Big Red Elephant   Lockyer Valley       Located at 4138 Warrego Highway in Hatton Vale . Part of the `` Jumbo '' shopping centre .       The Big Redback   Eight Mile Plains , Brisbane     5 m × 3 m ( 16.4 ft × 9.8 ft )   The Big Redback resided on the premises of Redback Landscaping at Eight Mile Plains . The business has since moved to Underwood and disassembled the Big Redback . Inquires have garnered that it is unlikely to be reassembled due to lack of space .       The Big Rig   Roma     over 30 m ( 98 ft ) tall   A tourist attraction which commemorates the finding of oil in Roma .       The Big Rum Bottle   Bundaberg   1988   7 m × 1 m ( 23.0 ft × 3.3 ft )   The bottle started out as the Bundaberg Rum Company 's pavilion at World Expo 88 in Brisbane , and is now located outside the visitors ' centre at the Bundaberg Distillery . Since then there have been several copies of the bottle which are found in various locations throughout Queensland , one being outside of the Sundowner Saloon in Haigslea .       The Big Sapphire   Anakie   1982   3.7 m × 2.26 m ( 12.1 ft × 7.4 ft )   Located in front of the Big Sapphire and Gemfield Information Centre at 1 Anakie Road , which was closed as of May 2012 .       The Big Sapphire Ring   Sapphire   1984     Located in front of Pat 's Gems . Built by Victor Saunders .       The Big Sausage King   Centenary Heights , Toowoomba       The Big Sausage King sits on the roof of Gray 's Modern Meat Mart in Centenary Heights . In 2010 it was stolen , and in spite of 10 kg ( 22 lb ) sausage reward from the store and an additional $500 being offered by radio station Triple M , it was eleven months before it was discovered in a local quarry .       The Big Shell   Tewantin   1960s   6 m × 2 m ( 19.7 ft × 6.6 ft )   The Big Shell is the entrance to a Hawaiian / tropical lifestyle store , full of little treasures and shells . The Shell is now under the third owner .       The Big Spanner   Sapphire   1982   2 m ( 6.6 ft )   The first big thing in the area of Rubyvale and Sapphire , and was built by Allen May .       Da Big Strawb   Elimbah   2014   Big   Outside Rolin Farms , a strawberry and orchid farm near Caboolture .       The Big Stubby   Tewantin   1966   9 m × 4 m ( 30 ft × 13 ft )   No longer there . Queensland 's first big thing , built by George Clifford out of 17,000 empty stubby bottles .       Big Watermelon   Gumlu       The Big Watermelon is situated outside the same fruit and vegetable roadside store as the Big Pumpkin .       The Big Whale   Kinka Beach       Built by Kevin Logan .       South Australia ( edit )     Name   Location   Built   Size   Notes   Image     The Australian Farmer ( also known as the Big Farmer )   Wudinna   2008   8 m ( 26 ft )   Taking 17 years to develop from the initial proposal to the final unveiling , the Australian Farmer , located in the town of Wudinna in South Australia , was carved by artist Marijan Bekic and his son David between 2007 and 2009 . Representing the early settlers of the region , the work stands at 8 m ( 26 ft ) in height , and was carved out of approximately 70 tonnes ( 69 long tons ; 77 short tons ) of local granite .       The Big Ant   Poochera   2008     Situated at The Poochera Roadhouse on Highway 1 , South Australia .       The Big Bee   Kingscote             The Big Bob - tail Lizard   Port Lincoln       Outside the Kuju Aboriginal Arts Centre , 30 Ravendale Rd , Port Lincoln       The Big Cherries   Pages Flat       Located at Fleurieu Cherries on Pages Flat Road ( B34 ) in Pages Flat , SA       The Big Church Block Bottle   McLaren Vale , South Australia     10 m ( 33 ft )   The Big Church Block Bottle is no longer on display at the Wirra Wirra Winery , having been removed in 2016 . The Big Church Block Bottle , named Our Work of Art , was a 10 m ( 33 ft ) high replica bottle of Wirra Wirra , Church Block wine . The bottle was constructed to launch the Melbourne Food and Wine Festival in March 2010 , located at Southbank in Melbourne , Victoria . The bottle was located in Melbourne from 14 March 2010 through to 19 March 2010 before it was re-located to the Wirra Wirra vineyard in McLaren Vale , South Australia , during April 2010 . The bottle was designed in five sectional pieces , made from steel framework covered in wire mesh . The mesh has been cladded entirely by recycled corks . Each cork was individually drilled and threaded onto elastic before being cable tied around each section of the bottle .       The Big Cockroach   Port Wakefield Rd , Lower Light   1990s   4m x 4m ( approx . )   The Big Cockroach is part of the Port Wakefield road sculptures , and features a sign verifying its global size dominance . This is a difficult Big Thing to approach , well inside private land and next to a highway . It was originally constructed in 1990s , and was almost destroyed in 2013 but saved through public action and returned to the site .       The Big Dice   Barrier Highway       The Big Dice consist of six concrete blocks piled into a small pyramid . They can be found between Yunta and Mannahill , just off the Barrier Highway .       The Big Galah   Kimba   1993   8 m × 2.5 m ( 26.2 ft × 8.2 ft )   Residing at the `` Halfway Across Australia Tourist Shop '' at Kimba , South Australia , the Big Galah was built from fiberglass over a steel frame by Robert Venning , and was opened in 1993 . Modelled on the Galahs that frequent the region , it stands at 8 metres ( 26 ft ) high and 2.5 metres ( 8 ft 2 in ) wide , and weighs in the vicinity of 2.3 tonnes ( 2 long tons ; 3 short tons ) .       The Big Hat   Cradock   2013     Located opposite the Cradock Hotel .       The Big Kangaroo   Border Village   1986   5 m × 2 m ( 16.4 ft × 6.6 ft )   Also known as `` Rooey II '' , the Big Kangaroo can be found at Border Village in South Australia , located just shy of the border with West Australia . Made from papier - mâché and fiberglass over a steel frame , from a design by Bill Metheral , Rooey was intended to capitalise on traffic journeying to Perth for the America 's Cup , and was opened in 1986 .       The Big Lobster   Kingston SE   1979   17 × 15 × 13 m ( 56 × 49 × 43 ft )   Known locally as `` Larry '' , the Big Lobster was designed and built by Paul Kelly ( who also designed the Big Scotsman ) as a means of attracting attention to the visitor centre and restaurant at which it is located . It was built in six months out of a steel frame with a fiberglass shell . The size is said to have been an error : the original plans were drawn in feet , but the designer misinterpreted them to be metres .       Map the Miner   Kapunda   1988   8 m × 2 m ( 26.2 ft × 6.6 ft )   Named Map Kernow , the `` son of Cornwall '' , Map the Miner represents the Cornish miners who once worked at the town of Kapunda . Standing at the southern end of the town , the work was built by Ben van Zetten and opened on 5 June 1988 . The statue was destroyed by a fire in 2006 , but has since been rebuilt .       The Big Olive   Tailem Bend   2009   11 m ( 36 ft )   The Big Olive was constructed to attract tourists to The Big Olive processing plant and visitors ' center . Located just outside Tailem Bend , it consists of two olives -- one green and one black -- which together stand at 8 metres ( 26 ft ) and weigh over 1 t ( 2,200 lb ) . The olives were constructed out of fiberglass by The Newell Group , and were placed on the site in April 2005 .       The Big Orange   Berri   1980   15 m × 12 m ( 49 ft × 39 ft )   Located in the South Australian Riverland , the Big Orange was designed by Adelaide - based architect John Twopenny . It is constructed with fiberglass panels covering a steel frame , with the entire structure weighing in the vicinity of 85 tonnes ( 84 long tons ; 94 short tons ) . The structure consists of four levels , with a function room on the first floor , a souvenir shop and cafe on the second , a mural depicting the local scenery on the third , and a lookout on the fourth . * Edit Dec 2013 , now closed but can still get photos from the road *       The Bi</t>
  </si>
  <si>
    <t xml:space="preserve">where is the big prawn located in australia</t>
  </si>
  <si>
    <t xml:space="preserve">   Name   Location   Built   Size   Notes   Image     Big Ant   Broken Hill   1980     A bull ant sculpture designed by artist Pro Hart , which was erected in 1980 and originally stood at the Stephens Creek Hotel . It was moved to its current location , next to the Tourist Information Centre in Broken Hill , after being donated to the city in 1990 .       Big Apple   Batlow       Located in the middle of an orchard about 3 km north of Batlow , without public access . Only its top is visible from Batlow - Tumut Road , as it is largely blocked by apple trees .       Big Apple   Yerrinbool       Visible from the Hume Highway  - 34.348504 , 150.554299        Big Avocado   Duranbah       Located at Tropical Fruit World .       The Big Axe   Kew   1979   8 m ( 26 ft )   Located alongside the Kew Visitor Information Centre . The original sculpture was replaced in 2002 as a result of ant induced damage .       Big Ayers Rock   North Arm Cove   1990     This 1 / 40 scale model of Uluru was formerly an attraction at Leyland Brothers World , and now forms the roof of the Rock Restaurant . Technically not a `` Big Thing '' ( as it is substantially smaller than the item it is modelled on ) , the Rock Restaurant is loosely grouped with the big things as an object of roadside art .       Big Banana   Coffs Harbour   1964   13 m × 5 m ( 43 ft × 16 ft )   Sometimes claimed to be the first Big Thing in Australia . The Big Banana tourist complex includes a banana - themed souvenir shop , tours of the surrounding plantation and an indoor ski slope .       The Big Beer Can   Cobar   1990   5 m × 2.5 m ( 16.4 ft × 8.2 ft )   The Big Beer Can has a Tooheys New design , and is located above the entrance to the Grand Hotel .       Big Bench   Broken Hill , New South Wales   September 2002     As part of the Landscapes and Backgrounds exhibition , a 2.5 times scale park bench was constructed on the top of the Line of Lode , which is a high hill of mine deposits in the centre of the city of Broken Hill .       The Big Blue Heeler   Muswellbrook   2001   2 m ( 6.6 ft ) high   Located adjacent to the town information centre .       The Big Bogan   Nyngan   2015   3.6 m ( 12 ft ) high   The Big Bogan is the brainchild of Reverend Graham McLeod from Nyngan 's St Mark 's Anglican Church . Located on Pangee Street next to the railway lines .       Big Bottles   Mangrove Mountain and Hanwood             Big Bowl   Lake Cathie , New South Wales       A 10 - foot high replica of a lawn bowl , consisting of one - and - a-half tonnes of steel and concrete .       Big Bull   Wauchope     14 m × 21 m ( 46 ft × 69 ft )   The Big Bull was pulled down in October 2007 .       Big Bunch of Bananas   Coffs Harbour       Formerly located in Sawtell , the Big Bunch of Bananas was relocated when the Pacific Highway bypassed the town and now lie just to the south of Coffs Harbour .       The Big Bicycle   Chullora     9 m × 6 m ( 30 ft × 20 ft )   The bicycle built by Jonh Ridley , Andy Lugiz and Phillip Becker adorns the entrance to the Chullora Waste Transfer Station , Chullora .       Big Cheese   Bodalla       The Big Cheese is located at the former Bodalla cheese factory on the Princes Hwy , Bodalla . It is as of 2013 closed .       Big Cherries   Young       Originally located off Short Street , but moved with the tourist information centre to Lovell Street to the old railway station .       Big Chook   Moonbi   1970s   2 m × 4 m ( 6.6 ft × 13.1 ft )         Big Chook   Mount Vernon     4 m × 4 m ( 13 ft × 13 ft )         Big Fish   Manilla       The Big Fish is located at the Big Fish Roadhouse at 79 Arthur Street Manilla .       Big Flower   Ourimbah             Big Funnel Web Spider   Jamberoo , New South Wales   2015   19.7 m × 22.2 m ( 65 ft × 73 ft )   The Big Funnel Web Spider was built at Jamberoo Action Park located 20 minutes south of Wollongong and is a steel , fibreglass and concrete structure 420 times larger than a female Sydney funnel - web spider . It was awarded a Guinness World Record as the Largest Spider Sculpture in August 2015 .       The Big Gold Panner   Bathurst   1979   5 m × 3 m ( 16.4 ft × 9.8 ft )   Located in front of the Gold Panner Motor Inn .       The Big Gold Pick and Pan   Grenfell   2005   Pick 4 m , Pan 3 m ( diam )   Located between the Goods Shed and historic Station Building at the old Railway Station precinct , just off the northern end of West Street .       The Big Golden Guitar   Tamworth   1988   12 m × 4 m ( 39 ft × 13 ft )   Modelled on the Golden Guitar trophies given to winners at the Country Music Awards of Australia ceremony night during the Tamworth Country Music Festival .       The Big Knight   Knockrow       At the entrance to the Macadamia Castle , a nut - themed park and store .       The Big Hammer   Mudgee       Located at Fairview Artspace in Mudgee is a Tig Crawley 's artwork `` Water Hammer '' . This installation is located in the front garden and has beautiful view of Mudgee and the countryside     The Big Headphones   Newcastle   2015   3 m ( 9.8 ft )   Located on Darby St , this fully operational pair of headphones was designed by Mark Tisdell and built in collaboration with Tom Ireland ( fabrication and design detailing ) , Sean Bell ( graphics ) , Adrian Garner ( electrical engineering ) , Brad Phillips and Rhian Leek ( architectural design ) , with the support of the Darby Street Traders Group .       The Big Kookaburra   Kurri Kurri   2009   4.5 m ( 15 ft )   Sculpture by Chris Fussell . It is located in Rotary Park .       The Big Lamb   Guyra   1988     Erected by the town and district to promote the lamb and potato industries in New England . The lamb is stood over a potato plant .       The Big Merino   Goulburn   1985   15 m × 18 m ( 49 ft × 59 ft )   A sculpture of a merino ram , built in 1985 . Goulburn and The Big Merino were bypassed by the Hume Highway in 1992 , leading to a reduction in visitor numbers . On 26 May 2007 , Rambo ( as the Merino is locally known ) was relocated by low - loader to a new home within sight of the highway .       The Big Miner 's Lamp   Lithgow             Big Mosquito   Hexham   1993     `` Ossie the Mossie '' at the Hexham Bowls Club is modelled on the local Ochlerotatus alternans mosquito species , known as `` Hexham Greys '' . It includes illuminated eyes which switch on at night .       Big Murray Cod   Tocumwal   1967   2 m × 7 m ( 6.6 ft × 23.0 ft )   Located near the corner of Deniliquin Rd and Murray St , near the Murray River .       Big Orange   Tenterfield             The Big Oyster   Taree     12 m × 4 m ( 39 ft × 13 ft )         The Big Playable Guitar   Narrandera   1991   6 m × 2 m ( 19.7 ft × 6.6 ft )   The largest playable guitar in the world .       Ploddy the Dinosaur   Somersby   1963     Situated in the Australian Reptile Park , and commissioned by the Park 's founder , Eric Worrell . The concrete structure , based on the shape of a Diplodocus , is 30 metres long and weighs almost 100 tonnes .       The Big Potato   Robertson   1977   10 m × 4 m ( 33 ft × 13 ft )   A giant potato constructed by farmer Jim Mauger in 1977 .       The Big Poo   Kiama   2002   1 m × 5 m ( 3.3 ft × 16.4 ft )   The Big Poo was built by local residents as a protest against Sydney Water 's decision not to reuse waste water in the area . Built from foam , it was unveiled by Ian Cohen on 29 April 2002 .       The Big Prawn   Ballina   1989   6 m × 9 m ( 20 ft × 30 ft )   On 24 September 2009 , Ballina Shire Council voted to allow the demolition of the Big Prawn , but this permission was never acted upon . Bunnings Warehouse purchased the site in 2011 and refurbished the Prawn as part of the redevelopment . The prawn now sits on a stand next to the entrance of the Bunnings Warehouse carpark .       Big Rabbit Trap   Albert   2013     A Big Rabbit Trap , located on the roof of the Rabbit Trap Hotel .       The Big Rocket   Moree   2009   14 m ( 46 ft ) high   The Big Rocket , launched during the International Year of Astronomy and the 40th anniversary of the first manned moon landing , contains two slides and a space - themed command centre playground .       Big Rubik 's Cube   Maroubra   2008     A cement cube painted as per a Rubik 's Cube on top of a storm water drain on Maroubra Beach .       The Big Slurpee   Coffs Harbour   2009   15.24 m ( 50 ft )   Dismantled in 2009 .       The Big Soldier   Uralla       In front of Hassett 's Military Museum .       The Big Spider   Urana   2009     The Big Spider ( named `` Not so Itsy '' by the artist ) was created by Andrew Whitehead , a nearby resident of the town . The spider commemorates the local football club , who were , for many years , known as the Spiders , and is built from a range of materials -- including a wash tub and a hot dog muffler .       The World 's Biggest Sundial   Singleton       A 25 - foot high sundial presented as a gift from Lemington Mine , to honour the occasion of the Australian Bicentenary . At the time of its creation , it was recognised by the Guinness Book of World Records as the world 's largest sundial , and still lays claim to being the largest one - piece sundial in the Southern hemisphere .       The Big Swan   Dunedoo       In front of the Swan Motel .       Big Tennis Racquet   Barellan   3 October 2009   13.8 m ( 45 ft ) long   Built in honour of Evonne Goolagong , who grew up in Barellan .       The Big Trout   Adaminaby   1973   10 m × 3 m ( 32.8 ft × 9.8 ft )   Designed by Andy Lomnici , the Big Trout is located in the town of Adaminaby , near Lake Eucumbene in the Snowy Mountains . Opened in 1973 , the trout is built from fiberglass over a steel frame .       The Big Trout   Oberon             The Big Turtle   Forster       Carved from timber , the big turtle is located behind the main street of Forster on a riverside boardwalk .       The Big Ugg Boots   Thornton   20 April 2015     Mortels Sheepskin Factory is home to The Big Ugg Boots . These big ugg boots are 13 times the size of a women 's US size 8 ugg boot . The Big Ugg Boots are located in the Hunter Region of NSW .     The Big Windmill   Coffs Harbour   1972     Although work started on the Big Windmill in 1972 , the death of Franz De Kever in 1974 delayed completion until 1982 , as it was not until the site was purchased by Hans Eecen that work was able to resume . The Big Windmill has since changed hands , and is now operated by Mark and Jodi Taylor . The site includes a 41 - room motel and a restaurant .       The Big Wine Barrel   Hanwood , Griffith   1973     Located at the McWilliam 's Winery . The cellar door with historical displays and a giant glass mural are located within .       The Big Wine Bottle   Pokolbin   1998   7 m × 1.5 m ( 23.0 ft × 4.9 ft )   Located at the Hunter Valley Gardens . The neck forms a chimney for an open fire contained within .       The Big Wine Cask   Mourquong     8 m × 6 m ( 26 ft × 20 ft )   Located at the Constellation Stanley winery * Edit - as of Dec 2013 no longer there . Building is , but has been painted out and is not accessible *     </t>
  </si>
  <si>
    <t xml:space="preserve">Blake Gibbons - Wikipedia  Blake Gibbons  Jump to : navigation , search      This article relies largely or entirely on a single source . Relevant discussion may be found on the talk page . Please help improve this article by introducing citations to additional sources . ( April 2008 )       Blake Gibbons       Blake James Gibbons ( 1961 - 06 - 21 ) June 21 , 1961 ( age 56 ) Kern County , California , U.S.     Years active   1964 -- present     Blake Gibbons ( born June 21 , 1961 in Kern County , California ) is an American actor with a recurring role as Coleman on the long running Daytime television serial General Hospital .   He also played `` The Dude '' ( Lyle ) in The Summer of George episode of Seinfeld .     Contents  ( hide )   1 Filmography   2 Commercials   3 See also   4 References   5 External links      Filmography ( edit )    Supernatural ( 2013 )   Criminal Minds ( 2013 )   The Young and the Restless ( 2012 )   Castle ( 2010 )   Chase ( 2010 )   Modern Family ( 2010 )   Dexter ( 2008 )   Love 's Abiding Joy ( 2006 )   You and I ( 2006 )   A.I. Assault ( 2006 )   CSI : Miami ( as Rick Miller in 2006 )   The O.C. ( 2006 )   Dependency ( 2005 )   The Legend of Butch &amp; Sundance ( 2004 )   Wake ( 2003 )   Hollywood Homicide ( 2003 )   General Hospital ( 2002 -- present )   Charmed ( 2001 )   Any Day Now ( 2000 )   The Pretender ( 1999 )   Seinfeld ( 1997 )   Dr. Quinn , Medicine Woman ( 1993 )   Night Trap ( 1992 )   Baywatch Nights ( 1992 , 1994 , 1995 , 1996 )   Moonstalker ( 1989 )   The Golden Girls ( 1988 )   Murder , She Wrote ( 1984 )    Commercials ( edit )    Pepsi Commercial ( 2002 )   Michelin Commercial ( 2003 )   Subaru Outback ( 2009 )   Miracle Whip ( 2010 )   Dr Pepper 10 ( 2013 )   Geico cheat death commercial ( 2017 )    See also ( edit )    History Of General Hospital   List of General Hospital characters    References ( edit )    Jump up ^ According to the State of California . California Birth Index , 1905 - 1995 . Center for Health Statistics , California Department of Health Services , Sacramento , California . At Ancestry.com    External links ( edit )    Blake Gibbons on IMDb        This article about an American television actor or actress born in the 1960s is a stub . You can help Wikipedia by expanding it .            Retrieved from `` https://en.wikipedia.org/w/index.php?title=Blake_Gibbons&amp;oldid=777092160 '' Categories :   1961 births   Male actors from California   American male soap opera actors   Living people   Male actors from Bakersfield , California   American television actor , 1960s birth stubs   Hidden categories :   Articles needing additional references from April 2008   All articles needing additional references   Articles with hCards   All stub articles           Talk                                           Contents                   About Wikipedia                                           Polski   Edit links   This page was last edited on 25 April 2017 , at 04 : 56 .         About Wikipedia                  </t>
  </si>
  <si>
    <t xml:space="preserve">who plays the stunt man in the geico commercial</t>
  </si>
  <si>
    <t xml:space="preserve"> Blake Gibbons ( born June 21 , 1961 in Kern County , California ) is an American actor with a recurring role as Coleman on the long running Daytime television serial General Hospital . </t>
  </si>
  <si>
    <r>
      <rPr>
        <sz val="11"/>
        <color rgb="FF000000"/>
        <rFont val="Calibri"/>
        <family val="0"/>
        <charset val="1"/>
      </rPr>
      <t xml:space="preserve">English Springer Spaniel - wikipedia  English Springer Spaniel   English Springer Spaniel       Other names   Springer Spaniel     Origin   England        hide Classification / standards     FCI   Group 8 , Section 2 Flushing Dogs # 125   standard     AKC   Sporting   standard     ANKC   Group 3 ( Gundogs )   standard     CKC   Group 1 -- Sporting Dogs   standard     KC ( UK )   Gundog   standard     NZKC   Gundog   standard     UKC   Gun Dog   standard        Domestic dog ( Canis lupus familiaris )     The English Springer Spaniel is a breed of gun dog in the Spaniel family traditionally used for flushing and retrieving game . It is an affectionate , excitable breed with a typical lifespan of twelve to fourteen years . They are very similar to the Welsh Springer Spaniel and are descended from the Norfolk or Shropshire Spaniels of the mid-19th century ; the breed has diverged into separate show and working lines . The breed suffers from average health complaints . The show - bred version of the breed has been linked to `` rage syndrome '' , although the disorder is very rare . It is closely related to the Welsh Springer Spaniel and very closely to the English Cocker Spaniel ; less than a century ago , springers and cockers would come from the same litter . The smaller `` cockers '' hunted woodcock while the larger littermates were used to flush , or `` spring , '' game . In 1902 , The Kennel Club recognized the English Springer Spaniel as a distinct breed . They are used as sniffer dogs on a widespread basis . The term Springer comes from the historic hunting role , where the dog would flush ( spring ) birds into the air .     Contents  ( hide )   1 Description   1.1 Coat and colours   1.2 Sizes     2 Temperament   3 Health   4 History   4.1 Skills     5 Detection dog   6 See also   7 References   8 External links      Description ( edit )   The English Springer Spaniel is a medium - sized compact dog . Its coat is moderately long with feathering on the legs and tail . It is a well proportioned , balanced dog with a gentle expression and a friendly wagging tail . This breed represents perhaps the greatest divergence between working and show lines of any breed of dog . A field - bred dog and a show - bred dog appear to be different breeds , but are registered together . In fact , the gene pools are almost completely segregated and have been for at least 70 years . A field - bred dog would not be competitive in a modern dog show , while a show dog would not have the speed or stamina to succeed in a field trial .   The English Springer Spaniel field - bred dogs tend to have shorter , coarser coats than show - bred dogs . The ears are less pendulous . Field - bred dogs are wiry and have more of a feral look than those bred for showing . The tail of the field - bred dog may be docked a few inches in comparison to the show dog . Field - bred dogs are selected for sense of smell , hunting ability , and response to training rather than appearance .   Show dogs have longer fur and more pendant ears , dewlaps and dangling flews . The tail is docked to a short stub in those countries that permit docking . They are generally more thickly boned and heavier than field - bred springers .   The English Springer Spaniel is similar to the English Cocker Spaniel and at first glance the only major difference is the latter 's smaller size . However English Springers also tend to have shorter , and higher - set ears than English Cockers . In addition Springers also tend to have a longer muzzle ; their eyes are not as prominent , and the coat is less abundant . The major differences between the Welsh Springer and the English Springer are that the Welsh have more limited colours and tend to be slightly smaller .   Coat and colours ( edit )   Field - bred dogs tend to have shorter , coarser coats than the longer furred show - bred dogs . They normally only shed in summer and spring months but shed occasionally in the autumn . The coat comes in black or liver ( dark brown ) with white markings or predominantly white with black or liver markings ; Tricolour : black and white or liver and white with tan markings , usually found on eyebrows , cheeks , inside of ears and under the tail . Any white portion of the coat may be flecked with ticking .   Sizes ( edit )   Males in the show dog line are typically approximately 18 to 20 inches ( 46 to 51 cm ) at the withers and weigh 50 to 55 lb ( 23 to 25 kg ) . According to the UK Breed Standard , the English Springer Spaniel should be 20 inches ( 51 cm ) at the withers . The females should be 17 to 19 inches ( 43 to 48 cm ) and usually 35 to 45 lb ( 16 to 20 kg ) . Working types can be lighter in weight and finer in bone .   Temperament ( edit )   The typical Spaniel is friendly , eager to please , quick to learn and willing to obey . In the right circumstances , it can be an affectionate and easy - going family dog . Its alertness and attentiveness make it a good hunting companion . A typical Springer Spaniel will often choose one person in the family to be most loyal to and stick with that person as much as possible . The English Springer Spaniel ranks 13th in Stanley Coren 's The Intelligence of Dogs , considered an excellent working dog . It has exceptional stamina and needs moderate amounts of activity , to focus its mind and to provide exercise , although this is different for each dog . Its long - legged build makes it among the fastest of the spaniels .   It is a sociable breed that enjoys the company of children and handles the company of other pets well . The hunting breed may not get along well with cats , however . If left alone for too long , they can become destructive and mischievous through boredom . They love the water , and tend to get wet whenever they have the chance .   Health ( edit )   The English Springer Spaniel has a typical lifespan of 10.5 to 15 years . As in most breeds , there are some health problems that are more likely to occur . Hip dysplasia and progressive retinal atrophy ( PRA ) ( a degeneration of the retina causing vision loss leading to blindness ) are two such diseases for which veterinarians are working on genetic markers to determine carriers . Another problem can be elbow dysplasia . Retinal dysplasia ( RD ) , which can cause blindness and Phosphofructokinase deficiency ( PFK ) , which is genetic deficiency which impairs the ability of cells using carbohydrates for energy are two other hereditary conditions for which both lines of the English springer spaniel should be screened prior to breeding . Health issues are usually similar in both types of English Springer however phosphofructokinase deficiency in particular can appear more in field lines , however carriers in show lines have been identified .   As with most spaniels and floppy eared dogs , they are prone to ear infections . There are several types of common infections , and treatment typically includes oral antibiotics and cleaning the ear canal daily with a solvent that will also leave the ear in an acidic state to slow the growth of yeast and bacteria . Other health problems include autoimmune diseases , which include allergies and other sensitivities to the environment . They can also be susceptible to various eye problems including inward or outward curling eyelashes or even an additional row of eyelashes , all of which can require corrective surgery .   English Springer Spaniels tend to gain weight easily , and owners need to be careful about their food consumption . The English Springer Spaniel weight ranges from 44 to 45 pounds . A healthy Springer Spaniel should eat about 1,353 calories per day .   History ( edit )   English physician Dr. John Caius described the spaniel in his book the Treatise of Englishe Dogs published in 1576 . His book was the first work to describe the various British breeds by function . By 1801 , Sydenham Edwards explained in the Cynographia Britannica that the land spaniel should be split into two kinds , the Springing , Hawking Spaniel , or Starter ; and the Cocking or Cocker Spaniel .   At this point in time , both cocker spaniels and springer spaniels were born in the same litters . The purpose of the breed was to serve as a hunting dog . The smaller cockers were used to hunt woodcock , while their larger littermates , the springer spaniels , would `` spring '' -- or flush -- the gamebird into the air where a trained falcon or hawk would bring it to the handler .   Many spaniel breeds were developed during the 19th century , and often named after the counties in which they were developed , or after their owners , who were usually nobility . Two strains of larger land spaniel were predominant and were said to have been of `` true springer type . '' These were the Norfolk and the Shropshire spaniels , and by the 1850s , these were shown under the breed name of Norfolk spaniel .   In January 1899 , the Spaniel Club of England and the Sporting Spaniel Society held their trials together for the first time . Three years later , in 1902 , a combination of the physical standard from the Spaniel Club of England and the ability standard from the Sporting Spaniel Society led to the English Springer Spaniel breed being officially recognised by the English Kennel Club . The American Kennel Club followed in 1910 . In 1914 , the first English Field Champion was crowned , FTC Rivington Sam , whose dam was a registered cocker spaniel , Rivington Riband . Sam is considered one of the foundation sires for modern field lines .   Skills ( edit )   An English Springer Spaniel is foremost an upland flushing dog . There are a number of skills that breeders train the dog to perform for their occupation .    Retrieve to Hand Most hunters and all hunt test or field trial judges require that a dog deliver a bird to hand , meaning that a dog will hold the bird until told to give it to the hunter directly .   Soft Mouth Springers are taught to deliver game with a soft mouth , meaning he does not puncture it with his teeth . The game should always be fit for the table . If a springer damages the bird , it may be hard mouthed . This is a serious fault , but it can be difficult to determine whether it may have been genetic or caused by poor training methods . Breeders generally avoid using any springer that is hard mouthed .   Quarter A flushing spaniel 's primary role is often as an upland flushing dog . Dogs must work in a zig - zag pattern in front of the hunter seeking upland game birds . The dog is taught to stay within gun range to avoid flushing a bird outside shooting distance . This pattern is one of the primary criteria used to judge a dog in a field trial .   Scenting Having the ability to scent game is of vital importance to the hunter . A springer should have a good nose in both wet and dry conditions . A dog with a good nose will learn to use the wind as it quests for game , ever adjusting its pattern according to the nuances of the wind .   Flushing The springer should have a positive flush . It should not hesitate or point when encountering game . Some field trial dogs will often get airborne during a flush . This is exciting to watch , but is not necessary to win . Most hunters prefer that their dog not flush in that style , as it can present a risk to the dog .   Hup This is the traditional command to sit and stay . When hupped the dog can be given direction called to the handler . The ability to hup a dog actively working a running bird allow the handler and any gunners to keep up without having to run .   Follow Hand Signals Upland hunting involves pursuing wild game in its native habitat . Gun dogs must investigate likely covers for upland game birds . The dog must be responsive to hand signals in order for the hunter to be able to direct the dog into areas of particular interest .   Steady When hunting upland birds , a flushing dog should be steady to wing and shot , meaning that he sits when a bird rises or a gun is fired . He does this in order to mark the fall and to avoid flushing other birds when pursuing a missed bird .   Blind Retrieve An adequately trained and experienced working springer can be expected to use all of the aforementioned attributes to be conducted by hand , whistle and command to a position whereby an unmarked lost game bird can be picked and retrieved to hand .    Detection dog ( edit )  Further information : Detection dog  The Springer Spaniel is used as a sniffer dog . Notable search dogs have included Buster , a Dickin Medal recipient , Royal Army Veterinary Corps arms and explosives search dog serving with the Duke of Wellington 's Regiment in Iraq , for finding an extremist group 's hidden arsenal of weapons and explosives . Another example is Jake , aka Hubble Keck People 's Dispensary for Sick Animals Gold Medal and Blue Cross Animal Hospital Medal recipient , a London Metropolitan Police explosives search dog . He was deployed at Tavistock Square , Russell Square and King 's Cross following the 7 July 2005 London Bombings .   The Springer is not limited to detecting explosives . Murphy , a male Springer has been trained by HM Prison Service in HMP Norwich to search for mobile phones . He can tell the difference between the guards ' phones and illegal phones held by inmates . Other varied uses for the Springer can include sniffing out bumblebee nests , illegal immigrants , and blood . Springers are used for drug detection in the United Kingdom , Sweden , Finland , Isle of Man , Ireland , Canada CBSA and Qatar .   The Springer Spaniel is also used as a search and rescue dog by mountain rescue teams , where their willingness to work and cover rough terrain makes them an excellent choice .    English Springer Spaniel    English Springer Spaniel from 1807     Drawing of Norfolk spaniels , 1881     English springer spaniel , 1915     English Springer Spaniel     Three - months - old English Springer Spaniel     A nine - year - old English Springer Spaniel     British Transport Police officers with a Springer Spaniel sniffer dog at Waterloo station     Springer Spaniel living in France     English Springer Spaniel     A resting English Springer Spaniel     See also ( edit )    Hunting dog   Sporting Group   Cocker Spaniel   Mountain Rescue    References ( edit )    ^ Jump up to : Burke , Don . The complete Burke 's backyard : the ultimate book of fact sheets . Barron 's Educational Series . p. 789 . ISBN 1740457390 .   Jump up ^ `` English Springer Spaniel Dog Breed Information '' . Akc.org . Retrieved 11 December 2017 .   ^ Jump up to : `` Know The Difference Between A Show Bred &amp; Field Bred English Springer Spaniel '' . English Springer Spaniel Information and Field Trial Page . Retrieved 9 July 2007 .   ^ Jump up to : `` English Springer Spaniel '' . SpringerSpaniel.org.uk . Archived from the original on 9 May 2010 . Retrieved 25 October 2009 .   Jump up ^ Gormish , Denise . `` A comparison of English Cocker Spaniels , American Cocker Spaniels and English Springer Spaniels '' . English Cocker Spaniel Club of America . Archived from the original on 21 November 2010 . Retrieved 13 September 2009 .   Jump up ^ `` English Springer Spaniel Field Trial Association Main Page '' . English Springer Spaniel Field Trial Association . Retrieved 9 July 2007 .   Jump up ^ `` English Springer Spaniel Breed '' . 5StarDog . Retrieved 9 November 2009 .   Jump up ^ O'Neill , D.G. ; Church , D.B. ; McGreevy , P.D. ; Thomson , P.C. ; Brodbelt , D.C. ( 2013 ) . `` Longevity and mortality of owned dogs in England '' . The Veterinary Journal . 198 : 638 -- 43 . doi : 10.1016 / j. tvjl. 2013.09. 020 . PMID 24206631 .   Jump up ^ Ditto , Tanya B. ( 26 May 2000 ) . English Springer Spaniels : A Complete Pet Owner 's Manual . Barron 's Educational Series . ISBN 0 - 8120 - 1778 - 1 .   Jump up ^ `` Phosphofructokinase Deficiency in the English Springer Spaniel '' . English Springer Spaniel Field Trial Association . Retrieved 8 November 2009 .   Jump up ^ Bell , Jerold S. ( 28 February 1998 ) . `` The Proper Use of Genetic Tests in Spaniel Breeding Decisions '' . Spaniels in the Field . Archived from the original on 4 October 2008 . Retrieved 9 November 2009 .   Jump up ^ `` Types of Dog Ear Infections '' . vet-organics.com. 2014 . Retrieved 20 May 2015 .   Jump up ^ `` Ear Infections in Dogs : A Complete Guide To Dog Ear Infections '' . EarInfectioninDogs.com. 2008 . Retrieved 8 November 2009 .   Jump up ^ `` English Springer Spaniel Health '' . Ariel English Springer Spaniels . Retrieved 8 November 2009 .   Jump up ^ Alderton , David ( 2006 ) . Top to Tail : The 360 Degrees Guide to Picking Your Perfect Pet . David &amp; Charles PLC . p. 110 . ISBN 0 - 7153 - 2589 - 2 .   Jump up ^ Petcarerx , Team ( 12 July 2017 ) . `` English Springer Spaniel Diet Tips '' . PetCareRx . Retrieved 2018 - 04 - 12 .   ^ Jump up to : Mymudes , Mindy ( 3 March 2002 ) . `` An English Springer History '' . Retrieved 24 October 2009 .   Jump up ^ `` AKC MEET THE BREEDS : English Springer Spaniel '' . American Kennel Club . Retrieved 24 November 2010 .   ^ Jump up to : `` The History of the Springer Spaniel '' . Archived from the original on 13 September 2009 . Retrieved 24 October 2009 .   Jump up ^ `` English Springer Spaniel -- Key Field Skills '' . Petwave.com . Retrieved 25 October 2009 .   Jump up ^ `` PDSA Dickin Medal : ' the animals ' VC ' '' . PDSA.org.uk . Archived from the original on 17 April 2008 . Retrieved 9 November 2009 .   Jump up ^ `` Police dog Jake is awarded '' . Met.Police.UK. 10 January 2007 . Retrieved 9 November 2009 .   Jump up ^ Kay , John ( 11 January 2007 ) . `` Jail dog finds smellphones '' . The Sun . UK . Retrieved 9 November 2009 .   Jump up ^ `` Toby the bumblebee sniffer dog '' . Bumblebee Conservation Trust . Retrieved 9 November 2009 .   Jump up ^ `` Agency sniffer dog finds illegal immigrants attempting to smuggle themselves into the UK '' . UK Borders Agency . 2 February 2009 . Archived from the original on 10 January 2014 . Retrieved 9 November 2009 .   Jump up ^ McVeigh , Karen ( 30 December 2005 ) . `` On scent of success : sniffer dog Keela earns more than her Chief Constable '' . The Times . UK . Retrieved 9 November 2009 .   Jump up ^ `` Drug detector dogs '' . Swedish Customs Service . Retrieved 9 November 2009 .   Jump up ^ `` Drug detector dogs of Finnish Customs '' ( PDF ) . Tulli Customs . Retrieved 9 November 2009 .   Jump up ^ `` About our dogs '' . North Yorkshire Police . Archived from the original on 17 July 2011 . Retrieved 9 November 2009 .   Jump up ^ `` Dogs and Handlers '' . Isle of Man : Department of Home Affairs . Archived from the original on 8 January 2010 . Retrieved 9 November 2009 .   Jump up ^ `` Sniffer dogs : hot on the trail with the pet detectives '' . Irishtimes.com . Retrieved 11 December 2017 .   Jump up ^ Christine ( 13 August 2014 ) . `` Minister Toews Welcomes Graduation of CBSA 's First Tobacco Detector Dog Teams '' .   Jump up ^ Senger , Dustin ( 13 April 2009 ) . `` Qatar Military Dog Show Enhances Bilateral Relations '' . dvidshub.net . Retrieved 9 November 2009 .    External links ( edit )       Wikimedia Commons has media related to English springer spaniel .      English Springer Spaniel at Curlie ( based on DMOZ )              Gundogs     Pointers     Burgalese Pointer   English Setter   Gordon Setter   Irish Red and White Setter   Irish Setter   Pointer       Versatile gundogs     Ariege Pointer   Blue Picardy Spaniel   Bracco Italiano   Braque du Bourbonnais   Braque d'Auvergne   Braque Français   Braque Saint - Germain   Brittany   Ca Mè Mallorquí   Cesky Fousek   Drentsche Patrijshond   French Spaniel   German Longhaired Pointer   German Shorthaired Pointer   German Wirehaired Pointer   Large Münsterländer   Old Danish Pointer   Pachón Navarro   Perdigueiro Galego   Picardy Spaniel   Portuguese Pointer   Pudelpointer   Saint - Usuge Spaniel   Slovakian Rough Haired Pointer   Small Münsterländer   Spinone Italiano   Stabyhoun   Vizsla   Weimaraner   Wirehaired Pointing Griffon       Retrievers     Chesapeake Bay Retriever   Curly Coated Retriever   Flat - Coated Retriever   Golden Retriever   Labrador Retriever   Nova Scotia Duck Tolling Retriever       Spaniels     American Cocker Spaniel   Boykin Spaniel   Clumber Spaniel   English Cocker Spaniel   English Springer Spaniel   Field Spaniel   German Spaniel   Kooikerhondje   Pont - Audemer Spaniel   Russian Spaniel   Sussex Spaniel   Welsh Springer Spaniel       Water dogs     American Water Spaniel   Barbet   Cantabrian Water Dog   Irish Water Spaniel   Lagotto Romagnolo   Poodle   Portuguese Water Dog   Spanish Water Dog   Wetterhoun       Extinct     Alpine Spaniel   Braque du Puy   English Water Spaniel   Norfolk Spaniel   Old Spanish Pointer   Tweed Water Spaniel                 Dogs originating in Britain     Hounds     Beagle   Bloodhound   Dumfriesshire Hound   English Foxhound   Greyhound   Harrier   Otterhound   Scottish Deerhound   Welsh Hound   Whippet       Gun dogs     Clumber Spaniel   Curly Coated Retriever   Cocker Spaniel   English Setter   English Springer Spaniel   Field Spaniel   Flat - Coated Retriever   Golden Retriever   Gordon Setter   Labrador Retriever   Pointer   Sussex Spaniel   Welsh Springer Spaniel       Terriers      Working breeds     Airedale Terrier   Bedlington Terrier   Black and Tan Terrier   Border Terrier   Cairn Terrier   Dandie Dinmont Terrier   Fox Terrier ( Smooth &amp; Wire )   Jack Russell Terrier   Lakeland Terrier   Manchester Terrier   Norfolk Terrier   Norwich Terrier   Parson Russell Terrier   Patterdale Terrier   Plummer Terrier   Russell Terrier   Scottish Terrier   Sealyham Terrier   Skye Terrier   Sporting Lucas Terrier   Welsh Terrier   West Highland White Terrier       Toy breeds     English Toy Terrier   Toy Manchester Terrier   Yorkshire Terrier       Bull types     Bull Terrier   Bull Terrier ( Miniature )   Staffordshire Bull Terrier          Herding dogs     Bearded Collie   Border Collie   Cardigan Welsh Corgi   English Shepherd   Lancashire Heeler   Old English Sheepdog   Pembroke Welsh Corgi   Rough Collie   Shetland Sheepdog   Smooth Collie   Welsh Sheepdog       Other     Bulldog   Bullmastiff   Cavalier King Charles Spaniel   English Mastiff   French Bulldog   King Charles Spaniel   Northern Inuit Dog       Types     Fell Terrier   Longdog   Lurcher       Extinct     Blue Paul Terrier   English Water Spaniel   English White Terrier   Norfolk Spaniel   North Country Beagle   Old English Bulldog   Old Welsh Grey Sheepdog   Paisley Terrier   Southern Hound   Talbot   Toy Bulldog   Toy Trawler Spaniel   Turnspit dog   Tweed Water Spaniel   Welsh hillman      Retrieved from `` https://en.wikipedia.org/w/index.php?title=English_Springer_Spaniel&amp;oldid=843803147 '' Categories :   Dog breeds   Spaniels   Sporting dogs   Detector dogs   Dog breeds originating in England   Hidden categories :   Use British English from August 2011   Use dmy dates from August 2011   Articles with ' species ' microformats   Articles with Curlie links           Talk                                           Contents                   About Wikipedia                                                 Català   Čeština   Cymraeg   Dansk   Deutsch   Español   فارسی   Français   Italiano   עברית   Magyar   Bahasa Melayu   Nederlands   </t>
    </r>
    <r>
      <rPr>
        <sz val="11"/>
        <color rgb="FF000000"/>
        <rFont val="Noto Sans CJK SC"/>
        <family val="2"/>
      </rPr>
      <t xml:space="preserve">日本 語   </t>
    </r>
    <r>
      <rPr>
        <sz val="11"/>
        <color rgb="FF000000"/>
        <rFont val="Calibri"/>
        <family val="0"/>
        <charset val="1"/>
      </rPr>
      <t xml:space="preserve">Norsk   Polski   Português   Русский   Simple English   Српски / srpski   Suomi   Svenska   Tiếng Việt   </t>
    </r>
    <r>
      <rPr>
        <sz val="11"/>
        <color rgb="FF000000"/>
        <rFont val="Noto Sans CJK SC"/>
        <family val="2"/>
      </rPr>
      <t xml:space="preserve">中文  </t>
    </r>
    <r>
      <rPr>
        <sz val="11"/>
        <color rgb="FF000000"/>
        <rFont val="Calibri"/>
        <family val="0"/>
        <charset val="1"/>
      </rPr>
      <t xml:space="preserve">15 more  Edit links   This page was last edited on 31 May 2018 , at 15 : 36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</si>
  <si>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difference between a cocker spaniel and springer spaniel</t>
  </si>
  <si>
    <t xml:space="preserve"> The English Springer Spaniel is similar to the English Cocker Spaniel and at first glance the only major difference is the latter 's smaller size . However English Springers also tend to have shorter , and higher - set ears than English Cockers . In addition Springers also tend to have a longer muzzle ; their eyes are not as prominent , and the coat is less abundant . The major differences between the Welsh Springer and the English Springer are that the Welsh have more limited colours and tend to be slightly smaller . </t>
  </si>
  <si>
    <t xml:space="preserve">The Mother of parliaments ( expression ) - wikipedia  The Mother of parliaments ( expression )  Jump to : navigation , search Not to be confused with Mother of Parliament .  `` The mother of parliaments '' is an expression coined by the British politician and reformer John Bright in a speech at Birmingham on 18 January 1865 .   It was a reference to England . His actual words were : `` England is the mother of parliaments '' . This was reported in The Times on the following day .   The expression is often applied to the Parliament of the United Kingdom because of the adoption of the Westminster model of parliamentary democracy by many countries of the former British Empire .   See also ( edit )    History of democracy   History of parliamentarism   Parliament   Parliament in the Making   Parliamentary system   Prime minister   Parliamentary sovereignty   The History of Parliament    References ( edit )    Jump up ^ Oxford Dictionary of Quotations , revised 4th ed , 1996 , p. 141   Jump up ^ Parliament . CUP Archive. 1957 . p. 517 ; `` UK Politics : Talking Politics The ' Mother of Parliaments ' '' . BBC Talking Politics . 3 June 1998 . Retrieved 23 April 2016 ; `` Full text of Obama 's speech to UK parliament '' . CNN . 25 May 2011 . Retrieved 23 April 2016 ; `` Britain and France Get Poor Marks in Democracy Ranking '' . Spiegel Online . 2 January 2011 . Retrieved 23 April 2016 ; `` A Makeover for the Mother of Parliaments '' . The New York Times . 11 July 2015 . Retrieved 23 April 2016 .   Jump up ^ Seidle , F. Leslie ; Docherty , David C. ( 2003 ) . Reforming parliamentary democracy . McGill - Queen 's University Press . p. 3 . ISBN 9780773525085 .   Jump up ^ Julian Go ( 2007 ) . `` A Globalizing Constitutionalism ? , Views from the Postcolony , 1945 - 2000 '' . In Arjomand , Saïd Amir . Constitutionalism and political reconstruction . Brill . pp. 92 -- 94 . ISBN 9004151745 ; `` How the Westminster Parliamentary System was exported around the World '' . University of Cambridge . 2 December 2013 . Retrieved 16 December 2013 .    Further reading ( edit )    Graham , Harry ( 2015 ) ( 1910 ) . The Mother of Parliaments. 1347470220 . ISBN 9781347470220 .   Retrieved from `` https://en.wikipedia.org/w/index.php?title=The_mother_of_parliaments_(expression)&amp;oldid=832418982 '' Categories :   Quotations   Parliament of the United Kingdom   England   Westminster system           Talk                                                             About Wikipedia                                           Add links   This page was last edited on 25 March 2018 , at 22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</si>
  <si>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why is the british parliament known as the mother of parliaments</t>
  </si>
  <si>
    <t xml:space="preserve"> The expression is often applied to the Parliament of the United Kingdom because of the adoption of the Westminster model of parliamentary democracy by many countries of the former British Empire . </t>
  </si>
  <si>
    <r>
      <rPr>
        <sz val="11"/>
        <color rgb="FF000000"/>
        <rFont val="Calibri"/>
        <family val="0"/>
        <charset val="1"/>
      </rPr>
      <t xml:space="preserve">Madam Secretary ( TV series ) - wikipedia  Madam Secretary ( TV series )       Madam Secretary         Genre   Political drama Thriller     Created by   Barbara Hall     Starring     Téa Leoni   Tim Daly   Patina Miller   Geoffrey Arend   Erich Bergen   Željko Ivanek   Bebe Neuwirth   Wallis Currie - Wood   Katherine Herzer   Evan Roe   Keith Carradine   Sebastian Arcelus   Sara Ramirez       Opening theme   Theme to Madam Secretary     Ending theme   Theme to Madam Secretary     Composer ( s )   Transcenders     Country of origin   United States     Original language ( s )   English     No. of seasons   5     No. of episodes   94 ( list of episodes )     Production     Executive producer ( s )     Barbara Hall   Morgan Freeman   Téa Leoni   Lori McCreary   Tracy Mercer   David Grae       Running time   42 -- 46 minutes     Production company ( s )     Barbara Hall Productions   Revelations Entertainment   CBS Television Studios       Distributor   CBS Television Distribution     Release     Original network   CBS     Original release   September 21 , 2014 ( 2014 - 09 - 21 ) -- present     External links     Website     Madam Secretary is an American political drama television series created by Barbara Hall and executive produced by Lori McCreary and Morgan Freeman . It stars Téa Leoni as Elizabeth McCord , a former CIA analyst and political science professor turned Secretary of State . The series premiered on September 21 , 2014 . On October 27 , 2014 , CBS placed a full season order consisting of 22 episodes for the first season . On March 23 , 2017 , CBS renewed the series for a fourth season . In 2017 , CBS sealed a multi-platform syndication deal worth an estimated $2 million per episode . On April 18 , 2018 , the series was renewed for a fifth season .   Contents    1 Synopsis   2 Cast and characters   2.1 Main   2.2 Recurring   2.3 Guest stars   2.4 Dalton Cabinet and principal advisors   2.4. 1 Other officials       3 Episodes   4 Broadcast   5 Reception   5.1 Ratings   5.2 Critical reception   5.3 Criticism   5.4 Accolades     6 References   7 External links    Synopsis ( edit )   Madam Secretary explores Secretary Elizabeth McCord 's life as the determined United States Secretary of State . McCord drives international diplomacy , battles office politics , and circumvents protocol if needed as she negotiates worldwide issues . The show also focuses on the personal lives of the characters .   Cast and characters ( edit )  Main article : List of Madam Secretary characters  Main ( edit )    Téa Leoni as Elizabeth `` Bess '' Adams McCord , the United States Secretary of State . She spent twenty years as a CIA analyst before becoming a professor of political science at the University of Virginia . She was selected by her old boss , Conrad Dalton , who is now the President of the United States , to replace Secretary of State Vincent Marsh , who died in a plane crash .   Tim Daly as Henry McCord , Elizabeth 's husband of 25 years . A former Marine captain / aviator during Operation Desert Storm and theology professor , his unique blend of skills are sought by the National Security Agency , which engages him as an operative in combating religious extremism . At the end of season 3 , Henry is named the head of the CIA Special Activities Division .   Bebe Neuwirth as Nadine Tolliver ( seasons 1 -- 4 ) , Elizabeth 's chief of staff who had a six - year affair with the deceased Secretary of State , Vincent Marsh , beginning when he was a senator . Originally suspicious and resentful of the new Secretary of State , Nadine soon learns to trust Elizabeth , and the two cultivate a strong working relationship . In season 1 , Nadine slowly began to date again , romancing the Administrator of NASA , Glenn , and later fell into a relationship with the recurring political consultant Mike Barnow . In season 4 , Nadine leaves the State Department to spend more time with her family .   Željko Ivanek as Russell Jackson , White House Chief of Staff . His primary objective of keeping the President politically secure at home and abroad sets him up for occasional confrontations with Secretary McCord 's unorthodox diplomatic maneuvering .   Erich Bergen as Blake Moran , Elizabeth 's personal assistant , and the only member of her staff that she hired rather than inherited .   Patina Miller as Daisy Grant , Elizabeth 's press coordinator . Daisy dates Matt during season 1 but goes on to date other men following their breakup . In season 3 she dates `` Kevin '' from Budget and Planning , who turns out to be an undercover operative for the CIA investigating the State Department . He is killed in a weapons - trafficking conspiracy , and Daisy subsequently finds herself pregnant with his child . In the fourth season , Daisy gives birth to a daughter Joanna Grant .   Geoffrey Arend as Matt Mahoney , Elizabeth 's speechwriter . Matt and Daisy dated during season 1 , but ended things .   Wallis Currie - Wood as Stephanie `` Stevie '' McCord , Elizabeth and Henry 's older daughter . Stevie attended Lovell University and later Georgetown University and applied to Harvard Law school . Stevie serves as an intern to Russell Jackson and was , for a time , engaged to Jareth Glover . She has an affair with Dmitri Petrov ( then undercover ) in season 4 that puts her in danger .   Kathrine Herzer as Alison McCord , Elizabeth and Henry 's younger daughter . Alison planned to attend Rafferty College to pursue her dreams of fashion and design , but later changed her mind .   Evan Roe as Jason McCord , Elizabeth and Henry 's teenage son , a self - proclaimed anarchist . Jason is critical of political systems in general , but in season 1 he was expelled from his school for punching a student who insulted Elizabeth .   Keith Carradine as Conrad Dalton ( seasons 2 -- present ; recurring season 1 ) , the President of the United States . Conrad served in the United States Marine Corps as a second lieutenant during the Vietnam War and was the Director of the Central Intelligence Agency during Elizabeth 's time at the CIA . In the third season , Dalton secures reelection as an independent after failing to secure his party 's nomination , partly due to a controversial change in policy championed by Elizabeth . He offers Elizabeth the role of Vice President during his campaign , but eventually names someone else in order to further his campaign . Elizabeth remains Secretary of State .   Sebastian Arcelus as Jay Whitman , Elizabeth 's current chief of staff and previous senior policy advisor ( seasons 3 -- present ; recurring seasons 1 -- 2 ) . In season 3 , it is revealed that Jay 's busy schedule working for the Secretary has strained his marriage . He is currently separated from his wife Abby , who maintains custody of their daughter Chloe . Jay is promoted to chief of staff in season 4 .   Sara Ramirez as Kat Sandoval , Elizabeth 's Policy Advisor and a former Chief of Staff to the UN Ambassador ( season 4 and 5 )    Recurring ( edit )    Johanna Day as Ellen Hill , a retired admiral and the National Security Advisor . She was the first female Chairwoman of the Joint Chiefs of Staff prior to being appointed National Security Advisor .   Tony Plana as Ed Parker , an admiral and member of the Joint Chiefs of Staff .   Francis Jue as Ming Chen , China 's Foreign Minister and Elizabeth 's Chinese counterpart .   Mandy Gonzalez as Lucy Knox , President Dalton 's aide .   Mike Pniewski as Gordon Becker , the United States Secretary of Defense .   Kevin Rahm as Michael `` Mike B . '' Barnow , a political official who is said to drift between the United States Cabinet departments . It is mentioned that he is a Rhodes Scholar , who turned his brilliant legal career into a promising political career that was cut short by a scandalous divorce six years prior to his first appearance before settling into his current job . He is often seen assisting Secretary McCord . He is also often seen with his dog .   Jason Ralph as Harrison Dalton ( seasons 1 -- 2 ) , son of President Dalton and long - time friend of Stevie McCord . In season 1 , it is revealed Harrison has a drug addiction and is color blind . In season 4 it is revealed that he is back in rehab .   Cotter Smith as Darren Hahn ( seasons 1 -- 2 ) , President Dalton 's first known National Security Advisor .   Patrick Breen as Andrew Munsey ( season 1 ) , the Director of the CIA and a protégé of President Dalton .   Nilaja Sun as Juliet Humphrey ( season 1 ; guest season 3 ) , a former CIA analyst , friend and colleague of Elizabeth and Isabelle .   Usman Ally as Zahed Javani ( season 1 ) , Iran 's Foreign Minister and Elizabeth 's Iranian counterpart .   Dion Graham as Fred Cole ( season 1 ) , the Bureau of Diplomatic Security Head Agent who served as Elizabeth 's principal bodyguard .   Josh Hamilton as Arthur Gilroy ( season 1 ) , Stevie 's 39 - year - old microloan employer and ex-boyfriend .   Anna Deavere Smith as Mary Campbell ( season 1 ) , the United States Attorney General .   Marin Hinkle as Isabelle Barnes ( season 1 ) , a CIA analyst and Elizabeth 's close friend , who assists the McCords with the investigation of the death of Secretary of State Vincent Marsh .   Yorgo Constantine as Anton Gorev ( seasons 1 -- 2 ) , Russia 's Foreign Minister and a friend of both Secretary and Dr. McCord .   Clifton Davis as Ephraim Ware ( seasons 2 -- present ) , Director of National Intelligence .   Julian Acosta as Craig Sterling ( season 2 ) , a former US Department of Defense official , he becomes National Security Advisor in season 2 much to Elizabeth and Russell 's dismay , and rival of Elizabeth 's .   Alex Fernandez as Mark Delgado ( season 2 ) , the Vice President of the United States .   Angela Gots as Maria Ostrova ( season 2 ) , the President of Russia and widow of late Russian President Pavel Ostrov .   Leslie Hendrix as Louise Cronenberg ( season 2 ) , the United States Attorney General .   Jill Hennessy as Jane Fellows ( season 2 ) , Henry 's DIA superior , and a member of Murphy Station ; the first Ishbal Jahed task force .   Kobi Libii as Oliver Shaw ( season 2 ; guest season 3 ) , the Cybersecurity Coordinator . Shaw looked into the attack against Air Force One and is the love interest of Daisy Grant in the second season .   Chris Petrovski as Dmitri Petrov ( seasons 2 , 4 ; guest season 3 ) , a 24 - year - old Russian Army captain who studied at the National War College . He was recruited by Professor Henry McCord ( on behalf of the DIA ) to become an American spy in exchange for getting his sick sister medical care in Stockholm , Sweden . Dmitri is captured by the Russians and eventually exchanged to the Americans for another traitor to the state . Following his capture Dmitri feels abandoned by Henry and is very angry and bitter toward him . He is placed into a witness protection program under the name Alexander ( Alex ) Mehranov . In season 4 , he gets recruited by the CIA as an analyst .   Masha King as Talia Petrov , Dmitri 's sister who was placed into witness protection with her brother and is now his roommate .   Carlos Gómez as Jose Campos ( seasons 2 -- 3 ) , an Ishbal Jahed task force member .   J.C. MacKenzie as Sam Evans ( season 3 ) , the governor of Pennsylvania and the presidential nominee for Dalton 's party . Evans is particularly vindictive during the campaign and , following Dalton 's victory through a vote in the House of Representatives , threatens to have the vote overturned due to little - known law he claims Elizabeth broke . However , he is manipulated into accepting the terms of the vote after Russel Jackson threatens to expose him for having a gene that makes him likely to develop early - onset Alzheimer 's .   René Auberjonois as Walter Novack ( seasons 2 -- present ) , a State Department analyst with the Bureau of International Security and Nonproliferation .   Christopher O'Shea as Jareth Glover , Stevie 's fiance from England . He gave up a fellowship at Oxford to return to America to be with Stevie after she had trouble adjusting to life in England . His family is a member of the upper class and even nobility in England . Stevie and Jareth broke up in season 4 .   Justine Lupe as Ronnie Baker ( seasons 3 -- present ) , a United States Army captain seconded from United States Cyber Command who assists Elizabeth on several occasions .   Eric Stoltz as Will Adams , Secretary Elizabeth McCord 's younger brother and a member of Doctors Without Borders .   Jordan Lage as Kohl , a United States Army general .   Sam Breslin Wright as Dylan Larson , an ex -- Army Ranger who has been working for the CIA for seven years as of the start of season 4 .   Christine Garver as Molly Reid , a career CIA agent , starting her career as a field agent in Chechnya . She is pregnant and due in a couple months from the start of season 4 .    Guest stars ( edit )    Yuval David as Matvey Sokolov ( season 4 ) , a Russian special agent .   Louis Gossett , Jr. as Laurent Vasseur ( season 1 , episode 6 ) , a Catholic priest and an old friend of Henry 's .   William Allen Young as Steven Cushing ( season 1 , episode 12 ) , the U.S. Deputy Secretary of State .   Tom Skerritt as Patrick McCord ( season 1 , episode 13 ) , Henry 's father .   Bob Schieffer as himself ( season 1 , episode 17 ) . Schieffer is the former moderator of Face the Nation .   Morgan Freeman as Frawley , the Chief Justice of the United States ( season 2 , episode 1 ; season 3 , episode 1 ; season 4 , episode 1 ) .   Madeleine Albright as herself ( season 2 , episode 2 ) . Albright was the first female U.S. Secretary of State .   Kate Burton as Maureen McCord - Ryan ( season 2 , episode 13 ) , Henry 's sister .   Jane Pauley as herself ( season 2 , episode 18 ; season 3 , episode 1 ) .   Shivam Chopra as Sanjay ( season 1 , episode 7 ) .   Stephanie J. Block as Abby , Jay 's wife . Block is the real - life wife of Sebastian Arcelus . Mirroring real life , Block had previously given birth to their daughter while Arcelus was filming season 1 , episode 17 , where Jay 's wife also gives birth to a daughter .   Joel de la Fuente as Datu Andrada ( season 3 , episode 15 ) , the President of the Philippines .   Christine Ebersole as Lydia Dalton , the First Lady .   Monna Sabouri as the Interpreter ( season 3 , episode 9 ) , a Russian - and Persian - speaking agent .   Elpidia Carrillo as President Daphne Tejeda ( season 4 , episode 18 ) The Friendship Game .    Dalton Cabinet and principal advisors ( edit )     The Dalton Cabinet     Office   Name   Term         President   Conrad Dalton ( Keith Carradine )   2013 --         Vice President   Mark Delgado ( Alex Fernandez )   2013 -- 2017       Teresa Hurst ( Jan Maxwell / Jayne Atkinson )   2017 --         Secretary of State   Vincent Marsh ( Brian Stokes Mitchell )   2013 -- 2014       Elizabeth McCord ( Téa Leoni )   2014 --         Secretary of Treasury   Max Quinn ( Michael Cumpsty )   2013 -- 2014         Secretary of Defense   Gordon Becker ( Mike Pniewski )   2013 --         Attorney General   Mary Campbell ( Anna Deavere Smith )   2013 -- 2015       Nolan ( John Bolton )   2017 --       Unknown ( Shown in `` French Revolution '' )   2016 -- 2017       Louise Cronenberg ( Leslie Hendrix )   2015 -- 2016         Chief of Staff   Russell Jackson ( Željko Ivanek )   2013 --         National Security Advisor   Darren Kahn ( Cotter Smith )   2013 -- 2015       ADM ( Ret . ) Ellen Hill ( Johanna Day )   2016 --       Craig Sterling ( Julian Acosta )   2015 -- 2015         Chairman of the Joint Chiefs of Staff   ADM Ellen Hill , USN ( Johanna Day )   2013 -- 2015       GEN Kelsey Reeves , US Army ( Ralph Byers )   2015 --         Director of National Intelligence   Ephraim Ware ( Clifton Davis )   2013 --         Director of the Central Intelligence Agency   Andrew Munsey ( Patrick Breen )   2013 -- 2015       Hugh Haymond ( Michael Gaston )   2016 --       Dennis Ellerman ( John Doman )   2015 -- 2016       Sean Williams ( Larry Pine )   2015 -- 2015         Director of the Federal Bureau of Investigation   Neil Hendricks ( Wayne Duvall )   2013 -- 2016       Keith Doherty ( Michael Boatman )   2016 --    Other officials ( edit )    Office   Name   Term     Chief Justice of the United States   Frawley ( Morgan Freeman )   2013 --     Deputy Secretary of State   Steven Cushing ( William Allen Young )   2013 --     Assistant Secretary of State for African Affairs   Susan Thompson ( Tonya Pinkins )   2014 --     United States Ambassador to Yemen   Paul Wellington ( Tim Guinee )   2013 --     United States Ambassador to Myanmar   Arlen Maxwell ( David Rasche )   2013 -- 2014     United States Ambassador to Algeria   Roy Curtis ( Dakin Matthews )   2013 -- 2016     Deputy Director of the FBI   Marguerite Sanchez ( Rosyln Ruff )   2013 --     Administrator of the National Aeronautics and Space Administration   Glenn ( John Pankow )   2013 --     Chairman of the National Transportation Safety Board   Humphrey Nelson ( Alfredo Narciso )   2013 --     Episodes ( edit )  Main article : List of Madam Secretary episodes    Season   Episodes   Originally aired     First aired   Last aired         22   September 21 , 2014 ( 2014 - 09 - 21 )   May 3 , 2015 ( 2015 - 05 - 03 )         23   October 4 , 2015 ( 2015 - 10 - 04 )   May 8 , 2016 ( 2016 - 05 - 08 )         23   October 2 , 2016 ( 2016 - 10 - 02 )   May 21 , 2017 ( 2017 - 05 - 21 )         22   October 8 , 2017 ( 2017 - 10 - 08 )   May 20 , 2018 ( 2018 - 05 - 20 )       5   20   October 7 , 2018 ( 2018 - 10 - 07 )   TBA     Broadcast ( edit )   In Canada , the series airs on Global at the same time as the original broadcast . In Finland , it premiered January 1 , 2016 , on MTV3 . The series has been popular in Finland : 11 % of Finnish people watched the first episode . In Australia , it premiered on October 2 , 2014 on Network Ten . On October 23 , 2014 , it was announced that it will air on Sky Living in the United Kingdom , along with new formats to air TV3 in Ireland , and other international channels . The series launched in the United Kingdom on April 23 , 2015 . It is broadcast on Sony Channel Asia .   Reception ( edit )   Ratings ( edit )     Season   Episodes   Timeslot ( ET )   Original airing   Rank   Viewers ( in millions )     Season premiere   Season finale   TV season       22   Sunday 8 : 00 pm   September 21 , 2014   May 3 , 2015   2014 -- 2015   No. 10   14.17       23   October 4 , 2015   May 8 , 2016   2015 -- 2016   No. 14   12.39       23   Sunday 9 : 00 pm   October 2 , 2016   May 21 , 2017   2016 -- 2017   No. 18   10.92       22   Sunday 10 : 00 pm   October 8 , 2017   May 20 , 2018   2017 -- 2018   No. 37   8.84     5   TBA   October 7 , 2018     2018 -- 2019          Note : During the National Football League season and several weeks through the season , the series airs at 10 : 30 pm ET / 9 : 30 pm CT to account for game or PGA Tour golf overruns ( there are no delays from the Mountain Time Zone westward ) . Since its move to the last hour of primetime , several new episodes have been delayed a week at the last minute due to games overrunning into the 8 : 00 pm timeslot to allow local newscasts to start as close to 11 : 00 pm ET / 10 : 00 pm CT as possible ; in this case , a repeat of the series airs in the Mountain Time Zone westward instead , with Canada 's Global following CBS 's scheduling in order to take advantage of simsub opportunities .    Critical reception ( edit )   Madam Secretary has been met with generally positive reviews from TV critics . On Metacritic , the show has a score of 66 out of 100 , based on 31 critics , indicating `` generally favorable reviews '' . On Rotten Tomatoes , the show holds a rating of 66 % , based on 50 reviews , with an average rating of 6.9 / 10 . The site 's consensus reads , `` Bolstered by Tea Leoni 's strong central performance , Madam Secretary is a solid but unspectacular political drama . ''   Criticism ( edit )   Three women have served as Secretary of State to date : Madeleine Albright from 1997 to 2001 under Bill Clinton , Condoleezza Rice from 2005 to 2009 under George W. Bush , and Hillary Clinton from 2009 to 2013 under Barack Obama . Shortly after the series ' debut , Fox News asked if the show therefore served as a campaign ad supporting Hillary Clinton , but quoted the Los Angeles Times saying the lead character was `` no Hillary knockoff '' and a New York publicist calling the casting of a woman `` simple business and smart on CBS ' behalf '' . Conservative activist organization Culture and Media Institute , however , said the connection was clear , citing the women 's blond hair and pantsuits .   When the trailer of the fifteenth episode of Season 3 ( Break in Diplomacy ) was released showing McCord responding to unwanted sexual advances by fictional Philippine president Datu Andrada by punching Andrada in the face , it became controversial in the Philippines due to perceived parallels between Andrada and real - life President Rodrigo Duterte , who was known for making inappropriate and sexist remarks . The Philippine Embassy in Washington even published a statement protesting the negative depiction on its Facebook page .   The first episode of the fourth season , News Cycle , led to a hard protest from East Timor 's Minister of State and Nobel Peace Prize laureate José Ramos - Horta . `` It 's a slander against a country that only shows ignorance and racism , '' he explained . The TV show used the border dispute between Australia and East Timor in the Timor Sea ( The dispute is transferred in the TV show to the South China Sea , although neither Australia nor East Timor is bordering to it ) as background story . East Timor is shown as a country controlled by a Mexican drug cartel and used for drug transfer . US Secretary of State McCord is asking China to take measures to prevent the leader of the drug cartel from making a narco - state out of East Timor .   Accolades ( edit )     Year   Association     Nominee ( s )   Result     2014   TV Guide Award   Favorite New Show   Madam Secretary   Nominated     2015   American Cinema Editors Awards 2015   Best Edited One - Hour Series for Commercial Television   Elena Maganini and Michael D. Ornstein   Nominated     41st People 's Choice Awards   Favorite Actress in a New TV Series   Téa Leoni   Nominated     Favorite New TV Drama   Madam Secretary   Nominated     Publicists Guild of America   The Maxwell Weinberg Publicists Showmanship Television Award   CBS Television Studio / Madam Secretary   Nominated     2015   Humanitas Prize   60 Minute Network or Syndicated Television   Madam Secretary   Nominated     2016   CBS MVP Awards   Best Motivational Speech   Téa Leoni   Nominated     2016   Humanitas Prize   60 Minute Network of Syndicated Television   Madam Secretary   Nominated     References ( edit )    Jump up ^ `` Page not found -- TV By The Numbers by zap2it.com '' . TV by the Numbers . Archived from the original on July 23 , 2015 .   Jump up ^ Andreeva , Nellie ( March 23 , 2017 ) . `` CBS Renews 5 Freshman &amp; 11 Returning Series , Including ' MacGyver ' , ' Superior Donuts ' , ' Life In Pieces ' &amp; ' Hawaii Five - O ' '' . Deadline Hollywood . Retrieved March 23 , 2017 .   Jump up ^ Littleton , Cynthia ( September 28 , 2017 ) . `` ' Madam Secretary ' Heads to Netflix , WeTV in Rich Syndication Pacts '' . variety.com . Variety Media . Retrieved December 15 , 2017 .   Jump up ^ Otterson , Joe ( April 18 , 2018 ) . `` CBS Renews 11 Series , Including ' Bull , ' ' Survivor ' '' . Variety . Retrieved April 18 , 2018 .   Jump up ^ Kondolojy , Amanda ( May 9 , 2014 ) . `` CBS Orders ' CSI : Cyber ' , ' NCIS : New Orleans ' , ' The Odd Couple ' , ' Stalker ' , ' Madam Secretary ' , ' Scorpion ' &amp; ' The McCarthys ' '' . TV by the Numbers . Retrieved May 10 , 2014 .   Jump up ^ Swift , Andy ( May 9 , 2014 ) . `` Fall TV : CBS Orders NCIS and CSI Spin - Offs , Odd Couple , Kevin Williamson 's Stalker and 4 More to Series ( But Not How I Met Your Dad ? ) '' . TVLine . Retrieved May 10 , 2014 .   Jump up ^ Andreeva , Nellie ( May 21 , 2014 ) . `` Željko Ivanek Upped to Regular on New CBS Drama Series Madam Secretary '' . Deadline Hollywood . Retrieved August 26 , 2014 . Emmy - winning character actor Željko Ivanek ( Damages ) joined the cast of CBS ' new drama series Madam Secretary as a regular after guest starring in the pilot .   Jump up ^ `` Development Update : Thursday - Friday , July 12 - 13 '' . The Futon Critic . July 13 , 2018 . Retrieved July 16 , 2018 .   Jump up ^ Wilford , Denette ( June 4 , 2014 ) . `` Global TV Lineup Fall 2014 -- 15 : Shaw Media Making Bold Moves '' . The HuffingtonPost . Retrieved November 19 , 2014 .   Jump up ^ `` MTV3 -- Rouva Ministeri '' ( Mrs. Minister ) . mtv.fi ( in Finnish ) . Retrieved June 21 , 2016 .   Jump up ^ `` Finnpanel -- TV - mittaritutkimus '' ( Results From The TV Audience Measurement ) . finnpanel.fi ( in Finnish ) . Retrieved June 21 , 2016 .   Jump up ^ Knox , David ( September 28 , 2014 ) . `` Madam Secretary '' . TV Tonight . Retrieved November 19 , 2014 .   Jump up ^ The Deadline Team ( October 23 , 2014 ) . `` ' Madam Secretary ' Coming To U.K. On Sky Living ; NBCUniversal International Television Production Pacts With TV3 Group Ireland : Global Briefs '' . Deadline Hollywood . Retrieved November 19 , 2014 .   Jump up ^ `` Sky Living Sets UK Premiere Date Madam Secretary '' . TVWise . March 26 , 2015 . Retrieved March 26 , 2015 .   Jump up ^ de Moraes , Lisa ( May 22 , 2015 ) . `` Full 2014 -- 15 Series Rankings '' . Deadline Hollywood . Archived from the original on May 22 , 2015 . Retrieved May 22 , 2015 .   Jump up ^ `` Full 2015 -- 16 TV Season Series Rankings '' . Deadline Hollywood . May 26 , 2015 . Retrieved May 26 , 2015 .   Jump up ^ https://pmcdeadline2.files.wordpress.com/2017/05/primetime-tv-ratings-2016-2017-total-viewers-top-44.jpg   Jump up ^ https://deadline.com/2018/05/2017-2018-tv-series-ratings-rankings-full-list-of-shows-1202395851/   Jump up ^ `` Madam Secretary : Season 1 '' . Metacritic . Retrieved November 20 , 2014 .   Jump up ^ `` Madam Secretary : Season 1 ( 2014 ) '' . Rotten Tomatoes . Retrieved November 20 , 2014 .   Jump up ^ `` ' Madam Secretary ' a campaign ad for Hillary Clinton 2016 ? '' . FoxNews.Com . September 22 , 2014 .   Jump up ^ `` People are furious that ' Madam Secretary ' will feature a lecherous Filipino president '' . Mashable . March 7 , 2017 .   Jump up ^ `` Embassy of the Philippines , Washington Facebook page '' . March 7 , 2017 .   Jump up ^ Diário de Notícias : Ramos - Horta vai protestar por retrato de Timor - Leste em série norte - americana   Jump up ^ Adam Chitwood ( January 2 , 2015 ) . `` Nightcrawler , Gone Girl , and Boyhood Land ACE Editing Awards Nominations '' . Collider . Retrieved January 18 , 2015 .   Jump up ^ `` 41st People 's Choice Awards nominees '' . People 's Choice Awards . Retrieved November 12 , 2014 .   Jump up ^ `` Super Bowl 2016 -- CBS.com '' . CBS . Retrieved January 31 , 2016 .    External links ( edit )    Official website   Madam Secretary on IMDb              CBS programming ( current and upcoming )     Primetime     48 Hours ( since 1988 )   60 Minutes ( since 1968 )   The Amazing Race ( since 2001 )   The Big Bang Theory ( since 2007 )   Big Brother ( since 2000 )   Blue Bloods ( since 2010 )   Bull ( since 2016 )   Celebrity Big Brother ( since 2018 )   Celebrity Undercover Boss ( since 2018 )   Criminal Minds ( since 2005 )   Elementary ( since 2012 )   FBI ( since 2018 )   God Friended Me ( since 2018 )   Happy Together ( since 2018 )   Hawaii Five - 0 ( since 2010 )   Instinct ( since 2018 )   Life in Pieces ( since 2015 )   MacGyver ( since 2016 )   Madam Secretary ( since 2014 )   Magnum P.I. ( since 2018 )   Man with a Plan ( since 2016 )   Mom ( since 2013 )   Murphy Brown ( 1988 -- 1998 ; since 2018 )   NCIS ( since 2003 )   NCIS : Los Angeles ( since 2009 )   NCIS : New Orleans ( since 2014 )   The Neighborhood ( since 2018 )   Ransom ( since 2017 )   Salvation ( since 2017 )   SEAL Team ( since 2017 )   Survivor ( since 2000 )   S.W.A.T. ( since 2017 )   Undercover Boss ( since 2010 )   Whistleblower ( since 2018 )   Young Sheldon ( since 2017 )       Daytime     The Bold and the Beautiful ( since 1987 )   Let 's Make a Deal ( since 2009 )   The Price Is Right ( since 1972 )   The Talk ( since 2010 )   The Young and the Restless ( since 1973 )       Late night     The Late Show with Stephen Colbert ( since 2015 )   The Late Late Show with James Corden ( since 2015 )       News     48 Hours ( since 1988 )   60 Minutes ( since 1968 )   CBSN : On Assignment ( since 2017 )   CBS Evening News ( since 1948 )   CBS Morning News ( since 1982 )   CBS News Sunday Morning ( since 1979 )   CBS Overnight News ( since 2015 )   CBS This Morning ( 1987 -- 1999 ; since 2012 )   Face the Nation ( since 1954 )       Sports     CBS Sports Spectacular ( since 1960 )   NCAA Basketball / Road to the Final Four ( since 1981 )   NFL on CBS / The NFL Today ( 1956 -- 1993 ; since 1998 )   PGA Tour on CBS   SEC on CBS   NCAA March Madness ( co-produced with Turner Sports ) ( since 2011 )   Premier Boxing Champions ( since 2015 )       Saturday morning     Dr. Chris : Pet Vet ( since 2013 )   The Inspectors ( since 2015 )       Upcoming     Blood &amp; Treasure ( 2019 )   The Code ( 2019 )   Fam ( 2019 )   The Red Line ( 2019 )   The World 's Best ( 2019 )   Million Dollar Mile ( TBA )   Love Island ( TBA )      Retrieved from `` https://en.wikipedia.org/w/index.php?title=Madam_Secretary_(TV_series)&amp;oldid=866241179 '' Categories :   Madam Secretary   2010s American drama television series   2014 American television series debuts   American drama television series   American LGBT - related television shows   American political television series   CBS network shows   English - language television programs   Television series by CBS Television Studios   Television series created by Barbara Hall ( TV producer )   Television shows set in Washington , D.C.   White House in fiction   Works about diplomats   Hidden categories :   CS1 Finnish - language sources ( fi )   Use mdy dates from May 2018           Talk                                           Contents                   About Wikipedia                                           Wikiquote         Deutsch   Español   فارسی   Français   </t>
    </r>
    <r>
      <rPr>
        <sz val="11"/>
        <color rgb="FF000000"/>
        <rFont val="Noto Sans CJK SC"/>
        <family val="2"/>
      </rPr>
      <t xml:space="preserve">한국어   </t>
    </r>
    <r>
      <rPr>
        <sz val="11"/>
        <color rgb="FF000000"/>
        <rFont val="Calibri"/>
        <family val="0"/>
        <charset val="1"/>
      </rPr>
      <t xml:space="preserve">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Suomi   ไทย   </t>
    </r>
    <r>
      <rPr>
        <sz val="11"/>
        <color rgb="FF000000"/>
        <rFont val="Noto Sans CJK SC"/>
        <family val="2"/>
      </rPr>
      <t xml:space="preserve">中文  </t>
    </r>
    <r>
      <rPr>
        <sz val="11"/>
        <color rgb="FF000000"/>
        <rFont val="Calibri"/>
        <family val="0"/>
        <charset val="1"/>
      </rPr>
      <t xml:space="preserve">8 more  Edit links   This page was last edited on 29 October 2018 , at 04 : 31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</si>
  <si>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the cia director on madam secretary</t>
  </si>
  <si>
    <t xml:space="preserve"> Patrick Breen as Andrew Munsey ( season 1 ) , the Director of the CIA and a protégé of President Dalton . </t>
  </si>
  <si>
    <t xml:space="preserve">Super Bowl curse - wikipedia  Super Bowl curse  Jump to : navigation , search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2010 ) ( Learn how and when to remove this template message )         This article relies too much on references to primary sources . Please improve this by adding secondary or tertiary sources . ( November 2010 ) ( Learn how and when to remove this template message )    ( Learn how and when to remove this template message )     The Super Bowl curse or Super Bowl hangover is a phrase referring to one of three things that occur in the National Football League ( NFL ) : Super Bowl participants that follow up with lower - than - expected performance the following year ; teams that do not repeat as Super Bowl champions ; and host teams of the Super Bowl that have never advanced to the title game on their own home fields .   The phrase has been used to explain both why losing teams may post below - average winning percentages in the following year and why Super Bowl champions seldom return to the title game the following year . The term has been used since at least 1992 , when The Washington Post commented that `` the Super Bowl Curse has thrown everything it 's got at the Washington Redskins . The Jinx that has bedeviled defending champs for 15 years has never been in better form '' . The phenomenon is attributed by football commentator and former NFL manager Charley Casserly to such elements as `` a shorter offseason , contract problems , ( and ) more demand for your players ' time '' . Casserly also notes that `` once the season starts , you become the biggest game on everybody 's schedule . ''     Contents  ( hide )   1 The losers ' curse   1.1 Losing teams mentioned in connection to the curse   1.1. 1 Exceptions       2 The non-repeat curse   3 The home field curse   4 Further reading   5 References   6 External links      The losers ' curse ( edit )   While the first five Super Bowl winners of the 2000s posted above average winning percentages the year following their Super Bowl appearance , the losers of the same games posted below average winning percentages in the follow -- up year .   Losing teams mentioned in connection to the curse ( edit )   Super Bowl losing teams who went on to poor follow -- up performance include :    Cincinnati Bengals ( Super Bowl XXIII ) -- 1988 season : 12 -- 4 ; 1989 season : 8 -- 8 .   Cincinnati started a long streak of losing with their 1991 season mark and it ended with them making the playoffs in the 2005 season .     Denver Broncos ( Super Bowl XXIV ) -- 1989 season : 11 -- 5 ; 1990 season : 5 -- 11 .   The Broncos would rebound to advance to the 1991 AFC Championship Game vs Buffalo .     Buffalo Bills ( Super Bowl XXVIII ) -- 1993 season : 12 -- 4 ; 1994 season : 7 -- 9 .   The Bills are 1 -- 4 in playoff games since the 1993 season , with their last playoff win coming in 1995 and playoff appearance in 1999 .     Atlanta Falcons ( Super Bowl XXXIII ) -- 1998 season : 14 -- 2 ; 1999 season : 5 -- 11 .   New York Giants ( Super Bowl XXXV ) -- 2000 season : 12 -- 4 ; 2001 season : 7 -- 9 .   St. Louis Rams ( Super Bowl XXXVI ) -- 2001 season : 14 -- 2 ; 2002 season : 7 -- 9 .   Oakland Raiders ( Super Bowl XXXVII ) -- 2002 season : 11 -- 5 ; 2003 season : 4 -- 12   The Raiders did not have a winning season from 2002 to 2015 ; their best record has been 8 -- 8 in both 2010 and 2011 and they had not had a record greater than 5 -- 11 every other season until their 7 -- 9 record in 2015 . The streak was broken in 2016 .     Carolina Panthers ( Super Bowl XXXVIII ) -- 2003 season : 11 -- 5 ; 2004 season : 7 -- 9 .   Philadelphia Eagles ( Super Bowl XXXIX ) -- 2004 season : 13 -- 3 ; 2005 season : 6 -- 10 .   Chicago Bears ( Super Bowl XLI ) -- 2006 season : 13 -- 3 ; 2007 season : 7 -- 9 .   Carolina Panthers ( Super Bowl 50 ) -- 2015 season : 15 - 1 ; 2016 season : 6 -- 10 .   Exceptions ( edit )  There have been several exceptions since this curse supposedly began in 1977 :    Minnesota Vikings ( Super Bowl XI ) -- 1976 season : 11 -- 2 -- 1 .   Denver Broncos ( Super Bowl XII ) -- 1977 season : 12 -- 2 .   Dallas Cowboys ( Super Bowl XIII ) -- 1978 season : 12 -- 4 .   Los Angeles Rams ( Super Bowl XIV ) -- 1979 season : 9 -- 7 .   Philadelphia Eagles ( Super Bowl XV ) -- 1980 season : 12 -- 4 .   Cincinnati Bengals ( Super Bowl XVI ) -- 1981 season : 12 -- 4 .   Miami Dolphins ( Super Bowl XVII ) -- 1982 season : 7 -- 2 .   Washington Redskins ( Super Bowl XVIII ) -- 1983 season : 14 -- 2 .   Miami Dolphins ( Super Bowl XIX ) -- 1984 season : 14 -- 2 .   New England Patriots ( Super Bowl XX ) -- 1985 season : 11 -- 5 .   Denver Broncos ( Super Bowl XXI ) -- 1986 season : 11 -- 5 .   Buffalo Bills ( Super Bowl XXV ) -- 1990 season : 13 -- 3 . In the 1991 season , they went 13 -- 3 again , and made it to Super Bowl XXVI , where they lost to the Washington Redskins . In the 1992 season , the Bills slipped to 11 -- 5 , but after what came to be known as The Comeback , they won the AFC Championship , and went on to play in Super Bowl XXVII , where they lost to the Dallas Cowboys . The following season -- 1993 -- they improved their record to 12 -- 4 ; and after winning the AFC East division , qualified for their fourth straight Super Bowl appearance in Super Bowl XXVIII , where for the second straight year , they lost to the Dallas Cowboys .   San Diego Chargers ( Super Bowl XXIX ) -- 1994 season : 11 -- 5 . In the 1995 season , they went 9 -- 7 ; although they made it to the playoffs , they lost 35 -- 20 to the Indianapolis Colts . They would later go through eight consecutive losing seasons , including a 1 - 15 season in 2000 . They would return to the NFL playoffs in the 2004 season , in which they lost 17 -- 20 to the New York Jets . Ever since , they have struggled in the playoffs , going 4 - 6 , most of which divisional round games , in 13 seasons starting in 2004 .   Pittsburgh Steelers ( Super Bowl XXX ) -- 1995 season : 11 -- 5 . In the 1996 season , they went 10 -- 6 , and won the AFC Central division . However that was only thanks to a weak division &amp; they ended up losing in a blowout against the New England Patriots 3 -- 28 in the divisional playoffs .   New England Patriots ( Super Bowl XXXI ) -- 1996 season : 11 -- 5 . In the 1997 season , they went 10 -- 6 , and won the AFC East division . The Patriots ironically lost to the Steelers in the divisional playoffs 6 -- 7   Green Bay Packers ( Super Bowl XXXII ) - 1997 season : 13 - 3 . In the 1998 season , the Packers went 11 - 5 , but lost the division title to the 15 - 1 Vikings , forcing them to settle for the fifth seed in the playoffs . They lost in the wild card to Steve Young and the 49ers on a last - second touchdown to Terrell Owens in what has been dubbed as `` The Catch II , '' a reference to The Catch .   Tennessee Titans ( Super Bowl XXXIV ) -- 1999 season : 13 -- 3 . In the 2000 season , the Titans went 13 -- 3 again , clinching home -- field advantage . They lost in the divisional playoffs , however , to the Baltimore Ravens 10 -- 24 . ( Interestingly enough , the 2008 Tennessee Titans repeated this as they finished 13 - 3 , clinching home - field advantage , and losing to the Ravens in the divisional round . )   Seattle Seahawks ( Super Bowl XL ) -- 2005 season : 13 -- 3 . In the 2006 season , they slipped to 9 -- 7 , but won the NFC West division . They lost in the divisional playoffs to the Chicago Bears 24 -- 27 in overtime .   New England Patriots ( Super Bowl XLII ) -- 2007 season : 16 -- 0 . After having the first perfect season since the NFL went to a 16 -- game schedule in 1978 , the Patriots went 11 -- 5 in the 2008 season and missed the playoffs barely by losing tiebreakers with Miami in their division and Baltimore for the wild card . The `` Super Bowl curse '' took a different road , since their starting quarterback , Tom Brady , suffered a season -- ending injury in the opening game of the season .   Arizona Cardinals ( Super Bowl XLIII ) -- 2008 season : 9 -- 7 . In the 2009 season they improved to 10 -- 6 and won the NFC West for the second consecutive season . They lost in the divisional playoffs to the eventual Super Bowl champion New Orleans Saints 14 -- 45 .   Indianapolis Colts ( Super Bowl XLIV ) -- 2009 season : 14 -- 2 . In the 2010 season they went 10 -- 6 and won the AFC South for the seventh time in eight years ; however it was the first time in 9 years that the Colts had finished a season with less than 12 wins . They lost in the wild card playoffs to the New York Jets 16 -- 17 . The following season , however , without Peyton Manning , they experienced a significant drop . They started the season 0 -- 13 , and finished 2 -- 14 , the first time out of the playoffs since 2001 .   Pittsburgh Steelers ( Super Bowl XLV ) -- 2010 season : 12 -- 4 . In the 2011 season , they went 12 -- 4 again , but did not win the AFC North division , due to being swept by the Baltimore Ravens . They lost in the wild card round , in overtime , 23 -- 29 , to the Denver Broncos .   New England Patriots ( Super Bowl XLVI ) -- 2011 season : 13 -- 3 . In the 2012 season , their record dropped to 12 -- 4 , but they still ended up with the number 2 seed in the AFC playoffs . They made it to the AFC Championship Game against the Ravens , but this time they lost , 13 -- 28 .   San Francisco 49ers ( Super Bowl XLVII ) -- 2012 season : 11 -- 4 -- 1 . In the 2013 season , they improved to 12 -- 4 , but did not win the NFC West division as the divisional rival Seattle Seahawks had a 13 -- 3 record . They made it to the NFC Championship Game , but lost to the Seahawks , 17 -- 23 .   Denver Broncos ( Super Bowl XLVIII ) -- 2013 season : 13 -- 3 . In the 2014 season , they dropped to 12 -- 4 , and were the number 2 seed in the AFC playoffs . They lost in the divisional playoffs to the Indianapolis Colts , 13 -- 24 .   Seattle Seahawks : ( Super Bowl XLIX ) -- 2014 season : 12 -- 4 . In the 2015 season , they dropped to 10 -- 6 and lost the NFC West title to the Cardinals , but they entered the 2016 playoffs as the NFC 's sixth seed . The Seahawks defeated the Vikings 10 -- 9 ( only due to a missed field goal ) , but lost 24 -- 31 to the Panthers in the Divisional Round .    The non-repeat curse ( edit )   Since 1993 , few winning teams have followed up their Super Bowl successes with a second Super Bowl appearance ( Denver Broncos , Dallas Cowboys and New England Patriots won ; Green Bay Packers and Seattle Seahawks lost ) , or even advanced to a conference title game in the subsequent season ( Dallas Cowboys , Seattle Seahawks ) . In the Super Bowl era two teams have lost the Super Bowl , then won it the following season . The first was the Dallas Cowboys , who lost Super Bowl V to the Baltimore Colts , but came back in 1971 and defeated the Miami Dolphins in Super Bowl VI . The Dolphins repeated the feat in 1972 when they rallied to go a perfect 17 - 0 , capping the season with a win over the Washington Redskins in Super Bowl VII .   Considering the difficulty of winning even one Super Bowl in the 32 - team NFL , some would n't consider this to be a curse but rather a difficult feat . Indeed , only seven teams have won back - to - back Super Bowl championships , and only one of these seven teams have made more than two consecutive appearances in the Super Bowl , the Miami Dolphins who lost Super Bowl VI and then won Super Bowl VII ( as part of a 17 - 0 perfect season ) and defended their title in Super Bowl VIII . The only franchise to reach more than three straight title games was the Buffalo Bills who lost four Super Bowls in a row from 1990 -- 93 . This is in contrast to other North American major professional sports leagues ( MLB , NBA , NHL ) where repeat championships and even `` three - peats '' are not uncommon .   Since 2005 , no incumbent holder has managed to successfully defend their title , in fact between 2006 and 2013 every defending Super Bowl champion would conclude the following season either losing their opening playoff game or failed to qualify for the playoffs . The 2014 Seattle Seahawks opened the playoffs with a win over the Carolina Panthers in the Divisional round , becoming the first defending champion since the 2005 Patriots to win a playoff game the following season .    As the two - time defending Super Bowl champions , the 1990 San Francisco 49ers were favored to become first NFL team to win three consecutive Super Bowls . Dating back to 1989 , the 49ers completed a fifteen - game unbeaten streak in the regular season ( 5 victories in the last 5 games of 1989 and 10 victories in the first ten games of 1990 ) , en route to compiling the league 's best regular season record ( 14 -- 2 ) while quarterback Joe Montana was named regular season MVP . Facing the New York Giants in the NFC Championship Game , the 49ers defense was able to hold backup quarterback Jeff Hostetler and the Giants without a touchdown , but the tide of the game changed when Montana was sacked by Leonard Marshall while rolling out of the quarterback pocket ; a play which injured Montana and forced him to leave the game . With only a few minutes left , 49ers running back Roger Craig fumbled while the 49ers were attempting to score the game clinching touchdown , and the ball was recovered by the Giants ' Lawrence Taylor , setting up the drive to kick their fifth field goal of the game with seconds left to win the game 15 -- 13 . The words of Pat Summerall `` There will be no three - peat ! '' haunt 49ers fans to this day . The NFC Championship game also turned out to be Montana 's next - to - last appearance in a 49er uniform , as elbow injuries cost him the entire 1991 season , and despite his recovery he lost his starting position to Steve Young .   The Seattle Seahawks were the most recent defending champions to return to the title game the following year , Super Bowl XLIX , where they faced the New England Patriots . The Seahawks built a ten - point lead to end the third quarter 24 - 14 . Previously , no team in Super Bowl history had ever overcome a fourth - quarter deficit of more than seven points . The Patriots , however , rallied with two touchdowns to take a 28 -- 24 lead with roughly two minutes left in the game . Seattle threatened to score in the final moments , driving the ball to New England 's 1 - yard line . With 26 seconds remaining in the game , they decided to pass the ball in a highly scrutinized play that resulted in Patriots rookie Malcolm Butler making a game - saving interception from Seahawks quarterback Russell Wilson . However , the game was not decided at this point since New England was backed up against its own end zone , so if Patriots quarterback Tom Brady went too far back before kneeling his team would give up two points and have to kick the ball back to the Seahawks , who would simply need to get into field goal position for a chance to win . However , Seahawks defensive lineman Michael Bennett was drawn across line of scrimmage and flagged for encroachment which penalized Seattle five yards and moved the ball to the New England six - yard line , ending Seattle 's hope of a comeback .    The home field curse ( edit )   The home field curse affects the host team of the Super Bowl . From 1966 -- 2011 ( excluding the six Super Bowl games held in a stadium without a professional team ) , the Super Bowl host team had a record of 249 -- 364 -- 2 . In those 40 seasons , the host teams had 11 winning seasons , four split seasons , and 25 losing seasons . Mathematically , the probability of that many losing seasons or more occurring by chance ( assuming a 50 percent chance of having a losing season ( disregarding . 500 seasons ) ) is 7.69 percent . It should be noted , however , that in contrast to the other Big 4 North American major professional sports leagues ( Major League Baseball , the National Basketball Association , and the National Hockey League ) , whose championship round is co -- hosted by the two competing teams that season ( which gives a higher probability that both teams will have a winning season , to qualify for the playoffs ) , the Super Bowl host is selected several years before it is played , without regard to the teams that play it ( modern stadium amenities and weather are the two most prominent criteria ) . The only other major professional sports league in North America using this format is the Canadian Football League , where the Grey Cup host city is selected ahead of time . However , unlike the NFL , there have been multiple teams who have won the Grey Cup at home ) ( the CFL has only nine teams , making the odds of such an occurrence greater ) .   So far no team has yet managed to reach the championship game in their home stadium , or even come close . Only two NFL teams have reached the Super Bowl hosted in their home market : the San Francisco 49ers , who played Super Bowl XIX in Stanford Stadium , rather than Candlestick Park , and the Los Angeles Rams , who played Super Bowl XIV in the Rose Bowl , rather than the Los Angeles Memorial Coliseum . Besides those two , the only other Super Bowl venue that was not the home stadium to an NFL team at the time was Rice Stadium in Houston : the Houston Oilers had played there previously , but moved to the Astrodome several years prior to Super Bowl VIII . The Miami Orange Bowl was the only AFL stadium to host a Super Bowl and the only stadium to host consecutive Super Bowls , hosting Super Bowl II and III . MetLife Stadium , which hosted Super Bowl XLVIII , is the home stadium of two NFL teams : the New York Giants and the New York Jets .   In a way , not having the home team play in the Super Bowl is actually beneficial to the host city as it would receive more out - of - town visitors than if the host team was playing in the Super Bowl . Combined with the increased costs of airfare and hotel during the event , the economy would see a bigger revenue boost as a larger portion of attendees would be local if the host team participated . The host team ( s ) of a Super Bowl do receive VIP section ( s ) in the stadium during the game ; for instance New York Giants quarterback Eli Manning was in the luxury suite of his team 's home MetLife Stadium during Super Bowl XLVIII , which saw the Denver Broncos quarterbacked by his brother Peyton Manning lose 43 -- 8 to the Seattle Seahawks .    The Atlanta Falcons came off the 1998 season finishing 14 -- 2 season and being losing finalists in Super Bowl XXXIII . Next year , they were the host team of Super Bowl XXXIV but ending up with a 5 -- 11 record and missed the playoffs , in part due to an injury to running back Jamal Anderson who suffered a season -- ending knee injury in second game of the 1999 season .   The Indianapolis Colts were in a rare situation at the end of the 2011 season , becoming the fourth host team of a Super Bowl to have the worst record in the NFL for their particular season . This also happened to the 1973 Houston Oilers ( Super Bowl VIII ) , the 1980 New Orleans Saints ( Super Bowl XV ) , and the 1983 Tampa Bay Buccaneers ( Super Bowl XVIII ) .   The New Orleans Saints , whose home stadium ( the Mercedes - Benz Superdome ) hosted Super Bowl XLVII , were eliminated from post -- season contention in Week 16 and finished 7 -- 9 for the 2012 season . The team had a 13 -- 3 record in the 2009 season following by winning Super Bowl XLIV , a 11 -- 5 record in the 2010 season , and then a 13 -- 3 record in the 2011 season . Some media outlets such as Fox Sports and Sports Illustrated have claimed that the Home Field Curse was in effect in 2012 . However , the Saints were affected heavily by the bounty scandal , which resulted in Commissioner Roger Goodell imposing disciplinary action on the team which included the suspension of several coaches and players for the season , particularly head coach Sean Payton and former Saints defensive coordinator Gregg Williams who were banned for the entire year .   The hosts curse had a wider effect on the Los Angeles Chargers when they played in San Diego . Every time San Diego has hosted the Super Bowl , an AFC West rival has represented the AFC : the Broncos in Super Bowl XXII and XXXII -- the Broncos winning the latter -- and the Raiders in XXXVII . Besides San Diego , the other instances where a divisional rival of the host has played in the Super Bowl were : Super Bowl III , which the New York Jets won in the Miami Dolphins ' Orange Bowl ; Super Bowl XXX , which the Dallas Cowboys won in the Arizona Cardinals ' Sun Devil Stadium ; the St. Louis Rams , who won Super Bowl XXXIV in the Atlanta Falcons ' Georgia Dome and lost Super Bowl XXXVI in the New Orleans Saints ' Louisiana Superdome ; and the Seattle Seahawks , who played in Super Bowl XLIX in the Arizona Cardinals ' University of Phoenix Stadium .   Super Bowl XLVIII had the distinction of having two host teams : the New York Jets , and the New York Giants , as both play their home games at MetLife Stadium . Although it was conceivably possible to make NFL history as the first ever Super Bowl with two host teams playing against each other on the same turf , both teams were eliminated from postseason contention in week 15 of the 2013 regular season . That season the Giants got off to an 0 -- 6 start .   Super Bowl 50 was held at Levi 's Stadium and during the 2015 offseason , the San Francisco 49ers parted ways with highly successful coach Jim Harbaugh as a result of going 8 -- 8 in the 2014 season and a power struggle with general manager Trent Baalke . Under Harbaugh from 2011 -- 14 , the team reached the NFC Championship Game three straight times and narrowly lost Super Bowl XLVII , a dramatic improvement as prior to his hiring the 49ers had not had a winning season nor playoff win since 2002 . CEO Jed York replaced Harbaugh by promoting defensive line coach Jim Tomsula , a highly criticized hiring motivated by York 's desire to have full control of the franchise rather than hiring the best possible candidate for the job . This move subsequently led to many assistant coaches refusing to serve on Tomsula 's coaching staff . Furthermore , the 49ers were also affected by the unexpected retirements of Patrick Willis , Chris Borland , and Anthony Davis , who were all in their prime of their careers , the free agent departures of Frank Gore and Mike Iupati , and the release of Aldon Smith after getting arrested again . With an unprecedented roster turnover , the 49ers would struggle to a 5 -- 11 season with Colin Kaepernick ending the season on injured reserve after being benched . The 49ers would ultimately be eliminated from the postseason in Week 14 of the 2015 regular season and Tomsula would be fired after just one season .   The most recent team to qualify to play in the NFL playoffs in the same season it was scheduled to host the Super Bowl is the 2016 Houston Texans ; NRG Stadium , the Texans ' home stadium , hosted Super Bowl LI . The Texans defeated the Oakland Raiders 27 -- 14 in the Wild Card round , but lost 34 -- 16 to the New England Patriots in the Divisional round . The Texans are the third Super Bowl host ( and first since the 1998 Miami Dolphins ) to reach the divisional round .    Further reading ( edit )    `` Credit Belichick for beating Super Bowl curse '' . The Sacramento Bee . October 25 , 2006 . pp. C3 .   Freeman , Mike ( December 12 , 1991 ) . `` Fans cry : Off with Giants ' Head ( Coach ) ! '' . The Washington Post .   Green Jr. , Ron ( November 5 , 2004 ) . `` Lost - the - Super-Bowl blues afflict Panthers , Raiders '' . The Charlotte Observer . pp. 2C .   `` Less and more than rumored Miami and the Super Bowl curse '' . Sarasota Herald Tribune . January 30 , 1999 .   Penner , Mike ( August 27 , 2006 ) . `` Curses are reality to fantasy leaguers '' . Los Angeles Times . pp. D. 2 .    References ( edit )    Jump up ^ Boswell , Thomas ( September 21 , 1992 ) . `` A Curse but not yet a sin '' . The Washington Post . Retrieved October 22 , 2016 .   ^ Jump up to : Gruber , Jack ( February 6 , 2007 ) . `` Champions , for now -- Super Bowl curse could vex Colts , Bears '' . USA Today . Retrieved April 19 , 2008 .   ^ Jump up to : Simpson , Matt ( September 17 , 2006 ) . `` Seattle out to break Super Bowl curse '' . East Valley Tribune . Retrieved April 19 , 2008 .   Jump up ^ `` Game Notes : Oakland Raiders 35 Carolina Panthers 32 '' . Oakland Raiders . November 27 , 2016 . Retrieved January 4 , 2017 .   Jump up ^ Belson , Ken ( February 1 , 2010 ) . `` Is the Super Bowl curse real ? Just ask Brady , Alexander and others '' . National Football League . Retrieved February 2 , 2010 .   Jump up ^ `` 1990 NFL Standings , Team &amp; Offensive Statistics '' . Pro-Football-Reference.com . Retrieved 2015 - 12 - 13 .    External links ( edit )    Maske , Mark ( June 15 , 2006 ) . `` Seahawks hope to buck Super Bowl curse '' . Washington Post .      ( hide )         Super Bowl       NFL   NFC   Championship     AFC   Championship       Football       Bowl games      1960s     I ( 1967 )   II ( 1968 )   III ( 1969 )       1970s     IV ( 1970 )   V ( 1971 )   VI ( 1972 )   VII ( 1973 )   VIII ( 1974 )   IX ( 1975 )   X ( 1976 )   XI ( 1977 )   XII ( 1978 )   XIII ( 1979 )       1980s     XIV ( 1980 )   XV ( 1981 )   XVI ( 1982 )   XVII ( 1983 )   XVIII ( 1984 )   XIX ( 1985 )   XX ( 1986 )   XXI ( 1987 )   XXII ( 1988 )   XXIII ( 1989 )       1990s     XXIV ( 1990 )   XXV ( 1991 )   XXVI ( 1992 )   XXVII ( 1993 )   XXVIII ( 1994 )   XXIX ( 1995 )   XXX ( 1996 )   XXXI ( 1997 )   XXXII ( 1998 )   XXXIII ( 1999 )       2000s     XXXIV ( 2000 )   XXXV ( 2001 )   XXXVI ( 2002 )   XXXVII ( 2003 )   XXXVIII ( 2004 )   XXXIX ( 2005 )   XL ( 2006 )   XLI ( 2007 )   XLII ( 2008 )   XLIII ( 2009 )       2010s     XLIV ( 2010 )   XLV ( 2011 )   XLVI ( 2012 )   XLVII ( 2013 )   XLVIII ( 2014 )   XLIX ( 2015 )   50 ( 2016 )   LI ( 2017 )   LII ( 2018 )   LIII ( 2019 )       2020s     LIV ( 2020 )   LV ( 2021 )   LVI ( 2022 )             People     Champions   Pre-Super Bowl NFL champions     Head coaches   Active head coach history     Quarterbacks   Officials       Awards , trophies , records     Super Bowl ring   Vince Lombardi Trophy   Most Valuable Players   Records       Broadcast and production     National anthem   Halftime   Commercials   USA Today Ad Meter   Adbowl   List     Broadcast   Network broadcasters   Counterprogramming   Lead - out programming   Television ratings              Super Bowl Sunday   Curse      Retrieved from `` https://en.wikipedia.org/w/index.php?title=Super_Bowl_curse&amp;oldid=810010106 '' Categories :   American football - related curses   History of the Super Bowl   Sports - related curses   Urban legends   Hidden categories :   Articles needing additional references from November 2010   All articles needing additional references   Articles lacking reliable references from November 2010   All articles lacking reliable references           Talk                                           Contents                   About Wikipedia                                           Add links   This page was last edited on 12 November 2017 , at 21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</si>
  <si>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last time a superbowl team played at home</t>
  </si>
  <si>
    <t xml:space="preserve"> So far no team has yet managed to reach the championship game in their home stadium , or even come close . Only two NFL teams have reached the Super Bowl hosted in their home market : the San Francisco 49ers , who played Super Bowl XIX in Stanford Stadium , rather than Candlestick Park , and the Los Angeles Rams , who played Super Bowl XIV in the Rose Bowl , rather than the Los Angeles Memorial Coliseum . Besides those two , the only other Super Bowl venue that was not the home stadium to an NFL team at the time was Rice Stadium in Houston : the Houston Oilers had played there previously , but moved to the Astrodome several years prior to Super Bowl VIII . The Miami Orange Bowl was the only AFL stadium to host a Super Bowl and the only stadium to host consecutive Super Bowls , hosting Super Bowl II and III . MetLife Stadium , which hosted Super Bowl XLVIII , is the home stadium of two NFL teams : the New York Giants and the New York Jets . </t>
  </si>
  <si>
    <t xml:space="preserve">Cold War - wikipedia  Cold War  Jump to : navigation , search For other uses , see Cold War ( disambiguation ) . `` Cold warrior '' redirects here . For other uses , see Cold warrior ( disambiguation ) . The Cold War ( 1947 -- 1991 ) East German construction workers building the Berlin Wall , 1961 ; The Apollo -- Soyuz Test Project crew , 1975 ; During the Cold War , the US conducted around 1,054 nuclear tests by official count , between 1945 and 1992 ; The fall of the Berlin Wall , 1989 ; Tanks in Red Square during the August Coup , four months before the USSR collapse , 1991 .  The Cold War was a state of geopolitical tension after World War II between powers in the Eastern Bloc ( the Soviet Union and its satellite states ) and powers in the Western Bloc ( the United States , its NATO allies and others ) . Historians do not fully agree on the dates , but a common timeframe is the period between 1947 , the year the Truman Doctrine , a U.S. foreign policy pledging to aid nations threatened by Soviet expansionism , was announced , and either 1989 , when communism fell in Eastern Europe , or 1991 , when the Soviet Union collapsed . The term `` cold '' is used because there was no large - scale fighting directly between the two sides , but they each supported major regional wars known as proxy wars .   The Cold War split the temporary wartime alliance against Nazi Germany , leaving the Soviet Union and the United States as two superpowers with profound economic and political differences . The USSR was a Marxist -- Leninist state led by its Communist Party , which in turn was dominated by a leader with different titles over time , and a small committee called the Politburo . The Party controlled the press , the military , the economy and many organizations . It also controlled the other states in the Eastern Bloc , and funded Communist parties around the world , sometimes in competition with Communist China , particularly following the Sino - Soviet split of the 1960s . In opposition stood the capitalist West , led by the United States , a federal republic with a two - party presidential system . The First World nations of the Western Bloc were generally liberal democratic with a free press and independent organizations , but were economically and politically entwined with a network of banana republics and other authoritarian regimes throughout the Third World , most of which were the Western Bloc 's former colonies . Some major Cold War frontlines such as Vietnam , Indonesia , and the Congo were still Western colonies in 1947 .   A small neutral bloc arose with the Non-Aligned Movement ; it sought good relations with both sides . The two superpowers never engaged directly in full - scale armed combat , but they were heavily armed in preparation for a possible all - out nuclear world war . Each side had a nuclear strategy that discouraged an attack by the other side , on the basis that such an attack would lead to the total destruction of the attacker -- the doctrine of mutually assured destruction ( MAD ) . Aside from the development of the two sides ' nuclear arsenals , and their deployment of conventional military forces , the struggle for dominance was expressed via proxy wars around the globe , psychological warfare , massive propaganda campaigns and espionage , rivalry at sports events , and technological competitions such as the Space Race .   The first phase of the Cold War began in the first two years after the end of the Second World War in 1945 . The USSR consolidated its control over the states of the Eastern Bloc , while the United States began a strategy of global containment to challenge Soviet power , extending military and financial aid to the countries of Western Europe ( for example , supporting the anti-communist side in the Greek Civil War ) and creating the NATO alliance . The Berlin Blockade ( 1948 -- 49 ) was the first major crisis of the Cold War . With the victory of the communist side in the Chinese Civil War and the outbreak of the Korean War ( 1950 -- 53 ) , the conflict expanded . The USSR and the USA competed for influence in Latin America and the decolonizing states of Africa and Asia . Meanwhile , the Hungarian Revolution of 1956 was stopped by the Soviets . The expansion and escalation sparked more crises , such as the Suez Crisis ( 1956 ) , the Berlin Crisis of 1961 , and the Cuban Missile Crisis of 1962 . Following the Cuban Missile Crisis , a new phase began that saw the Sino - Soviet split complicate relations within the communist sphere , while US allies , particularly France , demonstrated greater independence of action . The USSR crushed the 1968 Prague Spring liberalization program in Czechoslovakia , and the Vietnam War ( 1955 -- 75 ) ended with the defeat of the US - backed Republic of Vietnam , prompting further adjustments .   By the 1970s , both sides had become interested in making allowances in order to create a more stable and predictable international system , ushering in a period of détente that saw Strategic Arms Limitation Talks and the US opening relations with the People 's Republic of China as a strategic counterweight to the Soviet Union . Détente collapsed at the end of the decade with the beginning of the Soviet -- Afghan War in 1979 . The early 1980s were another period of elevated tension , with the Soviet downing of Korean Air Lines Flight 007 ( 1983 ) , and the `` Able Archer '' NATO military exercises ( 1983 ) . The United States increased diplomatic , military , and economic pressures on the Soviet Union , at a time when the communist state was already suffering from economic stagnation . In the mid-1980s , the new Soviet leader Mikhail Gorbachev introduced the liberalizing reforms of perestroika ( `` reorganization '' , 1987 ) and glasnost ( `` openness '' , c. 1985 ) and ended Soviet involvement in Afghanistan . Pressures for national independence grew stronger in Eastern Europe , especially Poland . Gorbachev meanwhile refused to use Soviet troops to bolster the faltering Warsaw Pact regimes as had occurred in the past . The result in 1989 was a wave of revolutions that peacefully ( with the exception of the Romanian Revolution ) overthrew all of the communist regimes of Central and Eastern Europe . The Communist Party of the Soviet Union itself lost control and was banned following an abortive coup attempt in August 1991 . This in turn led to the formal dissolution of the USSR in December 1991 and the collapse of communist regimes in other countries such as Mongolia , Cambodia and South Yemen . The United States remained as the world 's only superpower .   The Cold War and its events have left a significant legacy . It is often referred to in popular culture , especially in media featuring themes of espionage ( notably the internationally successful James Bond book and film franchise ) and the threat of nuclear warfare . Meanwhile , a renewed state of tension between the Soviet Union 's successor state , Russia , and the United States in the 2010s ( including its Western allies ) has been referred to as the Second Cold War .     Contents  ( hide )   1 Origins of the term   2 Background   2.1 Russian Revolution   2.2 Beginnings of World War II     3 End of World War II ( 1945 -- 1947 )   3.1 Wartime conferences regarding post-war Europe   3.2 Potsdam Conference and surrender of Japan   3.3 Beginnings of the Eastern Bloc   3.4 Preparing for a `` new war ''     4 Beginnings of the Cold War ( 1947 -- 1953 )   4.1 Containment and the Truman Doctrine   4.2 Marshall Plan and Czechoslovak coup d'état   4.3 Cominform and the Tito -- Stalin Split   4.4 Berlin Blockade and airlift   4.5 Beginnings of NATO and Radio Free Europe   4.6 Chinese Civil War and SEATO   4.7 Korean War     5 Crisis and escalation ( 1953 -- 1962 )   5.1 Khrushchev , Eisenhower and de-Stalinization   5.2 Warsaw Pact and Hungarian Revolution   5.3 Berlin ultimatum and European integration   5.4 Competition in the Third World   5.5 Sino - Soviet split   5.6 Space Race   5.7 Cuban Revolution and the Bay of Pigs Invasion   5.8 Berlin Crisis of 1961   5.9 Cuban Missile Crisis and Khrushchev 's ouster     6 Confrontation through détente ( 1962 -- 1979 )   6.1 French withdrawal from NATO   6.2 Invasion of Czechoslovakia   6.3 Brezhnev Doctrine   6.4 Third World escalations   6.5 Sino - American rapprochement   6.6 Nixon , Brezhnev , and détente   6.7 Late 1970s deterioration of relations     7 `` Second Cold War '' ( 1979 -- 1985 )   7.1 Soviet War in Afghanistan   7.2 Reagan and Thatcher   7.3 Polish Solidarity movement and martial law   7.4 Soviet and US military and economic issues     8 Final years ( 1985 -- 1991 )   8.1 Gorbachev 's reforms   8.2 Thaw in relations   8.3 Eastern Europe breaks away   8.4 Soviet republics break away   8.5 Soviet dissolution     9 Aftermath   9.1 In popular culture     10 Historiography   11 See also   12 Footnotes   13 References and further reading   13.1 Historiography and memory   13.2 Primary sources     14 External links      Origins of the term      Part of a series on the History of the Cold War      Origins of the Cold War     World War II ( Hiroshima and Nagasaki ) War conferences Eastern Bloc Western Bloc Iron Curtain     Cold War ( 1947 -- 1953 )     Cold War ( 1953 -- 1962 )     Cold War ( 1962 -- 1979 )     Cold War ( 1979 -- 1985 )     Cold War ( 1985 -- 1991 )     Frozen conflicts     Timeline Conflicts Historiography    Main article : Cold war ( general term )  At the end of World War II , English writer George Orwell used cold war , as a general term , in his essay `` You and the Atomic Bomb '' , published 19 October 1945 in the British newspaper Tribune . Contemplating a world living in the shadow of the threat of nuclear warfare , Orwell looked at James Burnham 's predictions of a polarized world , writing :    Looking at the world as a whole , the drift for many decades has been not towards anarchy but towards the reimposition of slavery ... James Burnham 's theory has been much discussed , but few people have yet considered its ideological implications -- that is , the kind of world - view , the kind of beliefs , and the social structure that would probably prevail in a state which was at once unconquerable and in a permanent state of `` cold war '' with its neighbours .    In The Observer of 10 March 1946 , Orwell wrote , `` after the Moscow conference last December , Russia began to make a ' cold war ' on Britain and the British Empire . ''   The first use of the term to describe the specific post-war geopolitical confrontation between the USSR and the United States came in a speech by Bernard Baruch , an influential advisor to Democratic presidents , on 16 April 1947 . The speech , written by journalist Herbert Bayard Swope , proclaimed , `` Let us not be deceived : we are today in the midst of a cold war . '' Newspaper columnist Walter Lippmann gave the term wide currency with his book The Cold War ; when asked in 1947 about the source of the term , Lippmann traced it to a French term from the 1930s , la guerre froide .   Background  Main article : Origins of the Cold War  Russian Revolution  Allied troops in Vladivostok , August 1918 , during the Allied intervention in the Russian Civil War .  While most historians trace its origins to the period immediately following World War II , others argue that it began with the October Revolution in Russia in 1917 when the Bolsheviks took power . In 1919 Lenin stated that his new state was surrounded by a `` hostile capitalist encirclement '' , and he viewed diplomacy as a weapon that should be used in order to keep the Soviet Union 's enemies divided , beginning with the establishment of the Communist International , which called for revolutionary upheavals abroad . Historian Max Beloff argues that the Soviets saw `` no prospect of permanent peace '' , with the 1922 Soviet Constitution proclaiming :   Since the time of the formation of the soviet republics , the states of the world have divided into two camps : the camp of capitalism and the camp of socialism . There - in the camp of capitalism - national enmity and inequality , colonial slavery , and chauvinism , national oppression and pogroms , imperialist brutalities and wars . Here - in the camp of socialism - mutual confidence and peace , national freedom and equality , a dwelling together in peace and the brotherly collaboration of peoples .   According to British historian Christopher Sutton :   In what some have called the First Cold War , from Britain 's intervention in the Russian Civil War in 1918 to its uneasy alliance with the Soviet Union against the Axis powers in 1941 , British distrust of the revolutionary and regicidal Bolsheviks resulted in domestic , foreign , and colonial policies aimed at resisting the spread of communism . This conflict after 1945 took on new battlefields , new weapons , new players , and a greater intensity , but it was still fundamentally a conflict against Soviet imperialism ( real and imagined ) .   The idea of long - term continuity is a minority scholarly view that has been challenged . Frank Ninkovich writes :   As for the two cold wars thesis , the chief problem is that the two periods are incommensurable . To be sure , they were joined together by enduring ideological hostility , but in the post-World War I years Bolshevism was not a geopolitical menace . After World War II , in contrast , the Soviet Union was a superpower that combined ideological antagonism with the kind of geopolitical threat posed by Germany and Japan in the Second World War . Even with more amicable relations in the 1920s , it is conceivable that post-1945 relations would have turned out much the same .   Beginnings of World War II   After signing the Molotov - Ribbentrop pact and German -- Soviet Frontier Treaty , the Soviet Union forced the Baltic countries -- Estonia , Latvia and Lithuania -- to allow it to station Soviet troops in their countries under pacts of `` mutual assistance '' . Finland rejected territorial demands , prompting a Soviet invasion in November 1939 . The resulting Winter War ended in March 1940 with Finnish concessions . Britain and France , treating the Soviet attack on Finland as tantamount to its entering the war on the side of the Germans , responded to the Soviet invasion by supporting the USSR 's expulsion from the League of Nations .   In June 1940 , the Soviet Union forcibly annexed Estonia , Latvia and Lithuania , and the disputed Romanian regions of Bessarabia , Northern Bukovina and Hertza . But after the German Army invaded the Soviet Union in June 1941 and the Japanese bombed Pearl Harbor in December 1941 , the Soviet Union and the Allied powers formed an alliance of convenience . Britain signed a formal alliance and the United States made an informal agreement . In wartime , the United States supplied Britain , the Soviet Union and other Allied nations through its Lend - Lease Program . However , Stalin remained highly suspicious and he believed that the British and the Americans had conspired to ensure that the Soviets bore the brunt of the fighting against Nazi Germany . According to this view , the Western Allies had deliberately delayed opening a second anti-German front in order to step in at the last minute and shape the peace settlement . Thus , Soviet perceptions of the West left a strong undercurrent of tension and hostility between the Allied powers .   End of World War II ( 1945 -- 1947 )   Wartime CONFERENCES regarding post-war Europe  Further information : Tehran Conference and Yalta Conference The `` Big Three '' at the Yalta Conference : Winston Churchill , Franklin D. Roosevelt and Joseph Stalin , 1945 .  The Allies disagreed about how the European map should look , and how borders would be drawn , following the war . Each side held dissimilar ideas regarding the establishment and maintenance of post-war security . Some scholars contend that all the Western Allies desired a security system in which democratic governments were established as widely as possible , permitting countries to peacefully resolve differences through international organizations . Others note that the Atlantic powers were divided in their vision of the new post-war world . Roosevelt 's goals -- military victory in both Europe and Asia , the achievement of global American economic supremacy over the British Empire , and the creation of a world peace organization -- were more global than Churchill 's , which were mainly centered on securing control over the Mediterranean , ensuring the survival of the British Empire , and the independence of Central and Eastern European countries as a buffer between the Soviets and the United Kingdom .   The Soviet Union sought to dominate the internal affairs of countries that bordered it . During the war , Stalin had created special training centers for communists from different countries so that they could set up secret police forces loyal to Moscow as soon as the Red Army took control . Soviet agents took control of the media , especially radio ; they quickly harassed and then banned all independent civic institutions , from youth groups to schools , churches and rival political parties . Stalin also sought continued peace with Britain and the United States , hoping to focus on internal reconstruction and economic growth .   In the American view , Stalin seemed a potential ally in accomplishing their goals , whereas in the British approach Stalin appeared as the greatest threat to the fulfillment of their agenda . With the Soviets already occupying most of Central and Eastern Europe , Stalin was at an advantage and the two western leaders vied for his favors .   The differences between Roosevelt and Churchill led to several separate deals with the Soviets . In October 1944 , Churchill traveled to Moscow and proposed the `` percentages agreement '' to divide the Balkans into respective spheres of influence , including giving Stalin predominance over Romania and Bulgaria and Churchill carte blanche over Greece . At the Yalta Conference of February 1945 , Roosevelt signed a separate deal with Stalin in regard of Asia and refused to support Churchill on the issues of Poland and the Reparations . Roosevelt ultimately approved the percentage agreement , but there was still apparently no firm consensus on the framework for a post-war settlement in Europe .  Post-war Allied occupation zones in Germany .  At the Second Quebec Conference , a high - level military conference held in Quebec City , 12 -- 16 September 1944 , Churchill and Roosevelt reached agreement on a number of matters , including a plan for Germany , based on Henry Morgenthau Jr. 's original proposal . The memorandum drafted by Churchill provided for `` eliminating the warmaking industries in the Ruhr and the Saar ... looking forward to converting Germany into a country primarily agricultural and pastoral in its character . '' However , it no longer included a plan to partition the country into several independent states . On 10 May 1945 , President Truman signed the U.S. occupation directive JCS 1067 . The directive , which was in effect for over two years , and was enthusiastically supported by Stalin , directed the U.S. forces of occupation to `` ... take no steps looking toward the economic rehabilitation of Germany '' .   Some historians have argued that the Cold War began when the US negotiated a separate peace with Nazi SS General Karl Wolff in northern Italy . The Soviet Union was not allowed to participate and the dispute led to heated correspondence between Franklin Roosevelt and Stalin . General Wolff , a war criminal , appears to have been guaranteed immunity at the Nuremberg trials by Office of Strategic Services ( OSS ) commander ( and later CIA director ) Allen Dulles when they met in March 1945 . Wolff and his forces were being considered to help implement Operation Unthinkable , a secret plan to invade the Soviet Union which Winston Churchill advocated during this period .   In April 1945 , President Roosevelt died and was succeeded by Harry S. Truman , who distrusted Stalin and turned for advice to an elite group of foreign policy intellectuals . Both Churchill and Truman opposed , among other things , the Soviets ' decision to prop up the Lublin government , the Soviet - controlled rival to the Polish government - in - exile in London , whose relations with the Soviets had been severed .   Following the Allies ' May 1945 victory , the Soviets effectively occupied Central and Eastern Europe , while strong US and Western allied forces remained in Western Europe . In Germany and Austria , France , Britain , the Soviet Union and the United States established zones of occupation and a loose framework for parceled four - power control .   The 1945 Allied conference in San Francisco established the multi-national United Nations ( UN ) for the maintenance of world peace , but the enforcement capacity of its Security Council was effectively paralyzed by individual members ' ability to use veto power . Accordingly , the UN was essentially converted into an inactive forum for exchanging polemical rhetoric , and the Soviets regarded it almost exclusively as a propaganda tribune .   Potsdam Conference and surrender of Japan  Main articles : Potsdam Conference and Surrender of Japan Clement Attlee , Harry S. Truman and Joseph Stalin at the Potsdam Conference , 1945 .  At the Potsdam Conference , which started in late July after Germany 's surrender , serious differences emerged over the future development of Germany and the rest of Central and Eastern Europe . Moreover , the participants ' mounting antipathy and bellicose language served to confirm their suspicions about each other 's hostile intentions and entrench their positions . At this conference Truman informed Stalin that the United States possessed a powerful new weapon .   Stalin was aware that the Americans were working on the atomic bomb and , given that the Soviets ' own rival program was in place , he reacted to the news calmly . The Soviet leader said he was pleased by the news and expressed the hope that the weapon would be used against Japan . One week after the end of the Potsdam Conference , the US bombed Hiroshima and Nagasaki . Shortly after the attacks , Stalin protested to US officials when Truman offered the Soviets little real influence in occupied Japan .   Beginnings of the Eastern Bloc  Main article : Eastern Bloc Post-war territorial changes in Europe and the formation of the Eastern Bloc , the so - called ' Iron Curtain ' .  During the opening stages of World War II , the Soviet Union laid the foundation for the Eastern Bloc by invading and then annexing several countries as Soviet Socialist Republics , by agreement with Nazi Germany in the Molotov -- Ribbentrop Pact . These included eastern Poland ( incorporated into two different SSRs ) , Latvia ( which became the Latvian SSR ) , Estonia ( which became the Estonian SSR ) , Lithuania ( which became the Lithuanian SSR ) , part of eastern Finland ( which became the Karelo - Finnish SSR ) and eastern Romania ( which became the Moldavian SSR ) .   The Central and Eastern European territories liberated from the Nazis and occupied by the Soviet armed forces were added to the Eastern Bloc by converting them into satellite states , such as :    People 's Republic of Albania ( 11 January 1946 )   People 's Republic of Bulgaria ( 15 September 1946 )   People 's Republic of Poland ( 19 January 1947 )   People 's Republic of Romania ( 13 April 1948 )   Czechoslovak Socialist Republic ( 9 May 1948 )   Hungarian People 's Republic ( 20 August 1949 )   German Democratic Republic ( 7 October 1949 )    The Soviet - style regimes that arose in the Bloc not only reproduced Soviet command economies , but also adopted the brutal methods employed by Joseph Stalin and the Soviet secret police in order to suppress both real and potential opposition . In Asia , the Red Army had overrun Manchuria in the last month of the war , and it went on to occupy the large swathe of Korean territory located north of the 38th parallel .   As part of consolidating Stalin 's control over the Eastern Bloc , the People 's Commissariat for Internal Affairs ( NKVD ) , led by Lavrentiy Beriya , supervised the establishment of Soviet - style secret police systems in the Bloc that were supposed to crush anti-communist resistance . When the slightest stirrings of independence emerged in the Bloc , Stalin 's strategy matched that of dealing with domestic pre-war rivals : they were removed from power , put on trial , imprisoned , and in several instances , executed .   British Prime Minister Winston Churchill was concerned that , given the enormous size of Soviet forces deployed in Europe at the end of the war , and the perception that Soviet leader Joseph Stalin was unreliable , there existed a Soviet threat to Western Europe . After World War II , US officials guided Western European leaders in establishing their own secret security force to prevent subversion in the Western bloc , which evolved into Operation Gladio .   Preparing for a `` new War ''  Further information : X Article § The Long Telegram , Iron Curtain , and Restatement of Policy on Germany Remains of the `` iron curtain '' in Czech Republic .  In February 1946 , George F. Kennan 's `` Long Telegram '' from Moscow helped to articulate the US government 's increasingly hard line against the Soviets , and became the basis for US strategy toward the Soviet Union for the duration of the Cold War . That September , the Soviet side produced the Novikov telegram , sent by the Soviet ambassador to the US but commissioned and `` co-authored '' by Vyacheslav Molotov ; it portrayed the US as being in the grip of monopoly capitalists who were building up military capability `` to prepare the conditions for winning world supremacy in a new war '' .   On 6 September 1946 , James F. Byrnes delivered a speech in Germany repudiating the Morgenthau Plan ( a proposal to partition and de-industrialize post-war Germany ) and warning the Soviets that the US intended to maintain a military presence in Europe indefinitely . As Byrnes admitted a month later , `` The nub of our program was to win the German people ... it was a battle between us and Russia over minds ... ''   A few weeks after the release of this `` Long Telegram '' , former British Prime Minister Winston Churchill delivered his famous `` Iron Curtain '' speech in Fulton , Missouri . The speech called for an Anglo - American alliance against the Soviets , whom he accused of establishing an `` iron curtain '' from `` Stettin in the Baltic to Trieste in the Adriatic '' . Only a week later , on 13 March Stalin responded vigorously to the speech , saying that Churchill could be compared to Hitler insofar as he advocated the racial superiority of English - speaking nations so that they could satisfy their hunger for world domination , and that such a declaration was `` a call for war on the U.S.S.R. '' The Soviet leader also dismissed the accusation that the USSR was exerting increasing control over the countries lying in its sphere . He argued that there was nothing surprising in `` the fact that the Soviet Union , anxious for its future safety , ( was ) trying to see to it that governments loyal in their attitude to the Soviet Union should exist in these countries '' . 1   Beginnings of the Cold War ( 1947 -- 1953 )  Main article : Cold War ( 1947 -- 1953 )  Containment and the Truman Doctrine  Main articles : Containment and Truman Doctrine European military alliances European economic alliances  By 1947 , US president Harry S. Truman was outraged by the Soviet Union 's perceived resistance to American demands in Iran , Turkey and Greece , as well as their rejection of the Baruch Plan on nuclear weapons . In February 1947 , the British government announced that it could no longer afford to finance the Kingdom of Greece in its civil war against Communist - led insurgents .   The US government 's response to this announcement was the adoption of containment , the goal of which was to stop the spread of Communism . Truman delivered a speech that called for the allocation of $400 million to intervene in the war and unveiled the Truman Doctrine , which framed the conflict as a contest between free peoples and totalitarian regimes . American policymakers accused the Soviet Union of conspiring against the Greek royalists in an effort to expand Soviet influence even though Stalin had told the Communist Party to cooperate with the British - backed government . ( The insurgents were helped by Josip Broz Tito 's Socialist Federal Republic of Yugoslavia against Stalin 's wishes . )   Enunciation of the Truman Doctrine marked the beginning of a US bipartisan defense and foreign policy consensus between Republicans and Democrats focused on containment and deterrence that weakened during and after the Vietnam War , but ultimately persisted thereafter . Moderate and conservative parties in Europe , as well as social democrats , gave virtually unconditional support to the Western alliance , while European and American Communists , financed by the KGB and involved in its intelligence operations , adhered to Moscow 's line , although dissent began to appear after 1956 . Other critiques of the consensus policy came from anti-Vietnam War activists , the Campaign for Nuclear Disarmament and the anti-nuclear movement .   Marshall Plan and czechoslovak coup d'état  Main articles : Marshall Plan , Western Bloc , and 1948 Czechoslovak coup d'état The labeling used on Marshall Plan aid to Western Europe ; Map of Cold - War era Europe and the Near East showing countries that received Marshall Plan aid . The red columns show the relative amount of total aid received per nation ; Construction in West Berlin under Marshall Plan aid .  In early 1947 , France , Britain and the United States unsuccessfully attempted to reach an agreement with the Soviet Union for a plan envisioning an economically self - sufficient Germany , including a detailed accounting of the industrial plants , goods and infrastructure already removed by the Soviets . In June 1947 , in accordance with the Truman Doctrine , the United States enacted the Marshall Plan , a pledge of economic assistance for all European countries willing to participate , including the Soviet Union . Under the plan , which President Harry S. Truman signed on 3 April 1948 , the US government gave to Western European countries over $13 billion ( equivalent to $189.39 billion in 2016 ) to rebuild the economy of Europe . Later , the program led to the creation of the Organisation for European Economic Co-operation .   The plan 's aim was to rebuild the democratic and economic systems of Europe and to counter perceived threats to Europe 's balance of power , such as communist parties seizing control through revolutions or elections . The plan also stated that European prosperity was contingent upon German economic recovery . One month later , Truman signed the National Security Act of 1947 , creating a unified Department of Defense , the Central Intelligence Agency ( CIA ) , and the National Security Council ( NSC ) . These would become the main bureaucracies for US policy in the Cold War .   Stalin believed that economic integration with the West would allow Eastern Bloc countries to escape Soviet control , and that the US was trying to buy a pro-US re-alignment of Europe . Stalin therefore prevented Eastern Bloc nations from receiving Marshall Plan aid . The Soviet Union 's alternative to the Marshall Plan , which was purported to involve Soviet subsidies and trade with central and eastern Europe , became known as the Molotov Plan ( later institutionalized in January 1949 as the Council for Mutual Economic Assistance ) . Stalin was also fearful of a reconstituted Germany ; his vision of a post-war Germany did not include the ability to rearm or pose any kind of threat to the Soviet Union .   In early 1948 , following reports of strengthening `` reactionary elements '' , Soviet operatives executed a coup d'état in Czechoslovakia , the only Eastern Bloc state that the Soviets had permitted to retain democratic structures . The public brutality of the coup shocked Western powers more than any event up to that point , set in a motion a brief scare that war would occur and swept away the last vestiges of opposition to the Marshall Plan in the United States Congress .   The twin policies of the Truman Doctrine and the Marshall Plan led to billions in economic and military aid for Western Europe , Greece , and Turkey . Wit</t>
  </si>
  <si>
    <t xml:space="preserve">when does the cold war start and end</t>
  </si>
  <si>
    <t xml:space="preserve"> The Cold War was a state of geopolitical tension after World War II between powers in the Eastern Bloc ( the Soviet Union and its satellite states ) and powers in the Western Bloc ( the United States , its NATO allies and others ) . Historians do not fully agree on the dates , but a common timeframe is the period between 1947 , the year the Truman Doctrine , a U.S. foreign policy pledging to aid nations threatened by Soviet expansionism , was announced , and either 1989 , when communism fell in Eastern Europe , or 1991 , when the Soviet Union collapsed . The term `` cold '' is used because there was no large - scale fighting directly between the two sides , but they each supported major regional wars known as proxy wars . </t>
  </si>
  <si>
    <t xml:space="preserve">Religion in the Soviet Union - Wikipedia  Religion in the Soviet Union  Jump to : navigation , search      This article may be expanded with text translated from the corresponding article in Russian . ( April 2017 ) Click ( show ) for important translation instructions .     Google 's machine translation is a useful starting point for translations , but translators must revise errors as necessary and confirm that the translation is accurate , rather than simply copy - pasting machine - translated text into the English Wikipedia .   Do not translate text that appears unreliable or low - quality . If possible , verify the text with references provided in the foreign - language article .   You must provide copyright attribution in the edit summary by providing an interlanguage link to the source of your translation . A model attribution edit summary ( using German ) : Content in this edit is translated from the existing German Wikipedia article at ( ( : de : Exact name of German article ) ) ; see its history for attribution .   You should also add the template ( ( Translated page ) ) to the talk page .   For more guidance , see Wikipedia : Translation .         Part of a series on the     Culture of the Soviet Union         History ( show )   Great October Socialist Revolution   Great Patriotic War       People     Languages     Traditions     Cuisine     Festivals     Religion ( show )   Islam       Art ( show )   Architecture   Art       Literature     Music and performing arts ( show )   Music       Media ( show )   Radio   Television   Cinema   Censorship   Propaganda       Sport     Symbols ( show )   Flag   Coat of arms   Cultural icons           Soviet Union portal                   The Soviet Union was established by the Bolsheviks in 1922 , in place of the Russian Empire . At the time of the 1917 Revolution , the Russian Orthodox Church was deeply integrated into the autocratic state , enjoying official status . This was a significant factor that contributed to the Bolshevik attitude to religion and the steps they took to control it . Thus the USSR became the first state to have as one objective of its official ideology the elimination of existing religion , and the prevention of future implanting of religious belief , with the goal of establishing state atheism ( gosateizm ) . Under the doctrine of state atheism in the Soviet Union , there was a `` government - sponsored program of conversion to atheism '' conducted by Communists . The communist regime targeted religions based on State interests , and while most organized religions were never outlawed , religious property was confiscated , believers were harassed , and religion was ridiculed while atheism was propagated in schools . In 1925 the government founded the League of Militant Atheists to intensify the persecution . Accordingly , although personal expressions of religious faith were not explicitly banned , a strong sense of social stigma was imposed on them by the official structures and mass media and it was generally considered unacceptable for members of certain professions ( teachers , state bureaucrats , soldiers ) to be openly religious .   The vast majority of people in the Russian empire were , at the time of the revolution , religious believers , whereas the communists aimed to break the power of all religious institutions and eventually replace religious belief with atheism . `` Science '' was counterposed to `` religious superstition '' in the media and in academic writing . The main religions of pre-revolutionary Russia persisted throughout the entire Soviet period , but they were only tolerated within certain limits . Generally , this meant that believers were free to worship in private and in their respective religious buildings ( churches , mosques , etc . ) , but public displays of religion outside of such designated areas were prohibited . In addition , religious institutions were not allowed to express their views in any type of mass media , and many religious buildings were demolished or used for other purposes .   As the founder of the Soviet state , V.I. Lenin , put it :   Religion is the opium of the people : this saying of Marx is the cornerstone of the entire ideology of Marxism about religion . All modern religions and churches , all and of every kind of religious organizations are always considered by Marxism as the organs of bourgeois reaction , used for the protection of the exploitation and the stupefaction of the working class .   Marxist -- Leninist atheism has consistently advocated the control , suppression , and elimination of religion . Within about a year of the revolution , the state expropriated all church property , including the churches themselves , and in the period from 1922 to 1926 , 28 Russian Orthodox bishops and more than 1,200 priests were killed . Many more were persecuted .   Christians belonged to various churches : Orthodox ( which had the largest number of followers ) , Catholic , Baptist and various other Protestant denominations . The majority of the Muslims in the Soviet Union were Sunni . Judaism also had many followers . Other religions , practiced by a small number of believers , included Buddhism and Shamanism .     Contents  ( hide )   1 Orthodox   1.1 Russian Orthodox Church   1.2 Georgian Orthodox Church   1.3 Ukrainian Autocephalous Orthodox Church   1.4 Armenian Apostolic     2 Catholics   2.1 Roman Catholic Church   2.2 Ukrainian Greek Catholic Church     3 Protestants   3.1 Persecution and other themes   3.2 Baptists   3.3 Lutherans   3.4 Other Protestants     4 Other Christian groups   5 Islam   6 Policy toward religions in practice   6.1 Policy towards nationalities and religion   6.2 Policy towards Orthodoxy   6.3 Policy towards Catholicism and Protestantism   6.4 Policy toward other Christian groups   6.5 Policy towards Islam   6.6 Policy towards Judaism     7 See also   8 References      Orthodox ( edit )       This section does not cite any sources . Please help improve this section by adding citations to reliable sources . Unsourced material may be challenged and removed . ( November 2011 ) ( Learn how and when to remove this template message )    The Cathedral of Christ the Savior in Moscow was demolished by the Soviet authorities in 1931 to make way for the Palace of Soviets . The palace was never finished , and the cathedral was rebuilt in 2000 .  Orthodox Christians constituted a majority of believers in the Soviet Union . In the late 1980s , three Orthodox churches claimed substantial memberships there : the Russian Orthodox Church , the Georgian Orthodox Church , and the Ukrainian Autocephalous Orthodox Church ( AOC ) . They were members of the major confederation of Orthodox churches in the world , generally referred to as the Eastern Orthodox Church . The first two functioned openly and were tolerated by the regime , but the Ukrainian AOC was not permitted to function openly . Parishes of the Belarusian Autocephalous Orthodox Church reappeared in Belarus only after the dissolution of the Soviet Union , but they did not receive recognition from the Belarusian Exarchate of the Russian Orthodox Church , which controls Belarusian eparchies .   Russian Orthodox Church ( edit )   According to both Soviet and Western sources , in the late 1980s the Russian Orthodox Church had over 50 million believers but only about 7,000 registered active churches . Over 4,000 of these churches were located in the Ukrainian Republic ( almost half of them in western Ukraine ) . The distribution of the six monasteries and ten convents of the Russian Orthodox Church was equally disproportionate . Only two of the monasteries were located in the Russian Soviet Federative Socialist Republic . Another two were in Ukraine and there was one each in Belarus and Lithuania . Seven convents were located in Ukraine and one each in Moldova , Estonia , and Latvia .   Georgian Orthodox Church ( edit )   The Georgian Orthodox Church , another autocephalous member of Eastern Orthodoxy , was headed by a Georgian patriarch . In the late 1980s it had 15 bishops , 180 priests , 200 parishes , and an estimated 2.5 million followers . In 1811 the Georgian Orthodox Church was incorporated into the Russian Orthodox Church , but it regained its independence in 1917 , after the fall of the Tsar . Nevertheless , the Russian Orthodox Church did not officially recognize its independence until 1943 .   Ukrainian Autocephalous Orthodox Church ( edit )   The Ukrainian AOC separated from the Russian Orthodox Church in 1919 , when the short - lived Ukrainian state adopted a decree declaring autocephaly from the Ukrainian Orthodox Church . Its independence was reaffirmed by the Bolsheviks in the Ukrainian Republic , and by 1924 it had 30 bishops , almost 1,500 priests , nearly 1,100 parishes , and between 4 and 6 million members .   From its inception , the Ukrainian AOC faced the hostility of the Russian Orthodox Church in the Ukrainian Republic . In the late 1920s , Soviet authorities accused it of nationalist tendencies . In 1930 the government forced the church to reorganize as the `` Ukrainian Orthodox Church '' , and few of its parishes survived until 1936 . Nevertheless , the Ukrainian AOC continued to function outside the borders of the Soviet Union , and it was revived on Ukrainian territory under the German occupation during World War II . In the late 1980s , some of the Orthodox faithful in the Ukrainian Republic appealed to the Soviet government to reestablish the Ukrainian AOC .   Armenian Apostolic ( edit )   The Armenian Apostolic Church is an independent Oriental Orthodox church . In the 1980s it had about 4 million adherents -- almost the entire population of Armenia . It was permitted 6 bishops , between 50 and 100 priests , and between 20 and 30 churches , and it had one theological seminary and six monasteries .   Catholics ( edit )   Catholics formed a substantial and active religious constituency in the Soviet Union . Their number increased dramatically with the annexation of territories of the Second Polish Republic in 1939 and the Baltic republics in 1940 . Catholics in the Soviet Union were divided between those belonging to the Roman Catholic Church , which was recognized by the government , and those remaining loyal to the Ukrainian Greek Catholic Church , banned since 1946 .   Roman Catholic Church ( edit )   The majority of the 5.5 million Roman Catholics in the Soviet Union lived in the Lithuanian , Belarusian , and Latvian republics , with a sprinkling in the Moldavian , Ukrainian , and Russian republics . Since World War II , the most active Roman Catholic Church in the Soviet Union was in the Lithuanian Republic , where the majority of people are Catholics . The Roman Catholic Church there has been viewed as an institution that both fosters and defends Lithuanian national interests and values . Since 1972 a Catholic underground publication , The Chronicle of the Catholic Church in Lithuania , supported not only Lithuanians ' religious rights but also their national rights .   Ukrainian Greek Catholic Church ( edit )  See also : History of Christianity in Ukraine  Western Ukraine , which included largely the historic region of Galicia , became part of the Soviet Union in 1939 . Although Ukrainian , its population was never part of the Russian Empire , but was Eastern Rite Catholic . After the Second World War , the Ukrainian Greek Catholic Church identified closely with the nationalist aspirations of the region , arousing the hostility of the Soviet government , which was in combat with Ukrainian Insurgency . In 1945 , Soviet authorities arrested the church 's Metropolitan Josyf Slipyj , nine bishops and hundreds of clergy and leading lay activists , and deported them to forced labor camps in Siberia and elsewhere . The nine bishops and many of the clergy died in prisons , concentration camps , internal exile , or soon after their release during the post-Stalin thaw , but after 18 years of imprisonment and persecution , Metropolitan Slipyj was released when Pope John XXIII intervened on his behalf . Slipyj went to Rome , where he received the title of Major Archbishop of Lviv , and became a cardinal in 1965 .   In 1946 a synod was called in Lviv , where , despite being uncanonical in both Catholic and Orthodox understanding , the Union of Brest was annulled , and the Ukrainian Greek Catholic Church was officially annexed to the Russian Orthodox Church . St. George 's Cathedral in Lviv became the throne of Russian Orthodox Archbishop Makariy .   For the clergy that joined the Russian Orthodox Church , the Soviet authorities refrained from the large - scale persecution seen elsewhere . In Lviv only one church was closed . In fact , the western dioceses of Lviv - Ternopil and Ivano - Frankivsk were the largest in the USSR . Canon law was also relaxed , allowing the clergy to shave their beards ( a practice uncommon in Orthodoxy ) and to conduct services in Ukrainian instead of Slavonic .   In 1989 the Ukrainian Greek Catholic Church was officially re-established after a catacomb period of more than 40 years . There followed conflicts between Orthodox and Catholic Christians regarding the ownership of church buildings , conflicts which continued into the 1990s , after the Independence of Ukraine .   Protestants ( edit )   Persecution and other themes ( edit )  See also : Anti-Protestantism  Many Protestants were apprehended under Communist rule of law , including imprisonment and execution . Vladimir Shelkov ( 1895 -- 1980 ) , the leader of the unregistered Seventh - day Adventist movement in the Soviet Union , spent almost all his life from 1931 on in prison ; he died in Yakutia camp . Large numbers of Pentecostals were imprisoned , and many died there , including Ivan Voronaev , one of their leaders . In the period after the Second World War , Protestants in the USSR ( indigenous sectarian Spiritual Christians , Baptists , Pentecostals , Adventists and others ) were sent to mental hospitals or tried and imprisoned , often for refusal to enter military service . Some were deprived of their parental rights . The Lutheran Church in different regions of the country was persecuted during the Soviet era , and church property was confiscated . Many of its members and pastors were oppressed , and some were forced to emigrate .   Baptists ( edit )   By 1950 , it was estimated that there were 2 million Baptists in the Soviet Union , with the largest number in Ukraine . Baptists were the largest Protestant grouping in the country . In 1991 , Ukraine had the second largest Baptist community in the world , behind only the United States . Baptists constituted the largest Protestant group . Spread throughout the Soviet Union , some congregations were registered with the government and functioned with official approval . Many other unregistered congregations carried on religious activity without such approval .   Lutherans ( edit )   Lutherans , the second largest Protestant group , lived for the most part in the Latvian and Estonian republics . In the 1980s , Lutheran churches in these republics identified to some extent with nationality issues in the two republics . The regime 's attitude toward Lutherans was generally benign .   Other Protestants ( edit )   A number of other Protestant groups were present , including Adventists , Pentecostals , and Reformed .   Other Christian groups ( edit )   The March 1961 instruction on religious cults explained for the first time , that `` sects , the teaching and character of activities of which has anti-state and savagely extremist ( изуверский ) character : Jehovah 's Witnesses , Pentecostalists , Adventists - reformists '' are not to be registered and were thus banned .   A number of congregations of Russian Mennonites , Jehovah 's Witnesses , and other Christian groups existed in the Soviet Union . Nearly 9,000 Jehovah 's Witnesses were deported to Siberia in 1951 ( numbers of those missed in deportation unknown ) . The number of Jehovah 's Witnesses increased greatly over this period , with a KGB estimate of around 20,000 in 1968 . Russian Mennonites began to emigrate from the Soviet Union in the face of increasing violence and persecution , state restrictions on freedom of religion , and biased allotments of communal farmland . They emigrated to Germany , Britain , the United States , parts of South America , and other regions .   Islam ( edit )  Main article : Islam in the Soviet Union Map showing the distribution of Muslims within the Soviet Union in 1979 as a percentage of the population by administrative division .  After the Bolshevik revolution , Islam was for some time ( until 1929 ) treated better than the Russian Orthodox Church , which Bolsheviks regarded as a center of the `` reaction '' , and other religions . In the declaration `` Ко всем трудящимся мусульманам России и Востока '' ( To All Working Muslims in Russia and the Orient ) of November 1917 , the Bolshevik government declared the freedom to exercise their religion and customs for Muslims `` whose beliefs and customs had been suppressed by the Czars and the Russian oppressors '' .   In the second half of 1920s and in 1930s , state repressions , suppression and atheist propaganda against all religions increased . E.g. in 1930 , out of the 12,000 mosques in Tatarstan , more than 10,000 were closed , from 90 to 97 % mullahs and muezzins were deprived of the right to exercise their profession .   During the German - Soviet War , the restrictions on religion were eased somewhat . In 1943 the Spiritual Administration of the Muslims of Central Asia and Kazakhstan was established . In 1949 , 415 registered mosques functioned in the Soviet Union .   In the late 1980s , Islam had the second largest following in the Soviet Union : between 45 and 50 million people identified themselves as Muslims . But the Soviet Union had only about 500 working mosques , a fraction of the number in prerevolutionary Russia , and Soviet law forbade Islamic religious activity outside working mosques and Islamic schools .   All working mosques , religious schools , and Islamic publications were supervised by four `` spiritual directorates '' established by Soviet authorities to provide government control . The Spiritual Directorate for Central Asia and Kazakhstan , the Spiritual Directorate for the European Soviet Union and Siberia , and the Spiritual Directorate for the Northern Caucasus and Dagestan oversaw the religious life of Sunni Muslims . The Spiritual Directorate for Transcaucasia dealt with both Sunni Muslims and Shia Muslims . The overwhelming majority of the Muslims were Sunnis .   Soviet Muslims differed linguistically and culturally from each other , speaking about fifteen Turkic languages , ten Iranian languages , and thirty Caucasian languages . Hence , communication between different Muslim groups was difficult . In 1989 Russian often served as a lingua franca among some educated Muslims .   Culturally , some Muslim groups had highly developed urban traditions , whereas others were recently nomadic . Some lived in industrialized environments , others in isolated mountainous regions . In sum , Muslims were not a homogeneous group with a common national identity and heritage , although they shared the same religion and the same country .   In the late 1980s , unofficial Muslim congregations , meeting in tea houses and private homes with their own mullahs , greatly outnumbered those in the officially sanctioned mosques . The unofficial mullahs were either self - taught or informally trained by other mullahs . In the late 1980s , unofficial Islam appeared to split into fundamentalist congregations and groups that emphasized Sufism .   Policy toward religions in practice ( edit )     Mass repression in the Soviet Union     Economic repression       Collectivization   Dekulakization   Soviet famine of 1932 -- 33       Political repression       Red Terror   Great Purge   Gulag   Psychiatric       Ideological repression       Religion   1917 - 1921   1921 -- 28   1928 -- 41   1958 -- 64   1975 -- 87   Christianity   Islam   Legislation     Science   Censorship   Images         Ethnic repression       Antisemitism   Holodomor   NKVD Polish Operation   Population transfers                  See also : Living Church and USSR anti-religious campaign ( 1928 -- 1941 )  Soviet policy toward religion was based on the ideology of Marxism - Leninism , which made atheism the official doctrine of the Communist Party . However , `` the Soviet law and administrative practice through most of the 1920s extended some tolerance to religion and forbade the arbitrary closing or destruction of some functioning churches '' , and each successive Soviet constitution granted freedom of belief . As the founder of the Soviet state , Lenin , put it :   Religion is the opium of the people : this saying of Marx is the cornerstone of the entire ideology of Marxism about religion . All modern religions and churches , all and of every kind of religious organizations are always considered by Marxism as the organs of bourgeois reaction , used for the protection of the exploitation and the stupefaction of the working class .   Marxism - Leninism advocates the suppression and ultimately the disappearance of religious beliefs , considering them to be `` unscientific '' and `` superstitious '' . In the 1920s and 1930s , such organizations as the League of the Militant Godless were active in anti-religious propaganda . Atheism was the norm in schools , communist organizations ( such as the Young Pioneer Organization ) , and the media .   The regime 's efforts to eradicate religion in the Soviet Union , however , varied over the years with respect to particular religions and were affected by higher state interests . In 1923 , a New York Times correspondent saw Christians observing Easter peacefully in Moscow despite violent anti-religious actions in previous years . Official policies and practices not only varied with time , but also differed in their application from one nationality to another and from one religion to another .   In 1929 , with the onset of the Cultural Revolution in the Soviet Union and an upsurge of radical militancy in the Party and Komsomol , a powerful `` hard line '' in favor of mass closing of churches and arrests of priests became dominant and evidently won Stalin 's approval . Secret `` hard line '' instructions were issued to local party organizations , but not published . When the anti-religious drive inflamed the anger of the rural population , not to mention that of the Pope and other Western church spokesmen , the regime was able to back off from a policy that it had never publicly endorsed anyway .   Although all Soviet leaders had the same long - range goal of developing a cohesive Soviet people , they pursued different policies to achieve it . For the Soviet regime , questions of nationality and religion were always closely linked . Therefore , their attitude toward religion also varied from a total ban on some religions to official support of others .   Policy towards nationalities and religion ( edit )       This section does not cite any sources . Please help improve this section by adding citations to reliable sources . Unsourced material may be challenged and removed . ( November 2011 ) ( Learn how and when to remove this template message )     In theory , the Soviet Constitution described the regime 's position regarding nationalities and religions . It stated that every Soviet citizen also had a particular nationality , and every Soviet passport carried these two entries . The constitution granted a large degree of local autonomy , but this autonomy was subordinated to central authority . In addition , because local and central administrative structures were often not clearly divided , local autonomy was further weakened . Although under the Constitution all nationalities were equal , in practice they were not treated so . Only fifteen nationalities had union republic status , which granted them , in principle , many rights , including the right to secede from the union .   Twenty - two nationalities lived in autonomous republics with a degree of local self - government and representation in the Council of Nationalities in the Supreme Soviet . Eighteen more nationalities had territorial enclaves ( autonomous oblasts and autonomous okrugs ) but had very few powers of self - government . The remaining nationalities had no right of self - government at all . Joseph Stalin 's 1913 definition of a nation as `` a historically constituted and stable community of people formed on the basis of common language , territory , economic life , and psychological makeup revealed in a common culture '' was retained by Soviet authorities throughout the 1980s . However , in granting nationalities union republic status , three additional factors were considered : a population of at least 1 million , territorial compactness , and location on the borders of the Soviet Union .   Although Lenin believed that eventually all nationalities would merge into one , he insisted that the Soviet Union be established as a federation of formally equal nations . In the 1920s , genuine cultural concessions were granted to the nationalities . Communist elites of various nationalities were permitted to flourish and to have considerable self - government . National cultures , religions , and languages were not merely tolerated but , in areas with Muslim populations , encouraged .   Demographic changes in the 1960s and 1970s whittled down the overall Russian majority , but they also caused two nationalities ( the Kazakhs and Kirgiz ) to become minorities in their own republics at the time of the 1979 census , and considerably reduced the majority of the titular nationalities in other republics . This situation led Leonid Brezhnev to declare at the 24th Communist Party Congress in 1971 that the process of creating a unified Soviet people had been completed , and proposals were made to abolish the federative system and replace it with a single state . In the 1970s , however , a broad movement of national dissent began to spread throughout the Soviet Union . It manifestated itself in many ways : Jews insisted on their right to emigrate to Israel ; Crimean Tatars demanded to be allowed to return to Crimea ; Lithuanians called for the restoration of the rights of the Catholic Church ; and Helsinki Watch groups were established in the Georgian , Lithuanian , and Ukrainian republics . Petitions , literature , and occasional public demonstrations voiced public demands for the human rights of all nationalities . By the end of the 1970s , however , massive and concerted efforts by the KGB had largely suppressed the national dissent movement . Nevertheless , Brezhnev had learned his lesson . Proposals to dismantle the federative system were abandoned in favour of a policy of drawing the nationalities together more gradually .   Soviet officials identified religion closely with nationality . The implementation of policy toward a particular religion , therefore , depended on the regime 's perception of the bond between that religion and the nationality practicing it , the size of the religious community , the extent to which the religion accepted outside authority , and the nationality 's willingness to subordinate itself to political authority . Thus the smaller the religious community and the more closely it identified with a particular nationality , the more restrictive were the regime 's policies , especially if the religion also recognized a foreign authority such as the pope .   Policy towards Orthodoxy ( edit )       This section does not cite any sources . Please help improve this section by adding citations to reliable sources . Unsourced material may be challenged and removed . ( November 2011 ) ( Learn how and when to remove this template message )    The Russian Orthodox Cathedral , once the most dominant landmark in Baku , was demolished in the 1930s under Stalin .  As for the Russian Orthodox Church , Soviet authorities sought to control it and , in times of national crisis , to exploit it for the regime 's own purposes ; but their ultimate goal was to eliminate it . During the first five years of Soviet power , the Bolsheviks executed 28 Russian Orthodox bishops and over 1,200 Russian Orthodox priests . Many others were imprisoned or exiled . Believers were harassed and persecuted . Most seminaries were closed , and the publication of most religious material was prohibited . By 1941 only 500 churches remained open out of about 54,000 in existence prior to World War I .   Such crackdowns related to many people 's dissatisfaction with the church in pre-revolutionary Russia . The close ties between the church and the state led to the perception of the church as corrupt and greedy by many members of the intelligentsia . Many peasants , while highly religious , also viewed the church unfavorably . Respect for religion did not extend to the local priests . The church owned a significant portion of Russia 's land , and this was a bone of contention -- land ownership was a big factor in the Russian Revolution of 1917 .   The Nazi attack on the Soviet Union in 1941 induced Stalin to enlist the Russian Orthodox Church as an ally to arouse Russian patriotism against foreign aggression . Russian Orthodox religious life experienced a revival : thousands of churches were reopened ; there were 22,000 by the time Nikita Khrushchev came to power . The regime permitted religious publications , and church membership grew .   Khrushchev reversed the regime 's policy of cooperation with the Russian Orthodox Church . Although it remained officially sanctioned , in 1959 Khrushchev launched an antireligious campaign that was continued in a less stringent manner by his successor , Brezhnev . By 1975 the number of active Russian Orthodox churches was reduced to 7,000 . Some of the most prominent members of the Russian Orthodox hierarchy and some activists were jailed or forced to leave the church . Their place was taken by docile clergy who were obedient to the state and who were sometimes infiltrated by KGB agents , making the Russian Orthodox Church useful to the regime . It espoused and propagated Soviet foreign policy and furthered the russification of non-Russian Christians , such as Orthodox Ukrainians and Belarusians .   The regime applied a different policy toward the Ukrainian Autocephalous Orthodox Church and the Belarusian Autocephalous Orthodox Church . Viewed by the government as very nationalistic , both were suppressed , first at the end of the 1920s and again in 1944 after they had renewed themselves under German occupation . The leadership of both churches was decimated ; large numbers of priests were shot or sent to labor camps , and members of their congregations were harassed and persecuted .   The Georgian Orthodox Church was subject to a somewhat different policy and fared far worse than the Russian Orthodox Church . During World War II , however , it was allowed greater autonomy in running its affairs in return for calling its members to support the war effort , although it did not achieve the kind of accommodation with the authorities that the Russian Orthodox Church had . The government reimposed tight control over it after the war . Out of some 2,100 churches in 1917 , only 200 were still open in the 1980s , and it was forbidden to serve its adherents outside the Georgian Republic . In many cases , the regime forced the Georgian Orthodox Church to conduct services in Old Church Slavonic instead of in the Georgian language .   Policy towards Catholicism and protestantism ( edit )   The Soviet government 's policies toward the Catholic Church were strongly influenced by Soviet Catholics ' recognition of an outside authority as head of their church . As a result of World War II , millions of Catholics ( including Greco - Catholics ) became Soviet citizens and were subjected to new repression . Also , in the three republics where most of the Catholics lived , the Lithuanian SSR , the Byelorussian SSR and the Ukrainian SSR , Catholicism and nationalism were closely linked . Although the Roman Catholic Church was tolerated in Lithuania , large numbers of the clergy were imprisoned , many seminaries were closed , and police agents infiltrated the remainder . The anti-Catholic campaign in Lithuania abated after Stalin 's death , but harsh measures against the church were resumed in 1957 and continued through the Brezhnev era .   Soviet policy was particularly harsh toward the Ukr</t>
  </si>
  <si>
    <t xml:space="preserve">what was the official religion of the soviet union</t>
  </si>
  <si>
    <t xml:space="preserve"> The Soviet Union was established by the Bolsheviks in 1922 , in place of the Russian Empire . At the time of the 1917 Revolution , the Russian Orthodox Church was deeply integrated into the autocratic state , enjoying official status . This was a significant factor that contributed to the Bolshevik attitude to religion and the steps they took to control it . Thus the USSR became the first state to have as one objective of its official ideology the elimination of existing religion , and the prevention of future implanting of religious belief , with the goal of establishing state atheism ( gosateizm ) . Under the doctrine of state atheism in the Soviet Union , there was a `` government - sponsored program of conversion to atheism '' conducted by Communists . The communist regime targeted religions based on State interests , and while most organized religions were never outlawed , religious property was confiscated , believers were harassed , and religion was ridiculed while atheism was propagated in schools . In 1925 the government founded the League of Militant Atheists to intensify the persecution . Accordingly , although personal expressions of religious faith were not explicitly banned , a strong sense of social stigma was imposed on them by the official structures and mass media and it was generally considered unacceptable for members of certain professions ( teachers , state bureaucrats , soldiers ) to be openly religious . </t>
  </si>
  <si>
    <r>
      <rPr>
        <sz val="11"/>
        <color rgb="FF000000"/>
        <rFont val="Calibri"/>
        <family val="0"/>
        <charset val="1"/>
      </rPr>
      <t xml:space="preserve">Dependent and independent variables - wikipedia  Dependent and independent variables  Jump to : navigation , search For dependent and independent random variables , see Independence ( probability theory ) .  In mathematical modeling , statistical modeling and experimental sciences , the values of dependent variables depend on the values of independent variables . The dependent variables represent the output or outcome whose variation is being studied . The independent variables represent inputs or causes , i.e. , potential reasons for variation or , in the experimental setting , the variable controlled by the experimenter . Models and experiments test or determine the effects that the independent variables have on the dependent variables . Sometimes , independent variables may be included for other reasons , such as for their potential confounding effect , without a wish to test their effect directly .  In single variable calculus , a function is typically graphed with the horizontal axis representing the independent variable and the vertical axis representing the dependent variable . In this function , y is the dependent variable and x is the independent variable .    Contents  ( hide )   1 Mathematics   1.1 Statistics   1.2 Modeling   1.3 Simulation     2 Statistics synonyms   3 Other variables   4 Examples   5 See also   6 References      Mathematics ( edit )   In mathematics , a function is a rule for taking an input ( in the simplest case , a number or set of numbers ) and providing an output ( which may also be a number ) . A symbol that stands for an arbitrary input is called an independent variable , while a symbol that stands for an arbitrary output is called a dependent variable . The most common symbol for the input is x , and the most common symbol for the output is y ; the function itself is commonly written y = f ( x ) ( \ displaystyle y = f ( x ) ) .   It is possible to have multiple independent variables and / or multiple dependent variables . For instance , in multivariable calculus , one often encounters functions of the form z = f ( x , y ) ( \ displaystyle z = f ( x , y ) ) , where z is a dependent variable and x and y are independent variables . Functions with multiple outputs are often referred to as vector - valued functions .   In set theory , a function between a set X and a set Y is a subset of the Cartesian product X × Y ( \ displaystyle X \ times Y ) such that every element of X appears in an ordered pair with exactly one element of Y . In this situation , a symbol representing an element of X may be called an independent variable and a symbol representing an element of Y may be called a dependent variable , such as when X is a manifold and the symbol x represents an arbitrary point in the manifold . However , many advanced textbooks do not distinguish between dependent and independent variables .   Statistics ( edit )   In an experiment , a variable , manipulated by an experimenter , is called an independent variable . The dependent variable is the event expected to change when the independent variable is manipulated .   In data mining tools ( for multivariate statistics and machine learning ) , the depending variable is assigned a role as target variable ( or in some tools as label attribute ) , while an independent variable may be assigned a role as regular variable . Known values for the target variable are provided for the training data set and test data set , but should be predicted for other data . The target variable is used in supervised learning algorithms but not in non-supervised learning .   Modeling ( edit )   In mathematical modeling , the dependent variable is studied to see if and how much it varies as the independent variables vary . In the simple stochastic linear model y i = a + b x i + e i ( \ displaystyle y_ ( i ) = a + bx_ ( i ) + e_ ( i ) ) the term y i ( \ displaystyle y_ ( i ) ) is the i value of the dependent variable and x i ( \ displaystyle x_ ( i ) ) is the i value of the independent variable . The term e i ( \ displaystyle e_ ( i ) ) is known as the `` error '' and contains the variability of the dependent variable not explained by the independent variable .   With multiple independent variables , the model is y i = a + b x 1 , i + b x 2 , i + ... + b x n , i + e i ( \ displaystyle y_ ( i ) = a + bx_ ( 1 , i ) + bx_ ( 2 , i ) + ... + bx_ ( n , i ) + e_ ( i ) ) , where n is the number of independent variables .   Simulation ( edit )   In simulation , the dependent variable is changed in response to changes in the independent variables .   Statistics synonyms ( edit )   Depending on the context , an independent variable is sometimes called a `` predictor variable '' , `` regressor '' , `` covariate '' , `` controlled variable '' , `` manipulated variable '' , `` explanatory variable '' , `` exposure variable '' ( see reliability theory ) , `` risk factor '' ( see medical statistics ) , `` feature '' ( in machine learning and pattern recognition ) or `` input variable . '' In econometrics , the term `` control variable '' is usually used instead of `` covariate '' .   Depending on the context , a dependent variable is sometimes called a `` response variable '' , `` regressand '' , `` predicted variable '' , `` measured variable '' , `` explained variable '' , `` experimental variable '' , `` responding variable '' , `` outcome variable '' , `` output variable '' or `` label '' .   `` Explanatory variable '' is preferred by some authors over `` independent variable '' when the quantities treated as independent variables may not be statistically independent or independently manipulable by the researcher . If the independent variable is referred to as an `` explanatory variable '' then the term `` response variable '' is preferred by some authors for the dependent variable .   `` Explained variable '' is preferred by some authors over `` dependent variable '' when the quantities treated as `` dependent variables '' may not be statistically dependent . If the dependent variable is referred to as an `` explained variable '' then the term `` predictor variable '' is preferred by some authors for the independent variable .   Variables may also be referred to by their form : continuous , binary / dichotomous , nominal categorical , and ordinal categorical , among others .   An example is provided by the analysis of trend in sea level by Woodworth ( 1987 ) . Here the dependent variable ( and variable of most interest ) was the annual mean sea level at a given location for which a series of yearly values were available . The primary independent variable was time . Use was made of a covariate consisting of yearly values of annual mean atmospheric pressure at sea level . The results showed that inclusion of the covariate allowed improved estimates of the trend against time to be obtained , compared to analyses which omitted the covariate .   Other variables ( edit )   A variable may be thought to alter the dependent or independent variables , but may not actually be the focus of the experiment . So that variable will be kept constant or monitored to try to minimize its effect on the experiment . Such variables may be designated as either a `` controlled variable '' , `` control variable '' , or `` extraneous variable '' .   Extraneous variables , if included in a Regression analysis as independent variables , may aid a researcher with accurate response parameter estimation , prediction , and goodness of fit , but are not of substantive interest to the hypothesis under examination . For example , in a study examining the effect of post-secondary education on lifetime earnings , some extraneous variables might be gender , ethnicity , social class , genetics , intelligence , age , and so forth . A variable is extraneous only when it can be assumed ( or shown ) to influence the dependent variable . If included in a regression , it can improve the fit of the model . If it is excluded from the regression and if it has a non-zero covariance with one or more of the independent variables of interest , its omission will bias the regression 's result for the effect of that independent variable of interest . This effect is called confounding or omitted variable bias ; in these situations , design changes and / or Controlling for a variable statistical control is necessary .   Extraneous variables are often classified into three types :    Subject variables , which are the characteristics of the individuals being studied that might affect their actions . These variables include age , gender , health status , mood , background , etc .   Blocking variables or experimental variables are characteristics of the persons conducting the experiment which might influence how a person behaves . Gender , the presence of racial discrimination , language , or other factors may qualify as such variables .   Situational variables are features of the environment in which the study or research was conducted , which have a bearing on the outcome of the experiment in a negative way . Included are the air temperature , level of activity , lighting , and the time of day .    In modelling , variability that is not covered by the independent variable is designated by e I ( \ displaystyle e_ ( I ) ) and is known as the `` residual '' , `` side effect '' , `` error '' , `` unexplained share '' , `` residual variable '' , or `` tolerance '' .   Examples ( edit )    Effect of fertilizer on plant growth     In a study measuring the influence of different quantities of fertilizer on plant growth , the independent variable would be the amount of fertilizer used . The dependent variable would be the growth in height or mass of the plant . The controlled variables would be the type of plant , the type of fertilizer , the amount of sunlight the plant gets , the size of the pots , etc .     Effect of drug dosage on symptom severity     In a study of how different doses of a drug affect the severity of symptoms , a researcher could compare the frequency and intensity of symptoms when different doses are administered . Here the independent variable is the dose and the dependent variable is the frequency / intensity of symptoms .     Effect of temperature on pigmentation     In measuring the amount of color removed from beetroot samples at different temperatures , temperature is the independent variable and amount of pigment removed is the dependent variable .    See also ( edit )    Abscissa   Ordinate   Blocking ( statistics )    References ( edit )    Jump up ^ Hastings , Nancy Baxter . Workshop calculus : guided exploration with review . Vol. 2 . Springer Science &amp; Business Media , 1998 . p. 31   ^ Jump up to : Carlson , Robert . A concrete introduction to real analysis . CRC Press , 2006 . p. 183   ^ Jump up to : Stewart , James . Calculus . Cengage Learning , 2011 . Section 1.1   Jump up ^ Anton , Howard , Irl C. Bivens , and Stephen Davis . Calculus Single Variable . John Wiley &amp; Sons , 2012 . Section 0.1   Jump up ^ Larson , Ron , and Bruce Edwards . Calculus . Cengage Learning , 2009 . Section 13.1   Jump up ^ Hrbacek , Karel , and Thomas Jech . Introduction to Set Theory , Revised and Expanded . Vol. 220 . Crc Press , 1999 . p. 26   Jump up ^ For instance , a Google Books search for `` independent variable '' on Mar 18 , 2015 brought up 0 hits in the following advanced textbooks :   Munkres , James R. Topology : a first course . Vol. 23 . Englewood Cliffs , NJ : Prentice - Hall , 1975 .   Hungerford , Thomas . Abstract algebra : an introduction . Cengage Learning , 2012 .   Abbott , Stephen . Understanding analysis . Springer Science &amp; Business Media , 2010 .     Jump up ^ http://onlinestatbook.com/2/introduction/variables.html   Jump up ^ Random House Webster 's Unabridged Dictionary . Random House , Inc. 2001 . Page 534 , 971 . ISBN 0 - 375 - 42566 - 7 .   Jump up ^ English Manual version 1.0 Archived 2014 - 02 - 10 at the Wayback Machine . for RapidMiner 5.0 , October 2013 .   Jump up ^ Dodge , Y. ( 2003 ) The Oxford Dictionary of Statistical Terms , OUP . ISBN 0 - 19 - 920613 - 9 ( entry for `` independent variable '' )   ^ Jump up to : Dodge , Y. ( 2003 ) The Oxford Dictionary of Statistical Terms , OUP . ISBN 0 - 19 - 920613 - 9 ( entry for `` regression '' )   Jump up ^ Gujarati , Damodar N. ; Porter , Dawn C. ( 2009 ) . `` Terminology and Notation '' . Basic Econometrics ( Fifth international ed . ) . New York : McGraw - Hill . p. 21 . ISBN 978 - 007 - 127625 - 2 .   Jump up ^ Wooldridge , Jeffrey ( 2012 ) . Introductory Econometrics : A Modern Approach ( Fifth ed . ) . Mason , OH : South - Western Cengage Learning . pp. 22 -- 23 . ISBN 978 - 1 - 111 - 53104 - 1 .   Jump up ^ Last , John M. , ed. ( 2001 ) . A Dictionary of Epidemiology ( Fourth ed . ) . Oxford UP . ISBN 0 - 19 - 514168 - 7 .   Jump up ^ Everitt , B.S. ( 2002 ) . The Cambridge Dictionary of Statistics ( 2nd ed . ) . Cambridge UP . ISBN 0 - 521 - 81099 - X .   Jump up ^ Woodworth , P.L. ( 1987 ) . `` Trends in U.K. mean sea level '' . Marine Geodesy. 11 ( 1 ) : 57 -- 87 . doi : 10.1080 / 15210608709379549 .   ^ Jump up to : Everitt , B.S. ( 2002 ) Cambridge Dictionary of Statistics , CUP . ISBN 0 - 521 - 81099 - X   ^ Jump up to : Dodge , Y. ( 2003 ) The Oxford Dictionary of Statistical Terms , OUP . ISBN 0 - 19 - 920613 - 9   ^ Jump up to : Ash Narayan Sah ( 2009 ) Data Analysis Using Microsoft Excel , New Delhi . ISBN 978 - 81 - 7446 - 716 - 4        Wikiversity has learning resources about Independent variable         Wikiversity has learning resources about Dependent variable    Retrieved from `` https://en.wikipedia.org/w/index.php?title=Dependent_and_independent_variables&amp;oldid=832794708 '' Categories :   Design of experiments   Regression analysis   Mathematical terminology   Independence ( probability theory )   Hidden categories :   Webarchive template wayback links           Talk                                           Contents                   About Wikipedia                                             Català   Deutsch   Euskara   فارسی   </t>
    </r>
    <r>
      <rPr>
        <sz val="11"/>
        <color rgb="FF000000"/>
        <rFont val="Noto Sans CJK SC"/>
        <family val="2"/>
      </rPr>
      <t xml:space="preserve">한국어   </t>
    </r>
    <r>
      <rPr>
        <sz val="11"/>
        <color rgb="FF000000"/>
        <rFont val="Calibri"/>
        <family val="0"/>
        <charset val="1"/>
      </rPr>
      <t xml:space="preserve">Italiano   Nederlands   Polski   Português   Русский   Simple English   Suomi   தமிழ்   Türkçe   Українська   </t>
    </r>
    <r>
      <rPr>
        <sz val="11"/>
        <color rgb="FF000000"/>
        <rFont val="Noto Sans CJK SC"/>
        <family val="2"/>
      </rPr>
      <t xml:space="preserve">中文  </t>
    </r>
    <r>
      <rPr>
        <sz val="11"/>
        <color rgb="FF000000"/>
        <rFont val="Calibri"/>
        <family val="0"/>
        <charset val="1"/>
      </rPr>
      <t xml:space="preserve">8 more  Edit links   This page was last edited on 28 March 2018 , at 01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</si>
  <si>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 variable that measures an outcome or result of a study</t>
  </si>
  <si>
    <t xml:space="preserve"> In mathematical modeling , statistical modeling and experimental sciences , the values of dependent variables depend on the values of independent variables . The dependent variables represent the output or outcome whose variation is being studied . The independent variables represent inputs or causes , i.e. , potential reasons for variation or , in the experimental setting , the variable controlled by the experimenter . Models and experiments test or determine the effects that the independent variables have on the dependent variables . Sometimes , independent variables may be included for other reasons , such as for their potential confounding effect , without a wish to test their effect directly . </t>
  </si>
  <si>
    <r>
      <rPr>
        <sz val="11"/>
        <color rgb="FF000000"/>
        <rFont val="Calibri"/>
        <family val="0"/>
        <charset val="1"/>
      </rPr>
      <t xml:space="preserve">Crazy Little Thing Called Love - wikipedia  Crazy Little Thing Called Love  For the 2010 Thai romantic - comedy film , see First Love ( 2010 Thai film ) .      `` Crazy Little Thing Called Love ''         Single by Queen     from the album The Game     Released   5 October 1979     Format   Vinyl record ( 7 '' / 12 `` )     Recorded   June - July 1979     Genre   Rockabilly     Length   2 : 42     Label     EMI   Elektra       Songwriter ( s )   Freddie Mercury     Producer ( s )     Queen   Reinhold Mack       Queen singles chronology        `` Love of My Life '' ( 1979 )   `` Crazy Little Thing Called Love '' ( 1979 )   `` Save Me '' ( 1980 )            Audio sample       file   help           `` Crazy Little Thing Called Love '' is a song by the British rock band Queen . Written by Freddie Mercury in 1979 , the track is included on their 1980 album The Game , and also appears on the band 's compilation album , Greatest Hits in 1981 . The song peaked at number two in the UK Singles Chart in 1979 , and became the group 's first number - one single on the Billboard Hot 100 in the US in 1980 , remaining there for four consecutive weeks . It topped the Australian ARIA Charts for seven weeks .   Having composed `` Crazy Little Thing Called Love '' on guitar , Mercury played rhythm guitar while performing the song live , which was the first time he played guitar in concert with Queen . Queen played the song live between 1979 and 1986 , and a live performance of the song is recorded in the albums Queen Rock Montreal , Queen on Fire - Live at the Bowl , Live at Wembley ' 86 and Hungarian Rhapsody : Queen Live in Budapest ' . Since its release , the song has been covered by a number of artists . The song was played live on 20 April 1992 during The Freddie Mercury Tribute Concert , performed by Robert Plant with Queen . The style of the song was described by author Karl Coryat as rockabilly in his 1999 book titled The Bass Player Book .   Contents    1 Composition   2 Music video   3 Live performances   4 Single release   5 Personnel   6 Charts   6.1 Weekly charts   6.2 Year - end charts     7 Certifications   8 Dwight Yoakam version   8.1 Charts     9 See also   10 References   11 External links    Composition ( edit )   As reported by Freddie Mercury in Melody Maker , 2 May 1981 , he composed `` Crazy Little Thing Called Love '' on the guitar in just five to ten minutes .   ' Crazy Little Thing Called Love ' took me five or ten minutes . I did that on the guitar , which I ca n't play for nuts , and in one way it was quite a good thing because I was restricted , knowing only a few chords . It 's a good discipline because I simply had to write within a small framework . I could n't work through too many chords and because of that restriction I wrote a good song , I think .  -- Freddie Mercury  The song was written by Mercury as a tribute to Elvis Presley . Roger Taylor added in an interview that Mercury wrote it in just 10 minutes while lounging in a bath in the Bayerischer Hof Hotel in Munich during one of their extensive Munich recording sessions . Mercury took it to the studio shortly after writing it and presented it to Taylor and John Deacon . The three of them , with their then new producer Reinhold Mack , recorded it at Musicland Studios in Munich . The entire song was reportedly recorded in less than half an hour ( although Mack says it was six hours ) . Having written `` Crazy Little Thing Called Love '' on guitar and played an acoustic rhythm guitar on the record , for the first time ever Mercury played guitar in concerts , for example at Live Aid at Wembley Stadium , London in 1985 .   Music video ( edit )   The music video for the song was filmed at Trillion Studios in September 1979 and directed by Dennis De Vallance involving four dancers and a floor of hands . An alternate version was included on the Days Of Our Lives DVD and Blu - ray releases .   Live performances ( edit )   In the immediate aftermath of the single the band embarked on a mini UK tour entitled the Crazy Tour .   Whenever the song was played live , the band added a solid rock ending that extended the under - three - minute track to over five minutes , with May and Mercury providing additional guitars and vocals . An example of this is on the CD / DVD Set Live at Wembley ' 86 , where the song runs over six minutes .   Single release ( edit )   The `` Crazy Little Thing Called Love '' single hit number two in the UK Singles Chart in 1979 , and became the first US number - one hit for the band , topping the Billboard Hot 100 for four weeks . It was knocked out of the top spot on this chart by Pink Floyd 's `` Another Brick in the Wall , Part II '' . The song also topped the Australian ARIA charts for seven consecutive weeks from 1 March to 12 April 1980 . The UK release had `` We Will Rock You ( live ) '' as the b - side and America , Australia , Canada had `` Spread Your Wings ( live ) '' .   Personnel ( edit )       This article needs additional citations for verification . Please help improve this article by adding citations to reliable sources . Unsourced material may be challenged and removed . ( December 2017 ) ( Learn how and when to remove this template message )      Freddie Mercury -- lead and backing vocals , acoustic guitar , handclaps   Brian May -- electric guitar , backing vocals , handclaps   Roger Taylor -- drums , backing vocals , handclaps   John Deacon -- bass guitar , handclaps    Although Mercury would play an acoustic - electric twelve - string Ovation Pacemaker 1615 guitar and later on an electric six - string Fender Telecaster , both owned by May , in the studio he recorded it with a six - string acoustic with external mics. Mercury also played the original guitar solo on a version which has been lost .   Charts ( edit )      Weekly charts ( edit )     Chart ( 1979 -- 80 )   Peak position     Australia ( Kent Music Report )       Austria ( Ö3 Austria Top 40 )   9     Belgium ( Ultratop 50 Flanders )       Canada Top Singles ( RPM )       Germany ( Official German Charts )   13     Ireland ( IRMA )       Mexico       Netherlands ( Dutch Top 40 )       Netherlands ( Single Top 100 )       Norway ( VG - lista )   8     New Zealand ( Recorded Music NZ )       South Africa ( Springbok Radio )       Switzerland ( Schweizer Hitparade )   5     UK Singles ( Official Charts Company )       US Billboard Hot 100       US Adult Contemporary ( Billboard )   17         Year - end charts ( edit )     Chart ( 1979 )   Rank     UK   25       Chart ( 1980 )   Rank     Australia       Canada       New Zealand   10     US Billboard Hot 100   6              Certifications ( edit )     Region   Certification   Certified units / Sales     Australia ( ARIA )   Platinum   70,000     Netherlands ( NVPI )   Gold   100,000     United Kingdom ( BPI )   Gold   500,000     United States ( RIAA )   Platinum   2,000,000      sales figures based on certification alone shipments figures based on certification alone      Dwight Yoakam version ( edit )     `` Crazy Little Thing Called Love ''         Single by Dwight Yoakam     from the album Last Chance for a Thousand Years : Dwight Yoakam 's Greatest Hits from the 90 's     B - side   `` Let 's Work Tegether '' / `` Doin ' What I Did ''     Released   19 May 1999     Format   CD single     Genre   Country     Length   2 : 22     Label   Reprise     Songwriter ( s )   Freddie Mercury     Producer ( s )   Pete Anderson     Dwight Yoakam singles chronology        `` These Arms '' ( 1998 )   `` Crazy Little Thing Called Love '' ( 1999 )   `` Thinking About Leaving '' ( 1999 )        American country music singer Dwight Yoakam included a cover of the song on his 1999 album Last Chance for a Thousand Years : Dwight Yoakam 's Greatest Hits from the 90 's . Yoakam 's version was released as a single . It debuted at number 65 on the US Billboard `` Hot Country Singles &amp; Tracks '' chart for the week of 1 May 1999 , and peaked at number 12 on the US country singles charts that year . It was also used in a television commercial for clothing retailer Gap at the time of the album 's release . The music video was directed by Yoakam . This version appears in the movie The Break - Up ( 2006 ) , starring Vince Vaughn and Jennifer Aniston .   Charts ( edit )     Chart ( 1999 )   Peak position     Canada Adult Contemporary ( RPM )   19     Canada Country Tracks ( RPM )       UK Singles Chart   35     US Billboard Hot 100   64     US Hot Country Songs ( Billboard )   12       Year - end chart ( 1999 )   Rank     Canada Country Tracks ( RPM )   22     US Country Songs ( Billboard )   64     See also ( edit )    List of Billboard Hot 100 number - one singles of 1980    References ( edit )    Jump up ^ Crouse , Richard ( 1998 ) . Who Wrote The Book Of Love ? . Doubleday Canada . ISBN 978 - 0385257329 .   Jump up ^ Bogdanov , Vladimir ( 2003 ) . All Music Guide to Country : The Definitive Guide to Country Music . Backbeat Books . p. 368 . ISBN 978 - 0879307608 .   Jump up ^ Bret , David ( 2014 ) . Freddie Mercury : An Intimate Biography . Lulu.com . p. 88 . ISBN 978 - 1291811087 .   Jump up ^ `` Billboard Hot 100 Chart History for Crazy Little Thing Called Love by Queen '' . Song-database.com . Retrieved 14 October 2016 .   ^ Jump up to : Whitburn , Joel ( 2006 ) . The Billboard Book of Top 40 Hits . Billboard Books   ^ Jump up to : Roberts , David ( 2006 ) . British Hit Singles &amp; Albums . London : Guinness World Records Limited   ^ Jump up to : Kent , David ( 1993 ) ( doc ) . Australian Chart Book 1970 -- 1992 . Australian Chart Book , St Ives , N.S.W   ^ Jump up to : Lights ! Action ! Sound ! It 's That Crazy Little Thing Called Queen Circus Magazine . Retrieved 29 June 2011   Jump up ^ Stephen Thomas Erlewine ( 30 October 2007 ) . `` Queen Rock Montreal -- Queen Songs , Reviews , Credits '' . AllMusic . Retrieved 14 October 2016 .   Jump up ^ `` Queen `` Live At Wembley 1986 / Live At Wembley Stadium '' album and song lyrics `` . Ultimatequeen.co.uk . Retrieved 14 October 2016 .   Jump up ^ `` Queen `` The Freddie Mercury Tribute Concert '' video and song lyrics `` . Ultimatequeen.co.uk . Retrieved 14 October 2016 .   Jump up ^ Coryat , Karl ( 1999 ) . The Bass Player Book . San Francisco : Backbeat Books . p. 59 .   Jump up ^ `` Queen Interviews -- Freddie Mercury -- 05 - 02 - 1981 -- Melody Maker -- Queen Archives : Freddie Mercury , Brian May , Roger Taylor , John Deacon , Interviews , Articles , Reviews '' . Queen Archives . Retrieved 14 October 2016 .   Jump up ^ Queen interview : Brian May on Crazy Little Thing Called Love on YouTube Absolute Radio . Retrieved 18 December 2011   Jump up ^ ROGER SPEAKS : COLOGNE AUDIO PRESS KIT BrianMay.com . Retrieved 29 June 2011   Jump up ^ Billboard 18 Jul 1980 p. 33 . Billboard . Retrieved 29 June 2011   Jump up ^ `` Interview with Reinhold Mack , Esq '' . iZotope .   Jump up ^ Crazy Little Thing Called Love UltimateQueen . Retrieved 29 June 2011   Jump up ^ `` May confirms Mercury played solo '' . Guitar &amp; Bass .   Jump up ^ `` Australian ( David Kent ) Weekly Single Charts from 1980 '' . Retrieved 18 March 2018 .   Jump up ^ `` Austriancharts.at -- Queen -- Crazy Little Thing Called Love '' ( in German ) . Ö3 Austria Top 40 .   Jump up ^ `` Ultratop.be -- Queen -- Crazy Little Thing Called Love '' ( in Dutch ) . Ultratop 50 .   Jump up ^ `` Top RPM Singles : Issue 9499a . '' RPM . Library and Archives Canada . Retrieved 18 March 2018 .   Jump up ^ `` Offiziellecharts.de -- Queen -- Crazy Little Thing Called Love '' . GfK Entertainment Charts .   Jump up ^ `` The Irish Charts -- Search Results -- Crazy Little Thing Called Love '' . Irish Singles Chart .   Jump up ^ `` Nederlandse Top 40 -- week 47 , 1979 '' ( in Dutch ) . Dutch Top 40   Jump up ^ `` Dutchcharts.nl -- Queen -- Crazy Little Thing Called Love '' ( in Dutch ) . Single Top 100 .   Jump up ^ `` Norwegiancharts.com -- Queen -- Crazy Little Thing Called Love '' . VG - lista .   Jump up ^ `` Charts.nz -- Queen -- Crazy Little Thing Called Love '' . Top 40 Singles .   Jump up ^ `` SA Charts 1965 - 1989 Songs C-D '' . Rock Africa Rock Lists . Retrieved 2 June 2018 .   Jump up ^ `` Swisscharts.com -- Queen -- Crazy Little Thing Called Love '' . Swiss Singles Chart .   Jump up ^ `` Official Singles Chart Top 100 '' . Official Charts Company .   Jump up ^ `` Queen Chart History ( Hot 100 ) '' . Billboard .   Jump up ^ `` Queen Chart History ( Adult Contemporary ) '' . Billboard . Retrieved 18 March 2018 .   Jump up ^ `` Top Singles 1979 '' . Music Week . London , England : Spotlight Publications . 22 December 1979 . p. 27 .   Jump up ^ Kent , David ( 1993 ) . Australian Chart Book 1970 -- 1992 ( doc ) format = requires url = ( help ) . Australian Chart Book , St Ives , N.S.W. ISBN 0 - 646 - 11917 - 6 .   Jump up ^ `` Item Display - RPM - Library and Archives Canada '' . www.collectionscanada.gc.ca .   Jump up ^ `` Top Selling Singles of 1980 The Official New Zealand Music Chart '' . Nztop40.co.nz. 31 December 1980 . Retrieved 14 October 2016 .   Jump up ^ `` Pop Singles '' Billboard 20 December 1980 : TIA - 10   Jump up ^ `` British single certifications -- Queen -- Crazy Little Thing Called Love '' . British Phonographic Industry . Retrieved 19 August 2012 . Select singles in the Format field . Select Gold in the Certification field . Type Crazy Little Thing Called Love in the `` Search BPI Awards '' field and then press Enter .   Jump up ^ `` American single certifications -- Queen -- Crazy Little Thing Called Love '' . Recording Industry Association of America . Retrieved 19 August 2012 . If necessary , click Advanced , then click Format , then select Single , then click SEARCH .   Jump up ^ Erlewine , Stephen Thomas . `` Last Chance for a Thousand Years review '' . Allmusic . Retrieved 4 June 2009 .   Jump up ^ `` Top RPM Adult Contemporary : Issue 8469 . '' RPM . Library and Archives Canada . 30 August 1999 . Retrieved 7 July 2013 .   Jump up ^ `` Top RPM Country Tracks : Issue 8364 . '' RPM . Library and Archives Canada . 16 August 1999 . Retrieved 7 July 2013 .   Jump up ^ `` Dwight Yoakam Chart History ( Hot 100 ) '' . Billboard .   Jump up ^ `` Dwight Yoakam Chart History ( Hot Country Songs ) '' . Billboard .   Jump up ^ `` RPM Top 100 Country Tracks of 1999 '' . RPM. 13 December 1999 . Retrieved 7 July 2013 .   Jump up ^ `` Best of 1999 : Country Songs '' . Billboard . Prometheus Global Media . 1999 . Retrieved 7 July 2013 .    External links ( edit )    Official YouTube videos : original music video ( VEVO ) on YouTube , Live at the Bowl , Queen + Paul Rodgers , at Freddie Mercury Tribute Concert ( with Robert Plant )   Lyrics at Queen official website   Song analysis ( www.queensongs.info )   Lyrics of this song at MetroLyrics      Queen songs       Discography       Queen     `` Keep Yourself Alive ''   `` Liar ''       Queen II     `` Seven Seas of Rhye ''       Sheer Heart Attack     `` Killer Queen '' / `` Flick of the Wrist ''   `` Now I 'm Here ''   `` Lily of the Valley ''   `` Stone Cold Crazy ''       A Night at the Opera     `` Bohemian Rhapsody ''   `` You 're My Best Friend ''   `` Love of My Life ''       A Day at the Races     `` Somebody to Love ''   `` Tie Your Mother Down ''   `` Teo Torriatte ( Let Us Cling Together ) ''   `` Long Away ''   `` Good Old - Fashioned Lover Boy ''       News of the World     `` We Are the Champions '' / `` We Will Rock You ''   `` Spread Your Wings ''   `` It 's Late ''       Jazz     `` Bicycle Race '' / `` Fat Bottomed Girls ''   `` Do n't Stop Me Now ''   `` Jealousy ''   `` Mustapha ''       Live Killers     `` Love of My Life '' ( Live )   `` We Will Rock You '' ( Live )       The Game     `` Crazy Little Thing Called Love ''   `` Save Me ''   `` Play the Game ''   `` Another One Bites the Dust ''   `` Need Your Loving Tonight ''       Flash Gordon     `` Flash ''       Hot Space     `` Under Pressure '' ( with David Bowie )   `` Body Language ''   `` Las Palabras de Amor ''   `` Calling All Girls ''   `` Staying Power ''   `` Back Chat ''       The Works     `` Radio Ga Ga ''   `` I Want to Break Free ''   `` It 's a Hard Life ''   `` Hammer to Fall ''       A Kind of Magic     `` One Vision ''   `` A Kind of Magic ''   `` Princes of the Universe ''   `` Friends Will Be Friends ''   `` Pain Is So Close to Pleasure ''   `` Who Wants to Live Forever ''   `` One Year of Love ''       The Miracle     `` I Want It All ''   `` Breakthru ''   `` The Invisible Man ''   `` Scandal ''   `` The Miracle ''       Innuendo     `` Innuendo ''   `` I 'm Going Slightly Mad ''   `` Headlong ''   `` I Ca n't Live with You ''   `` The Show Must Go On ''   `` These Are the Days of Our Lives ''           Made in Heaven     `` Heaven for Everyone ''   `` A Winter 's Tale ''   `` I Was Born to Love You ''   `` Too Much Love Will Kill You ''   `` Let Me Live ''   `` You Do n't Fool Me ''       Queen Rocks     `` No - One but You ( Only the Good Die Young ) '' / `` Tie Your Mother Down ''       Greatest Hits III     `` Under Pressure ( Rah Mix ) ''       Non-album singles     `` Thank God It 's Christmas ''   `` Another One Bites the Dust ( Small Soldiers Remix ) ''   `` We Will Rock You '' ( with Five )   `` We Are the Champions '' ( with Robbie Williams )   `` Flash ( Vanguard Mix ) ''   `` Another One Bites the Dust ( The Miami Project Remixes ) ''   `` Bohemian Rhapsody '' ( with The Muppets )       Other songs     `` See What a Fool I 've Been ''   `` Death on Two Legs ''   `` Lazing on a Sunday Afternoon ''   `` I 'm in Love with My Car ''   `` ' 39 ''   `` Sweet Lady ''   `` Seaside Rendezvous ''   `` The Prophet 's Song ''   `` Good Company ''   `` Sheer Heart Attack ''   `` Is This the World We Created ... ? ''   `` Ride the Wild Wind ''   `` Delilah ''   `` Made in Heaven ''   `` Mother Love ''   `` Let Me in Your Heart Again ''   `` Love Kills ''   `` There Must Be More To Life Than This ''                         Dwight Yoakam singles     Guitars , Cadillacs , Etc. , Etc .     `` Honky - Tonk Man ''   `` Guitars , Cadillacs ''   `` It Wo n't Hurt ''       Hillbilly Deluxe     `` Little Sister ''   `` Little Ways ''   `` Please , Please Baby ''   `` Always Late with Your Kisses ''       Buenas Noches from a Lonely Room     `` Streets of Bakersfield '' ( With Buck Owens )   `` I Sang Dixie ''   `` I Got You ''   `` Buenas Noches from a Lonely Room ( She Wore Red Dresses ) ''       Just Lookin ' for a Hit     `` Long White Cadillac ''       If There Was a Way     `` Turn It On , Turn It Up , Turn Me Loose ''   `` You 're the One ''   `` Nothing 's Changed Here ''   `` It Only Hurts When I Cry ''   `` The Heart That You Own ''   `` Send a Message to My Heart '' ( With Patty Loveless )       Honeymoon in Vegas Soundtrack     `` Suspicious Minds ''       This Time     `` Ai n't That Lonely Yet ''   `` A Thousand Miles from Nowhere ''   `` Fast as You ''   `` Try Not to Look So Pretty ''   `` Pocket of a Clown ''       Gone     `` Nothing ''   `` Gone ( That 'll Be Me ) ''   `` Sorry You Asked ? ''   `` Heart of Stone ''       Under the Covers     `` Claudette ''   `` Baby Do n't Go '' ( With Sheryl Crow )       A Long Way Home     `` Things Change ''   `` These Arms ''       Last Chance for a Thousand Years : Dwight Yoakam 's Greatest Hits from the 90 's     `` Crazy Little Thing Called Love ''   `` Thinking About Leaving ''       Tomorrow 's Sounds Today     `` What Do You Know About Love ''   `` I Want You to Want Me ''   `` I Was There '' ( With Buck Owens )       Inside Traxx 2002     `` Sitting Pretty ''       Population Me     `` The Back of Your Hand ''   `` The Late Great Golden State ''       Blame the Vain     `` Intentional Heartache ''   `` Blame the Vain ''   `` I Wanna Love Again ''       Dwight Sings Buck     `` Close Up the Honky Tonks ''       Non-album singles     `` Who 'll Stop the Rain ''      Retrieved from `` https://en.wikipedia.org/w/index.php?title=Crazy_Little_Thing_Called_Love&amp;oldid=865517342 '' Categories :   Queen ( band ) songs   1979 songs   1979 singles   1999 singles   Number - one singles in Australia   RPM Top Singles number - one singles   Dutch Top 40 number - one singles   Single Top 100 number - one singles   Number - one singles in New Zealand   Billboard Hot 100 number - one singles   Dwight Yoakam songs   Elvis Presley tributes   Songs written by Freddie Mercury   EMI Records singles   Reprise Records singles   Alvin and the Chipmunks songs   Rockabilly songs   Song recordings produced by Reinhold Mack   Song recordings produced by Pete Anderson   Elektra Records singles   Hollywood Records singles   Hidden categories :   Pages using citations with format and no URL   Use British English from July 2011   Use dmy dates from January 2018   Articles with hAudio microformats   Articles needing additional references from December 2017   All articles needing additional references   Singlechart usages for Austria   Singlechart usages for Flanders   Singlechart usages for Canadatopsingles   Singlechart usages for Germany2   Singlechart usages for Ireland2   Singlechart called without artist   All articles with unsourced statements   Articles with unsourced statements from March 2018   Singlechart usages for Dutch40   Singlechart called without song   Singlechart usages for Dutch100   Singlechart usages for Norway   Singlechart usages for New Zealand   Singlechart usages for Switzerland   Singlechart usages for UK   Singlechart usages for Billboardhot100   Singlechart usages for Billboardadultcontemporary   Certification Table Entry usages for Australia   Articles with unsourced statements from September 2012   Certification Table Entry usages for Netherlands   Certification Table Entry usages for United Kingdom   Certification Table Entry usages for United States   Singlechart usages for Canadaadultcontemporary   Singlechart usages for Canadacountry   Singlechart usages for Billboardcountrysongs           Talk                                           Contents                   About Wikipedia                                           Bosanski   Deutsch   Español   فارسی   Français   Hrvatski   Bahasa Indonesia   Italiano   עברית   Lietuvių   Magyar   Македонски   Nederlands   </t>
    </r>
    <r>
      <rPr>
        <sz val="11"/>
        <color rgb="FF000000"/>
        <rFont val="Noto Sans CJK SC"/>
        <family val="2"/>
      </rPr>
      <t xml:space="preserve">日本 語   </t>
    </r>
    <r>
      <rPr>
        <sz val="11"/>
        <color rgb="FF000000"/>
        <rFont val="Calibri"/>
        <family val="0"/>
        <charset val="1"/>
      </rPr>
      <t xml:space="preserve">Norsk   Norsk nynorsk   Polski   Português   Русский   Sicilianu   Suomi   Svenska   Українська  14 more  Edit links   This page was last edited on 24 October 2018 , at 12 : 11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</si>
  <si>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wrote crazy little thing called love original artist</t>
  </si>
  <si>
    <t xml:space="preserve"> `` Crazy Little Thing Called Love '' is a song by the British rock band Queen . Written by Freddie Mercury in 1979 , the track is included on their 1980 album The Game , and also appears on the band 's compilation album , Greatest Hits in 1981 . The song peaked at number two in the UK Singles Chart in 1979 , and became the group 's first number - one single on the Billboard Hot 100 in the US in 1980 , remaining there for four consecutive weeks . It topped the Australian ARIA Charts for seven weeks . </t>
  </si>
  <si>
    <t xml:space="preserve">The Chase ( US Game Show ) - Wikipedia  The Chase ( US Game Show )       The Chase         Genre   Game show     Based on   The Chase     Presented by   Brooke Burns     Starring   Mark Labbett     Narrated by   Shawn Parr     Country of origin   United States     Original language ( s )   English     No. of seasons       No. of episodes   51     Production     Executive producer ( s )     Bob Boden   Michael Kelpie   Martin Scott       Running time   42 -- 44 minutes     Production company ( s )   ITV Studios America     Release     Original network   Game Show Network     Original release   August 6 , 2013 ( 2013 - 08 - 06 ) -- December 11 , 2015 ( 2015 - 12 - 11 )     Chronology     Related shows     The Chase ( UK )   The Chase Australia       External links     Website     Production website     The Chase is an American television quiz show based on the British program of the same name . The show premiered on August 6 , 2013 , on Game Show Network ( GSN ) . It is hosted by Brooke Burns , and features Mark Labbett ( nicknamed `` The Beast '' ) as the `` chaser '' .   The American version of the show follows the same general format as the original UK version , but with teams of three contestants instead of four . The game is a quiz competition in which contestants attempt to win money by challenging a quiz show genius known as the chaser . Each contestant participates in an individual `` chase '' called the Cash Builder , in which they attempt to answer as many questions as possible in 60 seconds to earn as much money as possible to contribute to a prize fund for the team . The contestant must answer enough questions to stay ahead of the chaser on the gameboard ; otherwise they lose their winnings for that round . The contestants who successfully complete their individual chases without being caught advance to the Final Chase , in which they answer questions as a team playing for an equal share of the prize fund accumulated throughout the episode .   The Chase received positive critical reception ; Burns and Labbett earned positive reviews for their roles , and one critic praised the series for avoiding a slow pace in gameplay . Both the series and Burns received Daytime Emmy Award nominations ; the series was nominated in 2014 for Outstanding Game Show , and Burns two years later for Outstanding Game Show Host . Each lost to Jeopardy ! and Craig Ferguson ( host of Celebrity Name Game ) respectively .   Contents    1 Gameplay   1.1 Cash Builder and individual chases   1.2 The Final Chase     2 Production   3 Reception   3.1 Critical reception   3.2 Ratings     4 Merchandise   5 References   6 External links    Gameplay ( edit )   Cash Builder and individual chases ( edit )  Screenshot illustrating how an individual chase appears on - screen ; a contestant has selected the higher $90,000 offer and is thus six correct answers away from banking the money , while the chaser , represented by the red arrow , is two spaces behind .  Three new contestants compete on each episode as a team . In the first round , each contestant in turn wins money for their team by answering as many questions correctly as possible during a one - minute rapid - fire round , entitled the `` Cash Builder '' . Each correct answer in this round adds $5,000 to the bank ; during celebrity episodes , contestants start with $5,000 already in the bank . At the end of the Cash Builder , the contestant participates in a key element of the show called a `` chase '' . In the chase , the chaser and the contestant each answer questions ; the contestant starts with an advantage , and the chaser attempts to catch up . The contestant 's goal is to answer enough questions correctly to move the earned winnings along the gameboard into the team bank without being caught by the chaser , whose job is to catch them by capitalizing on their mistakes .   The chaser starts eight spaces away from the bank . The contestant has the option of starting five steps away from the bank , meaning that they must answer five questions correctly without being caught to bank the money and continue to the next round . Before the chase starts , the chaser will make two offers to the contestant : one offer will be to play for a lower amount , but start one step closer to the bank , meaning that they will have to answer one less question correctly ; the other offer will be to play for a higher amount , but start one step further away from the bank . On rare occasions , if the contestant chooses the higher offer , the chaser may escalate the stakes by offering a `` super offer '' for an even higher amount . In this case , the contestant must answer seven questions correctly without being caught , meaning that the contestant needs to answer every question in that round ( if the chaser does so ) .   After the contestant decides for which amount to play , the prize money is displayed on the gameboard . The contestant and chaser are presented with the same multiple choice question , and each locks in their answer , which can not then be changed ; the other has five seconds to answer after them , otherwise they are locked out and do not advance on the gameboard . For each question the contestant answers correctly , the prize money shown on the gameboard moves one step closer to the team bank . Similarly , the chaser moves one step closer to the contestant 's prize money with each correct answer . Further questions are asked until the contestant reaches the end of the board ( thus banking the prize money ) , or the chaser catches the contestant , eliminating them from the game . No movement is made by the contestant or the chaser if an incorrect answer is provided or if they are locked out by the time limit .   After all three contestants have played a Cash Builder round followed by a chase , the contestants who were not caught by the chaser advance to the Final Chase , with the team bank set to the total that they won in their Cash Builder rounds . If all three contestants fail to win their individual chases , the team selects one contestant to play the Final Chase alone for a total of $15,000 ( $5,000 per contestant ) . During celebrity episodes , contestants who are caught leave with $5,000 for their respective charities .   The Final Chase ( edit )   The Final Chase is played on a gameboard . The team receives a head start of one space for each member who advanced to this round . During the commercial break , the team chooses between two sets of questions , labeled `` A '' and `` B '' . The chaser plays the other set . The contestants have two minutes to answer as many questions as possible . After a question is asked , answers must be instantaneous , and contestants are only permitted to respond or pass a question after first ringing in . If a contestant rings in but another contestant answers , the answer is treated as wrong even if it was correct . If there is only one contestant in the Final Chase , then he or she does not ring in . Each question answered correctly within the time limit moves the team one space ahead on the board .   After time expires , the chaser is given two minutes to catch the team by correctly answering a new series of questions , with each correct answer moving him one space along the board . If the chaser answers incorrectly or passes , the clock is stopped briefly and the team is given a chance to answer the question , which they may confirm among themselves before answering . A correct answer pushes the chaser back one space , or moves the team ahead by one if he has not moved on to the gameboard . An incorrect answer provides no movement for the chaser at all . Regardless of the outcome , the clock begins running again and the chaser continues to answer questions . If the chaser runs out of time before catching the team , the team splits the banked money equally , but if he catches them before time expires , the team leaves with no money . During celebrity episodes , if the chaser catches the team before time runs out , the team leaves with $15,000 divided equally .   Production ( edit )  Brooke Burns , host of The Chase  The Chase originated in the United Kingdom , premiering on ITV in 2009 . As the series became increasingly popular in the UK , Fox ordered two pilot episodes in April 2012 to be taped in London for consideration to be added to the network 's U.S. programming lineup . Bradley Walsh , presenter of the British version , was featured as the show 's host , while UK chaser Mark Labbett ( nicknamed `` The Beast '' , which is `` la bête '' in French ) and Jeopardy ! champion Brad Rutter were the chasers .   After Fox passed up the opportunity to add the series to its lineup , Game Show Network ( GSN ) , in conjunction with ITV Studios America , picked up the series with an eight - episode order on April 9 , 2013 , and announced Brooke Burns as the show 's host and Labbett as the chaser on May 29 . Dan Patrick had originally been considered as the host . The first season premiered on August 6 , 2013 . Even though the show had not yet premiered at the time , the network ordered a second season of eight episodes on July 1 , 2013 , which premiered on November 5 . Citing the series ' status as a `` ratings phenom '' , GSN eventually announced plans to renew it for a third season , which premiered in the summer of 2014 . During the third season , the series also premiered its first celebrity edition with celebrity contestants playing for charity . GSN proceeded to renew the series for a fourth season before the end of season three ; this new season began airing January 27 , 2015 . After the seventh episode of the season , the series went on another hiatus ; new episodes from the fourth season resumed airing July 16 , 2015 . No new episodes have aired since the season four finale , which aired December 11 , 2015 .   Reception ( edit )   Critical reception ( edit )   The Chase was generally well received by critics . Michael Tyminski of Manhattan Digest reviewed the series positively , calling it `` a breath of fresh air '' and praising Burns and Labbett in their respective roles . Tyminski added that while each question 's level of difficulty is not always on par with those on other quiz shows such as Jeopardy ! , the show avoids a `` painfully slow pace '' . Similarly , John Teti of The A.V. Club called the show a `` pretty good adaptation '' of its UK counterpart . While he preferred the British version of the show , saying that it had `` a more varied cast and stronger production values '' , Teti felt that the American version `` still holds its own . '' The Chase was also ranked ninth on Douglas Pucci 's ( of TV Media Insights ) list of best new television shows of 2013 .   The Chase was one of two GSN originals ( the other being The American Bible Challenge ) to be honored at the 41st Daytime Emmy Awards in 2014 with an Emmy nomination for Outstanding Game Show ; Jeopardy ! was the eventual winner . Two years later , Burns received an Emmy nomination at the 43rd Daytime Emmy Awards for Outstanding Game Show Host , losing to Craig Ferguson of Celebrity Name Game .   Ratings ( edit )   The Chase became one of the highest rated original programs in GSN 's history . The series debuted to 511,000 total viewers during its premiere while maintaining 90 % of its audience with 461,000 total viewers during the second episode airing that night . On January 28 , 2014 , The Chase set a new series high for total viewers and adults 18 -- 49 , with 827,000 and 234,000 viewers respectively . Although the season three premiere fell in the ratings from its series high , earning 494,000 viewers with only 73,000 in the 18 -- 49 demographic , the premiere of the fourth season saw a sizeable rise over the previous season 's premiere , earning 749,000 total viewers .   Merchandise ( edit )   On December 18 , 2013 , Barnstorm Games released a mobile version of the game for iOS and Android . The only differences between the app and the show are that four choices are presented for questions in the Cash Builder and the Final Chase rounds and that no Final Chase is played if all players are caught in their individual chases . The app features Labbett ( referred to by his `` Beast '' nickname ) as a simulated chaser and can be played by up to four people .   References ( edit )    ^ Jump up to : Kondology , Amanda ( June 18 , 2013 ) . `` GSN Announces Premiere of ' The Chase ' on Tuesday , August 6 at 9PM '' . TV by the Numbers ( Press release ) . Zap2it . Archived from the original on October 18 , 2016 . Retrieved June 19 , 2013 .   ^ Jump up to : The Chase . Season 3 . Episode 10 . November 11 , 2014 . Game Show Network .   ^ Jump up to : Tyminski , Michael ( August 8 , 2013 ) . `` Into Quizzers ? If So , The Chase Will Catch Your Fancy '' . Manhattan Digest . Archived from the original on March 3 , 2016 . Retrieved July 28 , 2014 .   Jump up ^ The Chase . Season 3 . Episode 5 . August 5 , 2014 . Game Show Network .   ^ Jump up to : The Chase . Season 3 . Episode 8 . August 26 , 2014 . Game Show Network .   Jump up ^ The Chase . Season 3 . Episode 6 . August 12 , 2014 . Game Show Network .   Jump up ^ Genzlinger , Neil ( November 21 , 2013 ) . `` Challenging Questions on Tap '' . The New York Times . Archived from the original on February 15 , 2017 . Retrieved February 14 , 2017 .   Jump up ^ The Chase . Season 4 . Episode 2 . February 3 , 2015 . Game Show Network .   Jump up ^ Daniels , Colin ( May 12 , 2012 ) . `` Bradley Walsh to film The Chase US pilot '' . Digital Spy . Hearst Magazines UK . Archived from the original on November 11 , 2016 . Retrieved July 21 , 2014 .   Jump up ^ Mansour , Joe ( November 5 , 2015 ) . `` Meet the Chasers : Mark Labbett '' . Radio Times . Archived from the original on December 20 , 2016 . Retrieved March 2 , 2017 .   Jump up ^ Kanter , Jake ( April 19 , 2012 ) . `` ITVS takes The Chase to US with Fox Game Show Pilot '' . Broadcast . Archived from the original on March 3 , 2016 . Retrieved July 21 , 2014 . ( Subscription required ( help ) ) .   Jump up ^ Kondology , Amanda ( April 9 , 2013 ) . `` GSN Greenlights The Chase and Minute to Win It + Unveils Robust Development Slate During New York City Upfront '' . TV by the Numbers ( Press release ) . Zap2it . Archived from the original on October 18 , 2016 . Retrieved June 19 , 2013 .   Jump up ^ Morabito , Andrea ( April 9 , 2013 ) . `` Upfronts 2013 : GSN Orders Quiz Show The Chase '' . Broadcasting &amp; Cable . NewBay Media , LLC . Archived from the original on October 2 , 2013 . Retrieved June 21 , 2013 .   Jump up ^ `` GSN Announces Brooke Burns as Host of New Original Game Show The Chase '' ( Press release ) . GSN Corporate . May 29 , 2014 . Archived from the original on August 8 , 2014 . Retrieved August 4 , 2014 .   Jump up ^ The Deadline Team ( May 27 , 2013 ) . `` Brooke Burns to Host GSN 's The Chase '' . Deadline Hollywood . PMC . Archived from the original on July 22 , 2015 . Retrieved June 22 , 2015 .   Jump up ^ `` GSN Renews Quiz Show The Chase Prior to August 6th Premiere '' ( Press release ) . GSN Corporate . July 1 , 2013 . Archived from the original on September 24 , 2014 . Retrieved July 5 , 2013 .   Jump up ^ `` Season Two of The Chase Premieres on Tuesday , November 5 at 8 P.M. ET / PT '' ( Press release ) . GSN Corporate . October 14 , 2013 . Archived from the original on September 24 , 2014 . Retrieved January 28 , 2014 .   Jump up ^ `` GSN Renews Ratings Phenom The Chase for Third Season '' ( Press release ) . GSN Corporate . March 18 , 2014 . Archived from the original on September 24 , 2014 . Retrieved May 1 , 2014 .   Jump up ^ `` GSN Premieres Third Season of Daytime Emmy Nominated Series The Chase on Tuesday , July 8 at 8 PM ET / PT '' ( Press release ) . GSN Corporate . June 4 , 2014 . Archived from the original on September 24 , 2014 . Retrieved June 11 , 2014 .   Jump up ^ `` GSN 's Emmy - Nominated Hit Series The Chase Returns November 11 with First - Ever Celebrity Episode '' ( Press release ) . GSN Corporate . October 7 , 2014 . Archived from the original on March 15 , 2017 . Retrieved November 8 , 2014 .   Jump up ^ Bibel , Sara ( August 21 , 2014 ) . `` The Chase Renewed for Season Four &amp; It Takes a Church Renewed for Season Two by GSN '' . TV by the Numbers ( Press release ) . Zap2it . Archived from the original on February 16 , 2017 . Retrieved August 21 , 2014 .   Jump up ^ Bibel , Sara ( January 8 , 2015 ) . `` The Chase Season 4 to Premiere on Tuesday , January 27 on GSN '' . TV by the Numbers ( Press release ) . Zap2it . Archived from the original on October 18 , 2016 . Retrieved January 8 , 2015 .   Jump up ^ Kondolojy , Amanda ( June 3 , 2015 ) . `` The Chase Returns to GSN with Fresh Episodes Thursday Nights Beginning July 16th at 8PM '' . TV by the Numbers ( Press release ) . Zap2it . Archived from the original on October 18 , 2016 . Retrieved June 3 , 2015 .   Jump up ^ The Chase . Season 4 . Episode 20 . December 11 , 2015 . Game Show Network .   ^ Jump up to : Teti , John ( November 4 , 2013 ) . `` GSN Game Show The Chase to Return with More Dick - Related Questions than Ever '' . The A.V. Club . The Onion . Archived from the original on May 11 , 2016 . Retrieved July 28 , 2014 .   Jump up ^ Pucci , Douglas ( December 23 , 2013 ) . `` The Best of 2013 ( Part Two ) '' . TV Media Insights . Cross MediaWorks . Archived from the original on October 11 , 2014 . Retrieved October 3 , 2014 .   Jump up ^ Associated Press ( May 1 , 2014 ) . `` Daytime Emmy Nominations Announced : The Young and the Restless Leads with 26 '' . New York Daily News . Daily News , L.P. Archived from the original on March 26 , 2016 . Retrieved June 9 , 2014 .   Jump up ^ `` The Winners for the 41st Annual Daytime Emmy ® Awards '' ( PDF ) . National Academy of Television Arts &amp; Sciences . June 22 , 2014 . Archived from the original ( PDF ) on August 6 , 2016 . Retrieved June 22 , 2014 .   Jump up ^ Variety Staff ( March 24 , 2016 ) . `` Young &amp; Restless Leads Daytime Emmy Noms but Ceremony Wo n't Be on TV '' . Variety . Archived from the original on August 12 , 2016 . Retrieved November 28 , 2016 .   Jump up ^ `` The 43rd Annual Daytime Emmy Award Winners '' ( PDF ) . Los Angeles : National Academy of Television Arts and Sciences . May 1 , 2016 . Archived from the original ( PDF ) on October 7 , 2016 . Retrieved November 28 , 2016 .   Jump up ^ Bibel , Sara ( August 7 , 2013 ) . `` GSN 's New Series The Chase Delivers Ratings AND Cash Winnings on Its August 6th Debut '' . TV by the Numbers . Zap2it . Archived from the original on June 12 , 2017 . Retrieved July 28 , 2014 .   Jump up ^ Pucci , Douglas ( January 29 , 2014 ) . `` Double - Digit Increases to New Record - Highs for The Chase on GSN '' . TV Media Insights . Cross MediaWorks . Archived from the original on October 8 , 2014 . Retrieved July 28 , 2014 .   Jump up ^ Pucci , Douglas ( July 9 , 2014 ) . `` Modest Return for The Chase on GSN '' . TV Media Insights . Cross MediaWorks . Archived from the original on August 26 , 2014 . Retrieved October 3 , 2014 .   Jump up ^ Kondolojy , Amanda ( January 29 , 2015 ) . `` GSN 's Emmy - Nominated The Chase Sets Premiere Episode Ratings High with Season 4 Debut Tuesday January 27 '' . TV by the Numbers ( Press release ) . Zap2it . Archived from the original on March 15 , 2017 . Retrieved January 29 , 2015 .   Jump up ^ Pucci , Douglas ( January 28 , 2015 ) . `` GSN 's The Chase Delivers Its Most - Viewed Telecast in Nearly One Year '' . TV Media Insights . Cross MediaWorks . Archived from the original on June 8 , 2015 . Retrieved January 29 , 2015 .   ^ Jump up to : Kondolojy , Amanda ( December 19 , 2013 ) . `` New Quiz App from GSN 's The Chase Now Live '' . TV by the Numbers . Zap2it . Archived from the original on March 15 , 2017 . Retrieved July 15 , 2014 .    External links ( edit )    Television portal     Official website   The Chase on IMDb   The Chase ratings at TV by the Numbers              The Chase     International versions     Original series   U.S. version   Australian version       Hosts / presenters     Bradley Walsh ( UK )   Brooke Burns ( U.S. )   Andrew O'Keefe ( Australia )   Tarik Filipović ( Croatia )   Sturla Berg - Johansen ( Norway )   Alexander Bommes ( Germany )       Chasers      Original series     Mark Labbett   Shaun Wallace   Anne Hegerty   Paul Sinha   Jenny Ryan       U.S. version     Mark Labbett       Australian version     Brydon Coverdale   Anne Hegerty   Mark Labbett   Matt Parkinson   Issa Schultz   Shaun Wallace       German version     Holger Waldenberger   Sebastian Jacoby   Sebastian Klussmann   Klaus Otto Nagorsnik   Manuel Hobiger   Thomas Kinne         Retrieved from `` https://en.wikipedia.org/w/index.php?title=The_Chase_(U.S._game_show)&amp;oldid=864196545 '' Categories :   American game shows   Cable game shows   Quiz shows   Game Show Network original programs   Television series by ITV Studios   2010s American television series   American television series based on British television series   2013 American television series debuts   2015 American television series endings   English - language television programs   Hidden categories :   Pages containing links to subscription - only content   Featured articles   Pages using deprecated image syntax   Official website different in Wikidata and Wikipedia           Talk                                           Contents                   About Wikipedia                                           Add links   This page was last edited on 15 October 2018 , at 18 : 32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</si>
  <si>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is the game show the chase still on tv</t>
  </si>
  <si>
    <t xml:space="preserve"> After Fox passed up the opportunity to add the series to its lineup , Game Show Network ( GSN ) , in conjunction with ITV Studios America , picked up the series with an eight - episode order on April 9 , 2013 , and announced Brooke Burns as the show 's host and Labbett as the chaser on May 29 . Dan Patrick had originally been considered as the host . The first season premiered on August 6 , 2013 . Even though the show had not yet premiered at the time , the network ordered a second season of eight episodes on July 1 , 2013 , which premiered on November 5 . Citing the series ' status as a `` ratings phenom '' , GSN eventually announced plans to renew it for a third season , which premiered in the summer of 2014 . During the third season , the series also premiered its first celebrity edition with celebrity contestants playing for charity . GSN proceeded to renew the series for a fourth season before the end of season three ; this new season began airing January 27 , 2015 . After the seventh episode of the season , the series went on another hiatus ; new episodes from the fourth season resumed airing July 16 , 2015 . No new episodes have aired since the season four finale , which aired December 11 , 2015 . </t>
  </si>
  <si>
    <t xml:space="preserve">The Good Doctor ( TV series ) - wikipedia  The Good Doctor ( TV series )  Jump to : navigation , search For the 2013 South Korean TV series on which this series is based , see Good Doctor ( TV series ) .    The Good Doctor         Genre     Medical   Drama       Based on   Good Doctor by Park Jae - bum     Developed by     David Shore       Starring     Freddie Highmore   Nicholas Gonzalez   Antonia Thomas   Beau Garrett   Hill Harper   Richard Schiff   Tamlyn Tomita       Composer ( s )   Dan Romer     Country of origin   United States     Original language ( s )   English     No. of seasons       No. of episodes   10 ( list of episodes )     Production     Executive producer ( s )     David Shore   Seth Gordon   Daniel Dae Kim   Erin Gunn   David Kim   Sebastian Lee   Mike Listo   Thomas L. Moran   Lindsay Goffman       Producer ( s )     Ron French   Freddie Highmore   Konshik Yu   Min Soo Kee   Shawn Williamson       Location ( s )   Vancouver , British Columbia Surrey , British Columbia     Camera setup   Single - camera     Running time   41 -- 43 minutes     Production company ( s )     Shore Z Productions   3AD   EnterMedia   Sony Pictures Television   ABC Studios       Distributor   Sony Pictures Television     Release     Original network   ABC     Picture format   720p ( HDTV )     Audio format   5.1 surround sound     Original release   September 25 , 2017 ( 2017 - 09 - 25 ) -- present ( present )     Chronology     Related shows   Good Doctor     External links     Official website   abc.go.com/shows/the-good-doctor     The Good Doctor is an American medical - drama television series based on the 2013 award winning South Korean series of the same name . Daniel Dae Kim , the actor , first noticed the series and bought the rights for his production company . He began adapting the series and eventually shopped it to CBS , his home network in 2015 . CBS decided against creating a pilot . Because Kim felt so strongly about the series , he bought back the rights from CBS . Eventually , Sony Pictures Television and Kim worked out a deal and brought on David Shore , creator of the Fox hit medical drama , House , to develop the series .   The show is produced by Sony Pictures Television and ABC Studios , in association with production companies Shore Z Productions , 3AD , and Entermedia . David Shore serves as showrunner and Daniel Dae Kim is an executive producer for the show .   The series stars Freddie Highmore as Shaun Murphy , a young surgical resident with autism and savant syndrome at San Jose St. Bonaventure Hospital . Antonia Thomas , Nicholas Gonzalez , Beau Garrett , Hill Harper , Richard Schiff , and Tamlyn Tomita also star in the show . The series received a put pilot commitment at ABC after a previous attempted series did not move forward at CBS Television Studios in 2015 ; The Good Doctor was ordered to series in May 2017 . On October 3 , 2017 , ABC picked up the series for a full season of 18 episodes . The series is primarily filmed in Vancouver , British Columbia .   The Good Doctor began airing on ABC on September 25 , 2017 . It has received mixed to positive reviews from critics , with particular praise given to Highmore 's performance , and strong television ratings .     Contents  ( hide )   1 Premise   2 Cast and characters   2.1 Main   2.2 Recurring   2.3 Notable guests     3 Episodes   4 Production   4.1 Development   4.2 Casting   4.3 Filming   4.4 Music     5 Release   5.1 Broadcast   5.2 Marketing     6 Reception   6.1 Ratings   6.2 Critical response   6.3 Accolades     7 References   8 External links      Premise ( edit )   The series follows Shaun Murphy , a young surgeon with autism and savant syndrome from a small town , Casper , Wyoming , where he had a troubled childhood . He relocates to join the prestigious surgical department at San Jose St. Bonaventure Hospital .   Cast and characters ( edit )   Main ( edit )    Freddie Highmore as Shaun Murphy : A surgical resident with autism and savant syndrome . His savant abilities include near - photographic recall and the ability to note minute details and changes . He is portrayed in flashbacks to his teen years by Graham Verchere .   Nicholas Gonzalez as Neil Melendez : Attending Cardiothoracic surgeon in charge of surgical residents . He is also engaged to Jessica Preston .   Antonia Thomas as Claire Browne : A surgical resident who forms a special connection with Shaun .   Chuku Modu as Jared Kalu : A surgical resident from a wealthy family .   Beau Garrett as Jessica Preston : The hospital in - house attorney and Vice President of Risk Management . She is the granddaughter of the hospital founder and a friend of Dr. Glassman . She is also engaged to Dr. Melendez .   Irene Keng as Elle McLean : A resident ( appeared only in the pilot )   Hill Harper as Marcus Andrews : Chief of surgery and board member .   Richard Schiff as Aaron Glassman : President of the San Jose St. Bonaventure Hospital , who has been a mentor and good friend of Shaun since he was 14 .   Tamlyn Tomita as Allegra Aoki : Chairman and Vice President of the foundation that controls the hospital .    Recurring ( edit )    Dylan Kingwell as Steve Murphy : Shaun 's younger brother ( in flashbacks ) . He also portrays Evan Gallico , a boy in the present that resembles Shaun 's brother and is suffering from stage 4 Osteosarcoma .   Paige Spara as Lea , Shaun 's neighbor and love interest .   Eric Winter as Matt Coyle : A young doctor who charms the hospital 's staff , until he gets in an awkward position with one of them .    Notable guests ( edit )    Jasika Nicole as Carly   Eve Gordon as Nurse Fryday   Christina Chang as Dr. Audrey Lim   Marsha Thomason as Isabel Andrews : Marcus ' wife .    Episodes ( edit )     No .   Title   Directed by   Written by   Original air date   U.S. viewers ( millions )       `` Burnt Food ''   Seth Gordon   David Shore   September 25 , 2017 ( 2017 - 09 - 25 )   11.22     On the way to begin his surgical residency at San Jose St. Bonaventure Hospital , Dr. Shaun Murphy witnesses an airport sign fall and shatter glass onto a young boy . Another doctor is first on the scene and begins applying pressure to the child 's neck . Shaun tells him that he 's pressing on the wrong part of the neck for a child . With his unique ability to visualize the internal body and using improvised methods and tools , Shaun is able to stabilize the boy . On the way to the hospital , Shaun notices that the boy 's vitals have changed . Hospital staff are alerted to the arrival of the boy . Shaun tries to tell the doctors about the boy 's vitals , stating that he needs an echo - cardiogram . The doctors disagree and begin surgery . While operating , something goes wrong and Claire Browne , a surgical resident , recalls Shaun mentioning an echo . Thanks to Shaun 's diagnosis , the boy 's life is saved . Meanwhile , in a hospital board meeting , Dr. Aaron Glassman , president of the hospital , tries to convince the board to hire Shaun , despite his autism . Flashbacks give us a picture of Shaun 's childhood and his motivation for becoming a doctor .       `` Mount Rushmore ''   Mike Listo   David Shore   October 2 , 2017 ( 2017 - 10 - 02 )   10.93     Shaun arrives late to the hospital on his first full day . Dr. Melendez is doing rounds with Dr. Claire Brown and Dr. Jared Kalu . Melendez calls out Shaun for arriving late . Rounds are interrupted when a nurse tells them a consult is needed in the emergency room . A middle aged woman , Stephanie , has been brought in with abdominal pain . Looking at the scan , Shaun says she has a Sarcoma - a malignant tumor . Dr. Melendez assigns Claire as his number two for the surgery while giving Shaun `` scut work '' - all the work that residents hate doing . On the operating table , the doctors find the tumor is much bigger than expected and has encased all of her arteries . Looking at biopsy results , the residents find out that she is suffering from Leiomyosarcoma , making surgery seemingly impossible . Shaun `` s ability to visualize the internal organs allows him to figure out that removing one of her kidneys would allow a better look , enough to view and possibly remove the mass . To Claire 's dismay , Dr. Kalu suggests Shaun 's idea to his attending ; getting the credit for the idea . Meanwhile , Shuan 's attention to detail in his `` scut '' work gets him into trouble . Instead of releasing patients ready for discharge , Shaun rechecks them , and orders additional tests . Upon learning this , Melendez assigns Nurse Freydey as Shaun 's `` boss '' for the day . Later , in looking at a young girls test results ( she was sent home ) , Shaun realizes what 's really wrong and races to her home . The parents are angry that he 's bothering them after midnight and at first refuse to let him in . Shaun insists he will not leave before seeing their daughter . His diagnosis is correct , and they must rush her to the hospital for surgery to save her life .       `` Oliver ''   John Dahl   Bill Rotko   October 9 , 2017 ( 2017 - 10 - 09 )   10.69     Shaun and Claire fly to San Francisco Municipal Hospital to get a patient a liver . They ca n't fly on their way back due to fog and are forced to use a police escort . Problems keep coming one after the other ; first , the liver 's temperature went above the required maximum , forcing them to have a sudden stop at a local store , where they cool it by submerging it in slush . As they proceed with their journey , Shaun discovers that the liver has a clot . With only two hours of viability left , the duo decide to perform an operation on the way in order to remove the clot and flash the left lobe , to protect it from the ice bath . Back at San Jose St. Bonaventure Hospital , Chuck , the recipient of the liver , is discovered to have alcohol in his system ; a likelihood that he might be moved to the bottom of the list . Chuck later confesses that he actually took a drink on his daughter 's graduation . In order to protect its reputation and the future patients , the hospital decides to move Chuck to the bottom of the list . To their dismay , Shaun and Claire arrive back , only to find out that the liver has to be taken to another patient in another hospital .       `` Pipes ''   Steven DePaul   Thomas L. Moran   October 16 , 2017 ( 2017 - 10 - 16 )   10.60     Through an ultrasound , an expectant woman 's baby is diagnosed with a tumor at his tail bone ; the mom has Antiphospholipid syndrome , making surgery a high risk . Dr. Melendez suggests termination of the pregnancy but Shaun interjects by suggesting clotting pre-operatively with an infusion of unfractionated heparin . Things are further complicated when the woman and eventually her husband refuse to terminate the baby . During surgery , there is a complication ; a blood clot at the artery in her heart . Dr. Kalu has an idea that they should stop her heart and put her on a bypass machine for the duration of the surgery ; that way she wo n't have an heart attack , which turns out to be successful and the doctors reveal she 's carrying a baby boy . With a patient needing a boil lanced , Dr. Melendez assigns Shaun and Dr. Browne on the case , as a punishment for being late . The patient turns out to be a pornographic actress ; she does n't have a boil but a large Bartholin gland abscess and they prep her for surgery the following day . They successfully drain the abscess but discover that she has a Perineal myoma underneath . The fabroid tumor is wrapped around the nerve that facilitates feeling in her genitals . Therefore , the doctors have to remove the tumor but they have to sever the nerve ; hence , losing all feeling in her genitals . Shaun comes up the idea of grafting the distal end of the pudendal nerve to the branch of the femoral cutaneous nerve from her inner thigh ; this will lead to her losing feeling in her thigh while preserving feeling in her genitals .     5   `` Point Three Percent ''   Larry Teng   David Hoselton   October 23 , 2017 ( 2017 - 10 - 23 )   10.39     Shaun notices a young boy with an indubitable resemblance to his deceased brother Steve , forming a bond with him . The boy 's name is actually Evan and was brought to the hospital by his parents for reportedly breaking an arm ; unbeknownst to Evan , he is in fact suffering from stage 4 Osteosarcoma . Shaun later suspects that he might have been misdiagnosed with cancer but indeed was suffering from Langerhans cell histiocytosis . In order not to give both Evan and his parents false hopes , Shaun decides to lie , attempting to perform a bone marrow aspiration , but he is caught red - handed by the parents . Subsequently , Evan starts coughing out blood , sending him to the OR . While on the operating table , Dr. Neil Menendez and Dr. Claire Browne discover that the cancer had metastasized , undoubtable proof that he is indeed suffering with terminal cancer . The other doctors are trying to find a prognosis of a 55 - year old man , brought to the hospital by his estranged son , with an allergy causing him to have convulsions . Dr. Browne later finds out that the man is suffering from Echinococcus , a cyst form of tapeworms . Saddened by Evan 's fate , which Evan has in fact known about the whole time , Shaun reads Evan the final few pages of To Kill a Mockingbird , a book of Steve 's that he never finished reading before he died .     6   `` Not Fake ''   Michael Patrick Jann   Simran Baidwan   October 30 , 2017 ( 2017 - 10 - 30 )   10.60     Shaun and the rest of the residents are working the graveyard shift when numerous casualties from a wedding bus crash come in . Among the victims are a woman with severe , visible burns , on whom Dr. Kalu tries an experimental procedure , and a young man with a damaged leg who can either have it amputated , or have an artificial bone inserted . The relative newness of the latter procedure causes a conflict between the man 's parent and his soon - to - be bride .     7   `` 22 Steps ''   David Straiton   Johanna Lee   November 13 , 2017 ( 2017 - 11 - 13 )   10.14     Shaun encounters Liam , an autistic patient brought in to San Jose St. Bonaventure Hospital . Having to face prejudice from the young man 's parents , Dr. Melendez defends him for the first time and acknowledges his exceptional abilities . On Dr. Glassman 's directive , Claire continues her therapy sessions in order to curb her guilt over the death of a patient she inadvertently caused in the previous episode . On the other hand , Dr. Kalu gets a 73 - year - old man with severe chest pains thus needing urgent medical attention and a pacemaker but his desire is to die ; in order to give him hope on life , Dr. Kalu does everything he can to have him accept treatment , to no avail in which the latter finally lets him sign the DNR .     8   `` Apple ''   Nestor Carbonell   David Renaud   November 20 , 2017 ( 2017 - 11 - 20 )   9.97     While shopping at a grocery mart for apples , a robbery takes place . With Shaun 's communication limitations , he puts the lives of two customers on a first date at risk , leading to a young woman getting shot . Shaun 's neighbor Lea hugs him after he admits that he made a mistake with someone getting hurt . During surgery , Dr. Lim questions Claire 's ability to not let her emotions get the better of her because of a racist patient . This leads to a fight between the two with Dr. Lim ordering Claire to leave the operating room . Claire puts her emotions in check to save the life of the racist patient much to the satisfaction and delight of Dr. Lim .     9   `` Intangibles ''   Bronwen Hughes   Karen Struck   November 27 , 2017 ( 2017 - 11 - 27 )   9.25     The team takes on the case of a young boy from the Congo who has severe congenital heart anomalies ; Murphy 's latest encounter with his neighbor Lea has him confused . He takes flirting lessons from Dr. Browne and notes and charts what he sees in regards to the `` flirting trifecta '' . Meanwhile , Dr. Browne along with a lab tech search for a tissue sample from a woman with possible throat cancer .     10   `` Sacrifice ''   Michael Patrick Jann   Lloyd Gilyard Jr .   December 4 , 2017 ( 2017 - 12 - 04 )   9.03     In Glassman 's office Shaun sees the therapist hired to help him with in - home visits . He reluctantly agrees to meet with her , but changes his mind after meeting a new patient , Bobby Ato , who convinces him to stop letting people tell him what to do . Ato is a champion gamer , who is in St. Bonaventure for surgery to repair torn ligaments in his left arm . After an MRI , cancer is discovered , making an additional surgery much more complicated and results in doubt . Shaun avoids meeting with his therapist by sleeping in the hospital custodian 's closet at night . Finally , a confrontation with Glassman in the hospital lobby leads to a meltdown by Shaun , causing him to strike Glassman in the face and run out of the hospital . Meanwhile , Claire runs into an uncomfortable situation with a new doctor , Dr. Matt Coyle , who makes unwanted sexual advances toward her . After telling Jared about it , he confronts the doctor and physically threatens him . As a result , Jared is fired . Later , Dr. Melendez and Jessica have dinner with her father . In a tense situation , Melendez criticizes Mr. Preston as living off his money instead of contributing to society . When Preston offers to pay for their wedding so Jessica can quit her job and start a family , an angry Melendez calls him a `` parasite . '' The next day Melendez apologizes to Jessica for his remarks and learns that she does n't want to have children .     11   `` Islands Part One ''   TBA   TBA   January 8 , 2018 ( 2018 - 01 - 08 )   TBD     12   `` Islands Part Two ''   TBA   TBA   January 15 , 2018 ( 2018 - 01 - 15 )   TBD     Production ( edit )   Development ( edit )   In May 2014 , CBS Television Studios began development on an American remake of the hit South Korean medical drama Good Doctor with Daniel Dae Kim as producer . Kim explained the appeal of adapting the series as `` something that can fit into a recognizable world , with a breadth of characters that can be explored in the long run '' . The story of a pediatric surgeon with autism was to be set in Boston and projected to air in August 2015 . However , CBS did not pick up the project and it moved to Sony Pictures Television , with a put pilot commitment from ABC in October 2016 . The series is developed by David Shore , who is executive producing alongside Kim , Sebastian Lee , and David Kim . ABC officially ordered the series to pilot in January 2017 .   On May 11 , 2017 , ABC ordered the show to series as a co-production with Sony Pictures Television and ABC Studios , and it was officially picked up for a full season of 18 episodes on October 3 , 2017 .   Casting ( edit )   On February 17 , 2017 , Antonia Thomas was cast as Dr. Claire Browne , a strong - willed and talented doctor who forms a special connection with Shaun . A week later , Freddie Highmore was cast in the lead role as Dr. Shaun Murphy , a young surgeon with autism ; and Nicholas Gonzalez was cast as Dr. Neil Melendez , the boss of the surgical residents at the hospital . The next month , Chuku Modu was cast as resident Dr. Jared Unger ; Hill Harper as head of surgery Dr. Horace Andrews ; Irene Keng as resident Dr. Elle McLean ; and Richard Schiff was cast as Dr. Ira Glassman , President of the San Jose St. Bonaventure Hospital and mentor to Shaun . He was shortly followed by Beau Garrett as hospital board member Jessica Preston and a friend of Dr. Glassman . With the series order in May , Modu 's character was revealed to have changed to Dr. Jared Kalu ; Harper 's character changed to Dr. Marcus Andrews ; and Schiff 's character changed to Dr. Aaron Glassman . In September 2017 , Tamlyn Tomita was promoted to the principal cast as Allegra Aoki .   Filming ( edit )  The Surrey , British Columbia city hall serves as the fictional San Jose St. Bonaventure Hospital in exterior shots .  Production on the pilot took place from March 21 to April 6 , 2017 in Vancouver , British Columbia . Filming for the rest of the season began on July 26 , 2017 , and is set to conclude on March 1 , 2018 . Although The Good Doctor is set in San Jose , California , the real San Jose is rarely seen . In one of those scenes , a helicopter supposedly bound for San Francisco was clearly headed in the wrong direction .   Music ( edit )   Dan Romer serves as the primary composer for the series .   Release ( edit )   Broadcast ( edit )   The Good Doctor began airing on September 25 , 2017 , on ABC in the United States , and on CTV in Canada . Sky Living acquired the broadcast rights for the United Kingdom and Ireland . Seven Network airs the series in Australia. . Wowow , the largest Japanese private satellite and pay - per - view television network in Japan acquired the rights to broadcast the series beginning in April 2018 .   Marketing ( edit )   A full length trailer was released for ABC 's May 2017 Upfront presentation , which / Film 's Ethan Anderton described the concept as feeling like `` House meets Rain Man , that just might be enough to make it interesting '' . However , he questioned `` how long can audiences be entranced by both the brilliance of ( Highmore 's ) character 's savant skills and the difficulties that come from his autism in the workplace . '' Daniel Fienberg of The Hollywood Reporter felt the trailer was `` both kinda progressive and really dated '' . He added , `` Too much felt on - the - nose -- especially Hill Harper as the main character 's detractor and Richard Schiff as his noble defender '' , while also commentating that `` On - the - nose / premise is how you have to trailer a show like this , and maybe spaced out over 43 minutes it wo n't grate . '' Ben Travers and Steve Greene for IndieWire called it `` a serious trailer for a serious subject . The first glimpse of Highmore 's character hints that they 're toeing the line between presenting a thoughtful depiction of his condition and using his perceptive abilities as a kind of secret weapon . '' The trailer had been viewed over 25.4 million times after a week of its release , including over 22 million views on Facebook .   The pilot was screened at ABC 's PaleyFest event on September 9 , 2017 .   Reception ( edit )   Ratings ( edit )     No .   Title   Air date   Rating / share ( 18 -- 49 )   Viewers ( millions )   DVR ( 18 -- 49 )   DVR viewers ( millions )   Total ( 18 -- 49 )   Total viewers ( millions )       `` Burnt Food ''   September 25 , 2017   2.2 / 9   11.22   2.2   7.86   4.4   19.21       `` Mount Rushmore ''   October 2 , 2017   2.2 / 9   10.93   2.1   7.21   4.3   18.12       `` Oliver ''   October 9 , 2017   2.0 / 7   10.69   2.2   7.53   4.2   18.22       `` Pipes ''   October 16 , 2017   2.0 / 8   10.60   2.1   7.34   4.1   17.96     5   `` Point Three Percent ''   October 23 , 2017   1.8 / 7   10.39   2.0   7.10   3.8   17.50     6   `` Not Fake ''   October 30 , 2017   1.9 / 7   10.60   2.0   6.93   3.9   17.51     7   `` 22 Steps ''   November 13 , 2017   1.9 / 7   10.14   1.9   6.92   3.8   17.14     8   `` Apple ''   November 20 , 2017   1.8 / 7   9.97   1.8   6.98   3.6   16.99     9   `` Intangibles ''   November 27 , 2017   1.7 / 7   9.25   1.8   6.66   3.5   15.91     10   `` Sacrifice ''   December 4 , 2017   1.7 / 7   9.03   TBD   TBD   TBD   TBD     The series premiere earned a 2.2 / 9 rating in the 18 - to 49 - year - old demographic , with 11.22 million total viewers , making it the most watched Monday drama debut on ABC in 21 years , since Dangerous Minds in September 1996 , and the highest rated Monday drama in the 18 -- 49 demographic in 8.5 years , since Castle in March 2009 . Factoring live plus seven - day ratings , the pilot was watched by a total of 19.2 million viewers and set a record for DVR viewers with 7.9 million , surpassing the record of 7.67 million set by the pilot of Designated Survivor in 2016 . According to TV Guide 's November 13 - 26 issue , the October 9 episode attracted 18.2 million viewers , beating out both NCIS and The Big Bang Theory for the most viewed primetime show that week .   Critical response ( edit )   The review aggregator website Rotten Tomatoes reports a 55 % approval rating with an average rating of 5.35 / 10 based on 38 reviews . The website 's consensus reads , `` The Good Doctor 's heavy - handed bedside manner undermines a solid lead performance , but under all the emotionally manipulative gimmickry , there 's still plenty of room to improve . '' Metacritic , which uses a weighted average , assigned a score of 53 out of 100 based on 15 critics , indicating `` mixed or average reviews '' .   Giving his first impression of the series ' pilot for TVLine , Matt Webb Mitovich stated , `` The Good Doctor boasts great DNA ... ( and ) has the potential to be a refreshingly thought - provoking hospital drama , based on the buttons pushed in the pilot alone . '' He enjoyed the `` warm dynamic '' of Schiff and Highmore , while describing Thomas ' character as `` our emotional ' in ' to Shaun 's distinct , distant world '' . He noted that `` it takes a while to build up momentum '' , but concluded that `` the very final scene packs quite a punch , as Dr. Murphy unwittingly puts a colleague on notice '' .   The New York Times television critic , James Poniewozik notes in his Critic 's Notebook column , that for the most part the drama is a `` hospital melodrama with whiz - bang medical science , a dash of intra-staff romance and shameless sentimentality . '' Discussing the main characters of Dr. Aaron Glassman ( Richard Schiff ) and Dr. Shaun Murphy ( Freddie Highmore ) , however , Poniewozik writes that `` Mr. Schiff is convincing in the role and Mr. Highmore is striking in his . ''   Speaking of Freddie Highmore 's Golden Globe nomination on Monday , December 11 , 2017 , for his role in The Good Doctor , Laura Bradley , writing for Vanity Fair ( magazine ) says : `` ... Freddie Highmore received the awards recognition that has long and unjustly eluded him ... '' Bradley feels that Highmore 's perfomance has been `` the central key '' to the show 's enormous success and while the show had lukewarm reviews , most critics have praised Highmore 's work .   Accolades ( edit )     Year   Award     Nominee ( s )   Result   Ref .     2018   Golden Globe Awards   Best Actor -- Television Series Drama   Freddie Highmore   Pending       References ( edit )    Jump up ^ http://www.mercurynews.com/2017/11/03/how-san-jose-in-the-good-doctor-compares-to-the-real-thing/   Jump up ^ Koblin , John ( November 19 , 2017 ) . `` How ABC Found a surprise Hit in `` The Good Doctor '' `` . The New York Times . Retrieved December 12 , 2017 .   Jump up ^ Ausiello , Michael ( May 11 , 2017 ) . `` Good Doctor Medical Drama Starring Bates Motel 's Freddie Highmore Ordered to Series at ABC '' . TV Line . Archived from the original on May 12 , 2017 . Retrieved May 11 , 2017 .   ^ Jump up to : Andreeva , Nellie ( February 24 , 2017 ) . `` ' The Good Doctor ' : Freddie Highmore &amp; ' HTGAWM 's Nicholas Gonzalez Cast '' . Deadline.com . Archived from the original on March 1 , 2017 . Retrieved June 3 , 2017 .   ^ Jump up to : The Good Doctor ( @ GoodDoctorABC ) ( August 17 , 2017 ) . `` # TheGoodDoctor cast at their first table read ! # TBT '' ( Tweet ) . Retrieved August 23 , 2017 -- via Twitter .   ^ Jump up to : Andreeva , Nellie ( February 17 , 2017 ) . `` Antonia Thomas Cast In ABC Pilot ' Good Doctor ' ; Bojana Novakovic In CBS ' Instinct ' '' . Deadline.com . Archived from the original on February 24 , 2017 . Retrieved June 3 , 2017 .   ^ Jump up to : Petski , Denise ( March 3 , 2017 ) . `` ' The Good Doctor ' ABC Pilot Casts Chuku Modu '' . Deadline.com . Archived from the original on March 6 , 2017 . Retrieved June 3 , 2017 .   Jump up ^ `` Jessica Preston '' .   ^ Jump up to : Petski , Denise ( March 22 , 2017 ) . `` Beau Garrett Joins ' The Good Doctor ' ABC Pilot ; Sawyer Barth In Fox 's ' Amy 's Brother ' '' . Deadline.com . Archived from the original on April 27 , 2017 . Retrieved June 3 , 2017 .   ^ Jump up to : Petski , Denise ( March 8 , 2017 ) . `` ' The Good Doctor ' : Hill Harper &amp; Irene Keng Join ABC Drama Pilot '' . Deadline.com . Archived from the original on March 13 , 2017 . Retrieved June 3 , 2017 .   Jump up ^ Andreeva , Nellie ( May 16 , 2017 ) . `` ABC Schedule : Primetime Fall 2017 - 2018 '' . Deadline.com . Retrieved June 17 , 2017 .   ^ Jump up to : Petski , Denise ( March 13 , 2017 ) . `` ' The Good Doctor ' : Richard Schiff Cast In ABC Medical Drama Pilot '' . Deadline.com . Archived from the original on March 14 , 2017 . Retrieved June 3 , 2017 .   Jump up ^ `` The Good Doctor : Season 1 Lead Sheet '' ( Press release ) . ABC Press . July 24 , 2017 . Archived from the original on August 2 , 2017 . Retrieved August 2 , 2017 .   ^ Jump up to : Petski , Denise ( September 22 , 2017 ) . `` ' The Good Doctor ' : Tamlyn Tomita Upped To Series Regular On ABC Drama '' . Deadline.com . Archived from the original on September 22 , 2017 . Retrieved September 22 , 2017 .   Jump up ^ `` Paige Spara '' . Internet Movie Database . Retrieved November 28 , 2017 .   Jump up ^ Petski , Denise ( November 9 , 2017 ) . `` ' The Good Doctor ' : Eric Winter Set To Recur On ABC Drama Series '' . Deadline.com . Archived from the original on November 9 , 2017 . Retrieved November 9 , 2017 .   ^ Jump up to : Shore , David ( October 6 , 2017 ) . `` Mount Rushmore '' . The Good Doctor . Event occurs at 42 : 49 . ABC .   Jump up ^ Hipes , Patrick ( October 18 , 2017 ) . `` Marsha Thomason Scrubs In For ' The Good Doctor ' ; Bahram Khosraviani Joins ' The Brave ' '' . Deadline.com . Archived from the original on October 18 , 2017 . Retrieved October 18 , 2017 .   ^ Jump up to : Porter , Rick ( September 26 , 2017 ) . `` ' Big Bang ' and ' Young Sheldon ' adjust up , ' Good Doctor , ' ' DWTS , ' ' The Brave , ' ' Me , Myself &amp; I ' down : Monday final ratings '' . TV by the Numbers . Retrieved September 26 , 2017 .   ^ Jump up to : Porter , Rick ( October 3 , 2017 ) . `` ' Big Bang Theory , ' ' Voice ' adjust up ; ' Good Doctor , ' ' DWTS , ' ' Kevin Can Wait , ' ' The Brave ' &amp; ' Scorpion ' down : Monday final ratings '' . TV by the Numbers . Retrieved October 3 , 2017 .   ^ Jump up to : Porter , Rick ( October 10 , 2017 ) . `` ' Big Bang Theory ' and ' Good Doctor ' adjust up , other CBS shows and ' The Brave ' down : Monday final ratings '' . TV by the Numbers . Retrieved October 10 , 2017 .   ^ Jump up to : Porter , Rick ( October 17 , 2017 ) . `` ' Big Bang , ' ' Voice , ' ' Lucifer , ' ' Me , Myself &amp; I ' adjust up , ABC and ' 9JKL ' down : Monday final ratings '' . TV by the Numbers . Retrieved October 17 , 2017 .   ^ Jump up to : Porter , Rick ( October 24 , 2017 ) . `` ' The Good Doctor ' adjusts down , ' Big Bang Theory ' and ' Voice ' adjust up : Monday final ratings '' . TV by the Numbers . Retrieved October 24 , 2017 .   ^ Jump up to : Porter , Rick ( October 31 , 2017 ) . `` ' Lucifer ' adjusts up , ' Good Doctor ' and ' Dancing With the Stars ' adjust down : Monday final ratings '' . TV by the Numbers . Retrieved October 31 , 2017 .   ^ Jump up to : Porter , Rick ( November 14 , 2017 ) . `` ' The Voice , ' ' Kevin Can Wait , ' ' The Gifted ' adjust up , ' DWTS ' down : Monday final ratings '' . TV by the Numbers . Retrieved November 14 , 2017 .   ^ Jump up to : Porter , Rick ( November 21 , 2017 ) . `` ' Good Doctor , ' ' Dancing with the Stars , ' ' Kevin Can Wait , ' ' Man with a Plan ' adjust down : Monday final ratings '' . TV by the Numbers . Retrieved November 21 , 2017 .   ^ Jump up to : Porter , Rick ( November 29 , 2017 ) . `` ' CMA Country Christmas , ' ' Good Doctor , ' ' Pentatonix Christmas ' adjust down : Monday final ratings '' . TV by the Numbers . Retrieved November 29 , 2017 .   ^ Jump up to : Porter , Rick ( December 5 , 2017 ) . `` ABC , NBC adjust down with football pre-emptions : Monday final ratings '' . TV by the Numbers . Retrieved December 5 , 2017 .   ^ Jump up to : `` '' Shows A-Z - good doctor , the on abc `` '' . The Futon Critic . Retrieved December 16 , 2017 .   Jump up ^ Hyo - won , Lee ( May 22 , 2014 ) . `` Daniel Dae Kim Wants to Bring North Korean Defector Story to Screen ( Exclusive ) '' . The Hollywood Reporter . Archived from the original on September 7 , 2014 . Retrieved August 31 , 2014 .   Jump up ^ `` Daniel Dae Kim to remake ' Good Doctor ' for CBS '' . The Korea Times . August 31 , 2014 . Archived from the original on September 3 , 2014 . Retrieve</t>
  </si>
  <si>
    <t xml:space="preserve">who is the actor that plays the good dr</t>
  </si>
  <si>
    <t xml:space="preserve"> The series stars Freddie Highmore as Shaun Murphy , a young surgical resident with autism and savant syndrome at San Jose St. Bonaventure Hospital . Antonia Thomas , Nicholas Gonzalez , Beau Garrett , Hill Harper , Richard Schiff , and Tamlyn Tomita also star in the show . The series received a put pilot commitment at ABC after a previous attempted series did not move forward at CBS Television Studios in 2015 ; The Good Doctor was ordered to series in May 2017 . On October 3 , 2017 , ABC picked up the series for a full season of 18 episodes . The series is primarily filmed in Vancouver , British Columbia . </t>
  </si>
  <si>
    <t xml:space="preserve">Resource - Based View - wikipedia  Resource - Based View  Jump to : navigation , search  The Resource - Based View ( RBV ) is an economic tool used to determine the strategic resources available to a firm . These resources can be exploited by the firm in order to achieve sustainable competitive advantage . Barney ( 1991 ) formalised this theory , although it was Wernerfelt ( 1984 ) who introduced the idea of resource position barriers being roughly analogous to entry barriers in the positioning school ( see Porter , 1980 ) . RBV proposed that firms are heterogenous because they possess heterogenous resources .     Contents  ( hide )   1 Concept   2 Definitions   2.1 What constitutes a `` resource '' ?   2.2 What constitutes `` competitive advantage '' ?     3 Criticisms   4 Further reading   5 See also   6 References      Concept ( edit )   The key points of the theory are :   1 ) Identify the firm 's potential key resources   2 ) Evaluate whether these resources fulfill the following ( VRIN ) criteria :    Valuable - they enable a firm to implement strategies that improve its efficiency and effectiveness   Rare - not available to other competitors   Imperfectly imitable - not easily implemented by others   Non-substitutable - not able to be replaced by some other non-rare resource    3 ) Care for and protect resources that pass these evaluations   Definitions ( edit )   What constitutes a `` resource '' ? ( edit )   Barney ( 1991 , p101 ) - `` firm resources include all assets , capabilities , organizational processes , firm attributes , information , knowledge , etc. controlled by a firm that enable the firm to conceive of and implement strategies that improve its efficiency and effectiveness ''   Kay ( 1999 ) -- `` Resources are inputs into a firm 's production process , such as capital , equipment , the skills of individual employees , patents , finance , and talented managers . Resources are either tangible or intangible in nature . ''   What constitutes `` competitive advantage '' ? ( edit )   Barney ( 1991 , p102 ) - A firm achieves competitive advantage when it is able to implement a `` value creating strategy not simultaneously being implemented by any current or potential competitors ''   Criticisms ( edit )   Priem and Butler ( 2001 ) made four key criticisms :    The RBV is tautological   Different resource configurations can generate the same value for firms and thus would not be competitive advantage   The role of product markets is underdeveloped in the argument   The theory has limited prescriptive implications    However , Barney ( 2001 ) proposed counter-arguments to these . Further criticisms are :    It is perhaps difficult ( if not impossible ) to find a resource which satisfies all of the Barney 's VRIN criterion .     There is the assumption that a firm can be profitable in a highly competitive market as long as it can exploit advantageous resources , but this may not necessarily be the case . It ignores external factors concerning the industry as a whole ; Porter 's Industry Structure Analysis ought also be considered .    Further reading ( edit )    Peteraf , M.A. ( 1993 ) , `` The cornerstones of competitive advantage : a resource - based view '' . Strategic Management Journal , Vol. 14 , No. 3 , pp. 179 - 191     Porter , M.E. ( 1980 ) , `` Competitive Strategy : Techniques for Analyzing Industries and Competitors '' , New York , NY : Free Press     Rumelt , R.P. ( 1991 ) , `` How much does industry matter ? '' . Strategic Management Journal , Vol. 12 , No. 3 , pp. 167 - 185     Teece , D. , Pisano , G. and Shuen , A. ( 1997 ) , `` Dynamic Capabilities and Strategic Management '' . Strategic Management Journal , Vol. 18 , No. 7 , pp. 509 - 533     Wernerfelt , B. ( 1984 ) , `` A resource - based view of the firm '' . Strategic Management Journal , Vol. 5 , pp. 171 - 180    See also ( edit )   Porter 's Five Forces   Core competences   References ( edit )    Barney , Jay B. ( 1991 ) , `` Firm Resources and Sustained Competitive Advantage '' . Journal of Management , Vol. 17 , No. 1 , pp. 99 - 120     Barney , Jay B. ( 2001 ) , `` Is the resource - based `` view '' a useful perspective for strategic management research ? Yes `` . Academy of Management Review , Vol. 26 , No. 1 , pp. 41 - 55     Priem , R.L. ( 2001 ) Is the Resource - Based ' View ' a Useful Perspective for Strategic Management Research ? Academy of Management Review , 26 , 22 .   Retrieved from `` https://en.wikipedia.org/w/index.php?title=Resource-based_view&amp;oldid=799437966 '' Categories :   Management           Talk                                           Contents                   About Wikipedia                                           Deutsch   Polski   Português   Русский   Edit links   This page was last edited on 7 September 2017 , at 18 : 51 .         About Wikipedia                  </t>
  </si>
  <si>
    <t xml:space="preserve">the resourced based view of the firm (rbv school) is</t>
  </si>
  <si>
    <t xml:space="preserve"> The Resource - Based View ( RBV ) is an economic tool used to determine the strategic resources available to a firm . These resources can be exploited by the firm in order to achieve sustainable competitive advantage . Barney ( 1991 ) formalised this theory , although it was Wernerfelt ( 1984 ) who introduced the idea of resource position barriers being roughly analogous to entry barriers in the positioning school ( see Porter , 1980 ) . RBV proposed that firms are heterogenous because they possess heterogenous resources . </t>
  </si>
  <si>
    <r>
      <rPr>
        <sz val="11"/>
        <color rgb="FF000000"/>
        <rFont val="Calibri"/>
        <family val="0"/>
        <charset val="1"/>
      </rPr>
      <t xml:space="preserve">Myelin - wikipedia  Myelin     Myelin     Structure of simplified neuron in the PNS     Neuron with oligodendrocyte and myelin sheath in the CNS     Details     System   Nervous system     Identifiers     FMA   62977     Anatomical terminology ( edit on Wikidata )     Myelin is a lipid - rich ( fatty ) substance formed in the central nervous system ( CNS ) by glial cells called oligodendrocytes , and in the peripheral nervous system ( PNS ) by Schwann cells . Myelin insulates nerve cell axons to increase the speed at which information ( encoded as an electrical signal ) travels from one nerve cell body to another ( as in the CNS ) or , for example , from a nerve cell body to a muscle ( as in the PNS ) . The myelinated axon can be likened to an electrical wire ( the axon ) with insulating material ( myelin ) around it . However , unlike the plastic covering on an electrical wire , myelin does not form a single long sheath over the entire length of the axon . Rather , each myelin sheath insulates the axon over a single section and , in general , each axon comprises multiple long myelinated sections separated from each other by short gaps . Each myelin sheath is formed by the concentric wrapping of an oligodendrocyte or Schwann cell process around the axon .   More precisely , myelin speeds the transmission of electrical impulses called action potentials along myelinated axons by insulating the axon and reducing axonal membrane capacitance . This results in saltatory conduction whereby the action potential `` jumps '' from one node of Ranvier , over a long myelinated stretch of the axon called the internode , before ' recharging ' at the next node of Ranvier , and so on , until it reaches the axon terminal . Nodes of Ranvier are the short ( ~ 1 micron ) unmyelinated regions of the axon between adjacent long ( ~ 0.2 mm - &gt; 1 mm ) myelinated internodes . Once it reaches the axon terminal , this electrical signal provokes the release of a chemical message or neurotransmitter that binds to receptors on the adjacent post-synaptic cell ( e.g. nerve cell in the CNS or muscle cell in the PNS ) at specialised regions called synapses .   This `` insulating '' role for myelin is essential for normal motor function ( i.e. movement such as walking ) , sensory function ( e.g. hearing , seeing or feeling the sensation of pain ) and cognition ( e.g. acquiring and recalling knowledge ) , as demonstrated by the consequences of disorders that affect it , such as the genetically determined leukodystrophies ; the acquired inflammatory demyelinating disorder , multiple sclerosis ; and the inflammatory demyelinating peripheral neuropathies . Due to its high prevalence , multiple sclerosis , which specifically affects the central nervous system ( brain , spinal cord and optic nerve ) , is the best known disorder of myelin .   Contents    1 Development   2 Species distribution   3 Composition   4 Function   5 Clinical significance   5.1 Demyelination   5.1. 1 Symptoms   5.1. 2 Myelin repair     5.2 Dysmyelination     6 Invertebrate myelin   7 See also   8 References   9 Further reading   10 External links    Development ( edit )   The process of generating myelin is called myelination or myelinogenesis . In the CNS , cells called oligodendrocyte precursor cells ( OPCs ; the precursors of oligodendrocytes ) synthesise myelin , and in so doing , transform into mature myelinating oligodendrocytes . In humans , myelination begins early in the 3rd trimester , although only little myelin is present in either the CNS or the PNS at the time of birth . During infancy , myelination progresses rapidly , with increasing numbers of axons acquiring myelin sheaths . This corresponds with the development of cognitive and motor skills , including language comprehension , speech acquisition , crawling and walking . Myelination continues through adolescence and early adulthood and although largely complete at this time , myelin sheaths can be added in grey matter regions such as the cerebral cortex , throughout life .   Species distribution ( edit )   Myelin is considered a defining characteristic of the jawed vertebrates ( gnathostomes ) , but axons are ensheathed by glial cells in invertebrates , although these glial - wraps are quite different from vertebrate compact myelin , formed , as indicated above , by concentric wrapping of the myelinating cell process multiple times around the axon . Myelin was first described in 1854 by Rudolf Virchow , although it was over a century later , following the development of electron microscopy , that its glial cell origin and its ultrastructure became apparent. .   In vertebrates , not all axons are myelinated . For example , in the PNS , a large proportion of axons are unmyelinated . Instead , they are ensheathed by non-myelinating Schwann cells known as Remak SCs and arranged in Remak bundles . In the CNS , non-myelinated ( or intermittently myelinated axons ; meaning having long non-myelinated regions between myelinated segments ) , intermingle with myelinated ones and are entwined , at least partially , by the processes of another type of glial cell called the astrocyte .   Composition ( edit )  Transmission electron micrograph of a cross-section of a myelinated axon , generated at the Electron Microscopy Facility at Trinity College , Hartford CT Diagram of a myelinated axon in cross-section 1 . Axon 2 . Nucleus of Schwann cell 3 . Schwann cell 4 . Myelin sheath 5 . Neurilemma  CNS myelin differs slightly in composition and configuration from PNS myelin , but both perform the same `` insulating '' function ( see above ) . Being rich in lipid , myelin appears white ; hence , the name given to the `` white matter '' of the CNS . Both CNS white matter tracts ( e.g. the optic nerve , corticospinal tract and corpus callosum ) and PNS nerves ( e.g. the sciatic nerve and the auditory nerve ; which also appear white ) each comprise thousands to millions of axons , largely aligned in parallel . Blood vessels provide the route for oxygen and energy substrates such as glucose to reach these fibre tracts , which also contain other cell types including astrocytes and microglia in the CNS and macrophages in the PNS .   In terms of total mass , myelin comprises approximately 40 % water ; the dry mass comprises between 60 % and 75 % lipid and between 15 % and 25 % protein . Protein content includes myelin basic protein ( MBP ) , which is abundant in the CNS where it plays a critical , non-redundant role in formation of compact myelin ; myelin oligodendrocyte glycoprotein ( MOG ) , which is specific to the CNS ; and proteolipid protein ( PLP , ) which is the most abundant protein in CNS myelin , but only a minor component of PNS myelin . In the PNS , myelin protein zero ( MPZ or P0 ) has a similar role to that of PLP in the CNS in that it is involved in holding together the multiple concentric layers of glial cell membrane that constitute the myelin sheath . The primary lipid of myelin is a glycolipid called galactocerebroside . The intertwining hydrocarbon chains of sphingomyelin strengthen the myelin sheath . Cholesterol , is an essential lipid component of myelin , without which myelin fails to form .   Function ( edit )  Action potential propagation in myelinated neurons is faster than in unmyelinated neurons because of Saltatory conduction .  The main purpose of myelin is to increase the speed at which electrical impulses propagate along the myelinated fiber . In unmyelinated fibers , electrical impulses ( action potentials ) travel as continuous waves , but , in myelinated fibers , they `` hop '' or propagate by saltatory conduction . The latter is markedly faster than the former , at least for axons over a certain diameter . Myelin decreases capacitance and increases electrical resistance across the axonal membrane ( the axolemma ) . It has been suggested that myelin permits larger body size by maintaining agile communication between distant body parts .   Myelinated fibers lack voltage - gated sodium channels along the myelinated internodes , exposing them only at the nodes of Ranvier . Here , they are highly abundant and densely packed . Positively charged sodium ions can enter the axon through these voltage - gated channels , leading to depolarisation of the membrane potential at the node of Ranvier . The resting membrane potential is then rapidly restored due to positively charged potassium ions leaving the axon through potassium channels . The sodium ions inside the axon then diffuse rapidly through the axoplasm ( axonal cytoplasm ) , to the adjacent myelinated internode and ultimately to the next ( distal ) node of Ranvier , triggering the opening of the voltage gated sodium channels and entry of sodium ions at this site . Although , the sodium ions diffuse through the axoplasm rapidly , diffusion is decremental by nature , thus nodes of Ranvier have to be ( relatively ) closely spaced , to secure action potential propagation . The action potential `` recharges '' at consecutive nodes of Ranvier as the axolemmal membrane potential depolarises to approximately + 35 mV . Along the myelinated internode , energy - dependent sodium / potassium pumps , pump the sodium ions back out of the axon and potassium ions back into the axon , to restore the balance of ions between the intracellular ( inside the cell i.e. axon in this case ) and extracellular ( outwith the cell ) fluids .   Whilst the role of myelin as an `` axonal insulator '' is well - established , other functions of myelinating cells are less well known or only recently established . The myelinating cell `` sculpts '' the underlying axon by promoting the phosphorylation of neurofilaments , thus increasing the diameter or thickness of the axon at the internodal regions ; helps cluster molecules on the axolemma ( such as voltage - gated sodium channels ) at the node of Ranvier ; and modulates the transport of cytoskeletal structures and organelles such as mitochondria , along the axon . Recently , evidence came to light to support a role for the myelinating cell in `` feeding '' the axon . In other words , the myelinating cell seems to act as a local ' fueling station ' for the axon , which uses a great deal of energy to restore the normal balance of ions between it and its environment ( see above and ) , following the generation of action potentials .   When a peripheral fiber is severed , the myelin sheath provides a track along which regrowth can occur . However , the myelin layer does not ensure a perfect regeneration of the nerve fiber . Some regenerated nerve fibers do not find the correct muscle fibers , and some damaged motor neurons of the peripheral nervous system die without regrowth . Damage to the myelin sheath and nerve fiber is often associated with increased functional insufficiency .   Unmyelinated fibers and myelinated axons of the mammalian central nervous system do not regenerate .   Some studies have revealed that optic nerve fibers can be regenerated in postnatal rats . This regeneration depends upon two conditions : axonal die - back has to be prevented with appropriate neurotrophic factors , and neurite growth inhibitory components have to be inactivated . These studies may lead to further understanding of nerve fiber regeneration in the central nervous system .   Clinical significance ( edit )   Demyelination ( edit )  Further information : Demyelinating disease  Demyelination is the loss of the myelin sheath insulating the nerves , and is the hallmark of some neurodegenerative autoimmune diseases , including multiple sclerosis , acute disseminated encephalomyelitis , neuromyelitis optica , transverse myelitis , chronic inflammatory demyelinating polyneuropathy , Guillain -- Barré syndrome , central pontine myelinosis , inherited demyelinating diseases such as leukodystrophy , and Charcot - Marie - Tooth disease . Sufferers of pernicious anaemia can also suffer nerve damage if the condition is not diagnosed quickly . Subacute combined degeneration of spinal cord secondary to pernicious anaemia can lead to slight peripheral nerve damage to severe damage to the central nervous system , affecting speech , balance , and cognitive awareness . When myelin degrades , conduction of signals along the nerve can be impaired or lost , and the nerve eventually withers . A more serious case of myelin deterioration is called Canavan disease .   The immune system may play a role in demyelination associated with such diseases , including inflammation causing demyelination by overproduction of cytokines via upregulation of tumor necrosis factor or interferon .  Symptoms ( edit )  Demyelination results in diverse symptoms determined by the functions of the affected neurons . It disrupts signals between the brain and other parts of the body ; symptoms differ from patient to patient , and have different presentations upon clinical observation and in laboratory studies .   Typical symptoms include :    blurriness in the central visual field that affects only one eye , may be accompanied by pain upon eye movement   double vision   loss of vision / hearing   odd sensation in legs , arms , chest , or face , such as tingling or numbness ( neuropathy )   weakness of arms or legs   cognitive disruption , including speech impairment and memory loss   heat sensitivity ( symptoms worsen or reappear upon exposure to heat , such as a hot shower )   loss of dexterity   difficulty coordinating movement or balance disorder   difficulty controlling bowel movements or urination   fatigue   tinnitus   Myelin repair ( edit ) Further information : Remyelination  Research to repair damaged myelin sheaths is ongoing . Techniques include surgically implanting oligodendrocyte precursor cells in the central nervous system and inducing myelin repair with certain antibodies . While results in mice have been encouraging ( via stem cell transplantation ) , whether this technique can be effective in replacing myelin loss in humans is still unknown . Cholinergic treatments , such as acetylcholinesterase inhibitors ( AChEIs ) , may have beneficial effects on myelination , myelin repair , and myelin integrity . Increasing cholinergic stimulation also may act through subtle trophic effects on brain developmental processes and particularly on oligodendrocytes and the lifelong myelination process they support . By increasing oligodendrocyte cholinergic stimulation , AChEIs , and other cholinergic treatments , such as nicotine , possibly could promote myelination during development and myelin repair in older age . Glycogen synthase kinase 3β inhibitors such as lithium chloride have been found to promote myelination in mice with damaged facial nerves . Cholesterol is a necessary nutrient for the myelin sheath , along with vitamin B12 .   Dysmyelination ( edit )   Dysmyelination is characterized by a defective structure and function of myelin sheaths ; unlike demyelination , it does not produce lesions . Such defective sheaths often arise from genetic mutations affecting the biosynthesis and formation of myelin . The shiverer mouse represents one animal model of dysmyelination . Human diseases where dysmyelination has been implicated include leukodystrophies ( Pelizaeus -- Merzbacher disease , Canavan disease , phenylketonuria ) and schizophrenia .   Invertebrate myelin ( edit )   Functionally equivalent myelin - like sheaths are found in several invertebrate taxa including Oligochaete , Penaeid , Palaemonid , and Calanoids . These myelin - like sheaths share several structural features with the sheaths found in vertebrates including multiplicity of membranes , condensation of membrane , and nodes . However , the nodes in vertebrates are annular ; i.e. they encircle the axon . In contrast , nodes found in the sheaths of invertebrates are either annular or fenestrated ; i.e. they are restricted to `` spots . '' It is notable that the fastest recorded conduction speed ( across both vertebrates and invertebrates ) is found in the ensheathed axons of the Kuruma shrimp , an invertebrate , ranging between 90 and 200 m / s ( cf 100 - 120 m / s for the fastest myelinated vertebrate axon . )   See also ( edit )    Lesional demyelinations of the central nervous system   The Myelin Project , project to regenerate myelin   Myelin Repair Foundation , a nonprofit medical research foundation for multiple sclerosis drug discovery .    References ( edit )    Jump up ^ Stassart RM , Möbius W , Nave KA , Edgar JM ( 2018 ) . `` The Axon - Myelin Unit in Development and Degenerative Disease '' . Frontiers in Neuroscience. 12 : 467 . doi : 10.3389 / fnins. 2018.00467 . PMID 30050403 .   Jump up ^ van der Knaap MS , Bugiani M ( September 2017 ) . `` Leukodystrophies : a proposed classification system based on pathological changes and pathogenetic mechanisms '' . Acta Neuropathologica. 134 ( 3 ) : 351 -- 382 . doi : 10.1007 / s00401 - 017 - 1739 - 1 . PMC 5563342 . PMID 28638987 .   Jump up ^ Compston A , Coles A ( October 2008 ) . `` Multiple sclerosis '' . Lancet . 372 ( 9648 ) : 1502 -- 17 . doi : 10.1016 / S0140 - 6736 ( 08 ) 61620 - 7 . PMID 18970977 .   Jump up ^ Lewis RA ( October 2017 ) . `` Chronic inflammatory demyelinating polyneuropathy '' . Current Opinion in Neurology . 30 ( 5 ) : 508 -- 512 . doi : 10.1097 / WCO. 0000000000000481 . PMID 28763304 .   Jump up ^ `` Pediatric Neurologic Examination Videos &amp; Descriptions : Developmental Anatomy '' . library.med.utah.edu . Retrieved 2016 - 08 - 20 .   Jump up ^ Swire M , Ffrench - Constant C ( May 2018 ) . `` Seeing Is Believing : Myelin Dynamics in the Adult CNS '' . Neuron. 98 ( 4 ) : 684 -- 686 . doi : 10.1016 / j. neuron. 2018.05. 005 . PMID 29772200 .   Jump up ^ Hill RA , Li AM , Grutzendler J ( May 2018 ) . `` Lifelong cortical myelin plasticity and age - related degeneration in the live mammalian brain '' . Nature Neuroscience. 21 ( 5 ) : 683 -- 695 . doi : 10.1038 / s41593 - 018 - 0120 - 6 . PMC 5920745 . PMID 29556031 .   Jump up ^ Hughes EG , Orthmann - Murphy JL , Langseth AJ , Bergles DE ( May 2018 ) . `` Myelin remodeling through experience - dependent oligodendrogenesis in the adult somatosensory cortex '' . Nature Neuroscience. 21 ( 5 ) : 696 -- 706 . doi : 10.1038 / s41593 - 018 - 0121 - 5 . PMC 5920726 . PMID 29556025 .   ^ Jump up to : Hartline DK ( May 2008 ) . `` What is myelin ? '' . Neuron Glia Biology . 4 ( 2 ) : 153 -- 63 . doi : 10.1017 / S1740925X09990263 . PMID 19737435 .   ^ Jump up to : Salzer JL , Zalc B ( October 2016 ) . `` Myelination '' . Current Biology . 26 ( 20 ) : R971 -- R975 . doi : 10.1016 / j. cub. 2016.07. 074 . PMID 27780071 .   Jump up ^ Virchow R ( 1854 ) . `` Ueber das ausgebreitete Vorkommen einer dem Nervenmark analogen Substanz in den thierischen Geweben '' . Archiv für Pathologische Anatomie Und Physiologie Und für Klinische Medicin. 6 ( 4 ) : 562 -- 572 . doi : 10.1007 / BF02116709 .   Jump up ^ Boullerne AI ( September 2016 ) . `` The history of myelin '' . Experimental Neurology . 283 ( Pt B ) : 431 -- 45 . doi : 10.1016 / j. expneurol. 2016.06. 005 . PMC 5010938 . PMID 27288241 .   Jump up ^ Monk KR , Feltri ML , Taveggia C ( August 2015 ) . `` New insights on Schwann cell development '' . Glia. 63 ( 8 ) : 1376 -- 93 . doi : 10.1002 / glia. 22852 . PMID 25921593 .   Jump up ^ Steinman L ( May 1996 ) . `` Multiple sclerosis : a coordinated immunological attack against myelin in the central nervous system '' . Cell. 85 ( 3 ) : 299 -- 302 . doi : 10.1016 / S0092 - 8674 ( 00 ) 81107 - 1 . PMID 8616884 .   Jump up ^ Mallucci G , Peruzzotti - Jametti L , Bernstock JD , Pluchino S ( April 2015 ) . `` The role of immune cells , glia and neurons in white and gray matter pathology in multiple sclerosis '' . Progress in Neurobiology. 127 - 128 : 1 -- 22 . doi : 10.1016 / j. pneurobio. 2015.02. 003 . PMC 4578232 . PMID 25802011 .   Jump up ^ Greer JM , Lees MB ( March 2002 ) . `` Myelin proteolipid protein -- the first 50 years '' . The International Journal of Biochemistry &amp; Cell Biology . 34 ( 3 ) : 211 -- 5 . doi : 10.1016 / S1357 - 2725 ( 01 ) 00136 - 4 . PMID 11849988 .   Jump up ^ Saher G , Brügger B , Lappe - Siefke C , Möbius W , Tozawa R , Wehr MC , Wieland F , Ishibashi S , Nave KA ( April 2005 ) . `` High cholesterol level is essential for myelin membrane growth '' . Nature Neuroscience. 8 ( 4 ) : 468 -- 75 . doi : 10.1038 / nn1426 . PMID 15793579 .   ^ Jump up to : Saladin KS ( 2012 ) . Anatomy &amp; physiology : the unity of form and function ( 6th ed . ) . New York , NY : McGraw - Hill .   Jump up ^ Raine CS ( 1999 ) . `` Characteristics of Neuroglia '' . In Siegel GJ , Agranoff BW , Albers RW , Fisher SK , Uhler MD . Basic Neurochemistry : Molecular , Cellular and Medical Aspects ( 6th ed . ) . Philadelphia : Lippincott - Raven .   Jump up ^ Brivio V , Faivre - Sarrailh C , Peles E , Sherman DL , Brophy PJ ( April 2017 ) . `` Assembly of CNS Nodes of Ranvier in Myelinated Nerves Is Promoted by the Axon Cytoskeleton '' . Current Biology . 27 ( 7 ) : 1068 -- 1073 . doi : 10.1016 / j. cub. 2017.01. 025 . PMC 5387178 . PMID 28318976 .   Jump up ^ Stassart RM , Möbius W , Nave KA , Edgar JM ( 2018 ) . `` The Axon - Myelin Unit in Development and Degenerative Disease '' . Frontiers in Neuroscience. 12 : 467 . doi : 10.3389 / fnins. 2018.00467 . PMID 30050403 .   Jump up ^ Fünfschilling U , Supplie LM , Mahad D , Boretius S , Saab AS , Edgar J , Brinkmann BG , Kassmann CM , Tzvetanova ID , Möbius W , Diaz F , Meijer D , Suter U , Hamprecht B , Sereda MW , Moraes CT , Frahm J , Goebbels S , Nave KA ( April 2012 ) . `` Glycolytic oligodendrocytes maintain myelin and long - term axonal integrity '' . Nature . 485 ( 7399 ) : 517 -- 21 . doi : 10.1038 / nature11007 . PMID 22622581 .   Jump up ^ Lee Y , Morrison BM , Li Y , Lengacher S , Farah MH , Hoffman PN , Liu Y , Tsingalia A , Jin L , Zhang PW , Pellerin L , Magistretti PJ , Rothstein JD ( July 2012 ) . `` Oligodendroglia metabolically support axons and contribute to neurodegeneration '' . Nature . 487 ( 7408 ) : 443 -- 8 . doi : 10.1038 / nature11314 . PMC 3408792 . PMID 22801498 .   Jump up ^ Engl E , Attwell D ( August 2015 ) . `` Non-signalling energy use in the brain '' . The Journal of Physiology. 593 ( 16 ) : 3417 -- 29 . doi : 10.1113 / jphysiol. 2014.282517 . PMC 4560575 . PMID 25639777 .   Jump up ^ Attwell D , Laughlin SB ( October 2001 ) . `` An energy budget for signaling in the grey matter of the brain '' . Journal of Cerebral Blood Flow and Metabolism. 21 ( 10 ) : 1133 -- 45 . doi : 10.1097 / 00004647 - 200110000 - 00001 . PMID 11598490 .   Jump up ^ Ledeen RW , Chakraborty G ( March 1998 ) . `` Cytokines , signal transduction , and inflammatory demyelination : review and hypothesis '' . Neurochemical Research . 23 ( 3 ) : 277 -- 89 . doi : 10.1023 / A : 1022493013904 . PMID 9482240 .   Jump up ^ Mayo Clinic 2007 and University of Leicester Clinical Studies , 2014   Jump up ^ Windrem MS , Nunes MC , Rashbaum WK , Schwartz TH , Goodman RA , McKhann G , Roy NS , Goldman SA ( January 2004 ) . `` Fetal and adult human oligodendrocyte progenitor cell isolates myelinate the congenitally dysmyelinated brain '' . Nature Medicine . 10 ( 1 ) : 93 -- 7 . doi : 10.1038 / nm974 . PMID 14702638 . Lay summary -- FuturePundit .   Jump up ^ Bartzokis G ( August 2007 ) . `` Acetylcholinesterase inhibitors may improve myelin integrity '' . Biological Psychiatry . 62 ( 4 ) : 294 -- 301 . doi : 10.1016 / j. biopsych. 2006.08. 020 . PMID 17070782 .   Jump up ^ Makoukji J , Belle M , Meffre D , Stassart R , Grenier J , Shackleford G , Fledrich R , Fonte C , Branchu J , Goulard M , de Waele C , Charbonnier F , Sereda MW , Baulieu EE , Schumacher M , Bernard S , Massaad C ( March 2012 ) . `` Lithium enhances remyelination of peripheral nerves '' . Proceedings of the National Academy of Sciences of the United States of America . 109 ( 10 ) : 3973 -- 8 . doi : 10.1073 / pnas. 1121367109 . PMID 22355115 .   Jump up ^ Petrov AM , Kasimov MR , Zefirov AL ( 2016 ) . `` Brain Cholesterol Metabolism and Its Defects : Linkage to Neurodegenerative Diseases and Synaptic Dysfunction '' . Acta Naturae. 8 ( 1 ) : 58 -- 73 . PMID 27099785 .   Jump up ^ Miller A , Korem M , Almog R , Galboiz Y ( June 2005 ) . `` Vitamin B12 , demyelination , remyelination and repair in multiple sclerosis '' . Journal of the Neurological Sciences . 233 ( 1 - 2 ) : 93 -- 7 . doi : 10.1016 / j. jns. 2005.03. 009 . PMID 15896807 .   Jump up ^ Krämer - Albers EM , Gehrig - Burger K , Thiele C , Trotter J , Nave KA ( November 2006 ) . `` Perturbed interactions of mutant proteolipid protein / DM20 with cholesterol and lipid rafts in oligodendroglia : implications for dysmyelination in spastic paraplegia '' . The Journal of Neuroscience. 26 ( 45 ) : 11743 -- 52 . doi : 10.1523 / JNEUROSCI. 3581 - 06.2006 . PMID 17093095 .   Jump up ^ Matalon R , Michals - Matalon K , Surendran S , Tyring SK ( 2006 ) . `` Canavan disease : studies on the knockout mouse '' . Advances in Experimental Medicine and Biology . 576 : 77 -- 93 ; discussion 361 -- 3 . doi : 10.1007 / 0 - 387 - 30172 - 0_6 . PMID 16802706 .   Jump up ^ Tkachev D , Mimmack ML , Huffaker SJ , Ryan M , Bahn S ( August 2007 ) . `` Further evidence for altered myelin biosynthesis and glutamatergic dysfunction in schizophrenia '' . The International Journal of Neuropsychopharmacology. 10 ( 4 ) : 557 -- 63 . doi : 10.1017 / S1461145706007334 . PMID 17291371 .    Further reading ( edit )    Swire M , Ffrench - Constant C ( May 2018 ) . `` Seeing Is Believing : Myelin Dynamics in the Adult CNS '' . Neuron. 98 ( 4 ) : 684 -- 686 . doi : 10.1016 / j. neuron. 2018.05. 005 . PMID 29772200 .   Waxman SG ( October 1977 ) . `` Conduction in myelinated , unmyelinated , and demyelinated fibers '' . Archives of Neurology . 34 ( 10 ) : 585 -- 9 . doi : 10.1001 / archneur. 1977.00500220019003 . PMID 907529 .    External links ( edit )    The Myelin Project   Athabasca University Biological Psychology Website   The MS Information Sourcebook , Myelin   The Myelin Repair Foundation   H &amp; E Histology   Luxol Fast Blue : Modified Kluver 's Method to stain for Myelin Sheath   Radiology and Pathology of Myelin the MedPix Medical Image Database   American Society for Neurochemistry              Nervous tissue     CNS      Tissue Types     Grey matter   White matter   Projection fibers   Association fiber   Commissural fiber   Lemniscus   Nerve tract   Decussation   Commissure     Neuropil   Meninges       Cell Types      Neuronal     Pyramidal   Purkinje   Granule       Glial      insulating :     Myelination : Oligodendrocyte       other     Astrocyte   Radial glial cell     Ependymal cells   Tanycyte     Microglia                PNS      General     Dorsal   Root   Ganglion   Ramus     Ventral   Root   Ramus     Ramus communicans   Gray   White     Autonomic ganglion ( Preganglionic nerve fibers   Postganglionic nerve fibers )   Nerve fascicle   Funiculus       Connective tissues     Epineurium   Perineurium   Endoneurium       Neuroglia     Myelination : Schwann cell   Neurilemma   Myelin incisure   Node of Ranvier   Internodal segment     Satellite glial cell          Neurons / nerve fibers      Parts      Soma     Axon hillock       Axon     Telodendron   Axon terminals   Axoplasm   Axolemma   Neurofibril / neurofilament       Dendrite       Nissl body   Dendritic spine   Apical dendrite / Basal dendrite            Types     Bipolar   Unipolar   Pseudounipolar   Multipolar   Interneuron   Renshaw         Afferent nerve fiber / Sensory neuron     GSA   GVA   SSA   SVA   fibers   Ia or Aα   Ib or Golgi or Aα   II or Aβ and Aγ   III or Aδ or fast pain   IV or C or slow pain         Efferent nerve fiber / Motor neuron     GSE   GVE   SVE   Upper motor neuron   Lower motor neuron   α motorneuron   β motorneuron   γ motorneuron            Termination      Synapse     Electrical synapse / Gap junction   Chemical synapse   Synaptic vesicle   Active zone   Postsynaptic density     Autapse   Ribbon synapse   Neuromuscular junction       Sensory receptors     Meissner 's corpuscle   Merkel nerve ending   Pacinian corpuscle   Ruffini ending   Muscle spindle   Free nerve ending   Nociceptor   Olfactory receptor neuron   Photoreceptor cell   Hair cell   Taste bud                    Structures of the cell membrane     Membrane lipids     Lipid bilayer   Phospholipids   Lipoproteins   Sphingolipids   Sterols       Membrane proteins     Membrane glycoproteins   Integral membrane proteins / transmembrane protein   Peripheral membrane protein / Lipid - anchored protein       Other     Caveolae / Coated pits   Cell junctions   Glycocalyx   Lipid raft / microdomains   Membrane contact sites   Membrane nanotubes   Myelin sheath   Nodes of Ranvier   Nuclear envelope   Phycobilisomes   Porosomes                 Protein : cell membrane proteins ( other than Cell surface receptor , enzymes , and cytoskeleton )     Arrestin     SAG   ARRB1   ARRB2   ARR3       Membrane - spanning 4A     MS4A1   MS4A2   MS4A3   MS4A4A   MS4A4E   MS4A5   MS4A6A   MS4A6E   MS4A7   MS4A8B   MS4A9   MS4A10   MS4A12   MS4A13   MS4A14   MS4A15   MS4A18       Myelin     Myelin basic protein   PMP2     Myelin proteolipid protein   PLP1     Myelin oligodendrocyte glycoprotein   Myelin - associated glycoprotein   Myelin protein zero       Pulmonary surfactant     Pulmonary surfactant - associated protein B   Pulmonary surfactant - associated protein C       Tetraspanin     TSPAN1   TSPAN2   TSPAN3   TSPAN4   TSPAN5   TSPAN6   TSPAN7   TSPAN8   TSPAN9   TSPAN10   TSPAN11   TSPAN12   TSPAN13   TSPAN14   TSPAN15   TSPAN16   TSPAN17   TSPAN18   TSPAN19   TSPAN20   TSPAN21   TSPAN22   TSPAN23   TSPAN24   TSPAN25   TSPAN26   TSPAN27   TSPAN28   TSPAN29   TSPAN30   TSPAN31   TSPAN32   TSPAN33   TSPAN34       Other / ungrouped     Calnexin   LDL - receptor - related protein - associated protein   Neurofibromin 2   Presenilin   PSEN1   PSEN2     HFE   Phospholipid transfer proteins   Dysferlin   STRC   OTOF       see also other cell membrane protein disorders    Retrieved from `` https://en.wikipedia.org/w/index.php?title=Myelin&amp;oldid=857137138 '' Categories :   Neurohistology   Hidden categories :   Pages with unresolved properties   Wikipedia articles needing page number citations from July 2018   Articles needing more detailed references   All articles with unsourced statements   Articles with unsourced statements from July 2018   Articles with unsourced statements from May 2011   Wikipedia articles needing clarification from April 2014           Talk                                           Contents                   About Wikipedia                                           Afrikaans     Български   Bosanski   Català   Čeština   Dansk   Deutsch   Eesti   Ελληνικά   Español   Euskara   فارسی   Français   Gaeilge   Galego   </t>
    </r>
    <r>
      <rPr>
        <sz val="11"/>
        <color rgb="FF000000"/>
        <rFont val="Noto Sans CJK SC"/>
        <family val="2"/>
      </rPr>
      <t xml:space="preserve">한국어   </t>
    </r>
    <r>
      <rPr>
        <sz val="11"/>
        <color rgb="FF000000"/>
        <rFont val="Calibri"/>
        <family val="0"/>
        <charset val="1"/>
      </rPr>
      <t xml:space="preserve">Հայերեն   Ido   Bahasa Indonesia   Íslenska   Italiano   עברית   Қазақша   Magyar   മലയാളം   Nederlands   </t>
    </r>
    <r>
      <rPr>
        <sz val="11"/>
        <color rgb="FF000000"/>
        <rFont val="Noto Sans CJK SC"/>
        <family val="2"/>
      </rPr>
      <t xml:space="preserve">日本 語   </t>
    </r>
    <r>
      <rPr>
        <sz val="11"/>
        <color rgb="FF000000"/>
        <rFont val="Calibri"/>
        <family val="0"/>
        <charset val="1"/>
      </rPr>
      <t xml:space="preserve">Norsk   Norsk nynorsk   Occitan   Polski   Português   Română   Русский   Simple English   Slovenčina   Slovenščina   کوردی   Suomi   Svenska   ไทย   Türkçe   Українська   Tiếng Việt   </t>
    </r>
    <r>
      <rPr>
        <sz val="11"/>
        <color rgb="FF000000"/>
        <rFont val="Noto Sans CJK SC"/>
        <family val="2"/>
      </rPr>
      <t xml:space="preserve">中文  </t>
    </r>
    <r>
      <rPr>
        <sz val="11"/>
        <color rgb="FF000000"/>
        <rFont val="Calibri"/>
        <family val="0"/>
        <charset val="1"/>
      </rPr>
      <t xml:space="preserve">37 more  Edit links   This page was last edited on 29 August 2018 , at 20 : 08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</si>
  <si>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myelin sheath that covers many cns axons is formed by</t>
  </si>
  <si>
    <t xml:space="preserve"> Myelin is a lipid - rich ( fatty ) substance formed in the central nervous system ( CNS ) by glial cells called oligodendrocytes , and in the peripheral nervous system ( PNS ) by Schwann cells . Myelin insulates nerve cell axons to increase the speed at which information ( encoded as an electrical signal ) travels from one nerve cell body to another ( as in the CNS ) or , for example , from a nerve cell body to a muscle ( as in the PNS ) . The myelinated axon can be likened to an electrical wire ( the axon ) with insulating material ( myelin ) around it . However , unlike the plastic covering on an electrical wire , myelin does not form a single long sheath over the entire length of the axon . Rather , each myelin sheath insulates the axon over a single section and , in general , each axon comprises multiple long myelinated sections separated from each other by short gaps . Each myelin sheath is formed by the concentric wrapping of an oligodendrocyte or Schwann cell process around the axon . </t>
  </si>
  <si>
    <t xml:space="preserve">The frog and the ox - wikipedia  The frog and the ox  Jump to : navigation , search Charles H. Bennett 's class - conscious interpretation of the fable , 1857      Wikisource has original text related to this article : The Ox and the Frog     The Frog and the Ox appears among Aesop 's Fables and is numbered 376 in the Perry Index . The story concerns a frog that tries to inflate itself to the size of an ox , but bursts in the attempt . It has usually been applied to socio - economic relations .     Contents  ( hide )   1 Versions of the fable   2 Artistic uses   3 See also   4 References   5 External links      Versions of the fable ( edit )   There are Classical versions of the story in both Greek and Latin , as well as several Latin retellings in Mediaeval times . One by Walter of England is in verse and was followed in Renaissance times by a Neo-Latin poem by Hieronymus Osius . In some sources , the frog sees the ox and tries to equal it in size ; in others the frog is only told of an enormous beast by another and keeps swelling , asking at intervals , ' Was it as big as this ? '   Both Martial and Horace are among the Latin satiric poets who made use of the fable of the frog and the ox , although they refer to different versions of it . The story related by Phaedrus has a frog motivated by envy of the ox , illustrating the moral that ' the needy man , while affecting to imitate the powerful , comes to ruin ' . It is to this that Martial alludes in a short epigram ( X. 79 ) about two citizens trying to outdo each other by building in the suburbs . Horace places a different version of the story towards the end of a long conversation on the demented behaviour of mankind ( Satires II. 3 ) where Damasippus accuses the poet of trying to keep up with his rich patron Maecenas . His telling follows the Babrius version in which an ox has stepped on a brood of young frogs and the father tries equaling the beast in size when told of it .   The folly of trying to keep up with the Joneses is the conclusion drawn by La Fontaine 's Fables from the Phaedrus version of the tale , applying it to the artistocratic times in which La Fontaine lived ( `` The frog that wished to be as big as the ox '' , Fables I. 3 ) :        This world of ours is full of foolish creatures too -   Commoners want to build chateaux ;   Each princeling wants his royal retinue ;   Each count his squires . And so it goes .        Two similar stories existed in Greek sources but were never adopted in the rest of Europe . There is a quatrain in Babrius concerning an earthworm that envied the length of a snake and burst in two while stretching itself to equal it . This is number 268 in the Perry Index . In the other fable , numbered 371 by Perry , a lizard destroys itself in a similar way . The moral given is that ' This is what happens to someone who competes with his superiors : he destroys himself before he can equal them . '   Artistic uses ( edit )  John Rae 's illustration to Fables in Thyme for Little Folks , 1918  The fable was a favourite in England and was put to popular use on 18th century china by the Fenton pottery and in the 19th century by the Wedgwood pottery . This was on its Aesop series of coloured plates , signed by Emile Lessore in the 1860s . Minton 's pottery also used the fable on a series of Aesop tiles a little later . In France a biscuit porcelain figure group illustrating the fable was issued by the Haffreingue porcelain factory at Boulogne between 1857 - 1859 . The ox is modeled lying on the ground and looking down at the frog directly in front .   Other uses have been the appearance of the fable on stamps during the centenary of La Fontaine 's death in 1995 . In France it was on one of a strip of six 2 , 80 franc stamps , each illustrating a different fable ; in Albania the fable appears by itself on the 25 leke stamp and as part of the over-all design of the 60 leke commemorative .   Among the composers who have set the fable are the following :    Charles Lecocq , the third piece in his Six Fables de Jean de la Fontaine for voice and piano ( 1900 )   Mabel Wood Hill in her `` Aesop 's Fables Interpreted Through Music '' ( 1920 )   Marcelle de Manziarly , the third piece in Trois Fables de La Fontaine ( 1935 ) for voice and piano   Paul Bonneau in 10 Fables de La Fontaine for a cappella duet ( 1957 )   Marie - Madeleine Chevalier - Duruflé as the first in her 6 Fables de La Fontaine ( 1960 ) for a cappella female voices   Jean Françaix for 4 male voices and piano ( 1963 )   Edward Hughes , as the third in his ten Songs from Aesop 's Fables for children 's voices and piano ( 1965 ) , in a version by Peter Westmore   Andre Asriel ( de ) , Der Frosch und der Ochse , the second in his 6 Fabeln nach Aesop for mixed a cappella voices ( 1972 )   Isabelle Aboulker among the seven in her children 's operetta La Fontaine et le Corbeau ( 1977 )   Claude Ballif , the third of his Chansonettes : 5 Fables de La Fontaine for small mixed choir ( Op. 72 , No1 1995 )   Xavier Benguerel i Godó ( ca ) , the sixth piece in his 7 Fabulas de la Fontaine ( 1995 ) for orchestra and narration ( in both Catalan and Spanish translations )   Eric Saint - Marc , a setting for women 's choir , piano and string quartet ( 2014 )    See also ( edit )    Children 's literature portal     Exploding toad    References ( edit )    Jump up ^ Aesopica site   Jump up ^ Fable 31   Jump up ^ `` The Fables of Phaedrus '' . Gutenburg.org . p . I. 24 .   Jump up ^ The poem and a crib are available in Martial : Epigrams , trans . Walter Ker , London 1919 , pp. 215 - 7   Jump up ^ Horace : Satires , trans . H. Rushton Fairclough , London 1942 , pp. 178 - 81   Jump up ^ Norman Shapiro 's translation is available on Google Books . Books.google.co.uk . Retrieved 2013 - 02 - 28 .   Jump up ^ `` Aesopica site '' . Mythfolklore.net . Retrieved 2013 - 02 - 28 .   Jump up ^ `` Aesopica site '' . Mythfolklore.net . Retrieved 2013 - 02 - 28 .   Jump up ^ `` Victoria &amp; Albert Museum '' . Collections.vam.ac.uk. 2013 - 02 - 05 . Retrieved 2013 - 02 - 28 .   Jump up ^ `` Victoria &amp; Albert Museum '' . Collections.vam.ac.uk. 2013 - 02 - 05 . Retrieved 2013 - 02 - 28 .   Jump up ^ `` Victoria &amp; Albert Museum '' . Collections.vam.ac.uk. 2013 - 02 - 05 . Retrieved 2013 - 02 - 28 .   Jump up ^ Illustrations appear under the Thursday , July 24 , 2008 entry of the My Philately blog   Jump up ^ Score online   Jump up ^ The first page of the music appears on the Musimem site   Jump up ^ `` Performance on YouTube '' . Youtube.com. 2012 - 04 - 13 . Retrieved 2013 - 02 - 28 .   Jump up ^ `` Available on YouTube '' . Youtube.com. 2010 - 02 - 17 . Retrieved 2013 - 02 - 28 .   Jump up ^ `` there is also a concert version '' . Youtube.com. 2010 - 09 - 15 . Retrieved 2013 - 02 - 28 .   Jump up ^ A performance on YouTube   Jump up ^ A performance on YouTube    External links ( edit )    15th - 20th century book illustrations online      ( hide )         Aesop     Aesop 's Fables     The Ant and the Grasshopper   The Ass and his Masters   The Ass and the Pig   The Ass Carrying an Image   The Ass in the Lion 's Skin   The Astrologer who Fell into a Well   The Bear and the Travelers   The Belly and the Members   The Bird - catcher and the Blackbird   The Bird in Borrowed Feathers   The Boy Who Cried Wolf   The Cat and the Mice   The Cock and the Jewel   The Cock , the Dog and the Fox   The Crow and the Pitcher   The Crow and the Snake   The Deer without a Heart   The Dog and Its Reflection   The Dog and the Wolf   The Dove and the Ant   The Farmer and the Stork   The Farmer and the Viper   The Fir and the Bramble   The Fisherman and the Little Fish   The Fowler and the Snake   The Fox and the Crow   The Fox and the Grapes   The Fox and the Mask   The Fox and the Sick Lion   The Fox and the Stork   The Fox and the Weasel   The Fox and the Woodman   The Frog and the Ox   The Frogs Who Desired a King   The Goat and the Vine   The Goose That Laid the Golden Eggs   The Honest Woodcutter   The Horse and the Donkey   The Lion and the Fox   The Lion and the Mouse   The Lion , the Bear and the Fox   The Man with two Mistresses   The Mischievous Dog   The Miser and his Gold   The Mountain in Labour   The Mouse and the Oyster   The North Wind and the Sun   The Oak and the Reed   The Old Man and Death   The Old Woman and the Doctor   The Rose and the Amaranth   The Satyr and the Traveller   The Sick Kite   The Snake and the Crab   The Snake in the Thorn Bush   The Tortoise and the Hare   Town Mouse and Country Mouse   The Travellers and the Plane Tree   The Trees and the Bramble   The Two Pots   The Walnut Tree   Washing the Ethiopian white   The Wolf and the Crane   The Wolf and the Lamb   The Woodcutter and the Trees   The Young Man and the Swallow       Apocryphal     An ass eating thistles   The Bear and the Gardener   Belling the cat ( also known as The Mice in Council )   The Blindman and the Lame   The Boy and the Filberts   Chanticleer and the Fox   The Dog in the Manger   The drowned woman and her husband   The Elm and the Vine   The Fox and the Cat   The Gourd and the Palm - tree   The Hawk and the Nightingale   Jumping from the frying pan into the fire   The milkmaid and her pail   The miller , his son and the donkey   The Monkey and the Cat   The Priest and the Wolf   The Scorpion and the Frog   The Shepherd and the Lion   Still waters run deep   The Wolf in Sheep 's Clothing       Related     Jataka tales   Panchatantra   Perry Index   The labyrinth of Versailles   The Lion 's Share   Aesop 's Fables ( album )       Screen adaptations     Aesop 's Film Fables   The Grasshopper and the Ants       Print adaptations     Ysopet   The Morall Fabillis of Esope the Phrygian   `` The Cock and the Jasp ''   `` The Taill of how this forsaid Tod maid his Confessioun to Freir Wolf Waitskaith ''   `` The Taill of Schir Chanticleir and the Foxe ''   `` The Taill of the Uponlandis Mous and the Burges Mous ''     La Fontaine 's Fables       Translators     Demetrius of Phalerum   Phaedrus   Babrius   Avianus   Dositheus Magister   Alexander Neckam   Adémar de Chabannes   Odo of Cheriton   John Lydgate   Kawanabe Kyōsai   Laurentius Abstemius   Roger L'Estrange   Gabriele Faerno   Hieronymus Osius   Marie de France   Robert Henryson   Jean de La Fontaine   Ivan Krylov   Nicolas Trigault   Zhang Geng   Robert Thom   Zhou Zuoren       portal : Novels    Retrieved from `` https://en.wikipedia.org/w/index.php?title=The_Frog_and_the_Ox&amp;oldid=800272907 '' Categories :   Aesop 's Fables   La Fontaine 's Fables   Fictional frogs and toads   Literary duos   Hidden categories :   Interlanguage link template link number           Talk                                           Contents                   About Wikipedia                                           Wikisource       Español   Français   Srpskohrvatski / српскохрватски   Edit links   This page was last edited on 12 September 2017 , at 13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</si>
  <si>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story of the frog and the ox</t>
  </si>
  <si>
    <t xml:space="preserve"> The Frog and the Ox appears among Aesop 's Fables and is numbered 376 in the Perry Index . The story concerns a frog that tries to inflate itself to the size of an ox , but bursts in the attempt . It has usually been applied to socio - economic relations . </t>
  </si>
  <si>
    <r>
      <rPr>
        <sz val="11"/>
        <color rgb="FF000000"/>
        <rFont val="Calibri"/>
        <family val="0"/>
        <charset val="1"/>
      </rPr>
      <t xml:space="preserve">The Wasp Factory - wikipedia  The Wasp Factory   The Wasp Factory   First edition     Author   Iain Banks     Audio read by   Peter Kenny     Cover artist   Philip Mann ACE     Country   United Kingdom     Language   English     Publisher   Macmillan     Publication date   16 February 1984     Media type   Print ( Hardback &amp; Paperback )     Pages   184     ISBN   0 - 333 - 36380 - 9     OCLC   22766221     The Wasp Factory is the first novel by Scottish writer Iain Banks , published in 1984 . Before the publication of The Wasp Factory , Banks had written several science fiction novels that had not been accepted for publication . Banks decided to try a more mainstream novel in the hopes that it would be more readily accepted , and wrote about a psychopathic teenager living on a remote Scottish island . According to Banks , this allowed him to treat the story as something resembling science fiction -- the island could be envisaged as a planet , and Frank , the protagonist , almost as an alien . Following the success of The Wasp Factory , Banks began to write full - time .   The Wasp Factory is written from a first person perspective , told by 16 - year - old Francis Cauldhame ( `` Frank '' ) , describing his childhood and all that remains of it . Frank observes many shamanistic rituals of his own invention , and it is soon revealed that Frank killed three children before he reached the age of ten himself .   The book sold well , but was greeted with a mixture of acclaim and criticism , due to its gruesome depiction of violence . The Irish Times called it `` a work of unparalleled depravity . ''     Contents  ( hide )   1 Plot   2 Literary significance and criticism   3 Adaptations   4 Release details   5 References   6 External links      Plot ( edit )   The story is told from the perspective of 16 - year - old Frank Cauldhame . Frank lives with his father on a small island in rural Scotland , and he has not seen his mother in many years . There is no official record of his birth , meaning his existence is largely unknown .   Frank occupies his time with rituals , building dams , and maintaining an array of weapons ( a small catapult , pipe bombs and a crude flamethrower ) for killing small animals around the island and the coastline . He takes long walks to patrol the island and occasionally gets drunk with his only friend , a dwarf named Jamie , in the local pub . Otherwise Frank has almost no contact with the outside world . He is haunted by the memory of a dog attack in his youth , which resulted in the loss of his genitalia . He resents others for his impotence , particularly women . This is in part due to the mauling coinciding with the last time he saw his absentee mother , who had come back to the island to give birth to his younger brother , leaving immediately after .   Frank 's older brother Eric escapes a mental institution in the opening of the book , having been arrested some years prior for setting fire to the town 's dogs and terrorizing local children by force - feeding them maggots and worms . Eric often calls Frank from phone boxes to inform Frank of his progress back to the island . Eric is extremely erratic ; their conversations invariably end badly , with Eric exploding in fits of rage . Frank is confused as to whether or not he is looking forward to seeing Eric , but it is clear Frank loves his brother .   The `` Wasp Factory '' that the title refers to is a mechanism put together by Frank , made from a huge clock face , salvaged from the local dump , encased in a glass box . Behind each of the 12 numerals on the clock face is a trap which leads to a different ritual death ( for example burning , crushing , or drowning in Frank 's urine ) for the wasp that Frank puts into it via the hole at the centre of the clock face . Frank believes the death `` chosen '' by the wasp predicts something about the future . The Factory is in the house 's loft , which Frank 's father can not access because of a leg injury . There are also `` Sacrifice Poles '' . The bodies and heads of animals , such as mice that Frank has killed , are stuck onto the poles for the purpose of attracting birds which will fly away and alert Frank of anybody approaching the island 's borders .   It is revealed that when Frank was much younger , he killed three of his relatives : two cousins and his younger brother . He also exhumed the skull of the dog that castrated him , and he uses it as part of his rituals .   Eric is described as having been extremely sensitive before the incident that drove him mad : a tragic case of neglect in a hospital where Eric was a volunteer when studying to become a doctor . While attempting to feed a brain - damaged newborn with acalvaria , Eric notes that the child is unresponsive and smiling , despite usually appearing expressionless . The child 's skull is held together by a metal plate over its head . Eric checks underneath the plate to find the child 's exposed brain tissue infested and being consumed by day - old maggots .   Frank 's father is distant and spends most of his time in his study , which he keeps locked at all times . Frank longs to know what is inside the study . He attempts to gain access to it each time his father leaves the house . Frank is used to being lied to by his father , who seemingly often does it purely for his own amusement or interest .   At the end of the novel , Frank is alerted of Eric 's imminent return when he sees a dog that has been burned alive and discovers Eric 's campsite . This knowledge incites Frank 's father to get drunk and then forget to conceal the keys to his study , where Frank discovers male hormone drugs , tampons and what appears to be the remains of his own genitals in a jar . Frank , who hates women , assumes that his findings mean that his father is actually female . During the ensuing confrontation with his father , Eric returns and attempts to destroy the house and island with explosives and fire but is not successful . After Eric flees , the father explains that it was Frank who was born a female ; the hormones had been fed to him by his father since the dog attack in an experiment to see whether Frank would transition from female to male . The remains of his genitals were fake and it is suggested that his father 's reasoning for doing this was to distance himself from the women he felt had ruined his life .   In the closing pages Frank finds Eric , half asleep , seemingly calm . Frank sits with him and considers his life up to this point and whether he should leave the island .   Literary significance and criticism ( edit )   The book was initially greeted with a mixture of acclaim and criticism , due to its gruesome depiction of violence . While this is mostly against animals , Frank also recollects killing three younger children . The murders are described in an honest and matter - of - fact way , often with grotesque humour . The Irish Times called it `` a work of unparalleled depravity . ''   A 1997 poll of over 25,000 readers of The Independent listed The Wasp Factory as one of the top 100 books of the 20th century .   Adaptations ( edit )   In 2013 , the Australian producer and composer Ben Frost directed an opera adaptation of the Iain Banks ' novel , in which Frank is represented by three female singers .   Release details ( edit )    1984 , UK , Macmillan ( ISBN 0 - 333 - 36380 - 9 ) , Pub date 16 February 1984 , hardback ( First edition )    References ( edit )    Jump up ^ Banks , Iain ( 1998 - 07 - 12 ) . `` Out of this world '' . The Guardian . Retrieved 24 January 2015 .   ^ Jump up to : `` Iain Banks : ' In the end we 'll be smiling ' . Quote : ' '' It 's a sick , sick world when the confidence and investment of an astute firm of publishers is justified by a work of unparalleled depravity , '' wrote this newspaper 's reviewer . ' `` . The Irish Times . Retrieved 18 September 2015 .   Jump up ^ No Sartre , no Lessing , no Mailer : Frodo the hobbit beats them all - The Independent   Jump up ^ https://www.theguardian.com/music/2013/oct/04/the-wasp-factory-review    External links ( edit )    Iain Banks discusses The Wasp Factory on the BBC World Book Club   Iain Banks discusses The Wasp Factory at the Guardian Book Club   Iain Banks writing about the creation of The Wasp Factory for the Guardian      hide         Works of Iain Banks     As Iain Banks      Fiction     The Wasp Factory ( 1984 )   Walking on Glass ( 1985 )   The Bridge ( 1986 )   Espedair Street ( 1987 )   Canal Dreams ( 1989 )   The Crow Road ( 1992 )   Complicity ( 1993 )   Whit ( 1995 )   A Song of Stone ( 1997 )   The Business ( 1999 )   Dead Air ( 2002 )   The Steep Approach to Garbadale ( 2007 )   Stonemouth ( 2012 )   The Quarry ( 2013 )       Non-fiction     Raw Spirit ( 2003 )   Poems ( with Ken MacLeod ) ( 2015 )          As Iain M. Banks      Culture series     Consider Phlebas ( 1987 )   The Player of Games ( 1988 )   Use of Weapons ( 1990 )   The State of the Art ( 1991 )   Excession ( 1996 )   Inversions ( 1998 )   Look to Windward ( 2000 )   Matter ( 2008 )   Surface Detail ( 2010 )   The Hydrogen Sonata ( 2012 )       Other works     Against a Dark Background ( 1993 )   Feersum Endjinn ( 1994 )   The Algebraist ( 2004 )   Transition ( 2009 )         Retrieved from `` https://en.wikipedia.org/w/index.php?title=The_Wasp_Factory&amp;oldid=836190834 '' Categories :   1984 British novels   Debut novels   Novels by Iain Banks   Scottish bildungsromans   Macmillan Publishers books   Cruelty to animals in fiction   Novels set on islands   Novels with transgender and transsexual themes   British LGBT novels   Hidden categories :   Pages to import images to Wikidata           Talk                                           Contents                   About Wikipedia                                           Deutsch   </t>
    </r>
    <r>
      <rPr>
        <sz val="11"/>
        <color rgb="FF000000"/>
        <rFont val="Noto Sans CJK SC"/>
        <family val="2"/>
      </rPr>
      <t xml:space="preserve">한국어   </t>
    </r>
    <r>
      <rPr>
        <sz val="11"/>
        <color rgb="FF000000"/>
        <rFont val="Calibri"/>
        <family val="0"/>
        <charset val="1"/>
      </rPr>
      <t xml:space="preserve">Italiano   Русский   Svenska   Українська   Edit links   This page was last edited on 13 April 2018 , at 06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</si>
  <si>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does frank kill in the wasp factory</t>
  </si>
  <si>
    <t xml:space="preserve"> It is revealed that when Frank was much younger , he killed three of his relatives : two cousins and his younger brother . He also exhumed the skull of the dog that castrated him , and he uses it as part of his rituals . </t>
  </si>
  <si>
    <t xml:space="preserve">Swimming World high school teams of the year - Wikipedia  Swimming World high school teams of the year  Jump to : navigation , search      ( hide ) This article has multiple issues . Please help improve it or discuss these issues on the talk page . ( Learn how and when to remove these template messages )      This article needs more links to other articles to help integrate it into the encyclopedia . Please help improve this article by adding links that are relevant to the context within the existing text . ( November 2013 ) ( Learn how and when to remove this template message )         This article needs additional citations for verification . Please help improve this article by adding citations to reliable sources . Unsourced material may be challenged and removed . ( March 2009 ) ( Learn how and when to remove this template message )         The topic of this article may not meet Wikipedia 's general notability guideline . Please help to establish notability by citing reliable secondary sources that are independent of the topic and provide significant coverage of it beyond its mere trivial mention . If notability can not be established , the article is likely to be merged , redirected , or deleted . Find sources : `` Swimming World High School Teams of the Year '' -- news newspapers books scholar JSTOR ( March 2009 ) ( Learn how and when to remove this template message )    ( Learn how and when to remove this template message )     Swimming World Magazine has named the Swimming World High School Teams of the Year since 1971 when it honored Santa Clara as the top boys public school in the United States . Since then , the program has expanded .     Year   Boys HS   Boys Prep   Girls HS   Girls Prep     1971   Prep   N / A   N / A   N / A     1972   St Hilary   N / A   N / A   N / A     1973   Prep   N / A   N / A   N / A       Santa Clara   N / A   N / A   N / A       Santa Clara   N / A   N / A   N / A     1976   Jacksonville Episcopal   N / A   Upper Dublin   N / A     1977   Mission Viejo   The Peddie School   Mission Viejo   N / A     1978   Mission Viejo   Jesuit   Mission Viejo   N / A     1979   Mission Viejo   The Hill School   Mission Viejo   N / A     1980   Mission Viejo   Loyola - Blakefield   Mission Viejo   N / A     1981   Mission Viejo   Mercersburg   Mission Viejo   N / A     1982   Mission Viejo   Mercersburg   Mission Viejo   The Peddie School       Mission Viejo   Mercersburg   Mission Viejo   Mercersburg     1984   Campolindo   Mercersburg   Mission Viejo   The Bolles School     1985   Mission Viejo   Germantown Academy   Mission Viejo   The Bolles School     1986   Mission Viejo   Germantown Academy   Mission Viejo   Germantown Academy       Mission Viejo   Mercersburg   Spanish River   Germantown Academy       Hinsdale South   Mercersburg   Edina   St. Andrews       Churchill   Bellarmine Prep   Mission Viejo   The Peddie School       Churchill   The Peddie School   North Penn   The Peddie School     1991   San Marino   The Peddie School   Conroe McCullough   The Peddie School       Plano   St. Xavier   Americus   Germantown Academy       Humble Kingwood   Jesuit   Davis   Pine Crest       Humble Kingwood   St. Xavier   Davis   Germantown Academy     1995   Humble Kingwood   The Peddie School   Carmel   The Bolles School       Cypress Creek   The Peddie School   Carmel   The Bolles School       Cypress Creek   Brother Rice   Shadow Mountain   The Bolles School     1998   The Woodlands   The Bolles School   Carmel   The Bolles School     1999   The Woodlands   The Bolles School   St. Charles   Trinity Prep     2000   Firestone   The Bolles School   St. Charles   The Bolles School       Evanston Township   St. Xavier   Irvine   Ursuline Academy     2002   Firestone   St. Xavier   Irvine   Ursuline Academy     2003   Lake Forest   St. Xavier   Ann Arbor Pioneer   Ursuline Academy       Carmel   St. Xavier   Lake Forest   The Bolles School     2005   Upper Arlington   Brophy Prep   Ann Arbor Pioneer   Germantown Academy     2006   Humble Kingwood   The Bolles School   Ann Arbor Pioneer   Germantown Academy     2007   New Trier   Bellarmine Prep   Austin Westlake   Germantown Academy     2008   Yucaipa   The Baylor School   Austin Westlake   Germantown Academy     2009   Saratoga High   The Baylor School   Carmel   The Baylor School       Hershey High   The Bolles School   Carmel   Carondelet     2011   Hershey High   The Bolles School   Carmel   The Bolles School     2012   New Trier   The Bolles School   Holand   The Bolled School     2013   Campolindo   The Bolles School   Carmel   JSerra Catholic     2014   Chesterton   The Bolles School   Carmel   Crean Lutheran     2015   Upper St. Clair   The Bolles School   Carmel   Crean Lutheran     2016   Upper Dublin   La Salle   Carmel   Sacred Heart     2017   Carmel   Cincinnati St. Xavier   Carmel   Santa Margarita Catholic     In 1987 , Swimming World Magazine began honoring an overall combined national champion for both boys and girls titles . The school in bold is the combined champion for that year .   Swimming World Magazine also awards annual high school swimmer of the year titles . 2000 marked the first time that a team winner also had the individual winner . These teams are bold italics .   2005 marked the only time two teams have tied for the combined award , as noted in the girls items .   References ( edit )    Jump up ^ http://www.swimmingworldmagazine.com/SwimmersOfTheYear.asp   Retrieved from `` https://en.wikipedia.org/w/index.php?title=Swimming_World_High_School_Teams_of_the_Year&amp;oldid=805670370 '' Categories :   Swimming awards   American sports trophies and awards   Swimming in the United States   High school sports in the United States   Awards by magazines   Awards established in 1971   Hidden categories :   Articles with too few wikilinks from November 2013   All articles with too few wikilinks   Articles covered by WikiProject Wikify from November 2013   All articles covered by WikiProject Wikify   Articles needing additional references from March 2009   All articles needing additional references   Articles with topics of unclear notability from March 2009   All articles with topics of unclear notability           Talk                                                             About Wikipedia                                           Add links   This page was last edited on 16 October 2017 , at 21 : 50 .         About Wikipedia                    </t>
  </si>
  <si>
    <t xml:space="preserve">swimming world high school teams of the year</t>
  </si>
  <si>
    <t xml:space="preserve">   Year   Boys HS   Boys Prep   Girls HS   Girls Prep     1971   Prep   N / A   N / A   N / A     1972   St Hilary   N / A   N / A   N / A     1973   Prep   N / A   N / A   N / A       Santa Clara   N / A   N / A   N / A       Santa Clara   N / A   N / A   N / A     1976   Jacksonville Episcopal   N / A   Upper Dublin   N / A     1977   Mission Viejo   The Peddie School   Mission Viejo   N / A     1978   Mission Viejo   Jesuit   Mission Viejo   N / A     1979   Mission Viejo   The Hill School   Mission Viejo   N / A     1980   Mission Viejo   Loyola - Blakefield   Mission Viejo   N / A     1981   Mission Viejo   Mercersburg   Mission Viejo   N / A     1982   Mission Viejo   Mercersburg   Mission Viejo   The Peddie School       Mission Viejo   Mercersburg   Mission Viejo   Mercersburg     1984   Campolindo   Mercersburg   Mission Viejo   The Bolles School     1985   Mission Viejo   Germantown Academy   Mission Viejo   The Bolles School     1986   Mission Viejo   Germantown Academy   Mission Viejo   Germantown Academy       Mission Viejo   Mercersburg   Spanish River   Germantown Academy       Hinsdale South   Mercersburg   Edina   St. Andrews       Churchill   Bellarmine Prep   Mission Viejo   The Peddie School       Churchill   The Peddie School   North Penn   The Peddie School     1991   San Marino   The Peddie School   Conroe McCullough   The Peddie School       Plano   St. Xavier   Americus   Germantown Academy       Humble Kingwood   Jesuit   Davis   Pine Crest       Humble Kingwood   St. Xavier   Davis   Germantown Academy     1995   Humble Kingwood   The Peddie School   Carmel   The Bolles School       Cypress Creek   The Peddie School   Carmel   The Bolles School       Cypress Creek   Brother Rice   Shadow Mountain   The Bolles School     1998   The Woodlands   The Bolles School   Carmel   The Bolles School     1999   The Woodlands   The Bolles School   St. Charles   Trinity Prep     2000   Firestone   The Bolles School   St. Charles   The Bolles School       Evanston Township   St. Xavier   Irvine   Ursuline Academy     2002   Firestone   St. Xavier   Irvine   Ursuline Academy     2003   Lake Forest   St. Xavier   Ann Arbor Pioneer   Ursuline Academy       Carmel   St. Xavier   Lake Forest   The Bolles School     2005   Upper Arlington   Brophy Prep   Ann Arbor Pioneer   Germantown Academy     2006   Humble Kingwood   The Bolles School   Ann Arbor Pioneer   Germantown Academy     2007   New Trier   Bellarmine Prep   Austin Westlake   Germantown Academy     2008   Yucaipa   The Baylor School   Austin Westlake   Germantown Academy     2009   Saratoga High   The Baylor School   Carmel   The Baylor School       Hershey High   The Bolles School   Carmel   Carondelet     2011   Hershey High   The Bolles School   Carmel   The Bolles School     2012   New Trier   The Bolles School   Holand   The Bolled School     2013   Campolindo   The Bolles School   Carmel   JSerra Catholic     2014   Chesterton   The Bolles School   Carmel   Crean Lutheran     2015   Upper St. Clair   The Bolles School   Carmel   Crean Lutheran     2016   Upper Dublin   La Salle   Carmel   Sacred Heart     2017   Carmel   Cincinnati St. Xavier   Carmel   Santa Margarita Catholic   </t>
  </si>
  <si>
    <r>
      <rPr>
        <sz val="11"/>
        <color rgb="FF000000"/>
        <rFont val="Calibri"/>
        <family val="0"/>
        <charset val="1"/>
      </rPr>
      <t xml:space="preserve">Anno Domini - wikipedia  Anno Domini  `` AD '' and `` Before Christ '' redirect here . For other uses , see Anno Domini ( disambiguation ) and AD ( disambiguation ) . `` Christian era '' redirects here . For other uses , see Christian era ( disambiguation ) .   Anno Domini inscription at a cathedral in Carinthia , Austria .  The terms anno Domini ( AD ) and before Christ ( BC ) are used to label or number years in the Julian and Gregorian calendars . The term anno Domini is Medieval Latin and means `` in the year of the Lord '' , but is often presented using `` our Lord '' instead of `` the Lord '' , taken from the full original phrase `` anno Domini nostri Jesu Christi '' , which translates to `` in the year of our Lord Jesus Christ '' .   This calendar era is based on the traditionally reckoned year of the conception or birth of Jesus of Nazareth , with AD counting years from the start of this epoch , and BC denoting years before the start of the era . There is no year zero in this scheme , so the year AD 1 immediately follows the year 1 BC . This dating system was devised in 525 by Dionysius Exiguus of Scythia Minor , but was not widely used until after 800 .   The Gregorian calendar is the most widely used calendar in the world today . For decades , it has been the unofficial global standard , adopted in the pragmatic interests of international communication , transportation , and commercial integration , and recognized by international institutions such as the United Nations .   Traditionally , English followed Latin usage by placing the `` AD '' abbreviation before the year number . However , BC is placed after the year number ( for example : AD 2018 , but 68 BC ) , which also preserves syntactic order . The abbreviation is also widely used after the number of a century or millennium , as in `` fourth century AD '' or `` second millennium AD '' ( although conservative usage formerly rejected such expressions ) . Because BC is the English abbreviation for Before Christ , it is sometimes incorrectly concluded that AD means After Death , i.e. , after the death of Jesus . However , this would mean that the approximate 33 years commonly associated with the life of Jesus would neither be included in the BC nor the AD time scales .   Terminology that is viewed by some as being more neutral and inclusive of non-Christian people is to call this the Current or Common Era ( abbreviated as CE ) , with the preceding years referred to as Before the Common or Current Era ( BCE ) . Astronomical year numbering and ISO 8601 avoid words or abbreviations related to Christianity , but use the same numbers for AD years .   Contents  ( hide )   1 History   1.1 Popularization   1.2 New year     2 Birth date of Jesus   3 Other eras   4 CE and BCE   5 No year zero : start and end of a century   6 See also   7 References   7.1 Notes   7.2 Citations   7.3 Sources     8 External links    History ( edit )   The Anno Domini dating system was devised in 525 by Dionysius Exiguus to enumerate the years in his Easter table . His system was to replace the Diocletian era that had been used in an old Easter table because he did not wish to continue the memory of a tyrant who persecuted Christians . The last year of the old table , Diocletian 247 , was immediately followed by the first year of his table , AD 532 . When he devised his table , Julian calendar years were identified by naming the consuls who held office that year -- he himself stated that the `` present year '' was `` the consulship of Probus Junior '' , which was 525 years `` since the incarnation of our Lord Jesus Christ '' . Thus Dionysius implied that Jesus ' incarnation occurred 525 years earlier , without stating the specific year during which his birth or conception occurred . `` However , nowhere in his exposition of his table does Dionysius relate his epoch to any other dating system , whether consulate , Olympiad , year of the world , or regnal year of Augustus ; much less does he explain or justify the underlying date . ''   Bonnie J. Blackburn and Leofranc Holford - Strevens briefly present arguments for 2 BC , 1 BC , or AD 1 as the year Dionysius intended for the Nativity or incarnation . Among the sources of confusion are :    In modern times , incarnation is synonymous with the conception , but some ancient writers , such as Bede , considered incarnation to be synonymous with the Nativity .   The civil or consular year began on 1 January but the Diocletian year began on 29 August ( 30 August in the year before a Julian leap year ) .   There were inaccuracies in the lists of consuls .   There were confused summations of emperors ' regnal years .    It is not known how Dionysius established the year of Jesus 's birth . Two major theories are that Dionysius based his calculation on the Gospel of Luke , which states that Jesus was `` about thirty years old '' shortly after `` the fifteenth year of the reign of Tiberius Caesar '' , and hence subtracted thirty years from that date , or that Dionysius counted back 532 years from the first year of his new table . It is convenient to initiate a calendar not from the very day of an event but from the beginning of a cycle which occurs in close proximity . For example , the Islamic calendar begins not from the date of the Hijra , but rather weeks prior , on the first occurrence of the month of Muharram ( corresponding to 16 July 622 ) .   It has also been speculated by Georges Declercq that Dionysius ' desire to replace Diocletian years with a calendar based on the incarnation of Christ was intended to prevent people from believing the imminent end of the world . At the time , it was believed by some that the resurrection of the dead and end of the world would occur 500 years after the birth of Jesus . The old Anno Mundi calendar theoretically commenced with the creation of the world based on information in the Old Testament . It was believed that , based on the Anno Mundi calendar , Jesus was born in the year 5500 ( or 5500 years after the world was created ) with the year 6000 of the Anno Mundi calendar marking the end of the world . Anno Mundi 6000 ( approximately AD 500 ) was thus equated with the resurrection and the end of the world but this date had already passed in the time of Dionysius .   Popularization ( edit )   The Anglo - Saxon historian the Venerable Bede , who was familiar with the work of Dionysius Exiguus , used Anno Domini dating in his Ecclesiastical History of the English People , completed in 731 . In this same history , he also used another Latin term , ante vero incarnationis dominicae tempus anno sexagesimo ( `` in fact in the 60th year before the time of the Lord 's incarnation '' ) , equivalent to the English `` before Christ '' , to identify years before the first year of this era . Both Dionysius and Bede regarded Anno Domini as beginning at the incarnation of Jesus , but `` the distinction between Incarnation and Nativity was not drawn until the late 9th century , when in some places the Incarnation epoch was identified with Christ 's conception , i.e. , the Annunciation on March 25 '' ( Annunciation style ) .  Statue of Charlemagne by Agostino Cornacchini ( 1725 ) , at St. Peter 's Basilica , Vatican City . Charlemagne promoted the usage of the Anno Domini epoch throughout the Carolingian Empire .  On the continent of Europe , Anno Domini was introduced as the era of choice of the Carolingian Renaissance by the English cleric and scholar Alcuin in the late eighth century . Its endorsement by Emperor Charlemagne and his successors popularizing the use of the epoch and spreading it throughout the Carolingian Empire ultimately lies at the core of the system 's prevalence . According to the Catholic Encyclopedia , popes continued to date documents according to regnal years for some time , but usage of AD gradually became more common in Roman Catholic countries from the 11th to the 14th centuries . In 1422 , Portugal became the last Western European country to switch to the system begun by Dionysius . Eastern Orthodox countries only began to adopt AD instead of the Byzantine calendar in 1700 when Russia did so , with others adopting it in the 19th and 20th centuries .   Although Anno Domini was in widespread use by the 9th century , the term `` Before Christ '' ( or its equivalent ) did not become common until much later . Bede used the expression `` anno igitur ante incarnationem Dominicam '' ( so in the year before the incarnation of the Lord ) twice . `` Anno an xpi nativitate '' ( in the year before the birth of Christ ) is found in 1474 in a work by a German monk . In 1627 , the French Jesuit theologian Denis Pétau ( Dionysius Petavius in Latin ) , with his work De doctrina temporum , popularized the usage ante Christum ( Latin for `` Before Christ '' ) to mark years prior to AD .   New year ( edit )  Further information : New Year  When the reckoning from Jesus ' incarnation began replacing the previous dating systems in western Europe , various people chose different Christian feast days to begin the year : Christmas , Annunciation , or Easter . Thus , depending on the time and place , the year number changed on different days in the year , which created slightly different styles in chronology :    From 25 March 753 AUC ( today in 1 BC ) , i.e. , notionally from the incarnation of Jesus . That first `` Annunciation style '' appeared in Arles at the end of the 9th century , then spread to Burgundy and northern Italy . It was not commonly used and was called calculus pisanus since it was adopted in Pisa and survived there till 1750 .   From 25 December 753 AUC ( today in 1 BC ) , i.e. , notionally from the birth of Jesus . It was called `` Nativity style '' and had been spread by Bede together with the Anno Domini in the early Middle Ages . That reckoning of the Year of Grace from Christmas was used in France , England and most of western Europe ( except Spain ) until the 12th century ( when it was replaced by Annunciation style ) , and in Germany until the second quarter of the 13th century .   From 25 March 754 AUC ( today in AD 1 ) . That second `` Annunciation style '' may have originated in Fleury Abbey in the early 11th century , but it was spread by the Cistercians . Florence adopted that style in opposition to that of Pisa , so it got the name of calculus florentinus . It soon spread in France and also in England where it became common in the late 12th century and lasted until 1752 .   From Easter , starting in 754 AUC ( AD 1 ) . That mos gallicanus ( French custom ) bound to a moveable feast was introduced in France by king Philip Augustus ( r . 1180 -- 1223 ) , maybe to establish a new style in the provinces reconquered from England . However , it never spread beyond the ruling élite .    With these various styles , the same day could , in some cases , be dated in 1099 , 1100 or 1101 .   Birth date of Jesus ( edit )  See also : Date of birth of Jesus , Nativity of Jesus § Date of birth , and Chronology of Jesus § Year of Jesus ' birth  The date of birth of Jesus of Nazareth is not stated in the gospels or in any secular text , but most scholars assume a date of birth between 6 BC and 4 BC . The historical evidence is too fragmentary to allow a definitive dating , but the date is estimated through two different approaches -- one by analyzing references to known historical events mentioned in the Nativity accounts in the Gospels of Luke and Matthew , and the second by working backwards from the estimation of the start of the ministry of Jesus .   Other eras ( edit )  Further information : Calendar era  During the first six centuries of what would come to be known as the Christian era , European countries used various systems to count years . Systems in use included consular dating , imperial regnal year dating , and Creation dating .   Although the last non-imperial consul , Basilius , was appointed in 541 by Emperor Justinian I , later emperors through Constans II ( 641 -- 668 ) were appointed consuls on the first 1 January after their accession . All of these emperors , except Justinian , used imperial post-consular years for the years of their reign , along with their regnal years . Long unused , this practice was not formally abolished until Novell XCIV of the law code of Leo VI did so in 888 .   Another calculation had been developed by the Alexandrian monk Annianus around the year AD 400 , placing the Annunciation on 25 March AD 9 ( Julian ) -- eight to ten years after the date that Dionysius was to imply . Although this incarnation was popular during the early centuries of the Byzantine Empire , years numbered from it , an Era of Incarnation , were exclusively used and are yet used , in Ethiopia . This accounts for the seven - or eight - year discrepancy between the Gregorian and Ethiopian calendars . Byzantine chroniclers like Maximus the Confessor , George Syncellus , and Theophanes dated their years from Annianus ' creation of the world . This era , called Anno Mundi , `` year of the world '' ( abbreviated AM ) , by modern scholars , began its first year on 25 March 5492 BC . Later Byzantine chroniclers used Anno Mundi years from 1 September 5509 BC , the Byzantine Era . No single Anno Mundi epoch was dominant throughout the Christian world . Eusebius of Caesarea in his Chronicle used an era beginning with the birth of Abraham , dated in 2016 BC ( AD 1 = 2017 Anno Abrahami ) .   Spain and Portugal continued to date by the Era of the Caesars or Spanish Era , which began counting from 38 BC , well into the Middle Ages . In 1422 , Portugal became the last Catholic country to adopt the Anno Domini system .   The Era of Martyrs , which numbered years from the accession of Diocletian in 284 , who launched the last yet most severe persecution of Christians , was used by the Church of Alexandria and is still used , officially , by the Coptic Orthodox and Coptic Catholic churches . It was also used by the Ethiopian church . Another system was to date from the crucifixion of Jesus , which as early as Hippolytus and Tertullian was believed to have occurred in the consulate of the Gemini ( AD 29 ) , which appears in some medieval manuscripts .   CE and BCE ( edit )  Main article : Common Era  Alternative names for the Anno Domini era include vulgaris aerae ( found 1615 in Latin ) , `` Vulgar Era '' ( in English , as early as 1635 ) , `` Christian Era '' ( in English , in 1652 ) , `` Common Era '' ( in English , 1708 ) , and `` Current Era '' . Since 1856 , the alternative abbreviations CE and BCE , ( sometimes written C.E. and B.C.E. ) are sometimes used in place of AD and BC .   The `` Common / Current Era '' ( `` CE '' ) terminology is often preferred by those who desire a term that does not explicitly make religious references . For example , Cunningham and Starr ( 1998 ) write that `` B.C.E. / C.E. ... do not presuppose faith in Christ and hence are more appropriate for interfaith dialog than the conventional B.C. / A.D. '' Upon its foundation , the Republic of China adopted the Minguo Era , but used the Western calendar for international purposes . The translated term was </t>
    </r>
    <r>
      <rPr>
        <sz val="11"/>
        <color rgb="FF000000"/>
        <rFont val="Noto Sans CJK SC"/>
        <family val="2"/>
      </rPr>
      <t xml:space="preserve">西元 </t>
    </r>
    <r>
      <rPr>
        <sz val="11"/>
        <color rgb="FF000000"/>
        <rFont val="Calibri"/>
        <family val="0"/>
        <charset val="1"/>
      </rPr>
      <t xml:space="preserve">( `` xī yuán '' , `` Western Era '' ) . Later , in 1949 , the People 's Republic of China adopted </t>
    </r>
    <r>
      <rPr>
        <sz val="11"/>
        <color rgb="FF000000"/>
        <rFont val="Noto Sans CJK SC"/>
        <family val="2"/>
      </rPr>
      <t xml:space="preserve">公元 </t>
    </r>
    <r>
      <rPr>
        <sz val="11"/>
        <color rgb="FF000000"/>
        <rFont val="Calibri"/>
        <family val="0"/>
        <charset val="1"/>
      </rPr>
      <t xml:space="preserve">( gōngyuán , `` Common Era '' ) for all purposes domestic and foreign .   No year zero : start and end of a century ( edit )  Further information : 0 ( year ) , Astronomical year numbering , Millennium , and Century  In the AD year numbering system , whether applied to the Julian or Gregorian calendars , AD 1 is preceded by 1 BC . There is no year `` 0 '' between them , so a new century begins in a year which has `` 01 '' as the final digits ( e.g. , 1801 , 1901 , 2001 ) . New millennia likewise are considered to have begun in 1001 and 2001 . This is at odds with the much more common conception that centuries and millennia begin when the trailing digits are zeroes ( 1800 , 1900 , 2000 , etc . ) ; for example , the worldwide celebration of the new millennium took place on New Year 's Eve 1999 , when the year number ticked over to 2000 .   For computational reasons , astronomical year numbering and the ISO 8601 standard designate years so that AD 1 = year 1 , 1 BC = year 0 , 2 BC = year − 1 , etc . In common usage , ancient dates are expressed in the Julian calendar , but ISO 8601 uses the Gregorian calendar and astronomers may use a variety of time scales depending on the application . Thus dates using the year 0 or negative years may require further investigation before being converted to BC or AD .   See also ( edit )    Ante Christum natum   Holocene calendar    References ( edit )   Notes ( edit )    Jump up ^ The word `` anno '' is often capitalized , but this is considered incorrect by many authorities and either not mentioned in major dictionaries or only listed as an alternative . Wikipedia 's manual of style also prescribes lowercase .   Jump up ^ The word `` before '' is often capitalized , but this is considered incorrect by many authorities and either not mentioned in major dictionaries or only listed as an alternative . Wikipedia 's manual of style also prescribes lowercase .   Jump up ^ This convention comes from grammatical usage . Anno 500 means `` in the year 500 '' ; anno domini 500 means `` in the year 500 of Our Lord '' . Just as `` 500 in the year '' is not good English syntax , neither is 500 AD ; whereas `` AD 500 '' preserves syntactic order when translated .   Jump up ^ To convert from a year BC to astronomical year numbering , reduce the absolute value of the year by 1 , and prefix it with a negative sign ( unless the result is zero ) . For years AD , omit the AD and prefix the number with a plus sign ( plus sign is optional if it is clear from the context that the year is after the year 0 ) .    Citations ( edit )    Jump up ^ `` anno Domini '' . Collins English Dictionary .   Jump up ^ `` anno Domini '' . American Heritage Dictionary . Houghton Mifflin Harcourt .   Jump up ^ `` BC '' . Collins English Dictionary .   Jump up ^ `` before Christ '' . American Heritage Dictionary . Houghton Mifflin Harcourt .   Jump up ^ `` BC '' . Merriam Webster Online Dictionary .   Jump up ^ `` Anno Domini '' . Merriam Webster Online Dictionary . Merriam - Webster . 2003 . Retrieved 2011 - 10 - 04 . Etymology : Medieval Latin , in the year of the Lord   Jump up ^ `` Online Etymology Dictionary '' . Retrieved 2011 - 10 - 04 .   Jump up ^ Blackburn &amp; Holford - Strevens 2003 , p. 782 `` since AD stands for anno Domini , ' in the year of ( Our ) Lord ' ''   ^ Jump up to : Teresi , Dick ( July 1997 ) . `` Zero '' . The Atlantic .   ^ Jump up to : Blackburn &amp; Holford - Strevens 2003 , pp. 778 -- 9 .   Jump up ^ Eastman , Allan . `` A Month of Sundays '' . Date and Time . Archived from the original on 2010 - 05 - 06 . Retrieved 2010 - 05 - 04 .   Jump up ^ Chicago Manual of Style 2010 , pp. 476 -- 7 ; Goldstein 2007 , p. 6 .   Jump up ^ Chicago Manual of Style , 1993 , p. 304 .   Jump up ^ Donald P. Ryan , ( 2000 ) , 15 .   Jump up ^ Blackburn &amp; Holford - Strevens 2003 , p. 767 .   Jump up ^ Nineteen year cycle of Dionysius Introduction and First Argumentum .   Jump up ^ Blackburn &amp; Holford - Strevens 2003 , p. 778 .   Jump up ^ Teres , Gustav ( October 1984 ) . `` Time computations and Dionysius Exiguus '' . Journal for the History of Astronomy . 15 ( 3 ) . pp. 177 -- 188 .   Jump up ^ Tøndering , Claus , The Calendar FAQ : Counting years   Jump up ^ Mosshammer , Alden A ( 2009 ) . The Easter Computus and the Origins of the Christian Era . Oxford . pp. 345 -- 347 .   Jump up ^ F.A. Shamsi , `` The Date of Hijrah '' , Islamic Studies 23 ( 1984 ) : 189 - 224 , 289 - 323 ( JSTOR link 1 + JSTOR link 2 ) .   Jump up ^ Declercq , Georges , `` Anno Domini . The Origins of the Christian Era '' Turnhout , Belgium , 2000   Jump up ^ Wallraff , Martin : Julius Africanus und die Christliche Weltchronik . Walter de Gruyter , 2006   Jump up ^ Mosshammer , Alden A. : The Easter Computus and the Origins of the Christian Era . Oxford University Press , 2009 , p. 254 , p. 270 , p. 328   Jump up ^ Declercq , Georges : Anno Domini . The Origins of the Christian Era . Turnhout Belgium . 2000   Jump up ^ Bede 731 , Book 1 , Chapter 2 , first sentence .   Jump up ^ Blackburn &amp; Holford - Strevens 2003 , p. 881 .   ^ Jump up to : Patrick , 1908   Jump up ^ `` General Chronology '' . New Advent Catholic Encyclopedia . Vol III . New York : Robert Appleton Company . 1908 . Retrieved 2011 - 10 - 25 .   Jump up ^ Werner Rolevinck in Fasciculus temporum ( 1474 ) used Anno an xpi nativitatem ( in the ... ( th ) year before the birth of Christ ) for all years between creation and Jesus . `` xpi '' is the Greek χρι in Latin letters , which is an abbreviation for Christi . This phrase appears upside down in the centre of recto folios ( right hand pages ) . From Jesus to Pope Sixtus IV he usually used Anno Christi or its abbreviated form Anno xpi ( on verso folios -- left hand pages ) . He used Anno mundi alongside all of these terms for all years .   Jump up ^ Steel , Duncan ( 2000 ) . Marking time : the epic quest to invent the perfect calendar . p. 114 . ISBN 978 - 0 - 471 - 29827 - 4 . Retrieved 2010 - 06 - 01 .   Jump up ^ Hunt , Lynn Avery ( 2008 ) . Measuring time , making history . p. 33 . ISBN 978 - 963 - 9776 - 14 - 2 . Retrieved 2010 - 06 - 01 .   Jump up ^ Petau , Denis ( 1758 ) . search for `` ante Christum '' in a 1748 reprint of a 1633 abridgement entitled Rationarium temporum by Denis Petau . Retrieved 2010 - 06 - 01 .   Jump up ^ C.R. Cheney , A Handbook of Dates , for students of British history , Cambridge University Press , 1945 -- 2000 , pp. 8 -- 14 .   Jump up ^ Dunn , James DG ( 2003 ) . `` Jesus Remembered '' . Eerdmans Publishing : 324 .   Jump up ^ Doggett 1992 , p579 : `` Although scholars generally believe that Christ was born some years before AD 1 , the historical evidence is too sketchy to allow a definitive dating '' .   Jump up ^ Paul L. Maier `` The Date of the Nativity and Chronology of Jesus '' in Chronos , kairos , Christos : nativity and chronological studies by Jerry Vardaman , Edwin M. Yamauchi 1989 ISBN 0 - 931464 - 50 - 1 pp. 113 -- 129   Jump up ^ New Testament History by Richard L. Niswonger 1992 ISBN 0 - 310 - 31201 - 9 pp. 121 -- 124   Jump up ^ Roger S. Bagnall and Klaas A. Worp , Chronological Systems of Byzantine Egypt , Leiden , Brill , 2004 .   Jump up ^ Alfred von Gutschmid , Kleine Schriften , F. Ruehl , Leipzig , 1889 , p. 433 .   Jump up ^ Johannes Kepler ( 1615 ) . Joannis Keppleri Eclogae chronicae : ex epistolis doctissimorum aliquot virorum &amp; suis mutuis , quibus examinantur tempora nobilissima : 1 . Herodis Herodiadumque , 2 . baptismi &amp; ministerii Christi annorum non plus 2 1 / 4 , 3 . passionis , mortis et resurrectionis Dn . N. Iesu Christi , anno aerae nostrae vulgaris 31 . non , ut vulgo 33. , 4 . belli Iudaici , quo funerata fuit cum Ierosolymis &amp; Templo Synagoga Iudaica , sublatumque Vetus Testamentum . Inter alia &amp; commentarius in locum Epiphanii obscurissimum de cyclo veteri Iudaeorum. ( in Latin ) . Francofurti : Tampach . Retrieved 2011 - 05 - 18 . anno aerae nostrae vulgaris   Jump up ^ Kepler , Johann ; Vlacq , Adriaan ( 1635 ) . Ephemerides of the Celestiall Motions , for the Yeers of the Vulgar Era 1633 ... Retrieved 2011 - 05 - 18 .   Jump up ^ Sliter , Robert ( 1652 ) . A celestiall glasse , or , Ephemeris for the year of the Christian era 1652 being the bissextile or leap - year : contayning the lunations , planetary motions , configurations &amp; ecclipses for this present year ... : with many other things very delightfull and necessary for most sorts of men : calculated exactly and composed for ... Rochester . London : Printed for the Company of Stationers .   Jump up ^ The History of the Works of the Learned. 10 . London : Printed for H. Rhodes . January 1708 . p. 513 . Retrieved 2011 - 05 - 18 .   Jump up ^ BBC Team ( 8 February 2005 ) . `` History of Judaism 63BCE -- 1086CE '' . BBC Religion &amp; Ethics . British Broadcasting Corporation . Archived from the original on 2011 - 05 - 13 . Retrieved 2011 - 05 - 18 . Year 1 : CE -- What is nowadays called the ' Current Era ' traditionally begins with the birth of a Jewish teacher called Jesus . His followers came to believe he was the promised Messiah and later split away from Judaism to found Christianity   Jump up ^ Raphall , Morris Jacob ( 1856 ) . Post-Biblical History of The Jews . Moss &amp; Brother . Archived from the original on 11 May 2011 . Retrieved 2011 - 05 - 18 . The term common era does not appear in this book ; the term Christian era ( lowercase ) does appear a number of times . Nowhere in the book is the abbreviation explained or expanded directly .   Jump up ^ Robinson , B.A. ( 20 April 2009 ) . `` Justification of the use of `` CE '' &amp; `` BCE '' to identify dates . Trends `` . ReligiousTolerance.org .   Jump up ^ William Safire ( 17 August 1997 ) . `` On Language : B.C. / A.D. or B.C.E. / C.E. ? '' . The New York Times Magazine .   Jump up ^ Cunningham , ed. by Philip A. ( 2004 ) . Pondering the Passion : what 's at stake for Christians and Jews ? . Lanham , Md. ( u.a. ) : Rowman &amp; Littlefield . p. 193 . ISBN 978 - 0742532182 . CS1 maint : Extra text : authors list ( link )   Jump up ^ Doggett , 1992 , p. 579    Sources ( edit )    Abate , Frank R. ( ed . ) ( 1997 ) . Oxford Pocket Dictionary and Thesaurus ( American ed . ) . New York : Oxford University Press . ISBN 0 - 19 - 513097 - 9 . CS1 maint : Extra text : authors list ( link )   Goldstein , Norm , ed. ( 2007 ) . Associated Press Style Book . New York : Basic Books . ISBN 0 - 465 - 00489 - X .   Bede. ( 731 ) . Historiam ecclesiasticam gentis Anglorum . Accessed 2007 - 12 - 07 .   Chicago Manual of Style ( 2nd ed . ) . University of Chicago . 1993 . ISBN 0 - 226 - 10389 - 7 .   Chicago Manual of Style ( 16th ed . ) . University of Chicago . 2010 . ISBN 0 - 226 - 10420 - 6 .     Blackburn , Bonnie ; Holford - Strevens , Leofranc ( 2003 ) . The Oxford companion to the Year : An exploration of calendar customs and time - reckoning . Oxford University Press . ISBN 0 - 19 - 214231 - 3 . Corrected reprinting of original 1999 edition .   Cunningham , Philip A ; Starr , Arthur F ( 1998 ) . Sharing Shalom : A Process for Local Interfaith Dialogue Between Christians and Jews . Paulist Press . ISBN 0 - 8091 - 3835 - 2 .   Declercq , Georges ( 2000 ) . Anno Domini : The origins of the Christian era . Turnhout : Brepols . ISBN 2 - 503 - 51050 - 7 . ( despite beginning with 2 , it is English )   Declercq , G. `` Dionysius Exiguus and the Introduction of the Christian Era '' . Sacris Erudiri 41 ( 2002 ) : 165 -- 246 . An annotated version of part of Anno Domini .   Doggett. ( 1992 ) . `` Calendars '' ( Ch. 12 ) , in P. Kenneth Seidelmann ( Ed . ) Explanatory supplement to the astronomical almanac . Sausalito , CA : University Science Books . ISBN 0 - 935702 - 68 - 7 .   Patrick , J. ( 1908 ) . `` General Chronology '' . In The Catholic Encyclopedia . New York : Robert Appleton Company . Retrieved 2008 - 07 - 16 from New Advent : http://www.newadvent.org/cathen/03738a.htm   Richards , E.G. ( 2000 ) . Mapping Time . Oxford : Oxford University Press . ISBN 0 - 19 - 286205 - 7 .   Riggs , John ( January 2003 ) . `` Whatever happened to B.C. and A.D. , and why ? '' . United Church News . Retrieved 2005 - 12 - 19 .   Ryan , Donald P. ( 2000 ) . The Complete Idiot 's Guide to Biblical Mysteries . Alpha Books . p. 15 . ISBN 0 - 02 - 863831 - X .    External links ( edit )       Look up AD or Anno Domini in Wiktionary , the free dictionary .      Calendar Converter              Chronology     Key topics     Archaeology   Astronomy   Geology   History   Paleontology   Time         Eras   Epochs        Calendar eras     Human Era   Ab urbe condita   Anno Domini / Common Era   Anno Mundi   Byzantine era   Seleucid era   Spanish era   Before Present   Hijri   Egyptian   Sothic cycle   Hindu units of time ( Yuga )   Mesoamerican   Long Count   Short Count   Tzolk'in   Haab '         Regnal year     Canon of Kings   Lists of kings   Limmu       Era names     Chinese   Japanese   Korean   Vietnamese          Calendars      Pre-Julian / Julian     Pre-Julian Roman   Original Julian   Proleptic Julian   Revised Julian       Gregorian     Gregorian   Proleptic Gregorian   Old Style and New Style dates   Adoption of the Gregorian calendar   Dual dating       Astronomical     Lunisolar   Solar   Lunar   Astronomical year numbering       Others     Chinese sexagenary cycle   Geologic Calendar   Hebrew   Iranian   Islamic   ISO week date   Mesoamerican   Maya   Aztec     Winter count ( Plains Indians )          Astronomic time     Cosmic Calendar   Ephemeris   Galactic year   Metonic cycle   Milankovitch cycles       Geologic time      Concepts     Deep time   Geological history of Earth   Geological time units       Standards     Global Standard Stratigraphic Age ( GSSA )   Global Boundary Stratotype Section and Point ( GSSP )       Methods     Chronostratigraphy   Geochronology   Isotope geochemistry   Law of superposition   Luminescence dating   Samarium -- neodymium dating          Chronological dating      Absolute dating     Amino acid racemisation   Archaeomagnetic dating   Dendrochronology   Ice core   Incremental dating   Lichenometry   Paleomagnetism   Radiometric dating   Radiocarbon   Uranium -- lead   Potassium -- argon     Tephrochronology   Luminescence dating   Thermoluminescence dating       Relative dating     Fluorine absorption   Nitrogen dating   Obsidian hydration   Seriation   Stratigraphy          Genetic methods     Molecular clock       Linguistic methods     Glottochronology       Related topics     Chronicle   New Chronology   Periodization   Synchronoptic view   Timeline   Year zero   Circa   Floruit   Terminus post quem   ASPRO chronology         Portal      Retrieved from `` https://en.wikipedia.org/w/index.php?title=Anno_Domini&amp;oldid=849279678 '' Categories :   6th - century Christianity   Calendar eras   Christian terminology   Chronology   Latin religious phrases   Timelines of Christian history   Hidden categories :   Articles containing Latin - language text   CS1 Latin - language sources ( la )   CS1 maint : Extra text : authors list   Use dmy dates from July 2012   All articles with unsourced statements   Articles with unsourced statements from June 2018           Talk                                           Contents                   About Wikipedia                                           Afrikaans   Alemannisch     Asturianu   Azərbaycanca   বাংলা   Bân - lâm - gú   Беларуская   Български   Bosanski   Català   Čeština   Cymraeg   Dansk   Deutsch   Eesti   Ελληνικά   Español   Esperanto   Euskara   فارسی   Français   Gaeilge   Gàidhlig   Galego   Հայերեն   हिन्दी   Hrvatski   Bahasa Indonesia   Íslenska   Italiano   עברית   Basa Jawa   ಕನ್ನಡ   Kiswahili   Kurdî   ລາວ   Latina   Latviešu   മലയാളം   Malti   मराठी   Bahasa Melayu   Монгол   မြန်မာဘာသာ   Nederlands   </t>
    </r>
    <r>
      <rPr>
        <sz val="11"/>
        <color rgb="FF000000"/>
        <rFont val="Noto Sans CJK SC"/>
        <family val="2"/>
      </rPr>
      <t xml:space="preserve">日本 語   </t>
    </r>
    <r>
      <rPr>
        <sz val="11"/>
        <color rgb="FF000000"/>
        <rFont val="Calibri"/>
        <family val="0"/>
        <charset val="1"/>
      </rPr>
      <t xml:space="preserve">Norsk   Norsk nynorsk   Occitan   پنجابی   Português   Română   Русский   Scots   Shqip   සිංහල   Simple English   Slovenčina   Slovenščina   Soomaaliga   کوردی   Српски / srpski   Srpskohrvatski / српскохрватски   Basa Sunda   Suomi   Svenska   தமிழ்   ไทย   Türkçe   Українська   اردو   </t>
    </r>
    <r>
      <rPr>
        <sz val="11"/>
        <color rgb="FF000000"/>
        <rFont val="Noto Sans CJK SC"/>
        <family val="2"/>
      </rPr>
      <t xml:space="preserve">中文  </t>
    </r>
    <r>
      <rPr>
        <sz val="11"/>
        <color rgb="FF000000"/>
        <rFont val="Calibri"/>
        <family val="0"/>
        <charset val="1"/>
      </rPr>
      <t xml:space="preserve">64 more  Edit links   This page was last edited on 7 July 2018 , at 21 : 40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</si>
  <si>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meaning of ad and bc</t>
  </si>
  <si>
    <t xml:space="preserve"> The terms anno Domini ( AD ) and before Christ ( BC ) are used to label or number years in the Julian and Gregorian calendars . The term anno Domini is Medieval Latin and means `` in the year of the Lord '' , but is often presented using `` our Lord '' instead of `` the Lord '' , taken from the full original phrase `` anno Domini nostri Jesu Christi '' , which translates to `` in the year of our Lord Jesus Christ '' . </t>
  </si>
  <si>
    <r>
      <rPr>
        <sz val="11"/>
        <color rgb="FF000000"/>
        <rFont val="Calibri"/>
        <family val="0"/>
        <charset val="1"/>
      </rPr>
      <t xml:space="preserve">List of National Basketball Association career scoring leaders - wikipedia  List of National Basketball Association career scoring leaders       This article 's lead section does not adequately summarize key points of its contents . Please consider expanding the lead to provide an accessible overview of all important aspects of the article . Please discuss this issue on the article 's talk page . ( March 2018 )    Kareem Abdul - Jabbar has scored the most career points in NBA history .  This article provides two lists :    A list of National Basketball Association players by total career regular season points scored .   A progressive list of scoring leaders showing how the record increased through the past seasons .    Contents    1 Scoring leaders   2 Progressive list of scoring leaders   3 See also   4 References   5 External links    Scoring leaders ( edit )   The following is a list of National Basketball Association players by total career regular season points scored .    Statistics accurate as of October 29 , 2018 .        Active NBA player     *   Inducted into the Naismith Memorial Basketball Hall of Fame     †   Not yet eligible for Hall of Fame consideration       Rank   Player   Position ( s )   Team ( s ) played for ( years )   Total points   Games played   Points per game average   Field goals made   Three - point field goals made   Free throws made       Kareem Abdul - Jabbar *     Milwaukee Bucks ( 1969 -- 1975 ) Los Angeles Lakers ( 1975 -- 1989 )   38,387   1,560   24.6   15,837     6,712       Karl Malone *   PF   Utah Jazz ( 1985 -- 2003 ) Los Angeles Lakers ( 2003 -- 2004 )   36,928   1,476   25.0   13,528   85   9,787       Kobe Bryant   SG   Los Angeles Lakers ( 1996 -- 2016 )   33,643   1,346   25.0   11,719   1,827   8,378       Michael Jordan *   SG   Chicago Bulls ( 1984 -- 1993 , 1995 -- 1998 ) Washington Wizards ( 2001 -- 2003 )   32,292   1,072   30.1   12,192   581   7,327     5   Wilt Chamberlain *     Philadelphia / San Francisco Warriors ( 1959 -- 1965 ) Philadelphia 76ers ( 1965 -- 1968 ) Los Angeles Lakers ( 1968 -- 1973 )   31,419   1,045   30.1   12,681   0   6,057     6   LeBron James ^   SF / PF   Cleveland Cavaliers ( 2003 -- 2010 , 2014 -- 2018 ) Miami Heat ( 2010 -- 2014 ) Los Angeles Lakers ( 2018 -- present )   31,231   1,150   27.2   11,350   1,626   6,905     7   Dirk Nowitzki ^   PF / C   Dallas Mavericks ( 1999 -- present )   31,187   1,471   21.2   11,034   1,918   7,201     8   Shaquille O'Neal *     Orlando Magic ( 1992 -- 1996 ) Los Angeles Lakers ( 1996 -- 2004 ) Miami Heat ( 2004 -- 2008 ) Phoenix Suns ( 2008 -- 2009 ) Cleveland Cavaliers ( 2009 -- 2010 ) Boston Celtics ( 2010 -- 2011 )   28,596   1,207   23.7   11,330     5,935     9   Moses Malone *     Buffalo Braves ( 1976 ) Houston Rockets ( 1976 -- 1982 ) Philadelphia 76ers ( 1982 -- 1986 , 1993 -- 1994 ) Washington Bullets ( 1986 -- 1988 ) Atlanta Hawks ( 1988 -- 1991 ) Milwaukee Bucks ( 1991 -- 1993 ) San Antonio Spurs ( 1994 -- 1995 )   27,409   1,329   20.6   9,435   8   8,531     10   Elvin Hayes *   PF / C   San Diego / Houston Rockets ( 1968 -- 1972 , 1981 -- 1984 ) Baltimore / Capital / Washington Bullets ( 1972 -- 1981 )   27,313   1,303   21.0   10,976   5   5,356     11   Hakeem Olajuwon *     Houston Rockets ( 1984 -- 2001 ) Toronto Raptors ( 2001 -- 2002 )   26,946   1,238   21.8   10,749   25   5,423     12   Oscar Robertson *   PG   Cincinnati Royals ( 1960 -- 1970 ) Milwaukee Bucks ( 1970 -- 1974 )   26,710   1,040   25.7   9,508   0   7,694     13   Dominique Wilkins *   SF   Atlanta Hawks ( 1982 -- 1994 ) Los Angeles Clippers ( 1994 ) Boston Celtics ( 1994 -- 1995 ) San Antonio Spurs ( 1996 -- 1997 ) Orlando Magic ( 1999 )   26,668   1,074   24.8   9,963   711   6,031     14   Tim Duncan   PF / C   San Antonio Spurs ( 1997 -- 2016 )   26,496   1,392   19.0   10,285   30   5,896     15   Paul Pierce   SF / SG   Boston Celtics ( 1999 -- 2013 ) Brooklyn Nets ( 2013 -- 2014 ) Washington Wizards ( 2014 -- 2015 ) Los Angeles Clippers ( 2015 -- 2017 )   26,397   1,343   19.7   8,668   2,143   6,918     16   John Havlicek *   SF / SG   Boston Celtics ( 1962 -- 1978 )   26,395   1,270   20.8   10,513   0   5,369     17   Kevin Garnett   PF / C   Minnesota Timberwolves ( 1995 -- 2007 , 2015 -- 2016 ) Boston Celtics ( 2007 -- 2013 ) Brooklyn Nets ( 2013 -- 2015 )   26,071   1,462   17.8   10,505   174   4,887     18   Alex English *   SF   Milwaukee Bucks ( 1976 -- 1978 ) Indiana Pacers ( 1978 -- 1980 ) Denver Nuggets ( 1980 -- 1990 ) Dallas Mavericks ( 1990 -- 1991 )   25,613   1,193   21.5   10,659   18   4,277     19   Carmelo Anthony ^   SF   Denver Nuggets ( 2003 -- 2011 ) New York Knicks ( 2011 -- 2017 ) Oklahoma City Thunder ( 2017 -- 2018 ) Houston Rockets ( 2018 -- present )   25,488   1,059   24.1   9,114   1,353   5,907     20   Reggie Miller *   SG   Indiana Pacers ( 1987 -- 2005 )   25,279   1,389   18.2   8,241   2,560   6,237     21   Jerry West *   PG / SG   Los Angeles Lakers ( 1960 -- 1974 )   25,192   932   27.0   9,016   0   7,160     22   Vince Carter ^   SG / SF   Toronto Raptors ( 1999 -- 2004 ) New Jersey Nets ( 2004 -- 2009 ) Orlando Magic ( 2009 -- 2010 ) Phoenix Suns ( 2010 -- 2011 ) Dallas Mavericks ( 2011 -- 2014 ) Memphis Grizzlies ( 2014 -- 2017 ) Sacramento Kings ( 2017 -- 2018 ) Atlanta Hawks ( 2018 -- present )   24,915   1,411   17.7   9,005   2,117   4,788     23   Patrick Ewing *     New York Knicks ( 1985 -- 2000 ) Seattle SuperSonics ( 2000 -- 2001 ) Orlando Magic ( 2001 -- 2002 )   24,815   1,183   21.0   9,702   19   5,392     24   Ray Allen *   SG   Milwaukee Bucks ( 1996 -- 2003 ) Seattle SuperSonics ( 2003 -- 2007 ) Boston Celtics ( 2007 -- 2012 ) Miami Heat ( 2012 -- 2014 )   24,505   1,300   18.9   8,567   2,973   4,398     25   Allen Iverson *   SG / PG   Philadelphia 76ers ( 1996 -- 2006 , 2009 -- 2010 ) Denver Nuggets ( 2006 -- 2008 ) Detroit Pistons ( 2008 -- 2009 ) Memphis Grizzlies ( 2009 )   24,368   914   26.7   8,467   1,059   6,375     26   Charles Barkley *   PF   Philadelphia 76ers ( 1984 -- 1992 ) Phoenix Suns ( 1992 -- 1996 ) Houston Rockets ( 1996 -- 2000 )   23,757   1,073   22.1   8,435   538   6,349     27   Robert Parish *     Golden State Warriors ( 1976 -- 1980 ) Boston Celtics ( 1980 -- 1994 ) Charlotte Hornets ( 1994 -- 1996 ) Chicago Bulls ( 1996 -- 1997 )   23,334   1,611   14.5   9,614   0   4,106     28   Adrian Dantley *   SF   Buffalo Braves ( 1976 -- 1977 ) Indiana Pacers ( 1977 ) Los Angeles Lakers ( 1977 -- 1979 ) Utah Jazz ( 1979 -- 1986 ) Detroit Pistons ( 1986 -- 1989 ) Dallas Mavericks ( 1989 -- 1990 ) Milwaukee Bucks ( 1991 )   23,177   955   24.3   8,169   7   6,832     29   Elgin Baylor *   SF   Minneapolis / Los Angeles Lakers ( 1958 -- 1971 )   23,149   846   27.4   8,693   0   5,763     30   Clyde Drexler *   SG   Portland Trail Blazers ( 1983 -- 1995 ) Houston Rockets ( 1995 -- 1998 )   22,195   1,086   20.4   8,335   827   4,698     31   Dwyane Wade ^   SG   Miami Heat ( 2003 -- 2016 , 2018 -- present ) Chicago Bulls ( 2016 -- 2017 ) Cleveland Cavaliers ( 2017 -- 2018 )   22,155   988   22.4   8,066   472   5,551     32   Gary Payton *   PG   Seattle SuperSonics ( 1990 -- 2003 ) Milwaukee Bucks ( 2003 ) Los Angeles Lakers ( 2003 -- 2004 ) Boston Celtics ( 2004 -- 2005 ) Miami Heat ( 2005 -- 2007 )   21,813   1,335   16.3   8,708   1,132   3,265     33   Larry Bird *   SF / PF   Boston Celtics ( 1979 -- 1992 )   21,791   897   24.3   8,591   649   3,960     34   Hal Greer *   SG / PG   Syracuse Nationals / Philadelphia 76ers ( 1958 -- 1973 )   21,586   1,122   19.2   8,504   0   4,578     35   Kevin Durant ^   SF   Seattle SuperSonics / Oklahoma City Thunder ( 2007 -- 2016 ) Golden State Warriors ( 2016 -- present )   21,139   779   27.1   7,178   1,445   5,338     36   Walt Bellamy *     Chicago Packers / Zephyrs / Baltimore Bullets ( 1961 -- 1965 ) New York Knicks ( 1965 -- 1968 ) Detroit Pistons ( 1968 -- 1970 ) Atlanta Hawks ( 1970 -- 1974 ) New Orleans Jazz ( 1974 )   20,941   1,043   20.1   7,914   0   5,113     37   Bob Pettit *   PF / C   Milwaukee / St. Louis Hawks ( 1954 -- 1965 )   20,880   792   26.4   7,349   0   6,182     38   Pau Gasol ^   C / PF   Memphis Grizzlies ( 2001 -- 2008 ) Los Angeles Lakers ( 2008 -- 2014 ) Chicago Bulls ( 2014 -- 2016 ) San Antonio Spurs ( 2016 -- present )   20,815   1,202   17.3   7,951   176   4,737     39   David Robinson *     San Antonio Spurs ( 1989 -- 2003 )   20,790   987   21.1   7,365   25   6,035     40   George Gervin *   SG / SF   San Antonio Spurs ( 1976 -- 1985 ) Chicago Bulls ( 1985 -- 1986 )   20,708   791   26.2   8,045   77   4,541     41   Mitch Richmond *   SG   Golden State Warriors ( 1988 -- 1991 ) Sacramento Kings ( 1991 -- 1998 ) Washington Wizards ( 1999 -- 2001 ) Los Angeles Lakers ( 2001 -- 2002 )   20,497   976   21.0   7,305   1,326   4,561     42   Joe Johnson ^   SG / SF   Boston Celtics ( 2001 -- 2002 ) Phoenix Suns ( 2002 -- 2005 ) Atlanta Hawks ( 2005 -- 2012 ) Brooklyn Nets ( 2012 -- 2016 ) Miami Heat ( 2016 ) Utah Jazz ( 2016 -- 2018 ) Houston Rockets ( 2018 )   20,405   1,276   16.0   7,822   1,978   2,783     43   Tom Chambers   PF   San Diego Clippers ( 1981 -- 1983 ) Seattle SuperSonics ( 1983 -- 1988 ) Phoenix Suns ( 1988 -- 1993 ) Utah Jazz ( 1993 -- 1995 ) Charlotte Hornets ( 1997 ) Philadelphia 76ers ( 1997 )   20,049   1,107   18.1   7,378   227   5,066     44   Antawn Jamison   PF / SF   Golden State Warriors ( 1999 -- 2003 ) Dallas Mavericks ( 2003 -- 2004 ) Washington Wizards ( 2004 -- 2010 ) Cleveland Cavaliers ( 2010 -- 2012 ) Los Angeles Lakers ( 2012 -- 2013 ) Los Angeles Clippers ( 2013 -- 2014 )   20,042   1,083   18.5   7,679   1,163   3,521     45   John Stockton *   PG   Utah Jazz ( 1984 -- 2003 )   19,711   1,504   13.1   7,039   845   4,788     46   Bernard King *   SF   New Jersey Nets ( 1977 -- 1979 , 1993 ) Utah Jazz ( 1979 ) Golden State Warriors ( 1980 -- 1982 ) New York Knicks ( 1982 -- 1985 , 1987 ) Washington Bullets ( 1987 -- 1991 )   19,655   874   22.5   7,830   23   3,972     47   Clifford Robinson   PF / SF   Portland Trail Blazers ( 1989 -- 1997 ) Phoenix Suns ( 1997 -- 2001 ) Detroit Pistons ( 2001 -- 2003 ) Golden State Warriors ( 2003 -- 2005 ) New Jersey Nets ( 2005 -- 2007 )   19,591   1,380   14.2   7,389   1,253   3,560     48   Walter Davis   SG / SF   Phoenix Suns ( 1977 -- 1988 ) Denver Nuggets ( 1988 -- 1991 , 1991 -- 1992 ) Portland Trail Blazers ( 1991 )   19,521   1,033   18.9   8,118   157   3,128     49   Terry Cummings   PF   San Diego Clippers ( 1982 -- 1984 ) Milwaukee Bucks ( 1984 -- 1989 , 1995 -- 1996 ) San Antonio Spurs ( 1989 -- 1995 ) Seattle SuperSonics ( 1996 -- 1997 ) Philadelphia 76ers ( 1997 -- 1998 ) New York Knicks ( 1998 ) Golden State Warriors ( 1999 -- 2000 )   19,460   1,183   16.4   8,045   44   3,326     50   Bob Lanier *     Detroit Pistons ( 1970 -- 1980 ) Milwaukee Bucks ( 1980 -- 1984 )   19,248   959   20.1   7,761     3,724     Progressive list of scoring leaders ( edit )   This is a progressive list of scoring leaders showing how the record increased through the years .    Statistics accurate as of the conclusion of the 2017 -- 18 NBA season on April 11 , 2018 .        Active NBA player     *   Inducted into the Naismith Memorial Basketball Hall of Fame     †   Not yet eligible for Hall of Fame consideration      Only players with at least 50 win shares are shown for 1st time eligible Hall of Fame consideration .   Win shares is a player statistic which attempts to divvy up credit for team success to the individuals on the team .    Team abbreviations Team ( s ) listed is the one player was on when he established the record .   ATL   Atlanta Hawks   DET   Detroit Pistons   MIL   Milwaukee Bucks   PHX   Phoenix Suns     BOS   Boston Celtics   FTW   Fort Wayne Pistons   MIN   Minnesota Timberwolves   PHW   Philadelphia Warriors     BUF   Buffalo Braves   GSW   Golden State Warriors   MNL   Minneapolis Lakers   SAS   San Antonio Spurs     CHI   Chicago Bulls   HOU   Houston Rockets   NOJ   New Orleans Jazz   SDR   San Diego Rockets     CHS   Chicago Stags   IND   Indiana Pacers   NOP   New Orleans Pelicans   SFW   San Francisco Warriors     CLE   Cleveland Cavaliers   KCO   Kansas City - Omaha Kings   OKC   Oklahoma City Thunder   STL   St. Louis Hawks     DAL   Dallas Mavericks   LAL   Los Angeles Lakers   ORL   Orlando Magic   SYR   Syracuse Nationals     DEN   Denver Nuggets   MIA   Miami Heat   PHI   Philadelphia 76ers   UTA   Utah Jazz     Scoring leader at the end of every season   Season   Year - by - year leader   Points   Active player leader   Total points   Career record   Total points   Single - season record   Points   Season     1946 -- 47   Joe Fulks * 000PHW   1,389   Joe Fulks * 000PHW   1,389   Joe Fulks * 000PHW   1,389   Joe Fulks * 000PHW   1,389   1946 -- 47     1947 -- 48   Max Zaslofsky 000CHS   1,007   2,338   2,338   1947 -- 48     1948 -- 49   George Mikan * 000MNL   1,698   3,898   3,898   George Mikan * 000MNL   1,698   1948 -- 49     1949 -- 50   1,865   4,863   4,863   1,865   1949 -- 50     1950 -- 51   1,932   6,099   6,099   1,932   1950 -- 51     1951 -- 52   Paul Arizin * 000PHW   1,674   7,021   7,021   1951 -- 52     1952 -- 53   Neil Johnston * 000PHW   1,564   George Mikan * 000MNL   8,460   George Mikan * 000MNL   8,460   1952 -- 53     1953 -- 54   1,759   9,766   9,766   1953 -- 54     1954 -- 55   1,631   Max Zaslofsky 000FTW   7,902   1954 -- 55     1955 -- 56   Bob Pettit * 000STL   1,849   George Mikan * 000MNL   10,156   10,156   1955 -- 56     1956 -- 57   Paul Arizin * 000PHW   1,817   Ed Macauley * 000STL   10,150   1956 -- 57     1957 -- 58   George Yardley * 000DET   2,001   Dolph Schayes * 000SYR   11,764   Dolph Schayes * 000SYR   11,764   George Yardley * 000DET   2,001   1957 -- 58     1958 -- 59   Bob Pettit * 000STL   2,105   13,298   13,298   Bob Pettit * 000STL   2,105   1958 -- 59     1959 -- 60   Wilt Chamberlain * 000PHW 1959 -- 62 000SFW 1962 -- 65 000PHI 1965 -- 66   2,707   14,987   14,987   Wilt Chamberlain * 000PHW   2,707   1959 -- 60     1960 -- 61   3,033   16,855   16,855   3,033   1960 -- 61     1961 -- 62   4,029   17,677   17,677   4,029   1961 -- 62     1962 -- 63   3,586   18,304   18,304   1962 -- 63     1963 -- 64   2,948   Bob Pettit * 000STL   19,756   Bob Pettit * 000STL   19,756   1963 -- 64     1964 -- 65   2,534   20,880   20,880   1964 -- 65     1965 -- 66   2,649   Wilt Chamberlain * 000PHI 1965 -- 68 000LAL 1968 -- 73   21,486   Wilt Chamberlain * 000PHI 1965 -- 68 000LAL 1968 -- 73   21,486   1965 -- 66     1966 -- 67   Rick Barry * 000SFW   2,775   23,442   23,442   1966 -- 67     1967 -- 68   Dave Bing * 000DET   2,142   25,434   25,434   1967 -- 68     1968 -- 69   Elvin Hayes * 000SDR   2,327   27,098   27,098   1968 -- 69     1969 -- 70   Kareem Abdul - Jabbar * 000MIL   2,361   27,426   27,426   1969 -- 70     1970 -- 71   2,596   29,122   29,122   1970 -- 71     1971 -- 72   2,822   30,335   30,335   1971 -- 72     1972 -- 73   Tiny Archibald * 000KCO   2,719   31,419   31,419   1972 -- 73     1973 -- 74   Bob McAdoo * 000BUF   2,261   Oscar Robertson * 000MIL   26,710   1973 -- 74     1974 -- 75   2,831   John Havlicek * 000BOS   22,389   1974 -- 75     1975 -- 76   2,427   23,678   1975 -- 76     1976 -- 77   Pete Maravich * 000NOJ   2,273   25,073   1976 -- 77     1977 -- 78   George Gervin * 000SAS   2,232   26,395   1977 -- 78     1978 -- 79   2,365   Kareem Abdul - Jabbar * 000LAL   22,141   1978 -- 79     1979 -- 80   2,585   24,175   1979 -- 80     1980 -- 81   Adrian Dantley * 000UTA   2,452   26,270   1980 -- 81     1981 -- 82   George Gervin * 000SAS   2,551   28,088   1981 -- 82     1982 -- 83   Alex English * 000DEN   2,326   29,810   1982 -- 83     1983 -- 84   Adrian Dantley * 000UTA   2,418   31,527   Kareem Abdul - Jabbar * 000LAL   31,527   1983 -- 84     1984 -- 85   Michael Jordan * 000CHI   2,313   33,262   33,262   1984 -- 85     1985 -- 86   Alex English * 000DEN   2,414   35,108   35,108   1985 -- 86     1986 -- 87   Michael Jordan * 000CHI   3,041   36,474   36,474   1986 -- 87     1987 -- 88   2,868   37,639   37,639   1987 -- 88     1988 -- 89   2,633   38,387   38,387   1988 -- 89     1989 -- 90   2,753   Moses Malone * 000ATL 1989 -- 91 000MIL 1991 -- 93 000PHI 1993 -- 94 000SAS 1994 -- 95   24,868   1989 -- 90     1990 -- 91   2,580   25,737   1990 -- 91     1991 -- 92   2,404   27,016   1991 -- 92     1992 -- 93   2,541   27,066   1992 -- 93     1993 -- 94   David Robinson * 000SAS   2,383   27,360   1993 -- 94     1994 -- 95   Shaquille O'Neal * 000ORL   2,315   27,409   1994 -- 95     1995 -- 96   Michael Jordan * 000CHI   2,491   Michael Jordan * 000CHI   24,489   1995 -- 96     1996 -- 97   2,431   26,920   1996 -- 97     1997 -- 98   2,357   29,277   1997 -- 98     1998 -- 99   Shaquille O'Neal * 000LAL   1,289   Karl Malone * 000UTA 1998 -- 2003 000LAL 2003 -- 04   28,946   1998 -- 99     1999 -- 00   2,344   31,041   1999 -- 00     2000 -- 01   Jerry Stackhouse 00DET   2,380   32,919   2000 -- 01     2001 -- 02   Paul Pierce 000BOS   2,144   34,707   2001 -- 02     2002 -- 03   Kobe Bryant 000LAL   2,461   36,374   2002 -- 03     2003 -- 04   Kevin Garnett 000MIN   1,987   36,928   2003 -- 04     2004 -- 05   Allen Iverson * 000PHI   2,302   Reggie Miller * 000IND   25,279   2004 -- 05     2005 -- 06   Kobe Bryant 000LAL   2,832   Shaquille O'Neal * 000MIA 2005 -- 08 000PHO 2008 -- 09 000CLE 2009 -- 10 000BOS 2010 -- 11   24,764   2005 -- 06     2006 -- 07   2,430   25,454   2006 -- 07     2007 -- 08   2,323   26,286   2007 -- 08     2008 -- 09   Dwyane Wade ^ 000MIA   2,386   27,619   2008 -- 09     2009 -- 10   Kevin Durant ^ 000OKC   2,472   28,255   2009 -- 10     2010 -- 11   2,161   28,596   2010 -- 11     2011 -- 12   1,850   Kobe Bryant 000LAL   29,484   2011 -- 12     2012 -- 13   2,280   31,617   2012 -- 13     2013 -- 14   2,593   31,700   2013 -- 14     2014 -- 15   James Harden ^ 000HOU   2,217   32,482   2014 -- 15     2015 -- 16   2,376   33,643   2015 -- 16     2016 -- 17   Russell Westbrook ^ 000OKC   2,558   Dirk Nowitzki ^ 000DAL   30,260   2016 -- 17     2017 -- 18   LeBron James ^ 000CLE   2,251   31,187   Abdul - Jabbar * 0 35 yrs   38,387   Chamberlain * 059 yrs   4,029   2017 -- 18     Season   Year - by - year leader   Points   Active player leader   Total points   Career record   Total points   Single - season record   Points   Season       See also ( edit )    List of National Basketball Association annual scoring leaders   List of National Basketball Association career playoff scoring leaders   National Basketball Association portal    References ( edit )    ^ Jump up to : `` NBA Progressive Leaders and Records for Points '' . Basketball-Reference.com . Retrieved 25 March 2015 .   ^ Jump up to : A player is not eligible for induction into the Naismith Memorial Basketball Hall of Fame until he has been fully retired for three calendar years .   Jump up ^ American Basketball Association ( ABA ) teams other than those admitted into the NBA in 1976 are not included ; each year is linked to an article about that particular NBA season .   Jump up ^ Average is rounded to the nearest tenth .   Jump up ^ First adopted in the 1979 -- 80 season .   Jump up ^ Previously known as Lew Alcindor prior to an official name change on May 1 , 1971 .   Jump up ^ Previously written as Akeem Olajuwon prior to an official spelling change on March 9 , 1991 .   Jump up ^ `` NBA Win Shares '' . Basketball-reference.com . Retrieved 8 April 2016 .    External links ( edit )    Basketball-Reference.com enumeration of NBA career leaders in points scored              National Basketball Association statistical leaders     Players      Career      Regular season     Points   Franchise     Rebounds   Assists   Steals   Blocks   Turnovers   Three - point field goals   Free throws   Seasons   Games   Minutes       Playoffs     Points   Rebounds   Assists   Steals   Blocks   Turnovers   Three - point field goals   Free throws   Games   Minutes          Annual     Points   Rebounds   Assists   Steals   Blocks   Minutes   Field goal percentage   Three - point field goals   Three - point field goal percentage   Free throw percentage       Season     Points   Rookie     Rebounds   Rookie         Game     Points   Playoffs     Rebounds   Assists   Steals   Blocks       Misc     Entire career with one franchise   Tallest players   Shortest players   Oldest and youngest players   Highest - paid players          Teams     Winningest teams   All - time win - loss records   Winning streaks   Losing streaks       Misc     Highest - scoring games   Records   Regular season   Playoffs   All - Star Game        Retrieved from `` https://en.wikipedia.org/w/index.php?title=List_of_National_Basketball_Association_career_scoring_leaders&amp;oldid=866403138 '' Categories :   National Basketball Association lists   National Basketball Association statistical leaders   Hidden categories :   Wikipedia introduction cleanup from March 2018   All pages needing cleanup   Articles covered by WikiProject Wikify from March 2018   All articles covered by WikiProject Wikify   Articles with hCards           Talk                                           Contents                   About Wikipedia                                           Bosanski   Deutsch   Eesti   Español   Français   Bahasa Indonesia   Italiano   Latviešu   Polski   Русский   Українська   Vèneto   </t>
    </r>
    <r>
      <rPr>
        <sz val="11"/>
        <color rgb="FF000000"/>
        <rFont val="Noto Sans CJK SC"/>
        <family val="2"/>
      </rPr>
      <t xml:space="preserve">中文  </t>
    </r>
    <r>
      <rPr>
        <sz val="11"/>
        <color rgb="FF000000"/>
        <rFont val="Calibri"/>
        <family val="0"/>
        <charset val="1"/>
      </rPr>
      <t xml:space="preserve">4 more  Edit links   This page was last edited on 30 October 2018 , at 03 : 08 ( UTC ) .         About Wikipedia                    </t>
    </r>
  </si>
  <si>
    <t xml:space="preserve">who is the leading scorer in the nba</t>
  </si>
  <si>
    <t xml:space="preserve">   Rank   Player   Position ( s )   Team ( s ) played for ( years )   Total points   Games played   Points per game average   Field goals made   Three - point field goals made   Free throws made       Kareem Abdul - Jabbar *     Milwaukee Bucks ( 1969 -- 1975 ) Los Angeles Lakers ( 1975 -- 1989 )   38,387   1,560   24.6   15,837     6,712       Karl Malone *   PF   Utah Jazz ( 1985 -- 2003 ) Los Angeles Lakers ( 2003 -- 2004 )   36,928   1,476   25.0   13,528   85   9,787       Kobe Bryant   SG   Los Angeles Lakers ( 1996 -- 2016 )   33,643   1,346   25.0   11,719   1,827   8,378       Michael Jordan *   SG   Chicago Bulls ( 1984 -- 1993 , 1995 -- 1998 ) Washington Wizards ( 2001 -- 2003 )   32,292   1,072   30.1   12,192   581   7,327     5   Wilt Chamberlain *     Philadelphia / San Francisco Warriors ( 1959 -- 1965 ) Philadelphia 76ers ( 1965 -- 1968 ) Los Angeles Lakers ( 1968 -- 1973 )   31,419   1,045   30.1   12,681   0   6,057     6   LeBron James ^   SF / PF   Cleveland Cavaliers ( 2003 -- 2010 , 2014 -- 2018 ) Miami Heat ( 2010 -- 2014 ) Los Angeles Lakers ( 2018 -- present )   31,231   1,150   27.2   11,350   1,626   6,905     7   Dirk Nowitzki ^   PF / C   Dallas Mavericks ( 1999 -- present )   31,187   1,471   21.2   11,034   1,918   7,201     8   Shaquille O'Neal *     Orlando Magic ( 1992 -- 1996 ) Los Angeles Lakers ( 1996 -- 2004 ) Miami Heat ( 2004 -- 2008 ) Phoenix Suns ( 2008 -- 2009 ) Cleveland Cavaliers ( 2009 -- 2010 ) Boston Celtics ( 2010 -- 2011 )   28,596   1,207   23.7   11,330     5,935     9   Moses Malone *     Buffalo Braves ( 1976 ) Houston Rockets ( 1976 -- 1982 ) Philadelphia 76ers ( 1982 -- 1986 , 1993 -- 1994 ) Washington Bullets ( 1986 -- 1988 ) Atlanta Hawks ( 1988 -- 1991 ) Milwaukee Bucks ( 1991 -- 1993 ) San Antonio Spurs ( 1994 -- 1995 )   27,409   1,329   20.6   9,435   8   8,531     10   Elvin Hayes *   PF / C   San Diego / Houston Rockets ( 1968 -- 1972 , 1981 -- 1984 ) Baltimore / Capital / Washington Bullets ( 1972 -- 1981 )   27,313   1,303   21.0   10,976   5   5,356     11   Hakeem Olajuwon *     Houston Rockets ( 1984 -- 2001 ) Toronto Raptors ( 2001 -- 2002 )   26,946   1,238   21.8   10,749   25   5,423     12   Oscar Robertson *   PG   Cincinnati Royals ( 1960 -- 1970 ) Milwaukee Bucks ( 1970 -- 1974 )   26,710   1,040   25.7   9,508   0   7,694     13   Dominique Wilkins *   SF   Atlanta Hawks ( 1982 -- 1994 ) Los Angeles Clippers ( 1994 ) Boston Celtics ( 1994 -- 1995 ) San Antonio Spurs ( 1996 -- 1997 ) Orlando Magic ( 1999 )   26,668   1,074   24.8   9,963   711   6,031     14   Tim Duncan   PF / C   San Antonio Spurs ( 1997 -- 2016 )   26,496   1,392   19.0   10,285   30   5,896     15   Paul Pierce   SF / SG   Boston Celtics ( 1999 -- 2013 ) Brooklyn Nets ( 2013 -- 2014 ) Washington Wizards ( 2014 -- 2015 ) Los Angeles Clippers ( 2015 -- 2017 )   26,397   1,343   19.7   8,668   2,143   6,918     16   John Havlicek *   SF / SG   Boston Celtics ( 1962 -- 1978 )   26,395   1,270   20.8   10,513   0   5,369     17   Kevin Garnett   PF / C   Minnesota Timberwolves ( 1995 -- 2007 , 2015 -- 2016 ) Boston Celtics ( 2007 -- 2013 ) Brooklyn Nets ( 2013 -- 2015 )   26,071   1,462   17.8   10,505   174   4,887     18   Alex English *   SF   Milwaukee Bucks ( 1976 -- 1978 ) Indiana Pacers ( 1978 -- 1980 ) Denver Nuggets ( 1980 -- 1990 ) Dallas Mavericks ( 1990 -- 1991 )   25,613   1,193   21.5   10,659   18   4,277     19   Carmelo Anthony ^   SF   Denver Nuggets ( 2003 -- 2011 ) New York Knicks ( 2011 -- 2017 ) Oklahoma City Thunder ( 2017 -- 2018 ) Houston Rockets ( 2018 -- present )   25,488   1,059   24.1   9,114   1,353   5,907     20   Reggie Miller *   SG   Indiana Pacers ( 1987 -- 2005 )   25,279   1,389   18.2   8,241   2,560   6,237     21   Jerry West *   PG / SG   Los Angeles Lakers ( 1960 -- 1974 )   25,192   932   27.0   9,016   0   7,160     22   Vince Carter ^   SG / SF   Toronto Raptors ( 1999 -- 2004 ) New Jersey Nets ( 2004 -- 2009 ) Orlando Magic ( 2009 -- 2010 ) Phoenix Suns ( 2010 -- 2011 ) Dallas Mavericks ( 2011 -- 2014 ) Memphis Grizzlies ( 2014 -- 2017 ) Sacramento Kings ( 2017 -- 2018 ) Atlanta Hawks ( 2018 -- present )   24,915   1,411   17.7   9,005   2,117   4,788     23   Patrick Ewing *     New York Knicks ( 1985 -- 2000 ) Seattle SuperSonics ( 2000 -- 2001 ) Orlando Magic ( 2001 -- 2002 )   24,815   1,183   21.0   9,702   19   5,392     24   Ray Allen *   SG   Milwaukee Bucks ( 1996 -- 2003 ) Seattle SuperSonics ( 2003 -- 2007 ) Boston Celtics ( 2007 -- 2012 ) Miami Heat ( 2012 -- 2014 )   24,505   1,300   18.9   8,567   2,973   4,398     25   Allen Iverson *   SG / PG   Philadelphia 76ers ( 1996 -- 2006 , 2009 -- 2010 ) Denver Nuggets ( 2006 -- 2008 ) Detroit Pistons ( 2008 -- 2009 ) Memphis Grizzlies ( 2009 )   24,368   914   26.7   8,467   1,059   6,375     26   Charles Barkley *   PF   Philadelphia 76ers ( 1984 -- 1992 ) Phoenix Suns ( 1992 -- 1996 ) Houston Rockets ( 1996 -- 2000 )   23,757   1,073   22.1   8,435   538   6,349     27   Robert Parish *     Golden State Warriors ( 1976 -- 1980 ) Boston Celtics ( 1980 -- 1994 ) Charlotte Hornets ( 1994 -- 1996 ) Chicago Bulls ( 1996 -- 1997 )   23,334   1,611   14.5   9,614   0   4,106     28   Adrian Dantley *   SF   Buffalo Braves ( 1976 -- 1977 ) Indiana Pacers ( 1977 ) Los Angeles Lakers ( 1977 -- 1979 ) Utah Jazz ( 1979 -- 1986 ) Detroit Pistons ( 1986 -- 1989 ) Dallas Mavericks ( 1989 -- 1990 ) Milwaukee Bucks ( 1991 )   23,177   955   24.3   8,169   7   6,832     29   Elgin Baylor *   SF   Minneapolis / Los Angeles Lakers ( 1958 -- 1971 )   23,149   846   27.4   8,693   0   5,763     30   Clyde Drexler *   SG   Portland Trail Blazers ( 1983 -- 1995 ) Houston Rockets ( 1995 -- 1998 )   22,195   1,086   20.4   8,335   827   4,698     31   Dwyane Wade ^   SG   Miami Heat ( 2003 -- 2016 , 2018 -- present ) Chicago Bulls ( 2016 -- 2017 ) Cleveland Cavaliers ( 2017 -- 2018 )   22,155   988   22.4   8,066   472   5,551     32   Gary Payton *   PG   Seattle SuperSonics ( 1990 -- 2003 ) Milwaukee Bucks ( 2003 ) Los Angeles Lakers ( 2003 -- 2004 ) Boston Celtics ( 2004 -- 2005 ) Miami Heat ( 2005 -- 2007 )   21,813   1,335   16.3   8,708   1,132   3,265     33   Larry Bird *   SF / PF   Boston Celtics ( 1979 -- 1992 )   21,791   897   24.3   8,591   649   3,960     34   Hal Greer *   SG / PG   Syracuse Nationals / Philadelphia 76ers ( 1958 -- 1973 )   21,586   1,122   19.2   8,504   0   4,578     35   Kevin Durant ^   SF   Seattle SuperSonics / Oklahoma City Thunder ( 2007 -- 2016 ) Golden State Warriors ( 2016 -- present )   21,139   779   27.1   7,178   1,445   5,338     36   Walt Bellamy *     Chicago Packers / Zephyrs / Baltimore Bullets ( 1961 -- 1965 ) New York Knicks ( 1965 -- 1968 ) Detroit Pistons ( 1968 -- 1970 ) Atlanta Hawks ( 1970 -- 1974 ) New Orleans Jazz ( 1974 )   20,941   1,043   20.1   7,914   0   5,113     37   Bob Pettit *   PF / C   Milwaukee / St. Louis Hawks ( 1954 -- 1965 )   20,880   792   26.4   7,349   0   6,182     38   Pau Gasol ^   C / PF   Memphis Grizzlies ( 2001 -- 2008 ) Los Angeles Lakers ( 2008 -- 2014 ) Chicago Bulls ( 2014 -- 2016 ) San Antonio Spurs ( 2016 -- present )   20,815   1,202   17.3   7,951   176   4,737     39   David Robinson *     San Antonio Spurs ( 1989 -- 2003 )   20,790   987   21.1   7,365   25   6,035     40   George Gervin *   SG / SF   San Antonio Spurs ( 1976 -- 1985 ) Chicago Bulls ( 1985 -- 1986 )   20,708   791   26.2   8,045   77   4,541     41   Mitch Richmond *   SG   Golden State Warriors ( 1988 -- 1991 ) Sacramento Kings ( 1991 -- 1998 ) Washington Wizards ( 1999 -- 2001 ) Los Angeles Lakers ( 2001 -- 2002 )   20,497   976   21.0   7,305   1,326   4,561     42   Joe Johnson ^   SG / SF   Boston Celtics ( 2001 -- 2002 ) Phoenix Suns ( 2002 -- 2005 ) Atlanta Hawks ( 2005 -- 2012 ) Brooklyn Nets ( 2012 -- 2016 ) Miami Heat ( 2016 ) Utah Jazz ( 2016 -- 2018 ) Houston Rockets ( 2018 )   20,405   1,276   16.0   7,822   1,978   2,783     43   Tom Chambers   PF   San Diego Clippers ( 1981 -- 1983 ) Seattle SuperSonics ( 1983 -- 1988 ) Phoenix Suns ( 1988 -- 1993 ) Utah Jazz ( 1993 -- 1995 ) Charlotte Hornets ( 1997 ) Philadelphia 76ers ( 1997 )   20,049   1,107   18.1   7,378   227   5,066     44   Antawn Jamison   PF / SF   Golden State Warriors ( 1999 -- 2003 ) Dallas Mavericks ( 2003 -- 2004 ) Washington Wizards ( 2004 -- 2010 ) Cleveland Cavaliers ( 2010 -- 2012 ) Los Angeles Lakers ( 2012 -- 2013 ) Los Angeles Clippers ( 2013 -- 2014 )   20,042   1,083   18.5   7,679   1,163   3,521     45   John Stockton *   PG   Utah Jazz ( 1984 -- 2003 )   19,711   1,504   13.1   7,039   845   4,788     46   Bernard King *   SF   New Jersey Nets ( 1977 -- 1979 , 1993 ) Utah Jazz ( 1979 ) Golden State Warriors ( 1980 -- 1982 ) New York Knicks ( 1982 -- 1985 , 1987 ) Washington Bullets ( 1987 -- 1991 )   19,655   874   22.5   7,830   23   3,972     47   Clifford Robinson   PF / SF   Portland Trail Blazers ( 1989 -- 1997 ) Phoenix Suns ( 1997 -- 2001 ) Detroit Pistons ( 2001 -- 2003 ) Golden State Warriors ( 2003 -- 2005 ) New Jersey Nets ( 2005 -- 2007 )   19,591   1,380   14.2   7,389   1,253   3,560     48   Walter Davis   SG / SF   Phoenix Suns ( 1977 -- 1988 ) Denver Nuggets ( 1988 -- 1991 , 1991 -- 1992 ) Portland Trail Blazers ( 1991 )   19,521   1,033   18.9   8,118   157   3,128     49   Terry Cummings   PF   San Diego Clippers ( 1982 -- 1984 ) Milwaukee Bucks ( 1984 -- 1989 , 1995 -- 1996 ) San Antonio Spurs ( 1989 -- 1995 ) Seattle SuperSonics ( 1996 -- 1997 ) Philadelphia 76ers ( 1997 -- 1998 ) New York Knicks ( 1998 ) Golden State Warriors ( 1999 -- 2000 )   19,460   1,183   16.4   8,045   44   3,326     50   Bob Lanier *     Detroit Pistons ( 1970 -- 1980 ) Milwaukee Bucks ( 1980 -- 1984 )   19,248   959   20.1   7,761     3,724   </t>
  </si>
  <si>
    <t xml:space="preserve">When Calls the Heart - wikipedia  When Calls the Heart  Not to be confused with When the Heart Calls .    When Calls the Heart         Genre     Family Drama   Western       Based on   When Calls the Heart by Janette Oke     Developed by   Michael Landon Jr .     Starring     Erin Krakow   Daniel Lissing   Lori Loughlin   Martin Cummins   Jack Wagner   Pascale Hutton   Kavan Smith       Country of origin     Canada   United States       Original language ( s )   English     No. of seasons   5     No. of episodes   50 ( list of episodes )     Production     Executive producer ( s )     Michael Landon Jr .   Jimmy Townsend   Roman Viaris   Francisco Gonzalez   Brian Bird   Brad Krevoy       Producer ( s )     Vicki Sotheran   Greg Malcolm       Production location ( s )   Vancouver , British Columbia , Canada     Running time   42 -- 84 minutes     Production company ( s )     Believe Pictures   Brad Krevoy Television   Jordan Films       Release     Original network     Hallmark Channel ( U.S. )   Super Channel ( Canada )       Picture format     480i ( SDTV )   1080i ( HDTV )       Original release   January 11 , 2014 ( 2014 - 01 - 11 ) -- present ( present )     Chronology     Related shows   When Hope Calls ( spin off )     External links     ( Official website Website )     When Calls the Heart is a Canadian - American television drama series , inspired by Janette Oke 's book of the same name from her Canadian West series , and developed by Michael Landon Jr . The series began airing on the Hallmark Channel in the United States on January 11 , 2014 , and on April 16 , 2014 on Super Channel in Canada .   The series originally debuted as a two - hour television movie pilot in October 2013 , starring Maggie Grace as young teacher Elizabeth Thatcher and Stephen Amell as North West Mounted Police officer Wynn Delaney . In the television series Erin Krakow is cast as her niece , whose name is also Elizabeth Thatcher ( played by Poppy Drayton in the movie ) , and Daniel Lissing plays a Mountie named Jack Thornton , with Lori Loughlin reprising her role as coal mine widow Abigail Stanton .   On April 24 , 2017 , Krakow announced via the Hallmark Channel website that the show would return for a fifth season , which premiered with a two - hour Christmas special broadcast as part of Hallmark 's Countdown to Christmas event and resumed in February 2018 , ending in April . On March 21 , 2018 , Hallmark renewed the series for a sixth season .   A spin off of the show named When Hope Calls was announced at Hallmark 's Television Critics Association summer press tour on July 26 , 2018 . When Hope Calls is expected to debut in 2019 on Hallmark Movies Now streaming service .   Contents    1 Plot   2 Episodes   3 Cast   3.1 Main   3.2 Recurring     4 Characters   5 Production   6 Broadcast   7 References   8 External links    Plot ( edit )   When Calls the Heart tells the story of Elizabeth Thatcher ( Erin Krakow ) , a young teacher accustomed to her high - society life . She receives her first classroom assignment in Coal Valley , a small coal - mining town in Western Canada which is located just south of Robb , Alberta . There , life is simple -- but often fraught with challenges . Elizabeth charms most everyone in Coal Valley , except Royal North West Mounted Police Constable Jack Thornton ( Daniel Lissing ) . He believes Thatcher 's wealthy father has doomed the lawman 's career by insisting he be assigned in town to protect the shipping magnate 's daughter . The town of Coal Valley was renamed Hope Valley in Episode 1 , Season 2 after the coal mine was closed .   Living in this 1910 coal town , Elizabeth must learn the ways of the Canadian frontier movement if she wishes to thrive in the rural west on her own . Lori Loughlin portrays Abigail Stanton , whose husband , the foreman of the mine , and her only son -- along with 45 other miners -- have recently been killed in an explosion , which turns out to have been a tragic accident waiting to happen -- a result of the mining - company site manager 's irresponsible management and lack of due care in his management of the mine . The newly widowed women find their faith tested when they must go to work in the mine to keep a roof over their heads , food on the table , and compile a wage for the town 's teacher .   Episodes ( edit )  Main article : List of When Calls the Heart episodes    Season   Episodes   Originally aired     First aired   Last aired         12   January 11 , 2014 ( 2014 - 01 - 11 )   March 29 , 2014 ( 2014 - 03 - 29 )         7   April 25 , 2015 ( 2015 - 04 - 25 )   June 13 , 2015 ( 2015 - 06 - 13 )       New Year 's Wish   December 26 , 2015 ( 2015 - 12 - 26 )         8   February 21 , 2016 ( 2016 - 02 - 21 )   April 10 , 2016 ( 2016 - 04 - 10 )       Christmas   December 25 , 2016 ( 2016 - 12 - 25 )         10   February 19 , 2017 ( 2017 - 02 - 19 )   April 23 , 2017 ( 2017 - 04 - 23 )       The Christmas Wishing Tree   December 25 , 2017 ( 2017 - 12 - 25 )       5   10   February 18 , 2018 ( 2018 - 02 - 18 )   April 22 , 2018 ( 2018 - 04 - 22 )     Cast ( edit )   Main ( edit )    Erin Krakow as Elizabeth Thatcher Thornton   Daniel Lissing as Jack Thornton ( Seasons 1 - 5 )   Lori Loughlin as Abigail Stanton   Jack Wagner as Bill Avery   Martin Cummins as Henry Gowen   Pascale Hutton as Rosemary LeVeaux Coulter   Kavan Smith as Leland Coulter    Recurring ( edit )    Paul Greene as Carson Shepherd   Andrea Brooks as Faith Carter   Eva Bourne as Clara Weller Stanton   Aren Buchholz as Jesse Flynn   Carter Ryan Evancic as Cody Hastings   Loretta Walsh as Florence Blakeley   Erica Carroll as Dottie Ramsey   Johannah Newmarch as Molly Sullivan   Mark Humphrey as Frank Hogan   Chelah Horsdal as Cat Montgomery   Mitchell Kummen as Gabe Montgomery   Gracyn Shinyei as Emily Montgomery   Logan Williams as Miles Montgomery   Ben Rosenbaum as Mike Hickam   Ava Grace Cooper as Opal   Charlotte Hegele as Julie Thatcher   Max Lloyd - Jones as Tom Thornton   Brooke Shields as Charlotte Thornton   Ali Skovbye as Becky Hastings   Garwin Sanford as William Thatcher   Lynda Boyd as Grace Thatcher   Devon Weigel as Viola Thatcher   Marcus Rosner as Charles Kensington   Josie Bissett as AJ Foster   Steve Bacic as Charles Spurlock   Kristina Wagner as Nora Avery   Mamie Laverock as Rosaleen Sullivan   Adrian Hough as Reverend Anderson   Will Verchere - Gopaulsingh as Caleb Dunbar   Laura Bertram as Mary Dunbar   Derek Hamilton as Dewitt Graves   Niall Matter as Shane Cantrell ( season 4 )   Spencer Drever as Cyrus Rivera ( season 4 )    Characters ( edit )       This section may contain an excessive amount of intricate detail that may interest only a particular audience . Please help by spinning off or relocating any relevant information , and removing excessive detail that may be against Wikipedia 's inclusion policy . ( April 2018 ) ( Learn how and when to remove this template message )      Elizabeth Thatcher Thornton is an independent , strong - minded , passionate and dedicated young teacher from the city . The middle daughter of William and Grace Thatcher , Elizabeth has two sisters , older sister Viola and younger sister Julie . Elizabeth finds herself in Coal Valley , a small community on the Canadian frontier in need of a teacher , and quickly discovers it is not an easy place to live , lacking the creature comforts and luxuries of her privileged life with her family . She soon meets the newly appointed and charismatic Mountie Jack Thornton and develops an immediate dislike for him . However , over time they become good friends , and develop an obvious attraction to one another . In the final episode of season 1 , `` Prelude to a Kiss '' ( also titled as `` Final Adieu '' ) , after overcoming many obstacles throughout the season , Jack tells Elizabeth `` You 're the one , you 're the only one '' and they share a kiss . Throughout season 2 , Elizabeth 's feelings for Jack are high at times as well as low . Finally , in the season 2 finale , she admits that his job as a Mountie scares her . After being comforted both admitting that they love each other , Jack and Elizabeth kiss .   Jack Thornton is a laid back country boy . Jack is the son of Mountie Thomas Thornton and his wife Charlotte Thornton . Jack has a younger brother , Tom ( named after his father ) . As a Mountie and a man of stout character and integrity , he often finds himself protecting and saving people . In season 1 's `` A Telling Silence , '' Jack finds a basset hound whom he names Rip ( after Rip Van Winkle ) and takes home with him . A source of comfort and companion in the small town , Jack often goes to Rip when times in his life are difficult . In season 2 's `` With All My Heart , '' Rip , who 's afraid of thunder , hides in the mine shafts during a storm . Jack and Elizabeth search for him ; in their search , their relationship grows stronger . Upon his first meeting of Elizabeth , Jack developed an instant dislike and it appeared she irritated him . However , he grew to like and then fall madly and completely in love with her over time . In `` Rules of Engagement '' ( S. 1 ) , it is revealed that Jack was briefly engaged to Rosemary LeVeaux when she comes looking for him . However , they have both changed and realize that they can not have a relationship as they once did ever again . In `` Prelude to a Kiss '' ( S. 1 ) , Jack found out that Elizabeth may be leaving Coal Valley . Taking her on a walk and giving her a framed picture of them that he had sketched , he asks her not to leave Coal Valley and tells her , `` You 're the one , you 're the only one . '' She replied that she was `` not going anywhere '' , Coal Valley was where she belonged before they share a kiss . In season 2 , Elizabeth and Jack share a hot - and - cold relationship until the finale , `` With All My Heart . '' They both admit that they love each other and share another kiss . Jack 's brother , Tom , is introduced season 2 's `` Trials of the Heart , '' and their rocky relationship continues until `` Coming Together , Coming Apart . '' Jack gently reminds his younger brother how their father was so proud of him , but he would n't be proud of the way he was currently living . Both in tears , Jack tells his younger brother that he believes in him and that he can turn his life around . More recently , Jack has become good friends with the sawmill operator , Lee Coulter . In season 3 , Jack begins the new year knowing that Elizabeth only has eyes for him and that her relationship with Charles is over for good . In `` Hearts In Question , '' Jack 's mother Charlotte shows up unexpectedly . She meets Elizabeth and is suspicious of her , but through staying her sees Elizabeth for who she really is : a trustworthy , dedicated teacher . In the season finale , `` Prayers From The Heart , '' Jack is injured in a flood . But he miraculously recovers in time to serve as Lee 's best man at his wedding .   Abigail Stanton is a Coal Valley woman who tragically lost her husband and son in the mining accident . Abigail is a very kind woman , and she stands strongly for the things she believes in . She is one of the first women to welcome Elizabeth and the two women quickly become friends . When Elizabeth accidentally burns down the little teacherage , Abigail gladly welcomes her into her home to live . After being complimented on her cooking , Abigail decides to open a cafe in Coal Valley . Together , Abigail and Elizabeth move into the rooms above the cafe . At the end of season 1 , Abigail enjoys the company of Bill Avery , a Mountie , serving as a Forensic Investigator and friend of Jack Thornton 's . In season 2 , Abigail takes in her daughter - in - law , Clara , the wife of her late son Peter whom Abigail sees as the daughter she never had . With Bill 's past being revealed , Abigail ends their friendship and spends more time with the new pastor , Frank Hogan . Also , she is a strong independent woman that is set on doing the things that are right and tries to help Elizabeth .   Bill Avery is a mysterious , quiet man . He first appears in season 1 's `` Rules of Engagement , '' in order to help Jack expose Mr. Gowen 's wrongdoings . Bill is immediately attracted to widow Abigail Stanton . Things are going well until Abigail discovers a picture of Bill 's family and his wedding ring . He later tells her that his son died , as well as his wife . However , his wife , Nora , comes to confront him in season 2 's `` Heart 's Desire . ''   Henry Gowen is a cold , cynical man who formerly owned the coal mine . After the mine was shut down , Henry became the mayor of Hope Valley and still creates a cold , cynical presence whenever people are around him . Henry is highly disliked and feared in the town . He frequently uses bribery to get what he wants , which is never for the good of the town .   Rosemary `` Rosie '' LeVeaux Coulter is a flamboyant , enthusiastic actress from New York . She was briefly engaged to Jack Thornton , but they both realized that it would n't work out . Rosie immediately disliked Elizabeth and viewed her as `` the competition , '' but eventually came to really care about Elizabeth , even if she has a hard time showing it . At the beginning of season 2 , Rosemary began working at the cafe with Abigail and the two quickly became friends . Spending time with Abigail helped tone down some of Rosemary 's enthusiasm and made her a more likable person . Rosemary even came to like Elizabeth , even if only on an acquaintance level . Truthfully , she cares about everyone in Hope Valley , especially Lee , with whom she shares an mutual attraction . When Rosie is not spending time with Lee , talking to Abigail , or dreaming about the glamorous life of an actress , she can often be found somewhere writing her weekly advice column for Hope Valley 's newspaper ! In season 3 , Rosemary 's friendship with Elizabeth deepened . Instead of viewing her as an adversary , she finds a friend in Elizabeth . Throughout season 3 , Rosemary 's relationship with Lee becomes more romantic . In `` Heart Of A Hero , '' seeing that Lee needs to spend more time at the sawmill to help the new settlers find jobs , Rosemary tells Lee that the theatre does n't have to be built . He insists , but she says how important his job is . He smiles and tells her he will one day build her theatre , telling her that she is `` the best part of his life . '' The couple shares in their first kiss . In `` A Gentle Heart , '' Lee is injured . Thinking he is asleep , Rosemary pours out her heart to him , telling how much she loves him . In `` Heartbreak , '' Rosemary is offered a job in Hollywood filming . This has always been Rosemary 's dream , to be an actress . Lee unselfishly tells her to do whatever she feels best , but it is obvious that the thought of her leaving Hope Valley hurts him . Rosemary considers her options and realizes that her place is in Hope Valley , with Lee . Lee then tells her that he has another `` role '' that he thinks would be perfect for her and proposes marriage . She happily accepts . In `` Hearts In Question , '' Rosemary enthusiastically plans for their wedding . The couple weds in the season 3 finale `` Prayers From The Heart , '' with Elizabeth and Abigail as her maids of honor .   Leland `` Lee '' Coulter is a kind , laidback , patient man who opens a sawmill in Hope Valley . When timber becomes Coal Valley 's major source of natural resources , the town is renamed Hope Valley . He shares a mutual attraction to Rosemary and proves to be one of the few people who can outwit her . When she declines his romantic intentions , Lee recruits his friend , Molly Sullivan , to make Rosemary jealous ; the ploy succeeds and Rosemary accepts his suit , appreciating Lee 's good qualities . Despite her dramatic and occasionally prickly personality , Lee 's compassion and patience never fails with her . With Rosemary 's help , Lee beat Mr. Gowen at his own game in `` Heart and Home . '' When not at work , Lee enjoys being with friends , including Jack Thornton , who shares Lee 's simple and laidback outlook , allowing the men to discuss their lives and exchange romantic advice . In season 3 , Lee 's mill is unfortunately sabotaged by a man inside . Through Bill and Jack 's investigation , they find the culprit . In season 3 's `` Heart Of A Hero , '' Rosemary unselfishly gives up the theatre that Lee promised to build her . Lee promises that one day , he will build her the theatre at a time when he is n't so involved with the sawmill and finding people jobs . In `` A Gentle Heart , '' Lee is injured . Thinking Lee is asleep , Rosemary pours out her heart to Lee , telling him how afraid she was when she heard he had been injured . He however hears each and every word . She told him how much she loves him and to never leave her . In the episode `` Heartbreak , '' Lee thinks Rosemary may leave Hope Valley when she is offered a movie job in Hollywood . When she gives up the movie , seeing her future in Hope Valley with him , he asks her to marry him . The couple weds in the season 3 finale , `` Prayers From The Heart . '' Jack serves the role of Lee 's best man .   Julie Thatcher is Elizabeth 's hopeless romantic younger sister . She often gets herself into sticky situations by falling head over heels for men who are n't quite what they seem . In season 2 she gets involved with Jack 's brother Tom , which causes trouble with her family and for Jack and Elizabeth 's relationship .   Cat Montgomery is a kind , encouraging woman in Coal Valley . She is a widow and mother of three : Gabe , Miles , and Emily . Cat was one of the first mothers to show kindness to Elizabeth when she first came . She desperately wants her children to remember the good memories of their father as seen by her self - sacrificing acts in `` Secrets and Lies . '' Possessing a great sense of teamwork and encouragement , Cat supports the women of Coal Valley while working in the mines in `` Cease and Desist . '' She is good friends with Elizabeth and Abigail . In `` These Games , '' she also helps Jack catch a thief .   Florence Blakeley is a feisty gossip in Hope Valley . She often has a pessimistic perspective and always seems to find the negative , even in a very positive situation . In `` Heart and Home , '' Abigail told Florence what she really thought about her , which causes Florence to rein in her negativity somewhat , though she remains fairly outspoken . While not always likable , Florence adds spice to life in Hope Valley .   Molly Sullivan is a friend of Lee Coulter and Elizabeth Thatcher . Molly 's husband was killed in the mine disaster . She has a daughter Rosaleen . In season 1 's `` A Telling Silence , '' Rosaleen has trouble in school because she misses her father so much . When she runs away , Elizabeth finds her in the mine , feeling guilty that she did n't bring her father his lunch the day of the disaster because she wanted to play with a friend instead . She fears her mother will blame her , but Elizabeth convinces her that Molly will `` say that she loves her more than life itself . '' Molly is reunited with her daughter , to the joy of the town 's people . In season 2 's `` With All My Heart , '' Lee feels it 's time to `` play hard to get '' with Rosemary , so he enlists help from Molly . She pretends to be interested in him romantically . This ploy works and Rosemary admits that she does in fact like him . Molly is a kind woman and was among the first to welcome Elizabeth to town .   Clara Stanton is the wife of Abigail 's late son Peter , and is a sweet , quiet , and sensitive young woman . Abigail never knew she had a daughter - in - law until season 2 's `` Trials of the Heart ; '' with Peter having married Clara only three days before he was killed . In `` Heart 's Desire , '' Abigail invites Clara to come live with her in Hope Valley , an offer that Clara accepts .   Charles Kensington III is an old friend of Elizabeth with whom she reconnects while in Hamilton . He is interested in her , though her feelings for Jack get in the way of their relationship .    Production ( edit )   The series , originally planned to be filmed in Colorado , is filmed south of Vancouver , British Columbia , on a farm surrounded by vineyards . The fictional frontier town of Coal Valley was erected in late 2013 . Some of the set trimmings and a stage coach came from the Hell on Wheels set . The Thatcher home is the University Women 's Club of Vancouver .   The series was renewed for a second season , which aired from April 25 to June 13 , 2015 . Hallmark Channel announced in July 2015 that the series had been renewed for a third season , which aired from February 21 to April 10 , 2016 , with a sneak peek airing during the 2015 Christmas season .   In mid-2016 , it was announced that Season 4 would premiere on the Hallmark Channel Christmas Day with a two - hour special . On April 11 , 2016 , Lissing and Krakow announced via the series ' Facebook page that Hallmark Channel had renewed the series for a fourth season , which aired from February 19 to April 23 , 2017 .   Filming for season five began in Vancouver on August 22 , 2017 , and ended on December 21 , 2017 .   Broadcast ( edit )   The first season of the series was subsequently picked up by CBC Television for rebroadcast as a summer series in 2015 . The network has since aired all five seasons . The series became available internationally on Netflix in August 2017 .   References ( edit )    ^ Jump up to : Reiher , Andrea ( January 11 , 2014 ) . `` ' When Calls the Heart ' premiere : Will you return to the frontier ? '' . Zap2It . From Inside the Box ( blog ) . Retrieved January 13 , 2014 .   Jump up ^ `` ' When Calls the Heart ' features Aussie Mountie '' . Canadian Press , April 10 , 2014 .   Jump up ^ `` Hallmark Channel - The Movie Cast '' . Hallmarkchannel.com . Retrieved 2014 - 02 - 28 .   Jump up ^ `` '' When Calls the Heart , '' Hallmark Channel 's Newest Original Primetime Series Kicks Off with a 2 - Hour Special Extended Pilot on October 5 '' ( Press release ) . Hallmark Channel . 24 July 2013 . Retrieved 2016 - 01 - 11 -- via The Futon Critic .   Jump up ^ The Deadline Team ( June 12 , 2013 ) . `` Hallmark Channel 's ' When Calls The Heart ' Adds Cast ; ' Cedar Cove ' July Premiere Set '' . Deadline Hollywood . Retrieved 2014 - 01 - 13 .   Jump up ^ `` Special Announcement - When Calls the Heart '' . April 24 , 2017 . Retrieved April 24 , 2017 .   Jump up ^ Petski , Denise ( July 31 , 2017 ) . `` ' When Calls The Heart ' Gets Season 5 Premiere Date On Hallmark Channel '' . Deadline Hollywood . Retrieved August 2 , 2017 .   Jump up ^ Petski , Denise ( March 21 , 2018 ) . `` Hallmark Channel Upfront Presentation Canceled Due To Storm , Net Makes Announcements , Including ' When Calls the Heart ' Renewal , At Central Park Event '' . Deadline Hollywood . Retrieved March 21 , 2018 .   Jump up ^ Mitovich , Matt Webb ( July 26 , 2018 ) . `` Good Witch Renewed for Season 5 , When Calls the Heart Gets Spinoff '' . TVLine . Retrieved July 27 , 2018 .   Jump up ^ `` Hallmark Channel - About the Series '' . Hallmarkchannel.com . Retrieved 2014 - 02 - 28 .   Jump up ^ Brioux , Bill ( December 6 , 2013 ) . `` ' When Calls The Heart ' TV Series Set In Fictional Town Built In B.C. '' The Huffington Post . Archived from the original on December 7 , 2013 . Retrieved February 11 , 2014 .   Jump up ^ Owen , Rob ( May 1 , 2015 ) . `` TV Q&amp;A : ' Grey 's Anatomy , ' ' Younger , ' ' Bones ' and a former Pittsburgh news anchor '' . Pittsburgh Post-Gazette . Retrieved May 1 , 2015 .   Jump up ^ Kondolojy , Amanda ( May 5 , 2014 ) . `` When Calls the Heart ' Renewed for Second Season by Hallmark Channel '' . TV by the Numbers . Retrieved May 5 , 2014 .   Jump up ^ Petski , Denise ( July 28 , 2015 ) . `` ' When Calls The Heart ' Renewed For Season 3 On Hallmark Channel '' . Deadline Hollywood . Retrieved December 25 , 2015 .   Jump up ^ `` When Calls the Heart videos '' . Hallmark Channel .   Jump up ^ McLennan , Cindy ( April 11 , 2016 ) . `` When Calls the Heart : Season Four Renewal for Hallmark Channel Series '' . TV Series Finale . Retrieved April 12 , 2016 .   Jump up ^ Petski , Denise ( April 15 , 2016 ) . `` ' When Calls The Heart ' Renewed For Season 4 By Hallmark Channel '' . Deadline Hollywood . Retrieved April 15 , 2016 .   Jump up ^ Takeuchi , Craig ( August 21 , 2017 ) . `` Filming in Vancouver : Johnny Depp , When Calls the Heart , and Eggplant Emoji '' . Inside Vancouver . Retrieved September 27 , 2017 .   Jump up ^ Krakow , Erin ( @ erinkrakow ) ( December 21 , 2017 ) . `` That 's a Season 5 WRAP for Elizabeth ! It flew ! Missing my Hope Valley friends already ! '' ( Tweet ) . Retrieved December 25 , 2017 -- via Twitter .   Jump up ^ `` CBC - TV stacks fall and winter lineups with British , Aussie fare '' . 680 News , May 28 , 2015 .   Jump up ^ `` CBC Television reveals its 2016 summer schedule with five new primetime series , returning hits and the Rio 2016 Olympic Games '' . CBC Television . May 18 , 2016 . Retrieved August 3 , 2017 .   Jump up ^ `` CBC Announces 2017 - 18 Programming Slate '' . CBC Television . May 24 , 2017 . Retrieved August 3 , 2017 .    External links ( edit )       Wikiquote has quotations related to : When Calls the Heart      Official website   When Calls the Heart on IMDb              Hallmark Channel original programming     Current     Home and Family ( since 2012 )   When Calls the Heart ( since 2014 )   Good Witch ( since 2015 )   Chesapeake Shores ( since 2016 )   Meet the Peetes ( since 2018 )       Former     Cedar Cove ( 2013 -- 2015 )   Signed , Sealed , Delivered ( 2014 )       Movies     List of Hallmark Channel Original Movies   Hallmark Hall of Fame movie list      Retrieved from `` https://en.wikipedia.org/w/index.php?title=When_Calls_the_Heart&amp;oldid=852814232 '' Categories :   English - language television programs   2010s American drama television series   2014 American television series debuts   2010s Canadian drama television series   2014 Canadian television series debuts   Period family drama television series   Western ( genre ) television series   Television programs based on books   Television series produced in Vancouver   Super Channel shows   Hallmark Channel shows   CBC Television shows   2010s American romance television series   Canadian romance television series   Hidden categories :   Official website not in Wikidata   Wikipedia articles needing style editing from April 2018   All articles needing style editing   Wikipedia articles that are excessively detailed from April 2018   All articles that are excessively detailed           Talk                                           Contents                   About Wikipedia                                           Wikiquote       Deutsch   فارسی   Français   Italiano   Nederlands   Polski   Português   Русский   Edit links   This page was last edited on 31 July 2018 , at 15 : 00 ( UTC ) .         About Wikipedia                    </t>
  </si>
  <si>
    <t xml:space="preserve">who plays mr coulter on when calls the heart</t>
  </si>
  <si>
    <t xml:space="preserve"> Kavan Smith as Leland Coulter </t>
  </si>
  <si>
    <t xml:space="preserve">Gone with the Wind ( film ) - wikipedia  Gone with the Wind ( film )       Gone with the Wind     Theatrical pre-release poster     Directed by   Victor Fleming     Produced by   David O. Selznick     Screenplay by   Sidney Howard     Based on   Gone with the Wind by Margaret Mitchell     Starring     Clark Gable   Vivien Leigh   Leslie Howard   Olivia de Havilland       Music by   Max Steiner     Cinematography   Ernest Haller     Edited by     Hal C. Kern   James E. Newcom       Production companies     Selznick International Pictures   Metro - Goldwyn - Mayer       Distributed by   Loew 's Inc .     Release date     December 15 , 1939 ( 1939 - 12 - 15 ) ( Atlanta premiere )               Running time     221 minutes   234 -- 238 minutes ( with overture , intermission , entr'acte , and exit music )       Country   United States     Language   English     Budget   $3.85 million     Box office   &gt; $390 million     Gone with the Wind is a 1939 American epic historical romance film , adapted from Margaret Mitchell 's 1936 novel of the same name . The film was produced by David O. Selznick of Selznick International Pictures and directed by Victor Fleming . Set in the American South against the backdrop of the American Civil War and the Reconstruction era , the film tells the story of Scarlett O'Hara , the strong - willed daughter of a Georgia plantation owner . It follows her romantic pursuit of Ashley Wilkes , who is married to his cousin , Melanie Hamilton , and her subsequent marriage to Rhett Butler . The leading roles are played by Vivien Leigh ( Scarlett ) , Clark Gable ( Rhett ) , Leslie Howard ( Ashley ) , and Olivia de Havilland ( Melanie ) .   Production was difficult from the start . Filming was delayed for two years because of Selznick 's determination to secure Gable for the role of Rhett Butler , and the `` search for Scarlett '' led to 1,400 women being interviewed for the part . The original screenplay was written by Sidney Howard and underwent many revisions by several writers in an attempt to get it down to a suitable length . The original director , George Cukor , was fired shortly after filming began and was replaced by Fleming , who in turn was briefly replaced by Sam Wood while Fleming took some time off due to exhaustion .   The film received positive reviews upon its release , in December 1939 , although some reviewers found it overlong . The casting was widely praised , and many reviewers found Leigh especially suited to her role as Scarlett . At the 12th Academy Awards , it received ten Academy Awards ( eight competitive , two honorary ) from thirteen nominations , including wins for Best Picture , Best Director ( Fleming ) , Best Adapted Screenplay ( posthumously awarded to Sidney Howard ) , Best Actress ( Leigh ) , and Best Supporting Actress ( Hattie McDaniel , becoming the first African American to win an Academy Award ) . It set records for the total number of wins and nominations at the time . The film has been criticized as historical revisionism glorifying slavery , and it has been credited with triggering changes in the way in which African Americans are depicted cinematically .   Gone with the Wind was immensely popular when first released . It became the highest - earning film made up to that point , and held the record for over a quarter of a century . When adjusted for monetary inflation , it is still the most successful film in box - office history . It was re-released periodically throughout the 20th century and became ingrained in popular culture . The film is regarded as one of the greatest films of all time ; it has placed in the top ten of the American Film Institute 's list of the top 100 American films since the list 's inception in 1998 ; and , in 1989 , the United States Library of Congress selected it for preservation in the National Film Registry .   Contents  ( hide )   1 Plot   2 Cast   3 Production   3.1 Casting   3.2 Screenplay   3.3 Filming   3.4 Music     4 Release   4.1 Preview , premiere and initial release   4.2 Later releases   4.3 Television and home video     5 Reception   5.1 Critical response   5.2 Academy Awards   5.3 Reactions from African - Americans   5.4 Audience response   5.5 Critical re-evaluation   5.6 Industry recognition     6 Analysis   6.1 Racial criticism   6.2 Depiction of marital rape     7 Legacy   7.1 In popular culture   7.2 Sequel     8 See also   9 References   10 External links    Plot ( edit )    Part 1    On the eve of the American Civil War in 1861 , Scarlett O'Hara lives at Tara , her family 's cotton plantation in Georgia , with her parents and two sisters . Scarlett learns that Ashley Wilkes -- whom she secretly loves -- is to be married to his cousin , Melanie Hamilton , and the engagement is to be announced the next day at a barbecue at Ashley 's home , the nearby plantation Twelve Oaks .   At the Twelve Oaks party , Scarlett privately declares her feelings to Ashley , but he rebuffs her by responding that he and Melanie are more compatible . Scarlett is incensed when she discovers another guest , Rhett Butler , has overheard their conversation . The barbecue is disrupted by the declaration of war and the men rush to enlist . As Scarlett watches Ashley kiss Melanie goodbye , Melanie 's younger brother Charles proposes to her . Although she does not love him , Scarlett consents and they are married before he leaves to fight .  Scarlett and Rhett at the charity dance  Scarlett is widowed when Charles dies from a bout of pneumonia and measles while serving in the Confederate Army . Scarlett 's mother sends her to the Hamilton home in Atlanta to cheer her up , although the O'Haras ' outspoken house slave Mammy tells Scarlett she knows she is going there only to wait for Ashley 's return . Scarlett , who should not attend a party while in mourning , attends a charity bazaar in Atlanta with Melanie where she meets Rhett again , now a blockade runner for the Confederacy . Celebrating a Confederate victory and to raise money for the Confederate war effort , gentlemen are invited to bid for ladies to dance with them . Rhett makes an inordinately large bid for Scarlett and , to the disapproval of the guests , she agrees to dance with him .   The tide of war turns against the Confederacy after the Battle of Gettysburg in which many of the men of Scarlett 's town are killed . Scarlett makes another unsuccessful appeal to Ashley while he is visiting on Christmas furlough , although they do share a private and passionate kiss in the parlor on Christmas Day , just before he returns to war .   Eight months later , as the city is besieged by the Union Army in the Atlanta Campaign , Scarlett and her young house slave Prissy must deliver Melanie 's baby without medical assistance after she goes into premature labor . Afterwards , Scarlett calls upon Rhett to take her home to Tara with Melanie , her baby , and Prissy ; he collects them in a horse and wagon , but once out of the city chooses to go off to fight , leaving Scarlett and the group to make their own way back to Tara . Upon her return home , Scarlett finds Tara deserted , except for her father , her sisters , and two former slaves : Mammy and Pork . Scarlett learns that her mother has just died of typhoid fever and her father has become incompetent . With Tara pillaged by Union troops and the fields untended , Scarlett vows she will do anything for the survival of her family and herself .    Part 2    As the O'Haras work in the cotton fields , Scarlett 's father is killed after he is thrown from his horse in an attempt to chase away a scalawag from his land . With the defeat of the Confederacy Ashley also returns , but finds he is of little help at Tara . When Scarlett begs him to run away with her , he confesses his desire for her and kisses her passionately , but says he can not leave Melanie . Unable to pay the taxes on Tara implemented by Reconstructionists , Scarlett dupes her younger sister Suellen 's fiancé , the middle - aged and wealthy mill owner Frank Kennedy , into marrying her , by saying Suellen got tired of waiting and married another beau .   Frank , Ashley , Rhett and several other accomplices make a night raid on a shanty town after Scarlett is attacked while driving through it alone , resulting in Frank 's death . With Frank 's funeral barely over , Rhett proposes to Scarlett and she accepts . They have a daughter whom Rhett names Bonnie Blue , but Scarlett , still pining for Ashley and chagrined at the perceived ruin of her figure , lets Rhett know that she wants no more children and that they will no longer share a bed .   One day at Frank 's mill , Scarlett and Ashley are seen embracing by Ashley 's sister , India , and harboring an intense dislike of Scarlett she eagerly spreads rumors . Later that evening , Rhett , having heard the rumors , forces Scarlett to attend a birthday party for Ashley ; incapable of believing anything bad of her beloved sister - in - law , Melanie stands by Scarlett 's side so that all know that she believes the gossip to be false . After returning home from the party , Scarlett finds Rhett downstairs drunk , and they argue about Ashley . Rhett kisses Scarlett against her will , stating his intent to have sex with her that night , and carries the struggling Scarlett to the bedroom . The next day , Rhett apologizes for his behavior and offers Scarlett a divorce , which she rejects , saying that it would be a disgrace . When Rhett returns from an extended trip to London , Scarlett informs him that she is pregnant , but an argument ensues which results in her falling down a flight of stairs and suffering a miscarriage . As she is recovering , tragedy strikes when Bonnie dies while attempting to jump a fence with her pony .   Scarlett and Rhett visit Melanie , who has suffered complications arising from a new pregnancy , on her deathbed . As Scarlett consoles Ashley , Rhett prepares to return to their home in Atlanta . Having realized that it was he she truly loved all along , and not Ashley , Scarlett pleads with Rhett to stay , but Rhett rebuffs her and storms off into the morning fog , leaving her weeping on the staircase and vowing to one day win back his love .   Cast ( edit )   Despite receiving top - billing in the opening credits , Gable -- along with Leigh , Howard , and de Havilland who receive second , third and fourth billing respectively -- has a relatively low placing in the cast list , due to its unusual structure . Rather than ordered by conventional billing , the cast is broken down into three sections : the Tara plantation , Twelve Oaks , and Atlanta . The cast 's names are ordered according to the social rank of the characters ; therefore Thomas Mitchell , who plays Gerald O'Hara , leads the cast list as the head of the O'Hara family , while Barbara O'Neil as his wife receives the second credit and Vivien Leigh as the eldest daughter the third credit , despite having the most screen time . Similarly , Howard C. Hickman as John Wilkes is credited over Leslie Howard who plays his son , and Clark Gable , who plays only a visitor at Twelve Oaks , receives a relatively low credit in the cast list , despite being presented as the `` star '' of the film in all the promotional literature . Following the death of Mary Anderson -- who played Maybelle Merriwether -- in April 2014 , there are only two surviving credited cast members from the film : Olivia de Havilland who played Melanie Wilkes and Mickey Kuhn , who played her son Beau Wilkes .  Clark Gable Vivien Leigh Leslie Howard Olivia de Havilland   Tara plantation     Thomas Mitchell as Gerald O'Hara   Barbara O'Neil as Ellen O'Hara ( his wife )   Vivien Leigh as Scarlett O'Hara ( daughter )   Evelyn Keyes as Suellen O'Hara ( daughter )   Ann Rutherford as Carreen O'Hara ( daughter )   George Reeves as Brent Tarleton ( actually as Stuart )   Fred Crane as Stuart Tarleton ( actually as Brent )   Hattie McDaniel as Mammy ( house servant )   Oscar Polk as Pork ( house servant )   Butterfly McQueen as Prissy ( house servant )   Victor Jory as Jonas Wilkerson ( field overseer )   Everett Brown as Big Sam ( field foreman )     At Twelve Oaks     Howard Hickman as John Wilkes   Alicia Rhett as India Wilkes ( his daughter )   Leslie Howard as Ashley Wilkes ( his son )   Olivia de Havilland as Melanie Hamilton ( their cousin )   Rand Brooks as Charles Hamilton ( Melanie 's brother )   Carroll Nye as Frank Kennedy ( a guest )   Clark Gable as Rhett Butler ( a visitor from Charleston )     In Atlanta     Laura Hope Crews as Aunt Pittypat Hamilton   Eddie Anderson as Uncle Peter ( her coachman )   Harry Davenport as Doctor Meade   Leona Roberts as Mrs. Meade   Jane Darwell as Mrs. Merriwether   Ona Munson as Belle Watling     Minor supporting roles     Paul Hurst as the Yankee deserter   Cammie King Conlon as Bonnie Blue Butler   J.M. Kerrigan as Johnny Gallagher   Jackie Moran as Phil Meade   Lillian Kemble - Cooper as Bonnie 's nurse in London   Marcella Martin as Cathleen Calvert   Mickey Kuhn as Beau Wilkes   Irving Bacon as the Corporal   William Bakewell as the mounted officer   Isabel Jewell as Emmy Slattery   Eric Linden as the amputation case   Ward Bond as Tom , the Yankee captain   Cliff Edwards as the reminiscent soldier   Yakima Canutt as the renegade   Louis Jean Heydt as the hungry soldier holding Beau Wilkes   Olin Howland as the carpetbagger businessman   Robert Elliott as the Yankee major   Mary Anderson as Maybelle Merriwether    Production ( edit )   Before publication of the novel , several Hollywood executives and studios declined to create a film based on it , including Louis B. Mayer and Irving Thalberg at Metro - Goldwyn - Mayer ( MGM ) , Pandro Berman at RKO Pictures , and David O. Selznick of Selznick International Pictures . Jack L. Warner liked the story , but Warner Bros. 's biggest star Bette Davis was uninterested , and Darryl Zanuck of 20th Century - Fox did not offer enough money . Selznick changed his mind after his story editor Kay Brown and business partner John Hay Whitney urged him to buy the film rights . In July 1936 -- a month after it was published -- Selznick bought the rights for $50,000 .   Casting ( edit )  Publicity photo of Clark Gable and Vivien Leigh as Rhett and Scarlett  The casting of the two lead roles became a complex , two - year endeavor . For the role of Rhett Butler , Selznick wanted Clark Gable from the start , but Gable was under contract to MGM , which never loaned him to other studios . Gary Cooper was considered , but Samuel Goldwyn -- to whom Cooper was under contract -- refused to loan him out . Warner offered a package of Bette Davis , Errol Flynn , and Olivia de Havilland for lead roles in return for the distribution rights . By this time , Selznick was determined to get Gable and eventually struck a deal with MGM . Selznick 's father - in - law , MGM chief Louis B. Mayer , offered in August 1938 to provide Gable and $1,250,000 for half of the film 's budget but for a high price : Selznick would have to pay Gable 's weekly salary , and half the profits would go to MGM while Loew 's , Inc -- MGM 's parent company -- would release the film .   The arrangement to release through MGM meant delaying the start of production until the end of 1938 , when Selznick 's distribution deal with United Artists concluded . Selznick used the delay to continue to revise the script and , more importantly , build publicity for the film by searching for the role of Scarlett . Selznick began a nationwide casting call that interviewed 1,400 unknowns . The effort cost $100,000 and was useless for the film , but created `` priceless '' publicity . Early frontrunners included Miriam Hopkins and Tallulah Bankhead , who were regarded as possibilities by Selznick prior to the purchase of the film rights ; Joan Crawford , who was signed to MGM , was also considered as a potential pairing with Gable . After a deal was struck with MGM , Selznick held discussions with Norma Shearer -- who was MGM 's top female star at the time -- but she withdrew herself from consideration . Katharine Hepburn lobbied hard for the role with the support of her friend , George Cukor , who had been hired to direct , but she was vetoed by Selznick who felt she was not right for the part .   Many famous -- or soon - to - be-famous -- actresses were considered , but only thirty - one women were actually screen - tested for Scarlett including Ardis Ankerson , Jean Arthur , Tallulah Bankhead , Diana Barrymore , Joan Bennett , Nancy Coleman , Frances Dee , Ellen Drew ( as Terry Ray ) , Paulette Goddard , Susan Hayward ( under her real name of Edythe Marrenner ) , Vivien Leigh , Anita Louise , Haila Stoddard , Margaret Tallichet , Lana Turner and Linda Watkins . Although Margaret Mitchell refused to publicly name her choice , the actress who came closest to winning her approval was Miriam Hopkins , who Mitchell felt was just the right type of actress to play Scarlett as written in the book . However , Hopkins was in her mid-thirties at the time and was considered too old for the part . Four actresses , including Jean Arthur and Joan Bennett , were still under consideration by December 1938 ; however , only two finalists , Paulette Goddard and Vivien Leigh , were tested in Technicolor , both on December 20 . Goddard almost won the role , but controversy over her marriage with Charlie Chaplin caused Selznick to change his mind .   Selznick had been quietly considering Vivien Leigh , a young English actress who was still little known in America , for the role of Scarlett since February 1938 when Selznick saw her in Fire Over England and A Yank at Oxford . Leigh 's American agent was the London representative of the Myron Selznick talent agency ( headed by David Selznick 's brother , one of the owners of Selznick International ) , and she had requested in February that her name be submitted for consideration as Scarlett . By the summer of 1938 the Selznicks were negotiating with Alexander Korda , to whom Leigh was under contract , for her services later that year . Selznick 's brother arranged for them to meet for the first time on the night of December 10 , 1938 , when the burning of Atlanta was filmed . In a letter to his wife two days later , Selznick admitted that Leigh was `` the Scarlett dark horse '' , and after a series of screen tests , her casting was announced on January 13 , 1939 . Just before the shooting of the film , Selznick informed newspaper columnist Ed Sullivan : `` Scarlett O'Hara's parents were French and Irish . Identically , Miss Leigh 's parents are French and Irish . ''   Screenplay ( edit )   Of original screenplay writer Sidney Howard , film historian Joanne Yeck writes , `` reducing the intricacies of Gone with the Wind 's epic dimensions was a herculean task ... and Howard 's first submission was far too long , and would have required at least six hours of film ; ... ( producer ) Selznick wanted Howard to remain on the set to make revisions ... but Howard refused to leave New England ( and ) as a result , revisions were handled by a host of local writers '' . Selznick dismissed director George Cukor three weeks into filming and sought out Victor Fleming , who was directing The Wizard of Oz at the time . Fleming was dissatisfied with the script , so Selznick brought in famed writer Ben Hecht to rewrite the entire screenplay within five days . Hecht returned to Howard 's original draft and by the end of the week had succeeded in revising the entire first half of the script . Selznick undertook rewriting the second half himself but fell behind schedule , so Howard returned to work on the script for one week , reworking several key scenes in part two .  David O. Selznick in 1940  `` By the time of the film 's release in 1939 , there was some question as to who should receive screen credit , '' writes Yeck . `` But despite the number of writers and changes , the final script was remarkably close to Howard 's version . The fact that Howard 's name alone appears on the credits may have been as much a gesture to his memory as to his writing , for in 1939 Sidney Howard died at age 48 in a farm - tractor accident , and before the movie 's premiere . '' Selznick , in a memo written in October 1939 , discussed the film 's writing credits : `` ( Y ) ou can say frankly that of the comparatively small amount of material in the picture which is not from the book , most is my own personally , and the only original lines of dialog which are not my own are a few from Sidney Howard and a few from Ben Hecht and a couple more from John Van Druten . Offhand I doubt that there are ten original words of ( Oliver ) Garrett 's in the whole script . As to construction , this is about eighty per cent my own , and the rest divided between Jo Swerling and Sidney Howard , with Hecht having contributed materially to the construction of one sequence . ''   According to Hecht biographer , William MacAdams , `` At dawn on Sunday , February 20 , 1939 , David Selznick ... and director Victor Fleming shook Hecht awake to inform him he was on loan from MGM and must come with them immediately and go to work on Gone with the Wind , which Selznick had begun shooting five weeks before . It was costing Selznick $50,000 each day the film was on hold waiting for a final screenplay rewrite and time was of the essence . Hecht was in the middle of working on the film At the Circus for the Marx Brothers . Recalling the episode in a letter to screenwriter friend Gene Fowler , he said he had n't read the novel but Selznick and director Fleming could not wait for him to read it . They would act out scenes based on Sidney Howard 's original script which needed to be rewritten in a hurry . Hecht wrote , `` After each scene had been performed and discussed , I sat down at the typewriter and wrote it out . Selznick and Fleming , eager to continue with their acting , kept hurrying me . We worked in this fashion for seven days , putting in eighteen to twenty hours a day . Selznick refused to let us eat lunch , arguing that food would slow us up . He provided bananas and salted peanuts ... thus on the seventh day I had completed , unscathed , the first nine reels of the Civil War epic . ''   MacAdams writes , `` It is impossible to determine exactly how much Hecht scripted ... In the official credits filed with the Screen Writers Guild , Sidney Howard was of course awarded the sole screen credit , but four other writers were appended ... Jo Swerling for contributing to the treatment , Oliver H.P. Garrett and Barbara Keon to screenplay construction , and Hecht , to dialogue ... ''   Filming ( edit )  Play media The `` burning '' of Atlanta from the film trailer  Principal photography began January 26 , 1939 , and ended on July 1 , with post-production work continuing until November 11 , 1939 . Director George Cukor , with whom Selznick had a long working relationship , and who had spent almost two years in pre-production on Gone with the Wind , was replaced after less than three weeks of shooting . Selznick and Cukor had already disagreed over the pace of filming and the script , but other explanations put Cukor 's departure down to Gable 's discomfort at working with him . Emanuel Levy , Cukor 's biographer , claimed that Clark Gable had worked Hollywood 's gay circuit as a hustler and that Cukor knew of his past , so Gable used his influence to have him discharged . Vivien Leigh and Olivia de Havilland learned of Cukor 's firing on the day the Atlanta bazaar scene was filmed , and the pair went to Selznick 's office in full costume and implored him to change his mind . Victor Fleming , who was directing The Wizard of Oz , was called in from MGM to complete the picture , although Cukor continued privately to coach Leigh and De Havilland . Another MGM director , Sam Wood , worked for two weeks in May when Fleming temporarily left the production due to exhaustion . Although some of Cukor 's scenes were later reshot , Selznick estimated that `` three solid reels '' of his work remained in the picture . As of the end of principal photography , Cukor had undertaken eighteen days of filming , Fleming ninety - three , and Wood twenty - four .   Cinematographer Lee Garmes began the production , but on March 11 , 1939 -- after a month of shooting footage that Selznick and his associates regarded as `` too dark '' -- was replaced with Ernest Haller , working with Technicolor cinematographer Ray Rennahan . Garmes completed the first third of the film -- mostly everything prior to Melanie having the baby -- but did not receive a credit . Most of the filming was done on `` the back forty '' of Selznick International with all the location scenes being photographed in California , mostly in Los Angeles County or neighboring Ventura County . Tara , the fictional Southern plantation house , existed only as a plywood and papier - mâché facade built on the Selznick studio lot . For the burning of Atlanta , new false facades were built in front of the Selznick backlot 's many old abandoned sets , and Selznick himself operated the controls for the explosives that burned them down . Sources at the time put the estimated production costs at $3.85 million , making it the second most expensive film made up to that point , with only Ben - Hur ( 1925 ) having cost more .   Although legend persists that the Hays Office fined Selznick $5,000 for using the word `` damn '' in Butler 's exit line , in fact the Motion Picture Association board passed an amendment to the Production Code on November 1 , 1939 , that forbade use of the words `` hell '' or `` damn '' except when their use `` shall be essential and required for portrayal , in proper historical context , of any scene or dialogue based upon historical fact or folklore ... or a quotation from a literary work , provided that no such use shall be permitted which is intrinsically objectionable or offends good taste . '' With that amendment , the Production Code Administration had no further objection to Rhett 's closing line .   Music ( edit )  `` Tara 's Theme '' from the film trailer  To compose the score , Selznick chose Max Steiner , with whom he had worked at RKO Pictures in the early 1930s . Warner Bros. -- who had contracted Steiner in 1936 -- agreed to lend him to Selznick . Steiner spent twelve weeks working on the score , the longest period that he had ever spent writing one , and at two hours and thirty - six minutes long it was also the longest that he had ever written . Five orchestrators were hired , including Hugo Friedhofer , Maurice de Packh , Bernard Kaun , Adolph Deutsch and Reginald Bassett . The score is characterized by two love themes , one for Ashley 's and Melanie 's sweet love and another that evokes Scarlett 's passion for Ashley , though notably there is no Scarlett and Rhett love theme . Steiner drew considerably on folk and patriotic music , which included Stephen Foster tunes such as `` Louisiana Belle , '' `` Dolly Day , '' `` Ringo De Banjo , '' `` Beautiful Dreamer , '' `` Old Folks at Home , '' and `` Katie Belle , '' which formed the basis of Scarlett 's theme ; other tunes that feature prominently are : `` Marching through Georgia '' by Henry Clay Work , `` Dixie , '' `` Garryowen '' and `` The Bonnie Blue Flag . '' The theme that is most associated with the film today is the melody that accompanies Tara , the O'Hara plantation ; in the early 1940s , `` Tara 's Theme '' formed the musical basis of the song `` My Own True Love '' by Mack David . In all , there are ninety - nine separate pieces of music featured in the score . Due to the pressure of completing on time , Steiner received some assistance in composing from Friedhofer , Deutsch and Heinz Roemheld , and in addition , two short cues -- by Franz Waxman and William Axt -- were taken from scores in the MGM library .   Release ( edit )   Preview , premiere and initial release ( edit )   On September 9 , 1939 , Selznick , his wife , Irene , investor John `` Jock '' Whitney and film editor Hal Kern drove out to Riverside , California to preview it at the Fox Theatre . The film was still a rough cut at this stage , missing completed titles and lacking special optical effects . It ran for four hours and twenty - five minutes , but would later be cut down to under four hours for its proper release . A double bill of Hawaiian Nights and Beau Geste was playing , and after the first feature it was announced that the theater would be screening a preview ; the audience were informed they could leave but would not be readmitted once the film had begun , nor would phone calls be allowed once the theater had been sealed . When the title appeared on the screen the audience cheered , and after it had finished it received a standing ovation . In his biography of Selznick , David Thomson wrote that the audience 's response before the film had even started `` was the greatest moment of ( Selznick 's ) life , the greatest victory and redemption of all his failings '' , with Selznick describing the preview cards as `` probably the most amazing any picture has ever had . '' When Selznick was asked by the press in early September how he felt about the film , he said : `` At noon I think it 's divine , at midnight I think it 's lousy . Sometimes I think it 's the greatest picture ever made . But if it 's only a great picture , I 'll still be satisfied . ''  The premiere of the film at Loew 's Grand , Atlanta  About 300,000 people came out in Atlanta for the film 's premiere at the Loew 's Grand Theatre on December 15 , 1939 . It was the climax of three days of festivities hosted by Mayor William B. Hartsfield , which included a parade of limousines featuring stars from the film , receptions , thousands of Confederate flags and a costume ball . Eurith D. Rivers , the governor of Georgia , declared December 15 a state holiday . An estimated three hundred thousand residents and visitors to Atlanta lined the streets for up to seven miles to watch a procession of limousines bring the stars from the airport . Only Leslie Howard and Victor Fleming chose not to attend : Howard had returned to England due to the outbreak of World War II , and Fleming had fallen out with Selznick and declined to attend any of the premieres . Hattie McDaniel was also absent , as she and the other black cast members were prevented from attending the premiere due to Georgia 's Jim Crow laws , which would have kept them from sitting with their white colleagues . Upon learning that McDaniel had been barred from the premiere , Clark Gable threatened to boycott the event , but McDaniel convinced him to attend . President Jimmy Carter would later recall it as `` the biggest event to happen in the South in my lifetime . '' Premieres in New York and Los Angeles followed , the latter attended by some of the actresses that had been considered for the part of Scarlett , among them Paulette Goddard , Norma Shearer and Joan Crawford .   From December 1939 to July 1940 , the film played only advance - ticket road show engagements at a limited number of theaters at prices upwards of $1 -- more than double the price of a regular first - run feature -- with MGM collecting an unprecedented 70 percent of the box office receipts ( as opposed to the typical 30 -- 35 percent of the period ) . After reaching saturation as a roadshow , MGM revised its terms to a 50 percent cut and halved the prices , before it finally entered general release in 1941 at `` popular '' prices . Along with its distribution and advertising costs , total expenditure on the film was as high as $7 million .  1967 re-release poster  Later releases ( edit )   In 1942 , Selznick liquidated his company for tax reasons , and sold his share in Gone with the Wind to his business partner , John Whitney , for $500,000 . In turn , Whitney sold it on to MGM for $2.8 million , so that the studio owned the film outright . MGM immediately re-released the film in spring 1942 , and again in 1947 and 1954 ; the 1954 reissue was the first time the film was shown in widescreen , compromising the original Academy ratio and cropping the top and bottom to an aspect ratio of 1.75 : 1 . In doing so , a number of shots were optically re-framed and cut into the three - strip camera negatives , forever altering five shots in the film . A 1961 release commemorated the centennial anniversary of the start of the Civil War , and included a gala `` premiere '' at the Loew 's Grand Theater . It was attended by Selznick and many other stars of the film , including Vivien Leigh and Olivia de Havilland ; Clark Gable had died the previous year . For it</t>
  </si>
  <si>
    <t xml:space="preserve">where does the movie gone with the wind take place</t>
  </si>
  <si>
    <t xml:space="preserve"> Gone with the Wind is a 1939 American epic historical romance film , adapted from Margaret Mitchell 's 1936 novel of the same name . The film was produced by David O. Selznick of Selznick International Pictures and directed by Victor Fleming . Set in the American South against the backdrop of the American Civil War and the Reconstruction era , the film tells the story of Scarlett O'Hara , the strong - willed daughter of a Georgia plantation owner . It follows her romantic pursuit of Ashley Wilkes , who is married to his cousin , Melanie Hamilton , and her subsequent marriage to Rhett Butler . The leading roles are played by Vivien Leigh ( Scarlett ) , Clark Gable ( Rhett ) , Leslie Howard ( Ashley ) , and Olivia de Havilland ( Melanie ) . </t>
  </si>
  <si>
    <r>
      <rPr>
        <sz val="11"/>
        <color rgb="FF000000"/>
        <rFont val="Calibri"/>
        <family val="0"/>
        <charset val="1"/>
      </rPr>
      <t xml:space="preserve">Visa policy of Taiwan - wikipedia  Visa policy of Taiwan  Visa sample of Taiwan Entry and exit stamps issued to a national of Singapore at Taiwan Taoyuan International Airport  Visitors to Taiwan must obtain a visa or authorization in advance , unless they come from one of the visa exempt countries or countries whose nationals are eligible for visa on arrival . All visitors must hold a passport valid for 6 months ( except the citizens of Japan and the United States who are only required to hold a passport valid for the entire duration of stay ) .   Taiwan has special entry requirements to current or former nationals of China who reside or previously resided in Mainland China .     Contents  ( hide )   1 Right of abode   2 Visa policy map   3 Visa exemption   4 Visa on arrival   5 Permanent residents of Hong Kong and Macau   6 eVisa   7 APEC Business Travel Card   8 Online Travel Authorization Certificate   9 Nationals of the People 's Republic of China who are Mainland residents   9.1 Restrictions for former nationals of People 's Republic of China who were Mainland residents     10 Working Holiday Visa   11 Statistics   12 See also   13 References   14 External links      Right of abode ( edit )  See also : National without household registration  Although the Republic of China ( Taiwan ) has only one type of nationality , not all ROC nationals have the right of abode in Taiwan . Under the Immigration Act , only those with household registration in Taiwan ( nationals with household registration , or NWHRs ) have the right of abode in Taiwan and can enter Taiwan without prior authorization . Holding one of the documents listed below is sufficient to demonstrate such status :    A Taiwan passport with the individual 's National Identification Card number on biodata page ;   Valid National Identification Card , household registration certificate , or household registration certificate transcript accompanied by a valid Taiwan passport .    ROC nationals without household registration in Taiwan ( NWOHRs ) are ineligible to receive a National Identification Card . To enter Taiwan , one must , in addition to a Taiwan passport , hold one of the following documents :    A valid or expired entry permit affixed on the passport ; or ,   A Taiwanese Resident Certificate .    NWOHRs holding documentations listed below can obtain an entry permit on arrival :    An added signing on the passport stating one 's overseas Chinese status , or a letter stating such status ; or   A long - term residence ( type F - 2 ) or permanent residence ( type F - 5 ) Certificate of Alien Registration issued by South Korea .    Alternatively , they may enter Taiwan with their non-ROC passports without prior authorization if also having nationalities of a visa exempt country .   NWOHRs are subject to immigration control while in Taiwan , and can only remain in Taiwan for a limited time authorized by the entry permit or the immigration officer . Those without any of the above - listed documents will be denied entry to Taiwan .   Visa policy map ( edit )  Visa policy of Taiwan  Visa exemption ( edit )   Holders of passports of the following 63 jurisdictions do not require a visa to visit Taiwan for less than 90 days unless otherwise noted ( duration of stay starts from the next day of arrival ) . Extensions are not possible except for citizens of Canada and the United Kingdom , who may apply to extend the stay from 90 days to 180 days in accordance with the principle of reciprocity .   Taiwan grants visa - free access to holders of passports of all 18 states which recognize the Republic of China as the sole legitimate government of China , with the exception of Swaziland , as well as four countries in Oceania which are scheduled to receive this privilege in the near future : Kiribati , Marshall Islands , Palau and Solomon Islands .   The visa exemption does not apply for holders of emergency or temporary passports , except for citizens of Japan and the United States . Other visa exempt nationals holding such passports , however , would still be able to apply for a visa on arrival .       All European Union citizens        Andorra   Australia   Belize   Brunei   Canada   Chile   Dominican Republic   El Salvador   Guatemala   Haiti   Holy See   Honduras   Iceland   Israel   Japan   Liechtenstein   Malaysia   Macedonia       Monaco   Nauru   New Zealand   Nicaragua   Norway   Paraguay   Philippines   Saint Kitts and Nevis   Saint Lucia   Saint Vincent and the Grenadines   San Marino   Singapore   South Korea   Thailand   Tuvalu   Switzerland   United States              Stateless permanent residents of Brunei holding the Bruneian International Certificate of Identity ( ICI ) with a validity of at least 6 months are also exempt from visa requirement until 31 July 2018 . The duration of stay is 30 days .   In addition , holders of diplomatic or official / service passports of Belize , Burkina Faso , Dominican Republic , El Salvador , Guatemala , Honduras , Nauru , Nicaragua , Panama , Paraguay , Saint Kitts and Nevis , Saint Lucia , Saint Vincent and the Grenadines and Swaziland do not require a visa for up to 90 days .     show Date of visa changes     This list is incomplete ; you can help by expanding it .   Visa free     1 January 1994 : Australia , Austria , Belgium , Canada , France , Germany , Japan , Luxembourg , Netherlands , New Zealand , United Kingdom and United States   1 May 1995 : Portugal , Spain and Sweden   1 January 1998 : Italy   1 May 1998 : Greece   1 January 2001 : Switzerland   1 May 2001 : Singapore   1 January 2002 : Norway   1 October 2002 : Finland and Liechtenstein   1 November 2002 : Malaysia   25 January 2003 : South Korea   1 April 2003 : Denmark , Ireland , Iceland , Malta and Monaco   1 September 2007 : Czech Republic   1 October 2008 : Poland and Slovakia   1 November 2008 : Hungary   21 November 2008 : Lithuania   1 December 2008 : Estonia   7 January 2009 : Latvia   15 February 2009 : Slovenia   28 September 2009 : Holy See   11 November 2010 : Bulgaria , Cyprus and Romania   11 August 2011 : Israel   10 September 2012 : Croatia   1 June 2014 : Andorra and San Marino   1 January 2016 : Chile   1 August 2016 : Brunei ( resumed ) and Thailand   1 December 2016 : Brunei Certificate of Identity   12 July 2017 : Belize , Dominican Republic , El Salvador , Guatemala , Haiti , Honduras , Nicaragua , Paraguay , Saint Vincent , Saint Kitts and Nevis and Saint Lucia   1 November 2017 : Philippines   21 May 2018 : Macedonia   1 June 2018 : Nauru , Tuvalu     Cancelled     1 December 2005 : Brunei ( was resumed in 2016 )   March 2010 : Costa Rica     Visa on arrival    unknown : Turkey ; Hong Kong , Macau    eVisa     12 January 2016 : Belize , Brunei , Burkina Faso , Colombia , Dominican Republic , Ecuador , El Salvador , Guatemala , Haiti , Honduras , Kiribati , Macedonia , Marshall Islands , Nauru , Nicaragua , Palau , Panama , Paraguay , Peru , Saint Christopher and Nevis , Saint Lucia , Saint Vincent and the Grenadines , Sao Tome and Principe ( canceled ) , Solomon Islands , Swaziland , Turkey , and Tuvalu   7 October 2016 : Bahrain , Dominica , Kuwait , Montenegro , Oman , Philippines ( visa free from 1 Nov 2017 ) , Qatar , Saudi Arabia and the United Arab Emirates       Visa on arrival ( edit )   Nationals of the following countries can obtain a visa on arrival for a fee :       Turkey ( 30 days , Free of Charge )         In addition , holders of emergency or temporary passports with validity of more than 6 months issued by visa - exempt countries are eligible for visa on arrival for a fee . The duration of stay is 30 days regardless of nationality and can not be extended . This measure does not apply to holders of emergency or temporary passports issued by Japan or the United States as they are visa exempt .   Visa on arrival is only available at Taiwan Taoyuan International Airport . For passengers arriving at Taipei Songshan Airport , Kaohsiung International Airport or Taichung Airport , they would be issued a temporary entry permit and will have to apply for a visa at the Bureau of Consular Affairs office or one of the offices of Ministry of Foreign Affairs in Taiwan at their earliest convenience . Failure to comply may result in a derogatory record . Passengers arriving at ports of entry other than those listed above will be denied entry .   Permanent residents of Hong Kong and Macau ( edit )   Permanent residents of Hong Kong and / or Macau , who are either Chinese nationals or British Nationals ( Overseas ) , may be eligible for an Exit &amp; Entry Permit upon arrival for NT $ 300 or may apply for an Entry Permit online at no cost to visit Taiwan for less than 30 days .   The requirements are :    They were born in Hong Kong or Macau , or have entered Taiwan at least once as a permanent resident of Hong Kong or Macau and holding proofs of previous visits ;   They hold one of the following travel documents :   Hong Kong Special Administrative Region passport   British National ( Overseas ) passport   Macao Special Administrative Region passport ;     They do not hold passports issued by other nations or have additional nationalities ( including other classes of British nationality ) . If they do , they are required to comply with visa requirements of their additional nationalities , except for Hong Kong residents who are allowed to have dual Chinese nationality and British National ( Overseas ) status ( but not full British citizenship ) .    First time applicants not born in Hong Kong or Macau are also able to apply for Exit and Entry Permit online from 8 February 2017 . Unlike those qualified for the no - fee Entry Permit or Entry and Exit Permit on arrival , the applicants are required to pay a processing fee of NT $600 . The processing time is 5 business days . These visitors are required to hold their Hong Kong Permanent Identity Cards or Macau Permanent Resident Identity Cards , as well as their proof of previous visits to Taiwan , when applying for Exit and Entry Permits on arrival or the no - fee Entry Permits for subsequent visits .   Since 1 January 2017 , Hong Kong and Macau residents are able to apply for double - entry Entry Permits online , providing that they are entering Taiwan by cruise for at least one portion of their trip .   EVisa ( edit )   Since 12 January 2016 , the Ministry of Foreign Affairs of ROC started to implement the eVisa Program . Citizens of the following countries can apply for a single - entry eVisa to visit Taiwan for less than 30 days . The fee for each application is NT $1,632 . On 7 October 2016 , the Ministry of Foreign Affairs of ROC further expanded the list of countries eligible to apply for eVisa .       Bahrain   Burkina Faso   Colombia   Dominica   Ecuador   Kiribati       Kuwait   Marshall Islands   Mauritius   Montenegro   Oman   Palau       Panama   Peru   Qatar   Saudi Arabia   Solomon Islands   Swaziland       Turkey   United Arab Emirates           Nationals of the following countries may apply for a single - entry eVisa for a maximum stay of 30 days if they are travelling with an approved tour group :       Cambodia   India   Indonesia       Laos   Myanmar   Vietnam         Also , all foreign nationals except Chinese nationals who are invited by the Taiwanese government to attend international conferences , sports events , trade fairs or other activities organized , co-organized or sponsored by Taiwanese government agencies or certain NGOs are also eligible for an eVisa . Such applicants must obtain an e-code from their host organizations in Taiwan prior to applying for an eVisa .   Nationals of the following countries are eligible for business eVisas if they have obtained recommendations from the local Taiwan External Trade Development Council since 1 June 2017 .       Bangladesh   Bhutan   India       Nepal   Pakistan   Sri Lanka         APEC business Travel Card ( edit )   Holders of passports issued by the following countries who possess an APEC Business Travel Card ( ABTC ) containing the code `` TWN '' on the back of the card can enter Taiwan visa - free for business trips for up to 90 days . ABTCs are issued to nationals of :       Australia   Brunei   Chile   Indonesia   Japan   South Korea   Malaysia   Mexico       New Zealand   Papua New Guinea   Peru   Philippines   Russia   Singapore   Thailand   Vietnam         ABTCs are also issued to nationals of China and permanent residents of Hong Kong ; however , Chinese nationals residing in Mainland China are subject to entry restrictions and can not use the card to enter Taiwan . Chinese nationals permanently residing in Hong Kong are also ineligible and are required to obtain an Exit and Entry Permit .   Online Travel authorization certificate ( edit )   Nationals of the following countries can apply for a no - fee Travel Authorization Certificate online for multiple visits to Taiwan , for a duration of no more than 30 days each visit during the certificate 's 90 - day validity period , if they have never been employed as a guest worker to Taiwan and have met the additional requirements listed below :       Cambodia   India   Indonesia       Laos   Myanmar   Vietnam         They are required to hold a residential or visitor visa ( including Visa Waiver Registration Certificates issued by Japan to Indonesian nationals , and e-Visas ) , or a residential certificate ( including permanent residency ) issued by the following countries . The visa can be either valid or expired , but it must not have expired for more than 10 years prior to the date of arrival in Taiwan . Holders of work permits as well as visas marked `` void '' , `` cancelled '' or `` cancelled without prejudice '' are not eligible . In addition , travelers utilizing the scheme must also hold a return or onward plane or ship ticket and will be required to present it to the immigration officer .       Australia   Canada   Ireland   Japan   New Zealand       Countries of Schengen Area   South Korea   Taiwan   United Kingdom   United States         Frequent visitors to Taiwan from these countries can also receive multiple entry visas with validity of two to five years .   From 1 June 2017 , nationals of these countries who have received a Taiwanese visa ( other than a work visa ) in the last 10 years are eligible for online registration .   As all Filipino nationals will be exempt from visa requirements on 1 November 2017 , they will no longer be able to register for the certificate from that day onwards . All certificates will no longer be valid for entry after 31 October 2017 . Passengers entering Taiwan prior to 1 November 2017 are still allowed to stay for up to 30 days , while those entering Taiwan on or after that day can only stay for up to 14 days .   Nationals of the People 's Republic of China who are Mainland residents ( edit )   Nationals of the People 's Republic of China with residency ( hukou ) in Mainland China ( including those who are non-permanent residents of Hong Kong or Macau and have relinquished their hukou in Mainland China ) require prior approvals from Taiwanese government and are required to hold an Exit and Entry Permit prior to travelling to Taiwan . As of August 2016 , Mainland residents can only visit Taiwan as a part of a pre-approved tour group unless they qualify for one of the exemptions :    They have hukou in one of the 47 cities that are designated by the Taiwanese and Chinese authorities as eligible for individual tours ;   They reside outside Mainland China and hold temporary or permanent residence status in Hong Kong , Macau or a third country ( prior approval from the Chinese authorities is not required when departing from a place other than Mainland China ) ; or ,   They only visit Quemoy , Matsu and Penghu Islands ( in which case a 15 - day Exit and Entry Permit Permit can be obtained on arrival provided holding certain travel documents ) and will not proceed to other parts of Taiwan .    As of May 2016 , Mainland resident visitors applying from Mainland China are subject to a daily quota imposed by Taiwan of 14,600 persons per day , with half of the quota available to individual tour applicants . Those who applied from Hong Kong , Macau or a third country are not subject to a quota . It was reported that the Chinese authorities also has an unofficial `` soft cap '' on the numbers of individual and group tourists , ranging from 40 % to 50 % of the Taiwanese quota .   All PRC nationals who are residents of Mainland China can not travel to Taiwan on their passports when departing from Mainland China and must hold a Travel Permit to and from Taiwan ( </t>
    </r>
    <r>
      <rPr>
        <sz val="11"/>
        <color rgb="FF000000"/>
        <rFont val="Noto Sans CJK SC"/>
        <family val="2"/>
      </rPr>
      <t xml:space="preserve">往來 台灣 通行證 </t>
    </r>
    <r>
      <rPr>
        <sz val="11"/>
        <color rgb="FF000000"/>
        <rFont val="Calibri"/>
        <family val="0"/>
        <charset val="1"/>
      </rPr>
      <t xml:space="preserve">) , colloquially known as Mainland Resident Travel Permit ( </t>
    </r>
    <r>
      <rPr>
        <sz val="11"/>
        <color rgb="FF000000"/>
        <rFont val="Noto Sans CJK SC"/>
        <family val="2"/>
      </rPr>
      <t xml:space="preserve">大通 證 </t>
    </r>
    <r>
      <rPr>
        <sz val="11"/>
        <color rgb="FF000000"/>
        <rFont val="Calibri"/>
        <family val="0"/>
        <charset val="1"/>
      </rPr>
      <t xml:space="preserve">) , issued by the Chinese authorities . The current card - type version of the permit is similar to the design of the Two - way permit while older version is a pink , passport - like travel document . Permits must have the appropriate valid exit endorsements ( similar to exit visas ) on them for the holder to depart from Mainland China . Although travelling with the Mainland Resident Travel Permit is not mandatory when departing from Hong Kong , Macau or a third country , the Exit and Entry Permit itself is not a travel document but a de facto entry visa , and is usually tied to the document number of Mainland Resident Travel Permit or the Chinese passport , hence the travelers are still required to carry the travel document they used to apply for the Exit and Entry Permit when travelling to Taiwan .   Since January 2016 , Mainland residents are no longer required to hold a Mainland Resident Travel Permit if they depart from airports in Chongqing , Kunming or Nanchang and are only in transit through Taiwan to a third country . Otherwise , the Mainland Resident Travel Permit with exit endorsement is also required for transit through Taiwan if departing from Mainland China , but the Exit and Entry Permit is not required if the passengers do not pass immigration control in Taiwan and only remain airside .   From 28 March 2017 , Mainland Chinese residents are able to apply for the Exit and Entry Permit online if they are residing in a third country .   Restrictions for former nationals of People 's Republic of China who were Mainland residents ( edit )   Although the aforementioned restrictions do not apply to former nationals of People 's Republic of China with Mainland residency , they also face entry restrictions and are required to apply for an Exit and Entry Permit unless they meet the following requirements :    They have resided outside of PRC for more than 4 years ;   They have obtained the nationality of the country in which they reside in ; and   They have lost their PRC nationality in pursuant to Article 9 of the Chinese nationality law .    If the requirements are met , they may enter Taiwan according to the visa requirements of the nationality they have acquired . However , documentations supporting the change in nationality , such as a naturalization certificate , is required .   Working holiday visa ( edit )   Nationals of the following countries are eligible to apply for the Taiwanese working holiday visa ( named as `` Youth Mobility Scheme '' for British and Canadian citizens ) through Taiwanese diplomatic missions of their countries of nationality , if they are ordinary residents in their country of nationality and are within the age limits :       Australia   Austria   Belgium   Canada   Czech Republic   France   Germany   Hungary       Ireland   Japan   New Zealand   Poland   Slovakia   South Korea   United Kingdom         Statistics ( edit )   Most visitors arriving to Taiwan on short term basis were from the following countries of residence :     show Country / territory   2016   2015   2014   2013     China   3,511,734   4,184,102   3,987,152   2,874,702     Japan   1,895,702   1,627,229   1,634,790   1,421,550     Hong Kong   1,474,521   1,389,529   1,276,039   1,105,223     South Korea   884,397   658,757   527,684   351,301     United States   523,888   479,452   458,691   414,060     Malaysia   474,420   431,481   439,240   394,326     Singapore   407,267   393,037   376,235   364,733     Vietnam   196,636   146,380   137,177   118,467     Thailand   195,640   124,409   104,812   104,138     Indonesia   188,720   177,743   182,704   171,299     Total   10,690,279   10,439,785   9,910,204   8,016,280     Source : Tourism Bureau , Taiwan     See also ( edit )    Republic of China portal        Wikivoyage has a travel guide for Taiwan .      Visa requirements for Taiwanese citizens   Taiwan passport   Exit &amp; Entry Permit ( Republic of China )   Foreign relations of Taiwan    References ( edit )    ^ Jump up to : `` Information - Chinese Taipei ( TW ) '' . Tiamtic . IATA .   ^ Jump up to : Immigration Reference Guide for Civil Carriers   ^ Jump up to : `` Visa - Exempt Entry '' . Bureau of Consular Affairs .   Jump up ^ Notice for British Passport Holders Who Entered Taiwan Visa - Free and Are Applying for an Extension of Stay Bureau of Consular Affairs , Ministry of Foreign Affairs Republic of China .   Jump up ^ `` Taiwan to give visa waivers to six Pacific allies : president '' . Focus Taiwan . 31 October 2017 . Retrieved 1 November 2017 .   ^ Jump up to : `` Foreign Relations Yearbook 1997 '' ( in Chinese ) . Ministry of Foreign Affairs , Republic of China ( Taiwan ) . Retrieved 16 February 2018 .   Jump up ^ `` Foreign Relations Yearbook 1998 '' ( in Chinese ) . Ministry of Foreign Affairs , Republic of China ( Taiwan ) . Retrieved 16 February 2018 .   Jump up ^ `` </t>
    </r>
    <r>
      <rPr>
        <sz val="11"/>
        <color rgb="FF000000"/>
        <rFont val="Noto Sans CJK SC"/>
        <family val="2"/>
      </rPr>
      <t xml:space="preserve">希臘 政府 自 上 </t>
    </r>
    <r>
      <rPr>
        <sz val="11"/>
        <color rgb="FF000000"/>
        <rFont val="Calibri"/>
        <family val="0"/>
        <charset val="1"/>
      </rPr>
      <t xml:space="preserve">( </t>
    </r>
    <r>
      <rPr>
        <sz val="11"/>
        <color rgb="FF000000"/>
        <rFont val="Noto Sans CJK SC"/>
        <family val="2"/>
      </rPr>
      <t xml:space="preserve">八 十 六 </t>
    </r>
    <r>
      <rPr>
        <sz val="11"/>
        <color rgb="FF000000"/>
        <rFont val="Calibri"/>
        <family val="0"/>
        <charset val="1"/>
      </rPr>
      <t xml:space="preserve">) </t>
    </r>
    <r>
      <rPr>
        <sz val="11"/>
        <color rgb="FF000000"/>
        <rFont val="Noto Sans CJK SC"/>
        <family val="2"/>
      </rPr>
      <t xml:space="preserve">年 十 二 月 八 日 起 實施 申根 公約 共同 簽證 措施 </t>
    </r>
    <r>
      <rPr>
        <sz val="11"/>
        <color rgb="FF000000"/>
        <rFont val="Calibri"/>
        <family val="0"/>
        <charset val="1"/>
      </rPr>
      <t xml:space="preserve">'' ( in Chinese ) . Ministry of Foreign Affairs , Republic of China ( Taiwan ) . 27 April 1998 . Retrieved 16 February 2018 .   Jump up ^ `` </t>
    </r>
    <r>
      <rPr>
        <sz val="11"/>
        <color rgb="FF000000"/>
        <rFont val="Noto Sans CJK SC"/>
        <family val="2"/>
      </rPr>
      <t xml:space="preserve">為 促進 我國 與 瑞士 雙邊 實質 關係 </t>
    </r>
    <r>
      <rPr>
        <sz val="11"/>
        <color rgb="FF000000"/>
        <rFont val="Calibri"/>
        <family val="0"/>
        <charset val="1"/>
      </rPr>
      <t xml:space="preserve">, </t>
    </r>
    <r>
      <rPr>
        <sz val="11"/>
        <color rgb="FF000000"/>
        <rFont val="Noto Sans CJK SC"/>
        <family val="2"/>
      </rPr>
      <t xml:space="preserve">並 鑒於 瑞士 已 正式 同意 我 一般 國民 於 該 國 過境 轉機 時 </t>
    </r>
    <r>
      <rPr>
        <sz val="11"/>
        <color rgb="FF000000"/>
        <rFont val="Calibri"/>
        <family val="0"/>
        <charset val="1"/>
      </rPr>
      <t xml:space="preserve">, </t>
    </r>
    <r>
      <rPr>
        <sz val="11"/>
        <color rgb="FF000000"/>
        <rFont val="Noto Sans CJK SC"/>
        <family val="2"/>
      </rPr>
      <t xml:space="preserve">得 臨時 申請 入境 四十八 小時 從事 觀光 或 商務 活動 </t>
    </r>
    <r>
      <rPr>
        <sz val="11"/>
        <color rgb="FF000000"/>
        <rFont val="Calibri"/>
        <family val="0"/>
        <charset val="1"/>
      </rPr>
      <t xml:space="preserve">, </t>
    </r>
    <r>
      <rPr>
        <sz val="11"/>
        <color rgb="FF000000"/>
        <rFont val="Noto Sans CJK SC"/>
        <family val="2"/>
      </rPr>
      <t xml:space="preserve">外交 部 本 </t>
    </r>
    <r>
      <rPr>
        <sz val="11"/>
        <color rgb="FF000000"/>
        <rFont val="Calibri"/>
        <family val="0"/>
        <charset val="1"/>
      </rPr>
      <t xml:space="preserve">( </t>
    </r>
    <r>
      <rPr>
        <sz val="11"/>
        <color rgb="FF000000"/>
        <rFont val="Noto Sans CJK SC"/>
        <family val="2"/>
      </rPr>
      <t xml:space="preserve">廿 七 </t>
    </r>
    <r>
      <rPr>
        <sz val="11"/>
        <color rgb="FF000000"/>
        <rFont val="Calibri"/>
        <family val="0"/>
        <charset val="1"/>
      </rPr>
      <t xml:space="preserve">) </t>
    </r>
    <r>
      <rPr>
        <sz val="11"/>
        <color rgb="FF000000"/>
        <rFont val="Noto Sans CJK SC"/>
        <family val="2"/>
      </rPr>
      <t xml:space="preserve">日 宣布 </t>
    </r>
    <r>
      <rPr>
        <sz val="11"/>
        <color rgb="FF000000"/>
        <rFont val="Calibri"/>
        <family val="0"/>
        <charset val="1"/>
      </rPr>
      <t xml:space="preserve">, </t>
    </r>
    <r>
      <rPr>
        <sz val="11"/>
        <color rgb="FF000000"/>
        <rFont val="Noto Sans CJK SC"/>
        <family val="2"/>
      </rPr>
      <t xml:space="preserve">依據 「 外國 護照 簽證 條例 」 之 授權 </t>
    </r>
    <r>
      <rPr>
        <sz val="11"/>
        <color rgb="FF000000"/>
        <rFont val="Calibri"/>
        <family val="0"/>
        <charset val="1"/>
      </rPr>
      <t xml:space="preserve">, </t>
    </r>
    <r>
      <rPr>
        <sz val="11"/>
        <color rgb="FF000000"/>
        <rFont val="Noto Sans CJK SC"/>
        <family val="2"/>
      </rPr>
      <t xml:space="preserve">自明 </t>
    </r>
    <r>
      <rPr>
        <sz val="11"/>
        <color rgb="FF000000"/>
        <rFont val="Calibri"/>
        <family val="0"/>
        <charset val="1"/>
      </rPr>
      <t xml:space="preserve">( </t>
    </r>
    <r>
      <rPr>
        <sz val="11"/>
        <color rgb="FF000000"/>
        <rFont val="Noto Sans CJK SC"/>
        <family val="2"/>
      </rPr>
      <t xml:space="preserve">九 十 </t>
    </r>
    <r>
      <rPr>
        <sz val="11"/>
        <color rgb="FF000000"/>
        <rFont val="Calibri"/>
        <family val="0"/>
        <charset val="1"/>
      </rPr>
      <t xml:space="preserve">) </t>
    </r>
    <r>
      <rPr>
        <sz val="11"/>
        <color rgb="FF000000"/>
        <rFont val="Noto Sans CJK SC"/>
        <family val="2"/>
      </rPr>
      <t xml:space="preserve">年 元 月 一 日 起 </t>
    </r>
    <r>
      <rPr>
        <sz val="11"/>
        <color rgb="FF000000"/>
        <rFont val="Calibri"/>
        <family val="0"/>
        <charset val="1"/>
      </rPr>
      <t xml:space="preserve">, </t>
    </r>
    <r>
      <rPr>
        <sz val="11"/>
        <color rgb="FF000000"/>
        <rFont val="Noto Sans CJK SC"/>
        <family val="2"/>
      </rPr>
      <t xml:space="preserve">增 列 瑞士 為 入境 我國 十 四 天 免 簽證 </t>
    </r>
    <r>
      <rPr>
        <sz val="11"/>
        <color rgb="FF000000"/>
        <rFont val="Calibri"/>
        <family val="0"/>
        <charset val="1"/>
      </rPr>
      <t xml:space="preserve">'' ( in Chinese ) . Ministry of Foreign Affairs , Republic of China ( Taiwan ) . 27 December 2000 . Retrieved 16 February 2018 .   Jump up ^ `` </t>
    </r>
    <r>
      <rPr>
        <sz val="11"/>
        <color rgb="FF000000"/>
        <rFont val="Noto Sans CJK SC"/>
        <family val="2"/>
      </rPr>
      <t xml:space="preserve">給予 新加坡 國民 免 簽證 入境 及 放寬 南韓 國民 簽證 效 期 </t>
    </r>
    <r>
      <rPr>
        <sz val="11"/>
        <color rgb="FF000000"/>
        <rFont val="Calibri"/>
        <family val="0"/>
        <charset val="1"/>
      </rPr>
      <t xml:space="preserve">'' ( in Chinese ) . Ministry of Foreign Affairs , Republic of China ( Taiwan ) . 24 April 2001 . Retrieved 16 February 2018 .   Jump up ^ `` </t>
    </r>
    <r>
      <rPr>
        <sz val="11"/>
        <color rgb="FF000000"/>
        <rFont val="Noto Sans CJK SC"/>
        <family val="2"/>
      </rPr>
      <t xml:space="preserve">自 九 一 年 一 月 一 日 起 挪威 人士 來 台 觀光 十 四 天 內 免 簽證 </t>
    </r>
    <r>
      <rPr>
        <sz val="11"/>
        <color rgb="FF000000"/>
        <rFont val="Calibri"/>
        <family val="0"/>
        <charset val="1"/>
      </rPr>
      <t xml:space="preserve">'' ( in Chinese ) . Ministry of Foreign Affairs , Republic of China ( Taiwan ) . 17 December 2001 . Retrieved 16 February 2018 .   Jump up ^ `` </t>
    </r>
    <r>
      <rPr>
        <sz val="11"/>
        <color rgb="FF000000"/>
        <rFont val="Noto Sans CJK SC"/>
        <family val="2"/>
      </rPr>
      <t xml:space="preserve">自 十 月 一 日 起 芬蘭 及 列 支 敦 斯 登 來 台 十 四 天 免 簽證 </t>
    </r>
    <r>
      <rPr>
        <sz val="11"/>
        <color rgb="FF000000"/>
        <rFont val="Calibri"/>
        <family val="0"/>
        <charset val="1"/>
      </rPr>
      <t xml:space="preserve">'' ( in Chinese ) . Ministry of Foreign Affairs , Republic of China ( Taiwan ) . 16 September 2002 . Retrieved 16 February 2018 .   Jump up ^ `` </t>
    </r>
    <r>
      <rPr>
        <sz val="11"/>
        <color rgb="FF000000"/>
        <rFont val="Noto Sans CJK SC"/>
        <family val="2"/>
      </rPr>
      <t xml:space="preserve">馬來西亞 國民 自 十 一 月 一 日 起來 台 十 四 天 內 免 簽證 </t>
    </r>
    <r>
      <rPr>
        <sz val="11"/>
        <color rgb="FF000000"/>
        <rFont val="Calibri"/>
        <family val="0"/>
        <charset val="1"/>
      </rPr>
      <t xml:space="preserve">'' ( in Chinese ) . Ministry of Foreign Affairs , Republic of China ( Taiwan ) . 23 October 2002 . Retrieved 16 February 2018 .   Jump up ^ `` </t>
    </r>
    <r>
      <rPr>
        <sz val="11"/>
        <color rgb="FF000000"/>
        <rFont val="Noto Sans CJK SC"/>
        <family val="2"/>
      </rPr>
      <t xml:space="preserve">外交 部 自 本 </t>
    </r>
    <r>
      <rPr>
        <sz val="11"/>
        <color rgb="FF000000"/>
        <rFont val="Calibri"/>
        <family val="0"/>
        <charset val="1"/>
      </rPr>
      <t xml:space="preserve">( </t>
    </r>
    <r>
      <rPr>
        <sz val="11"/>
        <color rgb="FF000000"/>
        <rFont val="Noto Sans CJK SC"/>
        <family val="2"/>
      </rPr>
      <t xml:space="preserve">一 </t>
    </r>
    <r>
      <rPr>
        <sz val="11"/>
        <color rgb="FF000000"/>
        <rFont val="Calibri"/>
        <family val="0"/>
        <charset val="1"/>
      </rPr>
      <t xml:space="preserve">) </t>
    </r>
    <r>
      <rPr>
        <sz val="11"/>
        <color rgb="FF000000"/>
        <rFont val="Noto Sans CJK SC"/>
        <family val="2"/>
      </rPr>
      <t xml:space="preserve">月 廿 五 日 起 給予 韓國 國民 來 華 十 四 天 免 簽證 及 三 十 天 落地 簽證 之 待遇 </t>
    </r>
    <r>
      <rPr>
        <sz val="11"/>
        <color rgb="FF000000"/>
        <rFont val="Calibri"/>
        <family val="0"/>
        <charset val="1"/>
      </rPr>
      <t xml:space="preserve">'' ( in Chinese ) . Ministry of Foreign Affairs , Republic of China ( Taiwan ) . 16 January 2003 . Retrieved 16 February 2018 .   Jump up ^ `` </t>
    </r>
    <r>
      <rPr>
        <sz val="11"/>
        <color rgb="FF000000"/>
        <rFont val="Noto Sans CJK SC"/>
        <family val="2"/>
      </rPr>
      <t xml:space="preserve">四 月 一 日 起 </t>
    </r>
    <r>
      <rPr>
        <sz val="11"/>
        <color rgb="FF000000"/>
        <rFont val="Calibri"/>
        <family val="0"/>
        <charset val="1"/>
      </rPr>
      <t xml:space="preserve">, </t>
    </r>
    <r>
      <rPr>
        <sz val="11"/>
        <color rgb="FF000000"/>
        <rFont val="Noto Sans CJK SC"/>
        <family val="2"/>
      </rPr>
      <t xml:space="preserve">汶 萊 、 丹麥 、 愛爾蘭 、 冰島 、 馬爾 他 及 摩納哥 國民 來 台 將 享有 十 四 天 免 簽證 及 三 十 天 落地 簽證 之 待遇 </t>
    </r>
    <r>
      <rPr>
        <sz val="11"/>
        <color rgb="FF000000"/>
        <rFont val="Calibri"/>
        <family val="0"/>
        <charset val="1"/>
      </rPr>
      <t xml:space="preserve">'' ( in Chinese ) . Ministry of Foreign Affairs , Republic of China ( Taiwan ) . 12 March 2003 . Retrieved 16 February 2018 .   Jump up ^ `` </t>
    </r>
    <r>
      <rPr>
        <sz val="11"/>
        <color rgb="FF000000"/>
        <rFont val="Noto Sans CJK SC"/>
        <family val="2"/>
      </rPr>
      <t xml:space="preserve">捷克 國民 自 </t>
    </r>
    <r>
      <rPr>
        <sz val="11"/>
        <color rgb="FF000000"/>
        <rFont val="Calibri"/>
        <family val="0"/>
        <charset val="1"/>
      </rPr>
      <t xml:space="preserve">2007 </t>
    </r>
    <r>
      <rPr>
        <sz val="11"/>
        <color rgb="FF000000"/>
        <rFont val="Noto Sans CJK SC"/>
        <family val="2"/>
      </rPr>
      <t xml:space="preserve">年 </t>
    </r>
    <r>
      <rPr>
        <sz val="11"/>
        <color rgb="FF000000"/>
        <rFont val="Calibri"/>
        <family val="0"/>
        <charset val="1"/>
      </rPr>
      <t xml:space="preserve">9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可 免 簽證 入境 台灣 </t>
    </r>
    <r>
      <rPr>
        <sz val="11"/>
        <color rgb="FF000000"/>
        <rFont val="Calibri"/>
        <family val="0"/>
        <charset val="1"/>
      </rPr>
      <t xml:space="preserve">'' . Taipei Economic and Cultural Office , Prague , Czech Republic ( in Chinese ) . 31 August 2007 . Retrieved 16 February 2018 .   ^ Jump up to : `` </t>
    </r>
    <r>
      <rPr>
        <sz val="11"/>
        <color rgb="FF000000"/>
        <rFont val="Noto Sans CJK SC"/>
        <family val="2"/>
      </rPr>
      <t xml:space="preserve">自 </t>
    </r>
    <r>
      <rPr>
        <sz val="11"/>
        <color rgb="FF000000"/>
        <rFont val="Calibri"/>
        <family val="0"/>
        <charset val="1"/>
      </rPr>
      <t xml:space="preserve">97 </t>
    </r>
    <r>
      <rPr>
        <sz val="11"/>
        <color rgb="FF000000"/>
        <rFont val="Noto Sans CJK SC"/>
        <family val="2"/>
      </rPr>
      <t xml:space="preserve">年 </t>
    </r>
    <r>
      <rPr>
        <sz val="11"/>
        <color rgb="FF000000"/>
        <rFont val="Calibri"/>
        <family val="0"/>
        <charset val="1"/>
      </rPr>
      <t xml:space="preserve">10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將 波蘭 及 斯洛伐克 自 適用 落地 簽證 調整 為 免 簽證 國家 </t>
    </r>
    <r>
      <rPr>
        <sz val="11"/>
        <color rgb="FF000000"/>
        <rFont val="Calibri"/>
        <family val="0"/>
        <charset val="1"/>
      </rPr>
      <t xml:space="preserve">; </t>
    </r>
    <r>
      <rPr>
        <sz val="11"/>
        <color rgb="FF000000"/>
        <rFont val="Noto Sans CJK SC"/>
        <family val="2"/>
      </rPr>
      <t xml:space="preserve">同年 </t>
    </r>
    <r>
      <rPr>
        <sz val="11"/>
        <color rgb="FF000000"/>
        <rFont val="Calibri"/>
        <family val="0"/>
        <charset val="1"/>
      </rPr>
      <t xml:space="preserve">11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對 匈牙利 作 相同 調整 </t>
    </r>
    <r>
      <rPr>
        <sz val="11"/>
        <color rgb="FF000000"/>
        <rFont val="Calibri"/>
        <family val="0"/>
        <charset val="1"/>
      </rPr>
      <t xml:space="preserve">. '' ( in Chinese ) . Bureau of Consular Affairs , Ministry of Foreign Affairs , Republic of China ( Taiwan ) . 23 September 2008 . Retrieved 16 February 2018 .   Jump up ^ `` </t>
    </r>
    <r>
      <rPr>
        <sz val="11"/>
        <color rgb="FF000000"/>
        <rFont val="Noto Sans CJK SC"/>
        <family val="2"/>
      </rPr>
      <t xml:space="preserve">自 </t>
    </r>
    <r>
      <rPr>
        <sz val="11"/>
        <color rgb="FF000000"/>
        <rFont val="Calibri"/>
        <family val="0"/>
        <charset val="1"/>
      </rPr>
      <t xml:space="preserve">97 </t>
    </r>
    <r>
      <rPr>
        <sz val="11"/>
        <color rgb="FF000000"/>
        <rFont val="Noto Sans CJK SC"/>
        <family val="2"/>
      </rPr>
      <t xml:space="preserve">年 </t>
    </r>
    <r>
      <rPr>
        <sz val="11"/>
        <color rgb="FF000000"/>
        <rFont val="Calibri"/>
        <family val="0"/>
        <charset val="1"/>
      </rPr>
      <t xml:space="preserve">11 </t>
    </r>
    <r>
      <rPr>
        <sz val="11"/>
        <color rgb="FF000000"/>
        <rFont val="Noto Sans CJK SC"/>
        <family val="2"/>
      </rPr>
      <t xml:space="preserve">月 </t>
    </r>
    <r>
      <rPr>
        <sz val="11"/>
        <color rgb="FF000000"/>
        <rFont val="Calibri"/>
        <family val="0"/>
        <charset val="1"/>
      </rPr>
      <t xml:space="preserve">21 </t>
    </r>
    <r>
      <rPr>
        <sz val="11"/>
        <color rgb="FF000000"/>
        <rFont val="Noto Sans CJK SC"/>
        <family val="2"/>
      </rPr>
      <t xml:space="preserve">日 起 增 列 立陶宛 為 適用 免 簽證 入境 之 國家 </t>
    </r>
    <r>
      <rPr>
        <sz val="11"/>
        <color rgb="FF000000"/>
        <rFont val="Calibri"/>
        <family val="0"/>
        <charset val="1"/>
      </rPr>
      <t xml:space="preserve">. '' ( in Chinese ) . Bureau of Consular Affairs , Ministry of Foreign Affairs , Republic of China ( Taiwan ) . 13 November 2008 . Retrieved 16 February 2018 .   Jump up ^ `` </t>
    </r>
    <r>
      <rPr>
        <sz val="11"/>
        <color rgb="FF000000"/>
        <rFont val="Noto Sans CJK SC"/>
        <family val="2"/>
      </rPr>
      <t xml:space="preserve">自 </t>
    </r>
    <r>
      <rPr>
        <sz val="11"/>
        <color rgb="FF000000"/>
        <rFont val="Calibri"/>
        <family val="0"/>
        <charset val="1"/>
      </rPr>
      <t xml:space="preserve">97 </t>
    </r>
    <r>
      <rPr>
        <sz val="11"/>
        <color rgb="FF000000"/>
        <rFont val="Noto Sans CJK SC"/>
        <family val="2"/>
      </rPr>
      <t xml:space="preserve">年 </t>
    </r>
    <r>
      <rPr>
        <sz val="11"/>
        <color rgb="FF000000"/>
        <rFont val="Calibri"/>
        <family val="0"/>
        <charset val="1"/>
      </rPr>
      <t xml:space="preserve">12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增 列 愛沙尼亞 為 適用 免 簽證 入境 之 國家 </t>
    </r>
    <r>
      <rPr>
        <sz val="11"/>
        <color rgb="FF000000"/>
        <rFont val="Calibri"/>
        <family val="0"/>
        <charset val="1"/>
      </rPr>
      <t xml:space="preserve">. '' ( in Chinese ) . Bureau of Consular Affairs , Ministry of Foreign Affairs , Republic of China ( Taiwan ) . 24 November 2008 . Retrieved 16 February 2018 .   Jump up ^ `` </t>
    </r>
    <r>
      <rPr>
        <sz val="11"/>
        <color rgb="FF000000"/>
        <rFont val="Noto Sans CJK SC"/>
        <family val="2"/>
      </rPr>
      <t xml:space="preserve">自 </t>
    </r>
    <r>
      <rPr>
        <sz val="11"/>
        <color rgb="FF000000"/>
        <rFont val="Calibri"/>
        <family val="0"/>
        <charset val="1"/>
      </rPr>
      <t xml:space="preserve">98 </t>
    </r>
    <r>
      <rPr>
        <sz val="11"/>
        <color rgb="FF000000"/>
        <rFont val="Noto Sans CJK SC"/>
        <family val="2"/>
      </rPr>
      <t xml:space="preserve">年 </t>
    </r>
    <r>
      <rPr>
        <sz val="11"/>
        <color rgb="FF000000"/>
        <rFont val="Calibri"/>
        <family val="0"/>
        <charset val="1"/>
      </rPr>
      <t xml:space="preserve">1 </t>
    </r>
    <r>
      <rPr>
        <sz val="11"/>
        <color rgb="FF000000"/>
        <rFont val="Noto Sans CJK SC"/>
        <family val="2"/>
      </rPr>
      <t xml:space="preserve">月 </t>
    </r>
    <r>
      <rPr>
        <sz val="11"/>
        <color rgb="FF000000"/>
        <rFont val="Calibri"/>
        <family val="0"/>
        <charset val="1"/>
      </rPr>
      <t xml:space="preserve">7 </t>
    </r>
    <r>
      <rPr>
        <sz val="11"/>
        <color rgb="FF000000"/>
        <rFont val="Noto Sans CJK SC"/>
        <family val="2"/>
      </rPr>
      <t xml:space="preserve">日 起 增 列 拉脫維亞 </t>
    </r>
    <r>
      <rPr>
        <sz val="11"/>
        <color rgb="FF000000"/>
        <rFont val="Calibri"/>
        <family val="0"/>
        <charset val="1"/>
      </rPr>
      <t xml:space="preserve">( Latvia ) </t>
    </r>
    <r>
      <rPr>
        <sz val="11"/>
        <color rgb="FF000000"/>
        <rFont val="Noto Sans CJK SC"/>
        <family val="2"/>
      </rPr>
      <t xml:space="preserve">為 適用 免 簽證 入境 之 國家 </t>
    </r>
    <r>
      <rPr>
        <sz val="11"/>
        <color rgb="FF000000"/>
        <rFont val="Calibri"/>
        <family val="0"/>
        <charset val="1"/>
      </rPr>
      <t xml:space="preserve">. '' ( in Chinese ) . Bureau of Consular Affairs , Ministry of Foreign Affairs , Republic of China ( Taiwan ) . 5 January 2009 . Retrieved 16 February 2018 .   Jump up ^ `` </t>
    </r>
    <r>
      <rPr>
        <sz val="11"/>
        <color rgb="FF000000"/>
        <rFont val="Noto Sans CJK SC"/>
        <family val="2"/>
      </rPr>
      <t xml:space="preserve">自 本 </t>
    </r>
    <r>
      <rPr>
        <sz val="11"/>
        <color rgb="FF000000"/>
        <rFont val="Calibri"/>
        <family val="0"/>
        <charset val="1"/>
      </rPr>
      <t xml:space="preserve">( 101 ) </t>
    </r>
    <r>
      <rPr>
        <sz val="11"/>
        <color rgb="FF000000"/>
        <rFont val="Noto Sans CJK SC"/>
        <family val="2"/>
      </rPr>
      <t xml:space="preserve">年 </t>
    </r>
    <r>
      <rPr>
        <sz val="11"/>
        <color rgb="FF000000"/>
        <rFont val="Calibri"/>
        <family val="0"/>
        <charset val="1"/>
      </rPr>
      <t xml:space="preserve">9 </t>
    </r>
    <r>
      <rPr>
        <sz val="11"/>
        <color rgb="FF000000"/>
        <rFont val="Noto Sans CJK SC"/>
        <family val="2"/>
      </rPr>
      <t xml:space="preserve">月 </t>
    </r>
    <r>
      <rPr>
        <sz val="11"/>
        <color rgb="FF000000"/>
        <rFont val="Calibri"/>
        <family val="0"/>
        <charset val="1"/>
      </rPr>
      <t xml:space="preserve">10 </t>
    </r>
    <r>
      <rPr>
        <sz val="11"/>
        <color rgb="FF000000"/>
        <rFont val="Noto Sans CJK SC"/>
        <family val="2"/>
      </rPr>
      <t xml:space="preserve">日 起 </t>
    </r>
    <r>
      <rPr>
        <sz val="11"/>
        <color rgb="FF000000"/>
        <rFont val="Calibri"/>
        <family val="0"/>
        <charset val="1"/>
      </rPr>
      <t xml:space="preserve">, </t>
    </r>
    <r>
      <rPr>
        <sz val="11"/>
        <color rgb="FF000000"/>
        <rFont val="Noto Sans CJK SC"/>
        <family val="2"/>
      </rPr>
      <t xml:space="preserve">克 羅 埃 西亞 適用 免 簽證 入境 國家 </t>
    </r>
    <r>
      <rPr>
        <sz val="11"/>
        <color rgb="FF000000"/>
        <rFont val="Calibri"/>
        <family val="0"/>
        <charset val="1"/>
      </rPr>
      <t xml:space="preserve">. '' ( in Chinese ) . Bureau of Consular Affairs , Ministry of Foreign Affairs , Republic of China ( Taiwan ) . 10 February 2009 . Retrieved 16 February 2018 .   Jump up ^ `` </t>
    </r>
    <r>
      <rPr>
        <sz val="11"/>
        <color rgb="FF000000"/>
        <rFont val="Noto Sans CJK SC"/>
        <family val="2"/>
      </rPr>
      <t xml:space="preserve">我國 將 給予 教廷 及 梵蒂岡 城 國 護照 持 有 者 免 簽證 待遇 </t>
    </r>
    <r>
      <rPr>
        <sz val="11"/>
        <color rgb="FF000000"/>
        <rFont val="Calibri"/>
        <family val="0"/>
        <charset val="1"/>
      </rPr>
      <t xml:space="preserve">'' ( in Chinese ) . Ministry of Foreign Affairs , Republic of China ( Taiwan ) . 28 September 2009 . Retrieved 16 February 2018 .   Jump up ^ `` Foreign Relations Yearbook 2010 '' ( PDF ) . Ministry of Foreign Affairs , Republic of China ( Taiwan ) . p. 276 . Retrieved 16 February 2018 .   Jump up ^ `` ISRAEL , TAIWAN CELEBRATE VISA PACT '' . Jerusalem Post . 11 August 2011 . Retrieved 16 February 2018 .   Jump up ^ `` </t>
    </r>
    <r>
      <rPr>
        <sz val="11"/>
        <color rgb="FF000000"/>
        <rFont val="Noto Sans CJK SC"/>
        <family val="2"/>
      </rPr>
      <t xml:space="preserve">自 本 </t>
    </r>
    <r>
      <rPr>
        <sz val="11"/>
        <color rgb="FF000000"/>
        <rFont val="Calibri"/>
        <family val="0"/>
        <charset val="1"/>
      </rPr>
      <t xml:space="preserve">( 101 ) </t>
    </r>
    <r>
      <rPr>
        <sz val="11"/>
        <color rgb="FF000000"/>
        <rFont val="Noto Sans CJK SC"/>
        <family val="2"/>
      </rPr>
      <t xml:space="preserve">年 </t>
    </r>
    <r>
      <rPr>
        <sz val="11"/>
        <color rgb="FF000000"/>
        <rFont val="Calibri"/>
        <family val="0"/>
        <charset val="1"/>
      </rPr>
      <t xml:space="preserve">9 </t>
    </r>
    <r>
      <rPr>
        <sz val="11"/>
        <color rgb="FF000000"/>
        <rFont val="Noto Sans CJK SC"/>
        <family val="2"/>
      </rPr>
      <t xml:space="preserve">月 </t>
    </r>
    <r>
      <rPr>
        <sz val="11"/>
        <color rgb="FF000000"/>
        <rFont val="Calibri"/>
        <family val="0"/>
        <charset val="1"/>
      </rPr>
      <t xml:space="preserve">10 </t>
    </r>
    <r>
      <rPr>
        <sz val="11"/>
        <color rgb="FF000000"/>
        <rFont val="Noto Sans CJK SC"/>
        <family val="2"/>
      </rPr>
      <t xml:space="preserve">日 起 </t>
    </r>
    <r>
      <rPr>
        <sz val="11"/>
        <color rgb="FF000000"/>
        <rFont val="Calibri"/>
        <family val="0"/>
        <charset val="1"/>
      </rPr>
      <t xml:space="preserve">, </t>
    </r>
    <r>
      <rPr>
        <sz val="11"/>
        <color rgb="FF000000"/>
        <rFont val="Noto Sans CJK SC"/>
        <family val="2"/>
      </rPr>
      <t xml:space="preserve">克 羅 埃 西亞 適用 免 簽證 入境 國家 </t>
    </r>
    <r>
      <rPr>
        <sz val="11"/>
        <color rgb="FF000000"/>
        <rFont val="Calibri"/>
        <family val="0"/>
        <charset val="1"/>
      </rPr>
      <t xml:space="preserve">'' ( in Chinese ) . National Immigration Agency . 4 September 2012 . Retrieved 16 February 2018 .   Jump up ^ `` Taiwan grants visa - free treatment for Andorra , San Marino citizens - Politics - FOCUS TAIWAN - CNA ENGLISH NEWS '' .   Jump up ^ `` EXENCIÓN DE VISA DE TURISMO '' ( in Spanish ) . Oficina Económica y Cultural de Taipei en Chile . 1 January 2016 . Retrieved 16 February 2018 .   Jump up ^ `` Citizens of Thailand , Brunei get visa free access to Taiwan '' . Central News Agency . 1 August 2016 . Retrieved 16 February 2018 .   Jump up ^ `` 12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可 停留 </t>
    </r>
    <r>
      <rPr>
        <sz val="11"/>
        <color rgb="FF000000"/>
        <rFont val="Calibri"/>
        <family val="0"/>
        <charset val="1"/>
      </rPr>
      <t xml:space="preserve">30 </t>
    </r>
    <r>
      <rPr>
        <sz val="11"/>
        <color rgb="FF000000"/>
        <rFont val="Noto Sans CJK SC"/>
        <family val="2"/>
      </rPr>
      <t xml:space="preserve">天 汶 永久 居民 赴 台 免 签证 </t>
    </r>
    <r>
      <rPr>
        <sz val="11"/>
        <color rgb="FF000000"/>
        <rFont val="Calibri"/>
        <family val="0"/>
        <charset val="1"/>
      </rPr>
      <t xml:space="preserve">'' ( in Chinese ) .   Jump up ^ `` MOFA announces visa - free treatment for nationals of 10 Latin American and Caribbean allies effective July 12 '' . Ministry of Foreign Affairs , Republic of China ( Taiwan ) . Retrieved 2017 - 07 - 12 .   Jump up ^ `` MOFA announces reciprocal visa - free treatment between Republic of China ( Taiwan ) and Republic of Paraguay effective July 12 '' . Ministry of Foreign Affairs , Republic of China ( Taiwan ) . 12 July 2017 . Retrieved 16 February 2018 .   Jump up ^ `` MOFA announces trial of visa - free treatment for Philippine nationals '' . Ministry of Foreign Affairs , Republic of China ( Taiwan ) . 16 October 2017 . Retrieved 16 February 2018 .   Jump up ^ `` </t>
    </r>
    <r>
      <rPr>
        <sz val="11"/>
        <color rgb="FF000000"/>
        <rFont val="Noto Sans CJK SC"/>
        <family val="2"/>
      </rPr>
      <t xml:space="preserve">外交 部 自 本 </t>
    </r>
    <r>
      <rPr>
        <sz val="11"/>
        <color rgb="FF000000"/>
        <rFont val="Calibri"/>
        <family val="0"/>
        <charset val="1"/>
      </rPr>
      <t xml:space="preserve">( 107 ) </t>
    </r>
    <r>
      <rPr>
        <sz val="11"/>
        <color rgb="FF000000"/>
        <rFont val="Noto Sans CJK SC"/>
        <family val="2"/>
      </rPr>
      <t xml:space="preserve">年 </t>
    </r>
    <r>
      <rPr>
        <sz val="11"/>
        <color rgb="FF000000"/>
        <rFont val="Calibri"/>
        <family val="0"/>
        <charset val="1"/>
      </rPr>
      <t xml:space="preserve">6 </t>
    </r>
    <r>
      <rPr>
        <sz val="11"/>
        <color rgb="FF000000"/>
        <rFont val="Noto Sans CJK SC"/>
        <family val="2"/>
      </rPr>
      <t xml:space="preserve">月 起 實施 諾 魯 共和國 及 吐 瓦 魯 國 兩 國 國民 來 臺 免 簽證 措施 </t>
    </r>
    <r>
      <rPr>
        <sz val="11"/>
        <color rgb="FF000000"/>
        <rFont val="Calibri"/>
        <family val="0"/>
        <charset val="1"/>
      </rPr>
      <t xml:space="preserve">'' . Ministry of Foreign Affairs , Republic of China ( Taiwan ) . 28 May 2018 . Retrieved 28 May 2018 .   Jump up ^ Was applied from 1 April 2003   Jump up ^ `` </t>
    </r>
    <r>
      <rPr>
        <sz val="11"/>
        <color rgb="FF000000"/>
        <rFont val="Noto Sans CJK SC"/>
        <family val="2"/>
      </rPr>
      <t xml:space="preserve">外交 部 宣佈 取消 汶 萊 國民 來 台 </t>
    </r>
    <r>
      <rPr>
        <sz val="11"/>
        <color rgb="FF000000"/>
        <rFont val="Calibri"/>
        <family val="0"/>
        <charset val="1"/>
      </rPr>
      <t xml:space="preserve">30 </t>
    </r>
    <r>
      <rPr>
        <sz val="11"/>
        <color rgb="FF000000"/>
        <rFont val="Noto Sans CJK SC"/>
        <family val="2"/>
      </rPr>
      <t xml:space="preserve">日 免 簽證 待遇 </t>
    </r>
    <r>
      <rPr>
        <sz val="11"/>
        <color rgb="FF000000"/>
        <rFont val="Calibri"/>
        <family val="0"/>
        <charset val="1"/>
      </rPr>
      <t xml:space="preserve">'' ( in cn ) . Ministry of Foreign Affairs , Republic of China ( Taiwan ) . 28 November 2005 . Retrieved 16 February 2018 . CS1 maint : Unrecognized language ( link )   Jump up ^ Was applied from 1 January 1998   Jump up ^ `` </t>
    </r>
    <r>
      <rPr>
        <sz val="11"/>
        <color rgb="FF000000"/>
        <rFont val="Noto Sans CJK SC"/>
        <family val="2"/>
      </rPr>
      <t xml:space="preserve">哥 斯 大 黎 加 對 等 免 簽 </t>
    </r>
    <r>
      <rPr>
        <sz val="11"/>
        <color rgb="FF000000"/>
        <rFont val="Calibri"/>
        <family val="0"/>
        <charset val="1"/>
      </rPr>
      <t xml:space="preserve">? </t>
    </r>
    <r>
      <rPr>
        <sz val="11"/>
        <color rgb="FF000000"/>
        <rFont val="Noto Sans CJK SC"/>
        <family val="2"/>
      </rPr>
      <t xml:space="preserve">外交 部 評估 觀察 </t>
    </r>
    <r>
      <rPr>
        <sz val="11"/>
        <color rgb="FF000000"/>
        <rFont val="Calibri"/>
        <family val="0"/>
        <charset val="1"/>
      </rPr>
      <t xml:space="preserve">'' . Radio Taiwan International . 15 December 2016 . Retrieved 16 February 2018 .   Jump up ^ `` MOFA launches eVisa Program January 12 '' . Ministry of Foreign Affairs , Republic of China ( Taiwan ) . 14 January 2016 . Retrieved 16 February 2018 .   Jump up ^ `` ROC expands eVisa program '' ( PDF ) . Ministry of Foreign Affairs , Republic of China ( Taiwan ) . 7 October 2016 . Retrieved 16 February 2018 .   ^ Jump up to : `` Bureau of Consular Affairs , Ministry of Foreign Affairs - Landing Visas '' .   Jump up ^ `` Laws &amp; Regulations Database and The Republic of China '' .   Jump up ^ `` </t>
    </r>
    <r>
      <rPr>
        <sz val="11"/>
        <color rgb="FF000000"/>
        <rFont val="Noto Sans CJK SC"/>
        <family val="2"/>
      </rPr>
      <t xml:space="preserve">香港 、 澳門 永久 居民 申請 入 出境 證 </t>
    </r>
    <r>
      <rPr>
        <sz val="11"/>
        <color rgb="FF000000"/>
        <rFont val="Calibri"/>
        <family val="0"/>
        <charset val="1"/>
      </rPr>
      <t xml:space="preserve">'' . Bureau of Hong Kong Affairs . 2 June 2015 .   Jump up ^ `` </t>
    </r>
    <r>
      <rPr>
        <sz val="11"/>
        <color rgb="FF000000"/>
        <rFont val="Noto Sans CJK SC"/>
        <family val="2"/>
      </rPr>
      <t xml:space="preserve">中央 網 路 報 </t>
    </r>
    <r>
      <rPr>
        <sz val="11"/>
        <color rgb="FF000000"/>
        <rFont val="Calibri"/>
        <family val="0"/>
        <charset val="1"/>
      </rPr>
      <t xml:space="preserve">- </t>
    </r>
    <r>
      <rPr>
        <sz val="11"/>
        <color rgb="FF000000"/>
        <rFont val="Noto Sans CJK SC"/>
        <family val="2"/>
      </rPr>
      <t xml:space="preserve">兩岸 交流 </t>
    </r>
    <r>
      <rPr>
        <sz val="11"/>
        <color rgb="FF000000"/>
        <rFont val="Calibri"/>
        <family val="0"/>
        <charset val="1"/>
      </rPr>
      <t xml:space="preserve">'' .   Jump up ^ `` Bureau of Consular Affairs , Ministry of Foreign Affairs - MOFA launches eVisa Program January 12 '' .   Jump up ^ `` Bureau of Consular Affairs , Ministry of Foreign Affairs - eVisa '' .   Jump up ^ `` Taiwan includes nine more countries in e-visa program - Politics - FOCUS TAIWAN - CNA ENGLISH NEWS '' .   Jump up ^ General Information on eVisa Application   Jump up ^ `` </t>
    </r>
    <r>
      <rPr>
        <sz val="11"/>
        <color rgb="FF000000"/>
        <rFont val="Noto Sans CJK SC"/>
        <family val="2"/>
      </rPr>
      <t xml:space="preserve">外交 部 進一步 放寬 東 協 國家 國民 來 臺 簽證 措施 </t>
    </r>
    <r>
      <rPr>
        <sz val="11"/>
        <color rgb="FF000000"/>
        <rFont val="Calibri"/>
        <family val="0"/>
        <charset val="1"/>
      </rPr>
      <t xml:space="preserve">- </t>
    </r>
    <r>
      <rPr>
        <sz val="11"/>
        <color rgb="FF000000"/>
        <rFont val="Noto Sans CJK SC"/>
        <family val="2"/>
      </rPr>
      <t xml:space="preserve">外交 部 領事 事務 局 全球 資訊 網 </t>
    </r>
    <r>
      <rPr>
        <sz val="11"/>
        <color rgb="FF000000"/>
        <rFont val="Calibri"/>
        <family val="0"/>
        <charset val="1"/>
      </rPr>
      <t xml:space="preserve">'' .   Jump up ^ R.O.C. ( Taiwan ) launches the eVisa Program on Jan. 12 , 2016   ^ Jump up to : `` </t>
    </r>
    <r>
      <rPr>
        <sz val="11"/>
        <color rgb="FF000000"/>
        <rFont val="Noto Sans CJK SC"/>
        <family val="2"/>
      </rPr>
      <t xml:space="preserve">外交 部 宣布 針對 「 新 南 向 政策 」 目標 國家 實施 進一步 簽證 放寬 措施 </t>
    </r>
    <r>
      <rPr>
        <sz val="11"/>
        <color rgb="FF000000"/>
        <rFont val="Calibri"/>
        <family val="0"/>
        <charset val="1"/>
      </rPr>
      <t xml:space="preserve">'' . Bureau of Consular Affairs ( in Chinese ) .   Jump up ^ `` ABTC Summary - APEC Business Travel Card '' .   Jump up ^ `` Bureau of Consular Affairs , Ministry of Foreign Affairs - Online Application for R.O.C. ( Taiwan ) Travel Authorization Certificate ( Applicable to citizens of India , Indonesia , Myanmar , the Philippines , Vietnam , Cambodia and Laos ) '' .   Jump up ^ `` Bureau of Consular Affairs , Ministry of Foreign Affairs - Amend Online Application for R.O.C. ( Taiwan ) Travel Authorization Certificate ( Applicable to citizens of India , Indonesia , Myanmar , the Philippines , Vietnam , Cambodia and Laos ) '' .   Jump up ^ </t>
    </r>
    <r>
      <rPr>
        <sz val="11"/>
        <color rgb="FF000000"/>
        <rFont val="Noto Sans CJK SC"/>
        <family val="2"/>
      </rPr>
      <t xml:space="preserve">中央 通訊社 </t>
    </r>
    <r>
      <rPr>
        <sz val="11"/>
        <color rgb="FF000000"/>
        <rFont val="Calibri"/>
        <family val="0"/>
        <charset val="1"/>
      </rPr>
      <t xml:space="preserve">. `` </t>
    </r>
    <r>
      <rPr>
        <sz val="11"/>
        <color rgb="FF000000"/>
        <rFont val="Noto Sans CJK SC"/>
        <family val="2"/>
      </rPr>
      <t xml:space="preserve">行政 院 拍板 簡化 東 協 </t>
    </r>
    <r>
      <rPr>
        <sz val="11"/>
        <color rgb="FF000000"/>
        <rFont val="Calibri"/>
        <family val="0"/>
        <charset val="1"/>
      </rPr>
      <t xml:space="preserve">8 </t>
    </r>
    <r>
      <rPr>
        <sz val="11"/>
        <color rgb="FF000000"/>
        <rFont val="Noto Sans CJK SC"/>
        <family val="2"/>
      </rPr>
      <t xml:space="preserve">國 訪 台 簽證 </t>
    </r>
    <r>
      <rPr>
        <sz val="11"/>
        <color rgb="FF000000"/>
        <rFont val="Calibri"/>
        <family val="0"/>
        <charset val="1"/>
      </rPr>
      <t xml:space="preserve">- </t>
    </r>
    <r>
      <rPr>
        <sz val="11"/>
        <color rgb="FF000000"/>
        <rFont val="Noto Sans CJK SC"/>
        <family val="2"/>
      </rPr>
      <t xml:space="preserve">重點 新聞 </t>
    </r>
    <r>
      <rPr>
        <sz val="11"/>
        <color rgb="FF000000"/>
        <rFont val="Calibri"/>
        <family val="0"/>
        <charset val="1"/>
      </rPr>
      <t xml:space="preserve">- </t>
    </r>
    <r>
      <rPr>
        <sz val="11"/>
        <color rgb="FF000000"/>
        <rFont val="Noto Sans CJK SC"/>
        <family val="2"/>
      </rPr>
      <t xml:space="preserve">中央社 即時 新聞 </t>
    </r>
    <r>
      <rPr>
        <sz val="11"/>
        <color rgb="FF000000"/>
        <rFont val="Calibri"/>
        <family val="0"/>
        <charset val="1"/>
      </rPr>
      <t xml:space="preserve">CNA NEWS '' .   Jump up ^ `` Visa Services For Philippine and Non-Philippine Passport Holders '' .   ^ Jump up to : </t>
    </r>
    <r>
      <rPr>
        <sz val="11"/>
        <color rgb="FF000000"/>
        <rFont val="Noto Sans CJK SC"/>
        <family val="2"/>
      </rPr>
      <t xml:space="preserve">办理 台湾 自由 行 需 知 及 台湾 自由 行 个人 注意 事项   </t>
    </r>
    <r>
      <rPr>
        <sz val="11"/>
        <color rgb="FF000000"/>
        <rFont val="Calibri"/>
        <family val="0"/>
        <charset val="1"/>
      </rPr>
      <t xml:space="preserve">Jump up ^ </t>
    </r>
    <r>
      <rPr>
        <sz val="11"/>
        <color rgb="FF000000"/>
        <rFont val="Noto Sans CJK SC"/>
        <family val="2"/>
      </rPr>
      <t xml:space="preserve">大陸 地區 人民 來 臺 從事 個人 旅遊 觀光 活動 線上 申請 須知   </t>
    </r>
    <r>
      <rPr>
        <sz val="11"/>
        <color rgb="FF000000"/>
        <rFont val="Calibri"/>
        <family val="0"/>
        <charset val="1"/>
      </rPr>
      <t xml:space="preserve">Jump up ^ </t>
    </r>
    <r>
      <rPr>
        <sz val="11"/>
        <color rgb="FF000000"/>
        <rFont val="Noto Sans CJK SC"/>
        <family val="2"/>
      </rPr>
      <t xml:space="preserve">大陸 地區 人民 自 國 外 或 香港 澳門 來 臺 從事 觀光 活動 線上 申請 須知   </t>
    </r>
    <r>
      <rPr>
        <sz val="11"/>
        <color rgb="FF000000"/>
        <rFont val="Calibri"/>
        <family val="0"/>
        <charset val="1"/>
      </rPr>
      <t xml:space="preserve">Jump up ^ </t>
    </r>
    <r>
      <rPr>
        <sz val="11"/>
        <color rgb="FF000000"/>
        <rFont val="Noto Sans CJK SC"/>
        <family val="2"/>
      </rPr>
      <t xml:space="preserve">內政 部 入 出國 及 移民 署 </t>
    </r>
    <r>
      <rPr>
        <sz val="11"/>
        <color rgb="FF000000"/>
        <rFont val="Calibri"/>
        <family val="0"/>
        <charset val="1"/>
      </rPr>
      <t xml:space="preserve">( 16 December 2014 ) . `` </t>
    </r>
    <r>
      <rPr>
        <sz val="11"/>
        <color rgb="FF000000"/>
        <rFont val="Noto Sans CJK SC"/>
        <family val="2"/>
      </rPr>
      <t xml:space="preserve">公告 大陸 地區 人民 以 旅行 事 由於 入境 金門 、 馬祖 、 澎湖 時 向 內政 部 入 出國 及 移民 署 申請 發 給 臨時 入境 停留 通知 單 </t>
    </r>
    <r>
      <rPr>
        <sz val="11"/>
        <color rgb="FF000000"/>
        <rFont val="Calibri"/>
        <family val="0"/>
        <charset val="1"/>
      </rPr>
      <t xml:space="preserve">, </t>
    </r>
    <r>
      <rPr>
        <sz val="11"/>
        <color rgb="FF000000"/>
        <rFont val="Noto Sans CJK SC"/>
        <family val="2"/>
      </rPr>
      <t xml:space="preserve">其 適用 對象 、 限制 方式 、 人數 及 應 備 文件 </t>
    </r>
    <r>
      <rPr>
        <sz val="11"/>
        <color rgb="FF000000"/>
        <rFont val="Calibri"/>
        <family val="0"/>
        <charset val="1"/>
      </rPr>
      <t xml:space="preserve">, </t>
    </r>
    <r>
      <rPr>
        <sz val="11"/>
        <color rgb="FF000000"/>
        <rFont val="Noto Sans CJK SC"/>
        <family val="2"/>
      </rPr>
      <t xml:space="preserve">自 中華 民國 </t>
    </r>
    <r>
      <rPr>
        <sz val="11"/>
        <color rgb="FF000000"/>
        <rFont val="Calibri"/>
        <family val="0"/>
        <charset val="1"/>
      </rPr>
      <t xml:space="preserve">104 </t>
    </r>
    <r>
      <rPr>
        <sz val="11"/>
        <color rgb="FF000000"/>
        <rFont val="Noto Sans CJK SC"/>
        <family val="2"/>
      </rPr>
      <t xml:space="preserve">年 </t>
    </r>
    <r>
      <rPr>
        <sz val="11"/>
        <color rgb="FF000000"/>
        <rFont val="Calibri"/>
        <family val="0"/>
        <charset val="1"/>
      </rPr>
      <t xml:space="preserve">1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生效 </t>
    </r>
    <r>
      <rPr>
        <sz val="11"/>
        <color rgb="FF000000"/>
        <rFont val="Calibri"/>
        <family val="0"/>
        <charset val="1"/>
      </rPr>
      <t xml:space="preserve">. '' .   Jump up ^ </t>
    </r>
    <r>
      <rPr>
        <sz val="11"/>
        <color rgb="FF000000"/>
        <rFont val="Noto Sans CJK SC"/>
        <family val="2"/>
      </rPr>
      <t xml:space="preserve">中 時 電子 報 </t>
    </r>
    <r>
      <rPr>
        <sz val="11"/>
        <color rgb="FF000000"/>
        <rFont val="Calibri"/>
        <family val="0"/>
        <charset val="1"/>
      </rPr>
      <t xml:space="preserve">. `` </t>
    </r>
    <r>
      <rPr>
        <sz val="11"/>
        <color rgb="FF000000"/>
        <rFont val="Noto Sans CJK SC"/>
        <family val="2"/>
      </rPr>
      <t xml:space="preserve">陸 客 自由 行 少 </t>
    </r>
    <r>
      <rPr>
        <sz val="11"/>
        <color rgb="FF000000"/>
        <rFont val="Calibri"/>
        <family val="0"/>
        <charset val="1"/>
      </rPr>
      <t xml:space="preserve">65 % </t>
    </r>
    <r>
      <rPr>
        <sz val="11"/>
        <color rgb="FF000000"/>
        <rFont val="Noto Sans CJK SC"/>
        <family val="2"/>
      </rPr>
      <t xml:space="preserve">打 趴 台 觀光 業 </t>
    </r>
    <r>
      <rPr>
        <sz val="11"/>
        <color rgb="FF000000"/>
        <rFont val="Calibri"/>
        <family val="0"/>
        <charset val="1"/>
      </rPr>
      <t xml:space="preserve">'' .   Jump up ^ </t>
    </r>
    <r>
      <rPr>
        <sz val="11"/>
        <color rgb="FF000000"/>
        <rFont val="Noto Sans CJK SC"/>
        <family val="2"/>
      </rPr>
      <t xml:space="preserve">中 時 電子 報 </t>
    </r>
    <r>
      <rPr>
        <sz val="11"/>
        <color rgb="FF000000"/>
        <rFont val="Calibri"/>
        <family val="0"/>
        <charset val="1"/>
      </rPr>
      <t xml:space="preserve">. `` </t>
    </r>
    <r>
      <rPr>
        <sz val="11"/>
        <color rgb="FF000000"/>
        <rFont val="Noto Sans CJK SC"/>
        <family val="2"/>
      </rPr>
      <t xml:space="preserve">急 凍 </t>
    </r>
    <r>
      <rPr>
        <sz val="11"/>
        <color rgb="FF000000"/>
        <rFont val="Calibri"/>
        <family val="0"/>
        <charset val="1"/>
      </rPr>
      <t xml:space="preserve">! </t>
    </r>
    <r>
      <rPr>
        <sz val="11"/>
        <color rgb="FF000000"/>
        <rFont val="Noto Sans CJK SC"/>
        <family val="2"/>
      </rPr>
      <t xml:space="preserve">農曆 年 後 陸 客 再 減 半 </t>
    </r>
    <r>
      <rPr>
        <sz val="11"/>
        <color rgb="FF000000"/>
        <rFont val="Calibri"/>
        <family val="0"/>
        <charset val="1"/>
      </rPr>
      <t xml:space="preserve">'' .   Jump up ^ `` </t>
    </r>
    <r>
      <rPr>
        <sz val="11"/>
        <color rgb="FF000000"/>
        <rFont val="Noto Sans CJK SC"/>
        <family val="2"/>
      </rPr>
      <t xml:space="preserve">大陸 人士 </t>
    </r>
    <r>
      <rPr>
        <sz val="11"/>
        <color rgb="FF000000"/>
        <rFont val="Calibri"/>
        <family val="0"/>
        <charset val="1"/>
      </rPr>
      <t xml:space="preserve">- </t>
    </r>
    <r>
      <rPr>
        <sz val="11"/>
        <color rgb="FF000000"/>
        <rFont val="Noto Sans CJK SC"/>
        <family val="2"/>
      </rPr>
      <t xml:space="preserve">申辦 「 觀光 」 須知 </t>
    </r>
    <r>
      <rPr>
        <sz val="11"/>
        <color rgb="FF000000"/>
        <rFont val="Calibri"/>
        <family val="0"/>
        <charset val="1"/>
      </rPr>
      <t xml:space="preserve">'' .   Jump up ^ `` </t>
    </r>
    <r>
      <rPr>
        <sz val="11"/>
        <color rgb="FF000000"/>
        <rFont val="Noto Sans CJK SC"/>
        <family val="2"/>
      </rPr>
      <t xml:space="preserve">首 批 赴 台 中转 大陆 游客 今日 抵达 台湾 转机 </t>
    </r>
    <r>
      <rPr>
        <sz val="11"/>
        <color rgb="FF000000"/>
        <rFont val="Calibri"/>
        <family val="0"/>
        <charset val="1"/>
      </rPr>
      <t xml:space="preserve">'' . Sohu . Xinhua News Agency .   Jump up ^ `` </t>
    </r>
    <r>
      <rPr>
        <sz val="11"/>
        <color rgb="FF000000"/>
        <rFont val="Noto Sans CJK SC"/>
        <family val="2"/>
      </rPr>
      <t xml:space="preserve">我 要 申請 </t>
    </r>
    <r>
      <rPr>
        <sz val="11"/>
        <color rgb="FF000000"/>
        <rFont val="Calibri"/>
        <family val="0"/>
        <charset val="1"/>
      </rPr>
      <t xml:space="preserve">- </t>
    </r>
    <r>
      <rPr>
        <sz val="11"/>
        <color rgb="FF000000"/>
        <rFont val="Noto Sans CJK SC"/>
        <family val="2"/>
      </rPr>
      <t xml:space="preserve">旅居 海外 大陸 地區 人民 申請 來 臺 觀光 </t>
    </r>
    <r>
      <rPr>
        <sz val="11"/>
        <color rgb="FF000000"/>
        <rFont val="Calibri"/>
        <family val="0"/>
        <charset val="1"/>
      </rPr>
      <t xml:space="preserve">'' . National Immigration Agency .   Jump up ^ `` Bureau of Consular Affairs , Ministry of Foreign Affairs - Working Holiday ( Youth Mobility ) Scheme '' .   Jump up ^ `` Bureau of Consular Affairs , Ministry of Foreign Affairs - Qualifications for Visa Applicants '' .   Jump up ^ `` </t>
    </r>
    <r>
      <rPr>
        <sz val="11"/>
        <color rgb="FF000000"/>
        <rFont val="Noto Sans CJK SC"/>
        <family val="2"/>
      </rPr>
      <t xml:space="preserve">中華 民國 國民 申請 其他 國家 「 度假 打工 </t>
    </r>
    <r>
      <rPr>
        <sz val="11"/>
        <color rgb="FF000000"/>
        <rFont val="Calibri"/>
        <family val="0"/>
        <charset val="1"/>
      </rPr>
      <t xml:space="preserve">( </t>
    </r>
    <r>
      <rPr>
        <sz val="11"/>
        <color rgb="FF000000"/>
        <rFont val="Noto Sans CJK SC"/>
        <family val="2"/>
      </rPr>
      <t xml:space="preserve">青年 交流 </t>
    </r>
    <r>
      <rPr>
        <sz val="11"/>
        <color rgb="FF000000"/>
        <rFont val="Calibri"/>
        <family val="0"/>
        <charset val="1"/>
      </rPr>
      <t xml:space="preserve">) </t>
    </r>
    <r>
      <rPr>
        <sz val="11"/>
        <color rgb="FF000000"/>
        <rFont val="Noto Sans CJK SC"/>
        <family val="2"/>
      </rPr>
      <t xml:space="preserve">簽證 」 參考 資料 </t>
    </r>
    <r>
      <rPr>
        <sz val="11"/>
        <color rgb="FF000000"/>
        <rFont val="Calibri"/>
        <family val="0"/>
        <charset val="1"/>
      </rPr>
      <t xml:space="preserve">- </t>
    </r>
    <r>
      <rPr>
        <sz val="11"/>
        <color rgb="FF000000"/>
        <rFont val="Noto Sans CJK SC"/>
        <family val="2"/>
      </rPr>
      <t xml:space="preserve">外交 部 領事 事務 局 全球 資訊 網 </t>
    </r>
    <r>
      <rPr>
        <sz val="11"/>
        <color rgb="FF000000"/>
        <rFont val="Calibri"/>
        <family val="0"/>
        <charset val="1"/>
      </rPr>
      <t xml:space="preserve">'' .   Jump up ^ `` Bureau of Consular Affairs , Ministry of Foreign Affairs - Youth Mobility ( The United Kingdom ) '' .   Jump up ^ Visitor Arrivals , 2013 - 2016   Jump up ^ `` Tourism Bureau , M.O.T.C. Republic of China ( Taiwan ) Visitor Arrivals by Residence '' . admin.taiwan.net.tw . Retrieved 2017 - 01 - 31 .    External links ( edit )    Bureau of Consular Affairs   IATA visa information   List of Taiwanese Diplomatic Missions   National Immigration Agency English Website              Foreign relations of Taiwan     Africa     Burkina Faso   Chad   Gambia   Malawi   São Tomé and Príncipe   South Africa         Americas     Belize   Brazil   Canada   Chile   Dominican Republic   Mexico   Paraguay   United States   Venezuela       Asia     Bangladesh   India   Indonesia   Japan   Malaysia   Mongolia   Myanmar   Philippines   Singapore   Saudi Arabia   South Korea   Vietnam       Europe     Czech Republic   Denmark   Holy See   Italy   Latvia   Poland   Russia   Ukraine   United Kingdom       Oceania     Australia   Pacific countries       Other     PR China   Hong Kong     United Nations   Political status   Arab World   Caribbean   Third World       Related topics     Ministry of Foreign Affairs   Taipei Economic and Cultural Representative Office   Taiwan Relations Act   Taiwan Travel Act     Diplomatic missions of / in Taiwan   Passport   Visa policy / requirements         Timeline of diplomatic relations                 Visa policy by country       Visa   Passport   Travel document       Africa      Central     Angola   Cameroon   Central African Republic   Chad   DR Congo   R Congo   Equatorial Guinea   Gabon   São Tomé and Príncipe       Eastern     Burundi   Comoros   Djibouti   Eritrea   Ethiopia   Kenya   Madagascar   Malawi   Mauritius   Mozambique   Rwanda   Seychelles   Somalia ( Somaliland )   South Sudan   Tanzania   Uganda   Zambia   Zimbabwe       Northern     Algeria   Egypt   Libya   Morocco   Sudan   Tunisia       Southern     Botswana   Lesotho   Namibia   Saint Helena , Ascension and Tristan da Cunha   South Africa   Swaziland       Western     Benin   Burkina Faso   Cape Verde   Gambia   Ghana   Guinea   Guinea - Bissau   Ivory Coast   Liberia   Mali   Mauritania   Niger   Nigeria   Senegal   Sierra Leone   Togo          Americas      Caribbean     Dutch Caribbean ( Aruba , Caribbean Netherlands , Curaçao , Sint Maarten )   Anguilla   Antigua and Barbuda   Bahamas   Barbados   British Virgin Islands   Cayman Islands   Cuba   Dominica   Dominican Republic   Grenada   Haiti   Jamaica   Montserrat   Puerto Rico   St. Kitts and Nevis   St. Lucia   St. Vincent and the Grenadines   Trinidad and Tobago</t>
    </r>
  </si>
  <si>
    <t xml:space="preserve">do i need a visa to go to taiwan from us</t>
  </si>
  <si>
    <t xml:space="preserve"> In addition , holders of emergency or temporary passports with validity of more than 6 months issued by visa - exempt countries are eligible for visa on arrival for a fee . The duration of stay is 30 days regardless of nationality and can not be extended . This measure does not apply to holders of emergency or temporary passports issued by Japan or the United States as they are visa exempt . </t>
  </si>
  <si>
    <r>
      <rPr>
        <sz val="11"/>
        <color rgb="FF000000"/>
        <rFont val="Calibri"/>
        <family val="0"/>
        <charset val="1"/>
      </rPr>
      <t xml:space="preserve">Three - point field goal - wikipedia  Three - point field goal  Jump to : navigation , search Not to be confused with Field goal ( American and Canadian football ) .      This article needs additional citations for verification . Please help improve this article by adding citations to reliable sources . Unsourced material may be challenged and removed . ( January 2013 ) ( Learn how and when to remove this template message )    Sara Giauro shoots a three - point shot at the 2007 FIBA Europe Cup Women 's Finals Stephen Curry currently holds the record for most three - point field goals in an NBA regular season with 402 .  A three - point field goal ( also called a three - pointer ) is a field goal in a basketball game made from beyond the three - point line , a designated arc surrounding the basket . A successful attempt is worth three points , in contrast to the two points awarded for field goals made within the three - point line and the one point for each made free throw .   The distance from the basket to the three - point line varies by competition level : in the National Basketball Association ( NBA ) the arc is 23 feet 9 inches ( 7.24 m ) from the basket ; in FIBA and the WNBA ( the latter uses FIBA 's three - point line standard ) the arc is 6.75 metres or 22 feet 1 ⁄ inches from the basket ; and in the National Collegiate Athletic Association ( NCAA ) the arc is 20 feet 9 inches ( 6.32 m ) from the basket . In the NBA and FIBA / WNBA , the three - point line becomes parallel to each sideline at the points where the arc is 3 feet ( 0.91 m ) from each sideline ; as a result the distance from the basket gradually decreases to a minimum of 22 feet ( 6.71 m ) . In the NCAA the arc is continuous for 180 ° around the basket . There are more variations ( see main article ) .   In 3x3 , a FIBA - sanctioned variant of the half - court 3 - on - 3 game , the `` three - point '' line exists , but shots from behind the line are only worth 2 points . All other shots are worth 1 point .     Contents  ( hide )   1 History   2 Rule specifications   3 Related concepts   4 See also   5 References   6 External links      History ( edit )   The three - point line was first tested at the collegiate level in a 1945 NCAA game between Columbia and Fordham but it was not kept as a rule . At the direction of Abe Saperstein , the American Basketball League became the first basketball league to institute the rule in 1961 . Its three - point line was a radius of 25 feet ( 7.62 m ) from the baskets , except along the sides . The Eastern Professional Basketball League followed in its 1963 -- 64 season .   The three - point shot later became popularized by the American Basketball Association after its introduction in the 1967 -- 68 season . Then commissioner of the ABA George Mikan stated the three - pointer `` would give the smaller player a chance to score and open up the defense to make the game more enjoyable for the fans . '' During the 1970s , the ABA used the three - point shot , along with the slam dunk , as a marketing tool to compete with the National Basketball Association ( NBA ) .  The official scorer 's report showing the first made three - point field goal in NBA history .  In the 1979 -- 80 season , after having tested it in the previous pre-season , the NBA adopted the three - point line despite the view of many that it was a gimmick . Chris Ford of the Boston Celtics is widely credited with making the first three - point shot in NBA history on October 12 , 1979 . Kevin Grevey of the Washington Bullets also made one on the same day .   The sport 's international governing body , FIBA , introduced the three - point line in 1984 , at a distance of 6.25 m ( 20 ft 6 in ) .   The NCAA 's Southern Conference became the first collegiate conference to use the three - point rule , adopting a 22 - foot ( 6.71 m ) line for the 1980 -- 81 season . Ronnie Carr of Western Carolina University was the first to score a three - point field goal in college basketball history on November 29 , 1980 . Over the following five years , NCAA conferences differed in their use of the rule and distance required for a three - pointer . The line was as close as 17 ft 9 in ( 5.41 m ) in the Atlantic Coast Conference , and as far away as 22 feet in the Big Sky Conference . Used in conference play , it was adopted by the NCAA for the 1986 -- 87 men 's season at 19 ft 9 in ( 6.02 m ) , and was first used in the NCAA Tournament in 1987 . In the same 1986 -- 87 season , the NCAA adopted the three - pointer in women 's basketball on an experimental basis , using the same 19 ft 9 in distance , and made its use mandatory beginning in 1987 -- 88 . In 2007 , the NCAA lengthened the men 's three - point distance to 20 ft 9 in ( 6.32 m ) , with the rule coming into effect at the beginning of the 2008 -- 09 season . The NCAA women 's three - point distance was moved to match the men 's distance in 2011 -- 12 . American high schools , along with elementary and middle schools , adopted a 19 ft 9 in ( 6.02 m ) line nationally in 1987 , a year after the NCAA .   During the 1994 -- 95 , 1995 -- 96 , and 1996 -- 97 seasons , the NBA attempted to address decreased scoring by shortening the distance of the line from 23 ft 9 in ( 7.24 m ) ( 22 ft ( 6.71 m ) at the corners ) to a uniform 22 ft ( 6.71 m ) around the basket . From the 1997 -- 98 season on , the NBA reverted the line to its original distance of 23 ft 9 in ( 22 ft at the corners , with a 3 inch differential ) . Ray Allen is currently the NBA all - time leader in career made three - pointers with 2,973 .   In 2008 , FIBA announced that the distance would be increased by 50 cm ( 19.69 in ) to 6.75 m ( 22 ft 1 ⁄ in ) , with the change being phased in beginning in October 2010 . In December 2012 , the WNBA announced that it would be using FIBA 's distance , too , as of the 2013 season . The NBA has discussed adding a four - point line , according to president Rod Thorn .   Rule specifications ( edit )   A three - point line consists of an arc at a set radius measured from the point on the floor directly below the center of the basket , and two parallel lines equidistant from each sideline extending from the nearest end line to the point at which they intersect the arc . In the NBA and FIBA standard , the arc spans the width of the court until it is a specified minimum distance from each sideline . The three - point line then becomes parallel to the sidelines from those points to the baseline . The unusual formation of the three - point line at these levels allows players some space from which to attempt a three - point shot at the corners of the court ; the arc would be less than 2 feet ( 0.61 m ) from each sideline at the corners if it was a continuous arc . In the NCAA and American high school standards , the arc spans 180 ° around the basket , then becomes parallel to the sidelines from the plane of the basket center to the baseline ( 5 feet 3 inches or 1.60 metres ) . The distance of the three - point line to the center of the hoop varies by level :       Arc radius   Minimum distance from sidelines       National Basketball Association   23 feet 9 inches ( 7.24 m )   3 feet ( 0.91 m )       FIBA ( also used by WNBA )   6.75 meters ( 22 ft 2 in )   0.90 meters ( 2 ft 11 in )       National Collegiate Athletic Association   20 feet 9 inches ( 6.32 m )   4 feet 3 inches ( 1.30 m )       American High school basketball   19 feet 9 inches ( 6.02 m )   5 feet 3 inches ( 1.60 m )       A player 's feet must be completely behind the three - point line at the time of the shot or jump in order to make a three - point attempt ; if the player 's feet are on or in front of the line , it is a two - point attempt . A player is allowed to jump from outside the line and land inside the line to make a three - point attempt , as long as the ball is released in mid-air .   An official raises his / her arm with three fingers extended to signal the shot attempt . If the attempt is successful , he / she raises his / her other arm with all fingers fully extended in manner similar to a football official signifying successful field goal to indicate the three - point goal . The official must recognize it for it to count as three points . Instant replay has sometimes been used , depending on league rules . The NBA , WNBA , FIBA and the NCAA specifically allow replay for this purpose . In NBA , FIBA , and WNBA games , video replay does not have to occur immediately following a shot ; play can continue and the officials can adjust the scoring later in the game , after reviewing the video . However , in late game situations , play may be paused pending a review .   If a shooter is fouled while attempting a three - pointer and subsequently misses the shot , the shooter is awarded three free - throw attempts . If a player completes a three - pointer while being fouled , the player is awarded one free - throw for a possible 4 - point play . Conceivably , if a player completed a three - pointer while being fouled , and that foul was ruled as either a Flagrant 1 or a Flagrant 2 foul , the player would be awarded two free throws for a possible 5 - point play .   Related concepts ( edit )   Major League Lacrosse features a two - point line which forms a 15 - yard ( 14 m ) arc around the front of the goal . Shots taken from behind this line count for two points , as opposed to the standard one point .   In gridiron football , a standard field goal is worth three points ; various professional and semi-pro leagues have experimented with four - point field goals . NFL Europe and the Stars Football League adopted a rule similar to basketball 's three - point line in which an additional point was awarded for longer field goals ; in both leagues any field goal of 50 yards ( 46 m ) or more was worth four points . The Arena Football League awards four points for any successful drop kicked field goal ( like the three - point shot , the drop kick is more challenging than a standard place kick , as the bounce of the ball makes a kick less predictable , and arena football also uses narrower goal posts for all kicks than the outdoor game does ) .   During the existence of the World Hockey Association in the 1970s , there were proposals for two - point hockey goals for shots taken beyond an established distance ( one proposal was a 44 - foot ( 13.4 m ) arc , which would have intersected the faceoff circles ) , but this proposal gained little support and faded after the WHA merged with the NHL . It was widely believed that long - distance shots in hockey had little direct relation to skill ( usually resulting more from goalies ' vision being screened or obscured ) , plus with the lower scoring intrinsic to the sport a two - point goal was seen as disruptive of the structure of the game .   The Super Goal is a similar concept in Australian rules football , in which a 50 - meter ( 55 yd ) arc determines the value of a goal ; within the arc , it is the usual 6 points , but 9 points are scored for a `` super goal '' scored from outside the arc . To date the super goal is only used in pre-season games and not in the season proper .   The National Professional Soccer League II , which awarded two points for all goals except those on the power play , also used a three - point line , drawn 45 feet ( 14 m ) from the goal . It has since been adopted by some other indoor soccer leagues .   See also ( edit )    50 -- 40 -- 90 club , exclusive group of players who have made at least 50 % of two - pointers , 40 % of three - pointers , and 90 % of free throws in a season .   List of National Basketball Association career 3 - point scoring leaders    References ( edit )    Jump up ^ `` Article 5 : Scoring '' ( PDF ) . 3x3 Official Rules of the Game . FIBA . January 2016 . Retrieved 3 September 2017 .   Jump up ^ Frazier , Walt ; Sachare , Alex ( 1998 ) . The Complete Idiot 's Guide to Basketball . New York City : Penguin Group .   Jump up ^ `` 4 - Point Play Gets Approval By ABA '' . Associated Press . July 11 , 1967 . Retrieved June 17 , 2013 .   Jump up ^ ( 1 )   Jump up ^ Sanders , Steve ( February 9 , 1981 ) . `` 22 will get you 3 '' . Spartanburg Herald . South Carolina . p . B1 .   ^ Jump up to : `` Basketball '' . Southern Conference . Retrieved July 30 , 2015 .   Jump up ^ `` Carr 's shot makes cage Hall of Fame '' . Gadsden Times . Alabama . Associated Press . May 31 , 1981 . p. 36 .   Jump up ^ `` Three - pointer turns 25 '' . Eugene Register - Guard . Associated Press . December 3 , 2005 . p . B3 .   Jump up ^ ( 2 )   Jump up ^ Butts , David ( April 3 , 1986 ) . `` NCAA adds three - point basket '' . Bryan Times Agency = UPI . p. 12 .   ^ Jump up to : `` NCAA Women 's Basketball Playing Rules History '' ( PDF ) . NCAA . Retrieved August 23 , 2017 .   Jump up ^ `` Important Rules Changes by Year '' ( PDF ) . NCAA Men 's Basketball Record Book . NCAA . Retrieved August 23 , 2017 .   Jump up ^ Lynch , John ( 27 March 1987 ) . `` High School Basketball Draws Line , Adopts 3 - Point Rule '' . Los Angeles Times .   Jump up ^ `` NBA &amp; ABA Career Leaders and Records for 3 - Pt Field Goals Basketball-Reference.com '' . Basketball-Reference.com . Retrieved 2016 - 05 - 19 .   Jump up ^ `` NBA has discussed bigger court , 4 - point shot '' . Espn.go.com. 2014 - 02 - 25 . Retrieved 2017 - 03 - 05 .   Jump up ^ `` Rule No. 1 -- - Court Dimensions -- Equipment '' . NBA Official Rules . Retrieved 19 October 2010 .   Jump up ^ `` Official Basketball Rules 2010 '' ( PDF ) . FIBA . Retrieved 19 October 2010 .   Jump up ^ `` 2009 Court Diagram '' ( PDF ) . NCAA . Retrieved 19 October 2010 .   Jump up ^ `` Basketball Court Diagram '' ( PDF ) . Nebraska School Activities Association . Retrieved 10 December 2011 .   Jump up ^ `` Description of the NBA 's new instant replay rules '' . NBA.com . October 23 , 2008 . Retrieved 16 November 2008 .   Jump up ^ Denham , Greg ( February 14 , 2012 ) . `` NAB Cup 's ruck and holding rules may run season '' . The Australian . Archived from the original on March 6 , 2012 .    External links ( edit )    NBA. com 's Top 10 three - pointers from past 25 years   Article on Columbia 's experimentation with the three - point field goal decades before its official introduction   `` Long Live the Three '' by Steve Shutt , Basketball Hall of Fame              Basketball ( outline )     General topics     History of basketball   James Naismith   Variations of basketball   Leagues   Statistics   Glossary of terms   Index of articles         Rules     Bonus   Jump ball   Officials   Turnover     Violation   3 seconds   Offense   Defense     5 seconds   Basket interference   Carrying   Double dribble   Goaltending   Shot clock   Traveling       Foul   Flagrant   Personal   Technical         Game play     Air ball   Alley - oop   Assist   Backboard shattering   Ball hog   Block   Buzzer beater   Cherry picking   Dribble   Crossover     Dunk   Euro step   Fadeaway   Fast break   Fly     Flop   Jump shot   Layup   Finger roll     Field goal   Four - point play   Free throw   Hook shot   Moves   Pick and roll   Positions   Posterized   Playbook   Rebound   Point   Screen   Back screen     Slashing   Steal   Three - pointer   Three - point play   Uncontested shot       Strategy      General     Sixth man       Offense     Continuity offense   Flex   Shuffle   UCLA High Post   Wheel     Dribble drive motion   Four corners   Motion   Princeton   Run and gun   Grinnell System   Nellie Ball   Small ball     Triangle       Defense     1 - 2 - 1 - 1   1 -- 3 -- 1   2 -- 3 zone   Amoeba   Box - and - one   Double team   Full - court press   Hack - a-Shaq   Jordan Rules   Line   Man - to - man   Match - up zone   Triangle - and - two   Zone          Equipment     Backboard   Ball   Breakaway rim   Court   Half court     Key   Net   Possession arrow   Whistle       Clothing     Basketball sleeve   Finger sleeve   Air Jordan   Chuck Taylor All - Stars       Miscellanous     100 - point scorers   50 -- 40 -- 90 club   AAU All - Americans   AAU champions   Mikan Drill   Player tracking   Shootaround   Tip drill   Winning streaks                 Basketball statistics     Basic     Games played   Games started   Minute   Point   Rebound ( Offensive   Defensive )   Assist   Steal   Block   Foul   Turnover       Field goal &amp; free throw     Field goal made   3 - point field goal made   Free throw made   Field goal attempted   3 - point field goal attempted   Free throw attempted   Field goal percentage   3 - point field goal percentage   Free throw percentage       Doubles     Double - double   Triple - double   Quadruple - double   Quintuple - double   Five - by - five       Advanced statistics     Offense efficiency rating   Player efficiency rating   Offensive rating   Defensive rating   Effective field goal percentage   True shooting percentage   Rebound rate   Economy   Performance Index Rating   Efficiency   Player tracking   Tendex      Retrieved from `` https://en.wikipedia.org/w/index.php?title=Three-point_field_goal&amp;oldid=804387919 '' Categories :   Basketball terminology   American Basketball Association   American Basketball League ( 1961 -- 63 )   Hidden categories :   Articles needing additional references from January 2013   All articles needing additional references           Talk                                           Contents                   About Wikipedia                                           Català   Deutsch   Ελληνικά   Español   Français   Italiano   עברית   Lietuvių   Nederlands   </t>
    </r>
    <r>
      <rPr>
        <sz val="11"/>
        <color rgb="FF000000"/>
        <rFont val="Noto Sans CJK SC"/>
        <family val="2"/>
      </rPr>
      <t xml:space="preserve">日本 語   </t>
    </r>
    <r>
      <rPr>
        <sz val="11"/>
        <color rgb="FF000000"/>
        <rFont val="Calibri"/>
        <family val="0"/>
        <charset val="1"/>
      </rPr>
      <t xml:space="preserve">Polski   Русский   Українська   </t>
    </r>
    <r>
      <rPr>
        <sz val="11"/>
        <color rgb="FF000000"/>
        <rFont val="Noto Sans CJK SC"/>
        <family val="2"/>
      </rPr>
      <t xml:space="preserve">中文   </t>
    </r>
    <r>
      <rPr>
        <sz val="11"/>
        <color rgb="FF000000"/>
        <rFont val="Calibri"/>
        <family val="0"/>
        <charset val="1"/>
      </rPr>
      <t xml:space="preserve">Edit links   This page was last edited on 8 October 2017 , at 17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</si>
  <si>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nba institute the 3 point shot</t>
  </si>
  <si>
    <t xml:space="preserve"> In the 1979 -- 80 season , after having tested it in the previous pre-season , the NBA adopted the three - point line despite the view of many that it was a gimmick . Chris Ford of the Boston Celtics is widely credited with making the first three - point shot in NBA history on October 12 , 1979 . Kevin Grevey of the Washington Bullets also made one on the same day . </t>
  </si>
  <si>
    <t xml:space="preserve">Chennai Super Kings - wikipedia  Chennai Super Kings  Jump to : navigation , search  Chennai Super Kings   சென்னை சூப்பர் கிங்ஸ்         Nickname ( s )   The Super Kings , The King of IPL , Lions , Yellow Brigade     Personnel     Captain   MS Dhoni     Coach   Stephen Fleming     Owner   Chennai Super Kings Cricket Ltd     Team information     City   Chennai , Tamil Nadu , India     Colours       Founded   2008     Home ground   M.A. Chidambaram Stadium , Chennai     Secondary home ground ( s )   JSCA International Stadium Complex , Ranchi     History     Indian Premier League wins   2 ( 2010 , 2011 )     CLT20 wins   2 ( 2010 , 2014 )     Official website :   chennaisuperkings.com     The Chennai Super Kings ( abbreviated as CSK ) are a franchise cricket team based in Chennai , Tamil Nadu ( India ) , which plays in the Indian Premier League ( IPL ) . Founded in 2008 , the team played its home matches at the M.A. Chidambaram Stadium in Chennai . On 14 July 2015 , the Supreme Court appointed RM Lodha committee which suspended the Super Kings from the IPL for a period of two years for the alleged involvement of their owners in the 2013 Indian Premier League betting case . Prior to the suspension , the team was captained by Mahendra Singh Dhoni and coached by Stephen Fleming .   The Super Kings had won the title twice in succession ( 2010 and 2011 ) . In 2010 , they won the Champions League Twenty20 for the first time and repeated the feat in 2014 . They have played 8 Final in Total including CLT - 20 and IPL. They have reached IPL playoffs each and every time . They held the record of most wins as a T20 Side till 2017 even after being banned for 2 years. They are regarded as the Best IPL Team of all . The leading run - scorer of the team is Suresh Raina , while the leading wicket - taker is Ravichandran Ashwin . The brand value of the Super Kings in 2015 was estimated at $67 million , making them the third most valuable franchise in the IPL .     Contents  ( hide )   1 Franchise history   2 Team history   2.1 2008 -- 2009 : First seasons   2.2 2010 : IPL and CLT20 double   2.3 2011 -- 2015     3 Home ground   4 Players   5 Team identity   5.1 Team name and logo design   5.2 Jersey colours   5.3 Sponsors   5.4 Star ambassadors   5.5 Theme song     6 Rivalries   7 Financial worth   8 Controversies   9 Seasons   10 IPL 2015 squad   11 Administration and support staff   12 Fixtures and results   12.1 Overall results in IPL   12.1. 1 Result summary     12.2 2015 season   12.3 Overall results in CLT20     13 Awards and achievements   14 References   15 External links      Franchise history ( edit )   In September 2007 , the Board of Control for Cricket in India ( BCCI ) announced the establishment of the Indian Premier League , a Twenty20 competition to be started in 2008 . In January 2008 , the BCCI unveiled the owners of eight city - based franchises . The Chennai franchise was sold to the India Cements for $91 million , making it the fourth most expensive team in the league behind Mumbai , Bangalore and Hyderabad . India Cements acquired the rights to the franchise for 10 years . Former ICC Chairman N. Srinivasan was the de facto owner of the Chennai Super Kings , by means of his position as the vice-chairman and managing director of India Cements Ltd . The franchisee was transferred to a separate entity named Chennai Super Kings Cricket Ltd. , after the Supreme Court of India struck down the controversial amendment to the BCCI constitution 's clause 6.2. 4 that allowed board officials to have a commercial interest in the IPL and the Champions League T20 on January 22 , 2015 .   Team history ( edit )   2008 -- 2009 : first seasons ( edit )  Main articles : Chennai Super Kings in 2008 and 2009 Chennai Super Kings playing the Kolkata Knight Riders at the M.A. Chidambaram Stadium in the 2008 Indian Premier League .  During the first player auctions for the inaugural IPL season conducted in January 2008 , the Chennai franchise bought a number of contemporary star cricketers such as Mahendra Singh Dhoni , Matthew Hayden , Stephen Fleming , Muttiah Muralitharan and Michael Hussey . Dhoni became the costliest player of the auction , as the Chennai franchise bought him for $1.5 million . The franchise named Dhoni as the captain of the team and appointed Kepler Wessels as the head coach . They played their first game on 19 April 2008 against Kings XI Punjab at Mohali . The Super Kings won the game by 33 runs after posting 240 / 5 in 20 overs , which was the highest total of the tournament , a record surpassed by themselves in 2010 . The Super Kings ended the league stage with eight wins from 14 games and finished third on the points table . They beat the Kings XI Punjab by 9 wickets in the semifinal . The Super Kings faced the Rajasthan Royals in the final of the IPL at Mumbai . Batting first , the Super Kings scored 163 / 5 in 20 overs and lost the game by 3 wickets off the final delivery of the match . They also earned a spot in the inaugural Champions League Twenty20 along with Rajasthan , but the tournament was cancelled due to the 2008 Mumbai Attacks and the Super Kings , along with Rajasthan , received $5 million each as compensation . Fleming , who had decided to retire from all forms of the game after the first season of the IPL , took over as the coach of the Super Kings team from Wessels for the next season which was to be held in South Africa .   For the 2009 season , the Super Kings bought English all - rounder Andrew Flintoff for $1.55 million at the auction making him the highest - paid IPL cricketer along with English teammate Kevin Pietersen who was bought for the same amount by Royal Challengers Bangalore . However , Flintoff played only 3 matches for them before suffering a knee injury that ruled him out of the season . The Super Kings were also without the services of Hussey who had decided to skip the IPL season to focus on The Ashes . The Super Kings finished with 17 points from 14 matches and earned a second place at the league table . However , at the semi-finals , their hopes of entering the final for a second time were crushed by the Royal Challengers who beat them by 6 wickets . The Super Kings opener Matthew Hayden , who scored 572 runs in 12 innings with 5 half - centuries at an average of 52 and strike - rate of 145 , won the Orange Cap for the leading run - scorer of the season and was also adjudged Player of the Tournament .   2010 : IPL and CLT20 double ( edit )  Main article : Chennai Super Kings in 2010  In 2010 , the Super Kings struggled in the first half of the regular season , winning only two matches out of seven . They won four of their next five games in the season mainly due to the efforts of Murali Vijay and Suresh Raina . After a defeat at home to the Delhi Daredevils , the Super Kings were left with a must - win match against Kings XI Punjab at Dharamsala . The Super Kings won the match by six wickets as they chased down the target of 193 with two balls to spare with skipper Dhoni scoring an unbeaten 54 from 29 balls . Thus , with seven wins from 14 matches , Chennai finished with the same number of points as three other teams with two semi-final spots at stake . Chennai got the third place as they had the better net run rate of the four teams which finished on 14 points . In the semifinal , the Super Kings scored a modest 142 / 7 in 20 overs against the defending champions Deccan Chargers . But an inspired bowling spell from Doug Bollinger ( 4 / 13 in four overs ) did the most damage as the Chargers were bowled out for 104 . This gave the Super Kings a 38 - run victory that took them to the final . The Super Kings faced the tournament favorites Mumbai Indians at their home ground in the final . Suresh Raina 's 57 ( 35 ) helped the Super Kings recover from 68 / 3 after 12 overs to put up 168 / 5 at the end of their 20 overs . Then , their spin duo of Ravichandran Ashwin and Muralitharan conceded only 41 runs in the 8 overs bowled between them to help the Super Kings won the game by 22 runs and secure their first ever IPL title . With this , the Super Kings also qualified for the 2010 Champions League Twenty20 that was held in South Africa .   At the Champions League , the Super Kings were placed in Group A along with champions of Twenty20 competitions from Australia , South Africa , New Zealand and Sri Lanka . The Super Kings topped the Group table with three wins and a Super Over defeat to the Victorian Bushrangers . In the semi-final at Durban , the Super Kings comprehensively defeated IPL rivals Royal Challengers Bangalore by 52 runs . Raina won the Man of the match for his unbeaten 94 off 48 balls . The Super Kings played their first CLT20 final at Johannesburg where they beat the Chevrolet Warriors by 8 wickets , becoming the first IPL team to win the CLT20 . Murali Vijay won not only the Man of the Match in the final for his 58 but also the Golden Bat for scoring the most runs in the tournament and Ashwin , who was the leading wicket - taker , was adjudged the Player of the Series . At the end of the season , Matthew Hayden decided to retire from the IPL .   2011 -- 2015 ( edit )  Main articles : Chennai Super Kings in 2011 , 2012 , 2013 , 2014 , and 2015 Suresh Raina is the leading run - scorer for the Super Kings  In 2011 , as two new teams were added to the IPL , the IPL Governing Council declared that each franchise could retain a maximum of four players of their squad , only three of whom can be Indian players , and the rest of the international players would be put in the mega-auction . The Chennai franchise , keen to have the same set of core players , retained captain MS Dhoni , vice-captain Suresh Raina , Murali Vijay and all - rounder Albie Morkel for a total of $4.5 million . The retention left them with the power of spending only $4.5 million at the mega-auction . At the auction , they bought back some of their star players of previous seasons such as Hussey , Ashwin , Bollinger and Subramaniam Badrinath . In the 2011 IPL , they lost three of their first five games which placed them at the bottom of the ten - team points table . But then , they went on to win seven of their next eight games to finish second and register a spot in the knockout stages . They faced the top - ranked team Royal Challengers Bangalore in the Qualifying final which they won by 6 wickets thanks to an unbeaten 73 from Suresh Raina . In the final , they faced the same opponents again , which was held at their home ground Chepauk . Vijay and Hussey put on a 133 - run first - wicket partnership that helped the Super Kings to post a total of 205 / 5 . Their bowlers , then , restricted Bangalore to only 147 to take the Super Kings to second consecutive title in the IPL . Vijay was awarded Man of the Match for his match - winning innings of 95 . CSK also won all their home games that season becoming the first team in IPL to achieve the feat . However at the Champions League later that year , they won only one out of their four group matches and finished at the bottom .   In 2012 , the franchise signed up Indian all - rounder Ravindra Jadeja for $2 million at the players ' auction . They got off to a rather slow start in the regular season , winning only five of their first 12 games which put them in doubt of qualifying for the Playoffs . Then they won three of their last four matches and qualified for the Playoffs with a better net run rate than the Royal Challengers who also finished with the same number of points . In the Eliminator , they beat the Mumbai Indians by 38 runs before comprehensively beating the table - toppers Delhi Daredevils in the Qualifying final by 86 runs . Murali Vijay , who struck his second IPL hundred ( 113 off 58 balls ) , won the Man of the Match . At the final , the Super Kings were defeated by 5 wickets by the Kolkata Knight Riders who chased down the target of 191 with two balls to spare , thus denying the Super Kings a hat - trick of titles in the IPL . At the Champions League , once again they could not progress past the group stage with two wins and two defeats .   In 2013 , the Super Kings strengthened their bowling attack by signing up five overseas and five Indian bowlers . In the IPL season , they finished first in the points table with 11 wins from 16 matches and qualified for the Playoffs and 2013 CLT20 . This was the first time in six seasons that the Super Kings had topped the league table of the IPL . During the season , they also equaled Royal Challengers Bangalore 's 2011 record for most wins in succession in the IPL ( 7 wins on trot ) . In the first Qualifier at Delhi against Mumbai Indians , the Super Kings posted 192 / 1 in 20 overs riding on unbeaten half - centuries from Hussey ( 86 * off 58 balls ) and Raina ( 82 * off 42 balls ) before bowling out their opponents for 144 . Thus they entered the final of the IPL for the fourth time in succession where they would play the same opponents , Mumbai Indians , at Kolkata . At the final , batting first , the Mumbai Indians made 148 / 9 in their 20 overs . In reply , the Super Kings were reduced to 39 / 6 at one stage before an unbeaten half - century from skipper Dhoni took them close to the target . However , Mumbai Indians won the match by 23 runs to win their first ever IPL title . Super Kings opening batsman Michael Hussey , who scored 733 runs that season at an average of 52 , won the Orange Cap for the most runs in the season while all - rounder Dwayne Bravo won the Purple Cap for bagging the most wickets ( 32 ) . The Super Kings gained direct qualification for the 2013 CLT20 which was held in India in September -- October . They were placed in Group B alongside Brisbane Heat , Sunrisers Hyderabad , Titans and Trinidad &amp; Tobago . They won their first three games before losing the final group match against Trinidad &amp; Tobago . With 12 points from four matches , the Super Kings progressed to the semifinals where they suffered a 14 - run defeat at the hands of the Rajasthan Royals at Jaipur .   In 2014 , before the players ' mega-auction , Chennai retained Dhoni , Raina , Jadeja , Ashwin and Bravo . The retention left them with a purse of ₹ 21 crores to spend at the auction . At the auction , the franchise bought the likes of Brendon McCullum , Dwayne Smith , Faf du Plessis , Ashish Nehra , Mohit Sharma among others . The first phase of the IPL season , as it coincided with the general elections , was held in UAE . The second phase returned to India , but the Super Kings ' home matches were shifted from Chennai , due to `` a deadlock between stadium authorities and the state administration '' , to JSCA International Stadium in Ranchi . The Super Kings started the season with a defeat in the opening match , after which they went on to win eight of their next nine matches to take the first spot in the points table . However , they suffered a loss of form towards the end of the regular season which resulted in three consecutive defeats . They won their last league fixture and finished third in the points table and qualified for the Eliminator against the fourth - placed Mumbai Indians . They won the Eliminator at Mumbai by 7 wickets and qualified for the Qualifier . At the Qualifier against Kings XI Punjab , the Super Kings won the toss and elected to field . Punjab went on to score 226 / 6 in their 20 overs . The Super Kings , in reply , could manage only 202 / 7 despite a 25 - ball 87 from Raina . They crashed out of the IPL , but , on account of finishing third , qualified for the main event of the 2014 CLT20 . In the group stage of the CLT20 , the Super Kings won two matches , lost one while another match was a no result . Thus with 10 points they finished second in the group table and qualified for the semifinal where they met the unbeaten team of the other group , Kings XI Punjab . After being put in to bat , the Super Kings posted 182 / 7 in 20 overs thanks to Bravo who scored a 39 - ball 67 . Then their bowlers reduced Punjab to 34 / 6 in the eighth over , and Punjab were eventually bowled out for 117 . At the final in Bangalore , the Super Kings faced the IPL champions Kolkata Knight Riders who set them a target of 181 in 20 overs . Raina guided the run - chase with an unbeaten 109 off 62 balls , helping the team to an eight - wicket win and their second CLT20 title . Super Kings spinner Pawan Negi who took 5 / 22 during Kolkata 's innings won the Man of the Match , and Raina , who finished as the highest run - getter of the tournament , was awarded Man of the Tournament .   In 2015 , before the players ' auction , Chennai Super Kings gave away Ben Hilfenhaus , John Hastings , Vijay Shankar and David Hussey . At the auction they bought back Michael Hussey for a price of Rs. 1.5 crores . They also bought Kyle Abbott , Irfan Pathan , Andrew Tye , Eklavya Dwivedi , Ankush Bains , Pratyush Singh and Rahul Sharma . In the final , they lost against Mumbai .   Home ground ( edit )     Home record of the Super Kings       Matches   Wins   Losses   Tie / NR   Success Rate     In IPL   39   26   13   0   66.67 %     In CLT20         0   75 %     Overall   43   29   14   0   67.44 %    Main article : M.A. Chidambaram Stadium  The home ground of the Super Kings is the historic M.A. Chidambaram Stadium ( commonly called `` The Chepauk '' ) located in Chennai . The stadium is named after former BCCI President M.A. Chidambaram . It is the oldest stadium in India which is in continuous use . The stadium is owned by the Tamil Nadu Cricket Association and has a seating capacity of 50,000 as of May 2013 . In 2010 , the stadium underwent a major renovation for hosting some of the matches of the 2011 ICC Cricket World Cup . The seating capacity was increased from 36,000 to 50,000 and three new stands were established during this renovation .   The Super Kings have a 67.44 % win record at this venue , which is often referred to as `` Fortress Chepauk '' and `` Lions ' den '' . In the 2011 season , the Super Kings won all their home games ( 8 matches ) including the final against Royal Challengers Bangalore . The Super Kings thus became the first team to win all their home games in a season and also the first team to win the tournament at home .   In 2014 , Chennai Super Kings played all their home matches at Ranchi due to issues with Government of Tamil Nadu .  Panoramic view of the M.A. Chidambaram Stadium in 2012 .  Players ( edit )  Main article : List of Chennai Super Kings cricketers Mahendra Singh Dhoni is the first Indian captain to win the IPL .  Mahendra Singh Dhoni , who was the captain of the Indian limited - overs team in 2008 , was bought by the Super Kings for $1.5 million at the 2008 players ' auction . He was the most expensive player in the IPL until 2009 when the Super Kings signed up English all - rounder Andrew Flintoff for $1.55 million , he is not a part of the team now . Dhoni is the most successful captain in the IPL having led the team to Six finals ( Runners up 2008 , 2012 , 2013 , 2015 ) , winning two ( 2010 , 2011 ) . He has a success rate of 61.05 % as captain which is the best among all captains in the IPL who have captained in at least 20 games .   The vice-captain of the team since the first season is Suresh Raina . Raina is the most capped player in the history of IPL and has not missed a single match for the Super Kings till date . He is currently the highest run - scorer in the history of IPL and the only player to have scored more than 400 runs till 2014 . He also holds the record for most catches in IPL .   Australian batsman Michael Hussey has the best batting average for the Super Kings . He was the first batsman from the Super Kings to score a century in the IPL . After Matthew Hayden 's retirement in 2010 , Hussey took over his place of opening batsman and was the team 's leading run - scorer in 2011 and 2013 seasons . Murali Vijay , who played for the team from 2009 to 2013 , is the only Indian batsman to have scored two centuries in the IPL . Super Kings ' spinner Ravichandran Ashwin has the third best economy rate in IPL ( 6.53 ) and is the leading wicket - taker for the team .   Team identity ( edit )   Team name and logo design ( edit )   The Chennai franchise named the team as Chennai Super Kings to honor the rulers of the Tamil empire . The word `` super '' is used commonly in southern India especially in Tamil Nadu . The team name also derives from India Cements ' brand `` Coromandel King '' .   The team logo features the head of a roaring lion in orange and the team name rendered in blue . The crown above the team name is the same as that used in the logo of the brand Coromandel King . According to the logo designers , since lion is the king of the jungle , the roaring lion logo reflects the team name . The details of the logo signifies various qualities such as youth , vibrancy , solid performance orientation and fiery spirit .   Jersey colours ( edit )   The team 's primary colour is yellow with blue and orange stripes on either sides of the jersey . The jersey also incorporates the roaring lion logo in the center of the shirt below the logo of the main sponsor Aircel . The basic look of the jersey has remained same from the first season with no changes except for the sponsor placement . The kit manufacturer until 2014 was Reebok and from 2015 , Australian Apparel and Sports Gear manufacturer Spartan manufactures kits for the team .   Sponsors ( edit )   Telecom service provider Aircel became the team 's first shirt sponsor after they signed a three - year deal in 2008 . They acquired branding rights on the players uniform including shirts and hats during IPL , rights for in - stadia branding , and sponsoring man - of - the - match awards for matches played in Chennai . In 2011 , Aircel renewed its sponsorship contract by paying more than ₹ 850 million . According to The Economic Times , it is the most expensive sponsorship deal in IPL . Besides Aircel , the team also has sponsorship deals with Gulf Oil , Pepsi , Reebok and Usha . In 2013 , they signed up Nissan Motors and VGN as associate sponsors . In April 2014 , the team signed up UST Global as its principal sponsor for a three - year period .     Year   Kit Manufacturers   Shirt Sponsor ( Chest )   Shirt Sponsor ( Back )     2008   Reebok   Aircel   India Cements     2009         2011     2012     2013     2014     2015   Spartan     Star ambassadors ( edit )   Actor Vijay and Actress Nayanthara are the star ambassadors .   Theme song ( edit )   The title song , composed by Melody Brahma `` Manisharma '' which comes in the stadium gained the much popularity. And the theme song is the famous Whistle Podu designed by Aravind - Shankar ( duo of Aravind Murali and Jaishankar Iyer ) . Although the track was created only for YouTube in 2008 , it gained popularity during the 2009 season and later became the team 's theme song . The video of the song represents the street dance form of dappangutthu which is very popular among certain communities in Tamil Nadu . It is also a folk dance and music genre employed in Tamil cinema . The recordings of some of the Super Kings players whistling were used in the video .   Rivalries ( edit )  Main articles : Chennai Super Kings -- Mumbai Indians rivalry and Chennai Super Kings - Royal Challengers Bangalore rivalry  The Chennai Super Kings have active rivalries with the Mumbai Indians and the Royal Challengers Bangalore . The Super Kings and Mumbai Indians have played against each other more number of times than any other two teams in the IPL . They are the two most successful IPL teams and often termed as `` big spenders '' at the players auction . The two sides have met each other at the final of the IPL thrice , with Mumbai winning two of them and Chennai winning once .   The rivalry with Royal Challengers Bangalore stems from the Kaveri River water dispute between the states of Karnataka and Tamil Nadu . The rivalry is also called `` Kaveri derby '' and `` South Indian derby '' . The Super Kings beat the Royal Challengers in the final of the 2011 IPL , the only meeting between the two teams at an IPL final .   Financial worth ( edit )   The Economic Times commissioned UK - based Brand Finance to carry out brand evaluation of the IPL and also each of the eight franchise teams ( that was increased to 10 in 2011 ) . Chennai Super Kings was rated as the `` most valuable team '' in the Indian Premier League in 2010 -- 11 , with a brand value of $100 million ( app ₹ 2.24 billion ) . In February 2013 , London based Brand Finance evaluated the top 150 most valuable teams in the world , in which Chennai Super Kings is placed in the 147th place valued at $46 million just behind the Mumbai Indians .   Controversies ( edit )   Until September 2008 , BCCI regulation , Clause 6.2. 4 stated that `` No administrator could have , directly or indirectly , any commercial interest in the matches or events conducted by the board '' . However , N. Srinivasan , who was then the treasurer and vice-chairman of BCCI , became the de facto owner of the Chennai Super Kings since he was the Managing Director of India Cements . Former BCCI President A.C. Muthiah wrote to the BCCI regarding the violation of this clause in 2008 but the BCCI did not respond . In September 2008 , Muthiah went to the Madras High Court to restrain BCCI from allowing Srinivasan to participate in the general body meeting where the election was to be held . However , the suit was dismissed by the High Court and the following day , Srinivasan was elected as the Secretary of BCCI . The clause was amended as `` No administrator shall have , directly or indirectly , any commercial interest in any of the events of the BCCI , excluding IPL , Champions League and Twenty20 '' . Muthiah then moved to the Supreme Court which gave a split verdict in April 2011 . Later in August 2011 , Muthiah filed another petition to stop Srinivasan from taking over as the BCCI President but the Supreme Court rejected the petition , and Srinivasan was elected the President of BCCI .   In 2011 , the owners of other teams were concerned about the possible rigging that could have taken place in the IPL auctions . Nita Ambani , the owner of Mumbai Indians questioned the changing the order of players just before the auction began . Former IPL chairman Lalit Modi accused Srinivasan of arm - twisting him and rigging the 2009 IPL auction to ensure that English all - rounder Andrew Flintoff was bought by the Chennai Super Kings while it was refuted by Srinivasan .   In May 2013 , Gurunath Meiyappan , son - in - law of Srinivasan , was arrested by Mumbai Police on charges of placing bets on IPL matches Meiyappan , who was the Team Principal of the Super Kings , was issued a summons by the Mumbai Police and on interrogation it was found that Meiyappan was in contact with bookies through actor Vindu Dara Singh . Following this , Srinivasan , on 2 June 2013 , decided to step aside as BCCI President temporarily until the inquiry into the betting case completed . In February 2014 , the three member panel appointed by the Supreme Court of India enquired into the betting case indicted Meiyappan for illegal betting during the 2013 IPL .   On 25 March 2014 , the Supreme Court of India issued an ultimatum to the BCCI demanding that Srinivasan either step down as President or be removed from his position . On 14 July 2015 , the Supreme Court appointed RM Lodha committee suspended the owners of Rajasthan Royals and Chennai Super Kings from the Indian Premier League for a period of two years . On 24 February 2016 , the Supreme Court of India agreed to hear a plea for lifting the ban on the Chennai Super Kings .   Seasons ( edit )     Year   Indian Premier League   Champions League Twenty20     2008   Runners - up   Cancelled ( Q )     2009   Semifinalists   DNQ       Champions   Champions     2011   Champions   Group stage     2012   Runners - up   Group stage     2013   Runners - up   Semifinalists     2014   Semifinalists   Champions     2015   Runners - up   Tournament Defunt     Year   Indian Premier League     2016   Suspended     2017   Suspended     2018   Returns     IPL 2015 squad ( edit )    Players with international caps are listed in bold .   * denotes a player who is currently unavailable for selection .   * denotes a player who is unavailable for rest of the season .      No .   Name   Nat .   Birth date   Batting style   Bowling style   Signed year   Salary   Notes     Batsmen       Suresh Raina     ( 1986 - 11 - 27 ) 27 November 1986 ( age 30 )   Left - handed   Right - arm off break   2014   ₹ 95 million ( US $1.5 million )   Vice-captain     12   Mithun Manhas     ( 1979 - 10 - 12 ) 12 October 1979 ( age 37 )   Right - handed   Right - arm off break   2014   ₹ 1 million ( US $16,000 )       13   Faf du Plessis     ( 1984 - 07 - 13 ) 13 July 1984 ( age 33 )   Right - handed   Right - arm leg break   2014   ₹ 47.5 million ( US $740,000 )   Overseas     42   Brendon McCullum     ( 1981 - 09 - 27 ) 27 September 1981 ( age 35 )   Right - handed   Right - arm medium   2014   ₹ 32.5 million ( US $510,000 )   Overseas     48   Michael Hussey     ( 1975 - 05 - 27 ) 27 May 1975 ( age 42 )   Left - handed   Right - arm medium   2015   ₹ 15 million ( US $230,000 )   Overseas     All - rounders     5   Baba Aparajith     ( 1994 - 07 - 08 ) 8 July 1994 ( age 23 )   Right - handed   Right - arm off break   2014   ₹ 3 million ( US $47,000 )       8   Ravindra Jadeja     ( 1988 - 12 - 06 ) 6 December 1988 ( age 28 )   Left - handed   Slow left - arm orthodox   2014   ₹ 75 million ( US $1.2 million )       47   Dwayne Bravo     ( 1983 - 10 - 07 ) 7 October 1983 ( age 33 )   Right - handed   Right - arm medium - fast   2014   ₹ 40 million ( US $620,000 )   Overseas     50   Dwayne Smith     ( 1983 - 04 - 12 ) 12 April 1983 ( age 34 )   Right - handed   Right - arm medium - fast   2014   ₹ 45 million ( US $700,000 )   Overseas     56   Irfan Pathan     ( 1984 - 10 - 27 ) 27 October 1984 ( age 32 )   Left - handed   Left - arm medium - fast   2015   ₹ 15 million ( US $230,000 )       68   Andrew Tye     ( 1986 - 12 - 12 ) 12 December 1986 ( age 30 )   Right - handed   Right - arm medium - fast   2015   ₹ 2 million ( US $31,000 )   Overseas     Wicket - keepers       Eklavya Dwivedi     ( 1988 - 07 - 22 ) 22 July 1988 ( age 29 )   Right - handed     2015   ₹ 1 million ( US $16,000 )       7   MS Dhoni     ( 1981 - 07 - 07 ) 7 July 1981 ( age 36 )   Right - handed   Right - arm medium   2014   ₹ 125 million ( US $1.9 million )   Captain     9   Ankush Bains     ( 1995 - 12 - 06 ) 6 December 1995 ( age 21 )   Right - handed     2015   ₹ 1 million ( US $16,000 )       Bowlers     6   Pawan Negi     ( 1993 - 01 - 06 ) 6 January 1993 ( age 24 )   Left - handed   Slow left - arm orthodox   2014   ₹ 1 million ( US $16,000 )       15   Ishwar Pandey     ( 1989 - 08 - 15 ) 15 August 1989 ( age 28 )   Right - handed   Right - arm medium - fast   2014   ₹ 15 million ( US $230,000 )       18   Mohit Sharma     ( 1988 - 09 - 18 ) 18 September 1988 ( age 29 )   Right - handed   Right - arm medium - fast   2014   ₹ 30 million ( US $470,000 )       19   Pratyush Singh     ( 1994 - 09 - 04 ) 4 September 1994 ( age 23 )   Right - handed   Right - arm leg break googly   2015   ₹ 1 million ( US $16,000 )       21   Matt Henry     ( 1991 - 12 - 14 ) 14 December 1991 ( age 25 )   Right - handed   Right - arm fast - medium   2014   ₹ 3 million ( US $47,000 )   Overseas     22   Ronit More     ( 1992 - 02 - 11 ) 11 February 1992 ( age 25 )   Right - handed   Right arm medium - fast   2014   ₹ 1 million ( US $16,000 )       27   Rahul Sharma     ( 1986 - 09 - 30 ) 30 September 1986 ( age 30 )   Right - handed   Right - arm leg break googly   2015   ₹ 3 million ( US $47,000 )       64   Ashish Nehra     ( 1979 - 04 - 30 ) 30 April 1979 ( age 38 )   Right - handed   Left - arm medium - fast   2014   ₹ 20 million ( US $310,000 )       77   Samuel Badree     ( 1981 - 03 - 09 ) 9 March 1981 ( age 36 )   Right - handed   Right - arm leg break   2014   ₹ 3 million ( US $47,000 )   Overseas     87   Kyle Abbott     ( 1987 - 06 - 18 ) 18 June 1987 ( age 30 )   Right - handed   Right - arm fast - medium   2015   ₹ 3 million ( US $47,000 )   Overseas     99   Ravichandran Ashwin     ( 1986 - 09 - 17 ) 17 September 1986 ( age 31 )   Right - handed   Right - arm off break   2014   ₹ 55 million ( US $860,000 )       Administration and support staff ( edit )    Owner -- Chennai Super Kings Cricket Ltd   Coach -- Stephen Fleming   Bowling coach -- Andy Bichel   Fielding coach -- Steve Rixon   Physical trainer -- Gregory King   Physio -- Tomm</t>
  </si>
  <si>
    <t xml:space="preserve">who is the captain of chennai super king</t>
  </si>
  <si>
    <t xml:space="preserve"> Mahendra Singh Dhoni , who was the captain of the Indian limited - overs team in 2008 , was bought by the Super Kings for $1.5 million at the 2008 players ' auction . He was the most expensive player in the IPL until 2009 when the Super Kings signed up English all - rounder Andrew Flintoff for $1.55 million , he is not a part of the team now . Dhoni is the most successful captain in the IPL having led the team to Six finals ( Runners up 2008 , 2012 , 2013 , 2015 ) , winning two ( 2010 , 2011 ) . He has a success rate of 61.05 % as captain which is the best among all captains in the IPL who have captained in at least 20 games . </t>
  </si>
  <si>
    <r>
      <rPr>
        <sz val="11"/>
        <color rgb="FF000000"/>
        <rFont val="Calibri"/>
        <family val="0"/>
        <charset val="1"/>
      </rPr>
      <t xml:space="preserve">See You Again ( Miley Cyrus song ) - wikipedia  See You Again ( Miley Cyrus song )  Jump to : navigation , search    `` See You Again ''         Single by Miley Cyrus     from the album Hannah Montana 2 : Meet Miley Cyrus and Breakout     Released   September 15 , 2007 August 25 , 2008 ( 2008 - 08 - 25 ) ( Rock Mafia remix )     Format     CD single   digital download       Genre   Pop rock     Length   3 : 10 3 : 16 ( Rock Mafia remix )     Label   Hollywood     Songwriter ( s )     Miley Cyrus   Antonina Armato   Tim James       Producer ( s )     Antonina Armato   Tim James       Miley Cyrus singles chronology        `` Ready , Set , Do n't Go '' ( 2007 )   `` See You Again '' ( 2007 )   `` Start All Over '' ( 2008 )           `` Ready , Set , Do n't Go '' ( 2007 )   `` See You Again '' ( 2007 )   `` Start All Over '' ( 2008 )            Miley Cyrus singles chronology        `` 7 Things '' ( 2008 ) 7 Things 2008   `` See You Again ( Rock Mafia remix ) '' ( 2008 ) See You Again ( Rock Mafia remix ) 2008   `` Fly on the Wall '' ( 2008 ) Fly on the Wall 2008            Music video     `` See You Again '' on YouTube         `` See You Again '' ( Rock Mafia remix ) single cover             `` See You Again '' is the debut single by American recording artist Miley Cyrus . It was recorded for Hannah Montana 2 : Meet Miley Cyrus ( 2007 ) , the second soundtrack album from the Disney Channel original series Hannah Montana and the debut studio album of Cyrus . It was written by Cyrus ( credited as Destiny Hope Cyrus ) with the song 's producers Antonina Armato and Tim James . It was released as the lead single from the album by Hollywood Records . Later , it was remixed by Rock Mafia and released on August 25 , 2008 by Hollywood Records , as the second single from Cyrus ' second studio album , Breakout ( 2008 ) . Musically , the track is a pop rock number that contains influences from various musical genres , including electronic music . Lyrically , the track speaks of teenage romance .   `` See You Again '' was a critical success , with contemporary critics praising its musical composition and vocal delivery . To follow , it also became Cyrus ' first commercially successful single . The song introduced her to new audiences and new countries , paving the way for future hits . `` See You Again '' became Cyrus ' best - charting single at the time by peaking at number ten on the Billboard Hot 100 . Its highest peak internationally was at number four on the Canadian Hot 100 . Although an official music video for the song was never filmed , it was given a promotional music video , taken from a performance at the 2007 Disney Channel Games . The song was promoted through a multitude of live television performances . It was included on the set list of Cyrus ' headlining tours , the Best of Both Worlds Tour ( 2007 -- 08 ) , the Wonder World Tour ( 2009 ) and the Gypsy Heart Tour ( 2011 ) . `` See You Again '' has been covered by various notable artists , including Little Boots and Breathe Carolina . Even without a music video , the song managed to peak at 10 in the US and sold 2.5 million copies .     Contents  ( hide )   1 Background   2 Composition   3 Critical reception   4 Commercial performance   5 Live performances   6 Cover versions   7 Release history   8 Charts   8.1 Weekly charts   8.2 Year - end charts     9 Certifications   10 References   11 External links      Background ( edit )   When Cyrus starred as Miley Stewart , a girl with a secret double life as the popstar Hannah Montana , on the Disney Channel television series Hannah Montana , she developed fame as a teen idol and released the series ' first soundtrack while being credited to Hannah Montana . In late 2006 , Cyrus began execution for her debut album . Cyrus ' debut studio album Meet Miley Cyrus was attached to the series ' second soundtrack , Hannah Montana 2 , and released as the second disc of the Hannah Montana 2 : Meet Miley Cyrus ( 2007 ) double - disc album . `` See You Again '' was written by Cyrus , who was credited to her birth name Destiny Hope Cyrus , Antonina Armato , and Tim James . The writing group has executed numerous songs recorded by Cyrus , contributing to a large part of all three of her studio albums .   When composing tracks for Meet Miley Cyrus , Cyrus was originally very apprehensive in regards to adding `` See You Again '' to the album . `` I 'm not sure about this song . I do n't think I want to put it on the album . I do n't really like it that much . It 's just O.K. '' , she said . However , she was convinced to record it and , once she listened to the finished product , she changed her mind . She thought it was odd , but in a positive light , and decided to include it on her debut album . Cyrus says `` See You Again '' is a dance song with a special meaning to her . The song was remixed by Rock Mafia for the release of Cyrus ' second studio album Breakout ( 2008 ) .   Composition ( edit )       `` See You Again '' ( 2007 ) An 18 - second preview of Miley Cyrus ' `` See You Again '' . The song is a pop rock number that fuses sultry vocals with lyrics that center around teenage romance .     Problems playing this file ? See media help .     `` See You Again '' is a pop rock song with a length of three minutes and ten seconds . The songs contains numerous influences from electronic , new wave , and techno music . The song is set in the time signature of common time and has a fast tempo of 138 beats per minute . It is written in the key of A minor and Cyrus ' vocals span one octave , from G to A. Throughout the song , Cyrus ' edgy and sultry vocal performance maintains in the contralto range . The lyrics of `` See You Again '' are about a teenage romance . In verses , Cyrus discusses her sentiments and perceptions about her love interest , such as believing the couple had previously encountered in a previous incarnation . `` See You Again '' 's refrains detail previous scenes of an encounter between the couple : `` The last time I freaked out / I just kept looking down / I st - st - stuttered when you asked me what I 'm thinking ' bout . '' Towards the conclusion of the refrains , Cyrus vows to redeem herself .   Critical reception ( edit )  Cyrus performing `` See You Again '' during the Wonder World Tour .  Chuck Taylor of Billboard felt that , by offering meaningful airplay to `` See You Again '' , mainstream radio stations were getting with the program . Taylor described the song `` a sassy , uptempo stinger that adds appealing youthful buzz to the airwaves '' and complimented Cyrus ' vocals with comparisons with Hilary Duff and Avril Lavigne . `` Cyrus ( ... ) at last adds the missing link to TV and movie acclaim . Alas , FM , better late than never '' , he concluded . Sal Cinquemani of Slant Magazine said , `` The Hannah Montana star 's 2007 single ' See You Again ' managed to click with non-tween listeners thanks ( to being ) gustier than anything her fellow Disney Channel superstar Hilary Duff has ever put to digital .   Mikael Wood of The Los Angeles Times believed the song was `` no shortage of crafty tween - rock gems '' . Ash Dosanjh of Yahoo ! Music believed the Rock Mafia remix of the song was a so `` glorious '' that it signaled Breakout would do exactly that . Josh Timmermann of PopMatters referred to the remix as the best song on Breakout , describing it as a `` marvelous slice of teenaged life set to club rock beats . '' Timmermann continued to praise the track , saying it felt `` infinitely more genuine and thoughtful than '' any other track on Breakout and that the small - time teen drama fit Cyrus ' voice . `` It sounds far less ludicrously melodramatic than it might have delivered by less forceful pipes '' , he concluded . George Lang of The Oklahoman thought the inclusion of the song 's remix on Breakout was used to cover more musical genres in order to appeal to a wider fanbase . In 2008 , the track was listed as a `` Winning Song '' by Broadcast Music Incorporated ( BMI ) .   Commercial performance ( edit )   On the week ending December 22 , 2007 , `` See You Again '' debuted at number 94 on the Billboard Hot 100 . In the succeeding week , the song ascended to number 78 and , on the week ending February 16 , 2008 , it charted at its newfound peak of number 17 , therefore becoming Cyrus ' best - charting effort on the Billboard Hot 100 , surpassing the Hannah Montana - credited `` Life 's What You Make It '' , which peaked at number 25 in August 2007 . On the week ending May 3 , 2008 , `` See You Again '' became Cyrus ' first top ten single by reaching its peak at number ten on the Billboard Hot 100 . `` See You Again '' spent a total of 27 weeks upon the chart . It also peaked at number four on Mainstream Top 40 ( Pop Songs ) and number twenty - one on Adult Pop Songs in the United States . The song entered at number 86 and peaked at number four on the Canadian Hot 100 , its highest peak internationally . As of August 2013 , `` See You Again '' has sold 2,456,000 copies in the United States .   In Australia , `` See You Again '' debuted at number 25 on the week ending June 22 , 2008 . The following week , it ascended to number ten and , after five weeks of ascending the top ten , reached its peak at number six , where it remained for three consecutive weeks . The single was certified platinum by the Australian Recording Industry Association ( ARIA ) for the sale of over 70,000 copies . On the week ending August 4 , 2008 , `` See You Again '' debuted at number 32 on the New Zealand Singles Chart . It eventually peaked at number 11 and was certified gold by the Recording Industry Association of New Zealand ( RIANZ ) for the shipment of 7,500 copies . In the United Kingdom , the track peaked at number 11 . The song is tied with `` The Climb '' and `` Party in the U.S.A. '' , which charted in March and November 2009 , respectively , for Cyrus ' best - charting effort in the United Kingdom . Elsewhere in Europe , `` See You Again '' peaked at number 38 on the Eurochart Hot 100 Singles , number 14 on the Irish Singles Chart and number seven on the Hungarian Singles Chart .   Live performances ( edit )  Cyrus performed `` See You Again '' during Gypsy Heart Tour  Cyrus performed `` See You Again '' live on the 2007 Disney Channel Games held on April 27 , 2007 at Walt Disney World in Orlando , Florida , as part of Disney Channel 's summer - season activities . She wore a yellow and black - striped tank top , black and white - plaid skirt , high knee socks , and black sneakers in the performance . Cyrus also performed the song on Idol Gives Back , as she continued to promote the single in the United States . `` See You Again '' was also a part of the set list for Cyrus ' first headlining concert tour , the Best of Both Worlds Tour ( 2007 -- 08 ) . Cyrus was costumed in a white tank top , studded jeans , and metallic accessories . Cyrus and several backup dancers began the performance on the upper level of the stage , where they proceeded down a ramp as they perform dance routines . Cyrus and the backup dancers roamed throughout the stage for the remainder of the performance . Jane Stevenson of the Canadian Online Explorer listed `` See You Again '' as one of the highlights at the concert at Air Canada Centre on December 15 , 2007 , in Toronto , Ontario , Canada . She said that Cyrus ' wardrobe indicated that `` Miley , it turns out , is the marginally tougher cookie of the two singers . ''   Cyrus performed `` See You Again '' at the opening of the 2008 Disney Channel Games , held on May 3 , 2008 . During the performance , which a recording of was used as a promotional music video for the Rock Mafia release , Cyrus was dressed in a white vest and white pants . In 2008 , Cyrus performed the song at the 2008 Zootopia , Good Morning America , The Today Show , and BBC Switch in the United Kingdom . Cyrus performed `` See You Again '' , dressed in casual clothing , on the Kids ' Inaugural : `` We Are the Future '' event . The event was held on January 19 , 2009 , in Washington D.C. at the Verizon Center to celebrate the inauguration of Barack Obama as President of the United States . Cyrus performed the song along with several other songs on April 24 , 2009 in a London Apple Store . These performances were recorded and sold exclusively by the United Kingdom iTunes Store as a live extended play titled iTunes Live from London . The song has been performed at the twentieth annual A Time for Heroes Celebrity Carnival , Rock in Rio concerts in Lisbon , Portugal , and Madrid , Spain , the 1515 Club in Paris , France , Heaven and G-A-Y in London , England .   The song was also used as the penultimate number of Cyrus ' Wonder World Tour ( 2009 ) , her first world tour . The performances began with backup dancers in bodysuits marching as they emerged from the bottom of the stage . The banging of a gong announced Cyrus ' arrival . She dressed in a white tank top and shorts , boots , and a metallic vest . Cyrus and the multiple backup dancers performed elaborate dance routines as images on overhead screens depicted geometric patterns . The dancers exited the stage by throwing themselves inside the stage as Cyrus prepared for the next performance . Mikael Wood of The Los Angeles Times , who attended the September 22 , 2009 , concert at the Staples Center in Los Angeles , California , referred to the performance of `` See You Again '' as an uptempo highlight that was , however , unable `` to give her fans a deeper idea of who she is and what her music means '' .   On September 15 , 2017 , exactly 10 years after the single was released , Cyrus performed `` See You Again '' for the BBC Radio 1 Live Lounge accompanied with other songs like `` Malibu '' , `` Younger Now '' , `` Party in the U.S.A. '' and a cover of Roberta Flack 's `` The First Time Ever I Saw Your Face '' . It was the first performance of the song in nearly six years .   Cover versions ( edit )  Electropop duo , Breathe Carolina covered `` See You Again '' on the compilation Punk Goes Pop 2 .  English electropop singer Little Boots recorded a cover version of `` See You Again '' that surfaced the Internet in December 2008 . In an interview with Digital Spy , Little Boots said , `` That 's a wicked song ! The line ' My best friend Lesley said , `` Oh she 's just being Miley '' ' is awesome . Me and my friend have been obsessing over that lyrics for ages now , it 's getting ridiculous ! '' Breathe Carolina 's act consisted of a balance of pop punk and rock music , which stood out to their record label , Fearless Records . Because of it , Fearless Records decided to reserve a spot for them on their upcoming compilation Punk Goes Pop 2 ( 2009 ) , where they performed a cover version of `` See You Again '' , produced by Mike Green . Breathe Carolina included their version of `` See You Again '' in their set list for the Warped Tour 2009 . The cover later appeared on the deluxe edition of the band 's second studio album Hello Fascination ( 2010 ) .   Release history ( edit )     Region   Date   Format     United Kingdom   August 21 , 2008   CD single     Charts ( edit )      Weekly charts ( edit )     Chart ( 2007 -- 08 )   Peak position     Australian Singles Chart   6     Austrian Singles Chart   30     Belgian Singles Chart ( Wallonia )   43     Canadian Hot 100       Czech Airplay Singles Chart   69     Eurochart Hot 100 Singles   38     German Singles Chart   52     Hungarian Singles Chart   7     Irish Singles Chart   13     New Zealand Singles Chart   11     Slovakian Airplay Singles Chart   45     UK Singles Chart   11     US Billboard Hot 100   10     US Pop Songs       US Adult Pop Songs   21     Venezuela Pop Rock ( Record Report )         Year - end charts ( edit )     Chart ( 2008 )   Position     Australian Singles Chart   26     Canadian Hot 100   21     New Zealand Singles Chart   43     UK Singles Chart   103     US Billboard Hot 100   31        Certifications ( edit )     Region   Certification   Certified units / Sales     Australia ( ARIA )   Platinum   70,000     New Zealand ( RMNZ )   Platinum   0     United States ( RIAA )   3x Platinum   2,456,000      sales figures based on certification alone shipments figures based on certification alone      References ( edit )    Jump up ^ Hiscock , John ( March 25 , 2010 ) . `` Miley Cyrus interview : I 'm going to hire an acting coach '' . The Daily Telegraph . Telegraph Media Group . Retrieved May 30 , 2010 .   Jump up ^ Moss , Corey ( December 4 , 2010 ) . `` ' Hannah Montana ' Star Miley Cyrus Ready To Break Out , Hilary - Style '' . MTV News . Viacom . Retrieved November 1 , 2010 .   Jump up ^ Cohen , Jonathan ( July 4 , 2007 ) . `` Cyrus Sidesteps Clarkson To Debut At No. 1 '' . Billboard . Nielsen Business Media , Inc . Retrieved June 3 , 2010 .   Jump up ^ `` Archived copy '' . Archived from the original on 2016 - 01 - 20 . Retrieved 2010 - 06 - 28 .   ^ Jump up to : `` Walmart Soundcheck : Interview -- Part 2 '' . Walmart Soundcheck . Wal - Mart . Archived from the original on December 6 , 2009 . Retrieved December 20 , 2009 .   Jump up ^ Vozick - Levinson , Simon ( January 10 , 2008 ) . `` I surrender , Miley Cyrus ! '' . Entertainment Weekly : Popwatch . Retrieved September 8 , 2015 .   ^ Jump up to : Cinquemani , Sal ( July 20 , 2009 ) . `` Miley Cyrus -- Breakout '' . Slant Magazine . Archived from the original on July 10 , 2009 . Retrieved June 14 , 2010 .   ^ Jump up to : Dosanjh , Ash ( September 4 , 2008 ) . `` Miley Cyrus -- Breakout '' . Yahoo ! Music . Yahoo !. Retrieved June 6 , 2009 .   Jump up ^ `` Digital sheet music -- Miley Cyrus -- See You Again '' . Musicnotes.com . Alfred Publishing . Missing or empty url = ( help )   ^ Jump up to : Timmermann , Josh ( July 31 , 2010 ) . `` Miley Cyrus : Breakout '' . PopMatters . Retrieved June 14 , 2010 .   ^ Jump up to : Taylor , Chuck ( January 12 , 2008 ) . `` Singles : See You Again '' . Billboard . New York : Nielsen Business Media , Inc. 120 ( 2 ) : 64 . ISSN 0006 - 2510 . Retrieved October 30 , 2010 .   ^ Jump up to : Wood , Mikael ( September 23 , 2009 ) . `` Live review : Miley Cyrus ' ' Wonder World ' concert at Staples Center '' . The Los Angeles Times . Tribune Company . Retrieved January 11 , 2010 .   Jump up ^ Lang , George . `` Music Review : Miley Cyrus , `` Breakout '' ( Hollywood ) `` . The Oklahoman . Oklahoma Publishing Company . Archived from the original on July 10 , 2012 . Retrieved October 30 , 2010 .   Jump up ^ `` See You Again ( Legal Title ) '' . BMI.com . Broadcast Music Incorporated . Archived from the original on January 20 , 2016 . Retrieved June 28 , 2010 .   Jump up ^ `` Hot 100 : `` Week of December 22 , 2007 '' `` . Billboard . Nielsen Business Media , Inc . Retrieved October 31 , 2010 .   Jump up ^ `` Hot 100 : `` Week of February 16 , 2008 '' `` . Billboard . Nielsen Business Media , Inc . Retrieved October 31 , 2010 .   Jump up ^ Cohen , Jonathan ( April 24 , 2008 ) . `` Lil Wayne Scores First Hot 100 Chart - Topper '' . Billboard . Nielsen Business Media , Inc . Retrieved October 31 , 2010 .   ^ Jump up to : `` See You Again '' . Billboard . Nielsen Business Media , Inc . Retrieved October 31 , 2010 .   ^ Jump up to : Paul Grein ( August 28 , 2013 ) . `` Week Ending Aug. 25 , 2013 . Songs : Robin &amp; Marvin '' . Chart Watch . Archived from the original on December 22 , 2014 .   ^ Jump up to : `` Miley Cyrus -- See You Again ( Song ) '' . Australian-charts.com . Australian Recording Industry Association . Retrieved October 31 , 2010 .   Jump up ^ `` ARIA Charts -- Accreditations -- 2008 Singles '' . ARIA.com.au . Australian Recording Industry Association . Retrieved December 25 , 2009 .   ^ Jump up to : `` Miley Cyrus -- See You Again ( Song ) '' . Charts.org.nz . Recording Industry Association of New Zealand . Retrieved October 31 , 2010 .   Jump up ^ `` New Zealand Gold / Platinum Singles '' . Recording Industry Association of New Zealand . Radioscope . September 4 , 2009 . Archived from the original on October 14 , 2008 . Retrieved November 14 , 2009 .   ^ Jump up to : `` Chart Stats -- Miley Cyrus -- See You Again '' . Chartstats.com . The Official Charts Company . Retrieved August 17 , 2010 .   Jump up ^ `` Chart Stats -- Miley Cyrus '' . Chartstats.com . The Official Charts Company . Archived from the original on February 13 , 2010 . Retrieved August 17 , 2010 .   ^ Jump up to : `` Discography Miley Cyrus '' . Irish-charts.com . Irish Recorded Music Association . Retrieved June 7 , 2010 .   ^ Jump up to : `` Single ( track ) top 10 lista -- és válogatáslemez - lista -- 200952 '' . Mahasz ( in Hungarian ) . Magyar Hanglemezkiadók Szövetsége . Retrieved June 18 , 2010 .   Jump up ^ Ford , Kristin ( April 24 , 2007 ) . `` The Cheetah Girls at Disney Channel Games '' . The Orlando Sentinel . Tribune Company . Archived from the original on August 21 , 2010 . Retrieved October 31 , 2010 .   Jump up ^ `` Miley Cyrus to appear on ' Idol Gives Back ' '' . msnbc.com . NBC Universal and Microsoft . Retrieved October 31 , 2010 .   ^ Jump up to : Stevenson , Jane ( December 15 , 2007 ) . `` Young fans show Hannah Montana love '' . Canadian Online Explorer . Sun Media Corporation . Retrieved November 1 , 2010 .   Jump up ^ Miley Cyrus ( 2008 ) . Hannah Montana &amp; Miley Cyrus : Best of Both Worlds Concert . Walt Disney Records .   Jump up ^ Harris , Chris ( May 5 , 2008 ) . `` Miley Cyrus Thanks Fans For Their Support During Disney Games Set '' . MTV News . Viacom . Retrieved December 5 , 2009 .   Jump up ^ `` Miley Cyrus -- See You Again '' . MTV . Viacom . Retrieved April 22 , 2010 .   Jump up ^ Futterman , Erica ( May 19 , 2008 ) . `` Jonas Brothers , New Kids on the Block , Miley Cyrus Earn Fans ' Shrieks at Zootopia '' . Rolling Stone . Jann Wenner . Retrieved September 27 , 2009 .   Jump up ^ Sterns , Olivia ( July 22 , 2008 ) . `` Miley Ready to ' Breakout ' After VF ' Mistake ' '' . ABC News . The Walt Disney Company . Retrieved September 27 , 2009 .   Jump up ^ `` Miley Cyrus Performs ' 7 Things ' on ' Today Show ' ( July 25 , 2008 ) '' . Access Hollywood . NBC Universal Television Distribution . July 25 , 2008 . Retrieved June 17 , 2010 .   Jump up ^ `` BBC -- Miley Cyrus -- BBBC Switch Live '' . BBC Online . BBC . Retrieved November 1 , 2010 .   Jump up ^ `` Presidential Inaugural Committee Announces Talent Lineup for Neighborhood Inaugural Ball and Kids ' Inaugural Concert '' ( Press release ) . Disney Channel . January 13 , 2009 . Retrieved November 14 , 2009 .   Jump up ^ Vena , Jocelyn ( January 19 , 2009 ) . `` Jonas Brothers , Miley Cyrus Entertain Vets ( And Obamas ) At ' Kids ' Inaugural ' '' . MTV News . Viacom . Retrieved November 14 , 2009 .   Jump up ^ `` iTunes : Live from London '' . iTunes Store United Kingdom . Apple Inc . Retrieved November 7 , 2009 .   Jump up ^ `` Miley Cyrus -- A Time for Heroes Celebrity Carnival '' . InStyle . IPC Media . June 8 , 2009 . Archived from the original on June 12 , 2009 . Retrieved December 5 , 2009 .   Jump up ^ `` Miley Rocks Out at the AIDS Benefit in LA ! '' . Seventeen . Hearst Corporation . June 10 , 2009 . Archived from the original on February 14 , 2010 . Retrieved December 22 , 2009 .   Jump up ^ `` My oh Miley ! Disney star struts around on stage in a VERY racy costume '' . Daily Mail . Daily Mail and General Trust . May 30 , 2010 . Retrieved May 30 , 2010 .   Jump up ^ Llewellyn , Howell ( February 5 , 2010 ) . `` Miley Cyrus To Play Rock In Rio Madrid '' . Billboard . Nielsen Business Media , Inc . Retrieved June 8 , 2010 .   Jump up ^ `` Miley Cyrus Private Concert in Paris '' . Terra.com . Terra Networks . Archived from the original on May 24 , 2012 . Retrieved July 2 , 2010 .   Jump up ^ Maloney , Alison ( June 7 , 2010 ) . `` Wild child Miley Ca n't Be Tamed '' . The Sun . News International . Retrieved June 8 , 2010 .   ^ Jump up to : Miley Cyrus ( 2010 ) . Ca n't Be Tamed ( Deluxe Edition ) ( Live in London ) . Hollywood Records .   Jump up ^ `` Miley Cyrus Returned To Live Lounge And Performed ' See You Again ' In The Year 2017 '' . MTV News . September 15 , 2017 . Retrieved September 15 , 2017 .   Jump up ^ Levine , Nick ( December 28 , 2008 ) . `` Ones To Watch In 2009 : Little Boots '' . Digital Spy . Hachette Filipacchi Ltd . Retrieved October 30 , 2010 .   ^ Jump up to : Roberts , Michael ( August 6 , 2009 ) . `` Breathe Carolina 's Kyle Evans discusses the joys and dangers of the Warped Tour '' . Westword . Village Voice Media . p. 2 . Retrieved October 30 , 2010 .   Jump up ^ `` Hello Fascination ( Deluxe Edition ) by Breathe Carolina '' . iTunes Store . Apple Inc . Retrieved October 30 , 2010 .   Jump up ^ https://www.amazon.co.uk/See-You-Again-2008-Edit/dp/B001E4424Q/ref=sr_1_33?s=music&amp;ie=UTF8&amp;qid=1430294305&amp;sr=1-33   Jump up ^ `` Miley Cyrus - See You Again ( Song ) '' . Austriancharts.at . Ö3 Austria Top 75 . Retrieved October 31 , 2010 .   Jump up ^ `` Miley Cyrus - See You Again ( Song ) '' . Ultratop.be/nl ( in Dutch ) . Ultratop . Retrieved October 31 , 2010 .   Jump up ^ `` See You Again -- Radio Top100 Oficiální '' . IFPIcr.cz . International Federation of the Phonographic Industry . Retrieved July 3 , 2010 .   Jump up ^ `` Cyrus , Miley ( Hannah Montana ) : See You Again ( 2 - track ) '' . Musicline.de ( in Dutch ) . Media Control Charts . Retrieved July 3 , 2010 .   Jump up ^ `` Who Owns My Heart -- Radio Top100 Oficiálna '' . IFPIcr.sk . International Federation of the Phonographic Industry . Retrieved November 6 , 2010 .   Jump up ^ `` Pop Rock '' ( in Spanish ) . Record Report . 2008 - 04 - 05 . Archived from the original on 2007 - 07 - 02 .   Jump up ^ `` ARIA Charts - End Of Year Charts - Top 100 Singles 2008 '' . ARIA.com.au . Australian Recording Industry Association . Retrieved March 13 , 2010 .   Jump up ^ `` Best of 2008 - Canadian Hot 100 Songs '' . Billboard . Nielsen Business Media , Inc . Retrieved March 12 , 2010 .   Jump up ^ `` RIANZ Annual Top 50 Singles Chart 2008 ( see `` 2008 -- Singles '' ) `` . RIANZ.org.nz . Recording Industry Association of New Zealand . Archived from the original on July 22 , 2010 . Retrieved March 13 , 2010 .   Jump up ^ `` UK Year - end Songs 2008 '' ( PDF ) . ChartsPlus . The Official Charts Company . p. 5 . Retrieved June 14 , 2010 .   Jump up ^ `` Best of 2008 - Hot 100 Songs '' . Billboard . Nielsen Business Media , Inc . Retrieved March 12 , 2010 .   Jump up ^ `` ARIA Charts -- Accreditations -- 2009 Singles '' . Australian Recording Industry Association . Retrieved August 29 , 2013 .   Jump up ^ THE FIELD id ( chart number ) MUST BE PROVIDED for NEW ZEALAND CERTIFICATION .   Jump up ^ `` American single certifications -- Miley Cyrus -- See You Again '' . Recording Industry Association of America . If necessary , click Advanced , then click Format , then select Single , then click SEARCH    External links ( edit )    `` See You Again '' music video on YouTube ( posted by Polydor Records )      ( hide )         Miley Cyrus songs       Discography       Meet Miley Cyrus     `` See You Again ''   `` Start All Over ''   `` I Miss You ''       Breakout     `` Breakout ''   `` 7 Things ''   `` Fly on the Wall ''       The Time of Our Lives     `` Party In The U.S.A. ''   `` When I Look at You ''   `` The Climb ''       Ca n't Be Tamed     `` Liberty Walk ''   `` Who Owns My Heart ''   `` Ca n't Be Tamed ''   `` Every Rose Has Its Thorn ''       Bangerz     `` Adore You ''   `` We Ca n't Stop ''   `` SMS ( Bangerz ) ''   `` 4x4 ''   `` Wrecking Ball ''   `` # GetItRight ''   `` Drive ''   `` FU ''   `` Someone Else ''       Miley Cyrus &amp; Her Dead Petz     `` Dooo It ! ''   `` BB Talk ''   `` Lighter ''       Younger Now     `` Younger Now ''   `` Malibu ''   `` Week Without You ''   `` Inspired ''       Collaborations     `` Ready , Set , Do n't Go ''   `` Send It On ''   `` Just Stand Up ! ''   `` We Are the World 25 for Haiti ''   `` Nothing to Lose ''   `` Decisions ''   `` Ashtrays and Heartbreaks ''   `` Fall Down ''   `` 23 ''   `` Real and True ''   `` Feelin ' Myself ''   `` Come Get It Bae ''   `` Lucy in the Sky with Diamonds ''       Other songs     `` I Thought I Lost You ''   `` Santa Claus Is Comin ' to Town ''   `` Part of Your World ''   `` Hoedown Throwdown ''   `` I Hope You Find It ''   `` Butterfly Fly Away ''   `` My Sad Christmas Song ''      Retrieved from `` https://en.wikipedia.org/w/index.php?title=See_You_Again_(Miley_Cyrus_song)&amp;oldid=816896243 '' Categories :   2007 singles   Debut singles   Miley Cyrus songs   Songs written by Antonina Armato   Songs written by Tim James ( record producer )   Hollywood Records singles   Songs written by Miley Cyrus   Song recordings produced by Rock Mafia   2007 songs   Hidden categories :   Pages using web citations with no URL   CS1 Hungarian - language sources ( hu )   All articles with dead external links   Articles with dead external links from April 2017   Articles with permanently dead external links   CS1 Dutch - language sources ( nl )   CS1 Spanish - language sources ( es )   Cite certification used with missing parameters   Music infoboxes with deprecated parameters   Articles which use infobox templates with no data rows   Articles with hAudio microformats   All articles with unsourced statements   Articles with unsourced statements from May 2014   Certification Table Entry usages for Australia   Certification Table Entry usages for New Zealand   Pages using Certification Table Entry - Sales with missing information   Certification Table Entry usages for United States   Good articles           Talk                                           Contents                   About Wikipedia                                             Español   فارسی   Français   </t>
    </r>
    <r>
      <rPr>
        <sz val="11"/>
        <color rgb="FF000000"/>
        <rFont val="Noto Sans CJK SC"/>
        <family val="2"/>
      </rPr>
      <t xml:space="preserve">한국어   </t>
    </r>
    <r>
      <rPr>
        <sz val="11"/>
        <color rgb="FF000000"/>
        <rFont val="Calibri"/>
        <family val="0"/>
        <charset val="1"/>
      </rPr>
      <t xml:space="preserve">Հայերեն   Bahasa Indonesia   Italiano   Norsk nynorsk   Polski   Português   Română   Русский   Slovenščina   Suomi   Svenska   Tiếng Việt  8 more  Edit links   This page was last edited on 24 December 2017 , at 13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</si>
  <si>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wrote see you again by miley cyrus</t>
  </si>
  <si>
    <t xml:space="preserve"> `` See You Again '' is the debut single by American recording artist Miley Cyrus . It was recorded for Hannah Montana 2 : Meet Miley Cyrus ( 2007 ) , the second soundtrack album from the Disney Channel original series Hannah Montana and the debut studio album of Cyrus . It was written by Cyrus ( credited as Destiny Hope Cyrus ) with the song 's producers Antonina Armato and Tim James . It was released as the lead single from the album by Hollywood Records . Later , it was remixed by Rock Mafia and released on August 25 , 2008 by Hollywood Records , as the second single from Cyrus ' second studio album , Breakout ( 2008 ) . Musically , the track is a pop rock number that contains influences from various musical genres , including electronic music . Lyrically , the track speaks of teenage romance . </t>
  </si>
  <si>
    <t xml:space="preserve">Clifford the Big Red Dog ( TV series ) - wikipedia  Clifford the Big Red Dog ( TV series )  Jump to : navigation , search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July 2013 ) ( Learn how and when to remove this template message )         This article may be written from a fan 's point of view , rather than a neutral point of view . Please clean it up to conform to a higher standard of quality , and to make it neutral in tone . ( July 2013 ) ( Learn how and when to remove this template message )    ( Learn how and when to remove this template message )       Clifford the Big Red Dog         Genre     Education   Comedy   Fantasy       Based on   Clifford the Big Red Dog by Norman Bridwell     Directed by   John Over     Voices of     John Ritter   Grey DeLisle   Cree Summer   Kel Mitchell   Cam Clarke   Kath Soucie   Gary LeRoi Gray   Ulysses Cuadra   Earl Boen   Edie McClurg   Nick Jameson   Tony Plana       Composer ( s )     Josh Mancell   Mark Mothersbaugh       Country of origin     United States   United Kingdom       Original language ( s )   English     No. of seasons       No. of episodes   65 ( 130 Segments ) ( list of episodes )     Production     Executive producer ( s )     Deborah Forte   Gary Conrad       Running time   30 minutes ( 15 minutes per segment ) ( approx . per episode )     Production company ( s )     Scholastic Productions   Mike Young Productions       Release     Original network   PBS Kids ( US ) BBC ( UK )     Original release   September 4 , 2000 ( 2000 - 09 - 04 ) -- February 25 , 2003 ( 2003 - 02 - 25 )     Chronology     Followed by   Clifford 's Puppy Days     Clifford the Big Red Dog is an American - British educational animated children 's television series , based upon Norman Bridwell 's children 's book series of the same name . Produced by Scholastic Productions , it originally aired on PBS Kids from September 4 , 2000 to February 25 , 2003 . The UK version ( where it was dubbed with British voice actors replacing the original American soundtrack ) originally aired on BBC 2 on April 1 , 2002 .   Two 15 - minute stories made up each half - hour cartoon . Usually one story featured Clifford and his canine friends , Cleo and T - Bone among them ; the other story would focus on Clifford 's owner Emily Elizabeth and her friends . During scenes focusing on the dog character 's perspective , human speech would replace barking to engage viewers in the storyline from the dogs ' point of view .   John Ritter voiced Clifford in all episodes . This was originally done by Brent Titcomb in the series that debuted in 1988 and ran into the early 1990s . Generally speaking , his schedule dictated the production of Clifford the Big Red Dog . By the time the last of the 68 half - hour cartoons and the movie were completed , Ritter was back on ABC 's prime - time schedule , starring in 8 Simple Rules . Ritter 's death on September 11 , 2003 came less than a week before PBS debuted Clifford 's Puppy Days , a function of keeping Clifford 's legacy going .   While no new Clifford episodes have been released since Ritter 's death in 2003 , voice actors for the main characters have reprised some of their roles for the Ready to Learn PBS Kids PSAs . The film Clifford 's Really Big Movie serves as the series finale due to Ritter 's death , as no new episodes were made to continue from where it left off . However , Clifford 's Puppy Days still continued to air until its cancellation in 2006 .     Contents  ( hide )   1 Characters   1.1 Dogs   1.2 Humans     2 Setting   3 Format   4 Production   5 Broadcast   6 Episodes   7 In other media   7.1 Film   7.2 Video games   7.2. 1 Original series   7.2. 2 Modern series       8 See also   9 References   10 External links      Characters ( edit )   Dogs ( edit )    Clifford the Big Red Dog ( voiced by John Ritter ; Tom Eastwood in the British version ) : A giant red Labrador Retriever / Vizsla cross . The depiction of Clifford 's size is inconsistent ; he is often shown as being about 25 feet tall ( 7.6 m ) from paws to head , but can appear far larger . The character is based on the imaginary friend of creator Norman Bridwell 's wife . Clifford is devoted to his owner Emily Elizabeth . He is friendly , shy , lovable , loyal , gentle and helpful but sometimes gets into trouble because of his size , or is tempted into trouble by his friends and those he meets . Despite being the protagonist , he seldom has episodes focusing on him , usually serving as the voice - of - reason for his friend 's adventures .   Cleo ( voiced by Cree Summer ; Regine Candler in the British version ) : An energetic , selfish , trouble - making purple poodle with a tendency to not tell the truth . Her catchphrase is `` Have I ever steered you wrong ? '' which she inadvertently does immediately after . She is one of Clifford 's best friends . Her owner is Mrs. Diller .   T - Bone ( voiced by Kel Mitchell ; Benjamin Small in the British version ) : A male yellow and orange bulldog with a large appetite . He is often cowardly , clumsy , and cautious , but does have his moments of bravery . He is one of Clifford 's best friends . T - Bone is in love with Mimi , another dog who visits from time to time . His owner is Sheriff Lewis .   T - Bone had a best friend named Hamburger ( voiced by Kel Mitchell 's longtime comedy partner Kenan Thompson ) who moved away before Clifford arrived .     Mac ( voiced by Cameron Clarke ) : A male blue greyhound with an inflated sense of self - importance , who shifts between aloofness and wanting to be part of Clifford , Cleo , and T - Bone 's circle of friends . Mac competes in dog shows . He can be vain , bossy and selfish . However , he appears to be devoted to his owner Jetta . It is revealed in a few episodes that his name is short for Machiavelli .    Humans ( edit )    Emily Elizabeth Howard ( voiced by Grey DeLisle ; Joanna Ruiz in the British version ) : Clifford 's eight - year - old owner . A friendly , curious , and helpful girl . The best skater on the island , and also very good at soccer . Emily Elizabeth adopted Clifford when he was a very small puppy , when her parents gave him to her on her 6th birthday . Emily 's love apparently caused Clifford to grow enormous , thus starting their new lives on Birdwell Island . Just like Clifford , she rarely has episodes about her and ends up being the voice of reason . Emily was named for creator Norman Bridwell 's daughter and based on the imaginary adventures of Bridwell 's wife .   Caroline Howard ( also voiced by Grey DeLisle ) : Emily Elizabeth 's mom   Mark Howard ( voiced by Cameron Clarke ) : Emily Elizabeth 's dad     Charley ( voiced by Gary LeRoi Gray ) : Emily Elizabeth 's best friend and the best soccer player on the Birdwell Birds ( the school soccer team ) . He lives on a houseboat with his father , who owns a restaurant .   Samuel ( voiced by Terrence C. Carson ) : Charley 's father and the Jamaican owner of Samuel 's Fish and Chips . He is a great storyteller and runs most of the pier .     Jetta Handover ( voiced by Kath Soucie ) : Mac 's owner . She is a wealthy , self - centered friend of Emily Elizabeth who is often oblivious to others ' feelings . She is often shown leading parades and competing in talent shows as a majorette . Jetta often claims her accomplishments are bigger or better than others ' and finds herself humbled when she aims too high to the point where she needs help . Her mother owns one of the island stores and seems somewhat oblivious to Jetta 's behavior . She often appears to dislike Clifford , criticizing him for minor accidents caused by his size , but occasionally she will show that she really does like him .   Cosmo Handover ( voiced by Debi Derryberry ) is the infant brother of Jetta . He is first seen in the episode `` And Baby Makes 4 '' .     Vaz ( voiced by Ulysses Cuadra ) : Somewhat clumsy and shy boy who is friends with Emily Elizabeth and Charley .   Sheriff Lewis ( voiced by Nick Jameson ) : T - Bone 's owner . The island 's sheriff and the soccer coach . He feeds T - Bone often , ( explaining why T - Bone is overweight ) .   He had a best friend named Chief Wilson who moved away with T - Bone 's best buddy , Hamburger .     Ms. Diller ( voiced by Cree Summer ) : Cleo 's owner .   Horace Bleakman ( voiced by Earl Boen ) lives with his wife Violet . He is often grumpy and impatient about the noise and mess Clifford inadvertently causes , but he is still a good neighbor and helps Clifford and the others from time to time .   Violet Bleakman ( voiced by Edie McClurg ) is the first neighbor of the Howards to introduce herself . She is a little more nice , calm , and patient than her cranky husband Horace .   Pedro and Victor ( both voiced by Tony Plana ) are dock workers who help unload the boat in `` Welcome to Birdwell Island '' .    Setting ( edit )   Birdwell Island   Series   Clifford the Big Red Dog     Type   Island     First appearance   `` My Best Friend ''     Last appearance   Clifford 's Really Big Movie     The TV series takes place in the fictional island of Birdwell Island , where Clifford lives . The name is inspired by Norman Bridwell , the author of the books , but the letters I and R are switched . It is based on Martha 's Vineyard , where Bridwell lived .   Emily Elizabeth used to live in an apartment in New York City , but she moved away with her parents and Clifford to Birdwell Island because her mother told her that a small apartment is no place for a big dog like Clifford .   Format ( edit )   The series has at least 5 segments in the show , which are :    Theme Song   1st Story - The opening theme is followed by the first central story , which is about the dogs , and a problem they face .   Storytime with Speckle - Between the first and second story , Emily Elizabeth reads Clifford the Speckle Story , a small 60 seconds ( approximately ) time filler about a fictional dog ( Speckle ) , and his animal friends .   2nd Story - This is followed by another central story , about Emily Elizabeth and her friends .   Clifford 's Big Ideas - Before the credits , another 30 - second short takes place called Clifford 's Big Ideas . The short is basically an animation of an etiquette , a proverb , or basic truth such as `` Play Fair '' , `` Help Others '' , etc. , with narration by Emily Elizabeth .    Production ( edit )   This series was produced by Mike Young Productions and Scholastic Studios .   Broadcast ( edit )   Clifford The Big Red Dog is shown on BBC One and Tiny Pop in United Kingdom .   Episodes ( edit )  Main article : List of Clifford the Big Red Dog episodes    Season   Episodes   Originally aired     First aired   Last aired         40   September 4 , 2000 ( 2000 - 09 - 04 )   December 5 , 2001 ( 2001 - 12 - 05 )         25   May 16 , 2002 ( 2002 - 05 - 16 )   February 25 , 2003 ( 2003 - 02 - 25 )     In other media ( edit )   Film ( edit )   In 2004 , Warner Bros. Pictures distributed a feature - length animated film based on the show titled Clifford 's Really Big Movie . It was about Clifford , Cleo and T - Bone joining an animal show to win a lifetime supply of dog food to provide for Clifford . This was John Ritter 's last film as he died on September 11 , 2003 , after completing voice work for the film . The film was dedicated to his memory . The movie also stars Wayne Brady as Shackleford the Ferret , Judge Reinhold as Amazing Larry , John Goodman as George Wolfsbottom , and Jenna Elfman as Dorothy the Cow . The film also serves as the series finale .   Video games ( edit )  Original series ( edit )   Clifford 's Reading   Clifford 's Thinking Games   Modern series ( edit )   Clifford 's Learning Activities   Clifford 's Musical Memory Games   Clifford 's Phonics   Clifford 's Big Puzzle Game ( A Wendy 's Kids ' Meal DVD game , available for a limited time only )    See also ( edit )    Children 's literature portal     Clifford 's Puppy Days   Clifford 's Really Big Movie    References ( edit )   ^ Media and Culture , 5th ed. , Richard Campbell , Christopher R. Martin and Bettina Fabos .    ^ Jump up to : `` Clifford the Big Red Dog ( TV series ) ( 2000 ) '' . British Film Institute . Retrieved November 2 , 2016 .   Jump up ^ `` He 's Big ! He 's Red ! He 's Coming to PBS Kids ! Scholastic Productions ' `` Clifford the Big Red Dog '' Animated Series Debuts on PBS Fall 2000 '' ( Press release ) . PBS . January 7 , 2000 . Retrieved November 2 , 2016 .   Jump up ^ Zurawik , David ( July 13 , 2000 ) . `` PBS gives kids new Saturday morning shows '' . The Baltimore Sun . Retrieved May 31 , 2014 .   Jump up ^ `` Search Results - BBC Genome '' . genome.ch.bbc.co.uk .   ^ Jump up to : Markstein , Donald D. `` Don Markstein 's Toonopedia : Clifford the Big Red Dog '' . www.toonopedia.com .   Jump up ^ `` The Cast of Clifford the Big Red Dog ® '' . PBS Kids . Retrieved August 17 , 2015 .   Jump up ^ `` Little Clifford '' 19 September 2000 , 6 candles on cake   Jump up ^ Alvarez , Victor Paul ( 2014 - 12 - 16 ) . `` ' Clifford the Big Red Dog ' Author Dies at 86 '' . Boston.com . Retrieved 2018 - 01 - 28 .    External links ( edit )    Clifford the Big Red Dog on IMDb   Official site of book series   Clifford the Big Red Dog at TV.com   Good article about Clifford 's creation              Norman Bridwell 's Clifford the Big Red Dog       Clifford ( character )   Clifford the Big Red Dog ( 1988 series )   Clifford the Big Red Dog ( TV series )   List of episodes     Clifford 's Puppy Days   Clifford 's Really Big Movie                 PBS Kids original programming     Former      1960s -- 1980s debuts     Mister Rogers ' Neighborhood ( 1968 -- 2001 )   The Electric Company ( 1971 -- 1977 )   Zoom ( 1972 -- 1978 )   3 - 2 - 1 Contact ( 1980 -- 1988 )   Powerhouse ( 1982 -- 1983 )   Reading Rainbow ( 1983 -- 2006 )   Newton 's Apple ( 1983 -- 1999 )   Kidsongs ( 1985 -- 1998 )   Square One Television ( 1987 -- 1992 )   Gerbert ( 1988 -- 1991 )   Shining Time Station ( 1989 -- 1995 )   Long Ago and Far Away ( 1989 -- 1993 )   Thomas &amp; Friends ( 1989 -- 2017 )       1990s debuts     Where in the World Is Carmen Sandiego ? ( 1991 -- 1995 )   The Big Comfy Couch ( 1992 -- 2006 )   Lamb Chop 's Play Along ( 1992 -- 1997 )   Ghostwriter ( 1992 -- 95 )   Kino 's Storytime ( 1992 -- 97 )   Tots TV ( 1993 -- 1998 )   Theodore Tugboat ( 1993 -- 2001 )   Bill Nye the Science Guy ( 1993 -- 1998 )   The Adventures of Dudley the Dragon ( 1993 -- 1999 )   Katie and Orbie ( 1994 -- 2002 )   The Magic School Bus ( 1994 -- 1997 )   Globe Trekker ( 1994 -- 2010 )   The Huggabug Club ( 1995 -- 2000 )   The Puzzle Place ( 1995 -- 1998 )   Wimzie 's House ( 1995 -- 1996 )   Wishbone ( 1995 -- 2001 )   Groundling Marsh ( 1995 -- 1997 )   Kratts ' Creatures ( 1996 )   Where in Time Is Carmen Sandiego ? ( 1996 -- 1997 )   Adventures from the Book of Virtues ( 1996 -- 2000 )   In the Mix ( 1996 -- 2012 )   Teletubbies ( 1997 -- 2001 )   Caillou ( 1997 -- 2010 )   The Charlie Horse Music Pizza ( 1998 -- 1999 )   Noddy ( 1998 -- 2000 )   Jay Jay the Jet Plane ( 1998 -- 2005 )   Elmo 's World ( 1998 -- 2009 )   Zoom ( 1999 -- 2005 )   Zoboomafoo ( 1999 -- 2001 )   Redwall ( 1999 -- 2002 )   Dragon Tales ( 1999 -- 2005 )       2000s debuts     Between the Lions ( 2000 -- 2010 )   The Dooley and Pals Show ( 2000 -- 2003 )   Clifford the Big Red Dog ( 2000 -- 2003 )   Corduroy ( 2000 -- 2001 )   Elliot Moose ( 2000 -- 2001 )   Marvin the Tap - Dancing Horse ( 2000 -- 2002 )   George Shrinks ( 2000 -- 2004 )   Seven Little Monsters ( 2000 -- 2004 )   Timothy Goes to School ( 2000 -- 01 )   Anne of Green Gables ( 2001 -- 2002 )   Sagwa , the Chinese Siamese Cat ( 2001 -- 2002 )   DragonflyTV ( 2002 -- 2008 )   Angelina Ballerina ( 2002 -- 2006 )   Liberty 's Kids ( 2002 -- 2003 )   Make Way for Noddy ( 2002 -- 2007 )   The Berenstain Bears ( 2003 -- 2004 )   Boohbah ( 2003 -- 2006 )   Jakers ! The Adventures of Piggley Winks ( 2003 -- 2007 )   Clifford 's Puppy Days ( 2003 -- 2004 )   Franny 's Feet ( 2004 -- 2011 )   Curiosity Quest ( 2004 -- 2015 )   Peep and the Big Wide World ( 2004 -- 2011 )   Maya &amp; Miguel ( 2004 -- 2007 )   Postcards from Buster ( 2004 -- 2012 )   It 's a Big Big World ( 2005 -- 2010 )   Danger Rangers ( 2005 -- 2006 )   The Zula Patrol ( 2005 -- 2008 )   Signing Time ! ( 2006 -- 2008 )   Wunderkind Little Amadeus ( 2006 )   Fetch ! with Ruff Ruffman ( 2006 -- 2010 )   Curious George ( 2006 -- 2015 )   SeeMore 's Playhouse ( 2006 -- 2008 )   Design Squad ( 2007 -- 2011 )   WordGirl ( 2007 -- 2015 )   WordWorld ( 2007 -- 2011 )   Super Why ! ( 2007 -- 2016 )   Mama Mirabelle 's Home Movies ( 2007 -- 2008 )   Animalia ( 2007 -- 2008 )   Biz Kid $ ( 2008 -- 2017 )   Betsy 's Kindergarten Adventures ( 2008 -- 2009 )   Sid the Science Kid ( 2008 -- 2013 )   Martha Speaks ( 2008 -- 2014 )   Lomax , the Hound of Music ( 2008 )   The Electric Company ( 2009 -- 2011 )   Angelina Ballerina : The Next Steps ( 2009 -- 2010 )   Dinosaur Train ( 2009 -- 2017 )       2010s debuts     SciGirls ( 2010 - 2018 )   Mack &amp; Moxy ( 2016 )          Current     Sesame Street ( since 1969 , second run since 2016 )   Arthur ( since 1996 )   Cyberchase ( since 2002 )   Bob the Builder ( since 2005 )   The Cat in the Hat Knows a Lot About That ! ( since 2010 )   Wild Kratts ( since 2011 )   Daniel Tiger 's Neighborhood ( since 2012 )   Peg + Cat ( since 2013 )   Odd Squad ( since 2014 )   Nature Cat ( since 2015 )   Ready Jet Go ! ( since 2016 )   Splash and Bubbles ( since 2016 )   Pinkalicious &amp; Peterrific ( since 2018 )       Upcoming     Let 's Go Luna ! ( Fall 2018 )   Molly of Denali ( Summer 2019 )       See also     PBS network shows   Educational television   PBS Kids Bookworm Bunch   PBS Kids Go !   PBS Kids Preschool Block      Retrieved from `` https://en.wikipedia.org/w/index.php?title=Clifford_the_Big_Red_Dog_(TV_series)&amp;oldid=841291185 '' Categories :   Television programs based on children 's books   American animated television programs featuring anthropomorphic characters   Series of children 's books   PBS network shows   English - language television programs   2000s American animated television series   2000 American television series debuts   2003 American television series endings   Television shows set in Vermont   Preschool education television series   2000s British animated television series   2000 British television programme debuts   2003 British television programme endings   BBC children 's television programmes   Television shows about dogs   Television series about friendship   Size change in fiction   PBS Kids shows   American children 's animated comedy television series   American children 's animated fantasy television series   British children 's animated television programmes   British fantasy television series   American television series with live action and animation   British television series with live action and animation   Hidden categories :   Articles needing additional references from July 2013   All articles needing additional references   Articles with a promotional tone from July 2013   All articles with a promotional tone   Articles with multiple maintenance issues           Talk                                           Contents                   About Wikipedia                                           Wikiquote       Deutsch   Français   Italiano   Magyar   Nederlands   Polski   Română   Simple English   Edit links   This page was last edited on 14 May 2018 , at 23 : 49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</si>
  <si>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voice for clifford the big red dog</t>
  </si>
  <si>
    <t xml:space="preserve">  Clifford the Big Red Dog ( voiced by John Ritter ; Tom Eastwood in the British version ) : A giant red Labrador Retriever / Vizsla cross . The depiction of Clifford 's size is inconsistent ; he is often shown as being about 25 feet tall ( 7.6 m ) from paws to head , but can appear far larger . The character is based on the imaginary friend of creator Norman Bridwell 's wife . Clifford is devoted to his owner Emily Elizabeth . He is friendly , shy , lovable , loyal , gentle and helpful but sometimes gets into trouble because of his size , or is tempted into trouble by his friends and those he meets . Despite being the protagonist , he seldom has episodes focusing on him , usually serving as the voice - of - reason for his friend 's adventures .   Cleo ( voiced by Cree Summer ; Regine Candler in the British version ) : An energetic , selfish , trouble - making purple poodle with a tendency to not tell the truth . Her catchphrase is `` Have I ever steered you wrong ? '' which she inadvertently does immediately after . She is one of Clifford 's best friends . Her owner is Mrs. Diller .   T - Bone ( voiced by Kel Mitchell ; Benjamin Small in the British version ) : A male yellow and orange bulldog with a large appetite . He is often cowardly , clumsy , and cautious , but does have his moments of bravery . He is one of Clifford 's best friends . T - Bone is in love with Mimi , another dog who visits from time to time . His owner is Sheriff Lewis .   T - Bone had a best friend named Hamburger ( voiced by Kel Mitchell 's longtime comedy partner Kenan Thompson ) who moved away before Clifford arrived .     Mac ( voiced by Cameron Clarke ) : A male blue greyhound with an inflated sense of self - importance , who shifts between aloofness and wanting to be part of Clifford , Cleo , and T - Bone 's circle of friends . Mac competes in dog shows . He can be vain , bossy and selfish . However , he appears to be devoted to his owner Jetta . It is revealed in a few episodes that his name is short for Machiavelli .  </t>
  </si>
  <si>
    <r>
      <rPr>
        <sz val="11"/>
        <color rgb="FF000000"/>
        <rFont val="Calibri"/>
        <family val="0"/>
        <charset val="1"/>
      </rPr>
      <t xml:space="preserve">Ice cream cone - wikipedia  Ice cream cone  Jump to : navigation , search This article is about the cone itself . For the confection that goes into the cone , see Ice cream . For the breakfast cereal , see Ice Cream Cones ( cereal ) .  Ice cream cone   A wafer - style ice cream cone with strawberry ice cream .     Type   Pastry     Serving temperature   Dry and cold     Main ingredients   Flour , sugar     Variations   waffle cone , cake or wafer cone , pretzel cone , sugar cone , chocolate - coated cone , double cone , vanilla cone     Food energy ( per serving )   23 kcal ( 96 kJ )     Cookbook : Ice cream cone Media : Ice cream cone     An ice cream cone , poke ( Ireland and Scotland ) or cornet is a dry , cone - shaped pastry , usually made of a wafer similar in texture to a waffle , which enables ice cream to be held in the hand and eaten without a bowl or spoon . Various types of ice cream cones include wafer ( or cake ) cones , waffle cones , and sugar cones .   Many styles of cones are made , including pretzel cones and chocolate - coated cones . A variety of double wafer cone exists that allows two scoops of ice cream to be served side by side . Wafer cones are often made with a flat bottom instead of a pointed , conical shape , enabling the ice cream and `` cone '' to stand upright on a surface without support . These types of wafer cones are often branded as `` cups '' .     Contents  ( hide )   1 History   2 Commercial cones   2.1 Pre-filled cones     3 See also   4 References      History ( edit )  A sugar cone , with chocolate ice cream .  Edible cones were mentioned in French cooking books as early as 1825 , when Julien Archambault described how one could roll a cone from `` little waffles '' . Another printed reference to an edible cone is in Mrs A.B. Marshall 's Cookery Book , written in 1888 by Agnes B. Marshall ( 1855 -- 1905 ) of England . Her recipe for `` Cornet with Cream '' said that `` the cornets were made with almonds and baked in the oven , not pressed between irons '' .   Edible cones were patented by two entrepreneurs , both Italian , separately in the years 1902 and 1903 . Antonio Valvona , an ice cream merchant from Manchester , UK , patented a biscuit cup producing machine in 1902 , and in 1903 , Italo Marchiony , an ice cream salesman from New York filed for the patent of a machine which made ice cream containers . Abe Doumar and the Doumar family can also claim credit for the ice cream cone .   In 1904 , at the St. Louis World 's Fair a Syrian / Lebanese concessionaire named Arnold Fornachou had his ice cream booth , when he ran short on paper cups , he was next to an waffle vendor , who sold Fornachou waffles . Fornachou rolled a waffle to contain the ice cream . And the ice cream cone was born .   At the age of 16 Doumar began to sell paperweights and other items . One night , he bought a waffle from another vendor transplanted to Norfolk , Virginia from Ghent in Belgium , Leonidas Kestekidès . Doumar proceeded to roll up the waffle and place a scoop of ice cream on top . He then began selling the cones at the St. Louis Exposition . His `` cones '' were such a success that he designed a four - iron baking machine and had a foundry make it for him . At the Jamestown Exposition in 1907 , he and his brothers sold nearly twenty - three thousand cones . After that , Abe bought a semiautomatic 36 - iron machine , which produced 20 cones per minute and opened Doumar 's Drive In in Norfolk , Virginia , which still operates at the same location over 100 years later .   In 2008 , the ice cream cone became the official state food of Missouri .   Commercial cones ( edit )   The earliest cones were rolled by hand , from hot and thin wafers , but in 1912 , Frederick Bruckman , an inventor from Portland , Oregon , patented a machine for rolling ice cream cones .  Page 1 of a September 1917 article in Western Confectioner , describing the creation of inventor / entrepreneur Frederick Bruckman 's `` Real Cake Ice Cream Cone Machine '' Page 2 of article above .  He sold his company to Nabisco in 1928 , which is still producing ice cream cones as of 2017 . Independent ice - cream providers such as Ben &amp; Jerry 's make their own cones .   In 1918 , a Lebanese immigrant , Albert George , started the George &amp; Thomas Cone Company , and began to mass - produce baked ice cream cones to sell to restaurants , as well as the everyday consumer . That company became Joy Ice Cream Cone Company , now named the Joy Cone Company , located in Hermitage , Pennsylvania . The company has two facilities , its eastern facility located at 3435 Lamor Road in Hermitage , PA , and its western facility located at 2843 West Shamrell Blvd. in Flagstaff , Arizona . In July 2017 , the company started construction of another $24 million plant at its Hermitage , PA location which will be fully operational in spring of 2018 . The company produces over 2 billion ice cream cones ( sugar , cake , and waffle cones ) a year . Joy Cone is the largest ice cream cone maker in the world . The company is still owned / operated by the George family along with the employees as an ESOP ( employee stock ownership plan ) . In September 2017 , Joy Cone completed the purchase of BoDeans Baking Group , with its Le Mars , Iowa plants , along with a second subsidiary , Altesa , which makes ice cream cones and related products in Mexico City . This will permit Joy Cone to expand sales into Central America .   Pre-filled cones ( edit )   In 1928 , J.T. `` Stubby '' Parker of Fort Worth , Texas created an ice cream cone that could be stored in a grocer 's freezer , with the cone and the ice cream frozen together as one item . He formed The Drumstick Company in 1931 to market the product , and in 1991 the company was purchased by Nestlé .   In 1959 , Spica , an Italian ice cream manufacturer based in Naples , invented a process whereby the inside of the waffle cone was insulated from the ice cream by a layer of oil , sugar and chocolate . Spica registered the name Cornetto in 1960 . Initial sales were poor , but in 1976 Unilever bought out Spica and began a mass - marketing campaign throughout Europe . Cornetto is now one of the most popular ice creams in the world .   In 1979 , a patent for a new packaging design by David Weinstein led to easier transportation of commercial ice cream cones . Weinstein 's design enabled the ice cream cone to be wrapped in a wax paper package . This made the cones more sanitary while also preventing the paper wrapper from falling off during transportation , or from becoming stuck to the cone .     Ice cream cones            A cherry ice cream cone           Sugar cones           Unwrapped pre-filled cone           Soft serve ice cream in a wafer style cone           A 99 Flake ice cream cone           Sugar cone dipped in rainbow sprinkles           Waffle cones           Chocolate soft serve ice cream with sprinkles in a waffle cone from Dairy Queen        See also ( edit )       Wikimedia Commons has media related to Ice cream cones .      Penny lick    References ( edit )    Jump up ^ Julien Archambault , Le Cuisinier économe ou Élémens nouveaux de cuisine , de pâtisserie et d'office , Librairie du commerce , Paris , 1825 , page 346 .   ^ Jump up to : Stradley , Linda . `` History of Ice Cream Cone '' . What 's Cooking America . Retrieved 2008 - 05 - 13 .   Jump up ^ Weir , Robert . `` An 1807 Ice Cream Cone : Discovery and Evidence '' . Historic Food . Retrieved 2008 - 05 - 13 .   Jump up ^ `` United States Patent and Trademark Office '' . Retrieved 5 October 2012 .   Jump up ^ Marlowe , Jack . `` Zalabia and the First Ice - Cream Cone '' . www.aramcoworld.com ( Issue July / August 2003 ) . Aramco Services Company . Retrieved 2016 - 02 - 16 .   Jump up ^ The Ocean View Nickel Tour - Part VII . Rkpuma.com . Retrieved on 2015 - 11 - 20 .   Jump up ^ History Doumar 's . Doumars.com ( 2013 - 06 - 16 ) . Retrieved on 2015 - 11 - 20 .   Jump up ^ IT , Missouri Secretary of State - . `` The State Dessert - Missouri Secretary of State '' . sos.mo.gov . Retrieved 2018 - 01 - 27 .   ^ Jump up to : About us Joy Cone Company . Retrieved Feb 1 , 2018 .   Jump up ^ FAQs , General Questions Joy Cone Company . Retrieved Feb 1 , 2018 .   ^ Jump up to : Joe Pinchot ( July 18 , 2017 ) . `` More Joy for cone factory '' . The Sharon Herald . Retrieved Feb 1 , 2018 .   Jump up ^ Joy Cone Company Ice Cream Cones WebstaurantStore .   Jump up ^ Mans , Jack ( 1 June 2009 ) . `` Labler is a Sweet Solution for Ice Cream Cone Maker '' . Packaging Digest . 46 ( 6 ) : 38 -- 41 . Archived from the original on 20 January 2013 . Retrieved 12 October 2012 .   Jump up ^ Funderburg , Anne Cooper . Chocolate , Strawberry , and Vanilla : A History Of American Ice Cream . Popular Press . Retrieved June 10 , 2012 .   Jump up ^ `` The United States Patent and Trademark Office '' . Retrieved 11 October 2012 .      ( hide )         Ice cream     Flavors     Bacon   Beer   Biscuit Tortoni   Blue moon   Butter Brickle   Butter pecan   Cherry   Chocolate   Chocolate chip cookie dough   Cookies and cream   Cornish   Crab   Garlic   Grape   Green tea   Halva   Hokey pokey   Mango   Mint chocolate chip   Neapolitan   Oyster   Pistachio   Raspberry Ripple   Rocky road   Spumoni   Stracciatella   Strawberry   Superman   Tiger tail   Tutti frutti   Vanilla       Forms     Bar   Bastani   Booza   Cake   Cone   Dondurma   Float   Freeze - dried   Fried   Frozen custard   Gelato   Kulfi   Sandwich   Soft serve   Sorbetes   Stir - fried       Dishes     Affogato   Arctic roll   Baked Alaska   Banana split   Bananas Foster   Bombe glacée   Café liégeois   Cherries jubilee   Choc ice   Choc - top   Coffee cabinet   Creme de papaya   Dame blanche   Milkshake   Mix - in   Mochi ice cream   Parfait   Peach Melba   Poire belle Hélène   Sizzling brownie   Spaghettieis   Sundae   Bacon   Golden Opulence   Knickerbocker glory     Tin roof pie   Zuccotto       Events     Glasgow Ice Cream Wars   Ice Cream for Breakfast Day   Ice cream social   National Ice Cream Month       Lists     Brands   Flavors   Parlor chains       Related     Carlo Gatti   Gelato University   Geography of ice cream   Ice cream cart   Ice cream maker   Ice cream parlor   Ice cream van   Penny lick   Squround      Retrieved from `` https://en.wikipedia.org/w/index.php?title=Ice_cream_cone&amp;oldid=837191232 '' Categories :   American desserts   British desserts   French desserts   Bakers ' confectionery   British cuisine   French pastries   Ice cream           Talk                                           Contents                   About Wikipedia                                                 Català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Latina   Bahasa Melayu   Nederlands   </t>
    </r>
    <r>
      <rPr>
        <sz val="11"/>
        <color rgb="FF000000"/>
        <rFont val="Noto Sans CJK SC"/>
        <family val="2"/>
      </rPr>
      <t xml:space="preserve">日本 語   </t>
    </r>
    <r>
      <rPr>
        <sz val="11"/>
        <color rgb="FF000000"/>
        <rFont val="Calibri"/>
        <family val="0"/>
        <charset val="1"/>
      </rPr>
      <t xml:space="preserve">Русский   Simple English   Svenska   Türkçe   </t>
    </r>
    <r>
      <rPr>
        <sz val="11"/>
        <color rgb="FF000000"/>
        <rFont val="Noto Sans CJK SC"/>
        <family val="2"/>
      </rPr>
      <t xml:space="preserve">粵語   中文  </t>
    </r>
    <r>
      <rPr>
        <sz val="11"/>
        <color rgb="FF000000"/>
        <rFont val="Calibri"/>
        <family val="0"/>
        <charset val="1"/>
      </rPr>
      <t xml:space="preserve">10 more  Edit links   This page was last edited on 19 April 2018 , at 08 : 34 .         About Wikipedia                    </t>
    </r>
  </si>
  <si>
    <t xml:space="preserve">when was the first ice cream cone made</t>
  </si>
  <si>
    <t xml:space="preserve"> Edible cones were mentioned in French cooking books as early as 1825 , when Julien Archambault described how one could roll a cone from `` little waffles '' . Another printed reference to an edible cone is in Mrs A.B. Marshall 's Cookery Book , written in 1888 by Agnes B. Marshall ( 1855 -- 1905 ) of England . Her recipe for `` Cornet with Cream '' said that `` the cornets were made with almonds and baked in the oven , not pressed between irons '' . </t>
  </si>
  <si>
    <t xml:space="preserve">Super Bowl LII - wikipedia  Super Bowl LII  Jump to : navigation , search  Super Bowl LII          Philadelphia Eagles ( NFC )   New England Patriots ( AFC )     41   33                     Total     PHI   9   13   7   12   41     NE     9   14   7   33        Date   February 4 , 2018     Stadium   U.S. Bank Stadium , Minneapolis , Minnesota     MVP   Nick Foles , Quarterback     Favorite   Patriots by 5.5     Referee   Gene Steratore     Attendance   67,612     Ceremonies     National anthem   Pink     Coin toss   Hershel W. Williams , representing Medal of Honor recipients     Halftime show   Justin Timberlake     TV in the United States     Network   NBC Universo ( Spanish language )     Announcers   Al Michaels ( play - by - play ) Cris Collinsworth ( analyst ) Michele Tafoya ( sideline reporter ) Edgar López ( play - by - play - Universo ) René Giraldo and Rolando Cantú ( analysts - Universo ) Verónica Contreras ( sidelines - Universo )     Nielsen ratings   43.1 ( national ) 56.2 ( Philadelphia ) 55.9 ( Boston ) U.S. viewership : 103.4 million est . avg .     Market share   68 ( national )     Cost of 30 - second commercial   $5 million     Radio in the United States     Network   Westwood One ESPN Deportes Radio ( Spanish language )     Announcers   Kevin Harlan ( play - by - play ) Boomer Esiason and Mike Holmgren ( analysts ) Ed Werder and Tony Boselli ( sideline reporters ) Álvaro Martín ( play - by - play - ESPN Deportes Radio ) Raúl Allegre ( analyst - ESPN Deportes Radio ) John Sutcliffe ( sideline - ESPN Deportes Radio )       ← LI   Super Bowl   LIII →       Super Bowl LII was an American football game played to determine the champion of the National Football League ( NFL ) for the 2017 season . The National Football Conference ( NFC ) champion Philadelphia Eagles defeated the American Football Conference ( AFC ) and defending Super Bowl LI champion New England Patriots , 41 -- 33 , to win their first Super Bowl and their first NFL title since 1960 . The game was played on February 4 , 2018 , at U.S. Bank Stadium in Minneapolis , Minnesota . This was the second time that a Super Bowl was played in Minneapolis , the northernmost city to ever host the event , after Super Bowl XXVI at the Metrodome during the 1991 season , and the sixth Super Bowl held in a cold - weather city .   New England finished the regular season with an AFC - best 13 -- 3 record , then extended their record Super Bowl appearances to ten , their third in four years , and their eighth under the leadership of head coach Bill Belichick and quarterback Tom Brady . Philadelphia also finished the regular season with an NFC - best 13 -- 3 record , a year after Dallas did it in 2016 , but became underdogs entering the playoffs after starting quarterback Carson Wentz suffered a season - ending injury late in the regular season and was replaced by journeyman backup Nick Foles . Still , the Eagles advanced to their third Super Bowl appearance , having previously lost to the Oakland Raiders in Super Bowl XV and to the Patriots in Super Bowl XXXIX .   Several records were set during Super Bowl LII , including most yards gained in an NFL game by both teams combined ( 1,151 ) , the fewest punts from both teams in a Super Bowl ( one ) , and the most points scored by a Super Bowl losing team ( 33 ) . The game was settled after the Eagles converted a fumble recovery deep within Patriots territory to a field goal with 1 : 05 remaining to extend their lead to eight points , and Brady 's Hail Mary pass fell incomplete as time expired . Foles , who completed 28 of 43 pass attempts for 373 yards and three touchdowns with one interception , and caught a one - yard touchdown pass , was named Super Bowl MVP . Foles ' touchdown catch later became known as The Philly Special and joined NFL lore .   The broadcast of the game on NBC had the smallest Super Bowl audience in nine years , with an average of 103.4 million viewers . Average TV viewership for the halftime show , headlined by Justin Timberlake , was 106.6 million American television viewers , 9 percent less than the previous year .     Contents  ( hide )   1 Background   1.1 Host - city selection   1.2 Teams   1.2. 1 Philadelphia Eagles   1.2. 2 New England Patriots     1.3 Playoffs   1.4 Pre-game notes   1.4. 1 Operations   1.4. 2 Associated events       2 Broadcasting   2.1 United States   2.1. 1 Advertising   2.1. 2 Lead - out programs     2.2 International broadcasts     3 Entertainment   3.1 Pre-game   3.2 Halftime show     4 Game summary   4.1 First Quarter   4.2 Second Quarter   4.3 Third Quarter   4.4 Fourth Quarter   4.5 Game statistics   4.6 Box score     5 Final statistics   5.1 Statistical comparison   5.2 Individual statistics     6 Starting lineups   7 Officials   8 References   9 External links      Background ( edit )   Host - city selection ( edit )  The U.S. Bank Stadium in Minneapolis , Minnesota , where Super Bowl LII was held .  On October 8 , 2013 , the league announced that three venues would vie to host Super Bowl LII :    U.S. Bank Stadium in Minneapolis , Minnesota . Minneapolis hosted Super Bowl XXVI in 1992 at the Hubert H. Humphrey Metrodome , which was torn down after the 2013 season and replaced in 2014 and 2015 by U.S. Bank Stadium .   Lucas Oil Stadium in Indianapolis , Indiana . The stadium hosted Super Bowl XLVI in 2012 .   Mercedes - Benz Superdome in New Orleans , Louisiana . The city has hosted 10 Super Bowls , including seven at the Superdome , most recently Super Bowl XLVII in 2013 .    On May 20 , 2014 , the league 's owners picked Minneapolis at their meeting in Atlanta , Georgia .   Teams ( edit )   The NFC was represented by the number - one playoff seed Philadelphia Eagles , while the AFC was represented by the number - one playoff seed New England Patriots , marking the fourth time in the previous five years that the Super Bowl had featured the top team from each conference .  Philadelphia Eagles ( edit ) Main article : 2017 Philadelphia Eagles season Nick Foles in 2014 .  The Eagles finished the regular season with a record of 13 -- 3 , the same as New England , Minnesota , and Pittsburgh , but the various tie - breaking provisions gave them the NFC 's top seed in the 2017 -- 18 NFL playoffs . It was a substantial improvement for the team under second - year head coach Doug Pederson ; the Eagles finished the two previous seasons with 7 -- 9 records . In the 2017 season , the team scored 457 points ( third in the NFL ) , while giving up just 295 ( fourth ) points .   The offense was led by Pro Bowl quarterback Carson Wentz . In just his second season , he recorded a passer rating of 101.9 , throwing for 3,296 yards and 33 touchdowns , with only seven interceptions . His top target was Pro Bowl tight end Zach Ertz , who caught 74 passes for 824 yards and eight touchdowns . Other contributors were two receivers acquired from off - season free agency : Alshon Jeffery , who caught 57 passes for 789 yards and nine scores ; and Torrey Smith , who had 36 receptions for 430 yards . Meanwhile , third - year receiver Nelson Agholor had the best season of his career , hauling in 62 passes for 768 yards and eight touchdowns , a higher total in each category than in his previous two seasons combined . The Eagles rushing attack also benefited from two recently acquired players , LeGarrette Blount and Jay Ajayi . Blount , an off - season signing who won a Super Bowl with the Patriots , gained 776 rushing yards and two touchdowns , while Ajayi , picked up by a mid-season trade with the Miami Dolphins , rushed for 873 yards and caught 24 passes for 154 yards combined with the two teams . Philadelphia also had a superb offensive line , lead by two Pro Bowl selections : Tackle Lane Johnson and Guard Brandon Brooks .   The Eagles defense allowed the fourth - fewest yards in the league ( 4,904 ) . Defensive tackle Fletcher Cox made the Pro Bowl for the third time in his career , recording 5 ​ ⁄ sacks and two fumble recoveries , and he had plenty of help around him , such as former Patriots defensive end Chris Long , who had five sacks and forced four fumbles , and defensive end Brandon Graham , who led the team with 9 ​ ⁄ sacks . Middle linebacker Nigel Bradham led the team in combined tackles with 88 . The Eagles secondary featured Pro Bowl safety Malcolm Jenkins , who had 76 combined tackles and two interceptions , along with cornerback Patrick Robinson , who led the team with four interceptions .   Philadelphia had stormed to the top of the NFC by winning 10 of their first 12 games , but suffered a major setback on December 10 , when Wentz went down with a season - ending ACL tear and was replaced by journeyman backup quarterback Nick Foles , who was playing for his third team in as many years and his second stint with the Eagles . Still , Foles was able to lead the team to victory in that game , as well as the next two . The Eagles lost a meaningless week 17 matchup with the Cowboys led by third - string quarterback Nate Sudfeld . Then in their two playoff games , Foles threw for a combined total of 598 yards , three touchdowns and no interceptions .  New England Patriots ( edit ) Main article : 2017 New England Patriots season Tom Brady in 2016 .  The Patriots entered the 2017 NFL season as defending Super Bowl champions . For the 16th time in their 18 seasons under 65 - year old coach Bill Belichick , they recorded a double - digit win season , finishing the regular season with a record of 13 -- 3 , one of four teams ( along with Philadelphia , Minnesota , and Pittsburgh ) with that record . By virtue of the tie - breaking procedures , they were granted the AFC 's number one overall seed in the 2017 -- 18 NFL playoffs . The previous season 's top wide receiver Julian Edelman went down in the preseason with a season - ending injury . Early season defensive struggles left the team with a 2 -- 2 record after four weeks , and the worst overall defense in the league at that point . The defense came together as a unit , and tighten up over the rest of the season however , with the Patriots going 11 -- 1 after week 4 . Their sole loss in the latter part of the season came in Week 14 to the Miami Dolphins , a division rival , though they were without star tight end Rob Gronkowski due to a one - game suspension for an unnecessary roughness call the prior week . The Patriots ' defense was improved by several late - season free - agent signings , including Eric Lee , a defensive end , previously from the Buffalo Bills , whom the Patriots signed in Week 12 , and James Harrison , a perennial All - Pro for the Pittsburgh Steelers , whom the Patriots picked up off waivers after Christmas . In just six games for New England , Lee recorded 3 ​ ⁄ sacks , a safety , and an interception . In his only regular season game with the Patriots , Harrison recorded two sacks .   During the regular season , New England 's offense led the league in yards gained ( 6,307 ) and ranked second in points scored ( 458 ) . The 40 - year - old Brady finished his 18th season with a league - leading 4,577 passing yards , 32 touchdowns and just eight interceptions , earning him his 13th selection to the Pro Bowl and his third league MVP award . One change that helped make up for the loss of Edelman was the acquisition of receiver Brandin Cooks , who caught 65 passes for 1,082 yards and seven touchdowns . Brady was also aided by the healthy return of Gronkowski , who had played just eight games in the previous season , finishing this year with 69 catches for 1,084 yards and eight scores . Receiver Danny Amendola added 61 receptions for 659 yards , as well as another 240 yards returning punts . With the loss of their previous season 's rushing leader LeGarrette Blount to free agency , Dion Lewis stepped up to take the lead , rushing for 896 yards and six touchdowns despite starting only eight games . He also caught 32 passes for 214 yards and two touchdowns and added 570 yards and another touchdown returning kickoffs . Rex Burkhead chipped in 518 all - purpose yards , 30 receptions , and eight touchdowns . In passing situations , the team relied heavily on running back James White , who caught 56 passes for 429 yards and rushed for 171 on the ground . These backs were aided by the blocking of fullback James Develin , who earned his first Pro Bowl selection . On special teams , kicker Stephen Gostkowski ranked second in the NFL with 156 points and fourth in field goals made with 37 , while veteran special team ace Matthew Slater earned his seventh consecutive Pro Bowl selection .   The Patriots ' defense ranked only 29th in yards allowed ( 5,856 ) , but ranked fifth in fewest points , giving up only 296 . Defensive end Trey Flowers led the team with 6 ​ ⁄ sacks while also forcing two fumbles . Linebacker Kyle Van Noy had 73 tackles and 5 ​ ⁄ sacks . The Patriots also had a superb secondary , led by cornerbacks Malcolm Butler ( two interceptions , three forced fumbles ) and Stephon Gilmore ( two interceptions , 47 solo tackles ) , as well as safeties Devin McCourty ( 97 combined tackles , one interception , one fumble recovery ) , Patrick Chung ( 84 tackles , one interception , two fumble recoveries ) and Duron Harmon ( four interceptions ) .   Playoffs ( edit )  Main article : 2017 -- 18 NFL playoffs  In the playoffs , the Patriots earned a first - round bye and home - field advantage due to their status as the AFC 's first overall seed . In the divisional round , they defeated the Tennessee Titans 35 -- 14 , as Brady passed for 337 yards and three touchdowns . In that game , the defense amassed eight quarterback sacks of Marcus Mariota and held the Titans ' running game to 65 yards rushing . They then defeated the Jacksonville Jaguars 24 -- 20 in the AFC Championship Game , rallying from behind to win the game after the Jaguars jumped out to an early 14 -- 3 lead and whose league - best defense stymied Brady and the rest of the offense for most of the first half . Down 20 -- 10 in the fourth quarter , the Patriots comeback was sealed by two Brady - led drives , both resulting in touchdown passes to Danny Amendola , as well as a key defensive stop by Stephon Gilmore , whose acrobatic block of a Blake Bortles pass ended Jacksonville 's last chance to score . Rob Gronkowski was injured in the game with a concussion , leaving his status for the Super Bowl in doubt . Amendola was the breakout star for the Patriots during their two playoff wins , leading the team with 196 receiving yards , and serving as Brady 's primary target .   Meanwhile , Philadelphia started off the divisional round by narrowly defeating the Atlanta Falcons 15 -- 10 , by stopping the Falcons on four consecutive plays after they had a first - down - and - goal situation on the Eagles 9 - yard line during their final drive . They then soundly defeated the Minnesota Vikings 38 -- 7 in the NFC Championship Game . Despite the Vikings scoring on their opening drive , the Eagles defense held them to three punts , two turnovers on downs , two interceptions , and one lost fumble in their remaining drives of the game . Meanwhile , Foles had a great game , in which he completed 26 of 33 passes for 353 yards and three touchdowns .   Pre-game notes ( edit )   This game was a rematch of Super Bowl XXXIX . Only one player , Patriots starting quarterback Tom Brady , remained on either roster from that contest . Bill Belichick , the Patriots ' head coach in that contest , also remained in that position . Two Eagles , running back LeGarrette Blount and defensive lineman Chris Long , had been Patriots in 2017 's Super Bowl LI .   The Patriots were the designated home team for Super Bowl LII , because the AFC team is the designated home team in even - numbered years and the NFC team in odd - numbered years . As the designated home team , the Patriots chose to wear their road white jerseys with navy blue pants , becoming the sixth team to wear their white jerseys as the home team and the third team to wear white in back - to - back Super Bowls , following the Dallas Cowboys in Super Bowls XII and XIII and again in Super Bowls XXVII and XXVIII . The Eagles therefore wore their standard home uniform of midnight green jerseys with white pants . Twelve of the previous 13 Super Bowls had been won by teams wearing white jerseys . The last team to win a Super Bowl while wearing their home uniforms was the Green Bay Packers in Super Bowl XLV ( who , coincidentally , had also worn green jerseys ) .  Operations ( edit ) Security prescreening at the Mall of America before boarding the Metro Blue Line to U.S. Bank Stadium .  To coordinate the game and 10 days of events , the National Football League temporarily operated an events office within the Minnesota Vikings office building next to U.S. Bank Stadium . More than 150,000 visitors were expected to attend events associated with the Super Bowl over ten days . Among them were some 5,000 - plus media members ; media day events and press conferences were held at The Mall of America in Bloomington , Minnesota .   No sales tax was collected on admission tickets to the game and related events , including parking .   To increase security around U.S. Bank Stadium , the stadium 's light rail station was shut down for 48 hours before the game , and a nearby homeless shelter was temporarily moved beyond the security perimeter . The Blue Line of the light rail system was only open to ticketholders and passengers with a Gameday Pass , while the Green Line only ran to Stadium Village station on the University of Minnesota campus before continuing on with restricted access . Metro Transit ran shuttle buses between light rail stations , as well as regular bus service was moved for several weeks due to street closures . Thirty activist groups organized a rally and protest against police brutality , corporate greed , and racist practices . 17 people blocked the Green Line train for 90 minutes before the game , and 200 protesters blocked an entrance to the stadium 's security perimeter .   Under a 1998 agreement , the Patriots and Eagles owners split the tickets , and the league controlled the game presentation and entertainment in the stadium . The Patriots practiced at the Minnesota Vikings facilities in Eden Prairie while the Eagles used the University of Minnesota . The Eagles got the Vikings ' locker room and sideline . The Vikings had advanced to the NFC Championship Game before losing to the Eagles ; until that point , the possibility of the Vikings advancing to the Super Bowl and thus becoming the first team to play the game in its home stadium was plausible . Had that happened , the Vikings would have used their own locker rooms and training facilities , while the AFC champion would have used the University of Minnesota .  Associated events ( edit ) Nicollet Mall hosted the outdoor Super Bowl Live festival during the lead - up to the game .  The Minnesota Super Bowl Host Committee presented Super Bowl Live on Nicollet Mall in downtown Minneapolis . This ten - day free festival and concert series featured Sheila E. , the Revolution , Morris Day and the Time , and the New Power Generation , musicians from Minnesota who collaborated with Prince , a Minneapolis native . Produced by Jimmy Jam and Terry Lewis , Super Bowl Live also included performances by Idina Menzel , Soul Asylum , the Suburbs , Bob Mould , Sounds of Blackness , Dessa , VocalEssence , Mint Condition , and the Jets . In addition to the concert series , Super Bowl Live featured a 200 - foot ( 61 m ) American Birkebeiner International Bridge on Nicollet Mall to showcase cross-country skiing , skijoring , fat - tire bicycle racing , and snow tubing demonstrations . There was also a snowmobile stunt show on February 3 .   The NFL presented the Super Bowl Experience at the Minneapolis Convention Center from January 27 to February 3 with an entrance fee . Kelly Clarkson performed at the Minneapolis Armory and a U.S. Bank Stadium lounge on the day of the Super Bowl .   The Minneapolis Armory also hosted Jennifer Lopez , Imagine Dragons , and Pink concerts close to U.S. Bank Stadium . Pink also performed the national anthem before the Super Bowl . Halftime performer Justin Timberlake held a ticketed `` listening session '' of his newest album at Prince 's Paisley Park . Dave Matthews Band will perform at Xcel Energy Center in Saint Paul . The Shakopee Mdewakanton Sioux Community 's Mystic Lake Casino hosted Gwen Stefani , the Chainsmokers , Florida Georgia Line , and Kygo . Planners originally scheduled a 64,000 - square - foot ( 5,900 m ) traveling nightclub for 9500 people , but cancelled , moving its concerts into the main casino . Ellie Goulding 's appearance with Kygo was cancelled at the same time . The Mystic Lake Casino in Prior Lake , Minnesota , has the second - largest hotel in the Twin Cities metropolitan area , and Prior Lake hosted Super Bowl - week events including winter activities , a hotdish competition , and fundraisers .   Other events were held at the Mall of America ( including Radio Row as a home for national shows ) , Saint Paul 's RiverCentre and Xcel Energy Center , the Minnesota Vikings ' Winter Park location in Eden Prairie , and the University of Minnesota . `` Taste of the NFL '' is a fundraiser for food banks and was held in Saint Paul . Minneapolis also offered a temporary zip - line across the Mississippi River near downtown . The Luminary Loppet around Lake of the Isles in Minneapolis featured fire dancing , an ice pyramid , and luminary candles at night .   The 2018 Saint Paul Winter Carnival took place leading up to , during and after the Super Bowl . Carnival organizers built a large ice palace to coincide with the Super Bowl festivities , as with Super Bowl XXVI in 1992 . The ice palace was planned , cancelled for lack of funds , then re-announced with sponsors . Events in Saint Paul will also include an extreme sports demonstration , a `` giant slide '' , and a block party . Officials in the capital city hoped to attract Minneapolis Super Bowl visitors . The Minneapolis Institute of Art had a free 20 - by - 40 - foot ( 6.1 m × 12.2 m ) , 6 - foot - tall ( 1.8 m ) ice maze .   The Great Northern was a winter festival in the Twin Cities from January 25 to February 4 that included the U.S. Pond Hockey Championships , an ice bar , and an `` urban ski competition '' .   ESPN broadcast its studio programming from the IDS Center in downtown Minneapolis , while Golf Channel ( a sister network of Super Bowl LII broadcaster NBC ) aired two live episodes of David Feherty 's eponymous series from the State Theatre .   Native American communities of Minnesota performed nightly drum ceremonies . Various drumlines from around the state performed at different locations throughout the day .   Broadcasting ( edit )   United States ( edit )   NBC broadcast Super Bowl LII , as part of an annual cycle between the three main broadcast television partners of the NFL . NBC 's lead NFL team of play - by - play man Al Michaels and color analyst Cris Collinsworth called the game . Sister cable network Universo carried a full Spanish language broadcast produced by Telemundo Deportes , with Edgar Lopez and Rene Giraldo . The Universo Spanish audio was also available on NBC through the SAP channel , where available . NBC employed 73 cameras within the stadium , and introduced `` volumetric - AR '' graphics featuring 3D body scanning of players .   This was the last game in Westwood One 's current national radio contract with the NFL . Each participating team 's flagship station ( the Patriots Radio Network 's WBZ - FM / Boston , and the Eagles Radio Network 's WIP - FM / Philadelphia , along with WEMG / Camden , New Jersey for Spanish play - by - play ) carried the game with local announcers . ( For the second consecutive year , none of the local flagships are clear - channel stations , and thus the local commentators were only audible for free within each respective team 's immediate metropolitan area ; listeners who live outside the flagship stations ' broadcast ranges were required to subscribe to Sirius XM Radio or TuneIn Premium to access the local broadcasts . ) Under the terms of the Westwood One contract , any radio station that is not a local flagship , if it is to carry the game , is required to utilize the Westwood One feed . It was the first title win called by Eagles play - by - play announcer Merrill Reese , who has been the primary radio voice of the team since 1977 .   Online streams of the game were provided by NBC . It was available on NBCSports.com , the NBC Sports app for mobile devices , tablets , connected - TV devices , and NBC.com without any required login . The Spanish - language broadcast was available on the Telemundo Deportes En Vivo app and TelemundoDeportes.com for desktop devices , connected TV devices , and tablets but not mobile devices . Under new digital rights deals that began with the 2017 -- 18 playoffs , Verizon still offers mobile streaming of games , but no longer holds exclusive rights to stream NFL games on smartphones or make them exclusive to Verizon Wireless subscribers . Instead , Verizon elected to use the deal to bolster its recent acquisition of Yahoo ! ; on January 9 , 2018 , Verizon announced that it would host streams of playoff games through the Yahoo ! Sports and go90 app , including Super Bowl LII . As a result of the deal , the online stream was available to viewers on all Internet devices for the first time , regardless of network ( because of Verizon 's previous exclusive rights deal , non-Verizon phones had previously been blocked from receiving any NFL telecasts , regardless of source ) . The game was also available through the NFL Mobile app with the aforementioned change to viewing through the app now being allowed on all mobile carriers .   Dan Patrick and Liam McHugh served as the lead hosts for NBC 's pre-game coverage . Mike Tirico , who replaced the retiring Bob Costas in 2017 as NBC 's lead studio host for both the NFL and the Olympic Games , did not participate in coverage of Super Bowl LII due to his commitments to prepare for the 2018 Winter Olympics in Pyeongchang , South Korea ( which opened on the Friday following the game ) .   As NBC Sports Regional Networks operates regional sports networks in the markets of both teams which participated , the NBC Sports Boston and NBC Sports Philadelphia channels were used to provide additional coverage of the game from a local perspective . Both networks aired coverage from Minneapolis , including pre-game specials focusing on their respective team , followed by a joint broadcast immediately prior to the game .   Nielsen reported a 47.4 / 70 % overnight rating in metered markets , peaking at 52.2 / 74 during the fourth quarter . These numbers are about 3 % lower than early numbers from Super Bowl LI , and the lowest since Super Bowl XLIV in 2010 .  Advertising ( edit )  Dan Lovinger , NBC Sports Group executive vice president of ad sales , stated to Variety in July 2017 that the network was seeking a price `` north of $5 million '' ( the price set for the previous two Super Bowls ) for a 30 - second commercial during Super Bowl LII . As they began five days after the Super Bowl , NBC offered advertising packages that covered both Super Bowl LII and the 2018 Winter Olympics ( which marked the first time since 1992 that a single broadcast network had aired both the Super Bowl and Winter Olympics in the same year ) ; the network estimated that it would bring in at least $1 billion in advertising revenue from the two events . During the second quarter , an equipment failure caused NBC 's broadcast to experience dead air for 30 seconds during a commercial break . No actual commercial time was lost .   Anheuser - Busch has , as it has done in previous Super Bowls , purchased multiple commercials in the game , advertising Bud Light , Stella Artois and Michelob Ultra . For the first time since Super Bowl VIII , the company reduced the appearances of the Budweiser Clydesdales in a Super Bowl commercial . However , a Clydesdale was featured in a commercial for Tide detergent and the Budweiser Clydesdales only appeared in a 5 - second Budweiser commercial to remind viewers of the `` ClydesdaleCam '' livestreaming event . Other signed advertisers included The Coca - Cola Company and Avocados from Mexico . Cellphone carrier T - Mobile aired a minute long ad with actress Kerry Washington narrating , featuring babies of various ethnic backgrounds . The commercial also features Nirvana 's song `` All Apologies '' played as a lullaby . In the ad , Washington talks about the babies being born with natural instincts of love and not racism calling them `` unstoppable '' and that they will demand fair and equal pay . T - Mobile CEO John Legere posted to his Twitter account afterwards saying , `` This year , we wanted to use our # SuperBowl airtime to share that @ TMobile believes we all started in the same place . We are more alike than different . And we are unstoppable . ''   Fiat Chrysler subsidiary Ram Trucks was met with swift and harsh criticism for its use of Rev. Dr. Martin Luther King Jr 's sermon `` The Drum Major Instinct '' . Major news outlets and social media erupted in the controversy . Particularly disturbing to many viewers was the selective exploitation of King 's anti-consumerist , anti-advertising speech in an attempt to sell trucks .  Lead - out programs ( edit )  NBC 's lead - out program was an episode of This Is Us , titled `` Super Bowl Sunday '' , alongside a special episode of The Tonight Show Starring Jimmy Fallon from Minneapolis ' Orpheum Theatre , with halftime performer Justin Timberlake , Dwayne Johnson , Chris Stapleton and the cast of This Is Us as guests .   In a surprise move , Netflix used its advertising time to announce it had acquired the rights to The Cloverfield Paradox , the third film in the Cloverfield series , and would make it available immediately after the game , potentially undercutting viewership of the lucrative post-game slot on NBC .   International broadcasts ( edit )       Rights holder ( s )     Australia   The event aired live on the Seven Network and 7mate     Brazil   The Super Bowl was shown live by ESPN Brasil , with Paulo Antunes and Everaldo Marques as the announcers for the evening . It was also shown live on Cinemark , Cinépolis , Kinoplex and UCI movie theaters across the country .     Canada   Bell Canada holds broadcast rights for local stations in Canada and aired the game across its networks on CTV , CTV Two , RDS ( for French ) , TSN Radio and TSN2 ; TSN 's regional networks did not carry the game due to a schedule conflict with the 2018 Scotties Tournament of Hearts , the national women 's curling championship . Bell reprised the previous year 's usage of a sweepstakes and entertainment features to retain Canadian audiences .  On RDS , the announcer was David Arsenault with Pierre Vercheval as analyst and Didier Orméjuste on the sidelines .      France   beIn Sports2 and W9 broadcast the event .     Germany   ProSieben broadcast the Super Bowl for the first time , after it had previously been on sister channel Sat. 1 since Super Bowl XLVI . It was shown for no additional cost in standard - definition and on ProSieben HD in high - definition on HD+ as well as multiple cable and IPTV providers . It was also available on internet streaming service DAZN for no cost in addition to the regular subscription fee .     Philippines   The 5 Network broadcast the event in the Philippines .     United Kingdom   As per recent years , Super Bowl LII aired live on BBC One for no additional cost over the license fee . It was also available on Sky Sports with a subscription , through a Now TV Sports Pass , or as part of the NFL Gamepass Playoffs package . In a change to tradition , the BBC chose to use NBC 's feed instead of the NFL Films and NFL Network produced World Feed .     U.S. military bases   American Forces Network carried the Super Bowl live to members of the United States Armed Forces in Eurasia .     Entertainment ( edit )   Pre-game ( edit )  The inside of the stadium on game day .  Pink performed `` The Star - Spangled Banner '' , while Leslie Odom Jr. sang `` America the Beautiful '' . Pink spit out a throat lozenge shortly before singing the anthem , later verified after many commentators thought she had spit out a piece of gum . She reported being ill with flu symptoms during her performance . No players were observed kneeling during the national anthem , in contrast to the protests that happened earlier in the 2016 and 20</t>
  </si>
  <si>
    <t xml:space="preserve">where is the super bowl being played at this year</t>
  </si>
  <si>
    <t xml:space="preserve"> Super Bowl LII was an American football game played to determine the champion of the National Football League ( NFL ) for the 2017 season . The National Football Conference ( NFC ) champion Philadelphia Eagles defeated the American Football Conference ( AFC ) and defending Super Bowl LI champion New England Patriots , 41 -- 33 , to win their first Super Bowl and their first NFL title since 1960 . The game was played on February 4 , 2018 , at U.S. Bank Stadium in Minneapolis , Minnesota . This was the second time that a Super Bowl was played in Minneapolis , the northernmost city to ever host the event , after Super Bowl XXVI at the Metrodome during the 1991 season , and the sixth Super Bowl held in a cold - weather city . </t>
  </si>
  <si>
    <t xml:space="preserve">Great Britain - wikipedia  Great Britain  Jump to : navigation , search This article is about the island . For the state of which it is part , see United Kingdom . For the historical state , see Kingdom of Great Britain . For other uses , see Great Britain ( disambiguation ) and Britain ( disambiguation ) .  Great Britain   Native names ( show )   Great Breetain ( Scots )   Prydain Fawr ( Welsh )   Breten Veur ( Cornish )   Breatainn Mhòr ( Scottish Gaelic )       Satellite image of Great Britain in April 2002         Geography     Location   Northwestern Europe     Coordinates   53 ° 50 ′ N 2 ° 25 ′ W ﻿ / ﻿ 53.833 ° N 2.417 ° W ﻿ / 53.833 ; - 2.417     Archipelago   British Isles     Adjacent bodies of water   Atlantic Ocean     Area   209,331 km ( 80,823 sq mi )     Area rank   9th     Highest elevation   1,344 m ( 4,409 ft )     Highest point   Ben Nevis     Administration     United Kingdom     Countries   England , Scotland , and Wales     Largest city   London ( pop . 8,615,246 )     Demographics     Population   60,800,000 ( 2011 census )     Population rank   3rd     Pop . density   302 / km ( 782 / sq mi )     Languages   English , Scots , Welsh , Scottish Gaelic , Cornish     Ethnic groups     86.8 % White   7.1 % Asian   3.1 % Black   2.0 % Mixed   0.3 % Arab   0.6 % Other       Additional information     Time zone     GMT ( UTC )       Summer ( DST )     BST ( UTC + 1 )       Great Britain , also known as Britain , is a large island in the north Atlantic Ocean off the northwest coast of continental Europe . With an area of 209,331 km ( 80,823 sq mi ) , Great Britain is the largest of the British Isles , the largest European island , and the ninth - largest island in the world . In 2011 the island had a population of about 61 million people , making it the world 's third-most populous island after Java in Indonesia and Honshu in Japan . The island of Ireland is situated to the west of it , and together these islands , along with over 1,000 smaller surrounding islands , comprise the British Isles archipelago .   The island is dominated by a maritime climate with quite narrow temperature differences between seasons . Politically , the island is part of the United Kingdom of Great Britain and Northern Ireland , and constitutes most of its territory . Most of England , Scotland , and Wales are on the island . The term `` Great Britain '' often extends to include surrounding islands that form part of England , Scotland , and Wales , and is also sometimes loosely applied to the UK as a whole .   A single Kingdom of Great Britain resulted from the union of the Kingdom of England ( which had already comprised the present - day countries of England and Wales ) and the Kingdom of Scotland by the 1707 Acts of Union . More than a hundred years before , in 1603 , King James VI , King of Scots , had inherited the throne of England , but it was not until 1707 that the two countries ' parliaments agreed to form a political union . In 1801 , Great Britain united with the neighbouring Kingdom of Ireland , forming the United Kingdom of Great Britain and Ireland , which was renamed the `` United Kingdom of Great Britain and Northern Ireland '' after the Irish Free State seceded in 1922 .     Contents  ( hide )   1 Terminology   1.1 Toponymy   1.2 Derivation of `` Great ''   1.3 Modern use of the term Great Britain   1.4 Political definition     2 History   2.1 Prehistoric period   2.2 Roman and medieval period   2.3 Early modern period     3 Geography   3.1 Geology   3.2 Fauna   3.3 Flora   3.4 Fungi     4 Demographics   4.1 Settlements   4.1. 1 Capitals     4.2 Language   4.3 Religion     5 See also   6 Notes   7 References   7.1 Bibliography     8 External links   8.1 Video links        Terminology  See also : Terminology of the British Isles  Toponymy  Main article : Britain ( place name )  The archipelago has been referred to by a single name for over 2000 years : the term ' British Isles ' derives from terms used by classical geographers to describe this island group . By 50 BC Greek geographers were using equivalents of Prettanikē as a collective name for the British Isles . However , with the Roman conquest of Britain the Latin term Britannia was used for the island of Great Britain , and later Roman - occupied Britain south of Caledonia .   The earliest known name for Great Britain is Albion ( Greek : Ἀλβίων ) or insula Albionum , from either the Latin albus meaning `` white '' ( referring to the white cliffs of Dover , the first view of Britain from the continent ) or the `` island of the Albiones '' , first mentioned in the Massaliote Periplus in the 6th century BC , and by Pytheas .   The oldest mention of terms related to Great Britain was by Aristotle ( c. 384 -- 322 BC ) , or possibly by Pseudo-Aristotle , in his text On the Universe , Vol . III . To quote his works , `` There are two very large islands in it , called the British Isles , Albion and Ierne '' .   Pliny the Elder ( c . AD 23 -- 79 ) in his Natural History records of Great Britain : `` Its former name was Albion ; but at a later period , all the islands , of which we shall just now briefly make mention , were included under the name of ' Britanniæ . ' ''   The name Britain descends from the Latin name for Britain , Britannia or Brittānia , the land of the Britons. Old French Bretaigne ( whence also Modern French Bretagne ) and Middle English Bretayne , Breteyne . The French form replaced the Old English Breoton , Breoten , Bryten , Breten ( also Breoton - lond , Breten - lond ) . Britannia was used by the Romans from the 1st century BC for the British Isles taken together . It is derived from the travel writings of the Pytheas around 320 BC , which described various islands in the North Atlantic as far north as Thule ( probably Norway ) .   Marcian of Heraclea , in his Periplus maris exteri , described the island group as αἱ Πρεττανικαὶ νῆσοι ( the Prettanic Isles ) .   The peoples of these islands of Prettanike were called the Πρεττανοί , Priteni or Pretani . Priteni is the source of the Welsh language term Prydain , Britain , which has the same source as the Goidelic term Cruithne used to refer to the early Brythonic - speaking inhabitants of Ireland . The latter were later called Picts or Caledonians by the Romans .   Derivation of `` Great ''   The Greco - Egyptian scientist Ptolemy referred to the larger island as great Britain ( μεγάλης Βρεττανίας - megális Brettanias ) and to Ireland as little Britain ( μικρής Βρεττανίας - mikris Brettanias ) in his work Almagest ( 147 -- 148 AD ) . In his later work , Geography ( c. 150 AD ) , he gave the islands the names Alwion , Iwernia , and Mona ( the Isle of Man ) , suggesting these may have been the names of the individual islands not known to him at the time of writing Almagest . The name Albion appears to have fallen out of use sometime after the Roman conquest of Britain , after which Britain became the more commonplace name for the island .   After the Anglo - Saxon period , Britain was used as a historical term only . Geoffrey of Monmouth in his pseudohistorical Historia Regum Britanniae ( c. 1136 ) refers to the island as Britannia major ( `` Greater Britain '' ) , to distinguish it from Britannia minor ( `` Lesser Britain '' ) , the continental region which approximates to modern Brittany , which had been settled in the fifth and sixth centuries by migrants from Britain . The term Great Britain was first used officially in 1474 , in the instrument drawing up the proposal for a marriage between Cecily the daughter of Edward IV of England , and James the son of James III of Scotland , which described it as `` this Nobill Isle , callit Gret Britanee '' . It was used again in 1604 , when King James VI and I styled himself `` King of Great Brittaine , France and Ireland '' .   Modern use of the term Great Britain   Great Britain refers geographically to the island of Great Britain , politically to England , Scotland and Wales in combination . However , it is sometimes used loosely to refer to the whole of the United Kingdom .   Similarly , Britain , can refer to either all islands in Great Britain , the largest island , or the political grouping of counties . There is no clear distinction , even in government documents : the UK government yearbooks have used both `` Britain '' and `` United Kingdom '' .   GB and GBR are used instead of UK in some international codes to refer to the United Kingdom , including the Universal Postal Union , international sports teams , NATO , the International Organization for Standardization country codes ISO 3166 - 2 and ISO 3166 - 1 alpha - 3 , and international licence plate codes .   On the Internet , . uk is the country code top - level domain for the United Kingdom . A . gb top - level domain was used to a limited extent , but is now obsolete because the domain name registrar will not take new registrations .   In the Olympics , Team GB is used by the British Olympic Association to represent the Great Britain and Northern Ireland Olympic team .   Political definition  Political definition of Great Britain ( dark green ) -- in Europe ( green &amp; dark grey ) -- in the United Kingdom ( green )  Politically , Great Britain refers to the whole of England , Scotland and Wales in combination , but not Northern Ireland ; it includes islands , such as the Isle of Wight , Anglesey , the Isles of Scilly , the Hebrides and the island groups of Orkney and Shetland , that are part of England , Wales , or Scotland . It does not include the Isle of Man and the Channel Islands , which are self - governing dependent territories .   The political union that joined the kingdoms of England and Scotland happened in 1707 when the Acts of Union ratified the 1706 Treaty of Union and merged the parliaments of the two nations , forming the Kingdom of Great Britain , which covered the entire island . Before this , a personal union had existed between these two countries since the 1603 Union of the Crowns under James VI of Scotland and I of England .   History   Prehistoric period  Main article : Prehistoric Britain  The island was first inhabited by people who crossed over the land bridge from the European mainland . Human footprints have been found from over 800,000 years ago in Norfolk and traces of early humans have been found ( at Boxgrove Quarry , Sussex ) from some 500,000 years ago and modern humans from about 30,000 years ago .   Until about 14,000 years ago , Great Britain was connected to Ireland , and as recently as 8,000 years ago it retained a land connection to the continent , with an area of mostly low marshland joining it to what are now Denmark and the Netherlands . In Cheddar Gorge , near Bristol , the remains of animal species native to mainland Europe such as antelopes , brown bears , and wild horses have been found alongside a human skeleton , ' Cheddar Man ' , dated to about 7150 BC . Thus , animals and humans must have moved between mainland Europe and Great Britain via a crossing . Great Britain became an island at the end of the last glacial period when sea levels rose due to the combination of melting glaciers and the subsequent isostatic rebound of the crust .   Great Britain 's Iron Age inhabitants are known as Britons ; they spoke Celtic languages .   Roman and medieval period  Main articles : Roman Britain , Medieval England , Medieval Scotland , and Medieval Wales Prima Europe tabula . A copy of Ptolemy 's 2nd century map of Roman Britain  The Romans conquered most of the island ( up to Hadrian 's Wall , in northern England ) and this became the Ancient Roman province of Britannia . In the course of the 500 years after the Roman Empire fell , the Britons of the south and east of the island were assimilated or displaced by invading Germanic tribes ( Angles , Saxons , and Jutes , often referred to collectively as Anglo - Saxons ) . At about the same time , Gaelic tribes from Ireland invaded the north - west , absorbing both the Picts and Britons of northern Britain , eventually forming the Kingdom of Scotland in the 9th century . The south - east of Scotland was colonised by the Angles and formed , until 1018 , a part of the Kingdom of Northumbria . Ultimately , the population of south - east Britain came to be referred to as the English people , so - named after the Angles .   Germanic speakers referred to Britons as Welsh . This term came to be applied exclusively to the inhabitants of what is now Wales , but it also survives in names such as Wallace and in the second syllable of Cornwall . Cymry , a name the Britons used to describe themselves , is similarly restricted in modern Welsh to people from Wales , but also survives in English in the place name of Cumbria . The Britons living in the areas now known as Wales , Cumbria and Cornwall were not assimilated by the Germanic tribes , a fact reflected in the survival of Celtic languages in these areas into more recent times . At the time of the Germanic invasion of Southern Britain , many Britons emigrated to the area now known as Brittany , where Breton , a Celtic language closely related to Welsh and Cornish and descended from the language of the emigrants , is still spoken . In the 9th century , a series of Danish assaults on northern English kingdoms led to them coming under Danish control ( an area known as the Danelaw ) . In the 10th century , however , all the English kingdoms were unified under one ruler as the kingdom of England when the last constituent kingdom , Northumbria , submitted to Edgar in 959 . In 1066 , England was conquered by the Normans , who introduced a Norman - speaking administration that was eventually assimilated . Wales came under Anglo - Norman control in 1282 , and was officially annexed to England in the 16th century .   Early modern period  Main article : Early modern Britain Further information : History of the United Kingdom  On 20 October 1604 King James , who had succeeded separately to the two thrones of England and Scotland , proclaimed himself `` King of Great Brittaine , France , and Ireland '' . When James died in 1625 and the Privy Council of England was drafting the proclamation of the new king , Charles I , a Scottish peer , Thomas Erskine , 1st Earl of Kellie , succeeded in insisting that it use the phrase `` King of Great Britain '' , which James had preferred , rather than King of Scotland and England ( or vice versa ) . While that title was also used by some of James 's successors , England and Scotland each remained legally separate countries , each with its own parliament , until 1707 , when each parliament passed an Act of Union to ratify the Treaty of Union that had been agreed the previous year . This created a single kingdom out of two , with a single parliament , with effect from 1 May 1707 . The Treaty of Union specified the name of the new all - island state as `` Great Britain '' , while describing it as `` One Kingdom '' and `` the United Kingdom '' . To most historians , therefore , the all - island state that existed between 1707 and 1800 is `` Great Britain '' or the `` Kingdom of Great Britain '' .   Geography  Further information : Geography of England , Geography of Scotland , and Geography of Wales See also : Geography of the United Kingdom View of Britain 's coast from northern France  Great Britain lies on the European continental shelf , part of the Eurasian Plate . Situated off the north - west coast of continental Europe , it is separated from the mainland by the North Sea and by the English Channel , which narrows to 34 km ( 18 nmi ; 21 mi ) at the Straits of Dover . It stretches over about ten degrees of latitude on its longer , north - south axis and occupies an area of 209,331 km ( 80,823 sq mi ) , excluding the smaller surrounding islands . The North Channel , Irish Sea , St George 's Channel and Celtic Sea separate the island from the island of Ireland to its west . The island is physically connected with continental Europe via the Channel Tunnel , the longest undersea rail tunnel in the world , completed in 1993 . The island is marked by low , rolling countryside in the east and south , while hills and mountains predominate in the western and northern regions . It is surrounded by over 1,000 smaller islands and islets . The greatest distance between two points is 968.0 km ( 601 ⁄ mi ) ( between Land 's End , Cornwall and John o ' Groats , Caithness ) , 838 miles ( 1,349 km ) by road .   The English Channel is thought to have been created between 450,000 and 180,000 years ago by two catastrophic glacial lake outburst floods caused by the breaching of the Weald - Artois Anticline , a ridge that held back a large proglacial lake , now submerged under the North Sea . Around 10,000 years ago , during the Devensian glaciation with its lower sea level , Great Britain was not an island , but an upland region of continental northwestern Europe , lying partially underneath the Eurasian ice sheet . The sea level was about 120 metres ( 390 ft ) lower than today , and the bed of the North Sea was dry and acted as a land bridge , now known as Doggerland , to the Continent . It is generally thought that as sea levels gradually rose after the end of the last glacial period of the current ice age , Doggerland became submerged beneath the North Sea , cutting off what was previously the British peninsula from the European mainland by around 6500 BC .   Geology  Main article : Geology of Great Britain  Great Britain has been subject to a variety of plate tectonic processes over a very extended period of time . Changing latitude and sea levels have been important factors in the nature of sedimentary sequences , whilst successive continental collisions have affected its geological structure with major faulting and folding being a legacy of each orogeny ( mountain - building period ) , often associated with volcanic activity and the metamorphism of existing rock sequences . As a result of this eventful geological history , the island shows a rich variety of landscapes .   The oldest rocks in Great Britain are the Lewisian gneisses , metamorphic rocks found in the far north west of the island and in the Hebrides ( with a few small outcrops elsewhere ) , which date from at least 2,700 Ma ( Ma = million years ago ) . South of the gneisses are a complex mixture of rocks forming the North West Highlands and Grampian Highlands in Scotland . These are essentially the remains of folded sedimentary rocks that were deposited between 1,000 Ma and 670 Ma over the gneiss on what was then the floor of the Iapetus Ocean .   At the present time the north of the island is rising as a result of the weight of Devensian ice being lifted . Southern and eastern Britain is sinking , generally estimated at 1 mm ( 1 / 25 inch ) per year , with the London area sinking at double the speed partly due to the continuing compaction of the recent clay deposits .   Fauna  Main article : Fauna of Great Britain The robin is popularly known as `` Britain 's favourite bird '' .  Animal diversity is modest , as a result of factors including the island 's small land area , the relatively recent age of the habitats developed since the last glacial period and the island 's physical separation from continental Europe , and the effects of seasonal variability . Great Britain also experienced early industrialisation and is subject to continuing urbanisation , which have contributed towards the overall loss of species . A DEFRA ( Department for Environment , Food and Rural Affairs ) study from 2006 suggested that 100 species have become extinct in the UK during the 20th century , about 100 times the background extinction rate . However , some species , such as the brown rat , red fox , and introduced grey squirrel , are well adapted to urban areas .   Rodents make up 40 % of the mammal species . These include squirrels , mice , voles , rats and the recently reintroduced European beaver . There is also an abundance of rabbits , hares , hedgehogs , shrews , moles and several species of bat . Carnivorous mammals include the fox , badger , otter , weasel , stoat and elusive wildcat . Various species of seal , whale and dolphin are found on or around British shores and coastlines . The largest land - based wild animals today are deer . The red deer is the largest species , with roe deer and fallow deer also prominent ; the latter was introduced by the Normans . Sika deer and two more species of smaller deer , muntjac and Chinese water deer , have been introduced , muntjac becoming widespread in England and parts of Wales while Chinese water deer are restricted mainly to East Anglia . Habitat loss has affected many species . Extinct large mammals include the brown bear , grey wolf and wild boar ; the latter has had a limited reintroduction in recent times .   There is a wealth of birdlife , 583 species in total , of which 258 breed on the island or remain during winter . Because of its mild winters for its latitude , Great Britain hosts important numbers of many wintering species , particularly ducks , geese and swans . Other well known bird species include the golden eagle , grey heron , kingfisher , pigeon , sparrow , pheasant , partridge , and various species of crow , finch , gull , auk , grouse , owl and falcon . There are six species of reptile on the island ; three snakes and three lizards including the legless slowworm . One snake , the adder , is venomous but rarely deadly . Amphibians present are frogs , toads and newts .   Flora  See also : List of the vascular plants of Britain and Ireland Heather growing wild in the Highlands at Dornoch .  In a similar sense to fauna , and for similar reasons , the flora is impoverished compared to that of continental Europe . The flora comprises 3,354 vascular plant species , of which 2,297 are native and 1,057 have been introduced . The island has a wide variety of trees , including native species of birch , beech , ash , hawthorn , elm , oak , yew , pine , cherry and apple . Other trees have been naturalised , introduced especially from other parts of Europe ( particularly Norway ) and North America . Introduced trees include several varieties of pine , chestnut , maple , spruce , sycamore and fir , as well as cherry plum and pear trees . The tallest species are the Douglas firs ; two specimens have been recorded measuring 65 metres or 212 feet . The Fortingall Yew in Perthshire is the oldest tree in Europe .   There are at least 1,500 different species of wildflower . Some 107 species are particularly rare or vulnerable and are protected by the Wildlife and Countryside Act 1981 . It is illegal to uproot any wildflowers without the landowner 's permission . A vote in 2002 nominated various wildflowers to represent specific counties . These include red poppies , bluebells , daisies , daffodils , rosemary , gorse , iris , ivy , mint , orchids , brambles , thistles , buttercups , primrose , thyme , tulips , violets , cowslip , heather and many more . There are also many species of algae and mosses across the island .   Fungi   There are many species of fungi including lichen - forming species , and the mycobiota is less poorly known than in many other parts of the world . The most recent checklist of Basidiomycota ( bracket fungi , jelly fungi , mushrooms and toadstools , puffballs , rusts and smuts ) , published in 2005 , accepts over 3600 species . The most recent checklist of Ascomycota ( cup fungi and their allies , including most lichen - forming fungi ) , published in 1985 , accepts another 5100 species . These two lists did not include conidial fungi ( fungi mostly with affinities in the Ascomycota but known only in their asexual state ) or any of the other main fungal groups ( Chytridiomycota , Glomeromycota and Zygomycota ) . The number of fungal species known very probably exceeds 10,000 . There is widespread agreement among mycologists that many others are yet to be discovered .   Demographics  Main article : Demography of the United Kingdom  Settlements  Capitals  London is the capital of England and the whole of the United Kingdom , and is therefore the seat of the United Kingdom 's government . Edinburgh and Cardiff are the capitals of Scotland and Wales , respectively , and house their devolved governments .    Largest urban areas   See also : List of urban areas in the United Kingdom    Rank   City - region   Built - up area   Population ( 2011 Census )   Area ( km2 )   Density ( people / km2 )       London   Greater London Built - up area   9,787,426   1,737.9   5,630       Manchester   Greater Manchester Built - up area   2,553,379   630.3   4,051       Birmingham -- Wolverhampton   West Midlands Built - up area   2,440,986   598.9   4,076       Leeds -- Bradford   West Yorkshire Built - up area   1,777,934   487.8   3,645     5   Glasgow   Greater Glasgow Built - up area   1,209,143   368.5   3,390     6   Liverpool   Liverpool Built - up area   864,122   199.6   4,329     7   Southampton -- Portsmouth   South Hampshire Built - up area   855,569   192.0   4,455     8   Newcastle upon Tyne -- Sunderland   Tyneside Built - up area   774,891   180.5   4,292     9   Nottingham   Nottingham Built - up area   729,977   176.4   4,139     10   Sheffield   Sheffield Built - up area   685,368   167.5   4,092     Language  Further information : Languages of England , Languages of Scotland , and Languages of Wales See also : Languages of the United Kingdom  In the Late Bronze Age , Britain was part of a culture called the Atlantic Bronze Age , held together by maritime trading , which also included Ireland , France , Spain and Portugal . In contrast to the generally accepted view that Celtic originated in the context of the Hallstatt culture , since 2009 , John T. Koch and others have proposed that the origins of the Celtic languages are to be sought in Bronze Age Western Europe , especially the Iberian Peninsula . Koch et al. 's proposal has failed to find wide acceptance among experts on the Celtic languages .   All the modern Brythonic languages ( Breton , Cornish , Welsh ) are generally considered to derive from a common ancestral language termed Brittonic , British , Common Brythonic , Old Brythonic or Proto - Brythonic , which is thought to have developed from Proto - Celtic or early Insular Celtic by the 6th century AD . Brythonic languages were probably spoken before the Roman invasion at least in the majority of Great Britain south of the rivers Forth and Clyde , though the Isle of Man later had a Goidelic language , Manx . Northern Scotland mainly spoke Pritennic , which became Pictish , which may have been a Brythonic language . During the period of the Roman occupation of Southern Britain ( AD 43 to c. 410 ) , Common Brythonic borrowed a large stock of Latin words . Approximately 800 of these Latin loan - words have survived in the three modern Brythonic languages . Romano - British is the name for the Latinised form of the language used by Roman authors .   British English is spoken in the present day across the island , and developed from the Old English brought to the island by Anglo - Saxon settlers from the mid 5th century . Some 1.5 million people speak Scots -- a variety of English which some consider to be a distinct language . An estimated 700,000 people speak Welsh , an official language in Wales . In parts of north west Scotland , Scottish Gaelic remains widely spoken . There are various regional dialects of English , and numerous languages spoken by some immigrant populations .   Religion  Further information : Religion in England , Religion in Scotland , and Religion in Wales See also : Religion in the United Kingdom Canterbury Cathedral , seat of the Church of England -- the island 's largest denomination  Christianity has been the largest religion by number of adherents since the Early Middle Ages : it was introduced under the ancient Romans , developing as Celtic Christianity . According to tradition , Christianity arrived in the 1st or 2nd century . The most popular form is Anglicanism ( known as Episcopalism in Scotland ) . Dating from the 16th century Reformation , it regards itself as both Catholic and Reformed . The Head of the Church is the monarch of the United Kingdom , as the Supreme Governor . It has the status of established church in England . There are just over 26 million adherents to Anglicanism in Britain today , although only around one million regularly attend services . The second largest Christian practice is the Latin Rite of the Roman Catholic Church , which traces its history to the 6th century with Augustine 's mission and was the main religion for around a thousand years . There are over 5 million adherents today , 4.5 million in England and Wales and 750,000 in Scotland , although fewer than a million Catholics regularly attend mass .  Glasgow Cathedral , a meeting place of the Church of Scotland  The Church of Scotland , a form of Protestantism with a Presbyterian system of ecclesiastical polity , is the third most numerous on the island with around 2.1 million members . Introduced in Scotland by clergyman John Knox , it has the status of national church in Scotland . The monarch of the United Kingdom is represented by a Lord High Commissioner . Methodism is the fourth largest and grew out of Anglicanism through John Wesley . It gained popularity in the old mill towns of Lancashire and Yorkshire , also amongst tin miners in Cornwall . The Presbyterian Church of Wales , which follows Calvinistic Methodism , is the largest denomination in Wales . There are other non-conformist minorities , such as Baptists , Quakers , the United Reformed Church ( a union of Congregationalists and English Presbyterians ) , Unitarians . The first patron saint of Great Britain was Saint Alban . He was the first Christian martyr dating from the Romano - British period , condemned to death for his faith and sacrificed to the pagan gods . In more recent times , some have suggested the adoption of St Aidan as another patron saint of Britain . From Ireland , he worked at Iona amongst the Dál Riata and then Lindisfarne where he restored Christianity to Northumbria .   The three constituent countries of the United Kingdom have patron saints : Saint George and Saint Andrew are represented in the flags of England and Scotland respectively . These two flags combined to form the basis of the Great Britain royal flag of 1604 . Saint David is the patron saint of Wales . There are many other British saints . Some of the best known are Cuthbert , Columba , Patrick , Margaret , Edward the Confessor , Mungo , Thomas More , Petroc , Bede , and Thomas Becket .   Numerous other religions are practised . Jews have inhabited Britain since 1070 . Jews were expelled from England in 1290 but allowed to return in 1656 . There were also Jewish migrations from Lithuania . The 2001 census recorded that Islam had around 1.5 million adherents . More than 1 million people practise either Hinduism , Sikhism , or Buddhism -- religions introduced from the Indian subcontinent and Southeast Asia .   See also    United Kingdom portal   Islands portal     List of islands of England   List of islands of Scotland   List of islands of Wales    Notes    Jump up ^ The political definition of Great Britain -- that is , England , Scotland and Wales combined -- includes a number of offshore islands such as the Isle of Wight , Anglesey and Shetland which are not part of the geographical island of Great Britain . Those three countries combined have a total area of 234,402 km ( 90,503 sq mi ) .    References    Jump up ^ ISLAND DIRECTORY , United Nations Environment Programme . Retrieved 9 August 2015 .   Jump up ^ 2011 Census : Population Estimates for the United Kingdom . In the 2011 census , the population of England , Wales and Scotland was estimated to be approximately 61,370,000 ; comprising 60,800,000 on Great Britain , and 570,000 on other islands . Retrieved 23 January 2014   Jump up ^ `` Ethnic Group by Age in England and Wales '' . www.nomisweb.co.uk . Retrieved 2 February 2014 .   Jump up ^ `` Ethnic groups , Scotland , 2001 and 2011 '' ( PDF ) . www.scotlandscensus.gov.uk . Retrieved 2 February 2014 .   Jump up ^ `` Islands by land area , United Nations Environment Programme '' . Islands.unep.ch . Retrieved 24 February 2012 .   Jump up ^ Foundation , Internet Memory . `` ( ARCHIVED CONTENT ) UK Government Web Archive -- The National Archives '' .   Jump up ^ `` Population Estimates '' ( PDF ) . National Statistics Online . Newport , Wales : Office for National Statistics . 24 June 2010 . Archived from the original ( PDF ) on 14 November 2010 . Retrieved 24 September 20</t>
  </si>
  <si>
    <t xml:space="preserve">when did the name great britain come about</t>
  </si>
  <si>
    <t xml:space="preserve"> After the Anglo - Saxon period , Britain was used as a historical term only . Geoffrey of Monmouth in his pseudohistorical Historia Regum Britanniae ( c. 1136 ) refers to the island as Britannia major ( `` Greater Britain '' ) , to distinguish it from Britannia minor ( `` Lesser Britain '' ) , the continental region which approximates to modern Brittany , which had been settled in the fifth and sixth centuries by migrants from Britain . The term Great Britain was first used officially in 1474 , in the instrument drawing up the proposal for a marriage between Cecily the daughter of Edward IV of England , and James the son of James III of Scotland , which described it as `` this Nobill Isle , callit Gret Britanee '' . It was used again in 1604 , when King James VI and I styled himself `` King of Great Brittaine , France and Ireland '' . </t>
  </si>
  <si>
    <t xml:space="preserve">Cactus Bowl - wikipedia  Cactus Bowl  Jump to : navigation , search `` Buffalo Wild Wings Bowl '' redirects here . For the bowl game previously known as Buffalo Wild Wings Citrus Bowl , see Citrus Bowl . For the Division II all - star game played from 2001 through 2011 , see Cactus Bowl ( Division II ) .    Cactus Bowl         Stadium   Chase Field     Location   Phoenix , Arizona     Previous stadiums   Arizona Stadium ( 1989 -- 1999 ) Bank One Ballpark ( 2000 -- 2005 ) Sun Devil Stadium ( 2006 -- 2015 )     Previous locations   Tucson , Arizona ( 1989 -- 1999 ) Phoenix , Arizona ( 2000 -- 2005 ) Tempe , Arizona ( 2006 -- 2015 )     Operated   1989 -- present     Conference tie - ins   Big 12 , Pac - 12     Previous conference tie - ins   WAC ( 1990 -- 1997 ) Big 12 ( 1998 -- 2001 ) Big East ( 1998 -- 2005 ) Pac - 10 ( 2002 -- 2005 ) Big 12 ( 2006 - 2013 ) Big 10 ( 2006 - 2013 )     Payout   US $ 3.35 million per team ( as of 2015 )     Sponsors     Domino 's Pizza ( 1990 -- 1991 ) Weiser Lock ( 1992 -- 1995 ) Insight Enterprises ( 1997 -- 2011 ) Buffalo Wild Wings ( 2012 -- 2013 ) TicketCity ( 2015 ) Motel 6 ( 2016 , 2 games )     Former names     Copper Bowl ( 1989 ) Domino 's Pizza Copper Bowl ( 1990 -- 1991 ) Weiser Lock Copper Bowl ( 1992 -- 1995 ) Copper Bowl ( 1996 ) Insight.com Bowl ( 1997 -- 2001 ) Insight Bowl ( 2002 -- 2011 ) Buffalo Wild Wings Bowl ( 2012 -- 2013 ) TicketCity Cactus Bowl ( 2015 ) Motel 6 Cactus Bowl ( 2016 , 2 games )     2016 matchup     Boise State vs. Baylor ( Baylor 31 -- 12 )     2017 matchup     UCLA vs. Kansas State ( Kansas State 35 -- 17 )     The Cactus Bowl , is an NCAA FBS college football bowl game that has been played in the state of Arizona since 1989 .   Originally played as the Copper Bowl from inception through 1996 , it was known as the Insight.com Bowl from 1997 through 2001 , then the Insight Bowl from 2002 through 2011 , the Buffalo Wild Wings Bowl for 2012 and 2013 , and then the Motel 6 Cactus Bowl for 2016 . The Cactus Bowl name has been in use since 2015 . There was no game played during calendar year 2014 due to the schedule date moving from December to January ; the game was played twice during 2016 , due to the schedule date moving back to December .   When the bowl was initially founded , it was played at Arizona Stadium in Tucson , on the campus of the University of Arizona . In 2000 , the organizers moved the game from Tucson to Phoenix . There , it was played at what is now known as Chase Field , the home of the Arizona Diamondbacks of Major League Baseball . For the 2006 season , the bowl moved a second time . After the annual Fiesta Bowl left Sun Devil Stadium in Tempe in favor of playing in University of Phoenix Stadium in Glendale , the Cactus Bowl ( still known as the Insight Bowl ) was relocated there as a permanent replacement .   The Cactus Bowl is temporarily being played at its previous home of Chase Field in Phoenix while Sun Devil Stadium undergoes renovations . The renovations are being undertaken during the offseason , requiring Arizona State to close the stadium at the conclusion of football season through 2017 . During this time , the game is one of three bowl games played in baseball - specific stadiums ; the Gasparilla Bowl , played at Tropicana Field , and the Pinstripe Bowl , played at Yankee Stadium , are the others .     Contents  ( hide )   1 History   2 Game results   3 MVPs   4 Sportsmanship award   5 Most appearances   6 Appearances by conference   7 Media coverage   8 See also   9 References   10 External links      History ( edit )   `` Cactus Bowl '' had been the originally planned name for what became the Copper Bowl in 1989 . The game was played under the Copper Bowl name through 1996 , after which title sponsorship rights were assumed by Insight Enterprises , who self - titled the game from 1997 through the 2011 . In 2012 , restaurant chain Buffalo Wild Wings became the sponsor and self - titled the game for two years . Buffalo Wild Wings declined to renew sponsorship following the 2013 game , at which time organizers opted to rename the game `` Cactus Bowl '' rather than reverting to the Copper Bowl name . There had been a Texas - based Cactus Bowl played in Division II , however that game was discontinued after 2011 . For 2014 , TicketCity sponsored the new Cactus Bowl , and Motel 6 became the sponsor in 2015 .   For the first ten years , the game was played at Arizona Stadium , on the campus of the University of Arizona in Tucson , Arizona . In 2000 , the bowl 's organizers moved the game to Bank One Ballpark , a baseball - specific stadium , in downtown Phoenix . In 2006 , the game moved to Sun Devil Stadium at Arizona State University in Tempe to replace the Fiesta Bowl , which had moved to University of Phoenix Stadium in the Phoenix suburb of Glendale . The 2006 game set a record ( since tied in the 2016 Alamo Bowl ) for the biggest comeback in NCAA Division I FBS bowl history , as Texas Tech came back from a 38 -- 7 third - quarter deficit to defeat Minnesota 44 -- 41 in overtime .   Before 2006 , the game mainly featured teams from the Pac - 10 , WAC , Big 12 , and old Big East conferences . Starting in 2006 , it began featuring an annual matchup between teams from the Big Ten and the Big 12 . Starting with the 2015 game , it has featured a matchup between Pac - 12 and Big 12 teams , contingent on bowl eligibility . Teams from the ACC and MW have also competed , along with teams from the now defunct SWC and Big Eight , and one independent school ( Notre Dame in 2004 ) .   For the first three playings of the Copper Bowl , TBS carried the game . Beginning in 1992 and continuing until the 2005 playing , the game aired on ESPN . After a four - year hiatus , during which NFL Network carried the game , ESPN regained the rights beginning in 2010 .   Game results ( edit )     No .   Name   Date   Winning Team   Losing Team   Attnd .       1989 Copper Bowl   December 31 , 1989   # 25 Arizona   17   North Carolina State   10   37,237       1990 Copper Bowl   December 31 , 1990   California   17   Wyoming   15   36,340       1991 Copper Bowl   December 31 , 1991   Indiana   24   Baylor   0   35,751       1992 Copper Bowl   December 31 , 1992   # 15 Washington State   31   Utah   28   40,826     5   1993 Copper Bowl   December 29 , 1993   # 20 Kansas State   52   Wyoming   17   49,075     6   1994 Copper Bowl   December 29 , 1994   # 18 BYU   31   Oklahoma   6   45,122     7   1995 Copper Bowl   December 27 , 1995   # 23 Texas Tech   55   Air Force   41   41,004     8   1996 Copper Bowl   December 27 , 1996   Wisconsin   38   Utah   10   42,122     9   1997 Insight.com Bowl   December 27 , 1997   Arizona   20   New Mexico   14   49,385     10   1998 Insight.com Bowl   December 26 , 1998   # 21 Missouri   34   West Virginia   31   36,147     11   1999 Insight.com Bowl   December 31 , 1999   Colorado   62   Boston College   28   35,762     12   2000 Insight.com Bowl   December 28 , 2000   # 25 Iowa State   37   Pittsburgh   29   41,813     13   2001 Insight.com Bowl   December 29 , 2001   # 14 Syracuse   26   Kansas State     40,028     14   2002 Insight Bowl   December 26 , 2002   # 19 Pittsburgh   38   Oregon State   13   40,533     15   2003 Insight Bowl   December 26 , 2003   California   52   Virginia Tech   49   42,364     16   2004 Insight Bowl   December 28 , 2004   Oregon State   38   Notre Dame   21   45,917     17   2005 Insight Bowl   December 27 , 2005   Arizona State   45   Rutgers   40   43,536     18   2006 Insight Bowl   December 29 , 2006   Texas Tech   44   Minnesota   41 ( OT )   48,391     19   2007 Insight Bowl   December 31 , 2007   Oklahoma State   49   Indiana   33   48,892     20   2008 Insight Bowl   December 31 , 2008   Kansas   42   Minnesota   21   49,103     21   2009 Insight Bowl   December 31 , 2009   Iowa State   14   Minnesota   13   45,090     22   2010 Insight Bowl   December 28 , 2010   Iowa   27   # 18 Missouri   24   53,453     23   2011 Insight Bowl   December 30 , 2011   # 16 Oklahoma   31   Iowa   14   54,247     24   2012 Buffalo Wild Wings Bowl   December 29 , 2012   Michigan State   17   TCU   16   44,617     25   2013 Buffalo Wild Wings Bowl   December 28 , 2013   Kansas State   31   Michigan   14   53,284     26   2015 Cactus Bowl   January 2 , 2015   Oklahoma State   30   Washington   22   35,409     27   2016 Cactus Bowl ( January )   January 2 , 2016   West Virginia   43   Arizona State   42   39,321     28   2016 Cactus Bowl ( December )   December 27 , 2016   Baylor   31   Boise State   12   33,328     29   2017 Cactus Bowl   December 26 , 2017   Kansas State   35   UCLA   17   32,859      Games 1 -- 11 played in Tucson at Arizona Stadium   Games 12 -- 17 played in Phoenix at Bank One Ballpark ( now Chase Field )   Games 18 -- 26 played in Tempe at Sun Devil Stadium   Games 27 -- 29 played in Phoenix at Chase Field ( formerly Bank One Ballpark )    MVPs ( edit )   Two MVPs are selected for each game ; one an offensive player , the other a defensive player .        Game   MVPs   Team   Position     1989   Shane Montgomery   North Carolina State   QB     Scott Geyer   Arizona   DB     1990   Mike Pawlawski   California   QB     Robert Midgett   Wyoming   LB     1991   Vaughn Dunbar   Indiana   TB     Mark Hagen   Indiana   LB     1992   Drew Bledsoe   Washington State   QB     Kareem Leary   Utah   DB     1993   Andre Coleman   Kansas State   WR     Kenny McEntyre   Kansas State   CB     1994   Jamal Willis   BYU   RB     Broderick Simpson   Oklahoma   LB     1995   Zebbie Lethridge   Texas Tech   QB     Mickey Dalton   Air Force   CB       Ron Dayne   Wisconsin   RB     Tarek Saleh   Wisconsin   LB     1997   Trung Canidate   Arizona   RB     Jimmy Sprotte   Arizona   LB     1998   Marc Bulger   West Virginia   QB     Jeff Marriott   Missouri   DT     1999   Cortlen Johnson   Colorado   RB     Jashon Sykes   Colorado   LB     2000   Sage Rosenfels   Iowa State   QB     Reggie Hayward   Iowa State   DE     2001   James Mungro   Syracuse   RB     Clifton Smith   Syracuse   LB     2002   Brandon Miree   Pittsburgh   TB     Claude Harriott   Pittsburgh   DL     2003   Aaron Rodgers   California   QB     Ryan Gutierrez   California   FS         Game   MVPs   Team   Position       Derek Anderson   Oregon State   QB     Trent Bray   Oregon State   LB     2005   Rudy Carpenter   Arizona State   QB     Jamar Williams   Arizona State   LB     2006   Graham Harrell   Texas Tech   QB     Antonio Huffman   Texas Tech   CB     2007   Zac Robinson   Oklahoma State   QB     Donovan Woods   Oklahoma State       2008   Dezmon Briscoe   Kansas   WR     James Holt   Kansas   LB     2009   Alexander Robinson   Iowa State   RB     Christopher Lyle   Iowa State   DE       Marcus Coker   Iowa   RB     Micah Hyde   Iowa   DB     2011   Blake Bell   Oklahoma   QB     Jamell Fleming   Oklahoma   DB     2012   Le'Veon Bell   Michigan State   RB     William Gholston   Michigan State   DE     2013   Tyler Lockett   Kansas State   WR     Dante Barnett   Kansas State   DB     2015   Desmond Roland   Oklahoma State   RB     Seth Jacobs   Oklahoma State   LB     2016 ( Jan . )   Skyler Howard   West Virginia   QB     Shaq Petteway   West Virginia   LB     2016 ( Dec . )   KD Cannon   Baylor   WR     Tyrone Hunt   Baylor   DE     2017   Alex Delton   Kansas State   QB     Denzel Goolsby   Kansas State          Sportsmanship award ( edit )   The bowl awarded a sportsmanship award for the 2001 through January 2016 games .     Game   Player   Team   Position     2001   Terry Pierce   Kansas State   LB     2002   Derek Anderson   Oregon State   QB     2003   Doug Easlick   Virginia Tech   FB       Derek Curry   Notre Dame   LB     2005   Ryan Neill   Rutgers   DE     2006   Dominic Jones   Minnesota   DB     2007   Jonathan Sandberg   Indiana   OG     2008   Jack Simmons   Minnesota   TE     2009   D.J. Burris   Minnesota   OG       Tim Barnes   Missouri       2011   Tyler Nielsen   Iowa   LB     2012   Tayo Fabuluje   TCU   OT     2013   Devin Funchess   Michigan   WR     2015   Andrew Hudson   Washington   DE     2016 ( Jan . )   D.J. Foster   Arizona State   RB     Listed as `` Josh Sandberg '' on the official website .   Most appearances ( edit )   Texas is the only current Big 12 school that has not played in this bowl . Seven of the current Big 12 schools have appeared multiple times . Former Big 12 members Colorado and Missouri have appeared in the bowl , but former Big 12 members Nebraska and Texas A&amp;M have not .    Teams with multiple appearances      Rank   Team   Appearances   Record       Kansas State     3 -- 1       Minnesota     0 -- 3     T3   Arizona     2 -- 0     T3   California     2 -- 0     T3   Oklahoma State     2 -- 0     T3   Texas Tech     2 -- 0     T3   Iowa State     2 -- 0     T3   Arizona State     1 -- 1     T3   Indiana     1 -- 1     T3   Missouri     1 -- 1     T3   Oregon State     1 -- 1     T3   Pitt     1 -- 1     T3   Iowa     1 -- 1     T3   Oklahoma     1 -- 1     T3   West Virginia     1 -- 1     T3   Baylor     1 -- 1     T3   Utah     0 -- 2     T3   Wyoming     0 -- 2      Teams with a single appearance    Won : BYU , Colorado , Kansas , Michigan State , Syracuse , Washington State , Wisconsin Lost : Air Force , Boise State , Boston College , Michigan , New Mexico , North Carolina State , Notre Dame , Rutgers , TCU , UCLA , Virginia Tech , Washington   Appearances by conference ( edit )   Through the December 2017 playing , there have been 29 games ( 58 total appearances ) .     Rank   Conference   Appearances   Wins   Losses   Pct .       Big 12   16   13     . 813       Pac - 12   11   7     . 636       Big Ten   10     6   . 400     T8   ACC     0     . 000     T8   Mountain West     0     . 000     T8   Independents     0     . 000      Jump up ^ Includes appearances by teams in what was the Pac - 10 . From 1989 through 2005 , Pac - 10 teams made eight appearances and were 7 -- 1 .    Media coverage ( edit )  Main article : List of Cactus Bowl broadcasters  The Cactus Bowl has been televised by three different networks ; TBS ( 1989 -- 1991 ) , ESPN ( 1992 -- 2005 , 2010 -- present ) , and NFL Network ( 2006 -- 2009 ) .   See also ( edit )    List of college bowl games    References ( edit )    Jump up ^ `` College Bowl Game Payouts '' . statisticbrain.com. 2015 .   Jump up ^ Bolch , Ben . `` UCLA to play Kansas State in Cactus Bowl '' . LA Times . Retrieved December 3 , 2017 .   Jump up ^ McMurphy , Brett ( May 4 , 2015 ) . `` Cactus Bowl moving to Chase Field for next three seasons '' . ESPN.com .   Jump up ^ `` New bowl game seeking sponsor , TV pact '' . The Tuscaloosa News . 1988 - 08 - 13 . Retrieved 2014 - 12 - 30 .   Jump up ^ `` Insight Bowl loses its title sponsor after 15 years , '' . Sports Illustrated . Associated Press . 26 January 2012 . Retrieved 26 January 2012 .   Jump up ^ `` Buffalo Wild Wings Bowl loses sponsorship '' . azcentral. 16 June 2014 .   Jump up ^ `` TicketCity gets Cactus Bowl naming rights for Cactus Bowl in Tempe '' . Phoenix Business Journal . 2014 - 11 - 25 . Retrieved 2014 - 12 - 30 .   Jump up ^ `` Motel 6 inks naming rights deal for Cactus Bowl '' . Phoenix Business Journal . Retrieved 24 November 2015 .   Jump up ^ `` Down 31 , Texas Tech rallies for biggest bowl comeback '' . Associated Press . December 29 , 2006 . Archived from the original on 2 January 2007 . Retrieved 30 December 2006 -- via ESPN .   Jump up ^ http://scores.nbcsports.com/cfb/recap.asp?g=201712260064   ^ Jump up to : `` Game History '' . fiestabowl.org . Retrieved January 17 , 2018 .    External links ( edit )    Official website              Copper / Insight / Buffalo Wild Wings / Cactus Bowl     History &amp; conference tie - ins     History   Arizona Stadium   Bank One Ballpark   Sun Devil Stadium   Chase Field   Big 12 Conference   Pac - 12 Conference       Games     1989   1990   1991   1992   1993   1994   1995     1997   1998   1999   2000   2001   2002   2003     2005   2006   2007   2008   2009     2011   2012   2013   2015   2016   2016   2017       There was a Cactus Bowl in January and December of 2016 .               NCAA Division I FBS bowl games     College Football Playoff     Championship Game   Cotton   Fiesta   Orange   Peach   Rose   Sugar       Other bowl games     Alamo   Arizona   Armed Forces   Bahamas   Belk   Birmingham   Boca Raton   Cactus   Camellia   Camping World   Citrus   Cure   Dollar General   Famous Idaho Potato   Foster Farms   Frisco   Gasparilla   Hawaii   Heart of Dallas   Holiday   Independence   Las Vegas   Liberty   Military   Music City   New Mexico   New Orleans   Outback   Pinstripe   Quick Lane   Sun   TaxSlayer   Texas       All - Star games     East -- West Shrine Game   NFLPA Collegiate Bowl   Senior Bowl      Retrieved from `` https://en.wikipedia.org/w/index.php?title=Cactus_Bowl&amp;oldid=835444451 '' Categories :   Cactus Bowl   College football bowls   Hidden categories :   Articles which use infobox templates with no data rows           Talk                                           Contents                   About Wikipedia                                           Français   Edit links   This page was last edited on 8 April 2018 , at 19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</si>
  <si>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cactus bowl being played at</t>
  </si>
  <si>
    <t xml:space="preserve"> The Cactus Bowl is temporarily being played at its previous home of Chase Field in Phoenix while Sun Devil Stadium undergoes renovations . The renovations are being undertaken during the offseason , requiring Arizona State to close the stadium at the conclusion of football season through 2017 . During this time , the game is one of three bowl games played in baseball - specific stadiums ; the Gasparilla Bowl , played at Tropicana Field , and the Pinstripe Bowl , played at Yankee Stadium , are the others . </t>
  </si>
  <si>
    <t xml:space="preserve">Tiger Woods - wikipedia  Tiger Woods  Jump to : navigation , search    Tiger Woods     Woods in June 2014         Full name   Eldrick Tont Woods     Nickname   Tiger       ( 1975 - 12 - 30 ) December 30 , 1975 ( age 42 ) Cypress , California     Height   6 ft 1 in ( 185 cm )     Weight   185 lb ( 84 kg )     Nationality   United States     Residence   Jupiter Island , Florida     Spouse   Elin Nordegren ( 2004 -- 2010 )     Children       Career     College   Stanford University ( did not graduate )     Turned professional       Current tour ( s )   PGA Tour ( joined 1996 )     Professional wins   106     Number of wins by tour     PGA Tour   79 ( 2nd all time )     European Tour   40 ( 3rd all time )     Japan Golf Tour       Asian Tour       PGA Tour of Australasia       Other   16     Best results in major championships ( wins : 14 )     Masters Tournament   Won : 1997 , 2001 , 2002 , 2005     U.S. Open   Won : 2000 , 2002 , 2008     The Open Championship   Won : 2000 , 2005 , 2006     PGA Championship   Won : 1999 , 2000 , 2006 , 2007     Achievements and awards     PGA Tour Rookie of the Year       PGA Player of the Year   1997 , 1999 , 2000 , 2001 , 2002 , 2003 , 2005 , 2006 , 2007 , 2009 , 2013     PGA Tour Player of the Year   1997 , 1999 , 2000 , 2001 , 2002 , 2003 , 2005 , 2006 , 2007 , 2009 , 2013     PGA Tour leading money winner   1997 , 1999 , 2000 , 2001 , 2002 , 2005 , 2006 , 2007 , 2009 , 2013     Vardon Trophy   1999 , 2000 , 2001 , 2002 , 2003 , 2005 , 2007 , 2009 , 2013     Byron Nelson Award   1999 , 2000 , 2001 , 2002 , 2003 , 2005 , 2006 , 2007 , 2009     FedEx Cup Champion   2007 , 2009     ( For a full list of awards , see here )     Eldrick Tont Woods ( born December 30 , 1975 ) better known as Tiger Woods , is an American professional golfer who is among the most successful golfers of all time . He has been one of the highest - paid athletes in the world for several years .   Following an outstanding junior , college , and amateur career , Woods was 20 years old when he turned professional at the end of summer in 1996 . By the end of April 1997 , he had won three PGA Tour events in addition to his first major , the 1997 Masters . Woods won this tournament by 12 strokes in a record - breaking performance and earned $486,000 . He first reached the number one position in the world rankings in June 1997 , less than a year after turning pro . Throughout the 2000s , Woods was the dominant force in golf -- he won the 2000 U.S. Open by an incredible 15 - shot margin . He was the top - ranked golfer in the world from August 1999 to September 2004 ( 264 weeks ) and again from June 2005 to October 2010 ( 281 weeks ) .   Woods took a hiatus from professional golf from December 2009 to early April 2010 in order to focus on difficult issues in his marriage . He and his estranged wife Elin eventually divorced . His many alleged extramarital indiscretions were revealed by several women , through many worldwide media sources . This was followed by a loss of golf form , and his ranking gradually fell to a low of No. 58 in November 2011 . He ended a career - high winless streak of 107 weeks when he triumphed in the Chevron World Challenge in December 2011 . After winning the Arnold Palmer Invitational on March 25 , 2013 , he ascended to the No. 1 ranking once again , holding the top spot until May 2014 .   Woods had back surgery in April 2014 and September 2015 and has struggled since to regain his dominant form . By March 29 , 2015 , Woods had fallen to # 104 , outside of the top 100 for the first time since 1996 . In May 2016 , Woods dropped out of the world top 500 for the first time in his professional career . In July 2017 , the Official World Golf Ranking placed Woods at number 1,005 , the worst of his career and only time he has ever been out of the top 1,000 . He had ranked number one for a total of 683 weeks , more than any other player in history .   Woods has broken numerous golf records . He has been World Number One for the most consecutive weeks and for the greatest total number of weeks of any golfer . He has been awarded PGA Player of the Year a record eleven times , the Byron Nelson Award for lowest adjusted scoring average a record eight times , and has the record of leading the money list in ten different seasons . He has won 14 professional major golf championships , where he trails only Jack Nicklaus who leads with 18 , and 79 PGA Tour events , second all - time behind Sam Snead ( 82 ) . Woods leads all active golfers in career major wins and career PGA Tour wins . He is the youngest player to achieve the career Grand Slam , and the youngest and fastest to win 50 tournaments on tour . Additionally , Woods is only the second golfer ( after Nicklaus ) to have achieved a career Grand Slam three times . Woods has won 18 World Golf Championships , and won at least one of those events in each of the first 11 years after they began in 1999 . Woods and Rory McIlroy are the only golfers to win both The Silver Medal and The Gold Medal at The Open Championship .   Contents  ( hide )   1 Background and family   2 Early life and amateur golf career   3 College golf career   4 Professional career   4.1 Honors   4.2 Endorsements   4.3 Accumulated wealth   4.4 Tiger - proofing     5 Career achievements   5.1 Major championships   5.1. 1 Wins ( 14 )   5.1. 2 Results timeline   5.1. 3 Summary     5.2 World Golf Championships   5.2. 1 Wins ( 18 )   5.2. 2 Results timeline     5.3 PGA Tour career summary   5.4 Guinness Book of Records     6 Playing style   7 Equipment   8 Other ventures   8.1 Tiger Woods Foundation   8.2 Tiger Woods Design   8.3 Writings     9 Personal life   9.1 Marriage and children   9.2 Infidelity scandal and fallout   9.3 2017 arrest   9.4 Other pursuits     10 See also   11 References   12 Further reading   13 External links    Background and family  Woods and his father Earl at Fort Bragg in 2004  Woods was born in 1975 in Cypress , California , to Earl ( 1932 -- 2006 ) and Kultida `` Tida '' Woods ( b . 1944 ) . He is the only child of their marriage ; however , he does have two half - brothers , Earl Jr. ( b . 1955 ) and Kevin ( b . 1957 ) , and a half - sister , Royce ( b . 1958 ) from the 18 - year marriage of Earl Woods and his first wife , Barbara Woods Gray .   Kultida ( née Punsawad ) is originally from Thailand , where Earl had met her on a tour of duty in 1968 . She is of mixed Thai , Chinese , and Dutch ancestry . Earl was a retired lieutenant colonel and Vietnam War veteran who was mostly African American with traces of European descent . Earl 's mother Maude Carter was of light skin . Some people suggested that she had Native American and Chinese ancestry . Tiger refers to his ethnic make - up as `` Cablinasian '' ( a syllabic abbreviation he coined from Caucasian , Black , American Indian , and Asian ) .   Woods ' first name -- Eldrick -- was coined by his mother because it began with `` E '' ( for Earl ) and ended with `` K '' ( for Kultida ) . His middle name Tont is a traditional Thai name . He was nicknamed Tiger in honor of his father 's friend Col. Vuong Dang Phong , who had also been known as Tiger .   Woods ' niece , Cheyenne Woods , played for the Wake Forest University golf team and turned professional in 2012 , when she made her pro debut in the LPGA Championship .   Early Life and Amateur golf career   Woods grew up in Orange County , California . He was a child prodigy who was introduced to golf before the age of two by his athletic father , Earl Woods . Earl was a single - digit handicap amateur golfer who was also one of the earliest African - American college baseball players at Kansas State University . Tiger 's father was a member of the military and had playing privileges at the Navy golf course beside the Joint Forces Training Base in Los Alamitos , which allowed Tiger to play there . Tiger also played at the par 3 Heartwell golf course in Long Beach , as well as some of the municipals in Long Beach .   In 1978 , Tiger putted against comedian Bob Hope in a television appearance on The Mike Douglas Show . At age three , he shot a 48 over nine holes at the Navy course . At age five , he appeared in Golf Digest and on ABC 's That 's Incredible ! Before turning seven , Tiger won the Under Age 10 section of the Drive , Pitch , and Putt competition , held at the Navy Golf Course in Cypress , California . In 1984 at the age of eight , he won the 9 -- 10 boys ' event , the youngest age group available , at the Junior World Golf Championships . He first broke 80 at age eight . He went on to win the Junior World Championships six times , including four consecutive wins from 1988 to 1991 .   Woods ' father Earl wrote that Tiger first defeated him at the age of 11 years , with Earl trying his best . Earl lost to Tiger every time from then on . Woods first broke 70 on a regulation golf course at age 12 .   When Woods was 13 years old , he played in the 1989 Big I , which was his first major national junior tournament . In the final round , he was paired with pro John Daly , who was then relatively unknown . The event 's format placed a professional with each group of juniors who had qualified . Daly birdied three of the last four holes to beat Woods by only one stroke . As a young teenager , Woods first met Jack Nicklaus in Los Angeles at the Bel - Air Country Club , when Nicklaus was performing a clinic for the club 's members . Woods was part of the show , and he impressed Nicklaus and the crowd with his skills and potential . Earl Woods had researched in detail the career accomplishments of Nicklaus and had set his young son the goals of breaking those records .   Woods was 15 - years - old and a student at Western High School in Anaheim when he became the youngest - ever U.S. Junior Amateur champion ; this was a record that stood until it was broken by Jim Liu in 2010 . He was named 1991 's Southern California Amateur Player of the Year ( for the second consecutive year ) and Golf Digest Junior Amateur Player of the Year . In 1992 , he defended his title at the U.S. Junior Amateur Championship , becoming the tournament 's first two - time winner . He also competed in his first PGA Tour event , the Nissan Los Angeles Open ( he missed the 36 - hole cut ) , and was named Golf Digest Amateur Player of the Year , Golf World Player of the Year , and Golfweek National Amateur of the Year .   The following year , Woods won his third consecutive U.S. Junior Amateur Championship ; he remains the event 's only three - time winner . In 1994 , at the TPC at Sawgrass in Florida , he became the youngest - ever winner of the U.S. Amateur Championship , a record he held until 2008 when it was broken by Danny Lee . He was a member of the American team at the 1994 Eisenhower Trophy World Amateur Golf Team Championships ( winning ) , and the 1995 Walker Cup ( losing ) .   Woods graduated from Western High School at age 18 in 1994 and was voted `` Most Likely to Succeed '' among the graduating class . He had starred for the high school 's golf team under coach Don Crosby .   Woods overcame difficulties with stuttering as a boy . This was not known until he wrote a letter to a boy who contemplated suicide . Woods wrote , `` I know what it 's like to be different and to sometimes not fit in . I also stuttered as a child and I would talk to my dog and he would sit there and listen until he fell asleep . I also took a class for two years to help me , and I finally learned to stop . ''   College golf career   Woods was heavily recruited by college golf powers . He chose Stanford University , the 1994 NCAA champions . He enrolled at Stanford in the fall of 1994 under a golf scholarship and won his first collegiate event , the 40th Annual William H. Tucker Invitational , that September . He selected a major in economics and was nicknamed `` Urkel '' by college teammate Notah Begay III . In 1995 , he successfully defended his U.S. Amateur title at the Newport Country Club in Rhode Island and was voted Pac - 10 Player of the Year , NCAA First Team All - American , and Stanford 's Male Freshman of the Year ( an award that encompasses all sports ) .   At age 19 ( two years before he won the tournament ) , Woods participated in his first PGA Tour major , the 1995 Masters , and tied for 41st as the only amateur to make the cut . At age 20 in 1996 , he became the first golfer to win three consecutive U.S. Amateur titles and won the NCAA individual golf championship . In winning the silver medal as leading amateur at The Open Championship , he tied the record for an amateur aggregate score of 281 . He left college after two years in order to turn professional in the golf industry . In 1996 , Woods moved out of California , stating in 2013 that it was due to the state 's high tax rate .   Professional career  Main article : Professional golf career of Tiger Woods Woods in 2001  Woods turned pro at age 20 in August 1996 and immediately signed advertising deals with Nike , Inc. and Titleist that ranked as the most lucrative endorsement contracts in golf history at that time . Woods was named Sports Illustrated 's 1996 Sportsman of the Year and PGA Tour Rookie of the Year . In April 1997 , he won his first major , the Masters , in record - breaking fashion and became the tournament 's youngest - ever winner at age 21 . Two months later , he set the record for the fastest - ever ascent to No. 1 in the Official World Golf Rankings . After a lackluster 1998 , Woods finished the 1999 season with eight wins , including the PGA Championship , a feat not achieved since 1974 .   In 2000 , Woods won six consecutive events on the PGA Tour , which was the longest winning streak since Ben Hogan did it in 1948 . One of these was the 2000 U.S. Open , where he broke or tied nine tournament records in what Sports Illustrated called `` the greatest performance in golf history '' , in which Woods won the tournament by a record 15 - stroke margin and earned a check for $800,000 . At age 24 , he became the youngest golfer to achieve the Career Grand Slam . At the end of 2000 , Woods had won nine of the twenty PGA Tour events he entered and had broken the record for lowest scoring average in tour history . He was named the Sports Illustrated Sportsman of the Year , the only athlete to be honored twice , and was ranked by Golf Digest magazine as the twelfth - best golfer of all time .  Woods at the 2004 Ryder Cup  When Woods won the 2001 Masters . he became the only player to win four consecutive major professional golf titles , although not in the same calendar year . Following a stellar 2001 and 2002 in which Woods continued to dominate the tour , Woods ' career hit a slump . He did not win a major in 2003 or 2004 . In September 2004 , Vijay Singh overtook Woods in the Official World Golf Rankings , ending Woods ' record streak of 264 weeks at # 1 .   Woods rebounded in 2005 , winning six official PGA Tour money events and reclaiming the top spot in July after swapping it back and forth with Singh over the first half of the year .   Woods began dominantly in 2006 , winning his first two PGA tournaments but failing to capture his fifth Masters championship in April . Following the death of his father in May , Woods took a nine - week hiatus from the tour and appeared rusty upon his return at the U.S. Open at Winged Foot , where he missed the cut . However , he quickly returned to form and ended the year by winning six consecutive tour events . At the season 's close , Woods had 54 total wins that included 12 majors ; he had broken the tour records for both total wins and total majors wins over eleven seasons .  Woods at the 2006 Masters  Woods continued to excel in 2007 and the first part of 2008 . In April 2008 , he underwent knee surgery and missed the next two months on the tour . Woods returned for the 2008 U.S. Open , where he struggled the first day but ultimately claimed a dramatic sudden death victory over Rocco Mediate that followed an 18 - hole playoff , after which Mediate said , `` This guy does things that are just not normal by any stretch of the imagination , '' and Kenny Perry added , `` He beat everybody on one leg . '' Two days later , Woods announced that he would miss the remainder of the season due to additional knee surgery , and that his knee was more severely damaged than previously revealed , prompting even greater praise for his U.S. Open performance . Woods called it `` my greatest ever championship . '' In Woods ' absence , TV ratings for the remainder of the season suffered a huge decline from 2007 .  Woods competing at the third annual Earl Woods Memorial Pro-Am ( July 1 , 2009 )  Woods had a much anticipated return to golf in 2009 , when he performed well . His comeback included a spectacular performance at the 2009 Presidents Cup , but he failed to win a major , the first year since 2004 that he had not done so . After his marital infidelities came to light and received massive media coverage at the end of 2009 ( see further details below ) , Woods announced in December that he would be taking an indefinite break from competitive golf . In February 2010 , he delivered a televised apology for his behavior , saying `` I was wrong and I was foolish . '' During this period , several companies ended their endorsement deals with Woods .   Woods returned to competition in April at the 2010 Masters , where he finished tied for fourth place . He followed the Masters with poor showings at the Quail Hollow Championship and the Players Championship , where he withdrew in the fourth round , citing injury . Shortly afterward , Hank Haney , Woods ' coach since 2003 , resigned the position . In August , Woods hired Sean Foley as Haney 's replacement . The rest of the season went badly for Woods , who failed to win a single event for the first time since turning professional , while nevertheless finishing the season ranked No. 2 in the world .  Woods at a Chevron World Challenge charity event ( 2011 )  In 2011 , Woods ' performance continued to suffer ; this took its toll on his ranking . After falling to No. 7 in March , he rebounded to No. 5 with a strong showing at the 2011 Masters Tournament , where he tied for fourth place . Due to leg injuries incurred at the Masters , he missed several summer stops on the PGA Tour . In July , he fired his longtime caddy Steve Williams ( who was shocked by the dismissal ) , and replaced him on an interim basis with friend Bryon Bell . After returning to tournament play in August , Woods continued to falter , and his ranking gradually fell to a low of # 58 . He rose to No. 50 in mid-November after a third - place finish at the Emirates Australian Open , and broke his winless streak with a victory at December 's Chevron World Challenge .   Woods began his 2012 season with two tournaments ( the Abu Dhabi HSBC Golf Championship and the AT&amp;T Pebble Beach National Pro-Am ) where he started off well , but struggled on the final rounds . Following the WGC - Accenture Match Play Championship , where he was knocked out in the second round by missing a 5 - foot putt , Woods revised his putting technique and tied for second at the Honda Classic , with the lowest final round score in his PGA Tour career . After a short time off due to another leg injury , Woods won the Arnold Palmer Invitational , his first win on the PGA Tour since the BMW Championship in September 2009 . Following several dismal performances , Woods notched his 73rd PGA Tour win at the Memorial Tournament in June , tying Jack Nicklaus in second place for most PGA Tour victories ; a month later , Woods surpassed Nicklaus with a win at the AT&amp;T National , to trail only Sam Snead , who accumulated 82 PGA tour wins .   The year 2013 would bring a return of Woods ' dominating play . In January , he won the Farmers Insurance Open by four shots for his 75th PGA Tour win . It was the seventh time he had won the event . In March , he won the WGC - Cadillac Championship , also for the seventh time , giving him his 17th WGC title and first since 2009 . Two weeks later , he won the Arnold Palmer Invitational , winning the event for a record - tying 8th time . The win moved him back to the top of the world rankings . To commemorate that achievement , Nike was quick to launch an ad with the tagline `` winning takes care of everything '' .   During the 2013 Masters , Woods was up for disqualification over allegations that he took an illegal drop on the par - 5 15th hole after his third shot had bounced off of the pin and into the water . After further review , Woods was assessed a two - stroke penalty for the drop and was not disqualified . He finished tied for fourth in the event . Woods won The Players Championship in May 2013 , his second career win at the event , notching his fourth win of the 2013 season . It was the quickest he had ever gotten to four wins in any season in his professional career .   Woods had a poor showing at the 2013 U.S Open as a result of an elbow injury sustained at The Players Championship . In finishing at 13 - over-par , he recorded his worst score ever as a professional and finished 12 strokes behind winner Justin Rose . After a prolonged break because of the injury , during which he missed the Greenbrier Classic and his own AT&amp;T National , he returned at the Open Championship at Muirfield . Despite being in contention all week and beginning the final round only two strokes behind Lee Westwood , he struggled with the speed of the greens and could only manage a 3 - over-par 74 that left him tied for 6th place , five strokes behind eventual winner Phil Mickelson . Two weeks later , Woods returned to form at the WGC - Bridgestone Invitational , recording his 5th win of the season and 8th win at the event in its 15 - year history . His second round 61 matched his record score on the PGA Tour and could easily have been a 59 were it not for some short missed birdie putts on the closing holes . This gave him a seven stroke lead that he held onto for the rest of the tournament . Woods would never contend at the PGA Championship at Oak Hill Country Club and would come short of winning a major for the 5th full season , only contending in two of the four majors in 2013 .   After a slow start to 2014 , Woods injured himself during the final round of the Honda Classic and was unable to finish the tournament . He withdrew after the 13th hole , citing back pain . He subsequently competed in the WGC - Cadillac Championship but was visibly in pain during much of the last round . He was forced to skip the Arnold Palmer Invitational at the end of March 2014 , and after undergoing back surgery , he announced on April 1 that he would miss the Masters for the first time since 1994 . Woods returned at the Quicken Loans National in June , however he stated that his expectations for the week were low . He would struggle with nearly every aspect of his game and miss the cut . He next played at The Open Championship , contested at Hoylake , where Woods had won eight years prior . Woods fired a brilliant 69 in the first round to put himself in contention , but shot 77 on Friday and would eventually finish 69th . Despite his back pain , he played at the 2014 PGA Championship where he failed to make the cut . On August 25 , 2014 , Woods and his swing coach Sean Foley parted ways . In the four years under Foley , he won eight times but no majors . He had previously won eight majors with Harmon and six with Haney . Woods said there is currently no timetable to find a replacement swing coach .   On February 5 , 2015 , Woods withdrew from the Farmers Insurance Open after another back injury . Woods stated on his website that it was unrelated to his previous surgery and he would take a break from golf until his back healed . He returned for the Masters , finishing in a tie for 17th . In the final round , Woods injured his wrist after his club hit a tree root . He later stated that a bone popped out of his wrist , but he adjusted it back into place and finished the round . Woods then missed the cut at the 2015 U.S. Open and Open Championship , the first time ever Woods missed the cut at consecutive majors , finishing near the bottom of the leaderboard both times . He finished tied for 18th at the Quicken Loans National on August 2 . In late August 2015 , Woods played quite well at the Wyndham Championship finishing the tournament at 13 - under , only four strokes behind the winner , and tied for 10th place . Woods offered only a brief comment on the speculation that he was still recovering from back surgery , saying it was `` just my hip '' but offering no specifics .   Woods had back surgery on September 16 , 2015 . In late March 2016 , he announced that he would miss the Masters while he recovered from the surgery ; he had also missed the 2014 Masters due to a back problem . `` I 'm absolutely making progress , and I 'm really happy with how far I 've come , '' he explained in a statement . `` But I still have no timetable to return to competitive golf . '' However , he did attend the Masters Champions Dinner on April 5 , 2016 . For the first time in his career , he missed all four majors in one year due to problems with his back . In October 2016 , he told Charlie Rose on PBS that he still wanted to break Jack Nicklaus 's record of 18 major titles . Woods underwent back surgery in December 2016 and spent the next 15 months off the Tour . He made his return to competitive golf in the Hero World Challenge . Woods ' back problems continued to hinder him in 2017 , as he missed the cut at the Farmers Insurance Open in January , and pulled out of a European Tour event in Dubai on February 3 . On March 31 , Woods announced on his website that he would not be playing in the 2017 Masters Tournament despite being cleared to play by his doctors . Woods said that although he was happy with his rehabilitation , he did not feel `` tournament ready . '' On April 20 , Woods announced that he had undergone his fourth back surgery since 2014 to alleviate back and leg pain . Recovery time required up to six months , meaning that Woods would spend the rest of the year without playing any professional golf . Woods returned to competitive golf at the Hero World Challenge in the Bahamas . He went 69 - 68 - 75 - 68 and finished at 8 under tied for 9th . His world ranking went from 1,199 th to 668th , which was the biggest jump in the world rankings in his career .   On Sunday , March 11 , 2018 , he finished one - shot back and tied for second at the Valspar Championship in Florida .   Honors  Woods checking his drive in 2007  On August 20 , 2007 , California Governor Arnold Schwarzenegger and his wife Maria Shriver announced that Woods would be inducted into the California Hall of Fame . He was inducted December 5 , 2007 at The California Museum for History , Women and the Arts in Sacramento .   In December 2009 , Woods was named `` Athlete of the Decade '' by the Associated Press . He was named Associated Press Male Athlete of the Year a record - tying four times , and is one of only two people to be named Sports Illustrated 's Sportsman of the Year more than once .   Since his record - breaking win at the 1997 Masters , Woods became the biggest name in golf , and his presence in tournaments drew a huge fan following . Some sources have credited him for dramatically increasing prize money in golf , generating interest in new PGA tournament audiences , and for drawing the largest TV ratings in golf history .   Endorsements   During the first decade of his professional career , Woods was the world 's most marketable athlete . Shortly after his 21st birthday in 1996 , he signed endorsement deals with numerous companies , including General Motors , Titleist , General Mills , American Express , Accenture , and Nike , Inc . In 2000 , he signed a 5 - year , $105 million contract extension with Nike , which was the largest endorsement package ever signed by a professional athlete at that time . Woods ' endorsement has been credited with playing a significant role in taking the Nike Golf brand from a `` start - up '' golf company earlier in the previous decade to becoming the leading golf apparel company in the world and a major player in the equipment and golf ball market . Nike Golf is one of the fastest growing brands in the sport , with an estimated $600 million in sales . Woods has been described as the `` ultimate endorser '' for Nike Golf , frequently seen wearing Nike gear during tournaments , and even in advertisements for other products . Woods receives a percentage from the sales of Nike Golf apparel , footwear , golf equipment , golf balls , and has a building named after him at Nike 's headquarters campus in Beaverton , Oregon .  Woods visiting aircraft carrier USS George Washington ( CVN - 73 ) in the Persian Gulf before participating in the 2004 Dubai Desert Classic  In 2002 , Woods was involved in every aspect of the launch of Buick 's Rendezvous SUV . A company spokesman stated that Buick was happy with the value of Woods ' endorsement , pointing out that more than 130,000 Rendezvous vehicles were sold in 2002 and 2003 . `` That exceeded our forecasts , '' he was quoted as saying , `` It has to be in recognition of Tiger . '' In February 2004 , Buick renewed Woods ' endorsement contract for another five years , in a deal reportedly worth $40 million .   Woods collaborated closely with TAG Heuer to develop the world 's first professional golf watch , which was released in April 2005 . The lightweight , titanium - construction watch , designed to be worn while playing the game , incorporates numerous innovative design features to accommodate golf play . It is capable of absorbing up to 5,000 Gs of shock , far in excess of the forces generated by a normal golf swing . In 2006 , the TAG Heuer Professional Golf Watch won the prestigious iF product design award in the Leisure / Lifestyle category .  Woods preparing for a photo shoot in 2006  Woods also endorsed the Tiger Woods PGA Tour series of video games ; he has done so since 1999 . In 2006 , he signed a six - year contract with Electronic Arts , the series ' publisher .   In February 2007 , Woods , Roger Federer and Thierry Henry became ambassadors for the `` Gillette Champions '' marketing campaign . Gillette did not disclose financial terms , though an expert estimated the deal could total between $10 million and $20 million .   In October 2007 , Gatorade announced that Woods would have his own brand of sports drink starting in March 2008 . `` Gatorade Tiger '' was his first U.S. deal with a beverage company and his first licensing agreement . Although no figures were officially disclosed , Golfweek magazine reported that it was for five years and could pay him as much as $100 million . The company decided in early fall 2009 to discontinue the drink due to weak sales .   In July 2011 , Woods appeared on a 15 - second Japanese television commercial , endorsing a heat backrub by Kowa Co. , the Vantelin Kowa rub . Details of the deal , which was made in late 2010 , were not disclosed .   In October 2012 , it was announced that Woods had signed an exclusive endorsement deal with Fuse Science , Inc , a sports nutrition firm .   In 1997 , Woods and golfer Arnold Palmer initiated a case against Bruce Matthews ( the owner of Gotta Have It Golf , Inc . ) and others in the effort to stop the unauthorized sale of their images and alleged signatures in the memorabilia market . Matthews and associated parties counterclaimed that Woods and his company , ETW Corporation , committed several acts including breach of contract , breach of implied duty of good faith , and violations of Florida 's Deceptive and Unfair Trade Practices Act . Palmer was also named in the counter-suit , accused of violating the same licensing agreement in conjunction with his company Arnold Palmer Enterprises .   On March 12 , 2014 , a Florida jury ruled in favor of Gotta Have It on its breach of contract and other related claims , rejected ETW 's counterclaims , and awarded Gotta Have It $668,346 in damages . The award may end up exceeding $1 million once interest has been factored in , though the ruling may be appealed .   In August 2016 , Woods announced that he would be seeking a new golf equipment partner after the news of Nike 's exit from the equipment industry . It was announced on January 25 , 2017 , that he would be signing a new club deal with TaylorMade . He added the 2016 M2 driver along with the 2017 M1 fairway woods , with irons to be custom made at a later date . He also added his Scotty Cameron Newport 2 GSS , a club he used </t>
  </si>
  <si>
    <t xml:space="preserve">when did tiger woods win his last pga tournament</t>
  </si>
  <si>
    <t xml:space="preserve">   Tiger Woods     Woods in June 2014         Full name   Eldrick Tont Woods     Nickname   Tiger       ( 1975 - 12 - 30 ) December 30 , 1975 ( age 42 ) Cypress , California     Height   6 ft 1 in ( 185 cm )     Weight   185 lb ( 84 kg )     Nationality   United States     Residence   Jupiter Island , Florida     Spouse   Elin Nordegren ( 2004 -- 2010 )     Children       Career     College   Stanford University ( did not graduate )     Turned professional       Current tour ( s )   PGA Tour ( joined 1996 )     Professional wins   106     Number of wins by tour     PGA Tour   79 ( 2nd all time )     European Tour   40 ( 3rd all time )     Japan Golf Tour       Asian Tour       PGA Tour of Australasia       Other   16     Best results in major championships ( wins : 14 )     Masters Tournament   Won : 1997 , 2001 , 2002 , 2005     U.S. Open   Won : 2000 , 2002 , 2008     The Open Championship   Won : 2000 , 2005 , 2006     PGA Championship   Won : 1999 , 2000 , 2006 , 2007     Achievements and awards     PGA Tour Rookie of the Year       PGA Player of the Year   1997 , 1999 , 2000 , 2001 , 2002 , 2003 , 2005 , 2006 , 2007 , 2009 , 2013     PGA Tour Player of the Year   1997 , 1999 , 2000 , 2001 , 2002 , 2003 , 2005 , 2006 , 2007 , 2009 , 2013     PGA Tour leading money winner   1997 , 1999 , 2000 , 2001 , 2002 , 2005 , 2006 , 2007 , 2009 , 2013     Vardon Trophy   1999 , 2000 , 2001 , 2002 , 2003 , 2005 , 2007 , 2009 , 2013     Byron Nelson Award   1999 , 2000 , 2001 , 2002 , 2003 , 2005 , 2006 , 2007 , 2009     FedEx Cup Champion   2007 , 2009     ( For a full list of awards , see here )   </t>
  </si>
  <si>
    <t xml:space="preserve">Waybury inn - wikipedia  Waybury inn         Waybury Inn     U.S. National Register of Historic Places             Show map of Vermont Show map of the US Show all     Location   457 East Main Street East Middlebury , Vermont     Coordinates   43 ° 58 ′ 18.37 '' N 73 ° 05 ′ 31.35 '' W ﻿ / ﻿ 43.9717694 ° N 73.0920417 ° W ﻿ / 43.9717694 ; - 73.0920417 Coordinates : 43 ° 58 ′ 18.37 '' N 73 ° 05 ′ 31.35 '' W ﻿ / ﻿ 43.9717694 ° N 73.0920417 ° W ﻿ / 43.9717694 ; - 73.0920417     Built   1810 ( 1810 )     Architect   John Foot     NRHP reference #   83003204     Added to NRHP   July 14 , 1983     The Waybury Inn is an inn at 457 East Main Street in Middlebury , Vermont , United States . The inn was built in 1810 , and is one of the oldest operating traveler 's accommodations in the state . It was listed on the National Register of Historic Places in 1983 . It is well known for its use in exterior shots of the Newhart television series .   Contents    1 Description   2 History   3 See also   4 References   5 External links    Description ( edit )   The Waybury Inn is located on the north side of East Main Street ( Vermont Route 125 ) , near the eastern end of East Middlebury village . It is set near the westernmost end of one of the major routes across the Green Mountains in central Vermont . It consists of a 2 - 1 / 2 story gable - roofed main block , from which a two - story block extends to the rear . A single - story porch , covered by a hip roof , extends across the front and around to one side . The interior is arranged in a central hall plan , with large rooms , extending the full depth of the main block , on either side of the main staircase .   History ( edit )   The inn was built in 1810 by John Foot ( or Foote ) . The pass to the east had opened as a toll road ( turnpike ) in 1808 , and Foot sought to capitalize on the traffic it would bring . However , the turnpike never brought a high volume of traffic , and efforts to develop a glassworks in the village also cramped growth in the area . Moderate growth in the village by 1850 prompted its second proprietor , Royal Farr , to expand the premises in 1867 by adding the ell to the rear . This included a ballroom , and far added other amenities to make the inn a local site for social events . The inn was variously known as the Glen House and Green Mountain House before being given its present name in the 20th century . The only period of time in which the inn was closed was during World War II .   The inn maintains a tradition in which , in room 9 , there is an antique desk with a secret drawer . Following the lead of a couple who found the drawer in 1987 , guests often put notes in the drawer .   The Waybury Inn was also used as a location for exterior shots on the Bob Newhart television series , Newhart , from 1982 to 1990 . Featured as the Stratford Inn , the Waybury Inn was painted white for the show . After the show went off the air in 1990 , the inn was repainted green to match the nearby Green Mountains .   See also ( edit )    National Register of Historic Places listings in Addison County , Vermont    References ( edit )    ^ Jump up to : National Park Service ( 2010 - 07 - 09 ) . `` National Register Information System '' . National Register of Historic Places . National Park Service .   ^ Jump up to : Hugh Henry ( 1983 ) . `` NRHP nomination for Waybury Inn '' . National Park Service . Retrieved 2016 - 08 - 05 . with photos from 1983   Jump up ^ Douglas Anderson . `` The Secret in Room no . 9 '' . Yankee Magazine . wayburyinn.com . Retrieved 2007 - 11 - 07 .   Jump up ^ `` The Historic Waybury Inn '' . Vermont Living . Retrieved 2007 - 11 - 07 .    External links ( edit )    Waybury Inn website              U.S. National Register of Historic Places     Topics     Architectural style categories   Contributing property   Historic district   History of the National Register of Historic Places   Keeper of the Register   National Park Service   Property types       Lists by states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Lists by insular areas     American Samoa   Guam   Minor Outlying Islands   Northern Mariana Islands   Puerto Rico   Virgin Islands       Lists by associated states     Federated States of Micronesia   Marshall Islands   Palau       Other areas     District of Columbia   Morocco         Portal      Retrieved from `` https://en.wikipedia.org/w/index.php?title=Waybury_Inn&amp;oldid=751560913 '' Categories :   Hotel buildings completed in 1810   Hotels in Vermont   Middlebury , Vermont   Commercial buildings on the National Register of Historic Places in Vermont   Buildings and structures in Addison County , Vermont   National Register of Historic Places in Addison County , Vermont   Hidden categories :   Coordinates on Wikidata   All articles with unsourced statements   Articles with unsourced statements from November 2007           Talk                                           Contents                   About Wikipedia                                           Add links   This page was last edited on 26 November 2016 , at 13 : 22 ( UTC ) .         About Wikipedia                    </t>
  </si>
  <si>
    <t xml:space="preserve">where was the newhart show filmed in vermont</t>
  </si>
  <si>
    <t xml:space="preserve"> The Waybury Inn is an inn at 457 East Main Street in Middlebury , Vermont , United States . The inn was built in 1810 , and is one of the oldest operating traveler 's accommodations in the state . It was listed on the National Register of Historic Places in 1983 . It is well known for its use in exterior shots of the Newhart television series . </t>
  </si>
  <si>
    <r>
      <rPr>
        <sz val="11"/>
        <color rgb="FF000000"/>
        <rFont val="Calibri"/>
        <family val="0"/>
        <charset val="1"/>
      </rPr>
      <t xml:space="preserve">Edelweiss ( song ) - wikipedia  Edelweiss ( song )  For other uses , see Edelweiss ( disambiguation ) .    `` Edelweiss ''     Song     Published   1959     Composer ( s )   Richard Rodgers     Lyricist ( s )   Oscar Hammerstein II    The Edelweiss white flower Leontopodium alpinum  `` Edelweiss '' is a show tune from the 1959 Rodgers and Hammerstein musical The Sound of Music . It is named after the edelweiss , a white flower found high in the Alps ( Leontopodium alpinum ) . It was created for the 1959 Broadway production of The Sound of Music in the role originated by performer Theodore Bikel as a song for the character of Captain Georg Ludwig von Trapp . In the musical , Captain von Trapp and his family sing this song during the concert near the end of Act II as a statement of Austrian patriotism in the face of the pressure put upon him to join the navy of Nazi Germany following the Anschluss . It is also Captain von Trapp 's subliminal goodbye to his beloved homeland , using the flower as a symbol of his loyalty to Austria . In the 1965 film adaptation , the song is also sung by the Captain earlier in the film when he rediscovers music with his children .   Contents    1 Writing of the song   2 Film adaptation   3 Misconceptions about the song   4 Legal problems   5 Other versions   6 References    Writing of the song ( edit )   While The Sound of Music was in tryouts in Boston , Richard Rodgers felt Captain von Trapp should have a song with which he would bid farewell to the Austria he knew and loved . Rodgers and Oscar Hammerstein II decided to write an extra song that Captain von Trapp would sing in the festival concert sequence towards the end of the show . As they were writing it , they felt that this song could also utilize the guitar - playing and folk - singing talents of Theodore Bikel , who had been cast as the Captain . The Lindsay and Crouse script provides the metaphor of the simple edelweiss wildflower as a symbol of the Austria that Captain von Trapp , Maria , and their children knew would live on , in their hearts , despite the Nazi annexation of their homeland . The metaphor of this song builds on an earlier scene when Gretl presents a bouquet of edelweiss flowers to Baroness Elsa Schräder during her visit to the von Trapp household . Rodgers provided a simple , yet haunting and affecting waltz - time melody , to the simple Italian style ritornello lyric that Hammerstein wrote about the appearance of the edelweiss flower . This song turned out to be one of the most beloved songs in the musical , and also one of the best - loved songs of Rodgers and Hammerstein .   This song was the last song that Rodgers and Hammerstein wrote together ; Hammerstein was suffering from stomach cancer , which would take his life nine months after The Sound of Music opened on Broadway .   Film adaptation ( edit )   Although the stage production uses the song only during the concert sequence , Ernest Lehman 's screenplay for the film adaptation uses the song twice . Lehman created a scene that makes extra use of the song . This scene , inspired by a line in the original script by Howard Lindsay and Russel Crouse , calls for Captain von Trapp to sing this song with his children in their family drawing room and rediscover the love he felt for them , with Liesl accompanying him . Lehman also expanded the scope of the song when it was sung in the Salzburg Festival concert scene so that Captain von Trapp and his family would call the crowds to join in the song with him , in defiance of the Nazi soldiers posted around the arena .   Misconceptions about the song ( edit )   The great popularity of the song in the Anglophone world has led many of its audience to believe that it is an Austrian folk song or even the official national anthem . Austria 's official anthem is in fact `` Land der Berge , Land am Strome '' and the anthem used from 1929 until the Anschluss was `` Sei gesegnet ohne Ende . '' The edelweiss is a popular flower in Austria and was featured on the old 1 Schilling coin . It can also now be seen on the 2 cent Euro coin . The flower is protected in Austria and illegal to pick . An `` edelweiss '' is also worn as a cap emblem by certain Austrian Army and the German Gebirgsjäger ( mountain troopers ) units stationed in the nearby Bavarian Alps .   There is similar confusion about another song co-authored by Hammerstein , `` Ol ' Man River '' from the musical Show Boat , which is widely ( though erroneously ) believed to be an African - American spiritual . The similarity in misconception about the two songs has been noted by two writers , both of whom see it as tribute to Hammerstein 's talents . Alyson McLamore in her book Musical Theater : An Appreciation writes , `` The last song to be written for the show was ' Edelweiss , ' a tender little homage to a native flower of Austria that has the effect of authentic Austrian folksong , much as ' Ol ' Man River ' struck listeners as a genuine African American spiritual . '' Hugh Fordin in his biography of Oscar Hammerstein speaks of `` the ability of the authors to simulate the quality of an authentic folk song ... ' Ol ' Man River ' had the ring of a black laborer 's song ... Thirty years later , ' Edelweiss ' was widely believed to be an old Austrian song , though Oscar ... composed it for the Sound of Music . ''   Theodore Bikel , in his autobiography , Theo ( 2002 ) , wrote that , after performances , he was once approached by a native Austrian who said `` I love that Edelweiss '' , and then added with total confidence , `` of course , I have known it for a long time , but only in German ''   Legal problems ( edit )   The estates of Rodgers and Hammerstein have not authorized the use of alternative lyrics with the melody of the song , making certain commercial uses of those versions potentially infringing if they do not fall under fair use . Rodgers stated that `` he would take legal action against any group '' using the `` Edelweiss '' melody with altered words ; the current rightsholders comply with his wishes , refusing to grant permission for these commercial requests , which are `` inconsistent with the creators ' intentions '' .   Other versions ( edit )       This article may contain indiscriminate , excessive , or irrelevant examples . Please improve the article by adding more descriptive text and removing less pertinent examples . See Wikipedia 's guide to writing better articles for further suggestions . ( July 2017 )         This section needs additional citations for verification . Please help improve this article by adding citations to reliable sources . Unsourced material may be challenged and removed . ( February 2014 ) ( Learn how and when to remove this template message )      Theodore Bikel , who originated the role of Captain von Trapp on Broadway , performed `` Edelweiss '' ( as a duet with Mary Martin ) on the original cast album , and included it in his album , In My Own Lifetime - 12 Musical Theater Classics .   Playback singer Bill Lee dubbed the singing voice of Christopher Plummer as Captain von Trapp in the 1965 film adaptation , and its soundtrack album , which included this song .   Josephine Siao Fong - Fong ( </t>
    </r>
    <r>
      <rPr>
        <sz val="11"/>
        <color rgb="FF000000"/>
        <rFont val="Noto Sans CJK SC"/>
        <family val="2"/>
      </rPr>
      <t xml:space="preserve">蕭芳芳 </t>
    </r>
    <r>
      <rPr>
        <sz val="11"/>
        <color rgb="FF000000"/>
        <rFont val="Calibri"/>
        <family val="0"/>
        <charset val="1"/>
      </rPr>
      <t xml:space="preserve">) performed a Chinese ( Cantonese ) version of the song in the 1967 film , Lightning Killer ( </t>
    </r>
    <r>
      <rPr>
        <sz val="11"/>
        <color rgb="FF000000"/>
        <rFont val="Noto Sans CJK SC"/>
        <family val="2"/>
      </rPr>
      <t xml:space="preserve">閃電 煞 星 </t>
    </r>
    <r>
      <rPr>
        <sz val="11"/>
        <color rgb="FF000000"/>
        <rFont val="Calibri"/>
        <family val="0"/>
        <charset val="1"/>
      </rPr>
      <t xml:space="preserve">) .   The Belgian performer Michael Junior performed this song in his concerts .   German Americans play the same tune every year during the Oktoberfest in Hard Bargain Farm , Maryland , with the ringing of cowbells .   The Irish group Tony and The Graduates had a # 7 hit in the Irish Charts with their cover version in November 1966 .   The English singer Vince Hill reached # 2 in the UK Singles Chart in 1967 with his cover version of the track .   The Canadian singer Sarah Slean has performed the song as a singalong in her concerts .   Linda Eder recorded a version of the song for her 2003 album , Broadway , My Way .   10 - year - old Hollie Steel performed the song on the third series of Britain 's Got Talent and infamously broke down halfway through due to nerves . It is also due to be her second single , for her album , Hollie , which was released on 29 March 2010 .   Elaine Paige recorded the song for her 2006 album , Essential Musicals .   The virtual singer Megurine Luka performed this song .   The song was featured in a comedy skit performed by Seth MacFarlane and Alex Borstein on Seth and Alex 's Almost Live Comedy Show , in which Borstein opposes MacFarlane 's singing of the song , only to be jokingly reminded that , as a result of the Holocaust , Borstein 's only competition as a female Jewish comedian in Hollywood is Sarah Silverman . Borstein then joins MacFarlane in singing the song .   Bryn Terfel has included this song in his 1996 Rodgers &amp; Hammerstein album , Something Wonderful : Bryn Terfel Sings Rodgers and Hammerstein .   Julie Andrews has recorded it for her Richard Rodgers tribute album Broadway : The Music of Richard Rodgers .   Iranian singer Farhad Mehrad performed it in both Persian and English in opposition to Iran 's post-revolutionary regime , pointing the similarities between Iran after revolution and Austria under Nazi occupation .   Austrian singers , Sigrid &amp; Marina made a recording of the song in 2009 .   André Rieu has recorded his own arrangement and released it on his 2002 album , Dreaming .   Tanya Donelly , best known for her work with Throwing Muses , The Breeders , and Belly recorded a version of the song which was self - released as a free download on her website , circa 2001 .   Joe Junior and Sire Ma performed this song in their roles as Louis Kim and Kim Yee - Wah respectively in TVB 's 2012 series Bullet Brain .   The Voice Australia contestant Celia Pavey performed and recorded Edelweiss in May 2013 .   Andy Conaghan recorded the song for ABC Classics as part of a compilation album , I Dreamed a Dream : The Hit Songs of Broadway in 2013 .   Stephen Moyer performed the song as part of his role as Captain Georg von Trapp during the December 2013 television broadcast of The Sound of Music Live ! on NBC .   The song is frequently performed by The von Trapps , the real life great - grandchildren of the Captain and Maria . It appears on their A Capella album and on their 2014 album , the latter of which is also a duet with Charmian Carr ( who played Liesl in the movie ) .   A performance by Jeanette Olsson is used as the opening sequence music for the Amazon Original Series The Man in the High Castle .   Singer / songwriter Lady Gaga performed the song along with a medley of others from the musical as part of a tribute to commemorate the 50th Anniversary of the film at the 87th Academy Awards .   Victor Garber , as his character Martin Stein impersonating Max Lorenz in a Nazi - run Parisian Nightclub , sang a cover of this song in Legends of Tomorrow .    References ( edit )    Jump up ^ `` Was `` Edelweiss '' Based on an Austrian Folk Song ? `` . Entertainment Urban Legends Revealed . July 25 , 2012 . Retrieved August 12 , 2017 .   ^ Jump up to : Maslon , Lawrence ( 2007 ) , The Sound of Music Companion , New York : Simon and Schuster , p. 177 , ISBN 1416549544   Jump up ^ `` Oscar Hammerstein II Is Dead '' . The New York Times . August 23 , 1960 . p. 1 . Retrieved February 10 , 2014 .   Jump up ^ `` How Do You Solve a Problem Like Maria '' . BBC . November 7 , 2006 . Retrieved February 10 , 2014 .   Jump up ^ Meriam , Ray ( 1999 ) . Gebirgsjaeger : Germany 's Mountain Troops . World War II Arsenal. 3 . Merriam Press . p. 44 . ISBN 1576381633 .   Jump up ^ Steyn , Mark ( December 5 , 1997 ) . `` Where Have You Gone , Oscar Hammerstein ? '' . Slate . Retrieved February 10 , 2014 .   Jump up ^ McLamore , Alyson ( 2004 ) . Musical theater : an appreciation . Pearson Prentice Hall . p. 156 . ISBN 0 - 13 - 048583 - 7 .   Jump up ^ Fordin , Hugh ( 1995 ) . Getting to know him : a biography of Oscar Hammerstein II . Da Capo Press . p. 102 . ISBN 0 - 306 - 80668 - 1 .   Jump up ^ Bikel , Theodore ( 2014 ) . Theo : An Autobiography . University of Wisconsin Pres . p. 210 . ISBN 9780299300548 . Retrieved 22 July 2018 .   Jump up ^ McIntyre , Dean ( 2001 ) . `` The Edelweiss Benediction : It 's Still Against the Law '' . General Board of Discipleship . The United Methodist Church . Retrieved April 28 , 2015 .   Jump up ^ Dan Benedict , Jr. ( 1999 ) . `` '' Edelweiss '' - A Song We Love But Must Not Abuse `` . General Board of Discipleship . The United Methodist Church . Retrieved April 28 , 2015 .   Jump up ^ </t>
    </r>
    <r>
      <rPr>
        <sz val="11"/>
        <color rgb="FF000000"/>
        <rFont val="Noto Sans CJK SC"/>
        <family val="2"/>
      </rPr>
      <t xml:space="preserve">閃電 煞 星 </t>
    </r>
    <r>
      <rPr>
        <sz val="11"/>
        <color rgb="FF000000"/>
        <rFont val="Calibri"/>
        <family val="0"/>
        <charset val="1"/>
      </rPr>
      <t xml:space="preserve">( </t>
    </r>
    <r>
      <rPr>
        <sz val="11"/>
        <color rgb="FF000000"/>
        <rFont val="Noto Sans CJK SC"/>
        <family val="2"/>
      </rPr>
      <t xml:space="preserve">全 片 </t>
    </r>
    <r>
      <rPr>
        <sz val="11"/>
        <color rgb="FF000000"/>
        <rFont val="Calibri"/>
        <family val="0"/>
        <charset val="1"/>
      </rPr>
      <t xml:space="preserve">) on YouTube   Jump up ^ </t>
    </r>
    <r>
      <rPr>
        <sz val="11"/>
        <color rgb="FF000000"/>
        <rFont val="Noto Sans CJK SC"/>
        <family val="2"/>
      </rPr>
      <t xml:space="preserve">閃電 煞 星 </t>
    </r>
    <r>
      <rPr>
        <sz val="11"/>
        <color rgb="FF000000"/>
        <rFont val="Calibri"/>
        <family val="0"/>
        <charset val="1"/>
      </rPr>
      <t xml:space="preserve">( 1967 ) Lightning Killer   Jump up ^ Roberts , David ( 2006 ) . British Hit Singles &amp; Albums ( 19th ed . ) . London : Guinness World Records Limited . p. 253 . ISBN 1 - 904994 - 10 - 5 .   Jump up ^ Hollie Steel - 1st + 2nd Attempts , Britain 's Got Talent Semi-Final on YouTube   Jump up ^ `` I Dreamed A Dream -- Hit Songs of Broadway '' . ABC . Retrieved 14 June 2013 .   Jump up ^ `` ' Edelweiss ' : An American Song for Global Dystopia '' . Retrieved 24 November 2015 .   Jump up ^ `` I Ca n't Tell Which of These Two Moments From Last Night 's Legends of Tomorrow I Love More '' . io9 . Retrieved 24 October 2016 .              Rodgers and Hammerstein     Stage musicals     Oklahoma !   Carousel   Allegro   South Pacific   The King and I   Me and Juliet   Pipe Dream   Flower Drum Song   The Sound of Music   A Grand Night for Singing   State Fair   Cinderella       Productions     I Remember Mama   Annie Get Your Gun   Happy Birthday   John Loves Mary   Show Boat   The Happy Time   Burning Bright       Films     State Fair ( 1945 )   Oklahoma !   Carousel   The King and I   South Pacific   Flower Drum Song   State Fair ( 1962 )   The Sound of Music   Cinderella       Television     Cinderella   The Sound of Music Live !       Songs     `` Oh , What a Beautiful Mornin ' ''   `` The Surrey with the Fringe on Top ''   `` Kansas City ''   `` I Cai n't Say No ''   `` Many a New Day ''   `` It 's a Scandal ! It 's a Outrage ! ''   `` People Will Say We 're in Love ''   `` Lonely Room ''   `` The Farmer and the Cowman ''   `` All Er Nuthin ' ''   `` Oklahoma ''   `` If I Loved You ''   `` Soliloquy ''   `` You 'll Never Walk Alone ''   `` It Might as Well Be Spring ''   `` That 's for Me ''   `` A Fellow Needs a Girl ''   `` So Far ''   `` Some Enchanted Evening ''   `` There Is Nothing Like a Dame ''   `` Bali Ha'i ''   `` I 'm Gonna Wash That Man Right Outa My Hair ''   `` I 'm in Love with a Wonderful Guy ''   `` Younger Than Springtime ''   `` Happy Talk ''   `` You 've Got to Be Carefully Taught ''   `` I Whistle a Happy Tune ''   `` Hello , Young Lovers ''   `` Getting to Know You ''   `` We Kiss in a Shadow ''   `` Something Wonderful ''   `` I Have Dreamed ''   `` Shall We Dance ? ''   `` No Other Love ''   `` I Enjoy Being a Girl ''   `` The Sound of Music ''   `` Maria ''   `` My Favorite Things ''   `` Do - Re-Mi ''   `` Sixteen Going on Seventeen ''   `` The Lonely Goatherd ''   `` Climb Ev'ry Mountain ''   `` So Long , Farewell ''   `` No Way to Stop It ''   `` Edelweiss ''       Related articles     `` Something Good ''   The Sound of Music ( 1965 soundtrack )   The Sound of Music : Music from the NBC Television Event                 Trapp Family Singers     Members     Maria von Trapp   Georg von Trapp   Rupert   Agathe   Maria Franziska   Werner   Hedwig   Johanna   Martina   Johannes       Memoir     The Story of the Trapp Family Singers       Films     The Trapp Family ( 1956 )   The Trapp Family in America ( 1958 )   The Sound of Music ( 1965 )   The von Trapp Family : A Life of Music ( 2015 )       Other adaptations     The Sound of Music ( 1959 musical )   Trapp Family Story ( 1991 anime )   The Sound of Music Live ! ( 2013 )   The Sound of Music Live ( 2015 )       Songs     `` The Sound of Music ''   `` Maria ''   `` My Favorite Things ''   `` Do - Re-Mi ''   `` Sixteen Going on Seventeen ''   `` The Lonely Goatherd ''   `` Climb Ev'ry Mountain ''   `` No Way to Stop It ''   `` So Long , Farewell ''   `` Edelweiss ''   `` Something Good ''       Albums     The Groovy Sound of Music ( 1964 )   The Sound of Music ( 1965 soundtrack )   The Sound of Music : Music from the NBC Television Event ( 2013 )       Related     Elisabeth von Trapp   The von Trapps   Trapp Family Lodge   Trapp Family Austrian Relief      Retrieved from `` https://en.wikipedia.org/w/index.php?title=Edelweiss_(song)&amp;oldid=864844062 '' Categories :   1959 songs   Harry Connick Jr. songs   Hollie Steel songs   Songs from The Sound of Music   Songs with music by Richard Rodgers   Songs with lyrics by Oscar Hammerstein II   Songs about plants   Hidden categories :   Wikipedia articles needing clarification from January 2017   Articles with too many examples   Wikipedia articles with style issues from July 2017   Articles needing additional references from February 2014   All articles needing additional references           Talk                                           Contents                   About Wikipedia                                           Español   Français   Italiano   עברית   Nederlands   </t>
    </r>
    <r>
      <rPr>
        <sz val="11"/>
        <color rgb="FF000000"/>
        <rFont val="Noto Sans CJK SC"/>
        <family val="2"/>
      </rPr>
      <t xml:space="preserve">日本 語   </t>
    </r>
    <r>
      <rPr>
        <sz val="11"/>
        <color rgb="FF000000"/>
        <rFont val="Calibri"/>
        <family val="0"/>
        <charset val="1"/>
      </rPr>
      <t xml:space="preserve">Norsk   Svenska   Türkçe   </t>
    </r>
    <r>
      <rPr>
        <sz val="11"/>
        <color rgb="FF000000"/>
        <rFont val="Noto Sans CJK SC"/>
        <family val="2"/>
      </rPr>
      <t xml:space="preserve">中文  </t>
    </r>
    <r>
      <rPr>
        <sz val="11"/>
        <color rgb="FF000000"/>
        <rFont val="Calibri"/>
        <family val="0"/>
        <charset val="1"/>
      </rPr>
      <t xml:space="preserve">3 more  Edit links   This page was last edited on 19 October 2018 , at 21 : 09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</si>
  <si>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the song in the man in the high castle</t>
  </si>
  <si>
    <t xml:space="preserve"> A performance by Jeanette Olsson is used as the opening sequence music for the Amazon Original Series The Man in the High Castle . </t>
  </si>
  <si>
    <t xml:space="preserve">Whose Line Is It Anyway ? ( U.S. TV series ) - Wikipedia  Whose Line Is It Anyway ? ( U.S. TV series )  Jump to : navigation , search    Whose Line Is It Anyway ?         Genre   Comedy     Created by     Dan Patterson   Mark Leveson       Presented by     Drew Carey ( 1998 -- 2007 )   Aisha Tyler ( 2013 -- present )       Starring     Ryan Stiles   Colin Mochrie   Wayne Brady       Country of origin   United States     Original language ( s )   English     No. of seasons   13     No. of episodes   309 ( list of episodes )     Production     Running time   22 minutes     Production company ( s )     Hat Trick Productions   Warner Bros. Television   Angst Productions   Warner Horizon Television       Release     Original network     ABC   ABC Family   The CW       Picture format     4 : 3 ( ABC )   HDTV 1080i ( The CW )       Original release   August 5 , 1998 ( 1998 - 08 - 05 ) -- present     Chronology     Related shows   Whose Line Is It Anyway ? ( UK TV series )     External links     Website   www.cwtv.com/shows/whose-line-is-it-anyway     Whose Line Is It Anyway ? ( often known as simply Whose Line ? ) is an American improvisational comedy show , which was originally hosted by Drew Carey on ABC and ABC Family and ran from August 5 , 1998 to December 15 , 2007 . A revival of the show , hosted by Aisha Tyler , began airing on The CW on July 16 , 2013 .   The series is an official adaptation of the British show of the same name and features Ryan Stiles , Colin Mochrie , and Wayne Brady as its regular performers with the fourth seat occupied by a guest panelist . All three regulars appeared on the British series ; Stiles and Mochrie were both regulars ( first appearing in the second and third series ' respectively , and both appearing in every episode from series 8 onwards ) , with Brady a frequent guest in the final series which moved production from London to Hollywood . Ryan Stiles is the most prolific performer in the history of Whose Line ? , having made 76 appearances in the British version , and only having missed two episodes since the start of the run in the U.S. Colin Mochrie is the only performer to have appeared in every episode of the U.S. version of the show .     Contents  ( hide )   1 Format   1.1 Performers / players   1.2 Games     2 History   2.1 Hiatus   2.2 CW revival     3 Performers   3.1 Main   3.2 Recurring   3.3 Musicians   3.4 Guest stars     4 Episodes   5 Awards and nominations   6 International broadcast   7 DVD releases   8 See also   9 References   10 External links      Format ( edit )   The show consists of a panel of four performers who create characters , scenes , and songs on the spot , in the style of short - form improvisation games . Topics for the games are based on either audience suggestions or predetermined prompts from the host , who would set up a game and situation that the performers would improvise . The original host Drew Carey awarded arbitrary point values after each game , often citing a humorous reason for his decision . The points were purely decorative and served no practical purpose . He would reiterate this at the beginning of , and multiple times throughout , each episode by describing Whose Line as `` the show where everything 's made up and the points do n't matter '' . The style of the games were varied ( see Games , below ) . Some featured all four performers , while others featured fewer . Between games , the performers sat in four chairs facing the audience . The performers who were not involved in a game remained in their seats . Additionally , the show was marked by humorous banter among the performers and host .   At the conclusion of each episode , a winner or several winners were chosen arbitrarily by Carey . The `` prize '' was either to play a game with the host , or to sit out while the other performers did so . After this game during the first season of the series , credits simply rolled under the show 's theme . In the second season , the reading of the credits was performed by one or more cast members in a comedic fashion , based on a theme announced by Carey that often derived from a successful joke earlier in the show .   The show 's `` short - form '' approach to improv received criticism from some improv actors . However , performer Colin Mochrie has stated the show was never intended to be the `` be-all and end - all '' of improv , but that it was meant to introduce improv to the masses .   Performers / players ( edit )  Colin Mochrie , who joined the U.S. version after originally appearing on the UK version  Like the UK original , the U.S. version of Whose Line Is It Anyway ? features four performers , two of whom , Colin Mochrie and Ryan Stiles , were regular , permanent performers throughout the original format , having featured prominently in the UK original ; Stiles since his first appearance in its second season in 1989 , while Mochrie since his first appearance in the following season in 1991 , with both making regular appearances in the UK version from 1995 until its end in 1999 . Another performer who made frequent , recurring appearances was Wayne Brady , who appeared in the majority of episodes of the original format . During his tenure as host , Drew Carey also took part , though only in one game , after one of the performers was declared the `` winner '' and allowed to take his place at his desk in the studio ; host Aisha Tyler did not take part in games when the show was revived , but has occasionally joined in for a quick scene during the Scenes from a Hat game . As of 2017 , Mochrie is the only performer to have appeared on every single episode of the American version .   Alongside Mochrie and Stiles , other veterans of the UK series appeared on the U.S. version included Greg Proops , Brad Sherwood , and Chip Esten , with the show introducing several newcomers that took part , including Denny Siegel , Kathy Greenwood , Jeff Davis , Patrick Bristow , Stephen Colbert , Kathy Kinney , and Ian Gomez , though mainly in the early seasons of the show . Unlike the UK original , the US version occasionally featured a celebrity guest performer , such as Robin Williams , Kathy Griffin , and Whoopi Goldberg , while on other occasions , a celebrity made a guest appearance for individual games ; such appearance have included Sid Caesar , David Hasselhoff , Florence Henderson , Jerry Springer , Joanie `` Chyna '' Laurer , Richard Simmons , Katie Harman , Jayne Trcka , the Loyola Marymount University cheerleaders , Hugh Hefner , and Lassie . Celebrity guests became a regular feature of the show beginning with season 9 .   Improvisational musician Laura Hall , who appeared in the final season of the UK original , joined the original U.S. format for its entire run and performed piano and keyboards in games featuring improvisational singing by the cast members . From the second season onward , other musicians joined Hall -- Linda Taylor made frequent appearances playing guitar and occasionally keyboards , while Cece Worrall - Rubin , Anne King , Candy Girard , and Anna Wanselius appeared alongside Hall ( and sometimes also Taylor ) on occasion .   Games ( edit )   The number and type of games played varied from episode to episode , yet while some games became more common over time , others faded from use . Some games are based on traditional improv games , with a considerable number brought over from the UK original , including Scenes from a Hat , Greatest Hits , Props , Hoedown , Helping Hands , Questions Only and Party Quirks . Others were new and uniquely created for both the U.S. original format , and the revived show , with several only receiving 1 or 2 playings due to them not having been well received by audiences .     Game   Performers   Episodes Overall   Seasons     1998 -- 99   1999 -- 00   2000 -- 01   2001 -- 02   5 2002 -- 03   6   7 2005   8 2005 -- 07   9 2013   10 2014   11 2015   12 2016   13 2017     Scenes from a Hat   All / Aisha   151     15   10   16   23     11     6   18   16   18   12     Greatest Hits   Colin , Ryan , Wayne / 4th Seat   97   9   13   16   9   7   5   10   5     6   8         Props   All / Drew   93   9   13   12   7   6     9   8     9   5   6       Hoedown   All / Drew   86   9   21   14   10   7       7               Let 's Make a Date   All   82   9   14   9   7   5     8   7     6   5         Weird Newscasters   All   81   13   16   8   9   5           6   6         Duet   Wayne &amp; 4th Seat   79     8   10   6       5       7   7   15   7     Song Styles   Wayne   67   8   12   10   6   9       5     5           Helping Hands   Colin , Ryan / 4th Seat / Drew   60   6       7         6   8   7   9   5     Questions Only   All   52     10       5       5     6         Party Quirks   All   49   9   8   7     8                   Newsflash   Colin , Ryan &amp; 4th Seat   47     11       8                     Hollywood Director   All   48       5   6     7       7     7       Living Scenery   All   47       7       6   9   7   7       Sound Effects   Colin &amp; Ryan   43   5   6   7         9             Dubbing   All   35       5         5   7   5   6       World 's Worst   All / Drew / Aisha   33         5                       Film TV and Theater Styles   Colin , Ryan &amp; Wayne   32     11   9         6       Superheroes   All   32     8   8                 Three - Headed Broadway Star   Colin / Ryan / Wayne / 4th Seat / Drew   29     9   11                   Irish Drinking Song   All / Drew   28     6     7                   Film Dub   All   27                               Doo - Wop   Wayne / Colin / Ryan / 4th Seat   22                       5       Foreign Film Dub   All / Drew   21                     Scene to Rap   All   21   6     5   6       Whose Line   Colin &amp; Ryan   21     6                           Narrate   Colin &amp; Ryan   16                     Two - Line Vocabulary   Colin , Ryan &amp; 4th Seat   15                     Infomercial   Colin &amp; Ryan   15                           Themed Restaurant   All / Drew   14                       Hats   All   12                       90 Second Alphabet   All / Drew   12     6                 Moving People   Colin &amp; Ryan   12   5                     Motown Group   Wayne , 4th Seat / Colin / Ryan   12       5             Secret   Colin &amp; Ryan   12         5           If You Know What I Mean   Colin , Ryan &amp; Brad   10                     Title Sequence   All   10                       Day Time Talk Show   All   9           5       Song Titles   All   9                   Number of Words   All   9                 Stand , Sit , Lie / Bend   Colin , Ryan / 4th Seat / Drew   8                   Improbable Mission   Colin &amp; Ryan   8                       Dead Bodies   Colin , Ryan / 4th Seat / Drew   7                       Fashion Models   Colin , Ryan , 4th Seat / Wayne   7                   Sportcasters   All   7                   The Millionaire Show   All   7             Show - Stopping Number   Colin , Ryan &amp; Wayne   7                   Press Conference   All   7                 What 's in the Bag   Colin , Ryan &amp; Wayne   7     5         Multiple Personalities   Colin , Ryan &amp; Greg   6                 Action Replay   All   6                   Award Show   All   6                   Bartender   All   6                 Sideways Scene   Colin , Wayne &amp; 4th Seat   6     6       African Chant   Wayne   5                 Hey , You Down There !   Colin , Ryan &amp; 4th Seat                 Quick Change   All / Drew                 Scene With An Audience Member   Colin &amp; Ryan                   Change Letter   All             Telethon   All             Old Job - New Job   All                     Scenes Cut From a Movie   All             Scene To Music   Colin , Ryan &amp; Wayne                 Forward Rewind   All               Remote Control   All                 Funeral   Colin , Ryan &amp; Greg             Backwards Scene   Colin , Ryan &amp; Brad                 Make a Monster   All             All In One Voice   All                 Boogie Woogie Sisters   Ryan , Wayne &amp; Brad             Game Show   All             Animals   Colin , Ryan &amp; Brad           Change of Cast   All             Change Emotion   All             Ballad of   Wayne             What Are You Trying to Say ?   Colin &amp; Ryan             Survival Show   All             Good Cop / Bad Cop   Colin , Ryan &amp; Wayne             Reunion   Colin , Ryan &amp; Greg             Wedding   All             Meet the Family   All             Really Bad Hangover   All             Ice Skaters   All             Shopping From Home   Colin &amp; Ryan             Dating Profile   All             Mixed Messages   Colin , Ryan &amp; Wayne           ^ Note 1 : Played with Greg instead of Ryan for 1 episode in season 10 . Played with Brad instead of Wayne for 2 episodes in season 1 and season 12 .   ^ Note 2 : Played with Brad instead of Wayne for 2 episodes in season 12 .   ^ Note 3 : Played with Brad instead of Wayne for 3 episodes in seasons 1 and 8 .   ^ Note 4 : Played with Cedric The Entertainer instead of Gary for 1 episode in season 11 .   ^ Note 5 : Played with Drew instead of Colin for 1 episode in season 1 .   ^ Note 6 : Played with Greg instead of Ryan for 1 episode in season 10 .   ^ Note 7 : Played with Brad instead of Ryan in season 12 .   All games were designed with the same principle of those from the UK original -- to test the performers ' improvisational comedy skills , with some games requiring the host to ask the studio audience for suggestions for specific topics or situations , while at other times these suggestions were written by the production staff , or submitted by the audience in advance , and chosen from among these . In addition , the host would control a buzzer which would signify the end of most games , or the end of individual sections of rapid - fire games such as `` Scenes from a Hat '' .   In addition to being tested on their comedy skills in improv games , the performers are also tested on other skills , such as singing , dancing , or impressions , as Whose Line features a number of musical games , with one or more of the show 's resident musicians playing live backing music for them , except on a few occasions when pre-recorded music was also used . Although they had no bad feelings about these sort of games , many of the performers disliked them ; while Wayne Brady turned out to be well suited to them , having Chip Esten , Jeff Davis , Brad Sherwood and Gary Anthony Williams making frequent appearances as his duet partner , Stiles frequently expressed open disdain towards the `` Hoedown '' game , which became a bit of a running gag , while Mochrie rarely sings any lyrics , mainly preferring to deliver his lines in a spoken word fashion , much like in the UK original .   History ( edit )  The title card of seasons 1 -- 8 of Whose Line Is It Anyway ?  Whose Line Is It Anyway ? was created by Dan Patterson and Mark Leveson in 1988 as a radio show on BBC Radio 4 in the United Kingdom . This early incarnation of the show is notable as being the origin of its tradition of having the performers read the credits in an amusing style ; as it was a radio show , it was necessary for somebody to read the credits , and it was decided that it might as well be done as part of the program , rather than being done by a traditional BBC Radio announcer . This approach to reading credits was pioneered by the earlier BBC radio show I 'm Sorry , I 'll Read That Again . Indeed , the title of the show itself is a comedic riposte to another radio show , What 's My Line , merged with the title of a 1972 teleplay ( and eventual theatrical play ) Whose Life Is It Anyway ? .   The radio series lasted for six episodes , after which Channel 4 developed the franchise for television . The British television version lasted for a total of 10 seasons , with 136 episodes , all of which were hosted by Clive Anderson . Colin Mochrie and Ryan Stiles , who would later star in the U.S. version , became regular cast members in the seventh and eighth seasons .   The UK series was brought to the attention of Drew Carey , who worked with regular Whose Line ? performer Ryan Stiles , a co-star on The Drew Carey Show . Carey convinced ABC to air test episodes in the United States . The show turned into an inexpensive hit ( though less so than the British version ) , and ABC kept Carey on as host . In its first season , the show aired on Wednesday nights at 9 : 30 , right after The Drew Carey Show . It ranked 29th for the season , and averaged 13.1 million viewers per episode . The show ran on ABC for six seasons , benefiting from the low expectations of its Thursday night time slot , as ABC was not expected to mount a serious threat to what was then NBC 's longtime Thursday dominance in the Nielsen ratings . While the network would regularly premiere two new episodes in one night , there were several occurrences in which some episodes were skipped or postponed until a later date because of the airing of other new shows or specials .   The format of the American version was very similar to the British program . A major difference was Carey 's use of the game - show facade , explicitly stating at the start of each episode that `` the points do n't matter , '' and sometimes emphasizing this throughout the episodes . The difference in standards in the UK compared to U.S. prime time meant stricter censoring of both language and content on the U.S. series .   Production of the American version was canceled by ABC in 2003 because of low ratings , with already - produced episodes airing first - run into 2004 . The ABC Family cable channel , which had been airing repeats of the show since 2002 , also showed `` new '' episodes from 2005 to 2006 , formed from previously filmed but unaired performances .   Hiatus ( edit )   Following the cancellation , Drew Carey went on to create the short - lived Drew Carey 's Green Screen Show , which premiered in 2004 on the WB . The series was very similar to Whose Line ? , and featured many of the same cast . The major gimmick on that series was that the acting was done in front of a green screen , and animators later added cartoon imagery to the scenes .   Carey and several cast members also started touring North America with a live - action show called ( Drew Carey 's ) Improv All - Stars . The show was a live stage show similar to Whose Line ? , and featuring many of the same games , though also with some new ones . The live shows started in 2003 , and since 2006 , are only seen on occasion , mostly due to Carey 's current television obligations . Colin Mochrie , Brad Sherwood and Drew Carey performed at the Just for Laughs festival in Montreal as `` Improv All - Stars '' in 2003 and 2004 . Since 2005 , Mochrie and Sherwood have toured semi-regularly as An Evening With Colin and Brad .   The show was recorded on Stage 29 at Paramount Studios .   Greg Proops and Ryan Stiles presented Stiles &amp; Proops Unplanned which was a live improv comedy show based on the successful Baddiel and Skinner Unplanned format that took place at Centaur Theatre in Montreal , Canada in July 2008 . They also tour with former co-star Jeff Davis under the name Whose Live Anyway ? doing live improv . Proops appeared as Max Madigan on Nickelodeon 's True Jackson , VP , and is currently hosting Head Games on The Science Channel and was the host of `` Odd News '' segments for Yahoo ! ( now called Broken News Daily ) while Esten has made multiple appearances in various TV series including The Office , ER ( also produced by Warner Bros . ) and Big Love and guest - starred in Enlightened . In 2007 , Mochrie was host of a five - episode run of Are You Smarter Than a Canadian 5th Grader ? on Global TV in Canada .   Carey , Stiles , Brady , and Esten were all later employed by American television network CBS ; Carey succeeded Bob Barker as the host of the long - running game show The Price Is Right ( after a short stint as host of another game show , Power of 10 ) . In addition , Sherwood and Davis served as guest announcers for the 2010 - 11 season of The Price Is Right , after the departure of Rich Fields , who was eventually replaced by George Gray . Stiles appeared as a supporting character on the sitcom Two and a Half Men . Esten had a recurring role on The New Adventures of Old Christine and made a guest appearance in NCIS : Los Angeles , before moving to star in the ABC drama Nashville .   Brady had a summer variety show on ABC in 2001 , The Wayne Brady Show and then hosted a daytime talk show of the same name for two seasons , starting in September 2002 . He also was the host of Fox 's Do n't Forget the Lyrics . In 2007 , he made a guest appearance in one episode of 30 Rock , and has made several appearances on How I Met Your Mother as Barney Stinson 's homosexual brother . He also had a couple of guest appearances on Chappelle 's Show . Since October 5 , 2009 , Brady has been the host of CBS ' revival of the classic game show Let 's Make a Deal . Featuring Jonathan Mangum as announcer and Co-Host , this new iteration utilized some classic elements of improv from Whose Line , most notably Brady 's singing and comedic abilities , occasionally breaking out into spontaneous musical improv in front of or involving contestants , and not being a stipulated aspect of the particular game to be played . As of 2009 , every main Whose Line participant has hosted at least one game show except Ryan Stiles .   On November 18 , 2010 , Variety announced that Drew Carey would start a primetime improv show on GSN . The series , entitled Drew Carey 's Improv - A-Ganza , debuted on April 11 , 2011 and featured most of the Whose Line regular cast before ending in June 2011 ; Rich Fields was the announcer for the series . A second season was not ordered and the show was terminated .   On July 10 , 2012 , ABC premiered a new improv comedy series featuring several of the Whose Line alumni called Trust Us With Your Life . Some of the players included Colin Mochrie , Wayne Brady , Greg Proops , Jonathan Mangum , and Nicole Parker . However , on July 30 , after only six episodes had aired , ABC pulled the remaining episodes after its host Fred Willard was arrested on a lewd - conduct charge at the Tiki Theater , an adult movie theater in Hollywood , California .   In February 2013 , Ryan Stiles revealed in an interview that he would be returning to Los Angeles in April for a new season of Whose Line , hosted by Aisha Tyler and featuring the original cast of the U.S. version . Colin Mochrie would later confirm the revival .   CW revival ( edit )   Whose Line Is It Anyway ? returned to television , this time on The CW , with Colin Mochrie , Ryan Stiles , and Wayne Brady , and Aisha Tyler taking the role of the host . In addition to the traditional rotating fourth improv player ( often drawn from same pool of regulars that appeared on the original show ) , a new feature was that of a `` special guest '' . This fifth player would not necessarily have an improv background , but would still participate in some of the improv games .   The initial summer run was made up of twelve half - hour episodes with the three veteran players joined by a featured player , along with a different special guest for each episode who would play in some of the games .   On July 29 , 2013 , The CW announced that it had renewed the show for a 24 - episode season , airing Fridays at 8 ET / PT starting March 21 , 2014 , due to solid ratings . Illness prevented Stiles from appearing in two season 10 episodes , the first Whose Line shows he had missed in nearly 20 years , dating back to the original British series . Frequent guest Greg Proops filled in for Stiles on these occasions .   On July 18 , 2014 , The CW announced that the show will be returning for a 24 - episode eleventh season ( and third season on The CW ) which started airing on April 17 , 2015 . On August 11 , 2015 the series was renewed for a twelfth season ( fourth on The CW ) to start airing May 23 , 2016 . On October 24 , 2016 The CW renewed the show for a thirteenth season ( fifth season on The CW ) to start airing May 29 , 2017 .   Performers ( edit )   Several of the performers , including the three regulars Brady , Mochrie and Stiles , had previously appeared in the original run of Whose Line in the UK ; other performers who had made appearances in the British version are Greg Proops , Brad Sherwood , Chip Esten , Karen Maruyama and Josie Lawrence , as well as musician Laura Hall . Mochrie and Stiles have been regulars since the show started , whilst Brady became a regular from season 2 - 7 , appearing as a recurring performer in seasons 1 and 8 . Mochrie is the only performer to have appeared in every episode of the US series of Whose Line ? , appearing in all 302 episodes thus far .   The original host of the U.S. show was Drew Carey , who appeared in every episode of series 1 - 8 . Carey notably took more of an active role in the show than his predecessor Clive Anderson , as following the announcement of the `` winner '' of each show , Carey would perform a game with the other performers . After the CW revival in 2013 , Aisha Tyler took over as host , as Carey was the host of The Price is Right , which ran at the same time as Whose Line , however Carey is mentioned numerous times by Tyler and the other performers . Unlike Carey , Tyler does not perform full games with the other performers , however does occasionally interject in quick fire games such as Scenes from a Hat with her own suggestions .   Main ( edit )    Colin Mochrie -- 309 episodes   Ryan Stiles -- 307 episodes   Wayne Brady -- 299 episodes ( starring seasons 2 -- 7 , 9 -- ; recurring seasons 1 &amp; 8 )   Drew Carey ( host ) -- 219 episodes ( seasons 1 -- 8 )   Aisha Tyler ( host ) -- 90 episodes ( season 9 -- )       Recurring ( edit )    Brad Sherwood -- 66 episodes ( Seasons 1 -- 8 , 10 -- )   Greg Proops -- 65 episodes ( Seasons 1 -- 8 , 10 -- )   Charles `` Chip '' Esten -- 40 episodes ( Seasons 2 -- 8 , 13 )   Jeff Davis -- 33 episodes ( Seasons 3 -- 5 , 7 -- )   Kathy Greenwood -- 33 episodes ( Seasons 2 -- 5 , 7 -- 8 )   Gary Anthony Williams -- 17 episodes ( Seasons 9 -- )   Denny Siegel -- 14 episodes ( Seasons 1 -- 2 , 6 , 8 )   Jonathan Mangum -- 14 episodes ( Seasons 9 -- )   Heather Anne Campbell -- 9 episodes ( Seasons 9 -- 11 , 13 -- )   Keegan - Michael Key -- 8 episodes ( Seasons 9 -- 12 )   Nyima Funk -- 4 episodes ( Seasons 9 -- 10 )   Karen Maruyama -- 3 episodes ( Seasons 1 -- 2 )      Musicians ( edit )    Laura Hall -- 266 episodes   Linda Taylor -- 158 episodes   Cece Worrall -- 37 episodes   Anne King -- 10 episodes   Anna Wanselius -- 6 episodes       Guest stars ( edit )       This article needs additional citations for verification . Please help improve this article by adding citations to reliable sources . Unsourced material may be challenged and removed . ( June 2016 ) ( Learn how and when to remove this template message )        Seasons 1 -- 8    Kathy Griffin -- 4 episodes   Patrick Bristow -- 2 episodes   Stephen Colbert -- 2 episodes   Whoopi Goldberg -- 2 episodes   Ian Gomez -- 2 episodes   Josie Lawrence -- 2 episodes   Jerry Springer -- 2 episodes   Kathy Kinney ( season 1 , episode 6 )   Robin Williams ( season 3 , episode 9 )   Lassie and Sid Caesar ( season 4 , episode 15 )   Hugh Hefner , Ava Fabian , and Victoria Fuller ( season 4 , episode 24 )   Katie Harman , Miss America 2002 ( Season 5 , episode 2 )   Florence Henderson ( season 5 , episode 4 )   Joanie `` Chyna '' Laurer ( season 5 , episode 8 )   Richard Simmons ( season 5 , episode 17 )   David Hasselhoff ( Season 5 , episode 19 )   Jayne Trcka ( Season 5 , episode 21 )   Veena and Neena Bidasha ( Season 5 , episode 25 )   Undarma Darihu ( Season 5 , episode 28 )   Loyola Marymount University Cheerleaders ( Season 6 , episode 6 )   Santa Claus and Donner ( Season 8 , episode 6 )      Season 9    Lauren Cohan ( episode 1 )   Kevin McHale ( episode 2 )   Candice Accola ( episode 3 )   Kyle Richards ( episode 4 )   Mary Killman and Mariya Koroleva ( episode 5 )   Wilson Bethel ( episode 6 )   Lisa Leslie ( episode 7 )   Laila Ali ( episode 9 )   Maggie Q ( episode 10 )   Chloe Butler ( episode 11 )   Shawn Johnson ( episode 12 )      Season 10    Kat Graham ( episode 1 )   Tara Lipinski ( episode 2 )   Verne Troyer ( episode 3 )   Darren Criss ( episode 4 )   Michael Weatherly ( episode 5 )   Byambajav Ulambayar ( episode 6 )   Nolan Gould ( episode 7 )   Mircea Monroe ( episode 8 )   Jack Osbourne ( episode 10 )   Rob Gronkowski ( episode 11 )   Robbie Amell ( episode 12 )   Misha Collins ( episode 13 )   Sheryl Underwood ( episode 14 )   Mel B. ( episode 15 )   Kunal Nayyar ( episode 16 )   Padma Lakshmi ( episode 18 )   Matt Barnes ( episode 20 )   Brian Shaw ( episode 22 )   Wendi McLendon - Covey ( episode 23 )      Season 11    Cedric the Entertainer ( episode 1 )   Adelaide Kane ( episode 2 )   Jaime Camil ( episode 4 )   Scott Porter ( episode 5 )   Willie Robertson ( episode 6 )   Heather Morris ( episode 7 )   Vernon Davis ( episode 8 )   Penn &amp; Teller ( episode 10 )   Kathie Lee Gifford ( episode 11 )   Randy Couture ( episode 12 )   Gina Rodriguez ( episode 13 )   Nina Agdal ( episode 15 )   Bill Nye ( episode 17 )   Carson Kressley ( episode 19 )      Season 12    Alfonso Ribeiro ( episode 1 )   Karla Souza ( episode 3 )   Yvette Nicole Brown ( episode 4 )   Kaitlin Doubleday ( episode 5 )   Lolo Jones ( episode 6 )   Joey Fatone ( episode 8 )   Tamera Mowry ( episode 9 )   Misty May - Treanor ( episode 11 )   Lyndie Greenwood ( episode 12 )   Chris Jericho ( episode 13 )   Rachel Bloom ( episode 14 )   Lea Thompson ( episode 15 )   Katie Cassidy ( episode 16 )   Brett Dier ( episode 17 )   Emily Bett Rickards ( episode 18 )   Cheryl Hines ( episode 20 )       Season 13    Tony Hawk ( episode 1 )   The Bella Twins ( episode 2 )   Candice Patton ( episode 3 )   Malcolm Goodwin ( episode 4 )   Wil Wheaton ( episode 5 )   Kearran Giovanni ( episode 6 )   Ralph Macchio ( episode 8 )   Tony Cavalero ( episode 9 )   Jillian Michaels ( episode 10 )   Charles `` Chip '' Esten ( episode 11 )   Wanya Morris ( episode 12 )   Danielle Panabaker ( episode 13 )   Marisol Nichols ( episode 14 )    Episodes ( edit )  Main article : List of Whose Line Is It Anyway ? ( U.S. TV series ) episodes    Season   Episodes   Originally aired     First aired   Last aired   Network         20   August 5 , 1998 ( 1998 - 08 - 05 )   March 24 , 1999 ( 1999 - 03 - 24 )   ABC         39   September 16 , 1999 ( 1999 - 09 - 16 )   May 18 , 2000 ( 2000 - 05 - 18 )         39   October 12 , 2000 ( 2000 - 10 - 12 )   June 21 , 2001 ( 2001 - 06 - 21 )         31   September 6 , 2001 ( 2001 - 09 - 06 )   April 11 , 2002 ( 2002 - 04 - 11 )       5   34   September 9 , 2002 ( 2002 - 09 - 09 )   September 5 , 2003 ( 2003 - 09 - 05 )       6   10   June 24 , 2004 ( 2004 - 06 - 24 )   September 4 , 2004 ( 2004 - 09 - 04 )       7   25   January 17 , 2005 ( 2005 - 01 - 17 )   May 23 , 2005 ( 2005 - 05 - 23 )   ABC Family       8   21   October 3 , 2005 ( 2005 - 10 - 03 )   December 15 , 2007 ( 2007 - 12 - 15 )       9   12   July 16 , 2013 ( 2013 - 07 - 16 )   September 24 , 2013 ( 2013 - 09 - 24 )   The CW       10   24   March 21 , 2014 ( 2014 - 03 - 21 )   November 21 , 2014 ( 2014 - 11 - 21 )       11   20   April 17 , 2015 ( 2015 - 04 - 17 )   October 5 , 2015 ( 2015 - 10 - 05 )       12   20   May 23 , 2016 ( 2016 - 05 - 23 )   September 28 , 2016 ( 2016 - 09 - 28 )       13   TBA   May 29 , 2017 ( 2017 - 05 - 29 )   TBA     Awards and nominations ( edit )   Won :    2003 : Emmy Award for Outstanding Individual Performance in a Variety or Music Program for Wayne Brady    Nominated :    2001 : Emmy Award for ' Outstanding Individual Performance in a Variety or Music Program ' for Wayne Brady   2002 : Emmy Award for ' Outstanding Individual Performance in a Variety or Music Program ' for Wayne Brady   2002 : Emmy Award for ' Outstanding Individual Performance in a Variety or Music Program ' for Ryan Stiles    International broadcast ( edit )   The U.S. version of Whose Line ? has been broadcast in the UK , originally on Channel 4 . Challenge was the first non-terrestrial channel to broadcast the show for a brief period in 2005 . From 2007 to 2012 , 5USA aired the show .   In Canada , the show also ran on the CTV network from 1998 to 2003 , and then on The Comedy Network from 2003 onwards .   The show 's original run in Australia was on the Nine Network in an early morning time slot ; One repeated the program from 2011 . It also airs on The Comedy Channel .   In New Zealand , the show was broadcast on the Box .   From 2014 , So</t>
  </si>
  <si>
    <t xml:space="preserve">who's line is it anyway original cast</t>
  </si>
  <si>
    <t xml:space="preserve"> Like the UK original , the U.S. version of Whose Line Is It Anyway ? features four performers , two of whom , Colin Mochrie and Ryan Stiles , were regular , permanent performers throughout the original format , having featured prominently in the UK original ; Stiles since his first appearance in its second season in 1989 , while Mochrie since his first appearance in the following season in 1991 , with both making regular appearances in the UK version from 1995 until its end in 1999 . Another performer who made frequent , recurring appearances was Wayne Brady , who appeared in the majority of episodes of the original format . During his tenure as host , Drew Carey also took part , though only in one game , after one of the performers was declared the `` winner '' and allowed to take his place at his desk in the studio ; host Aisha Tyler did not take part in games when the show was revived , but has occasionally joined in for a quick scene during the Scenes from a Hat game . As of 2017 , Mochrie is the only performer to have appeared on every single episode of the American version . </t>
  </si>
  <si>
    <r>
      <rPr>
        <sz val="11"/>
        <color rgb="FF000000"/>
        <rFont val="Calibri"/>
        <family val="0"/>
        <charset val="1"/>
      </rPr>
      <t xml:space="preserve">United States Department of Education - wikipedia  United States Department of Education  Jump to : navigation , search For the earlier incarnation with the same name , established in 1867 , see Office of Education .  United States Department of Education   Seal of the U.S. Department of Education     Flag of the U.S. Department of Education     Lyndon Baines Johnson Building , Department Headquarters     Department overview     Formed   October 17 , 1979 ; 38 years ago ( 1979 - 10 - 17 )     Preceding agencies     Department of Health , Education , and Welfare   Office of Education       Jurisdiction   Federal government of the United States     Headquarters   Lyndon Baines Johnson Building 400 Maryland Avenue Southwest , Washington , D.C. , U.S. Coordinates : 38 ° 53 ′ 11.45 '' N 77 ° 1 ′ 7.86 '' W ﻿ / ﻿ 38.8865139 ° N 77.0188500 ° W ﻿ / 38.8865139 ; - 77.0188500     Employees   3912 ( 2018 )     Annual budget   $68 billion ( 2016 )     Department executives     Betsy DeVos , Secretary   Vacant , Deputy Secretary   Vacant , Under Secretary   Phillip H. Rosenfelt , Acting , General Counsel       Key document     Department of Education Organization Act       Website   www.ed.gov     The United States Department of Education ( ED or DoED ) , also referred to as the ED for ( the ) Education Department , is a Cabinet - level department of the United States government . It began operating on May 4 , 1980 , having been created after the Department of Health , Education , and Welfare was split into the Department of Education and the Department of Health and Human Services by the Department of Education Organization Act ( Public Law 96 - 88 ) , which President Jimmy Carter signed into law on October 17 , 1979 .   The Department of Education is administered by the United States Secretary of Education . It has approximately 4,400 employees and an annual budget of $68 billion ( 2016 ) . Its official abbreviation is `` ED '' ( `` DOE '' refers to the United States Department of Energy ) and is also often abbreviated informally as `` DoEd '' .     Contents  ( hide )   1 Functions   2 Budget   3 History   3.1 Establishment   3.2 Early history   3.3 Later history     4 Organization   5 See also   5.1 Related legislation     6 References   7 Further reading   8 External links      Functions ( edit )   The primary functions of the Department of Education are to `` establish policy for , administer and coordinate most federal assistance to education , collect data on US schools , and to enforce federal educational laws regarding privacy and civil rights . '' The Department of Education does not establish schools or colleges .   Unlike the systems of most other countries , education in the United States is highly decentralized , and the federal government and Department of Education are not heavily involved in determining curricula or educational standards ( with the recent exception of the No Child Left Behind Act ) . This has been left to state and local school districts . The quality of educational institutions and their degrees is maintained through an informal private process known as accreditation , over which the Department of Education has no direct public jurisdictional control .   The Department 's mission is : to promote student achievement and preparation for global competitiveness by fostering educational excellence and ensuring equal access . Aligned with this mission of ensuring equal access to education , the Department of Education is a member of the United States Interagency Council on Homelessness , and works with federal partners to ensure proper education for homeless and runaway youth in the United States .   Opposition to the Department of Education mainly stems from conservatives , who see the department as an undermining of states rights , and libertarians who believe it results in a state - imposed leveling towards the bottom and low value for taxpayers ' money .   Budget ( edit )       Pell Grants : $28.856 B ( 33.0 % )   Federal Direct Student Loan Program : $23.661 B ( 27.1 % )   Title I Grants : $14.41 B ( 16.5 % )   Special education : $12.522 B ( 14.3 % )   Other : $7.92 B ( 9.1 % )       Budget of the Department of Education for FY 2015 , showing its largest components       Education in the United States       By state and in insular areas   By subject area   History of   Issues : Finance -- Law -- Literacy -- Reform   Levels : Primary -- Secondary -- Higher   Organizations       Education portal United States portal                 For 2006 , the ED discretionary budget was $56 billion and the mandatory budget contained $23 billion . In 2009 it received additional ARRA funding of $102 billion . As of 2011 , the discretionary budget is $70 billion .   History ( edit )   Establishment ( edit )   A previous Department of Education was created in 1867 but was soon demoted to an Office in 1868 . As an agency not represented in the president 's cabinet , it quickly became a relatively minor bureau in the Department of the Interior . In 1939 , the bureau was transferred to the Federal Security Agency , where it was renamed the Office of Education . In 1953 , the Federal Security Agency was upgraded to cabinet - level status as the Department of Health , Education , and Welfare .   In 1979 , President Carter advocated for creating a cabinet - level Department of Education . Carter 's plan was to transfer most of the Department of Health , Education , and Welfare 's education - related functions to the Department of Education . Carter also planned to transfer the education - related functions of the departments of Defense , Justice , Housing and Urban Development , and Agriculture , as well as a few other federal entities . Among the federal education - related programs that were not proposed to be transferred were Headstart , the Department of Agriculture 's school lunch and nutrition programs , the Department of the Interior 's Native Americans ' education programs , and the Department of Labor 's education and training programs .   Upgrading Education to cabinet level status in 1979 was opposed by many in the Republican Party , who saw the department as unconstitutional , arguing that the Constitution does n't mention education , and deemed it an unnecessary and illegal federal bureaucratic intrusion into local affairs . However , many see the department as constitutional under the Commerce Clause , and that the funding role of the Department is constitutional under the Taxing and Spending Clause . The National Education Association supported the bill , while the American Federation of Teachers opposed it .   As of 1979 , the Office of Education had 3,000 employees and an annual budget of $12 billion . Congress appropriated to the Department of Education an annual budget of $14 billion and 17,000 employees when establishing the Department of Education . During the 1980 presidential campaign , Gov. Reagan called for the total elimination of the U.S. Department of Education , severe curtailment of bilingual education , and massive cutbacks in the federal role in education . Once in office , President Reagan significantly reduced its budget .   Early History ( edit )   The Republican Party platform of 1980 called for the elimination of the Department of Education created under Carter and President Ronald Reagan promised during the 1980 presidential election to eliminate it as a cabinet post , but he was not able to do so with a Democratic House of Representatives . In the 1982 State of the Union Address , he pledged : `` The budget plan I submit to you on Feb. 8 will realize major savings by dismantling the Department of Education . ''   By 1984 the GOP had dropped the call for elimination from its platform , and with the election of President George H.W. Bush the Republican position evolved in almost lockstep with that of the Democrats , with Goals 2000 a virtual joint effort .   After the Newt Gingrich - led `` revolution '' in 1994 had taken control of both Houses of Congress , federal control of and spending on education soared . That trend continued unabated despite the fact that the Republican Party made abolition of the Department a cornerstone of 1996 platform and campaign promises , calling it an inappropriate federal intrusion into local , state , and family affairs . The GOP platform read : `` The Federal government has no constitutional authority to be involved in school curricula or to control jobs in the market place . This is why we will abolish the Department of Education , end federal meddling in our schools , and promote family choice at all levels of learning . ''   In 2000 , the Republican Liberty Caucus passed a resolution to abolish the Department of Education . Abolition of the organization was not pursued under the George W. Bush administration , which made reform of federal education a key priority of the President 's first term . In 2008 and 2012 , presidential candidate Ron Paul campaigned in part on an opposition to the Department .   Later History ( edit )  A construction project to repair and update the building façade at the Department of Education headquarters in 2002 resulted in the installation of structures at all of the entrances to protect employees and visitors from falling debris . ED redesigned these protective structures to promote the No Child Left Behind Act . The structures were temporary and were removed in 2008 . Source : U.S. Department of Education ,  Under President George W. Bush , the Department primarily focused on elementary and secondary education , expanding its reach through the No Child Left Behind Act . The Department 's budget increased by $14 billion between 2002 and 2004 , from $46 billion to $60 billion .   On March 23 , 2007 , President George W. Bush signed into law H.R. 584 , which designates the ED Headquarters building as the Lyndon B. Johnson Department of Education Building .   On February 7 , 2017 , Representative Thomas Massie ( R - KY ) introduced H.R. 899 , a bill to abolish the department . Massie 's bill , which is one sentence long , states , `` The Department of Education shall terminate on December 31 , 2018 . ''   Organization ( edit )  Department of Education structure   Office of the Secretary ( OS )     Office of Communications and Outreach ( OCO )   Office of the General Counsel ( OGC )   Office of Inspector General   Office of Legislation and Congressional Affairs ( OLCA )   Office for Civil Rights ( OCR )   Office of Educational Technology ( OET )   Institute of Education Sciences ( IES )   National Center for Education Statistics ( NCES )   National Assessment of Educational Progress ( NAEP )   Education Resources Information Center ( ERIC )       Office of Innovation and Improvement ( OII )   Office of the Chief Financial Officer   Office of Management   Office of the Chief Information Officer   Office of Planning , Evaluation and Policy Development   Budget Service     Risk Management Service     Office of the Under Secretary ( OUS )     Office of Postsecondary Education ( OPE )   Office of Career , Technical , and Adult Education ( OCTAE )   Office of Federal Student Aid ( FSA )   President 's Advisory Board on Tribal Colleges and Universities ( WHITCU )   President 's Advisory Board on Historically Black Colleges and Universities ( WHIHBCU )     Office of the Deputy Secretary ( ODS ) / Chief Operating Officer     Office of Elementary and Secondary Education ( OESE )   Education Facilities Clearinghouse   Office of Migrant Education ( OME )   Office of Safe and Healthy Students ( OSHS )   Student Achievement and School Accountability Programs ( SASA )   White House Initiative on Asian Americans and Pacific Islanders ( AAPI )   White House Initiative on Educational Excellence for Hispanics   White House Initiative on American Indian and Alaska Native Education   White House Initiative on Educational Excellence for African Americans     Office of English Language Acquisition , Language Enhancement and Academic Achievement for Limited English Proficient Students ( OELA )   Office of Special Education and Rehabilitative Services ( OSERS )   National Institute on Disability and Rehabilitation Research ( NIDRR )   Office of Special Education Programs ( OSEP )   Rehabilitation Services Administration ( RSA )     Office of Innovation and Improvement ( OII )     Associated federal organizations     Advisory Councils and Committees   National Assessment Governing Board ( NAGB ) ( 1 )   National Advisory Council on Indian Education ( NACIE )   Federal Interagency Committee on Education ( FICE )   Advisory Commission on Accessible Instructional Materials in Postsecondary Education for Students with Disabilities   National Board for Education Sciences   National Board of the Fund for the Improvement of Postsecondary Education ( FIPSE )     Federally aided organizations     Gallaudet University   Howard University   National Technical Institute for the Deaf    See also ( edit )    Government of the United States portal   Education portal     Council for Higher Education Accreditation   Educational attainment in the United States   Free Application for Federal Student Aid   FICE code   Federal Student Aid   National Diffusion Network   School Improvement Grant   Title 34 of the Code of Federal Regulations    Related legislation ( edit )    1965 : Elementary and Secondary Education Act ( ESEA )   1965 : Higher Education Act of 1965 ( HEA ) ( Pub . L. No. 89 - 329 )   1974 : Family Educational Rights and Privacy Act ( FERPA )   1974 : Equal Educational Opportunities Act of 1974 ( EEOA )   1975 : Education for All Handicapped Children Act ( EHA ) ( Pub . L. No. 94 - 142 )   1978 : Protection of Pupil Rights Amendment   1980 : Department of Education Organization Act ( Pub . L. No. 96 - 88 )   1984 : Equal Access Act   1990 : The Jeanne Clery Disclosure of Campus Security Policy and Campus Crime Statistics Act ( Clery Act )   1994 : Improving America 's Schools Act of 1994   2001 : No Child Left Behind Act ( NCLB )   2004 : Individuals with Disabilities Education Act ( IDEA )   2005 : Higher Education Reconciliation Act of 2005 ( HERA ) ( Pub . L. No. 109 - 171 )   2006 : Carl D. Perkins Career and Technical Education Improvement Act   2007 : America COMPETES Act   2008 : Higher Education Opportunity Act ( HEOA ) ( Pub . L. No. 110 - 315 )   2009 : Race to the Top   2009 : Student Aid and Fiscal Responsibility Act   2010 : Health Care and Education Reconciliation Act of 2010   2015 : Every Student Succeeds Act ( ESSA )    References ( edit )    Jump up ^ Stratford , Michael ( January 22 , 2018 ) . `` Education Department goes into shutdown mode '' . Politico . Retrieved January 25 , 2018 .   ^ Jump up to : About ED   Jump up ^ Department of Education Organization Act As Enacted   Jump up ^ What We Do . ED.gov . Retrieved on 2013 - 07 - 17 .   Jump up ^ `` An Overview of the U.S. Department of Education , p. 2 '' . United States Department of Education . Retrieved August 25 , 2012 .   Jump up ^ `` An Overview of the U.S. Department of Education , p. 1 '' . United States Department of Education . Retrieved August 25 , 2012 .   Jump up ^ `` Department of Education Member Agency United States Interagency Council on Homelessness ( USICH ) '' . Usich.gov . Retrieved 2012 - 08 - 25 .   Jump up ^ `` Laissez - faire - learning '' . Retrieved 2012 - 06 - 28 .   Jump up ^ `` ED History '' ( PDF ) . U.S. Department of Education . 2015 - 09 - 25 . Retrieved 2017 - 02 - 28 .   ^ Jump up to : `` Overview '' . U.S. Department of Education Budget Office . 2011 - 02 - 12 . Retrieved 2011 - 03 - 27 .   Jump up ^ FY2011 Federal Budget   Jump up ^ Department of Education Act of 1867 As Enacted   Jump up ^ Chap . CLVIII. 14 Stat. 434 from `` A Century of Lawmaking for a New Nation : U.S. Congressional Documents and Debates , 1774 -- 1875 '' . Library of Congress , Law Library of Congress . Retrieved April 25 , 2012 .   ^ Jump up to : `` Department of Education Outlined '' . Pittsburgh Post-Gazette , via Google News . Associated Press . February 9 , 1979 .   Jump up ^ `` House Narrowly Passes Department of Education Bill '' . Spokane , Washington : The Spokesman - Review , via Google News . The New York Times . July 12 , 1979 .   Jump up ^ Hechinger , Fred M ( September 3 , 1979 ) . `` Federal Education Branch Is Foundering , Leaderless '' . Lexington , North Carolina : The Dispatch , via Google News . New York Times News Service .   Jump up ^ `` Education Department Created '' . The Palm Beach Post , via Google News . United Press International . October 18 , 1979 .   Jump up ^ Educational Horizons : `` The Educational Legacy of Ronald Reagan '' , Summer 2004 v. 82 n . 4 p. 256   Jump up ^ `` Online Backgrounders : The Department of Education '' . PBS . Fall 1996 . Retrieved 2005 - 07 - 26 .   ^ Jump up to : Veronique de Rugy and Marie Gryphon ( 2004 - 02 - 11 ) . `` Elimination Lost : What happened to abolishing the Department of Education ? '' . Cato Institute . Retrieved February 15 , 2017 . This article originally appeared in National Review Online on February 11 , 2004 .   Jump up ^ `` Education '' . 2007 . Retrieved 2007 - 09 - 14 .   Jump up ^ Stossel , John ( 2007 - 12 - 10 ) . `` Ron Paul Unplugged '' . ABC News . Retrieved 2008 - 01 - 30 .   Jump up ^ `` Paige Fields Team to Leave No Child Behind '' . United States Department of Education . April 11 , 2002 . Archived from the original on September 24 , 2003 .   Jump up ^ `` President Bush Signs H.R. 584 , Designates U.S. Department of Education as the Lyndon Baines Johnson Federal Building '' . Georgewbush-whitehouse.archives.gov. 2007 - 03 - 23 . Retrieved 2012 - 08 - 25 .   Jump up ^ https://massie.house.gov/newsroom/press-releases/rep-massie-introduces-bill-to-abolish-federal-department-of-education    Further reading ( edit )    Radin , Beryl A. , and Willis D. Hawley ( 1988 ) . Politics of Federal Reorganization : Creating the U.S. Department of Education , ISBN 978 - 0080339771   Heffernan , Robert V. ( 2001 ) . Cabinetmakers : Story of the Three - Year Battle to Establish the U.S. Department of Education , ISBN 978 - 0595158706    External links ( edit )       Wikimedia Commons has media related to United States Department of Education .      Official website   Department of Education in the Federal Register   ERIC Digests -- Informational digests on educational topics produced by the U.S. Department of Education before 1983 .     Works by United States Department of Education at Project Gutenberg   Works by or about United States Department of Education at Internet Archive   United States Government Manual , Department of Education              Agencies under the United States Department of Education       Headquarters : 400 Maryland Avenue SW ( Education Department Building )     Betsy Devos , Secretary of Education   Vacant , Acting Deputy Secretary of Education       Secretary of Education     Office for Civil Rights   Institute of Education Sciences         Deputy Secretary of Education     Office of Safe and Drug Free Schools   Office of Innovation and Improvement   Office of Special Education and Rehabilitative Services   Office of English Language Acquisition   Office of Elementary and Secondary Education       Under Secretary of Education     Office of Federal Student Aid   Office of Career , Technical , and Adult Education   Office of Postsecondary Education   White House Initiative on Historically Black Colleges and Universities       Programs     National Center for Education Statistics   National Library of Education   National Institute on Disability and Rehabilitation Research   Office of Migrant Education   Education Resources Information Center   National Assessment of Educational Progress       Independent organizations     Advisory Committee on Student Financial Assistance   National Institute for Literacy   National Assessment Governing Board   National Board for Education Sciences   White House Initiative on Tribal Colleges and Universities   White House Initiative on Educational Excellence for Hispanics                 Federal executive departments of the United States of America     Executive Departments     Agriculture   Commerce   Defense   Education   Energy   Health and Human Services   Homeland Security   Housing and Urban Development   Interior   Justice   Labor   State   Transportation   Treasury   Veterans Affairs       Former     Air Force   Army   Commerce and Labor   Health , Education , and Welfare   Navy   Post Office   War      Retrieved from `` https://en.wikipedia.org/w/index.php?title=United_States_Department_of_Education&amp;oldid=823664408 '' Categories :   United States Department of Education   1979 establishments in the United States   Education ministries   Government agencies established in 1979   United States federal executive departments   Hidden categories :   Coordinates not on Wikidata   Articles with Project Gutenberg links   Articles with Internet Archive links           Talk                                           Contents                   About Wikipedia                                                   Беларуская   Български   Deutsch   Eesti   Español   Euskara   فارسی   Français   </t>
    </r>
    <r>
      <rPr>
        <sz val="11"/>
        <color rgb="FF000000"/>
        <rFont val="Noto Sans CJK SC"/>
        <family val="2"/>
      </rPr>
      <t xml:space="preserve">한국어   </t>
    </r>
    <r>
      <rPr>
        <sz val="11"/>
        <color rgb="FF000000"/>
        <rFont val="Calibri"/>
        <family val="0"/>
        <charset val="1"/>
      </rPr>
      <t xml:space="preserve">Hrvatski   Ido   Bahasa Indonesia   Italiano   עברית   Latina   Lietuvių   Nederlands   </t>
    </r>
    <r>
      <rPr>
        <sz val="11"/>
        <color rgb="FF000000"/>
        <rFont val="Noto Sans CJK SC"/>
        <family val="2"/>
      </rPr>
      <t xml:space="preserve">日本 語   </t>
    </r>
    <r>
      <rPr>
        <sz val="11"/>
        <color rgb="FF000000"/>
        <rFont val="Calibri"/>
        <family val="0"/>
        <charset val="1"/>
      </rPr>
      <t xml:space="preserve">Norsk   Português   Русский   Simple English   Svenska   ไทย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2 February 2018 , at 17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</si>
  <si>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many employees does department of education have</t>
  </si>
  <si>
    <t xml:space="preserve"> The Department of Education is administered by the United States Secretary of Education . It has approximately 4,400 employees and an annual budget of $68 billion ( 2016 ) . Its official abbreviation is `` ED '' ( `` DOE '' refers to the United States Department of Energy ) and is also often abbreviated informally as `` DoEd '' . </t>
  </si>
  <si>
    <r>
      <rPr>
        <sz val="11"/>
        <color rgb="FF000000"/>
        <rFont val="Calibri"/>
        <family val="0"/>
        <charset val="1"/>
      </rPr>
      <t xml:space="preserve">Scottish Cup - wikipedia  Scottish Cup  Jump to : navigation , search  Scottish Cup       Founded   1873 ; 145 years ago ( 1873 )     Region   Scotland     Number of teams   92 ( 2015 -- 16 )     Qualifier for   UEFA Europa League     Current champions   Celtic ( 38th title )     Most successful club ( s )   Celtic ( 38 titles )     Website   scottishfa.co.uk     2017 -- 18 Scottish Cup     The Scottish Football Association Challenge Cup , commonly known as the Scottish Cup ( Scots : Scots Cup ; Scottish Gaelic : Cupa na h - Alba ) , is an annual association football knock - out cup competition for men 's football clubs in Scotland . The competition was first held in 1873 -- 74 . Entry is open to all clubs with full or associate membership of the Scottish Football Association ( SFA ) . The competition is called the William Hill Scottish Cup for sponsorship reasons .   Although it is the second oldest competition in association football history , after the FA Cup , the Scottish Cup trophy is the oldest in association football and is also the oldest national trophy in the world . It was first presented to Queen 's Park , who won the final match of the inaugural tournament in March 1874 . The current holders are Celtic , who won the tournament for a 38th time by defeating Motherwell 2 -- 0 in the 2018 final .     Contents  ( hide )   1 Format   1.1 Eligible clubs and players   1.2 Venues   1.3 European qualification     2 History   2.1 Trophy     3 Performances   3.1 By club   3.2 Domestic double and treble   3.3 Cup `` shocks ''     4 Sponsorship   5 Media coverage   6 Notes   7 See also   8 References   9 External links      Format ( edit )   The tournament starts at the beginning of the Scottish football season in August or September . The Scottish Cup Final is usually the last game of the season , taking place at the end of May . Participating teams enter the tournament at different stages depending on their league ranking . The lowest ranked clubs enter the tournament at the first round whilst the highest ranked , those that compete in the Scottish Premiership , enter at the fourth round stage .  The 2006 final between Heart of Midlothian and Gretna was decided by a penalty shoot - out .  The competition is a knock - out tournament . In each round of games the teams are paired at random , with the first team drawn listed as the home team . Every game lasts 90 minutes plus any additional stoppage time . The winner of each game advances to the next round , whilst the loser is eliminated from the tournament . If a game ends in a draw , the fixture is replayed at the home ground of the other team at a later date . If the replay also ends in a draw , 30 minutes of extra time is played followed by a penalty shoot - out if there is still no clear winner . In the semi-final and final rounds , if the game ends in a draw there is no replay ; the winner is decided either in extra time or by a penalty shoot - out .   The competition has a staggered entry system . In the 2013 -- 14 season , 36 clubs entered from the first round ; sixteen from the Highland League , three qualifying Junior clubs and seventeen other clubs affiliated with the Scottish Football Association . Scottish League Two clubs entered in the second round along with the top two clubs from the previous season 's Highland League and the winners of both the South of Scotland League and the East of Scotland League . Scottish League One and six Scottish Championship clubs started in the third round , while the remaining four Championship clubs and all 12 Scottish Premiership clubs entered in the fourth round .   Eligible clubs and players ( edit )   Any club that is a full or associate member of the Scottish Football Association ( SFA ) is entitled to compete in the tournament and qualifies automatically . Every team that plays in the Scottish Professional Football League ( SPFL ) is therefore eligible . Between 1895 and 2007 , clubs that were SFA members but not competitors in the country 's professional football leagues could only qualify for the tournament through the Scottish Qualifying Cup .  Junior club Bonnyrigg Rose ( in red ) qualified to compete by winning the SJFA East Superleague in 2012 .  Clubs that are not members of the SFA may still qualify for the tournament by winning the Highland League , Lowland League , East or South of Scotland football leagues . Clubs that are members of the Scottish Junior Football Association ( SJFA ) have been able to qualify since 2007 by winning one of the three regional Super League divisions or by winning the Scottish Junior Cup . Three junior clubs , Banks O ' Dee , Girvan and Linlithgow Rose are also SFA members and therefore qualify automatically . From 2015 , the winners of the Scottish Amateur Cup are also eligible to qualify .   Players that are registered with a competing club are eligible to play . However , players are not entitled to play for more than one club during the same tournament . Each club names eleven players and up to five substitutes before every match . In order to play in the final match , a player must have also been registered to compete in the semi-final round for the same club . If a club fields a player that is not registered to play , the club may be expelled from the tournament .   Venues ( edit )   Before the semi-final and final rounds , the venue of each match is determined when the fixtures are drawn ; the first club drawn in a fixture is named the home team and chooses the venue for the match , usually its own home ground . In the event of a game ending in a draw , the venue for the replay is the home ground of the second club drawn . The semi-final ties are played at a neutral venue ; usually Hampden Park in Glasgow . On occasions when Hampden has been unavailable , such as when it was being renovated in the late 1990s and when it was being transformed into an athletics stadium for the 2014 Commonwealth Games , the semi-finals have been hosted at Celtic Park and Ibrox Stadium , also in Glasgow .  The semi-final and final games are hosted at Hampden Park .  Hampden Park also usually hosts the final match of the tournament . The venue has hosted the majority of finals including the first in 1874 . Other venues that have hosted the final in the tournament 's early years are Hamilton Crescent , Kinning Park and Cathkin Park ; all in Glasgow . The last game of the 1896 tournament is the only final that has been hosted outside Glasgow when rivals Heart of Midlothian and Hibernian played at New Logie Green in Edinburgh . Hampden Park has held world and European records for the highest attendance , some of which were recorded at Scottish Cup games . The 1937 final played between Aberdeen and Celtic attracted a crowd of 147,365 spectators which was a world record for a national cup final and remains a European record .   European qualification ( edit )   As Scotland is a member of the Union of European Football Associations ( UEFA ) , the winner of the Scottish Cup qualifies to compete in European - wide competitions organised by UEFA . Between 1960 and 1998 , the Scottish Cup winners qualified for the UEFA Cup Winners ' Cup along with winners of other domestic cup competitions across Europe before it was abolished . The Scottish Cup winners now qualify to compete in the following season 's UEFA Europa League ( formerly known as the UEFA Cup ) . It is possible for the Scottish Cup winners to have already qualified for a UEFA competition through their league ranking in the Scottish Premiership . In this scenario , the qualification spot passes to the highest ranked team in that competition not yet qualified , rather than to the Scottish Cup runners - up . Until 2014 , the Scottish Cup runners - up qualified for European competition if the cup winners had also qualified for the Champions League .   History ( edit )  Celtic F.C. are the side with the most Scottish Cup victories . The trophy is pictured second from left , alongside the 1907 -- 08 team  The Scottish Football Association was founded in 1873 and the Scottish Cup was created as an annual competition for its members . The first Scottish Cup match took place on 18 October 1873 when Renton defeated Kilmarnock FC 2 -- 0 in the first round . In its early years the competition was dominated by Queen 's Park who won the final 10 times in the first twenty years . Vale of Leven , Dumbarton and Renton were also successful during this period . In 1885 , the record margin of victory in the tournament was recorded when Arbroath defeated Bon Accord 36 -- 0 in a first round match .   Trophy ( edit )   The Scottish Cup trophy is the oldest national trophy and also the oldest association football trophy in the world . It was made by silversmith George Edward &amp; Sons in Glasgow and has been presented to the winners of the tournament since 1874 . The solid silver trophy is 50 cm in height and weighs 2.25 kg . The original trophy is displayed at the Scottish Football Museum at Hampden Park . It is removed once each year to be cleaned and presented to the tournament winners . After the presentation ceremony , the trophy is returned to the museum . A replica of the original trophy is given to the tournament winners after the ceremony and is also used for promotional purposes .   Performances ( edit )   By club ( edit )  See also : List of Scottish Cup finals  A total of 34 clubs have appeared in the final , of whom 25 have won the competition . The most successful club in terms of wins and appearances in the final is Celtic , with 38 wins from 57 . Celtic and Rangers have finished runners - up on more occasions than any other club with 18 defeats each in the final . The most recent winner is Celtic , who defeated Motherwell 2 -- 0 in the 2018 final .   Final appearances by club   Club   Wins   Last final won   Runners - up   Last final lost   Total final appearances     Celtic   38   2018   18   2002   57     Rangers   33   2009   18   2016   52     Queen 's Park   10   1893     1900   12     Heart of Midlothian   8   2012   6     14     Aberdeen   7   1990   9   2017   16     Hibernian     2016   11   2013   14     Kilmarnock     1997   5   1960   8     Vale of Leven     1879     1890   7     St Mirren         1962   6     Clyde     1958     1949   6     Dundee United       8   2014   10     Motherwell     1991   6   2018   8     Third Lanark     1905     1936   6     Falkirk     1957     2015   5     Dunfermline Athletic     1968     2007   5     Renton     1888     1895   5     Dumbarton     1883   5   1897   6     Dundee     1910     2003   5     Airdrieonians ( 1878 )     1924     1995       East Fife     1938     1950       Greenock Morton     1922     1948       Partick Thistle     1921     1930       Inverness Caledonian Thistle     2015   --   --       St Johnstone     2014   --   --       St Bernard 's     1895   --   --       Hamilton Academical   --   --     1935       Ross County   --   --           Queen of the South   --   --     2008       Gretna   --   --     2006       Albion Rovers   --   --     1920       Raith Rovers   --   --     1913       Cambuslang   --   --     1888       Thornliebank   --   --     1880       Clydesdale   --   --     1874       Domestic double and treble ( edit )  See also : List of football clubs in Scotland by major honours won  Clubs that win the Scottish Cup can complete a domestic `` double '' by becoming Scottish league champions in the same season . Only three clubs have won both competitions in the same season . Rangers have completed the double on 18 occasions , followed by Celtic on 16 . Aberdeen achieved the feat once in 1984 . Since the creation of the Scottish League Cup in 1947 , clubs can complete a domestic treble by also winning this tournament in the same season . Rangers have achieved this on seven occasions , followed by Celtic on five . In 2018 Celtic became the first Scottish team to win consecutive domestic trebles ( `` double treble '' ) , having won the treble in both 2016 -- 17 and 2017 -- 18 .   Cup `` shocks '' ( edit )  Second - tier club Airdrieonians played in the 1995 final against top - tier Celtic .  Some clubs have become renowned for eliminating higher ranked clubs from the tournament despite being underdogs . Division Two club East Fife won the tournament in 1938 by defeating Division One club Kilmarnock , the first team from outside the top - tier of league football to win the trophy . East Fife had previously reached the final in 1927 after eliminating three higher ranked clubs in the preceding rounds . Hibernian became the second second - tier side to win the cup as they defeated Rangers , another second - tier side , in the 2016 final . Only one other club from outside the top - tier of league football has won the competition ; non-league Queen 's Park defeated Celtic in the 1893 final . Several other clubs have reached the final whilst competing outside the top - tier of league football , but were defeated in the final . These include Dumbarton , Kilmarnock , Airdrieonians , Falkirk ( twice ) , Gretna , Queen of the South and Ross County .   In the rounds before the final some notable shocks have occurred . In 1959 , Dundee were eliminated by Highland League club Fraserburgh despite having Scotland internationals in their squad . A season later , Eyemouth United reached the quarter final stage of the tournament after defeating two higher league clubs . In 1967 , Berwick Rangers eliminated defending champions Rangers in the first round . Other results regarded as shocks include Stenhousemuir 's win against Aberdeen in 1995 and Albion Rovers ' defeat of Motherwell in 2013 . Celtic 's shock defeat by Inverness Caledonian Thistle in 2000 led to the famous newspaper headline `` Super Caley go ballistic , Celtic are atrocious '' .   Sponsorship ( edit )   The Scottish Cup has been sponsored several times since the first organisation backed the tournament in 1983 . The sponsor has been able to determine the name of the competition . There have been four sponsors since 1983 as well as several name changes within the duration of each sponsorship . The competition relies on revenue earned from these agreements although it ran without a title sponsor for over 100 years until the late 1980s .  A hot air balloon showing sponsorship by William Hill .    Period   Sponsor   Name     1873 -- 1982   No sponsor   Scottish Cup     1983 -- 88   Scottish Health Education Group   Scottish Cup     1988 -- 89   No sponsor   Scottish Cup     1989 -- 2007   Tennent Caledonian Breweries   Tennent 's Scottish Cup     2008 -- 10   Scottish Government   Homecoming Scottish Cup in 2008 -- 09 and the Active Nation Scottish Cup in 2009 -- 10     2010 -- 12   No sponsor   Scottish Cup     2012 -- present   William Hill   William Hill Scottish Cup     The Scottish Health Education Group was the first organisation to sponsor the Scottish Cup in 1983 with the largest sponsorship package in Scottish football at the time , worth around £ 200,000 . The partnership was praised for the promotion of a healthy lifestyle linked with football . The deal ended in 1989 when Tennent Caledonian Breweries won the sponsorship rights . Tennent 's association with the tournament raised the debate about alcohol sponsorship within sports following the riots at the 1980 Scottish Cup Final which resulted in the sale of alcohol being banned at Scottish sporting events . Despite this controversy , the partnership was largely successful and lasted 18 years until 2007 . The SFA received around £ 25 million over the duration of the sponsorship deal . The Scottish Government in association with businessman Willie Haughey sponsored the Scottish Cup between 2008 and 2010 . The 2008 -- 09 competition was known as the Homecoming Scottish Cup to promote Scotland 's year of homecoming and tourism . The 2009 -- 10 competition was known the Active Nation Scottish Cup to promote a healthy living through football . Carling was an additional sponsor between 2010 and 2014 as the competition 's official beer . The current title sponsor is bookmaker William Hill .   Media coverage ( edit )   Scottish Cup matches are currently broadcast live by both BBC Sport Scotland in Scotland and Sky Sports across the rest of the United Kingdom and also into Ireland .     Free / Pay TV   Broadcaster   Live Matches   Replays   Highlights     Pay   Sky Sports   Up to 9   Yes - first pick   Yes     Free   BBC Scotland   At least 5 ; up to 8   Yes - second pick   Yes     BBC Radio Scotland provide radio coverage including several full live commentaries with additional commentaries broadcast on Radio Scotland 's local frequencies . Radio broadcasting rights are also held by BBC Radio nan Gàidheal and BBC Radio 5 Live also carry some games .   The Scottish FA sells overseas rights separately from their domestic contract . In Australia , the Scottish Cup is broadcast exclusively by Setanta Sports Australia . Premium Sports hold the rights for the United States , Canada and the Caribbean . In the United States , the tournament is broadcast by GOL TV .   The Scottish Cup Final is one of several events reserved for live broadcast in Scotland terrestrial television under the Ofcom Code on Sports and Other Listed and Designated Events .   Notes ( edit )    Jump up ^ Tallies includes the appearance of Celtic and Rangers in the 1909 final , although neither club was declared the winner or runner - up .   Jump up ^ The Scottish Football League was founded in 1890 , seventeen years after the Scottish Cup , so all competitors between 1873 and 1890 were technically non-league .    See also ( edit )    List of Scottish Cup winning managers   Football records in Scotland    References ( edit )    ^ Jump up to : Rules of the Scottish Football Association Challenge Cup , Scottish Football Association . Retrieved 2 September 2014 .   Jump up ^ Scottish Cup , Scottish Football Association . Retrieved 2 September 2014 .   Jump up ^ Football - Scottish Cup , bbc.co.uk . BBC News . Retrieved 2 September 2014 .   ^ Jump up to : Archives - The Cup , Scottish Football Association . Retrieved 2 September 2014 .   Jump up ^ William Hill Becomes Title Sponsor Of The Scottish Cup , williamhill.com . William Hill plc. 25 August 2011 . Retrieved 2 September 2014 .   Jump up ^ William Hill Extend Scottish Cup Sponsorship Until 2016 , williamhillplc.com . William Hill plc. 20 May 2013 . Retrieved 2 September 2014 .   ^ Jump up to : William Hill Scottish Cup , 2014 - 15 Season , scottishfa.co.uk . Scottish Football Association . Retrieved 5 June 2015 .   Jump up ^ William Hill Scottish Cup Format &amp; Composition 2014 - 15 , scottishfa.co.uk . Scottish Football Association . Retrieved 5 June 2015 .   ^ Jump up to : `` William Hill Scottish Cup Competition 2013 - 14 '' ( PDF ) . www.scottishfa.co.uk . Scottish Football Association . Retrieved 26 December 2013 .   ^ Jump up to : Junior clubs enter Scottish Cup , news.bbc.co.uk . BBC Sport. 1 June 2007 . Retrieved 3 May 2015 .   Jump up ^ `` Amateur champs ca n't wait to make Scottish Cup history '' . Scottish Football Association . 30 June 2015 . Retrieved 26 August 2015 .   Jump up ^ Buckie reinstated in Scottish Cup after East Stirlingshire expulsion , sport.stv.tv . STV Sport. 27 January 2011 . Retrieved 5 June 2015 .   ^ Jump up to : Celtic Park and Ibrox announced as Scottish Cup venues , www.scottishfa.co.uk . Scottish Football Association . 30 October 2013 . Retrieved 5 September 2014 .   Jump up ^ SFA defends early decision on Scottish Cup venues , www.scotsman.com . The Scotsman. 31 October 2013 . Retrieved 5 September 2014 .   Jump up ^ Logie Green : the final Edinburgh did n't want , scotsman.com , The Scotsman. 31 March 2006 . Retrieved 2 May 2015 .   Jump up ^ On this day -- 17th April 1937 , scottishfootballmuseum.org.uk . Scottish Football Museum . 17 April 2015 . Retrieved 2 May 2015 .   Jump up ^ UEFA Cup Winners ' Cup - Competition format Archived 2 May 2013 at the Wayback Machine. , uefa.com . UEFA. 13 July 2005 . Retrieved 2 May 2015 .   Jump up ^ Regulations for the UEFA Europa League 2015 - 18 Cycle , uefa.com . UEFA. 20 September 2013 . Retrieved 2 May 2015 .   Jump up ^ Strategic talks in Dubrovnik , uefa.org . UEFA . Retrieved 2 May 2015 .   ^ Jump up to : `` New approach broadens Europa League appeal '' . www.uefa.com . UEFA. 29 August 2014 . Retrieved 9 June 2015 .   Jump up ^ Brief History of the Scottish FA , scottishfa.co.uk . Scottish Football Association . Archived from the original on 1 July 2008 . Retrieved 25 May 2015 .   Jump up ^ The Scottish Cup - Then and Now , scottishfa.co.uk . Scottish Football Association . Archived from the original on 27 June 2008 . Retrieved 25 May 2015 .   ^ Jump up to : Tennent 's Scottish Cup Previous Winners , scottishfa.co.uk . Scottish Football Association . Archived from the original on 27 June 2008 . Retrieved 25 May 2015 .   Jump up ^ Oldest Association football trophy , guinnessworldrecords.com . Guinness World Records . Retrieved 2 September 2014 .   ^ Jump up to : After 137 years , it 's official : Scottish Cup is world football 's oldest trophy , scotsman.com . The Scotsman. 4 July 2011 . Retrieved 9 June 2015 .   ^ Jump up to : `` Replica Scottish Cup damaged in Inverness '' . BBC News . BBC . 22 May 2015 . Retrieved 22 May 2015 .   Jump up ^ Scottish Cup named oldest national football trophy , eveningtimes.co.uk . Evening Times . 5 July 2011 . Retrieved 9 June 2015 .   Jump up ^ The Scottish Cup Preparation for the Final , scottishfootballmuseum.org.uk . Scottish Football Museum . 29 May 2015 . Retrieved 2 June 2015 .   Jump up ^ `` Inverness Caledonian Thistle win 2015 Scottish Cup '' . www.scottishfa.co.uk . Scottish Football Association . 30 May 2015 . Retrieved 30 May 2015 .   ^ Jump up to : Scottish FA Cup Honours , statto.com . Retrieved 5 September 2014 .   Jump up ^ `` Why no one won the Scottish Cup in 1909 '' . The Guardian . 27 March 2007 . Retrieved 8 June 2015 .   ^ Jump up to : Doing the Double ! - Total Number of Domestic Doubles , rsssf.com . RSSSF . Retrieved 5 June 2015 .   Jump up ^ Scottish Cup Shocks , londonhearts.com . London Hearts Supporters ' Clubs . Retrieved 16 May 2015 .   ^ Jump up to : The 10 greatest shocks in the Scottish Cup , scotsman.com . The Scotsman. 12 January 2008 . Retrieved 5 May 2015 .   Jump up ^ Dundee Football Club - History , dundeefc.co.uk . Dundee F.C. Retrieved 16 May 2015 .   Jump up ^ Eyemouth United 's celebrated Scottish Cup quarter final spot , berwickshirenews.co.uk . The Berwickshire News . 10 March 2010 . Retrieved 16 May 2015 .   Jump up ^ Great Scottish Cup Shocks , bbc.co.uk . BBC Sport. 10 April 2010 . Retrieved 5 May 2015 .   Jump up ^ Albion Rovers 1 - 0 Motherwell , bbc.co.uk . BBC Sport. 30 November 2013 . Retrieved 26 November 2014 .   ^ Jump up to : Super Caley dream realistic ? , news.bbc.co.uk . BBC Sport. 22 March 2003 . Retrieved 16 May 2015 .   ^ Jump up to : The end of a lovely relationship as Tennent 's tie - up with SFA is canned , scotsman.com . The Scotsman. 25 May 2010 . Retrieved 28 May 2015 .   ^ Jump up to : Health row as Tennent 's win the Cup , The Herald . 29 July 1989 .   Jump up ^ `` Smith admits Scottish Cup subsidy '' . BBC Sport. 4 September 2008 . Retrieved 11 January 2008 .   ^ Jump up to : `` Homecoming Scottish Cup Unveiled '' . BBC Sport. 14 October 2008 . Retrieved 11 January 2008 .   ^ Jump up to : `` Scottish Cup given new branding '' . BBC Sport. 21 September 2009 . Retrieved 21 September 2009 .   ^ Jump up to : `` Cup News : Scottish Football Association : The Scottish FA '' . Scottish FA. 25 August 2011 . Retrieved 25 August 2011 .   Jump up ^ `` Scottish FA announce multi-sponsorship deal with William Hill '' . Scottish FA. 29 October 2015 . Retrieved 29 October 2015 .   Jump up ^ Health Group 's £ 200,000 Scottish Cup boost . The Glasgow Herald . 23 October 1982 .   Jump up ^ `` Scottish FA secures four - year Carling sponsorship deal '' . BBC Sport. 21 July 2010 . Retrieved 21 July 2010 .   ^ Jump up to : `` TV rights boost for Scottish FA '' . BBC Sport. 6 August 2008 . Retrieved 10 May 2012 .   Jump up ^ `` About us '' . GolTV . Retrieved 7 March 2017 .   Jump up ^ `` Code on Sports and Other Listed and Designated Events '' ( PDF ) . Ofcom . Retrieved 7 March 2017 .   Jump up ^ `` TV Schdule '' . GolTV . Retrieved 7 March 2017 .    External links ( edit )       Wikimedia Commons has media related to Scottish Cup .      Tournament home page   The Scottish Cup at the Scottish FA website   The Scottish Cup Archive at the Scottish FA website   The Scottish Cup Final Archive at the Scottish FA website              Scottish Cup     Seasons     1873 -- 74   1874 -- 75   1875 -- 76   1876 -- 77   1877 -- 78   1878 -- 79   1879 -- 80   1880 -- 81   1881 -- 82   1882 -- 83   1883 -- 84   1884 -- 85   1885 -- 86   1886 -- 87   1887 -- 88   1888 -- 89   1889 -- 90   1890 -- 91   1891 -- 92   1892 -- 93   1893 -- 94   1894 -- 95   1895 -- 96   1896 -- 97   1897 -- 98   1898 -- 99   1899 -- 00   1900 -- 01   1901 -- 02   1902 -- 03   1903 -- 04   1904 -- 05   1905 -- 06   1906 -- 07   1907 -- 08   1908 -- 09   1909 -- 10   1910 -- 11   1911 -- 12   1912 -- 13   1913 -- 14   1919 -- 20   1920 -- 21   1921 -- 22   1922 -- 23   1923 -- 24   1924 -- 25   1925 -- 26   1926 -- 27   1927 -- 28   1928 -- 29   1929 -- 30   1930 -- 31   1931 -- 32   1932 -- 33   1933 -- 34   1934 -- 35   1935 -- 36   1936 -- 37   1937 -- 38   1938 -- 39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1999 -- 00   2000 -- 01   2001 -- 02   2002 -- 03   2003 -- 04   2004 -- 05   2005 -- 06   2006 -- 07   2007 -- 08   2008 -- 09   2009 -- 10   2010 -- 11   2011 -- 12   2012 -- 13   2013 -- 14   2014 -- 15   2015 -- 16   2016 -- 17   2017 -- 18       Finals     1874   1875   1876   1877   1878   1879   1880   1881   1882   1883   1884   1885   1886   1887   1888   1889   1890   1891   1892   1893   1894   1895   1896   1897   1898   1899   1900   1901   1902   1903   1904   1905   1906   1907   1908   1909   1910   1911   1912   1913   1914   1920   1921   1922   1923   1924   1925   1926   1927   1928   1929   1930   1931   1932   1933   1934   1935   1936   1937   1938   1939   1947   1948   1949   1950   1951   1952   1953   1954   1955   1956   1957   1958   1959   1960   1961   1962   1963   1964   1965   1966   1967   1968   1969   1970   1971   1972   1973       1976   1977   1978   1979   1980   1981   1982     1984   1985   1986         1990   1991             1997   1998                                       2017   2018         List of finals   Winning managers                 Men 's football in Scotland       SFA   PFA Scotland       Overview     League system   Clubs   Venues   Champions   Second tier winners   Third tier winners   Fourth tier winners   Honours won   Managers       National teams     Scotland     U-21   U-20   U-19   U-17   U-16     Scottish League   Semi-Pro       League system     SPFL   Premiership   Championship   League One   League Two   Development     Highland   Lowland   East of Scotland   South of Scotland   North Caledonian       Cup competitions     Scottish Cup ( finals )   League Cup ( finals )   Challenge Cup   Youth Cup       Junior football     SJFA   Junior Cup   West   East   North   National select team         Amateur football     SAFA   Amateur Cup   Aberdeenshire   Ayrshire   Caithness   Caledonian   Central   Fife   Inverness &amp; District   Lewis &amp; Harris   Lothian &amp; Edinburgh   Midlands   North &amp; South Lanarkshire   Orkney   Paisley &amp; District   Perthshire   Scottish   Shetland   Stirling &amp; District   Strathclyde   Uist &amp; Barra   West of Scotland         Welfare football     SWFA   Forth &amp; Endrick   Moray   North East   Ross - shire   Strathspey &amp; Badenoch           History   Records   Appearances   Attendances     Timeline   Hall of Fame   Referees   Media                 Football in the United Kingdom     United Kingdom     National team   Olympic men 's team   Olympic women 's team   Nations Cup   British Home Championship   Rous Cup   British League Cup   Empire Exhibition Trophy   Football World Championship   Coronation Cup   Texaco Cup   Anglo - Scottish Cup   List of football matches between British national teams   List of football matches between British clubs in UEFA competitions   International Football Association Board   England -- Scotland football rivalry   British clubs tours to South America       England     National team   The FA   Footballing history   National team history   Premier League   English Football League   FA Cup   EFL Cup       Scotland     National team   The SFA   Footballing history   National team history   Scottish Professional Football League   Scottish Cup   Scottish League Cup       Wales     National team   FAW   National team history   Welsh Premier League   Welsh Cup   Welsh League Cup       Northern Ireland     National team   IFA   National team history   Northern Ireland Football League   Irish Cup   Northern Ireland League Cup       Records     England   Northern Ireland   Scotland                         UEFA members national football cups     Current     Albania   Andorra   Armenia   Austria   Azerbaijan   Belarus   Belgium   Bosnia and Herzegovina   Bulgaria   Croatia   Cyprus   Czech Republic   Denmark   England   Estonia   Faroe Islands   Finland   France   Georgia   Germany   Gibraltar   Greece   Hungary   Iceland   Israel   Italy   Kazakhstan   Kosovo   Latvia   Liechtenstein   Lithuania   Luxembourg   Macedonia   Malta   Moldova   Montenegro   Netherlands   Northern Ireland   Norway   Poland   Portugal   Republic of Ireland   Romania   Russia   San Marino   Scotland   Serbia   Slovakia   Slovenia   Spain   Sweden   Switzerland   Turkey   Ukraine   Wales       Defunct     Czechoslovakia   East Germany   Serbia and Montenegro   USSR   Yugoslavia       Non-UEFA     Vatican City      Retrieved from `` https://en.wikipedia.org/w/index.php?title=Scottish_Cup&amp;oldid=842011691 '' Categories :   Scottish Cup   Football cup competitions in Scotland   National association football cups   1873 establishments in Scotland   Recurring sporting events established in 1873   Hidden categories :   Webarchive template wayback links   Use dmy dates from January 2015   Use British English from January 2015   Pages using deprecated image syntax   Articles containing Scots - language text   Articles containing Scottish Gaelic - language text           Talk                                           Contents                   About Wikipedia                                                 Беларуская ( тарашкевіца ) ‎   Bosanski   Català   Dansk   Deutsch   Ελληνικά   Español   Euskara   فارسی   Français   Gàidhlig   </t>
    </r>
    <r>
      <rPr>
        <sz val="11"/>
        <color rgb="FF000000"/>
        <rFont val="Noto Sans CJK SC"/>
        <family val="2"/>
      </rPr>
      <t xml:space="preserve">한국어   </t>
    </r>
    <r>
      <rPr>
        <sz val="11"/>
        <color rgb="FF000000"/>
        <rFont val="Calibri"/>
        <family val="0"/>
        <charset val="1"/>
      </rPr>
      <t xml:space="preserve">Bahasa Indonesia   Italiano   עברית   Lietuvių   Magyar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Suomi   Svenska   Türkçe   Українська   </t>
    </r>
    <r>
      <rPr>
        <sz val="11"/>
        <color rgb="FF000000"/>
        <rFont val="Noto Sans CJK SC"/>
        <family val="2"/>
      </rPr>
      <t xml:space="preserve">中文  </t>
    </r>
    <r>
      <rPr>
        <sz val="11"/>
        <color rgb="FF000000"/>
        <rFont val="Calibri"/>
        <family val="0"/>
        <charset val="1"/>
      </rPr>
      <t xml:space="preserve">22 more  Edit links   This page was last edited on 19 May 2018 , at 16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</si>
  <si>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is there extra time in scottish cup semi final</t>
  </si>
  <si>
    <t xml:space="preserve"> The competition is a knock - out tournament . In each round of games the teams are paired at random , with the first team drawn listed as the home team . Every game lasts 90 minutes plus any additional stoppage time . The winner of each game advances to the next round , whilst the loser is eliminated from the tournament . If a game ends in a draw , the fixture is replayed at the home ground of the other team at a later date . If the replay also ends in a draw , 30 minutes of extra time is played followed by a penalty shoot - out if there is still no clear winner . In the semi-final and final rounds , if the game ends in a draw there is no replay ; the winner is decided either in extra time or by a penalty shoot - out . </t>
  </si>
  <si>
    <r>
      <rPr>
        <sz val="11"/>
        <color rgb="FF000000"/>
        <rFont val="Calibri"/>
        <family val="0"/>
        <charset val="1"/>
      </rPr>
      <t xml:space="preserve">Beanie Babies - wikipedia  Beanie Babies  Jump to : navigation , search  Beanie Babies   Sizzle the Bear , one of many teddy bear varieties of Beanie Babies     Type   Stuffed toy     Inventor   Ty Warner     Company   Ty Inc .     Availability   1993 -- 1999 , 2000 -- present     Beanie Babies are a line of stuffed animals ( a.k.a. plush toys ) created by Ty Warner , the man who founded Ty Inc. ( named in November 1991 ) . The toys are unique because each toy is stuffed with plastic pellets ( `` beans '' ) rather than conventional soft stuffing ( PVC and PE ) , giving Beanie Babies a more flexible feel . In a rare interview , the publicity - averse Warner said , `` The whole idea was it looked real because it moved . ''   During the later half of the 1990s , the toy emerged as a major fad , and were collected not only as toys but also as a financial investment due to the high resale value of some Beanie Babies .     Contents  ( hide )   1 History   2 Collectibility   3 Design   4 Notable Beanie Babies   4.1 Garcia the bear   4.2 Princess the bear   4.3 Decade the bear   4.4 Tabasco the bull   4.5 Peanut the Royal Blue Elephant     5 Counterfeit Beanie Babies   5.1 Cases     6 Media   7 Licensed Beanies   8 See also   9 References   10 External links      History ( edit )   Nine original Beanie Babies were launched in 1993 : Legs the Frog , Squealer the Pig , Spot the Dog , Flash the Orca , Splash the Whale , Chocolate the Moose , Patti the Platypus , Brownie the Bear ( later renamed `` Cubbie '' ) , and Pinchers the Lobster ( with some tag errors with `` Punchers '' ) . They were not in factory production until 1994 . Sales were slow at first to the point that by 1995 many retailers refused to buy the products in the bundles Ty offered them while others outright refused to buy them in any form . The popularity soon grew however , first starting locally in Chicago before growing into a national craze in the USA .   In 1996 , Ty Inc. released a new product called Teenie Beanies , a miniature offshoot of the original Beanie Babies line . They were sold alongside McDonald 's Happy Meals to celebrate that product 's 17th anniversary .   Ty , Inc. stopped producing the product in December 1999 , but consumer demand led them to reconsider . Production restarted in 2000 with a Beanie Baby named `` The Beginning . ''   In early 2008 , Ty released a new version of Beanie Babies called Beanie Babies 2.0 . The purchase of a Beanie Baby 2.0 provided its owner with a code to access an online Beanie Babies interactive website . The website has since been shut down .   Collectibility ( edit )   Beanie Babies began to emerge as popular collectibles in late 1995 , and became a hot toy . The company 's strategy of deliberate scarcity , producing each new design in limited quantity , restricting individual store shipments to limited numbers of each design and regularly retiring designs , created a huge secondary market for the toys and increased their popularity and value as a collectible .   Ty systematically retired various designs , and many people assumed that all `` retired '' designs would rise in value the way that early retirees had . The craze lasted through 1999 and slowly declined after the Ty company announced that they would no longer be making Beanie Babies and made a bear called `` The End '' . Some time after the original announcement that the company would stop production , Ty asked the public to vote on whether the product should continue ; fans and collectors voted `` overwhelmingly '' to keep the toys on the market .   At its height of popularity people would flip Beanies at as much as ten-fold on eBay . Indeed , at the height , Beanies made up 10 % of eBay 's sales . Some collectors insured their purchases for a price in the thousands .   Warner was keenly aware that the Beanie Babies bubble could burst and eventually started requiring retailers who sold Beanies to also stock other product lines by his company if they wished to continue selling Beanies . None of these lines did as well as Beanie Babies , although they kept the company alive after the fad ended and eventually some became successful in their own right .   Design ( edit )   Beanie Babies are deliberately under stuffed . This led to a criticism that the toys looked `` cheap '' however this set them apart from most stuffed animals on the market which could not be posed easily . Ty Warner has said that this understuffing method made the toys look `` real '' .   Another important design element is that of the tag . Since the beginning , Beanie Babies have included two tags for identification : a heart - shaped `` swing tag '' at the top , and a fabric `` tush tag '' at the bottom . Both tags have been redesigned completely over time . Between 1994 and 1996 , the swing tags had `` To '' and `` From '' blanks in them for use as gifts . Starting in early 1996 , the tags include four - line poems related to the Beanie Baby , and a date of birth for the toy .   It was not uncommon for Beanie Babies to be accidentally shipped out with incorrect or misspelled tags , which sometimes increased the toy 's value . On occasion , the poems , birth dates and even the names have been changed on certain Beanie Babies .   Notable Beanie Babies ( edit )   Garcia the bear ( edit )   Garcia the bear was released in January 1996 and retired in May 1997 . He is a tie - dyed bear that seems to be a tribute to musician Jerry Garcia of The Grateful Dead who died in 1995 , designed by Nicholas Scarbrough . A group of differently colored dancing bears , originally artwork from the back of an album cover , was one of the band 's many iconic images . The bear was supposedly `` born '' the date that Jerry died ( August 9 , 1995 ) . The fast retirement for this Beanie Baby was due to an alleged lawsuit that the Garcia family filed against the Ty company , claiming that the name `` Garcia '' was used without permission from the family . In cooperation with the lawsuit , Garcia was retired and a similar bear named Peace was released . Peace has a peace sign , while Garcia does not .   The bright colors on Garcia the bear made him one of the most popular Beanie Baby styles .   Princess the bear ( edit )   Diana , Princess of Wales died on August 31 , 1997 . Warner announced the Beanie Baby Princess on October 29 , 1997 in honor of Princess Diana . Warner said that all proceeds would be donated to the Diana , Princess of Wales Memorial Fund . The Princess Diana Beanie Baby was sent to vendors to distribute in the second week of December 1997 . Some vendors had to wait until February 1998 . Only 12 Beanie Baby Princesses were released to each vendor initially , but this changed due to strong demand .   Decade the bear ( edit )  Decade the bear  Decade the bear was made in honor of Beanie Babies ' tenth anniversary . Decade bears were made in white , royal blue , red , purple , orange , hot pink , green , gold , brown , and light blue . Most Decade bears have silver sparkles on their bodies . It was made in 2003 .   Tabasco the bull ( edit )   Originally named after the Tabasco sauce , the name was changed to `` Snort '' to avoid trademark infringement . Tabasco has all red `` feet '' while Snort has all white . The poem stayed the same .   Peanut the royal blue Elephant ( edit )   Peanut the Royal Blue Elephant is one of the most notable of the Beanies . It first started production in 1995 as a royal blue color . Then , Ty noticed that the fabric coloring was wrong , and that it needed to be the light blue color , so they started the light blue version and stopped the royal blue . They made the light blue until his retirement in 1999 . They only made about 500 of these beanies and can go for $1500 with an original tag .   Counterfeit Beanie Babies ( edit )  Ty copyright infringement . Photograph submitted to the 7th Circuit Court of Appeals on first page of the appendix depicting Ty 's Beanie Baby : `` Squealer '' ( Top ) and GMA 's stuffed animal : `` Preston the Pig '' ( Bottom )  Counterfeit Beanie Babies began to surface in 1997 . Early on , cheap knock - offs and fakes of commons were widely available at discount prices .   Cases ( edit )   Authorities cracked down on counterfeit Beanie Babies in the late 1990s . People were prosecuted for their involvement in the commerce of counterfeit Babies . In 1998 , English authorities seized more than 6,000 Princesses and Britannias . In 1999 , a Minnesota man was imprisoned , fined , and put on probation for involvement in smuggling counterfeit beanies .   Media ( edit )   During the wake of Beanie Babies ' success , Beanie Baby - centric publications were issued . One of the largest was Mary Beth 's Bean Bag World , a monthly magazine dedicated to Beanie Babies and competing plush toys . This magazine ran from 1997 to 2001 .   Licensed Beanies ( edit )   In the late 2000s , Beanie Babies modeled after characters from popular children 's franchises by Nickelodeon , DreamWorks and Paramount began appearing . These included characters from cartoons on the Nickelodeon television channel such as SpongeBob SquarePants and Dora the Explorer , as well as characters from DreamWorks Animation movies such as Shrek the Third and 20th Century Fox 's Ice Age : Dawn of the Dinosaurs . Beanie Babies have also been produced for characters from Legend of the Guardians : The Owls of Ga'Hoole and Guardians of Ga'Hoole book series . Recently Beanie Babies modeled after Disney characters have been created , including characters from the Disney Junior TV series Doc McStuffins .   See also ( edit )    Economic bubble   Tulip mania   Uglydoll   Sock monkey     1990s portal   2000s portal   2010s portal   Toys portal    References ( edit )    Jump up ^ Halbfinger , David M. ( 1999 - 03 - 12 ) . `` On the Trail of a Beanie Burglar '' . The New York Times .   ^ Jump up to : Smith , Bryan ( May 2014 ) . `` Behind the Beanie Babies : The Secret Life of Ty Warner '' . Chicago Magazine . Retrieved April 26 , 2014 .   Jump up ^ Chupka , Kevin . `` Beanie Babies : Whatever happened to Millennials ' favorite toy ? '' . Yahoo ! Finance . Yahoo . Retrieved 3 February 2016 .   Jump up ^ Carr , Amy ( August 14 , 1997 ) . `` Those Beanies are still hot , and there 's no sign of the frenze slowing down '' . Daily Herald . Punchers the red lobster . Originally introduced in 1993 at a toy fair , Punchers was redesigned in 1994 and renamed Pinchers .   Jump up ^ The Perfect Store : Inside eBay via Google Books   ^ Jump up to : Bissonnette , Zach . `` How A Blue Elephant Named Peanut Sparked The Beanie Baby Craze '' . Buzzfeed . Retrieved 2 February 2016 .   Jump up ^ `` Ty Beanie Baby Beanies News '' . Aboutbeanies.com . Archived from the original on 2012 - 05 - 24 . Retrieved 2012 - 05 - 03 .   Jump up ^ `` Ty Beanie Baby Beanies News '' . Aboutbeanies.com . Archived from the original on 2012 - 03 - 11 . Retrieved 2012 - 05 - 03 .   ^ Jump up to : Berr , Johnathin . `` How the Great Beanie Baby Bubble Went Bust '' . The Fiscal Times . Retrieved 4 February 2016 .   Jump up ^ VanderMey , Anne . `` Lessons from the great Beanie Babies crash '' . Fortune . Retrieved 4 February 2016 .   ^ Jump up to : Symington , Steve . `` 3 Business Lessons From Ty Warner , the Beanie Babies Billionaire '' . Motleyfool . Retrieved 2 February 2016 .   Jump up ^ Dunne , Claudia ; Sara Nelson ( September 1998 ) . `` Tag Training 101 '' . Mary Beth 's Bean Bag World . H&amp;S Media Incorporated. 1 ( 7 ) : 20 -- 28 . ISSN 1097 - 0444 .   Jump up ^ `` peacebears.com '' . magazine.peacebears.com . Retrieved 31 August 2017 .   Jump up ^ `` SUNDAY , JULY 5 , 1998 : CRIME ; A World Gone Beanie Mad ! '' . The New York Times . 1998 - 07 - 05 .   Jump up ^ `` How A Blue Elephant Named Peanut Sparked The Beanie Baby Craze '' . Retrieved 31 August 2017 .   Jump up ^ Date , SUSAN DODGE ( 1998 - 01 - 09 ) . `` Chicago Sun - Times : : Search '' . Chicago Sun - Times .   Jump up ^ http://www.highbeam.com/doc/1P1-19416915.html   Jump up ^ `` Couple sentenced for selling counterfeit Beanie Babies. ( NEWS ) '' . 6 August 1999 . Retrieved 31 August 2017 .   Jump up ^ `` Want The ' Scoop ' On The Beanie Industry For The Millennium ? '' . PR Newswire. 1999 - 12 - 10 . Retrieved 2009 - 05 - 18 .    External links ( edit )       Wikimedia Commons has media related to Beanie Babies .      Ty official website   Database of beanie babies              Ty Inc .     Key people     Ty Warner       Beanie Babies     Beanie Babies 2.0   Clubby   Princess   Teenie Beanies       Other products     Beanie Buddies   Ty Girlz                 Teddy bears     Manufacturers     Build - A-Bear Workshop   Chad Valley   J.K. Farnell   Gund   Ideal Toy Company   Margarete Steiff GmbH   Merrythought   Teddy Atelier Stursberg   Teddy - Hermann   Ty Inc .   Vermont Teddy Bear Company         Types     AG Bear   Beanie Babies   Boyds Bears   Care Bears   Coffee Bean Bears   Forever Friends   Freddy Teddy   Gund Snuffles   Holiday Beanie Babies   Me to You Bears   WereBears       Museums     Dorset Teddy Bear Museum   Teddy bear museum   Teddy Bear Museum of Naples       Famous teddies     Aloysius   Archibald Ormsby - Gore   Benjamin Bear   Bamse   Berlino   Duffy the Disney Bear   Corduroy   Fozzie Bear   Freddy Fazbear   Grizzly Teddy   Lotso   Microsoft Bear   Misha   Nassur   Nev   Paddington Bear   Pooky   Pudsey Bear   Rilakkuma   Roosevelt   Rupert Bear   Rupert ( Family Guy )   Smokey   Sooty   SuperTed   Teddy ( Mr. Bean )   Teddy Ruxpin   Uszatek   Mr Whoppit   Winnie - the - Pooh   Yogi Bear       Film and television     The Adventures of Teddy Ruxpin   Bear Behaving Badly   Becky and Barnaby Bear   Boonie Bears   C Bear and Jamal   Colargol   Disney 's Adventures of the Gummi Bears   Issi Noho   Old Bear Stories   Paddington   The Secret World of Benjamin Bear   SuperTed   Ted   Ted 2   Teddybears   The Teddy Bear Master   Teddy Edward   The Upstairs Downstairs Bears   The Yogi Bear Show       Books     Corduroy   Little Bear   Old Bear and Friends   Teddy Dressing   The Berenstain Bears   Polar the Titanic Bear   Uppo - Nalle   Winkie   Winnie - the - Pooh       Music     `` ( Let Me Be Your ) Teddy Bear ''   `` Psycho Teddy ''   `` Teddy Bears ' Picnic ''   `` The Teddy Bear Song ''       Video games     Build - A-Bear Workshop   Hubert the Teddy Bear : Winter Games   Opération Teddy Bear   Teddy Together       Related topics     The Bear Club   Peter Bull   Gummy bears   Round and Round the Garden   SGUL Teddy Bear Hospital   Richard Steiff   Stuffed toys   Sudanese blasphemy case   Teddybear Airdrop Minsk 2012   Teddy bear parachuting   Teddy Bear Review   Teddy bear toss   Teddy Grahams      Retrieved from `` https://en.wikipedia.org/w/index.php?title=Beanie_Babies&amp;oldid=835128148 '' Categories :   Beanie Babies   1990s fads and trends   1990s toys   2000s toys   2010s toys   Children 's websites   Products introduced in 1993   Stuffed toys   Toy animals   Toy collecting   Virtual pets   Virtual reality communities   Economic bubbles   Hidden categories :   Pages using deprecated image syntax           Talk                                           Contents                   About Wikipedia                                                 Deutsch   Esperanto   </t>
    </r>
    <r>
      <rPr>
        <sz val="11"/>
        <color rgb="FF000000"/>
        <rFont val="Noto Sans CJK SC"/>
        <family val="2"/>
      </rPr>
      <t xml:space="preserve">中文   </t>
    </r>
    <r>
      <rPr>
        <sz val="11"/>
        <color rgb="FF000000"/>
        <rFont val="Calibri"/>
        <family val="0"/>
        <charset val="1"/>
      </rPr>
      <t xml:space="preserve">Edit links   This page was last edited on 6 April 2018 , at 18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</si>
  <si>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first beanie baby come out</t>
  </si>
  <si>
    <t xml:space="preserve"> Nine original Beanie Babies were launched in 1993 : Legs the Frog , Squealer the Pig , Spot the Dog , Flash the Orca , Splash the Whale , Chocolate the Moose , Patti the Platypus , Brownie the Bear ( later renamed `` Cubbie '' ) , and Pinchers the Lobster ( with some tag errors with `` Punchers '' ) . They were not in factory production until 1994 . Sales were slow at first to the point that by 1995 many retailers refused to buy the products in the bundles Ty offered them while others outright refused to buy them in any form . The popularity soon grew however , first starting locally in Chicago before growing into a national craze in the USA . </t>
  </si>
  <si>
    <t xml:space="preserve">Economy of Argentina - Wikipedia  Economy of Argentina     Economy of Argentina   Buenos Aires Central Business District     Currency   Argentine peso ( ARS )     Fiscal year   Calendar year     Trade organizations   WTO , Mercosur , Unasur     Statistics     GDP   $639.224 billion ( nominal ) ( 21st , 2018 ) $952.464 billion ( PPP ) ( 25th , 2018 )     GDP growth   3.5 % ( 2017 )     GDP per capita   $14,342 ( nominal ) ( 53rd , 2018 ) $21,370 ( PPP ) ( 56th , 2018 )     GDP by sector   Agriculture , forestry , and fishing , 6.0 % mining , 3.6 % manufacturing , 17.2 % construction , 5.6 % commerce and tourism , 16.9 % transport , communications , and utilities , 7.9 % government , 9.5 % business , social and other services , 33.3 % . ( 2015 )     Inflation ( CPI )   24.8 % ( CPI , 2017 )     Population below poverty line   25.7 % ( 2017 )     Gini coefficient   0.417 ( 2017 )     Labor force   17.9 million ( 2012 )     Labor force by occupation     Agricultural 7.3 %   manufacturing 13.1 %   construction 7.6 %   commerce and tourism 21.4 %   transport , communications and utilities 7.8 %   financial , real estate and business service , 9.4 %   public administration and defense 6.3 %   social services and other 27.1 % ( 2006 )       Unemployment   7.2 % ( September -- December 2017 )     Average gross salary   AR $ 21.248 monthly ( September 2017 )     Main industries     Food processing and beverages   motor vehicles and auto parts   appliances and electronics   machinery and equipment   chemicals   pharmaceuticals   glass   steel and aluminum   cement   textiles   tobacco products   publishing   furniture   leather       Ease - of - doing - business rank   116th ( 2017 )     External     Exports   $56.76 billion ( 2015 )     Export goods   Soybeans and derivatives , petroleum and gas , vehicles , corn , wheat     Main export partners   Brazil 17 % China 8.6 % United States 5.9 % ( 2015 )     Imports   $57.18 billion ( 2015 )     Import goods   Machinery , motor vehicles , petroleum and natural gas , organic chemicals , plastics     Main import partners   Brazil 22.4 % United States 16.3 % China 15.5 % Germany 5.1 % ( 2015 )     FDI stock   $94.19 billion ( 2015 )     Gross external debt   $163.2 billion ; of which public , $92.5 billion ( March 2016 )     Public finances     Public debt   $222.7 billion ( bonds , 68 % ) ; 44.8 % of GDP ( December 2015 )     Revenues   $142.9 billion ( 2015 ) ( social security , 25.9 % ; income and capital gains , 23.6 % ; value - added sales tax , 20.1 % ; trade and duties , 15.1 % ; financial tax , 6.3 % ; excise and other , 9.0 % )     Expenses   $167.3 billion ( 2015 ) ( social security , 38.8 % ; subsidies and infrastructure , 22.5 % ; debt service , 9.2 % ; education , culture and research , 8.8 % ; social assistance , 5.4 % ; health , 3.4 % ; security , 3.1 % ; defense , 2.1 % ; other , 6.7 % )     Credit rating   B - ( Domestic ) SD ( Foreign ) B - ( T&amp;C Assessment ) ( Standard &amp; Poor 's )     Foreign reserves   $61.61 billion ( April 2018 )     Main data source : CIA World Fact Book All values , unless otherwise stated , are in US dollars .     The economy of Argentina is a high income economy for fiscal year 2017 according to World Bank Latin America 's third largest , and the second largest in South America behind Brazil .   The country benefits from rich natural resources , a highly literate population , an export - oriented agricultural sector , and a diversified industrial base . Argentina 's economic performance has historically been very uneven , in which high economic growth alternated with severe recessions , particularly during the late twentieth century , and income maldistribution and poverty increased . Early in the twentieth century Argentina had one of the ten highest per capita GDP levels in the world , at par with Canada and Australia and surpassing both France and Italy . Argentina today ( 2018 ) is plagued by currency crisis which involved a potential bailout from International Monetary Fund . The currency declined by 18 % over a period of 12 days in May 2018 to more than 25 Argentine pesos per U.S. Dollar .   Argentina is considered an emerging market by the FTSE Global Equity Index ( 2018 ) , and is one of the G - 20 major economies .   Contents    1 History   2 Sectors   2.1 Agriculture   2.2 Natural resources   2.3 Industry   2.4 Services   2.4. 1 Banking   2.4. 2 Tourism     2.5 GDP by value added   2.6 Energy     3 Infrastructure   4 Foreign trade   5 Foreign investment   6 Issues   6.1 Reliability of official CPI estimates   6.2 Inflation   6.3 Income distribution     7 See also   8 References   9 Further reading   10 External links    History ( edit )  Main article : Economic history of Argentina Historical growth of Argentina from 1961 to 2016  Prior to the 1880s , Argentina was a relatively isolated backwater , dependent on the salted meat , wool , leather , and hide industries for both the greater part of its foreign exchange and the generation of domestic income and profits . The Argentine economy began to experience swift growth after 1880 through the export of livestock and grain commodities , as well as through British and French investment , marking the beginning of a fifty - year era of significant economic expansion and mass European immigration .   During its most vigorous period , from 1880 to 1905 , this expansion resulted in a 7.5-fold growth in GDP , averaging about 8 % annually . One important measure of development , GDP per capita , rose from 35 % of the United States average to about 80 % during that period . Growth then slowed considerably , such that by 1941 Argentina 's real per capita GDP was roughly half that of the U.S. Even so , from 1890 to 1950 the country 's per capita income was similar to that of Western Europe ; although income in Argentina remained considerably less evenly distributed .   The Great Depression caused Argentine GDP to fall by a fourth between 1929 and 1932 . Having recovered its lost ground by the late 1930s partly through import substitution , the economy continued to grow modestly during World War II ( in contrast to the recession caused by the previous world war ) . The war led to a reduced availability of imports and higher prices for Argentine exports that combined to create a US $1.6 billion cumulative surplus , a third of which was blocked as inconvertible deposits in the Bank of England by the Roca -- Runciman Treaty . Benefiting from innovative self - financing and government loans alike , value added in manufacturing nevertheless surpassed that of agriculture for the first time in 1943 , employed over 1 million by 1947 , and allowed the need for imported consumer goods to decline from 40 % of the total to 10 % by 1950 .   The populist administration of Juan Perón nationalized the Central Bank , railways , and other strategic industries and services from 1945 to 1955 . The subsequent enactment of developmentalism after 1958 , though partial , was followed by a promising fifteen years . Inflation first became a chronic problem during this period ( it averaged 26 % annually from 1944 to 1974 ) ; but though it did not become fully `` developed , '' from 1932 to 1974 Argentina 's economy grew almost fivefold ( or 3.8 % in annual terms ) while its population only doubled . While unremarkable , this expansion was well - distributed and so resulted in several noteworthy changes in Argentine society - most notably the development of the largest proportional middle class ( 40 % of the population by the 1960s ) in Latin America as well as the region 's highest - paid , most unionized working class .   The economy , however , declined during the military dictatorship from 1976 to 1983 , and for some time afterwards . The dictatorship 's chief economist , José Alfredo Martínez de Hoz , advanced a corrupt , anti-labor policy of financial liberalization that increased the debt burden and interrupted industrial development and upward social mobility . Over 400,000 companies of all sizes went bankrupt by 1982 , and neoliberal economic policies prevailing from 1983 through 2001 failed to reverse the situation .   Record foreign debt interest payments , tax evasion , and capital flight resulted in a balance of payments crisis that plagued Argentina with severe stagflation from 1975 to 1990 , including a bout of hyperinflation in 1989 and 1990 . Attempting to remedy this situation , economist Domingo Cavallo pegged the peso to the U.S. dollar in 1991 and limited the growth in the money supply . His team then embarked on a path of trade liberalization , deregulation , and privatization . Inflation dropped to single digits and GDP grew by one third in four years .   External economic shocks , as well as a dependency on volatile short - term capital and debt to maintain the overvalued fixed exchange rate , diluted benefits , causing erratic economic growth from 1995 and the eventual collapse in 2001 . That year and the next , the economy suffered its sharpest decline since 1930 ; by 2002 , Argentina had defaulted on its debt , its GDP had declined by nearly 20 % in four years , unemployment reached 25 % , and the peso had depreciated 70 % after being devalued and floated .   Argentina 's socio - economic situation has since been steadily improving . Expansionary policies and commodity exports triggered a rebound in GDP from 2003 onward . This trend has been largely maintained , creating over five million jobs and encouraging domestic consumption and fixed investment . Social programs were strengthened , and a number of important firms privatized during the 1990s were renationalized beginning in 2003 . These include the postal service , AySA ( the water utility serving Buenos Aires ) , Pension funds ( transferred to ANSES ) , Aerolíneas Argentinas , the energy firm YPF , and the railways .   The economy nearly doubled from 2002 to 2011 , growing an average of 7.1 % annually and around 9 % for five consecutive years between 2003 and 2007 . Real wages rose by around 72 % from their low point in 2003 to 2013 . The global recession did affect the economy in 2009 , with growth slowing to nearly zero ; but high economic growth then resumed , and GDP expanded by around 9 % in both 2010 and 2011 . Foreign exchange controls , austerity measures , persistent inflation , and downturns in Brazil , Europe , and other important trade partners , contributed to slower growth beginning in 2012 , however . Growth averaged just 1.3 % from 2012 to 2014 , and rose to 2.4 % in 2015 .   The Argentine government bond market is based on GDP - linked bonds , and investors , both foreign and domestic , netted record yields amid renewed growth . Argentine debt restructuring offers in 2005 and 2010 resumed payments on the majority of its almost US $100 billion in defaulted bonds and other debt from 2001 .   Holdouts controlling 7 % of the bonds , including some small investors , hedge funds , and vulture funds led by Paul Singer 's Cayman Islands - based NML Capital Limited , rejected the 2005 and 2010 offers to exchange their defaulted bonds . Singer , who demanded US $832 million for Argentine bonds purchased for US $49 million in the secondary market in 2008 , attempted to seize Argentine government assets abroad and sued to stop payments from Argentina to the 93 % who had accepted the earlier swaps despite the steep discount . Bondholders who instead accepted the 2005 offer of 30 cents on the dollar , had by 2012 received returns of about 90 % according to estimates by Morgan Stanley . Argentina settled with virtually all holdouts in February 2016 at a cost of US $9.3 billion ; NML received US $2.4 billion , a 392 % return on the original value of the bonds .   While the Argentine Government considers debt left over from illegitimate governments unconstitutional odious debt , it has continued servicing this debt despite the annual cost of around US $14 billion and despite being nearly locked out of international credit markets with annual bond issues since 2002 averaging less than US $2 billion ( which precludes most debt roll over ) .   Argentina has nevertheless continued to hold successful bond issues , as the country 's stock market , consumer confidence , and overall economy continue to grow . The country 's successful , US $16.5 billion bond sale in April 2016 was the largest in emerging market history .   On May 2018 , Argentina 's government asked to the International Monetary Fund for its intervention , with an emergency loan for a thirty billion bailout , as it is has been reported by Bloomberg .   On May 2018 the official estimated inflation has peaked up to 25 percent a year , and on May 4 Argentina 's central bank has raised interest rates on pesos to 40 percent from 27.25 percent , which is the highest in the world , since the national currency has lost 18 % of its value by the beginning of the year .   Sectors ( edit )   Agriculture ( edit )  Main article : Agriculture in Argentina Soy field in Argentina 's fertile Pampas . The versatile legume makes up about half the nation 's crop production . Vinyard in Mendoza Province . The country is the fifth largest producer in the world .  Argentina is one of the world 's major agricultural producers , ranking among the top producers in most of the following , exporters of beef , citrus fruit , grapes , honey , maize , sorghum , soybeans , squash , sunflower seeds , wheat , and yerba mate . Agriculture accounted for 9 % of GDP in 2010 , and around one fifth of all exports ( not including processed food and feed , which are another third ) . Commercial harvests reached 103 million tons in 2010 , of which over 54 million were oilseeds ( mainly soy and sunflower ) , and over 46 million were cereals ( mainly maize , wheat , and sorghum ) .   Soy and its byproducts , mainly animal feed and vegetable oils , are major export commodities with one fourth of the total ; cereals added another 10 % . Cattle - raising is also a major industry , though mostly for domestic consumption ; beef , leather and dairy were 5 % of total exports . Sheep - raising and wool are important in Patagonia , though these activities have declined by half since 1990 . Biodiesel , however , has become one of the fastest growing agro-industrial activities , with over US $2 billion in exports in 2011 .   Fruits and vegetables made up 4 % of exports : apples and pears in the Río Negro valley ; rice , oranges and other citrus in the northwest and Mesopotamia ; grapes and strawberries in Cuyo ( the west ) , and berries in the far south . Cotton and tobacco are major crops in the Gran Chaco , sugarcane and chile peppers in the northwest , and olives and garlic in the west . Yerba mate tea ( Misiones ) , tomatoes ( Salta ) and peaches ( Mendoza ) are grown for domestic consumption . Organic farming is growing in Argentina , and the nearly 3 million hectares ( 7.5 million acres ) of organic cultivation is second only to Australia . Argentina is the world 's fifth - largest wine producer , and fine wine production has taken major leaps in quality . A growing export , total viticulture potential is far from having been met . Mendoza is the largest wine region , followed by San Juan .   Government policy towards the lucrative agrarian sector is a subject of , at times , contentious debate in Argentina . A grain embargo by farmers protesting an increase in export taxes for their products began in March 2008 , and , following a series of failed negotiations , strikes and lockouts largely subsided only with the 16 July , defeat of the export tax - hike in the Senate .   Argentine fisheries bring in about a million tons of catch annually , and are centered on Argentine hake , which makes up 50 % of the catch ; pollock , squid , and centolla crab are also widely harvested . Forestry has long history in every Argentine region , apart from the pampas , accounting for almost 14 million m3 of roundwood harvests . Eucalyptus , pine , and elm ( for cellulose ) are also grown , mainly for domestic furniture , as well as paper products ( 1.5 million tons ) . Fisheries and logging each account for 2 % of exports .  The Vaca Muerta shale oil field holds 16.2 billion barrels of oil and 308 cubic feet of natural gas . It is estimated to be the third largest in the world .  Natural resources ( edit )  See also : Mining in Argentina  Mining and other extractive activities , such as gas and petroleum , are growing industries , increasing from 2 % of GDP in 1980 to around 4 % today . The northwest and San Juan Province are the main regions of activity . Coal is mined in Santa Cruz Province . Metals and minerals mined include borate , copper , lead , magnesium , sulfur , tungsten , uranium , zinc , silver , titanium , and gold , whose production was boosted after 1997 by the Bajo de Alumbrera mine in Catamarca Province and Barrick Gold investments a decade later in San Juan . Metal ore exports soared from US $200 million in 1996 to US $1.2 billion in 2004 , and to over US $3 billion in 2010 .   Around 35 million m3 each of petroleum and petroleum fuels are produced , as well as 50 billion m3 of natural gas , making the nation self - sufficient in these staples , and generating around 10 % of exports . The most important oil fields lie in Patagonia and Cuyo . A network of pipelines ( next to Mexico 's , the second - longest in Latin America ) send raw product to Bahía Blanca , center of the petrochemical industry , and to the La Plata - Greater Buenos Aires - Rosario industrial belt .   Industry ( edit )   Manufacturing is the largest single sector in the nation 's economy ( 15 % of GDP ) , and is well - integrated into Argentine agriculture , with half the nation 's industrial exports being agricultural in nature . Based on food processing and textiles during its early development in the first half of the 20th century , industrial production has become highly diversified in Argentina . Leading sectors by production value are : Food processing and beverages ; motor vehicles and auto parts ; refinery products , and biodiesel ; chemicals and pharmaceuticals ; steel and aluminium ; and industrial and farm machinery ; electronics and home appliances . These latter include over three million big ticket items , as well as an array of electronics , kitchen appliances and cellular phones , among others .   Argentina 's auto industry produced 791,000 motor vehicles in 2013 , and exported 433,000 ( mainly to Brazil , which in turn exported a somewhat larger number to Argentina ) ; Argentina 's domestic new auto market reached a record 964,000 in 2013 . Beverages are another significant sector , and Argentina has long been among the top five wine producing countries in the world ; beer overtook wine production in 2000 , and today leads by nearly two billion liters a year to one . Other manufactured goods include : glass and cement ; plastics and tires ; lumber products ; textiles ; tobacco products ; recording and print media ; furniture ; apparel and leather .   Most manufacturing is organized in the 314 industrial parks operating nationwide as of 2012 , a fourfold increase over the past decade . Nearly half the industries are based in the Greater Buenos Aires area , although Córdoba , Rosario , and Ushuaia are also significant industrial centers ; the latter city became the nation 's leading center of electronics production during the 1980s . The production of computers , laptops , and servers grew by 160 % in 2011 , to nearly 3.4 million units , and covered two - thirds of local demand . Argentina has also become an important manufacturer of cell phones , providing about 80 % of all devices sold in the country . Another important rubric historically dominated by imports - farm machinery - was similarly replaced by domestic production , which covered 60 % of demand by 2013 . Production of cell phones , computers , and similar products is actually an `` assembly '' industry , with the majority of the higher technology components being imported , and the designs of products originating from foreign countries . High labour costs for Argentina assembly work tend to limit product sales penetration to Latin America , where regional trade treaties exist .   Construction permits nationwide covered over 15 million m2 ( 160 million ft2 ) in 2013 . The construction sector accounts for over 5 % of GDP , and two - thirds of construction is for residential buildings .   Argentine electric output totaled over 133 billion Kwh in 2013 . This was generated in large part through well developed natural gas and hydroelectric resources . Nuclear energy is also of high importance , and the country is one of the largest producers and exporters , alongside Canada and Russia of cobalt - 60 , a radioactive isotope widely used in cancer therapy .   Services ( edit )   The service sector is the largest contributor to total GDP , accounting for over 60 % . Argentina enjoys a diversified service sector , which includes well - developed social , corporate , financial , insurance , real estate , transport , communication services , and tourism .   The telecommunications sector has been growing at a fast pace , and the economy benefits from widespread access to communications services . These include : 77 % of the population with access to mobile phones , 95 % of whom use smartphones ; Internet ( over 32 million users , or 75 % of the population ) ; and broadband services ( accounting for nearly all 14 million accounts ) . Regular telephone services , with 9.5 million lines , and mail services are also robust . Total telecom revenues reached more than $17.8 billion in 2013 , and while only one in three retail stores in Argentina accepted online purchases in 2013 E-commerce reached US $4.5 billion in sales .   Trade in services remained in deficit , however , with US $15 billion in service exports in 2013 and US $19 billion in imports . Business Process Outsourcing became the leading Argentine service export , and reached US $3 billion . Advertising revenues from contracts abroad were estimated at over US $1.2 billion .   Tourism is an increasingly important sector and provided 4 % of direct economic output ( over US $17 billion ) in 2012 ; around 70 % of tourism sector activity by value is domestic .  Banking ( edit ) View of Buenos Aires Central Business District from the Costanera Sur Ecological Reserve . Protestors outside BankBoston branch during the corralito . Main article : Banking in Argentina  Argentine banking , whose deposits exceeded US $120 billion in December 2012 , developed around public sector banks , but is now dominated by the private sector . The private sector banks account for most of the 80 active institutions ( over 4,000 branches ) and holds nearly 60 % of deposits and loans , and as many foreign - owned banks as local ones operate in the country . The largest bank in Argentina by far , however , has long been the public Banco de la Nación Argentina . Not to be confused with the Central Bank , this institution now accounts for 30 % of total deposits and a fifth of its loan portfolio .   During the 1990s , Argentina 's financial system was consolidated and strengthened . Deposits grew from less than US $15 billion in 1991 to over US $80 billion in 2000 , while outstanding credit ( 70 % of it to the private sector ) tripled to nearly US $100 billion .   The banks largely lent US dollars and took deposits in Argentine pesos , and when the peso lost most of its value in early 2002 , many borrowers again found themselves hard pressed to keep up . Delinquencies tripled to about 37 % . Over a fifth of deposits had been withdrawn by December 2001 , when Economy Minister Domingo Cavallo imposed a near freeze on cash withdrawals . The lifting of the restriction a year later was bittersweet , being greeted calmly , if with some umbrage , at not having these funds freed at their full U.S. dollar value . Some fared worse , as owners of the now - defunct Velox Bank defrauded their clients of up to US $800 million .   Credit in Argentina is still relatively tight . Lending has been increasing 40 % a year since 2004 , and delinquencies are down to less than 2 % . Still , credit outstanding to the private sector is , in real terms , slightly below its 1998 peak , and as a percent of GDP ( around 18 % ) quite low by international standards . The prime rate , which had hovered around 10 % in the 1990s , hit 67 % in 2002 . Although it returned to normal levels quickly , inflation , and more recently , global instability , have been affecting it again . The prime rate was over 20 % for much of 2009 , and around 17 % since the first half of 2010 .   Partly a function of this and past instability , Argentines have historically held more deposits overseas than domestically . The estimated US $173 billion in overseas accounts and investment exceeded the domestic monetary base ( M3 ) by nearly US $10 billion in 2012 .  Tourism ( edit ) Main article : Tourism in Argentina Tour bus in Buenos Aires .  According to World Economic Forum 's 2017 Travel &amp; Tourism Competitiveness Report , tourism generated over US $22 billion , or 3.9 % of GDP , and the industry employed more than 671,000 people , or approximately 3.7 % of the total workforce . Tourism from abroad contributed US $5.3 billion , having become the third largest source of foreign exchange in 2004 . Around 5.7 million foreign visitors arrived in 2017 , reflecting a doubling in visitors since 2002 despite a relative appreciation of the peso .   Argentines , who have long been active travelers within their own country , accounted for over 80 % , and international tourism has also seen healthy growth ( nearly doubling since 2001 ) . Stagnant for over two decades , domestic travel increased strongly in the last few years , and visitors are flocking to a country seen as affordable , exceptionally diverse , and safe .   Foreign tourism , both to and from Argentina , is increasing as well . INDEC recorded 5.2 million foreign tourist arrivals and 6.7 million departures in 2013 ; of these , 32 % arrived from Brazil , 19 % from Europe , 10 % from the United States and Canada , 10 % from Chile , 24 % from the rest of the Western Hemisphere , and 5 % from the rest of the world . Around 48 % of visitors arrived by commercial flight , 40 % by motor travel ( mainly from neighboring Brazil ) , and 12 % by sea . Cruise liner arrivals are the fastest growing type of foreign tourism to Argentina ; a total of 160 liners carrying 510,000 passengers arrived at the Port of Buenos Aires in 2013 , an eightfold increase in a just a decade .   GDP by value added ( edit )     Supply sector ( % of GDP in current prices )   1993 - 2001   2002 - 2005   2006 - 2009   2010 - 2013     Agriculture , forestry , and fishing   5.4   10.3   7.3   7.3     Mining   2.0   5.9   4.8   4.2     Manufacturing   18.5   23.2   19.8   16.8     Public utilities   2.2   1.7   2.3   3.1     Construction   5.5   3.9   6.2   5.6     Commerce and tourism   17.3   14.0   15.6   14.4     Transport and communications   8.3   8.7   7.3   6.7     Financial services   4.2   4.4   3.2   3.4     Real estate and business services   16.5   11.7   13.7   12.9     Public administration and defense   6.3   5.4   5.6   7.4     Health and education   8.4   6.9   8.9   11.9     Personal and other services   5.4   3.9   5.3   6.3     Total   100.0   100.0   100.0   100.0       Energy ( edit )  Main article : Energy in Argentina A YPF refinery . Atucha II Nuclear Power Plant under construction .  Electricity generation in Argentina totaled 133.3 billion Kwh in 2013 . The electricity sector in Argentina constitutes the third largest power market in Latin America . It mainly still relies on centralised generation by natural gas power generation ( 51 % ) , hydroelectricity ( 28 % ) , and oil - fired generation ( 12 % ) . Reserves of shale gas and oil in the Vaca Muerta oil field and elsewhere are estimated to be the world 's third - largest .   Despite the country 's large untapped wind and solar potential new renewable energy technologies and distributed energy generation are barely exploited . Wind energy is the fastest growing among new renewable sources . Fifteen wind farms have been developed since 1994 in Argentina , the only country in the region to produce wind turbines . The 55 MW of installed capacity in these in 2010 will increase by 895 MW upon the completion of new wind farms begun that year . Solar power is being promoted with the goal of expanding installed solar capacity from 6 MW to 300 , and total renewable energy capacity from 625 MW to 3,000 MW .   Argentina is in the process of commissioning large centralised energy generation and transmission projects . An important number of these projects are being financed by the government through trust funds , while independent private initiative is limited as it has not fully recovered yet from the effects of the Argentine economic crisis .   The first of the three nuclear reactors was inaugurated in 1974 , and in 2015 nuclear power generated 5 % of the country 's energy output .   The electricity sector was unbundled in generation , transmission and distribution by the reforms carried out in the early 1990s . Generation occurs in a competitive and mostly liberalized market in which 75 % of the generation capacity is owned by private utilities . In contrast , the transmission and distribution sectors are highly regulated and much less competitive than generation .   Infrastructure ( edit )  Main article : Transportation in Argentina Railway workers laying track on the Belgrano Railway , following state investment . Long distance passenger train operated by Trenes Argentinos . Aeroparque Jorge Newbery in Buenos Aires  Argentina 's transport infrastructure is relatively advanced , and at a higher standard than the rest of Latin America . There are over 230,000 km ( 144,000 mi ) of roads ( not including private rural roads ) of which 72,000 km ( 45,000 mi ) are paved , and 2,800 kilometres ( 1,700 mi ) are expressways , many of which are privatized tollways . Having tripled in length in the last decade , multilane expressways now connect several major cities with more under construction . Expressways are , however , currently inadequate to deal with local traffic , as over 12 million motor vehicles were registered nationally as of 2012 ( the highest , proportionately , in the region ) .   The railway network has a total length of 37,856 kilometres ( 23,523 mi ) , though at the network 's peak this figure was 47,000 km ( 29,204 mi ) . After decades of declining service and inadequate maintenance , most intercity passenger services shut down in 1992 following the privatization of the country 's railways and the breaking up of the state rail company , while thousands of kilometers fell into disuse . Outside Greater Buenos Aires most rail lines still in operation are freight related , carrying around 23 million tons a year . The metropolitan rail lines in and around Buenos Aires remained in great demand owing in part to their easy access to the Buenos Aires Underground , and the commuter rail network with its 833 kilometres ( 518 mi ) length carries around 1.4 million passengers daily .   In April 2015 , by overwhelming majority the Argentine Senate passed a law which re-created Ferrocarriles Argentinos as Nuevos Ferrocarriles Argentinos , effectively re-nationalising the country 's railways . In the years leading up to this move , the country 's railways had seen significant investment from the state , purchasing new rolling stock , re-opening lines closed under privatization and re-nationalising companies such as the Belgrano Cargas freight operator . Some of these re-opened services include the General Roca Railway service to Mar del Plata , the Tren a las Nubes tourist train and the General Mitre Railway service from Buenos Aires to Córdoba . while brand new services include the Posadas - Encarnación International Train .   Inaugurated in 1913 , the Buenos Aires Underground was the first underground rail system built in Latin America , the Spanish speaking world and the Southern Hemisphere . No longer the most extensive in South America , its 60 kilometres ( 37 mi ) of track carry a million passengers daily .   Argentina has around 11,000 km ( 6,835 mi ) of navigable waterways , and these carry more cargo than do the country 's freight railways . This includes an extensive network of canals , though Argentina is blessed with ample natural waterways as well , the most significant among these being the Río de la Plata , Paraná , Uruguay , Río Negro , and Paraguay rivers</t>
  </si>
  <si>
    <t xml:space="preserve">how much money does argentina make from tourism</t>
  </si>
  <si>
    <t xml:space="preserve"> According to World Economic Forum 's 2017 Travel &amp; Tourism Competitiveness Report , tourism generated over US $22 billion , or 3.9 % of GDP , and the industry employed more than 671,000 people , or approximately 3.7 % of the total workforce . Tourism from abroad contributed US $5.3 billion , having become the third largest source of foreign exchange in 2004 . Around 5.7 million foreign visitors arrived in 2017 , reflecting a doubling in visitors since 2002 despite a relative appreciation of the peso . </t>
  </si>
  <si>
    <t xml:space="preserve">Guatemala national football team - wikipedia  Guatemala national football team       This article needs additional citations for verification . Please help improve this article by adding citations to reliable sources . Unsourced material may be challenged and removed . ( January 2011 ) ( Learn how and when to remove this template message )     Guatemala       Nickname ( s )   La Azul y Blanco Los Chapines La Bicolor La Furia Azul     Association   National Football Federation of Guatemala     Confederation   CONCACAF ( North America )     Sub-confederation   UNCAF ( Central America )     Head coach   Walter Claverí     Captain   Vacant     Most caps   Carlos Ruíz ( 133 )     Top scorer   Carlos Ruiz ( 68 )     Home stadium   Estadio Mateo Flores     FIFA code   GUA            First colours   Second colours            FIFA ranking     Current   146 5 ( 7 June 2018 )     Highest   50 ( August 2006 )     Lowest   163 ( November 1995 )     Elo ranking     Current   79 ( 30 July 2018 )     Highest   40 ( April 1972 )     Lowest   105 ( February 2010 )     First international     Guatemala 10 -- 1 Honduras ( Guatemala City , Guatemala ; September 14 , 1921 )     Biggest win     Guatemala 10 -- 1 Honduras ( Guatemala City , Guatemala ; September 14 , 1921 )     Biggest defeat     Costa Rica 9 -- 1 Guatemala ( San José , Costa Rica ; July 24 , 1955 )     CONCACAF Championship &amp; Gold Cup     Appearances   18 ( first in 1963 )     Best result   Champions , 1967     The Guatemala national football team ( Spanish : Selección de fútbol de Guatemala ) is governed by the Federación Nacional de Fútbol de Guatemala . Founded in 1919 , it affiliated to FIFA in 1946 , and it is a member of CONCACAF .   The team has made three Olympic tournament appearances , competing at the 1968 , 1976 , and 1988 Olympic Games . Guatemala have never qualified for a finals tournament of the World Cup , although they have reached the final round of qualification on four occasions .   Guatemala won the 1967 CONCACAF Championship and the 2001 UNCAF Nations Cup . The team 's best performance in a CONCACAF Gold Cup was in 1996 , when they finished fourth . Felipe Juan Gaspar their top goal scorer , retired his career after the failure of his team to now win the gold cup . Guatemala has also earned a silver medal at the 1983 Pan American Games in Caracas , Venezuela . The national team kits are supplied by Umbro . Past kit suppliers include Atletica , Adidas and Puma .   Contents    1 History   2 Beginnings and first attempt in the elimination stage of the World Cup   3 Success in the 60 's   3.1 1967 CONCACAF Championship   3.2 1968 Olympic Games     4 21st century   4.1 2006 FIFA World Cup qualification   4.2 2010 FIFA World Cup qualification   4.3 2014 World Cup cycle   4.4 2016 suspension     5 Home stadium   6 Competitive Record   6.1 FIFA World Cup   6.2 CONCACAF Gold Cup Record   6.3 Copa Centroamericana record   6.4 Olympic record     7 Schedule and recent results   7.1 2016   7.2 2018     8 Players   8.1 Current squad   8.2 Recent call - ups   8.3 Most capped   8.4 Top scorers     9 Managers   10 Honors   11 See also   12 References   13 External links    History ( edit )   The national team , nicknamed `` la Azul y Blanco '' ( the blue and white ) , made its debut in the Independence Centenary Games held in Guatemala City in September 1921 , winning their first game 10 -- 1 against Honduras . In the final , Guatemala were defeated 6 -- 0 by Costa Rica . Guatemala entered a World Cup qualification process for the first time in 1958 .   Beginnings and first attempt in the elimination stage of the World Cup ( edit )   Guatemala created its first soccer team , made up of 22 players , on August 23 , 1902 . The team was split into two sides , blue and white . With time , clubs were made and eventually the Guatemalan National Team was created in 1921 . Guatemala had its first game on September 14 , 1921 against Honduras . The game was played in Guatemala City and Guatemala beat Honduras 10 to 1 .   Guatemala had success in several editions of the CCCF Championship ( Copa CCCF ) , precursor to the Concacaf Gold Cup ( Copa Concacaf ) , by being the runner up in three championships , 1943 , 1946 , and 1948 . In 1958 , Guatemala began participating in the qualifying rounds of the World Cup . It was placed in the first group , along with the teams from Costa Rica and the Netherlands Antilles . It placed last and was unable to score a single point .   Success in the 60 's ( edit )   Guatemala 's performance in the qualifying rounds began to improve in the beginning of the 1960s . In 1962 it was able to tie against both Costa Rica ( 4 -- 4 ) , while playing in Guatemala , and Honduras ( 1 -- 1 ) , while playing in Tegucigalpa . However , after being placed in the second group , it once again finished last .   Guatemala did not participate in the qualifying round in 1966 . Before the process of elimination began , the FIFA ( International Federation of Association Football ) refused Guatemala 's participation for administrative reasons .   The Guatemalan National Team joined Concacaf in 1961 . In 1967 it again showed the progress it had made when it participated in the Concacaf Gold Cup . For the first time and only time in its history , it placed first in the tournament . It was also the runner up in both 1965 and 1969 .   1967 CONCACAF Championship ( edit )  Main article : 1967 CONCACAF Championship  In 1967 , Honduras hosted the CONCACAF Championship . Guatemala began the tournament with a 2 -- 1 win against Haiti , followed by a 1 -- 0 win over defending champions Mexico , a 0 -- 0 draw against Honduras , a 2 -- 0 win over Trinidad and Tobago , and a 2 -- 0 win over Nicaragua , being crowned CONCACAF champions for the first time . Forward Manuel `` Escopeta '' Recinos was Guatemala 's top scorer with four goals , including the game - winning goal against Mexico .   Results     Rank   Team   Pts   Pld         GF   GA   GD       Guatemala   9   5       0   7     6       Mexico   8   5     0     10     9       Honduras   6   5                   Trinidad and Tobago     5     0     6   10   − 4     5   Haiti     5     0     5   9   − 4     6   Nicaragua     5   0         12   − 9     1968 Olympic Games ( edit )   In 1967 , Guatemala showed some major progress by qualifying for the 1968 Olympic Tournament in Mexico City . In the first round , they won 1 -- 0 against Czechoslovakia , and 4 -- 1 against Thailand , and lost to Bulgaria 2 -- 1 . They went on the next round where they lost to eventual champions Hungary 1 -- 0 .   21st century ( edit )   2006 FIFA World Cup qualification ( edit )   Prior to the qualification process , many fans saw Carlos Ruiz as the main focus in providing goals for the national team along with his compatriot but elder Juan Carlos Plata . Many other stars such as Fredy , Garcia , Gonzalo Romero , Guillermo Ramirez and Martin Machon were expected to play huge roles as well . In 2006 World Cup qualifying , Guatemala started off well , advancing to the third round by beating Suriname 4 -- 2 in the second round . In the third round they finished second behind Costa Rica in Group B tying at 10 points each , advancing to the final round . In the fourth round they started off well with a 0 -- 0 draw against Panama and a 5 -- 1 win against Trinidad and Tobago . Then followed a 2 -- 0 loss against United States and Mexico and a 3 -- 2 loss against Costa Rica , and after 3 losses in a row they finally won against Panama 2 -- 1 , then lost against Trinidad and Tobago 3 -- 2 , tied against United States 0 -- 0 and then lost to Mexico 5 -- 2 once again . Guatemala had 8 points with one game left , and a win and a Trinidad and Tobago loss against Mexico would get them to the playoff . They won 3 -- 1 against Costa Rica but Trinidad and Tobago beat Mexico 2 -- 1 , ending one of the best runs in Guatemala football history . They finished in 5th place , 2 points away from a possible World Cup spot . Juan Carlos Plata and Martin Machón had announced their retirement from International Football in 2006 .   2010 FIFA World Cup qualification ( edit )   After a third - place finish in the Uncaf Nations Cup in 2007 , having made the knockout stage in the Gold Cup of the same year , and a couple of satisfying friendly matches including a 3 -- 2 win against Mexico , many saw Hernan Dario Gomez as the next coach to lead Guatemala into the Hexagonal in the World Cup qualifying stage . However , after losing 5 -- 0 in early 2008 against a U-23 Argentine team , fans wanted Gomez out as coach and soon the Colombian would do so . In 2010 World Cup qualifying , expectations of being able to qualify for the tournament were set among the national team as Ramon Maradiaga had returned as coach after almost leading Guatemala to the World Cup 2006 . They began well by having advanced to the third round by defeating Saint Lucia in a 9 -- 1 aggregate in the second round . In the third round , Guatemala began with a 1 -- 0 home loss to the United States , with controversies surrounding Panamanian referee Roberto Moreno , who was arbitrating the match , including not awarding a penalty in the first half in the favor of Guatemala after a handball from Steve Cherundolo as well as Gustavo Cabrera being sent off after colliding with Eddie Lewis in the second half . In their second match of round 3 , Los Chapines were able to take home a draw in the closing minutes of the game against Trinidad and Tobago in Port of Spain after Carlos Gallardo deflected a free kick taken by Marco Pappa with his heels . On September 10 , Guatemala welcomed Cuba at home for their third match . Cuba shocked the Guatemala fans by taking the lead after Roberto Linares scored in the 25th minute however by halftime , Carlos Ruiz relieved the team with an equalizer . In the second half Carlos Ruiz scored once more , Mario Rodriguez and youngster Jose Manuel Contreras also scored and finished the game 4 -- 1 . With the win , they were able to collect 4 points , putting them in second place due to having a better goal difference that Trinidad and Tobago . The next two games were crucial in advancing to the next round . On October 11 , many fans have gathered around the Estadio Mateo Flores to support the national team in their home game against Trinidad and Tobago , heavily expecting a win . Despite being reduced to 10 men , the Soca Warriors were able to hold Guatemala to 0 -- 0 stalemate , disgruntling the national team and fans . With hopes of getting a result in Havana four days later , Guatemala were unable to even get a point against Cuba , falling down 1 -- 0 by halftime after Jaime Colome scored a penalty . Marco Pappa volleyed in an equalizer in the 80th minute , replenishing the confidence for the team but Urgelles was able to bring Cuba back on top in the 90th minute , complicating the hopes of Guatemala in qualifying for the World Cup with one game to spare . Meanwhile , the Trinidadians defeated the United States 2 -- 1 at home , putting them in second place . Maradiaga was fired soon right after and Benjamin Monterroso , a less ambitious coach was appointed , focusing on the upcoming edition of the Copa Uncaf the following January . A 2 -- 0 away loss against the US confirmed the elimination of the national team , having finished in third place with 5 points , thus missing out on the final round . In the Uncaf nations cup , Monterroso wanted to introduce more younger players into the starting line up such as Minor Lopez , Ricardo Jerez and Wilson Lalin but everything backfired after losing both group stage matches against Costa Rica and Panama as well as losing astonishingly 2 -- 0 to an inferior Nicaragua team in the play off match for the final berth to attend the next Gold Cup ; Minor Lopez was the lone goal scorer for Los Bicolores . As a result , the national team were inactive for the next two years and Benjamin Monterroso shamefully stepped down after two months in charge .   2014 World Cup cycle ( edit )   On May 2010 , Uruguayan born Paraguayan Ever Hugo Almeida was appointed as the next coach for Guatemala . At the 2011 Copa Centroamericana , formerly known as the `` UNCAF Nations Cup '' , Guatemala finished in fifth place , losing to Costa Rica 2 -- 0 and Honduras 3 -- 1 . In the fifth place match , they defeated Nicaragua 2 -- 1 to qualify to the 2011 Gold Cup .   At the 2011 Gold Cup , Guatemala drew against Honduras 0 -- 0 despite being reduced to nine men . In the next match , they suffer a loss against a physically superior Jamaica 2 -- 0 but managed to redeem themselves after having won against Grenada 4 -- 0 goals from Jose Javier Del Águila , Marco Pappa , Carlos Ruiz , and Carlos Gallardo . Placing among the best third place , they saw themselves advancing to the quarterfinals , where they lost against the reigning champions Mexico 2 -- 1 although a long ball from Elias Vasquez to Carlos Ruiz gave them the lead in the first half .   For the 2014 World Cup qualifiers , Guatemala opened the qualifying campaign in the second round by sweeping six wins in six games , advancing to the third round in the same group as USA , Jamaica and Antigua and Barbuda . Prior to the start of the third round , three of Guatemala 's key players Guillermo Ramirez , Gustavo Cabrera and Yony Flores were sent home during a practice session after teammates Carlos Ruiz and Luis Rodriguez heard of their involvement in money laundering and bribery in fixing multiple fixtures ; they were subsequently banned for life in participating in any football competition abroad or domestic .   The team had a rough start in an away loss to Jamaica with Dwight Pezzarossi only managing to pull back one goal in stoppage time . In the next match , Guatemala tied at home after Clint Dempsey managed to get a goal for the US , and Marco Pappa 's free kick later in the game managed to bring Guatemala one point . For the third game in a row , also at home , the team fell behind against Antigua and Barbuda . In the second half with the Antiguan goalkeeper Molvin James sent off for wasting time , Carlos Ruiz was able to score a brace making the game 2 -- 1 ; an additional goal from Dwight Pezzarossi eventually ended the game 3 -- 1 . Four days later , a lone goal from Carlos Ruiz sufficed for an away win against Antigua and Barbuda in North Sound .   In the next fixture , Guatemala beat Jamaica at home 2 -- 1 . In their last game , a minimum of a draw would be enough to get Guatemala to the final stage of the qualifiers . After taking the lead 1 -- 0 in the first five minutes thanks to Carlos Ruiz , the USA team returned the favor by scoring 3 goals to crush their hopes . Guatemala finished ten points behind the USA and Jamaica , losing out on goal difference to the Jamaicans .   In January 2013 , still led by Ever Almeida , Guatemala participated in the 2013 Copa Centroamericana . Consisted of mostly youngsters , Guatemala could only manage three draws in their group play ( 1 -- 1 against Nicaragua , 0 -- 0 to border rivals Belize and 1 -- 1 against Costa Rica ) , losing out to Belize for direct qualification to the Gold Cup . They faced Panama in the 5th place match for the final slot in the 2013 Gold Cup in the United States but lost 3 -- 1 . Ever Almeida stepped down in favour of technical director Victor Hugo Monzón .   2016 suspension ( edit )   On Oct 28 , 2016 , the Guatemalan football federation was suspended indefinitely by FIFA , after the international football governing body had appointed an oversight committee to look into allegations of corruption . FIFA stated that the Guatemalan federation ( FEDEFUT ) had rejected the committee 's mandate to run FEDEFUT 's business , organize elections , and modernize its statutes , and would remain barred from international competition until FEDEFUT ratified an extension of the mandate .   The suspension was lifted on May 31 , 2018 after FEDEFUT 's normalization committee became fully operational . However , as a consequence , the football team missed their chance on qualifing on the 2017 and 2019 CONCACAF Gold Cup tournaments as well as the qualifying rounds for the 2019 -- 20 CONCACAF Nations League and the 2017 Copa Centroamericana , as they missed deadlines to have their suspension lifted .   Home stadium ( edit )  Main article : Estadio Doroteo Guamuch Flores  The Estadio Nacional Mateo Flores , also known as Coloso de la Zona 5 , is a multi-use national stadium in Guatemala City , the largest in Guatemala . It was built in 1948 , to host the Central American and Caribbean Games in 1950 , and was renamed after long - distance runner Mateo Flores , winner of the 1952 Boston Marathon . It has a capacity of 26,000 seats .   Used mostly for football matches , the stadium has hosted the majority of the home matches of the Guatemala national football team throughout its history .   Competitive record ( edit )   FIFA World Cup ( edit )     Year   Round   GP         GS   GA     1930   Did not enter     1934     1938     1950     1954     1958   Did not qualify     1962     1966   Entry not accepted     1970   Did not qualify         1978     1982     1986             1998     2002     2006         2014     2018     2022   To be determined     Total   0 / 22                 CONCACAF Gold Cup Record ( edit )     Year   Round   GP         GS   GA     1963   Round 1           7   6     1965   Runner - up   5         11   5     1967   Champions   5       0   7       1969   Runner - up   5       0   10       1971   Did not qualify     1973   Fifth Place   5   0         6     1977   Fifth Place   5         8   10     1981   Did not qualify     1985   Round 1           7       1989   Fourth Place   6           7     1991   Round 1       0       5     1993   Did not enter       Fourth Place       0       5     1998   Round 1     0             2000   Round 1     0         5     2002   Round 1     0   0           2003   Round 1     0             2005   Round 1     0         9     2007   Quarter Finals             5     2009   Did not qualify     2011   Quarter Finals           5       2013   Did not qualify     2015   Round 1     0             2017   Disqualified due to FIFA Suspension     2019   Not eligible     Total   1 Title   69   19   20   30   82   88     Copa Centroamericana record ( edit )     Year   Round   GP         GS   GA     1991   Third Place     0       0       1993   Did not enter     1995   Runner - up       0       5     1997   Runner - up   5       0   10       1999   Runner - up   5         5       2001   Champions   5       0   9   5     2003   Runner - up   5         10       2005   Third Place   5         10   5     2007   Third Place   5               2009   Round 1     0   0       6     2011   Fifth Place       0       6     2013   Sixth Place     0         5     2014   Runner - up       0     7       2017   Disqualified due to FIFA Suspension     Total   1 Title   51   23   14   14   63   48     Olympic record ( edit )    1896 to 1924 -- Did not enter   1928 to 1964 -- Did not qualify   1968 -- Quarter finals -- 6th place   1972 -- Did not qualify   1976 -- Round 1   1980 to 1984 -- Did not qualify   1988 -- Round 1   1992 to 2016 -- Did not qualify    Note : Football at the Summer Olympics has been an under - 23 tournament since the 1992 edition .   Schedule and recent results ( edit )  See also : Guatemala national football team schedule and results   Key    Win Draw Loss   2016 ( edit )  Guatemala v United States    25 March 2018 FIFA World Cup Q -- Fourth Round   Guatemala   2 -- 0   United States   show Guatemala City , Guatemala     20 : 06 ( UTC − 6 )   Morales 7 ' Ruiz 16 '   Report ( FIFA ) Report ( CONCACAF )     Stadium : Estadio Mateo Flores Attendance : 18,313 Referee : Jafeth Perea ( Panama )        United States v Guatemala    29 March 2018 FIFA World Cup Q -- Fourth Round   United States   4 -- 0   Guatemala   show Columbus , United States     19 : 25 ( UTC − 4 )   Dempsey 12 ' Cameron 35 ' Zusi 46 ' Altidore 89 '   Report ( FIFA ) Report ( CONCACAF )     Stadium : Mapfre Stadium Attendance : 20,654 Referee : Valdin Legister ( Jamaica )        Guatemala v Armenia    28 May Friendly   Guatemala   1 -- 7   Armenia   show Carson , United States       Ruiz 7 '     Mkhitaryan 39 ' , 60 ' , 70 ' , 72 ' Manucharyan 45 ' Kadymyan 50 ' Badoyan 84 '   Stadium : StubHub Center Attendance : 8,000        Guatemala v Venezuela    June 1 Friendly   Guatemala   1 -- 1   Venezuela   show Fort Lauderdale , United States       Cardona 14 ' Tinoco 68 '   Report   Rondón 84 '   Stadium : Lockhart Stadium Attendance : 7,217 Referee : Javier Santos ( Puerto Rico )        Trinidad and Tobago v Guatemala    2 September 2018 FIFA World Cup Q -- Fourth Round   Trinidad and Tobago   2 -- 2   Guatemala   show Port of Spain , Trinidad and Tobago     19 : 00 ( UTC − 4 )   J. Jones 45 + 1 ' , 62 '   Report ( FIFA ) Report ( CONCACAF )   Ruiz 36 ' , 87 '   Stadium : Hasely Crawford Stadium Attendance : 20,147 Referee : Jhon Pitti ( Panama )        Guatemala v Saint Vincent and the Grenadines    6 September 2018 FIFA World Cup Q -- Fourth Round   Guatemala   9 -- 3   Saint Vincent and the Grenadines   show Guatemala City , Guatemala     18 : 15 ( UTC − 6 )   Tinoco 13 ' Ruiz 20 ' , 27 ' , 36 ' , 57 ' , 59 ' Arreola 55 ' Morales 78 ' Márquez 83 '   Report ( FIFA ) Report ( CONCACAF )   Anderson 10 ' , 29 ' McBurnette 90 '   Stadium : Estadio Mateo Flores , Guatemala City Attendance : 5,000 Referee : Kimbrell Ward ( Saint Kitts and Nevis )         2018 ( edit )  Argentina v Guatemala    7 September Friendly   Argentina     Guatemala   show Los Angeles , United States     20 : 00 ( PST )         Stadium : Los Angeles Coliseum         Players ( edit )   Current squad ( edit )   The following 23 players were called up for the 2018 FIFA World Cup qualifiers against Trinidad and Tobago on 2 September and Saint Vincent and the Grenadines on 6 September 2016 . Caps and goals updated as September 6 , 2016 after the game against Saint Vincent and the Grenadines .     No .   Pos .   Player   Date of birth ( age )   Caps   Goals   Club       1GK   Ricardo Jerez   ( 1986 - 03 - 04 ) March 4 , 1986 ( age 32 )   46   0   Deportivo Cali     12   1GK   Paulo Motta   ( 1982 - 03 - 29 ) March 29 , 1982 ( age 36 )   32   0   Municipal     21   1GK   José Carlos García   ( 1993 - 11 - 07 ) November 7 , 1993 ( age 24 )     0   Xelajú           2DF   Wilson Lalín   ( 1985 - 05 - 03 ) May 3 , 1985 ( age 33 )   27     Comunicaciones     6   2DF   Carlos Mejía   ( 1991 - 11 - 13 ) November 13 , 1991 ( age 26 )   19     Comunicaciones     14   2DF   Rafael Morales   ( 1985 - 05 - 16 ) May 16 , 1985 ( age 33 )   17     Comunicaciones     24   2DF   Moises Hernandez   ( 1992 - 03 - 05 ) March 5 , 1992 ( age 26 )   15   0   FC Dallas       2DF   Cristian Jiménez   ( 1995 - 04 - 26 ) April 26 , 1995 ( age 23 )   8   0   Municipal       2DF   Hamilton López   ( 1983 - 10 - 26 ) October 26 , 1983 ( age 34 )   8   0   Xelajú     15   2DF   Luis Cardona   ( 1990 - 02 - 05 ) February 5 , 1990 ( age 28 )   6   0   Municipal     5   2DF   Jefrey Payeras   ( 1993 - 10 - 16 ) October 16 , 1993 ( age 24 )     0   LA Galaxy II     13   2DF   Josué Aragón   ( 1984 - 10 - 12 ) October 12 , 1984 ( age 33 )     0   Marquense         10   3MF   José Contreras   ( 1986 - 01 - 19 ) January 19 , 1986 ( age 32 )   73   5   Comunicaciones     16   3MF   Marco Pappa   ( 1987 - 11 - 15 ) November 15 , 1987 ( age 30 )   57   11   Municipal     18   3MF   Jean Márquez   ( 1985 - 03 - 06 ) March 6 , 1985 ( age 33 )   44     Comunicaciones     23   3MF   Jorge Aparicio   ( 1992 - 11 - 25 ) November 25 , 1992 ( age 25 )   13   0   Slaven Belupo     22   3MF   Rodrigo Saravia   ( 1993 - 02 - 22 ) February 22 , 1993 ( age 25 )   6   0   Swope Park Rangers     11   3MF   Víctor Matta   ( 1990 - 03 - 16 ) March 16 , 1990 ( age 28 )     0   Municipal     19   3MF   José Rosales   ( 1995 - 01 - 01 ) January 1 , 1995 ( age 23 )     0   Malacateco         20   4FW   Carlos Ruiz ( Captain )   ( 1979 - 12 - 15 ) December 15 , 1979 ( age 38 )   133   68   Retired     7   4FW   Jairo Arreola   ( 1985 - 09 - 20 ) September 20 , 1985 ( age 32 )   24   0   Comunicaciones     9   4FW   Gerson Tinoco   ( 1988 - 11 - 02 ) November 2 , 1988 ( age 29 )   15   5   Comunicaciones     8   4FW   Mario Castellanos   ( 1982 - 05 - 19 ) May 19 , 1982 ( age 36 )   15     Cobán Imperial     17   4FW   Edi Danilo Guerra   ( 1991 - 12 - 24 ) December 24 , 1991 ( age 26 )     0   Municipal     Recent call - ups ( edit )   The following players have also been called up to the Guatemala squad within the last twelve months .     Pos .   Player   Date of birth ( age )   Caps   Goals   Club   Latest call - up     GK   David Guerra   ( 1979 - 05 - 28 ) May 28 , 1979 ( age 39 )     0   Universidad San Carlos   v. Venezuela , June 1 , 2016         DF   Jonathan López   ( 1988 - 05 - 10 ) May 10 , 1988 ( age 30 )   34   0   Marquense   v. Venezuela , June 1 , 2016     DF   Edwin Fuentes   ( 1991 - 02 - 22 ) February 22 , 1991 ( age 27 )     0   Marquense   v. Venezuela , June 1 , 2016     DF   José Carlos Pinto Samayoa   ( 1993 - 06 - 16 ) June 16 , 1993 ( age 25 )     0   Antigua GFC   v. Venezuela , June 1 , 2016     DF   Carlos Castrillo   ( 1985 - 05 - 16 ) May 16 , 1985 ( age 33 )   32   0   Comunicaciones   v. United States , March 29 , 2016     DF   Stefano Cincotta   ( 1991 - 02 - 28 ) February 28 , 1991 ( age 27 )   15     SV Elversberg   v. United States , March 29 , 2016         MF   Gerardo Arias   ( 1985 - 11 - 18 ) November 18 , 1985 ( age 32 )   9   0   Municipal   v. Venezuela , June 1 , 2016     MF   Luis Martínez   ( 1991 - 12 - 24 ) December 24 , 1991 ( age 26 )   6     Antigua GFC   v. Venezuela , June 1 , 2016     MF   Julián Priego   ( 1988 - 05 - 19 ) May 19 , 1988 ( age 30 )     0   Universidad San Carlos   v. Venezuela , June 1 , 2016     MF   Pedro Samayoa   ( 1985 - 11 - 18 ) November 18 , 1985 ( age 32 )     0   Municipal   v. Venezuela , June 1 , 2016     MF   Billy Torres   ( 1987 - 02 - 14 ) February 14 , 1987 ( age 31 )     0   Mictlán   v. Venezuela , June 1 , 2016     MF   Mafre Icuté   ( 1993 - 11 - 07 ) November 7 , 1993 ( age 24 )     0   Municipal   v. United States , March 29 , 2016     MF   Marco Rivas   ( 1991 - 04 - 20 ) April 20 , 1991 ( age 27 )     0   Municipal   v. United States , March 29 , 2016     MF   Kevin Arriola   ( 1991 - 08 - 03 ) August 3 , 1991 ( age 27 )     0   Xelajú   v. United States , March 29 , 2016         FW   Kendell Herrarte   ( 1992 - 04 - 06 ) April 6 , 1992 ( age 26 )   18   0   Antigua GFC   v. Venezuela , June 1 , 2016     FW   Jonathan Pérez   ( 1987 - 02 - 14 ) February 14 , 1987 ( age 31 )     0   Universidad San Carlos   v. Venezuela , June 1 , 2016     FW   Edwin Rivas   ( 1992 - 01 - 08 ) January 8 , 1992 ( age 26 )   0   0   Universidad San Carlos   v. Venezuela , June 1 , 2016        Most capped ( edit )     #   Player   Caps   Career       Carlos Ruiz   133   1998 -- 2016       Guillermo Ramírez *   104   1997 -- 2012       Gustavo Cabrera *   103   2000 -- 2012       Fredy Thompson   96   2001 --     5   Juan Carlos Plata   87   1996 -- 2010     6   Gonzalo Romero   83   2000 -- 2012     7   Julio Girón   82   1992 -- 2006     8   Edgar Estrada   80   1995 -- 2003     9   Mario Rodríguez   79   2003 -- 2013     10   Freddy García   73   2000 -- 2012     Players in bold text are still active with Guatemala . * Banned from Football on suspicions of fixing match results .     Top scorers ( edit )     #   Player   Goals   Career       Carlos Ruiz   68   1998 -- 2016       Juan Carlos Plata   35   1996 -- 2006       Carlos Toledo   25   1943 -- 1953       Mario Camposeco   23   1943 -- 1951     =   Freddy García   23   1998 -- 2012     6   Oscar Enrique Sánchez   19   1976 -- 1990     7   Dwight Pezzarossi   16   2000 -- 2012     =   Edwin Westphal   16   1985 -- 1998     =   Guillermo Ramírez *   16   1997 -- 2012     10   Juan Manuel Funes   15   1985 -- 2000     Players in bold text are still active with Guatemala . * Banned from Football on suspicions of fixing match results .      Managers ( edit )       Name   Period   Matches   Wins   Draws   Losses   Winning %   Notes     Roberto Figueredo   1930     0   0     00.0 %       Jimmy Elliott   1935   5   0       20.0 %       Manuel Felipe Carrera   1943   6         66.7 %   1943 CCCF Championship 2nd place     Juan Francisco Aguirre   1946   5         60.0 %       Juan Francisco Aguirre Manuel Felipe Carrera   1946   6         16.7 %       José Alberto Cevasco   1948   8         37.5 %   1948 CCCF Championship 2nd place     Enrique Natalio Pascal Palomini   1950   6         50.0 %       Juan Francisco Aguirre   1953                 Alfredo Cuevas   1955 -- 1957                 José Alberto Cevasco   1960 -- 1961                 Lorenzo Ausina Tur   1963                 César Viccino   1965                 Rubén Amorín   1967             1967 CONCACAF Championship     César Viccino   1968 -- 1969                 Lorenzo Ausina Tur   1969                 Carmelo Faraone   1971                 Afro Geronazzo   1971 -- 1972                 Rubén Amorín   1972                 Néstor Valdez Moraga   1972                 Rubén Amorín   1976                 Carlos Cavagnaro   1976                 Carlos Wellmann   1976                 José Ernesto Romero   1979                 Rubén Amorín   1980                 Carlos Cavagnaro                   Dragoslav Šekularac   1984 -- 1985                 Julio César Cortés                   Jorge Roldán   1988                 Rubén Amorín   1989 -- 1990                 Haroldo Cordón   1991                 Miguel Angel Brindisi   1992                 Jorge Roldán   1995             1995 UNCAF Nations Cup 2nd place     Juan Ramón Verón     11   6       54.6 %       Horacio Cordero     18   7   5   6   48.1 %       Miguel Angel Brindisi   1997 -- 1998   23   9   11     39.1 %   1997 UNCAF Nations Cup 2nd place     Carlos Bilardo Eduardo Luján Manera   1998   8         25.0 %       Benjamín Monterroso   1999   11       5   36.4 %   1999 UNCAF Nations Cup 2nd place     Carlos Miloc   2000   5   0       0.0 %       Julio César Cortés   2000 -- 2003   33   13   12   7   39.4 %   2001 UNCAF Nations Cup 2003 UNCAF Nations Cup ( Runner - up )     Víctor Manuel Aguado   2003   7         14.3 %       Ramón Maradiaga   2004 -- 2005   42   17   9   16   40.5 %       Hernán Darío Gómez   2006 -- 2008   21   5     12   23.8 %       Ramón Maradiaga   2008   5         50.0 %       Benjamín Monterroso   2008 -- 2009   5     0     20.0 %       Ever Hugo Almeida   2010 -- 2013   40   16   7   17   45.8 %       Víctor Hugo Monzón   2013     0       11.1 %       Sergio Pardo   2013     0   0     0.0 %       Ivan Franco Sopegno   2014 -- 2015   23   9     10   44.9 %   2014 Copa Centroamericana ( Runner - up )     Walter Claverí   2016 - Present   6         50 %       Honors ( edit )    CONCACAF Championship     Champions ( 1 ) : 1967   Runner - up ( 2 ) : 1965 , 1969     Copa Centroamericana     Champions ( 1 ) : 2001   Runner - up ( 5 ) : 1995 , 1997 , 1999 , 2003 , 2014   Third Place ( 3 ) : 1991 , 2005 , 2007     CONCACAF Men 's Pre-Olympic Tournament     Silver Medal ( 2 ) : 1976 , 1988     Pan American Games     Silver Medal ( 1 ) : 1983     U.S. Cup     Third Place ( 1 ) : 1999    See also ( edit )    Liga Nacional de Guatemala    References ( edit )    ^ Jump up to : Guatemala -- Record International Players RSSSF   Jump up ^ `` World Football Elo Ratings '' . eloratings.net . World Football Elo Ratings. 15 March 2018 . Retrieved 15 March 2018 .   Jump up ^ Courtney , Barrie ( 14 August 2008 ) . `` Guatemala International Soccer Matches Since 1920 '' . RSSSF . Retrieved 2 November 2010 .   Jump up ^ RSSSF.com : `` Guatemala -- List of International Matches '' ( en inglés )   Jump up ^ Rinke , Stefan ( 2014 ) . The FIFA World Cup 1930 -- 2010 . Wallstein Verlag : Göttingen . pp. 52 -- 53 . ISBN 9783835314573 .   Jump up ^ `` Preliminaries North , Central America and Caribbean '' . Fifa.com . Retrieved 2017 - 03 - 05 .   Jump up ^ `` CONCACAF NATIONS CUP 1967 '' . rsssf.com . Retrieved 2017 - 03 - 05 .   Jump up ^ Menchu , Sofia ( 2016 - 10 - 28 ) . `` FIFA suspends Guatemalan soccer federation , citing resistance to oversight '' . Reuters . Retrieved 2017 - 07 - 01 .   Jump up ^ `` Guatemala suspended from international football '' . Reuters. 2016 - 10 - 28 . Retrieved 2017 - 07 - 01 .   Jump up ^ ( 1 )   Jump up ^ `` History of the FIFA World Cup Preliminary Competition ( by year ) '' ( PDF ) . FIFA.com . Fédération Internationale de Football </t>
  </si>
  <si>
    <t xml:space="preserve">when was the last time guatemala went to the world cup</t>
  </si>
  <si>
    <t xml:space="preserve"> The team has made three Olympic tournament appearances , competing at the 1968 , 1976 , and 1988 Olympic Games . Guatemala have never qualified for a finals tournament of the World Cup , although they have reached the final round of qualification on four occasions . </t>
  </si>
  <si>
    <t xml:space="preserve">Macy 's Thanksgiving Day parade - wikipedia  Macy 's Thanksgiving Day parade  Jump to : navigation , search    Macy 's Thanksgiving Day Parade     Official 2014 88th Annual Parade poster     Presented by   Present : Matt Lauer ( 1998 -- present ) Savannah Guthrie ( 2012 -- present ) Al Roker ( 1995 -- present ) Previous : Dave Garroway ( 1952 -- 1961 ) Betty White ( 1962 -- 1970 ) Lorne Greene ( 1962 -- 1970 ) Ed McMahon ( 1971 -- 1981 ) Bryant Gumbel ( 1982 -- 1986 ) Willard Scott ( 1987 -- 1997 ) Deborah Norville ( 1989 -- 1990 ) Katie Couric ( 1991 -- 2005 ) Meredith Vieira ( 2006 -- 2010 ) Ann Curry ( 2011 )     Starring   Parade Executive Producer : Jean McFaddin ( 1977 -- 2000 ) Robin Hall ( 2001 -- 2010 ) Amy Kule ( 2010 -- present )     Composer ( s )   Macy 's NBC Brad Lachman Productions     Country of origin   United States     Original language ( s )   English     No. of episodes   90 ( as of November 24 , 2016 )     Production     Location ( s )   Central Park to Macy 's Herald Square , New York City , New York     Camera setup   Videotape ; multi-camera     Running time   3 hours ( with commercials )     Release     Original network   NBC     Picture format   480i ( SDTV ) , 1080i ( HDTV )     Original release   November 24 , 1927 ( 1927 - 11 - 24 ) -- November 22 , 1951 ( 1951 - 11 - 22 ) ( radio ) November 25 , 1948 ( 1948 - 11 - 25 ) -- present ( television )     Chronology     Related shows   Macy 's Fourth of July Fireworks Macy 's Ballonfest My Macy 's Holiday Parade Lighting of the Macy 's Great Tree Christmas in Rockefeller Center     External links     Website   social.macys.com/parade/    Santa Claus ' arrival at the parade 's finale marks the start of the Christmas season . A balloon being inflated by the Steven 's Inflation Crew during training at Giants Stadium .  The annual Macy 's Thanksgiving Day Parade in New York City , the world 's largest parade , is presented by the U.S. - based department store chain Macy 's . The tradition started in 1924 , tying it for the second - oldest Thanksgiving parade in the United States with America 's Thanksgiving Parade in Detroit ( with both parades being four years younger than the 6abc Dunkin ' Donuts Thanksgiving Day Parade in Philadelphia ) . The three - hour Macy 's event is held in Manhattan starting at 9 : 00 a.m. Eastern Standard Time on Thanksgiving Day , and has been televised nationally on NBC since 1952 .     Contents  ( hide )   1 History   2 Balloon introductions   2.1 Falloon   2.2 Balloonicle     3 Float introductions   4 Performers and acts   4.1 Featured performers   4.2 Broadway shows   4.3 Marching bands   4.4 Special guests     5 Television coverage   6 Parade route   7 Macy 's Holiday Parade   8 Injuries   9 In popular culture   10 References   11 External links      History  The former Macy 's Parade logo ( used until 2005 , with a special edition variant being used in the 2006 Parade ) . The Macy 's Parade logo used in 2006 . Balloons , from left : Uncle Sam , Tom Turkey , Macy 's Star , Gnome , Toy Soldier , Chloe the Clown .  In 1924 , the annual Thanksgiving parade started by Louis Bamberger in Newark , New Jersey at the Bamberger 's store was transferred to New York City by Macy 's . In New York , the employees marched to Macy 's flagship store on 34th Street dressed in vibrant costumes . There were floats , professional bands and live animals borrowed from the Central Park Zoo . At the end of that first parade , as has been the case with every parade since , Santa Claus was welcomed into Herald Square . At this first parade , however , the Jolly Old Elf was enthroned on the Macy 's balcony at the 34th Street store entrance , where he was then `` crowned '' `` King of the Kiddies . '' With an audience of over 250,000 people , the parade was such a success that Macy 's declared it would become an annual event .   Anthony `` Tony '' Frederick Sarg loved to work with marionettes from an early age . After moving to London to start his own marionette business , Sarg moved to New York City to perform with his puppets on the street . Macy 's heard about Sarg 's talents and asked him to design a window display of a parade for the store . Sarg 's large animal - shaped balloons , produced by the Goodyear Tire and Rubber Company in Akron , Ohio , replaced the live animals in 1927 . A popular belief was that a balloon version Felix the Cat balloon was the first ever character balloon in the parade back in 1937 , with Macy 's also claiming that too , but Felix actually made his first appearance in 1931 .   At the finale of the 1928 parade , the balloons were released into the sky , where they unexpectedly burst . The following year , they were redesigned with safety valves to allow them to float for a few days . Address labels were sewn into them , so that whoever found and mailed back the discarded balloon received a gift from Macy 's .   Through the 1930s , the Parade continued to grow , with crowds of over one million people lining the parade route in 1933 . The first Mickey Mouse balloon entered the parade in 1934 . The annual festivities were broadcast on local radio stations in New York City from 1932 to 1941 , and resumed in 1945 , running through 1951 .   The parade was suspended from 1942 to 1944 as a result of World War II , owing to the need for rubber and helium in the war effort . The parade resumed in 1945 using the route that it followed until 2008 . The parade became known nationwide after being prominently featured in the 1947 film , Miracle on 34th Street , which included footage of the 1946 festivities . The event was first broadcast on network television in 1948 ( see below ) . By this point the event , and Macy 's sponsorship of it , were sufficiently well - known to give rise to the colloquialism `` Macy 's Day Parade '' . Since 1984 , the balloons have been made by Raven Aerostar ( a division of Sioux Falls , South Dakota - based Raven Industries ) .   Macy 's also sponsored the smaller Celebrate the Season Parade in Pittsburgh , Pennsylvania , which is held two days after the main event , from 2006 to 2013 . Other American cities also have parades held on Thanksgiving , none of which are run by Macy 's . The nation 's oldest Thanksgiving parade ( the Gimbels parade , which has had many sponsors over the years , and is now known as the 6abc Dunkin ' Donuts Thanksgiving Day Parade ) was first held in Philadelphia in 1920 . Other cities with parades on the holiday include the McDonald 's Thanksgiving Parade in Chicago , Illinois and parades in Plymouth , Massachusetts ; Seattle , Washington ; Houston , Texas ; Detroit , Michigan ; and Fountain Hills , Arizona . A parade is also held at the two Disney theme parks , Disneyland Resort and Walt Disney World Resort . There is also a second Thanksgiving balloon parade within the New York metropolitan area , the UBS balloon parade in Stamford , Connecticut , located 30 miles ( 48 km ) away ; that parade is held the Sunday before Thanksgiving , so as to not compete with the parade in New York City and usually does not duplicate any balloon characters .   The classic `` Macy 's Thanksgiving Day Parade '' logo ( seen below ) was , with one exception , last used in 2005 . For 2006 , a special variant of the logo was used . Every year since then , a new logo has been used for each parade . The logos however are seen rarely , if at all , on television as NBC has used its own logo with the word `` Macy 's '' in a script typeface and `` Thanksgiving Day Parade '' in a bold font . The logos are assumed to be for use by Macy 's only , such as on the Grandstand tickets and the ID badges worn by parade staff . The Jackets worn by parade staff still bear the original classic parade logo , this being the only place where that logo can be found .   New safety measures were incorporated in 2006 to prevent accidents and balloon - related injuries . One measure taken was the installation of wind measurement devices to alert parade organizers to any unsafe conditions that could cause the balloons to behave erratically . In addition , parade officials implemented a measure to keep the balloons closer to the ground during windy conditions . If wind speeds are forecast to be higher than 34 miles per hour ( 55 km / h ) , all balloons are removed from the parade .   Balloon introductions   Since 2013 , the balloons in the Macy 's Thanksgiving Day Parade have come in two varieties . The first ( and older of the two ) is the novelty balloon class , consisting of smaller balloons ; the novelty balloons range widely in size and are handled by between one and thirty people ( the smallest novelty balloons are shaped like human heads and fit on the actual heads of the handlers ) . The second and more widely known is the full - size balloon class , primarily consisting of licensed pop - culture characters ; each of these is handled by exactly 90 people . From 2005 to 2012 , a third balloon class , the `` Blue Sky Gallery , '' transformed the works of contemporary artists into full - size balloons .   The following is a list of balloons that have , over the years , been featured in the Macy 's Thanksgiving Day Parade , sorted by their first year in the lineup . Underlined items indicate entries in the Blue Sky Gallery .     Year   Balloons     1931   Felix the Cat , Mama , Papa and Baby     1934   Mickey Mouse , Eddie Cantor ( the only full - size balloon to be based on a living person ) ; ,     1935   The Marx Brothers ( after Zeppo Marx 's departure ) , Donald Duck     1937   Dragon , Christmas Stocking     1938   Uncle Sam     1939   The Tin Man , Pinocchio , Santa Claus     1940   Hippo , Superman     1941   The Football Player ( Redesigned version of Superman Balloon )     1945   Bobo the Hobo ( Clown ) , Acrobat , Teddy Bear , Pumpkin , Ice Cream Cone     1946   The Baseball Player ( Redesigned version of Bobo the Hobo ) , Panda Bear ( Redesigned version of Teddy Bear balloon ) , Pilgrim Father     1947   Pirate , The Police officer ( Redesigned version of The Baseball Player ) , Elf Gnome ( Redesigned version of Ice Cream Cone balloon )     1948   The Fireman ( Redesigned version of The Police Officer )     1949   Toy soldier     1950   The Dachshund     1951   Lucky Pup , Mighty Mouse , Flying fish     1954   Spaceman     1957   Popeye     1960   Happy Dragon     1961   Bullwinkle J. Moose     1962   Donald Duck ( 2nd version )     1963   Dino , Elsie the Cow     1964   Linus the Lionhearted     1965   Underdog     1966   Smokey Bear , Superman ( 2nd version )     1968   Aviator Snoopy     1969   Astronaut Snoopy ( 2nd version , a tribute to Apollo 11 )     1972   Smile ( Happy Face ) , Mickey Mouse ( 2nd version )       Weeble     1977   Kermit the Frog     1980   Superman ( 3rd version , largest balloon to appear in parade )     1982   Olive Oyl , Woody Woodpecker       Yogi Bear     1984   Garfield , Raggedy Ann     1985   Betty Boop , Ornament Novelty Balloons     1986   Humpty Dumpty ( Redesigned version of Weeble balloon , and the 100th Balloon in the Parade 's history ) , Olive Oyl with Swee'Pea ( Alteration to existing Olive Oyl Balloon ) , Baby Shamu       Ice Cream Cone Novelty Balloon , Spider - Man , Ronald McDonald , Ice Skating Snoopy ( 3rd version ) , Snuggle Bear     1988   Big Bird , Quik Bunny , Pink Panther , Winter Snoopy ( 4th version ) and Woodstock     1989   Bugs Bunny     1990   Clifford the Big Red Dog , Bart Simpson     1991   Babar the Elephant     1992   Novelty Pumpkins ( Recreation of 1945 Pumpkin ) , Santa Goofy     1993   Beethoven ( dog ) , Sonic the Hedgehog ( first video game character in parade history ) , Rex , Izzy , Wiggle Worm     1994   Cloe the Holiday Clown , Barney the Dinosaur , The Cat in the Hat     1995   Dudley the Dragon , FujiFilm 's Blimp , SkyDancer , Eben Bear ( Redesigned version of Snuggle Bear Balloon )       Rocky and Bullwinkle ( 2nd version for Bullwinkle , first animated helium balloon in the parade 's history ) , Harold the Fireman ( Re-Creation of 1948 `` The Fireman '' balloon ) , Flying fish ( Re-creation of 1950 `` Flying Fish '' balloon ) , Peter Rabbit     1997   Arthur , Rugrats , Bumpe the Cow , Ms. Petula Pig     1998   Babe the Pig , Wild Thing , Dexter     1999   Millennium Snoopy ( 5th version ) , Honey Nut Cheerios Bee , Blue     2000   Bandleader Mickey Mouse ( 3rd version ) , Beret Tommy Pickles ( minor alteration to existing Rugrats Balloon ) , Jeeves , Ronald McDonald ( 2nd version ) , Dragon Tales ' Cassie , Charlie the Blue Elf Gnome ( Recreation of 1940 's Elf balloon )     2001   Toy Soldier ( Recreation of 1950 's Toy Soldier ) , Yellow 75th Parade Stars , Curious George , Pikachu , 75th Parade Snoopy ( Alteration to existing Millennium Snoopy Balloon ) , Big Bird ( 2nd version ) , Happy Hippo ( Re-Creation of 40 's Hippo Balloon ) , Jimmy Neutron , Cheesasaurus Rex , 60th Anniversary Tuxedo Honey Nut Cheerios Bee ( Alteration to existing Honey Nut Cheerios Bee Balloon )     2002   Uncle Sam ( Recreation of 1930 's Uncle Sam balloon ) , Yellow Parade Logo Stars , Charlie Brown and the Allusive Football , Little Bill ( First African - American character to appear in the parade ) , Mr. Monopoly , Kermit the Frog ( 2nd version ) , Macy 's Red Stars     2003   Gorgeous Gobbler ( Recreation of 1940 's Turkey balloon ) , Novelty Pumpkins ( Second Version ) , Strike up the Band Barney ( 2nd version ) , Freda The Dachshund ( Recreation of 1950s Dachshund balloon ) , Super Grover , Garfield ( 2nd version )       Chicken Little , M&amp;M 's Red and Yellow Brighten the Holidays , Wiggle Worm ( Second Version ) , Jeeves with a new suit ( alteration of existing Jeeves Balloon ) , SpongeBob SquarePants , Red Candy Cane . Kit and C.J. Elf Gnomes     2005   Cloe the Holiday Clown ( 2nd Version ) , Scooby - Doo , Tom Otterness 's `` Humpty Dumpty '' , Dora the Explorer ( First Latino character to appear in parade ) , Healthy Mr. Potato Head , JoJo     2006   80th Anniversary Hot Air Balloon , Macy 's Yellow Stars , Snoopy as the Flying Ace ( 6th version ) , Pikachu with Poké Ball ( 2nd version , first balloon with light up features , In Pikachu 's case , to light up his cheeks ) , Green Candy Cane     2007   Abby Cadabby , Supercute Hello Kitty , Shrek , Jeff Koons 's `` Rabbit '' , Artie the Pirate ( Recreation of 1940s Pirate balloon ) , Planet Earth , Soccer Ball     2008   Smurf , Keith Haring 's `` Figure with Heart '' , Buzz Lightyear , 150 Years Golden TriStar , Horton the Elephant , Green Believe Star     2009   Spider - Man ( 2nd version ) , Ronald McDonald ( third Version ) , Basketball , Sailor Mickey ( fourth version ) , Pillsbury Doughboy , Big Man Santa , Red Believe Stars       Diary of a Wimpy Kid , Takashi Murakami 's `` Kaikai and Kiki '' , Po from Kung Fu Panda , Virginia O'Hanlon     2011   Sonic the Hedgehog ( second version ) , Harold the Police Officer ( recreation of 1940 's `` The Police Officer '' balloon ) Paul Frank 's `` Julius The Sock Monkey '' , Tim Burton 's `` B '' , Gazor Elf ( Winner of the Design an Elf contest that was held on the Macy 's website )     2012   Hello Kitty ( second version ) , Novelty pumpkins ( third version ) , Happy Dragon ( Recreation of older Happy Dragon balloon ) Papa Smurf , Kaws 's `` Companion '' , The Elf on the Shelf     2013   Snoopy and Woodstock ( seventh version for Snoopy , Second Version for Woodstock ) , Happy Hippo ( New version of 2001 Happy Hippo balloon ) , SpongeBob SquarePants ( second version ) , How to Train Your Dragon 's Toothless , The Wizard of Oz 75th Anniversary Hot Air Balloon , Adventure Time with Finn and Jake     2014   Thomas the Tank Engine ; Paddington Bear ( 2nd Time , first time as a Balloon ) ; Red Mighty Morphin Power Ranger , Skylanders ' Eruptor , Pikachu ( third version ) ; Pillsbury Doughboy ( Second Version , Identical to first version )     2015   Scrat and his Acorn , Ronald McDonald ( fourth version ) ; Angry Birds Red ; Dino ( second version )     2016   Charlie Brown ( Second version ) , Trixie the Dog , Diary of a Wimpy Kid ( second version ) , DreamWorks Trolls , Felix the Cat ( Second Version )     2017   Jett , Olaf , Chase , The Grinch ( 2nd Version , first time as a Balloon ) , Harold the Baseball Player ( Re-creation of 1946 `` The Baseball Player '' Balloon ) , Golden Snowflake Stars , Blue and White Star     Falloon   A falloon , a portmanteau of `` float '' and `` balloon '' , is a float - based balloon . They were introduced in 1990 .     Year   Falloon     1990   Paddington Bear     1991   Humpty Dumpty , Giant Baseball and Glove     1993   Little Drummer Boy , Jester     1994   Sea Venture     1995   M&amp;M 's Chocolate Factory       The Family Channel ( Later Fox Family ) Snow Family     1997   The Grinch , Jello     1998   M&amp;M 's Network , Heimlich from A Bug 's Life , Rudolph the Red - Nosed Reindeer     1999   Pets.com sock puppet     2000   Green Dog     2001   Percy the Penguin       Universal Orlando Resort Holiday Beat     2005   Hi Hi Puffy AmiYumi     2008   The Smurfs Mushroom House , Bolt     2011   Universal Orlando Resort PB Polar Bear     Balloonicle   A balloonicle , a portmanteau of `` balloon '' and `` vehicle '' , is a self - powered balloon vehicle . They were introduced in 2004 .     Year   balloonicle       Weebles ' Tibbey , Tooey and Bumpus     2005   SnowBo     2006   Energizer Bunny       Kool - Aid Man , Holiday Ornament , Blue Holiday Ornament     2011   Sledding Aflac Duck     2013   Dreidel , Gelt the Snowman ( Universal Orlando Only )     2014   Ice Skating Aflac Duck ( 2nd Version ) , Cloe the Holiday Clown ( 3rd Version )     2015   Tom Turkey ( Universal Orlando Only )     2016   Mother Ginger     2016   Aflac Duck ( 3rd Version )     Float introductions     Year   Floats     1971   Tom Turkey ( later sponsored by The E.W. Scripps Company )       Sesame Street     1979   Sesame Street     1981   New York Daily News Big Apple     1984   Fraggle Rock , Care Bears .     1985   Masters of the Universe , Rainbow Brite .       Marvel Comics     1991   Rock - A-Doodle     1994   Sesame Street reading and writing     1995   Macy 's Santaland Express       101 Dalmatians , Barney 's Westward Ho ! Wagon , Animal Planet     1998   Barney 's Gingerbread House , Sesame Street Pop - up Book     1999   Barney 's Night Before Christmas ( 2nd float )     2000   102 Dalmatians , Santa 's Sleigh with the Goose ( 2nd Edition ) , Delta Airlines , Ronald 's Big Red Shoe Car     2001   PokeMobile , Kitty Car , 75th Parade All Stars , World Wrestling Federation Get Real , Bob the Builder , Hallmark Entertainment 's Dinotopia     2002   Barney 's Playtime in The Park ( 3rd float ) , The Hershey Company 's Kids Candy Creation Lab , Macy 's Marion - Carole `` Showboat '' , Lego 's Carousel Of Imagination , Angelina Ballerina , Build - a-Bear Workshop Teddy Bear 's Workshop , Sesame Street International .     2003   Hess Corporation Bridge to the Future , Eckō Unltd. 's Expedition To Rhino Mountain , Big Comfy Couch , Amica Mutual Insurance American Classic Malt Shop , United States Postal Service 's Spirit Of America / American Eagle , Jolly Polly Pirate Ship .       123 Sesame Street , Tutenstein , Chitty Chitty Bang Bang car , Royal Caribbean International Voyage to Adventure , Georgia - Pacific Krazy Kritters , Fisher - Price The Magic of Childhood , Barbie as the Princess and the Pauper , NFL Classic , Spirit of America Pep Rally .     2005   The Polar Express , Walt Disney World 50th Anniversary of Disney Park Magic , Barbie and the Magic of Pegasus , Pillsbury Company , Animal Planet ( 2nd Edition ) .     2006   Barbie &amp; the 12 Dancing Princesses , Doodlebug , Foster 's Home for Imaginary Friends , Mother Goose , Greendog 's Space Station Discovery , Snoopy 's Doghouse , Charlotte 's Web , History Channel 's New York Tin Toy .     2007   The Care Bears Winter Fun - Derland , International Cele - Bear - Ation Clock Tower , M&amp;M 's Chocolate Candies on Broadway , Music Bigger than Life , Barbie as the Island Princess .     2008   My Princess Academy Castle of Dreams , Gwen Stefani 's Harajuku Lovers , Oneida Indian Nation True Spirit of Thanksgiving , Musical Innovation Bigger Than Life , Jimmy Dean Shine On , Ocean Spray Woodland Family Gathering , Delta Airlines Winter Wonderland in Central Park .     2009   Hamburger Helper Local Heroes Helping Everyday , Santa 's Sleigh ( 3rd Edition ) , Yo Gabba Gabba ! There 's a Party in My City       South Dakota Great Faces Great Places Mount Rushmore 's American Pride , Morton Salt Home Baked Goodness , Dora 's Christmas Carol Adventure , Homewood Suites On the Roll Again , Office Max Elves Raise the Roof , Despicable Me , Pokémon Black and White 's Reshiram and Zekrom ,     2011   Universal Orlando Resort 's P.B. Polar Bear , Zhuniverse , National Hockey League Frozen Fall Fun , Macy 's Gift of Freedom ( Statue of Liberty ) , Planters ' Nut Mobile ( second Edition ) , 85th Parade All Stars     2012   Sprout Daytime , Play Time , Night Time Too ; Goldfish on Parade , Gibson Guitar Corporation Music Is Our Life , 75th Anniversary of March Madness , Domino Sugar Stirrin ' Up Sweet Sensations , Teenage Mutant Ninja Turtles     2013   The Enchanting World of Lindt Chocolate , Royal Caribbean International Windows to the World at Sea , Uncle Sam 's Top Hat by Drake 's , SeaWorld Sea of Surprises , Viking Confetti Catapult , Despicable Me 2 Delicious Yet Despicable , Cirque du Soleil 's Dreamseeker     2014   Cracker Jack at the Ball Game , Goldieblox Girl Powered Spinning Machine , Dora and Friends Aventuras Fantásticas , Pirate 's Booty Treasure Hunt , Sino - American Friendship Association 's Beauty of Beijing     2015   Spirit of America 's Big City Cheer , National Hockey League , Sino - American Friend Association 's Stone Forest of Kunming , KFC The Colonel 's Trip to NYC , Avocados from Mexico Casa Fresca Café , Sprout Free to Play , Build - A-Bear Workshop Discover Adventure , Ocean Spray The Cranberry Co-Operative , Macy 's Hearts Peanuts ( 2nd version of Snoopy 's Doghouse float ) , Hallmark Channel Heartwarming Holiday Countdown     2016   Balsam Hill Oh Christmas Tree , King 's Hawaiian The Aloha Spirit , Krazy Glue Fun House , Girl Scouts of the USA Building a Better World , Sino - American Friend Association China 's Chengdu     Performers and acts   In addition to the well - known balloons and floats , the Parade also features live music and other performances . College and high school marching bands from across the country participate in the parade , and the television broadcasts feature performances by established and up - and - coming singers and bands . The Rockettes of Radio City Music Hall are a classic performance as well ( having performed annually since 1957 as the last of the pre-parade acts to perform ) , as are cheerleaders and dancers chosen by the National Cheerleaders Association from various high schools across the country . The parade concludes with the arrival of Santa Claus to ring in the Christmas and holiday season .   On the NBC telecast from in front of the flagship Macy 's store on Broadway and 34th Street , the marching bands perform live music . Most `` live '' performances by musicals and individual artists lip sync to the studio , soundtrack or cast recordings of their songs , due to the technical difficulties of attempting to sing into a wireless microphone while in a moving vehicle ( performers typically perform on the floats themselves ) ; the NBC - flagged microphones used by performers on floats are almost always non-functioning props . Live performances with no use of recorded vocals , are very rare in the parade .   Featured performers     Year   Performers     2002   Ashanti , LeeAnn Womack , Josh Groban , Baha Men , Michael Feinstein , Mario , No Secrets , Natural , Play , Jill Hennessy , F. Murray Abraham , Kermit the Frog and Miss Piggy , Jamie - Lynn Sigler , Vince McMahon , Good Morning , Miami cast , Justin Guarini , Joe Lawrence , Matt Gallant , Jeff Corwin , Patty Duke , Judy Kaye , Joe from Blue 's Clues , Eric Martsolf , and The Wiggles     2003   Hilary Duff , Chicago , Aaron Carter , Mýa , Kool and the Gang , Stacie Orrico , Ruben Studdard , Clay Aiken , Judy Collins , Simple Plan , Peter Nero , Ann Hampton Callaway , Peter Cincotti , Old Crow Medicine Show , A Christmas Carol cast , Harry Connick Jr. , Bernie Williams , and Harvey Fierstein       Kelsey Grammer , Brooke Shields , Jimmy Smits , Andrea Bocelli , Fantasia Barrino , Tony Shalhoub , Joe Namath , Tony Dorsett , Passions cast , Deborah Voigt , Steve Irwin , Nikki Cox , Jennifer Finnigan , Josh Cooke , Barenaked Ladies , Gavin DeGraw , Peter Cetera , José Feliciano , Ryan Cabrera , Nina Sky , Hi - 5 , Raven - Symoné , Jeff Timmons , Hayley Westenra , and Bering Strait     2005   Harry Connick Jr. , Adrien Brody , Amy Grant , Christina Applegate , LeAnn Rimes , John Krasinski , Rainn Wilson , Aaron Neville , Brian McKnight , Peter Reckell , Carrie Underwood , Kristin Chenoweth , Tommy Tune , The Beach Boys , Jai Rodriguez , Jeff Corwin , Keegan - Michael Key , Aly &amp; AJ , B5 , Natasha Bedingfield , The Cheetah Girls , Rita Coolidge , The Click Five , Tiffany Evans , Michael Feinstein , Brie Larson , Puffy AmiYumi , and Rihanna     2006   Julie Andrews , Laurie Berkner , Chris Brown , RBD , Cheyenne , Ciara , Miley Cyrus , Diana DeGarmo , Gloria Estefan , Renee Fleming , Big Apple Circus , Natalie Grant , Hall &amp; Oates , High School Musical cast , Jonas Brothers , Josh Kelley , Darlene Love , Barry Manilow , Sarah McLachlan , Tara Conner , Sandi Patty , John Tartaglia , Ali Larter , Denise Van Outen , and Connie Britton     2007   Ashley Tisdale , Bindi Irwin , Terri Irwin , Corbin Bleu , Dolly Parton , Good Charlotte , Jonas Brothers , Lifehouse , Menudo , Ne - Yo , Nikki Blonsky , Sarah Brightman , Jonathan Groff , Lea Michele , Wynonna Judd , and Jordin Sparks     2008   Kristin Chenoweth , Darius Rucker , James Taylor , Charice Pempengco , Miranda Cosgrove , Miley Cyrus , David Archuleta , Shontelle , Idina Menzel , Rick Astley ( as part of a Rickroll during the parade ) , Ashanti , Tony Bennett , Harry Connick Jr. , Faith Hill , Push Play , and The Clique Girlz     2009   Tiffany Thornton , Kermit the Frog , Keke Palmer , Andrea Bocelli , Bello Nock , Big Apple Circus , Boys Like Girls , Alan Cumming , Billy Currington , Yo Gabba Gabba ! cast , Jimmy Fallon and The Roots ( Late Night with Jimmy Fallon ) , Gloria Gaynor , Emily Hughes , Jane Krakowski , Katharine McPhee , Sesame Street cast , Mitchel Musso , Pizzarelli Quartet , Jay Sean , Ziggy Marley , and Carly Simon       Kylie Minogue , Carrie Underwood , Kanye West , Jessica Simpson , Gladys Knight , India. Arie , Big Time Rush , Big Apple Circus , Arlo Guthrie , Betty Buckley , Ann Hampton Callaway , Miranda Cosgrove , Isabella Collins , Gloriana , Michael Grimm , Juanes , Keri Hilson , Eric Hutchinson , Victoria Justice , Mannheim Steamroller , Jimmy Fallon and The Roots ( Late Night with Jimmy Fallon ) , Sesame Street cast and Muppets , Kyle Swann , Rima Fakih , the cast of Power Rangers Samurai , Crystal Shawanda , Joan Rivers , and Melissa Rivers     2011   The Cast of Spider - Man : Turn Off the Dark , Rodney Atkins , Big Apple Circus , Mary J. Blige , Cobra Starship , Neil Diamond , Michael Feinstein , The Fresh Beat Band , Cee Lo Green , Avril Lavigne , Shelby Lynne , Mannheim Steamroller , China Anne McClain , Scotty McCreery , Ingrid Michaelson , Sesame Street cast and Muppets , Savannah Outen , the cast of Power Rangers Samurai , Daniel Radcliffe , Miss America 2011 Teresa Scanlan , Willard Scott , Sarah Smithson , Straight No Chaser , United States Naval Academy Glee Club , Johnny Weir , Zendaya and the Nickelodeon Queens     2012   Kareem Abdul - Jabbar , Trace Adkins , Flo Rida , the Big Apple Circus , Colbie Caillat , Teresa Castillo , Rachel Crow , Thirza Defoe , Jimmy Fallon and The Roots ( Late Night with Jimmy Fallon ) , Whoopi Goldberg , Chris Isaak , Carly Rae Jepsen , Karmin , Christian Laettner , Sandra Lee , Mannheim Steamroller , Jennette McCurdy , Don McLean , Megan &amp; Liz , Olivia Culpo , the cast of Sesame Street , Neon Trees , the cast of Power Rangers Megaforce , Cody Simpson , Gabby Douglas , McKayla Maroney , Aly Raisman , Kyla Ross and Jordyn Wieber , PS22 Chorus , The Wanted , Geoffrey Zakarian , and The Kidz Bop Kids .     2013   The cast of NBC 's The Sound of Music Live ! , Debby Ryan , Big Apple Circus , Cherokee National Youth Choir , the cast of The Sunny Side Up Show , Cirque du Soleil , Gavin DeGraw , Brett Eldredge , Fall Out Boy , The Summer Set , Jimmy Fallon and The Roots ( Late Night with Jimmy Fallon ) , the cast of Sesame Street , Fifth Harmony , Florida Georgia Line , Goo Goo Dolls , Ariana Grande , Jack Hanna , Megan Hilty , Joan Jett and the Blackhearts , Sharon Jones &amp; The Dap - Kings , Sandra Lee , Cher Lloyd , Austin Mahone , Richard Simmons , Mannheim Steamroller , Miss America 2014 Nina Davuluri , Bart Oates , Amani Toomer and Hines Ward ; Cam Neely and Mike Richter , Kristin Chenoweth , Kellie Pickler , and the cast of Duck Dynasty     2014   The cast of NBC 's Peter Pan Live ! , Renee Fleming , William Blake , Idina Menzel , Before You Exit , Becky G , MKTO , Needtobreathe , Sabrina Carpenter , Lucy Hale , KISS , Cole Swindell , Nick Jonas , The Madden Brothers , Quvenzhané Wallis , The Vamps , Meghan Trainor , Nia Sanchez , Romeo Santos and Pentatonix .     2015   The cast of NBC 's The Wiz Live ! , Jordin Sparks , the cast of Sesame Street with Questlove , Trey Songz , Jake Owen , Andy Grammer , Panic ! at the Disco , Plain White T 's , Shawn Mendes , Cirque du Soleil 's Dreamseeker , Mipso , Daughtry , Sprout cast , Andra Day , Big Apple Circus , Sofia Carson , Rachel Platten , Prince Royce , the cast of School of Rock , MercyMe , Jennifer Nettles , Train , Pat Benatar &amp; Neil Giraldo and Mariah Carey     2016   The cast of NBC 's Hairspray Live ! Brett Eldredge , Chloe and Halle , Daya , De La Soul , Easton Corbin , Fitz and The Tantrums , Jacob Whitesides , Kelsea Ballerini , 2016 Olympic Medalist Laurie Hernandez , Mikey Brannigan , Gianfranco Iannotta , Hannah McFadden , Tatyana McFadden , &amp; Claressa Shields , Maddie and Tae , Aloe Blacc , Ben Rector , Regina Spektor , Lunchmoney Lewis , The Muppets , Grace VanderWaal , Tony Bennett , Timeflies , Michelle Carter , Sarah McLachlan , Diamante Electrico , and Johnnyswim     Broadway shows   Every year , cast members from a number of Broadway shows ( usually shows that debuted that year ) perform either in the parade , or immediately preceding the parade in front of Macy 's ( since NBC broadcasts the parade 's start , the performances are shown during the wait for the parade itself ) . The 2007 parade was notable as it took place during a strike by the I.A.T.S.E. ( a stagehands ' union ) , and as such , Legally Blonde , the one performing musical affected by the strike , performed in show logo shirts , with makeshift props and no sets . The other three shows that year performed in theaters that were not affected by the strike .     Year   Performances     1980   Brigadoon , The Pirates of Penzance , A Day in Hollywood / A Night in the Ukraine     1981   Sophisticated Ladies , Camelot       Cats , My One and Only     1984   The Tap Dance Kid     1986   Me and My Girl , Sweet Charity , Big River     1988   Godspell , Forbidden Broadway , Into the Woods     1989   Meet Me in St. Louis     1991   Grand Hotel , The Secret Garden , Miss Saigon , The Will Rogers Follies     1992   Annie Warbucks , Jelly 's Last Jam , Guys and Dolls , Falsettos     1993   Raffi on Broadway , My Fair Lady , The Who 's Tommy , Kiss of the Spider Woman     1994   Beauty and the Beast , Grease , Show Boat , Damn Yankees     1995   Hello , Dolly ! , How to Succeed in Business Without Really Trying , Smokey Joe 's Cafe       The King and I , Rent , Bring in ' da Noise , Bring in ' da Funk , Chicago     1997   Titanic , Side Show , Street Corner Symphony , The Sound of Music     1998   Cabaret , Footloose , The Scarlet Pimpernel , Annie Get Your Gun , Peter Pan     1999   Saturday Night Fever , Fosse , Swing , Kiss Me , Kate     2000   The Music Man , Seussical , Swing , Annie Get Your Gun     2001   Mamma Mia ! , 42nd Street , Thou Shalt Not , Contact     2002   Hairspray , Oklahoma ! , The Producers , Thoroughly Modern Millie     2003   Wicked , The Boy From Oz , Little Shop of Horrors , Never Gonna Dance       Bombay Dreams , All Shook Up , La Cage aux Folles , Wonderful Town , Good Vibrations     2005   Chitty Chitty Bang Ban</t>
  </si>
  <si>
    <t xml:space="preserve">where is the macy's thanksgiving day parade held</t>
  </si>
  <si>
    <t xml:space="preserve"> The annual Macy 's Thanksgiving Day Parade in New York City , the world 's largest parade , is presented by the U.S. - based department store chain Macy 's . The tradition started in 1924 , tying it for the second - oldest Thanksgiving parade in the United States with America 's Thanksgiving Parade in Detroit ( with both parades being four years younger than the 6abc Dunkin ' Donuts Thanksgiving Day Parade in Philadelphia ) . The three - hour Macy 's event is held in Manhattan starting at 9 : 00 a.m. Eastern Standard Time on Thanksgiving Day , and has been televised nationally on NBC since 1952 . </t>
  </si>
  <si>
    <t xml:space="preserve">New England colonies - wikipedia  New England colonies  Jump to : navigation , search  The New England Colonies of British America included Connecticut Colony , Colony of Rhode Island and Providence Plantations , Massachusetts Bay Colony , and the Province of New Hampshire , as well as a few smaller short - lived colonies . The New England colonies were part of the Thirteen Colonies and eventually became five of the six states in New England . Captain John Smith 's 1616 work A Description of New England first applied the term `` New England '' to the coastal lands from Long Island Sound to Newfoundland .     Contents  ( hide )   1 Arriving in America   2 Establishing the New England Colonies   2.1 Spreading out     3 Commerce   4 Wartime Enslavement of Enemy Combatants in New England   5 Education   6 See also   7 Notes   8 Sources      Arriving in America ( edit )  The English royal charters granted land to the north to Queen Elizabeth , land to the south to the London Company .  France , England , and other countries made several attempts to colonize New England early in the 17th century , and those nations were often in contention for lands in the New World . French nobleman Pierre Dugua Sieur de Monts established a settlement on Saint Croix Island , Maine in June 1604 under the authority of the King of France . Nearly half the settlers perished due to the harsh winter and scurvy , and the survivors moved north out of New England to Port - Royal of Nova Scotia ( see symbol `` R '' on map to the right ) in the spring of 1605 .   King James I of England recognized the need for a permanent settlement in New England , and he granted competing royal charters to the Plymouth Company and the London Company . The Plymouth Company ships arrived at the mouth of the Kennebec River ( then called the Sagadahoc River ) in August 1607 where they established a settlement named Sagadahoc Colony , better known as Popham Colony ( see symbol `` Po '' on map to right ) to honor financial backer Sir John Popham . The colonists faced a harsh winter , the loss of supplies following a storehouse fire , and mixed relations with the local Indian tribes .   Colony leader Captain George Popham died , and Raleigh Gilbert decided to return to England to take up an inheritance left by the death of an older brother -- at which point , all of the colonists decided to return to England . It was around August 1608 when they left on the ship Mary and John and on a new ship built by the colony named Virginia of Sagadahoc . The 30 - ton Virginia was the first sea - going ship ever built in North America .   Conflict over land rights continued through the early 17th century , with the French constructing Fort Pentagouet near Castine , Maine in 1613 . The fort protected a trading post and a fishing station and was the first longer - term settlement in New England . It changed hands multiple times throughout the 17th century among the English , French , and Dutch colonists .   In 1614 , Dutch explorer Adriaen Block traveled along the coast of Long Island Sound and then up the Connecticut River to Hartford , Connecticut . By 1623 , the Dutch West India Company regularly traded for furs there , and they eventually fortified it for protection from the Pequot Indians and named the site `` House of Hope '' ( also identified as `` Fort Hoop , '' `` Good Hope , '' and `` Hope '' ) .   Establishing the New England colonies ( edit )   A group of Puritans known as the Pilgrims arrived on the Mayflower from England and the Netherlands to establish Plymouth Colony in Massachusetts , the second successful English colony in North America following Jamestown , Virginia . About half of the one hundred - plus passengers on the Mayflower died that first winter , mostly because of diseases contracted on the voyage followed by a harsh winter . In 1621 , an American Indian named Squanto taught the colonists how to grow corn and where to catch eels and fish . His assistance was invaluable and helped them to survive the early years of the colonization . The Pilgrims lived on the same site where Squanto 's Patuxet tribe had established a village before they were wiped out from diseases .   The Plymouth settlement faced great hardships and earned few profits , but it enjoyed a positive reputation in England and may have sown the seeds for further immigration . Edward Winslow and William Bradford published an account of their experiences called Mourt 's Relation ( 1622 ) . This book was only a small glimpse of the hardships and dangers encountered by the Pilgrims , but it encouraged other Puritans to immigrate during the Great Migration .  Major boundaries of Massachusetts Bay and neighboring colonial claims in the 17th century and 18th century . Modern state boundaries are partially overlaid for context .  The Puritans in England first sent smaller groups in the mid-1620s to establish colonies , buildings , and food supplies , learning from the Pilgrims ' harsh experiences of winter in the Plymouth Colony . In 1623 , the Plymouth Council for New England ( successor to the Plymouth Company ) established a small fishing village at Cape Ann under the supervision of the Dorchester Company . The first group of Puritans moved to a new town at nearby Naumkeag after the Dorchester Company dropped support , and fresh financial support was found by Rev. John White . Other settlements were started in nearby areas ; however , the overall Puritan population remained small through the 1620s .   A larger group of Puritans arrived in 1630 , leaving England because they desired to worship in a manner that differed from the Church of England . Their views were in accord with those of the Pilgrims who arrived on the Mayflower , except that the Pilgrims were `` separatists '' who felt that they needed to separate themselves from the Church of England , whereas the later Puritans were content to remain under the umbrella of the Church of England . The separate colonies were governed independently of one other until 1691 , when Plymouth Colony was absorbed into the Massachusetts Bay Colony to form the Province of Massachusetts Bay .   Spreading out ( edit )   Early dissenters of the Puritan laws were often banished from the Massachusetts Bay Colony . The Connecticut Colony was started after Puritan minister Thomas Hooker left Massachusetts Bay with about 100 followers in search of greater religious and political freedom . John Wheelwright left with his followers to a colony in New Hampshire and then on to Maine . The Puritans also established the American public school system for the express purpose of ensuring that future generations would be able to read the Bible for themselves , which was a central tenet of Puritan worship .   It was the dead of winter in January 1636 when minister Roger Williams was banished from the Massachusetts Bay Colony because of theological differences . One source of contention was his view that government and religion should be separate ; he also believed that the colonies should purchase land at fair prices from the Wampanoag and Narragansett tribes . He escaped being deported to England by the Massachusetts officials and walked from Salem , Massachusetts to Raynham , Massachusetts , a distance of 55 miles through the deep snow . The Indian tribes helped him to survive and sold him land for a new colony which he named Providence Plantations in recognition of the intervention of Divine Providence in establishing the new colony . It was unique in its day in expressly providing for religious freedom and a separation of church from state . Other dissenters established two settlements on Rhode Island ( now called Aquidneck Island ) and another settlement in Warwick ; these four settlements eventually united to form the Colony of Rhode Island and Providence Plantations .  A map of the Connecticut , New Haven , and Saybrook colonies  Thomas Hooker left Massachusetts in 1636 with 100 followers and founded a settlement just north of the Dutch Fort Hoop which grew into Connecticut Colony . The community was first named Newtown then renamed Hartford to honor the English town of Hertford . One of the reasons why Hooker left was that only members of the church could vote and participate in the government in Massachusetts Bay , which he believed should include any adult male owning property . The Connecticut Colony was not the first settlement in Connecticut ( the Dutch were first ) or even the first English settlement ( Windsor was first in 1633 ) . Thomas Hooker obtained a royal charter and established Fundamental Orders , considered to be one of the first constitutions in North America . Other colonies later merged into the royal charter for the Connecticut Colony , including New Haven and Saybrook .   Commerce ( edit )   The earliest colonies in New England were usually fishing villages or farming communities on the more fertile land along the rivers . The rocky soil in the New England Colonies was not as fertile as the Middle or Southern Colonies , but the land provided rich resources , including lumber that was valued for building homes and ships . Lumber was also a resource that could be exported back to England , where there was a shortage of wood . In addition , the hunting of wildlife provided furs to be traded and food for the table .   In Massachusetts their economy was heavily based on small industries with people working as porters , tanners , shopkeepers and metalworkers . They had merchants which carried raw materials such as furs , timber , and the tar and pitch needed for shipbuilding . Trade went on directly between the English colonists and the European Caribbean islands .   The New England Colonies were located near the ocean where there was an abundance of whales , fish , and other marketable sea life . Excellent harbors and some inland waterways offered protection for ships and were also valuable for fresh water fishing . By the end of the 17th century , New England colonists had created an Atlantic trade network that connected them to the English homeland as well as the West African slave coast , the Caribbean 's plantation islands , and the Iberian Peninsula . Colonists relied upon British and European imports for glass , linens , hardware , machinery , and other items for the colonial household .   The Southern Colonies could produce tobacco , rice , and indigo in exchange for imports , whereas New England 's colonies could not offer much to England beyond fish , furs , and lumber . Inflation was a major issue in the economy . During the 18th century , shipbuilding drew upon the abundant lumber and revived the economy , often under the direction of the British Crown .   Wartime enslavement of enemy combatants in New England ( edit )   Enslavement of enemies defeated in war was a common practice in European nations at this time . This was a policy that had been going on for decades in Ireland , particularly since the time of Elizabeth I and during the mid-17th century Cromwell wars in Britain and Ireland , where large numbers of Irish , Welsh , and Scots prisoners of war were sent as slaves to plantations in the West Indies , especially to Barbados and Jamaica . The practice found its way to the American colonies during the Pequot War and King Philip 's War .   Military leader Benjamin Church spoke out against enslaving Indians in the summer of 1675 , describing the practice as `` an action so hateful ... that ( I ) opposed it to the loss of the good will and respect of some that before were ( my ) good friends . '' This said , Church was an owner of African slaves himself , like many Englishmen in the colony . Ships carrying captured war combatants began to leave New England ports during King Philip 's War ( 1675 - 78 ) and continued for the three years of the war . The policy concerning war enemies was that `` no male captive above the age of fourteen years should reside in the colony . '' It is estimated that at least a thousand New England Indian warriors were sold as slaves during King Philip 's War , with over half of those coming from Plymouth .   Education ( edit )   In the New England Colonies , the first settlements of Pilgrims and the other Puritans who came later taught their children how to read and write in order that they might read and study the Bible for themselves . Depending upon social and financial status , education was taught by the parents home - schooling their children , public grammar schools , and private governesses , which included subjects from reading and writing to Latin and Greek and more .   See also ( edit )    Middle Colonies   Southern Colonies   Chesapeake Colonies   Thirteen Colonies   History of Massachusetts   Historical outline of Massachusetts   British Colonial America   New England   Manor of East Greenwich   History of New England   Dominion of New England   New England Confederation    Notes ( edit )    Jump up ^ Gipson   Jump up ^ Bisceglia   Jump up ^ Smith   Jump up ^ St. Croix Celebration . `` St. Croix Island History '' . Archived from the original on 2001 - 08 - 03 . Retrieved 2008 - 12 - 21 .   Jump up ^ `` Maine 's First Ship : Historic Overview '' . Maine 's First Ship . Retrieved 22 July 2013 .   Jump up ^ `` New France Forts '' . New France New Horizons . Retrieved 2009 - 01 - 10 .   Jump up ^ New York Historical Society , p. 260   Jump up ^ Deetz , Patricia Scot ; James F. Deetz . `` Passengers on the Mayflower : Ages &amp; Occupations , Origins &amp; Connections '' . The Plymouth Colony Archive Project . Retrieved 2008 - 11 - 10 .   Jump up ^ NativeAmericans.com . `` Squanto ( The History of Tisquantum ) '' . Archived from the original on June 5 , 2007 . Retrieved September 20 , 2014 .   Jump up ^ Bradford , William ( 1865 ) . Mourt 's Relation , or Journal of the Plantation at Plymouth . Boston : J.K. Wiggin . Retrieved 2008 - 12 - 23 .   Jump up ^ Young , Alexander ( 1846 ) . Chronicles of the First Planters of the Colony of Massachusetts Bay , 1623 - 1636 . Boston : C.C. Little and J. Brown . p. 26 . Retrieved 2008 - 12 - 23 .   Jump up ^ The Library of Congress Web Site . `` America as a Religious Refuge : The Seventeenth Century '' . Retrieved 2008 - 11 - 11 .   Jump up ^ Roger Williams , Family Association . `` Biography of Roger Williams '' . Retrieved 2009 - 02 - 07 .   Jump up ^ . N.p. . Web . 20 Aug 2013 .  .   Jump up ^ Nathaniel Philbrick . Mayflower : A story of Courage , Community and War ( Viking 2006 ) p. 253   Jump up ^ Nathaniel Philbrick . Mayflower : A story of Courage , Community and War ( Viking 2006 ) pp 253 , 345   Jump up ^ Nathaniel Philbrick . Mayflower : A story of Courage , Community and War ( Viking 2006 ) p. 345   Jump up ^ Nathaniel Philbrick . Mayflower : A story of Courage , Community and War ( Viking 2006 ) p. 332    Sources ( edit )    Bisceglia , Michael ( 12 February 2008 ) . `` John Smith : The man who named New England '' . Sea Coast Online . Retrieved April 28 , 2013 .   Gipson , Lawrence . The British Empire Before the American Revolution ( 15 volumes ) ( 1936 - 1970 ) . Knopf .   Collections of the New York Historical Society . New York : H. Ludwig. 1841 .   Smith , John , Captain &amp; Admiral ( 1616 ) . Royster , Paul , ed . A Description of New England ( 1616 ) : An Online Electronic Text Edition . Electronic Texts in American Studies .      ( hide )         The Thirteen Colonies of Colonial America       New England Colonies   Middle Colonies   Chesapeake Colonies   Southern Colonies         Connecticut   Delaware   Georgia   Maryland   Massachusetts Bay   New Hampshire   New Jersey   New York   North Carolina   Pennsylvania   Rhode Island and Providence Plantations   South Carolina   Virginia       Early English colonial entities   Carolina   East Jersey   Maine   New England   New Haven   Plymouth   Saybrook   West Jersey      Retrieved from `` https://en.wikipedia.org/w/index.php?title=New_England_Colonies&amp;oldid=826760958 '' Categories :   Colonial United States ( British )   Colonization history of the United States   Thirteen Colonies   History of New England   Former British colonies and protectorates in the Americas   Pre-statehood history of Massachusetts           Talk                                           Contents                   About Wikipedia                                             Latina   Svenska   Edit links   This page was last edited on 20 February 2018 , at 21 : 33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</si>
  <si>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religious groups lived in the new england colonies</t>
  </si>
  <si>
    <t xml:space="preserve"> A larger group of Puritans arrived in 1630 , leaving England because they desired to worship in a manner that differed from the Church of England . Their views were in accord with those of the Pilgrims who arrived on the Mayflower , except that the Pilgrims were `` separatists '' who felt that they needed to separate themselves from the Church of England , whereas the later Puritans were content to remain under the umbrella of the Church of England . The separate colonies were governed independently of one other until 1691 , when Plymouth Colony was absorbed into the Massachusetts Bay Colony to form the Province of Massachusetts Bay . </t>
  </si>
  <si>
    <r>
      <rPr>
        <sz val="11"/>
        <color rgb="FF000000"/>
        <rFont val="Calibri"/>
        <family val="0"/>
        <charset val="1"/>
      </rPr>
      <t xml:space="preserve">Table of contents - Wikipedia  Table of contents  Jump to : navigation , search For information on Wikipedia 's Help : Magic words . For Wikipedia 's tables of contents , see Portal : Contents .      This article needs additional citations for verification . Please help improve this article by adding citations to reliable sources . Unsourced material may be challenged and removed . ( April 2012 ) ( Learn how and when to remove this template message )    A table of contents  A table of contents , usually headed simply `` Contents '' and abbreviated informally as TOC , is a list , usually found on a page before the start of a written work , of its chapter or section titles or brief descriptions with their commencing page numbers .     Contents  ( hide )   1 Earliest use   2 Form   3 Examples   4 References   5 Notes      Earliest Use ( edit )   Pliny the Elder credits Quintus Valerius Soranus ( d . 82 B.C. ) as the first author to provide a table of contents to help readers navigate a lengthy work . Pliny 's own table of contents for his encyclopedic Historia naturalis ( `` Natural History '' ) may be viewed online in Latin and in English ( following dedication ) .   Form ( edit )   A table of contents usually includes the titles or descriptions of the first - level headers , such as chapter titles in longer works , and often includes second - level or section titles ( A-heads ) within the chapters as well , and occasionally even third - level titles ( subsections or B - heads ) . The depth of detail in tables of contents depends on the length of the work , with longer works having less . Formal reports ( ten or more pages and being too long to put into a memo or letter ) also have a table of contents . Within an English - language book , the table of contents usually appears after the title page , copyright notices , and , in technical journals , the abstract ; and before any lists of tables or figures , the foreword , and the preface .   Printed tables of contents indicate page numbers where each part starts , while digital ones offer links to go to each part . The format and location of the page numbers is a matter of style for the publisher . If the page numbers appear after the heading text , they might be preceded by characters called leaders , usually dots or periods , that run from the chapter or section titles on the opposite side of the page , or the page numbers might remain closer to the titles . In some cases , the page number appears before the text .   If a book or document contains chapters , articles , or stories by different authors , their names usually appear in the table of contents .   Matter preceding the table of contents is generally not listed there . However , all pages except the outside cover are counted , and the table of contents is often numbered with a lowercase Roman numeral page number . Many popular word processors , such as Microsoft Word , WordPerfect , and StarWriter are capable of automatically generating a table of contents if the author of the text uses specific styles for chapter titles , headings , subheadings , etc .   Examples ( edit )   Example with leaders :  Chapter 1 : Getting Started ... 1 Introduction ... 2 Next Steps ... 3  Example without leaders :  Chapter 1 : Getting Started 1 Introduction 2 Next Steps 3  Example with authors :  1 . Introduction to Biology Arthur C. Smith 1 2 . Microbiology Susan Jones 10 3 . Advances in Biotechnology T.C. Chang 24  Example with descriptive text :  Chapter 1 3 In which we first meet our hero and heroine , attend a gala feast , and begin an unexpected journey . Chapter 2 12 The journey takes an unusual turn , and new villains are discovered .  References ( edit )    The Chicago Manual of Style ( 15th Edition )   Gerald J. Alred ; Charles T. Brusaw ; Walter E. Oliu ( 2003 ) . Handbook of Technical Writing . ISBN 0 - 312 - 30923 - 6 .    Notes ( edit )    Jump up ^ Pliny the Elder , preface 33 , Historia naturalis ; John Henderson , `` Knowing Someone Through Their Books : Pliny on Uncle Pliny ( Epistles 3.5 ) , '' Classical Philology 97 ( 2002 ) , p. 275 .      ( hide )         Book design     General page layout and typography choices     Fonts       Front and back covers     Buckram   Leather   Anthropodermic bibliopegy   Treasure binding       Endpapers     Marbled       Front matter     Half title   bastard title     Frontispiece   Title page   Edition notice   Dedication   Epigraph   Table of contents   List of figures   List of tables   Foreword   Preface   Acknowledgments   Introduction   Prologue   Printer 's mark       Body matter , which may include :     Body text   Chapters   Parts   Sections   Tipped - in pages       Back matter     Afterword   Conclusion   Epilogue   Outro   Postscript   Appendix / Addendum   Glossary   Bibliography   Index   Errata   Colophon   Postface       Other elements     Bookplate or ex-librīs   Catchword   Die cutting   Fore - edge painting   Pop - ups   Thumb index      Retrieved from `` https://en.wikipedia.org/w/index.php?title=Table_of_contents&amp;oldid=810209822 '' Categories :   Technical communication   Book design   Index ( publishing )   Hidden categories :   Articles needing additional references from April 2012   All articles needing additional references           Talk                                           Contents                   About Wikipedia                                                   Català   Deutsch   Ελληνικά   Español   فارسی   Français   </t>
    </r>
    <r>
      <rPr>
        <sz val="11"/>
        <color rgb="FF000000"/>
        <rFont val="Noto Sans CJK SC"/>
        <family val="2"/>
      </rPr>
      <t xml:space="preserve">한국어   </t>
    </r>
    <r>
      <rPr>
        <sz val="11"/>
        <color rgb="FF000000"/>
        <rFont val="Calibri"/>
        <family val="0"/>
        <charset val="1"/>
      </rPr>
      <t xml:space="preserve">Italiano   עברית   ಕನ್ನಡ   Қазақша   Nederlands   </t>
    </r>
    <r>
      <rPr>
        <sz val="11"/>
        <color rgb="FF000000"/>
        <rFont val="Noto Sans CJK SC"/>
        <family val="2"/>
      </rPr>
      <t xml:space="preserve">日本 語   </t>
    </r>
    <r>
      <rPr>
        <sz val="11"/>
        <color rgb="FF000000"/>
        <rFont val="Calibri"/>
        <family val="0"/>
        <charset val="1"/>
      </rPr>
      <t xml:space="preserve">Polski   Português   Русский   Svenska   தமிழ்   Edit links   This page was last edited on 13 November 2017 , at 23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</si>
  <si>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describe the main sections of the table of contents</t>
  </si>
  <si>
    <t xml:space="preserve"> A table of contents usually includes the titles or descriptions of the first - level headers , such as chapter titles in longer works , and often includes second - level or section titles ( A-heads ) within the chapters as well , and occasionally even third - level titles ( subsections or B - heads ) . The depth of detail in tables of contents depends on the length of the work , with longer works having less . Formal reports ( ten or more pages and being too long to put into a memo or letter ) also have a table of contents . Within an English - language book , the table of contents usually appears after the title page , copyright notices , and , in technical journals , the abstract ; and before any lists of tables or figures , the foreword , and the preface . </t>
  </si>
  <si>
    <r>
      <rPr>
        <sz val="11"/>
        <color rgb="FF000000"/>
        <rFont val="Calibri"/>
        <family val="0"/>
        <charset val="1"/>
      </rPr>
      <t xml:space="preserve">Blood lipids - wikipedia  Blood lipids  Jump to : navigation , search  Blood lipids ( or blood fats ) are lipids in the blood , either free or bound to other molecules . They are mostly transported in a protein capsule , and the density of the lipids and type of protein determines the fate of the particle and its influence on metabolism . The concentration of blood lipids depends on intake and excretion from the intestine , and uptake and secretion from cells . Blood lipids are mainly fatty acids and cholesterol . Hyperlipidemia is the presence of elevated or abnormal levels of lipids and / or lipoproteins in the blood , and is a major risk factor for cardiovascular disease .     Contents  ( hide )   1 Fatty acids   1.1 Intestine intake   1.2 Cell uptake   1.3 Cell secretion     2 Cholesterol   2.1 Intestine intake   2.2 In lipoproteins   2.3 Intestine excretion   2.4 Cell uptake   2.5 Cell secretion     3 Related medical conditions   3.1 Hyperlipidemia   3.2 Hypercholesterolemia   3.3 Hypocholesterolemia     4 See also   5 References      Fatty acids ( edit )   Intestine intake ( edit )  Main article : Fat Digestion  Short - and medium chain fatty acids are absorbed directly into the blood via intestine capillaries and travel through the portal vein . Long - chain fatty acids , on the other hand , are too large to be directly released into the tiny intestine capillaries . Instead they are coated with cholesterol and protein ( protein coat of lipoproteins ) into a compound called a chylomicron . The chylomicron enters a lymphatic capillary and enters into the bloodstream first at the left subclavian vein ( having bypassed the liver ) .   In any case , the concentration of blood fatty acids increase temporarily after a meal .   Cell uptake ( edit )   After a meal , when the blood concentration of fatty acids rises , there is an increase in uptake of fatty acids in different cells of the body , mainly liver cells , adipocytes and muscle cells . This uptake is stimulated by insulin from the pancreas . As a result , the blood concentration of fatty acid stabilizes again after a meal .   Cell secretion ( edit )   After a meal , some of the fatty acids taken up by the liver is converted into very low density lipoproteins ( VLDL ) and again secreted into the blood .   In addition , when a long time has passed since the last meal , the concentration of fatty acids in the blood decreases , which triggers adipocytes to release stored fatty acids into the blood as free fatty acids , in order to supply e.g. muscle cells with energy .   In any case , also the fatty acids secreted from cells are anew taken up by other cells in the body , until entering fatty acid metabolism .   Cholesterol ( edit )  Main article : Cholesterol  The fate of cholesterol in the blood is highly determined by its constitution of lipoproteins , where some types favour transport towards body tissues and others towards the liver for excretion into the intestines .   The 1987 report of National Cholesterol Education Program , Adult Treatment Panels suggest the total blood cholesterol level should be :  240 mg / dl high cholesterol .   The average amount of blood cholesterol varies with age , typically rising gradually until one is about 60 years old . There appear to be seasonal variations in cholesterol levels in humans , more , on average , in winter . These seasonal variations seem to be inversely linked to vitamin C intake .   Intestine intake ( edit )  Main article : Synthesis and intake  In lipid digestion , cholesterol is packed into Chylomicrons in the small intestine , which are delivered to the Portal vein and Lymph . The chylomicrons are ultimately taken up by liver hepatocytes via interaction between apolipoproteinE and the LDL receptor or Lipoprotein receptor - related proteins .   In lipoproteins ( edit )  Main article : Lipoprotein  Cholesterol is minimally soluble in water ; it can not dissolve and travel in the water - based bloodstream . Instead , it is transported in the bloodstream by lipoproteins that are water - soluble and carry cholesterol and triglycerides internally . The apolipoproteins forming the surface of the given lipoprotein particle determine from what cells cholesterol will be removed and to where it will be supplied .   The largest lipoproteins , which primarily transport fats from the intestinal mucosa to the liver , are called chylomicrons . They carry mostly fats in the form of triglycerides . In the liver , chylomicron particles release triglycerides and some cholesterol . The liver converts unburned food metabolites into very low density lipoproteins ( VLDL ) and secretes them into plasma where they are converted to intermediate density lipoproteins ( IDL ) , which thereafter are converted to low - density lipoprotein ( LDL ) particles and non-esterified fatty acids , which can affect other body cells . In healthy individuals , the relatively few LDL particles are large . In contrast , large numbers of small dense LDL ( sdLDL ) particles are strongly associated with the presence of atheromatous disease within the arteries . For this reason , LDL is referred to as `` bad cholesterol '' .   High - density lipoprotein ( HDL ) particles transport cholesterol back to the liver for excretion , but vary considerably in their effectiveness for doing this . Having large numbers of large HDL particles correlates with better health outcomes , and hence it is commonly called `` good cholesterol '' . In contrast , having small amounts of large HDL particles is independently associated with atheromatous disease progression within the arteries .   Intestine excretion ( edit )   After being transported to the liver by HDL , cholesterol is delivered to the intestines via bile production . However , 92 - 97 % is reabsorbed in the intestines and recycled via enterohepatic circulation .   Cell uptake ( edit )  Main article : Synthesis and intake  Cholesterol circulates in the blood in low - density lipoproteins and these are taken into the cell by LDL receptor - mediated endocytosis in clathrin - coated pits , and then hydrolysed in lysosomes .   Cell secretion ( edit )  Main article : Synthesis and intake  In response to low blood cholesterol , different cells of the body , mainly in the liver and intestines , start to synthesize cholesterol from acetyl - CoA by the enzyme HMG - CoA reductase . This is then released into the blood .   Related medical conditions ( edit )   Hyperlipidemia ( edit )  Main article : Hyperlipidemia  Hyperlipidemia is the presence of elevated or abnormal levels of lipids and / or lipoproteins in the blood .   Lipid and lipoprotein abnormalities are extremely common in the general population , and are regarded as a highly modifiable risk factor for cardiovascular disease . In addition , some forms may predispose to acute pancreatitis . One of the most clinically relevant lipid substances is cholesterol , especially on atherosclerosis and cardiovascular disease . The presence of high levels of cholesterol in the blood is called hypercholesterolemia .   Hyperlipoproteinemia is elevated levels of lipoproteins .   Hypercholesterolemia ( edit )  Main article : Hypercholesterolemia  Hypercholesterolemia is the presence of high levels of cholesterol in the blood . It is not a disease but a metabolic derangement that can be secondary to many diseases and can contribute to many forms of disease , most notably cardiovascular disease . Familial hypercholesterolemia is a rare genetic disorder that can occur in families , where sufferers can not properly metabolise cholesterol .   Hypocholesterolemia ( edit )   Abnormally low levels of cholesterol are termed hypocholesterolemia . Research into the causes of this state is relatively limited , and while some studies suggest a link with depression , cancer and cerebral hemorrhage it is unclear whether the low cholesterol levels are a cause for these conditions or an epiphenomenon ( 1 ) .   See also ( edit )    Lipid hypothesis    References ( edit )    Jump up ^ Molecular cell biology . Lodish , Harvey F. 5 . ed . : - New York : W.H. Freeman and Co. , 2003 . Page 321 . b ill . ISBN 0 - 7167 - 4366 - 3   Jump up ^ , ( 1988 ) . `` Report of the National Cholesterol Education Program Expert Panel on Detection , Evaluation , and Treatment of High Blood Cholesterol in Adults . The Expert Panel '' . Arch . Intern . Med. 148 ( 1 ) : 36 -- 69 . doi : 10.1001 / archinte. 148.1. 36 . PMID 3422148 .   Jump up ^ Ockene IS , Chiriboga DE , Stanek EJ , Harmatz MG , Nicolosi R , Saperia G , Well AD , Freedson P , Merriam PA , Reed G , Ma Y , Matthews CE , Hebert JR ( 2004 ) . `` Seasonal variation in serum cholesterol levels : treatment implications and possible mechanisms '' . Arch Intern Med. 164 ( 8 ) : 863 -- 70 . doi : 10.1001 / archinte. 164.8. 863 . PMID 15111372 .   Jump up ^ MacRury , SM ; Muir , M ; Hume , R ( 1992 ) . `` Seasonal and climatic variation in cholesterol and vitamin C : effect of vitamin C supplementation '' . Scottish medical journal . 37 ( 2 ) : 49 -- 52 . PMID 1609267 .   Jump up ^ Dobson , HM ; Muir , MM ; Hume , R ( 1984 ) . `` The effect of ascorbic acid on the seasonal variations in serum cholesterol levels '' . Scottish medical journal . 29 ( 3 ) : 176 -- 82 . PMID 6533789 .   ^ Jump up to : Durrington P ( 2003 ) . `` Dyslipidaemia '' . Lancet . 362 ( 9385 ) : 717 -- 31 . doi : 10.1016 / S0140 - 6736 ( 03 ) 14234 - 1 . PMID 12957096 .      ( hide )         Common for blood tests ( CPT 82000 -- 84999 )     Electrolytes     Sodium   Potassium   Chloride   Calcium   Renal function   Creatinine   Urea   BUN - to - creatinine ratio     Plasma osmolality   Serum osmolal gap       Acid - base     Anion gap   Arterial blood gas   Base excess   Bicarbonate   CO content       Iron tests     Ferritin   Serum iron   Transferrin saturation   Total iron - binding capacity   Transferrin   Transferrin receptor       Hormones     ACTH stimulation test   Thyroid function tests   Thyroid - stimulating hormone         Metabolism     Blood lipids       Cardiovascular     Cardiac marker   Troponin test     CPK - MB test   Lactate dehydrogenase   Myoglobin   Glycogen phosphorylase isoenzyme BB       Liver function tests     Proteins   Human serum albumin   Serum total protein     ALP   transaminases   ALT   AST   AST / ALT ratio     Bilirubin   Unconjugated   Conjugated         Pancreas     Amylase   Lipase   Pancreatic lipase        Retrieved from `` https://en.wikipedia.org/w/index.php?title=Blood_lipids&amp;oldid=788307668 '' Categories :   Steroids   Sterols   Lipid disorders   Nutrition   Hidden categories :   All articles with unsourced statements   Articles with unsourced statements from May 2014   Wikipedia articles needing clarification from September 2008   Articles with unsourced statements from September 2008           Talk                                           Contents                   About Wikipedia                                           فارسی   Italiano   Svenska   </t>
    </r>
    <r>
      <rPr>
        <sz val="11"/>
        <color rgb="FF000000"/>
        <rFont val="Noto Sans CJK SC"/>
        <family val="2"/>
      </rPr>
      <t xml:space="preserve">中文   </t>
    </r>
    <r>
      <rPr>
        <sz val="11"/>
        <color rgb="FF000000"/>
        <rFont val="Calibri"/>
        <family val="0"/>
        <charset val="1"/>
      </rPr>
      <t xml:space="preserve">Edit links   This page was last edited on 30 June 2017 , at 18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</si>
  <si>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 long-chain fatty acids first enter the bloodstream</t>
  </si>
  <si>
    <t xml:space="preserve"> Blood lipids ( or blood fats ) are lipids in the blood , either free or bound to other molecules . They are mostly transported in a protein capsule , and the density of the lipids and type of protein determines the fate of the particle and its influence on metabolism . The concentration of blood lipids depends on intake and excretion from the intestine , and uptake and secretion from cells . Blood lipids are mainly fatty acids and cholesterol . Hyperlipidemia is the presence of elevated or abnormal levels of lipids and / or lipoproteins in the blood , and is a major risk factor for cardiovascular disease . </t>
  </si>
  <si>
    <t xml:space="preserve">Retina - Wikipedia  Retina  For other uses , see Retina ( disambiguation ) .        This article needs attention from an expert in medicine . Please add a reason or a talk parameter to this template to explain the issue with the article . WikiProject Medicine may be able to help recruit an expert . ( May 2018 )       Retina     Right human eye cross-sectional view ; eyes vary significantly among animals .     Details     Pronunciation   UK : / ˈrɛtɪnə / , US : / ˈrɛtənə / , pl . retinae / - ni /     Part of   Eye     System   Visual system     Artery   Central retinal artery     Identifiers     Latin   Rēte     MeSH   D012160     TA   A15. 2.04. 002     FMA   58301     Anatomical terminology ( edit on Wikidata )     The retina is the innermost , light - sensitive layer , or `` coat '' , of shell tissue of the eye of most vertebrates and some molluscs . The optics of the eye create a focused two - dimensional image of the visual world on the retina , which translates that image into electrical neural impulses to the brain to create visual perception , the retina serving much the same function as film or a CCD in a camera .   The retina consists of several layers of neurons interconnected by synapses . The neural retina refers to the three layers of neural cells ( photo receptor cells , bipolar cells , and ganglion cells ) within the retina , which in its entirety comprises ten distinct layers , including an outer layer of pigmented epithelial cells . The only neural cells that are directly sensitive to light are the photoreceptor cells , which are of two types : rods and cones . Rods function mainly in dim light and provide black - and - white vision while cones are responsible for the perception of colour . A third type of photoreceptor , the photosensitive ganglion cells , is important for entrainment and reflexive responses to the brightness of light .   Light striking the retina initiates a cascade of chemical and electrical events that ultimately trigger nerve impulses that are sent to various visual centres of the brain through the fibres of the optic nerve . Neural signals from the rods and cones undergo processing by other neurons , whose output takes the form of action potentials in retinal ganglion cells whose axons form the optic nerve . Several important features of visual perception can be traced to the retinal encoding and processing of light .   In vertebrate embryonic development , the retina and the optic nerve originate as outgrowths of the developing brain , specifically the embryonic diencephalon ; thus , the retina is considered part of the central nervous system ( CNS ) and is actually brain tissue . It is the only part of the CNS that can be visualized non-invasively .   Contents    1 Structure   1.1 Inverted versus non-inverted retina   1.2 Retinal layers   1.2. 1 Layers imagable with Optical Coherence Tomography ( OCT )     1.3 Development   1.4 Blood supply   1.4. 1 Circulatory mechanisms   1.4. 1.1 In birds       1.5 Biometric identification and diagnosis of disease     2 Function   2.1 Spatial encoding     3 Clinical significance   3.1 Diagnosis   3.2 Treatment   3.2. 1 Common treatment modalities   3.2. 2 Uncommon treatment modalities       4 Notable researchers and discoveries   5 Additional images   6 See also   7 References   8 Further reading   9 External links    Structure ( edit )   Inverted versus non-inverted retina ( edit )   The vertebrate retina is inverted in the sense that the light sensing cells are in back of the retina , so that light has to pass through layers of neurons and capillaries before it reaches the rods and cones . In contrast , in the cephalopod retina the photoreceptors are in front , with processing neurons and capillaries behind them . Because of this , cephalopods do not have a blind spot .   The overlying neural fibre layer does not degrade vision in the inverted retina . The neurons are transparent and the accompanying glial cells have been shown to act as fibre - optic channels to transport photons directly to the photoreceptors . In any case , the fovea centralis , the part of the retina with the highest resolution , does not have a layer of blood vessels and nerve cells over it , so there is no possibility of image degradation here .   The cephalopods have a non-inverted retina which is comparable in resolving power to the eyes of many vertebrates . Squid eyes do not have an analog of the vertebrate retinal pigment epithelium ( RPE ) . Although their photoreceptors contain a protein , retinochrome , that recycles retinal and replicates one of the functions of the vertebrate RPE , one could argue that cephalopod photoreceptors are not maintained as well as in vertebrates and that , as a result , the useful lifetime of photoreceptors in invertebrates is much shorter than in vertebrates . Having easily replaced stalk - eyes ( some lobsters ) or retinae ( some spiders , such as Deinopis ) rarely occurs .   The cephalopod retina does not originate as an outgrowth of the brain , as the vertebrate one does . It is arguable that this difference shows that vertebrate and cephalopod eyes are not homologous but have evolved separately . From an evolutionary perspective , a more complex structure such as the inverted retina can generally come about as a consequence of two alternate processes : ( a ) an advantageous `` good '' compromise between competing functional limitations , or ( b ) as a historical maladaptive relic of the convoluted path of organ evolution and transformation . Vision is an important adaptation in higher vertebrates .   A third view of the `` inverted '' vertebrate eye is that it combines two benefits : the maintenance of the photoreceptors mentioned above , and the reduction in light intensity necessary to avoid blinding the photoreceptors , which are based on the extremely sensitive eyes of the ancestors of modern hagfishes ( a fish that lives in very deep , dark water ) .   Retinal layers ( edit )  Section of retina Rods , cones and nerve layers in the retina . The front ( anterior ) of the eye is on the left . Light ( from the left ) passes through several transparent nerve layers to reach the rods and cones ( far right ) . A chemical change in the rods and cones send a signal back to the nerves . The signal goes first to the bipolar and horizontal cells ( yellow layer ) , then to the amacrine cells and ganglion cells ( purple layer ) , then to the optic nerve fibres . The signals are processed in these layers . First , the signals start as raw outputs of points in the rod and cone cells . Then the nerve layers identify simple shapes , such as bright points surrounded by dark points , edges , and movement . ( Based on a drawing by Ramón y Cajal , 1911 . ) Illustration of the distribution of cone cells in the fovea of an individual with normal color vision ( left ) , and a color blind ( protanopic ) retina . Note that the center of the fovea holds very few blue - sensitive cones . Distribution of rods and cones along a line passing through the fovea and the blind spot of a human eye  The vertebrate retina has ten distinct layers . From closest to farthest from the vitreous body :    Inner limiting membrane -- basement membrane elaborated by Müller cells .   Nerve fibre layer -- axons of the ganglion cell nuclei ( note that a thin layer of Müller cell footplates exists between this layer and the inner limiting membrane ) .   Ganglion cell layer -- contains nuclei of ganglion cells , the axons of which become the optic nerve fibres for messages and some displaced amacrine cells .   Inner plexiform layer -- contains the synapse between the bipolar cell axons and the dendrites of the ganglion and amacrine cells .   Inner nuclear layer -- contains the nuclei and surrounding cell bodies ( perikarya ) of the amacrine cells , bipolar cells , and horizontal cells .   Outer plexiform layer -- projections of rods and cones ending in the rod spherule and cone pedicle , respectively . These make synapses with dendrites of bipolar cells . In the macular region , this is known as the Fiber layer of Henle .   Outer nuclear layer -- cell bodies of rods and cones .   External limiting membrane -- layer that separates the inner segment portions of the photoreceptors from their cell nucleus .   Layer of rods and cones -- layer of rod cells and cone cells .   Retinal pigment epithelium -- single layer of cuboidal cells ( with extrusions not shown in diagram ) . This is closest to the choroid .    These layers can be grouped into 4 main processing stages : photoreception ; transmission to bipolar cells ; transmission to ganglion cells , which also contain photoreceptors , the photosensitive ganglion cells ; and transmission along the optic nerve . At each synaptic stage there are also laterally connecting horizontal and amacrine cells .   The optic nerve is a central tract of many axons of ganglion cells connecting primarily to the lateral geniculate body , a visual relay station in the diencephalon ( the rear of the forebrain ) . It also projects to the superior colliculus , the suprachiasmatic nucleus , and the nucleus of the optic tract . It passes through the other layers , creating the optic disc in primates .   Additional structures , not directly associated with vision , are found as outgrowths of the retina in some vertebrate groups . In birds , the pecten is a vascular structure of complex shape that projects from the retina into the vitreous humour ; it supplies oxygen and nutrients to the eye , and may also aid in vision . Reptiles have a similar , but much simpler , structure .   In adult humans , the entire retina is approximately 72 % of a sphere about 22 mm in diameter . The entire retina contains about 7 million cones and 75 to 150 million rods . The optic disc , a part of the retina sometimes called `` the blind spot '' because it lacks photoreceptors , is located at the optic papilla , where the optic - nerve fibres leave the eye . It appears as an oval white area of 3 mm2 . Temporal ( in the direction of the temples ) to this disc is the macula , at whose centre is the fovea , a pit that is responsible for our sharp central vision but is actually less sensitive to light because of its lack of rods . Human and non-human primates possess one fovea , as opposed to certain bird species , such as hawks , who are bifoviate , and dogs and cats , who possess no fovea but a central band known as the visual streak . Around the fovea extends the central retina for about 6 mm and then the peripheral retina . The farthest edge of the retina is defined by the ora serrata . The distance from one ora to the other ( or macula ) , the most sensitive area along the horizontal meridian is about 32 mm .   In section , the retina is no more than 0.5 mm thick . It has three layers of nerve cells and two of synapses , including the unique ribbon synapse . The optic nerve carries the ganglion cell axons to the brain , and the blood vessels that supply the retina . The ganglion cells lie innermost in the eye while the photoreceptive cells lie beyond . Because of this counter-intuitive arrangement , light must first pass through and around the ganglion cells and through the thickness of the retina , ( including its capillary vessels , not shown ) before reaching the rods and cones . Light is absorbed by the retinal pigment epithelium or the choroid ( both of which are opaque ) .   The white blood cells in the capillaries in front of the photoreceptors can be perceived as tiny bright moving dots when looking into blue light . This is known as the blue field entoptic phenomenon ( or Scheerer 's phenomenon ) .   Between the ganglion cell layer and the rods and cones there are two layers of neuropils where synaptic contacts are made . The neuropil layers are the outer plexiform layer and the inner plexiform layer . In the outer neuropil layer , the rods and cones connect to the vertically running bipolar cells , and the horizontally oriented horizontal cells connect to ganglion cells .   The central retina predominantly contains cones , while the peripheral retina predominantly contains rods . In total , there are about seven million cones and a hundred million rods . At the centre of the macula is the foveal pit where the cones are narrow and long , and , arranged in a hexagonal mosaic , the most dense . At the foveal pit the other retinal layers are displaced , before building up along the foveal slope until the rim of the fovea , or parafovea , is reached , which is the thickest portion of the retina . The macula has a yellow pigmentation , from screening pigments , and is known as the macula lutea . The area directly surrounding the fovea has the highest density of rods converging on single bipolar cells . Since its cones have a much lesser convergence of signals , the fovea allows for the sharpest vision the eye can attain .   Though the rod and cones are a mosaic of sorts , transmission from receptors , to bipolars , to ganglion cells is not direct . Since there are about 150 million receptors and only 1 million optic nerve fibres , there must be convergence and thus mixing of signals . Moreover , the horizontal action of the horizontal and amacrine cells can allow one area of the retina to control another ( e.g. one stimulus inhibiting another ) . This inhibition is key to lessening the sum of messages sent to the higher regions of the brain . In some lower vertebrates ( e.g. the pigeon ) , there is a `` centrifugal '' control of messages -- that is , one layer can control another , or higher regions of the brain can drive the retinal nerve cells , but in primates this does not occur .  Layers imagable with optical coherence tomography ( OCT ) ( edit )  On OCT there are 18 layers that can be identified in the retina . The layers and anatomical correlation are as follows :  OCT scan of the macular area of a retina at 800 nm , axial resolution 3 μm macula histology ( OCT )  From innermost to outermost , the layers identifiable by OCT are as follows :     #   OCT Layer / Conventional Label   Anatomical Correlate   Reflectivity  on OCT    Specific  anatomical   boundaries ?    Additional  references        Posterior cortical vitreous   Posterior cortical vitreous   Hyper - reflective   Yes         Preretinal space   In eyes where the vitreous has fully or partially detached from the retina , this is the space created between the posterior cortical vitreous face and the internal limiting membrane of the retina .   Hypo - reflective           Internal limiting membrane ( ILM )   Formed by Müller cell endfeet  ( unclear if it can be observed on OCT )    Hyper - reflective   No       Nerve fiber layer ( NFL )   Ganglion cell axons travelling towards the optic nerve       Ganglion cell layer ( GCL )   Ganglion cell bodies ( and some displaced amacrine cells )   Hypo - reflective         5   Inner plexiform layer ( IPL )   Synapses between bipolar , amacrine and ganglion cells   Hyper - reflective         6   Inner nuclear layer ( INL )   a ) Horizontal , bipolar and amacrine cell bodies  b ) Müller cell nuclei    Hypo - reflective         7   Outer plexiform layer ( OPL )   Synapses between photoreceptor , bipolar and horizontal cells   Hyper - reflective         8   ( Inner half ) Henle 's nerve fiber layer ( HL )   Photoreceptor axons  ( obliquely orientated fibres ; not present in mid-peripheral or peripheral retina )    Hypo - reflective   No       ( Outer half ) Outer nuclear layer ( ONL )   The photoreceptor cell bodies     9   External limiting membrane ( ELM )   Made of zonulae adherens between Müller cells and photoreceptor inner segments   Hyper - reflective         10   Myoid zone ( MZ )   The innermost portion of the photoreceptor inner segment ( IS ) containing :   Smooth and rough endoplasmic reticulum   Ribosomes   Golgi bodies   Microtubules   ( rarely : mitochondria )     Hypo - reflective   No       11   Ellipsoid zone ( EZ )   The outermost portion of the photoreceptor inner segment ( IS ) packed with mitochondria   Very Hyper - reflective   No       IS / OS junction or Photoreceptor integrity line ( PIL )   The photoreceptor connecting cilia which bridge the inner and outer segments of the photoreceptor cells .     12   Photoreceptor outer segments ( OS )   The photoreceptor outer segments ( OS ) which contain disks filled with opsin , the molecule that absorbs photons .   Hypo - reflective         13   Interdigitation zone ( IZ )   Apices of the RPE cells which encase part of the cone OSs .  Poorly distinguishable from RPE . Previously : `` cone outer segment tips line '' ( COST )    Hyper - reflective   No     14   RPE / Bruch 's complex   RPE phagosome zone   Very Hyper - reflective   No       RPE melanosome zone   Hypo - reflective     RPE mitochondria zone + Junction between the RPE &amp; Bruch 's membrane   Very Hyper - reflective     15   Choriocapillaris   Thin layer of moderate reflectivity in inner choroid   No       16   Sattler 's layer   Thick layer of round or ovalshaped hyperreflective profiles , with hyporeflective cores in mid-choroid         17   Haller 's layer   Thick layer of oval - shaped hyperreflective profiles , with hyporeflective cores in outer choroid         18   Choroidal - scleral juncture   Zone at the outer choroid with a marked change in texture , in which large circular or ovoid profiles abut a  homogenous region of variable reflectivity          Development ( edit )   Retinal development begins with the establishment of the eye fields mediated by the SHH and SIX3 proteins , with subsequent development of the optic vesicles regulated by the PAX6 and LHX2 proteins . The role of Pax6 in eye development was elegantly demonstrated by Walter Gehring and colleagues , who showed that ectopic expression of Pax6 can lead to eye formation on Drosophila antennae , wings , and legs . The optic vesicle gives rise to three structures : the neural retina , the retinal pigmented epithelium , and the optic stalk . The neural retina contains the retinal progenitor cells ( RPCs ) that give rise to the seven cell types of the retina . Differentiation begins with the retinal ganglion cells and concludes with production of the Muller glia . Although each cell type differentiates from the RPCs in a sequential order , there is considerable overlap in the timing of when individual cell types differentiate . The cues that determine a RPC daughter cell fate are coded by multiple transcription factor families including the bHLH and homeodomain factors .   In addition to guiding cell fate determination , cues exist in the retina to determine the dorsal - ventral ( D-V ) and nasal - temporal ( N-T ) axes . The D-V axis is established by a ventral to dorsal gradient of VAX2 , whereas the N-T axis is coordinated by expression of the forkhead transcription factors FOXD1 and FOXG1 . Additional gradients are formed within the retina that aid in proper targeting of RGC axons that function to establish the retinotopic map .   Blood supply ( edit )       hide This article has multiple issues . Please help improve it or discuss these issues on the talk page . ( Learn how and when to remove these template messages )      This section needs expansion . You can help by adding to it . ( October 2016 )         This section may contain improper references to self - published sources . Please help improve it by removing references to unreliable sources , where they are used inappropriately . ( October 2016 ) ( Learn how and when to remove this template message )    ( Learn how and when to remove this template message )    Fundus photograph showing the blood vessels in a normal human retina . Veins are darker and slightly wider than corresponding arteries . The optic disc is at right , and the macula lutea is near the centre .  The retina is stratified into distinct layers , each containing specific cell types or cellular compartments that have metabolisms with different nutritional requirements . To satisfy these requirements , the ophthalmic artery bifurcates and supplies the retina via two distinct vascular networks : the choroidal network , which supplies the choroid and the outer retina , and the retinal network , which supplies the retina 's inner layer .  Circulatory mechanisms ( edit )  At first glance , one may think that the vertebrate retina is `` wired wrongly '' or `` badly designed '' ; but in fact , the retina could not function if it were not inverted . The photoreceptor layer must be embedded in the retinal pigment epithelium ( RPE ) , which performs at least seven vital functions , one of the most obvious being to supply oxygen and other necessary nutrients needed for the photoreceptors to function . These nutrients include glucose , fatty acids , and retinal . The mammalian photoreceptor amplification process uses large quantities energy for vision in photopic conditions ( requiring less under scotopic conditions ) and , thus , requires the large supply nutrients supplied by the blood vessels in the choroid , which lies beyond the RPE . The choroid supplies about 75 % of these nutrients to the retina and the retinal vasculature only 25 % .   When light strikes 11 - cis - retinal ( in the disks in the rods and cones ) , 11 - cis - retinal changes to all - trans - retinal which then triggers changes in the opsins . Now , the outer segments do not regenerate the retinal back into the cis - form once it has been changed by light . Instead the retinal is pumped out to the surrounding RPE where it is regenerated and transported back into the outer segments of the photoreceptors . This recycling function of the RPE protects the photoreceptors against photo - oxidative damage and allows the photoreceptor cells to have decades - long useful lives .  In birds ( edit )  The bird retina is devoid of blood vessels , perhaps to give unobscured passage of light for forming images , thus giving better resolution . It is , therefore , a considered view that the bird retina depends for nutrition and oxygen supply on a specialized organ , called the `` pecten '' or pecten oculi , located on the blind spot or optic disk . This organ is extremely rich in blood vessels and is thought to supply nutrition and oxygen to the bird retina by diffusion through the vitreous body . The pecten is highly rich in alkaline phosphatase activity and polarized cells in its bridge portion -- both befitting its secretory role . Pecten cells are packed with dark melanin granules , which have been theorized to keep this organ warm with the absorption of stray light falling on the pecten . This is considered to enhance metabolic rate of the pecten , thereby exporting more nutritive molecules to meet the stringent energy requirements of the retina during long periods of exposure to light .   Biometric identification and diagnosis of disease ( edit )  See also : Retinal scan and Biometrics  The bifurcations and other physical characteristics of the inner retinal vascular network are known to vary among individuals , and these individual variances have been used for biometric identification and for early detection of the onset of disease . The mapping of vascular bifurcations is one of the basic steps in biometric identification . Results of such analyses of retinal blood vessel structure can be evaluated against the ground truth data of vascular bifurcations of retinal fundus images that are obtained from the DRIVE dataset . In addition , the classes of vessels of the DRIVE dataset have also been identified , and an automated method for accurate extraction of these bifurcations is also available . Changes in retinal blood circulation are seen with aging and exposure to air pollution , and may indicate cardiovascular diseases such as hypertension and atherosclerosis . Determining the equivalent width of arterioles and venules near the optic disc is also a widely used technique to identify cardiovascular risks .   Function ( edit )  See also : Adaptation ( eye ) and Visual acuity  The retina translates an optical image into neural impulses by the patterned excitation of the colour - sensitive pigments of its rods and cones , the retina 's photoreceptor cells . The excitation is processed by the neural system and various parts of the brain working in parallel to form a representation of the external environment in the brain .   The cones respond to bright light and mediate high - resolution colour vision during daylight illumination ( also called photopic vision ) . The rods are saturated at daylight levels and do n't contribute to pattern vision . However , rods do respond to dim light and mediate lower - resolution , monochromatic vision under very low levels of illumination ( called scotopic vision ) . The illumination in most office settings falls between these two levels and is called mesopic vision . At mesopic light levels , both the rods and cones are actively contributing pattern information . What contribution the rod information makes to pattern vision under these circumstances is unclear .   The response of cones to various wavelengths of light is called their spectral sensitivity . In normal human vision , the spectral sensitivity of a cone falls into one of three subtypes , often called blue , green , or red but more accurately known as short , medium , or long wavelength - sensitive cone subtypes . It is a lack of one or more of the cone subtypes that causes individuals to have deficiencies in colour vision or various kinds of colour blindness . These individuals are not blind to objects of a particular colour but are unable to distinguish between colours that can be distinguished by people with normal vision . Humans have this trichromatic vision , while most other mammals lack cones with red sensitive pigment and therefore have poorer dichromatic colour vision . However , some animals have four spectral subtypes , e.g. the trout adds an ultraviolet subgroup to short , medium , and long subtypes that are similar to humans . Some fish are sensitive to the polarization of light as well .   In the photoreceptors , exposure to light hyperpolarizes the membrane in a series of graded shifts . The outer cell segment contains a photopigment . Inside the cell the normal levels of cyclic guanosine monophosphate ( cGMP ) keep the Na+ channel open , and thus in the resting state the cell is depolarised . The photon causes the retinal bound to the receptor protein to isomerise to trans - retinal . This causes the receptor to activate multiple G - proteins . This in turn causes the Ga - subunit of the protein to activate a phosphodiesterase ( PDE6 ) , which degrades cGMP , resulting in the closing of Na+ cyclic nucleotide - gated ion channels ( CNGs ) . Thus the cell is hyperpolarised . The amount of neurotransmitter released is reduced in bright light and increases as light levels fall . The actual photopigment is bleached away in bright light and only replaced as a chemical process , so in a transition from bright light to darkness the eye can take up to thirty minutes to reach full sensitivity .   When thus excited by light , the photoceptor sends a proportional response synaptically to bipolar cells which in turn signal the retinal ganglion cells . The photoreceptors are also cross-linked by horizontal cells and amacrine cells , which modify the synaptic signal before it reaches the ganglion cells , the neural signals being intermixed and combined . Of the retina 's nerve cells , only the retinal ganglion cells and few amacrine cells create action potentials .   In the retinal ganglion cells there are two types of response , depending on the receptive field of the cell . The receptive fields of retinal ganglion cells comprise a central , approximately circular area , where light has one effect on the firing of the cell , and an annular surround , where light has the opposite effect . In ON cells , an increment in light intensity in the centre of the receptive field causes the firing rate to increase . In OFF cells , it makes it decrease . In a linear model , this response profile is well described by a difference of Gaussians and is the basis for edge detection algorithms . Beyond this simple difference , ganglion cells are also differentiated by chromatic sensitivity and the type of spatial summation . Cells showing linear spatial summation are termed X cells ( also called parvocellular , P , or midget ganglion cells ) , and those showing non-linear summation are Y cells ( also called magnocellular , M , or parasol retinal ganglion cells ) , although the correspondence between X and Y cells ( in the cat retina ) and P and M cells ( in the primate retina ) is not as simple as it once seemed .   In the transfer of visual signals to the brain , the visual pathway , the retina is vertically divided in two , a temporal ( nearer to the temple ) half and a nasal ( nearer to the nose ) half . The axons from the nasal half cross the brain at the optic chiasma to join with axons from the temporal half of the other eye before passing into the lateral geniculate body .   Although there are more than 130 million retinal receptors , there are only approximately 1.2 million fibres ( axons ) in the optic nerve . So , a large amount of pre-processing is performed within the retina . The fovea produces the most accurate information . Despite occupying about 0.01 % of the visual field ( less than 2 ° of visual angle ) , about 10 % of axons in the optic nerve are devoted to the fovea . The resolution limit of the fovea has been determined to be around 10,000 points . The information capacity is estimated at 500,000 bits per second ( for more information on bits , see information theory ) without colour or around 600,000 bits per second including colour .   Spatial encoding ( edit )  Further information : Receptive field , for figures and more information on centre -- surround structures On - centres and off - centres of the retina  When the retina sends neural impulses representing an image to the brain , it spatially encodes ( compresses ) those impulses to fit the limited capacity of the optic nerve . Compression is necessary because there are 100 times more photoreceptor cells than ganglion cells . This is done by `` decorrelation '' , which is carried out by the `` centre -- surround structures '' , which are implemented by the bipolar and ganglion cells .   There are two types of centre -- surround structures in the retina -- on - centres and off - centres . On - centres have a positively weighted centre and a negatively weighted surround . Off - centres are just the opposite . Positive weighting is more commonly known as excitatory , and negative weighting as inhibitory .   These centre -- surround structures are not physical apparent , in the sense that one can not see them by staining samples of tissue and examining the retina 's anatomy . The centre -- surround structures are logical ( i.e. , mathematically abstract ) in the sense that they depend on the connection strengths between bipolar and ganglion cells . It is believed that the connection strengths between cells is caused by the number and types of ion channels embedded in the synapses between the bipolar and ganglion cells .   The centre -- surround structures are mathematically equivalent to the edge detection algorithms used by computer programmers to extract or enhance the edges in a digital photograph . Thus , the retina performs operations on the image - representing impulses to enhance the edges of objects within its visual field . For example , in a picture of a dog , a cat and a car , it is the edges of these objects that contain the most information . In order for higher functions in the brain ( or in a computer for that matter ) to extract and classify objects such as a dog and a cat , the retina is the first step to separating out the various objects within the scene .   As an example , the following matrix is at the heart of a computer algorithm that implements edge detection . This matrix is the computer equivalent to the centre -- surround structure . In this example , each box ( element ) within this matrix would be connected to one photoreceptor . The photoreceptor in the centre is the current receptor being processed . The centre photoreceptor is multiplied by the + 1 weight factor . The surrounding photoreceptors are the `` nearest neighbors '' to the centre and are multiplied by the - 1 / 8 value . The sum of all nine of these elements is finally calculated . This summation is repeated for every photoreceptor in the image by shifting left to the end of a row and then down to the next line .     - 1 / 8   - 1 / 8   - 1 / 8     - 1 / 8   + 1 </t>
  </si>
  <si>
    <t xml:space="preserve">where is the retina located in the eye</t>
  </si>
  <si>
    <t xml:space="preserve"> The retina is the innermost , light - sensitive layer , or `` coat '' , of shell tissue of the eye of most vertebrates and some molluscs . The optics of the eye create a focused two - dimensional image of the visual world on the retina , which translates that image into electrical neural impulses to the brain to create visual perception , the retina serving much the same function as film or a CCD in a camera . </t>
  </si>
  <si>
    <r>
      <rPr>
        <sz val="11"/>
        <color rgb="FF000000"/>
        <rFont val="Calibri"/>
        <family val="0"/>
        <charset val="1"/>
      </rPr>
      <t xml:space="preserve">Elsa ( Disney ) - Wikipedia  Elsa ( Disney )  Jump to : navigation , search    Elsa     Frozen character         First appearance   Frozen ( 2013 )     Created by     Chris Buck   Jennifer Lee       Voiced by     Idina Menzel   Eva Bella ( 8 years old )   Spencer Lacey Ganus ( 12 years old )       Information     Title     Queen of Arendelle   Princess of Arendelle       Family     The King and Queen of Arendelle ( parents )   Princess Anna of Arendelle ( younger sister )       Queen Elsa of Arendelle is a fictional character who appears in Walt Disney Pictures ' 53rd animated film Frozen . She is voiced primarily by Broadway actress and singer Idina Menzel . At the beginning of the film , she is voiced by Eva Bella as a young child and by Spencer Lacey Ganus as a teenager .   Created by directors Chris Buck and Jennifer Lee , Elsa is loosely based on the title character of `` The Snow Queen '' , a Danish fairytale by Hans Christian Andersen . In the Disney film adaptation , she is introduced as the princess of the fictional Scandinavian kingdom of Arendelle , heiress to the throne and the elder sister of Princess Anna ( Kristen Bell ) . Elsa has the magical ability to create and manipulate ice and snow . She inadvertently sends Arendelle into an eternal winter on the evening of her coronation . Throughout the film , she struggles first with controlling and concealing her abilities and then with liberating herself from her fears of unintentionally harming others , especially her younger sister .   The Snow Queen character , neutral but cold - hearted in the original fairytale and villain in numerous adaptations of the character , proved difficult to adapt to film due to her transparent depiction . Several film executives , including Walt Disney , attempted to build on the character , and a number of scheduled film adaptions were shelved when they could not work out the character . Buck and his co-director , Jennifer Lee , were ultimately able to solve the dilemma by depicting Elsa and Anna as sisters . As much as Anna 's struggle is external , Elsa 's is internal . This led to Elsa being gradually rewritten as a sympathetic , misunderstood character .   Elsa has received largely positive reception from reviewers , who praised her complex characterization and vulnerability . Menzel was also widely praised for her vocal performance of Elsa , especially that of her performance of the song `` Let It Go '' , with critics frequently calling her a `` powerhouse '' .     Contents  ( hide )   1 Development   1.1 Origins and concept   1.2 Voice   1.2. 1 Other voices     1.3 Design and characterization   1.3. 1 Abilities       2 Appearances   2.1 Frozen   2.2 Frozen Fever   2.3 Once Upon a Time   2.4 Olaf 's Frozen Adventure   2.5 Miscellaneous   2.5. 1 Merchandise   2.5. 2 Theme parks   2.5. 3 Cosplay   2.5. 4 Broadway musical       3 Reception   3.1 Critical reviews   3.1. 1 `` Let It Go ''     3.2 Accolades     4 References   5 External links      Development ( edit )   Origins and concept ( edit )  An illustration of the Snow Queen , the character Elsa is based upon .  Attempts were made as early as 1937 by Walt Disney to adapt Hans Christian Andersen 's fairy tale , `` The Snow Queen '' , into a film . The tale focuses on two children , one named Gerda , who served as the basis for Princess Anna , and the other named Kai , who is `` cursed with negativity '' after his heart is pierced with a shard of glass from an enchanted mirror and is later kidnapped by the Snow Queen . However , Disney struggled with creating a believable , multi-dimensional adaption of the fairy tale 's title character , who was intended to be a villain . In the story , she is described as `` a woman , dressed in garments of white gauze , which looked like millions of starry snow - flakes linked together . She was fair and beautiful , but made of ice -- shining and glittering ice . Still she was alive and her eyes sparkled like bright stars , but there was neither peace nor rest in their glance . '' Disney was unable to find a way to make the Snow Queen more real and eventually abandoned film plans .   Several film executives later made efforts towards the project , including Paul and Gaëtan Brizzi , Dick Zondag , Glen Keane , and Dave Goetz . In 2011 , director Chris Buck began work on another attempted adaption and also faced challenges with the Snow Queen character . Producer Peter Del Vecho explained that this was primarily because she was not relatable and too isolated , having no personal connections . As a result , they could not explain her motivations . After several changes were proposed , someone on the writing team suggested making the Snow Queen Anna 's sister . `` Once we realized that these characters could be siblings and have a relationship , everything changed , '' Del Vecho relayed .   The Snow Queen , now given the name Elsa , continued to be cast as a villain , and Disney released the following synopsis for Frozen in May 2013 :   When Anna is cursed by her estranged sister , the cold - hearted Snow Queen , Anna 's only hope of reversing the curse is to survive a perilous but thrilling journey across an icy and unforgiving landscape . Joined by a rugged , thrill - seeking outdoorsman , his one - antlered reindeer and a hapless snowman , Anna must race against time , conquer the elements and battle an army of menacing snowmen if she ever hopes to melt her frozen heart .   Earlier manuscripts included more antagonistic actions by Elsa , such as intentionally cursing Arendelle with an eternal winter . Additionally , she is shown creating an army of snowmen similar to the original Snow Queen 's army of snowflakes ; the comedic character of Olaf was at the time written as a smaller snowman who was cast out by Elsa for being too unintimidating . Within two months , however , scripts were altered to give emphasis to her lack of control over her powers . Olaf was reduced to the only snowman created by Elsa , and he instead serves as a reminder of the sisters ' childhood friendship . In the final version , Elsa creates a single giant snow creature that Olaf nicknames `` Marshmallow '' to act as a guard after being branded as a monster for her powers . According to director Jennifer Lee , the character ultimately became more of a composite of both Kai and the Snow Queen , enhancing her increasingly sympathetic portrayal . Del Vecho added , `` There are times when Elsa does villainous things but because you understand where it comes from , from this desire to defend herself , you can always relate to her . ''   Voice ( edit )  Idina Menzel provided both the singing and speaking voice of Elsa .  Eva Bella and Spencer Lacey Ganus were cast to portray Elsa as a young child and as a teenager , respectively . Actress and singer Megan Mullally was originally cast to voice an adult Elsa . but was replaced by Idina Menzel , a Broadway actress and singer best known for performing as Elphaba in Wicked . Menzel already knew Kristen Bell , who voiced Anna , and had previously auditioned for a lead role in the 2010 Disney film Tangled . She was not cast for the part , but the casting director recorded her singing and later showed the recording to Frozen 's film executives . Menzel was surprised when she was subsequently asked to audition , and she received the role after reading the script out loud . In interviews , she acknowledged similarities between Elsa , her then - current role , and Elphaba , her previous role . Namely , she said , they were both very powerful and very misunderstood individuals . She further said that she related to the characters , having hidden her singing talent from her peers at school . `` I did n't want to alienate anyone , '' she explained . `` If everyone was singing along in the car to a Madonna song , I did n't join in because when we 're younger we 're afraid of sticking out or showing off , when in fact we should own those things that make us really unique . ''   Director Chris Buck believed that Menzel 's vocals would help in the portrayal of the character , saying , `` Idina has a sense of vulnerability in her voice . She plays a very strong character , but someone who lives in fear -- so we needed someone who could portray both sides of the character , and Idina was just amazing . '' Menzel was unaccustomed to working with animated films and being required to portray her character 's feelings with her voice alone , though she did not find it particularly challenging . While recording , she was able to `` play '' with her voice , trying various tones to establish the ranges in Elsa 's emotions . For example , Menzel wanted there to be a difference between the ways she sounded when she was being bold and when she was angry . She would also physically restrict her hands from moving as she recorded the film 's early scenes in order to project how her character was `` so afraid to move and feel anything that it would come out and hurt people '' .   During production , Menzel and Jonathan Groff , who portrays Kristoff , went to the animation studio to explain to the animators how they were approaching their characters . Animators asked Menzel questions about her singing , observed how she breathed as she sang live , and made videorecordings of her recording sessions ; they then animated Elsa 's breathing to match Menzel 's breathing , for further realism . Her voice supplied inspiration for Elsa 's most prominent song , `` Let It Go '' . According to composer Robert Lopez , Menzel 's vocal range was able to clearly convey Elsa 's `` low , vulnerable , fragile side '' as well as her power and self - realization . Menzel commented that it was `` an honor '' to have the song and that she enjoyed recording it . `` It 's a collision of a bunch of forces that are all coming together in the right way , '' she explained . `` The character , what she is singing and what she is experiencing ; beautiful lyrics , beautiful melody and a little bit of me . '' Buck and Lee were also surprised by how compatible Menzel and Kristen Bell 's voices were . At one point during a table read , they sang a ballad ( later revealed as `` Wind Beneath My Wings '' ) back and forth to one another with so much sentiment that it reportedly left everyone who was present with tears in their eyes . Subsequently , Lee wanted Menzel and Bell to be in the same room when they were recording the important emotional scenes of the film .  Other voices ( edit )  All over the world , Elsa was dubbed in 46 languages .   Dutch singer and actress Willemijn Verkaik dubbed Elsa in Dutch ( both speaking and singing ) and German ( singing only ) , Spanish singer Gisela sang both for the Castilian Spanish and Catalan versions and French singer Anaïs Delva 's singing lines were also used in the Canadian French version .   Both Anaïs Delva ( French ) and Jelena Gavrilović ( Serbian ) had originally auditioned for Anna 's role , but were eventually called back to dub Elsa instead .   Just like Idina Menzel , four of Elsa 's dubbers also played the role of Elphaba in the Musical `` Wicked '' , that is : Maria Lucia Rosenberg ( Danish ) , Willemijn Verkaik ( Dutch and German ) , Mona Mor ( Hebrew ) and Hyena Park ( ko ) ( Korean ) .   Since 2013 , some local TV stations have been dubbing the movie in their local languages , creating some unofficial dubs ( namely : Albanian , Arabic TV , Karachay - Balkar , Persian and Tagalog ) .     ( show ) Elsa 's dubbers worldwide     Language   Dialogues   Singing     Arabic   نسمة محجوب ( Nesma Mahgoub )     Brazilian Portuguese   Taryn Szpilman ( pt )     Bulgarian   Надежда Панайотова ( Nadezhda Panayotova ) ( bg )     Canadian French   Aurélie Morgane   Anaïs Delva     Cantonese   </t>
    </r>
    <r>
      <rPr>
        <sz val="11"/>
        <color rgb="FF000000"/>
        <rFont val="Noto Sans CJK SC"/>
        <family val="2"/>
      </rPr>
      <t xml:space="preserve">黃紫嫻 </t>
    </r>
    <r>
      <rPr>
        <sz val="11"/>
        <color rgb="FF000000"/>
        <rFont val="Calibri"/>
        <family val="0"/>
        <charset val="1"/>
      </rPr>
      <t xml:space="preserve">( `` Wong Ji - Haan '' ; Kitty Wong ) ( zh )   </t>
    </r>
    <r>
      <rPr>
        <sz val="11"/>
        <color rgb="FF000000"/>
        <rFont val="Noto Sans CJK SC"/>
        <family val="2"/>
      </rPr>
      <t xml:space="preserve">白 珍寶 </t>
    </r>
    <r>
      <rPr>
        <sz val="11"/>
        <color rgb="FF000000"/>
        <rFont val="Calibri"/>
        <family val="0"/>
        <charset val="1"/>
      </rPr>
      <t xml:space="preserve">( `` Jan - bo Baak '' ; Jobelle Ubalde )     Castilian Spanish   Ana Esther Alborg   Gisela     Catalan   Mar Nicolás   Gisela     Croatian   Kristina Krepela   Nataša Mirković     Czech   Andrea Elsnerová ( cs ; de )   Monika Absolonová     Danish   Maria Lucia Rosenberg     Dutch   Willemijn Verkaik     English   Idina Menzel     Estonian   Hanna - Liina Võsa ( et ; es )     European French   Anaïs Delva     European Portuguese   Maria Camões ( pt )   Ana Margarida Encarnação     Finnish   Katja Sirkiä ( fi )     Flemish   Elke Buyle     German   Dina Kürten ( de )   Willemijn Verkaik     Greek   Σία Κοσκινά ( Sía Koskiná ) ( el )     Hebrew   מונה מור ( Mona Mor )     Hindi   सुनिधि चौहान ( Sunidhi Chauhan )     Hungarian   Réka Farkasházi ( hu )   Nikolett Füredi ( hu )     Icelandic   Ágústa Eva Erlendsdóttir     Indonesian   Lis Kurniasih   Mikha Sherly Marpaung     Italian   Serena Autieri     Japanese   Takako Matsu     Kazakh   Айнұр Бермұхамбетова ( Aynur Bermuxambetova )     Korean   </t>
    </r>
    <r>
      <rPr>
        <sz val="11"/>
        <color rgb="FF000000"/>
        <rFont val="Noto Sans CJK SC"/>
        <family val="2"/>
      </rPr>
      <t xml:space="preserve">안소연 </t>
    </r>
    <r>
      <rPr>
        <sz val="11"/>
        <color rgb="FF000000"/>
        <rFont val="Calibri"/>
        <family val="0"/>
        <charset val="1"/>
      </rPr>
      <t xml:space="preserve">( Ahn So - Yeon ) ( ko )   </t>
    </r>
    <r>
      <rPr>
        <sz val="11"/>
        <color rgb="FF000000"/>
        <rFont val="Noto Sans CJK SC"/>
        <family val="2"/>
      </rPr>
      <t xml:space="preserve">박혜 나 </t>
    </r>
    <r>
      <rPr>
        <sz val="11"/>
        <color rgb="FF000000"/>
        <rFont val="Calibri"/>
        <family val="0"/>
        <charset val="1"/>
      </rPr>
      <t xml:space="preserve">( Park Hyena ) ( ko )     Latin American Spanish   Carmen Sarahí ( es )     Latvian   Jolanta Strikaite     Lithuanian   Girmantė Vaitkutė ( lt )     Malaysian   Marsha Milan Londoh     Mandarin Chinese ( China )   </t>
    </r>
    <r>
      <rPr>
        <sz val="11"/>
        <color rgb="FF000000"/>
        <rFont val="Noto Sans CJK SC"/>
        <family val="2"/>
      </rPr>
      <t xml:space="preserve">周 帅 </t>
    </r>
    <r>
      <rPr>
        <sz val="11"/>
        <color rgb="FF000000"/>
        <rFont val="Calibri"/>
        <family val="0"/>
        <charset val="1"/>
      </rPr>
      <t xml:space="preserve">( Zhōu Shuài )   </t>
    </r>
    <r>
      <rPr>
        <sz val="11"/>
        <color rgb="FF000000"/>
        <rFont val="Noto Sans CJK SC"/>
        <family val="2"/>
      </rPr>
      <t xml:space="preserve">胡 维 纳 </t>
    </r>
    <r>
      <rPr>
        <sz val="11"/>
        <color rgb="FF000000"/>
        <rFont val="Calibri"/>
        <family val="0"/>
        <charset val="1"/>
      </rPr>
      <t xml:space="preserve">( `` Hú Wéi - Nà '' ; Jalane ) ( cmn )     Mandarin Chinese ( Taiwan )   </t>
    </r>
    <r>
      <rPr>
        <sz val="11"/>
        <color rgb="FF000000"/>
        <rFont val="Noto Sans CJK SC"/>
        <family val="2"/>
      </rPr>
      <t xml:space="preserve">刘小芸 </t>
    </r>
    <r>
      <rPr>
        <sz val="11"/>
        <color rgb="FF000000"/>
        <rFont val="Calibri"/>
        <family val="0"/>
        <charset val="1"/>
      </rPr>
      <t xml:space="preserve">( Liú Xiǎo - Yún )   </t>
    </r>
    <r>
      <rPr>
        <sz val="11"/>
        <color rgb="FF000000"/>
        <rFont val="Noto Sans CJK SC"/>
        <family val="2"/>
      </rPr>
      <t xml:space="preserve">林芯儀 </t>
    </r>
    <r>
      <rPr>
        <sz val="11"/>
        <color rgb="FF000000"/>
        <rFont val="Calibri"/>
        <family val="0"/>
        <charset val="1"/>
      </rPr>
      <t xml:space="preserve">( `` Lín Xīn - Yí '' ; Shennio Lin ) ( cmn )     Norwegian   Lisa Stokke     Polish   Lidia Sadowa ( pl )   Katarzyna Łaska     Romanian   Adina Lucaciu   Dalma Kovács     Russian   Анна Бутурлина ( Anna Buturlina ) ( ru )     Serbian   Jelena Gavrilović     Slovak   Andrea Somorovská     Slovene   Alenka Kozolc Gregurić   Nuška Drašček Rojko ( sl )     Swedish   Annika Herlitz     Thai   วิ ช ญาณี เปีย กลิ่น ( `` Wichayanee Pia - klin '' ; Gam the Star ) ( th )     Turkish   Begüm Günceler     Ukrainian   Аліна Проценко ( Alina Procenko )   Шаніс ( Shanis )     Vietnamese   Đoàn Khánh Ái   Dương Hoàng Yến ( vi ; es )     Design and characterization ( edit )   Following the casting of Idina Menzel , Elsa 's characterization underwent several alterations . According to Menzel , she was originally scripted as a one - dimensional antagonist but was gradually revised as a more vulnerable , multifaceted figure . Menzel further described her character as `` extremely complicated and misunderstood '' . Director Jennifer Lee stated that Elsa is largely driven by fear throughout the film , while Menzel added that she was also struggling with her potential to be `` a strong , powerful , extraordinary woman '' . Executive producer and animator John Lasseter became very `` protective of Elsa '' and was adamant about portraying her in a more favorable , sympathetic light . Writer and director Jennifer Lee stated on Twitter that Elsa 's body language and mannerisms were `` intentional to show anxiety and depression '' . In July 2013 , Disney released images of the film 's main characters along with outlines of their roles in the story . Elsa received the following description :   From the outside , Elsa looks poised , regal and reserved , but in reality , she lives in fear as she wrestles with a mighty secret -- she was born with the power to create ice and snow . It 's a beautiful ability , but also extremely dangerous . Haunted by the moment her magic nearly killed her younger sister Anna , Elsa has isolated herself , spending every waking minute trying to suppress her growing powers . Her mounting emotions trigger the magic , accidentally setting off an eternal winter that she ca n't stop . She fears she 's becoming a monster and that no one , not even her sister , can help her .   Elsa 's supervising animator was Wayne Unten , who asked for that role because he was fascinated by her complexity . Unten carefully developed Elsa 's facial expressions in order to bring out her fear as contrasted against Anna 's fearlessness . For their work on designing and animating Elsa , Unten and three other Disney Animation employees later won an award for Outstanding Animated Character in an Animated Feature Motion Picture at the 2013 Visual Effects Society Awards : Joy Johnson , character technical director ( rigging ) ; Alexander Alvarado , look development artist ( Disney 's job title for texture artists ) ; and Chad Stubblefield , modeling supervisor . FX technical director Yoo Jae - hyun worked for a year - and - a-half on creating Elsa 's ice - based special effects , including effects associated with her dress .   Producers identified the scene in which Elsa sings `` Let It Go '' as a pivotal point in the character 's development . The scene depicts her choice to `` let go '' of her fear of using her powers . Character design supervisor Bill Schwab said , `` Before ' Let It Go ' , Elsa is really buttoned up , her hair is up -- everything is perfect . During the song , she gives herself permission to be who she is and everything changes -- her hair is more wild , her gown is magical . She 's finally free -- even if she is all alone . '' Animators designed Elsa 's appearance to reflect her metamorphosis ; in the beginning , she is shown primarily in restrictive and confining outfits . Menzel said that , after accepting her abilities , Elsa 's appearance becomes `` very vampy '' , continuing , `` She 's quite sexy for Disney , I have to say -- they 're pushing the limits there a little bit ! But there 's a gleam in her eye and a supermodel walk that goes with it and , for me , it was fun to be a blonde because I 'm not in real life . '' In a January 2014 interview with John August and Aline Brosh McKenna , Lee disclosed that Lasseter personally helped with conceptualizing Elsa 's physical transformation : `` ( M ) y favorite thing about it ... is the actual model for doing it was John Lasseter ... he was a huge help in talking through how we translate that emotional journey ... with the animation ... ( H ) e got up and he 's like , ... ' her hair goes , and she transforms , and she struts , ' and he 's doing it . He 's acting it out . ''     `` We imagined what it would be like to be chased out of the kingdom . To have to let go of everything you know and all the people you love . And yet the incredible release you 'd have to finally let go of everything you 've holding back your entire life . ''     -- Kristen Anderson - Lopez on writing Elsa 's song , `` Let It Go '' , and the choice to make her a protagonist rather than a villain .     The scene was also a pivotal point in the development of Elsa 's character and was initially planned to depict her becoming evil . Robert Lopez , who composed the song with his wife , Kristen Anderson - Lopez , explained , `` Elsa was going to go from being this perfect princess that had tried to keep her personality down her whole life to saying , ' Screw it . I 'm gon na be me . ' '' They had wanted to use the song as a way to gain a better understanding of the character and what she would be like if she was no longer living in fear , which ultimately resulted in her becoming much more complex . The final lyrics and Menzel 's `` ability to be so fragile and vulnerable and then break into this powerhouse voice '' turned the plot around and led to Elsa being revised as a `` good '' character . She initially attempts to suppress her powers in order to avoid hurting others , particularly Anna , and when she is no longer able to do so , she banishes herself from the kingdom to protect those around her . Lead writer Paul Briggs said that Anna 's support is what Elsa needs most when her secret is exposed . `` The strength of the family bond is what makes this story so powerful , '' he explained , `` because it 's her sibling who 's willing to look beyond her powers and stand between her and the world if that 's what it takes . ''  Early concept art depicting a darker version of Elsa inspired by Amy Winehouse .  Elsa 's appearance had to be redesigned following her transition from antagonist to protagonist . She was originally drawn in a style similar to other Disney villains , with blue skin and spiky black hair . A few months after the film 's release , visual development artist Claire Keane ( the daughter of Disney Legend Glen Keane ) published early concept art of Elsa that was modeled after the singer Amy Winehouse . At the time , she was imagined as having blue `` bouffant '' hair as well as `` a deep , soulful voice and dramatic mood swings '' . Lasseter reportedly influenced the creation of the character 's much softer final appearance , particularly in regards to her very thick platinum blonde hair , which animators found difficult to design . Art director Michael Giaimo said that while a number of strategies were proposed for Elsa 's hair , Lasseter would push the animation team to continue making improvements , saying , `` It 's not aspirational enough . We want people to feel like this hair is a beautiful statement . '' During a research trip , producers found that `` there are lots of braids '' worn by women in Norway ; they then hired a stylist from New York named `` Danilo '' who helped to create a style that would reflect that while still being `` a little different '' . A new animation program called Tonic was invented to assist with the task , and the character 's hair ultimately required 420,000 CGI threads . By contrast , Anna was given roughly 140,000 hairs while Rapunzel from Tangled had only required 27,000 CGI threads for her hair .  Abilities ( edit ) Elsa 's ice castle  Since Elsa is introduced as a young child at the beginning of the film , animators wanted the first glimpse of her powers to reflect her innocent and fanciful state of mind at the time . This included giving her first snowflakes a simple design . Her snow and ice patterns later become more intricate and complex when she is an adult . Co-effects supervisor Marlon West elaborated , `` When Elsa finally lets go and really starts owning her cryokinetic abilities , we wanted the ice and snow that she make to get across the idea that Elsa has now grown up and become this beautiful , elegant , confident and powerful young woman . ''   Her ice castle , which she creates while singing `` Let It Go '' , was designed to illustrate the maturing of her powers as well as to be `` a manifestation of her feelings to the world '' . The palace is initially beautiful ; however , after she is made aware of the destruction she has inadvertently caused , and as she is increasingly vilified and hunted by others , it becomes darker and more distorted , with jagged icicles forming on the walls . The film 's design team was uncertain about how it should look and drew out designs for various ice castles filled with snow . Lasseter suggested basing the structure and patterns on snowflakes . For example , an enormous snowflake would serve as the foundation , and the palace would be hexagon - shaped . Lasseter also wanted snowflake patterns to influence the manner in which Elsa creates the palace . `` Snowflakes are these tiny little ice crystals that form in mid-air . And when there are changes in temperature and humidity , these snowflakes start growing in a pattern that 's known as branching and plating , '' said co-effects supervisor Dale Mayeda . `` ( Lasseter ) said ' You know , when Elsa builds her ice palace , it would be so amazing if -- every step of the way as this castle forms out of thin air -- it 's just branching and plating , branching and plating all along the way . ''   Fifty animators worked on the scene in which the castle is built , and one frame required 30 hours to render . They later extended similar techniques to Elsa 's clothing . While the traditional Norwegian rosemaling was the inspiration for her costuming early in the film , her ice gown was designed similarly to her palace , with snowflakes heavily influencing the style . Her cape itself is a large snowflake .   Appearances ( edit )   Frozen ( edit )  Main article : Frozen ( 2013 film )  Elsa , princess of Arendelle and heiress to the throne , is born with the ability to create and control ice and snow . As a child , she uses her abilities to create a winter wonderland to play in with her younger sister and best friend , Princess Anna . One night , Elsa accidentally harms Anna with her powers . The king and queen of Arendelle hurriedly take Anna to a tribe of mountain trolls to be healed . While healing Anna , the trolls inform the royals present that Elsa 's abilities will grow , becoming both beautiful and very dangerous so she must learn to control them . While the trolls erase Anna 's memory of the incident and of her elder sister 's powers in general , Elsa is traumatized by the event . The king and queen take steps to control and hide Elsa 's ice powers : the castle gates are locked , Elsa is shut away in her bedroom for most of the time , she is given gloves to help suppress her powers and is told to hold in her emotions as well . Nonetheless her powers continue to grow even stronger and so she becomes fearful of harming those she cares about most . Meanwhile , her sister Anna is less happy and confused by the loss of contact with her elder sister and tries , without success , to coax her out of her room . When the sisters grow into teenagers , the ship in which the king and queen are sailing is capsized in a storm and they drown , leaving Anna and Elsa feeling even more lonely .   Three years pass , and Elsa , now of age , is set to formally succeed her father as the monarch of Arendelle . Though she is afraid of opening the castle to the large crowds , her coronation goes on relatively peacefully . However , at the reception party , Anna asks for Elsa 's blessing to marry Prince Hans of the Southern Isles , whom Anna had met earlier that day . Elsa refuses to bless Hans 's offer to marry Anna ; he is someone she barely knows , prompting an argument between the two . Being so upset Elsa accidentally reveals her power . Upon the guests ' and her subjects ' horror and being accused of sorcery and called a monster , Elsa flees the castle and retreats into the icy mountains . In the process , her emotions unleash an `` eternal '' winter throughout Arendelle . While there , she decides to embrace , finally , all her powers and builds an enormous ice palace where she believes she can live freely without fear of hurting people . She also rebuilds her childhood snowman , Olaf , and unknowingly brings him to life .   Anna , determined to find Elsa and bring her back , travels through the mountains , encountering Olaf and a mountain man named Kristoff . They reach the ice palace , where Anna attempts to persuade Elsa to return home and mend their relationship . When Elsa ultimately resists ( due to her memory of hurting Anna as a child with her powers resurfacing ) Anna tells her about the state that Arendelle and all its people was left in . Horrified , Elsa lashes out and accidentally freezes Anna 's heart . Now even more horrified at the prospect of hurting her sister and people with her powers , Elsa forces Anna , Kristoff and Olaf out by creating a gigantic snow creature ( called Marshmallow by Olaf ) , that is a symbol of her desire to be alone so as to be able to use her powers without hurting anyone . After this , her ice castle evidently becomes darker and more grotesque , reflecting her torment and re-ignited fears . Meanwhile , Anna becomes weaker day by day and Kristoff takes her back to the trolls , who tell them that only an `` act of true love '' can save her life .   Hans and a group of soldiers attack the now ugly ice palace . Elsa seizes two soldiers who attempt to assassinate her . Hans convinces her to spare them to prove that she is not a monster . However , she is knocked unconscious and taken to her castle 's dungeon . Hans visits her and urges her to end the winter ; Elsa admits that she has no idea how to do so . After he leaves , she is able to break free from the chains by freezing them and escapes the cell , though her fears trigger a massive blizzard . Anna returns to the castle , believing that a romantic kiss from Hans will be the `` act of true love '' to save her . Instead , he informs her that his offer of marriage ( engagement ) had been the first step of a plot to get him the throne of Arendelle . Olaf tells Anna that Kristoff is in love with her and she believes that his kiss will cure her . They rush to find Kristoff . Hans confronts Elsa and tells her that she has killed Anna . Devastated , Elsa collapses and the blizzard stops suddenly . Hans approaches her and swings his sword to kill her , but Anna turns away from an approaching Kristoff with her last bit of strength and blocks Hans ' attack as she freezes solid .   Moments later , Anna begins to thaw , as her choice to save her sister rather than herself constituted the necessary `` act of true love '' . Elsa realizes that love is the key to controlling her powers and is able to end the kingdom 's eternal winter . Summer returns to Arendelle , Elsa regains the throne and is able to use and safely control her powers , while the sisters ' bond is restored . She exiles Hans back to the Southern Isles to face punishment from his family and cuts off trade with the Duke of Weselton 's town for his earlier behavior towards her .   Frozen fever ( edit )  Main article : Frozen Fever  Nearly a year after the events of the first film , Elsa tries to make Anna 's 19th birthday as perfect as possible a way of making up for the years they spent apart . To do so , she works heavily with Kristoff , Sven and Olaf to make this a reality . Upon making sure that her surprise party in the palace courtyard is ready , she leaves Kristoff in charge while she goes to get Anna . However , Elsa starts to come down with a cold as she leads Anna on a treasure hunt to find all the gifts that have been made for her . Without realizing it , each sneeze she makes creates small snowmen called `` snowgies '' , which create trouble for Kristoff , Sven and Olaf . As Anna notices Elsa 's cold getting worse , she tries in vain to get Elsa to stop exerting herself , even taking medicine from Oaken in case Elsa gets sicker . Unfortunately , Elsa 's cold cause her to become very tired and behave in a seemingly intoxicated - like manner , and she nearly falls from Arendelle 's clock tower only for Anna to save her . Upon finally admitting to Anna that she is indeed sick after the previous incident , she allows Anna to escort her home feeling she has ruined everything , and finds that the party has gone off successfully for Anna ( as well as discovering her snowgie creations ) , and still slightly intoxicated , she ends the party by accidentally sneezing into the birthday bugle horn , which inadvertently sends a gigantic snowball all the way to the Southern Isles and hits the now - demoted Hans , causing him to fall into a pile of horse manure . Afterwards , Anna tells a now bed - ridden Elsa that she has given her the best birthday ever by letting her take care of her .   Once Upon a time ( edit )     Elsa     Once Upon a Time character     First appearance   `` There 's No Place Like Home '' ( 3.22 )     Last appearance   `` Heroes and Villains '' ( 4.11 )     Created by     Edward Kitsis   Adam Horowitz       Portrayed by   Georgina Haig     Information     Occupation   Queen of Arendelle     Family     Queen Gerda and King of Arendelle ( deecased parents )   Anna ( younger sister )   Ingrid and Helga ( maternal aunts )   Kristoff ( brother - in - law )       Centric episodes       `` There 's No Place Like Home '' ( cameo )   `` A Tale of Two Sisters ''   `` White Out ''   `` Rocky Road ''   `` The Apprentice ''   `` Breaking Glass ''   `` Family Business ''   `` The Snow Queen ''   `` Smash the Mirror ''   `` Fall ''   `` Shattered Sight ''   `` Heroes and Villains ''       Elsa appears as a recurring character in the fourth season of the television series Once Upon a Time , where she is portrayed by Georgina Haig .   At the end of the show 's third season finale , `` There 's No Place Like Home '' , Emma Swan ( Snow White and Prince Charming 's daughter ) and Captain Hook accidentally bring back an urn from Rumplestiltskin 's vault after their excursion into the past . The urn releases a blue liquid that coalesces into Elsa . She takes off her glove and destroys the urn with an icy blast . She strides out of the barn , leaving a trail of frozen ground . In the fourth - season premiere , `` A Tale of Two Sisters , '' Elsa 's story is shown in the present day as well as flashbacks taking place two years after the events of the film . In the past , she discovers that her and Anna 's parents set off not on a diplomatic mission , but on a journey to Misthaven -- the `` Enchanted Forest '' where most of Storybrooke 's fairy - tale residents came from -- to </t>
    </r>
  </si>
  <si>
    <t xml:space="preserve">who did the voice for elsa in frozen</t>
  </si>
  <si>
    <t xml:space="preserve"> Queen Elsa of Arendelle is a fictional character who appears in Walt Disney Pictures ' 53rd animated film Frozen . She is voiced primarily by Broadway actress and singer Idina Menzel . At the beginning of the film , she is voiced by Eva Bella as a young child and by Spencer Lacey Ganus as a teenager . </t>
  </si>
  <si>
    <t xml:space="preserve">Claire Underwood - wikipedia  Claire Underwood       Claire Underwood     House of Cards character     Robin Wright as Claire Underwood     First appearance   `` Chapter 1 '' ( 2013 )     Created by   Beau Willimon     Portrayed by   Robin Wright     Information     Full name   Claire Hale Underwood     Title   President of the United States     Family   Elizabeth Hale ( mother ; deceased )     Spouse ( s )   Frank Underwood ( m . 1987 - 2017 )     Nationality   American     Party   Democratic     Hometown   Highland Park , Texas     Alma mater   Radcliffe College Harvard University     Source   Elizabeth Urquhart     Claire Hale Underwood is a fictional character in House of Cards , played by Robin Wright . She is the wife of the show 's protagonist Francis J. Underwood . She is a lobbyist and runs an environmental nonprofit organization , but in later seasons ascends to the positions of Second Lady of the United States , First Lady of the United States , the United States Ambassador to the United Nations , Vice President of the United States , and finally the 47th President of the United States . Underwood made her first appearance in the series ' pilot episode , `` Chapter 1 '' . The character is based on Elizabeth Urquhart , a character from the eponymous British miniseries from which the current series is derived . Unlike the original character , however , Claire has her own storylines .   The role has been critically acclaimed . Wright won the Golden Globe Award for Best Actress -- Television Series Drama for this role at the 71st Golden Globe Awards , becoming the first actress to win a Golden Globe Award for a web television online - only role in a series . She was nominated for the Primetime Emmy Award for Outstanding Lead Actress in a Drama Series for this role at the 65th , 66th , 67th , 68th and 69th Primetime Emmy Awards .   Contents    1 Character overview   1.1 Relationship with Frank     2 Fictional character biography   2.1 Season 1   2.2 Season 2   2.3 Season 3   2.4 Season 4   2.5 Season 5     3 Reception   3.1 Awards and nominations     4 Notes    Character overview ( edit )   Claire Hale Underwood is originally from the exclusive Highland Park enclave of Dallas , Texas . Her late father was a major Texas Republican . While at Radcliffe College in Cambridge , she met Francis J. Underwood , a Harvard Law student from South Carolina . She is from a wealthy family , and the show characterizes her as a `` Dallas Debutante '' and `` Lily White '' . She recounts her father 's taking her to Dealey Plaza , where John F. Kennedy was assassinated , and that it made her feel `` so sad , so angry '' . She has a difficult relationship with her mother , Elizabeth Hale ( Ellen Burstyn ) , who despises Frank and is disappointed in Claire for marrying him .   Brian Stelter of The New York Times described her as Frank Underwood 's conniving wife and described the Underwoods as `` the scheming husband and wife at the center of ' House of Cards ' '' . She is a woman `` who will stop at nothing to conquer everything '' . Hank Stuever of The Washington Post describes her as an `` ice - queen wife '' . The Independent 's Sarah Hughes echoes this description , saying Claire is so dedicated to the couple 's schemes that it is clear she will execute them herself if Frank wavers . Following season 4 , Robin Wright stated that she felt Claire Underwood was the equal of Frank Underwood and demanded equal pay for her performance . Netflix acquiesced .   Relationship with Frank ( edit )   While Frank is Machiavellian , Claire presents a woman urging on her husband 's assertion of power in the image of Lady Macbeth . She encourages his vices while noting her disapproval of his weaknesses , saying : `` My husband does n't apologize ... even to me . '' This gives a credibility to their symbiosis .   Willimon notes that `` What 's extraordinary about Frank and Claire is there is deep love and mutual respect , but the way they achieve this is by operating on a completely different set of rules than the rest of us typically do . ''   Nancy deWolf Smith of The Wall Street Journal describes Claire as `` a short - haired blonde who manages to be masculine and demasculinizing at the same time . '' Smith describes their relationship as pivotal to the show : `` Benign though they may seem -- and their harmless air is what makes the Underwoods so effective as political plotters -- this is a power couple with the same malignant chemistry as pairs of serial killers , where each needs the other in order to become lethal '' .   Upon viewing a four episode preview of season 2 , Tim Goodman of The Hollywood Reporter says the series `` ... sells husband and wife power - at - all - costs couple Frank ( Kevin Spacey ) and Claire ( Robin Wright ) Underwood as a little too oily and reptilian for anyone 's good . '' Los Angeles Times critic Mary McNamara makes the case that House of Cards is a love story on many levels but most importantly between Frank and Claire .   In season 3 , when the Underwoods are President and First Lady of the United States , Claire 's marriage to Frank begins to falter . She tires of being in a subordinate role to him , wanting to be `` significant '' in her own right , and decides that he is `` not enough '' for her . She leaves him in the season finale but comes back in the fourth season , treating their marriage as a purely political arrangement to further her own career . When he is shot during a campaign event , Claire privately admits that she feels nothing for him . Throughout the season , she works behind the scenes to undermine Frank 's election campaign , before finally joining forces with him in order to become his vice president . She also has an affair with her speechwriter Tom Yates ( Paul Sparks ) , with Frank 's approval .   Fictional character biography ( edit )   Season 1 ( edit )   Claire is the CEO of an environmental group while serving as her husband 's primary accomplice . After President Garrett Walker ( Michel Gill ) goes back on his promise to make Frank Secretary of State , Frank enlists Claire to help him get revenge and propel them both to positions of power . She and Frank scheme nightly over a cigarette , and together they maneuver their way into Walker 's inner circle . Frank says of Claire : `` I love that woman , I love her more than sharks love blood . ''   Claire is aware of Frank 's sexual relationship with reporter Zoe Barnes ( Kate Mara ) and approves of it as long as it achieves their ends . She herself has an affair with an old boyfriend , Adam Galloway ( Ben Daniels ) .   By the end of the season , Walker appoints Frank the Vice President of the United States , making Claire the Second Lady of the United States .   Season 2 ( edit )   Claire 's main storyline in season 2 is her advocacy , as Second Lady , for a sexual assault prevention bill . During her campaign for the bill , a secret from her college days emerges : during a nationally televised interview , she admits that she was raped in college and that her rapist , Dalton McGinnis ( Peter Bradbury ) , is now a high - ranking general . ( She had earlier had an uncomfortable encounter with McGinnis at a White House dinner , during which she had told Frank what the general had done to her . ) She also admits to having aborted a pregnancy that she claims was the result of the rape ; it is later revealed that she in fact aborted Frank 's child , with his consent . She then converts the focus on that issue into political support that becomes critical to the Underwoods ' ascension to the Oval Office .   Claire becomes increasingly ruthless as the season progresses . When Galloway leaks an intimate photo of Claire to appease his jealous fianceé , Claire intimidates him into publicly stating that he fabricated the picture , ruining his reputation . When Gillian Cole ( Sandrine Holt ) , a pregnant former employee , returns to demand health care as part of her severance , Claire says , `` I am willing to let your child wither and die inside you , if that 's what 's required , ... Am I really the sort of enemy you want to make ? '' Claire also manipulates First Lady Patricia Walker ( Joanna Going ) into believing that her husband is having an affair in order to distract President Walker from Frank 's machinations .   She shows remorse for her actions only once . When another of McGinnis ' victims , Megan Hennessy ( Libby Woodbridge ) , comes forward , Claire uses her as the poster girl for the sexual assault bill , leaving the fragile young woman open to public scrutiny and reprisals from the bill 's opponents . Before she can testify about her ordeal before Congress , however , Megan suffers a breakdown and attempts suicide . Upon realizing what she has caused Megan to go through , Claire bursts into tears .   In the season finale , she urges Frank to humble himself before President Walker , with whom he has fallen out of favor , in order to complete the plan : `` Cut out your heart and put it in his fucking hands . '' The gambit works : Walker keeps Frank as his Vice President , allowing Frank to succeed him when he resigns . Frank is now President of the United States , with Claire as the First Lady .   According to Drew Grant of The New York Observer , Claire 's season - long storyline was similar to the real life efforts of United States Senator Kirsten Gillibrand 's to legislate an end to military sexual assault . Based upon the 4 - episode preview , Alessandra Stanley of The New York Times says that in season 2 Claire `` is still ruthlessly pursuing her own agenda as well as her husband 's . She remains an enigma even as she reveals more and more disturbing secrets from her past . '' Claire remains composed and stylish with or without her husband and plays the press with aplomb .   Season 3 ( edit )   In Season 3 , Claire feels the need to be something more `` significant '' than the First Lady , and asks Frank to nominate her to a United Nations post . He nominates her , but the Senate rejects her after a rocky hearing . Frank gives her the job anyway in a recess appointment , but her tenure is brief ; she ruins a treaty between the U.S. and Russia by publicly confronting Russian President Viktor Petrov ( Lars Mikkelsen ) about his anti-gay policies and is forced to resign when Petrov uses her as a bargaining chip during a diplomatic crisis .   During Frank 's election campaign , Claire begins to question whether she still loves him . In the season finale , she and Frank get into an ugly fight in which she says he is not enough for her ; Frank replies that without him , she is nothing . Season three ends with Claire leaving Frank as he prepares to go to the New Hampshire primary .   Season 4 ( edit )   After leaving Frank , Claire goes back to Texas , where she has a tense reunion with her mother , who is dying of lymphoma . She sets her sights on running for a House of Representatives seat in Texas , with help from political consultant LeAnn Harvey ( Neve Campbell ) . Frank persuades her to resume public appearances with him by promising to support her run . However , he sandbags her prospective candidacy by endorsing a political ally 's daughter , in order to keep Claire focused on his campaign . Claire retaliates on the day the South Carolina primary by covertly leaking a photo of Frank 's father with a Klansman , imperiling Frank 's candidacy . Frank figures out that she was behind the leak and confronts her . Claire calmly admits what she did and proposes that she join him in the ticket as his vice president . Frank rejects the idea .   Shortly thereafter , Frank is shot by Lucas Goodwin , in an assassination attempt , and falls into a coma . While Frank is in surgery , Claire helps guide Frank 's weak vice president Donald Blythe through a diplomatic crisis with Russia . While Frank is receiving a liver transplant , she declines going to the hospital in favor of negotiating a treaty with Petrov , and strong - arms him into accepting the U.S. ' terms . When Frank recovers from surgery , he agrees to let Claire be his vice president . He and Claire advocate for a controversial gun control bill for the sole purpose of creating an atmosphere divisive enough to pick off the potential running mates . In the ensuing open convention , they publicly endorse Secretary of State Catherine Durant ( Jayne Atkinson ) for the job , while working behind the scenes to undermine her and ensure that Claire wins enough delegates to be nominated . Meanwhile , she reluctantly honors her mother 's request to help her die . She and Frank then use the public sympathy from Elizabeth 's death to win the nomination ; they are now running mates .   When the terrorist group Islamic Caliphate Organization ( ICO ) takes an American family hostage , Claire negotiates with their imprisoned leader , Yusuf Al Ahmadi ( Farshad Farahat ) , who agrees to tell his followers to release the hostages . Al Ahmadi reneges on the deal , however , and tells them to kill the hostages . At the same time , journalist Tom Hammerschmidt ( Boris McGiver ) publishes an investigative news story detailing Frank 's crimes . Claire gives Frank the idea to declare war on ICO and allow the public to see the hostage die in order to distract from the scandal and create an atmosphere of widespread fear that they can exploit . In the final scene , Claire finally breaks the fourth wall with Frank .   Season 5 ( edit )   In season 5 , Claire 's story begins as the opening scene of the season : shooting a propaganda commercial in order to stir up fear . Throughout the beginning , she helps make the campaign 's focal point about the fear of ICO and how they can stop the threat .   On Election Day , Claire and Frank learn that they may lose because of low voter turnout . They exploit a possible terrorist threat to close down multiple polling centers in key states , such as Ohio . This leading to numerous states filing lawsuits and refusing honoring the election results .   Nine weeks later , with neither side winning the majority of electors , the House ( now Republican - controlled ) will decide the President and the Senate ( Democrat - controlled ) for the Vice President , the first instance of this happening for the President since the 1824 presidential election and the first time for the Vice President since the 1836 presidential election . Claire eventually wins when Donald Blythe issues a bill to block any filibuster of coming onto the floor ; while the house could n't reach a majority . In the meantime , Claire is sworn in as Acting President of the United States and begins to exert her limited power by excluding Frank from certain presidential functions , such as the swearing - in of the new Justice of the Supreme Court .   During her short - lived presidency , a truck with nuclear energy goes missing and puts D.C. into lock - down , a scheme devised by several members of Frank 's cabinet and Conway 's campaign . During the emergency , Claire is visited by diplomat Jane Davis ( Patricia Clarkson ) , who says that she can track down a leader of ICO for the Underwoods . Claire is also faced with a series of diplomatic crises : Russian soldiers have also taken over an American base , and the Russians and Chinese are vying for possession of a boat in Antarctica that has a stowaway American working for the Russians . After making a deal with the Chinese , Claire orders for the boat to be destroyed so that neither the Chinese nor the Russians can get what is on board . Around this time , Claire agrees to an open election in Ohio for not only the President , but also the Vice President , in order to avoid a possible Conway - Underwood administration .   The Underwoods discover evidence to blackmail Conway 's campaign manager , Mark Usher ( Campbell Scott ) , into helping them . Frank acquires a recording of Conway verbally abusing a pilot , as well as a recording of Conway 's running mate , General Brockhart ( Colm Feore ) , threatening to kill Frank ; when he releases them , voters turn against Conway and the Underwoods win the election .   Soon afterward , Congressman Alex Romero ( James Martinez ) encourages the Republicans to start up the Declaration of War committee to investigate Frank , which puts Claire and Frank in damage control .   By this time , Claire and Tom Yates have fallen in love , which complicates both their lives . During an unguarded moment , Claire tells Yates that Frank murdered Zoe Barnes and Congressman Peter Russo ( Corey Stoll ) . She immediately regrets it , and tells Yates that they ca n't see each other anymore . In response , Yates threatens to publish a book detailing the Underwoods ' crimes . Claire invites him to Usher 's home , and poisons him . He dies while having sex with Claire , and she has Usher get rid of the body . Around this time , Claire and Frank convince Doug to take the fall for Zoe Barnes ' death . Frank also starts to become suspicious of Claire as she disappears for a period of time ( she had started talking to Davis in a secret corridor ) and starts to memorize her testimony defending herself but not Frank , in case she has to testify .   Walker publicly testifies against Frank , prompting him to appear before the committee and resign the presidency . When an incredulous Claire confronts him , Franks says that it was his plan all along to resign and set her up to be president , so that the two of them can run Washington together - she from the White House and he from the private sector . For the plan to work , Claire must pardon Frank , which would damage her politically . Frank resigns and Claire is sworn in as the 47th President of the United States .   However , in contrast to the plan , Claire does not announce that she is pardoning Frank in her first address to the nation as President . Frank calls her repeatedly , but she forwards the calls . She sees that Frank has burned a hole into the American flag in the Oval Office , and breaks the fourth wall , saying : `` My turn . ''   Reception ( edit )   Wright 's performance is described as `` nuanced and compelling '' . Claire has `` chilly poise '' but the `` coolly regal doyenne '' softens over the course of the first season according to New Republic 's Laura Bennet . Wright plays the role with `` an almost terrifying froideur '' . As a couple Frank and Claire are said to `` reverberate with tension and wit '' . Michael Dobbs , who wrote the trilogy of novels upon which the British miniseries is based , compares the compelling nature of the relationship between Frank and Claire favorably to the original characters in House of Cards and likens them to Macbeth and Lady Macbeth . He is not alone . In season 2 , she remains `` equally steely '' . Despite suggestions to the contrary , Wright insists that the character is not based on Hillary Clinton .   Awards and Nominations ( edit )   On July 18 , 2013 , Netflix earned the first Primetime Emmy Award nominations for original online only web television for the 65th Primetime Emmy Awards . Three of its web series , Arrested Development , Hemlock Grove , and House of Cards , earned nominations . Among those nominations was Wright 's portrayal of Claire Underwood for Outstanding Lead Actress in a Drama Series as well as Kevin Spacey 's portrayal of Frank Underwood for Outstanding Lead Actor in a Drama Series and Jason Bateman 's portrayal of Michael Bluth in Arrested Development for Outstanding Lead Actor in a Comedy Series , making these three roles the first three leading roles to be Primetime Emmy Award - nominated from a web television series . The role has also earned Golden Globe Award for Best Actress -- Television Series Drama award at the 71st Golden Globe Awards on January 12 , 2014 . In so doing she became the first actress to win a Golden Globe Award for an online - only web television series .   For season 2 , Wright earned a Critics ' Choice Television Award for Best Actress in a Drama Series nomination at the 4th Critics ' Choice Television Awards . Wright was again nominated for Primetime Emmy Award for Outstanding Lead Actress in a Drama Series at the 66th Primetime Emmy Awards and Best Actress -- Television Series Drama at the 72nd Golden Globe Awards . She was nominated for both Outstanding Performance by a Female Actor in a Drama Series and Outstanding Performance by an Ensemble in a Drama Series at the 21st Screen Actors Guild Awards .   In season 3 , she was nominated for Primetime Emmy Award for Outstanding Lead Actress in a Drama Series at the 67th Primetime Emmy Awards , Best Actress -- Television Series Drama at the 73rd Golden Globe Awards , as well as both Outstanding Performance by a Female Actor in a Drama Series and Outstanding Performance by an Ensemble in a Drama Series at the 22nd Screen Actors Guild Awards .   Her performance in season 4 earned her a nomination for Primetime Emmy Award for Outstanding Lead Actress in a Drama Series at the 68th Primetime Emmy Awards . Wright 's performance in season 5 earned her a fifth consecutive Primetime Emmy nomination at the 69th Primetime Emmy Awards .   Notes ( edit )    ^ Jump up to : Lacob , Jace ( January 30 , 2013 ) . `` David Fincher , Beau Willimon &amp; Kate Mara On Netflix 's ' House of Cards ' '' . The Daily Beast . Retrieved July 21 , 2013 .   Jump up ^ `` Sexual Politics ( COMM 401 ) : Sex , Power , and Violence : Life in Frank Underwood 's House of Cards '' . blogs.denison.edu . Denison University Blogs . Retrieved March 22 , 2016 .   Jump up ^ `` Netflix show House of Cards has an unexpected link to North Texas '' . Pop Culture Blog . Archived from the original on March 4 , 2016 . Retrieved January 7 , 2016 .   Jump up ^ Rorke , Robert ( March 7 , 2016 ) . `` Ellen Burstyn is a real mother on ' House of Cards ' '' . The New York Post . Retrieved April 7 , 2016 .   Jump up ^ Stelter , Brian ( January 18 , 2013 ) . `` A Drama 's Streaming Premiere '' . The New York Times . Retrieved July 22 , 2013 .   Jump up ^ Stelter , Brian ( July 18 , 2013 ) . `` Netflix Does Well in 2013 Primetime Emmy Nominations '' . The New York Times . Retrieved July 22 , 2013 .   ^ Jump up to : Cornet , Roth ( January 31 , 2013 ) . `` Netflix 's Original Series House of Cards -- From David Fincher and Kevin Spacey -- May be the New Face of Television '' . IGN . Retrieved July 20 , 2013 .   Jump up ^ Stuever , Hank ( January 31 , 2013 ) . `` ' House of Cards ' : Power corrupts ( plus other non-breaking news ) '' . The Washington Post . Retrieved September 10 , 2013 .   ^ Jump up to : Hughes , Sarah ( January 30 , 2013 ) . `` ' Urquhart is deliciously diabolical ' : Kevin Spacey is back in a remake of House of Cards '' . The Independent . Retrieved July 21 , 2013 .   Jump up ^ Peck , Emily ( May 18 , 2016 ) . `` Robin Wright Demanded The Same Pay As Kevin Spacey For ' House of Cards ' '' . The Huffington Post . Retrieved May 19 , 2016 .   Jump up ^ `` Ostrow : Kevin Spacey shines in `` House of Cards '' political drama on Netflix `` . The Denver Post . Retrieved February 11 , 2013 .   ^ Jump up to : Stanley , Alessandra ( January 31 , 2013 ) . `` Political Animals That Slither : ' House of Cards ' on Netflix Stars Kevin Spacey '' . The New York Times . Retrieved September 10 , 2013 .   Jump up ^ Poniewozik , James ( January 31 , 2013 ) . `` Review : House of Cards Sinks Its Sharp Teeth into Washington '' . TIME . Retrieved September 10 , 2013 .   Jump up ^ Oldenburg , Ann ( February 13 , 2014 ) . `` ' House of Cards ' promises more ' plotting and scheming ' '' . USA Today . Retrieved February 13 , 2014 .   Jump up ^ deWolf Smith , Nancy ( January 31 , 2013 ) . `` Fantasies About Evil , Redux '' . The Wall Street Journal . Retrieved September 10 , 2013 .   Jump up ^ Goodman , Tim ( February 3 , 2014 ) . `` House Of Cards : TV Review '' . The Hollywood Reporter . Retrieved February 10 , 2014 .   Jump up ^ McNamara , Mary ( February 14 , 2014 ) . `` Review : ' House of Cards ' plays new hand with brutal , clear resolve '' . Los Angeles Times . Retrieved February 28 , 2014 .   ^ Jump up to : Lowry , Brian ( March 10 , 2016 ) . `` Review : ' House of Cards , ' The Complete Fourth Season for Binge Viewers ( SPOILERS ) '' . Variety . Retrieved April 7 , 2016 .   ^ Jump up to : Bennett , Laura ( February 5 , 2013 ) . `` Kevin Spacey 's Leading - Man Problem The star of the 13 - hour `` House of Cards '' is as impenetrable as ever `` . New Republic . Retrieved July 22 , 2013 .   Jump up ^ `` Chapter 13 '' . House of Cards . Season 1 . Episode 13 . February 1 , 2015 .   Jump up ^ Jancelewicz , Chris ( May 4 , 2013 ) . `` House Of Cards Season 1 , Episode 13 Recap : All 's Well That Ends Well ( Or Not ) '' . Huffington Post . Retrieved March 5 , 2016 .   Jump up ^ Barney , Chuck ( February 11 , 2014 ) . `` Review : ' House of Cards ' returns for more political dirty deeds '' . San Jose Mercury News . Retrieved February 11 , 2014 .   ^ Jump up to : Smith , Sara ( February 7 , 2014 ) . `` Second season of ' House of Cards ' is a vote for vice '' . The Kansas City Star . Retrieved February 9 , 2014 .   Jump up ^ Valby , Karen ( February 5 , 2014 ) . `` House Of Cards '' . Entertainment Weekly . Retrieved February 9 , 2014 .   Jump up ^ Deggans , Eric ( February 14 , 2014 ) . `` Antihero Or Villain ? In ' House Of Cards , ' It 's Hard To Tell '' . NPR . Retrieved February 28 , 2014 .   Jump up ^ Dockterman , Eliana ( February 17 , 2014 ) . `` The 9 Most Shocking Moments from House of Cards Season 2 '' . TIME . Retrieved February 18 , 2014 .   Jump up ^ Jeffries , Stuart ( March 5 , 2014 ) . `` House of Cards recap , series two , episode 13 -- ' Cut out your heart and put it in his hands ' '' . The Guardian . Retrieved March 16 , 2014 .   Jump up ^ `` Chapter 26 '' . House of Cards . Season 2 . Episode 13 . February 14 , 2014 . Netflix .   Jump up ^ Jeffries , Stuart ( March 5 , 2014 ) . `` House of Cards recap , series two , episode 13 -- ' Cut out his heart and put it in his hands ' '' . The Guardian . Retrieved March 16 , 2014 .   Jump up ^ Grant , Drew ( February 17 , 2014 ) . `` The Anhedonia of Antiheroes : Why House of Cards ' Second Season Is n't as Fun as It Should Be '' . The New York Observer . Retrieved February 28 , 2014 .   Jump up ^ Stanley , Alessandra ( February 13 , 2013 ) . `` How Absolute Power Can Delight Absolutely : ' House of Cards ' Returns , With More Dark Scheming '' . The New York Times . Retrieved February 14 , 2014 .   Jump up ^ Jeffries , Stuart ( February 27 , 2015 ) . `` House of Cards recap : episodes two , three and four = Frank speaks to God '' . The Guardian . Retrieved April 5 , 2016 .   Jump up ^ `` Chapter 39 '' . House of Cards . Season 3 . Episode 13 . February 27 , 2015 . Netflix .   Jump up ^ Stern , Warlow ( March 16 , 2015 ) . `` The Explosive ' House of Cards ' Finale : Creator Beau Willimon on the State of the Underwoods '' . Daily Beast . Retrieved April 5 , 2016 .   Jump up ^ Lowry , Brian ( January 31 , 2014 ) . `` TV Review : ' House of Cards ' -- Season Two '' . Variety . Retrieved February 9 , 2014 .   Jump up ^ McCalmont , Lucy ( February 12 , 2014 ) . `` Robin Wright : Claire Underwood not based on Hillary Clinton '' . Politico . Retrieved February 13 , 2014 .   ^ Jump up to : Stelter , Brian ( July 18 , 2013 ) . `` Netflix Does Well in 2013 Primetime Emmy Nominations '' . The New York Times . Retrieved July 18 , 2013 .   Jump up ^ Farley , Christopher John ( December 12 , 2013 ) . `` Golden Globes Nominations 2014 : ' 12 Years a Slave , ' ' American Hustle ' Lead Field '' . The Wall Street Journal . Retrieved December 12 , 2013 .   Jump up ^ Zurawik , David ( December 12 , 2013 ) . `` ' House of Cards ' star Robin Wright earns series ' sole Golden Globes win '' . The Baltimore Sun . Retrieved January 13 , 2014 .   Jump up ^ Hyman , Vicki ( January 12 , 2014 ) . `` 2014 Golden Globes : Robin Wright wins best actress for online - only ' House of Cards ' '' . The Star - Ledger . NJ.com . Retrieved January 13 , 2014 .   Jump up ^ `` Critics ' Choice TV Awards 2014 : And the nominees are ... '' Entertainment Weekly . May 28 , 2014 . Retrieved July 28 , 2014 .   Jump up ^ `` 2014 Emmy Nominations : ' Breaking Bad , ' ' True Detective ' Among the Honored '' . New York Times . July 10 , 2014 . Retrieved July 10 , 2014 .   Jump up ^ Mitovich , Matt Webb ( December 11 , 2014 ) . `` Golden Globes : Fargo , True Detective Lead Nominations ; Jane the Virgin , Transparent Score Multiple Nods '' . TVLine . Retrieved December 11 , 2014 .   Jump up ^ Mitovich , Matt Webb ( December 10 , 2014 ) . `` SAG Awards : Modern Family , Thrones , Homeland , Boardwalk , Cards Lead Noms ; Mad Men Shut Out ; HTGAWM , Maslany and Aduba Get Nods '' . TVLine . Retrieved December 10 , 2014 .   Jump up ^ `` 67th Emmy Awards Nominees and Winners '' . Emmys . Retrieved July 20 , 2015 .   Jump up ^ Lang , Brent ( December 10 , 2015 ) . `` ' Carol , ' Netflix Lead Golden Globes Nominations '' . Variety . Retrieved December 10 , 2015 .   Jump up ^ Ausiello , Michael ( December 9 , 2015 ) . `` SAG Awards : Game of Thrones , Homeland , House of Cards Lead Noms ; Empire , Inside Amy Schumer Shut Out ; Mr. Robot 's Rami Malek Sneaks In '' . TVLine . Retrieved December 10 , 2015 .   Jump up ^ `` Emmys 2016 : The Full List of Nominations '' . The Hollywood Reporter . July 14 , 2016 . Retrieved July 20 , 2016 .   Jump up ^ `` Emmys 2017 : The Full List of Nominations '' . The Hollywood Reporter . July 13 , 2017 . Retrieved July 13 , 2017 .              House of Cards     Book trilogy     House of Cards ( 1989 )   To Play the King ( 1993 )   The Final Cut ( 1995 )       BBC serials        House of Cards ( 1990 )   To Play the King ( 1993 )   The Final Cut ( 1995 )       Characters   Francis Urquhart        Netflix adaptation House of Cards ( 2013 )      Episodes     Season 1   `` Chapter 1 ''   `` Chapter 2 ''   `` Chapter 3 ''   `` Chapter 4 ''   `` Chapter 5 ''   `` Chapter 6 ''   `` Chapter 7 ''     Season 2   Season 3   Season 4   Season 5   Season 6       Characters     Frank Underwood   Claire Underwood   Other politicians       Related   Awards and nominations           Retrieved from `` https://en.wikipedia.org/w/index.php?title=Claire_Underwood&amp;oldid=864724528 '' Categories :   Fictional characters introduced in 2013   Fictional Democrats ( United States )   Fictional characters from South Carolina   Fictional characters from Texas   Fictional First Ladies of the United States   Fictional Vice Presidents of the United States   Fictional Presidents of the United States   House of Cards ( U.S. TV series )   Fictional business executives   Drama television characters   Fictional ambassadors   Fictional sexual assault victims   Fictional murderers   Fictional smokers   Female characters in television   Hidden categories :   Use mdy dates from September 2016   Good articles   Articles using Infobox character with multiple unlabeled fields   Pages using infobox character with unknown parameters           Talk                                           Contents                   About Wikipedia                                             Català   Deutsch   فارسی   Français   Italiano   Русский   Українська   Edit links   This page was last edited on 19 October 2018 , at 01 : 38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</si>
  <si>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did the general do to claire on house of cards</t>
  </si>
  <si>
    <t xml:space="preserve"> Claire 's main storyline in season 2 is her advocacy , as Second Lady , for a sexual assault prevention bill . During her campaign for the bill , a secret from her college days emerges : during a nationally televised interview , she admits that she was raped in college and that her rapist , Dalton McGinnis ( Peter Bradbury ) , is now a high - ranking general . ( She had earlier had an uncomfortable encounter with McGinnis at a White House dinner , during which she had told Frank what the general had done to her . ) She also admits to having aborted a pregnancy that she claims was the result of the rape ; it is later revealed that she in fact aborted Frank 's child , with his consent . She then converts the focus on that issue into political support that becomes critical to the Underwoods ' ascension to the Oval Office . </t>
  </si>
  <si>
    <t xml:space="preserve">Pam Beesly - wikipedia  Pam Beesly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2012 ) ( Learn how and when to remove this template message )         This article describes a work or element of fiction in a primarily in - universe style . Please help rewrite it to explain the fiction more clearly and provide non-fictional perspective . ( December 2015 ) ( Learn how and when to remove this template message )    ( Learn how and when to remove this template message )    Fictional character on NBC 's `` The Office ''    Pam Beesly Halpert     The Office character     Jenna Fischer as Pam Halpert     First appearance   `` Pilot ''     Last appearance   `` Finale ''     Created by   Greg Daniels     Portrayed by   Jenna Fischer     Information     Full name   Pamela Morgan Beesly     Gender   Female     Occupation     Receptionist , Dunder Mifflin , Scranton Pennsylvania ( August 2003 - June 2011 )   Secret Assistant to the Regional Manager , Dunder Mifflin , Scranton Pennsylvania   Temporary Worker , Dunder Mifflin Corporate , New York City , New York   Sales Representative , Michael Scott Paper Company   Sales Representative , Dunder Mifflin , Scranton Pennsylvania   Sales Representative , Dunder Mifflin Sabre , Scranton Pennsylvania   Office Administrator , Dunder Mifflin Sabre , Scranton Pennsylvania   Office Administrator , Dunder Mifflin , Scranton Pennsylvania   Freelance Mural Painter / Art Gallery Owner , Austin Texas       Family   William Beesly ( father , Rick Overton ) Helene Beesly ( mother , Shannon Cochran and Linda Purl ) Penny Beesly ( sister , Anna Camp ) Sylvia Beesly ( grandmother , Peggy Stewart ) Jocelyne Webster ( cousin ) Betsy Halpert ( mother - in - law ) Gerald Halpert ( father - in - law ) Tom Halpert ( brother - in - law ) Pete Halpert ( brother - in - law )     Spouse ( s )   Jim Halpert ( m . 2009 )     Significant other ( s )   Roy Anderson ( ex-fiancé )     Children   Cecelia `` CeCe '' Marie Halpert Philip Halpert     Religion   Presbyterian     Nationality   American     Based on   Dawn Tinsley     Pamela Morgan Halpert ( née Beesly ) is a fictional character on the U.S. television sitcom The Office , played by Jenna Fischer . Her counterpart in the original UK series of The Office is Dawn Tinsley . Her character is initially the receptionist at the paper distribution company Dunder Mifflin , before becoming a saleswoman and eventually office administrator until she left in the series finale . Her character is shy , growing assertive but amiable , and artistically inclined , and shares romantic interest with Jim Halpert , whom she begins dating in the fourth season and marries and starts a family with as the series continues .   Contents    1 Casting and character development   2 Character history   2.1 Seasons 1 -- 3   2.2 Seasons 4 -- 6   2.3 Season 7   2.4 Season 8   2.5 Season 9     3 Coworker relations   3.1 Jim Halpert   3.2 Roy Anderson   3.3 Michael Scott   3.4 Toby Flenderson     4 Appearances   5 Notes   6 References    Casting and character development ( edit )   The character was originally created to be very similar to the British counterpart , Dawn Tinsley . Even minute details , such as how Pam wore her hair each day , were considered by executive producer , Greg Daniels .   `` When I went in for The Office , the casting director said to me , ' Please look normal ' , '' recalls Jenna Fischer . `` Do n't make yourself all pretty , and dare to bore me with your audition . Those were her words . Dare to bore me . ''   Heeding the advice , Fischer said little during the auditions , during which she was interviewed in character by show producers , in an improvisational format , to imitate the show 's documentary premise . `` My take on the character of Pam was that she did n't have any media training , so she did n't know how to be a good interview . And also , she did n't care about this interview , '' she told NPR . `` So , I gave very short one - word answers and I tried very hard not to be funny or clever , because I thought that the comedy would come out of just , you know , the real human reactions to the situation ... and they liked that take on it . ''   `` When I went in to the audition , the first question that they asked me in the character of Pam -- they said , ' Do you like working as a receptionist ? ' I said , ' No . ' And that was it . I did n't speak any more than that . And they started laughing . ''   Fischer found herself creating a very elaborate backstory for the character . For the first few seasons , she kept a list of the character history revealed on - screen by the creators , as well as her own imaginative thoughts on Pam 's history . She created a rule with the set 's hair and make - up department that it could n't look as though it took Pam more than 30 minutes to do her hair , and she formulated ideas as to who gave Pam each piece of jewelry she wore or where she went to college . Fischer also carefully crafted Pam 's quiet persona . `` Well , my character of Pam is really stuck , '' she explained to NPR . `` I mean , she 's a subordinate in this office . And so , I think that for her , the only way she can express herself is in the silences , but you can say so much by not saying anything . ''   Originally meek and passive , the character grew more assertive as the seasons passed , prompting Fischer to reassess her portrayal . `` I have to approach Pam differently ( now ) , '' she explained in Season 4 , a defining season in which her character finally begins a long - awaited relationship with Jim and is accepted into the Pratt Institute . `` She is in a loving relationship , she has found her voice , she has started taking art classes . All of these things must inform the character and we need to see changes in the way she moves , speaks , dresses , etc . ''   Character history ( edit )   Seasons 1 -- 3 ( edit )   At the beginning of the series , Pam and Roy have been dating for eight years and engaged for three years . Their open - ended engagement has become one of Michael 's running gags and a sore spot for Pam .   Pam does not want her current job to become permanent , remarking that `` I do n't think it 's many little girls ' dream to be a receptionist . '' Pam is apathetic toward her work , evidenced by her frequent games of FreeCell on her office computer . However , in the pilot episode , she breaks down crying when Michael pulls an ill - advised prank by telling her that she will be fired .   Michael has criticized Pam for simply forwarding calls to voice mail without answering and ( in a deleted scene ) for not sounding enthusiastic enough when speaking on the telephone . Pam is usually happy to abandon her work if asked to do something else by Jim . She will do extra , unnecessary work ( such as making a casket for a dead bird or paper doves for the Office Olympics ) to make other people happy .   Despite the abuse she takes from Michael , she never goes any further than calling him a jerk in the pilot . In later seasons , however , she becomes more honest and forward with Michael and will often make sarcastic comments toward him .   While engaged to Roy , Pam denies , or is in denial about , having any romantic feelings for Jim . When Jim confesses his love for her at the Dunder Mifflin `` Casino Night '' she turns him down . She later talks to her mom on the phone and says Jim is her best friend ( though she does n't say his name ) , and says `` Yeah , I think I am '' to an unheard question . She is interrupted by Jim , who enters and kisses her ; she responds by kissing back .   Season three marks a turning point for Pam 's character : she gains self - confidence and appears less passive and more self - assured as the season progresses . In `` Gay Witch Hunt , '' the season 's opener , it is revealed that Pam got cold feet before her wedding and did not marry Roy after all , and that Jim transferred to a different Dunder Mifflin branch , in Stamford , shortly after Pam rejected him a second time , after their kiss . Pam moves into her own apartment , begins taking art classes , a pursuit that Roy had previously dismissed as a waste of time , and buys a new car , a blue Toyota Yaris . Jim returns to Scranton later on as a result of `` The Merger '' , and brings along a female co-worker , Karen Filippelli , whom he begins dating . Jim and Pam appeared to have ended all communication after Jim transfers to the Stamford branch ( aside from an episode in which Jim accidentally calls Pam at the end of the work day ) , and their episodes together following the branch merge are tense , despite both admitting to still harboring feelings for the other during the presence of the documentary cameras .   Meanwhile , Roy vows to win Pam back . Roy 's efforts to improve his relationship with Pam are quite successful , but once Pam and Roy are back together , he falls back into old habits almost immediately . When Roy and Pam attend an after work get - together at a local bar with their co-workers , Pam , feeling that she should be more honest with Roy , tells him about Jim kissing her at `` Casino Night . '' Roy yells , smashes a mirror , and trashes the bar . Pam , frightened and embarrassed by his reaction , breaks up with Roy immediately . Roy vows to kill Jim and in `` The Negotiation '' , Roy unsuccessfully tries to attack Jim at work ( Jim is saved by Dwight 's intervention ) , and is subsequently fired . Pam later reluctantly agrees to meet Roy for coffee at his request , and after the polite but brief meeting , it appears that their relationship has ended amicably with Roy encouraging Pam to pursue Jim .   Pam participates in an art show , but few people attend . Her co-worker , Oscar , brings his partner along who , not knowing that Pam is standing behind him , criticizes her work by proclaiming that `` real art requires courage . '' Oscar then goes on to say that courage is n't one of Pam 's strong points . Affected by this statement , Pam tells the documentary crew that she is going to be more honest , culminating in a dramatic coal walk during the next - to - last episode of the season , `` Beach Games '' , and a seemingly sincere speech to Jim in front of the entire office about their relationship . Michael also comes to the art show and reveals his erratically kind heart and loyalty by buying , framing and hanging Pam 's drawing of the Dunder Mifflin building in the office . In the season finale , `` The Job , '' she leaves a friendly note in Jim 's briefcase and an old memento depicting the ' gold medal ' yogurt lid from the Office Olympics , which he sees during an interview for a job at Corporate in New York City . While he is asked how he `` would function here in New York '' , Jim is shown to have his mind back in Scranton , still distracted by the thought of Pam . Jim withdraws his name from consideration and drives back to the office , where he interrupts a talking head Pam is doing for the documentary crew by asking her out for dinner . She happily accepts , visibly moved , abandoning a train of thought about how she would be fine if Jim got the job and never came back to Scranton . Karen quits soon after , becoming the regional manager at Dunder Mifflin 's Utica branch .   Seasons 4 -- 6 ( edit )   In Season 4 , Pam retains the assertiveness she developed in the third season . She wears her hair down and has updated her old dowdy wardrobe .   In the season 4 premiere , `` Fun Run '' , Jim and Pam confess that they have started dating after the camera crew catches them kissing . The office ultimately learns of their relationship in `` Dunder Mifflin Infinity '' . In `` Chair Model '' , after teasing Pam about his impending proposal , Jim tells the documentary crew he is not kidding around about an engagement and shows them a ring he bought a week after he and Pam started dating . In the next few episodes , Jim fake - proposes to Pam multiple times . In `` Goodbye , Toby '' , Pam discovers she 's been accepted at Pratt Institute , an art and design school in Brooklyn . In an interview later in the episode , Jim announces that he will propose to Pam that evening . Just as Jim is preparing to propose , however , Andy Bernard stands up and makes his own impromptu proposal to Angela . Having had his thunder stolen by Andy , Jim reluctantly puts the ring back in his jacket pocket , leaving Pam visibly disappointed as she was expecting Jim to propose that night .   In the Season 5 premiere , `` Weight Loss '' , Pam begins her three - month course at the Pratt Institute . In this episode , Jim proposes in the pouring rain at a rest stop , saying that he `` ca n't wait '' . In `` Business Trip '' , Pam learns that she is failing one of her classes and will have to remain in New York another three months to retake it . Although Jim is supportive and tells her he will wait for her to come back `` the right way '' , she ultimately makes the decision to return home , saying that she realized she hated graphic design and missed Scranton . A deleted scene for the episode shows Jim looking through Pam 's graphic design projects , which he thinks are `` cool '' , as well as a notebook filled with pencil sketches , which he finds a lot more impressive than her graphic design projects , implying her talents lie in hand - drawn works . In `` Two Weeks '' , Pam agrees to become Michael 's first saleswoman in his not - yet - established company , The Michael Scott Paper Co. , as a supportive Jim looks on . When David Wallace makes an offer to buy the company Michael negotiates in order to get their jobs at Dunder Mifflin back instead , including adding Pam to the sales team . In `` Company Picnic '' , Pam , after dominating the company volleyball tournament , injures her ankle during a game and is taken to the hospital against her wishes . At the hospital , the camera crew is stationed outside an exam room while a doctor updates Jim and Pam on her condition . There is no audio as the camera shows Jim and Pam embrace , looking shocked and ecstatic . It is implied that she is pregnant and is confirmed in the Season 6 premiere , `` Gossip '' .   Jim and Pam marry early in the season , at Niagara Falls , during the highly anticipated , hour long episode , `` Niagara '' . The ending of the episode , in which their co-workers dance down the aisle , is an imitation of a viral YouTube video -- JK Wedding Entrance Dance . Following the wedding , a multi-episode story arc begins in which it is revealed that Michael hooked up with Pam 's mother the night of the wedding . The two break up during `` Double Date '' , an episode that ends with Pam slapping Michael in response to his actions .   In `` The Delivery '' of Season 6 , Pam and Jim have their first child , a daughter named Cecelia Marie Halpert . Jenna Fischer was granted naming rights by show producers , and chose to name her after her own niece .   Season 7 ( edit )   In `` Counseling '' , Pam feels inadequate about her poor performance in sales and tricks Gabe into promoting her to a phony new salaried position called office administrator . In `` China '' , Pam tries to use her authority as office administrator to force building manager Dwight to stop his annoying cost - cutting measures . Pam threatens to move the office to a new building , which Dwight discovers does n't exist . Pam saves face , however , when Dwight secretly has his assistant provide her with a book on building regulations that proves Dwight 's measures were not allowed . The episode is another example of Dwight 's covert protectiveness and fondness for Pam ( as previously demonstrated in `` The Injury '' , `` Back from Vacation '' , `` The Job '' and `` Diwali '' ) ; Mindy Kaling said during an online Q&amp;A session that Dwight has a soft spot for her that he does not extend to anyone else at the office . She also uses her position to buy Erin Hannon an expensive desktop computer to replace the terrible one she had to use for years , as well as discreetly giving Andy a new computer , and giving Darryl three sick days . At the end of the episode she proudly says that she is , `` Full on corrupt . ''   In `` Goodbye , Michael '' , Pam almost misses saying good - bye to Michael , as she spends most of the day out of the office trying to price shredders . Jim figures out Michael 's plan to leave early and tells her by text . Pam reaches the airport in time and is the last person to see Michael before he leaves .   Season 8 ( edit )   At the beginning of Season 8 , Pam is revealed to be pregnant with her and Jim 's second child , Philip Halpert . The child coincided with Jenna Fischer 's actual pregnancy . She begins her maternity leave after `` Gettysburg '' . Pam returns in `` Jury Duty '' , where she and Jim bring Cece and Phillip into the office . In both `` Tallahassee '' and `` Test the Store '' Pam is shown helping , and developing her friendship with Andy .   Season 9 ( edit )   Early in season 9 , Jim is restless about his life in Scranton and helps a friend start a Sports Marketing business , Athlead , in Philadelphia but he keeps it a secret from Pam until the third episode `` Andy 's Ancestry '' . Although Pam is happy for his decision , she is concerned about the fact that he had kept it a secret from her and she is later disturbed to hear about just how much of their money he had invested . Jim begins spending part of each work week in Philadelphia , but in `` Customer Loyalty '' , the strain of this on Pam is evident when she breaks down in tears , and is comforted by Brian , the boom mic operator of the film crew .   In `` Moving On '' , Pam interviews for a job in Philadelphia to be closer to Jim , but she is turned off by the idea when her prospective new boss bears a striking resemblance in behavior to Michael Scott . Over dinner , Pam reveals to Jim that she does n't really want to move to Philadelphia after all . However , in `` Livin ' the Dream '' , when Athlead is bought out and Jim is offered a large sum of money for 3 months to pitch the company across the country , Pam overhears Jim refuse the opportunity because of her and appears to have mixed feelings about this decision . In `` A.A.R.M. '' , Pam tells Jim that she 's afraid that he will resent her for making him stay and that she might not be enough for him . Jim asks the camera crew to compile documentary footage of the two of them to show her . When she finishes the montage , which shows Jim taking back a letter he intended to give her with his teapot gift during Christmas ; Jim finally gives her that letter , and she reads it , visibly moved . In the series finale , which takes place a year later , she reveals to Jim that she secretly put the house on the market , so that they can move to Austin , Texas , and take his job back at Athlead ( now Athleap ) .   Co-worker relations ( edit )   From her years working the front desk , Pam has become well - acquainted with the Dunder - Mifflin staff and is consistently shown to have a thorough understanding of her coworkers ' personalities , including the more eccentric individuals Dwight Schrute and Michael Scott . She uses this familiarity to manipulate them , often for their and the company 's best interests ( such as her giving the staff elaborate instructions on how to handle a heartbroken Michael in `` The Chump '' ) but also occasionally for her own . This familiarity plays a large part in her efficiency as office administrator and was crucial to her being promoted to the previously non-existent position .   Jim Halpert ( edit )  Main article : Jim Halpert  The `` will they or wo n't they '' tension between Jim and Pam is a strong storyline in the early episodes of The Office , encompassing much of Seasons 1 to 3 . In the opener of Season 4 , the two characters are revealed to be dating , and as such , other character romances , such as the romance between fellow co-workers Dwight Schrute and Angela Martin , begin to move more toward the forefront of episodes . In Season 6 , Jim and Pam are married in the season 's 4th and 5th episodes ( hour long ) , a feat considered noteworthy by many television critics , as bringing together the two lead love interests in a television series is often thought to be a risky venture . Their child is born in the second half of the season , during another hour long , `` The Delivery '' . Pam and Jim 's second child is born during season 8 . In season 9 , their marriage becomes strained when Jim takes up a second job in Philadelphia . They ultimately decide to leave Dunder Mifflin together so Jim can pursue his dream job .   Roy Anderson ( edit )  Main article : Roy Anderson ( The Office )  When the series begins , Pam is engaged to her high school sweetheart Roy Anderson ; this engagement is revealed to be three years old and running . They finally set a date , but Pam calls off the wedding at the last minute . They get back together once , briefly , but Pam is much more assertive , and finally breaks up with him after he has a violent outburst . Roy is deeply flawed - he is overbearing , neglectful , dismissive of her desire to be an artist , and offers her sex as a gift on Valentine 's Day . Jim comments in Season 2 that Pam does not like to `` bother '' Roy with her `` thoughts or feelings '' . He tells the camera crew that the only two problems in Pam 's life seemed to be Roy and her job at Dunder Mifflin .   In the early seasons , there is a great deal of tension between Jim and Roy , with Roy often acting threateningly towards Jim . In `` Basketball '' , when Jim starts to impress Pam with his basketball skills , Roy elbows Jim in the nose . In season 2 , when Jim encourages Pam to pursue a graphic arts internship offered by Dunder Mifflin , Roy objects to the opportunity and eventually convinces her that the idea is foolish . Pam ultimately calls off her wedding to Roy , but they remain friendly and he is determined to win her back by being less of a jerk . She reconciles with Roy at Phyllis 's wedding as a response to watching Jim date Karen . In an attempt at a fresh start with Roy , Pam comes clean about Jim kissing her during `` Casino Night '' . Roy flies into a violent rage and Pam ends the relationship on the spot . The next day , Roy attempts to attack Jim in the office but is stopped by Dwight 's pepper spray and is summarily fired . After losing his job , Roy meets Pam for coffee and says that even though Jim is dating Karen , she should at least make an effort to date him ( inasmuch as she called off the wedding because of him ) .   In season 5 , Jim and Roy run into each other at a bar and Roy learns that Jim and Pam are engaged . The mood is somewhat awkward , but Roy is congratulatory , but then makes a somewhat passive - aggressive comment , seemingly meant to make Jim feel insecure about his current role in Pam 's life , which tempts him to drive to Pratt , where she is attending art classes . Jim gets on the freeway , but changes his mind and remembers that he trusts Pam . Jim did n't want to treat Pam the same way Roy treated her .   Michael Scott ( edit )  Main article : Michael Scott ( The Office )  In the series pilot , Michael is overtly rude to Pam and at one point fakes her firing , leaving her in tears . He often makes suggestive if harmless remarks about her beauty and general appearance , and at one point lies to the camera that they used to date ( inspiring a horrified `` WHAT ? ? ? '' from Pam when an interviewer relays the message to her ) . However , his impulsive attempt to kiss her during Diwali is shot down and marked the end of any romantic dreams for Michael with Pam . Over time , the combination of Michael being supportive of her goals , her transition from a bad relationship with Roy to a great one with Jim as well as her finding a job she not only enjoys but is effective at in the office administrator position and Michael finding his own soulmate in Holly Flax made Pam soften her stance towards Michael , and the experience at the Michael Scott Paper Company further bonded them ( as did Michael 's decision to choose Pam instead of Ryan Howard as the only MSPC salesman to keep that job when Michael returned as Branch Manager ) . Pam was furious at Michael for dating her mom Helene , and excoriated him at length during `` The Lover '' before eventually slapping him in `` Double Date '' , but they once again were able to be civil to each other afterward . Pam does set up boundaries around her personal life that Michael ca n't cross , like telling him that he was n't Cece 's godfather . By Season 7 , Pam acts as something of a guardian angel for Michael , steering him away from ( numerous ) bad ideas and towards his ( fewer but real ) good ones , such as his successful efforts to propose to Holly . In Michael 's finale `` Goodbye , Michael '' , Pam spends the whole day looking for a shredder , believing that the next day Michael was leaving . As Michael takes off his microphone and heads down the airport concourse , Pam runs to him with no shoes and hugs him as he kisses her cheek . The two have a nice moment and he walks off , leaving her holding her shoes . She then tells the camera that he was happy , wanting to be an advanced rewards member , and was glad to be going home to see Holly . She then is there to watch Michael 's plane take off . In a deleted scene from `` The Inner Circle '' , we learn Pam is flattered that Michael named his new puppy `` Pamela Beagsley '' , and in `` The List '' she playfully teases Jim by calling their second child `` Little Michael Scott '' , further proving that the two have developed a genuine friendship .   Toby flenderson ( edit )  Main article : Toby Flenderson  Toby , the Human Resources Representative for Dunder Mifflin in the Scranton branch , has a secret crush on Pam . In `` A Benihana Christmas '' she gives him her Dunder - Mifflin bathrobe , a display of friendly affection , after he spent the day feeling bad that Dwight took his . In Dunder Mifflin Infinity , Toby witnesses Pam kissing Jim Halpert in the break room , which prompts him to issue a memo about public displays of affection in the workplace . Later , when Jim and Pam admit they are dating and ask to fill out a disclosure form , he hesitates to give them a form saying they should wait and see . In `` Night Out '' , Toby awkwardly rubs her knee while they share a laugh ( and while Jim sits just on her other side ) , and the rest of the office watches in horror . In his mortification , Toby immediately announces that he is moving to Costa Rica before jumping over the locked gate and fleeing . In `` Goodbye , Toby '' , Toby purchases a DSLR camera just to get a picture with Pam . On the eve of his departure , Pam confesses to the cameras that she always thought Toby was `` kind of cute '' . In `` Niagara '' , Pam and Jim are late for their wedding and he is visibly excited at the prospect that the wedding might not happen . In `` Finale '' , Pam and Toby dance with each other at Dwight 's wedding , with Toby beginning to cry as Pam comforts him . When she asks , `` is it me ? '' , he replies that `` it 's everything ! '' .   Appearances ( edit )   Pam Halpert has appeared in every episode with the exceptions of `` Business Ethics '' ( except for the deleted scenes ) , `` St. Patrick 's Day '' , and `` New Leads '' in which only her voice is heard , and several season 8 episodes from `` Mrs. California '' to `` Pool Party '' , where she did not appear at all as Fischer was on maternity leave .   Notes ( edit )    ^ Jump up to : Pam Beesly 's full name is Pamela Morgan Beesly ( later Pamela Morgan Halpert ) . In `` The Lover '' Michael says to Pam , `` Pamela Morgan Beesly , you need to apologize to your mother right now . '' In `` Did I Stutter ? '' Jim says to Pam , `` You know what would energize me ? If you , Pamela Morgan Beesly ... ''    References ( edit )    ^ Jump up to : `` Halpert Baby Blog '' . Halpertbeesly.com . Archived from the original on 2016 - 05 - 27 . Retrieved 2012 - 11 - 30 .   Jump up ^ `` Season 6 -- Episode 06 : ' The Lover ' '' . OfficeQuotes.net . Retrieved February 19 , 2018 .   Jump up ^ `` Season 4 -- Episode 12 : ' Did I Stutter ? ' '' . OfficeQuotes.net . Retrieved February 19 , 2018 .   Jump up ^ Episode commentary , Season 2 , `` Valentine 's Day ''   ^ Jump up to : `` For Jenna Fischer , ' Office ' Life Is A Great Act '' . NPR. 2008 - 12 - 30 . Retrieved 2012 - 11 - 30 .   ^ Jump up to : `` Jenna Fischer rocks the OTCR '' . OfficeTally . Retrieved 2012 - 11 - 30 .   Jump up ^ Season 2 DVD , `` Valentine 's Day '' , episode commentary   ^ Jump up to : `` Pam Beesly ( Pam / Jenna ) op Myspace '' . Myspace.com . Retrieved 2012 - 11 - 30 .   Jump up ^ `` JK Wedding Entrance Dance '' . YouTube . 2009 - 07 - 19 . Retrieved 2012 - 11 - 30 .   Jump up ^ People Magazine , Week of 03 / 05 / 2010   Jump up ^ `` The Office : Why Jim and Pam 's wedding is good for TV comedy '' . NJ.com . Retrieved 2012 - 11 - 30 .   Jump up ^ Ausiello , Michael ( September 8 , 2011 ) . `` The Office Exclusive : ' Til Death 's Lindsey Broad Befriends Pam '' . TVLine . Retrieved November 12 , 2011 .      hide         The Office ( U.S. series )     Episodes      Seasons             5   6   7   8   9       Webisodes     The Accountants   Kevin 's Loan   The Outburst   Blackmail   Subtle Sexuality   The Mentor   The 3rd Floor   The Podcast   The Girl Next Door          Characters      Primary     Michael Scott   Dwight Schrute   Jim Halpert   Pam Beesly   Ryan Howard   Andy Bernard       Secondary     Jan Levinson   Roy Anderson   Stanley Hudson   Kevin Malone   Meredith Palmer   Angela Martin   Oscar Martinez   Phyllis Vance   Kelly Kapoor   Toby Flenderson   Creed Bratton   Darryl Philbin   Erin Hannon   Gabe Lewis   Robert California   Holly Flax   Nellie Bertram   Pete Miller   Clark Green       Recurring     Todd Packer   David Wallace          Other     Dunder Mifflin   Awards   Worldwide editions   Video game      Retrieved from `` https://en.wikipedia.org/w/index.php?title=Pam_Beesly&amp;oldid=865561578 '' Categories :   Fictional receptionists   Fictional secretaries   Fictional American people of English descent   The Office ( U.S. TV series ) characters   Fictional characters introduced in 2005   Hidden categories :   Articles needing additional references from November 2012   All articles needing additional references   Articles that need to differentiate between fact and fiction from December 2015   All articles that need to differentiate between fact and fiction   Articles with multiple maintenance issues   Articles with short description           Talk                                           Contents                   About Wikipedia                                           Español   Nederlands   Edit links   This page was last edited on 24 October 2018 , at 17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</si>
  <si>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episode in season 3 do jim and pam get together</t>
  </si>
  <si>
    <t xml:space="preserve"> Pam participates in an art show , but few people attend . Her co-worker , Oscar , brings his partner along who , not knowing that Pam is standing behind him , criticizes her work by proclaiming that `` real art requires courage . '' Oscar then goes on to say that courage is n't one of Pam 's strong points . Affected by this statement , Pam tells the documentary crew that she is going to be more honest , culminating in a dramatic coal walk during the next - to - last episode of the season , `` Beach Games '' , and a seemingly sincere speech to Jim in front of the entire office about their relationship . Michael also comes to the art show and reveals his erratically kind heart and loyalty by buying , framing and hanging Pam 's drawing of the Dunder Mifflin building in the office . In the season finale , `` The Job , '' she leaves a friendly note in Jim 's briefcase and an old memento depicting the ' gold medal ' yogurt lid from the Office Olympics , which he sees during an interview for a job at Corporate in New York City . While he is asked how he `` would function here in New York '' , Jim is shown to have his mind back in Scranton , still distracted by the thought of Pam . Jim withdraws his name from consideration and drives back to the office , where he interrupts a talking head Pam is doing for the documentary crew by asking her out for dinner . She happily accepts , visibly moved , abandoning a train of thought about how she would be fine if Jim got the job and never came back to Scranton . Karen quits soon after , becoming the regional manager at Dunder Mifflin 's Utica branch . </t>
  </si>
  <si>
    <t xml:space="preserve">List of best - selling Music artists - wikipedia  List of best - selling Music artists   This list includes music artists with claims of 75 million or more record sales . The artists in the following tables are listed with both their claimed sales figure along with their total of certified units and are ranked in descending order , with the artist with the highest amount of claimed sales at the top . If two or more artists have the same claimed sales , they are then ranked by certified units . The claimed sales figure and the total of certified units ( for each country ) within the provided sources include sales of albums , singles , compilation - albums , music videos as well as downloads of singles and full - length albums . Sales figures , such as those from Soundscan , which are sometimes published by Billboard magazine , have not been included in the certified units column . As of 2017 , based on both sales claims and certified units , The Beatles are considered the highest - selling band . Elvis Presley is considered the highest - selling individual artist based on sales claims and Rihanna is the highest - selling individual artist based on certified units .   Contents    1 Definitions   2 Artists by reputed sales   2.1 250 million or more records   2.2 200 million to 249 million records   2.3 120 million to 199 million records   2.4 100 million to 119 million records   2.5 80 million to 99 million records   2.6 75 million to 79 million records     3 See also   4 Notes   5 References    Definitions   All artists included on this list , which have begun charting on official albums or singles charts have their available claimed figures supported by at least 20 % in certified units . That is why Cliff Richard , Diana Ross , Scorpions , Bing Crosby , Gloria Estefan , Deep Purple , Iron Maiden , Tom Jones , The Jackson 5 , Dionne Warwick , the Spice Girls , Dolly Parton , Ozzy Osbourne , Andrea Bocelli and others have not been included on this list . The more recent the artist , the higher the required percentage of certified units , this is because more music markets instituted certification systems after 1980s and 1990s . So artists such as Rihanna , Chris Brown , Taylor Swift , Flo Rida , Katy Perry , Justin Bieber , Adele , Lady Gaga , Bruno Mars , Nicki Minaj and Ed Sheeran are expected to have their claimed figures supported by over 75 % in certified units . The certified units are sourced from available online databases of local music industry associations . All certified units are converted from Gold / Platinum / Diamond certification awards based on criteria provided by certifying bodies . The certified units percentage varies according to the first year that an artist appeared in the charts .   The requirements of certified units are designed to avoid inflated sales figures , which are frequently practiced by record companies for promotional purposes . The claimed figures are referenced from online articles created by highly reliable sources . For clarity , the sources used , say the term `` records '' ( singles , albums , videos ) and not `` albums '' . However , if all available sources for an artist or band say `` albums '' , such sources are only used if the certified album units of the said artist meet the required percentage amount . This list uses claimed figures that are closest to artists ' available certified units : inflated claimed figures that meet the required certified units amount but are unrealistically high , are not used .   The claimed figures are upgraded only when there is a significant progress in artists ' certified units . In other words , the available certified units for each artist should get relatively closer to already listed claimed figure in order for higher figures to replace the listed ones .   The certified units of the newer artists may sometimes be higher than their listed claimed figures . This is because Recording Industry Association of America ( RIAA ) and almost all other certifying bodies count streaming towards Gold and Platinum thresholds required for Digital Single Award certification . For this reason , some singles and even albums get over certified by hundreds of thousands of units . The over certified figures , however , are often in millions of units for RIAA certifications , one such example is Rihanna 's single `` We Found Love '' , which is certified at nine times Platinum by the RIAA , yet during the time of the certification , it had sold 5.4 million downloads .   The certified units for some artists / bands who have multi-disc albums can be higher than their listed claimed figures due to Recording Industry Association of America ( RIAA ) counting each unit within set as one unit toward certification .   Issued certifications for songs which have been recorded by multiple artists including featured artists are added to each artist 's total amount of certified units , as all the artists would have played a significant part in a song . For example `` This Is What You Came For '' and `` Where Them Girls At '' include Rihanna and Flo Rida , Nicki Minaj as featured artists respectively , so the certifications issued for these songs are added to the total amount of certified units for all involved artists . However , the certifications issued for songs that have been recorded by four or more artists are not included as the artists involved would have played minor roles , examples of such songs are Kanye West 's `` Monster '' and / or `` All Day '' .   Artists by reputed sales   250 million or more records     The Beatles     Michael Jackson     Elvis Presley     Elton John     Madonna     Led Zeppelin     Pink Floyd      To ensure the highest level of fact checking and editorial control , this list sources sales figures to news organizations and highly regarded music industry related organizations such as MTV , VH1 , Billboard and Rolling Stone .   The figures of total certified units within the tables below are based on certified units of albums , singles ( including digital downloads ) and videos .   Markets ' order within the tables is based on Retail Value : each market generates respectively , the largest market at the top and smallest at the bottom .      Artist   Country / Market   Period active   Release year of first charted record   Genre   Total certified units ( from available markets )   Claimed sales     The Beatles   United Kingdom   1960 -- 1970   1962   Rock / Pop   Total available certified units : 271.9 million   US : 212.250 million   JPN : 4.950 million   GER : 8 million   UK : 18.445 million   FRA : 3.890 million   CAN : 14.455 million   AUS : 3.060 million   BRA : 550,000   NLD : 295,000   ITA : 380,000   SPA : 1.250 million   SWE 485,000   DEN : 270,000   SWI : 350,000   ARG : 1.606 million   BEL : 390,000   AUT : 500,000   POL : 175,000   NZ : 660,000     600 million 500 million     Elvis Presley   United States   1954 -- 1977   1954   Rock and roll / Pop / Country   Total available certified units : 224.5 million   US : 199.150 million   JPN : 300,000   GER : 1.2 million   UK : 13.145 million   FRA : 2.590 million   CAN : 2.925 million   AUS : 1.797 million   BRA : 125,000   NLD : 555,000   ITA : 105,000   SPA : 300,000   SWE 380,000   DEN : 120,000   SWI : 185,000   MEX : 105,000   ARG : 110,000   BEL : 115,000   AUT : 205,000   FIN : 213,945   NZ : 117,500     600 million 500 million     Michael Jackson   United States   1964 -- 2009   1971   Pop / Rock / Dance / Soul / R&amp;B   Total available certified units : 229.5 million   US : 145.3 million   JPN : 4.650 million   GER : 11.275 million   UK : 29.045 million   FRA : 11.375 million   CAN : 4.670 million   AUS : 6.775 million   BRA : 280,000   NLD : 2.105 million   ITA : 1.195 million   SPA : 1.995 million   SWE : 1.230 million   DEN : 1.289 million   SWI : 910,000   MEX : 3.670 million   ARG : 124,000   BEL : 665,000   AUT : 1.197 million   POL : 530,000   FIN : 384,127   NZ : 902,500     350 million 300 million     Madonna   United States   1979 -- present   1982   Pop / Dance / Electronica   Total available certified units : 172.9 million   US : 85.675 million   JPN : 6.450 million   GER : 12.4 million   UK : 29.245 million   FRA : 12.81 million   CAN : 6.030 million   AUS : 4.787 million   BRA : 3.440 million   NLD : 1.735 million   ITA : 465,000   SPA : 2.815 million   SWE : 1.070 million   DEN : 407,000   SWI : 1.080 million   MEX : 510,000   ARG : 1.098   BEL : 740,000   AUT : 602,500   POL : 530,000   FIN : 652,686   NZ : 417,500     300 million 275 million     Elton John   United Kingdom   1964 -- present   1969   Pop / Rock   Total available certified units : 182.8 million   US : 129.350 million   JPN : 1.1 million   GER : 7.9 million   UK : 23.395 million   FRA : 4.825 million   CAN : 5.975 million   AUS : 2.947 million   BRA : 835,000   NLD : 975,000   SPA : 1.2 million   SWE : 740,000   DEN : 195,000   SWI : 1.313 million   MEX : 100,000   ARG : 128,000   BEL : 565,000   AUT : 765,000   POL : 150,000   FIN : 163,481   NZ : 255,000     300 million 250 million     Led Zeppelin   United Kingdom   1968 -- 1980   1969   Hard rock / Blues rock / Folk rock   Total available certified units : 140 million   US : 114.1 million   JPN : 400,000   GER : 3.775 million   UK : 9.530 million   FRA : 2.310 million   CAN : 4.710 million   AUS : 2.8 million   BRA : 820,000   ITA : 465,000   SPA : 450,000   SWI : 211,000   ARG : 360,000   POL : 120,000     300 million 200 million     Pink Floyd   United Kingdom   1965 -- 1996 , 2014   1967   Progressive rock / Psychedelic rock   Total available certified units : 120.1 million   US : 78 million   JPN : 100,000   GER : 7.5 million   UK : 11.720 million   FRA : 6.360 million   CAN : 6.790 million   AUS : 2.932 million   BRA : 515,000   NLD : 435,000   ITA : 2.035 million   SPA : 625,000   SWE : 220,000   SWI : 390,000   ARG : 582,000   BEL : 115,000   AUT : 460,000   POL : 590,000   NZ : 787,500     250 million 200 million      The column for certified sales includes markets , the databases of which contain certifications representing figures of 100,000 and more .    200 million to 249 million records     Rihanna     Eminem     Mariah Carey     Queen     Celine Dion     Whitney Houston     AC / DC       Artist   Country / Market   Period active   Release - year of first charted record   Genre   Total certified units ( from available markets )   Claimed sales     Rihanna   Barbados United States   2005 -- present   2005   R&amp;B / Pop / Dance / Hip - hop   Total available certified units : 263.8 million   US : 194.55 million   JPN : 1.4 million   GER : 10.075 million   UK : 32.9 million   FRA : 1.465 million   CAN : 3.120 million   AUS : 9.325 million   BRA : 705,000   ITA : 1.560 million   SPA : 1.470 million   SWE : 2.480 million   DEN : 1.292   SWI : 860,000   MEX : 410,000   BEL : 660,000   AUT : 135,000   POL : 520,000   IRE : 240,000   NZ : 682,500     230 million     Eminem   United States   1996 -- present   1999   Hip - hop   Total available certified units : 217.5 million   US : 163.2 million   JPN : 2.9 million   GER : 6.7 million   UK : 25.225 million   FRA : 3.288 million   CAN : 4.010 million   AUS : 5.947 million   BRA : 220,000   NLD : 250,000   ITA : 700,000   SPA : 290,000   SWE : 910,000   DEN : 666,000   SWI : 805,000   MEX : 365,000   BEL : 505,000   AUT : 362,500   POL : 250,000   FIN : 124,547   IRE : 285,000   NZ : 600,000     220 million 200 million     Mariah Carey   United States   1988 -- present     R&amp;B / Pop / Soul / Hip - hop   Total available certified units : 138.7 million   US : 92.6 million   JPN : 14.5 million   GER : 3.750 million   UK : 10.220 million   FRA : 4.690 million   CAN : 4.1 million   AUS : 3.515 million   BRA : 835,000   NLD : 1.425 million   ITA : 200,000   SPA : 1 million   SWE : 425,000   DEN : 280,000   SWI : 515,000   BEL : 175,000   AUT : 200,000   POL : 100,000   NZ : 240,000     200 million 175 million     Queen   United Kingdom   1971 -- present   1973   Rock   Total available certified units : 128.3 million   US : 65 million   JPN : 2.850 million   GER : 12.375 million   UK : 29.075 million   FRA : 4.495 million   CAN : 1.870 million   AUS : 2.167 million   BRA : 970,000   NLD : 1.990 million   ITA : 545,000   SPA : 1.720 million   SWE : 190,000   DEN : 250,000   SWI : 1.256 million   ARG : 1.080 million   BEL : 175,000   AUT : 900,000   POL : 810,000   FIN : 366,152   NZ : 275,000     200 million 170 million     Celine Dion   Canada   1981 -- present   1981   Pop   Total available certified units : 127.9 million   US : 56.550 million   JPN : 7.150 million   GER : 8 million   UK : 13.915 million   FRA : 15.768 million   CAN : 12.245 million   AUS : 3.302 million   BRA : 505,000   NLD : 2.180 million   SPA : 1 million   SWE : 1.105 million   DEN : 370,000   SWI : 1.685 million   ARG : 340,000   BEL : 2.160 million   AUT : 440,000   POL : 680,000   FIN : 356,183   NZ : 192,500     200 million 175 million     Whitney Houston   United States   1977 -- 2012   1984   R&amp;B / Soul / Pop   Total available certified units : 115.7 million   US : 76.775 million   JPN : 4.3 million   GER : 5.6 million   UK : 15.205 million   FRA : 2.275 million   CAN : 3.430 million   AUS : 1.755 million   BRA : 1.025   NLD : 780,000   ITA : 140,000   SPA : 1.260 million   SWE : 1.035 million   DEN : 140,000   SWI : 845,000   BEL : 215,000   AUT : 535,000   POL : 190,000   FIN : 247,222     200 million 170 million     AC / DC   Australia   1973 -- present     Hard rock / Blues rock / Rock and roll   Total available certified units : 115 million   US : 79.7 million   GER : 10.3 million   UK : 5.5 million   FRA : 4.180 million   CAN : 2.490 million   AUS : 7.740 million   ITA : 775,000   SPA : 1.355 million   SWE : 350,000   DEN : 215,000   SWI : 894,000   ARG : 594,000   BEL : 100,000   AUT : 380,000   FIN : 321,169   NZ : 140,000     200 million 150 million     The Rolling Stones   United Kingdom   1962 -- present   1963   Rock / Blues rock   Total available certified units : 99.1 million   US : 74.750 million   JPN : 950,000   GER : 3.8 million   UK : 9.170 million   FRA : 3.377 million   CAN : 3.025 million   AUS : 417,500   BRA : 100,000   NLD : 610,000   ITA : 205,000   SPA : 690,000   SWE : 310,000   SWI : 238,000   ARG : 718,000   BEL : 120,000   AUT : 300,000   POL : 140,000   NZ : 190,000     200 million     ABBA   Sweden   1972 -- 1982   1972   Pop / Disco   Total available certified units : 62.4 million   US : 12.7 million   JPN : 1.5 million   GER : 10.450 million   UK : 19.170 million   FRA : 2.750 million   CAN : 2.785 million   AUS : 6.127 million   BRA : 275,000   NLD : 1.390 million   ITA : 120,000   SPA : 1.005 million   SWE : 800,000   DEN : 600,000   SWI : 600,000   MEX : 260,000   ARG : 238,000   BEL : 380,000   AUT : 175,000   POL : 150,000   FIN : 656,319   NZ : 297,500     200 million 100 million     120 million to 199 million records     Taylor Swift     Garth Brooks     Justin Bieber     Eagles     Bruno Mars     Ed Sheeran     Kanye West       Artist   Country / Market   Period active   Release - year of first charted record   Genre   Total certified units ( from available markets )   Claimed sales     Taylor Swift   United States   2006 -- present   2006   Country / Country pop / Pop / Pop - rock   Total available certified units : 199.8 million   US : 172.5 million   JPN : 3.050 million   GER : 1.750   UK : 9.8 million   FRA : 300,000   CAN : 4.820 million   AUS : 5.530 million   BRA : 440,000   ITA : 285,000   SWE : 280,000   DEN : 140,000 &gt;   MEX : 510,000   AUT : 100,000   NZ : 382,500     175 million     Garth Brooks   United States   1989 -- present   1989   Country   Total available certified units : 156.1 million   US : 149.4 million   UK : 520,000   CAN : 5.730 million   AUS : 350,000   IRE : 120,000     160 million     Eagles   United States   1971 -- 1980 , 1994 -- present   1972   Rock   Total available certified units : 149.2 million   US : 127.9 million   JPN : 600,000   GER : 925,000   UK : 8.035 million   FRA : 2.040 million   CAN : 4.2 million   AUS : 3.395 million   NLD : 540,000   SPA : 500,000   SWE : 140,000   DEN : 185,000   SWI : 290,000   FIN : 124,749   NZ : 352,500     150 million     U2   Ireland   1976 -- present   1980   Rock   Total available certified units : 108.6 million   US : 53.1 million   JPN : 1.450 million   GER : 5.525 million   UK : 18.720 million   FRA : 5.125 million   CAN : 7.155 million   AUS : 4.412 million   BRA : 2.675 million   NLD : 945,000   ITA : 880,000   SPA : 2.295 million   SWE : 515,000   DEN : 518,000   SWI : 696,000   MEX : 835,000   ARG : 806,000   BEL : 750,000   AUT : 522,500   POL : 370,000   FIN : 235,460   IRE : 316,000   NZ : 765,000     150 million     Billy Joel   United States   1964 -- present   1971   Pop / Rock   Total available certified units : 103 million   US : 87.950 million   JPN : 2 million   GER : 1.250 million   UK : 5.715 million   FRA : 925,000   CAN : 3.275 million   AUS : 1.267   NLD : 350,000   AUT : 125,000   NZ : 162,500     150 million     Phil Collins   United Kingdom   1980 -- 2011 , 2015 -- present   1981   Rock / Progressive rock / Adult contemporary   Total available certified units : 89.7 million   US : 39.850 million   JPN : 800,000   GER : 13.8 million   UK : 16.050 million   FRA : 6.410 million   CAN : 3.375 million   AUS : 1.522   BRA : 1.370 million   NLD : 1.050 million   SPA : 2.150 million   SWE : 245,000   SWI : 973,000   ARG : 1.044 million   BEL : 330,000   AUT : 440,000   FIN : 182,581   NZ : 122,500     150 million     Aerosmith   United States   1970 -- present   1973   Hard rock   Total available certified units : 84.9 million   US : 70.250 million   JPN : 2.7 million   GER : 2 million   UK : 3.230 million   FRA : 225,000   CAN : 3.950 million   AUS : 225,000   BRA : 600,000   NLD : 200,000   ITA : 100,000   SPA : 200,000   SWE : 260,000   SWI : 145,000   MEX : 230,000   ARG : 338,000   AUT : 125,000   POL : 100,000   FIN : 101,722     150 million     Frank Sinatra   United States   1935 -- 1995   1939   Pop / Swing   Total available certified units : 37.5 million   US : 28.2 million   GER : 1 million   UK : 5.645 million   FRA : 600,000   CAN : 650,000   AUS : 315,000   BRA : 350,000   SPA : 500,000   SWE : 130,000   ARG : 188,000     150 million     Barbra Streisand   United States   1960 -- present   1963   Pop / Adult contemporary   Total available certified units : 98.2 million   US : 82.450 million   GER : 750,000   UK : 5.765 million   FRA : 3.150 million   CAN : 2.650 million   AUS : 2.152 million   NLD : 710,000   SPA : 150,000   SWE : 120,000   FIN : 186,501   NZ : 137,500     145 million     Justin Bieber   Canada United States   2008 -- present   2009   Pop / Teen pop , Dance pop   Total available certified units : 152.3 million   US : 104.5 million   JPN : 850,000   GER : 4 million   UK : 18.685 million   FRA : 1.098   CAN : 5.780 million   AUS : 4.795 million   BRA : 810,000   ITA : 1.945 million   SPA : 880,000   SWE : 2.020 million   DEN : 2.400 million   MEX : 2.970 million   BEL : 450,000   POL : 370,000   AUT : 140,000   NZ : 615,000     140 million     Kanye West   United States   1996 -- present     Hip - hop / Electronic / Pop rock   Total available certified units : 123.5 million   US : 105.750 million   JPN : 100,000   GER : 1.350   UK : 12.260 million   CAN : 1.180 million   AUS : 2.135 million   ITA : 160,000   SWE : 160,000   DEN : 414,000     132 million     Bruno Mars   United States   2004 -- present     Pop rock / R&amp;B   Total available certified units : 129.2 million   US : 91.5 million   JPN : 1.2 million   GER : 3.6 million   UK : 15 million   FRA : 1.950 million   CAN : 5.240 million   AUS : 5.950 million   ITA : 760,000   SPA : 490,000   SWE : 440,000   DEN : 480,000   SWI : 405,000   MEX : 810,000   BEL : 360,000   AUT : 180,000   NZ : 592,500   PHL : 330,000     130 million     Ed Sheeran   United Kingdom   2004 -- present   2011   Pop / Folk pop   Total available certified units : 128.3 million   US : 56 million   JPN : 350,000   GER : 7.850 million   UK : 37.260 million   FRA : 1.691 million   CAN : 6.440 million   AUS : 7.840 million   NLD : 330,000   ITA : 2.590 million   SPA : 860,000   SWE : 1.360 million   DEN : 2.335 million   SWI : 635,000   MEX : 180,000   BEL : 665,000   AUT : 355,000   POL : 360,000   NZ : 1.2 million     126 million     Bruce Springsteen   United States   1972 -- present   1973   Rock   Total available certified units : 102.7 million   US : 76.150 million   JPN : 400,000   GER : 4.325 million   UK : 7.345 million   FRA : 1.887 million   CAN : 3.2 million   AUS : 3.362 million   BRA : 100,000   NLD : 740,000   ITA : 600,000   SPA : 1.730 million   SWE : 810,000   DEN : 255,000   SWI : 400,000   BEL : 155,000   AUT : 290,000   FIN : 449,800   IRE : 189,500   NZ : 375,000     120 million     Metallica   United States   1981 -- present     Heavy metal / Thrash metal   Total available certified units : 95.6 million   US : 73.3 million   JPN : 900,000   GER : 4.025 million   UK : 3.535 million   FRA : 940,000   CAN : 3.885 million   AUS : 2.637 million   BRA : 380,000   NLD : 460,000   ITA : 180,000   SPA : 420,000   SWE : 675,000   DEN : 180,000   SWI : 560,000   MEX : 430,000   ARG : 874,000   BEL : 385,000   AUT : 340,000   POL : 735,000   FIN : 530,676   NZ : 315,000     120 million     Bee Gees   United Kingdom Australia   1963 -- 2003 2009 -- 2012   1963   Pop / Disco   Total available certified units : 69.3 million   US : 42.5 million   JPN : 300,000   GER : 6.675 million   UK : 9.525 million   FRA : 3.4 million   CAN : 3.215 million   AUS : 1.187 million   BRA : 350,000   NLD : 540,000   SPA : 450,000   SWI : 415,000   ARG : 188,000   AUT : 125,000   POL : 100,000   NZ : 380,000     120 million     100 million to 119 million records     Katy Perry     Adele     Lady Gaga     Lil Wayne     Jay - Z     B'z     Bon Jovi       Artist   Country / Market   Period active   Release - year of first charted record   Genre   Total certified units ( from available markets )   Claimed sales     Lady Gaga   United States   2005 -- present   2008   Pop / Dance / Electronic   Total available certified units : 102.2 million   US : 69.5 million   JPN : 5.4 million   GER : 4.1 million   UK : 11.585 million   FRA : 1.647 million   CAN : 2.4 million   AUS : 2.890 million   BRA : 470,000   NLD : 130,000   ITA : 840,000   SPA : 410,000   SWE : 680,000   DEN : 340,000   SWI : 445,000   MEX : 420,000   BEL : 270,000   AUT : 182,500   POL : 130,000   IRE : 165,000   NZ : 277,500     114 million     Katy Perry   United States   2001 -- present   2008   Pop   Total available certified units : 137.8 million   US : 104 million   JPN : 400,000   GER : 3.8 million   UK : 13.010 million   FRA : 867,000   CAN : 6.160 million   AUS : 5.3 million   BRA : 625,000   ITA : 790,000   SPA : 180,000   SWE : 600,000   DEN : 235,000   SWI : 160,000   MEX : 960,000   BEL : 135,000   AUT : 247,500   NZ : 360,000     100 million     Adele   United Kingdom   2006 -- present   2008   Pop , soul   Total available certified units : 106.6 million   US : 61 million   JPN : 100,000   GER : 4.7 million   UK : 21.350 million   CAN : 6.480 million   AUS : 3.955 million   BRA : 1.310 million   NLD : 380,000   ITA : 1.570 million   SPA : 800,000   SWE : 320,000   DEN : 857,500   MEX : 1.490 million   SWI : 510,000   BEL : 795,000   POL : 300,000   FIN : 151,639   NZ : 622,500     100 million     Lil Wayne   United States   1996 -- present   1999   Hip - hop   Total available certified units : 101.7 million   US : 94.7 million   GER : 300,000   UK : 3.060 million   CAN : 280,000   AUS : 630,000     100 million     Jay - Z   United States   1996 -- present     Hip - hop   Total available certified units : 100.8 million   US : 84.7 million   JPN : 1.050 million   GER : 2 million   UK : 9.520 million   FRA : 400,000   CAN : 1.6 million   AUS : 1.260   ITA : 215,000   SWE : 130,000     100 million     B'z   Japan   1988 -- present     Rock / Pop rock / Hard rock   Total available certified units : 85.8 million   JPN : 85.85 million     100 million     Bon Jovi   United States   1983 -- present     Hard rock / Glam metal   Total available certified units : 85.1 million   US : 49.9 million   JPN : 4.4 million   GER : 5.650 million   UK : 9.690 million   FRA : 825,000   CAN : 4.735 million   AUS : 3.030 million   BRA : 435,000   NLD : 710,000   ITA : 160,000   SPA : 1.620 million   SWE : 365,000   SWI : 1.275 million   MEX : 250,000   ARG : 358,000   BEL : 290,000   AUT : 725,000   POL : 120,000   FIN : 422,500   NZ : 210,000     100 million     Beyoncé   United States   1997 -- present   2002   R&amp;B / Pop   Total available certified units : 84.4 million   US : 57.150 million   JPN : 1.7 million   GER : 1.550 million   UK : 15.845 million   FRA : 560,000   CAN : 1.475 million   AUS : 3.115 million   BRA : 390,000   ITA : 285,000   SPA : 1.190 million   SWE : 120,000   DEN : 312,500   SWI : 165,000   MEX : 110,000   BEL : 115,000   POL : 110,000   NZ : 210,000     100 million     Coldplay   United Kingdom   1996 -- present   1999   Alternative rock , Pop rock , Pop   Total available certified units : 83.6 million   US : 30.6 million   JPN : 750,000   GER : 4.550 million   UK : 26.245 million   FRA : 3.013   CAN : 3.585 million   AUS : 3.795 million   BRA : 340,000   NLD : 390,000   ITA : 2.885 million   SPA : 1.030 million   SWE : 750,000   DEN : 894,000   SWI : 550,000   MEX : 1.890 million   ARG : 528,000   BEL : 765,000   AUT : 197,500   POL : 320,000   IRE : 210,000   NZ : 345,000     100 million     Linkin Park   United States   1996 -- present   2000   Alternative rock / Nu metal / Rap rock   Total available certified units : 82.9 million   US : 61.6 million   JPN : 1.550 million   GER : 5.850 million   UK : 6.605 million   FRA : 1.025   CAN : 1.330 million   AUS : 1.485 million   BRA : 595,000   ITA : 740,000   SPA : 175,000   SWE : 165,000   DEN : 175,000   SWI : 435,000   MEX : 225,000   BEL : 140,000   AUT : 252,500   POL : 220,000   FIN : 120,469   NZ : 252,500     100 million     Britney Spears   United States   1998 -- present   1998   Pop / Dance / Dance - pop   Total available certified units : 82.2 million   US : 46.2 million   JPN : 2.1 million   GER : 5.350 million   UK : 10.750 million   FRA : 3.732 million   CAN : 3.680 million   AUS : 3.165 million   BRA : 380,000   NLD : 665,000   ITA : 200,000   SPA : 990,000   SWE : 1.010 million   DEN : 180,000   SWI : 485,000   MEX : 1.175 million   ARG : 248,000   BEL : 935,000   AUT : 365,000   POL : 210,000   FIN : 143,627   NZ : 240,000     100 million     Rod Stewart   United Kingdom   1964 -- present   1969   Rock / Pop   Total available certified units : 78.2 million   US : 43.650 million   JPN : 450,000   GER : 3.8 million   UK : 18.630 million   FRA : 1.8 million   CAN : 4.055 million   AUS : 2.610 million   BRA : 980,000   NLD : 140,000   SPA : 290,000   SWE : 440,000   SWI : 100,000   ARG : 524,000   AUT : 100,000   POL : 220,000   IRE : 195,000   NZ : 280,000     100 million     Fleetwood Mac   United Kingdom United States   1967 -- present   1968   Rock / Pop   Total available certified units : 77.9 million   US : 51.250 million   UK : 14.785 million   GER : 3.5 million   FRA : 800,000   AUS : 2.767 million   CAN : 2.950 million   NLD : 590,000   SPA : 300,000   SWI : 100,000   BEL : 100,000   NZ : 572,500     100 million     Guns N ' Roses   United States   1985 -- present     Hard rock / Heavy metal   Total available certified units : 75.6 million   US : 48.5 million   JPN : 1.7 million   GER : 4.1 million   UK : 6.550 million   FRA : 1 million   CAN : 3.520 million   AUS : 2.410   BRA : 1.9 million   NLD : 705,000   ITA : 710,000   SPA : 450,000   SWE : 485,000   DEN : 175,000   SWI : 365,000   MEX : 760,000   ARG : 1.248 million   BEL : 165,000   AUT : 365,000   POL : 160,000   IRE : 105,000   NZ : 270,000     100 million     Backstreet Boys   United States   1993 -- present   1995   Pop   Total available certified units : 73 million   US : 41.5 million   JPN : 5.4 million   GER : 7 million   UK : 4.875 million   FRA : 325,000   CAN : 3.430 million   AUS : 1.4 million   BRA : 1.625 million   NLD : 830,000   SPA : 1.850 million   SWE : 655,000   DEN : 165,000   SWI : 415,000   MEX : 1.475 million   ARG : 740,000   BEL : 450,000   AUT : 325,000   POL : 300,000   FIN : 171,390   NZ : 132,500     100 million     George Strait   United States   1981 -- present   1984   Country   Total available certified units : 72.8 million   US : 72.150 million   CAN : 705,000     100 million     Neil Diamond   United States   1966 -- present   1966   Pop / Rock   Total available certified units : 68.9 million   US : 55.9 million   GER : 1 million   UK : 7.330 million   FRA : 400,000   CAN : 1.725 million   AUS : 2.085 million   NLD : 250,000   SPA : 100,000   NZ : 127,500     100 million     Santana   United States   1966 -- present   1969   Rock   Total available certified units : 65.2 million   US : 50.295 million   JPN : 400,000   GER : 2.4 million   UK : 2.980 million   FRA : 3.510 million   CAN : 1.660 million   AUS : 855,000   BRA : 375,000   NLD : 540,000   SPA : 450,000   SWE : 125,000   SWI : 375,000   MEX : 405,000   ARG : 158,000   BEL : 190,000   AUT : 145,000   POL : 205,000   NZ : 135,000     100 million     Prince   United States   1976 -- 2016   1978   Funk / R&amp;B / Pop / Soul / Rock   Total available certified units : 65.1 million   US : 48.950 million   JPN : 300,000   GER : 2.4 million   UK : 7.245 million   FRA : 2.110 million   CAN : 1 million   AUS : 1.120   NLD : 670,000   SPA : 700,000   SWE : 100,000   SWI : 250,000   AUT : 125,000   NZ : 177,500     100 million     Kenny Rogers   United States   1958 -- present     Country / Pop   Total available certified units : 61.4 million   US : 54.050 million   JPN : 100,000   UK : 2.520 million   CAN : 4.6 million   AUS : 100,000   SPA : 100,000     100 million     Paul McCartney   United Kingdom   1960 -- present   1970   Rock   Total available certified units : 60.6 million   US : 41.450 million   JPN : 500,000   GER : 1.525 million   UK : 12.425 million   FRA : 1.305 million   CAN : 1.955 million   AUS : 465,000   SPA : 640,000   SWE : 210,000   DEN : 210,000     100 million     Simon &amp; Garfunkel   United States   1956 -- present   1964   Folk rock   Total available certified units : 59.2 million   US : 42.6 million   JPN : 700,000   GER : 2.325 million   UK : 6.620 million   FRA : 3.9 million   CAN : 1.425 million   AUS : 390,000   NLD : 300,000   ITA : 100,000   SWE : 150,000   SWI : 450,000   AUT : 100,000   FIN : 163,350     100 million     Janet Jackson   United States   1982 -- present   1982   R&amp;B / Pop   Total available certified units : 52.5 million   US : 39.750 million   JPN : 1.6 million   GER : 1.4 million   UK : 4.760 million   FRA : 1.475 million   CAN : 1.460 million   AUS : 1.155   NLD : 400,000   SPA : 150,000   SWE : 105,000   SWI : 170,000   BEL : 125,000     100 million     Julio Iglesias   Spain   1968 -- present   1968   Latin   Total available certified units : 51.2 million   US : 11 million   JPN : 800,000   GER : 250,000   UK : 1.620 million   FRA : 6.1 million   CAN : 1.5 million   AUS : 505,000   BRA : 12.475 million   NLD : 1.2 million   ITA : 400,000   SPA : 8.7 million   SWE : 290,000   MEX : 2.975 million   ARG : 3.220 million   BEL : 125,000   FIN : 131,636     100 million     Chicago   United States   1967 -- present   1969   Rock / Pop   Total available certified units : 48.4 million   US : 44.150 million   JPN : 400,000   GER : 250,000   UK : 1.490 million   FRA : 100,000   CAN : 1.865 million   NLD : 100,000   SPA : 100,000     100 million     Dire Straits   United Kingdom   1977 -- 1995   1978   Rock   Total available certified units : 46.5 million   US : 15.5 million   GER : 3.750 million   UK : 11.8 million   FRA : 5.3 million   CAN : 2.575 million   AUS : 2.190 million   BRA : 175,000   NLD : 900,000   ITA : 385,000   SPA : 1.380 million   SWE : 360,000   DEN : 195,000   SWI : 1 million   BEL : 100,000   AUT : 300,000   FIN : 471,530   NZ : 155,000     100 million     Bob Dylan   United States   1959 -- present   1963   Folk / Rock   Total available certified units : 45.3 million   US : 35.6 million   GER : 625,000   UK : 6.025 million   FRA : 800,000   CAN : 1.5 million   AUS : 480,000   SWI : 175,000   NZ : 105,000     100 million     Def Leppard   United Kingdom   1977 -- present   1979   Hard rock / Heavy metal   Total available certified units : 42.3 million   US : 36.150 million   JPN : 300,000   UK : 1.960 million   FRA : 200,000   CAN : 2.995 million   AUS : 385,000   SWE : 150,000   SWI : 125,000   MEX : 200,000     100 mi</t>
  </si>
  <si>
    <t xml:space="preserve">who has sold the most records to date</t>
  </si>
  <si>
    <t xml:space="preserve">   Artist   Country / Market   Period active   Release year of first charted record   Genre   Total certified units ( from available markets )   Claimed sales     The Beatles   United Kingdom   1960 -- 1970   1962   Rock / Pop   Total available certified units : 271.9 million   US : 212.250 million   JPN : 4.950 million   GER : 8 million   UK : 18.445 million   FRA : 3.890 million   CAN : 14.455 million   AUS : 3.060 million   BRA : 550,000   NLD : 295,000   ITA : 380,000   SPA : 1.250 million   SWE 485,000   DEN : 270,000   SWI : 350,000   ARG : 1.606 million   BEL : 390,000   AUT : 500,000   POL : 175,000   NZ : 660,000     600 million 500 million     Elvis Presley   United States   1954 -- 1977   1954   Rock and roll / Pop / Country   Total available certified units : 224.5 million   US : 199.150 million   JPN : 300,000   GER : 1.2 million   UK : 13.145 million   FRA : 2.590 million   CAN : 2.925 million   AUS : 1.797 million   BRA : 125,000   NLD : 555,000   ITA : 105,000   SPA : 300,000   SWE 380,000   DEN : 120,000   SWI : 185,000   MEX : 105,000   ARG : 110,000   BEL : 115,000   AUT : 205,000   FIN : 213,945   NZ : 117,500     600 million 500 million     Michael Jackson   United States   1964 -- 2009   1971   Pop / Rock / Dance / Soul / R&amp;B   Total available certified units : 229.5 million   US : 145.3 million   JPN : 4.650 million   GER : 11.275 million   UK : 29.045 million   FRA : 11.375 million   CAN : 4.670 million   AUS : 6.775 million   BRA : 280,000   NLD : 2.105 million   ITA : 1.195 million   SPA : 1.995 million   SWE : 1.230 million   DEN : 1.289 million   SWI : 910,000   MEX : 3.670 million   ARG : 124,000   BEL : 665,000   AUT : 1.197 million   POL : 530,000   FIN : 384,127   NZ : 902,500     350 million 300 million     Madonna   United States   1979 -- present   1982   Pop / Dance / Electronica   Total available certified units : 172.9 million   US : 85.675 million   JPN : 6.450 million   GER : 12.4 million   UK : 29.245 million   FRA : 12.81 million   CAN : 6.030 million   AUS : 4.787 million   BRA : 3.440 million   NLD : 1.735 million   ITA : 465,000   SPA : 2.815 million   SWE : 1.070 million   DEN : 407,000   SWI : 1.080 million   MEX : 510,000   ARG : 1.098   BEL : 740,000   AUT : 602,500   POL : 530,000   FIN : 652,686   NZ : 417,500     300 million 275 million     Elton John   United Kingdom   1964 -- present   1969   Pop / Rock   Total available certified units : 182.8 million   US : 129.350 million   JPN : 1.1 million   GER : 7.9 million   UK : 23.395 million   FRA : 4.825 million   CAN : 5.975 million   AUS : 2.947 million   BRA : 835,000   NLD : 975,000   SPA : 1.2 million   SWE : 740,000   DEN : 195,000   SWI : 1.313 million   MEX : 100,000   ARG : 128,000   BEL : 565,000   AUT : 765,000   POL : 150,000   FIN : 163,481   NZ : 255,000     300 million 250 million     Led Zeppelin   United Kingdom   1968 -- 1980   1969   Hard rock / Blues rock / Folk rock   Total available certified units : 140 million   US : 114.1 million   JPN : 400,000   GER : 3.775 million   UK : 9.530 million   FRA : 2.310 million   CAN : 4.710 million   AUS : 2.8 million   BRA : 820,000   ITA : 465,000   SPA : 450,000   SWI : 211,000   ARG : 360,000   POL : 120,000     300 million 200 million     Pink Floyd   United Kingdom   1965 -- 1996 , 2014   1967   Progressive rock / Psychedelic rock   Total available certified units : 120.1 million   US : 78 million   JPN : 100,000   GER : 7.5 million   UK : 11.720 million   FRA : 6.360 million   CAN : 6.790 million   AUS : 2.932 million   BRA : 515,000   NLD : 435,000   ITA : 2.035 million   SPA : 625,000   SWE : 220,000   SWI : 390,000   ARG : 582,000   BEL : 115,000   AUT : 460,000   POL : 590,000   NZ : 787,500     250 million 200 million   </t>
  </si>
  <si>
    <r>
      <rPr>
        <sz val="11"/>
        <color rgb="FF000000"/>
        <rFont val="Calibri"/>
        <family val="0"/>
        <charset val="1"/>
      </rPr>
      <t xml:space="preserve">English Football League play - offs - wikipedia  English Football League play - offs   English Football League play - offs   Founded       Region   England Wales     Number of teams   12     Television broadcasters   Sky Sports     2018 English Football League play - offs     The English Football League play - offs are an annual series of football matches to determine the final promotion places within each division of the English Football League . In each division it involves the four teams that finish directly below the automatic promotion places . These teams meet in a series of play - off matches to determine the final team that will be promoted .   The play - offs were first introduced in 1987 and have been staged at the conclusion of every season since . Since 1990 the winners of each division 's play - off competition have been determined in a one - off final . Blackpool are the most successful club in play - off history , winning five times - 1992 , 2001 , 2007 , 2010 , and 2017 .   Contents  ( hide )   1 Format   1.1 Changes to format   1.2 Proposed changes     2 Past winners   3 Records   4 See also   5 References   6 External links    Format ( edit )   The four teams finishing directly below the automatic promotion places in each of the three Football League divisions enter the play - offs in a chance to win promotion to the division above . In the Championship and League One these are the teams finishing in third , fourth , fifth and sixth place , while in League Two ( with its greater number of teams automatically promoted ) , it is the teams finishing in fourth , fifth , sixth and seventh place that enter the play - offs .   The highest - finishing team of the four plays the team that finished lowest , with the first leg being held at the home of the team that finished lowest and the second leg being held at the home of the team that finished highest . This is designed to give the team that finished higher an advantage . This is the same for the teams that finished second highest and second lowest , with the advantage being with the team that finished the higher .   The winner of a semi-finals is decided by the tie 's aggregate score after the two legs . If the aggregate score is level at the end of the 90 minutes of the second leg , then an additional 30 minutes of extra time is played to try to create a winning team . If the score at the end of extra time is still level then the tie is decided by penalty kicks .   The two winners from the semi-finals meet at a neutral venue in the final . The final must be decided on the day , so extra time and penalties may be carried out if the scores are level . The winner of the tie gains promotion to the league above .   Changes to format ( edit )   During the first two stagings of the play - offs in 1987 and 1988 , the four teams involved were the three clubs that finished directly below the automatic promotions positions , plus the club which finished directly above the automatic relegation places in the division above .   This was part of the league 's two - season - long restructuring that would reduce the number of teams in the top tier ( from 22 to 20 ) while increasing them in the lower divisions ( creating three divisions of 24 clubs ) ; during these seasons , only one club ( Charlton Athletic in 1987 ) that entered the play - offs in a relegation place managed to win the play - offs and therefore retain their divisional status .   In the seasons prior to the 1990 play - offs , the finals were two - legged ties with both teams hosting the other once . If the two teams could not be separated , a tie - breaker was then staged at a neutral venue . This was used on three occasions : the 1987 Second Division final was played at Birmingham City 's St. Andrews ; the 1987 Third Division final was played at Crystal Palace 's Selhurst Park ; and the 1988 Third Division final was played at Walsall 's Fellows Park ( though this was not strictly a neutral venue , as Walsall was one of the clubs involved ) .   Since 1990 a one - off final match has been used to determine the play - off winners , which has traditionally been staged at the old Wembley Stadium . Between 2001 and 2006 the final was instead moved to Cardiff 's Millennium Stadium while the new Wembley Stadium was being constructed . In 2011 the Football League was forced to use Old Trafford for the League One and League Two play - off finals because Wembley was unavailable , being used instead for the 2011 UEFA Champions League Final .   Before the 1999 -- 2000 season away goals were used as a tie - breaker after extra time had been played , however , this was abolished following a club initiative launched by then - Ipswich Town chairman David Sheepshanks , after his club had twice lost on away goals in 1997 and 1999 . Since then away goals have played no part in the play - off system .   Proposed changes ( edit )   A change to the format of the play - offs was proposed by Crystal Palace chief executive Phil Alexander in 2003 . Alexander recommended expanding the number of teams in each play - off series from four to six , providing more clubs with a chance at promotion . Additionally , the two - legged semi-finals would have been replaced by one - off quarter - final and semi-final games , both of which would give home advantage to the team that finished higher during the league season . The two highest placed clubs in the play - off series would advance directly to the semi-final , while the other four clubs would contest the quarter - final .   The proposed changes were narrowly approved by Football League chairmen and were set to be voted upon at the league 's annual general meeting . The motion was withdrawn however , due to objections received from the Premier League and The Football Association .   Past winners ( edit )     Year   Division Two   Division Three   Division Four       Charlton Athletic   Swindon Town   Aldershot     1988   Middlesbrough   Walsall   Swansea City     1989   Crystal Palace   Port Vale   Leyton Orient     1990   Swindon Town   Notts County   Cambridge United     1991   Notts County   Tranmere Rovers   Torquay United     1992   Blackburn Rovers   Peterborough United   Blackpool     Year   Division One   Division Two   Division Three     1993   Swindon Town   West Bromwich Albion   York City     1994   Leicester City   Burnley   Wycombe Wanderers     1995   Bolton Wanderers   Huddersfield Town   Chesterfield       Leicester City   Bradford City   Plymouth Argyle     1997   Crystal Palace   Crewe Alexandra   Northampton Town     1998   Charlton Athletic   Grimsby Town   Colchester United     1999   Watford   Manchester City   Scunthorpe United     2000   Ipswich Town   Gillingham   Peterborough United     2001   Bolton Wanderers   Walsall   Blackpool     2002   Birmingham City   Stoke City   Cheltenham Town     2003   Wolverhampton Wanderers   Cardiff City   Bournemouth       Crystal Palace   Brighton &amp; Hove Albion   Huddersfield Town     Year   Championship   League One   League Two     2005   West Ham United   Sheffield Wednesday   Southend United     2006   Watford   Barnsley   Cheltenham Town     2007   Derby County   Blackpool   Bristol Rovers     2008   Hull City   Doncaster Rovers   Stockport County     2009   Burnley   Scunthorpe United   Gillingham       Blackpool   Millwall   Dagenham &amp; Redbridge     2011   Swansea City   Peterborough United   Stevenage     2012   West Ham United   Huddersfield Town   Crewe Alexandra     2013   Crystal Palace   Yeovil Town   Bradford City     2014   Queens Park Rangers   Rotherham United   Fleetwood Town     2015   Norwich City   Preston North End   Southend United     2016   Hull City   Barnsley   AFC Wimbledon     2017   Huddersfield Town   Millwall   Blackpool     2018   Fulham   Rotherham United   Coventry City     1 : Due to financial irregularities , Swindon were prevented from taking their place in the top division , which was awarded to the losing finalists , Sunderland .   Records ( edit )    Most play - off promotions : 5 -- Blackpool ( 1992 , 2001 , 2007 , 2010 , 2017 )   Most play - off finals : 7 -- Blackpool ( 1991 , 1992 , 2001 , 2007 , 2010 , 2012 , 2017 )   Most play - off final defeats : 4 -- Sheffield United ( 1997 , 2003 , 2009 , 2012 ) , Reading ( 1995 , 2001 , 2011 , 2017 )   Most play - off participations : 10 -- Preston North End   Most unsuccessful play - off participations : 9 -- Preston North End ( from 10 participations )   Most play - off participations without making the Play - off final : 4 -- Nottingham Forest , MK Dons   Most play - off participations without winning final : 8 -- Brentford , Sheffield United ( both from 8 participations )   Teams without any unsuccessful play - off participations : AFC Wimbledon ( 1 time ) , Dagenham &amp; Redbridge ( 1 ) , Doncaster Rovers ( 1 ) , Manchester City ( 1 ) , Coventry City ( 1 )   Most consecutive games won : 10 -- Blackpool ( 2001 - 2012 )   Biggest aggregate win : Crewe Alexandra 9 -- 3 Walsall ( Third Division Semi-final , 1993 )   Biggest home win : Dagenham &amp; Redbridge 6 -- 0 Morecambe ( League Two Semi-final , 2010 )   Biggest away win : Fulham 0 -- 4 Bristol Rovers ( Third Division Semi-final , 1989 ) ; Birmingham City 0 -- 4 Barnsley ( First Division Semi-final , 2000 )   Biggest win in a final : Preston North End 4 -- 0 Swindon Town ( League One , 2015 )   Highest scoring final : 8 goals -- Charlton Athletic 4 -- 4 Sunderland ( First Division , 1998 )   Highest scoring play - off match : 10 goals -- Swindon Town 5 -- 5 Sheffield United ( League One Semi-final second leg , 2015 )   Highest scoring tie ( aggregate ) : 13 goals -- Swindon Town 7 -- 6 Sheffield United ( League One Semi-final , 2015 )   Highest attendance : 87,347 -- Derby County vs QPR ( Championship Final , 2014 )   Lowest attendance : 3,606 -- Torquay United vs Cheltenham Town ( League Two Semi-final , 2012 )   Blackpool and Huddersfield Town are the only clubs to have won all three divisional play - offs .   Reading , Brentford , Leeds United , Bristol City and Sheffield United are the only clubs to have lost play - off finals at three different venues .   Crystal Palace are the only team to win play - off finals at 4 different venues ( Selhurst Park 1989 , Old Wembley 1997 , Millennium Stadium 2004 and New Wembley 2013 ) .    See also ( edit )    Football League test matches    References ( edit )    ^ Jump up to : `` Sky Bet EFL Play - Off Rules '' . EFL. 11 August 2014 . Retrieved 1 June 2017 .   Jump up ^ `` http://www.readingfc.co.uk/page/NewsDetail/0,,10306~2360863,00.html '' . External link in title = ( help )   Jump up ^ `` Play - offs set for shake - up '' . BBC Sport. 7 March 2003 . Retrieved 8 May 2011 .   Jump up ^ Warshaw , Andrew ( 5 June 2003 ) . `` Radical plan for expansion of play - offs to be rejected '' . The Independent . Retrieved 8 May 2011 .   Jump up ^ `` Play - off plans shelved '' . BBC Sport. 5 June 2003 . Retrieved 8 May 2011 .    External links ( edit )    Football League play - offs   RSSSF Football League archive , 1888 -- 2008   ( 1 )              English Football League play - offs       Championship   League One   League Two                 EFL Championship play - offs     Play - offs       1988   1989   1990   1991   1992   1993   1994   1995     1997   1998   1999   2000   2001   2002   2003     2005   2006   2007   2008   2009     2011   2012   2013   2014   2015   2016   2017   2018       Finals       1988   1989   1990   1991   1992   1993   1994   1995     1997   1998   1999   2000   2001   2002   2003     2005   2006   2007   2008   2009     2011   2012   2013   2014   2015   2016   2017   2018                 EFL League One play - offs     Play - offs       1988   1989   1990   1991   1992   1993   1994   1995     1997   1998   1999   2000   2001   2002   2003     2005   2006   2007   2008   2009     2011   2012   2013   2014   2015   2016   2017   2018       Finals       1988   1989   1990   1991   1992   1993   1994   1995     1997   1998   1999   2000   2001   2002   2003     2005   2006   2007   2008   2009     2011   2012   2013   2014   2015   2016   2017   2018                 EFL League Two play - offs     Play - offs       1988   1989   1990   1991   1992   1993   1994   1995     1997   1998   1999   2000   2001   2002   2003     2005   2006   2007   2008   2009     2011   2012   2013   2014   2015   2016   2017   2018       Finals       1988   1989   1990   1991   1992   1993   1994   1995     1997   1998   1999   2000   2001   2002   2003     2005   2006   2007   2008   2009     2011   2012   2013   2014   2015   2016   2017   2018      Retrieved from `` https://en.wikipedia.org/w/index.php?title=English_Football_League_play-offs&amp;oldid=844214943 '' Categories :   English Football League play - offs   Hidden categories :   CS1 errors : external links           Talk                                           Contents                   About Wikipedia                                           </t>
    </r>
    <r>
      <rPr>
        <sz val="11"/>
        <color rgb="FF000000"/>
        <rFont val="Noto Sans CJK SC"/>
        <family val="2"/>
      </rPr>
      <t xml:space="preserve">한국어   </t>
    </r>
    <r>
      <rPr>
        <sz val="11"/>
        <color rgb="FF000000"/>
        <rFont val="Calibri"/>
        <family val="0"/>
        <charset val="1"/>
      </rPr>
      <t xml:space="preserve">Simple English   Edit links   This page was last edited on 3 June 2018 , at 12 : 25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</si>
  <si>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do away goals count in league one playoffs</t>
  </si>
  <si>
    <t xml:space="preserve"> Before the 1999 -- 2000 season away goals were used as a tie - breaker after extra time had been played , however , this was abolished following a club initiative launched by then - Ipswich Town chairman David Sheepshanks , after his club had twice lost on away goals in 1997 and 1999 . Since then away goals have played no part in the play - off system . </t>
  </si>
  <si>
    <t xml:space="preserve">God of War ( 2018 video game ) - Wikipedia  God of War ( 2018 video game )  Jump to : navigation , search    God of War         Developer ( s )   SIE Santa Monica Studio     Publisher ( s )   Sony Interactive Entertainment     Director ( s )   Cory Barlog     Producer ( s )     Elizabeth Dahm Wang   Sean Llewellyn   Chad Cox   Eric Fong       Designer ( s )   Derek Daniels     Programmer ( s )   Florian Strauss     Writer ( s )     Matt Sophos   Richard Zangrande Gaubert   Cory Barlog       Composer ( s )   Bear McCreary     Series   God of War     Platform ( s )   PlayStation 4     Release   April 20 , 2018     Genre ( s )   Action - adventure     Mode ( s )   Single - player     God of War is a third - person action - adventure game developed by Santa Monica Studio and published by Sony Interactive Entertainment ( SIE ) . Released on April 20 , 2018 , for the PlayStation 4 ( PS4 ) console , it is the eighth installment in the God of War series , the eighth chronologically , and the sequel to 2010 's God of War III . Unlike previous games , which were loosely based on Greek mythology , this game is loosely based on Norse mythology . The main protagonists are Kratos , the former Greek God of War , and his young son Atreus . Following the death of Kratos ' second wife and Atreus ' mother , they journey to fulfill her promise and spread her ashes at the highest peak of the nine realms . Kratos keeps his troubled past a secret from Atreus , who is unaware of his divine nature . Along their journey , they encounter monsters and gods of the Norse world .   Described by creative director Cory Barlog as a reimagining of the franchise , a major gameplay change is that Kratos prominently uses a magical battle axe instead of his signature double - chained blades . God of War also uses an over-the - shoulder free camera , with the game in one shot , as opposed to the fixed cinematic camera of the previous entries . The game includes role - playing video game elements , and Kratos ' son Atreus provides assistance in combat . The majority of the original game 's development team worked on God of War and designed the game to be accessible and grounded . A separate short text - based game , God of War : A Call from the Wilds released in February 2018 , follows Atreus on his first adventure .   God of War received universal acclaim from critics , being praised for its narrative , world design , art direction , graphics , characters , and combat system . It received perfect scores from multiple reviewers , making it the highest - rated game in the God of War series , as well the third highest - rated PS4 game , on Metacritic . The game performed well commercially , selling five million copies within a month of release .     Contents  ( hide )   1 Gameplay   2 Synopsis   2.1 Setting   2.2 Characters   2.3 Plot     3 Development   3.1 Characterization     4 Soundtrack   5 Release   5.1 God of War : A Call from the Wilds     6 Reception   6.1 Sales   6.2 Accolades     7 Notes   8 References   9 External links      Gameplay ( edit )   The gameplay is vastly different from the previous installments , as it was rebuilt from the ground up . Although the previous main installment , Ascension ( 2013 ) , introduced multiplayer to the series , this installment is single - player - only . The game features a third - person , over-the - shoulder free camera , a departure from the previous installments , which featured a third - person , fixed cinematic camera ( with the exception of 2007 's 2D side - scroller Betrayal ) . Cinematographically , the game is presented in a continuous shot , with no camera cuts . The game is open , but it is not open - world . Due to it being open , players can fast travel to different locations through Mystic Gateways . As the ability to swim was cut from the game , players instead use a boat to traverse bodies of water . Just like previous entries , there are puzzles for players to solve to progress through parts of the game . Enemies in the game stem from Norse mythology , such as variants of trolls , ogres , dark elves and their king , wolves , wulvers , nightmares , draugrs , tatzelwurms , as well as Gullveig and the revenants , beings warped by seiðr magic , among other original creatures . Valkyries appear as optional boss battles , and players can free the dragons Fáfnir , Otr , and Reginn -- dwarfs that were turned into dragons -- in addition to battling a dragon called Hræzlyr .   A major change is that Kratos no longer uses his signature double - chained blades , the Blades of Chaos , as his default weapon . Instead , he uses a magical battle axe , called the Leviathan Axe , which is infused with ice elemental magic . The axe can be thrown at enemies and magically summoned back to his hand ( similar to Thor 's hammer Mjölnir ) . Larger enemies have precision targets and throwing the axe at those targets stuns the enemy . The weapon can also be thrown at environmental objects to trigger a damaging explosion and it can freeze objects and some enemies in place for puzzle solving until the axe is summoned back to Kratos ' hand . The axe has standard light and heavy attacks , and over time , it can be upgraded with runes to allow for special runic attacks , with one slot being for a light runic attack and the other for heavy . This provides players with a variety of options to cater to their own play style . For example , one of the light runic attacks allows Kratos to charge the axe and let out a burst of energy and one of the heavy runic attacks allows Kratos to summon a swirling ice storm . Another new weapon that Kratos utilizes is the Guardian Shield . When not in use , it folds up and appears like armor on Kratos ' left forearm . When summoned , the shield can be used offensively and defensively , similar to the Golden Fleece in previous games . Kratos also utilizes hand - to - hand combat , a feature originally introduced in Ascension . The Blades of Chaos are acquired late into the game via a plot device and perform similarly as they did in previous installments , but can also be upgraded with light and heavy runic attacks .  Pre-release gameplay screenshot of God of War , taken from the trailer shown at E3 2016 : Kratos ( center ) and his son Atreus ( right ) are battling a troll . Atreus can assist in combat , such as firing lightning arrows on the player 's command .  Similar to previous games , there is a `` Rage '' ability called Spartan Rage . Like the previous versions , the Rage ability has a meter that gradually fills during combat . With this ability , Kratos uses powerful bare - handed attacks , as opposed to weapons , to greatly damage enemies . The game also features elements similar to role - playing video games ( RPGs ) . There are crafting resources for the player to find that allow them to create new or upgrade existing armor with better perks . Players will also accumulate a currency called Hacksilver , a key component in crafting and purchasing new items . Experience points ( XP ) are used for learning new combat skills . Throughout the game world , players find chests containing random items , such as Hacksilver and enchantments for improving armor and weapons , as well as two special items , Iðunn 's Apples and Horns of Blood Mead , which increase the maximum length of the health and rage meters , respectively . Quick time events have changed from previous games . Enemies display two meters above their heads , one for health and the other for stun . Filling up the stun meter helps to defeat more difficult enemies . When the stun meter is full , a grab - prompt will appear . Depending on the enemy , Kratos may rip it in half or grab them and throw them into other enemies , among other possible outcomes .   Although the game is played entirely as Kratos , there are times when the player may choose to passively control Kratos ' son , Atreus . One button is dedicated to Atreus and its use depends on the context . For example , if the player needs assistance , they can look at an enemy , press the button , and Atreus will use his Talon Bow to shoot arrows at the enemy . The arrows have little effect on an enemy 's health , but do increase the stun meter . Over the course of the game , Atreus helps in combat , traversal , exploration , and puzzle - solving . When facing a large number of enemies , he distracts the weaker ones as Kratos fights the stronger ones . If too many enemies gang up on Atreus , he is knocked out for the remainder of that combat . Just like Kratos , Atreus acquires new skills , armor , special arrows , such as lightning arrows , as well as runic attacks for his Talon Bow , but it only has one slot instead of two . Atreus ' runic attacks summon different spectral animals with different abilities . For example , one summons a wolf that attacks enemies , while another summons the squirrel Ratatoskr that will dig up orbs to replenish Kratos ' health or rage meters .   Synopsis ( edit )   Setting ( edit )   While the first seven games were loosely based on Greek mythology , this installment takes the series to Norse mythology , but predates the Vikings . Six of the nine realms of Norse mythology can be explored . The majority of the game takes place in the realm of Midgard , inhabited by humans and other creatures and is the same realm that the Greek world had existed in . As more creatures began appearing , many humans fled . Other realms visited as part of the story include Alfheim , the mystical home of the light and dark elves , Helheim , the icy land of the dead , and Jötunheim , the mountainous land of the giants . Other explorable realms include Niflheim , a realm of poisonous fog with a maze - like structure of rewards , and the fire realm Muspelheim , featuring the six Trials of Muspelheim ; completing each trial grants rewards and advances Kratos and Atreus closer to the top of a large volcano . Access to the other three realms -- Asgard , home of the Æsir gods , Vanaheim , home of the Vanir gods , and Svartalfheim , home of the dwarves -- have been blocked by the ruler of Asgard and the Æsir gods , Odin . At the center of the realms is the mythical tree Yggdrasil , which connects each realm together . Although each realm is a different world , they simultaneously exist in the same space . Travel to and from realms can be done by the use of the Bifröst from a root of Yggdrasil contained within a temple located at the center of the Lake of the Nine . The temple was created by the now dead Týr , a peaceful God of War who had traveled to other lands and learned about their mythologies ; Odin had him killed as he believed Týr was secretly aiding the giants and would try to overthrow him .   Characters ( edit )  Main article : Characters of God of War  The protagonists of the game are Kratos ( voiced by Christopher Judge ) and his young son Atreus ( Sunny Suljic ) . Kratos is a warrior originally from Sparta who became the Greek God of War and is the son of Zeus . After ending up in Midgard , he met his second and now deceased wife , Laufey ( addressed as Faye ) , and they bore their son , Atreus , who does not know about Kratos ' past or his divine nature , but can hear other beings ' thoughts . The main antagonist is the Æsir god Baldur ( Jeremy Davies ) , the brother of Thor , whose sons Modi and Magni ( Nolan North and Troy Baker , respectively ) assist Baldur . His parents are Odin and the Vanir god Freya ( Danielle Bisutti ) . Freya tried leaving Odin , as she did not truly love him , and Odin had her banished to Midgard , after which she became known as the Witch of the Woods . To protect her son from a prophecy that foretold his death , Freya cast a spell of immortality on Baldur , which also caused him to not feel pain or any feeling of pleasure , which he resented her for . The only thing that she could not prevent from breaking the spell was mistletoe , which she kept secret . Other characters include Mímir ( Alastair Duncan ) , who claims to be the smartest man alive , and the Huldra Brothers Brok ( Roger Craighead ) and Sindri ( Adam J. Harrington ) , a pair of dwarves who appear at various points in the world and assist Kratos and Atreus with forging new gear . Their weapons , including Thor 's hammer Mjölnir , were used by the Æsir gods and they also had forged Kratos ' Leviathan Axe , which originally belonged to Faye , who also gifted Kratos his Guardian Shield . The spirit of the Greek goddess Athena ( Carole Ruggier ) makes a cameo appearance , and Zeus ( Corey Burton ) appears as an illusion to Kratos in Helheim .   Plot ( edit )   Many years have passed since Kratos took his vengeance against the Olympian gods , and he now lives with his young son Atreus in Midgard . The game opens following the death of Kratos ' second wife and Atreus ' mother , Faye , whose last wish was for her ashes to be spread at the highest peak of the nine realms . Before beginning their journey , Kratos is confronted by a mysterious man with godlike powers . After seemingly killing him , Kratos and Atreus set out on their journey .   Reaching the Lake of the Nine , Kratos and Atreus encounter the friendly World Serpent , Jörmungandr . After running into impenetrable black mist which can only be extinguished with the Light of Alfheim , they receive aid from the Witch of the Woods to use the Bifröst in order to travel to Alfheim and secure the Light . Upon vanquishing the mist and reaching Midgard 's peak , they overhear a conversation between the mysterious man , revealed to be Baldur , his nephews Modi and Magni , and the imprisoned Mímir . After they leave , Kratos and Atreus confront Mímir , who reveals that their goal is actually in Jötunheim , but travel there has been blocked to keep out Odin and Thor . Mímir , however , knows another passage . He instructs Kratos to cut off his head and have it revived by the Witch of the Woods , revealed to be Freya . Kratos immediately distrusts her , but both Freya and Mímir warn him that he must tell Atreus about his true nature .   Kratos , Atreus , and Mímir 's head journey to collect needed components to open Jötunheim 's portal when they are attacked by Modi and Magni . After Kratos kills Magni , Modi flees , but later returns and ambushes them . Atreus collapses ill , which Mímir and Freya explain is a mental contradiction of a god believing himself to be mortal . She tells Kratos that he must retrieve the heart of the Keeper of the Bridge of the Damned in Helheim , but his Leviathan Axe is useless there . Kratos then returns home to unearth his old weapons , the Blades of Chaos , and is haunted by Athena 's spirit , who goads him about his past . After retrieving the heart , he has a haunting vision of Zeus . Atreus is cured and Kratos tells him that he is a god . Atreus then becomes increasingly arrogant on their journey , and he murders a weakened Modi , despite Kratos ordering not to . At Midgard 's peak , they are ambushed by Baldur , resulting in Jötunheim 's portal being destroyed and the group falling into Helheim .   Atreus makes amends with Kratos and they find out about Freya and Baldur 's familial relationship . Returning to Midgard , Mímir realizes there is another way to reach Jötunheim , but it requires recovering his missing eye . After obtaining it from Jörmungandr 's belly , who had inadvertently swallowed it when he ate a statue of Thor , they are attacked by Baldur again , but Freya intervenes in an attempt to protect her son . During the fight , Baldur is pierced by Atreus ' mistletoe arrow , breaking Freya 's spell on him . Baldur is defeated , and although Kratos gives him an opportunity to retreat , he instead attempts to strangle Freya , forcing Kratos to kill him . A grieving Freya swears revenge on Kratos and taunts him about hiding his true nature from Atreus . Kratos finally tells Atreus about his past and how he had killed his fellow Greek gods , including his father , Zeus . Atreus laments if patricide is all that gods are good for . Kratos tells Atreus that they should both learn from their experiences and not repeat the mistakes of their predecessors . A silent Freya leaves with Baldur 's corpse and Mímir hopefully suggests that she will eventually move on from the tragedy and that Kratos did the right thing .   In Jötunheim , they find a temple with a mural depicting their adventures , showing that the giants had foreseen everything that would happen and vaguely foretold what was to come . In addition , they discover that Faye was a giant who decided to stay behind in Midgard , making Atreus part giant , part god , and part mortal . Their fight with Baldur was shown , revealing he was actually after Faye the whole time . It is also revealed that Atreus was named Loki by his mother . Wondering if Faye planned this in advance , Kratos and Atreus fulfill their promise and spread her ashes at the peak . Afterwards , Kratos reveals to Atreus that his given name was also the name of a compassionate Spartan comrade . When they return to Midgard , Mímir warns them that the three - year long Fimbulwinter has started , meaning Ragnarök is soon to follow , which was not supposed to occur for another hundred years .   In the game 's secret ending , Kratos and Atreus return home and slumber . Atreus has a vision that at the end of Fimbulwinter , Thor will arrive at their home to confront them .   Development ( edit )   At the first annual PlayStation Experience on December 6 , 2014 , Santa Monica Studios 's creative director Cory Barlog confirmed that a new God of War was in very early development . He said that the game would not be a prequel , but it might be a reboot . In April 2016 , Polygon reported that concept art of the next installment had been leaked . The images showed Kratos in the world of Norse mythology ; a concept originally considered by series creator David Jaffe after Kratos eliminated the Greek gods . At the 2016 Electronic Entertainment Expo ( E3 ) , the next installment was officially announced with a gameplay demo and confirmed the concept art to be true . The demo showed a fully bearded Kratos with a son , and Kratos was teaching the boy how to hunt . The pair also battled a troll . The end of the demo showed the title God of War and confirmed it was in development for the PlayStation 4 . E3 also confirmed that Barlog had returned to the series as game director for the new installment . Barlog has been a major contributor in the development of the God of War series since the original installment in 2005 , with his prior most notable role being game director of God of War II ( 2007 ) . This new installment was his fifth God of War game .   In naming the game , Barlog stated that it was deliberately titled God of War with no numeral or subtitle because although it is a continuation of the series , `` we are reimagining everything . '' Head of Santa Monica Studio Shannon Studstill and Barlog said that Sony Interactive Entertainment had to be convinced to do another God of War game as a lot of people at Sony wanted the series to `` sleep and rest '' due to the lackluster response of the previous game , Ascension . In explaining why Barlog was brought back , Studstill said that he knew the series very well , `` and bringing in someone that understands that history is the respect the franchise deserves . '' Barlog followed up and said that `` You got ta know the rules to break the rules . '' Series creator David Jaffe was also considered , but was unavailable .   In explaining the transition from Greek mythology to Norse mythology , Barlog said : `` it 's kind of this BC -- AD change over kind of thing . We 're moving and starting from zero and kind of moving forward on that . '' Before settling on Norse mythology , Egyptian mythology was also considered . Barlog said that half of the team was for it , but since `` there 's a lot more about civilization - it 's less isolated , less barren '' , he had to make the decision and decided on the Norse setting because they wanted the focus to stay on Kratos : `` Having too much around distracts from that central theme of a stranger in a strange land . '' In explaining why Kratos was now in the Norse world , Barlog said that different cultures ' belief systems coexisted , but they were `` separated by geography '' , suggesting that Kratos traveled from Greece to Norway ( Scandinavia ) after the conclusion of God of War III ; in clarifying the conclusion of that game , Barlog said that Kratos did not destroy what was believed to be the entire world , but only the portion that was ruled over by the Greeks . Barlog said that the new game predates the Vikings ; it is the time in which their gods walked the Earth . It was also confirmed that this would not be Kratos ' last game . Barlog said that future games could see the series tackling Egyptian or Mayan mythology , and that although this game focuses on Norse mythology , it alludes to the fact that there are other mythologies co-existing in the world . Barlog also said that he liked the idea of having different directors for each game , seen throughout the first seven games , and although he may not direct another God of War , he would still be at Santa Monica to work on future games .   Most of the development team that worked on the original God of War worked on the new installment . They claimed that they matched the new gameplay with the same level of accessibility as the previous installments . It was confirmed that the game would not feature any morality system or branching story ; all players have the same story experience . The developers also confirmed that some of the more controversial mini-games found in previous entries ( such as the sex mini-game ) would not return . Some gameplay characteristics found in the previous installments were cut , such as jumping , swimming , and instant - death platforming challenges ; these were cut due to the camera being closer to Kratos . Although the previous installment , Ascension , introduced multiplayer to the series , the team decided to drop the mode to focus on the single - player experience . In changing the gameplay , Studstill said `` I felt like , in order to reinvent , we really needed to turn a lot of things around . '' In regards to the camera change , Barlog said `` We wanted a much more intimate experience , a much more up close , and a much more player - controlled experience , so the camera really is a mechanic that ( we leaned ) into heavily for everything in the game . '' Explaining Kratos ' axe , lead gameplay designer Jason McDonald , who has worked on the series since the original game , said the axe was chosen because they wanted a more grounded direction for the game . Initially , they were unsure how to make it unique , like how the double - chained blades were . After they came up with the concept of throwing the axe and having it return to Kratos , `` things started to fall into place . '' McDonald said that combat with the axe is a little slower than what it was with the blades , `` but it 's just as fluid and just as brutal as it 's ever been . '' Barlog took inspiration from Dark Souls ( 2011 ) , which influenced the game 's combat system , particularly its gameplay loop and strategic decision - making , as well as the game 's approach to storytelling . In addition , designers Anthony Dimento and Luis Sanchez revealed how God of War 's level design and exploration was influenced by Bloodborne ( 2015 ) , as they wanted to `` just have the world breathe a little bit '' and expand upon player discovery by including `` micro-loops where you 're unlocking paths , unlocking shortcuts ... '' that gave purpose .   The entire game was done in a single shot , as in no camera cuts , meaning there are no loading screens or fade - to - black between gameplay and cutscenes . The frame rate was confirmed as 30 frames per second , and the enemy count was increased to up to 100 enemies on - screen ; God of War III and Ascension could do up to 50 . Unlike the previous games , Santa Monica did not make a demo specifically for public release . Barlog explained that doing so would have delayed the game by a couple of months . He also confirmed that the game was built for the standard PlayStation 4 , but the game would `` benefit from the power '' of the PlayStation 4 Pro ; an updated version of the PlayStation 4 that can render games in 4K and was released a few months after God of War was announced . In late December 2016 , Barlog confirmed that the game was playable from start to finish . At the 2017 PlayStation Experience , Barlog said that the game 's story would take 25 - 35 hours to complete , which is significantly more than the previous four main installments , which each took an average of 10 hours to complete .   At E3 2017 , a new trailer was shown featuring new gameplay , cinematics , and characters . In the trailer , Kratos was shown using a shield that he could use offensively and defensively . At one point in the trailer , Kratos finds a Greek vase with himself on it , wielding his infamous double - chained blades . During the trailer , an unnamed woman warns Kratos about the Norse gods , as they know what he did to the Greek gods , while a pair of wolves were also shown . The trailer ends with Kratos and Atreus encountering the World Serpent . Atreus was able to translate what it said , which was that it wanted to help the pair . It was confirmed that the game would release in early 2018 . Since E3 2017 until the game 's launch , Santa Monica included a section on the God of War website titled `` The Lost Pages '' , detailing some of the lore of God of War 's Nordic world . In January 2018 , the game 's release date was confirmed for April 20 , 2018 . A trailer was also released that showed that the character Mímir from the mythology would have a role in the game . On March 22 , God of War went gold .   Characterization ( edit )  Christopher Judge does the voice and cinematic motion capture for Kratos in the game , replacing longstanding voice actor Terrence C. Carson , who had voiced Kratos since the original 2005 game , and also did the motion capture for him in 2013 's Ascension  During early development , there was talk about having a different protagonist for the game , but it was decided to keep Kratos . Referencing the Nintendo character Mario and the Mario games , Barlog said that just like Mario , `` Kratos is intrinsically tied '' to the God of War series . In regards to the new changes , Barlog said that :   I knew I did n't want to simply reboot the franchise , starting over with a retelling of the origin story . I wanted to reimagine the gameplay , give players a fresh perspective and a new tactile experience while delving deeper into the emotional journey of Kratos to explore the compelling drama that unfolds when an immortal demigod makes a decision to change .   Barlog explained that Kratos had to change his cycle of violence and learn how to control his rage . He said that Kratos had made many bad decisions , which led to the destruction of Olympus , and wanted to know what would happen if Kratos made a good decision . The birth of Barlog 's own son influenced the idea of Kratos ' character change . The canceled live - action Star Wars television series was also an influence . The bond between Kratos and his son is at the heart of the game and Barlog said `` This game is about Kratos teaching his son how to be a god , and his son teaching Kratos how to be human again . '' Referencing the Marvel Comics character Hulk , Barlog said that in regards to Kratos , `` We 've already told the story of The Hulk . We want to tell the story of ( Bruce ) Banner now . '' One of their goals was to make Kratos `` a more nuanced and interesting character . '' In changing the narrative focus , Studstill said `` I think we inherently knew the franchise needed to evolve in that emotional beat and be something meatier for the older generation of gamers . ''   Christopher Judge , best known as Teal'c from Stargate SG - 1 , replaced T.C. Carson as the voice of Kratos ; Carson had voiced Kratos since the original God of War . Commenting in response to the change , Carson said , `` Sony went in a new direction . '' Barlog explained that the way the previous games were made , they were able to have someone else do the motion capture instead of the voice actor . Although Carson had done the motion capture for Kratos in Ascension , Barlog said the actor change was made because of the type of camera work they wanted to do . For the new camera work , they needed someone who was closer to Kratos ' size to do the motion capture along with a child . Carson was unsuitable for this because he was much shorter than Kratos , who is over 6 - feet tall : `` Offsetting ( Carson 's height ) for the size of a child , it turned out it was going to be almost impossible to try and actually shoot them and go in and redo the animations . '' Judge was chosen because he was 6 - foot - 3 and had the body of a professional football player . He was also chosen because of the chemistry with his then - 10 - year - old co-star , Sunny Suljic , who plays Kratos ' son Atreus ; Suljic 's opinion was also sought in making the decision , and out of all the auditions , he liked Judge the most . The two bonded well , and Judge described his time with Suljic as time he had missed with his own children . In stepping into the role of Kratos , Judge took it as an opportunity to add something new to the character . He researched the character and Carson 's performance , but decided not to imitate it . Since Santa Monica were going in a new direction , he decided to start fresh and go from there . Judge was thrown off when he first read the script , stating it `` was a real script '' , and not just `` a way to get into battles . '' He said `` it was really this great story of this relationship and this crazy mythology . '' While Judge did all of Kratos ' motion capture for the cinematic scenes , stuntman Eric Jacobus did all of Kratos ' combat motion capture ; Jacobus was found by God of War 's animators on YouTube . Instead of going directly to Santa Monica to audition , Jacobus recorded an audition tape and they immediately hired him .   During E3 2016 , GameSpot mistakenly reported that Kratos ' son 's name was Charlie , which Barlog laughingly denied . In January 2017 , after a fan downloaded the God of War overture and saw the track 's details that said `` An introduction to Kratos and Atreus '' , Barlog confirmed on Twitter that Atreus was in fact the son 's name . Barlog said that Atreus was unaware that Kratos was a demigod , and did not know about his past . They did not reveal details of Atreus ' mother prior to release due to her being a critical part of the story . Barlog stated that during gameplay , Atreus would be `` like magic , an additional combat resource , and ( the player is ) training him and teaching him . '' The developers stated that Atreus would not be a burden during gameplay . The team experimented with several different approaches for Atreus to ensure that he was an empowering presence . Barlog said he did not want the game to be an escort - mission where the A.I. caused a problem for the player . Their goal was for Atreus to enhance Kratos ' capabilities without Atreus becoming a liability . This resulted in the developers designating a command button for Atreus as well as for him to act freely . During combat , Atreus was also designed to call out enemy locations , as due to the camera being closer to Kratos , some enemies may be difficult for the player to see . Jason McDonald said it took a lot of iterations with the enemies and Atreus to make it all work together .   Early in development , it was suggested for Atreus to be cut or to significantly minimize his role due to the many developmental challenges and financial expense . Barlog stated that the game could have worked without Atreus , but it would have been completely different , likening it to that of the 2013 film All Is Lost . Barlog said that with just Kratos , it would have been `` one character who talks to himself occasionally , but generally , it will be very silent and everyone will talk in old Norse , so that you wo n't understand anything anybody 's saying . '' After hearing Barlog 's case , Sony gave him the freedom to incorporate Atreus . Lead level designer Rob Davis also noted that with Atreus , it allowed for `` significant gameplay and storytelling opportunities that might not otherwise ( been ) possible . ''   Soundtrack ( edit )   Bear McCreary , best known for his work on tel</t>
  </si>
  <si>
    <t xml:space="preserve">when does god of war come out for pc</t>
  </si>
  <si>
    <t xml:space="preserve"> God of War is a third - person action - adventure game developed by Santa Monica Studio and published by Sony Interactive Entertainment ( SIE ) . Released on April 20 , 2018 , for the PlayStation 4 ( PS4 ) console , it is the eighth installment in the God of War series , the eighth chronologically , and the sequel to 2010 's God of War III . Unlike previous games , which were loosely based on Greek mythology , this game is loosely based on Norse mythology . The main protagonists are Kratos , the former Greek God of War , and his young son Atreus . Following the death of Kratos ' second wife and Atreus ' mother , they journey to fulfill her promise and spread her ashes at the highest peak of the nine realms . Kratos keeps his troubled past a secret from Atreus , who is unaware of his divine nature . Along their journey , they encounter monsters and gods of the Norse world . </t>
  </si>
  <si>
    <t xml:space="preserve">Article Five of the United states Constitution - wikipedia  Article Five of the United states Constitution       Wikisource has original text related to this article : Article V of the United States Constitution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Article Five of the United States Constitution describes the process whereby the Constitution , the nation 's frame of government , may be altered . Altering the Constitution consists of proposing an amendment or amendments and subsequent ratification . Amendments may be proposed either by the Congress with a two - thirds vote in both the House of Representatives and the Senate or by a convention of states called for by two - thirds of the state legislatures . To become part of the Constitution , an amendment must be ratified by either -- as determined by Congress -- the legislatures of three - quarters of the states or state ratifying conventions in three - quarters of the states . The vote of each state ( to either ratify or reject a proposed amendment ) carries equal weight , regardless of a state 's population or length of time in the Union .   Additionally , Article V temporarily shielded certain clauses in Article I from being amended . The first clause in Section 9 , which prevented Congress from passing any law that would restrict the importation of slaves prior to 1808 , and the fourth clause in that same section , a declaration that direct taxes must be apportioned according to state populations , were explicitly shielded from Constitutional amendment prior to 1808 . It also shields the first clause of Article I , Section 3 , which provides for equal representation of the states in the Senate , from being amended , though not absolutely .     Contents  ( hide )   1 Text   2 Procedures for amending the Constitution   2.1 Proposing amendments   2.2 Ratification of amendments     3 Ratification deadline and extension   3.1 Deadlines   3.2 Extensions     4 Exclusive means for amending the Constitution   5 See also   6 Notes   7 References   8 External links      Text ( edit )   The Congress , whenever two thirds of both houses shall deem it necessary , shall propose amendments to this Constitution , or , on the application of the legislatures of two thirds of the several states , shall call a convention for proposing amendments , which , in either case , shall be valid to all intents and purposes , as part of this Constitution , when ratified by the legislatures of three fourths of the several states , or by conventions in three fourths thereof , as the one or the other mode of ratification may be proposed by the Congress ; provided that no amendment which may be made prior to the year one thousand eight hundred and eight shall in any manner affect the first and fourth clauses in the ninth section of the first article ; and that no state , without its consent , shall be deprived of its equal suffrage in the Senate .   Procedures for amending the Constitution ( edit )  The U.S. constitutional amendment process  Thirty - three amendments to the United States Constitution have been approved by the Congress and sent to the states for ratification . Twenty - seven of these amendments have been ratified and are now part of the Constitution . The first ten amendments were adopted and ratified simultaneously and are known collectively as the Bill of Rights . Six amendments adopted by Congress and sent to the states have not been ratified by the required number of states and are not part of the Constitution . Four of these amendments are still technically open and pending , one is closed and has failed by its own terms , and one is closed and has failed by the terms of the resolution proposing it . All totaled , approximately 11,539 measures to amend the Constitution have been proposed in Congress since 1789 ( through December 16 , 2014 ) .   Proposing amendments ( edit )   Article V provides two methods for amending the nation 's frame of government . The first method authorizes Congress , `` whenever two - thirds of both houses shall deem it necessary '' ( a two - thirds of those members present -- assuming that a quorum exists at the time that the vote is cast -- and not necessarily a two - thirds vote of the entire membership elected and serving in the two houses of Congress ) , to propose Constitutional amendments . The second method requires Congress , `` on the application of the legislatures of two - thirds of the several states '' ( presently 34 ) , to `` call a convention for proposing amendments '' .   This duality in Article V is the result of compromises made during the 1787 Constitutional Convention between two groups , one maintaining that the national legislature should have no role in the constitutional amendment process , and another contending that proposals to amend the constitution should originate in the national legislature and their ratification should be decided by state legislatures or state conventions . Regarding the consensus amendment process crafted during the convention , James Madison ( writing in The Federalist No. 43 ) declared :   It guards equally against that extreme facility which would render the Constitution too mutable ; and that extreme difficulty which might perpetuate its discovered faults . It moreover equally enables the General and the State Governments to originate the amendment of errors , as they may be pointed out by the experience on one side , or on the other .   Each time the Article V process has been initiated since 1789 , the first method for crafting and proposing amendments has been used . All 33 amendments submitted to the states for ratification originated in the Congress . The second method , the convention option , a political tool which Alexander Hamilton ( writing in The Federalist No. 85 ) argued would enable state legislatures to `` erect barriers against the encroachments of the national authority '' , has yet to be invoked .  Resolution proposing the Nineteenth Amendment  When the 1st Congress considered a series of constitutional amendments , it was suggested that the two houses first adopt a resolution indicating that they deemed amendments necessary . This procedure was not used . Instead , both the House and the Senate proceeded directly to consideration of a joint resolution , thereby implying that both bodies deemed amendments to be necessary . Also , when initially proposed by James Madison , the amendments were designed to be interwoven into the relevant sections of the original document . Instead , they were approved by Congress and sent to the states for ratification as supplemental additions ( codicils ) appended to it . Both these precedents have been followed ever since .   Once approved by Congress , the joint resolution proposing a constitutional amendment does not require Presidential approval before it goes out to the states . While Article I Section 7 provides that all federal legislation must , before becoming Law , be presented to the President for his or her signature or veto , Article V provides no such requirement for constitutional amendments approved by Congress , or by a federal convention . Thus the president has no official function in the process . In Hollingsworth v. Virginia ( 1798 ) , the Supreme Court affirmed that it is not necessary to place constitutional amendments before the President for approval or veto .   Three times in the 20th century , concerted efforts were undertaken by proponents of particular amendments to secure the number of applications necessary to summon an Article V Convention . These included conventions to consider amendments to ( 1 ) provide for popular election of U.S. Senators ; ( 2 ) permit the states to include factors other than equality of population in drawing state legislative district boundaries ; and ( 3 ) to propose an amendment requiring the U.S. budget to be balanced under most circumstances . The campaign for a popularly elected Senate is frequently credited with `` prodding '' the Senate to join the House of Representatives in proposing what became the Seventeenth Amendment to the states in 1912 , while the latter two campaigns came very close to meeting the two - thirds threshold in the 1960s and 1980s , respectively .  Further information : Convention to propose amendments to the United States Constitution and Second Constitutional Convention of the United States  Ratification of amendments ( edit )  Tennessee certificate of ratification of the nineteenth Amendment ; with this ratification , the amendment became valid as a part of the Constitution  After being officially proposed , either by Congress or a national convention of the states , a constitutional amendment must then be ratified by three - fourths of the states . Congress is authorized to choose whether a proposed amendment is sent to the state legislatures or to state ratifying conventions for ratification . Amendments ratified by the states under either procedure are indistinguishable and have equal validity as part of the Constitution . Of the 33 amendments submitted to the states for ratification , the state convention method has been used for only one , the Twenty - first Amendment . In United States v. Sprague ( 1931 ) , the Supreme Court affirmed the authority of Congress to decide which mode of ratification will be used for each individual constitutional amendment . The Court had earlier , in Hawke v. Smith ( 1920 ) , upheld the Ohio General Assembly 's ratification of the Eighteenth Amendment -- which Congress had sent to the state legislatures for ratification -- after Ohio voters successfully vetoed that approval through a popular referendum , ruling that a provision in the Ohio Constitution reserving to the state 's voters the right to challenge and overturn its legislature 's ratification of federal constitutional amendments was unconstitutional .   An amendment becomes an operative part of the Constitution when it is ratified by the necessary number of states , rather than on the later date when its ratification is certified . No further action by Congress or anyone is required . On three occasions , Congress has , after being informed that an amendment has reached the ratification threshold , adopted a resolution declaring the process successfully completed . Such actions , while perhaps important for political reasons , are , constitutionally speaking , unnecessary .   Presently , the Archivist of the United States is charged with responsibility for administering the ratification process under the provisions of 1 U.S. Code § 106b . The Archivist officially notifies the states , by a registered letter to each state 's Governor , that an amendment has been proposed . Each Governor then formally submits the amendment to their state 's legislature ( or ratifying convention ) . When a state ratifies a proposed amendment , it sends the Archivist an original or certified copy of the state 's action . Upon receiving the necessary number of state ratifications , it is the duty of the Archivist to issue a certificate proclaiming a particular amendment duly ratified and part of the Constitution . The amendment and its certificate of ratification are then published in the Federal Register and United States Statutes at Large . This serves as official notice to Congress and to the nation that the ratification process has been successfully completed .   Ratification deadline and extension ( edit )   The Constitution is silent on the issue of whether or not Congress may limit the length of time that the states have to ratify constitutional amendments sent for their consideration . It is also silent on the issue of whether or not Congress , once it has sent an amendment that includes a ratification deadline to the states for their consideration , can extend that deadline .   Deadlines ( edit )   The practice of limiting the time available to the states to ratify proposed amendments began in 1917 with the Eighteenth Amendment . All amendments proposed since then , with the exception of the Nineteenth Amendment and the ( still pending ) Child Labor Amendment , have included a deadline , either in the body of the proposed amendment , or in the joint resolution transmitting it to the states . The ratification deadline `` clock '' begins running on the day final action is completed in Congress . An amendment may be ratified at any time after final congressional action , even if the states have not yet been officially notified .   In Dillon v. Gloss ( 1921 ) , the Supreme Court upheld Congress 's power to prescribe time limitations for state ratifications and intimated that clearly out of date proposals were no longer open for ratification . Granting that it found nothing express in Article V relating to time constraints , the Court yet allowed that it found intimated in the amending process a `` strongly suggest ( ive ) '' argument that proposed amendments are not open to ratification for all time or by States acting at widely separate times . The court subsequently , in Coleman v. Miller ( 1939 ) , modified its opinion considerably . In that case , related to the proposed Child Labor Amendment , it held that the question of timeliness of ratification is a political and non-justiciable one , leaving the issue to Congress 's discretion . It would appear that the length of time elapsing between proposal and ratification is irrelevant to the validity of the amendment . Based upon this precedent , the Archivist of the United States proclaimed the Twenty - seventh Amendment as having been ratified when it surpassed the `` three fourths of the several states '' plateau for becoming a part of the Constitution . Declared ratified on May 7 , 1992 , it had been submitted to the states for ratification -- without a ratification deadline -- on September 25 , 1789 , an unprecedented time period of 202 years , 7 months and 12 days .   Extensions ( edit )   Whether once it has prescribed a ratification period Congress may extend the period without necessitating action by already - ratified States embroiled Congress , the states , and the courts in argument with respect to the proposed Equal Rights Amendment ( Sent to the states on March 22 , 1972 with a seven - year ratification time limit attached ) . In 1978 Congress , by simple majority vote in both houses , extended the original deadline by 3 years , 3 months and 8 days ( through June 30 , 1982 ) .   The amendment 's proponents argued that the fixing of a time limit and the extending of it were powers committed exclusively to Congress under the political question doctrine and that in any event Congress had power to extend . It was argued that inasmuch as the fixing of a reasonable time was within Congress ' power and that Congress could fix the time either in advance or at some later point , based upon its evaluation of the social and other bases of the necessities of the amendment , Congress did not do violence to the Constitution when , once having fixed the time , it subsequently extended the time . Proponents recognized that if the time limit was fixed in the text of the amendment Congress could not alter it because the time limit as well as the substantive provisions of the proposal had been subject to ratification by a number of States , making it unalterable by Congress except through the amending process again . Opponents argued that Congress , having by a two - thirds vote sent the amendment and its authorizing resolution to the states , had put the matter beyond changing by passage of a simple resolution , that states had either acted upon the entire package or at least that they had or could have acted affirmatively upon the promise of Congress that if the amendment had not been ratified within the prescribed period it would expire and their assent would not be compelled for longer than they had intended .   In 1981 , the United States District Court for the District of Idaho , however , found that Congress did not have the authority to extend the deadline , even when only contained within the proposing joint resolution 's resolving clause . The Supreme Court had decided to take up the case , bypassing the Court of Appeals , but before they could hear the case , the extended period granted by Congress had been exhausted without the necessary number of states , thus rendering the case moot .   Exclusive means for amending the Constitution ( edit )   According to constitutional theorist and scholar Lawrence G. Sager , some commentators have seriously questioned whether Article V is the exclusive means of amending the Constitution , or whether there are routes to amendment , including some routes in which the Constitution could be unconsciously or unwittingly amended in a period of sustained political activity on the part of a mobilized national constituency . For example , Akhil Amar argues that the Constitution may be constitutionally amended outside of Article V. He rejects the notion that Article V excludes other modes of constitutional change , arguing instead that the procedure provided for in Article V is simply the exclusive method the government may use to amend the Constitution . He asserts that Article V nowhere prevents the People themselves , acting apart from ordinary Government , from exercising their legal right to alter or abolish Government via the proper legal procedures . Bruce Ackerman argues that the Constitution can be amended by something he calls a `` structural amendment '' whereby the people alter their Constitutional order via succeeding elections . Similarly , Sanford Levinson believes that Constitutional amendments have been made outside of Article V and as such it is not exclusive .   Other scholars disagree with Amar , Ackerman , and Levinson . Some argue that the Constitution itself provides no mechanism for the American people to adopt constitutional amendments independently of Article V. Darren Patrick Guerra has argued that Article V is a vital part of the American Constitutional tradition and he defends Article V against modern critiques that Article V is either too difficult , too undemocratic , or too formal . Instead he argues that Article V provides a clear and stable way of amending the document that is explicit , authentic , and the exclusive means of amendment ; it promotes wisdom and justice through enhancing deliberation and prudence ; and its process complements federalism and separation of powers that are key features of the Constitution . He argues that Article V remains the most clear and powerful way to register the sovereign desires of the American public with regard to alterations of their fundamental law . In the end , Article V is an essential bulwark to maintaining a written Constitution that secures the rights of the people against both elites and themselves .   In his farewell address , President George Washington said :   If in the opinion of the People the distribution or modification of the Constitutional powers be in any particular wrong , let it be corrected by an amendment in the way which the Constitution designates . But let there be no change by usurpation ; for though this , in one instance , may be the instrument of good , it is the customary weapon by which free governments are destroyed . The precedent must always greatly overbalance in permanent evil any partial or transient benefit which the use can at any time yield .   This statement by Washington has become controversial , and scholars disagree about whether it still describes the proper constitutional order in the United States . Scholars who dismiss Washington 's position often argue that the Constitution itself was adopted without following the procedures in the Articles of Confederation , while Constitutional attorney Michael Farris disagrees , saying the Convention was a product of the States ' residual power , and the amendment in adoption process was legal , having received the unanimous assent of the States ' legislatures .   See also ( edit )    List of amendments to the United States Constitution   List of proposed amendments to the United States Constitution   List of state applications for an Article V Convention   List of Rescissions of Article V Convention Applications    Notes ( edit )    Jump up ^ On March 2 , 1861 the 36th Congress gave final approval to proposed constitutional amendment designed to shield `` domestic institutions '' ( which at the time included slavery ) from the constitutional amendment process and from abolition or interference by Congress . The following day , on his last full day in office , President Buchanan , took the unprecedented step of signing it . Submitted to the state legislatures for ratification without a time limit for ratification attached , the proposal , commonly known as the Corwin Amendment , is still technically pending before the states .   Jump up ^ On January 31 , 1865 , the 38th Congress gave final approval to what would become the Thirteenth Amendment , which abolished slavery and involuntary servitude , except as punishment for a crime . The following day , the amendment was presented to the President Lincoln pursuant to the constitution 's Presentment Clause , and signed . On February 7 , Congress passed a resolution affirming that the Presidential signature was unnecessary .   Jump up ^ 1868 regarding the Fourteenth Amendment , 1870 regarding the Fifteenth Amendment , and 1992 regarding the Twenty - seventh Amendment   Jump up ^ In recent history , the signing of the certificate of ratification has become a ceremonial function attended by various dignitaries . President Johnson signed the certifications for the Twenty - fourth Amendment and Twenty - fifth Amendment as a witness . When the Administrator of General Services , Robert Kunzig , certified the adoption of the Twenty - sixth Amendment on July 5 , 1971 , President Nixon along with Julianne Jones , Joseph W. Loyd Jr. , and Paul Larimer of the `` Young Americans in Concert '' signed as witnesses . On May 18 , 1992 , the Archivist of the United States , Don W. Wilson , certified that the Twenty - seventh Amendment had been ratified , and the Director of the Federal Register , Martha Girard , signed the certification as a witness .   Jump up ^ Congress incorporated the ratification deadline for the Eighteenth , Twentieth , Twenty - first , and Twenty - second amendments into the body of the amendment , so these amendments ' deadlines are now part of the Constitution . The failed District of Columbia Voting Rights Amendment also contained a ratification deadline clause . Congress inserted the ratification deadline for the Twenty - third , Twenty - fourth , Twenty - fifth and Twenty - sixth amendments into the joint resolutions transmitting them to the state legislatures in order to avoid including extraneous language in the Constitution . This practice was also followed for the failed Equal Rights Amendment .    References ( edit )    ^ Jump up to : `` The Constitutional Amendment Process '' . The U.S. National Archives and Records Administration . Retrieved November 17 , 2015 .   Jump up ^ Wines , Michael ( August 22 , 2016 ) . `` Inside the Conservative Push for States to Amend the Constitution '' . NYT . Retrieved August 24 , 2016 .   Jump up ^ `` The Constitution of the United States : Article V '' . The U.S. National Archives and Records Administration . Retrieved July 27 , 2014 .   Jump up ^ `` Measures Proposed to Amend the Constitution '' . Statistics &amp; Lists . United States Senate .   ^ Jump up to : Neale , Thomas H. ( April 11 , 2014 ) . `` The Article V Convention to Propose Constitutional Amendments : Contemporary Issues for Congress '' ( PDF ) . Congressional Research Service . pp. 1 -- 2 . Retrieved November 17 , 2015 .   Jump up ^ Rogers , James Kenneth ( Summer 2007 ) . `` Harvard Journal of Law &amp; Public Policy '' ( PDF ) . 30 ( 3 ) : 1005 -- 1022 . Retrieved May 30 , 2018 .   ^ Jump up to : England , Trent &amp; Spalding , Matthew . `` Essays on Article V : Amendments '' . The Heritage Foundation . Retrieved July 31 , 2014 .   Jump up ^ Dranias , Nick ( December 6 , 2013 ) . `` Fulfilling the promise of Article V with an Interstate Compact '' . Constitution Daily . Philadelphia , Pennsylvania : National Constitution Center . Retrieved May 30 , 2018 .   ^ Jump up to : `` The Constitution of the United States of America : Analysis and Interpretation , Centennial Edition , Interim Edition : Analysis of Cases Decided by the Supreme Court of the United States to June 26 , 2013 '' ( PDF ) . Washington , DC : U.S. Government Printing Office . 2013 . pp. 987 -- 1001 . Retrieved April 13 , 2014 .   Jump up ^ Tsesis , Alexander ( 2004 ) . The Thirteenth Amendment and American Freedom : A Legal History . New York : New York University Press . p. 2 . ISBN 0 - 8147 - 8276 - 0 .   Jump up ^ Thorpe , Francis Newton ( 1901 ) . `` The Constitutional History of the United States , vol. 3 : 1861 -- 1895 '' . Chicago : Callaghan &amp; Company . p. 154 .   Jump up ^ Rossum , Ralph A. ( 2001 ) . Federalism , the Supreme Court , and the Seventeenth Amendment : The Irony of Constitutional Democracy . Lanham , Maryland : Lexington Books . p. 207 . ISBN 0 - 7391 - 0285 - 0 . Retrieved October 23 , 2015 .   ^ Jump up to : Dellinger , Walter ( December 1983 ) . `` The Legitimacy of Constitutional Change : Rethinking the Amendment Process '' . Harvard Law Review . 97 : 386 . Retrieved May 30 , 2018 .   Jump up ^ `` Hawke v. Smith '' . Columbus Ohio : Ohio History Connection ( formerly the Ohio Historical Society ) . Retrieved May 30 , 2018 .   Jump up ^ Cornell University Law School . `` Dillon v. Gloss '' . law.cornell.edu .   Jump up ^ Neale , Thomas H. ( May 9 , 2013 ) . `` The Proposed Equal Rights Amendment : Contemporary Ratification Issues '' ( PDF ) . Washington , D.C. : Congressional Research Service . Retrieved May 30 , 2018 .   ^ Jump up to : Huckabee , David C. ( September 30 , 1997 ) . `` Ratification of Amendments to the U.S. Constitution '' ( PDF ) . Congressional Research Service reports . Washington D.C. : Congressional Research Service , The Library of Congress .   Jump up ^ Nixon , Richard ( July 5 , 1971 ) . `` Remarks at a Ceremony Marking the Certification of the 26th Amendment to the Constitution '' . Online by Gerhard Peters and John T. Woolley , The American Presidency Project . Retrieved May 30 , 2018 .   Jump up ^ Vile , John R. Encyclopedia of Constitutional Amendments , Proposed Amendments , and Amending Issues , 1789 -- 2002 ( Second ed . ) . Santa Barbara , California : ABC - CLIO , Inc. p. 373 . ISBN 1851094334 . Retrieved November 22 , 2015 .   ^ Jump up to : `` Authentication and Proclamation : Proposing a Constitutional Amendment '' . Justia.com .   Jump up ^ Idaho v. Freeman , 529 F. Supp. 1107 ( D. Idaho 1981 ) .   Jump up ^ Certiorari before judgment granted , NOW v. Idaho , 455 U.S. 918 ( 1982 ) .   Jump up ^ Judgments of the District Court of Idaho vacated ; cases remanded with instructions to dismiss as moot . NOW v. Idaho , 459 U.S. 809 ( 1982 ) .   Jump up ^ Sager , Lawrence ( 2006 ) . Justice in Plainclothes : A Theory of American Constitutional Practice . Yale University Press . p. 82 .   Jump up ^ Bowman , Scott J. ( 2004 ) . `` Wild Political Dreaming : Constitutional Reformation of the United States Senate '' . Fordham Law Review . 72 ( 4 ) : 1026 -- 27 . Retrieved August 28 , 2016 .   Jump up ^ Ackerman , Bruce A. ( 1993 ) . We the People , Volume 1 : Foundations . Cambridge , Massachusetts : Harvard University Press . ISBN 9780674948419 -- via Google Books .   Jump up ^ Levinson , Sanford ( 1995 ) . Responding to Imperfection : The Theory and Practice of Constitutional Amendment . Princeton , New Jersey : Princeton University Press . ISBN 1400821630 -- via Google Books .   Jump up ^ Manheim , Karl and Howard , Edward . A Structural Theory of the Initiative Power in California , Loyola Los Angeles Law Review , p. 1167 ( 1998 ) .   Jump up ^ Guerra , Darren Patrick ( 2013 ) . Perfecting the Constitution : The Case for the Article V Amendment Process . Lanham , Maryland : Lexington Books . ISBN 9780739183861 -- via Google Books .   Jump up ^ Washington , George . `` Farewell Address '' ( 1796 ) .   Jump up ^ Strauss , David . `` The Irrelevance of Constitutional Amendments , '' 114 Harvard Law Review 1457 ( 2001 ) .   Jump up ^ Fritz , Christian . `` Fallacies of American Constitutionalism '' , Rutgers Law Journal , p. 1343 ( 2004 ) .   Jump up ^ Farris , Michael . `` Can we Trust the Constitution ? Answering the `` Runaway Convention '' Myth `` . Convention of States Project . Retrieved June 3 , 2016 .    External links ( edit )    U.S. Government Printing Office ( 2013 ) The Constitution of the United States of America : Analysis and Interpretation   CRS Annotated Constitution : Article 5      hide         United States Constitution     Articles     Preamble     II   III   IV   V   VI   VII       Amendments      Ratified      Bill of Rights             5   6   7   8   9   10       Others     11   12   Reconstruction Amendments   13   14   15     16   17   18   19   20   21   22   23   24   25   26   27          Pending     Congressional Apportionment   Titles of Nobility   Corwin Amendment   Child Labor       Unsuccessful     Equal Rights   District of Columbia Voting Rights         Amendment proposals in Congress   Convention to propose amendments   State ratifying conventions          Formation     History   Articles of Confederation   Mount Vernon Conference   Annapolis Convention   Philadelphia Convention   Virginia Plan   New Jersey Plan   Connecticut Compromise   Three - Fifths Compromise   Committee of Detail   Signing   Independence Hall   Syng inkstand     The Federalist Papers   Anti-Federalist Papers   Massachusetts Compromise   Virginia Ratifying Convention   Hillsborough Convention   Rhode Island ratification   Drafting and ratification timeline       Clauses     Appointments   Appropriations   Assistance of Counsel   Case or Controversy   Citizenship   Commerce   Compact   Compulsory Process   Confrontation   Congressional enforcement   Contract   Copyright and Patent   Double Jeopardy   Due Process   Equal Protection   Establishment   Exceptions   Excessive Bail   Ex post facto   Extradition   Free Exercise   Free Speech   Fugitive Slave   Full Faith and Credit   General Welfare   Guarantee   Impeachment   Import - Export   Ineligibility   Militia   Natural - born citizen   Necessary and Proper   New States   No Religious Test   Oath or Affirmation   Origination   Pardon   Petition   Postal   Presentment   Privileges and Immunities   Privileges or Immunities   Recess appointment   Recommendation   Self - Incrimination   Speech or Debate   Speedy Trial   State of the Union   Supremacy   Suspension   Take Care   Takings   Taxing and Spending   Territorial   Title of Nobility   Treaty   Trial by Jury   Vesting   Vicinage   War Powers   List of clauses       Interpretation     Concurrent powers   Constitutional law   Criminal procedure   Criminal sentencing   Dormant Commerce Clause   Enumerated powers   Equal footing   Executive privilege   Incorporation of the Bill of Rights   Judicial review   Nondelegation doctrine   Preemption   Saxbe fix   Separation of church and state   Separation of powers   Taxation power   Unitary executive theory       Display and legacy     National Archives   Charters of Freedom Rotunda     Independence Mall   Constitution Day   Constitution Gardens   National Constitution Center   Scene at the Signing of the Constitution ( painting )   A More Perfect Union ( film )   Worldwide influence       US Government Portal Law Portal Wikipedia book    Retrieved from `` https://en.wikipedia.org/w/index.php?title=Article_Five_of_the_United_States_Constitution&amp;oldid=844</t>
  </si>
  <si>
    <t xml:space="preserve">how do you pass an amendment to the constitution</t>
  </si>
  <si>
    <t xml:space="preserve"> Article Five of the United States Constitution describes the process whereby the Constitution , the nation 's frame of government , may be altered . Altering the Constitution consists of proposing an amendment or amendments and subsequent ratification . Amendments may be proposed either by the Congress with a two - thirds vote in both the House of Representatives and the Senate or by a convention of states called for by two - thirds of the state legislatures . To become part of the Constitution , an amendment must be ratified by either -- as determined by Congress -- the legislatures of three - quarters of the states or state ratifying conventions in three - quarters of the states . The vote of each state ( to either ratify or reject a proposed amendment ) carries equal weight , regardless of a state 's population or length of time in the Union . </t>
  </si>
  <si>
    <t xml:space="preserve">Croatia national Football team - wikipedia  Croatia national Football team    This article is about the men 's team . For the women 's team , see Croatia women 's national football team .    Croatia       Nickname ( s )   Vatreni ( The Blazers or Fiery Ones ) Il furioso incendio ( Istrian Italian for : Blazing Fire ) Srce vatreno ( Fiery Hearts ) Kockasti ( The Chequered Ones ) Crvena i bijela ( The Red and White ) Plavi ( The Blues )     Association   Croatian Football Federation     Confederation   UEFA ( Europe )     Head coach   Zlatko Dalić     Captain   Luka Modrić     Most caps   Darijo Srna ( 134 )     Top scorer   Davor Šuker ( 45 )     Home stadium   Various     FIFA code   CRO            First colours   Second colours            FIFA ranking     Current   20 ( 7 June 2018 )     Highest   3 ( January 1999 )     Lowest   125 ( March 1994 )     Elo ranking     Current   7 ( 16 July 2018 )     Highest   5 ( July 1998 , July 2018 )     Lowest   26 ( October 2002 )     First international     Croatia 4 -- 0 Switzerland ( Zagreb , Croatia ; 2 April 1940 ) as modern Croatia Croatia 2 -- 1 United States ( Zagreb , Croatia ; 17 October 1990 )     Biggest win     Croatia 10 -- 0 San Marino ( Rijeka , Croatia ; 4 June 2016 )     Biggest defeat     England 5 -- 1 Croatia ( London , England ; 9 September 2009 )     World Cup     Appearances   5 ( first in 1998 )     Best result   Runners - up ( 2018 )     European Championship     Appearances   5 ( first in 1996 )     Best result   Quarter - finals ( 1996 , 2008 )     Medal record ( show )        Men 's football     FIFA World Cup       1998 France   Team       2018 Russia   Team        The Croatia national football team ( Croatian : Hrvatska nogometna reprezentacija ) represents Croatia in international association football matches . The team is controlled by the Croatian Football Federation ( HNS ) , the nation 's governing body for football , and is widely supported throughout the country due to the ever - present popularity of the sport . Most home matches are played at the Stadion Maksimir in Zagreb or at the Stadion Poljud in Split , though other smaller venues are also used occasionally . They are one of the youngest national teams ( since formation ) to reach the knockout stage of a major tournament , as well as the youngest team to occupy the top 10 in the FIFA World Rankings .   Croatia has represented itself as an independent nation since 1993 , when the team was officially recognised by both FIFA and UEFA following dissolution from Yugoslavia . However , short - lived national sides were briefly active during periods of political upheaval , representing sovereign states such as the Banovina of Croatia from 1939 to 1941 , or the Independent State of Croatia from 1941 to 1944 . Before the current team was formed , most Croatian players represented the Socialist Federal Republic of Yugoslavia instead . The modern - day team has played competitive matches since 1994 , starting with a successful qualifying campaign for the 1996 European Championships . In 1998 , they competed in their first FIFA World Cup , finishing 3rd and providing the tournament 's top scorer , Davor Šuker . Exactly twenty years later , under their second golden generation , Croatia reached the 2018 World Cup Final , securing second place and featuring the tournament 's best player , Luka Modrić .   Among other nicknames , the team is colloquially referred to as the Vatreni ( `` Blazers '' or `` Fiery Ones '' ) or the Kockasti ( `` Chequered '' ) . In the Italian - speaking counties the team is known as Il furioso incendio ( `` The Blazing Fire '' ) . Since becoming eligible to compete , Croatia has only failed to qualify for two major tournaments ; the 2000 European Championship and the 2010 FIFA World Cup . Their biggest defeat came in 2009 with a 5 -- 1 loss to England , while their highest - scoring victory was a 10 -- 0 friendly win over San Marino in 2016 . The national team is also known for some long - standing rivalries , such as the Derby Adriatico with Italy , or the politically - charged rivalry with Serbia , both of which have led to controversial or disruptive matches .   The team represents the second - smallest country by population and land mass to reach the World Cup final , behind Uruguay and Netherlands respectively . At major tournaments , Croatia holds joint - records for longest period between one goal and another of a player ( 2002 -- 2014 ) , most penalty shootouts played ( 2 ) , most extra time periods played ( 3 ) and most penalties saved in a match ( 3 ) . They are also one of only two teams -- along with Colombia -- to be named FIFA 's `` Best Mover of the Year '' more than once , winning the award in 1994 and 1998 . Upon admission to FIFA , Croatia was ranked 125th in the world ; following the 1998 World Cup campaign , the side rose to third place in the rankings , making it the most volatile team in FIFA Rankings history .   Contents    1 History   1.1 Pre-independence   1.2 Official formation   1.3 Blažević period and the `` golden generation '' ( 1994 -- 99 )   1.4 Barić , Kranjčar , and Bilić periods ( 2000 -- 12 )   1.5 Štimac , Kovač and Čačić period ( 2012 -- 17 )   1.6 Dalić period and the second `` golden generation '' ( 2017 -- present )     2 Team image   2.1 Kits and crests     3 Supporters   4 Stadiums   5 Rivalries   6 Competitive record   6.1 FIFA World Cup   6.2 UEFA European Championship   6.3 UEFA Nations League     7 All - time team records   7.1 Head - to - head record ( 1992 -- present )   7.2 FIFA ranking history     8 Recent results and fixtures ( 2017 -- 18 )   8.1 2017   8.2 2018     9 Personnel   10 Players   10.1 Current squad   10.2 Recent call - ups   10.3 Previous squads     11 Statistics   11.1 Most capped players   11.2 Top goalscorers   11.3 Managers     12 Honours   13 See also   14 References   15 Footnotes   15.1 Books     16 External links    History ( edit )   Pre-independence ( edit )  The first recognised Croatian team played against Switzerland in 1940 .  Association football was first introduced to Croatia by English expatriates working on industrial projects in Rijeka and Županja in 1873 . By 1907 , local clubs had been established in Croatia and a modern edition of the sport 's laws was translated and published . Before the nation 's independence , Croatian footballers played for the national teams of the Kingdom of Yugoslavia ( 1919 -- 39 ) and the Socialist Federal Republic of Yugoslavia ( 1945 -- 92 ) , though during periods of political upheaval , ethnically Croatian sides occasionally formed to play unofficial matches . A hastily arranged Croatian side , managed by Hugo Kinert , played a few matches in 1918 -- 19 .   In 1940 , Jozo Jakopić led an unofficial national team representing the Banovina of Croatia ( part of Kingdom of Yugoslavia ) in four friendly matches , against Switzerland and Hungary . Following invasion by the Axis powers , the Croatian Football Federation became briefly active , joining FIFA on 17 July 1941 , representing the Independent State of Croatia . The side , led by Rudolf Hitrec , went on to play 15 friendly matches , 14 of those as a member of FIFA . Croatia 's first recorded result as a FIFA member was a 1 -- 1 draw with Slovakia on 8 September in Bratislava . The Independent State of Croatia continued playing matches until 1945 and the end of World War II , when SR Croatia was formed as constituent part of the Socialist Federal Republic of Yugoslavia . From 1950 to 1956 , unofficial Croatian teams were briefly active once again -- winning games against Indonesia and a Yugoslav team playing as `` Serbia '' . The Yugoslavia squad at the 1956 Summer Olympics included Croatian footballers , as did Yugoslavia in World Cup and European Championship tournaments up to 1990 .   Official formation ( edit )   The last Yugoslav team to field a considerable Croatian contingent played against Faroe Islands on 16 May 1991 , days before Croatia 's independence referendum . However , an unofficial Croatian team was formed shortly before , and played the team 's first modern international game , against the United States on 17 October 1990 at Maksimir Stadium . The game , which Croatia won 2 -- 1 , was one of three games played under caretaker manager Dražan Jerković . The match against the American side also marked the introduction of Croatia 's national jersey , inspired by the chequered design of the country 's coat of arms . Although Croatia was still officially part of Yugoslavia until its independence declaration on 8 October 1991 , this team already served as a de facto national side . Croatia went on to win two more friendly games under Jerković , against Romania in December 1990 and Slovenia in June 1991 .   On 3 July 1992 , Croatia was re-admitted to FIFA , playing its first official matches in the modern era against Australia in Melbourne , Adelaide and Sydney . This team was led by Stanko Poklepović as part of an international exhibition tour ; in April 1993 , Vlatko Marković was appointed as manager . Croatia finally gained admission into UEFA in June 1993 , which was too late for the national team to enter the 1994 FIFA World Cup qualifiers , as these already commenced the year before . Marković only led the team in one match , a home win against Ukraine in June 1993 , before being dismissed in February 1994 and replaced by Miroslav Blažević the following month . The team 's performances before Croatia 's official independence were not recorded by FIFA , so they entered the World Rankings in 125th place . Blažević led Croatia 's qualifying campaign for Euro 1996 , beginning with the nation 's first post-independence competitive victory , a 2 -- 0 win over Estonia on 4 September 1994 . Their first competitive defeat came on 11 June 1995 in a 1 -- 0 away loss to Ukraine during the same qualifying campaign . They eventually finished first in their qualifying group and won FIFA 's 1994 Best Mover of the Year award as they moved up to 62nd in the rankings by the end of the year .   Blažević period and the `` Golden Generation '' ( 1994 -- 99 ) ( edit )    Ladić Štimac Šimić Bilić Soldo Stanić Jarni Prosinečki Asanović Boban ( C ) Šuker Croatian squad at the 1998 World Cup . ( coach : Miroslav Blažević ) .  Goran Vlaović scored the team 's first goal at a major tournament , a late winner against Turkey at the City Ground in Nottingham in their first group match at Euro 96 . After their opening victory , Croatia beat reigning champions Denmark 3 -- 0 , but went on to lose against Portugal by the same scoreline in their final group fixture . Croatia still advanced to the knockout stage , but were beaten in the quarter - finals 1 -- 2 by Germany , who went on to win the tournament .   In spite of the quarter - final exit , Blažević continued to lead Croatia in the 1998 World Cup qualifying campaign , which ended successfully after an aggregate victory against Ukraine in the two - legged play - off . In the group stage of the World Cup , Croatia beat Jamaica and Japan but lost to Argentina , before defeating Romania to reach a quarter - final tie against Germany , then ranked second in the world . Croatia won 3 -- 0 with goals from Robert Jarni , Goran Vlaović and Davor Šuker , all after Christian Wörns had been sent off . Croatia then faced the host nation , France , in the semi-final . After a goalless first - half , Croatia took the lead , only to concede two goals by opposing defender Lilian Thuram and lose 1 -- 2 . In the third - place match , Croatia beat the Netherlands 2 -- 1 , with Davor Šuker winning the Golden Boot award for scoring the most goals of the tournament with six goals in seven games . Croatia 's performance in 1998 was among the best debut performances in the World Cup ( equaling Portugal 's third place debut finish at the 1966 World Cup ) , and as a result , Croatia rose to number three in the January 1999 FIFA World Rankings , their highest ranking to date . For their achievements , the team of the 1990s was dubbed the `` Golden Generation . '' A considerable portion of this squad ( Jarni , Štimac , Boban , Prosinečki and Šuker ) , previously won the 1987 FIFA World Youth Championship with the Yugoslavia under - 20 team .   Despite good performances in their first two major competitions , Croatia 's qualifying campaign for Euro 2000 was less successful , as they finished third in their qualifying group behind Yugoslavia and Republic of Ireland , and thus failed to qualify . Both fixtures against archenemies Yugoslavia ( the rump state later renamed Serbia and Montenegro ) ended in draws , which prevented Croatia from qualifying for the tournament .   Barić , Kranjčar , and Bilic periods ( 2000 -- 12 ) ( edit )  Croatian football fans during the 2001 international season .  Although Blažević continued his tenure in spite of failure to qualify for Euro 2000 , he resigned in October 2000 following draws against Belgium and Scotland in the first two games of the 2002 World Cup qualifiers . His successor at the helm of the national team was Mirko Jozić , who previously led the Yugoslavia under - 20 team to a World Cup triumph in 1987 . Despite the retirement of many Golden Generation players , Croatia went unbeaten during the rest of the qualifiers . They opened their 2002 World Cup campaign with a narrow loss to Mexico before producing a surprise 2 -- 1 victory over Euro 2000 finalists Italy in the next fixture , giving life to hopes of passing through to the knockout stage . However , they lost their final group fixture to Ecuador and were eliminated . Jozić then resigned , and was replaced in July 2002 by Croatian - Austrian Otto Barić , the team 's first manager born outside the Balkans .   During Barić 's tenure , most of the remaining players from the Golden Generation squad were gradually replaced by younger players over the course of the Euro 2004 qualifiers . Croatia went on to qualify for the tournament with a playoff victory against Slovenia , winning 2 -- 1 on aggregate after Dado Pršo 's decisive late goal in the second leg . At the finals tournament in Portugal , Croatia drew 0 -- 0 with Switzerland and 2 -- 2 with reigning champions France only to lose to England 2 -- 4 and suffer another elimination in the group stage . Barić 's two - year contract ended in June 2004 and was not renewed . Former Croatia international Zlatko Kranjčar , appointed to succeed Barić in July 2004 , led the team through the 2006 World Cup qualifiers without losing a single match and topping the group ahead of Sweden and Bulgaria . However , local media outlets accused him of nepotism for selecting his son Niko Kranjčar for the national squad . At the 2006 World Cup , Croatia lost their opening game to Brazil and drew 0 -- 0 with Japan after Darijo Srna missed a first - half penalty . A 2 -- 2 draw with Australia , in which three players were sent off , confirmed Croatia 's exit in the group stage . The game was also notable for a mistake by referee Graham Poll , who gave three yellow cards to Croatian defender Josip Šimunić , failing to send him off after his second offense . He later stated that he mistook Šimunić for an Australian player due to his Australian accent . Poll was heavily criticised for losing control of the match , and retired from refereeing shortly afterwards .  Croatia vs. Brazil at the 2006 FIFA World Cup  In July 2006 , the Croatian Football Federation replaced Kranjčar with Slaven Bilić , who played for the national team during their Golden Generation era . Bilić , who previously managed the under - 21 team between 2004 and 2006 , introduced a host of young players into the squad , which ultimately proved successful . His first game was a friendly away victory against 2006 World Cup champions Italy . After controversially suspending Darijo Srna , Ivica Olić and Boško Balaban for missing a curfew after a turbofolk nightclub outing , Bilić led the team through qualifiers for Euro 2008 . Croatia topped their group , losing only one game to Macedonia and beating England twice , who as a result failed to qualify for the first time since 1984 .   Shortly before the European Championships , first - choice striker Eduardo , who was the team 's top goalscorer during qualifying , suffered a compound fracture while playing for Arsenal in the Premier League . Bilić was forced to alter his final Euro 2008 squad significantly and recruited Nikola Kalinić and Nikola Pokrivač , neither of whom had yet played competitive games for the national team . The team received criticism after poor attacking performances in warm - up games against Scotland and Moldova , but at the tournament they beat Austria , Germany and Poland in the group stages to reach the quarter - finals with maximum group points for the first time in their tournament history . Niko Kovač remained team captain at what was expected to be his final international tournament , except in the final group fixture when Dario Šimić temporarily held the captain 's armband . Croatia 's campaign ended dramatically when they lost a penalty shoot - out to Turkey , with Luka Modrić , Mladen Petrić and Ivan Rakitić all missing their penalties . Croatia left the tournament with records for fewest goals conceded ( 2 ) , fewest games lost ( 0 ) , and earliest goal ( in the fourth minute of their opening game against Austria ; this was also the all - time earliest successful penalty at the European Championship Finals ) .   Following the tournament , Bilić renewed his contract , becoming the first manager since Blažević to lead Croatia to successive tournaments . Croatia were again drawn to play England in the qualifying stages for the 2010 World Cup ; the tie was voted the most anticipated of the campaign on FIFA.com . After a home win against Kazakhstan Croatia lost at home to England , ending a 14 - year unbeaten home record . The team was eventually weakened due to a number of key players ' injuries and went on to suffer their heaviest defeat in history , losing 5 -- 1 to England at Wembley Stadium . Although Croatia defeated Kazakhstan in their final qualifying fixture , they were ultimately eliminated as Ukraine , who had previously defeated group leaders England , beat Andorra to win second place in the group . Bilić was once again heavily expected to resign as national coach , but instead vowed to renew his contract and remain in charge .  Croatia vs. Italy match at UEFA Euro 2012  Despite heavy loss of form , which also saw the team fall outside the top ten in the FIFA rankings , Croatia were placed in the top tier of teams for the UEFA Euro 2012 qualifying draw ; Croatia was previously a candidate to co-host the tournament with Hungary which would have allowed the team to qualify automatically , but UEFA eventually chose Poland and Ukraine as hosts instead . Despite being top - seeds in their qualifying group , Croatia finished second behind Greece , settling for a play - off against Euro 2008 rivals Turkey . Croatia proceeded to beat Turkey 3 -- 0 on aggregate , with all three goals coming in the away leg in Istanbul , thereby qualifying for the 2012 European championship . In the proceeding group - stage draw for the tournament , Croatia were placed in the third tier of teams , and were eventually grouped with Ireland , Italy and defending champions Spain .   In the buildup towards the UEFA Euro 2012 tournament , the team 's first major competition since their 2008 run at the same event , manager Slaven Bilić formally agreed a deal to manage Russian club Lokomotiv Moscow , thereby announcing he would resign from the national team when the tournament ended . Croatia opened their campaign with a comfortable 3 -- 1 victory over the Republic of Ireland , with striker Mario Mandžukić scoring twice . Mandžukić continued his run at the tournament with an equaliser in the 1 -- 1 draw against Italy , which was marred by controversial fan reactions and referee decisions from English official Howard Webb . In their last group match , Croatia suffered a 0 -- 1 defeat to Spain . The late Spanish goal by Jesús Navas , along with Italy 's victory over the Republic of Ireland in the final round , forced Croatia to exit the tournament in the group stage once again . Upon his formal departure , Bilić was also praised for his long - standing service to the national side . Jutarnji List daily labelled him as Croatia 's only manager to depart on such positive terms and credited him for his strong revival of the national side during his six - year tenure .   Štimac , Kovač and Čačić period ( 2012 -- 17 ) ( edit )  Croatia vs. Brazil at 2014 World Cup  Following Bilić 's departure , former player and pundit Igor Štimac was appointed manager of the national team . Croatia 's all - time top goalscorer Davor Šuker also took over as president of the Croatian Football Federation ( HNS ) after the death of Vlatko Marković ended a 14 - year tenure . Štimac 's managerial campaign was unsuccessful , as the team endured a succession of poor performances and narrowly finished second in their 2014 World Cup qualifying group . After only a year of his appointment , Štimac was replaced by former captain Niko Kovač , who previously managed the under - 21 youth side . Kovač led the team to a 2 -- 0 aggregate victory over Iceland in the qualifying playoffs for the 2014 World Cup , with both goals coming in the home leg in Zagreb . At the World Cup , Croatia were drawn with host - nation Brazil , Mexico and Cameroon . In the opening game of the tournament , Croatia lost 3 -- 1 to Brazil . The match garnered heavy media attention and controversy as Japanese referee Yuichi Nishimura was scrutinized for a number of controversial decisions . In their second game , Croatia won 4 -- 0 against Cameroon , but did not progress from the group as they lost 3 -- 1 to Mexico in their final fixture .   In the Euro 2016 qualifying campaign , Croatia were drawn against Italy , Bulgaria , Norway , Azerbaijan and Malta . Following a goalless away draw against Azerbaijan and an away defeat to Norway , in early September 2015 , the Executive Committee of the Croatian Football Federation unanimously decided to terminate Kovač 's contract . On 21 September 2015 , Ante Čačić was named as the head coach of the Croatian national team . On 13 October 2015 , Croatia qualified for the finals by finishing as runners - up in Group H. Under Čačić , Croatia broke the record for most goals scored in one match , by beating San Marino in a friendly 10 -- 0 .   At Euro 2016 , Croatia were drawn in Group D ; against Turkey , the Czech Republic and defending champions Spain , who had won the two previous editions of the tournament , in 2008 and 2012 . Croatia began their campaign with a 1 -- 0 win over Turkey ; following a sensational long - volley kick from Luka Modrić , with the goal receiving praise and being considered one of the best of the tournament . The next match was against the Czech Republic ; with Croatia taking the lead through Ivan Perišić and doubling it through Ivan Rakitić , before goals from Milan Škoda and a last - minute penalty from Tomáš Necid ; but the match received controversy for crowd trouble in the last minutes of the match , with Flares being thrown on the pitch and a steward being hurt by a firework during stoppage time . Croatia 's final match was against Spain ; conceding an early goal from Álvaro Morata , before goals from Nikola Kalinić and a late winning goal from Ivan Perišić , securing Croatia a historic win as they topped the group , meanwhile for Spain it was their first defeat at a Euro finals match for the first time since 2004 . After the match , Croatia were tipped as one of the tournament favourites , and drew Portugal in the round of sixteen , who surprisingly finished third in the group , advancing only as the third - best third - placed team . The match was extremely poor , described by BBC Sport as `` abysmal '' , as there were no serious efforts on goal , with Ricardo Quaresma 's winning goal in the 117th minute knocking Croatia out of the tournament . Shortly after the Euro 2016 campaign , long - standing captain Darijo Srna announced his retirement from international football , amassing a record 134 appearances for the national side . Luka Modrić was announced as his successor for team captain .   Dalić period and the second `` Golden Generation '' ( 2017 -- present ) ( edit )    Subašić Lovren Vida Vrsaljko Strinić Rakitić Brozović Rebić Perišić Modrić Mandžukić Croatia starting line - up against France at the 2018 FIFA World Cup Final .  Croatia started their 2018 World Cup qualification strongly , leading their group and remaining undefeated for the first round of matches . However , consecutive defeats against Iceland and Turkey , as well as a draw against lowly - ranked Finland threatened their qualification hopes and caused a public outcry against manager Ante Čačić . He was quickly replaced by Zlatko Dalić , who led the team to a crucial 2 -- 0 win against Ukraine in Kiev , securing a spot in the playoff round against Greece . Croatia went on to qualify for the 2018 World Cup after beating Greece 4 -- 1 , with all goals coming in the first leg in Zagreb .   In the buildup to the tournament , The Guardian , among other news outlets , labelled the 2017 -- 18 squad as Croatia 's second golden generation . Key players such as Luka Modrić , Ivan Rakitić , and Mario Mandžukić drew close comparisons to their 1998 counterparts , and were expected to achieve similar success . Despite a poor showing in their friendly matches , Croatia started their World Cup campaign with a 2 -- 0 victory over Nigeria , with Luka Modrić scoring a penalty . Modrić went on to score again in a highly - applauded 3 -- 0 victory over previous finalists Argentina , which was also marked by Vedran Ćorluka earning his 100th cap for the national team . Croatia then defeated Iceland to top the group with maximum points , marking their best ever performance in the group stages of the World Cup .   They went on to play Denmark in the round of sixteen ; the match was dubbed as Croatia 's best chance to finally win a knockout round fixture at a major tournament , which they had n't done since 1998 . Despite conceding in the first minute of the match , they equalized to force extra-time . In the ensuing penalty shootout , Croatia prevailed after goalkeeper Danijel Subašić saved three penalties , equalling the record for most penalties saved in a match . This was the team 's first ever successful penalty shootout , garnering praise from the local public and media . In the quarter - finals , Croatia drew 2 -- 2 with hosts Russia , but advanced after another successful penalty shootout . This made them the first team since 1990 to win two consecutive penalty shootouts at the World Cup , and also equalled their best ever run at the tournament .  The 2017 -- 18 national squad , dubbed the `` Second Golden Generation '' , posing with Vladimir Putin and Kolinda Grabar - Kitarović after the 2018 World Cup Final against France .  Croatia went on to play England in the semi-finals . After going behind once more , they equalized to force their third consecutive extra-time , equalling another record for most extra-time matches at the tournament . Mario Mandžukić eventually scored as Croatia won 2 -- 1 , making them the second - smallest country by population to reach the World Cup final ( after Uruguay in 1930 ) . The win sparked massive celebrations across the country , as reported by several media outlets .   In the buildup to the final , Croatian parliamentary members , including president Kolinda Grabar - Kitarović , wore football jerseys in support of the team . Online searches for the team also reached their highest level in history , as the Croatian tourist board reported a 250 % increase in website visits . Due to tournament structure , France received an extra day of rest before the final which promoted many , most notably football manager Jose Mourinho , to label the final `` unfair '' and deserving of `` equal opportunities '' . Croatia eventually lost the final 4 -- 2 to France , after a controversial penalty awarded by the video assistant referee ( VAR ) . After the match , Luka Modrić became the first Croatian to win the Golden Ball award for best player of the tournament . For achieving their best ever World Cup finish , the Croatian players were greeted by over 550 , 000 people at their homecoming in Zagreb .   On 23 January 2018 , Croatia were drawn to play against England and Spain in the inaugural edition of the UEFA Nations League ; an international tournament contested by all UEFA member 's national teams .   Team image ( edit )   Kits and crests ( edit )       Wikimedia Commons has media related to Croatia national football team kits .    The Croatian chequy has been a symbol of Croatia since the Middle Ages .  Croatia 's modern - day jersey was designed in 1990 by locally acclaimed painter Miroslav Šutej , who also designed the nation 's coat of arms and banknotes . The traditional red and white motif is based on the historic Croatian checkerboard ( šahovnica ) , which has been used to represent Croats since the Middle Ages . Although there have been many slight variations made by manufacturers Lotto and Nike since the original release , the traditional chequered theme has remained a symbol of national identity , with similar incorporation used by many Croatian national sports teams and entities .     Kit supplier   Period     Uhlsport   1990 -- 1991     Lotto   1992 -- 1994     Kappa   1994     Lotto   1994 -- 2000     Nike   2000 -- present     Supporters ( edit )  Croatia supporters at UEFA Euro 2012  Football is Croatia 's most popular team sport , and the national team has developed an extensive fan base since its formation in 1991 . Following their run at the 1998 FIFA World Cup , just three years after the Croatian war of Independence , there was a rapid rise in domestic and global attention for the side . Balkan Insight commented that the national team became a symbol of Croatian independence from Yugoslavia . However , after the death of former - president Franjo Tuđman , local political ties with the national team have loosened . All matches are widely followed and televised throughout the country , particularly during tournaments .   A large part of the team 's support base consists of fans of Hajduk Split and Dinamo Zagreb , the two best - supported clubs in the Croatian domestic league , the Prva HNL . Both sets of fans -- the Bad Blue Boys of Zagreb and The Torcida from Split -- have been associated with hooliganism due to their ultra-style support , though violence between them does not occur at international matches . Heavy support for the Croatian national team also comes from Croats in Bosnia - Herzegovina , particularly from fans of Zrinjski Mostar . There are also considerable Croatian communities in Australia , North America , and South America that follow the team . Among supporters , it is customary to include an inscription of their city of origin onto the Croatian flag to indicate where they are from . They are also notable for their vocal support and orchestrated chants during matches . It is common for one section to shout `` U boj , u boj '' ( to battle , to battle ) , with another responding `` za narod svoj '' ( for our people ) , which is an old Croatian mantra . When the team wins , supporters often chant `` Bježite ljudi , bježite iz grada '' ( beware people , move away from here ) , which is a song praising the large presence of euphoric Croatian fans . The Croatian Football Federation endorses an official fan club for the team , known as Uvijek Vjerni ( Always Faithful ) .   The national team enjoys widespread support from various local musicians , who often release tracks dedicated to them . Former manager Slaven Bilić and his rock band released a single , `` Vatreno Ludilo '' ( Fiery Madness ) , which reached the top position on the Croatian music charts during Euro 2008 . Other Croatian artists such as Dino Dvornik , Connect , Prljavo Kazalište and Baruni have also recorded songs praising the team . The most widely used among supporters are `` Malo nas je al nas ima '' ( We are few , but we exist ) , `` Samo je jedno '' ( There is but one thing ( in my life ) ) , `` Moja Domovina '' ( My Homeland ) , `` Srce vatreno '' ( Fiery Heart ) , and `` Hrvatska je prvak svijeta '' ( Croatia are World Champions ) . The players and fans often adopt other patriotic songs to celebrate victories as well .  Croatian supporters have traditionally used flares to celebr</t>
  </si>
  <si>
    <t xml:space="preserve">when did croatia finish 3rd in the world cup</t>
  </si>
  <si>
    <t xml:space="preserve"> In spite of the quarter - final exit , Blažević continued to lead Croatia in the 1998 World Cup qualifying campaign , which ended successfully after an aggregate victory against Ukraine in the two - legged play - off . In the group stage of the World Cup , Croatia beat Jamaica and Japan but lost to Argentina , before defeating Romania to reach a quarter - final tie against Germany , then ranked second in the world . Croatia won 3 -- 0 with goals from Robert Jarni , Goran Vlaović and Davor Šuker , all after Christian Wörns had been sent off . Croatia then faced the host nation , France , in the semi-final . After a goalless first - half , Croatia took the lead , only to concede two goals by opposing defender Lilian Thuram and lose 1 -- 2 . In the third - place match , Croatia beat the Netherlands 2 -- 1 , with Davor Šuker winning the Golden Boot award for scoring the most goals of the tournament with six goals in seven games . Croatia 's performance in 1998 was among the best debut performances in the World Cup ( equaling Portugal 's third place debut finish at the 1966 World Cup ) , and as a result , Croatia rose to number three in the January 1999 FIFA World Rankings , their highest ranking to date . For their achievements , the team of the 1990s was dubbed the `` Golden Generation . '' A considerable portion of this squad ( Jarni , Štimac , Boban , Prosinečki and Šuker ) , previously won the 1987 FIFA World Youth Championship with the Yugoslavia under - 20 team . </t>
  </si>
  <si>
    <t xml:space="preserve">I 'm a Celebrity ... Get Me Out of Here ! ( Australian TV series ) - Wikipedia  I 'm a Celebrity ... Get Me Out of Here ! ( Australian TV series )  Jump to : navigation , search For the most recent season , see I 'm a Celebrity ... Get Me Out of Here ! ( Australia season 4 ) .    I 'm a Celebrity ... Get Me Out of Here !         Genre   Reality television     Created by   Granada Television ( now part of ITV Studios )     Based on   I 'm a Celebrity ... Get Me Out of Here !     Presented by   Chris Brown Julia Morris     Country of origin   Australia     Original language ( s )   English     No. of seasons       No. of episodes   125 ( as of 12 March 2018 )     Production     Location ( s )   Kruger National Park , in South Africa     Camera setup   Multiple - camera setup     Production company ( s )   ITV Studios Australia     Release     Original network   Network Ten     Picture format   576i ( SDTV ) 1080i ( HDTV )     Audio format   Stereo     Original release   1 February 2015 -- present     External links     Website     Production website     I 'm a Celebrity ... Get Me Out of Here ! ( occasionally shortened to I 'm a Celebrity ) is an Australian reality television series on Network Ten which is based on the British television show of the same name . The series sees celebrities living in the jungle with few creature comforts and compete in various challenges to earn meals and other luxuries . The celebrities compete for $100,000 to be donated to their chosen charity . The series is set in Kruger National Park , South Africa , and is hosted by Julia Morris and Chris Brown .   On 16 July 2015 the series was renewed for a second season , which premiered on 31 January 2016 . The second season was accompanied by the companion series I 'm a Celebrity ... Get Me Out of Here ! Now ! . It aired on Eleven following each episode of the main series , hosted by comedian and former season one contestant Joel Creasey and The Bachelor Australia 3 contestant Heather Maltman . On 1 August 2016 the series was renewed for a third season with Morris and Brown returning as hosts , which premiered on 29 January 2017 . A fourth season commenced on 28 January 2018 and concluded 12 March 2018 .     Contents  ( hide )   1 Format   1.1 Tucker trials   1.2 Celebrity chest challenges   1.3 Secret mission   1.4 Mystery box     2 Production   2.1 Broadcast   2.2 The fallout zone   2.3 Public voting     3 Series overview   4 Series results   4.1 Season 1 ( 2015 )   4.2 Season 2 ( 2016 )   4.3 Season 3 ( 2017 )   4.4 Season 4 ( 2018 )   4.5 Season 5 ( 2019 )     5 Ratings   6 Awards and nominations   7 Lawsuit   8 See also   9 References      Format ( edit )   The premise of the show is that there is a group of well known personalities living together in a specially constructed camp site in a jungle . During their time in the jungle they are isolated from the outside world and are not commonly aware of outside events . The contestants compete for $100,000 to be donated to a charity of their choosing , in addition to being personally reimbursed for their participation . While in the jungle , some of the contestants ( generally voted by the viewing public ) compete in challenges for food and luxuries for the camp . These challenges often involve local wildlife and are meant to take the contestants out of their comfort zone . Each week one or more of the contestants are evicted from the jungle , based on viewer votes . In addition , if the contestants become overwhelmed by their situation they can leave the series by speaking the phrase `` I 'm a celebrity get me out of here ! '' . However , it is reported that if contestants do quit they will have their income for participating in the series markedly reduced . Throughout the show , additional contestants ( called `` intruders '' ) enter the competition ; and beginning with season two , some contestants are only included temporarily ( i.e. having a guest appearance ) . In the end , a final viewer vote occurs to determine the winner of the series , who is given the title of `` King and / or Queen of the Jungle '' .   Tucker trials ( edit )   The contestants take part in daily trials to earn food . These trials aim to test both physical and mental abilities . The winner is usually determined by the number of stars collected during the trial , with each star representing a meal earned by the winning contestant for their camp mates .   Celebrity chest challenges ( edit )   Two or more celebrities are chosen to take part in the celebrity chest challenge to win luxuries for camp . Each challenge involves completing a task to win a chest to take back to camp . However , to win the luxury item in the chest , the campmates must correctly answer a question . If they fail to answer correctly , the luxury item is forfeited and a joke prize is won . The luxury item is `` donated '' by a celebrity from the outside .   Secret mission ( edit )   This is a challenge where some celebrities have to take part without alerting the other celebrities - if they are successful in their ' missions ' , they are rewarded .   Mystery box ( edit )   A mystery box sees a box delivered to the campsite , each time containing a different gift for the contestants .   Production ( edit )   Broadcast ( edit )   The show is broadcast Sunday to Thursday at 7.30 pm , with a weekly eviction show on Sunday ( except for the first week , where the celebrities arrive in the ' jungle ' ) . All shows are presented by Julia Morris &amp; Chris Brown from a nearby studio . The program is live to AEDT States ( New South Wales , Victoria , Tasmania and the Australian Capital Territory ) , in other states the program is delayed to accommodate local time zones .   The Fallout Zone ( edit )   In addition to the television broadcast , for the first season a live feed from the camp site aired for an hour after the AEDT airing of the show on Ten 's website and mobile app , titled The Fallout Zone but more commonly referred to as FOZ . The content of feed was available on the website after the fact so viewers in other states could watch the show after their airing of the main show . The feed was hosted by comedian Sam Mac and producer Ciaran `` The Butcher '' Flannery , also known as `` The C - Word '' . On 8 and 12 March 2015 , producer Dominic `` The Domin8or '' Sullivan filled in during Flannery 's absence . The duo interact with viewers through Twitter , using the hashtag # FOZ . Mac and Flannery have no control over the shots used in the stream which has resulted in one episode featuring a 20 - minute shot of a waterfall and , on 16 February 2015 , a 15 - minute conversation featuring a sound technician looking for Bob being picked up . On 5 March 2015 the show famously featured audio problems during which Mac and Flannery 's voices fluctuated between chipmunk and Darth Vader filters for the first thirty minutes . The show 's theme song is Highway to the Fallout Zone sung by Sam Mac . The show did not return for the second season .   Public voting ( edit )   Throughout the show the public votes on who competes in the following tucker trial and who to evict from the campsite . Viewers can either vote via SMS ( by texting the name of the celebrity to 1995 1010 ) or vote via Social Media ( namely Facebook or Twitter ) by using the celebrity 's hashtag ( # celeb ( name ) ) . Voting via social media is limited to 20 votes per account . For tucker trial voting , viewers vote for celebrity they wish to compete . For eviction voting , viewers vote for a celebrity to stay . Voting closes at approximately 7 : 30pm AEDT for Sunday 's eviction vote and at approximately 8pm AEDT for voting on other days .   Prior to the premiere of the second season , it was announced that the voting process would change slightly compared to the inaugural season . SMS voting wil be used for both trial and eviction voting while Twitter voting will be used exclusively for trial voting . This change was implemented to even the playing field between celebrities with a larger international fan base ( who are more likely to receive Twitter votes from said fan base ) and celebrities with a smaller fan base who are only known in Australia . However , this decision was later reversed , allowing Twitter and Facebook votes for the finals .   Series overview ( edit )   Winners crowned King or Queen of their respective year .   Key :    King of the Jungle   Queen of the Jungle      Season   Presenters   Start date   End date   Days in camp   Campmates   Honour places     Winner   Second place   Third place       Chris Brown and Julia Morris   1 February 2015 ( 2015 - 02 - 01 )   15 March 2015 ( 2015 - 03 - 15 )   45   14   Freddie Flintoff   Barry Hall   Chrissie Swan       31 January 2016 ( 2016 - 01 - 31 )   13 March 2016 ( 2016 - 03 - 13 )   45   12   Brendan Fevola   Paul Harragon   Laurina Fleure       29 January 2017 ( 2017 - 01 - 29 )   13 March 2017 ( 2017 - 03 - 13 )   46   14   Casey Donovan   Dane Swan   Natalie Bassingthwaighte       28 January 2018 ( 2018 - 01 - 28 )   12 March 2018 ( 2018 - 03 - 12 )   45   15   Fiona O'Loughlin   Shannon Noll   Danny Green     5     2019   2019               Series results ( edit )    Key   Winner -- King or Queen of the Jungle   Runner - up   Third place   Late arrival   Evicted   Withdrew    Season 1 ( 2015 ) ( edit )  Main article : I 'm a Celebrity ... Get Me Out of Here ! ( Australia season 1 )    Celebrity   Known for   Day Entered   Day Exited   Result     Freddie Flintoff   England and Wales cricketer   17   45   Winner     Barry Hall   Former AFL forward     45   Runner - up     Chrissie Swan   Television &amp; radio broadcaster     45   Third Place     Maureen McCormick   The Brady Bunch actress     42   Evicted 11th     Joel Creasey   Comedian     41   Evicted 10th     Anna Heinrich   The Bachelor Australia star   10   41   Evicted 9th     Julie Goodwin   Chef &amp; cookbook author   17   40   Evicted 8th     Merv Hughes   Former test match cricketer     39   Evicted 7th     Tyson Mayr   Model     38   Evicted 6th     Andrew Daddo   Television &amp; radio presenter     31   Evicted 5th     Lauren Brant   Hi - 5 singer     24   Evicted 4th     Laura Dundovic   Miss Universe Australia 2008     17   Evicted 3rd     Tim Robards   The Bachelor Australia star   10   17   Evicted 2nd     Leisel Jones   Olympic swimmer     10   Evicted 1st     Season 2 ( 2016 ) ( edit )  Main article : I 'm a Celebrity ... Get Me Out of Here ! ( Australia season 2 )    Celebrity   Known for   Day Entered   Day Exited   Result     Brendan Fevola   AFL full - forward     45   Winner     Paul Harragon   Former NRL prop forward     45   Runner - up     Laurina Fleure   The Bachelor Australia 2 star     45   Third Place     Anthony Callea   Singer - songwriter     42   Evicted 9th     Shane Warne   Retired international cricketer     41   Evicted 8th     Havana Brown   DJ     40   Evicted 7th     Jo Beth Taylor   Television presenter     39   Evicted 6th     Val Lehman   Prisoner actress     38   Evicted 5th     Dean Geyer   Glee actor     31   Evicted 4th     Bonnie Lythgoe   So You Think You Can Dance Australia judge     24   Evicted 3rd     Akmal Saleh   Comedian     17   Evicted 2nd     Courtney Hancock   Ironwoman     10   Evicted 1st     Season 3 ( 2017 ) ( edit )  Main article : I 'm a Celebrity ... Get Me Out of Here ! ( Australia season 3 )    Celebrity   Known for   Day Entered   Day Exited   Result     Casey Donovan   Singer - songwriter ( Australian Idol Winner )     46   Winner     Dane Swan   AFL Legend     46   Runner - Up     Natalie Bassingthwaighte   Singer &amp; Actress     46   Third Place     Nazeem Hussain   Comedian     45   Evicted 11th     Steve Price   Radio Shock Jock     42   Evicted 10th     Lisa Curry   Olympic Swimmer     41   Evicted 9th     Ash Pollard   My Kitchen Rules contestant     40   Evicted 8th     Carson Kressley   TV Personality   25   39   Evicted 7th     Tegan Martin   Beauty Queen     38   Evicted 6th     Keira Maguire   The Bachelor Australia 4 star   19   35   Evicted 5th     Kris Smith   TV Personality &amp; Model     35   Evicted 4th     Tziporah Malkah   Former Model     31   Evicted 3rd     Jay Laga'aia   Actor &amp; Singer     24   Evicted 2nd     Tom Arnold   Hollywood Actor     17   Evicted 1st     Season 4 ( 2018 ) ( edit )  Main article : I 'm a Celebrity ... Get Me Out of Here ! ( Australia season 4 )    Celebrity   Known for   Day Entered   Day Exited   Result     Fiona O'Loughlin   Comedian     45   Winner     Shannon Noll   Singer     45   Runner - up     Danny Green   Boxer   7   45   Third place     Vicky Pattison   Reality TV Star ( I 'm a Celeb UK , Winner )   17   44   Evicted 10th     Simone Holtznagel   Model     41   Evicted 9th     Peter Rowsthorn   Actor &amp; Comedian     40   Evicted 8th     Jackie Gillies   Psychic &amp; Reality TV Star     39   Evicted 7th     Josh Gibson   AFL Player     38   Evicted 6th     Paul Burrell   Former Royal Butler ( I 'm a Celeb UK , Runner Up )   17   37   Evicted 5th     Lisa Oldfield   Reality TV Star   24   34   Evicted 4th     David Oldfield   Former Politician   24   30   Evicted 3rd     Kerry Armstrong   Actress     23   Evicted 2nd     Tiffany Darwish   Singer     16   Evicted 1st     Anthony Mundine   Boxer     12   Withdrew     Bernard Tomic   Tennis Player       Withdrew     Season 5 ( 2019 ) ( edit )  Main article : I 'm a Celebrity ... Get Me Out of Here ! ( Australia season 5 )    Celebrity   Known for   Day Entered   Day Exited   Result     Ratings ( edit )     Season   Episodes   Premiere   Finale   Source     Premiere date   Premiere viewers ( Opening Night )   Rank   Premiere viewers ( Welcome to the Jungle )   Rank   Finale date   Finale viewers ( Grand final )   Rank   Finale viewers ( Winner announced )   Rank       31   1 February 2015 ( 2015 - 02 - 01 )   1.199     1.136   5   15 March 2015 ( 2015 - 03 - 15 )   0.999   8   1.144           31   31 January 2016 ( 2016 - 01 - 31 )   1.324     1.081   5   13 March 2016 ( 2016 - 03 - 13 )   0.719   8   0.858   6         32   29 January 2017 ( 2017 - 01 - 29 )   1.103   7   0.963   8   13 March 2017   0.989   6   1.056           31   28 January 2018 ( 2018 - 01 - 28 )   1.274     1.108   5   12 March 2018   0.684   11   0.804   8       5     2019           2019               Awards and nominations ( edit )     Year   Award     Recipients and nominees   Result   Refs .     2016   Logie Awards of 2016   Best Reality Program   I 'm a Celebrity ... Get Me Out of Here !   Nominated       2017   Logie Awards of 2017   I 'm a Celebrity ... Get Me Out of Here !   Nominated       Lawsuit ( edit )   In June 2017 , Tom Arnold filed a lawsuit against Network Ten and A List Entertainment for defrauding him for being on I 'm a Celebrity ... Get Me Out of Here ! . Arnold claims that he was promised a payment of $425,000 and a comedy tour in Australia , however he was missing $140,000 in payment and that Network Ten backed out of the comedy tour .   See also ( edit )    Television in Australia portal    References ( edit )    Jump up ^ `` I 'm a Celebrity heads to Oz '' . C21 Media . Retrieved 8 September 2014 .   Jump up ^ Gusmaroli , Danielle ( 8 February 2015 ) . `` I 'm A Celebrity I 'm out Of Here ! Olympian Liesel Jones is first star voted out of the south African jungle after opening up about her weight issues '' . Daily Mail Australia . Retrieved 23 March 2015 .   Jump up ^ `` The Kruger Welcomes I 'm A Celebrity '' . CallSheet. 28 January 2016 . Retrieved 19 March 2016 .   Jump up ^ `` TV jungle gets real for Channel 10 but are celebs in or out ? '' . news.com.au . Retrieved 13 November 2014 .   Jump up ^ Knox , David ( 16 July 2015 ) . `` Renewed : I 'm A Celebrity Get Me Out of Here '' . TV Tonight . Retrieved 17 July 2015 .   Jump up ^ Knox , David ( 10 January 2016 ) . `` Returning : I 'm a Celebrity Get Me Out of Here ! '' . TV Tonight . Retrieved 31 January 2016 .   Jump up ^ Knox , David ( 19 November 2015 ) . `` TEN Upfronts 2016 : Survivor , Jessica Marais , Anh Do - and Nigella ! '' . TV Tonight . Retrieved 22 November 2015 .   Jump up ^ `` 'm A Celebrity ... Get Me Out Of Here ! Is Back In 2017 '' . Ten Play . Channel Ten . August 1 , 2016 . Retrieved September 14 , 2016 .   Jump up ^ Reines , Ros ( 2 February 2015 ) . `` I 'm SO glad I turned down I 'm A Celebrity ... even though it paid ' $30 k per week ' '' . The Daily Telegraph . Retrieved 21 November 2015 .   Jump up ^ Knox , David ( 4 March 2015 ) . `` Contract clause ' penalty ' for Celebrities who quit TEN 's jungle '' . TV Tonight . Retrieved 21 November 2015 .   Jump up ^ Knox , David ( 28 December 2015 ) . `` Mark Waugh into TEN 's jungle ? '' . TV Tonight . Retrieved 7 January 2016 .   Jump up ^ Knox , David ( 28 January 2016 ) . `` I 'm a Celebrity to switch - up viewer voting this year '' . TV Tonight . Retrieved 16 April 2016 .   Jump up ^ Knox , David ( 10 March 2016 ) . `` TEN U-turn on voting promise for I 'm A Celebrity '' . TV Tonight . Retrieved 16 April 2016 .   Jump up ^ Knox , David ( 2 February 2015 ) . `` Sunday 1 February 2015 '' . TV Tonight . Retrieved 21 November 2015 .   Jump up ^ Knox , David ( 16 March 2015 ) . `` Sunday 15 March 2015 '' . TV Tonight . Retrieved 21 November 2015 .   Jump up ^ Knox , David ( 1 February 2016 ) . `` Sunday 31 January 2016 '' . TV Tonight . Retrieved 1 February 2016 .   Jump up ^ Knox , David ( 14 March 2016 ) . `` Sunday 13 March 2016 '' . Retrieved 14 March 2016 .   Jump up ^ Knox , David ( 30 January 2017 ) . `` Sunday 29 January 2017 '' . TV Tonight . Retrieved 30 January 2017 .   Jump up ^ Knox , David ( 14 March 2017 ) . `` Monday 13 March 2017 '' . TV Tonight . Retrieved 14 March 2017 .   Jump up ^ Knox , David ( 29 January 2018 ) . `` Sunday 28 January 2018 '' . TV Tonight . Retrieved 29 January 2018 .   Jump up ^ Knox , David ( 13 March 2018 ) . `` Monday 12 March 2018 '' . TV Tonight . Retrieved 13 March 2018 .   Jump up ^ Knox , David ( 3 April 2016 ) . `` Logie Awards 2016 : nominations '' . TV Tonight . Retrieved 3 April 2016 .   Jump up ^ Knox , David ( 22 April 2017 ) . `` Logie Awards 2017 : nominees '' . TV Tonight . Retrieved 22 April 2017 .   Jump up ^ Cullins , Ashley ( 2017 - 06 - 15 ) . `` Tom Arnold Sues Australian Reality TV Network for Fraud '' . The Hollywood Reporter . Retrieved 2017 - 06 - 16 .              I 'm a Celebrity ... Get Me Out of Here ! ( Australia )     Seasons                 Winners     Freddie Flintoff   Brendan Fevola   Casey Donovan   Fiona O'Loughlin       Related articles     I 'm a Celebrity ... Get Me Out of Here !                 International versions of I 'm a Celebrity ... Get Me Out of Here !       Australia   France   Germany   Hungary   India   Romania   Sweden   United Kingdom ( original )   United States                 Current Australian reality television series     Seven Network     First Dates   Hell 's Kitchen Australia   House Rules   My Kitchen Rules   Seven Year Switch       Nine Network     Australian Ninja Warrior   Family Food Fight   Married at First Sight   The Block   The Voice       9Go !     Meet the Hockers       Network Ten     Australian Survivor   Bachelor in Paradise Australia   The Bachelor   The Bachelorette   MasterChef Australia   I 'm a Celebrity ... Get Me Out of Here !   Shark Tank       Eleven     Bondi Ink Tattoo       Arena     The Real Housewives of Melbourne   The Real Housewives of Sydney       Fox8     Australia 's Next Top Model   The Recruit       A&amp;E     Aussie Pickers   Demolition Man   Pawn Stars Australia       Lifestyle Food     The Great Australian Bake Off       All Australian reality series               Network Ten local programming ( current and upcoming )     Primetime     All Star Family Feud ( since 2016 )   Australian Survivor ( since 2016 )   The Bachelor Australia ( since 2013 )   The Bachelorette Australia ( since 2015 )   Bachelor in Paradise ( since 2018 )   Todd Sampson 's Body Hack ( since 2016 )   Bondi Vet ( since 2009 )   Bondi Rescue ( since 2006 )   CRAM ! ( since 2017 )   Family Feud ( since 2014 )   Gogglebox Australia ( since 2015 )   Have You Been Paying Attention ? ( since 2013 )   Hughesy , We Have a Problem ( since 2018 )   I 'm a Celebrity ... Get Me Out of Here ! ( since 2015 )   The Living Room ( since 2012 )   MasterChef Australia ( since 2009 )   Offspring ( 2010 -- 2014 , since 2016 )   Shark Tank ( since 2015 )   Show Me the Movie ! ( since 2018 )   Sisters ( since 2017 )   The Wrong Girl ( since 2016 )       Daytime     Ben 's Menu ( since 2014 )   Everyday Gourmet with Justine Schofield ( since 2011 )   Good Chef Bad Chef ( since 2011 )   My Market Kitchen ( since 2016 )       News     Ten Eyewitness News ( since 1965 )   The Project ( since 2009 )   Studio 10 ( since 2013 )       Sport     RPM ( 1997 -- 2008 , 2011 , since 2015 )       Weekends     Cruise Mode ( since 2016 )   Healthy Homes TV ( since 2015 )   ifish ( since 2009 )   Mass For You At Home ( since 1971 )   What 's Up Downunder       Upcoming     All Aussie Adventures ( 2018 )   Blind Date ( 2018 )   How to Stay Married ( 2018 )   Street Smart ( 2018 )      Retrieved from `` https://en.wikipedia.org/w/index.php?title=I%27m_a_Celebrity...Get_Me_Out_of_Here!_(Australian_TV_series)&amp;oldid=836890836 '' Categories :   Network Ten shows   2010s Australian television series   2015 Australian television series debuts   Australian reality television series   I 'm a Celebrity ... Get Me Out of Here !   English - language television programs   Television series by ITV Studios   Television shows set in South Africa   Hidden categories :   Use Australian English from February 2015   All Wikipedia articles written in Australian English   Use dmy dates from February 2015           Talk                                           Contents                   About Wikipedia                                           Deutsch   Edit links   This page was last edited on 17 April 2018 , at 13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</si>
  <si>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i am a celebrity get me out of here australia</t>
  </si>
  <si>
    <t xml:space="preserve">   Celebrity   Known for   Day Entered   Day Exited   Result     Fiona O'Loughlin   Comedian     45   Winner     Shannon Noll   Singer     45   Runner - up     Danny Green   Boxer   7   45   Third place     Vicky Pattison   Reality TV Star ( I 'm a Celeb UK , Winner )   17   44   Evicted 10th     Simone Holtznagel   Model     41   Evicted 9th     Peter Rowsthorn   Actor &amp; Comedian     40   Evicted 8th     Jackie Gillies   Psychic &amp; Reality TV Star     39   Evicted 7th     Josh Gibson   AFL Player     38   Evicted 6th     Paul Burrell   Former Royal Butler ( I 'm a Celeb UK , Runner Up )   17   37   Evicted 5th     Lisa Oldfield   Reality TV Star   24   34   Evicted 4th     David Oldfield   Former Politician   24   30   Evicted 3rd     Kerry Armstrong   Actress     23   Evicted 2nd     Tiffany Darwish   Singer     16   Evicted 1st     Anthony Mundine   Boxer     12   Withdrew     Bernard Tomic   Tennis Player       Withdrew   </t>
  </si>
  <si>
    <t xml:space="preserve">Acetylcholine - wikipedia  Acetylcholine  Not to be confused with Acetyl chloride .  Acetylcholine       Clinical data     Synonyms   ACh     Physiological data     Source tissues   motor neurons , parasympathetic nervous system , brain     Target tissues   skeletal muscles , brain , many other organs     Receptors   nicotinic , muscarinic     Agonists   nicotine , muscarine , cholinesterase inhibitors     Antagonists   tubocurarine , atropine     Precursor   choline , acetyl - CoA     Biosynthesis   choline acetyltransferase     Metabolism   acetylcholinesterase     Identifiers     IUPAC name ( show )   2 - Acetoxy - N , N , N - trimethylethanaminium       CAS Number     51 - 84 - 3       PubChem CID     187       IUPHAR / BPS     294       DrugBank     EXPT00412       ChemSpider     182       KEGG     C01996       E number   E1001 ( i ) ( additional chemicals )     ECHA InfoCard   100.000. 118     Acetylcholine ( ACh ) is an organic chemical that functions in the brain and body of many types of animals , including humans , as a neurotransmitter -- a chemical message released by nerve cells to send signals to other cells ( neurons , muscle cells , and gland cells ) . Its name is derived from its chemical structure : it is an ester of acetic acid and choline . Parts in the body that use or are affected by acetylcholine are referred to as cholinergic . Substances that interfere with acetylcholine activity are called anticholinergics . Acetylcholine is the neurotransmitter used at the neuromuscular junction -- in other words , it is the chemical that motor neurons of the nervous system release in order to activate muscles . This property means that drugs that affect cholinergic systems can have very dangerous effects ranging from paralysis to convulsions . Acetylcholine is also a neurotransmitter in the autonomic nervous system , both as an internal transmitter for the sympathetic nervous system and as the final product released by the parasympathetic nervous system .   The Acetylcholine ( ACh ) , has also been traced in cells of non-neural origins and microbes . Recently , enzymes related to its synthesis , degradation and cellular uptake have been traced back to early origins of unicellular eukaryotes . The protist pathogen Acanthamoeba spp . has shown the presence of ACh , which provides growth and proliferative signals via a membrane located M1 - muscarinic receptor homolog . In the brain , acetylcholine functions as a neurotransmitter and as a neuromodulator . The brain contains a number of cholinergic areas , each with distinct functions ; such as playing an important role in arousal , attention , memory and motivation .   Partly because of its muscle - activating function , but also because of its functions in the autonomic nervous system and brain , a large number of important drugs exert their effects by altering cholinergic transmission . Numerous venoms and toxins produced by plants , animals , and bacteria , as well as chemical nerve agents such as Sarin , cause harm by inactivating or hyperactivating muscles via their influences on the neuromuscular junction . Drugs that act on muscarinic acetylcholine receptors , such as atropine , can be poisonous in large quantities , but in smaller doses they are commonly used to treat certain heart conditions and eye problems . Scopolamine , which acts mainly on muscarinic receptors in the brain , can cause delirium and amnesia . The addictive qualities of nicotine are derived from its effects on nicotinic acetylcholine receptors in the brain .   Contents    1 Chemistry   2 Biochemistry   3 Functions   3.1 Cellular effects   3.2 Neuromuscular junction   3.3 Autonomic nervous system   3.3. 1 Direct vascular effects     3.4 Central nervous system   3.4. 1 Memory       4 Diseases and disorders   4.1 Myasthenia gravis     5 Pharmacology   5.1 Nicotine   5.2 Atropine   5.3 Cholinesterase inhibitors   5.4 Curare   5.5 Synthesis inhibitors   5.6 Release inhibitors     6 Comparative biology and evolution   7 History   8 References   9 Bibliography   10 External links    Chemistry ( edit )   Acetylcholine is a choline molecule that has been acetylated at the oxygen atom . Because of the presence of a highly polar , charged ammonium group , acetylcholine does not penetrate lipid membranes . Because of this , when the drug is introduced externally , it remains in the extracellular space and does not pass through the blood -- brain barrier . A synonym of this drug is miochol .   Biochemistry ( edit )   Acetylcholine is synthesized in certain neurons by the enzyme choline acetyltransferase from the compounds choline and acetyl - CoA . Cholinergic neurons are capable of producing ACh . An example of a central cholinergic area is the nucleus basalis of Meynert in the basal forebrain .   The enzyme acetylcholinesterase converts acetylcholine into the inactive metabolites choline and acetate . This enzyme is abundant in the synaptic cleft , and its role in rapidly clearing free acetylcholine from the synapse is essential for proper muscle function . Certain neurotoxins work by inhibiting acetylcholinesterase , thus leading to excess acetylcholine at the neuromuscular junction , causing paralysis of the muscles needed for breathing and stopping the beating of the heart .   Functions ( edit )  Acetylcholine pathway .  Acetylcholine functions in both the central nervous system ( CNS ) and the peripheral nervous system ( PNS ) . In the CNS , cholinergic projections from the basal forebrain to the cerebral cortex and hippocampus support the cognitive functions of those target areas . In the PNS , acetylcholine activates muscles and is a major neurotransmitter in the autonomic nervous system .   Cellular effects ( edit )  Main article : Acetylcholine receptor Acetylcholine processing in a synapse . After release acetylcholine is broken down by the enzyme acetylcholinesterase .  Like many other biologically active substances , acetylcholine exerts its effects by binding to and activating receptors located on the surface of cells . There are two main classes of acetylcholine receptor , nicotinic and muscarinic . They are named for chemicals that can selectively activate each type of receptor without activating the other : muscarine is a compound found in the mushroom Amanita muscaria ; nicotine is found in tobacco .   Nicotinic acetylcholine receptors are ligand - gated ion channels permeable to sodium , potassium , and calcium ions . In other words , they are ion channels embedded in cell membranes , capable of switching from a closed to an open state when acetylcholine binds to them ; in the open state they allow ions to pass through . Nicotinic receptors come in two main types , known as muscle - type and neuronal - type . The muscle - type can be selectively blocked by curare , the neuronal - type by hexamethonium . The main location of muscle - type receptors is on muscle cells , as described in more detail below . Neuronal - type receptors are located in autonomic ganglia ( both sympathetic and parasympathetic ) , and in the central nervous system .   Muscarinic acetylcholine receptors have a more complex mechanism , and affect target cells over a longer time frame . In mammals , five subtypes of muscarinic receptors have been identified , labeled M1 through M5 . All of them function as G protein - coupled receptors , meaning that they exert their effects via a second messenger system . The M1 , M3 , and M5 subtypes are G - coupled ; they increase intracellular levels of IP and calcium by activating phospholipase C. Their effect on target cells is usually excitatory . The M2 and M4 subtypes are G / G - coupled ; they decrease intracellular levels of cAMP by inhibiting adenylate cyclase . Their effect on target cells is usually inhibitory . Muscarinic acetylcholine receptors are found in both the central nervous system and the peripheral nervous system of the heart , lungs , upper gastrointestinal tract , and sweat glands .   Neuromuscular junction ( edit )  Muscles contract when they receive signals from motor neurons . The neuromuscular junction is the site of the signal exchange . The steps of this process in vertebrates occur as follows : ( 1 ) The action potential reaches the axon terminal . ( 2 ) Calcium ions flow into the axon terminal . ( 3 ) Acetylcholine is released into the synaptic cleft. ( 4 ) Acetylcholine binds to postsynaptic receptors. ( 5 ) This binding causes ion channels to open and allows sodium ions to flow into the muscle cell . ( 6 ) The flow of sodium ions across the membrane into the muscle cell generates an action potential which induces muscle contraction . Labels : A : Motor neuron axon B : Axon terminal C : Synaptic cleft D: Muscle cell E : Part of a Myofibril Main article : Neuromuscular junction  Acetylcholine is the substance the nervous system uses to activate skeletal muscles , a kind of striated muscle . These are the muscles used for all types of voluntary movement , in contrast to smooth muscle tissue , which is involved in a range of involuntary activities such as movement of food through the gastrointestinal tract and constriction of blood vessels . Skeletal muscles are directly controlled by motor neurons located in the spinal cord or , in a few cases , the brainstem . These motor neurons send their axons through motor nerves , from which they emerge to connect to muscle fibers at a special type of synapse called the neuromuscular junction .   When a motor neuron generates an action potential , it travels rapidly along the nerve until it reaches the neuromuscular junction , where it initiates an electrochemical process that causes acetylcholine to be released into the space between the presynaptic terminal and the muscle fiber . The acetylcholine molecules then bind to nicotinic ion - channel receptors on the muscle cell membrane , causing the ion channels to open . Calcium ions then flow into the muscle cell , initiating a sequence of steps that finally produce muscle contraction .   Autonomic nervous system ( edit )  Components and connections of the parasympathetic nervous system .  The autonomic nervous system controls a wide range of involuntary and unconscious body functions . Its main branches are the sympathetic nervous system and parasympathetic nervous system . Broadly speaking , the function of the sympathetic nervous system is to mobilize the body for action : the slogan often used for it is fight - or - flight . The function of the parasympathetic nervous system is to put the body in a state conducive to rest , regeneration , digestion , and reproduction : it is sometimes described using the slogans `` rest and digest '' or `` feed and breed '' . Both branches use acetylcholine , but in different ways .   At a schematic level , the sympathetic and parasympathetic nervous systems are both organized in essentially the same way : preganglionic neurons in the central nervous system send projections to neurons located in autonomic ganglia ; these neurons then send output projections to virtually every tissue of the body . In both branches the internal connections -- the projections from the central nervous system to the autonomic ganglia -- use acetylcholine as neurotransmitter , and the receptors it activates are of the nicotinic type . In the parasympathetic nervous system the output connections -- the projections from ganglion neurons to tissues that do n't belong to the nervous system -- also release acetylcholine , acting on muscarinic receptors . In the sympathetic nervous system the output connections mainly release noradrenaline , although acetylcholine is released at a few points , such as the sudomotor innervation of the sweat glands .  Direct vascular effects ( edit )  Acetylcholine in the serum exerts a direct effect on vascular tone by binding to muscarinic receptors present on vascular endothelium . These cells respond by increasing production of nitric oxide , which signals the surrounding smooth muscle to relax , leading to vasodilation .   Central nervous system ( edit )  Micrograph of the nucleus basalis ( of Meynert ) , which produces acetylcholine in the CNS . LFB - HE stain .  In the central nervous system , ACh has a variety of effects on plasticity , arousal and reward . ACh has an important role in the enhancement of alertness when we wake up , in sustaining attention and in learning and memory .   Damage to the cholinergic ( acetylcholine - producing ) system in the brain has been shown to be associated with the memory deficits associated with Alzheimer 's disease . ACh has also been shown to promote REM sleep .   In the brainstem acetylcholine originates from the Pedunculopontine nucleus and laterodorsal tegmental nucleus collectively known as the meso pontine tegmentum area or pontomesencephalotegmental complex . In the basal forebrain , it originates from the basal nucleus of Meynert and medial septal nucleus :    The pontomesencephalotegmental complex acts mainly on M1 receptors in the brainstem , deep cerebellar nuclei , pontine nuclei , locus coeruleus , raphe nucleus , lateral reticular nucleus and inferior olive . It also projects to the thalamus , tectum , basal ganglia and basal forebrain .   Basal nucleus of Meynert acts mainly on M1 receptors in the neocortex .   Medial septal nucleus acts mainly on M1 receptors in the hippocampus and parts of the cerebral cortex .    In addition , ACh acts as an important internal transmitter in the striatum , which is part of the basal ganglia . It is released by cholinergic interneurons . In humans , non-human primates and rodents , these interneurons respond to salient environmental stimuli with responses that are temporally aligned with the responses of dopaminergic neurons of the substantia nigra .  Memory ( edit )  Acetylcholine has been implicated in learning and memory in several ways . The anticholinergic drug , scopolamine , impairs acquisition of new information in humans and animals . In animals , disruption of the supply of acetylcholine to the neocortex impairs the learning of simple discrimination tasks , comparable to the acquisition of factual information and disruption of the supply of acetylcholine to the hippocampus and adjacent cortical areas produces forgetting comparable to anterograde amnesia in humans .   Diseases and disorders ( edit )   Myasthenia gravis ( edit )   The disease myasthenia gravis , characterized by muscle weakness and fatigue , occurs when the body inappropriately produces antibodies against acetylcholine nicotinic receptors , and thus inhibits proper acetylcholine signal transmission . Over time , the motor end plate is destroyed . Drugs that competitively inhibit acetylcholinesterase ( e.g. , neostigmine , physostigmine , or primarily pyridostigmine ) are effective in treating this disorder . They allow endogenously released acetylcholine more time to interact with its respective receptor before being inactivated by acetylcholinesterase in the synaptic cleft ( the space between nerve and muscle ) .   Pharmacology ( edit )   Blocking , hindering or mimicking the action of acetylcholine has many uses in medicine . Drugs acting on the acetylcholine system are either agonists to the receptors , stimulating the system , or antagonists , inhibiting it . Acetylcholine receptor agonists and antagonists can either have an effect directly on the receptors or exert their effects indirectly , e.g. , by affecting the enzyme acetylcholinesterase , which degrades the receptor ligand . Agonists increase the level of receptor activation , antagonists reduce it .   Acetylcholine itself does not have therapeutic value as a drug for intravenous administration because of its multi-faceted action ( non-selective ) and rapid inactivation by cholinesterase . However , it is used in the form of eye drops to cause constriction of the pupil during cataract surgery , which facilitates quick post-operational recovery .   Nicotine ( edit )   Nicotine binds to and activates nicotinic acetylcholine receptors , mimicking the effect of acetylcholine at these receptors . When ACh interacts with a nicotinic ACh receptor , it opens a Na+ channel and Na+ ions flow into the membrane . This causes a depolarization , and results in an excitatory post-synaptic potential . Thus , ACh is excitatory on skeletal muscle ; the electrical response is fast and short - lived .   Atropine ( edit )   Atropine is a non-selective competitive antagonist with Acetylcholine at muscarinic receptors .   Cholinesterase inhibitors ( edit )  Main article : Cholinesterase inhibitors  Many ACh receptor agonists work indirectly by inhibiting the enzyme acetylcholinesterase . The resulting accumulation of acetylcholine causes continuous stimulation of the muscles , glands , and central nervous system , which can result in fatal convulsions if the dose is high .   They are examples of enzyme inhibitors , and increase the action of acetylcholine by delaying its degradation ; some have been used as nerve agents ( Sarin and VX nerve gas ) or pesticides ( organophosphates and the carbamates ) . Many toxins and venoms produced by plants and animals also contain cholinesterase inhibitors . In clinical use , they are administered in low doses to reverse the action of muscle relaxants , to treat myasthenia gravis , and to treat symptoms of Alzheimer 's disease ( rivastigmine , which increases cholinergic activity in the brain ) .   Curare ( edit )  Main article : Curare  Synthesis inhibitors ( edit )   Organic mercurial compounds , such as methylmercury , have a high affinity for sulfhydryl groups , which causes dysfunction of the enzyme choline acetyltransferase . This inhibition may lead to acetylcholine deficiency , and can have consequences on motor function .   Release inhibitors ( edit )   Botulinum toxin ( Botox ) acts by suppressing the release of acetylcholine , whereas the venom from a black widow spider ( alpha - latrotoxin ) has the reverse effect . ACh inhibition causes paralysis . When bitten by a black widow spider , one experiences the wastage of ACh supplies and the muscles begin to contract . If and when the supply is depleted , paralysis occurs .   Comparative biology and evolution ( edit )   Acetylcholine is used by organisms in all domains of life for a variety of purposes . It is believed that choline , a precursor to acetylcholine , was used by single celled organisms billions of years ago ( 2 ) for synthesizing cell membrane phospholipids . Following the evolution of choline transporters , the abundance of intracellular choline paved the way for choline to become incorporated into other synthetic pathways , including acetylcholine production . Acetylcholine is used by bacteria , fungi , and a variety of other animals . Many of the uses of acetylcholine rely on its action on ion channels via GPCRs like membrane proteins ( 3 ) .   The two major types of acetylcholine receptors , muscarinic and nicotinic receptors , have convergently evolved to be responsive to acetylcholine . This means that rather than having evolved from a common homolog , these receptors evolved from separate receptor families . It is estimated that the nicotinic receptor family dates back longer than 2.5 billion years . Likewise , muscarinic receptors are thought to have diverged from other GPCRs at least 0.5 billion years ago . Both of these receptor groups have evolved numerous subtypes with unique ligand affinities and signaling mechanisms . The diversity of the receptor types enables acetylcholine to creating varying responses depending on which receptor types are activated , and allow for acetylcholine to dynamically regulate physiological processes .   History ( edit )   Acetylcholine ( ACh ) was first identified in 1915 by Henry Hallett Dale for its actions on heart tissue . It was confirmed as a neurotransmitter by Otto Loewi , who initially gave it the name Vagusstoff because it was released from the vagus nerve . Both received the 1936 Nobel Prize in Physiology or Medicine for their work . Acetylcholine was also the first neurotransmitter to be identified .   References ( edit )    ^ Jump up to : Tiwari , Prashant ; Dwivedi , Shubhangi ; Singh , Mukesh Pratap ; Mishra , Rahul ; Chandy , Anish ( 2017 - 05 - 15 ) . `` Basic and modern concepts on cholinergic receptor : A review '' . Asian Pacific Journal of Tropical Disease . 3 ( 5 ) : 413 -- 420 . doi : 10.1016 / S2222 - 1808 ( 13 ) 60094 - 8 . ISSN 2222 - 1808 . PMC 4027320 .   Jump up ^ Baig AM , Rana Z , Tariq S , Lalani S , Ahmad HR . Traced on the Timeline : Discovery of Acetylcholine and the Components of the Human Cholinergic System in a Primitive Unicellular Eukaryote Acanthamoeba spp . ACS Chem Neurosci. 2018 Mar 21 ; 9 ( 3 ) : 494 - 504 . doi : 10.1021 / acschemneuro. 7b00254 . Epub 2017 Nov 13 . PubMed PMID : 29058403   Jump up ^ Baig AM , Ahmad HR . Evidence of a M ( 1 ) - muscarinic GPCR homolog in unicellular eukaryotes : featuring Acanthamoeba spp bioinformatics 3D - modelling and experimentations . J Recept Signal Transduct Res. 2017 Jun ; 37 ( 3 ) : 267 - 275 . doi : 10.1080 / 10799893.2016. 1217884 . Epub 2016 Sep 7 . PubMed PMID : 27601178   Jump up ^ Smythies J ( 2009 ) . `` Philosophy , perception , and neuroscience '' . Perception. 38 ( 5 ) : 638 -- 51 . doi : 10.1068 / p6025 . PMID 19662940 .   Jump up ^ Smythies , John ; Lantremange , De ; d'Oreye , Maximilien ( 2016 ) . `` The Nature and Function of Digital Information Compression Mechanisms in the Brain and in Digital Television Technology '' . Frontiers in Systems Neuroscience. 10 . doi : 10.3389 / fnsys. 2016.00040 . ISSN 1662 - 5137 .   Jump up ^ Kellogg , D.L. ; Zhao , J.L. ; Coey , U. ; Green , J.V. ( February 2005 ) . `` Acetylcholine - induced vasodilation is mediated by nitric oxide and prostaglandins in human skin '' . Journal of Applied Physiology. 98 ( 2 ) : 629 -- 632 . doi : 10.1152 / japplphysiol. 00728.2004 . ISSN 8750 - 7587 . PMID 15649880 .   Jump up ^ Jones , BE ( November 2005 ) . `` From waking to sleeping : neuronal and chemical substrates '' . Trends in Pharmacological Sciences . 26 ( 11 ) : 578 -- 86 . doi : 10.1016 / j. tips. 2005.09. 009 . PMID 16183137 .   Jump up ^ Himmelheber , AM ; Sarter , M ; Bruno , JP ( June 2000 ) . `` Increases in cortical acetylcholine release during sustained attention performance in rats '' . Brain Research . Cognitive Brain Research . 9 ( 3 ) : 313 -- 25 . doi : 10.1016 / S0926 - 6410 ( 00 ) 00012 - 4 . PMID 10808142 .   ^ Jump up to : Ridley , R.M. ; Bowes , P.M. ; Baker , H.F. ; Crow , T.J. ( 1984 ) . `` An involvement of acetylcholine in object discrimination learning and memory in the marmoset '' . Neuropsychologia. 22 ( 3 ) : 253 -- 263 . doi : 10.1016 / 0028 - 3932 ( 84 ) 90073 - 3 . PMID 6431311 .   Jump up ^ Francis PT , Palmer AM , Snape M , Wilcock GK ( February 1999 ) . `` The cholinergic hypothesis of Alzheimer 's disease : a review of progress '' . Journal of Neurology , Neurosurgery , and Psychiatry . 66 ( 2 ) : 137 -- 47 . doi : 10.1136 / jnnp. 66.2. 137 . PMC 1736202 . PMID 10071091 .   Jump up ^ Platt , Bettina ; Riedel , Gernot ( 10 August 2011 ) . `` The cholinergic system , EEG and sleep '' . Behavioural Brain Research . 221 ( 2 ) : 499 -- 504 . doi : 10.1016 / j. bbr. 2011.01. 017 . PMID 21238497 .   ^ Jump up to : Woolf , NJ ; Butcher , LL ( May 1986 ) . `` Cholinergic systems in the rat brain : III . Projections from the pontomesencephalic tegmentum to the thalamus , tectum , basal ganglia , and basal forebrain '' . Brain Research Bulletin . 16 ( 5 ) : 603 -- 37 . doi : 10.1016 / 0361 - 9230 ( 86 ) 90134 - 6 . PMID 3742247 .   ^ Jump up to : Woolf , NJ ; Butcher , LL ( December 1989 ) . `` Cholinergic systems in the rat brain : IV . Descending projections of the pontomesencephalic tegmentum '' . Brain Research Bulletin . 23 ( 6 ) : 519 -- 40 . doi : 10.1016 / 0361 - 9230 ( 89 ) 90197 - 4 . PMID 2611694 .   Jump up ^ Goldberg , J.A. ; Reynolds , J.N.J. ( 15 December 2011 ) . `` Spontaneous firing and evoked pauses in the tonically active cholinergic interneurons of the striatum '' . Neuroscience. 198 : 27 -- 43 . doi : 10.1016 / j. neuroscience. 2011.08. 067 . PMID 21925242 .   Jump up ^ Morris , Genela ; Arkadir , David ; Nevet , Alon ; Vaadia , Eilon ; Bergman , Hagai ( 8 July 2004 ) . `` Coincident but Distinct Messages of Midbrain Dopamine and Striatal Tonically Active Neurons '' . Neuron. 43 ( 1 ) : 133 -- 143 . doi : 10.1016 / j. neuron. 2004.06. 012 . PMID 15233923 .   Jump up ^ Crow , T.J. ; Grove - White , I.G. ( October 1973 ) . `` An analysis of the learning deficit following hyoscine administration in man '' . British Journal of Pharmacology . 49 ( 2 ) : 322 -- 327 . doi : 10.1111 / j. 1476 - 5381.1973. tb08379. x . PMC 1776392 . PMID 4793334 .   Jump up ^ Ridley , R.M. ; Murray , T.K. ; Johnson , J.A. ; Baker , H.F. ( June 1986 ) . `` Learning impairment following lesion of the basal nucleus of Meynert in the marmoset : modification by cholinergic drugs '' . Brain Research . 376 ( 1 ) : 108 -- 116 . doi : 10.1016 / 0006 - 8993 ( 86 ) 90904 - 2 . PMID 3087582 .   Jump up ^ Easton , A. ; Ridley , R.M. ; Baker , H.F. ; Gaffan , D. ( July 2002 ) . `` Severe learning impairments after combined lesion of the cholinergic basal forebrain and fornix system in Rhesus monkeys '' . Cerebral Cortex. 12 ( 7 ) : 729 -- 736 . doi : 10.1093 / cercor / 12.7. 729 . PMID 12050084 .   ^ Jump up to : `` Evolution of the Human CNS Cholineric System : Has This Resulted in the Emergence of Psychiatric Disease ? '' . ResearchGate . Retrieved 2017 - 11 - 30 .    Bibliography ( edit )    Brenner , G.M. ; Stevens , C.W. ( 2006 ) . Pharmacology ( 2nd ed . ) . Philadelphia PA : W.B. Saunders . ISBN 1 - 4160 - 2984 - 2 .   Canadian Pharmacists Association ( 2000 ) . Compendium of Pharmaceuticals and Specialties ( 25th ed . ) . Toronto ON : Webcom . ISBN 0 - 919115 - 76 - 4 .   Carlson , NR ( 2001 ) . Physiology of Behavior ( 7th ed . ) . Needham Heights MA : Allyn and Bacon . ISBN 0 - 205 - 30840 - 6 .   Gershon , Michael D. ( 1998 ) . The Second Brain . New York NY : HarperCollins . ISBN 0 - 06 - 018252 - 0 .   Siegal , A. ; Sapru , H.N. ( 2006 ) . `` Ch. 15 '' . Essential Neuroscience ( Revised 1st ed . ) . Philadelphia : Lippincott , Williams &amp; Wilkins . pp. 255 -- 267 .   Hasselmo ME ( February 1995 ) . `` Neuromodulation and cortical function : modeling the physiological basis of behavior '' . Behav . Brain Res. 67 ( 1 ) : 1 -- 27 . doi : 10.1016 / 0166 - 4328 ( 94 ) 00113 - T. PMID 7748496 . as PDF   Yu , AJ ; Dayan , P ( May 2005 ) . `` Uncertainty , neuromodulation , and attention '' . Neuron. 46 ( 4 ) : 681 -- 92 . doi : 10.1016 / j. neuron. 2005.04. 026 . PMID 15944135 . as PDF    External links ( edit )    Warning over combining common medicines for elderly              Neurotransmitters     Amino acid - derived     Major excitatory / inhibitory systems : Glutamate system : Agmatine   Aspartic acid ( aspartate )   Cycloserine   Glutamic acid ( glutamate )   Glutathione   Glycine   GSNO   GSSG   Kynurenic acid   NAA   NAAG   Proline   Serine ; GABA system : GABA   GABOB   GHB ; Glycine system : α - Alanine   β - Alanine   Glycine   Hypotaurine   Proline   Sarcosine   Serine   Taurine ; GHB system : GHB   T - HCA ( GHC )     Biogenic amines : Monoamines : 6 - OHM   Dopamine   Epinephrine ( adrenaline )   NAS ( normelatonin )   Norepinephrine ( noradrenaline )   Serotonin ( 5 - HT ) ; Trace amines : 3 - Iodothyronamine   N - Methylphenethylamine   N - Methyltryptamine   m - Octopamine   p - Octopamine   Phenylethanolamine   Phenethylamine   Synephrine   Tryptamine   m - Tyramine   p - Tyramine ; Others : Histamine     Neuropeptides : See here instead .       Lipid - derived     Endocannabinoids : 2 - AG   2 - AGE ( noladin ether )   2 - ALPI   2 - OG   AA - 5 - HT   Anandamide ( AEA )   DEA   LPI   NADA   NAGly   OEA   Oleamide   PEA   RVD - Hpα   SEA   Virodhamine ( O - AEA )     Neurosteroids : See here instead .       Nucleobase - derived     Nucleosides : Adenosine system : Adenosine   ADP   AMP   ATP       Vitamin - derived     Cholinergic system : Acetylcholine       Miscellaneous     Gasotransmitters : Carbon monoxide ( CO )   Hydrogen sulfide ( H S )   Nitric oxide ( NO ) ; Candidates : Acetaldehyde   Ammonia ( NH )   Carbonyl sulfide ( COS )   Nitrous oxide ( N O )   Sulfur dioxide ( SO )         Acetylcholine receptor modulators                Muscarinic acetylcholine receptor modulators     mAChRs      Agonists     77 - LH - 28 - 1   AC - 42   AC - 260,584   Aceclidine   Acetylcholine   AF30   AF150 ( S )   AF267B   Alvameline   AQRA - 741   Arecoline   Bethanechol   Bevonium   Butyrylcholine   Carbachol   CDD - 0034   CDD - 0078   CDD - 0097   CDD - 0098   CDD - 0102   Cevimeline   Choline   cis - Dioxolane   Clozapine   Desmethylclozapine ( norclozapine )   Ethoxysebacylcholine   Itameline   LY - 593,039   L - 689,660   LY - 2,033,298   McNA343   Methacholine   Milameline   Muscarine   NGX - 267   Ocvimeline   Oxotremorine   PD - 151,832   Pilocarpine   RS86   Sabcomeline   SDZ 210 - 086   Sebacylcholine   Suberyldicholine   Talsaclidine   Tazomeline   Thiopilocarpine   Vedaclidine   VU - 0029767   VU - 0090157   VU - 0152099   VU - 0152100   VU - 0238429   WAY - 132,983   Xanomeline   YM - 796       Antagonists     3 - Quinuclidinyl benzilate   4 - DAMP   Aclidinium bromide ( + formoterol )   Abediterol   AF - DX 250   AF - DX 384   Ambutonium bromide   Anisodamine   Anisodine   Antihistamines ( first - generation ) ( e.g. , brompheniramine , buclizine , captodiame , chlorphenamine ( chlorpheniramine ) , cinnarizine , clemastine , cyproheptadine , dimenhydrinate , dimetindene , diphenhydramine , doxylamine , meclizine , mepyramine ( pyrilamine ) , mequitazine , perlapine , phenindamine , pheniramine , phenyltoloxamine , promethazine , propiomazine , triprolidine )   AQ - RA 741   Atropine   Atropine methonitrate   Atypical antipsychotics ( e.g. , clozapine , fluperlapine , olanzapine ( + fluoxetine ) , rilapine , quetiapine , tenilapine , zotepine )   Benactyzine   Benzatropine ( benztropine )   Benzilone   Benzilylcholine mustard   Benzydamine   BIBN 99   Biperiden   Bornaprine   Camylofin   CAR - 226,086   CAR - 301,060   CAR - 302,196   CAR - 302,282   CAR - 302,368   CAR - 302,537   CAR - 302,668   Caramiphen   Cimetropium bromide   Clidinium bromide   Cloperastine   CS - 27349   Cyclobenzaprine   Cyclopentolate   Darifenacin   DAU - 5884   Desfesoterodine   Dexetimide   DIBD   Dicycloverine ( dicyclomine )   Dihexyverine   Difemerine   Diphemanil metilsulfate   Ditran   EA - 3167   EA - 3443   EA - 3580   EA - 3834   Emepronium bromide   Etanautine   Etybenzatropine ( ethybenztropine )   Fenpiverinium   Fentonium bromide   Fesoterodine   Flavoxate   Glycopyrronium bromide ( + beclometasone / formoterol , + indacaterol )   Hexahydrodifenidol   Hexahydrosiladifenidol   Hexbutinol   Hexocyclium   Himbacine   HL - 031,120   Homatropine   Imidafenacin   Ipratropium bromide ( + salbutamol )   Isopropamide   J - 104,129   Hyoscyamine   Mamba toxin 3   Mamba toxin 7   Mazaticol   Mebeverine   Meladrazine   Mepenzolate   Methantheline   Methoctramine   Methylatropine   Methylhomatropine   Methylscopolamine   Metixene   Muscarinic toxin 7   N - Ethyl - 3 - piperidyl benzilate   N - Methyl - 3 - piperidyl benzilate   Nefopam   Octatropine methylbromide ( anisotropine methylbromide )   Orphenadrine   Otenzepad ( AF - DX 116 )   Otilonium bromide   Oxapium iodide   Oxitropium bromide   Oxybutynin   Oxyphencyclimine   Oxyphenonium bromide   PBID   PD - 102,807   PD - 0298029   Penthienate   Pethidine   pFHHSiD   Phenglutarimide   Phenyltoloxamine   Pipenzolate bromide   Piperidolate   Pirenzepine   Piroheptine   Pizotifen   Poldine   Pridinol   Prifinium bromide   Procyclidine   Profenamine ( ethopropazine )   Propantheline bromide   Propiverine   Quinidine   Revefenacin   Rociverine   RU - 47,213   SCH - 57,790   SCH - 72,788   SCH - 217,443   Scopolamine ( hyoscine )   Scopolamine butylbromide ( hyoscine butylbromide )   Silahexacyclium   Sofpironium bromide   Solifenacin   SSRIs ( e.g. , femoxetine , paroxetine )   Telenzepine   Terodiline   Tetracyclic antidepressants ( e.g. , amoxapine , maprotiline , mianserin , mirtazapine )   Tiemonium iodide   Timepidium bromide   Tiotropium bromide   Tiquizium bromide   Tofenacin   Tolterodine   Tricyclic antidepressants ( e.g. , amitriptyline ( + perphenazine ) , amitriptylinoxide , butriptyline , cidoxepin , clomipramine , desipramine , desmethyldesipramine , dibenzepin , dosulepin ( dothiepin ) , doxepin , imipramine , lofepramine , nitroxazepine , northiaden ( desmeth</t>
  </si>
  <si>
    <t xml:space="preserve">where is acetylcholine released in the sympathetic nervous system</t>
  </si>
  <si>
    <t xml:space="preserve"> At a schematic level , the sympathetic and parasympathetic nervous systems are both organized in essentially the same way : preganglionic neurons in the central nervous system send projections to neurons located in autonomic ganglia ; these neurons then send output projections to virtually every tissue of the body . In both branches the internal connections -- the projections from the central nervous system to the autonomic ganglia -- use acetylcholine as neurotransmitter , and the receptors it activates are of the nicotinic type . In the parasympathetic nervous system the output connections -- the projections from ganglion neurons to tissues that do n't belong to the nervous system -- also release acetylcholine , acting on muscarinic receptors . In the sympathetic nervous system the output connections mainly release noradrenaline , although acetylcholine is released at a few points , such as the sudomotor innervation of the sweat glands . </t>
  </si>
  <si>
    <t xml:space="preserve">Mother India - wikipedia  Mother India  This article is about the Hindi film . For the national personification of India , see Bharat Mata . For other uses , see Mother India ( disambiguation ) .      Mother India     Film poster     Directed by   Mehboob Khan     Produced by   Mehboob Khan     Written by   Mehboob Khan Wajahat Mirza S. Ali Raza     Starring   Nargis Sunil Dutt Rajendra Kumar Raaj Kumar     Music by   Naushad     Cinematography   Faredoon A. Irani     Edited by   Shamsudin Kadri     Production company   Mehboob Productions     Release date     25 October 1957 ( 1957 - 10 - 25 ) ( India )               Running time   172 minutes     Country   India     Language   Hindi - Urdu     Box office   est. ₹ 40 million    Play media Mother India , 1957  Mother India is a 1957 Indian epic drama film , directed by Mehboob Khan and starring Nargis , Sunil Dutt , Rajendra Kumar , and Raaj Kumar . A remake of Khan 's earlier film Aurat ( 1940 ) , it is the story of a poverty - stricken village woman named Radha ( Nargis ) , who in the absence of her husband , struggles to raise her sons and survive against a cunning money - lender amidst many troubles . Despite her hardships , she sets a goddess - like moral example of an ideal Indian woman .   The title of the film was chosen to counter American author Katherine Mayo 's 1927 polemical book Mother India , which vilified Indian culture . Allusions to Hindu mythology are abundant in the film , and its lead character has been seen as a metonymic representation of a Hindu woman who reflects high moral values and the concept of what it means to be a mother to society through self - sacrifice . Mother India metaphorically represents India as a nation in the aftermath of independence , and alludes to a strong sense of nationalism and nation - building . While some authors treat Radha as the symbol of women empowerment , others see her cast in female stereotypes . The film was shot in Mumbai 's Mehboob Studios and in the villages of Maharashtra , Gujarat , and Uttar Pradesh states . The music by Naushad introduced Western classical music and Hollywood - style orchestra to Hindi cinema .   The film was the most expensive Hindi cinema ( Bollywood ) production and earned the highest revenue for any Hindi film at that time . Adjusted for inflation , Mother India still ranks among the all - time Indian box office hits . It was released in India amid fanfare in October or November 1957 , and had several high - profile screenings , including one at the capital , New Delhi , attended by the country 's president and prime minister . Mother India became a definitive cultural classic and is regarded as one of the best films in Indian and world cinema . It was India 's first submission for the Academy Award for Best Foreign Language Film in 1958 , where it got the nomination and lost the award by just one vote . The film won the All India Certificate of Merit for Best Feature Film , the Filmfare Best Film Award for 1957 , and Nargis and Khan won the Best Actress and Best Director awards respectively .   Contents  ( hide )   1 Plot   2 Cast   3 Production   3.1 Title   3.2 Script   3.3 Casting   3.4 Filming     4 Themes   5 Reception   5.1 Release   5.2 Reviews   5.3 Awards     6 Music   7 Legacy   8 See also   9 Explanatory notes   10 References   11 Bibliography   12 External links    Plot ( edit )   The film is set in 1957 , the present day at the time of shooting . When construction of an irrigation canal to the village is completed , Radha ( Nargis ) , considered to be the `` mother '' of the village , is asked to inaugurate the canal . She remembers her past , when she was newly married .   The wedding between Radha and Shamu ( Raaj Kumar ) is paid for by Radha 's mother - in - law , who borrows the money from the moneylender Sukhilala ( Kanhaiyalal ) . The conditions of the loan are disputed , but the village elders decide in favour of the moneylender , after which Shamu and Radha are forced to pay three quarters of their crop as interest on the loan of ₹ 500 ( valued at about US $ 105 in 1957 ) . While Shamu works to bring more of their rocky land into use , his arms are crushed by a boulder . Ashamed of his helplessness ( being without arms ) , and humiliated by Sukhilala for living on the earnings of his wife , Shamu decides that he is of no use to his family and permanently leaves Radha and their three sons , walking to his own probable death by starvation . Soon after , Radha 's youngest son and her mother - in - law die . A severe storm and the resulting flood destroys houses in the village and ruins the harvest . Sukhilala offers to save Radha and her sons if she trades her body to him for food . Radha vehemently refused his offer , but had to also lose her infant ( her fourth son ) to the atrocities of the storm . Although the villagers begin initially to evacuate the village , they decide to stay and rebuild it , persuaded by Radha .   Several years later , Radha 's two surviving children , Birju ( Sunil Dutt ) and Ramu ( Rajendra Kumar ) , are young men . Birju , embittered since childhood by the demands of Sukhilala , takes out his frustrations by pestering the village girls , especially Sukhilala 's daughter , Rupa . Ramu , by contrast , has a calmer temperament and is married soon after . Birju 's anger finally becomes dangerous and , after being provoked , he attacks Sukhilala and his daughter and steals Radha 's kangan ( marriage bracelets ) that were pawned with Sukhilala . He is chased out of the village and becomes a bandit . Radha promises Sukhilala that she will not let Birju cause harm to Sukhilala 's family . On Rupa 's wedding day , Birju returns with his gang of bandits to exact his revenge . He kills Sukhilala and kidnaps Rupa . When he tries to flee the village on his horse , Radha , his mother , shoots him . He dies in her arms . The film returns to 1957 ; Radha opens the gate of the canal and its reddish water flows into the fields .   Cast ( edit )   External image   Images of Nargis in Mother India      Nargis as Radha , the heroine and an archetypal Indian woman   Sunil Dutt as Birju , Radha 's rebellious younger son , who turns into a bandit   Rajendra Kumar as Ramu , Radha 's elder son , who follows his mother 's path of virtuousness   Raaj Kumar as Shamu , Radha 's husband   Kanhaiyalal as Sukhilala `` Lala '' , a cunning money - lender   Jilloo Maa as Sundar - Chachi , the mother - in - law of Radha   Kumkum as Champa , the wife of Ramu   Chanchal as Rupa , Sukhilala 's daughter   Sheela Naik as Kamala , a family friend   Mukri as Shambu , a family friend , and Kamala 's husband   Azra as Chandra , daughter of a schoolmaster of the village   Sajid Khan as a young Birju   Surendra as a young Ramu    Production ( edit )   Title ( edit )   The title Mother India was inspired by American author Katherine Mayo 's 1927 polemical book of the same name , in which she attacked Indian society , religion and culture . Written against the Indian demands for self - rule and independence from British rule , the book pointed to the treatment of India 's women , the untouchables , animals , dirt , and the character of its nationalistic politicians . Mayo singled out the rampant and fatally weakening sexuality of its males to be at the core of all problems , leading to masturbation , rape , homosexuality , prostitution , venereal diseases , and , most importantly , premature sexual intercourse and maternity . The book created an outrage across India , and it was burned along with her effigy . It was criticised by Mahatma Gandhi as a `` report of a drain inspector sent out with the one purpose of opening and examining the drains of the country to be reported upon '' . The book prompted over fifty angry books and pamphlets to be published to highlight Mayo 's errors and false perception of Indian society , which had become a powerful influence on the American people 's view of India .   Mehboob Khan had the idea for the film and the title as early as 1952 , five years after India 's independence ; in October that year , he approached the import authorities of the Indian government to seek permission for importing raw stocks for the film . In 1955 , the ministries of External Affairs and Information - and - Broadcasting learned of the title of the forthcoming film and demanded that the director send them the script for review , suspicious that it was based on the book and thus a possible threat to national interest . The film team dispatched the script along with a two - page letter on 17 September 1955 saying :   There has been considerable confusion and misunderstanding in regard to our film production Mother India and Mayo 's book . Not only are the two incompatible but totally different and indeed opposite . We have intentionally called our film Mother India , as a challenge to this book , in an attempt to evict from the minds of the people the scurrilous work that is Miss Mayo 's book .   Script ( edit )  The 1940 film Aurat ( Woman ) was remade as Mother India . Khan 's future wife Sardar Akhtar played the role of Radha in Aurat .  Khan was inspired by American author Pearl S. Buck and her books The Good Earth ( 1931 ) and The Mother ( 1934 ) ; he also saw the film The Good Earth ( 1937 ) , directed by Sidney Franklin . The Mother chronicled the life of a Chinese woman , including her married life and lonely struggle after being abandoned by her husband . Aspects of Mother India , such as moneylenders , toiling on land , and rearing children through hardship were part of the story . Khan originally drew upon these influences in making his 1940 film Aurat , the original version of Mother India . Khan bought the rights of Aurat from the production company National Studios for ₹ 35,000 ( valued at about US $7,350 in 1957 ) . Stylistic elements of Mother India show similarities with Vsevolod Pudovkin 's Soviet silent film Mother ( 1926 ) ; Our Daily Bread ( 1934 ) , directed by King Vidor ; and films of Alexander Dovzhenko . Certain imagery in the film , such as `` happy farmers , sickles in their hand , smiling from behind ripening crops '' , resemble posters by Soviet constructivist artists .   The script of Aurat was devised by Wajahat Mirza , based upon a story by Babubhai Mehta . For Mother India , it was reworked by Mirza and the young screenwriter S. Ali Raza . Apart from Mehboob Khan , Mirza and Raza , prominent screenwriters Aghajani Kashmeri , Zia Sarhadi , Akhtar Mirza , music director Naushad , assistant director Chimankant Desai and many others were consulted . The dialogue , reworked by Mirza and Raza , is a blend of Urdu , vernacular Hindi , and its literary counterpart . As Mirza and Raza were from the Urdu literary tradition , they wrote the dialogues in Urdu script .   The script was intentionally written in a way that promoted the empowerment of women in Indian society ( including the power to resist sexual advances ) and the maintenance of a sense of moral dignity and purpose as individuals ; this was contrary to what Mayo had claimed in her book . These themes , present in Aurat , were further developed with a strong sense of nationalism and nation - building , using characters personifying abstract qualities such as `` beauty and goodness , wealth and power , poverty and exploitation , and community spirit '' .   Casting ( edit )   Nargis was the director 's first choice for the role of Radha , and despite only being aged 26 at the time , she played the role of the new wife , young single mother and an aged mother of two sons . Nargis -- the reigning queen of Hindi cinema at the time -- had started her career in a leading role with Khan 's Taqdeer ( 1943 ) and acted under his direction in Humayun ( 1945 ) and Andaz ( 1949 ) . Mother India is generally regarded as Nargis 's best performance and was her last major film before retirement after marriage .   Khan had wanted to cast Sabu Dastagir , a Hollywood star of Indian origin , as Birju . Dastagir travelled to India from Los Angeles , stayed in a hotel in Mumbai ( then known as Bombay ) and received a retainer . However , delays and obstacles in beginning shooting and getting a work permit for Dastagir led to his dismissal from the project . Dilip Kumar , an established actor in the Hindi film industry , had originally expressed an interest in playing Birju , which Khan found agreeable ; Dilip Kumar agreed to play Shamu as well . However , Nargis objected that the public would not accept their casting as mother and son because she had done several romantic films alongside him . Sunil Dutt -- with the experience of just one film -- was finally cast , after Mukri , a comedian in the film , introduced him to Khan . Sajid Khan , the actor who portrayed the young Birju , was unknown at the time , and was from a poor family from the Mumbai slums . Sajid 's salary in the film was ₹ 750 . He was later adopted by Mehboob Khan . Subsequently , Raaj Kumar was cast as Shamu and Rajendra Kumar as Ramu . Mother India was the first successful film and a turning point in the careers of Dutt , Raaj Kumar and Rajendra Kumar .   Before principal photography began , Nargis and Raaj Kumar familiarised themselves with farming practices such as ploughing the fields , reaping and sowing , and cotton picking . The extras in the song and dance sequences of the film were from local dance groups in villages where the shooting took place instead of the usual ones from Mumbai .   Filming ( edit )   The initial filming for Mother India began unexpectedly , even before the script and cast were finalised . In 1955 , parts of Uttar Pradesh suffered from major flooding . Cinematographer Faredoon Irani travelled to flood - afflicted districts to shoot generic flood scenes . The scheduled principal photography started in 1955 with a budget of ₹ 20 -- 25 lakh ( approximately US $420,000 -- 525,000 in 1957 ) . However , the budget increased to ₹ 35 -- 40 lakh ( approximately US $735,000 -- 840,000 in 1957 ) by the end of the filming because of the outdoor sessions and cast and crew 's salaries . This budget , a record at the time , was surpassed by Mughal - e-Azam in 1960 .  Mehboob Studios in Mumbai , where most of the indoor shots of the film were taken .  Several indoor scenes for the film were shot in 1956 at Mehboob Studios in Bandra , Mumbai . Khan and Irani attempted to shoot frequently on location to make the film as realistic as possible . Locations included various villages in Maharashtra , Gujarat ( Maharashtra and Gujarat together formed Bombay State then ) and Uttar Pradesh . The film was shot in 35mm . Contemporary cinematographer Anil Mehta has noted the mastery of Irani 's cinematic techniques in shooting the film , including his `` intricate tracks and pans , the detailed mise en scène patterns Irani conceived , even for brief shots -- in the studios as well as on location '' . The film took about three years to make , from early organisation , planning , and scripting to completion of filming . In a November 1956 interview , Nargis described the film shoot and her role as the most demanding of her career . Mother India was shot in Gevacolor , later converted to Technicolor . It was shot mostly using the sync sound technique , which was common at the time ; some scenes were dubbed .   For shooting the flood scene , a farmer agreed to flood 500 acres ( 200 ha ) of his land . In the exodus scene following the flood , 300 bullock carts , 200 farmers and many horses , tractors and ploughs were used . Gayatri Chatterjee writes about the popular belief that all these were made available by villagers without reimbursement , in her book . However , account ledgers of the production revealed that the villagers were paid . There was a protracted scene in the film in which Radha runs between burning haystacks in search for her son Birju , a renegade bandit , who was hiding there . The fire scene was shot in the Umra area of Surat , Gujarat , by burning bales of hay . Nargis and Dutt acted in the fire scene without doubles . On 1 March 1957 , an accident occurred during the fire scene when the wind direction changed and the fire grew out of control , trapping Nargis . She was saved by Dutt , who quickly grabbed a blanket , plunged inside , and rescued her . Shooting halted temporarily as both had sustained injuries . Dutt was hospitalised for the burns and Nargis helped nurse him , at Khan 's place in Billimora . Nargis -- a popular actress at the time -- fell in love with Dutt , who was in early stages of his film career and played her son in the film ; they married on 11 March 1958 . Nargis wished to marry soon after the film , but Khan protested that real - life marriage of the onscreen mother - son would be disastrous for the film . Owing to their relationship , Nargis also found it difficult to perform a scene where she beat Dutt with a lathi .   Themes ( edit )  In Hindu mythology , Radha is the lover of the god Krishna . Scholars have noted that the character Radha in the film personifies the love and romance of mythological Radha .  Various authors identify the character of Radha with Hindu mythological goddesses and characters , such as Radha ( the lover of the god Krishna , personifying love and romance ) , Sita ( the divine heroine of the Hindu epic Ramayana , personifying high moral value ) , Savitri ( representing great morality and loyalty to husband ) , Draupadi ( personifying duty and morality ) , Dharti - mata ( earth - mother goddess ) and Lakshmi ( Hindu goddess of prosperity ) . Besides these gentle goddesses , the character of Radha has shades of more ferocious warrior goddesses such as Durga and Kali . Film scholars have compared the mild - mannered , obedient son Ramu with the god Rama of the epic Ramayana , and the romantic outlaw Birju -- a name of Krishna -- with the god Krishna , known for his transgressions . Shamu ( another name of Krishna ) , Radha 's husband who leaves her , is also equated with Krishna , who left his lover Radha in mythological accounts . The title Mother India and Radha 's character are described to be allusions not only to the Hindu Mother Goddess , but also to Bharat Mata ( literally `` Mother India '' ) , the national personification of India , generally represented as a Hindu goddess .   According to professor Nalini Natarajan of the University of Puerto Rico , Nargis 's Mother India is a metonymic representation of a Hindu woman , reflecting high Hindu values , with virtuous morality and motherly self - sacrifice . Film scholar Jyotika Virdi wrote that Mother India could also be seen as a metaphor of the trinity of mother , God , and a dynamic nation . Vijay Mishra , in his 2002 book Bollywood Cinema : Temples of Desire , opined that the Mother India figure is an icon in several respects -- being associated with a goddess , her function as a wife , as a lover , and even compromising her femininity at the end of the film by playing the role of Vishnu the Preserver and Shiva the Destroyer , masculine gods .   According to Indian film scholars Gokulsing and Dissanayake , while aspiring to traditional Hindu values , the character of Mother India also represents the changing role of the mother in Indian cinema and society in that the mother is not always subservient or dependent on her husband , refining the relationship to the male gender or patriarchal social structures . The New Internationalist said in a 1999 review that Radha transforms from a submissive wife to an independent mother , thereby breaking female stereotypes in Hindi film . In contrast , in a 2012 article in the newspaper The Hindu , author Tarini Sridharan has pointed out themes such as upholding female chastity , wifely devotion and saintly motherhood that reinforce gender stereotypes . While the action of sacrificing motherhood to uphold a woman 's dignity is termed as feminist by some , other authors see it as an attempt of a community woman to protect the patriarchal village structure , that esteems izzat ( honour ) of women . A promotional pamphlet to introduce the social context of the film to western audiences described Indian women as being `` an altar in India '' , and that Indians `` measure the virtue of their race by the chastity of their women '' , and that `` Indian mothers are the nucleus around which revolve the tradition and culture of ages . ''   In a 2002 review in The New York Times , film critic Dave Kehr compares the film with Stella Dallas ( 1937 ) for the thematic similarity of the series of sacrifices made by the female lead , and with Gone with the Wind ( 1939 ) as an epic mirroring social upheavals . Film critic Mark Cousins and author Tejaswini Ganti agree that the film is the Gone with the Wind of Indian cinema .  Bharat Mata ( literally `` Mother India '' ) , the national personification of India . Scholars have noted allusions to this goddess in the protagonist Radha and in the film Mother India , which is interpreted as an allegorical representation of India after independence .  The term `` Mother India '' has been defined as `` a common icon for the emergent Indian nation in the early 20th century in both colonialist and nationalist discourse '' . Many authors , including Gayatri Chatterjee , author of Mother India ( 2002 ) , interpret the film as an allegory signifying patriotism and the changing situation in the newly independent nation , and how India was functioning without British authority . It echoes the tale of a modern India , liberating itself from `` feudal and colonial oppression '' . The film , an archetypal nationalistic picture , is symbolic in that it demonstrated the euphoria of `` Mother India '' in a nation that had only been independent for 10 years , and it had a long - lasting cultural impact upon the Indian people . Film scholar Saibal Chatterjee considers Mother India a `` mirror of independent India '' , highlighting problems of a nascent nation , including rural exploitation of farmers by money - lenders , in a dramatic fashion understandable to the common viewer . It also represents the agrarian poverty and hardship of the people at the time . The red water that flows from the canal irrigating the green fields at the end of the film is seen by Chatterjee as a metaphor to represent the blood of Indians in the struggle for independence , flowing to nourish a new free India . The canal is described by Virdi to signal the imminent end of the feudal order . However , despite Radha 's struggle against feudal oppression depicted in the film , her action of stopping the rebellious Birju and upholding status quo -- the feudal and patriarchal order -- is seen as `` regressive '' by various authors .   In a study of media and popular culture in South Asia , author Mahasveta Barua draws a parallel between the film 's metaphorical representation of the mother as nation , and the metonymic identification with India that Indira Gandhi , India 's only woman prime minister , sought and tried for during her tenure ( 1966 -- 77 , and 1980 -- 84 ) . In his book Terrorism , Media , Liberation , John David Slocum argues that like Satyajit Ray 's classic masterpiece Pather Panchali ( 1955 ) , Khan 's Mother India has `` vied for alternative definitions of Indianness '' . However , he emphasises that the film is an overt mythologising and feminising of the nation in which Indian audiences have used their imagination to define it in the nationalistic context , given that in reality the storyline is about a poverty - stricken peasant from northern India , rather than a true ideal of a modernising , powerful nation .   The Radha -- Birju relationship is described to have `` Oedipal elements '' by many authors ; Virdi has argued that in her chastity , Radha channels her sexual desires into maternal love for her sons who effectively become `` substitute erotic subjects '' . Mishra opines that the crushing of the arms of Radha 's husband and the mellowness of the older son symbolise castration , which is in contrast with the rebellion of Birju , identified with sexual potency . Birju 's obsession with his mother 's bracelets is an expression of his oedipal longings , according to Chakravarty . Rachel Dwyer , Professor of Indian Cultures and Cinema at SOAS , describes how `` suspiciously smoothly '' the Oedipal elements fit into the film and the off - screen romance between Nargis and Dutt , playing mother and son in the film . Radha 's actions at the end of the film in shooting her own son was a breaking of traditional mother -- son relationship to safeguard morality , according to author William Van der Heide . Virdi points out that this brought ambiguity to the mother figure who acts as a sacrificing provider and also as a destroyer , annihilating her own son , something rare in Hindi cinema . She interprets Birju 's sexual advances on a village girl ( which is incest in north Indian village culture ) as being a substitute in the plot for the incestuous mother -- son relationship and his death at the end as a punishment for violation of the taboo .   Authors such as Eshun and Woods state that Radha and Ramu are the archetypal champions of virtue in battling hardship and injustice , while Birju is a mischievous child who becomes the anarchist whose uncontrollable rebellion destroys order . Mishra has noted that although Radha upholds Dharma ( the natural law or order ) in the film , it is Birju who achieves identification from the spectators ; in his rebellion lies the agenda of political action that will usher social change . Mishra notes that due to such conflicting ideas , the film is very much conforming , and yet `` defiantly subversive '' .   Film scholar Vijay Mishra has pointed out the presence of the `` highly syncretic hyphenated Hindu -- Muslim nature '' of Bollywood in the film . Parama Roy has interpreted that Nargis 's legendary status as the titular Mother India is due to Hinduisation of the role and her real - life marriage with a Hindu ; she is , according to Roy , scripted as a renouncer of Muslim separatism in the film . Mishra has found metacritical value in Salman Rushdie 's commentary on the film in his novel The Moor 's Last Sigh ( 1995 ) in which Rushdie describes :   In Mother India , a piece of Hindu myth - making directed by a Muslim socialist , Mehboob Khan , the Indian peasant women is idealised as bride , mother , and producers of sons , as long - suffering , stoical , loving , redemptive , and conservatively wedded to the maintenance of the social status quo . But for Bad Birju , cast out from his mother 's love , she becomes , as one critic mentioned , ' that image of an aggressive , treacherous , annihilating mother who haunts the fantasy of Indian males ' .   Reception ( edit )   Release ( edit )  A special screening of Mother India was held in the residence of the Indian president ( pictured ) on 23 October 1957 , two days before its release .  The production team had planned to release Mother India to commemorate the tenth anniversary of India 's independence on 15 August 1957 , but the film was released over two months later . It premiered at the Liberty Cinema in Mumbai on 25 October 1957 , during Diwali ; it ran continuously at Liberty for over a year . It was released in Kolkata ( then called Calcutta ) the same day and in Delhi a week later . It had reached all regions of India by the end of November . Government ministers and other officials were invited to the premieres , and a special screening was held in Rashtrapati Bhavan ( the presidential quarter ) in New Delhi on 23 October 1957 ; the event was attended by President Rajendra Prasad , Prime Minister Jawaharlal Nehru and his daughter Indira Gandhi . Chief Minister of West Bengal Bidhan Chandra Roy and Governor Padmaja Naidu attended a screening in Kolkata . Impressed with the film 's nationalistic message , Chief Minister of Bombay State Morarji Desai granted it exemption from the entertainment tax in the state .   No reliable data is available on the box office earnings of Mother India . It was in continuous distribution in theatres in India until the mid-1990s . There was a renewed interest in the film in the 1970s causing an upsurge in ticket sales . Film trade websites provide estimates of its business . Boxofficeindia.com gives ₹ 40 million ( US $600,000 ) as its gross , and ₹ 1,173 million ( US $17 million ) as its adjusted net , as of 2012 . According to Chatterjee , it did exceptionally good business in Delhi , Uttar Pradesh , Gujarat , Karnataka ( then called Mysore State ) and Maharashtra . The film 's success led Khan to name his next film Son of India . Released in 1962 , it was not well received .   Mother India was dubbed in several European languages including Spanish , French and Russian ; it did substantial business in Greece , Spain and Russia and was released in the Eastern Bloc countries . Technicolor arranged one screening of the film in Paris on 30 June 1958 , under the name Les bracelets d'or ( `` The Gold Bracelets '' ) . It did minimal business in Paris , but fared better in French colonies . It was successful in the Latin American countries of Peru , Bolivia , and Ecuador . Mother India was also acclaimed across the Arab world , in the Middle East , parts of Southeast Asia , and North Africa and continued to be shown in countries such as Algeria at least ten years after its release . It was released in the US on 9 July 1959 to lukewarm response , and the UK release in 1961 was also a commercial failure . The initial international version with English subtitles was 40 minutes shorter than the Indian release .   As of 2013 , Mother India is available on DVD in all regions NTSC format , distributed by the Eros Entertainment .   Reviews ( edit )   Baburao Patel of the film magazine Filmindia ( December 1957 ) described Mother India after its release as `` the greatest picture produced in India '' and wrote that no other actress would have been able to perform the role as well as Nargis . A review in Monthly Film Bulletin in 1958 remarked that audiences in UK should be grateful that the international version was shortened by 40 minutes , and termed it a `` rag - bag pantomime '' . After its US release in 1959 , Irene Thirer reviewed the film in the New York Post in which she praised its `` striking dramatic appeal '' , but feared it might not be accepted by American audiences due to cultural differences . In a 1976 article in the journal Studies : An Irish Quarterly Review , author Michael Gallagher found the film `` an amazing mixture of political allegory and cheap musical , a cross between the impressiveness of Eisenstein and the banality of Show Boat '' . The New Internationalist in 1999 found Nargis 's acting `` exemplary '' , and noted `` a clever interplay -- artistically and politically -- between the traditional and the radical '' evident in Mother India .   In a 2002 article in The Village Voice , film critic J. Hoberman described the film as `` an outrageous masala of apparently discordant elements . '' He characterised it as a mixture of `` indigenous versions of Soviet - style tractor - opera , Italian neo-realism , Hollywood kiddie - cuteness , a dozen Technicolor musical numbers , and , most significantly , a metaphoric overlay of pop Hinduism . '' Hoberman criticised the acting as `` broad '' , and also wrote about the `` vaguely left - wing '' nationalist overtone of the film . Author Phill Hall , writing for Film Threat in 2002 , described the film as exceptionally sluggish and one - dimensional , and lampooned it saying `` it takes the strongest of constitutions to endure this film without entertaining notions of matricide . '' Jonathan Romney in his 2002 report in The Independent observed the earth - mother Radha as `` India 's answer to Anna Magnani '' and the film as `` an all - out exercise in ideological myth - making . '' Women 's Feature Service , in a 2007 article , noted Mother India as `` one of the most outstanding films of the post-Independence era . '' Ziya Us Salam of The Hindu wrote in her 2010 report : `` Mehboob was able to blend the individual with the universal , thereby enhancing the film 's appeal without compromising on its sensitivity . ''   Awards ( edit )   Mother India , its star Nargis , and the director Khan received many awards and nominations . Nargis won the Filmfare Best Actress Award in 1958 and became the first Indian to receive the Best Actress award at the Karlovy Vary International Film Festival in present - day Czech Republic . Mother India won the Filmfare Award for Best Film and scooped several other Filmfare aw</t>
  </si>
  <si>
    <t xml:space="preserve">nominated in the best foreign film category at the oscars mother india lost to</t>
  </si>
  <si>
    <t xml:space="preserve"> Mother India , its star Nargis , and the director Khan received many awards and nominations . Nargis won the Filmfare Best Actress Award in 1958 and became the first Indian to receive the Best Actress award at the Karlovy Vary International Film Festival in present - day Czech Republic . Mother India won the Filmfare Award for Best Film and scooped several other Filmfare awards including Best Director for Khan , Best Cinematographer for Faredoon Irani , and Best Sound for R. Kaushik . In 1958 , the film became India 's first submission for the Academy Award for Best Foreign Language Film and was chosen as one of the five nominations for the category . The international version , 120 minutes long , was sent for the Oscars . Additionally , this version had English subtitles , and dropped Mehboob Productions ' logo , which featured the Communist hammer and sickle , to appease the Academy . The 120 - minute version was later distributed in the US and UK by Columbia Pictures . The film came close to winning the Academy Award , but lost to Federico Fellini 's Nights of Cabiria by a single vote . Khan was utterly disappointed at not winning the award . `` He had seen the other films in the fray and believed Mother India was far superior to them '' recalled Sunil Dutt years later . It also won two awards at the 5th National Film Awards in 1957 : an All India Certificate of Merit for Best Feature Film and Certificate of Merit for Best Feature Film in Hindi . </t>
  </si>
  <si>
    <t xml:space="preserve">National Guard of the United States - Wikipedia  National Guard of the United States       National Guard of the United States         Active    English colonial government militias : since December 13 , 1636    As `` National Guard '' : since 1824 in New York , since 1903 nationwide   Dual state - federal reserve forces : since 1933       Country   United States     Allegiance   Federal ( 10 U.S.C. § E ) State and territorial ( 32 U.S.C. )     Branch   United States Army United States Air Force     Role   Reserve component of the U.S. Armed Forces Militia of the United States     Size   450,100     Part of   National Guard Bureau     Garrison / HQ   All 50 U.S. states , and organized U.S. territories , the Commonwealth of Puerto Rico , and the District of Columbia     Nickname ( s )   `` Air Guard '' `` Army Guard ''     Motto ( s )   `` Always Ready , Always There ! ''     Commanders     Chief of the National Guard Bureau   General Joseph L. Lengyel , USAF     Insignia     Seal of the Army National Guard       Seal of the Air National Guard       The National Guard of the United States , part of the reserve components of the United States Armed Forces , is a reserve military force , composed of National Guard military members or units of each state and the territories of Guam , the Virgin Islands , Puerto Rico , and the District of Columbia , for a total of 54 separate organizations . All members of the National Guard of the United States are also members of the militia of the United States as defined by 10 U.S.C. § 246 . National Guard units are under the dual control of the state and the federal government .   The majority of National Guard soldiers and airmen hold a civilian job full - time while serving part - time as a National Guard member . These part - time guardsmen are augmented by a full - time cadre of Active Guard &amp; Reserve ( AGR ) personnel in both the Army National Guard and Air National Guard , plus Army Reserve Technicians in the Army National Guard and Air Reserve Technicians ( ART ) in the Air National Guard .   The National Guard is a joint activity of the United States Department of Defense ( DoD ) composed of reserve components of the United States Army and the United States Air Force : the Army National Guard of the United States and the Air National Guard of the United States respectively .   Local militias were formed from the earliest English colonization of the Americas in 1607 . The first colony - wide militia was formed by Massachusetts in 1636 by merging small older local units , and several National Guard units can be traced back to this militia . The various colonial militias became state militias when the United States became independent . The title `` National Guard '' was used in 1824 by some New York State militia units , named after the French National Guard in honor of the Marquis de Lafayette . `` National Guard '' became a standard nationwide militia title in 1903 , and specifically indicated reserve forces under mixed state and federal control since 1933 .   Contents  ( hide )   1 Origins   2 Organization   2.1 Territorial organization   2.2 National Guard Bureau   2.3 Agricultural Development Teams     3 Standards   4 Constitutional basis   5 Other organizations   5.1 State defense forces   5.2 Naval militias     6 Duties and administrative organization   7 National Guard active duty character   7.1 State and territory duty   7.2 Federal duty     8 History   8.1 Colonial history   8.2 American Revolutionary War   8.3 Nineteenth century   8.4 Industrialization and labor unrest   8.5 Twentieth century   8.6 Twenty - first century     9 The National Guard compared to the Reserves   10 Relevant laws   11 Notable members   11.1 Presidents   11.2 Other famous or infamous members     12 Number of guardsmen by state , territory and D.C.   12.1 Sortable table     13 See also   14 Notes   15 References   16 Further reading   17 External links    Origins ( edit )  Artist 's re-creation of the first muster of the East Regiment ( present - day Massachusetts Army National Guard ) in Salem , Massachusetts Bay , as it may have looked Postage stamp of 1953  The first muster of militia forces in what is today the United States took place on September 16 , 1565 , in the newly established Spanish military town of St. Augustine . Appropriately enough , this muster occurred in the shadow of an oncoming hurricane . The militia men were assigned to guard the expedition 's supplies while their leader , Pedro Menéndez de Avilés , took the regular troops north to attack the French settlement at Fort Caroline on the St. Johns River . This Spanish militia tradition and the English tradition that would be established to the north would provide the basic nucleus for Colonial defense in the New World .   The militia tradition continued with the first permanent English settlements in the New World . Jamestown Colony ( established in 1607 ) and Plymouth Colony ( established in 1620 ) both had militia forces , which initially consisted of every able bodied adult male . By the mid-1600s every town had at least one militia company ( usually commanded by an officer with the rank of captain ) and the militia companies of a county formed a regiment ( usually commanded by an officer with the rank of major in the 1600s or a colonel in the 1700s ) .   From the nation 's founding through the early 1900s , the United States maintained only a minimal army and relied on state militias , directly related to the earlier Colonial militias to supply the majority of its troops . As a result of the Spanish -- American War , Congress was called upon to reform and regulate the training and qualification of state militias . The first national laws regulating the militia were the Militia acts of 1792 .   In 1903 , with passage of the Dick Act , the predecessor to the modern - day National Guard was formed . It required the states to divide their militias into two sections . The law recommended the title `` National Guard '' for the first section , known as the organized militia , and `` Reserve Militia '' for all others .   During World War I , Congress passed the National Defense Act of 1916 , which required the use of the term `` National Guard '' for the state militias and further regulated them . Congress also authorized the states to maintain Home Guards , which were reserve forces outside the National Guards being deployed by the Federal Government .   In 1933 , with passage of the National Guard Mobilization Act , Congress finalized the split between the National Guard and the traditional state militias by mandating that all federally funded soldiers take a dual enlistment / commission and thus enter both the state National Guard and the National Guard of the United States , a newly created federal reserve force . The National Defense Act of 1947 created the Air Force as a separate branch of the Armed Forces and concurrently created the Air National Guard of the United States as one of its reserve components , mirroring the Army 's structure .   Organization ( edit )   Territorial organization ( edit )   The National Guard of the several states , territories , and the District of Columbia serves as part of the first - line of defense for the United States . The state National Guard is organized into units stationed in each of the 50 states , three territories , and the District of Columbia , and operates under their respective state or territorial governor , except in the instance of Washington , D.C. , where the National Guard operates under the President of the United States or his designee . The governors exercise control through the state adjutants general . The National Guard may be called up for active duty by the governors to help respond to domestic emergencies and disasters , such as hurricanes , floods , and earthquakes .   National Guard Bureau ( edit )  Seal of the National Guard Bureau , 2013 to present .  The National Guard is administered by the National Guard Bureau , which is a joint activity of the Army and Air Force under the DoD . The National Guard Bureau provides a communication channel for state National Guards to the DoD . The National Guard Bureau also provides policies and requirements for training and funds for state Army National Guard and state Air National Guard units , the allocation of federal funds to the Army National Guard and the Air National Guard , and other administrative responsibilities prescribed under 10 U.S.C. § 10503 . The National Guard Bureau is headed by the Chief of the National Guard Bureau ( CNGB ) , who is a four - star general in the Army or Air Force and is a member of the Joint Chiefs of Staff .   The National Guard Bureau is headquartered in Arlington County , Virginia , and is a joint activity of the Department of Defense to conduct all the administrative matters pertaining to the Army National Guard and the Air National Guard . As of July 2018 , the current Chief of the National Guard Bureau is Air Force General Joseph L. Lengyel and the Vice Chief , NGB is Army Lieutenant General Daniel R. Hokanson . The chief is either an Air Force or an Army 4 - star general ( flag ) officer , is the senior uniformed National Guard officer , and is a member of the Joint Chiefs of Staff . In this capacity , he serves as a military adviser to the President , the Secretary of Defense , the National Security Council and is the Department of Defense 's official channel of communication to the Governors and to State Adjutants General on all matters pertaining to the National Guard . He is responsible for ensuring that the more than half a million Army and Air National Guard personnel are accessible , capable , and ready to protect the homeland and to provide combat resources to the Army and the Air Force . He is appointed by the President in his capacity as Commander in Chief .   Agricultural Development teams ( edit )   Prior to 2008 , the functions of Agricultural Development Teams were within Provincial Reconstruction Teams of the US Government . Today , ADTs consist of soldiers and airmen from the Army National Guard and the Air National Guard . Today , ADTs bring `` an effective platform for enhanced dialogue , building confidence , sharing interests , and increasing cooperation amongst the disparate peoples and tribes of Afghanistan . '' These teams are not only affiliated with the military , they frequently work across agencies , for example with USAID and the Department of State . ADTs provide education and expertise on the ground , while also providing security and order that is traditionally affiliated with the military . These teams have been essential to the counterinsurgency efforts in Afghanistan as a public diplomacy tool to build relations with the local people in the tribes and provinces of the country .   ADTs provide classroom instruction and teachings to Afghans about how to improve their farming practices during non-seasonal growing months , which allows the farmers to use skills in the winter to prepare for farming in the summer and fall . This enhances agricultural production and the Afghan economy as a whole . Agricultural education also improves lines of communication and builds trust between the people , the US government , and the Host Nation . Additionally , through word of mouth in the provinces ideas are spread that inform others about these farming techniques , that may not have had direct interaction with the ADTs . The National Guard ADTs also introduce their US civilian colleagues to the Afghan University personnel , which further strengthens relations and trust in the US efforts in Afghanistan .   ADTs also enhance public diplomacy in Afghanistan by providing security to the local provinces they are working within . This tool has provided the teams with the civilian - military partnership that is needed to conduct public diplomacy and defeat the insurgents in Afghanistan . President Barack Obama said that the US will enhance agricultural development instead of big reconstruction projects to build Afghanistan 's economy , to have an immediate impact on the Afghan people . Today , these projects include `` ... basic gardening practices , to large watershed and irrigation projects . There are also projects that teach bee keeping and livestock production : all of which will have a positive impact on unemployment , hunger , and the ability to sustain future generations . ''   More and more Afghan tribal leaders have been requesting additional ADTs , which illustrates how important the use of public diplomacy has been in the efforts to win the trust of the Afghan people . The case study from Nangarhar Province in Afghanistan serves as an excellent example . This province is one of the most stable and secure provinces in Afghanistan . For example , over 100,000 Afghans have returned to province ; the province has also been declared poppy - free in 2007 by the UN . Additionally , most districts within the province have all - weather paved roads and it is also one of the most productive agricultural regions in Afghanistan . ADT should further its progress within the provinces of Afghanistan in agricultural education , technical support , and logistics . To defeat the insurgency in Afghanistan public diplomacy is an essential force , ADTs help the US educate the population of Afghanistan with the hope of strengthening Afghan trust in the American mission in Afghanistan .   Standards ( edit )       This section needs additional citations for verification . Please help improve this article by adding citations to reliable sources . Unsourced material may be challenged and removed . ( May 2014 ) ( Learn how and when to remove this template message )     Both the Army National Guard and Air National Guard are expected to adhere to the same moral and physical standards as their `` full - time '' active duty and `` part - time '' reserve federal counterparts . The same ranks and insignia of the U.S. Army and U.S. Air Force are used by the Army National Guard and the Air National Guard , respectively , and National Guardsmen are eligible to receive all United States military awards . The respective state National Guards also bestow state awards for services rendered both at home and abroad . Under Army and Air Force regulations , these awards may be worn while on state active duty or while on Title 32 federal activation . Regular Army and Army Reserve soldiers are also authorized to accept these awards , but are not authorized to wear them .   Constitutional basis ( edit )  Army National Guard soldiers at New York City 's Penn Station in 2004 .  The respective state National Guards are authorized by the Constitution of the United States . As originally drafted , the Constitution recognized the existing state militias , and gave them vital roles to fill : `` to execute the Laws of the Union , suppress Insurrections and repel Invasion . '' ( Article I , Section 8 , Clause 15 ) . The Constitution distinguished `` militias , '' which were state entities , from `` Troops , '' which were unlawful for states to maintain without Congressional approval . ( Article I , Section 10 , Clause 3 ) . Under current law , the respective state National Guards and the State Defense Forces are authorized by Congress to the states and are referred to as `` troops . '' 32 U.S.C. § 109 .   Although originally state entities , the Constitutional `` Militia of the Several States '' were not entirely independent because they could be federalized . According to Article I , Section 8 ; Clause 15 , the United States Congress is given the power to pass laws for `` calling forth the Militia to execute the Laws of the Union , suppress Insurrections and repel Invasions . '' Congress is also empowered to come up with the guidelines `` for organizing , arming , and disciplining , the Militia , and for governing such Part of them as may be employed in the Service of the United States , reserving to the States respectively , the Appointment of the Officers , and the Authority of training the Militia according to the discipline prescribed by Congress '' ( clause 16 ) . The President of the United States is the commander - in - chief of the state militias `` when called into the actual Service of the United States . '' ( Article II , Section 2 ) .   The traditional state militias were redefined and recreated as the `` organized militia '' -- the National Guard , via the Militia Act of 1903 . They were now subject to an increasing amount of federal control , including having arms and accoutrements supplied by the central government , federal funding , and numerous closer ties to the Regular Army .   Other organizations ( edit )   State Defense forces ( edit )  Main article : State defense force  Many states also maintain their own state defense forces . Although not federal entities like the National Guard of the United States , these forces are components of the state militias like the individual state National Guards .   These forces were created by Congress in 1917 as a result of the state National Guards ' being deployed and were known as Home Guards . In 1940 , with the onset of World War II and as a result of its federalizing the National Guard , Congress amended the National Defense Act of 1916 , and authorized the states to maintain `` military forces other than National Guard . '' This law authorized the War Department to train and arm the new military forces that became known as State Guards . In 1950 , with the outbreak of the Korean War and at the urging of the National Guard , Congress reauthorized the separate state military forces for a time period of two years . These state military forces were authorized military training at federal expense , and `` arms , ammunition , clothing , and equipment , '' as deemed necessary by the Secretary of the Army . In 1956 , Congress finally revised the law and authorized `` State defense forces '' permanently under Title 32 , Section 109 , of the United States Code .   Naval militias ( edit )  Main article : Naval militia  Although there are no Naval or Marine Corps components of the National Guard of the United States , there is a Naval Militia authorized under federal law. 10 U.S.C. § 7851 . Like the soldiers and airmen in the National Guard of the United States , members of the Naval Militia are authorized federal appointments or enlistments at the discretion of the Secretary of the Navy. 10 U.S.C. § 7852 . To receive federal funding and equipment , a state naval militia must be composed of at least 95 % of Navy , Coast Guard , or Marine Corps Reservists . As such , some states maintain such units . Some states also maintain naval components of their State Defense Force . Recently , Alaska , California , New Jersey , New York , South Carolina , Texas and Ohio have had or currently maintain naval militias . Other states have laws authorizing them but do not currently have them organized . To receive federal funding , as is the case in the National Guard , a state must meet specific requirements such as having a set percentage of its members in the federal reserves. 10 U.S.C. § 7851 .   Duties and administrative organization ( edit )   National Guard units can be mobilized for federal active duty to supplement regular armed forces during times of war or national emergency declared by Congress , the President or the Secretary of Defense . They can also be activated for service in their respective states upon declaration of a state of emergency by the governor of the state or territory where they serve , or in the case of Washington , D.C. , by the Commanding General . Unlike U.S. Army Reserve members , National Guard members can not be mobilized individually , except through voluntary transfers and Temporary Duty Assignments ( TDY ) .   National Guard active duty character ( edit )   The term `` activated '' simply means that a unit or individual of the reserve components has been placed on orders . The purpose and authority for that activation determines limitations and duration of the activation . The Army and Air National Guard may be activated in a number of ways as prescribed by public law . Broadly , under federal law , there are two titles in the United States Code under which units and troops may be activated : as federal soldiers or airmen under Title 10 ( `` Armed Forces '' ) and as state soldiers or airmen performing a federally funded mission under Title 32 ( `` National Guard '' ) . Outside federal activation , the Army and Air National Guard may be activated under state law . This is known as state active duty ( SAD ) .   State and territory duty ( edit )   When National Guard units are not under federal control , the governor is the commander - in - chief of the units of his or her respective state or territory ( such as Puerto Rico , Guam and the Virgin Islands ) . The President of the United States commands the District of Columbia National Guard , though this command is routinely delegated to the Commanding General of the DC National Guard . States are free to employ their National Guard forces under state control for state purposes and at state expense as provided in the state 's constitution and statutes . In doing so , governors , as commanders - in - chief , can directly access and utilize the Guard 's federally assigned aircraft , vehicles and other equipment so long as the federal government is reimbursed for the use of fungible equipment and supplies such as fuel , food stocks , etc . This is the authority under which governors activate and deploy National Guard forces in response to natural disasters . It is also the authority under which governors deploy National Guard forces in response to man - made emergencies such as riots and civil unrest , or terrorist attacks .    The Governor can activate National Guard personnel to `` State Active Duty '' in response to natural or man - made disasters or Homeland Defense missions . State Active Duty is based on State statute and policy and on State funds . Soldiers and Airmen remain under the command and control of the Governor . The federal Posse Comitatus Act ( PCA ) does not apply under state active duty status or Title 32 status .   Title 32 Full - Time National Guard Duty . ( Federally funded , but command and control remains with the State Governor through his Adjutant General . ) Title 32 activation can only be done by the President or SECDEF with the approval and consent of the state Governor .    Federal duty ( edit )   Title 10 service means full - time duty in the active military service of the United States . The term used is federalized . Federalized National Guard forces have been ordered , by the President to active duty either in their reserve component status or by calling them into Federal service in their militia status . There are several forms :    Voluntary Order to Active Duty .     Federalized with the soldier 's or airman 's consent and the consent of their Governor .     Partial Mobilization .     In time of national emergency declared by the President for any unit or any member for not more than 24 consecutive months .     Presidential Reserve Call Up .     When the President determines that it is necessary to augment the active forces for any operational mission for any unit or any member for not more than 270 days .     Federal Aid for State Governments .     Whenever an insurrection occurs in any state against its government , the President may , upon the request of its legislature or of its governor call into Federal service such of the militia of the other states . This is a statutory exception to the PCA     Use of Militia and Armed Forces to Enforce Federal Authority .     Whenever the President considers that unlawful obstructions , assemblages , or rebellion make it impracticable to enforce the laws of the United States in any state or territory , he may call into Federal service such of the militia of any state . This is another statutory exception to the PCA .     Interference with State and Federal law .     The President , by using the militia or the armed forces , or both , or by any other means , shall take such measures as he considers necessary to suppress , in a state , any insurrection , domestic violence , unlawful combination , or conspiracy .     Air and Army National Guard .     Air and Army National Guard can specifically be called into Federal service in case of invasion , rebellion , or inability to execute Federal law with active forces .    In the categories listed above , Army and Air National Guard units or individuals may also be mobilized for non-combat purposes such as the State Partnership Program , humanitarian missions , counter-drug operations , and peacekeeping or peace enforcement missions .   History ( edit )   Colonial History ( edit )   The Virginia Army National Guard traces its history back to 1607 , to the Jamestown settlement , making it the oldest and the official start of the Army National Guard .  First Muster , Spring 1637 , Massachusetts Bay Colony .  The claim that the National Guard is older than the nation itself , with over three and a half centuries of service , is based on the claim that the modern - day 101st Field Artillery Regiment , 182nd Infantry Regiment , 101st Engineer Battalion and 181st Infantry Regiment of the Massachusetts Army National Guard are directly descended from Massachusetts Bay Colony regiments formed over 375 years ago . On December 13 , 1636 , the General Court of the Massachusetts Bay Colony had ordered that the Colony 's scattered militia companies be organized into North , South and East Regiments -- with a goal of increasing the militias ' accountability to the colonial government , efficacy , and responsiveness in conflicts with indigenous Pequot Indians . Under this act , white males between the ages of 16 and 60 were obligated to possess arms and to take part in the defense of their communities by serving in nightly guard details and participating in weekly drills . The founding date of 1636 refers to service of the colonial government ; the Massachusetts Bay Colony regiments were formed by reorganizing local militias that preceded the 1636 date and dated back to the founding dates of the various Massachusetts towns of the time .   American Revolutionary War ( edit )   The Massachusetts militia began the American Revolutionary War at the Battles of Lexington and Concord , The Massachusetts militia units were mobilized either during or shortly after the above battles and used to form , along with units from Rhode Island , Connecticut and New Hampshire , the Army of Observation during the Siege of Boston . On July 3 , 1775 General George Washington , under the authority of the Continental Congress , assumed command of the Army of Observation and the new organization became the Continental Army from which the United States Army traces its origins .   Throughout the war , militia units were mobilized when British forces entered their geographic areas and participated in most of the battles fought during the war .   Nineteenth century ( edit )   The early United States distrusted a standing army , and kept the number of professional soldiers small . During the Northwest Indian War , the majority of soldiers were provided by state militias . There are nineteen Army National Guard units with campaign credit for the War of 1812 .   The Marquis de Lafayette visited the U.S. in 1824 -- 25 . The 2nd Battalion , 11th New York Artillery , was one of many militia commands who turned out in welcome . This unit decided to adopt the title `` National Guard , '' in honor of Lafayette 's French National Guard . The Battalion , later the 7th Regiment , was prominent in the line of march on the occasion of Lafayette 's final passage through New York en route home to France . Taking note of the troops named for his old command , Lafayette alighted from his carriage , walked down the line , clasping each officer by the hand as he passed .   Militia units provided 70 % of the soldiers that fought in the Mexican -- American War , and also provided the majority of soldiers in the early months of the American Civil War The majority of soldiers in the Spanish -- American War were from the National Guard .   Industrialization and labor unrest ( edit )   Labor unrest in the industrial and mining sections of the Northeast and Midwest led to demands for a stronger military force within the states . After the Great Railroad Strike of 1877 , calls for military suppression of labor strikes grew louder , and National Guard units proliferated . In many states , large and elaborate armories , often built to resemble medieval castles , were constructed to house militia units . Businessmen and business associations donated monies for the construction of armories and to supplement funds of the local National Guard units . National Guard officers also came from the middle and upper classes . National Guard troops were deployed to suppress strikers in some of the bloodiest and most significant conflicts of the late 19th and early 20th centuries , including the Homestead Strike , the Pullman Strike of 1894 , and the Colorado Labor Wars .   Twentieth century ( edit )  A National Guardsman in 1917 .  Throughout the 19th century the Regular U.S. Army was small , and the state militias provided the majority of the troops during the Mexican -- American War , the American Civil War , and the Spanish -- American War . With the Militia Act of 1903 , the militia was more organized and the name `` National Guard '' recommended . In 1933 , federally - recognized state National Guard units were required to join the National Guard of the United States , a reserve component of the U.S. Army ; this is the official founding of the present National Guard . In World War I , National Guard soldiers made up 40 percent of the men in U.S. combat divisions in France . In World War II , the National Guard made up 19 divisions . One hundred forty thousand Guardsmen were mobilized during the Korean War and over 63,000 for Operation Desert Storm . They have also participated in U.S. peacekeeping operations in Somalia , Haiti , Saudi Arabia , Kuwait , Bosnia , and Kosovo and for natural disasters , strikes , riots and security for the Olympic Games when they have been in the States .   Following World War II , the National Guard aviation units that had previously been part of the U.S. Army Air Corps and its successor organization , the U.S. Army Air Forces , became the Air National Guard ( ANG ) , one of two Reserve Components of the newly established United States Air Force .   At this time , the National Guard consisted of 27 Divisions ; 25 Infantry and two armored , plus scores of smaller units .  The Kansas Army National Guard armory in Concordia , Kansas is a typical building used for the National Guard programs .  On September 24 , 1957 President Dwight D. Eisenhower federalized the entire Arkansas National Guard to ensure the safe entry of the Little Rock Nine to Little Rock Central High School the following day . Governor Orval Faubus had previously used members of the guard to deny the students entry to the school .   The New York National Guard were ordered by Governor Nelson A. Rockefeller to respond to the Rochester 1964 race riot in July of that year , the first such use of the Guard in a Northern city since the Civil War . The California Army National Guard were mobilized by the Governor of California Edmund Gerald Brown , Sr. during the Watts Riots , in August 1965 , to provide security and help restore order .  After 1992 Los Angeles Riots 4,000 National Guard troops patrolled the city to enforce the law .  Elements of the Ohio Army National Guard were ordered to Kent State University by Ohio 's governor Jim Rhodes to quell anti-Vietnam War protests , culminating in their shooting into a crowd of students on May 4 , 1970 , killing four and injuring nine .   During the Vietnam War , Secretary of Defense Robert McNamara created the Selective Reserve Force ( SRF ) in October 1965 . Since funding was not available to train and equip the entire National Guard adequately , the SRF would be a core group of 150,000 National Guardsmen available and ready for immediate overseas deployment if needed . SRF units were supposed to be authorized at 100 % strength , receive priority training funds and modern equipment , and have more training and do 58 hours of drills of four hours each a year rather than the standard 48 hours of drills .   The 2 Battalion 138th Field Artillery of the Kentucky Army National Guard was ordered to service in Vietnam in late 1968 </t>
  </si>
  <si>
    <t xml:space="preserve">how many members of the national guard are there</t>
  </si>
  <si>
    <t xml:space="preserve">   National Guard of the United States         Active    English colonial government militias : since December 13 , 1636    As `` National Guard '' : since 1824 in New York , since 1903 nationwide   Dual state - federal reserve forces : since 1933       Country   United States     Allegiance   Federal ( 10 U.S.C. § E ) State and territorial ( 32 U.S.C. )     Branch   United States Army United States Air Force     Role   Reserve component of the U.S. Armed Forces Militia of the United States     Size   450,100     Part of   National Guard Bureau     Garrison / HQ   All 50 U.S. states , and organized U.S. territories , the Commonwealth of Puerto Rico , and the District of Columbia     Nickname ( s )   `` Air Guard '' `` Army Guard ''     Motto ( s )   `` Always Ready , Always There ! ''     Commanders     Chief of the National Guard Bureau   General Joseph L. Lengyel , USAF     Insignia     Seal of the Army National Guard       Seal of the Air National Guard     </t>
  </si>
  <si>
    <t xml:space="preserve">The Naked Truth ( How I Met Your Mother ) - Wikipedia  The Naked Truth ( How I Met Your Mother )  Jump to : navigation , search      The topic of this article may not meet Wikipedia 's general notability guideline . Please help to establish notability by citing reliable secondary sources that are independent of the topic and provide significant coverage of it beyond its mere trivial mention . If notability can not be established , the article is likely to be merged , redirected , or deleted . Find sources : `` The Naked Truth '' How I Met Your Mother -- news newspapers books scholar JSTOR ( May 2017 ) ( Learn how and when to remove this template message )         This article 's lead section does not adequately summarize key points of its contents . Please consider expanding the lead to provide an accessible overview of all important aspects of the article . Please discuss this issue on the article 's talk page . ( December 2015 )       `` The Naked Truth ''     How I Met Your Mother episode     Episode no .   Season 7 Episode 2     Directed by   Pamela Fryman     Written by   Stephen Lloyd     Production code   7ALH02     Original air date   September 19 , 2011 ( 2011 - 09 - 19 )     Guest appearance ( s )      Nazanin Boniadi ( Nora ) Martin Short ( Garrison Cootes ) Jimmi Simpson ( Pete Durkenson ) Ashley Williams ( Victoria )      Episode chronology        ← Previous `` The Best Man ''   Next → `` Ducky Tie ''        `` The Naked Truth '' is the second episode of the seventh season of the CBS sitcom How I Met Your Mother , and the 138th episode overall . It first aired on September 19 , 2011 .     Contents  ( hide )   1 Plot   2 Critical response   3 References   4 External links      Plot ( edit )       This article 's plot summary may be too long or excessively detailed . Please help improve it by removing unnecessary details and making it more concise . ( December 2015 ) ( Learn how and when to remove this template message )     Marshall is still hungover after Punchy 's wedding , and makes a `` sweeping declaration '' that he will henceforth permanently stay sober . Future Ted says that Marshall 's `` sweeping declarations '' typically do n't work . Marshall receives a call from Garrison Cootes , a partner at one of the nation 's largest environmental law firms . He tells Marshall that the company is `` very interested '' in Marshall 's application for employment , and he will receive a job offer after the company completes an extensive background check . The danger of a background check concerns Marshall , who fears that a college - era video of him streaking through Wesleyan calling himself `` Beercules '' , which is now available online , could result in Garrison 's dropping the job offer . Marshall contacts the uploader , Pete Durkensen , an old college acquaintance , and asks him to remove the video . However , Marshall ends up getting drunk and streaking again , the effect of playing Edward Fortyhands with Pete , although Pete originally wanted to play Darts , and thus another `` Beercules '' video is uploaded . Pete 's refusal to take it down prompts Lily to blackmail him with information that she claims to have received from women who dated him in college . Eventually , Garrison does see the video , but offers Marshall a job anyway ; the video is not an issue with him . Later , Pete calls Marshall and offers to remove the video , but Marshall refuses .   Thinking about a date with Nora , Barney appears to the gang in a leg cast and using crutches ; he hopes to use these to gain Nora 's sympathy . He meets Nora at a 24 - hour diner , where he is forced to explain to her all the plays he ever made on women , one of which irks a woman in an adjoining booth who overhears the conversation ; she turns out to be one of Barney 's previous conquests . Nora leaves , still angry at Barney for lying to her . To prove to Nora that he will never lie to her again , Barney vows not to leave the diner until she agrees to a second date . The gang eats at the diner nine hours later and sees Barney wake up . He refuses to make an order several times , and true to his word , does stay at the diner the whole time , which convinces Nora when she comes back .   Ted capitalizes on being featured in New York magazine , speaking to women at newsstands when they pick up a copy of the magazine . He befriends 16 people , 13 of them being women , and dates two women from amongst them on separate occasions . With Lily 's and Robin 's help , he must decide on one of the women as a date to the exclusive `` Architect 's Ball '' . Robin thinks that the event will be boring , but hints that she would like to become Ted 's date when he mentions that Lenny Kravitz will be at the event , since she is an avid fan of the rock star . Ted winds up taking Robin to the gala , where she discovers that the Lenny Kravitz Ted was referring to is an old architect , Leonard Kravitz . Disappointed , Robin leaves the party . Future Ted tells his kids that a person will know for sure about falling in love `` pretty quickly and with absolute certainty . '' While looking at the gala guests , he sees his former girlfriend Victoria arranging cupcakes at a table and they establish eye contact .   Critical response ( edit )       This section needs expansion . You can help by adding to it . ( December 2015 )     Donna Bowman of The A.V. Club graded the episode a B. Robert Canning of IGN gave the show an 8 out of 10 . Angel Cohn of Television Without Pity gave the episode a C .   Despite the show being in its 7th season this episode premiered to 12.22 million viewers , making it the show 's third most watched episode to date , only behind the two - part series finale `` Last Forever '' and season one 's `` The Pineapple Incident '' .   References ( edit )    Jump up ^ `` Listings of How I Met Your Mother at ' The Futon Critic ' '' . The Futon Critic . Retrieved August 13 , 2017 .   ^ Jump up to : `` What to watch , Best Bets : How I Met Your Mother '' , The Elkhart Truth , B6 , News section , reprint at eedition.ottawa.24hrs.ca , January 23 , 2012 , retrieved March 11 , 2013   Jump up ^ Kelsea Stahler ( September 22 , 2011 ) . `` Katie Holmes is a Slutty Pumpkin for ' How I Met Your Mother ' '' . Hollywood.com . Archived from the original on April 1 , 2013 . Retrieved April 1 , 2013 .   Jump up ^ Donna Bowman ( September 19 , 2011 ) . `` '' The Best Man `` / '' The Naked Truth `` '' . The A.V. Club . The Onion . Retrieved August 13 , 2017 .   Jump up ^ Robert Canning . `` How I Met Your Mother Review : The Naked Truth '' . IGN . Retrieved August 13 , 2017 .   Jump up ^ Angel Cohn ( September 19 , 2011 ) . `` How I Met Your Mother : The Naked Truth '' . Television Without Pity . NBCUniversal . Archived from the original on June 10 , 2013 . Retrieved April 1 , 2013 .   Jump up ^ Seidman , Robert ( September 20 , 2011 ) . `` Monday Broadcast Final Ratings : ' Two and a Half Men , ' ' 2 Broke Girls , ' DWTS Adjusted Up ; ' Castle ' Adjusted Down '' . TV by the Numbers . Zap2It . Archived from the original on April 1 , 2013 . Retrieved April 1 , 2013 .    External links ( edit )    `` The Naked Truth '' on IMDb      ( hide )         How I Met Your Mother episodes       Seasons             6   7   8   9       Season 7     `` The Best Man ''   `` The Naked Truth ''   `` Ducky Tie ''   `` The Stinson Missile Crisis ''   `` Field Trip ''   `` Mystery vs. History ''   `` Noretta ''   `` The Slutty Pumpkin Returns ''   `` Disaster Averted ''   `` Tick , Tick , Tick ... ''   `` The Rebound Girl ''   `` Symphony of Illumination ''   `` Tailgate ''   `` 46 Minutes ''   `` The Burning Beekeeper ''   `` The Drunk Train ''   `` No Pressure ''   `` Karma ''   `` Trilogy Time ''   `` Now We 're Even ''   `` Good Crazy ''   `` The Magician 's Code ''      Retrieved from `` https://en.wikipedia.org/w/index.php?title=The_Naked_Truth_(How_I_Met_Your_Mother)&amp;oldid=808186979 '' Categories :   How I Met Your Mother ( season 7 ) episodes   2011 American television episodes   Hidden categories :   Use mdy dates from March 2012   Articles with topics of unclear notability from May 2017   All articles with topics of unclear notability   Wikipedia introduction cleanup from December 2015   All pages needing cleanup   Articles covered by WikiProject Wikify from December 2015   All articles covered by WikiProject Wikify   Wikipedia articles with plot summary needing attention from December 2015   All Wikipedia articles with plot summary needing attention   Articles to be expanded from December 2015   All articles to be expanded   Articles using small message boxes           Talk                                           Contents                   About Wikipedia                                           Add links   This page was last edited on 1 November 2017 , at 11 : 56 .         About Wikipedia                    </t>
  </si>
  <si>
    <t xml:space="preserve">who played edward 40 hands how i met your mother</t>
  </si>
  <si>
    <t xml:space="preserve"> Marshall is still hungover after Punchy 's wedding , and makes a `` sweeping declaration '' that he will henceforth permanently stay sober . Future Ted says that Marshall 's `` sweeping declarations '' typically do n't work . Marshall receives a call from Garrison Cootes , a partner at one of the nation 's largest environmental law firms . He tells Marshall that the company is `` very interested '' in Marshall 's application for employment , and he will receive a job offer after the company completes an extensive background check . The danger of a background check concerns Marshall , who fears that a college - era video of him streaking through Wesleyan calling himself `` Beercules '' , which is now available online , could result in Garrison 's dropping the job offer . Marshall contacts the uploader , Pete Durkensen , an old college acquaintance , and asks him to remove the video . However , Marshall ends up getting drunk and streaking again , the effect of playing Edward Fortyhands with Pete , although Pete originally wanted to play Darts , and thus another `` Beercules '' video is uploaded . Pete 's refusal to take it down prompts Lily to blackmail him with information that she claims to have received from women who dated him in college . Eventually , Garrison does see the video , but offers Marshall a job anyway ; the video is not an issue with him . Later , Pete calls Marshall and offers to remove the video , but Marshall refuses . </t>
  </si>
  <si>
    <r>
      <rPr>
        <sz val="11"/>
        <color rgb="FF000000"/>
        <rFont val="Calibri"/>
        <family val="0"/>
        <charset val="1"/>
      </rPr>
      <t xml:space="preserve">The House on Mango Street - wikipedia  The House on Mango Street   The House on Mango Street   1984 edition     Author   Sandra Cisneros     Cover artist   illustration : Nivia Gonzalez design : Lorraine Louie lettering : Henry Sene Yee     Country   United States     Language   English     Genre   Coming - of - age story , novella , a book of vignettes     Published   1984 ( Arte Público Press )     Media type   Print ( Hardcover , Paperback , &amp; library binding ) , audio cassette , and audio CD     Pages   110 ( 2nd edition , paperback )     ISBN   0 - 679 - 73477 - 5 ( 2nd edition , paperback )     OCLC   81009584     Dewey Decimal   813 /. 54 20     LC Class   PS3553. I78 H6 1991     The House on Mango Street is a 1984 coming - of - age novel by Mexican - American writer Sandra Cisneros . It deals with Esperanza Cordero , a young Latina girl , and her life growing up in Chicago with Chicanos and Puerto Ricans . Esperanza is determined to `` say goodbye '' to her impoverished Latino neighborhood by turning to a life on the streets . Major themes include her quest for a better life and the importance of her promise to come back for `` the ones ( she ) left behind '' . The novel has been critically acclaimed , and has also become a New York Times Bestseller . It has also been adapted into a stage play by Tanya Saracho .   Contents    1 Plot   2 Genre   3 Autobiographical elements   4 Critical reception   5 Publication history   6 See also   7 References    Plot ( edit )   The story begins with Esperanza , the protagonist , describing how her family arrived at the house on Mango Street . Before the family settled in their new house , they moved around frequently . The reader develops a sense of Esperanza 's observant and descriptive nature as she begins the novel with descriptions of minute behaviors and observations about her family members . Though Esperanza 's age is never revealed to the reader , it is implied that she is about thirteen . She begins to write as a way of expressing herself and as a way to escape the suffocating effect of the neighborhood . The novel also includes the stories of many of Esperanza 's neighbors , providing a picture of the neighborhood and offering examples of the many influences surrounding her . Esperanza quickly befriends Lucy and Rachel Guerrero , two Texan girls who live across the street . Lucy , Rachel , Esperanza , and Esperanza 's little sister , Nenny , have many adventures in the small space of their neighborhood . As the vignettes progress , the novel depicts Esperanza 's budding personal maturity and developing world outlook .   Esperanza later slips into puberty and likes it when a boy watches her dance at a baptism party . Esperanza 's newfound views lead her to become friends with Sally , a girl her age who wears black nylon stockings , makeup , high heels , and short skirts , and uses boys as an escape from her abusive father . Sally , a beautiful girl according to her father , can get into trouble with being as beautiful as she is . Esperanza is not completely comfortable with Sally 's sexuality . Their friendship is compromised when Sally ditches Esperanza for a boy at a carnival . As a result , Esperanza is sexually assaulted by a man at the carnival . Earlier at her first job , an elderly man tricked her into kissing him on the lips . Esperanza 's traumatic experiences and observations of the women in her neighborhood cement her desire to escape Mango Street . She later realizes that she will never fully be able to leave Mango Street behind . She vows that after she leaves she will return to help the people she has left behind . Esperanza exclaims that Mango Street does not hold her in both arms ; instead , which sets her free .   Genre ( edit )   The House on Mango Street is made up of vignettes that are not quite poems and not quite full stories . Not wanting to write directly about herself , Cisneros constructs the book in a combnation of genres pulling mantles of poetry , autobiography , and fiction . Certain parts of the book directly reflect Cisneros ' life , while others stray . Esperanza narrates these vignettes in first - person present tense , focusing on her day - to - day activities but sometimes narrating sections that are a series of observations . The vignettes can be as short as two or three paragraphs long and sometimes contain internal rhymes . In `` The Family of Little Feet '' for example , Esperanza says :   `` Their arms were little , and their hands were little , and their height was not tall , and their feet very small . '' Each vignette can stand as an independent story . These vignettes do n't follow a complete or chronological narrative , although they often mention characters introduced in earlier sections . The conflicts and problems in these short stories are never fully resolved , just as the futures of people in the neighborhood are often uncertain . The overall tone of the novel is earnest and intimate , with very little distance between the reader and the narrator . The tone varies from pessimistic to hopeful , as Esperanza herself sometimes expresses her jaded views on life :   `` I knew then I had to have a house . A real house . One I could point to . But this is n't it . The house on Mango Street is n't it . For the time being , Mama says . Temporary , says Papa . But I know how those things go . ''   The set of vignettes charts her life as Esperanza Cordero grows during the year : both physically and emotionally .   Cisneros asserts that the goal of The House on Mango Street was to make the novel accessible to everyone . She wrote the book initially as a catharsis , not realizing that it would eventually represent a voice for Latinos and become enveloped in the works of great Latino literature . She wanted it to be lyrical enough to be appreciated by poetry enthusiasts , but also accessible enough that laymen could read and enjoy the novel . She desired the book to resonate with children , adults , and ages in between , and in totality chose to keep the novel short so that even the busiest of parents and adults who worked long shifts like her father always had , could still find time to read it .   Autobiographical elements ( edit )   Sandra Cisneros ' early life was a subject she would later draw on as a writer in books like The House on Mango Street . She was the only daughter among seven children in her family . Cisneros ' family and father specifically did not initially support her writing . Her father never wanted her to be an author . When she was growing up , the only famous Latinas were those on TV , and in the seventies they were seen most often on television as weather girls . Cisneros and her father envisioned her as a newscaster for that reason . Despite a lacking support system , Cisneros continued to pursue writing , and used her life to inspire her early works . The House on Mango Street includes information inspired by her life . The story also is about the subject of migration , and about the struggles of her life during it , which included poverty , as well as misogyny . Cisneros first began writing about the protagonist , Esperanza , when she had just finished graduate school . Cisneros created Esperanza from personal feelings of displacement she had while writing . She had recently graduated from the University of Iowa and had felt marginalized as a person of color , a woman , and an individual of lower socioeconomic status . The House on Mango Street became a way for her to solidify her identities through reflection in writing . Esperanza is one of four children , with a younger sister and two younger brothers . In reality , Cisneros was the middle child and only girl with six brothers , two older and four younger . While writing , Cisneros explains that because she was new to fiction , she initially craved simplicity , which resulted in Esperanza 's family being smaller than her actual family had been . She believed it would be easier to write about fewer family members .   Critical reception ( edit )   Acclaimed by critics , The House on Mango Street has been translated into various languages and has been taught in schools across the United States and Canada . The book received highly positive reception upon release and has been re-issued in a 25th Anniversary Edition . The novel has especially earned high praise from the Latino / Latina community . Oscar Hijuelos , the first Hispanic writer to win a Pulitzer Prize for Fiction , said that the novel has `` conveyed the Southwestern Latino experience with verve , charm , and passion . '' The book won her the American Book Award from the Before Columbus Foundation ( 1985 ) .   After the initial release , the response to The House on Mango Street by the public and various academics was varied . Much of the critical reception surrounding the novel stems from the sexual content present throughout multiple scenes . During the `` Red Clowns '' chapter of the novel , Esperanza is raped by a male who repeatedly defines her as a `` Spanish girl '' whom he loves . Critics argued that the suspected audience of the book was perceived to be too young for this content .  Protesters are seen in June 2011 in support of the Tucson Unified School District 's Mexican - American studies program . A new state law effectively ended the program saying it was divisive .  Despite its high praise in the realm of Latino literature , The House on Mango Street has also received criticism and has been banned from some school curriculums .   In response to these criticisms as well as the removal of the MAS program from TUSD schools , teachers , authors , and activists headed by Tony Diaz , a teacher from the MAS program formed a caravan in spring of 2012 that moved across the southwest conducting workshops in major cities . The caravan , called the Librotraficante Project , originated at the Alamo and ended in Tucson orchestrating workshops distributing books that had been removed with the curriculum , and informing attendees of H.B. 2281 . Though The House on Mango Street was never removed from TUSD 's curriculum and continued to be taught in middle and high school English classes within TUSD , Cisneros traveled with the caravan reading The House on Mango Street and ran workshops about Chicano literature . She brought numerous copies of the book with her , distributed them , and discussed thematic implications of her novel as well as talked about the book 's autobiographical elements .   Parents and education boards in other areas have found the content to be too graphic / real for children of a young age . In response to this categorization as a children 's novel , Cisernos replies that even though it 's marketed as a young people 's book , the range of readers stems all the way to college level students . Cisernos ' novel has one general theme : to promote individuality and drive within individuals which will conversely promote a distaste for conformity and cultural labeling . Much of the critical reception surrounding the book today recants this theme due to its suspected negative effects on individuals challenging superior powers such as the government and educational institutions .   Publication history ( edit )   1984 , The United States , Arte Público Press ISBN 0 - 934770 - 20 - 4 , Pub date 1 January 1984 , paperback   1991 , The United States , Vintage Contemporaries ISBN 0 - 679 - 73477 - 5 , Pub date 3 April 1991 , paperback   See also ( edit )    Chicago literature   Chicano literature    References ( edit )    ^ Jump up to : Cisneros , Sandra ( 1991 ) . The House on Mango Street . Vintage Contemporaries . ISBN 0 - 679 - 73477 - 5 .   Jump up ^ Cisneros , The House on Mango Street , p. 39   Jump up ^ Cisneros , The House on Mango Street , p. 5   ^ Jump up to : Cisneros , Sandra ( 2009 - 04 - 09 ) . `` House on Mango Street Celebrates 25 Years '' . National Public Radio . Retrieved 2016 - 11 - 13 .   Jump up ^ https://www.amazon.com/dp/0679734775   Jump up ^ Hijuelos , Oscar . `` José Rubén De León Takes a Stab At ' The House on Mango Street '' . San Antonio Current . Retrieved 7 November 2016 .   Jump up ^ American Booksellers Association ( 2013 ) . `` The American Book Awards / Before Columbus Foundation ( 1980 -- 2012 ) '' . BookWeb . Archived from the original on March 13 , 2013 . Retrieved September 25 , 2013 . 1985 ( ... ) The House on Mango Street , Sandra Cisneros   ^ Jump up to : Petty , Leslie . `` Literature Resource Center - Document - Re-Envisioning Chicano Cultural Archetypes : The ' Dual ' - ing Images of la Malinche and la Virgen de Guadalupe in Sandra Cisneros 's The House on Mango Street '' . go.galegroup.com . Retrieved 2016 - 12 - 01 .   ^ Jump up to : Cisneros , Sandra . `` Spiritual Sustenance : Interview with Sandra Cisneros '' . go.galegroup.com . Susquehanna University Press . Retrieved 2016 - 12 - 01 .   Jump up ^ Hoinski , Michael ( 2012 - 03 - 08 ) . `` GTT , The Papers Trail , San Antonio '' . New York Times . Retrieved 2016 - 11 - 13 .   Jump up ^ Fernandez , Valeria ( 2012 - 03 - 15 ) . `` Librotraficantes Bring Banned Books into Arizona '' . New America Media . Retrieved 2016 - 11 - 13 .   Jump up ^ Satz , Martha . `` Returning to One 's House : An Interview with Sandra Cisneros '' . go.galegroup.com . Gale Cengage Learning . Retrieved 2016 - 12 - 01 .   Jump up ^ Matchie , Thomas . `` Literary Continuity in Sandra Cisneros 's The House on Mango Street '' . go.galegroup.com . Gale . Retrieved 2016 - 12 - 01 .              Sandra Cisneros     Works     Bad Boys ( 1980 )   The House on Mango Street ( 1984 )   My Wicked , Wicked Ways ( 1987 )   Woman Hollering Creek and Other Stories ( 1991 )   Hairs = Pelitos ( 1994 )   Loose woman : Poems ( 1994 )   Caramelo , or , Pure Cuento : A Novel ( 2002 )   Vintage Cisneros ( 2004 )       Contributed to     Days and Nights of Love and War ( 2000 )   Family Pictures / Cuadros de Familia ( 2005 )   Emergency Tacos : Seven Poets Con Picante ( 2007 )       List of works    Retrieved from `` https://en.wikipedia.org/w/index.php?title=The_House_on_Mango_Street&amp;oldid=843822997 '' Categories :   1984 American novels   Novels by Sandra Cisneros   Hispanic and Latino American novels   Novels set in Chicago   Chicano literature   American bildungsromans   American Book Award - winning works   Hidden categories :   Pages to import images to Wikidata           Talk                                           Contents                   About Wikipedia                                           Deutsch   Español   فارسی   </t>
    </r>
    <r>
      <rPr>
        <sz val="11"/>
        <color rgb="FF000000"/>
        <rFont val="Noto Sans CJK SC"/>
        <family val="2"/>
      </rPr>
      <t xml:space="preserve">中文   </t>
    </r>
    <r>
      <rPr>
        <sz val="11"/>
        <color rgb="FF000000"/>
        <rFont val="Calibri"/>
        <family val="0"/>
        <charset val="1"/>
      </rPr>
      <t xml:space="preserve">Edit links   This page was last edited on 31 May 2018 , at 18 : 09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</si>
  <si>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esperanza live in the house on mango street</t>
  </si>
  <si>
    <t xml:space="preserve"> The House on Mango Street is a 1984 coming - of - age novel by Mexican - American writer Sandra Cisneros . It deals with Esperanza Cordero , a young Latina girl , and her life growing up in Chicago with Chicanos and Puerto Ricans . Esperanza is determined to `` say goodbye '' to her impoverished Latino neighborhood by turning to a life on the streets . Major themes include her quest for a better life and the importance of her promise to come back for `` the ones ( she ) left behind '' . The novel has been critically acclaimed , and has also become a New York Times Bestseller . It has also been adapted into a stage play by Tanya Saracho . </t>
  </si>
  <si>
    <t xml:space="preserve">List of Backward compatible games for Xbox One - wikipedia  List of Backward compatible games for Xbox One  Jump to : navigation , search  The Xbox One gaming console has received updates from Microsoft since its launch in 2013 that enable it to play select games from its two predecessor consoles , Xbox and Xbox 360 . On June 15 , 2015 , backward compatibility with supported Xbox 360 games became available to eligible Xbox Preview program users with a beta update to the Xbox One system software . The dashboard update containing backward compatibility was released publicly on November 12 , 2015 . On October 24 , 2017 , another such update added games from the original Xbox library . The following is a list of all backward compatible games on Xbox One under this functionality .     Contents  ( hide )   1 History   1.1 Xbox 360   1.2 Xbox     2 Xbox One X enhancements   3 List of compatible titles from Xbox 360   4 List of compatible titles from Xbox   5 See also   6 References   7 External links      History ( edit )   At its launch in November 2013 , the Xbox One did not have native backward compatibility with original Xbox or Xbox 360 games . Xbox Live director of programming Larry `` Major Nelson '' Hryb suggested users could use the HDMI - in port on the console to pass an Xbox 360 or any other device with HDMI output through Xbox One . Senior project management and planning director Albert Penello explained that Microsoft was considering a cloud gaming platform to enable backward compatibility , but he felt it would be `` problematic '' due to varying internet connection qualities .   Xbox 360 ( edit )   During Microsoft 's E3 2015 press conference on June 15 , 2015 , Microsoft announced plans to introduce Xbox 360 backward compatibility on the Xbox One at no additional cost . Supported Xbox 360 games will run within an emulator and have access to certain Xbox One features , such as recording and broadcasting gameplay . Games do not run directly from discs . A ported form of the game is downloaded automatically when a supported game is inserted , while digitally - purchased games will automatically appear for download in the user 's library once available . As with Xbox One titles , if the game is installed using physical media , the disc is still required for validation purposes .   Not all Xbox 360 games will be supported ; 104 Xbox 360 games were available for the feature 's public launch on November 12 , 2015 with Xbox One preview program members getting early access . Microsoft stated that publishers will only need to provide permission to the company to allow the repackaging , and they expect the list to grow significantly over time . Unlike the emulation of original Xbox games on the Xbox 360 , the Xbox One does not require game modification , since it emulates an exact replica of its predecessor 's environment -- both hardware and software operating systems . The downloaded game is a repackaged version of the original that identifies itself as an Xbox One title to the console . At Gamescom , Microsoft revealed it has plans to ensure `` all future Xbox 360 Games with Gold titles will be playable on Xbox One . '' On December 17 , 2015 Microsoft made another sixteen Xbox 360 games compatible with Xbox One , including titles such as Halo : Reach , Fable III and Deus Ex : Human Revolution . On January 21 , 2016 , Microsoft made another ten Xbox 360 games compatible , including The Witcher 2 : Assassins of Kings and Counter-Strike : Global Offensive . On May 13 , 2016 , Microsoft made Xbox 360 titles with multiple discs compatible , starting with Deus Ex : Human Revolution Director 's Cut .   In January 2016 , Microsoft announced that future titles would be added as they became available , instead of waiting until a specific day each month .   Xbox ( edit )   During Microsoft 's E3 2017 press conference on June 11 , 2017 , Microsoft announced that roughly 50 % of Xbox One users had played an Xbox 360 game on Xbox One through the system 's backward - compatibility feature . Based on popular demand , Phil Spencer , Microsoft 's Head of Xbox , announced that Xbox One consoles would be able to play select games made for the original Xbox console , first released in 2001 . The compatibility will work on all consoles in the Xbox One family , including the Xbox One X , and will be available as a free update planned for the fall of 2017 .   The functionality will be similar to that for back - compatibility with Xbox 360 games . Users insert the Xbox game disc into their Xbox One console to install the compatible version of the game . While players will not be able to access any old game saves or connect to Xbox Live on these titles , system link functions will remain available . Xbox games will not receive achievement support , although when asked about this component , Spencer responded that they had nothing to announce at the current time .   Realizing that game discs for original Xbox consoles could be scarce , Spencer said that plans were in place to make compatible Xbox games available digitally . Spencer also said that such games may also be incorporated into the Xbox Game Pass subscription service . In a later interview , Spencer indicated that the potential library of Xbox titles being playable on Xbox One will be smaller than that currently available from the Xbox 360 library . Spencer noted two reasons for the more limited library were the availability of content rights for the games and the technical difficulties related to the conversion .   Xbox One X enhancements ( edit )   Backwards compatible original Xbox and Xbox 360 titles will benefit from becoming Xbox One X enhanced with the following :    Improved framerate stability   Games utilizing a dynamic resolution will hit their max resolution more often , or at all times   16x anisotropic filtering   Forced V - sync   Variable refresh rate compatibility ( when used with a compatible display )    List of compatible titles from Xbox 360 ( edit )   There are currently 473 on this list out of 2097 games released for the Xbox 360 .     Title   Publisher ( s )   Format   Xbox One X Enhanced   Date added   Notes / References     0 Day Attack on Earth   Gulti   XBLA     000000002017 - 10 - 30 - 0000 October 30 , 2017       3D Ultra Minigolf Adventures   Activision   XBLA     000000002017 - 04 - 20 - 0000 April 20 , 2017       A Kingdom for Keflings   Microsoft Studios   XBLA     000000002015 - 06 - 15 - 0000 June 15 , 2015       A World of Keflings   Microsoft Studios   XBLA     000000002015 - 06 - 15 - 0000 June 15 , 2015       Aegis Wing   Microsoft Studios   XBLA     000000002016 - 01 - 21 - 0000 January 21 , 2016       Age of Booty   Capcom   XBLA     000000002016 - 01 - 21 - 0000 January 21 , 2016       Alan Wake   Microsoft Studios       000000002016 - 03 - 17 - 0000 March 17 , 2016   Also available as a bonus with purchase of Quantum Break .     Alan Wake 's American Nightmare   Microsoft Studios   XBLA     000000002016 - 02 - 11 - 0000 February 11 , 2016   Also included as a pre-order bonus with Quantum Break .     Alice : Madness Returns   Electronic Arts       000000002017 - 01 - 24 - 0000 January 24 , 2017       Alien Hominid HD   Microsoft Studios   XBLA     000000002015 - 06 - 15 - 0000 June 15 , 2015       Altered Beast   Sega   XBLA     000000002016 - 04 - 26 - 0000 April 26 , 2016       Anomaly : Warzone Earth   Microsoft Studios   XBLA     000000002016 - 06 - 07 - 0000 June 7 , 2016       Aqua   Microsoft Studios   XBLA     000000002016 - 06 - 07 - 0000 June 7 , 2016       ARKANOID Live !   Taito Corporation   XBLA     000000002016 - 09 - 08 - 0000 September 8 , 2016       Army of Two   Electronic Arts       000000002017 - 03 - 28 - 0000 March 28 , 2017       Assassin 's Creed   Ubisoft       000000002016 - 03 - 21 - 0000 March 21 , 2016       Assassin 's Creed II   Ubisoft       000000002015 - 11 - 12 - 0000 November 12 , 2015   Also available in Assassin 's Creed : The Ezio Collection which includes remastered versions of Assassin 's Creed II , Assassin 's Creed : Brotherhood and Assassin 's Creed : Revelations for Xbox One .     Assassin 's Creed III   Ubisoft       000000002017 - 05 - 23 - 0000 May 23 , 2017       Assassin 's Creed IV : Black Flag   Ubisoft       000000002018 - 04 - 03 - 0000 April 3 , 2018   Also released as a launch title for Xbox One .     Assassin 's Creed : Brotherhood   Ubisoft       000000002017 - 06 - 27 - 0000 June 27 , 2017   Also available in Assassin 's Creed : The Ezio Collection which includes remastered versions of Assassin 's Creed II , Assassin 's Creed : Brotherhood and Assassin 's Creed : Revelations for Xbox One .     Assassin 's Creed : Revelations   Ubisoft       000000002017 - 03 - 23 - 0000 March 23 , 2017   Also available in Assassin 's Creed : The Ezio Collection which includes remastered versions of Assassin 's Creed II , Assassin 's Creed : Brotherhood and Assassin 's Creed : Revelations for Xbox One .     Assassin 's Creed Rogue   Ubisoft       000000002017 - 02 - 23 - 0000 February 23 , 2017   Also available as a remastered version on Xbox One .     Assault Heroes 2   Sierra Entertainment   XBLA     000000002017 - 04 - 25 - 0000 April 25 , 2017       Asteroids &amp; Deluxe   Atari   XBLA     000000002015 - 11 - 12 - 0000 November 12 , 2015       Astropop   PopCap Games   XBLA     000000002016 - 11 - 29 - 0000 November 29 , 2016       Axel &amp; Pixel   2K Play   XBLA     000000002018 - 03 - 13 - 0000 March 13 , 2018       Babel Rising   Ubisoft   XBLA     000000002016 - 06 - 16 - 0000 June 16 , 2016       Band of Bugs   Microsoft Studios   XBLA     000000002017 - 05 - 04 - 0000 May 4 , 2017       Banjo - Kazooie   Microsoft Studios   XBLA     000000002015 - 06 - 15 - 0000 June 15 , 2015   Also included as part of the Rare Replay collection of games .     Banjo - Kazooie : Nuts &amp; Bolts   Microsoft Studios       000000002015 - 08 - 04 - 0000 August 4 , 2015   Also included as part of the Rare Replay collection of games .     Banjo - Tooie   Microsoft Studios   XBLA     000000002015 - 06 - 15 - 0000 June 15 , 2015   Also included as part of the Rare Replay collection of games .     Batman : Arkham Origins   WB Games   Disc Only     000000002017 - 08 - 08 - 0000 August 8 , 2017       BattleBlock Theater   Microsoft Studios   XBLA     000000002015 - 06 - 15 - 0000 June 15 , 2015       Battlefield 3   Electronic Arts       000000002017 - 01 - 10 - 0000 January 10 , 2017   Available in the Vault of EA Access .     Battlefield : Bad Company 2   Electronic Arts       000000002017 - 01 - 10 - 0000 January 10 , 2017   Available in the Vault of EA Access .     Battlefield : Bad Company   Electronic Arts       000000002017 - 08 - 17 - 0000 August 17 , 2017   Available in the Vault of EA Access .     Battlestations : Midway   Square Enix       000000002016 - 10 - 11 - 0000 October 11 , 2016       Bayonetta   Sega       000000002016 - 09 - 08 - 0000 September 8 , 2016       Beat'n Groovy   Konami   XBLA     000000002017 - 01 - 12 - 0000 January 12 , 2017       Bejeweled 2 Deluxe   Microsoft Studios   XBLA     000000002015 - 11 - 12 - 0000 November 12 , 2015   Available in the Vault of EA Access .     Bejeweled 3   PopCap Games   XBLA     000000002016 - 09 - 06 - 0000 September 6 , 2016   Available in the Vault of EA Access .     Bellator : MMA Onslaught   345 Games   XBLA     000000002015 - 11 - 12 - 0000 November 12 , 2015       Beyond Good &amp; Evil HD   Ubisoft   XBLA     000000002015 - 11 - 12 - 0000 November 12 , 2015       Bionic Commando : Rearmed 2   Capcom   XBLA     000000002016 - 07 - 21 - 0000 July 21 , 2016       BioShock   2K Games       000000002016 - 12 - 13 - 0000 December 13 , 2016   Also available in BioShock : The Collection , featuring remastered versions of all 3 BioShock titles on Xbox One .     BioShock 2   2K Games       000000002016 - 12 - 13 - 0000 December 13 , 2016   Also available in BioShock : The Collection , featuring remastered versions of all 3 BioShock titles on Xbox One .     BioShock Infinite   2K Games       000000002016 - 12 - 13 - 0000 December 13 , 2016   Also available in BioShock : The Collection , featuring remastered versions of all 3 BioShock titles on Xbox One .     Bit. Trip Presents ... Runner2 : Future Legend of Rhythm Alien   Aksys Games   XBLA     000000002016 - 05 - 05 - 0000 May 5 , 2016       Blazing Angels : Squadrons of WWII   Ubisoft       000000002017 - 06 - 27 - 0000 June 27 , 2017       Blood Knights   Kalypso Media   XBLA     000000002016 - 06 - 23 - 0000 June 23 , 2016       Blood of the Werewolf   Midnight City   XBLA     000000002015 - 11 - 12 - 0000 November 12 , 2015       Bloodforge   Microsoft Studios   XBLA     000000002016 - 06 - 30 - 0000 June 30 , 2016       BloodRayne : Betrayal   Majesco Entertainment   XBLA     000000002015 - 11 - 12 - 0000 November 12 , 2015       Blue Dragon   Microsoft Studios       000000002016 - 11 - 01 - 0000 November 1 , 2016       Bolt   Disney Interactive       000000002017 - 08 - 08 - 0000 August 8 , 2017       Bomberman Live : Battlefest   Hudson Soft   XBLA     000000002016 - 08 - 18 - 0000 August 18 , 2016       Boom Boom Rocket   Electronic Arts   XBLA     000000002016 - 07 - 26 - 0000 July 26 , 2016       Bound by Flame   Focus Home Interactive       000000002016 - 09 - 15 - 0000 September 15 , 2016       Borderlands   2K Games       000000002015 - 09 - 03 - 0000 September 3 , 2015   All versions of the game , including physical and digital copies , receive all DLC as a free download ( on Xbox One only ) .     Borderlands 2   2K Games       000000002017 - 02 - 23 - 0000 February 23 , 2017   Also available in Borderlands : The Handsome Collection which includes remastered versions of Borderlands 2 and Borderlands : The Pre-Sequel for Xbox One .     Braid   Microsoft Studios   XBLA     000000002015 - 12 - 17 - 0000 December 17 , 2015       Brain Challenge   Ubisoft   XBLA     000000002016 - 06 - 16 - 0000 June 16 , 2016       Brave : The Video Game   Disney Interactive       000000002018 - 02 - 20 - 0000 February 20 , 2018       Bullet Soul   5pb .       000000002017 - 05 - 04 - 0000 May 4 , 2017       Bullet Soul - Infinite Burst -   5pb .       000000002017 - 05 - 04 - 0000 May 4 , 2017       Bully : Scholarship Edition   Rockstar Games       000000002016 - 12 - 15 - 0000 December 15 , 2016       Burnout Paradise   Electronic Arts       000000002016 - 11 - 22 - 0000 November 22 , 2016   Remastered as Burnout Paradise Remastered for Xbox One .     Cabela 's Alaskan Adventures   Activision       000000002017 - 04 - 27 - 0000 April 27 , 2017       Cabela 's Dangerous Hunts 2013   Activision       000000002017 - 04 - 27 - 0000 April 27 , 2017       Cabela 's Hunting Expeditions   Activision       000000002017 - 04 - 27 - 0000 April 27 , 2017       Cabela 's Survival : Shadows of Katmai   Activision       000000002017 - 04 - 27 - 0000 April 27 , 2017       Call of Duty : Advanced Warfare   Activision       000000002017 - 09 - 28 - 0000 September 28 , 2017   Also released on Xbox One .     Call of Duty : Black Ops   Activision       000000002016 - 05 - 17 - 0000 May 17 , 2016       Call of Duty : Black Ops II   Activision       000000002017 - 04 - 11 - 0000 April 11 , 2017       Call of Duty : Ghosts   Activision       000000002017 - 06 - 29 - 0000 June 29 , 2017   Also released as a launch title for Xbox One .     Call of Duty : World at War   Activision       000000002016 - 09 - 27 - 0000 September 27 , 2016       Call of Duty 2   Activision       000000002016 - 08 - 23 - 0000 August 23 , 2016       Call of Duty 3   Activision       000000002016 - 09 - 22 - 0000 September 22 , 2016       Call of Duty 4 : Modern Warfare   Activision       000000002018 - 03 - 29 - 0000 March 29 , 2018   Also available in a remastered version .     Call of Juarez : Gunslinger   Ubisoft   XBLA     000000002015 - 11 - 12 - 0000 November 12 , 2015       Capcom Arcade Cabinet   Capcom   XBLA     000000002016 - 07 - 21 - 0000 July 21 , 2016       Carcassonne   Sierra Online   XBLA     000000002016 - 02 - 26 - 0000 February 26 , 2016       Cars Mater - National Championship   Disney Interactive Studios       000000002017 - 11 - 14 - 0000 November 14 , 2017       Cars 2 : The Video Game   Disney Interactive Studios       000000002017 - 03 - 02 - 0000 March 2 , 2017       Castlevania : Symphony of the Night   Konami   XBLA     000000002016 - 03 - 17 - 0000 March 17 , 2016       Castle Crashers   Microsoft Studios   XBLA     000000002015 - 11 - 12 - 0000 November 12 , 2015       Castle of Illusion Starring Mickey Mouse   Sega   XBLA     000000002016 - 08 - 30 - 0000 August 30 , 2016       CastleStorm   Microsoft Studios   XBLA     000000002015 - 11 - 12 - 0000 November 12 , 2015       Catherine   Atlus       000000002016 - 12 - 15 - 0000 December 15 , 2016       Cave , The The Cave   Sega   XBLA     000000002016 - 04 - 26 - 0000 April 26 , 2016       Centipede &amp; Millipede   Atari   XBLA     000000002015 - 11 - 12 - 0000 November 12 , 2015       Child of Eden   Ubisoft       000000002017 - 10 - 12 - 0000 October 12 , 2017       CLANNAD   Prototype       000000002016 - 12 - 15 - 0000 December 15 , 2016   Japan only .     Commanders : Attack of the Genos   Sierra Entertainment   XBLA     000000002017 - 04 - 25 - 0000 April 25 , 2017       Comic Jumper   Microsoft Studios   XBLA     000000002016 - 06 - 23 - 0000 June 23 , 2016       Comix Zone   Sega   XBLA     000000002016 - 04 - 26 - 0000 April 26 , 2016       Condemned : Criminal Origins   Sega       000000002015 - 11 - 12 - 0000 November 12 , 2015       Contra   Konami   XBLA     000000002017 - 04 - 20 - 0000 April 20 , 2017       Costume Quest 2   Midnight City   XBLA     000000002017 - 07 - 18 - 0000 July 18 , 2017       Counter-Strike : Global Offensive   Valve Corporation   XBLA     000000002016 - 01 - 21 - 0000 January 21 , 2016       Crackdown   Microsoft Studios       000000002018 - 02 - 27 - 0000 February 27 , 2018       Crazy Taxi   Sega   XBLA     000000002015 - 11 - 12 - 0000 November 12 , 2015       Crystal Defenders   Square Enix   XBLA     000000002016 - 07 - 21 - 0000 July 21 , 2016       Crystal Quest   Microsoft Studios   XBLA     000000002016 - 06 - 23 - 0000 June 23 , 2016       Cyber Troopers Virtual - On Oratorio Tangram   Sega   XBLA     000000002017 - 06 - 27 - 0000 June 27 , 2017       Dark Souls   Bandai Namco Entertainment       000000002016 - 03 - 23 - 0000 March 23 , 2016   Available as a digital pre-order bonus with Dark Souls 3 on the Xbox store .     Dark Void   Capcom       000000002016 - 03 - 21 - 0000 March 21 , 2016       Darkness II , The The Darkness II   2K Games       000000002018 - 01 - 30 - 0000 January 30 , 2018       Darksiders   THQ       000000002017 - 03 - 23 - 0000 March 23 , 2017   Remastered as Darksiders : Warmastered Edition for Xbox One .     Darksiders II   THQ       000000002017 - 03 - 23 - 0000 March 23 , 2017   Remastered as Darksiders II : Deathinitive Edition for Xbox One .     Daytona USA   Sega   XBLA     000000002017 - 03 - 21 - 0000 March 21 , 2017       de Blob 2   THQ       000000002016 - 09 - 08 - 0000 September 8 , 2016       Dead Rising 2 : Case Zero   Capcom   XBLA     000000002017 - 03 - 02 - 0000 March 2 , 2017       Dead Rising 2 : Case West   Capcom   XBLA     000000002017 - 03 - 02 - 0000 March 2 , 2017       Dead Space   Electronic Arts       000000002016 - 03 - 30 - 0000 March 30 , 2016   Available in the Vault of EA Access .     Dead Space 2   Electronic Arts       000000002017 - 04 - 27 - 0000 April 27 , 2017   Available in the Vault of EA Access .     Dead Space 3   Electronic Arts       000000002017 - 04 - 27 - 0000 April 27 , 2017   Available in the Vault of EA Access .     Dead Space Ignition   Electronic Arts   XBLA     000000002016 - 11 - 15 - 0000 November 15 , 2016   Available in the Vault of EA Access .     Deadfall Adventures   Nordic Games       000000002017 - 10 - 26 - 0000 October 26 , 2017       Deadliest Warrior : The Game   Spike Games   XBLA     000000002017 - 08 - 08 - 0000 August 8 , 2017       Deadliest Warrior : Legends   345 Games Spike Games   XBLA     000000002015 - 11 - 12 - 0000 November 12 , 2015       Deadly Premonition   Marvelous Entertainment       000000002017 - 11 - 02 - 0000 November 2 , 2017       DeathSpank : Thongs of Virtue   Electronic Arts   XBLA     000000002016 - 09 - 06 - 0000 September 6 , 2016       Defense Grid : The Awakening   Microsoft Studios   XBLA     000000002015 - 06 - 15 - 0000 June 15 , 2015       Deus Ex : Human Revolution   Square Enix       000000002015 - 12 - 17 - 0000 December 17 , 2015       Deus Ex : Human Revolution Director 's Cut   Square Enix   Disc Only     000000002016 - 05 - 10 - 0000 May 10 , 2016   First Multi-Disc game made available .     Dig Dug   Bandai Namco Entertainment   XBLA     000000002016 - 05 - 05 - 0000 May 5 , 2016       DiRT 3   Codemasters       000000002015 - 11 - 12 - 0000 November 12 , 2015       Dirt : Showdown   Codemasters       000000002015 - 11 - 12 - 0000 November 12 , 2015       Discs of Tron   Disney Interactive Studios   XBLA     000000002015 - 11 - 12 - 0000 November 12 , 2015       Divinity II   Larian Studios       000000002018 - 04 - 03 - 0000 April 3 , 2018       Domino Master   Microsoft Studios   XBLA     000000002016 - 05 - 24 - 0000 May 24 , 2016       Doom   Bethesda Softworks   XBLA     000000002015 - 11 - 12 - 0000 November 12 , 2015   Available as a digital pre-order bonus with Doom on the Xbox store .     Doom II   Bethesda Softworks   XBLA     000000002015 - 11 - 12 - 0000 November 12 , 2015   Available as a digital pre-order bonus with Doom on the Xbox store .     Doom 3 : BFG Edition   Bethesda Softworks   Disc Only     000000002016 - 04 - 14 - 0000 April 14 , 2016       Doritos Crash Course   Microsoft Studios   XBLA     000000002015 - 12 - 17 - 0000 December 17 , 2015       Double Dragon Neon   Majesco Entertainment   XBLA     000000002016 - 04 - 26 - 0000 April 26 , 2016       Dragon Age : Origins   Electronic Arts       000000002017 - 01 - 10 - 0000 January 10 , 2017   Available in the Vault of EA Access .     Dragon 's Lair   Microsoft Studios   XBLA     000000002016 - 10 - 11 - 0000 October 11 , 2016       Driver : San Francisco   Ubisoft   Disc Only     000000002018 - 01 - 16 - 0000 January 16 , 2018   Available on disc only , but existing digital owners can download it .     DuckTales Remastered   Capcom   XBLA     000000002016 - 05 - 24 - 0000 May 24 , 2016       Duke Nukem : Manhattan Project   Microsoft Studios   XBLA     000000002016 - 04 - 12 - 0000 April 12 , 2016       Dungeons &amp; Dragons : Chronicles of Mystara   Capcom   XBLA     000000002016 - 06 - 23 - 0000 June 23 , 2016       Dungeon Siege III   Square Enix       000000002015 - 11 - 16 - 0000 November 16 , 2015       Earth Defense Force : Insect Armageddon   D3 Publisher       000000002017 - 07 - 11 - 0000 July 11 , 2017       Earth Defense Force 2017   D3 Publisher       000000002017 - 11 - 30 - 0000 November 30 , 2017       Earthworm Jim HD   Microsoft Studios   XBLA     000000002015 - 11 - 12 - 0000 November 12 , 2015       Eat Lead : The Return of Matt Hazard   D3 Publisher       000000002016 - 10 - 13 - 0000 October 13 , 2016       Elder Scrolls IV , The The Elder Scrolls IV : Oblivion   Bethesda       000000002016 - 11 - 29 - 0000 November 29 , 2016       Encleverment Experiment   Microsoft Studios   XBLA     000000002016 - 09 - 27 - 0000 September 27 , 2016       Epic Mickey 2 : The Power of Two   Disney Interactive Studios       000000002017 - 08 - 03 - 0000 August 3 , 2017       Escape Dead Island   Deep Silver       000000002016 - 11 - 15 - 0000 November 15 , 2016       Every Extend Extra Extreme   Microsoft Studios   XBLA     000000002016 - 09 - 27 - 0000 September 27 , 2016       F1 2014   Codemasters       000000002017 - 07 - 11 - 0000 July 11 , 2017       Fable Anniversary   Microsoft Studios       000000002017 - 10 - 05 - 0000 October 5 , 2017       Fable II   Microsoft Studios       000000002015 - 11 - 12 - 0000 November 12 , 2015       Fable II Pub Games   Microsoft Studios   XBLA     000000002017 - 10 - 05 - 0000 October 5 , 2017       Fable III   Microsoft Studios       000000002015 - 12 - 17 - 0000 December 17 , 2015       Faery : Legends of Avalon   Focus Home Interactive   XBLA     000000002016 - 05 - 10 - 0000 May 10 , 2016       Fallout 3   Bethesda Softworks       000000002015 - 11 - 12 - 0000 November 12 , 2015   Was also available as a bonus with purchase of Fallout 4 . Also , owners of the Xbox 360 Game of the Year Edition can run the game with all the DLC using disc 2 .     Fallout : New Vegas   Bethesda Softworks       000000002016 - 06 - 23 - 0000 June 23 , 2016   Owners of the Xbox 360 Ultimate Edition can run the game with all the DLC using disc 2 .     Far Cry 2   Ubisoft       000000002018 - 01 - 16 - 0000 January 16 , 2018       Far Cry 3   Ubisoft       000000002017 - 03 - 30 - 0000 March 30 , 2017       Far Cry 3 : Blood Dragon   Ubisoft   XBLA     000000002016 - 08 - 09 - 0000 August 9 , 2016       Feeding Frenzy   PopCap Games   XBLA     000000002015 - 11 - 12 - 0000 November 12 , 2015   Available in the Vault of EA Access .     Feeding Frenzy 2 : Shipwreck Showdown   PopCap Games   XBLA     000000002015 - 11 - 12 - 0000 November 12 , 2015   Available in the Vault of EA Access .     Fighting Vipers   Sega   XBLA     000000002017 - 08 - 08 - 0000 August 8 , 2017       Final Fight : Double Impact   Capcom   XBLA     000000002016 - 05 - 10 - 0000 May 10 , 2016       Flashback   Ubisoft   XBLA     000000002016 - 06 - 16 - 0000 June 16 , 2016       Flock !   Capcom   XBLA     000000002016 - 07 - 19 - 0000 July 19 , 2016       Forza Horizon   Microsoft Studios       000000002016 - 08 - 30 - 0000 August 30 , 2016       Foul Play   Mastertronic Group   XBLA     000000002016 - 06 - 09 - 0000 June 9 , 2016       Fret Nice   Koei Tecmo   XBLA     000000002016 - 07 - 21 - 0000 July 21 , 2016       Frogger   Konami   XBLA     000000002016 - 04 - 28 - 0000 April 28 , 2016       Frogger 2   Konami   XBLA     000000002016 - 05 - 10 - 0000 May 10 , 2016       Frontlines : Fuel of War   THQ       000000002017 - 07 - 18 - 0000 July 18 , 2017       FunTown Mahjong   Microsoft Studios   XBLA     000000002016 - 09 - 27 - 0000 September 27 , 2016       Galaga   Bandai Namco Entertainment   XBLA     000000002016 - 02 - 15 - 0000 February 15 , 2016       Galaga Legions   Bandai Namco Entertainment   XBLA     000000002016 - 10 - 20 - 0000 October 20 , 2016       Galaga Legions DX   Bandai Namco Entertainment   XBLA     000000002016 - 04 - 28 - 0000 April 28 , 2016       Garou : Mark of the Wolves   SNK Playmore   XBLA     000000002016 - 04 - 12 - 0000 April 12 , 2016       Gatling Gears   Electronic Arts   XBLA     000000002016 - 09 - 06 - 0000 September 6 , 2016       Gears of War   Microsoft Studios       000000002015 - 08 - 03 - 0000 August 3 , 2015   Was also available as a bonus with purchase of Gears of War : Ultimate Edition .     Gears of War 2   Microsoft Studios       000000002015 - 11 - 12 - 0000 November 12 , 2015   Was also available as a bonus with purchase of Gears of War : Ultimate Edition .     Gears of War 3   Microsoft Studios       000000002015 - 11 - 12 - 0000 November 12 , 2015   Was also available as a bonus with purchase of Gears of War : Ultimate Edition .     Gears of War : Judgment   Microsoft Studios       000000002015 - 11 - 12 - 0000 November 12 , 2015   Was also available as a bonus with purchase of Gears of War : Ultimate Edition .     Geometry Wars : Retro Evolved   Microsoft Studios   XBLA     000000002016 - 02 - 25 - 0000 February 25 , 2016       Geometry Wars : Retro Evolved 2   Activision   XBLA     000000002017 - 05 - 02 - 0000 May 2 , 2017       Geometry Wars 3 : Dimensions   Sierra Entertainment   XBLA     000000002017 - 05 - 02 - 0000 May 2 , 2017       Ghostbusters : Sanctum of Slime   Atari   XBLA     000000002016 - 04 - 26 - 0000 April 26 , 2016       Ghostbusters : The Video Game   Atari       000000002017 - 01 - 10 - 0000 January 10 , 2017       Gin Rummy   Activision   XBLA     000000002017 - 04 - 20 - 0000 April 20 , 2017       Girl Fight   Kung Fu Factory   XBLA     000000002017 - 10 - 26 - 0000 October 26 , 2017       Go ! Go ! Break Steady   Microsoft Studios   XBLA     000000002016 - 06 - 30 - 0000 June 30 , 2016       Goat Simulator   Coffee Stain Studios   XBLA     000000002017 - 10 - 12 - 0000 October 12 , 2017       Golden Axe   Sega   XBLA     000000002015 - 11 - 12 - 0000 November 12 , 2015       Golf : Tee It Up !   Activision   XBLA     000000002017 - 04 - 20 - 0000 April 20 , 2017       Grand Theft Auto IV   Rockstar Games       000000002017 - 02 - 09 - 0000 February 9 , 2017   Including `` Episodes From Liberty City '' DLC .     Grid 2   Codemasters       000000002016 - 03 - 21 - 0000 March 21 , 2016       Gripshift   Microsoft Studios   XBLA     000000002016 - 06 - 30 - 0000 June 30 , 2016       Guardian Heroes   Sega   XBLA     000000002016 - 11 - 08 - 0000 November 8 , 2016       Gunstar Heroes   Sega   XBLA     000000002016 - 04 - 06 - 0000 April 6 , 2016       Guwange   CAVE   XBLA     000000002016 - 09 - 29 - 0000 September 29 , 2016       Gyromancer   Square Enix   XBLA     000000002017 - 02 - 23 - 0000 February 23 , 2017       Gyruss   Konami   XBLA     000000002017 - 07 - 25 - 0000 July 25 , 2017       Half - Minute Hero : Super Mega Neo Climax   Microsoft Studios   XBLA     000000002016 - 07 - 19 - 0000 July 19 , 2016       Halo 3   Microsoft Studios       000000002017 - 09 - 21 - 0000 September 21 , 2017   Remastered version available in Halo : The Master Chief Collection .     Halo 3 : ODST Campaign Edition   Microsoft Studios       000000002017 - 09 - 21 - 0000 September 21 , 2017   Remastered version available in Halo : The Master Chief Collection via downloadable content .     Halo 4   Microsoft Studios       000000002017 - 09 - 21 - 0000 September 21 , 2017   Remastered version available in Halo : The Master Chief Collection .     Halo : Combat Evolved Anniversary   Microsoft Studios       000000002017 - 09 - 21 - 0000 September 21 , 2017   Remastered version available in Halo : The Master Chief Collection .     Halo : Reach   Microsoft Studios       000000002015 - 12 - 17 - 0000 December 17 , 2015       Halo : Spartan Assault   Microsoft Studios   XBLA     000000002015 - 11 - 12 - 0000 November 12 , 2015       Halo Wars   Microsoft Studios       000000002016 - 03 - 28 - 0000 March 28 , 2016       Hard Corps : Uprising   Konami   XBLA     000000002017 - 05 - 04 - 0000 May 4 , 2017       Hardwood Backgammon   Microsoft Studios   XBLA     000000002015 - 11 - 12 - 0000 November 12 , 2015       Hardwood Hearts   Microsoft Studios   XBLA     000000002015 - 11 - 12 - 0000 November 12 , 2015       Hardwood Spades   Microsoft Studios   XBLA     000000002015 - 11 - 12 - 0000 November 12 , 2015       Harms Way   Microsoft Studios   XBLA     000000002017 - 05 - 04 - 0000 May 4 , 2017       Haunted House   Atari   XBLA     000000002016 - 12 - 01 - 0000 December 1 , 2016       Heavy Weapon   Microsoft Studios   XBLA     000000002015 - 11 - 12 - 0000 November 12 , 2015   Available in the Vault of EA Access .     Hexic HD   Microsoft Studios   XBLA     000000002015 - 06 - 15 - 0000 June 15 , 2015   This originally bundled Xbox 360 game can now be downloaded for free in certain regions from the Xbox store here .     Hexic 2   Microsoft Studios   XBLA     000000002016 - 05 - 24 - 0000 May 24 , 2016       Hitman : Absolution   Square Enix       000000002017 - 02 - 14 - 0000 February 14 , 2017   Hitman : Sniper Challenge pre-order bonus is also compatible .     Hitman : Blood Money   Eidos Interactive       000000002018 - 03 - 06 - 0000 March 6 , 2018       Hydro Thunder Hurricane   Microsoft Studios   XBLA     000000002015 - 12 - 17 - 0000 December 17 , 2015       I Am Alive   Ubisoft   XBLA     000000002016 - 06 - 23 - 0000 June 23 , 2016       Ikaruga   Microsoft Studios   XBLA     000000002015 - 11 - 12 - 0000 November 12 , 2015       ilomilo   Microsoft Studios   XBLA     000000002017 - 05 - 23 - 0000 May 23 , 2017       Injustice : Gods Among Us   Warner Bros. Interactive Entertainment       000000002016 - 12 - 01 - 0000 December 1 , 2016       Insanely Twisted Shadow Planet   Microsoft Studios   XBLA     000000002017 - 04 - 04 - 0000 April 4 , 2017       Interpol : The Trail of Dr. Chaos   Microsoft Studios   XBLA     000000002016 - 07 - 14 - 0000 July 14 , 2016       Iron Brigade   Microsoft Studios   XBLA     000000002015 - 12 - 17 - 0000 December 17 , 2015       Jeremy McGrath 's Offroad   D3 Publisher   XBLA     000000002016 - 01 - 21 - 0000 January 21 , 2016       J</t>
  </si>
  <si>
    <t xml:space="preserve">xbox 360 games can you play on xbox one</t>
  </si>
  <si>
    <t xml:space="preserve">Gail Halvorsen - wikipedia  Gail Halvorsen  Jump to : navigation , search    Gail Halvorsen           ( 1920 - 10 - 10 ) October 10 , 1920 ( age 97 ) Salt Lake City , Utah , United States     Allegiance   United States of America     Service / branch   United States Army Air Forces     Years of service   1942 − 1974     Rank   Colonel     Battles / wars   World War II Berlin airlift     Awards   Legion of Merit Meritorious Service Medal Congressional Gold Medal Order of Merit of the Federal Republic of Germany     Spouse ( s )   Alta Jolley ( 1949 -- 99 ; her death ) Lorraine Pace ( 2004 -- present )     Colonel Gail Seymour `` Hal '' Halvorsen ( born October 10 , 1920 ) is a retired officer and command pilot in the United States Air Force . He is best known as the `` Berlin Candy Bomber '' or `` Uncle Wiggly Wings '' and gained fame for dropping candy to German children during the Berlin airlift from 1948 to 1949 .   Halvorsen grew up in rural Utah but always had a desire to fly . He earned his private pilot 's license in 1941 and then joined the Civil Air Patrol . He joined the United States Army Air Forces in 1942 and was assigned to Germany on July 10 , 1948 to be a pilot for the Berlin Airlift . Halvorsen piloted C - 47s and C - 54s during the Berlin airlift ( `` Operation Vittles '' ) . During that time he founded `` Operation Little Vittles '' , an effort to raise morale in Berlin by dropping candy via miniature parachute to the city 's residents . Halvorsen began `` Little Vittles '' with no authorization from his superiors but over the next year became a national hero with support from all over the United States . Halvorsen 's operation dropped over 23 tons of candy to the residents of Berlin . He became known as the `` Berlin Candy Bomber '' , `` Uncle Wiggly Wings '' , and `` The Chocolate Flier '' .   Halvorsen has received numerous awards for his role in `` Operation Little Vittles '' , including the Congressional Gold Medal . However , `` Little Vittles '' was not the end of Halvorsen 's military and humanitarian career . Over the next 25 years Halvorsen advocated for and performed candy drops in Bosnia - Herzegovina , Albania , Japan , Guam , and Iraq . Halverson 's professional career included various notable positions . He helped to develop reusable manned aircraft at the Directorate of Space and Technology and served as commander of the Templehof Airport . He retired in August 1974 after logging over 8,000 flying hours .     Contents  ( hide )   1 Early life   2 Operation `` Little Vittles ''   3 Professional career   4 Personal life   5 Legacy   5.1 Awards   5.2 Humanitarian work     6 References in media   7 References   8 Further reading   9 External links      Early life ( edit )   Gail Seymour Halvorsen was born in Salt Lake City on October 10 , 1920 to Basil K. and Luella Spencer Halvorsen . He grew up on small farms first in Rigby , Idaho and then in Garland , Utah . He graduated from Bear River High School in 1939 and then briefly attended Utah State University . He went on to earn his private pilot license under the non-college Civilian Pilot Training Program in September 1941 , and at about the same time joined the Civil Air Patrol as a pilot . Halvorsen joined the United States Army Air Corps in May 1942 and was 22 when he arrived in Miami to train with 25 Royal Air Force pilots at the No. 3 British Flying Training School , a branch of the Spartan School of Aeronautics . After fighter pilot training with the RAF , he returned to the Army Air Corps and was assigned flight duties in foreign transport operations in the South Atlantic Theater . He was ordered to Germany on July 10 , 1948 to be a pilot for `` Operation Vittles '' known now as the Berlin Airlift .   Operation `` Little Vittles '' ( edit )  Main article : Berlin Blockade Halvorsen , who pioneered the idea of dropping candy bars and bubble gum with handmade miniature parachutes , which later became known as `` Operation Little Vittles '' .  Lieutenant Halvorsen 's role in the Berlin Airlift was to fly one of many C - 54 cargo planes used to ferry supplies into the starving city . During his flights he would first fly to Berlin , then deeper into Soviet - controlled areas . Halvorsen had an interest in photography and on his days off often went sightseeing in Berlin and shot film on his personal handheld movie camera . One day in July , he was filming plane takeoffs and landings at Tempelhof , the main landing site for the airlift . While there , he saw about thirty children lined up behind one of the barbed - wire fences . He went to meet them and noticed that the children had nothing . Halvorsen remembers : `` I met about thirty children at the barbed wire fence that protected Tempelhof 's huge area . They were excited and told me that ' when the weather gets so bad that you ca n't land , do n't worry about us . We can get by on a little food , but if we lose our freedom , we may never get it back . ' '' Touched , Halvorsen reached into his pocket and took out two sticks of gum to give to the children . The kids broke it into little pieces and shared it ; the ones who did not get any sniffed the wrappers . Watching the children , so many of whom had absolutely nothing , Halvorsen regretted not having more to give them . Halvorsen recorded that he wanted to do more for the children , and so told them that the following day he would have enough gum for all of them , and he would drop it out of his plane . According to Halvorsen , one child asked `` How will we know it is your plane ? '' to which Halvorsen responded that he would wiggle his wings , something he had done for his parents when he first got his pilot 's license in 1941 .   That night Halverson , his copilot , and his engineer pooled their candy rations for the next day 's drop . The accumulated candy was heavy , so in order to ensure the children were not hurt by the falling candy , Halvorsen made three parachutes out of handkerchiefs and tied them to the rations . In the morning when Halverson and his crew made regular supply drops , they also dropped three boxes of candy attached to handkerchiefs . They made these drops once a week for three weeks . Each week , the group of children waiting at the Tempelhof airport fence grew significantly .   When word reached the airlift commander , Lieutenant General William H. Tunner , he ordered it expanded into Operation `` Little Vittles , '' a play on the airlift 's name of Operation Vittles . Operation Little Vittles began officially on September 22 , 1948 . Support for this effort to provide the children of Berlin with chocolate and gum grew quickly , first among Halvorsen 's friends , then to the whole squadron . As news of Operation Little Vittles reached the United States , children and candymakers from all over the US began contributing candy . By November 1948 , Halvorsen could no longer keep up with the amount of candy and handkerchiefs being sent from across America . College student Mary C. Connors of Chicopee , Massachusetts offered to take charge of the now national project and worked with the National Confectioner 's Association to prepare the candy and tie the handkerchiefs . With the groundswell of support , Little Vittles pilots , of which Halvorsen was now one of many , were dropping candy every other day . Children all over Berlin had sweets , and more and more artwork was getting sent back with kind letters attached to them . The American candy bombers became known as the Rosinenbomber ( Raisin Bombers ) , while Halvorsen himself became known by many nicknames to the children of Berlin , including his original moniker of `` Uncle Wiggly Wings , '' as well as `` The Chocolate Uncle '' , `` The Gum Drop Kid '' and `` The Chocolate Flier . ''   Operation `` Little Vittles '' was in effect from September 22 , 1948 to May 13 , 1949 . Although Lieutenant Halvorsen returned home in January 1949 , he passed on leadership of the operation to one of his friends , Captain Lawrence Caskey . Upon his return home , Halvorsen met with several individuals who were key in making Operation `` Little Vittles '' a success . Halvorsen personally thanked his biggest supporter Dorothy Groeger , a homebound woman who nonetheless enlisted the help of all of her friends and acquaintances to sew handkerchiefs and donate funds . He also met the schoolchildren and `` Little Vittles '' committee of Chicopee , Massachusetts who were responsible for preparing over 18 tons of candy and gum from across the country and shipping it to Germany . In total , it is estimated that Operation `` Little Vittles '' was responsible for dropping over 23 tons of candy from over 250,000 parachutes .   Professional career ( edit )  Gail Halvorsen ca . 1983  After returning home in January 1949 , Halvorsen considered the idea of leaving the air force . He changed his mind , however , when he was offered a permanent commission with full pay and the promise that the air force would send him to school . In 1951 and 1952 he earned bachelor 's and master 's degrees in Aeronautical Engineering from the University of Florida as an assignment from the Air Force Institute of Technology . He went on to be the project engineer for cargo aircraft research and development with the Wright Air Development Center at Wright - Patterson Air Force Base and Hill Air Force Base from 1952 to 1957 . Halvorsen was reassigned in 1957 to the Air Command and Staff College at Maxwell AFB , Alabama . He was there until 1958 , when he was assigned at the Air Force Space Systems Division of Air Force Systems Command in Inglewood , California . While on this assignment , Halvorsen researched and developed various space projects . The most notable of these was the Titan III launch vehicle program , which he chaired source selection . Halvorsen would serve as part of Air Force Systems Command for the next four years .   From 1962 to 1965 , Halvorsen served in Wiesbaden , West Germany , with the Foreign Technology division of AF Systems Command . He was next assigned to the Deputy Chief of Staff for Research and Development , HQ USAF , the Pentagon , and in the Directorate of Space and Technology . He developed plans for the advanced manned reusable spacecraft , space policy and procedures , and on the Manned Orbital Laboratory Project . He then was given the command of the 659th Instrumentation Squadron of the AF Systems Command Satellite Control Facility , Vandenberg AFB , California , which was involved in both satellite launch and orbit operations .   Halvorsen then became the Commander of the 7350th Air Base Group at Templehof Central Airport , Berlin , Germany , in February 1970 . It was the very same airfield he flew to daily during the Berlin Airlift . During this period , he also served as the US Air Force Europe Representative in Berlin , as well as completing a master 's degree in Guidance and Counseling from Wayne State University through an on - base educational program . His final assignment was as the Inspector General , Ogden Air Materiel Center , Hill AFB , Utah . Halvorsen retired on August 31 , 1974 , having accumulated over 8,000 flying hours and 31 years of military service .   Personal life ( edit )   Colonel Halvorsen 's work with Operation `` Little Vittles '' not only won him international acclaim , but `` drew him two proposals '' according to one U.S. newspaper . He turned both of them down , hoping that the girl he left home in Garland , Utah would still have feelings for him . Halvorsen had met Alta Jolley in 1942 at Utah State Agricultural College . After Halvorsen left for Germany , the couple carried on their courtship via mail . Gail Halvorsen and Alta Jolley were married in Las Vegas , Nevada on April 16 , 1949 . The Halvorsens had five children , all of whom were raised in various parts of the United States and Germany as Halvorsen fulfilled his military assignments . After Colonel Halvorsen 's retirement in 1974 , the couple moved to Provo , Utah . From 1976 until 1986 Halvorsen served as the Assistant Dean of Student Life at Brigham Young University . Alta and Halvorsen were both active in The Church of Jesus Christ of Latter - day Saints ( LDS Church ) . They served as missionaries for the LDS Church from 1986 to 1987 in London , England and again from 1995 to 1997 in St. Petersburg , Russia . Alta died on January 25 , 1999 , at which time the couple had 24 grandchildren . Five years later , Halvorsen married again , this time to his high school sweetheart , Lorraine Pace . The couple currently resides in Spanish Fork , Utah on their farm , and spend winters in Arizona .   Legacy ( edit )   Halvorsen 's life , and especially his work with Operation `` Little Vittles '' , had a profound impact on many , many lives both in the United States and throughout the world . After his official retirement in 1974 , Halvorsen continued to serve the local , national , and international community in a variety of ways .   Awards ( edit )                                           US Air Force Command Pilot Badge     Legion of Merit   Meritorious Service Medal   Air Force Commendation Medal     American Campaign Medal   European -- African -- Middle Eastern Campaign Medal   World War II Victory Medal     Army of Occupation Medal w / Berlin Airlift Device   Medal for Humane Action   National Defense Service Medal w / 1 bronze service star     Air Force Longevity Service Award w / 1 silver and 1 bronze oak leaf clusters   Small Arms Expert Marksmanship Ribbon   Order of Merit of the Federal Republic of Germany ( Member )     In 1949 Halvorsen received the Cheney Award , given by the Air Force to recognize humanitarian action , from General Hoyt S. Vandenberg for the inception of Operation ' Little Vittles ' . Other prominent awards include the Legion of Merit , Ira Baker `` Fellow '' Award by the USAF Chief of Staff General John Dale Ryan ; Air Force Sergeants Association `` Americanism '' Award ( some previous recipients were Bob Hope and President George Bush ) ; Freedom Award from City of Provo , Utah ; The Distinguished Humanitarian Award from the Institute of German Relations ; the Eric Warburg Pries , 1998 ; and the Patriot Award from Brigham Young University ROTC . In 2014 , Halvorsen became a recipient of the Congressional Gold Medal , the highest award that Congress can give to a civilian . He was inducted into the Airlift / Tanker Hall of Fame and the Utah Aviation Hall of Fame in May 2001 . The United States Air Force has helped cement Colonel Halvorsen 's airlift legacy by naming its next generation , 25,000 - pound capacity aircraft loading vehicle in his honor . The Air Force has also created the Col. Gail Halvorsen Award for outstanding air transportation support in the logistics readiness career field . In 2008 , Halvorsen was honored as Grand Marshal of the German - American Steuben Parade in New York City , where he was celebrated by tens of thousands of spectators on Fifth Avenue .   Halvorsen 's actions during the Berlin Airlift had a substantial impact on German - American relations in the years to come . For his efforts , he has also been extensively honored by the German people . In 1974 he was decorated with the Großes Bundesverdienstkreuz ( Grand Cross of the Order of Merit of the Federal Republic of Germany ) , Germany 's highest award . In 2015 he was awarded the General Lucius D. Clay medal by the Federation of German - American Clubs . The medal is the highest honor granted to an individual who has contributed significantly to the development of German - American relations . In addition , he has had numerous German schools named in his honor , including a secondary school in Berlin and the Gail S. Halvorsen Elementary school at Rhein - Main Air Base , Frankfurt , Germany . He has appeared many times on German television over the years , often paired with some of the children ( now adults ) who received his candy parachutes . On February 8 , 2002 for the 2002 Winter Olympics in Salt Lake City , he carried the German national placard into the Rice - Eccles Stadium . He has also appeared extensively on American television and movies . In 1992 , then Brigham Young University Student Michael Van Wagenen produced a 7 - minute work entitled `` The Candy Bomber '' , which was later made into a full - length film . In 2012 Halvorsen 's story became the theme of the Mormon Tabernacle Choir Christmas concert , entitled Christmas from Heaven and narrated by Tom Brokaw .   Humanitarian work ( edit )   During Halvorsen ' s career and for several years following his retirement , he voluntarily represented the U.S. Air Force and the United States of America . He helped to re-enact one of his famous candy drops in commemoration of the 20th anniversary of the Berlin Airlift . The event was held at the Tempelhof Central Airport with over 40,000 people in attendance . Another re-enactment occurred in September 1989 to commemorate the 40th anniversary of the airlift . Halvorsen again participated , this time with a television team from Good Morning America , and dropped candy to Berlin children , including some of the grandchildren of those he had originally given chocolate to . Additional re-enactments were performed in 1993 and 1994 . In 1998 , he was part of the regular flight crew of the Berlin Airlift Historical Foundation 's C - 54 `` Spirit of Freedom '' and took part in a 71 - day European tour . The tour included two Atlantic Ocean crossings in the then 53 - year - old airplane . During the tour , he and several other Airlift Veterans ( also members of the crew ) took part in ceremonies in Germany , France , and the UK commemorating the 50th Anniversary of the Airlift . Halvorsen also performed multiple candy drops throughout the United States .   Halvorsen did not want to merely re-enact the candy drop to countries no longer plagued by war . In later years he advocated using candy drops to lift spirits and promote goodwill in other nations . In 1994 he persuaded the air force to let him drop hundreds of candy bars over Bosnia - Herzegovina as part of Operation Provide Promise . Another , larger drop was planned and executed by Halvorsen over Kosovo in 1999 . Additional candy drops have been enacted in Japan , Guam , Albania , and across the United States . In 2003 and 2004 , he advocated a similar series of candy drops over Baghdad as a humanitarian mission to be a `` ray of hope , a symbol that somebody in America cares . '' Since that time , the United States military has emulated some of his actions in Iraq by dropping toys , teddy bears , and soccer balls to Iraqi children .   References in media ( edit )   A board game called Operation Candy Bomber which is about the events that Gail Halvorsen started in the airlift is coming soon to kickstarter .   References ( edit )    United States Air Force portal   Utah portal     ^ Jump up to : Thompson , Warren E. ( 2009 ) . `` Gail Halvorsen '' . Aircraft Illustrated . Ian Allen Publishing . 42 ( 10 ) : 24 -- 29 . ISSN 0002 - 2675 . Retrieved July 11 , 2016 .   Jump up ^ `` With Military in Box Elder '' . The Ogden Standard - Examiner . Ogden , Utah . March 28 , 1943 . p. 5 . Retrieved June 9 , 2016 .   ^ Jump up to : Cottingham , David Thomas ( February 26 , 1949 ) . `` Down the Runway '' . The Daily Mail . Hagerstown , Maryland . p. 3 . Retrieved June 9 , 2016 .   ^ Jump up to : `` Highlights in the News : ' Little Vittles ' Comes to an End '' . Portland Press Herald . Portland , Maine . May 14 , 1949 . p. 1 . Retrieved June 9 , 2016 .   ^ Jump up to : Volk , Greg ( June 13 , 2014 ) . `` How One Pilot 's Sweet Tooth Helped Defeat Communism '' . mentalfloss.com . Retrieved June 9 , 2016 .   ^ Jump up to : `` Uncle Wiggly Wings : This Utah Flier , Now In the Air Force , Won Berlin With Chocolate Bar Bombs '' . The Salt Lake Tribune . Salt Lake City , Utah . January 23 , 1949 . p. 64 . Retrieved June 8 , 2016 .   Jump up ^ `` Candy Bomber to Receive Congressional Gold Medal '' . www.standard.net . December 1 , 2014 . Retrieved July 11 , 2016 .   ^ Jump up to : Ford , Regina ( March 31 , 2004 ) . `` Gail Halvorsen Still Delivers the Goods '' . Green Valley News . Green Valley , Arizona . Retrieved June 14 , 2016 .   ^ Jump up to : `` Halvorsen , Gail S. , Col '' . airforce.togetherweserved.com . Retrieved June 13 , 2016 .   Jump up ^ `` Obituaries : Sherman B. Halvorsen '' . The Salt Lake Tribune . Salt Lake City , Utah . April 8 , 1935 . p. 9 . Retrieved June 9 , 2016 .   Jump up ^ `` With Military in Box Elder '' . The Ogden Standard - Examiner . Ogden , Utah . March 28 , 1943 . Retrieved June 9 , 2016 .   Jump up ^ Smith , Scott S. ( April 8 , 2016 ) . `` Gail Halvorsen Bombed Berlin with Candy During the 1940 's Airlift '' . Investors Business Daily . Retrieved July 12 , 2016 .   Jump up ^ Launius , Roger D. Interview with Colonel Gail S. Halverson , USAF - Ret , May 13 , 1988 .   Jump up ^ Roughton , Randy ( 2011 ) . `` Forever the Candy Bomber : '' ( PDF ) . Airman. 55 ( 3 ) : 44 -- 47 . Retrieved July 5 , 2016 .   Jump up ^ Lynn , Capi ( November 8 , 2014 ) . `` Ore . Woman to Meet ' Candy Bomber , ' her Cold War Hero '' . USA Today . Retrieved July 12 , 2016 .   ^ Jump up to : Lauterborn , David ( April 4 , 2009 ) . `` Interview with Gail Halvorsen , the Berlin Candy Bomber '' . www.historynet.com . Retrieved June 9 , 2016 .   Jump up ^ Williams , Scott ( June 29 , 1998 ) . `` Sweet Memories of Berlin Candy Drop '' . New York Daily News . Retrieved July 12 , 2016 .   Jump up ^ `` U.S. Air Force Brig. Gen. William H. Tunner , directed the Berlin Airlift operation , and gave his blessing to Halvorsen 's efforts , giving birth to `` Operation Little Vittles '' . '' www.defense.gov . Retrieved July 12 , 2016 .   Jump up ^ `` Two Tons of Candy Donated for Berlin '' . The Berkshire Eagle . Pittsfield , Massachusetts . January 18 , 1949 . p. 3 . Retrieved July 12 , 2016 .   Jump up ^ `` Committee Meets on Little Vittles '' . www.pbs.org . November 17 , 1948 . Retrieved June 9 , 2016 .   Jump up ^ `` Berlin Tots ' Thank You Gifts Burden ' Little Vittles ' Flier '' . The Fresno Bee The Republican . Fresno , California . January 25 , 1949 . p. 8 . Retrieved June 9 , 2016 .   Jump up ^ `` Silent Longing for Gum by Kids Started ' Operations Little Vittles ' '' . Santa Cruz Sentinel . Santa Cruz , California . January 25 , 1949 . p. 10 . Retrieved June 14 , 2016 .   Jump up ^ `` ' Chocolate Flier ' Candy and Gum Operation for Reich Goes On '' . Amarillo Daily News . Amarillo , Texas . January 26 , 1949 . p. 4 . Retrieved June 9 , 2016 .   Jump up ^ `` ' Little Vittles ' Flier Thanks Her '' . The Marysville Tribune . Marysville , Ohio . January 26 , 1949 . p. 4 . Retrieved June 9 , 2016 .   Jump up ^ `` ' Little Vittles ' Donors to Meet Pilot Founder '' . The Portsmouth Herald . Portsmouth , New Hampshire . January 22 , 1949 . p. 2 . Retrieved June 9 , 2016 .   Jump up ^ `` Chicopee Children Plan Fete For ' Little Vittles ' Pilot '' . The Berkshire Eagle . Pittsfield , Massachusetts . January 26 , 1949 . p. 9 . Retrieved June 9 , 2016 .   Jump up ^ Grier , Peter ( March 2013 ) . `` Halvorsen : Candy Bomber , Engineer , Unofficial Ambassador '' ( PDF ) . Air Force Magazine : 64 -- 68 . Retrieved June 10 , 2016 .   Jump up ^ `` 1999 - Gail S. Halvorsen , USAF ( Ret ) '' . www.atlink.org . Retrieved June 13 , 2016 .   Jump up ^ `` Gail S. Halvorsen '' . www.au.af.mil . Archived from the original on 2006 - 04 - 23 . Retrieved June 13 , 2016 .   ^ Jump up to : `` 1999 -- Colonel Gail S. Halvorsen , USAF ( Ret ) '' . Airlift / Tanker Association . Retrieved July 22 , 2016 .   Jump up ^ `` Utahn Chosen Commander of Tempelhof '' . The Ogden Standard - Examiner . Ogden , Utah . January 22 , 1970 . p. 14 .   Jump up ^ Baker , Don ( March 10 , 1974 ) . `` ' Chocolate Pilot ' Arrives at Base to End AF Stint '' . The Ogden Standard - Examiner . Ogden , Utah . p. 28 . Retrieved June 14 , 2016 .   Jump up ^ `` Berlin Tots ' Thank You Gifts Burden ' Little Vittles ' Flier '' . The Fresno Bee The Republican . Fresno , California . January 25 , 1949 . p. 8 . Retrieved June 14 , 2016 .   Jump up ^ `` '' Little Vittles '' Candy Bomber Plans Marriage `` . The Bakersfield Californian . Bakersfield , California . March 15 , 1949 . p. 8 . Retrieved June 14 , 2016 .   Jump up ^ `` Utah 's Little Vittle Pilot Marries '' . The Ogden Standard - Examiner . Ogden , Utah . April 17 , 1949 . p. 7 . Retrieved June 14 , 2016 .   ^ Jump up to : `` Obituary : Alta Jolley Halvorsen '' . The Deseret News . Salt Lake City , Utah . January 25 , 1999 . Retrieved June 14 , 2016 .   Jump up ^ Warner , David T. ( December 23 , 2013 ) . `` ' Christmas From Heaven ' : The Heartwarming Saga of the Candy Bomber '' . www.today.com . Retrieved June 14 , 2016 .   ^ Jump up to : `` Candy Bomber to Receive Congressional Gold Medal '' . www.standard.net . December 1 , 2014 . Retrieved June 14 , 2016 .   Jump up ^ `` Gail Halvorsen ( 2012 ) '' . www.mormontabernaclechoir.org. 2012 . Retrieved July 5 , 2016 .   Jump up ^ `` Only Yesterday : 20 Years Ago '' . The Ogden Standard - Examiner . Ogden , Utah . May 28 , 1969 . p. 8 . Retrieved June 14 , 2016 .   Jump up ^ Winter , Brian ( July 15 , 2016 ) . `` Gail Halvorsen 's Awards and Recognition '' . www.heraldxtra.com . Retrieved June 14 , 2016 .   Jump up ^ `` Utah Aviation Hall of Fame '' . www.hill.af.mil . Archived from the original on May 25 , 2011 . Retrieved June 14 , 2016 .   Jump up ^ `` The Berlin Airlift : Gail Halvorsen '' . www.pbs.org . January 19 , 2007 . Retrieved June 14 , 2016 .   Jump up ^ Chavarria , Keoni . `` Team McChord Airman wins Colonel Gail Halvorsen Award '' . www.mcchord.af.mil . Retrieved June 14 , 2016 .   Jump up ^ `` Grand Marshalls '' . germanparadenyc.org . Retrieved June 14 , 2016 .   Jump up ^ `` Remembering the Berlin Airlift '' . issuu.com . Friends Journal . Summer 2015 . pp. 5 -- 10 . Retrieved June 14 , 2016 .   Jump up ^ `` Berlin Airlift Candy Bomber Colonel Gail Halvorsen Receives Clay Medal '' . www.germany.info . December 17 , 2015 . Archived from the original on September 11 , 2016 . Retrieved June 14 , 2016 .   Jump up ^ `` The Hero of the Berlin Airlift '' . www.dw.com . Retrieved June 14 , 2016 .   Jump up ^ Sowby , Laurie Williams ( June 24 , 1988 ) . `` Chocolate Bomber Drops Sweet Memories : WWII Pilot Marks ' 48 Candy Airlift for Children '' . The Deseret News . Salt Lake City , Utah . Retrieved June 14 , 2016 .   ^ Jump up to : Drabble , Jenny ( December 19 , 2014 ) . `` ' Candy Bomber ' Re-enacts Famous Berlin Air Drop at Smith Reynolds Airport '' . Journalnow.com . Retrieved June 14 , 2016 .   Jump up ^ `` BYU Student Honored for Film on WWII ' Candy Bomber ' '' . The Deseret News . Salt Lake City , Utah . November 27 , 1992 . Retrieved July 11 , 2016 .   Jump up ^ `` Christmas from Heaven : The Candy Bomber Story ( Narrated by Tom Brokaw ) '' . www.mormontabernaclechoir.org . December 19 , 2014 . Retrieved July 11 , 2016 .   Jump up ^ `` Airlift ' Candy Bomber ' Will Re-Enact Berlin Drop '' . The Fresno Bee The Republican . Fresno , California . June 29 , 1969 . p. 16 . Retrieved June 14 , 2016 .   Jump up ^ Waldman , Amy ( May 5 , 1998 ) . `` ' Candy Bomber ' is to Buzz Berlin Again '' . The New York Times . New York , New York . Retrieved June 14 , 2016 .   Jump up ^ `` ' Candy Bomber ' drops sweets from Utah 's air for July 4 '' . Military Times . July 4 , 2015 . Retrieved July 22 , 2016 .   Jump up ^ Romboy , Dennis ( March 29 , 1994 ) . `` Watch Out Below ! ' Candy Bomber ' strikes in Bosnia '' . The Deseret News . Salt Lake City , Utah . Retrieved June 13 , 2016 .   Jump up ^ Patrick , Bethanne Kelly . `` ' Candy Bomber ' Fed Hopes Of Berlin 's Children During Airlift '' . www.military.com . Retrieved June 14 , 2016 .   Jump up ^ `` Berlin ' Candy Bomber ' Wants a Repeat Over Iraq '' . The Deseret News . Salt Lake City , Utah . April 8 , 2003 . Retrieved June 14 , 2016 .   Jump up ^ Wind , Dorian de ( April 9 , 2014 ) . `` The ' Candy Bombers ' of Iraq '' . www.huffingtonpost.com . Retrieved June 14 , 2016 .   Jump up ^ `` Operation Candy Bomber '' . November 7 , 2017 .    Further reading ( edit )    Brokaw , Tom . Christmas From Heaven : The True Story of the Berlin Candy Bomber . Salt Lake City , Utah : Deseret Book Company , 2013 . ISBN 1 - 60907 - 700 - 8 .   Cherny , Andrei The Candy Bombers -- The Untold Story of the Berlin Airlift and America 's Finest Hour . Berkeley : The Berkeley Publishing Group , 2009 . ISBN 978 - 0 - 425 - 22771 - 8 .   Halvorsen , Gail S. Gail S. Halvorsen Collection , 1945 -- 2004 . MSS 2220 ; 20th Century Western and Mormon Manuscripts ; L. Tom Perry Special Collections , Harold B. Lee Library , Brigham Young University .   Halvorsen , Gail S . The Berlin Candy Bomber . Bountiful , UT : Horizon Publishers , 1990 . ISBN 0 - 88290 - 361 - 6 .   Miller , George M. To Save a City : The Berlin Airlift 1948 -- 1949 . Hawaii : University Press of the Pacific , 1998 . ISBN 0 - 89875 - 805 - X .   Launius , Roger D. Interview with Gail S. Halvorsen , USAF - Ret , 13 May 1988 . Provo , Utah : L. Tom Perry Special Collections , Brigham Young University   Raven , Margot Theis . Mercedes and the Chocolate Pilot : A True Story of the Berlin Airlift and the Candy that Dropped from the Sky . Chelsea , MI : Sleeping Bear Press , 2002 . ISBN 1 - 58536 - 069 - 4 .   Roughton , Randy. `` Forever the Candy Bomber . '' Airman 55 , no . 3 ( 2011 ) : 44 -- 47 .   Thompson , Warren E. `` Gail Halvorsen . '' Aircraft Illustrated 42 , no . 10 ( 2009 ) : 24 -- 29 . ISSN 0002 - 2675 .   Tunnell , Michael O. Candy Bomber : The Story of the Berlin Airlift 's `` Chocolate Pilot '' . Watertown , Massachusetts : Charlesbridge , 2010 . ISBN 1 - 58089 - 336 - 8 .    External links ( edit )    Gail Halvorsen 's personal website   Gail S. Halvorsen collection , MSS 2220 at L. Tom Perry Special Collections , Brigham Young University            VIAF : 262995396   LCCN : n92024370   GND : 130422371   SNAC : w6s48x4b      Retrieved from `` https://en.wikipedia.org/w/index.php?title=Gail_Halvorsen&amp;oldid=831726593 '' Categories :   1920 births   Living people   American aviators   Aviators from Utah   Utah Aviation Hall of Fame inductees   Berlin Blockade   American Latter Day Saints   American Mormon missionaries in the United Kingdom   Mormon missionaries in England   American military personnel of World War II   American Mormon missionaries in Russia   20th - century Mormon missionaries   American people of Norwegian descent   Military personnel from Salt Lake City   United States Air Force officers   Commanders Crosses of the Order of Merit of the Federal Republic of Germany   Hidden categories :   Good articles   Wikipedia articles with VIAF identifiers   Wikipedia articles with LCCN identifiers   Wikipedia articles with GND identifiers   Wikipedia articles with SNAC - ID identifiers           Talk                                           Contents                   About Wikipedia                                                 Deutsch   Français   Italiano   Norsk   Русский   Simple English   Svenska   Українська   Edit links   This page was last edited on 21 March 2018 , at 23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</si>
  <si>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chocolate pilot and why was that his nickname</t>
  </si>
  <si>
    <t xml:space="preserve"> Halvorsen grew up in rural Utah but always had a desire to fly . He earned his private pilot 's license in 1941 and then joined the Civil Air Patrol . He joined the United States Army Air Forces in 1942 and was assigned to Germany on July 10 , 1948 to be a pilot for the Berlin Airlift . Halvorsen piloted C - 47s and C - 54s during the Berlin airlift ( `` Operation Vittles '' ) . During that time he founded `` Operation Little Vittles '' , an effort to raise morale in Berlin by dropping candy via miniature parachute to the city 's residents . Halvorsen began `` Little Vittles '' with no authorization from his superiors but over the next year became a national hero with support from all over the United States . Halvorsen 's operation dropped over 23 tons of candy to the residents of Berlin . He became known as the `` Berlin Candy Bomber '' , `` Uncle Wiggly Wings '' , and `` The Chocolate Flier '' . </t>
  </si>
  <si>
    <t xml:space="preserve">Minor Details - Wikipedia  Minor Details     Minor Details     Directed by   John Lyde     Produced by   John Lyde Leah Faber Anne Edwards Sally Meyer     Written by   Sally Meyer Anne Edwards     Starring   Kelsey Edwards Caitlin EJ Meyer Danielle Chuchran Lauren Faber Jennette McCurdy Savannah Jayde Gipson Emma Duke Brady Edwards Andrew Cottrill Elijah Thomas     Music by   Brittnee Belt Robert Allen Elliott     Cinematography   John Lyde     Edited by   John Lyde     Production company   Mainstay Productions     Distributed by   SunWorld Pictures     Release date     January 23 , 2009 ( 2009 - 01 - 23 )               Country   United States     Language   English     Minor Details is a 2009 mystery film by John Lyde of MainStay Productions and written by Sally Meyer and Anne M. Edwards starring Kelsey Edwards , Caitlin EJ Meyer , Danielle Chuchran , Lauren Faber , Jennette McCurdy , Emma Duke , Savannah Jayde Gipson , Brady Edwards , Andrew Cottrill , and Elijah Thomas playing students at the boarding school Danforth Academy trying to discover why a mysterious epidemic of sickness is starting to take over the school .   Contents    1 Premise   2 Cast   3 References   4 External links    Premise ( edit )   During the film , someone is trying to make the students sick at the upscale boarding school , Danforth Academy . Teenagers Abby , Paige , Claire , and Taylor join forces to solve the mystery . Other teenagers , who could be potential suspects , include Mia and Riley - two girls who have everything that money can buy ; Emily - the know - it - all Principal 's daughter ; the wacky Sean Meneskie , and the school 's strange Professor Plume . The four best friends must find out who it is . In the end they figured out that the culprit was Mia , she did this so her father could earn more money to pay for her modeling camp . She tricked everyone into thinking the cafeteria food was contaminated so they would buy food from the vending machines ( which is her father 's business )   Cast ( edit )    Kelsey Edwards as Abby   Caitlin EJ Meyer as Paige   Danielle Chuchran as Claire   Lauren Faber as Taylor   Jennette McCurdy as Mia   Emma Duke as Emily   Savannah Jayde as Riley   Brady Edwards as Brad   Andrew Cottrill as Sean   Steve Anderson as Professor Plume   Susanne Sutchy as Principal Littman   Elijah Thomas as Ethan   Frank Gerrish as Sgt . Aimes   Charan Prabhakar as Coach Johnson   Danor Gerald as Oscar   Clara Susan Morey II as Nurse Betty   JJ Neward as Karen   Christy Summerhays as Pauline   Shauna Thompson as Shelly   Joel Bishop as Tom   Dakota Edwards as Ben   Jennifer Klekas as Coach Hallows   Tori Ramert as Samantha   Colleen Baum as Elsie   Samantha Endicott as Gracie   Rachelle Faber as Janis   Ruby Chase as Meena ( as Ruby Chase O'Neil )   Tatiana Galindo as Lindsay   Whitney Lee as Vanessa   Sloane Endicott as Waitress    References ( edit )    Jump up ^ Minor Details ( 2009 ) - Plot Summary - IMDb    External links ( edit )    Minor Details on IMDb          This article about a mystery film is a stub . You can help Wikipedia by expanding it .            Retrieved from `` https://en.wikipedia.org/w/index.php?title=Minor_Details&amp;oldid=850826593 '' Categories :   2009 films   English - language films   2000s mystery films   American mystery films   Mystery film stubs               Talk                                           Contents                   About Wikipedia                                           Bahasa Melayu   Português   Edit links   This page was last edited on 18 July 2018 , at 05 : 51 ( UTC ) .         About Wikipedia                    </t>
  </si>
  <si>
    <t xml:space="preserve">who is making everyone sick in minor details</t>
  </si>
  <si>
    <t xml:space="preserve"> During the film , someone is trying to make the students sick at the upscale boarding school , Danforth Academy . Teenagers Abby , Paige , Claire , and Taylor join forces to solve the mystery . Other teenagers , who could be potential suspects , include Mia and Riley - two girls who have everything that money can buy ; Emily - the know - it - all Principal 's daughter ; the wacky Sean Meneskie , and the school 's strange Professor Plume . The four best friends must find out who it is . In the end they figured out that the culprit was Mia , she did this so her father could earn more money to pay for her modeling camp . She tricked everyone into thinking the cafeteria food was contaminated so they would buy food from the vending machines ( which is her father 's business ) </t>
  </si>
  <si>
    <r>
      <rPr>
        <sz val="11"/>
        <color rgb="FF000000"/>
        <rFont val="Calibri"/>
        <family val="0"/>
        <charset val="1"/>
      </rPr>
      <t xml:space="preserve">Maslow 's hierarchy of needs - wikipedia  Maslow 's hierarchy of needs  Jump to : navigation , search Maslow 's hierarchy of needs , represented as a pyramid with the more basic needs at the bottom  Maslow 's hierarchy of needs is a theory in psychology proposed by Abraham Maslow in his 1943 paper `` A Theory of Human Motivation '' in Psychological Review . Maslow subsequently extended the idea to include his observations of humans ' innate curiosity . His theories parallel many other theories of human developmental psychology , some of which focus on describing the stages of growth in humans . Maslow used the terms `` physiological '' , `` safety '' , `` belonging and love '' , `` esteem '' , `` self - actualization '' , and `` self - transcendence '' to describe the pattern that human motivations generally move through . The goal of Maslow 's Theory is to attain the sixth level or stage : self transcendent needs .   Maslow studied what he called exemplary people such as Albert Einstein , Jane Addams , Eleanor Roosevelt , and Frederick Douglass rather than mentally ill or neurotic people , writing that `` the study of crippled , stunted , immature , and unhealthy specimens can yield only a cripple psychology and a cripple philosophy . '' Maslow studied the healthiest 1 % of the college student population .   Maslow 's theory was fully expressed in his 1954 book Motivation and Personality . The hierarchy remains a very popular framework in sociology research , management training and secondary and higher psychology instruction .     Contents  ( hide )   1 Hierarchy   1.1 Physiological needs   1.2 Safety needs   1.3 Social belonging   1.4 Esteem   1.5 Self - actualization   1.6 Self - transcendence     2 Application to Nursing   2.1 The Human Dimensions and Basic Human Needs     3 Research   4 Criticism   4.1 Ranking   4.1. 1 Global ranking   4.1. 2 Ranking of sex   4.1. 3 Changes to the hierarchy by circumstance     4.2 Definition of terms   4.2. 1 Self - actualization       5 See also   6 References   7 Further reading   8 External links      Hierarchy ( edit )  Alternative illustration as dynamic hierarchy of needs with overlaps of different needs at same time  Maslow 's hierarchy of needs is often portrayed in the shape of a pyramid with the largest , most fundamental needs at the bottom and the need for self - actualization and self - transcendence at the top .   The most fundamental and basic four layers of the pyramid contain what Maslow called `` deficiency needs '' or `` d - needs '' : esteem , friendship and love , security , and physical needs . If these `` deficiency needs '' are not met -- with the exception of the most fundamental ( physiological ) need -- there may not be a physical indication , but the individual will feel anxious and tense . Maslow 's theory suggests that the most basic level of needs must be met before the individual will strongly desire ( or focus motivation upon ) the secondary or higher level needs . Maslow also coined the term `` metamotivation '' to describe the motivation of people who go beyond the scope of the basic needs and strive for constant betterment .   The human brain is a complex system and has parallel processes running at the same time , thus many different motivations from various levels of Maslow 's hierarchy can occur at the same time . Maslow spoke clearly about these levels and their satisfaction in terms such as `` relative '' , `` general '' , and `` primarily '' . Instead of stating that the individual focuses on a certain need at any given time , Maslow stated that a certain need `` dominates '' the human organism . Thus Maslow acknowledged the likelihood that the different levels of motivation could occur at any time in the human mind , but he focused on identifying the basic types of motivation and the order in which they would tend to be met .   Physiological needs ( edit )   Physiological needs are the physical requirements for human survival . If these requirements are not met , the human body can not function properly and will ultimately fail . Physiological needs are thought to be the most important ; they should be met first . This is the first and basic need on the hierarchy of needs . Without them , the other needs can not follow up .   Physiological needs include :    Air ( Breathing )   Water   Food   Sexual instinct   Sleep   Clothing   Shelter    Safety needs ( edit )   Once a person 's physiological needs are relatively satisfied , their safety needs take precedence and dominate behavior . In the absence of physical safety -- due to war , natural disaster , family violence , childhood abuse , etc. -- people may ( re - ) experience post-traumatic stress disorder or transgenerational trauma . In the absence of economic safety -- due to economic crisis and lack of work opportunities -- these safety needs manifest themselves in ways such as a preference for job security , grievance procedures for protecting the individual from unilateral authority , savings accounts , insurance policies , disability accommodations , etc . This level is more likely to predominate in children as they generally have a greater need to feel safe .   Safety and Security needs include :    Personal security   Financial security   Health and well - being   Safety needs against accidents / illness and their adverse impacts    Social belonging ( edit )   After physiological and safety needs are fulfilled , the third level of human needs is interpersonal and involves feelings of belongingness . This need is especially strong in childhood and it can override the need for safety as witnessed in children who cling to abusive parents . Deficiencies within this level of Maslow 's hierarchy -- due to hospitalism , neglect , shunning , ostracism , etc. -- can adversely affect the individual 's ability to form and maintain emotionally significant relationships in general .   Social Belonging needs include :    Friendships   Intimacy   Family    According to Maslow , humans need to feel a sense of belonging and acceptance among social groups , regardless whether these groups are large or small . For example , some large social groups may include clubs , co-workers , religious groups , professional organizations , sports teams , gangs , and online communities . Some examples of small social connections include family members , intimate partners , mentors , colleagues , and confidants . Humans need to love and be loved -- both sexually and non-sexually -- by others . Many people become susceptible to loneliness , social anxiety , and clinical depression in the absence of this love or belonging element . This need for belonging may overcome the physiological and security needs , depending on the strength of the peer pressure .   Esteem ( edit )   Esteem needs are ego needs or status needs develop a concern with getting recognition , status , importance , and respect from others . All humans have a need to feel respected ; this includes the need to have self - esteem and self - respect . Esteem presents the typical human desire to be accepted and valued by others . People often engage in a profession or hobby to gain recognition . These activities give the person a sense of contribution or value . Low self - esteem or an inferiority complex may result from imbalances during this level in the hierarchy . People with low self - esteem often need respect from others ; they may feel the need to seek fame or glory . However , fame or glory will not help the person to build their self - esteem until they accept who they are internally . Psychological imbalances such as depression can hinder the person from obtaining a higher level of self - esteem or self - respect .   Most people have a need for stable self - respect and self - esteem . Maslow noted two versions of esteem needs : a `` lower '' version and a `` higher '' version . The `` lower '' version of esteem is the need for respect from others . This may include a need for status , recognition , fame , prestige , and attention . The `` higher '' version manifests itself as the need for self - respect . For example , the person may have a need for strength , competence , mastery , self - confidence , independence , and freedom . This `` higher '' version takes precedence over the `` lower '' version because it relies on an inner competence established through experience . Deprivation of these needs may lead to an inferiority complex , weakness , helplessness etc ...   Maslow states that while he originally thought the needs of humans had strict guidelines , the `` hierarchies are interrelated rather than sharply separated '' . This means that esteem and the subsequent levels are not strictly separated ; instead , the levels are closely related .   Self - actualization ( edit )  Main article : Self - actualization  `` What a man can be , he must be . '' This quotation forms the basis of the perceived need for self - actualization . This level of need refers to what a person 's full potential is and the realization of that potential . Maslow describes this level as the desire to accomplish everything that one can , to become the most that one can be . Individuals may perceive or focus on this need very specifically . For example , one individual may have the strong desire to become an ideal parent . In another , the desire may be expressed athletically . For others , it may be expressed in paintings , pictures , or inventions . As previously mentioned , Maslow believed that to understand this level of need , the person must not only achieve the previous needs , but master them .   Self - transcendence ( edit )  Main article : Self - transcendence  In his later years , Abraham Maslow explored a further dimension of needs , while criticizing his own vision on self - actualization . By this later theory , the self only finds its actualization in giving itself to some higher outside goal , in altruism and spirituality . He equated this with the desire to reach the infinite . `` Transcendence refers to the very highest and most inclusive or holistic levels of human consciousness , behaving and relating , as ends rather than means , to oneself , to significant others , to human beings in general , to other species , to nature , and to the cosmos '' ( Farther Reaches of Human Nature , New York 1971 , p. 269 ) .   Application to nursing ( edit )   Nurses can apply Maslow 's hierarchy of basic needs in the assessment , planning , implementation , and evaluation of patient care . It helps the nurse identify unmet needs as they become health care needs , and allows the nurse to locate the patient on the health - illness continuum and to incorporate the human dimensions and health models into meeting needs .   The human dimensions and basic human needs ( edit )     Physical dimension   Physiologic needs   Breathing , circulation , temperature , intake of food and fluids , elimination of wastes , movement .     Environmental dimension   Safety and security needs   Housing , community , climate .     Sociocultural dimension   Love and belonging needs   Relationships with others , communications with others , support systems , being part of community , feeling loved by others .     Emotional dimension   Self - esteem needs   Hope , joy , curiosity , happiness , accepting Self .     Intellectual and spiritual dimensions   Self - actualization needs   Thinking , learning , decision making , values , beliefs , fulfillment , helping others .     All basic human needs are interrelated and may require nursing actions at more than one level at a given time . For example , in caring for a person coming into the emergency department with a heart attack , the nurse 's immediate concern in the patient 's physiologic needs ( e.g. , oxygen and pain relief ) . At the same time , safety needs ( e.g. , for ensuring that the person does not fall off the examining table ) and love and belonging needs ( e.g. , for having a family member nearby if possible ) are still major considerations .   Research ( edit )   Recent research appears to validate the existence of universal human needs , although the hierarchy proposed by Maslow is called into question .   Following World War II , the unmet needs of homeless and orphaned children presented difficulties that were often addressed with the help of attachment theory , which was initially based on Maslow and others ' developmental psychology work by John Bowlby . Originally dealing primarily with maternal deprivation and concordant losses of essential and primal needs , attachment theory has since been extended to provide explanations of nearly all the human needs in Maslow 's hierarchy , from sustenance and mating to group membership and justice .   Criticism ( edit )   Ranking ( edit )  Global ranking ( edit )  In their extensive review of research based on Maslow 's theory , Wahba and Bridwell found little evidence for the ranking of needs that Maslow described or for the existence of a definite hierarchy at all .   The order in which the hierarchy is arranged has been criticized as being ethnocentric by Geert Hofstede . Maslow 's hierarchy of needs fails to illustrate and expand upon the difference between the social and intellectual needs of those raised in individualistic societies and those raised in collectivist societies . The needs and drives of those in individualistic societies tend to be more self - centered than those in collectivist societies , focusing on improvement of the self , with self - actualization being the apex of self - improvement . In collectivist societies , the needs of acceptance and community will outweigh the needs for freedom and individuality .  Ranking of sex ( edit )  The position and value of sex on the pyramid has also been a source of criticism regarding Maslow 's hierarchy . Maslow 's hierarchy places sex in the physiological needs category along with food and breathing ; it lists sex solely from an individualistic perspective . For example , sex is placed with other physiological needs which must be satisfied before a person considers `` higher '' levels of motivation . Some critics feel this placement of sex neglects the emotional , familial , and evolutionary implications of sex within the community , although others point out that this is true of all of the basic needs .  Changes to the hierarchy by circumstance ( edit )  The higher - order ( self - esteem and self - actualization ) and lower - order ( physiological , safety , and love ) needs classification of Maslow 's hierarchy of needs is not universal and may vary across cultures due to individual differences and availability of resources in the region or geopolitical entity / country .   In one study , exploratory factor analysis ( EFA ) of a thirteen item scale showed there were two particularly important levels of needs in the US during the peacetime of 1993 to 1994 : survival ( physiological and safety ) and psychological ( love , self - esteem , and self - actualization ) . In 1991 , a retrospective peacetime measure was established and collected during the Persian Gulf War and US citizens were asked to recall the importance of needs from the previous year . Once again , only two levels of needs were identified ; therefore , people have the ability and competence to recall and estimate the importance of needs . For citizens in the Middle East ( Egypt and Saudi Arabia ) , three levels of needs regarding importance and satisfaction surfaced during the 1990 retrospective peacetime . These three levels were completely different from those of the US citizens .   Changes regarding the importance and satisfaction of needs from the retrospective peacetime to the wartime due to stress varied significantly across cultures ( the US vs. the Middle East ) . For the US citizens , there was only one level of needs since all needs were considered equally important . With regards to satisfaction of needs during the war , in the US there were three levels : physiological needs , safety needs , and psychological needs ( social , self - esteem , and self - actualization ) . During the war , the satisfaction of physiological needs and safety needs were separated into two independent needs while during peacetime , they were combined as one . For the people of the Middle East , the satisfaction of needs changed from three levels to two during wartime .   A 1981 study looked at how Maslow 's hierarchy might vary across age groups . A survey asked participants of varying ages to rate a set number of statements from most important to least important . The researchers found that children had higher physical need scores than the other groups , the love need emerged from childhood to young adulthood , the esteem need was highest among the adolescent group , young adults had the highest self - actualization level , and old age had the highest level of security , it was needed across all levels comparably . The authors argued that this suggested Maslow 's hierarchy may be limited as a theory for developmental sequence since the sequence of the love need and the self - esteem need should be reversed according to age .   Definition of terms ( edit )  Self - actualization ( edit )  The term `` self - actualization '' may not universally convey Maslow 's observations ; this motivation refers to focusing on becoming the best person that one can possibly strive for in the service of both the self and others . Maslow 's term of self - actualization might not properly portray the full extent of this level ; quite often , when a person is at the level of self - actualization , much of what they accomplish in general may benefit others , or `` the greater good '' .   See also ( edit )    ERG theory , which further expands and explains Maslow 's theory   Fundamental human needs , Manfred Max - Neef 's model   Human givens defines a set of innate physical and emotional needs common to all human beings and a set of natural capabilities for getting these needs met . It suggests that mental illness is impossible when innate human needs are met in a balanced way .   Need theory   Positive disintegration    References ( edit )    ^ Jump up to : Maslow 's Hierarchy of Needs   ^ Jump up to : Maslow , A.H. ( 1943 ) . `` A theory of human motivation '' . Psychological Review . 50 ( 4 ) : 370 -- 96 . doi : 10.1037 / h0054346 -- via psychclassics.yorku.ca .   Jump up ^ M. , , Wills , Evelyn . Theoretical basis for nursing . ISBN 9781451190311 . OCLC 857664345 .   ^ Jump up to : Maslow , A ( 1954 ) . Motivation and personality . New York , NY : Harper . ISBN 0 - 06 - 041987 - 3 .   Jump up ^ Mittelman , W. ( 1991 ) . `` Maslow 's study of self - actualization : A reinterpretation '' . Journal of Humanistic Psychology . 31 ( 1 ) : 114 -- 135 . doi : 10.1177 / 0022167891311010 .   Jump up ^ Kremer , William Kremer ; Hammond , Claudia ( 31 August 2013 ) . `` Abraham Maslow and the pyramid that beguiled business '' . BBC news magazine . Retrieved 1 September 2013 .   Jump up ^ Steere , B.F. ( 1988 ) . Becoming an effective classroom manager : A resource for teachers . Albany , NY : SUNY Press . ISBN 0 - 88706 - 620 - 8 .   Jump up ^ Goble , F. ( 1970 ) . The third force : The psychology of Abraham Maslow . Richmond , CA : Maurice Bassett Publishing . pp. 62 .   Jump up ^ A.H. Maslow , `` Critique of self - actualization theory '' , in : E. Hoffman ( Ed . ) , Future visions : The unpublished papers of Abraham Maslow ( Thousand Oaks , CA : Sage , 1996 ) , pp. 26 -- 32   Jump up ^ Cfr . A.H. Maslow , `` The farther reaches of human nature '' , in : Journal of Transpersonal Psychology 1 ( 1969 ) 1 , pp. 1 - 9 ; A. Maslow , The farther reaches of human nature ( New York : The Viking Press , 1971 ) ; Mark E. Koltko - Rivera , `` Rediscovering the Later Version of Maslow 's Hierarchy of Needs : Self - Transcendence and Opportunities for Theory , Research , and Unification '' , in : Review of General Psychology 10 ( 2006 ) 4 , pp. 302 - 317 ( PDF ) ; Albert Garcia - Romeu , `` Self - transcendence as a measurable transpersonal construct '' , in : Journal of Transpersonal Psychology , 42 ( 2010 ) 1 , p. 26 - 47 ( PDF )   Jump up ^ Taylor , Carol . Fundamentals of Nursing : The Art and Science of Person - centered Nursing Care . 8th ed . Philadelphia : Wolters Kluwer , 2015 . Print .   Jump up ^ Villarica , H. ( August 17 , 2011 ) . `` Maslow 2.0 : A new and improved recipe for happiness '' . theatlantic.com .   Jump up ^ Tay , L. ; Diener , E. ( 2011 ) . `` Needs and subjective well - being around the world '' . Journal of Personality and Social Psychology . 101 ( 2 ) : 354 -- 365 . doi : 10.1037 / a0023779 .   Jump up ^ Bretherton , I. ( 1992 ) . `` The Origins of Attachment Theory : John Bowlby and Mary Ainsworth '' . Developmental Psychology . 28 ( 5 ) : 759 -- 775 . doi : 10.1037 / 0012 - 1649.28. 5.759 .   Jump up ^ Bugental DB ( 2000 ) . `` Acquisition of the Algorithms of Social Life : A Domain - Based Approach '' . Psychological Bulletin . 126 ( 2 ) : 178 -- 219 . doi : 10.1037 / 0033 - 2909.126. 2.187 . PMID 10748640 .   Jump up ^ Wahba , M.A. ; Bridwell , L.G. ( 1976 ) . `` Maslow reconsidered : A review of research on the need hierarchy theory '' . Organizational Behavior and Human Performance. 15 ( 2 ) : 212 -- 240 . doi : 10.1016 / 0030 - 5073 ( 76 ) 90038 - 6 .   Jump up ^ Hofstede , G. ( 1984 ) . `` The cultural relativity of the quality of life concept '' ( PDF ) . Academy of Management Review . 9 ( 3 ) : 389 -- 398 . doi : 10.5465 / amr. 1984.4279653 . Archived from the original ( PDF ) on 2014 - 11 - 12 .   Jump up ^ Cianci , R. ; Gambrel , P.A. ( 2003 ) . `` Maslow 's hierarchy of needs : Does it apply in a collectivist culture '' . Journal of Applied Management and Entrepreneurship. 8 ( 2 ) : 143 -- 161 .   Jump up ^ Kenrick , D. ( May 19 , 2010 ) . `` Rebuilding Maslow 's pyramid on an evolutionary foundation '' . psychologytoday.com/ .   Jump up ^ Kenrick , D.T. ; Griskevicius , V. ; Neuberg , S.L. ; Schaller , M. ( 2010 ) . `` Renovating the pyramid of needs : Contemporary extensions built upon ancient foundations '' . Perspectives on Psychological Science . 5 : 292 . doi : 10.1177 / 1745691610369469 .   Jump up ^ Tang , T.L. ; West , W.B. ( 1997 ) . `` The importance of human needs during peacetime , retrospective peacetime , and the Persian Gulf War '' . International Journal of Stress Management . 4 ( 1 ) : 47 -- 62 .   Jump up ^ Tang , T.L. ; Ibrahim , A.H. ( 1998 ) . `` Importance of human needs during retrospective peacetime and the Persian Gulf War : Mid-eastern employees '' . International Journal of Stress Management . 5 ( 1 ) : 25 -- 37 .   Jump up ^ Tang , T.L. ; Ibrahim , A.H. ; West , W.B. ( 2002 ) . `` Effects of war - related stress on the satisfaction of human needs : The United States and the Middle East '' . International Journal of Management Theory and Practices. 3 ( 1 ) : 35 -- 53 .   Jump up ^ Goebel , B.L. ; Brown , D.R. ( 1981 ) . `` Age differences in motivation related to Maslow 's need hierarchy '' . Developmental Psychology . 17 : 809 -- 815 . doi : 10.1037 / 0012 - 1649.17. 6.809 .    Further reading ( edit )    Heylighen , Francis ( 1992 ) . `` A cognitive - systemic reconstruction of maslow 's theory of self - actualization '' ( PDF ) . Behavioral Science . 37 ( 1 ) : 39 -- 58 . doi : 10.1002 / bs. 3830370105 .   Kress , Oliver ( 1993 ) . `` A new approach to cognitive development : ontogenesis and the process of initiation '' . Evolution and Cognition . 2 ( 4 ) : 319 -- 332 .    External links ( edit )       Wikimedia Commons has media related to Maslow 's hierarchy of needs .      A Theory of Human Motivation , original 1943 article by Maslow .   Retrieved from `` https://en.wikipedia.org/w/index.php?title=Maslow%27s_hierarchy_of_needs&amp;oldid=832879603 '' Categories :   Human development   Interpersonal relationships   Organizational behavior   Personal development   Personal life   Developmental psychology   Motivational theories   Happiness   Stage theories   1943 introductions   Psychological concepts   Positive psychology   Hidden categories :   All articles with dead external links   Articles with dead external links from August 2017           Talk                                           Contents                   About Wikipedia                                                   Български   Català   Čeština   ChiShona   Dansk   Deutsch   Eesti   Emiliàn e rumagnòl   Español   Esperanto   Euskara   فارسی   Føroyskt   Français   Galego   </t>
    </r>
    <r>
      <rPr>
        <sz val="11"/>
        <color rgb="FF000000"/>
        <rFont val="Noto Sans CJK SC"/>
        <family val="2"/>
      </rPr>
      <t xml:space="preserve">한국어   </t>
    </r>
    <r>
      <rPr>
        <sz val="11"/>
        <color rgb="FF000000"/>
        <rFont val="Calibri"/>
        <family val="0"/>
        <charset val="1"/>
      </rPr>
      <t xml:space="preserve">Հայերեն   हिन्दी   Hrvatski   Bahasa Indonesia   Italiano   עברית   ಕನ್ನಡ   ქართული   Қазақша   Latviešu   Magyar   മലയാളം   مصرى   Bahasa Melayu   မြန်မာဘာသာ   Nederlands   </t>
    </r>
    <r>
      <rPr>
        <sz val="11"/>
        <color rgb="FF000000"/>
        <rFont val="Noto Sans CJK SC"/>
        <family val="2"/>
      </rPr>
      <t xml:space="preserve">日本 語   </t>
    </r>
    <r>
      <rPr>
        <sz val="11"/>
        <color rgb="FF000000"/>
        <rFont val="Calibri"/>
        <family val="0"/>
        <charset val="1"/>
      </rPr>
      <t xml:space="preserve">Norsk   پښتو   ភាសា ខ្មែរ   Polski   Português   Русский   Simple English   Slovenčina   Slovenščina   کوردی   Српски / srpski   Srpskohrvatski / српскохрватски   Suomi   Svenska   தமிழ்   ไทย   Türkçe   Українська   Tiếng Việt   </t>
    </r>
    <r>
      <rPr>
        <sz val="11"/>
        <color rgb="FF000000"/>
        <rFont val="Noto Sans CJK SC"/>
        <family val="2"/>
      </rPr>
      <t xml:space="preserve">中文  </t>
    </r>
    <r>
      <rPr>
        <sz val="11"/>
        <color rgb="FF000000"/>
        <rFont val="Calibri"/>
        <family val="0"/>
        <charset val="1"/>
      </rPr>
      <t xml:space="preserve">45 more  Edit links   This page was last edited on 28 March 2018 , at 13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</si>
  <si>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at the bottom of the hierarchy of needs is</t>
  </si>
  <si>
    <t xml:space="preserve"> Physiological needs are the physical requirements for human survival . If these requirements are not met , the human body can not function properly and will ultimately fail . Physiological needs are thought to be the most important ; they should be met first . This is the first and basic need on the hierarchy of needs . Without them , the other needs can not follow up . </t>
  </si>
  <si>
    <t xml:space="preserve">Ramstein Air Base - wikipedia  Ramstein Air Base     Ramstein Air Base     Part of United States Air Forces in Europe - Air Forces Africa ( USAFE - AFAFRICA )     Located near : Kaiserslautern , Rheinland - Pfalz , Germany     A C - 130 Hercules overflies the control tower at Ramstein Air Base     Coordinates   49 ° 26 ′ 38.10 '' N 007 ° 36 ′ 08.13 '' E ﻿ / ﻿ 49.4439167 ° N 7.6022583 ° E ﻿ / 49.4439167 ; 7.6022583 ﻿ ( Ramstein AB )     Site information     Controlled by   United States Air Force     Site history     Built   1948     In use   1952 -- present     Garrison information     Current commander   Brigadier General Richard G. Moore Jr .     Garrison   86th Airlift Wing ( USAF )       Airfield information       IATA : RMS   ICAO : ETAR       Summary     Elevation AMSL   776 ft / 237 m     Coordinates   49 ° 26 ′ 38 '' N 007 ° 36 ′ 08 '' E ﻿ / ﻿ 49.44389 ° N 7.60222 ° E ﻿ / 49.44389 ; 7.60222 Coordinates : 49 ° 26 ′ 38 '' N 007 ° 36 ′ 08 '' E ﻿ / ﻿ 49.44389 ° N 7.60222 ° E ﻿ / 49.44389 ; 7.60222     Map     ETAR Location of Ramstein Air Base     Runways        Direction   Length   Surface     ft   m     09 / 27   9,278   2,828   Asphalt     08 / 26   10,498   3,200   Asphalt        Ramstein Air Base is a United States Air Force base in Rhineland - Palatinate , a state in southwestern Germany . It serves as headquarters for the United States Air Forces in Europe - Air Forces Africa ( USAFE - AFAFRICA ) and also for NATO Allied Air Command ( AIRCOM ) . Ramstein is located near the town of Ramstein - Miesenbach , in the rural district of Kaiserslautern .   The east gate of Ramstein Air Base is about 16 kilometers ( 9.9 mi ) from Kaiserslautern ( locally referred to by Americans as `` K - Town '' ) . Other nearby civilian communities include Ramstein - Miesenbach , just outside the base 's west gate , and Landstuhl , about 3 miles ( 4.8 km ) from the west gate .   Contents    1 Overview   2 Current status   3 History   3.1 Previous names   3.2 Major USAF units assigned   3.3 Major U.S. Army units assigned   3.4 Origins   3.5 NATO command center   3.6 ADOC Kindsbach   3.7 Drone war control center   3.8 Potentially illegal arms and munition transports   3.9 Operational history   3.9. 1 86th Wing   3.9. 2 26th Tactical Reconnaissance Wing       4 Schools   5 In popular culture   5.1 Fictional entities   5.2 In films   5.3 In games   5.4 In literature   5.5 In music   5.6 In television     6 Disasters   6.1 Red Army Faction Car Bombing , August 31 , 1981   6.2 Ramstein air show disaster , August 28 , 1988     7 References   7.1 Citations   7.2 Bibliography     8 Further reading   9 External links    Overview ( edit )   The host unit is the 86th Airlift Wing ( 86 AW ) , commanded by Brigadier General Richard G. Moore , Jr . The 86th Airlift Wing is composed of six groups , 27 squadrons and three bases in Germany , Spain , and Belgium . Its mission is the operation and maintenance of airlift assets consisting of C - 130Js , C - 20s , C - 21s , C - 40B and C - 37A Gulfstream aircraft throughout Europe , Africa and the Middle East .   Also at Ramstein is the 435th Air Ground Operations Wing ( formerly the 435th Air Base Wing ) ( 435 AGOW ) , which focuses on base - support responsibilities within the KMC . It is composed of five groups and 20 squadrons . The wing provides rapid mobility and agile combat support for military operations , and maintains expeditionary forces and infrastructure .   The commander of the 435th AGOW is Colonel Michael T. Rawls .   The new 521st Air Mobility Operations Wing stood up on 4 September 2008 . The current commander of the 521st AMOW is Colonel Thomas Cooper .   Ramstein 's wings are assigned to the headquarters 3rd Air Force also based at Ramstein AB , which controls most of the USAF Wings throughout Europe .   Ramstein AB is part of the Kaiserslautern Military Community ( KMC ) , where more than 54,000 American service members and more than 5,400 US civilian employees live and work . U.S. organizations in the KMC also employ the services of more than 6,200 German workers . Air Force units in the KMC alone employ almost 9,800 military members , bringing with them nearly 11,100 family members . There are more than 16,200 military , U.S. civilian and U.S. contractors assigned to Ramstein AB alone .   In 1984 , an enlisted airman ( Sgt Darrel Dietlein ) assigned to the 1964th Communications Group , solicited National Headquarters Civil Air Patrol to charter the first `` Cadet Squadron '' in Germany , naming the unit `` Ramstein Cadet Squadron '' and becoming the unit 's first commander as a CAP 1Lt . The Ramstein Cadet Squadron was formed with Captain Mark Bailey serving as the unit 's first liaison officer , as well as other like minded military volunteers and roughly six cadets . To this day , the squadron enjoys vibrant member participation , as well as base support , hosting drill competitions and encampments along with their traditional military studies and aerospace education efforts . The Ramstein Cadet Squadron commander as of 6 / 2016 was Maj . Michael Livesay .   In the subsequent years , a companion cadet squadron was formed at Spangdahlem Air Base and cadet flight at Wiesbaden .   Current status ( edit )   From 2004 to 2006 , Ramstein Air Base underwent an extensive expansion with a major construction project -- including an all - new airport terminal , among other new facilities , through the so - called Rhein - Main Transition Program which was initiated in support of the total closure of Rhein - Main Air Base on 30 December 2005 and transferring all its former capacities to Ramstein Air Base ( 70 % ) and Spangdahlem Air Base ( 30 % ) .   While the KMC remains the largest U.S. community overseas at 53,000 people , the defense drawdown continues to shape its future . Due to the departure of other main operating installations , more than 100 geographically separated units receive support from Ramstein .   Ramstein Air Base also served as temporary housing for the United States men 's national soccer team during the 2006 World Cup .   There is often a Summer Camp to Ramstein from British CCF ( RAF ) and ATC cadets , as well as Civil Air Patrol encampments and tours like the ones held in July 2015 and June 2016 .   History ( edit )   The construction of the air base was a project designed and undertaken by the French Army and the U.S. Army Corps of Engineers from 1949 to 1952 . It was an example of international collaboration : designed by French engineers , constructed by some Germans but with imported help from workers of Italy , Portugal , Spain , Greece , and Turkey ( there were very few German men to work on construction projects after World War II ) and operated by Americans .   The area was a swamp that had to be built up by two meters ( six feet ) . A train line was laid out from Einsiedlerhof - Kaiserslautern in a yoke shape around to the current base and back down to the Landstuhl spur in 1948 by agreement of the U.S. and French Occupational Forces . Trainloads of earth were moved over the line and spread over the base 's current area to raise it to its current level . Once the ground was level , building construction began . Two bases were laid out . Landstuhl Air Base on the south side and Ramstein Air Station ( station , no airstrip ) on the north . From 1948 to the opening of the bases in 1953 it was the largest one spot construction site in Europe employing over 270,000 Europeans at one time .   Previous names ( edit )    Landstuhl Air Base , 5 August 1952   Ramstein Air Base , 1 June 1953     Landstuhl and Ramstein were separate bases until 1 December 1957     Ramstein -- Landstuhl Air Base , 1 December 1957   Ramstein Air Base , 15 August 1958 -- present    Major USAF units assigned ( edit )   Source : Fletcher , Air Force Bases Volume II       86th Air Base Group , 5 April 1952 -- 14 November 1968     86th Wing ( various designations ) , 21 August 1952 -- 18 November 1960 ; 31 January 1973 -- present   ( 86th Air Base Group ( later under various designations ) assigned as subordinate unit , 21 August 1952 )   86th Air Division , 18 November 1960 -- 14 November 1968     7030th Combat Support Group , 6 April 1953 -- 1 May 1960     7030th Air Base Wing , 5 October 1966 -- 14 June 1985     Twelfth Air Force , 27 April 1953 -- 1 January 1958   7486th Air Defense Group , 1 May 1954 -- 25 September 1957   322d Air Division , 22 March 1954 -- 12 August 1955     322d Airlift Division , 23 June 1978 -- 1 April 1992         Seventeenth Air Force , 15 November 1959 -- 7 October 1972 ; 1 October 2008 -- 24 April 2012   HQ , Atlantic Air Rescue Center ( various designations ) , 8 October 1961 -- 30 June 1973   26th Tactical Reconnaissance Wing , 5 October 1966 -- 31 January 1973   HQ , USAFE , 10 March 1973 -- present   306th Strategic Wing , 15 August 1976 -- 30 June 1978   7th Air Division , 1 July 1978 -- 1 February 1992   316th Air Division , 14 June 1985 -- 1 May 1991   NHQ119 Civil Air Patrol - Ramstein Cadet Squadron - Unit 3395 , 1984 - present   377th Combat Support Wing , 14 June 1985 -- 1 May 1991   435th Air Base Wing , 15 January 2004 -- 16 July 2009   435th Air Ground Operations Wing , 16 July 2009 -- present   38th Combat Support Wing , 24 May 2005 -- 30 June 2007   521st Air Mobility Operations Wing , 4 September 2008 -- present         Major U.S. Army units assigned ( edit )   Source : Fletcher , Air Force Bases Volume II    21st TSC / 39th Movement Control BN. ( 2008 -- Present )   USAREUR Movement Control Team / AMC Logistic Center   USAREUR Overseas Replacement Center -- Contingency Operations / AMC Passenger Terminal    Origins ( edit )   In 1940 , construction of today 's Bundesautobahn 6 was stopped when a bridge that was being built across the Rhine River near Mannheim collapsed , leaving a section of autobahn that could not be used . A part of the unused autobahn to the west of Mannheim , near Kaiserslautern , was used as an airstrip by the Luftwaffe . The airstrip was also used by the advancing U.S. Army Air Forces during the final months of World War II . The old autobahn section is still used as the access road to the east and west gates of the base and the A 6 was rebuilt south of the air base after the war .   During the initial postwar era , the USAAF repaired several former Luftwaffe airfields in Bavaria which was part of the American occupation zone of Germany . With the advent of the Berlin Blockade and the chilling of relations with the Soviet Union by 1948 it became obvious to United States Air Force planners that these bases were tactically untenable because of their proximity to the East German and Czechoslovakian borders .   With the creation of NATO in response to Cold War tensions in Europe in 1949 , USAFE wanted its vulnerable fighter units in what was then West Germany moved west of the Rhine River to provide greater air defense warning time . France agreed to provide air base sites within their zone of occupation in the Rhineland - Palatinate as part of the NATO expansion program .   Construction of the modern USAF base near Kaiserslautern began in April 1948 under the provisions of a Franco - American reciprocal agreement . Two separate , but adjoining bases were designed . A headquarters base for Twelfth Air Force , along with several NATO organizations , designated as Ramstein Air Station ; and an operational fighter base , designated as Landstuhl Air Base . What is today known as Kisling Memorial Drive would separate the two facilities .   Enough construction was completed in mid-1952 , that Landstuhl AB was opened on 5 August . Its facilities included a runway , dispersal hardstands , a control tower , ramps , and other flight - related facilities and the associated flying and support units . On 1 February 1952 , Det 1 , 86th Fighter - Bomber Wing arrived at Landstuhl AB from Neubiberg Air Base near Munich .   On 1 June 1953 Ramstein Air Station was opened . Ramstein was the location of headquarters , Twelfth Air Force , and supported family housing , base exchange , commissary , dependents ' schools and other administrative offices for the WAFs ( Women 's Air Force ) . The barracks that were built at Ramstein AS were used to house WAFs and single women that worked as U.S. Government Employees at both Ramstein AS and Landstuhl AB . On 27 April 1953 , Headquarters , Twelfth Air Force was activated on Ramstein Air Base , having moved from its joint facilities with HQ USAFE at Wiesbaden AB . What was not generally known at the time , and not made public until after the end of the Cold War in 1993 , was the desire to have HQ Twelfth Air Force in close proximity to the Air Defense Operations Center ( ADOC ) -- Kindsbach , AKA ' Kindsbach Cave ' -- the site of NATO 's underground combat operations center .   The 86th Air Base Group was activated as the main base support unit for Landstuhl , while the 7030th HQ Support Group was the main base support unit for Ramstein . On 1 December 1957 , the two bases were consolidated into the largest NATO - controlled air base in service on the continent . It was called `` Ramstein -- Landstuhl Air Base '' , but later , after the German government continued construction of the A6 autobahn from Kaiserslautern to Saarbrücken the autobahn cut off access at the south of the base which is where the main gate was in the city limit of Landstuhl . The main gate was moved to the west side of the base which was in the town of Ramstein . The two bases were joined and the current Kisling Memorial Drive cut off to the public which made one base . In 1961 the base was officially named `` Ramstein Air Base '' .   One legacy of the two separate air bases is that the north side of Ramstein retained a separate APO from the south side . The north side ( Ramstein AB ) is APO AE 09012 , while the south side ( Landstuhl AB ) is APO AE 09009 . Also separate Combat Support Groups , the 7030th for the north side , and the 86th for the south side existed . These were consolidated in the 1980s , and the two Combat Support units were merged into the 377th Combat Support Wing . There is still a north and south side Fitness Centers . The current northside Community Center before housed the WAF NCO Club . As well , there were two Movie Theaters on the North side and two on the South side . Currently , only two ( still stand on the north side , a remodeled Nightengale Theater ( known before as the Four Corners Theater ) ) on the corner across from the Base Gase Station and the north side AAFES dry cleaners was known as the Ramstein Rocket Theater . On the South side the current Hercules Theater ( Falcon Theater ) next to HQ 86th Air Wing and a non-existent theater for which new barracks are currently under construction at the corner across the street from Moms / Gear - up shops called the Landstuhler Knights Theater .   Near the Ramstein Air Base is the Landstuhl Regional Medical Center ( LRMC ) , operated by the United States Army . Although part of the Kaiserslautern Military Community , LRMC has a separate history and was never a part of Ramstein or Landstuhl Air Bases , although both facilities have utilized the medical facilities at LRMC since they were established in 1953 . Currently there are plans on the drawing board from the U.S. Department of Defense to build a new Medical Center on the current U.S. Army Weilerbach Storage Installation just to the east of Ramstein AB . Construction is to begin in early 2012 and to be completed in and around 2024 . A twelve - story facility to house all departments of LRMC and the current Ramstein AB Clinic along with Dental Clinic facilities for the whole KMC . In turn , the East Gate to Ramstein AB will be extended from its current location to just off the Autobahn 6 Einsiedlerhof exit to the base at what is known as the Elvis Gate .   NATO command center ( edit )   From its inception , Ramstein was designed as a NATO command base . In 1957 , Ramstein provided support for NATO 's HQ Fourth Allied Tactical Air Force , which moved to Ramstein from Trier Air Base on 10 November 1957 upon the closure of that facility . Also on that date , HQ Twelfth Air Force was transferred to Bergstrom Air Force Base , Texas and was assigned to Tactical Air Command . It was replaced by HQ Seventeenth Air Force ( USAFE ) which was moved from North Africa . In turn , the 17th AF was replaced by its mother unit HQ USAFE from Lindsey Air Station , Wiesbaden , Germany in 1973 . The HQ 17th AF was moved to Sembach AB at that time and controlled all USAF Air Divisions and Wings north of the Alps , with the exception of the British Isles and Scandinavia , which were controlled by HQ 3rd AF at Mildenhall .   On 31 January 1973 , several headquarters were relocated into and out of Ramstein , when Seventeenth AF moved to Sembach Air Base to make room for the expected move of HQ USAFE to Ramstein . This entire operation , code - named `` Creek Action '' , was carried out as part of the USAF 's new worldwide policy of locating the most vital headquarters in thinly populated rural areas rather than near cities . Later , HQ USAFE was moved due to the fact that US Intelligence found that the Soviets had plans to invade Western Europe through the Fulda Gap in Germany . The military thought to move vital HQs on the other side of the Rhein River for protection .   As a result of this policy change , Ramstein air base became a large multi-national NATO center : in addition to the USAFE 's headquarters , it also housed the new NATO headquarters of the Allied Air Forces Central Europe ( AAFCE ) .   The AAFCE also commanded the 2nd Allied Tactical Air Force ( 2ATAF ) and the 4th ATAF . The 4th ATAF , which had been headquartered at Ramstein for many years , included the 1st Canadian Air Group , 1st and 2nd Divisions of the West German Air Force , and units of the USAFE 's 3rd and 17th Air Force .   HQ USAFE fully completed its move from Wiesbaden to Ramstein early 1991 .   With USAFE 's arrival in 1973 , Ramstein entered a period of expansion . The duel commander of the 316th AD / 86 TFW became host commander of Americans living in the Kaiserslautern Military Community instead of the US Army 21st Commanding General . The Wiesbaden USAF Community was then traded to the US Army Control as for an even Kaiserlautern switch . The KMC through the 1950s -- to the early 1990s had an average population of Americans of 110,000 outnumbering those Germans in the City of Kaiserslautern for that time .   Allied Air Forces Central Europe was established at Ramstein on 28 June 1974 . Ramstein subsequently provided support for other headquarters , including the 322nd Airlift Division which arrived on 23 June 1978 , and SAC 's 7th Air Division , which arrived on 1 July 1978 .   In December 1980 , HQ Fourth Allied Tactical Air Force was moved from Ramstein to Heidelberg and co-located with HQ Central Army Group .   Today , the base is home to the Allied Air Command , which is responsible to Joint Force Command Brunssum which is the only and main NATO command unit on Ramstein AB .   ADOC Kindsbach ( edit )   Close to Ramstein was the site of Air Defense Operations Center ( ADOC ) -- Kindsbach , AKA ' Kindsbach Cave ' -- the site of Europe 's underground combat operations center .   The facility was located in a former German western front command headquarters . The French took control of the underground bunker after World War II , and USAFE assumed control in 1953 . After major renovations , USAFE opened the center on 15 August 1954 .   The center was a state - of - the - art , 67 - room , 37,000 - square - foot ( 3,400 m ) facility where USAFE could have led an air war against the Soviet Union . The center had a digital computer to work out bombing problems , cryptographic equipment for coded message traffic and its own photo lab to develop reconnaissance photos . Responsible for an air space extending deep behind the Iron Curtain , the center interacted directly with The Pentagon , NATO , Supreme Headquarters Allied Powers Europe and all USAFE bases . With its massive telephone switchboard and 80 teletype machines , the cave was plugged into everything in the outside world . The center was receiving more than 1,000 calls a day .   As a further measure of protection , the cave was fully self - contained with its own water supply , electric backup - generators , climate controls , dining facilities and sleeping accommodations for its 125 - man crew . Visitor passes were rarely issued to this secret facility .   Throughout the years , leadership changed but USAFE led the operations through numbered Air Forces . The center 's commander was the USAFE Advanced Echelon . The glassed - in office was on the top floor of the three - story underground command center . Directly under the office was the management for offensive air operations . And the bottom floor office was the management for defensive air operations -- to include support for U.S. Army forces and German Civil Defense . All three offices had a full view of the massive Air Operations Center map on the opposing wall .   The AOC was the largest room in the complex . Its three - story map was used to plot minute - by - minute movements of friendly and unidentified aircraft . But the center was much more than just a tracking station , because it could also react to threats . They always knew the current operational status of air weapons in theater including missiles , and could dispatch armed response `` at a moment 's notice '' .   By the early 1960s , the manual plotting system used to track aircraft at the cave and elsewhere throughout Germany was too slow and inaccurate for the quick responses necessary . Beginning in 1962 , airmen trained in the new 412L air weapons control system began to arrive in Germany and at the cave . Over the next year , the new GE semi-automatic system was installed . When complete at the cave , the current air picture over East and West Germany , as well as parts of the eastern soviet bloc countries , was displayed on a 40 - foot by 40 - foot ( 12 x 12 m ) screen with radar information provided by various 412L sites located throughout Germany . Senior U.S. staff monitored the dynamic display 24 / 7 . Over the next several years , additional 412L sites throughout Germany joined the network until the manual system had been totally replaced .   By 1984 , the Kindsbach Cave had become too small and its cost for renovation too high . The USAFE vacated the facility and on 31 October 1993 , control was returned to the German government and the German government returned the facility to the original owner of the land . Today the Kindsbach Cave is private property , through tours of the cave can be arranged . The cave is overgrown by vegetation , trees , and new housing .   Drone War control center ( edit )   In April 2015 the Ramstein Air Base was reported by German and international media as an important control center in the drone war staged under the Obama administration against targets in areas like Pakistan , Yemen , Afghanistan and Somalia . The German government claimed not to have been informed about this function of the U.S. base .   In a TV and online documentary the German Das Erste channel cited 2014 reports from Norddeutscher Rundfunk , WDR und the Süddeutsche Zeitung that revealed Ramstein to be an important hub in the drone war against terror suspects . New data provided by Edward Snowden affiliate Glenn Greenwald supported these reports with classified documents from inside the U.S. administration , and were also presented in the Citizenfour video documentary .   Potentially illegal arms and munition transports ( edit )   In 2015 , the Serbian newspaper Večernje novosti reported about Ramstein Air Base being used by the United States Armed Forces to transport arms and munitions to Syria . At the end of 2017 , an anonymous US official stated that the US does indeed use Ramstein Air Base to supplement Syrian rebels with arms and munition . The Cabinet of Germany stated that it did not grant permits for these transports , nor that it had been informed about them . The public prosecutor 's office of Kaiserslautern is currently auditing whether an official investigation should be launched . However , such investigations are complicated by the fact that despite Ramstein Air Base being located on German territory , German officials and politicians are not allowed to enter the base without permission of the US commander . Previous investigations of the Ramstein Air Base , such as the Abu Omar case , have proven to be unsuccessful as of yet . Should the investigation about the arms and munition transports be successful , it would constitute a violation of the German War Weapons Control Act .   Operational History ( edit )  86th Wing ( edit ) Further information : 86th Airlift Wing McDonnell Douglas F - 4E - 55 - MC Phantom II , AF Ser . No. 68 - 0517 , and General Dynamics F - 16C Block 25E Fighting Falcon , AF Ser . No. 84 -- 0296 of the 526th TFS / 86th TFW , flying in formation , 1985 . Lockheed C - 130E Hercules of the 37th AS / 86th Airlift Wing .  Reassigned from Neubiberg Air Base , West Germany in 1952 and except for a period between 1968 and 1973 , the 86th Wing , under various designations , has been the main operational and host unit at Ramstein Air Base .   Throughout the 1950s the 86th was primarily a Fighter - Bomber Wing . In 1960 , it was realigned to an air defense mission and became the 86th Air Division ( Defense ) . The 86th AD was inactivated in 1968 . Returning as an F - 4 Phantom II Tactical Fighter Wing in 1973 , the 86th TFW performed that mission until 1994 , deploying components to the middle east during the 1990 Gulf War .   On 14 August 1976 , the Strategic Air Command 306th Strategic Wing was activated at Ramstein with a KC - 135 air refueling and an RC - 135 reconnaissance mission . The 306th also functioned as the focal point for all SAC operations in Europe , and as liaison between SAC and USAFE . The wing moved to RAF Mildenhall , England on 1 July 1978 .   In June 1985 , the 316th Air Division was activated , centralizing command authority at Ramstein . The 86 TFW became the division 's flight operations arm , while the newly formed 377th Combat Support Wing , also activated in 1985 , became responsible for the logistical and administrative support on base , replacing the 86th and 7030 Combat Support Wings . On 28 August 1988 , Ramstein Air Base was the site of the tragic Ramstein airshow disaster , which killed 72 spectators and three pilots , and injured hundreds .   After the Cold War , the 86th was realigned to become the 86th Airlift Wing . On 1 July 1993 the 55th Aeromedical Airlift Squadron moved from the 435th AW at Rhein - Main Air Base Germany to Ramstein . On 1 October , the 75th and 76th Airlift Squadron arrived at Ramstein from the 60th AW at Travis Air Force Base California , and 437th AW at Charleston AFB South Carolina , respectively . A year later on 1 October 1994 , the 37th Airlift Squadron was transferred to Ramstein from Rhein - Main .   In 1999 , the activation of the 86th Contingency Response Group brought the airfield and aerial port operations and providing force protection at contingency airfields mission to the wing .   On 24 May 2004 , the 38th Combat Support Wing was activated to enhance support to USAFE geographically separated units . This wing was inactivated in 2007 . The 521st Air Mobility Operations Wing was activated on 4 September 2008 . The wing is the headquarters for the existing 721st Air Mobility Operations Group at Ramstein and the 521st AMOG at Naval Station Rota , Spain . The 521st AMOW provides an enhanced level of control for the AMC route structure in Europe , which includes critical locations for getting people , cargo and patients to and from current war zones .  26th Tactical Reconnaissance Wing ( edit ) Further information : 26th Tactical Reconnaissance Wing McDonnell RF - 4C Phantoms of the 38th Tactical Reconnaissance Squadron , 26th TRW , AF Serial Numbers 65 - 0891 , 65 -- 0826 and 66 - 0418 . These aircraft were retired to AMARC in the early 1990s .  On 7 March 1966 , French President Charles de Gaulle announced that France would withdraw from NATO 's integrated military structure . The United States was informed that it must remove its military forces from France by 1 April 1967 .   As a result , the 26th Tactical Reconnaissance Wing , based at Toul - Rosieres Air Base , France and two of its squadrons , the 38th and 32d , equipped with the RF - 4C Phantom II was relocated to Ramstein on 5 October 1966 .   Assigned squadrons of the 26th TRW at Ramstein were :    38th Tactical Reconnaissance ( RF - 4C , Tail Code : RR )   526th Fighter Interceptor / Tactical Fighter ( F - 102 / F - 4E ( 1970 ) Tail Code : RS )   7th Special Operation ( C - 130 , C - 47 , UH - 1 )    While at Ramstein the 26th TRW acquired a number of other units with different flying missions . One function gained by the 26 TRW , almost immediately after arriving at Ramstein , was the maintenance and flying of the HQ USAFE liaison aircraft . In addition , the Wing was responsible for flying members of the HQ USAFE staff to Air Force and NATO bases throughout Europe . In addition , the 26th TRW was only designated a flight , because of its small size . It consisted of a mixture of aircraft , including : T - 29s , T - 33s , T - 39s , C - 54s , O - 2s , H - 19s , and UH - 1s .   In 1971 a detachment of the 630th Military Airlift Support Squadron from Rhein - Main Air Base was assigned to Ramstein and a large cargo aerial port constructed . This allowed Military Airlift Command C - 141 and C - 5 Galaxy aircraft to use Ramstein as a transshipment point for material , which was then moved within USAFE by C - 130 tactical transports .   In the spring of 1972 , the 7th Special Operations Squadron ( SOS ) was assigned flying C - 130Es , C - 47As , and UH - 1Ns . Because of the special operations mission of the 7 SOS , it reported directly to HQ USAFE for operational control .   As part of operation `` Creek Action '' , a command - wide effort to realign functions and streamline operations , HQ USAFE transferred the 26th TRW from Ramstein to Zweibrücken Air Base , and the 86th Tactical Fighter Wing was reassigned from Zweibrücken to Ramstein on 31 January 1973 .   Schools ( edit )   There are four schools at Ramstein Air Base : Ramstein Elementary School ( Koalas ) , Ramstein Intermediate School ( Jaguars ) , Ramstein American Middle School ( Rams ) , and Ramstein High School ( Royals ) . All of these schools are run by DoDDS , a component of DoDEA .   In popular culture ( edit )   Fictional entities ( edit )    Lois Lane was born at Ramstein Air Base .    In films ( edit )    Ramstein was the aborted landing location of Air Force One in the thriller Air Force One ( 1997 ) . Rickenbacker Air National Guard Base stood in for Ramstein as the film was shot mostly in the state of Ohio .   Ramstein was the location where Colonel Masters is taken after being rescued by his son in Iron Eagle ( 1986 ) .   Ramstein was the location where Ethan Hunt and his team are given a second chance to retrieve stolen plutonium in Mission : Impossible - Fallout ( 2018 )    In games ( edit )    Ramstein Air Base appears in the video game Tom Clancy 's EndWar as a possible battlefield . In the game , NATO has since collapsed , and the base is controlled by the European Federation .   In Call of Duty : Modern Warfare 3 , Ramstein Air Base suffers a surprise invasion by Russian Ground Forces after a gas attack .   In Wargame : European Escalation , one mission of the NATO campaign takes place in the base .    In literature ( edit )    Both Ramstein Air Force Base and the Ramstein air disaster figure as plot points in Donna Leon 's second Guido Brunetti novel , Death in a Strange Country ( 1993 )   The Air Force Base has been mentioned in Walter Dean Myers ' book , Sunrise over Fallujah .    In music ( edit )    Rammstein , a German metal band , formed in 1994 . They have stated that they take their name from the Ramstein air show disaster ; in turn , the asteroid 110393 Rammstein is named after the band . The band 's self - titled song ( on the album Herzeleid ( 1995 ) ) refers to the event ; they also produced a self - titled , unreleased album .    In television ( edit )    In The West Wing episode `` Memorial Day '' , Donna Moss is flown to Ramstein to be treated at Landstuhl Regional Medical Center nearby .   In The West Wing episode `` Red Haven 's on Fire '' , Air Force Veteran Leo McGarry refers to `` Ramstein Air Force Base '' .   In in the Pilo</t>
  </si>
  <si>
    <t xml:space="preserve">where is the military base located in germany</t>
  </si>
  <si>
    <t xml:space="preserve"> Ramstein Air Base is a United States Air Force base in Rhineland - Palatinate , a state in southwestern Germany . It serves as headquarters for the United States Air Forces in Europe - Air Forces Africa ( USAFE - AFAFRICA ) and also for NATO Allied Air Command ( AIRCOM ) . Ramstein is located near the town of Ramstein - Miesenbach , in the rural district of Kaiserslautern . </t>
  </si>
  <si>
    <r>
      <rPr>
        <sz val="11"/>
        <color rgb="FF000000"/>
        <rFont val="Calibri"/>
        <family val="0"/>
        <charset val="1"/>
      </rPr>
      <t xml:space="preserve">Tidal range - wikipedia  Tidal range  Jump to : navigation , search  The tidal range is the vertical difference between the high tide and the succeeding low tide .   Tides are the rise and fall of sea levels caused by the combined effects of the gravitational forces exerted by the Moon and the Sun and the rotation of the Earth . The tidal range is not constant but changes depending on the locations of the sun and the moon .   The most extreme tidal range occurs during spring tides , when the gravitational forces of both the Sun and Moon are aligned ( syzygy ) , reinforcing each other in the same direction ( ( new moon ) ) ) or in opposite directions ( full moon ) . During neap tides , when the Moon and Sun 's gravitational force vectors act in quadrature ( making a right angle to the Earth 's orbit ) , the difference between high and low tides is smaller . Neap tides occur during the first and last quarters of the moon 's phases . The largest annual tidal range can be expected around the time of the equinox , if coincidental with a spring tide .   Tidal data for coastal areas is published by the national hydrographic service of the country concerned . Tidal data is based on astronomical phenomena and is predictable . Storm force winds blowing from a steady direction for a prolonged time interval combined with low barometric pressure can increase the tidal range , particularly in narrow bays . Such weather - related effects on the tide , which can cause ranges in excess of predicted values and can cause localized flooding , are not calculable in advance .     Contents  ( hide )   1 Geography   2 Classification   3 See also   4 References      Geography ( edit )   The typical tidal range in the open ocean is about 0.6 metres ( 2 feet ) . Closer to the coast , this range is much greater . Coastal tidal ranges vary globally and can differ anywhere from near zero to over 11 metres ( 38 feet ) . The exact range depends on the volume of water adjacent to the coast , and the geography of the basin the water sits in . Larger bodies of water have higher ranges , and the geography can act as a funnel amplifying or dispersing the tide . The world 's largest tidal range of 16.3 metres ( 53.5 feet ) occurs in Bay of Fundy , Canada , and the United Kingdom regularly experiences tidal ranges up to 15 metres between England and Wales in the Severn Estuary . The top 50 locations with the largest tidal ranges worldwide are listed by the National Oceanic and Atmospheric Administration of the United States .   Some of the smallest tidal ranges occur in the Mediterranean , Baltic , and Caribbean Seas . A point within a tidal system where the tidal range is almost zero is called an amphidromic point .   Classification ( edit )   The tidal range has been classified as :    Micromareal , when the tidal range is lower than 2 metres .   Mesomareal , when the tidal range is between 2 metres and 4 metres .   Macromareal , when the tidal range is higher than 4 metres .    See also ( edit )    Tide    References ( edit )    Jump up ^ Hydrographic and Oceanographic Agencies   ^ Jump up to : NOAA . `` FAQ2 Where are the highest tides ? '' . Retrieved 27 Jan 2011 .   Jump up ^ NOAA . `` It appears that the range of the tides gets larger the further the location from the equator . What causes this ? ? '' . Retrieved 27 Jan 2011 .   Jump up ^ NOAA . `` The highest tide in the world is in Canada '' . Retrieved 23 January 2014 .   Jump up ^ Masselink , G. ; Short , A.D. ( 1993 ) . `` The effect of tidal range on beach morphodynamics and morphology : a conceptual beach model '' . Journal of Coastal Research . 9 ( 3 ) : 785 -- 800 . ISSN 0749 - 0208 .      ( hide )         Physical oceanography     Waves     Airy wave theory   Ballantine scale   Benjamin -- Feir instability   Boussinesq approximation   Breaking wave   Clapotis   Cnoidal wave   Cross sea   Dispersion   Edge wave   Equatorial waves   Fetch   Gravity wave   Green 's law   Infragravity wave   Internal wave   Iribarren number   Kelvin wave   Kinematic wave   Longshore drift   Luke 's variational principle   Mild - slope equation   Radiation stress   Rogue wave   Rossby wave   Rossby - gravity waves   Sea state   Seiche   Significant wave height   Soliton   Stokes boundary layer   Stokes drift   Stokes wave   Swell   Trochoidal wave   Tsunami   megatsunami     Undertow   Ursell number   Wave action   Wave base   Wave height   Wave power   Wave radar   Wave setup   Wave shoaling   Wave turbulence   Wave -- current interaction   Waves and shallow water   one - dimensional Saint - Venant equations   shallow water equations     Wind wave   model           Circulation     Atmospheric circulation   Baroclinity   Boundary current   Coriolis force   Coriolis -- Stokes force   Craik -- Leibovich vortex force   Downwelling   Eddy   Ekman layer   Ekman spiral   Ekman transport   El Niño -- Southern Oscillation   General circulation model   Geostrophic current   Global Ocean Data Analysis Project   Gulf Stream   Halothermal circulation   Humboldt Current   Hydrothermal circulation   Langmuir circulation   Longshore drift   Loop Current   Modular Ocean Model   Ocean dynamics   Ocean gyre   Princeton Ocean Model   Rip current   Subsurface currents   Sverdrup balance   Thermohaline circulation   shutdown     Upwelling   Whirlpool   World Ocean Circulation Experiment       Tides     Amphidromic point   Earth tide   Head of tide   Internal tide   Lunitidal interval   Perigean spring tide   Rip tide   Rule of twelfths   Slack water   Tidal bore   Tidal force   Tidal power   Tidal race   Tidal range   Tidal resonance   Tide gauge   Tideline       Landforms     Abyssal fan   Abyssal plain   Atoll   Bathymetric chart   Coastal geography   Cold seep   Continental margin   Continental rise   Continental shelf   Contourite   Guyot   Hydrography   Oceanic basin   Oceanic plateau   Oceanic trench   Passive margin   Seabed   Seamount   Submarine canyon   Submarine volcano       Plate tectonics     Convergent boundary   Divergent boundary   Fracture zone   Hydrothermal vent   Marine geology   Mid-ocean ridge   Mohorovičić discontinuity   Vine -- Matthews -- Morley hypothesis   Oceanic crust   Outer trench swell   Ridge push   Seafloor spreading   Slab pull   Slab suction   Slab window   Subduction   Transform fault   Volcanic arc       Ocean zones     Benthic   Deep ocean water   Deep sea   Littoral   Mesopelagic   Oceanic   Pelagic   Photic   Surf   Swash       Sea level     Deep - ocean Assessment and Reporting of Tsunamis   Future sea level   Global Sea Level Observing System   North West Shelf Operational Oceanographic System   Sea - level curve   Sea level rise   World Geodetic System       Acoustics     Deep scattering layer   Hydroacoustics   Ocean acoustic tomography   Sofar bomb   SOFAR channel   Underwater acoustics       Satellites     Jason - 1   Jason - 2 ( Ocean Surface Topography Mission )   Jason - 3       Related     Argo   Benthic lander   Color of water   DSV Alvin   Marginal sea   Marine energy   Marine pollution   Mooring   National Oceanographic Data Center   Ocean   Ocean exploration   Ocean observations   Ocean reanalysis   Ocean surface topography   Ocean thermal energy conversion   Oceanography   Pelagic sediment   Sea surface microlayer   Sea surface temperature   Seawater   Science On a Sphere   Thermocline   Underwater glider   Water column   World Ocean Atlas           Commons      Retrieved from `` https://en.wikipedia.org/w/index.php?title=Tidal_range&amp;oldid=805593009 '' Categories :   Tides   Oceanography   Hidden categories :   All articles with unsourced statements   Articles with unsourced statements from January 2010           Talk                                           Contents                   About Wikipedia                                           Deutsch   Español   Français   Bahasa Melayu   Português   </t>
    </r>
    <r>
      <rPr>
        <sz val="11"/>
        <color rgb="FF000000"/>
        <rFont val="Noto Sans CJK SC"/>
        <family val="2"/>
      </rPr>
      <t xml:space="preserve">中文   </t>
    </r>
    <r>
      <rPr>
        <sz val="11"/>
        <color rgb="FF000000"/>
        <rFont val="Calibri"/>
        <family val="0"/>
        <charset val="1"/>
      </rPr>
      <t xml:space="preserve">Edit links   This page was last edited on 16 October 2017 , at 11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</si>
  <si>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greatest range between consecutive high and low tides occurs at which lunar phase</t>
  </si>
  <si>
    <t xml:space="preserve"> The most extreme tidal range occurs during spring tides , when the gravitational forces of both the Sun and Moon are aligned ( syzygy ) , reinforcing each other in the same direction ( ( new moon ) ) ) or in opposite directions ( full moon ) . During neap tides , when the Moon and Sun 's gravitational force vectors act in quadrature ( making a right angle to the Earth 's orbit ) , the difference between high and low tides is smaller . Neap tides occur during the first and last quarters of the moon 's phases . The largest annual tidal range can be expected around the time of the equinox , if coincidental with a spring tide . </t>
  </si>
  <si>
    <t xml:space="preserve">If You Do n't Know Me by Now - wikipedia  If You Do n't Know Me by Now  Jump to : navigation , search    `` If You Do n't Know Me by Now ''     Single by Harold Melvin &amp; the Blue Notes     from the album I Miss You     B - side   `` Let Me Into Your World ''     Released   September 1972     Format   7 '' 45 RPM     Genre   R&amp;B , soul     Length   3 : 27     Label   Philadelphia International Records     Songwriter ( s )   Kenny Gamble , Leon Huff     Producer ( s )   Kenny Gamble , Leon Huff     Harold Melvin &amp; the Blue Notes singles chronology        `` I Miss You '' ( 1972 )   `` If You Do n't Know Me by Now '' ( 1972 )   `` Yesterday I Had the Blues '' ( 1973 )           `` I Miss You '' ( 1972 )   `` If You Do n't Know Me by Now '' ( 1972 )   `` Yesterday I Had the Blues '' ( 1973 )        `` If You Do n't Know Me by Now '' is a song written by Kenny Gamble and Leon Huff , and recorded by the Philly soul musical group Harold Melvin &amp; the Blue Notes . It became their first hit after being released as a single in 1972 , topping the US R&amp;B chart and peaking at number three on the US Pop chart .   The song was originally written for Labelle ( a trio led by Patti LaBelle ) but they never recorded it . Much like the issue with `` I Miss You '' and The Dells passing on it , the song 's composers Kenny Gamble and Leon Huff gave the song to Harold Melvin &amp; the Blue Notes , which featured Teddy Pendergrass as lead vocalist . In addition to the single release , the song was included on their debut album I Miss You .   Patti LaBelle later made the song as part of her concert repertoire in 1982 . A live version appears on her 1985 album , Patti .   It was later covered by the English pop / soul band Simply Red , also becoming their second best - known hit after reaching number one on the U.S. Hot 100 on July 15 , 1989 , and at number thirty - eight on the Hot Black Singles chart . It peaked at number two in the UK Singles Chart . It also topped the Canadian Singles Chart .   Seal recorded the song for his 2008 album Soul , and , in April 2009 , it became his first top - ten Adult Contemporary hit since `` Love 's Divine '' in 2004 ; the song was subsequently nominated for the Best Male Pop Vocal Performance Grammy .   Rod Stewart also included this song on his 2009 album Soulbook .   The song was chosen as one of the Songs of the Century by the RIAA . It was featured at the end of Michael Apted 's movie Class Action ( 1991 ) .     Contents  ( hide )   1 Simply Red version   1.1 Track listings   1.2 Charts   1.2. 1 Weekly charts   1.2. 2 Year - end charts       2 Other cover versions   3 References   4 External links      Simply Red version ( edit )     `` If You Do n't Know Me by Now ''         Single by Simply Red     from the album A New Flame     B - side   `` Move on Out ''     Released   March 27 , 1989     Format   7 '' single , 12 - inch single , CD single     Genre   Blue - eyed soul , jazz     Length   3 : 24     Label   Elektra     Songwriter ( s )   Kenny Gamble , Leon Huff     Producer ( s )   Stewart Levine         A New Flame track listing        `` She 'll Have to Go '' ( 8 )   `` If You Do n't Know Me by Now '' ( 9 )   `` Enough '' ( 10 )            This version of the song is heard in the film American Psycho and appears in the game Karaoke Revolution Presents : American Idol . It is also available to download for the Xbox 360 game Lips , which contains the music video . According to the producer Stewart Levine , he did n't want too much orchestration on the record , and went with a two part - harmony instead of a three part - harmony . Hucknall admitted he loved Harold Melvin and the Blue Note 's version , and stated he danced to their music when he was only 13 . Their version won a Grammy Award for the Best R&amp;B Song of 1989 .   Track listings ( edit )    7 '' single     `` If You Do n't Know Me by Now '' -- 3 : 23   `` Move on Out '' ( recorded Live Manchester on February 22 , 1989 ) -- 5 : 18     12 '' single     `` If You Do n't Know Me by Now '' -- 3 : 23   `` Move on Out '' ( recorded live Manchester on February 22 , 1989 ) -- 5 : 18   `` Shine '' ( recorded live Manchester on February 22 , 1989 ) -- 3 : 30     3 '' CD single     `` If You Do n't Know Me by Now '' -- 3 : 23   `` Move on Out '' ( recorded live Manchester on February 22 , 1989 ) -- 5 : 18   `` Shine '' ( recorded live Manchester on February 22 , 1989 ) -- 3 : 30   `` Sugar Daddy '' -- 3 : 30    Charts ( edit )  Weekly charts ( edit )    Chart ( 1989 )   Peak position     Australia ( ARIA )       Austria ( Ö3 Austria Top 40 )   9     Canada Top Singles ( RPM )       Canada Adult Contemporary ( RPM )       France ( SNEP )   11     Germany ( Official German Charts )   19     Ireland ( IRMA )       New Zealand ( Recorded Music NZ )       Norway ( VG - lista )       Sweden ( Sverigetopplistan )       UK Singles ( Official Charts Company )       US Billboard Hot 100       US Hot R&amp;B / Hip - Hop Songs ( Billboard )   38     US Adult Contemporary ( Billboard )      Year - end charts ( edit )    Chart ( 1989 )   Position     Canada Top Singles ( RPM )   12     Other cover versions ( edit )    Jamaican reggae artists Zap Pow recorded a cover version of the song in 1976 .   A cover by American country music artist Joe Stampley peaked at number 59 on the Billboard Hot Country Singles chart in 1989 .   Hong Kong Canto - pop artist , Sandy Lam released her cover on `` The Story of Sandy Lam So Far '' in 2002 .   British actor / comedian Ricky Gervais covered the song as his character David Brent in the UK TV series The Office Christmas specials in December 2003 . A music video was produced and released with the BBC 's The Office DVD set .   American Idol contestant LaToya London additionally covered the song in the season compilation album American Idol Season 3 : Greatest Soul Classics in 2004 .   In 2004 , saxophonist Gerald Albright covered the song for the album Kickin ' It Up .   R&amp;B singer Ciara interpolated the chorus of the song for her 2009 single , `` Never Ever '' , featuring Young Jeezy . The single is from her third album Fantasy Ride .   The Voice of Holland contestant Ben Saunders covered this song for the 2010 - 2011 competition . His recorded version went straight to number one in the Netherlands .   American Idol season 10 contestant Stefano Langone interpreted in 2011 a cover on an episode in which contestants were required to sing songs from the year they were born . Langone was born in 1989 .   South African trumpeter Hugh Masekela included the song in his 1989 album Uptownship .   American Idol season 11 contestant Joshua Ledet covered this song during the 1980s week in 2012 .   Country music artist , Martina McBride released a cover version on her studio album Everlasting in 2014 .   English band Blue released a cover version on their album Colours in 2015 .   American Idol season 15 winner Trent Harmon covered this song for his second to last song of the contest in 2016 .   British artist Rod Stewart made a cover version included in his 2009 album Soulbook .    References ( edit )    Jump up ^ Whitburn , Joel ( 2004 ) . Top R&amp;B / Hip - Hop Singles : 1942 - 2004 . Record Research . p. 393 .   Jump up ^ Whitburn , Joel ( 2004 ) . Top R&amp;B / Hip - Hop Singles : 1942 - 2004 . Record Research . p. 528 .   Jump up ^ Chart Beat , Billboard.com , April 15 , 2009 .   Jump up ^ Bronson , Fred ( 1992 ) . The Billboard Book of Number One Hits . p. 736 . ISBN 0 - 8230 - 8298 - 9 .   Jump up ^ `` Australian-charts.com -- Simply Red -- If You Do n't Know Me by Now '' . ARIA Top 50 Singles .   Jump up ^ `` Austriancharts.at -- Simply Red -- If You Do n't Know Me by Now '' ( in German ) . Ö3 Austria Top 40 .   Jump up ^ `` Top RPM Singles : Issue 6403 . '' RPM . Library and Archives Canada .   Jump up ^ `` Top RPM Adult Contemporary : Issue 6438 . '' RPM . Library and Archives Canada .   Jump up ^ `` Lescharts.com -- Simply Red -- If You Do n't Know Me by Now '' ( in French ) . Les classement single .   Jump up ^ `` Offiziellecharts.de -- Simply Red -- If You Do n't Know Me by Now '' . GfK Entertainment Charts .   Jump up ^ `` The Irish Charts -- Search Results -- If You Do n't Know Me by Now '' . Irish Singles Chart .   Jump up ^ `` Charts.org.nz -- Simply Red -- If You Do n't Know Me by Now '' . Top 40 Singles .   Jump up ^ `` Norwegiancharts.com -- Simply Red -- If You Do n't Know Me by Now '' . VG - lista .   Jump up ^ `` Swedishcharts.com -- Simply Red -- If You Do n't Know Me by Now '' . Singles Top 100 .   Jump up ^ `` Simply Red : Artist Chart History '' . Official Charts Company .   Jump up ^ `` Simply Red Chart History ( Hot 100 ) '' . Billboard .   Jump up ^ `` Simply Red Chart History ( Hot R&amp;B / Hip - Hop Songs ) '' . Billboard .   Jump up ^ `` Simply Red Chart History ( Adult Contemporary ) '' . Billboard .   Jump up ^ `` Top Singles - Volume 51 , No. 8 , December 23 , 1989 '' . RPM . December 23 , 1999 . Retrieved November 22 , 2017 .   Jump up ^ `` Zap Pow - If You Do n't Know Me By Now '' . YouTube . 2012 - 02 - 17 . Retrieved 2016 - 10 - 07 .   Jump up ^ Whitburn , Joel ( 2013 ) . Hot Country Songs 1944 -- 2012 . Record Research , Inc. p. 319 . ISBN 978 - 0 - 89820 - 203 - 8 .   Jump up ^ `` Kickin ' It Up overview '' . Allmusic.com .   Jump up ^ `` Gerald Albright Biography '' . VerveMusicGroup.com .    External links ( edit )    Harold Melvin &amp; the Blue Notes version song review on AllMusic      Preceded by `` I 'll Be Around '' by The Spinners   Billboard Best Selling Soul Singles number - one single ( Harold Melvin &amp; the Blue Notes version ) November 18 -- 25 , 1972   Succeeded by `` You Ought to Be With Me '' by Al Green     Preceded by `` Everlasting Love '' by Howard Jones   Billboard Adult Contemporary ( chart ) number - one single ( Simply Red version ) June 24 , 1989 ( 6 weeks )   Succeeded by `` Right Here Waiting '' by Richard Marx     Preceded by `` Good Thing '' by Fine Young Cannibals   Billboard Hot 100 number - one single ( Simply Red version ) July 15 , 1989   Succeeded by `` Toy Soldiers '' by Martika               Harold Melvin &amp; the Blue Notes       Harold Melvin   Bernard Williams   Roosevelt Brodie   Jesse Gillis , Jr .   Franklin Peaker   John Atkins   Teddy Pendergrass   Lawrence Brown   Bernard Wilson   Lloyd Parks   Jerry Cummings   Sharon Paige   David Ebo   Dwight Johnson   William Spratelly   Gil Saunders       Studio albums     I Miss You   Black &amp; Blue   To Be True   Wake Up Everybody   Reaching for the World       Compilation albums     Collectors ' Item : All Their Greatest Hits !       Singles     `` If You Do n't Know Me by Now ''   `` The Love I Lost ''   `` Bad Luck ''   `` Hope That We Can Be Together Soon ''   `` Wake Up Everybody ''   `` Do n't Leave Me This Way ''       Related articles     Discography   Philadelphia International Records         Book : Harold Melvin &amp; the Blue Notes                 Patti LaBelle     Studio albums     Patti LaBelle   Tasty   It 's Alright with Me   Released   The Spirit 's in It   I 'm in Love Again   Patti   Winner in You   Be Yourself   Burnin '   Gems   Flame   When a Woman Loves   Timeless Journey   Classic Moments   The Gospel According to Patti LaBelle       Christmas albums     This Christmas   Miss Patti 's Christmas       Live albums     Patti LaBelle Live !   Live ! One Night Only   Live in Washington , D.C.       Singles     `` You Are My Friend ''   `` Release ( The Tension ) ''   `` I Do n't Go Shopping ''   `` The Best Is Yet To Come '' ( with Grover Washington Jr . )   `` If Only You Knew ''   `` Love Has Finally Come at Last '' ( with Bobby Womack )   `` Love , Need and Want You ''   `` New Attitude ''   `` Stir It Up ''   `` If You Do n't Know Me by Now ( Part 1 ) ''   `` On My Own '' ( with Michael McDonald )   `` Oh , People ''   `` Kiss Away the Pain ''   `` If You Asked Me To ''   `` Yo Mister ''   `` Feels Like Another One ''   `` Somebody Loves You Baby ( You Know Who It Is ) ''   `` When You 've Been Blessed ( Feels Like Heaven ) ''   `` The Right Kinda Lover ''   `` All This Love ''   `` When You Talk About Love ''   `` New Day ''       Related articles     Discography   Labelle   Labelle discography                 Simply Red singles     Picture Book     `` Money 's Too Tight ( to Mention ) ''   `` Come to My Aid ''   `` Holding Back the Years ''   `` Jericho ''   `` Open Up the Red Box ''       Men and Women     `` The Right Thing ''   `` Infidelity ''   `` Maybe Someday ... ''   `` Ev'ry Time We Say Goodbye ''   `` I Wo n't Feel Bad ''       A New Flame     `` It 's Only Love ''   `` If You Do n't Know Me by Now ''   `` A New Flame ''   `` You 've Got It ''       Stars     `` Something Got Me Started ''   `` Stars ''   `` For Your Babies ''   `` Thrill Me ''   `` Your Mirror ''       Life     `` Fairground ''   `` Remembering the First Time ''   `` Never Never Love ''   `` We 're in This Together ''       Greatest Hits     `` Angel ''       Blue     `` Night Nurse ''   `` Say You Love Me ''   `` The Air That I Breathe ''   `` Ghetto Girl ''   `` To Be Free ''       Love and the Russian Winter     `` Ai n't That a Lot of Love ''   `` Your Eyes ''       Home     `` Sunrise ''   `` Fake ''   `` You Make Me Feel Brand New ''   `` Home ''       Simplified     `` Perfect Love ''   `` Something Got Me Started / A Song for You ''       Stay     `` Stay ''   `` So Not Over You ''      Retrieved from `` https://en.wikipedia.org/w/index.php?title=If_You_Don%27t_Know_Me_by_Now&amp;oldid=811610595 '' Categories :   1972 singles   1989 singles   Harold Melvin &amp; the Blue Notes songs   Simply Red songs   Patti LaBelle songs   Joe Stampley songs   Billboard Hot 100 number - one singles   Billboard Adult Contemporary number - one singles   Billboard Hot R&amp;B / Hip - Hop Songs number - one singles   Number - one singles in Australia   Canadian Singles Chart number - one singles   Number - one singles in New Zealand   Songs written by Leon Huff   Philadelphia International Records singles   Elektra Records singles   1972 songs   1989 songs   Rhythm and blues ballads   Soul ballads   Songs written by Kenny Gamble   1970s ballads   Hidden categories :   Articles with hAudio microformats   Music infoboxes with deprecated parameters   Singlechart usages for Australia   Singlechart usages for Austria   Singlechart usages for Canadatopsingles   Singlechart called without artist   Singlechart called without song   Singlechart usages for Canadaadultcontemporary   Singlechart usages for France   Singlechart usages for Germany2   Singlechart usages for Ireland2   Singlechart usages for New Zealand   Singlechart usages for Norway   Singlechart usages for Sweden   Singlechart usages for UKsinglesbyname   Singlechart usages for Billboardhot100   Singlechart usages for Billboardrandbhiphop   Singlechart usages for Billboardadultcontemporary           Talk                                           Contents                   About Wikipedia                                           Deutsch   Français   Italiano   Nederlands   Português   Svenska   Edit links   This page was last edited on 22 November 2017 , at 19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</si>
  <si>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if you don't know me by now come out</t>
  </si>
  <si>
    <t xml:space="preserve"> `` If You Do n't Know Me by Now '' is a song written by Kenny Gamble and Leon Huff , and recorded by the Philly soul musical group Harold Melvin &amp; the Blue Notes . It became their first hit after being released as a single in 1972 , topping the US R&amp;B chart and peaking at number three on the US Pop chart . </t>
  </si>
  <si>
    <t xml:space="preserve">Kansas City Chiefs - wikipedia  Kansas City Chiefs  Jump to : navigation , search    Kansas City Chiefs     Current season     Established August 14 , 1959 ; 58 years ago ( August 14 , 1959 ) First season : 1960 Play in and headquartered in Arrowhead Stadium Kansas City , Missouri                  Logo   Wordmark        League / conference affiliations      American Football League ( 1960 -- 1969 )    Western Division ( 1960 -- 1969 )    National Football League ( 1970 -- present )    American Football Conference ( 1970 -- present )   AFC West ( 1970 -- present )         Current uniform         Team colors    Red , Gold , White      Mascot   Warpaint ( 1963 -- 1988 , 2009 -- present ) K.C. Wolf ( 1989 -- present )     Personnel     Owner ( s )   Hunt family     Chairman   Clark Hunt     CEO   Clark Hunt     President   Mark Donovan     General manager   Brett Veach     Head coach   Andy Reid     Team history       Dallas Texans ( 1960 -- 1962 )   Kansas City Chiefs ( 1963 -- present )       Team nicknames       Redwood Forest ( Defense , 1969 -- 1971 )       Championships      League championships ( 2 ) †    AFL Championships ( 3 ) 1962 , 1966 , 1969   AFL - NFL Super Bowl championships ( 1 ) 1969 ( IV )       Conference championships ( 0 )      Division championships ( 9 )    AFL West : 1962 , 1966   AFC West : 1971 , 1993 , 1995 , 1997 , 2003 , 2010 , 2016       † - Does not include the AFL or NFL championships won during the same seasons as the AFL - NFL Super Bowl championships prior to the 1970 AFL - NFL Merger     Playoff appearances ( 19 )       AFL : 1962 , 1966 , 1968 , 1969   NFL : 1971 , 1986 , 1990 , 1991 , 1992 , 1993 , 1994 , 1995 , 1997 , 2003 , 2006 , 2010 , 2013 , 2015 , 2016       Home fields       Cotton Bowl ( 1960 -- 1962 )   Municipal Stadium ( 1963 -- 1971 )   Arrowhead Stadium ( 1972 -- present )       The Kansas City Chiefs are a professional American football team based in Kansas City , Missouri . The Chiefs compete in the National Football League ( NFL ) as a member club of the league 's American Football Conference ( AFC ) West division . The team was founded in 1960 as the Dallas Texans by businessman Lamar Hunt and was a charter member of the American Football League ( AFL ) ( they are not associated with an earlier Dallas Texans NFL team that only played for one season in 1952 ) . In 1963 , the team relocated to Kansas City and assumed their current name . The Chiefs joined the NFL as a result of the merger in 1970 . The team is valued at over $2 billion .   The Chiefs have won three AFL championships , in 1962 , 1966 , and 1969 and became the second AFL team ( after the New York Jets ) to defeat an NFL team in an AFL -- NFL World Championship Game , when they defeated the Minnesota Vikings in Super Bowl IV . The team 's victory on January 11 , 1970 , remains the club 's last championship game victory and appearance to date , and occurred in the final such competition prior to the leagues ' merger coming into full effect . The Chiefs were also the second team , after the Green Bay Packers , to appear in more than one Super Bowl ( the first AFL team to do so ) and the first to appear in the championship game in two different decades .     Contents  ( hide )   1 Franchise history   1.1 1960s   1.2 1970s   1.3 1980 -- 1988   1.4 1989 -- 2008   1.5 2009 -- 2012   1.6 2013 -- 2014   1.7 2015   1.8 2016   1.9 Season - by - season records     2 Logos and uniforms   3 Arrowhead Stadium   4 Training camp and practice facility   5 Mascots and cheerleaders   6 Notable players   6.1 Roster   6.2 Retired numbers   6.3 Pro Football Hall of Fame enshrinees   6.4 Chiefs Hall of Fame     7 Head coaches   8 Ownership and administration   8.1 Staff     9 Media   9.1 Radio and television   9.1. 1 Radio affiliates     9.2 Preseason game affiliates     10 Culture   10.1 Fan base   10.2 Tony DiPardo     11 See also   12 References   13 Further reading   14 External links      Franchise History ( edit )  Further information : History of the Kansas City Chiefs  1960s ( edit )   In 1959 , Lamar Hunt began discussions with other businessmen to establish a professional football league that would rival the National Football League . Hunt 's desire to secure a football team was heightened after watching the 1958 NFL Championship Game between the New York Giants and Baltimore Colts . After unsuccessful attempts to purchase and relocate the NFL 's Chicago Cardinals to his hometown of Dallas , Texas , Hunt went to the NFL and asked to create an expansion franchise in Dallas . The NFL turned him down , so Hunt then established the American Football League and started his own team , the Dallas Texans , to begin play in 1960 . Hunt hired a little - known assistant coach from the University of Miami football team , Hank Stram , to be the team 's head coach after the job offer was declined by Bud Wilkinson and Tom Landry .   After Stram was hired , Don Klosterman was hired as head scout , credited by many for bringing a wealth of talent to the Texans after luring it away from the NFL , often hiding players and using creative means to land them .  Len Dawson led the Chiefs to victory in Super Bowl IV and was inducted into the Pro Football Hall of Fame in 1987  The Texans shared the Cotton Bowl with the NFL 's cross-town competition Dallas Cowboys for three seasons . The Texans were to have exclusive access to the stadium until the NFL put an expansion team , the Dallas Cowboys , there . While the team averaged a league - best 24,500 at the Cotton Bowl , the Texans gained less attention due to the AFL 's relatively lower profile compared to the NFL . In the franchise 's first two seasons , the team managed only a 14 -- 14 record . In their third season , the Texans strolled to an 11 -- 3 record and a berth in the team 's first American Football League Championship Game , against the Houston Oilers . The game was broadcast nationally on ABC and the Texans defeated the Oilers 20 -- 17 in double overtime . The game lasted 77 minutes and 54 seconds , which still stands as the longest championship game in professional football history .   It turned out to be the last game the team would play as the Dallas Texans . Despite competing against a Cowboys team that managed only a 9 -- 28 -- 3 record in their first three seasons , Hunt decided that the Dallas -- Fort Worth media market could not sustain two professional football franchises . He considered moving the Texans to either Atlanta or Miami for the 1963 season . However , he was ultimately swayed by an offer from Kansas City Mayor Harold Roe Bartle . Bartle promised to triple the franchise 's season ticket sales and expand the seating capacity of Municipal Stadium to accommodate the team .   Hunt agreed to relocate the franchise to Kansas City on May 22 , 1963 , and on May 26 the team was renamed the Kansas City Chiefs . Hunt and head coach Hank Stram initially planned to retain the Texans name , but a fan contest determined the new `` Chiefs '' name in honor of Mayor Bartle 's nickname that he acquired in his professional role as Scout Executive of the St. Joseph and Kansas City Boy Scout Councils and founder of the Scouting Society , the Tribe of Mic - O - Say . A total of 4,866 entries were received with 1,020 different names being suggested , including a total of 42 entrants who selected `` Chiefs . '' The two names that received the most popular votes were `` Mules '' and `` Royals '' ( which , 6 years later , would be the name of the city 's Major League Baseball expansion franchise in 1969 , after the Athletics left Kansas City for Oakland following the 1967 season ) .   The franchise became one of the strongest teams in the now thriving American Football League , with the most playoff appearances for an AFL team ( tied with the Oakland Raiders ) , and the most AFL Championships ( 3 ) . The team 's dominance helped Lamar Hunt become a central figure in negotiations with NFL Commissioner Pete Rozelle to agree on an AFL -- NFL merger . In the meetings between the two leagues , a merged league championship game was agreed to be played in January 1967 following the conclusion of the leagues ' respective 1966 seasons . Hunt insisted on calling the game the `` Super Bowl '' after seeing his children playing with a popular toy at the time , a Super Ball . While the first few games were designated the `` AFL -- NFL World Championship Game '' , the Super Bowl name became its officially licensed title in years to come .  The Chiefs topped the Raiders in the 1969 AFL championship game ( left ) and went on to defeat the Vikings in Super Bowl IV ( right ) .  The Chiefs cruised to an 11 -- 2 -- 1 record in 1966 , and defeated the defending AFL Champion Buffalo Bills in the AFL Championship Game . The Chiefs were invited to play the NFL 's league champion Green Bay Packers in the first AFL -- NFL World Championship Game . Kansas City and Green Bay played a close game for the first half , but Green Bay took control in the final two quarters , winning the game by a score of 35 -- 10 . The Chiefs lost the game but gained the respect of several Packers opponents following the game . The Chiefs ' interleague match - up with the Packers was not the last time that they would face an NFL opponent , especially on the championship stage . The following August , Kansas City hosted the NFL 's Chicago Bears in the 1967 preseason and won the game 66 -- 24 .   Despite losing to the division rival Oakland Raiders twice in the regular season in 1969 , the two teams met for a third time in the AFL Championship Game where Kansas City won 17 -- 7 . Backup quarterback Mike Livingston led the team in a six - game winning streak after Len Dawson suffered a leg injury which kept him out of most of the season 's games . While getting plenty of help from the club 's defense , Dawson returned from the injury and led the Chiefs to Super Bowl IV . Against the NFL champion Minnesota Vikings , who were favored by 121⁄2 , the Chiefs dominated the game 23 -- 7 to claim the team 's first Super Bowl championship . Dawson was named the game 's Most Valuable Player after completing 12 - of - 17 passes for 142 yards and one touchdown , with 1 interception . The following season , the Chiefs and the rest of the American Football League merged with the National Football League after the AFL -- NFL merger became official . The Chiefs were placed in the American Football Conference 's West Division .   From 1960 to 1969 , the Chiefs / Texans won 87 games , which is the most in the 10 - year history of the AFL .   1970s ( edit )   In 1970 , the Chiefs won only seven games in their first season in the NFL and missed the playoffs . The following season , the Chiefs tallied a 10 -- 3 -- 1 record and won the AFC West Division . Head coach Hank Stram considered his 1971 Chiefs team as his best , but they failed to capture their championship dominance from 1969 . Most of the pieces of the team which won Super Bowl IV two years earlier were still in place for the 1971 season . The Chiefs tied with the Miami Dolphins for the best record in the AFC , and both teams met in a Christmas Day playoff game which the Chiefs lost 27 -- 24 in double overtime . The Dolphins outlasted the Chiefs with a 37 - yard field goal . The game surpassed the 1962 AFL Championship Game as the longest ever at 82 minutes and 40 seconds . The game was also the final football game at Kansas City 's Municipal Stadium .   In 1972 , the Chiefs moved into the newly constructed Arrowhead Stadium at the Truman Sports Complex outside of Downtown Kansas City . The team 's first game at Arrowhead was against the St. Louis Cardinals , a preseason game which the Chiefs won 24 -- 14 . Linebacker Willie Lanier and quarterback Len Dawson won the NFL Man of the Year Award in 1972 and 1973 , respectively . The Chiefs would not return to the post-season for the remainder of the 1970s , and the 1973 season was the team 's last winning effort for seven years . Hank Stram was fired following a 5 -- 9 season in 1974 , and many of the Chiefs ' future Hall of Fame players would depart by the middle of the decade . From 1975 to 1988 , the Chiefs had become a laughing stock of the NFL and provided Chiefs fans with nothing but futility . Five head coaches struggled to achieve the same success as Stram , compiling an 81 -- 121 -- 1 record .   1980 -- 1988 ( edit )   In 1980 , Coach Marv Levy cut future Hall of Fame Kicker Jan Stenerud for little known Nick Lowery , who would become the most accurate kicker in NFL History over the next 14 years . In 1981 , running back Joe Delaney rushed for 1,121 yards and was named the AFC Rookie of the Year . The Chiefs finished the season with a 9 -- 7 record and entered the 1982 season with optimism . However , the NFL Players Association strike curbed the Chiefs ' chances of returning to the postseason for the first time in over a decade . The Chiefs tallied a 3 -- 6 record and in the off - season , Joe Delaney died while trying to save several children from drowning in a pond near his home in Louisiana .   The Chiefs made a mistake in drafting quarterback Todd Blackledge over future greats such as Jim Kelly and Dan Marino in the 1983 NFL Draft . Blackledge never started a full season for Kansas City while Kelly and Marino played Hall of Fame careers . While the Chiefs struggled on offense in the 1980s , the Chiefs had a strong defensive unit consisting of Pro Bowlers such as Bill Maas , Albert Lewis , Art Still and Deron Cherry .   John Mackovic took over head coaching duties for the 1983 season after Marv Levy was fired . Over the next four seasons , Mackovic coached the Chiefs to a 30 -- 34 record , but took the team to its first post-season appearance in 15 years in the 1986 NFL playoffs . Following the team 's loss to the New York Jets in the playoffs , Mackovic was fired . Frank Gansz served as head coach for the next two seasons , but won only eight of 31 games .   1989 -- 2008 ( edit )   On December 19 , 1988 , owner Lamar Hunt hired Carl Peterson as the team 's new president , general manager , and chief executive officer . Peterson fired head coach Frank Gansz two weeks after taking over and hired Marty Schottenheimer as the club 's seventh head coach . In the 1988 and 1989 NFL Drafts , the Chiefs selected both defensive end Neil Smith and linebacker Derrick Thomas , respectively . The defense that Thomas and Smith anchored in their seven seasons together was a big reason why the Chiefs reached the postseason in six straight years .   In Schottenheimer 's tenure as head coach , ( 1989 -- 1998 ) , the Chiefs became a perennial playoff contender , featuring offensive players including Steve DeBerg , Christian Okoye , Stephone Paige and Barry Word , a strong defense , anchored by Thomas , Smith , Albert Lewis and Deron Cherry , and on special teams , Nick Lowery , most accurate kicker in NFL History . The team recorded a 101 -- 58 -- 1 record , and clinched seven playoff berths . The Chiefs ' 1993 season was the franchise 's most successful in 22 years . With newly acquired quarterback Joe Montana and running back Marcus Allen , two former Super Bowl champions and MVPs , the Chiefs further strengthened their position in the NFL . The 11 -- 5 Chiefs defeated the Pittsburgh Steelers and Houston Oilers on their way to the franchise 's first and to date only AFC Championship Game appearance against the Buffalo Bills . The Chiefs were overwhelmed by the Bills and lost the game by a score of 30 -- 13 . The Chiefs ' victory on January 16 , 1994 , against the Oilers remained the franchise 's last post-season victory for 21 years until their 30 -- 0 victory over the Houston Texans on January 9 , 2016 .   In the 1995 NFL playoffs , the 13 -- 3 Chiefs hosted the Indianapolis Colts in a cold , damp late afternoon game at Arrowhead Stadium . Kansas City lost the game 10 -- 7 against the underdog Colts , after kicker Lin Elliot missed three field goal attempts and quarterback Steve Bono threw three interceptions . The Chiefs selected tight end Tony Gonzalez with the 13th overall selection in the 1997 NFL Draft , a move which some considered to be a gamble being that Gonzalez was primarily a basketball player at California . During a 1997 season full of injuries to starting quarterback Elvis Grbac , backup quarterback Rich Gannon took the reins of the Chiefs ' offense as the team headed to another 13 -- 3 season . Head coach Marty Schottenheimer chose Grbac to start the playoff game against the Denver Broncos despite Gannon 's successes in previous weeks . Grbac 's production in the game was lacking , and the Chiefs lost to the Broncos 14 -- 10 . Denver went on to capture their fifth AFC Championship by defeating Pittsburgh , and then defeated the Green Bay Packers in Super Bowl XXXII .   Coach Schottenheimer announced his resignation from the Chiefs following the 1998 season , and defensive coordinator Gunther Cunningham took over coaching duties for the next two seasons , compiling a 16 -- 16 record . By the end of the Chiefs ' decade of regular - season dominance , Gannon had signed with the Oakland Raiders , Neil Smith signed with the Denver Broncos , and Derrick Thomas was paralyzed from a car accident on January 23 , 2000 . Thomas died from complications of his injury weeks later . After allegedly reading online that he would be relieved of duties , head coach Gunther Cunningham was fired .  Tony Gonzalez at the 2005 Pro Bowl Priest Holmes became one of the league 's top backs in the early 2000s  Looking to change the Chiefs ' game plan which relied on a tough defensive strategy for the past decade , Carl Peterson contacted Dick Vermeil about the Chiefs ' head coaching vacancy for the 2001 season . Vermeil previously led the St. Louis Rams to a victory in Super Bowl XXXIV . Vermeil was hired on January 12 . The Chiefs then traded a first round draft pick in the 2001 NFL Draft to St. Louis for quarterback Trent Green and signed free agent running back Priest Holmes to be the team 's cornerstones on offense .   In 2003 , Kansas City began the season with nine consecutive victories , a franchise record . They finished the season with a 13 -- 3 record and the team 's offense led the NFL in several categories under the direction of USA Today 's Offensive Coach of the Year honoree , Al Saunders . Running back Priest Holmes surpassed Marshall Faulk 's single - season touchdown record by scoring his 27th rushing touchdown against the Chicago Bears in the team 's regular season finale . The team clinched the second seed in the 2004 NFL playoffs and hosted the Indianapolis Colts in the AFC Divisional Playoffs . In a game where neither team punted , the Chiefs lost the shoot - out 38 -- 31 . It was the third time in nine seasons that the Chiefs went 8 -- 0 at home in the regular season , only to lose their post-season opener at Arrowhead .   After a disappointing 7 -- 9 record in 2004 , the 2005 Chiefs finished with a 10 -- 6 record but no playoff berth . They were the fourth team since 1990 to miss the playoffs with a 10 -- 6 record . Running back Larry Johnson started in place of the injured Priest Holmes and rushed for 1,750 yards in only nine starts . Prior to the Chiefs ' final game of the season , head coach Dick Vermeil announced his retirement . The Chiefs won the game 37 -- 3 over the playoff - bound Cincinnati Bengals .  Damon Huard ( left ) and Brodie Croyle ( right ) both served as the Chiefs ' starting quarterback after Trent Green 's departure  Within two weeks of Vermeil 's resignation , the Chiefs returned to their defensive roots with the selection of its next head coach . The team introduced Herman Edwards , a former Chiefs scout and head coach of the New York Jets , as the team 's tenth head coach after trading a fourth - round selection in the 2006 NFL Draft to the Jets . Quarterback Trent Green suffered a severe concussion in the team 's season opener to the Cincinnati Bengals which left him out of play for eight weeks . Backup quarterback Damon Huard took over in Green 's absence and led the Chiefs to a 5 -- 3 record .   Kansas City was awarded a Thanksgiving Day game against the Denver Broncos in response to owner Lamar Hunt 's lobbying for a third Thanksgiving Day game . The Chiefs defeated the Broncos 19 -- 10 in the first Thanksgiving Day game in Kansas City since 1969 . Hunt was hospitalized at the time of the game and died weeks later on December 13 due to complications with prostate cancer . The Chiefs honored their owner for the remainder of the season , as did the rest of the league .  By defeating the Jaguars on December 31 , 2006 , the Chiefs clinched a playoff berth after multiple other teams lost throughout the day  Trent Green returned by the end of the season , but struggled in the final stretch , and running back Larry Johnson set an NFL record with 416 carries in a season . Kansas City managed to clinch their first playoff berth in three seasons with a 9 -- 7 record and a bizarre sequence of six losses from other AFC teams on New Year 's Eve , culminating with a Broncos loss to the 49ers . The Indianapolis Colts hosted the Chiefs in the Wild Card playoffs and defeated Kansas City 23 -- 8 .  Larry Johnson in 2006  In 2007 , Trent Green was traded to the Miami Dolphins leaving the door open for either Damon Huard or Brodie Croyle to become the new starting quarterback . After starting the season with a 4 -- 3 record , the Chiefs lost the remaining nine games when running back Larry Johnson suffered a season - ending foot injury and the quarterback position lacked stability with Huard and Croyle . Despite the team 's 4 -- 12 record , tight end Tony Gonzalez broke Shannon Sharpe 's NFL record for touchdowns at the position ( 63 ) and defensive end Jared Allen led the NFL in quarterback sacks with 15.5 .   The Chiefs began their 2008 season with the youngest team in the NFL . The starting lineup had an average of 25.5 years of age . By releasing several veteran players such as cornerback Ty Law and wide receiver Eddie Kennison and trading defensive end Jared Allen , the Chiefs began a youth movement . The Chiefs had a league - high thirteen selections in the 2008 NFL Draft and chose defensive tackle Glenn Dorsey and offensive lineman Branden Albert in the first round . Analysts quickly called Kansas City 's selections as the best of the entire draft . Entering the season , the Chiefs were unsure if injury - prone quarterback Brodie Croyle , who was the incumbent starter , could be their quarterback in the long - term . Croyle was injured in the team 's first game of the season and Damon Huard started in Croyle 's absence . Tyler Thigpen become the third Chiefs starting quarterback in as many games for a start against the Atlanta Falcons . After a poor performance by Thigpen , in which he threw three interceptions against the Falcons defense , Huard was retained as the starting quarterback . The Chiefs struggled off the field as much as on as tight end Tony Gonzalez demanded a trade and running back Larry Johnson was involved in legal trouble .   Croyle returned for the Chiefs ' game against the Tennessee Titans , but both he and Damon Huard suffered season - ending injuries in the game . The Chiefs reorganized their offense to a new spread offense game plan focused around Tyler Thigpen . The Chiefs ' new offense was implemented to help Thigpen play to the best of his abilities and also following the absence of Larry Johnson , who was suspended for his off - field conduct . The Chiefs made a huge gamble by using the spread offense , as most in the NFL believe that it can not work in professional football , and also head coach Herman Edwards was traditionally in favor of more conservative , run - oriented game plans .   2009 -- 2012 ( edit )  The Chiefs hosting the Buffalo Bills in 2009 ; Quarterback Matt Cassel , wearing # 7  The 2008 season ended with a franchise worst 2 -- 14 record , where the team suffered historic blowout defeats nearly week - in and week - out . a 34 -- 0 shut - out to the Carolina Panthers , and allowed a franchise - high 54 points against the Buffalo Bills . The team 's general manager , chief executive officer , and team president Carl Peterson resigned at the end of the season , and former New England Patriots vice president of player personnel Scott Pioli was hired as his replacement for 2009 . Upon his arrival , Pioli made an effort to bring in coaches and administrators from his successful past with the New England Patriots , where he won three Super Bowl titles .  Dwayne Bowe  On January 23 , 2009 , Herman Edwards was fired as head coach , and two weeks later Todd Haley signed a four - year contract to become Edwards ' successor . Haley had a background with Pioli , which made him an attractive hire for Pioli 's first coach in Kansas City .   In April 2009 Tony Gonzalez was traded to the Atlanta Falcons after failed trade attempts over the previous two seasons . Notably , head coach Todd Haley fired offensive coordinator Chan Gailey just weeks before the start of the 2009 season and chose to take on the coordinator duties himself . Throughout 2009 the Chiefs acquired veterans to supplement the Chiefs ' young talent including Matt Cassel , Mike Vrabel , Bobby Engram , Mike Brown , Chris Chambers , and Andy Alleman . The team finished with a 4 -- 12 record , just a two - game improvement upon their record from the 2008 season .   For the 2010 season , the Chiefs made significant hires for their coaching staff , bringing on former Patriots assistant coaches Charlie Weis and Romeo Crennel to coach the offense and defense , respectively . The coaching additions proved to be very successful , as the Chiefs would go on to secure their first AFC West title since 2003 . Their ten victories in the 2010 season combined for as many as the team had won in their previous three seasons combined .   On January 9 , 2011 , the Chiefs lost their home Wild Card playoff game to the Baltimore Ravens 30 -- 7 . Six players were chosen for the Pro Bowl : Dwayne Bowe , Jamaal Charles , Brian Waters , Tamba Hali , Matt Cassel and rookie safety Eric Berry . Jamaal Charles won the FEDEX ground player of the year award and Dwayne Bowe led the NFL in Touchdown Receptions .   For their first pick in the 2011 NFL draft , and 26th overall , the team selected Jonathan Baldwin , Wide Receiver from Pitt . After a poor start , Haley was relieved of duties as Head Coach on December 12 . Clark Hunt made note of `` bright spots at different points this season '' , but felt that overall the Chiefs were not progressing . The highest point of the 2011 season was an upset win against the Packers , who at that time , were undefeated with a 13 -- 0 record .   The Chiefs became the first team since the 1929 Buffalo Bisons to not lead in regulation through any of their first nine games . The Chiefs tied their franchise worst record of 2 -- 14 and clinched the No. 1 overall pick in the 2013 NFL Draft . It is the first time in since the merger they have held the first overall pick .   2013 -- 2014 ( edit )   Following the 2012 season , the Chiefs fired head coach Romeo Crennel and general manager Scott Pioli . Former Philadelphia Eagles head coach Andy Reid was brought in as head coach to work with new general manager John Dorsey , a former Green Bay Packers head scout .   The Chiefs acquired quarterback Alex Smith from the San Francisco 49ers for the Chiefs ' second - round pick , 34th overall , in the 2013 draft and a conditional pick in 2014 draft . Matt Cassel was released shortly after . The Chiefs selected Eric Fisher with the first overall pick of the 2013 NFL Draft .   The Chiefs started 9 -- 0 for the second time in team history . They would lead their wildcard game against the Indianapolis Colts 38 -- 10 shortly after halftime , but they would collapse late and lose , 45 -- 44 .   In 2014 , the Chiefs attempted to make the playoffs for the second straight season for the first time since 1995 , however they finished 9 -- 7 and were eliminated in Week 17 .   2015 ( edit )   After a promising win for the Chiefs against Houston in Week 1 , Kansas City went on a five - game losing streak culminating in a 16 -- 10 loss to Minnesota and the loss of Jamaal Charles to a torn ACL . However , they managed one of the most improbable season comebacks in the NFL and won ten straight to improve their record from 1 -- 5 to 11 -- 5 . The team clinched a playoff berth after a 17 -- 13 win over Cleveland in Week 16 to become only the second NFL team to do so after the merger .   The streak achieved by the Chiefs broke a franchise record for 9 straight ( 2003 , 2013 ) and second 9 plus game win streak under Reid . After a Week 17 win over Oakland 23 -- 17 , the Chiefs achieved their longest winning streak in franchise history at ten games . They qualified for the playoffs , playing in the 2015 AFC Wild - Card playoff game , held at NRG Stadium in Houston , Texas on January 9 , 2016 . The Chiefs defeated the Houston Texans 30 -- 0 to earn their first NFL playoff win in 23 seasons , dating back to the 1993 -- 94 NFL playoffs , a win that also came in Houston . The Chiefs ' Wild - Card playoff victory ended what was at the time the third - longest drought in the NFL , and it also ended a then NFL record eight - game playoff losing streak . Riddled with injuries , they were defeated by the New England Patriots 27 -- 20 in the AFC Divisional Round .   2016 ( edit )   After facing a 24 -- 3 deficit with 6 minutes left in the 3rd quarter , the Chiefs engineered a 33 -- 27 comeback win against the San Diego Chargers ending with a 2 - yard touchdown run by Alex Smith in overtime to give the Chiefs their largest regular season comeback to start the season at 1 -- 0 .   On Christmas Day , the Chiefs defeated the Denver Broncos 33 -- 10 to give Kansas City their tenth straight win against divisional opponents .   On January 1 , 2017 , the Chiefs clinched the AFC West and the second seed going into the playoffs that year . They clinched the 2nd seed in the AFC but fell to the Pittsburgh Steelers 18 - 16 as Chris Boswell hit 6 field goals .   Season - by - season Records ( edit )    This is a partial list of the last five seasons ( 2012 -- 16 ) completed by the Chiefs . For the full season - by - season franchise results , see List of Kansas City Chiefs seasons .    Note : The Finish , Wins , Losses , and Ties columns list regular season results and exclude any postseason play .     Super Bowl Champions ( 1970 -- present )   Conference Champions   Division Champions   Wild Card Berth    Record as of the end of the 2015 NFL season    Season   Team   League   Conference   Division   Regular season   Post-season results   Awards     Finish   Wins   Losses   Ties     2012   2012   NFL   AFC   West   4th     14   0         2013   2013   NFL   AFC   West   2nd   11   5   0   Lost AFC Wild Card round ( Colts ) 45 -- 44       2014   2014   NFL   AFC   West   2nd   9   7   0         2015   2015   NFL   AFC   West   2nd   11   5   0   Won AFC Wild Card Round ( Texans ) 30 -- 0 Lost AFC Divisional Round ( Patriots ) 20 -- 27   Marcus Peters ( Defensive Rookie of the Year ) Eric Berry ( Comeback Player of the Year )     2016   2016   NFL   AFC   West   1st   12     0   Lost AFC Divisional round ( Steelers ) 18 -- 16       Total   472   424   12   ( 1960 -- 2016 , includes only regular season )     9   17   0   ( 1960 -- 2016 , includes only playoffs )     481   441   12   ( 1960 -- 2016 , includes both regular season and playoffs ; 3 AFL Championships , 1 Super Bowl Championship )     Logos and uniforms ( edit )  Main article : Logos and uniforms of the Kansas City Chiefs  When the Texans began playing in 1960 , the team 's logo consisted of the state of Texas in white with a yellow star marking the location of the city of Dallas . Originally , Hunt chose Columbia blue and orange for the Texans ' uniforms , but Bud Adams chose Columbia blue and scarlet for his Houston Oilers franchise . Hunt reverted to red and gold for the Texans ' uniforms , which even after the team relocated to Kansas City , remain as the franchise 's colors to this day .   The state of Texas on the team 's helmet was replaced by an arrowhead design originally sketched by Lamar Hunt on a napkin . Hunt 's inspiration for the interlocking `` KC '' design was the `` SF '' inside of an oval on the San Francisco 49ers helmets . Unlike the 49ers ' logo , Kansas City 's overlapping initials appear inside a white arrowhead instead of an oval and are surrounded by a thin black outline . From 1960 to 1973 , the Chiefs had grey facemask bar</t>
  </si>
  <si>
    <t xml:space="preserve">when is the last time the kansas city chiefs went to the superbowl</t>
  </si>
  <si>
    <t xml:space="preserve">   Kansas City Chiefs     Current season     Established August 14 , 1959 ; 58 years ago ( August 14 , 1959 ) First season : 1960 Play in and headquartered in Arrowhead Stadium Kansas City , Missouri                  Logo   Wordmark        League / conference affiliations      American Football League ( 1960 -- 1969 )    Western Division ( 1960 -- 1969 )    National Football League ( 1970 -- present )    American Football Conference ( 1970 -- present )   AFC West ( 1970 -- present )         Current uniform         Team colors    Red , Gold , White      Mascot   Warpaint ( 1963 -- 1988 , 2009 -- present ) K.C. Wolf ( 1989 -- present )     Personnel     Owner ( s )   Hunt family     Chairman   Clark Hunt     CEO   Clark Hunt     President   Mark Donovan     General manager   Brett Veach     Head coach   Andy Reid     Team history       Dallas Texans ( 1960 -- 1962 )   Kansas City Chiefs ( 1963 -- present )       Team nicknames       Redwood Forest ( Defense , 1969 -- 1971 )       Championships      League championships ( 2 ) †    AFL Championships ( 3 ) 1962 , 1966 , 1969   AFL - NFL Super Bowl championships ( 1 ) 1969 ( IV )       Conference championships ( 0 )      Division championships ( 9 )    AFL West : 1962 , 1966   AFC West : 1971 , 1993 , 1995 , 1997 , 2003 , 2010 , 2016       † - Does not include the AFL or NFL championships won during the same seasons as the AFL - NFL Super Bowl championships prior to the 1970 AFL - NFL Merger     Playoff appearances ( 19 )       AFL : 1962 , 1966 , 1968 , 1969   NFL : 1971 , 1986 , 1990 , 1991 , 1992 , 1993 , 1994 , 1995 , 1997 , 2003 , 2006 , 2010 , 2013 , 2015 , 2016       Home fields       Cotton Bowl ( 1960 -- 1962 )   Municipal Stadium ( 1963 -- 1971 )   Arrowhead Stadium ( 1972 -- present )     </t>
  </si>
  <si>
    <r>
      <rPr>
        <sz val="11"/>
        <color rgb="FF000000"/>
        <rFont val="Calibri"/>
        <family val="0"/>
        <charset val="1"/>
      </rPr>
      <t xml:space="preserve">Light - independent reactions - wikipedia  Light - independent reactions  Jump to : navigation , search See also : Light - dependent reactions      This article needs attention from an expert in Biology or Molecular and Cell Biology . The specific problem is : The title and scope of this article have issues . See the talk page for details . WikiProject Biology or WikiProject Molecular and Cell Biology may be able to help recruit an expert . ( April 2017 )    The internal structure of a chloroplast  The light - independent reactions , or dark reactions , of photosynthesis are chemical reactions that convert carbon dioxide and other compounds into glucose . These reactions occur in the stroma , the fluid - filled area of a chloroplast outside the thylakoid membranes . These reactions take the products ( ATP and NADPH ) of light - dependent reactions and perform further chemical processes on them . There are three phases to the light - independent reactions , collectively called the Calvin cycle : carbon fixation , reduction reactions , and ribulose 1 , 5 - bisphosphate ( RuBP ) regeneration .   This process occurs only when light is available . Plants do not carry out the Calvin cycle during nighttime . They instead release sucrose into the phloem from their starch reserves . This process happens when light is available independent of the kind of photosynthesis ( C3 carbon fixation , C4 carbon fixation , and Crassulacean acid metabolism ) ; CAM plants store malic acid in their vacuoles every night and release it by day to make this process work . They are also known as dark reactions .     Contents  ( hide )   1 Coupling to other metabolic pathways   1.1 Steps   1.2 Products     2 Light - dependent regulation   3 References   4 Further reading   5 External links      Coupling to other metabolic pathways ( edit )   These reactions are closely coupled to the thylakoid electron transport chain as reducing power provided by NADPH produced in the photosystem I is actively needed . The process of photorespiration , also known as C2 cycle , is also coupled to the dark reactions , as it results from an alternative reaction of the RuBisCO enzyme , and its final byproduct is also another glyceraldehyde - 3 - P .  Overview of the Calvin cycle and carbon fixation  The Calvin cycle , Calvin -- Benson -- Bassham ( CBB ) cycle , reductive pentose phosphate cycle or C3 cycle is a series of biochemical redox reactions that take place in the stroma of chloroplast in photosynthetic organisms .   The cycle was discovered by Melvin Calvin , James Bassham , and Andrew Benson at the University of California , Berkeley by using the radioactive isotope carbon - 14 .   Photosynthesis occurs in two stages in a cell . In the first stage , light - dependent reactions capture the energy of light and use it to make the energy - storage and transport molecules ATP and NADPH . The Calvin cycle uses the energy from short - lived electronically excited carriers to convert carbon dioxide and water into organic compounds that can be used by the organism ( and by animals that feed on it ) . This set of reactions is also called carbon fixation . The key enzyme of the cycle is called RuBisCO . In the following biochemical equations , the chemical species ( phosphates and carboxylic acids ) exist in equilibria among their various ionized states as governed by the pH .   The enzymes in the Calvin cycle are functionally equivalent to most enzymes used in other metabolic pathways such as gluconeogenesis and the pentose phosphate pathway , but they are found in the chloroplast stroma instead of the cell cytosol , separating the reactions . They are activated in the light ( which is why the name `` dark reaction '' is misleading ) , and also by products of the light - dependent reaction . These regulatory functions prevent the Calvin cycle from being respired to carbon dioxide . Energy ( in the form of ATP ) would be wasted in carrying out these reactions that have no net productivity .   The sum of reactions in the Calvin cycle is the following :    3 CO + 6 NADPH + 6 H + 9 ATP → glyceraldehyde - 3 - phosphate ( G3P ) + 6 NADP + 9 ADP + 3 H O + 8 P ( P = inorganic phosphate )    Hexose ( six - carbon ) sugars are not a product of the Calvin cycle . Although many texts list a product of photosynthesis as C O , this is mainly a convenience to counter the equation of respiration , where six - carbon sugars are oxidized in mitochondria . The carbohydrate products of the Calvin cycle are three - carbon sugar phosphate molecules , or `` triose phosphates '' , namely , glyceraldehyde - 3 - phosphate ( G3P ) .   Steps ( edit )   In the first stage of the Calvin cycle , a CO molecule is incorporated into one of two three - carbon molecules ( glyceraldehyde 3 - phosphate or G3P ) , where it uses up two molecules of ATP and two molecules of NADPH , which had been produced in the light - dependent stage . The three steps involved are :  Calvin cycle step 1 ( black circles represent carbon atoms ) Calvin cycle steps 2 and 3 combined   The enzyme RuBisCO catalyses the carboxylation of ribulose - 1 , 5 - bisphosphate , RuBP , a 5 - carbon compound , by carbon dioxide ( a total of 6 carbons ) in a two - step reaction . The product of the first step is enediol - enzyme complex that can capture CO or O . Thus , enediol - enzyme complex is the real carboxylase / oxygenase . The CO that is captured by enediol in second step produces an unstable six - carbon compound called 2 - carboxy 3 - keto 1 , 5 - biphosphoribotol ( or 3 - keto - 2 - carboxyarabinitol 1 , 5 - bisphosphate ) that immediately splits into 2 molecules of 3 - phosphoglycerate , or 3 - PGA , a 3 - carbon compound ( also : 3 - phosphoglyceric acid , PGA , 3PGA ) .   The enzyme phosphoglycerate kinase catalyses the phosphorylation of 3 - PGA by ATP ( which was produced in the light - dependent stage ) . 1 , 3 - Bisphosphoglycerate ( 1 , 3BPGA , glycerate - 1 , 3 - bisphosphate ) and ADP are the products . ( However , note that two 3 - PGAs are produced for every CO that enters the cycle , so this step utilizes two ATP per CO fixed . )   The enzyme glyceraldehyde 3 - phosphate dehydrogenase catalyses the reduction of 1 , 3BPGA by NADPH ( which is another product of the light - dependent stage ) . Glyceraldehyde 3 - phosphate ( also called G3P , GP , TP , PGAL , GAP ) is produced , and the NADPH itself is oxidized and becomes NADP . Again , two NADPH are utilized per CO fixed .   Regeneration stage of the Calvin cycle  The next stage in the Calvin cycle is to regenerate RuBP . Five G3P molecules produce three RuBP molecules , using up three molecules of ATP . Since each CO molecule produces two G3P molecules , three CO molecules produce six G3P molecules , of which five are used to regenerate RuBP , leaving a net gain of one G3P molecule per three CO molecules ( as would be expected from the number of carbon atoms involved ) .  Simplified C3 cycle with structural formulas  The regeneration stage can be broken down into steps .    Triose phosphate isomerase converts all of the G3P reversibly into dihydroxyacetone phosphate ( DHAP ) , also a 3 - carbon molecule .   Aldolase and fructose - 1 , 6 - bisphosphatase convert a G3P and a DHAP into fructose 6 - phosphate ( 6C ) . A phosphate ion is lost into solution .   Then fixation of another CO generates two more G3P .   F6P has two carbons removed by transketolase , giving erythrose - 4 - phosphate . The two carbons on transketolase are added to a G3P , giving the ketose xylulose - 5 - phosphate ( Xu5P ) .   E4P and a DHAP ( formed from one of the G3P from the second CO fixation ) are converted into sedoheptulose - 1 , 7 - bisphosphate ( 7C ) by aldolase enzyme .   Sedoheptulose - 1 , 7 - bisphosphatase ( one of only three enzymes of the Calvin cycle that are unique to plants ) cleaves sedoheptulose - 1 , 7 - bisphosphate into sedoheptulose - 7 - phosphate , releasing an inorganic phosphate ion into solution .   Fixation of a third CO generates two more G3P . The ketose S7P has two carbons removed by transketolase , giving ribose - 5 - phosphate ( R5P ) , and the two carbons remaining on transketolase are transferred to one of the G3P , giving another Xu5P . This leaves one G3P as the product of fixation of 3 CO , with generation of three pentoses that can be converted to Ru5P .   R5P is converted into ribulose - 5 - phosphate ( Ru5P , RuP ) by phosphopentose isomerase . Xu5P is converted into RuP by phosphopentose epimerase .   Finally , phosphoribulokinase ( another plant - unique enzyme of the pathway ) phosphorylates RuP into RuBP , ribulose - 1 , 5 - bisphosphate , completing the Calvin cycle . This requires the input of one ATP .    Thus , of six G3P produced , five are used to make three RuBP ( 5C ) molecules ( totaling 15 carbons ) , with only one G3P available for subsequent conversion to hexose . This requires nine ATP molecules and six NADPH molecules per three CO molecules . The equation of the overall Calvin cycle is shown diagrammatically below .  The overall equation of the Calvin cycle ( black circles represent carbon atoms )  RuBisCO also reacts competitively with O instead of CO in photorespiration . The rate of photorespiration is higher at high temperatures . Photorespiration turns RuBP into 3 - PGA and 2 - phosphoglycolate , a 2 - carbon molecule that can be converted via glycolate and glyoxalate to glycine . Via the glycine cleavage system and tetrahydrofolate , two glycines are converted into serine + CO . Serine can be converted back to 3 - phosphoglycerate . Thus , only 3 of 4 carbons from two phosphoglycolates can be converted back to 3 - PGA . It can be seen that photorespiration has very negative consequences for the plant , because , rather than fixing CO , this process leads to loss of CO . C4 carbon fixation evolved to circumvent photorespiration , but can occur only in certain plants native to very warm or tropical climates -- corn , for example .   Products ( edit )   The immediate products of one turn of the Calvin cycle are 2 glyceraldehyde - 3 - phosphate ( G3P ) molecules , 3 ADP , and 2 NADP . ( ADP and NADP are not really `` products . '' They are regenerated and later used again in the Light - dependent reactions ) . Each G3P molecule is composed of 3 carbons . For the Calvin cycle to continue , RuBP ( ribulose 1 , 5 - bisphosphate ) must be regenerated . So , 5 out of 6 carbons from the 2 G3P molecules are used for this purpose . Therefore , there is only 1 net carbon produced to play with for each turn . To create 1 surplus G3P requires 3 carbons , and therefore 3 turns of the Calvin cycle . To make one glucose molecule ( which can be created from 2 G3P molecules ) would require 6 turns of the Calvin cycle . Surplus G3P can also be used to form other carbohydrates such as starch , sucrose , and cellulose , depending on what the plant needs .   Light - dependent regulation ( edit )  Main article : Light - dependent reactions  These reactions do not occur in the dark or at night . There is a light - dependent regulation of the cycle enzymes , as the third step requires reduced NADP .   There are two regulation systems at work when the cycle must be turned on or off : the thioredoxin / ferredoxin activation system , which activates some of the cycle enzymes ; and the RuBisCo enzyme activation , active in the Calvin cycle , which involves its own activase .   The thioredoxin / ferredoxin system activates the enzymes glyceraldehyde - 3 - P dehydrogenase , glyceraldehyde - 3 - P phosphatase , fructose - 1 , 6 - bisphosphatase , sedoheptulose - 1 , 7 - bisphosphatase , and ribulose - 5 - phosphatase kinase , which are key points of the process . This happens when light is available , as the ferredoxin protein is reduced in the photosystem I complex of the thylakoid electron chain when electrons are circulating through it . Ferredoxin then binds to and reduces the thioredoxin protein , which activates the cycle enzymes by severing a cystine bond found in all these enzymes . This is a dynamic process as the same bond is formed again by other proteins that deactivate the enzymes . The implications of this process are that the enzymes remain mostly activated by day and are deactivated in the dark when there is no more reduced ferredoxin available .   The enzyme RuBisCo has its own , more complex activation process . It requires that a specific lysine amino acid be carbamylated to activate the enzyme . This lysine binds to RuBP and leads to a non-functional state if left uncarbamylated . A specific activase enzyme , called RuBisCo activase , helps this carbamylation process by removing one proton from the lysine and making the binding of the carbon dioxide molecule possible . Even then the RuBisCo enzyme is not yet functional , as it needs a magnesium ion bound to the lysine to function . This magnesium ion is released from the thylakoid lumen when the inner pH drops due to the active pumping of protons from the electron flow . RuBisCo activase itself is activated by increased concentrations of ATP in the stroma caused by its phosphorylation .   References ( edit )    Citations     Jump up ^ Silverstein , Alvin ( 2008 ) . Photosynthesis . Twenty - First Century Books . p. 21 . ISBN 9780822567981 .   Jump up ^ John C. Cushman ( 2001 ) . `` A Plastic Photosynthetic Adaptation to Arid Environments '' . Plant Physiology. 127 ( 4 ) : 1439 -- 1448 . doi : 10.1104 / pp. 010818 . PMC 1540176 . PMID 11743087 .   Jump up ^ Bassham J , Benson A , Calvin M ( 1950 ) . `` The path of carbon in photosynthesis '' ( PDF ) . J Biol Chem. 185 ( 2 ) : 781 -- 7 . doi : 10.2172 / 910351 . PMID 14774424 .   Jump up ^ Campbell , Neil A. ; Brad Williamson ; Robin J. Heyden ( 2006 ) . Biology : Exploring Life . Boston , Massachusetts : Pearson Prentice Hall . ISBN 0 - 13 - 250882 - 6 .   Jump up ^ Farazdaghi H ( 2009 ) . `` Modeling the Kinetics of Activation and Reaction of RuBisCO from Gas Exchange '' . Advances in Photosynthesis and Respiration. 29 ( IV ) : 275 -- 294 . doi : 10.1007 / 978 - 1 - 4020 - 9237 - 4_12 .   Jump up ^ Campbell , and Reece Biology : 8th Edition , page 198 . Benjamin Cummings , December 7 , 2007 .   Jump up ^ Russell , Wolfe et al. Biology : Exploring the Diversity of Life '. Toronto : Nelson College Indigenous , 1st ed , Vol. 1 , 2010 , pg 151   Jump up ^ Besse , I ; Buchanan , B ( 1997 ) . `` Thioredoxin - linked animal and plant processes : the new generation '' . Bot . Bull. Acad. Sin. 38 : 1 -- 11 .     Bibliography     Bassham JA ( 2003 ) . `` Mapping the carbon reduction cycle : a personal retrospective '' . Photosyn . Res. 76 ( 1 - 3 ) : 35 -- 52 . doi : 10.1023 / A : 1024929725022 . PMID 16228564 .   Diwan , Joyce J. ( 2005 ) . `` Photosynthetic Dark Reaction '' . Biochemistry and Biophysics , Rensselaer Polytechnic Institute .   Portis , Archie ; Parry , Martin ( 2007 ) . `` Discoveries in Rubisco ( Ribulose 1 , 5 - bisphosphate carboxylase / oxygenase ) : a historical perspective '' ( PDF ) . Photosynthesis Research . 94 ( 1 ) : 121 -- 143 . doi : 10.1007 / s11120 - 007 - 9225 - 6 . PMID 17665149 . Archived from the original ( PDF ) on 2012 - 03 - 12    Further reading ( edit )    Rubisco Activase , from the Plant Physiology Online website   Thioredoxins , from the Plant Physiology Online website    External links ( edit )    The Biochemistry of the Calvin Cycle at Rensselaer Polytechnic Institute   The Calvin Cycle and the Pentose Phosphate Pathway from Biochemistry , Fifth Edition by Jeremy M. Berg , John L. Tymoczko and Lubert Stryer . Published by W.H. Freeman and Company ( 2002 ) .              Branches of life science and biology       Anatomy   Astrobiology   Biochemistry   Biogeography   Biohistory   Biomechanics   Biophysics   Bioinformatics   Biostatistics   Botany   Cell biology   Cellular microbiology   Chemical biology   Chronobiology   Computational biology   Conservation biology   Cytogenetics   Developmental biology   Ecology   Embryology   Epidemiology   Epigenetics   Evolutionary biology   Freshwater biology   Geobiology   Genetics   Genomics   Histology   Human biology   Immunology   Marine biology   Mathematical biology   Microbiology   Molecular biology   Mycology   Neontology   Neuroscience   Nutrition   Origin of life   Paleontology   Parasitology   Pathology   Pharmacology   Phylogenetics   Physiology   Quantum biology   Sociobiology   Structural biology   Systematics   Systems biology   Taxonomy   Teratology   Toxicology   Virology   Virophysics   Zoology                 Branches of chemistry       Dictionary of chemical formulas   List of biomolecules   List of inorganic compounds   Periodic table       Physical     Chemical kinetics   Chemical physics   Nuclear chemistry   Electrochemistry   Femtochemistry   Geochemistry   Photochemistry   Quantum chemistry   Solid - state chemistry   Spectroscopy   Surface science   Thermochemistry       Organic     Biochemistry   Bioorganic chemistry   Biophysical chemistry   Chemical biology   Clinical chemistry   Fullerene chemistry   Medicinal chemistry   Neurochemistry   Pharmacy   Physical organic chemistry   Polymer chemistry       Inorganic     Bioinorganic chemistry   Cluster chemistry   Coordination chemistry   Materials science   Organometallic chemistry       Others     Actinide chemistry   Analytical chemistry   Astrochemistry   Chemistry education   Clay chemistry   Click chemistry   Computational chemistry   Cosmochemistry   Environmental chemistry   Food chemistry   Forensic chemistry   Green chemistry   Post-mortem chemistry   Supramolecular chemistry   Theoretical chemistry   Wet chemistry           Portal   Commons   WikiProject        Metabolism portal   Retrieved from `` https://en.wikipedia.org/w/index.php?title=Light-independent_reactions&amp;oldid=833363610 '' Categories :   Photosynthesis   Metabolism   Hidden categories :   Articles needing expert attention from April 2017   All articles needing expert attention   Biology articles needing expert attention   Miscellaneous articles needing expert attention   Articles with inconsistent citation formats           Talk                                           Contents                   About Wikipedia                                             Deutsch   Español   Esperanto   Galego   </t>
    </r>
    <r>
      <rPr>
        <sz val="11"/>
        <color rgb="FF000000"/>
        <rFont val="Noto Sans CJK SC"/>
        <family val="2"/>
      </rPr>
      <t xml:space="preserve">한국어   </t>
    </r>
    <r>
      <rPr>
        <sz val="11"/>
        <color rgb="FF000000"/>
        <rFont val="Calibri"/>
        <family val="0"/>
        <charset val="1"/>
      </rPr>
      <t xml:space="preserve">Bahasa Melayu   Simple English   Türkçe   Edit links   This page was last edited on 31 March 2018 , at 03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</si>
  <si>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calvin cycle (dark reactions) take place</t>
  </si>
  <si>
    <t xml:space="preserve"> The light - independent reactions , or dark reactions , of photosynthesis are chemical reactions that convert carbon dioxide and other compounds into glucose . These reactions occur in the stroma , the fluid - filled area of a chloroplast outside the thylakoid membranes . These reactions take the products ( ATP and NADPH ) of light - dependent reactions and perform further chemical processes on them . There are three phases to the light - independent reactions , collectively called the Calvin cycle : carbon fixation , reduction reactions , and ribulose 1 , 5 - bisphosphate ( RuBP ) regeneration . </t>
  </si>
  <si>
    <t xml:space="preserve">Who Wants to Be a Millionaire ( U.S. game show ) - wikipedia  Who Wants to Be a Millionaire ( U.S. game show )       Who Wants to Be a Millionaire         Genre   Game show     Created by   David Briggs Mike Whitehill Steven Knight     Developed by   Michael Davies     Directed by     Mark Gentile ( 1999 -- 2002 )   Matthew Cohen ( 2002 -- 10 )   Rob George ( 2010 -- 13 )   Brian McAloon ( 2013 -- 14 )   Rich DiPirro ( 2014 -- present )       Presented by     ABC :   Regis Philbin   Syndication :   Meredith Vieira ( 2002 -- 13 )   Cedric the Entertainer ( 2013 -- 14 )   Terry Crews ( 2014 -- 15 )   Chris Harrison ( 2015 -- present )       Composer ( s )     Keith Strachan ( 1999 -- 2010 )   Matthew Strachan ( 1999 -- 2010 )   Jeff Lippencott ( 2010 -- present )   Mark T. Williams ( 2010 -- present )       Country of origin   United States     No. of seasons   19 ( 3 on ABC , 16 in syndication )     No. of episodes   ABC ( Original ) : 363 Syndicated : 2,655 ( as of October 6 , 2017 ) ABC ( Super Millionaire ) : 12 ABC ( 10th Anniversary Special ) : 11     Production     Executive producer ( s )     Michael Davies ( 1999 -- 2010 )   Paul Smith ( 1999 -- 2007 )   Leigh Hampton ( 2004 -- 10 )   Rich Sirop ( 2010 -- 14 )   James Rowley ( 2014 -- present )       Production location ( s )   New York , New York ( 1999 -- 2014 ) Stamford , Connecticut ( 2014 -- 2016 ) Las Vegas , Nevada ( 2016 -- present )     Running time   39 -- 48 minutes ( ABC ) 19 -- 25 minutes ( syndication )     Production company ( s )     Valleycrest Productions ( 1999 -- present )   Celador ( 1999 -- 2007 )   2waytraffic ( 2007 -- present )       Distributor     Buena Vista Television ( 1999 -- 2007 )   Disney -- ABC Domestic Television ( 2007 -- present )       Release     Original network   ABC ( 1999 -- 2002 , 2004 , 2009 ) Syndication ( 2002 -- present )     Picture format   480i ( SDTV ) ( 1999 -- 2011 ) 720p / 1080i ( HDTV ) ( 2011 -- present )     Audio format   Stereo     Original release   ABC August 16 , 1999 ( 1999 - 08 - 16 ) -- June 27 , 2002 ( 2002 - 06 - 27 ) Syndication September 16 , 2002 ( 2002 - 09 - 16 ) -- present     External links     Website     Who Wants to Be a Millionaire ( often informally called Millionaire ) is an American television game show based on the same - titled British program and developed for the United States by Michael Davies . The show features a quiz competition in which contestants attempt to win a top prize of $1,000,000 by answering a series of multiple - choice questions of increasing difficulty ( although , for a time , most of the questions were of random difficulty ) . The program has endured as one of the longest - running and most successful international variants in the Who Wants to Be a Millionaire ? franchise .   The original U.S. version aired on ABC from August 16 , 1999 to June 27 , 2002 , and was hosted by Regis Philbin . The daily syndicated version of the show began airing on September 16 , 2002 , and was hosted for eleven seasons by Meredith Vieira until May 31 , 2013 . Later hosts included Cedric the Entertainer in the 2013 -- 14 season , Terry Crews in the following season ( 2014 -- 15 ) , and Chris Harrison , who began hosting on September 14 , 2015 .   As the first U.S. network game show to offer a million - dollar top prize , the show made television history by becoming one of the highest - rated game shows in the history of American television . The U.S. Millionaire has won seven Daytime Emmy Awards , and TV Guide ranked it No. 6 in its 2013 list of the 60 greatest game shows of all time .   Contents    1 Gameplay   1.1 Core rules   1.2 Format history   1.2. 1 Original Format ( 1999 -- 2008 )   1.2. 2 Clock Format ( 2008 -- 2010 )   1.2. 3 Shuffle Format ( 2010 -- 2015 )   1.2. 4 Current Format ( 2015 -- present )     1.3 Payout structure   1.4 Lifelines   1.4. 1 Current Lifelines   1.4. 2 Former lifelines     1.5 Top prize winners     2 Personnel   2.1 Hosts   2.2 Production staff     3 Production   3.1 Origins   3.2 Audition process   3.3 Music   3.4 Set     4 Broadcast history   4.1 ABC   4.2 Syndication   4.3 GSN     5 Special editions   5.1 Who Wants to Be a Super Millionaire   5.2 10th Anniversary Celebration   5.3 Million Dollar Tournament of Ten     6 Reception   7 Other media   7.1 Merchandise   7.2 Disney Parks attraction     8 Notes   9 References   10 Further reading   11 External links    Gameplay ( edit )   Core rules ( edit )  Screenshot illustrating how question text and answer choices appear on - screen  At its core , the game is a quiz competition in which the goal is to correctly answer a series of fourteen ( originally fifteen ) consecutive multiple - choice questions . The questions are of increasing difficulty , except in the 2010 -- 15 format overhaul , where the contestants were faced with a round of ten questions of random difficulty , followed by a round of four questions of increasing difficulty . Each question is worth a specified amount of money ; the amounts are cumulative in the first round , but not in the second . If the contestant gives a wrong answer to any question , their game is over and their winnings are reduced ( or increased , in the first two questions ) to $1,000 for tier - one questions , $5,000 for tier - two questions , and $50,000 for tier - three questions . However , the contestant has the option of `` walking away '' without giving an answer after being presented with a question , in which case the game ends and the contestant is guaranteed to walk away with all the money they have previously received . With the exception of the shuffle format , upon correctly answering questions five and ten , contestants are guaranteed at least the amount of prize money associated with that level . If the contestant gives an incorrect answer , their winnings drop down to the last milestone achieved . Since 2015 , if the contestant answers a question incorrectly before reaching question five , he or she leaves with $1,000 , even on the first question that is worth only $500 . For celebrities , the minimum guarantee for their nominated charities is $10,000 . Prior to the shuffle format , a contestant left with nothing if they answered a question incorrectly before reaching the first milestone . In the shuffle format era , contestants who incorrectly answered a question had their winnings reduced to $1,000 in round one and $25,000 in round two .   Format history ( edit )  Original format ( 1999 -- 2008 ) ( edit )  From 1999 -- 2002 , 10 contestants would play a round of Fastest Finger to determine who would be the first to play in the hot seat . The contestants would be faced with a question and four answers , and they would have to put the four answers in the correct order ( ascending , chronological etc . ) in the fastest time . The contestant who keyed it in the fastest time correctly would play for one million dollars . If no one got it right , the round is played again until someone does , and if a tie breaker occurs the remaining contestants do one Fastest Finger question until one person does it quicker . This round was eliminated from the game when the syndicated version started , though it returned in 2004 for Super Millionaire and 2009 for the shows 10th Anniversary . The format remained unchanged , aside from alterations to the money ladder and the addition of a new lifeline , until 2008 .  Clock format ( 2008 -- 2010 ) ( edit )  In 2008 , the format was altered to include a time limit on each question . The amount of time for each question was as follows :    15 seconds for questions 1 -- 5   30 seconds for questions 6 -- 10   45 seconds for questions 11 -- 14    For the last question , the amount of time that was not used on the previous questions was banked and added onto the 45 seconds already allowed on the question , to give the contestant a better chance at winning the million .   The timer would count down the second the answer options appeared and the contestant would have to give their final answer within that length of time . If the contestant ran out of time at any point , the contestant would have to leave with the amount of money they had banked at the time . In addition the categories of the questions were displayed before the question was asked , titled as the ' Millionaire Menu ' . In 2009 , the money ladder was altered slightly .  Shuffle format ( 2010 -- 2015 ) ( edit )  The format was overhauled in September 2010 quite significantly . The game was now split into two rounds . In round one the contestant would face 10 questions , each assigned to a different amount of money that was randomized at the start of the game . So the difficulty of the question was not tied to the amount of money the question was worth , which was revealed after the question was either answered or jumped . The value of each question was added to the contestant 's bank , with a maximum amount that could be won at $68,600 . Like usual the contestant could leave with their current winnings at any point , though if they did n't pass round one they would only receive half their banked money ( ie . if a contestant won $30,000 and walked away they would only receive $15,000 ) . The second round consisted of 4 questions done in the traditional ' Millionaire ' format , with the difficulty of the question tied to the amount of money it was worth . If the contestant gave a wrong answer in the first round they would go home with nothing , while if they made it to round 2 , they would receive $25,000 .   From 2011 -- 2014 , some weeks were ' Double Your Money ' weeks , so if a contestant got a question right , its value would be doubled with a maximum jackpot of $93,600 . However if a question was jumped , its value was not doubled .  Current format ( 2015 -- present ) ( edit )  With the hiring of new host Chris Harrison , the format was changed once again to resemble that of the original Millionaire . Each contestant faces 14 general - knowledge questions of increasing difficulty , with no time limit or information about the categories . As of 2017 , a contestant who misses any of the first five questions leaves with $1,000 , even if the missed question is of a lower value .   Payout structure ( edit )   Five different ladders have been used over the course of the series .     Question number   Question value     1999 -- 2004   2004 -- 09   2009 -- 10   2010 -- 15   2015 -- present       $100   $500   Random values ( $100 or $200 , $500 or $1,000 , $1,000 or $2,000 , $2,000 or $4,000 , $3,000 or $6,000 , $5,000 or $10,000 , $7,000 or $14,000 , $10,000 or $20,000 , $15,000 or $30,000 , and $25,000 or $50,000 )  The Value of each right response accumulated through the 1st 10 questions , for a potential maximum of $68,600 or $93,600 in Double Money Week Episodes .    $500       $200   $1,000   $1,000       $300   $2,000   $2,000       $500   $3,000   $3,000     5   $1,000   $5,000   $5,000     6   $2,000   $7,500   $7,000     7   $4,000   $10,000   $10,000     8   $8,000   $12,500   $20,000     9   $16,000   $15,000   $30,000     10   $32,000   $25,000   $50,000     11   $64,000   $50,000   $100,000     12   $125,000   $100,000   $250,000     13   $250,000   $500,000     14   $500,000   $1,000,000     15   $1,000,000       The original primetime payment structure was also used for the first two seasons of the syndicated version ( 2002 -- 04 ) . The third syndicated season in 2004 saw a reduction in the values for questions ten through twelve . In the eighth syndicated season ( 2009 -- 10 ) , the lower question values were adjusted to raise the first safe haven to $5,000 . When the `` shuffle format '' was used , the first ten questions had random amounts from $100 to $25,000 , as listed above . In addition , the number of questions needed to win the million was reduced to 14 , removing the $50,000 level , the last four values remained the same for round two . The values were doubled during `` Double Money Weeks '' . When the shuffle format ended at the start of the 2015 -- 16 season , the switch to 14 questions was retained , the first safe haven was kept at $5,000 , but the second was raised to $50,000 .   The $500,000 and $1,000,000 prizes were initially lump - sum payments , but were changed to annuities in September 2002 when the series moved to syndication . Contestants winning either of these prizes receive $250,000 thirty days after their show broadcasts and the remainder paid in equal annual payments . The $500,000 prize consists of $25,000 per year for 10 years , while the $1,000,000 prize consists of $37,500 per year for 20 years .   Since 2017 , contestants who answer one of the first five questions incorrectly receive a $1,000 consolation prize ; on the original primetime version and on the earlier seasons of the syndicated version prior to 2010 , contestants who missed one of the first five questions left with no winnings .   Lifelines ( edit )   Forms of assistance known as `` lifelines '' are available for a contestant to use if a question proves difficult . Multiple lifelines may be used on a single question , but each one can only be used once per game ( unless otherwise noted below ) . Three lifelines are available from the start of the game . Depending on the format of the show , additional lifelines may become available after the contestant correctly answers the fifth or tenth question . In the clock format , usage of lifelines temporarily paused the clock while the lifelines were played .  Current lifelines ( edit )   Ask the Audience ( 1999 -- ) : The audience members individually use four - button keypads to register the answer they believe is correct . The percentage of votes for each answer is immediately shown to the host , contestant , and home viewer .   50 : 50 ( 1999 -- 2008 , 2015 -- ) : Two incorrect answers are eliminated , leaving the contestant with a choice between the correct answer and one remaining wrong answer .   + 1 ( 2014 -- ) : Based on `` Ask One of the Audience '' from other versions . The contestant may invite a friend onstage from the audience to assist with the current question . If the answer is correct , the friend must then return to the audience .   Former lifelines ( edit )   Phone a Friend ( 1999 -- 2010 ) : The contestant called a pre-arranged friend and was then given 30 seconds to discuss the question with that person . In 2010 , this lifeline was eliminated due to an increasing use of search engines by home viewers to look up answers .   Switch / Cut the Question ( 2004 -- 2008 ) : Earned after answering 10 questions , this lifeline allowed a contestant to discard the current question and replace it with one of the same value . It has been used occasionally during Whiz Kids Week in the current version and is available from the outset .   Double Dip ( 2004 , 2008 -- 2010 ) : First used during Super Millionaire , this lifeline allowed a contestant to make a second guess at the answer if his / her first one was wrong . The contestant had to invoke the lifeline before making the first guess , and it was removed from play regardless of which guess was correct . In addition , the contestant could not walk away from the question after invoking the lifeline . It was introduced to the main series in 2008 , replacing 50 : 50 .   Three Wise Men ( 2004 ) : Used during Super Millionaire , this lifeline allowed the contestant 30 seconds of advice from a panel of three experts , who were sequestered backstage and saw the question only when their help was requested .   Ask the Expert ( 2008 -- 2010 ) : Based on Three Wise Men , the lifeline was earned after answering five questions correctly . The contestant was connected to an expert via a video call , and the two could discuss the question with no time limit .   Jump the Question ( 2010 -- 2015 ) : This lifeline allowed the contestant to skip the current question , but the money associated with it was removed from play . It could be used twice per game from 2010 -- 2014 , once from 2014 -- 2015 .   Crystal Ball ( 2012 -- 2015 ) : Used occasionally during the `` shuffle '' round , this lifeline allowed the contestant to see the value of the current question before either answering or jumping it ( if Jump the Question had not yet been used ) .    Top prize winners ( edit )   Over the course of the programs history , 12 people have answered the final question correctly and walked away with the top prize . These include :    John Carpenter -- He became the first winner of the top prize on November 19 , 1999 .   Dan Blonsky -- Second person to win the million on January 18 , 2000   Joe Trela -- Third person to win on March 23 , 2000   Bob House -- won on June 13 , 2000   Kim Hunt -- won on July 6 , 2000   David Goodman -- won July 11 , 2000   Kevin Olmstead -- He won the top prize on April 10 , 2001 . However because of the jackpot having been set to increase by $10,000 each episode , he won $2,180,000 -- making him the biggest winner in television history at the time . The jackpot never accumulated like this again .   Bernie Cullen -- won the million just five days after Olmsteads win on April 15 , 2001 .   Ed Toutant -- won on September 7 , 2001 . He originally appeared on January 31 , 2001 when the jackpot was at $1,860,000 when he was ruled out after answering his $16,000 question wrong . However it was determined that there was an error in the question , so he was invited back and won the jackpot as it was at the time .   Kevin Smith -- first syndicated millionaire , winning the top prize on February 18 , 2003   Nancy Christy -- won the million on May 8 , 2003 . This makes her the only female top prize winner .   Sam Murray -- answered the last question correctly during the Million Dollar Tournament of Ten and remained the only contestant to answer his question correctly in November 2009 .    Personnel ( edit )   Hosts ( edit )  Regis Philbin , host of the original network version  The original network version of the U.S. Millionaire and the subsequent primetime specials were hosted by Regis Philbin . When the syndicated version was being developed , the production team felt that it was not feasible for Philbin to continue hosting , as the show recorded four episodes in a single day , and that the team was looking for qualities in a new host : it had to be somebody who would love the contestants and be willing to root for them . Rosie O'Donnell was initially offered a hosting position on this new edition , but declined the opportunity almost immediately . Eventually Meredith Vieira , who had previously competed in a celebrity charity event on the original network version , was named host of the new syndicated edition .   ABC originally offered Vieira hosting duties on the syndicated Millionaire to sweeten one of her re-negotiations for the network 's daytime talk show The View , which she was moderating at the time . When the show was honored by GSN on its Gameshow Hall of Fame special , Vieira herself further explained her motivation for hosting the syndicated version as follows :     ``   I did the show because I fell in love with the show , and really , first and foremost , as a parent , ( I feel that ) there are n't that many shows on television that you can watch as a family . And when Michael Davies approached me and said , `` Would you be interested in hosting the syndicated version ? '' , I said , `` Just point me toward the contract ! I am so there ! ''   ''     From 2007 to 2011 , when Vieira was concurrently working as a co-host of Today , guest hosts appeared in the second half of each season of the syndicated version . Guest hosts who filled in for Vieira included Philbin , Al Roker , Tom Bergeron , Tim Vincent , Dave Price , Billy Bush , Leeza Gibbons , Cat Deeley , Samantha Harris , Shaun Robinson , Steve Harvey , John Henson , Sherri Shepherd , Tim Gunn , and D.L. Hughley .   On January 10 , 2013 , Vieira announced that after eleven seasons with the syndicated Millionaire , she would be leaving the show as part of an effort to focus on other projects in her career . She finalized taping of her last episodes with the show in November 2012 . While Philbin briefly considered a return to the show , Cedric the Entertainer was introduced as her successor when season twelve premiered on September 2 , 2013 . On April 30 , 2014 , Deadline announced that Cedric had decided to leave the show in order to lighten his workload , resulting in him being succeeded by Terry Crews for the 2014 -- 15 season . Crews was succeeded by Chris Harrison , host of The Bachelor and its spin - offs , when season 14 premiered on September 14 , 2015 .   Production staff ( edit )   The original executive producers of the U.S. Millionaire were British television producers Michael Davies and Paul Smith , the latter of whom undertook the responsibility of licensing Millionaire to American airwaves as part of his effort to transform the UK program into a global franchise . Smith served until 2007 and Davies until 2010 ; additionally , Leigh Hampton ( previously co-executive producer in the later days of the network version and in the syndicated version 's first two seasons ) served as an executive producer from 2004 to 2010 . Rich Sirop , who was previously a supervising producer , became the executive producer in 2010 and held that position until 2014 , when he left Millionaire to hold the same position with Vieira 's newly launched syndicated talk show , and was replaced by James Rowley . Vincent Rubino , who had previously been the syndicated Millionaire 's supervising producer for its first two seasons , served as that version 's co-executive producer for the 2004 -- 05 season , after which he was succeeded by Vieira herself , who continued to hold the title until her departure in 2013 ( sharing her position with Sirop for the 2009 -- 10 season ) .   Producers of the network version included Hampton , Rubino , Leslie Fuller , Nikki Webber , and Terrence McDonnell . For its first two seasons the syndicated version had Deirdre Cossman for its managing producer , then Dennis F. McMahon became producer for the next two seasons ( joined by Dominique Bruballa as his line producer ) , after which Jennifer Weeks produced the next four seasons of syndicated Millionaire shows , initially accompanied by Amanda Zucker as her line producer , but later joined for the 2008 -- 09 season by Tommy Cody ( who became sole producer in the 2009 -- 10 season ) . The first 65 shuffle format episodes were produced by McPaul Smith , and as of 2011 , the title of producer is held by Bryan Lasseter . The network version had Ann Miller and Tiffany Trigg for its supervising producers ; they were joined by Wendy Roth in the first two seasons , and by Michael Binkow in the third and final season . After Rubino 's promotion to co-executive producer , the syndicated version 's later supervising producers included Sirop ( 2004 -- 09 ) , Geena Gintzig ( 2009 -- 10 ) , Brent Burnette ( 2010 -- 12 ) , Geoff Rosen ( 2012 -- 14 ) , and Liz Harris ( 2014 -- 16 ) , who currently serves as the co-executive producer .   The original network version of Millionaire was directed by Mark Gentile , who later served as the syndicated version 's consulting producer for its first two seasons and as the director of Duel , which ran on ABC from December 2007 to July 2008 . The syndicated version was directed by Matthew Cohen from 2002 to 2010 , by Rob George from 2010 to 2013 , and by Brian McAloon in the 2013 -- 14 season . Former Price Is Right director Rich DiPirro became Millionaire 's director in 2014 .   Production ( edit )   The U.S. version of Millionaire is a co-production of 2waytraffic , a division of Sony Pictures Entertainment , and Valleycrest Productions , a division of The Walt Disney Company . 2waytraffic purchased Millionaire 's original production company Celador in 2008 , while Valleycrest has produced the series since its beginning , and holds the copyright on all U.S. Millionaire episodes to date . The show is distributed by Valleycrest 's corporate sibling Disney - ABC Home Entertainment &amp; Television Distribution ( previously known as Buena Vista Television ) .   The U.S. Millionaire was taped at ABC 's Television Center East studio on the Upper West Side of Manhattan in New York from 1999 to 2012 . Tapings were moved to NEP Broadcasting 's Metropolis Studios in East Harlem in 2013 , and production moved to studios located in Stamford , Connecticut the following year . For the 2016 -- 17 season , production relocated to Bally 's Hotel and Casino in Las Vegas , Nevada . Episodes of the syndicated version are produced from June to December . The show originally taped four episodes in a single day , but that number has since been changed to five .   Origins ( edit )   When the U.S. version of Millionaire was first conceived in 1998 , Michael Davies was a young television producer who was serving as the head of ABC 's little - noticed reality programming division ( at a time when reality television had not yet become a phenomenon in America ) . At that time , ABC was lingering in third place in the ratings indexes among U.S. broadcast networks , and was on the verge of losing its status as one of the `` Big Three '' networks . Meanwhile , the popularity of game shows was at an all - time low , and with the exception of The Price Is Right , the genre was absent from networks ' daytime lineups at that point . Having earlier created Debt for Lifetime Television and participated with Al Burton and Donnie Brainard in the creation of Win Ben Stein 's Money for Comedy Central , Davies decided to create a primetime game show that would save the network from collapse and revive interest in game shows .   Davies originally considered reviving CBS 's long - lost quiz show The $64,000 Question for a new era , with a new home on ABC . However , this effort 's development was limited as when the producer heard that the British Millionaire was about to make its debut , he got his friends and family members in the UK to record the show , and subsequently ended up receiving about eight FedEx packages from different family members , each containing a copy of Millionaire 's first episode . Davies was so captivated by everything that he had seen and heard , from host Chris Tarrant 's intimate involvement with the contestant to the show 's lighting system and music tracks , that he chose to abandon his work on the $64,000 Question revival in favor of introducing Millionaire to American airwaves , convinced that it would become extraordinarily popular .   When Davies presented his ideas for the U.S. Millionaire to ABC , the network 's executives initially rejected them , so he resigned his position there and became an independent producer . Determined to bring his idea for the show to fruition , Davies decided that he was betting his whole career on Millionaire 's production , and the first move that he made was planning to attach a celebrity host to the show . Along with Philbin , a number of other popular television personalities were considered for hosting positions on the U.S. Millionaire during its development , including Peter Jennings , Bob Costas , Phil Donahue , and Montel Williams , but among those considered , it was Philbin who wanted the job the most , and when he saw an episode of the British Millionaire and was blown away by his content , Davies and his team ultimately settled on having him host the American show . When Davies approached ABC again after having hired Philbin , the network finally agreed to accept the U.S. Millionaire . With production now ready to begin , the team had only five months to finish developing the show and get it launched , with Davies demanding perfection in every element of Millionaire 's production .   Audition process ( edit )   With few exceptions , any legal resident of the United States who is 18 years of age or older has the potential of becoming a contestant through Millionaire 's audition process . Those ineligible include employees , immediate family or household members , and close acquaintances of SPE , Disney , or any of their respective affiliates or subsidiaries ; television stations that broadcast the syndicated version ; or any advertising agency or other firm or entity engaged in the production , administration , or judging of the show . Also ineligible are current candidates for political office and individuals who have appeared on a different game show outside of cable that has been broadcast within the past year , is intended to be broadcast within the next year , or played the main game on any of the U.S. versions of Millionaire itself .   Potential contestants of the original primetime version had to compete in a telephone contest which had them dial a toll - free number and answer three questions by putting objects or events in order . Callers had ten seconds to enter the order on a keypad , with any incorrect answer ending the game / call . The 10,000 to 20,000 candidates who answered all three questions correctly were selected into a random drawing in which approximately 300 contestants competed for ten spots on the show using the same phone quiz method . Accommodations for contestants outside the New York City area included round trip airfare ( or other transportation ) and hotel accommodations .   The syndicated version 's potential contestants , depending on tryouts , are required to pass an electronically scored test comprising a set of thirty questions which must be answered within a 10 - minute time limit . Contestants who fail the test are eliminated , while those who pass are interviewed for an audition by the production staff , and those who impress the staff the most are then notified by postal mail that they have been placed into a pool for possible selection as contestants . At the producers ' discretion , contestants from said pool are selected to appear on actual episodes of the syndicated program ; these contestants are given a phone call from staff and asked to confirm the information on their initial application form and verify that they meet all eligibility requirements . Afterwards , they are given a date to travel to the show 's taping facilities to participate in a scheduled episode of the show . Unlike its ABC counterpart , the syndicated version does not offer transportation or hotel accommodations to contestants at the production company 's expense ; that version 's contestants are instead required to provide transportation and accommodations of their own .   The syndicated Millionaire also conducts open casting calls in various locations across the United States to search for potential contestants . These are held in late spring or early summer , with all dates and locations posted on the show 's official website . The producers make no guarantee on how many applicants will be tested at each particular venue ; however , the show will not test any more than 2,500 individuals per audition day .   In cases when the show features themed episodes with two people playing as a team , auditions for these episodes ' contestants are announced on the show 's website . Both members of the team must pass the written test and the audition interview successfully in order to be considered for selection . If only one member of the team passes , he or she is placed into the contestant pool alone and must continue the audition process as an individual in order to proceed .   Music ( edit )   Originally , the U.S. Millionaire carried over the musical score from the British version , composed by father - and - son duo Keith and Matthew Strachan . Unlike older game show musical scores , Millionaire 's musical score was created to feature music playing almost throughout the entire show . The Strachans ' main Millionaire theme song took some inspiration from the `` Mars '' movement of Gustav Holst 's The Planets , and their question cues from the $2,000 to the $32,000 / $25,000 level , and then from the $64,000 / $50,000 level onwards , took the pitch up a semitone for each subsequent question , in order to increase tension as the contestant progressed through the game . On GSN 's Gameshow Hall of Fame special , the narrator described the Strachan tracks as `` mimicking the sound of a beating heart , '' and stated that as the contestant worked their way up the money ladder , the music was `` perfectly in tune with their ever - increasing pulse . ''   The original Millionaire musical score holds the distinction of being the only game show soundtrack to be acknowledged by the American Society of Composers , Authors and Publishers , as the Strachans were honored with numerous ASCAP </t>
  </si>
  <si>
    <t xml:space="preserve">any million dollar winners on who wants to be a millionaire</t>
  </si>
  <si>
    <t xml:space="preserve"> Over the course of the programs history , 12 people have answered the final question correctly and walked away with the top prize . These include : </t>
  </si>
  <si>
    <r>
      <rPr>
        <sz val="11"/>
        <color rgb="FF000000"/>
        <rFont val="Calibri"/>
        <family val="0"/>
        <charset val="1"/>
      </rPr>
      <t xml:space="preserve">IW engine - wikipedia  IW engine     IW engine   The lighting , shadow , and texture streaming of the engine can be seen in this screenshot , taken from the multiplayer mode of Call of Duty : Modern Warfare 2 .     Developer ( s )   Infinity Ward , Treyarch , Sledgehammer Games     Initial release   October 2005 ; 13 years ago ( 2005 - 10 )     Written in   C , C++ , Python     Platform   Microsoft Windows , OS X , PlayStation 4 , PlayStation 3 , Xbox One , Xbox 360 , Wii U , Wii     Type   Game engine     License   Proprietary     The IW engine is a game engine developed by Infinity Ward , Treyarch , and Sledgehammer Games for the Call of Duty series . The engine was originally based on id Tech 3 as its core , since the engine itself is proprietary with inclusion of GtkRadiant by id Software . It has been used by Infinity Ward , Treyarch , Raven Software and Sledgehammer Games .   Contents    1 History   1.1 From IW 2.0 to IW 3.0   1.2 IW 4.0 - IW 5.0   1.3 Next Gen IW     2 Games using IW engine   3 References    History ( edit )   From IW 2.0 to IW 3.0 ( edit )   The engine has been distinct from the id Tech 3 engine on which it is based since Call of Duty 2 in 2005 . The engine 's name was not publicized until IGN was told at the E3 2009 by the studio that Call of Duty : Modern Warfare 2 would run on the `` IW 4.0 engine '' . Development of the engine and the Call of Duty games has resulted in inclusion of advanced graphical features while maintaining an average of 60 frames per second on the consoles and PC .   Call of Duty 4 : Modern Warfare was released using version 3.0 of the engine . This game included features such as bullet penetration , improved AI , lighting engine upgrades , particle system enhancements and many more improvements . Treyarch began using an enhanced version of the IW 3.0 engine for Call of Duty : World at War . Improvements were made to the physics model and dismemberment was added . Environments also featured more destructibility and could be set alight using the flamethrower . The flamethrower featured propagating fire and it was able to burn skin and clothes realistically . Treyarch modified the engine for their James Bond title , 007 : Quantum of Solace .   IW 4.0 - IW 5.0 ( edit )   Call of Duty : Modern Warfare 2 was released using the IW 4.0 engine , the only game to do so . The IW 4.0 engine featured texture streaming technology to create much higher environmental detail without sacrificing performance . Call of Duty : Black Ops was not based on IW 4.0 ; rather , Treyarch further enhanced the version of IW 3.0 they had used in their previous game . This version of the engine also featured streaming technology , lighting enhancements , and support for 3D imaging . Call of Duty : Modern Warfare 3 utilizes an improved version of the IW 4.0 engine . Improvements on the engine allow better streaming technology which allows larger regions for the game while running at a minimum of 60 frames per second . Further improvements to the audio and lighting engines have been made in this version .   Call of Duty : Black Ops II was developed using a further iteration of the IW engine . Texture blending has been improved due to a new technology called `` reveal mapping '' which compares tones between two textures and then blends them together . Also , there have been upgrades to the lighting engine which include HDR lighting , bounce lighting , self - shadowing , intersecting shadows and various other improvements . Call of Duty : Black Ops II takes advantage of DirectX 11 video cards on the Windows version of the game . The `` zombie '' mode has been moved to the multiplayer portion of the engine which will allow for much more variety within this part of the game . Black Ops II was released on November 13 , 2012 .   Next gen IW ( edit )   Call of Duty : Ghosts features an upgraded version of the IW 5.0 seen in Call of Duty : Modern Warfare 3 . It is unknown at this time whether or not any engine features have been taken from Call of Duty : Black Ops II . Since the main developer is Infinity Ward they have returned to their original engine naming system and called this iteration IW6 . IW6 is compatible with next - gen systems such as Xbox One and PlayStation 4 so polygon counts , texture detail and overall graphical fidelity has been increased . IW6 is also compatible with Microsoft Windows , Wii U , PS3 and Xbox 360 . The IW6 engine features technology from Pixar , SubD , which increases the level of detail of models as one gets closer to them . Mark Rubin has said about the HDR lighting `` We used to paint it in and cover up the cracks , but now it 's all real - time '' . Ghosts uses Iris Adjust tech which allows the player to experience from a person 's point of view how their eyes would react to changes in lighting conditions realistically . Other features include new animation systems , fluid dynamics , interactive smoke , displacement mapping and dynamic multiplayer maps . Ghosts was released on November 5 , 2013 . Call of Duty : Advanced Warfare features an unknown version of the IW engine , as the majority of it has been re-written . Advanced Warfare features a new audio engine built from the ground up . Developer Sledgehammer said they have incorporated brand new animation , physics , rendering , lighting , motion capture and facial animation systems .   Call of Duty : Infinite Warfare 's IW 7.0 features weightlessness system , game physics improvement , improved AI and improved non-player characters behaviors .   Games using IW engine ( edit )     Title   Version   Year   Upgraded from   Features     Call of Duty 2   IW 2.0   2005   Modified version of id Tech 3 from Call of Duty     Normal mapping   Light bloom   Heat haze   Unified shadowing system   Game console support .       Call of Duty 4 : Modern Warfare   IW 3.0   2007   Call of Duty 2 's IW 2.0 engine     Bullet penetration   Improved AI   Lighting engine upgrades   Particle system enhancements   Ragdoll physics integrated into character death animations .   Self - shadow every frame       Call of Duty : World at War   IW 3.0   2008   Call of Duty 4 : Modern Warfare 's IW 3.0 engine     Audio occlusion   Improved physics   Ragdoll physics after death animations   Dismemberment   More destructible environments   Realistic burning of skin and clothing   Propagating fire       007 : Quantum of Solace   IW 3.0   2008   Call of Duty 4 : Modern Warfare 's IW 3.0 engine     Cover system       Call of Duty : Modern Warfare 2   IW 4.0   2009   Call of Duty 4 : Modern Warfare 's IW 3.0 engine     Texture streaming technology   Improved AI       Call of Duty : Black Ops   IW 3.0     Call of Duty : World at War 's IW 3.0 engine     Texture streaming technology   Stereoscopic 3D support   Deferred lighting       Call of Duty : Modern Warfare 3   IW 5.0 ( MW3 engine )   2011   Call of Duty : Modern Warfare 2 's IW 4.0 engine     Improvements to texture streaming technology to allow for larger regions   Lighting engine enhancements to show reflections of some objects on tile floors   Improvements to the audio engine       Call of Duty : Black Ops II   Black Ops II engine   2012   Call of Duty : Black Ops 's IW 3.0 engine heavily modified     Reveal mapping ( improved texture blending )   Improved water effects   Improved lighting effects   Lens flare effects   HDR lighting   Bounce lighting   Self - shadowing   Intersecting shadows   DirectX 11 for Windows version   Improvements to the audio engine       Call of Duty : Ghosts   IW 6.0 Next Gen   2013   Call of Duty : Modern Warfare 3 's MW3 engine updated ( IW 5.0 )     Pixar 's SubD ( models sub-divide the closer the player gets to them )   New animation systems for movement ( sliding , leaning etc . )   Fluid dynamics   Interactive smoke   Improved AI   Dynamic multiplayer maps   Displacement mapping   True real - time HDR lighting   Iris Adjust tech   Graphics Tessellation for Windows , PlayStation 4 and Xbox One   PhysX support for Windows version   Specular mapping on particle effects   Using Umbra 's advanced rendering technology       Call of Duty : Black Ops III   Black Ops III engine   2015   Call of Duty : Black Ops II 's Black Ops II engine updated     Renderer   Animation systems   Lighting   Dynamic water simulation system       Call of Duty : Infinite Warfare   IW 7.0 Next Gen   2016   Call of Duty : Ghosts ' heavily modified engine ( IW 6.0 Next Gen )     Physically - based rendering   Lightning   Zero - gravity simulation system   Physics improvement   Improved AI   Improved NPC behaviors   Streaming level transition improvement   New performance capture stage       References ( edit )    Jump up ^ Stead , Chris ( July 15 , 2009 ) . `` The 10 Best Game Engines of This Generation '' . IGN . Retrieved May 24 , 2010 .   Jump up ^ `` E3 2010 : First Details Interview Part 2 HD '' . GameTrailers . May 28 , 2010 . Retrieved May 28 , 2010 .   Jump up ^ Ross Miller ( May 9 , 2008 ) . `` New Bond game Quantum of Solace runs on COD4 engine , launching with movie '' . Joystiq . Retrieved May 10 , 2008 .   Jump up ^ Lamia , Mark ( May 12 , 2014 ) . `` Black Ops 2 : New engine is n't necessary - Treyarch '' . computerandvideogames.com . Retrieved May 14 , 2012 .   Jump up ^ Amrich , Dan ( May 1 , 2012 ) . `` What I Know About Call of Duty : Black Ops II '' . One of Swords . Archived from the original on May 4 , 2012 . Retrieved May 3 , 2012 .   ^ Jump up to : Dave Tach . `` Infinity Ward , Call of Duty : Ghosts and the nameless game engine that powers a first - person shooter phenomenon '' . Polygon . Retrieved Jun 12 , 2013 .   ^ Jump up to : `` Call of Duty : Ghosts exclusive first look '' . T3 . Retrieved May 31 , 2013 .   Jump up ^ Makuch , Eddie ( June 5 , 2014 ) . `` Call of Duty : Advanced Warfare Uses Version of `` Avatar 2 '' Facial Animation System `` . GameSpot . Retrieved June 28 , 2014 .   Jump up ^ Ross Miller . `` New Bond game Quantum of Solace runs on COD4 engine , launching with movie '' . Joystiq . Retrieved May 9 , 2008 .   Jump up ^ Matt Peckham . `` Call of Duty : Black Ops Review Roundup '' . PC World . Retrieved Nov 9 , 2010 .   Jump up ^ `` Deferred rendering vs forward rendering '' . Archived from the original on July 26 , 2014 .   Jump up ^ Marcus Yam . `` Call of Duty : Modern Warfare 3 Engine Focused on Gameplay '' . Tom 's Hardware US . Retrieved Sep 6 , 2011 .   Jump up ^ Bowling , Robert ( June 10 , 2011 ) . `` IAm Robert Bowling , Creative Strategist on Modern Warfare 3 AMA '' . reddit . Retrieved May 4 , 2012 .   Jump up ^ Dan . `` Mark Lamia discusses the Black Ops II engine '' . One of Swords . Archived from the original on March 12 , 2013 . Retrieved May 14 , 2012 .   Jump up ^ Perry Vandell . `` Call of Duty : Ghosts engine is n't brand new , but upgraded '' . PC Gamer . Retrieved May 31 , 2013 .   Jump up ^ `` pcdev on Twitter : @ treboruk92 Heavily modified from BO2 including completely new renderer '' . Retrieved May 6 , 2015 .   Jump up ^ `` Engineer 's Roundtable '' . Treyarch . May 23 , 2016 . Retrieved December 22 , 2017 .   Jump up ^ `` Call of Duty : Infinite Warfare '' . Call of Duty Wiki . Retrieved 2016 - 12 - 28 .   Jump up ^ `` Call of Duty Infinite Warfare : Performance Analysis '' . TechPowerUp . Retrieved 2016 - 12 - 28 .   Jump up ^ `` Call of Duty Infinite Warfare Wo n't Use A New Engine , But Will Feature Improvements `` GamingBolt.com : Video Game News , Reviews , Previews and Blog '' . gamingbolt.com . Retrieved 2016 - 12 - 28 .     2000s portal   Computer graphics portal   Information technology portal   Video games portal              Call of Duty     Games      World War II     Call of Duty   United Offensive         WWII       Modern Warfare     4 : Modern Warfare   Nintendo DS version   Remastered     Modern Warfare 2   Mobilized   Controversies   `` No Russian ''     Modern Warfare 3   Downloadable content   Defiance         Black Ops     World at War   Nintendo DS version   Final Fronts   Zombies     Black Ops   Zombies     Black Ops II   Declassified   Strike Team     Black Ops III   Black Ops 4       Other games     Finest Hour   Big Red One   Roads to Victory   Ghosts   Advanced Warfare   Heroes   Infinite Warfare          Media     Modern Warfare 2 : Ghost   Find Makarov : Operation Kingfish   `` Not Ready to Die ''   `` Nightmare ''   `` Carry On ''   `` Shepherd of Fire ''   `` Survival ''       Main developers     Infinity Ward   Sledgehammer Games   Treyarch   Raven Software       Related articles     Championship   Elite   Experience 2011   Experience 2016   Captain Price   id Tech 3   IW engine   Soap MacTavish   World League         Book                   Game engines ( list )       Source port   First - person shooter engine   list     Game engine recreation   list     Game creation system   List of visual novel engines       Free and open - source      2D     Adventure Game Studio   Beats of Rage   Cocos2d   Moai   OHRRPGCE   OpenFL   ORX   Pygame   Ren'Py   Stratagus   Thousand Parsec   Vassal   Xconq       2.5 D     Doom engine       3D     Away3D   Bork3D   Blender Game   Cafu   Crystal Space   Delta3D   Dim3   GamePlay   GLScene   Horde3D   Irrlicht   id Tech   Quake   Quake II         JMonkey   OGRE   Open Wonderland   Panda3D   Papervision3D   Platinum Arts Sandbox   Plasma   PlayCanvas   PLIB   Torque   Xenko       Mix     Allegro   Godot   libGDX   Lightweight Java Game Library   Spring   Wintermute Engine          Proprietary      2D     Construct   Corona   GameMaker Studio   GameSalad   M.U.G.E.N   RPG Maker   Southpaw   Stencyl   UbiArt Framework   Vicious   Virtual Theatre   V - Play   Zillions of Games       3D     4A   Amazon Lumberyard   AnvilNext   C4   Chrome   Creation   CryEngine   Crystal Tools   Decima   Diesel   EGO   Elflight   Essence   Fox   Frostbite   HeroEngine   id Tech     6   7     Ignite   IW   LithTech   Luminous Studio   LyN   MT Framework   Panta Rhei   PhyreEngine   REDengine   RAGE   Shark 3D   ShiVa   Snowdrop   Source   Unigine   Unreal       Mix     Gamebryo   Unity          Historical     Bitsquid   Build   Dark   Enigma   Flare3D   Game - Maker   GameMaker   Garry Kitchen 's GameMaker   Genesis3D   Genie   GoldSrc   Filmation   Freescape   INSANE   Jade   Jedi   Marmalade   MADE   Pie in the Sky   Q   Reality Lab   RenderWare   Refractor   Riot   SAGE   SCUMM   Silent Storm   Sim RPG Maker   Sith   Titan   Truevision3D   Vision   Visual3D   Voxel Space   XnGine   Zero       Proprietary middleware     Euphoria   Gameware   GameWorks   Havok   iMUSE   Kynapse   SpeedTree   FaceGen      Retrieved from `` https://en.wikipedia.org/w/index.php?title=IW_engine&amp;oldid=848955243 '' Categories :   2005 software   3D graphics software   Activision   Proprietary software   Video game engines   Hidden categories :   Use mdy dates from May 2016   Pages using Infobox software with unknown parameters           Talk                                           Contents                   About Wikipedia                                             Dansk   Español   فارسی   Français   </t>
    </r>
    <r>
      <rPr>
        <sz val="11"/>
        <color rgb="FF000000"/>
        <rFont val="Noto Sans CJK SC"/>
        <family val="2"/>
      </rPr>
      <t xml:space="preserve">한국어   </t>
    </r>
    <r>
      <rPr>
        <sz val="11"/>
        <color rgb="FF000000"/>
        <rFont val="Calibri"/>
        <family val="0"/>
        <charset val="1"/>
      </rPr>
      <t xml:space="preserve">Bahasa Indonesia   Italiano   ქართული   Lietuvių   Македонски   Polski   Português   Русский   Türkçe   Українська   </t>
    </r>
    <r>
      <rPr>
        <sz val="11"/>
        <color rgb="FF000000"/>
        <rFont val="Noto Sans CJK SC"/>
        <family val="2"/>
      </rPr>
      <t xml:space="preserve">中文  </t>
    </r>
    <r>
      <rPr>
        <sz val="11"/>
        <color rgb="FF000000"/>
        <rFont val="Calibri"/>
        <family val="0"/>
        <charset val="1"/>
      </rPr>
      <t xml:space="preserve">8 more  Edit links   This page was last edited on 5 July 2018 , at 13 : 42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</si>
  <si>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engine does call of duty run on</t>
  </si>
  <si>
    <t xml:space="preserve"> The IW engine is a game engine developed by Infinity Ward , Treyarch , and Sledgehammer Games for the Call of Duty series . The engine was originally based on id Tech 3 as its core , since the engine itself is proprietary with inclusion of GtkRadiant by id Software . It has been used by Infinity Ward , Treyarch , Raven Software and Sledgehammer Games . </t>
  </si>
  <si>
    <t xml:space="preserve">List of K.C. Undercover episodes - Wikipedia  List of K.C. Undercover episodes  Jump to : navigation , search  K.C. Undercover is an American sitcom created by Corinne Marshall that premiered on Disney Channel on January 18 , 2015 . The series stars Zendaya , Veronica Dunne , Kamil McFadden , Trinitee Stokes , Tammy Townsend , and Kadeem Hardison .     Contents  ( hide )   1 Series overview   2 Episodes   2.1 Season 1 ( 2015 -- 16 )   2.2 Season 2 ( 2016 -- 17 )   2.3 Season 3 ( 2017 )     3 References   4 External links      Series overview ( edit )     Season   Episodes   Originally aired     First aired   Last aired         27   January 18 , 2015 ( 2015 - 01 - 18 )   January 24 , 2016 ( 2016 - 01 - 24 )         24   March 6 , 2016 ( 2016 - 03 - 06 )   January 13 , 2017 ( 2017 - 01 - 13 )         TBA   July 7 , 2017 ( 2017 - 07 - 07 )   TBA     Episodes ( edit )   Season 1 ( 2015 -- 16 ) ( edit )     No . overall   No. in season   Title   Directed by   Written by   Original air date   Prod . code   U.S. viewers ( millions )         `` Pilot ''   Jon Rosenbaum   Story by : Corinne Marshall Teleplay by : Rob Lotterstein and Corinne Marshall   January 18 , 2015 ( 2015 - 01 - 18 )   101   3.51      Guest stars : Trevor Jackson as Lincoln , Tony Cavalero as Wally , Ashley Fink as Reena , Ashlee Fuss as Juli  Absent : Trinitee Stokes as Judy Cooper         `` My Sister from Another Mother ... Board ''   Jon Rosenbaum   Rob Lotterstein   January 25 , 2015 ( 2015 - 01 - 25 )   102   3.05      K.C. tries to tell her parents that Ernie is ready to be a spy , even though he is clumsy . They then introduce them to Judy , who is a robot disguised to be a 10 year old , and tell Ernie that K.C and their parents are spies . K.C. takes Ernie on a mission and does not tell Craig or Kira to prove to them that Ernie is ready to be a spy . He crashes a van into the museum because he was parked in a loading zone and the police told him to move it , but he did not know how to drive . At the end , he becomes a spy after he reroutes the GPS of the person K.C. could not stop on the mission to their home .  Guest star : Rick Hall as Agent         `` Give Me a `` K '' ! Give Me a `` C '' ! ''   Jon Rosenbaum   Rob Lotterstein   February 8 , 2015 ( 2015 - 02 - 08 )   103   2.22     Guest stars : Mckenna Grace as Quinn , Leah Bateman as Alina         `` Off the Grid ''   Jon Rosenbaum   Darin Henry   February 15 , 2015 ( 2015 - 02 - 15 )   106   2.76      Guest stars : Charlie Robinson as Pops , Roz Ryan as Grandma , Diane Delano as Honey , Tony Cavalero as Wally  Absent : Trinitee Stokes as Judy Cooper     5   5   `` Photo Bombed ''   Jon Rosenbaum   Rob Lotterstein   March 1 , 2015 ( 2015 - 03 - 01 )   104   2.60          This episode needs an improved plot summary . ( June 2016 )    Marisa becomes a finalist for a contest to get a photo featured in magazines and billboards , but her photo is of K.C. After Craig tells K.C. that she should n't let Marisa enter the contest with a photo of her , K.C. tries to stop Marisa from entering the contest with a picture of her , which caused a row between them . Then Marisa takes a stand and says they should n't be friends anymore . In the end , K.C. tells Marisa that she is a spy for a secret organization that works against The Other Side . Meanwhile , Craig and Ernie make Judy do all of the chores Kira gave them .     6   6   `` How K.C. Got Her Swag Back ''   Jon Rosenbaum   Jenn Lloyd &amp; Kevin Bonani   March 8 , 2015 ( 2015 - 03 - 08 )   108   2.39      On messing up a mission and getting her mom in almost close danger , Kacie loses her swag and is not her normal self . She was offended when a boy said she plays like a girl and decided she would teach him how to play . As an excellent basketball player , she defeated him and was delighted to find that she got her swag back .   Guest star : Shainu Bala as Mikal  Absent : Trinitee Stokes as Judy Cooper , Kadeem Hardison as Craig Cooper     7   7   `` Daddy 's Little Princess ''   Jon Rosenbaum   Teri Schaffer &amp; Raynelle Swilling   March 29 , 2015 ( 2015 - 03 - 29 )   107   1.97      Guest stars : Tom Williamson as Prince Promomomo , Erron Jay as Olu  Absent : Trinitee Stokes as Judy Cooper , Tammy Townsend as Kira Cooper     8   8   `` Assignment : Get That Assignment ''   Kadeem Hardison   Rob Lotterstein   April 6 , 2015 ( 2015 - 04 - 06 )   118   1.54      Marisa turns in a paper report based on one of K.C. 's recent missions , not realizing that it could blow K.C. 's cover as a spy . K.C. and Marisa then try to get the paper back from her teacher , Mr. Forman . K.C. , disguised as a substitute teacher , goes into the teacher lounge , but is unsuccessful in retrieving the paper . Agent Beverly keeps calling K.C. to ask for the report and later disables her spy equipment until K.C. gives her the report . Meanwhile , Judy 's robotic friend Trudy visits , but they get into a fight over who is a better robot .   Guest stars : Sherri Shepherd as Beverly , James DiGiacomo as Petey , David Shatraw as Mr. Forman , Madison Horcher as Trudy , Jaime Moyer as Mrs. Goldfeder  Absent : Tammy Townsend as Kira Cooper , Kadeem Hardison as Craig Cooper     9   9   `` Spy - anoia Will Destroy Ya ''   Rich Correll   Eileen Conn   April 19 , 2015 ( 2015 - 04 - 19 )   105   2.58      K.C. gets mad when her English teacher gives her a B and she thinks he is a undercover spy . It turns out that K.C. is just being paranoid . Meanwhile , Ernie finally has a girlfriend , whose name is Jolie , but when he brings her home , K.C. thinks she is an undercover spy as well . After attempting to prove it , and failing , K.C. eventually accidentally splashes some ketchup on Jolie 's shirt which causes her to lose concentration and speak Russian . Realizing she was right all along , K.C. tricks Jolie into following her to school by pretending she has hidden spy documents in her locker and is going to retrieve them . K.C. finally gets Jolie to admit she 's a Russian spy , there to obtain K.C. 's family weaknesses . After defeating her in a fight , K.C. gets Jolie to break up with Ernie . K.C also obtains a pair of earrings that are actually spy gadgets from Jolie .   Special guest star : Bella Thorne as Jolie   Guest star : Kurt Scholler as Mr. Enright  Absent : Trinitee Stokes as Judy Cooper     10   10   `` Double Crossed Part 1 ''   Joel Zwick Jody Margolin Hahn   Cat Davis &amp; Eddie Quintana Eileen Conn   May 29 , 2015 ( 2015 - 05 - 29 )   109 -- 110   2.40      K.C. has to go on an undercover mission with the Junior Spy of the Year Brett Willis . They must pretend to be a couple , though K.C. initially dislikes him . K.C. becomes jealous when Brett begins dating Marisa , who is aware that he is a spy . Later , Marisa ends their relationship . K.C. and Brett develop feelings for each other after they go undercover for a dancing competition . Craig and Kira 's 20th anniversary is coming and Kira is upset that Craig does not want a big party to celebrate . Kira receives flowers from Zane , Craig 's ex-partner , who became a double agent prior to K.C. 's birth due to jealousy that Kira did not like him . Craig allowed Zane to escape in exchange for his life . In a note to Kira , Zane informs the Coopers that he is planning revenge against them . Later , Brett tells the family that Zane is imprisoned and that he had sent the flowers and note from a computer at the prison . Brett then calls his father , Zane , to inform him that the Coopers believed his false story regarding Zane 's imprisonment .  Guest star : Ross Butler as Brett Willis     11   11   `` Double Crossed Part 2 ''   Jon Rosenbaum   Rob Lotterstein   May 30 , 2015 ( 2015 - 05 - 30 )   111   1.82      K.C. starts hanging out with Brett more often , but Kira is suspicious of him . Craig thinks she is being paranoid . Brett convinces K.C. to go with him to a Beyoncé concert out of state , but he tricks K.C. and actually takes her to Zane 's barn , where she is then tied up . Zane has created a look - alike K.C. through laser cosmetic surgery . He sends the look - alike to the Cooper household to pose as the real K.C. Meanwhile , Judy becomes obsessed with a character in Ernie 's video game .  Guest stars : Ross Butler as Brett Willis , Francois Chau as Zane     12   12   `` Double Crossed Part 3 ''   Jon Rosenbaum   Darin Henry   May 31 , 2015 ( 2015 - 05 - 31 )   112   3.02      K.C. is captured by Zane and nobody knows because he created a K.C. look - alike whose name is Bernice , but Marisa is starting to realize K.C. is not the real K.C when she agrees to go to a party with Marissa . Then the K.C. look - alike locks Marisa in the barn with K.C. after Marisa realizes that the K.C. look - alike does not know that Marisa knows that K.C is a spy . However , Marisa has K.C. 's lipstick and K.C. breaks their handcuffs . K.C. then goes to the Organization to stop the K.C. look - alike and Brett . After a fight with Brett , K.C knocks him out and tells him that shes ' breaking up with him . Meanwhile , Craig and Kira finally realize the K.C. look - alike is fake and go to the Organization , but have make a decision on who is the real K.C. when the K.C. look - alike arrives . Zane holds Ernie and Judy hostage at the Cooper house , but Craig defeats him while Kira distracts him .  Guest stars : Ross Butler as Brett Willis , Francois Chau as Zane     13   13   `` Stakeout Takeout ''   Jon Rosenbaum   Darin Henry   June 7 , 2015 ( 2015 - 06 - 07 )   117   2.52      When K.C. is planning to go to Miami with Marisa for a vacation , Craig tells K.C. she must go on a stakeout to catch a notorious robber . During a phone call , she learned her dad lied so she could stay and she was never assigned to the case . K.C ends up not talking to Craig . Meanwhile , Ernie is mad at his dad and K.C. because they both think he 's just a computer geek . He goes to El Froyo Loco and sees the notorious robber and calls K.C. for help , but K.C. wants him to take the robber out to give him a chance to `` bake the biscuits '' and prove to his dad that he is more than just the computer guy . After the mission K.C. makes it to the beach . In a side story , Craig keeps getting mad at the takeout restaurant guy who tries to overcharge him for food he did n't want or order   Guest stars : Sherri Shepherd as Beverly , Paras Patel as Delivery Guy , Daniel David Stewart as Stanley  Absent : Trinitee Stokes as Judy Cooper , Tammy Townsend as Kira Cooper     14   14   `` The Neighborhood Watchdogs ''   Jon Rosenbaum   Darin Henry   June 14 , 2015 ( 2015 - 06 - 14 )   122   1.95      Mrs. Goldfeder 's house has been robbed , so K.C. volunteers her dad to be the neighborhood watchdogs leader . However , he does n't think it 's a good idea . K.C. then tries to sneak around and be the leader , but Craig finds out and yells at K.C. The burglar goes to Mrs. Goldfeder 's house and K.C. finds out it 's her dad . K.C. and Craig mistake a person who 's taking out the garbage for a burglar . Craig lets his teammate , Herb , use the bathroom in the Cooper house only to discover he 's the one who 's stealing everything . K.C. and Craig apologize to each other . Meanwhile , Judy is trying to get away from her friend at school who likes her and brings in her other friend Petey to pretend they 're dating , though Petey really thinks she likes him . Both of them go to El Froyo Loco and Pentatonix tries to help Judy tell Petey that she does n't like him by performing a rendition of Ariana Grande 's `` Problem '' through the credits , but he still does n't believe her .   Guest stars : Pentatonix , James DiGiacomo as Petey , Jaime Moyer as Mrs. Goldfeder , Fred Stoller as Herb , Dat Pham as Slippy  Absent : Tammy Townsend as Kira Cooper     15   15   `` First Friend ''   Jon Rosenbaum   Darin Henry   June 26 , 2015 ( 2015 - 06 - 26 )   125   2.91      K.C. gets a mission at the University of Maryland to go undercover as a college student and protect the daughter of the president of the United States . K.C. ends up befriending Eliza , the president 's daughter even though she ca n't . Marisa becomes jealous and ends up lying about her name when meeting Eliza . However , Eliza finds out who K.C is and refuses to speak to her . Marisa then uses her party - finding skills to find Eliza and tell K.C.K.C goes to the party and helps protect Eliza against kidnappers after she ditches her Secret Service men , repairing their relationship . Meanwhile , Ernie reveals that he is an adventure scout and Judy wants to join .  Guest stars : McKaley Miller as Eliza , James DiGiacomo as Petey , Dat Pham as Slippy     16   16   `` Operation : Other Side , Part 1 ''   Jon Rosenbaum   Eileen Conn   July 12 , 2015 ( 2015 - 07 - 12 )   114   1.99      K.C. and Kira go undercover at a prison facility . K.C. 's disguise is a prisoner and Kira is a correctional officer . Their assignment is to find someone at the prison who is working undercover for a group of bad guys known as The Other Side . K.C. finds out it is Big Ange , a correctional officer , who offers K.C. an opportunity to join The Other Side . Kira tells K.C. that the Organization wants her to accept the offer and continue the undercover mission . K.C. continues her mission without Kira . Meanwhile , Petey keeps bothering Judy .   Guest stars : Cocoa Brown as Big Ange , Vivian Marie Lamolli as Scar , James DiGiacomo as Petey  Absent : Kamil McFadden as Ernie Cooper , Kadeem Hardison as Craig Cooper     17   17   `` Operation : Other Side , Part 2 ''   Kimberly McCullough   Rob Lotterstein   July 19 , 2015 ( 2015 - 07 - 19 )   115   2.17      K.C. enters the Other Side . She calls Craig and learns that her mission is to destroy a dangerous missile and recover a biological agent from the Other Side . When she has to take a hand - to - hand combat class it is revealed that Brett is her instructor . Brett helps her get to the missile and she deactivates the missile . However , the Other Side finds her and a fight ensues . When Victor , the leader of the Other Side , tries to destroy K.C. , Brett comes in and saves her and helps her escape . Judy wants Craig to buy her a dog . Craig says no because he 's more of a cat person . They reach a compromise when Craig buys Judy a robot dog named Snuggles .   Guest stars : Ross Butler as Brett Willis , Lee Reherman as Victor  Absent : Kamil McFadden as Ernie Cooper , Tammy Townsend as Kira Cooper     18   18   `` K.C. and the Vanishing Lady ''   Rich Correll   Cat Davis &amp; Eddie Quintana   July 26 , 2015 ( 2015 - 07 - 26 )   119   2.14      Guest stars : Jonathan Schmock as Lloyd , Natalija Nogulich as Mrs. Vandervoort , Erin Matthews as Mrs. Andrews , Noah Crawford as Gabriel  Absent : Veronica Dunne as Marisa Clark     19   19   `` Debutante Baller ''   Jon Rosenbaum   Raynelle Swilling &amp; Teri Schaffer   August 9 , 2015 ( 2015 - 08 - 09 )   113   2.05      Guest stars : Telma Hopkins as Miss Holley , Reign Edwards as Kitten  Absent : Kadeem Hardison as Craig Cooper     20   20   `` K.C. 's the Man ''   Rosario J. Roveto , Jr .   Teri Schaffer &amp; Raynelle Swilling   August 16 , 2015 ( 2015 - 08 - 16 )   127   1.89     Guest stars : Barrett Carnahan as Spencer , Dante Swain as Aaron , Sully Zack as Lorenzo     21   21   `` Runaway Robot ''   Joel Zwick   Rob Lotterstein   September 7 , 2015 ( 2015 - 09 - 07 )   120 -- 121   2.45      Judy gets upset when she finds out she does not have a birthday . K.C. locates Judy 's creator , Simone , so they can meet each other . K.C. and Judy get into a huge argument . Judy runs away to live with her creator , but since Judy is understanding feelings she gets sad when nobody pays attention to her . Judy runs away again and gets tricked into working for The Other Side . She tries to run away from The Other Side . K.C. and Simone team up and work together to bring Judy home . Meanwhile , Ernie and Marisa find out that they were flirting with each other when they were playing a video game .   Special guest star : Raven - Symoné as Simone   Guest stars : Chris Ellis as Christos , James DiGiacomo as Petey , Mike Lane as Paul  Absent : Kadeem Hardison as Craig Cooper     22   22   `` All Howl 's Eve ''   Jon Rosenbaum   Dava Savel   October 4 , 2015 ( 2015 - 10 - 04 )   123   1.97          This episode needs an improved plot summary . ( June 2016 )    Ernie and Judy 's mission to intercept an evil wolf serum at the Central Park Spooktacular goes a little off - track when they meet Emma Ross and Zuri Ross from Jessie . Back home , K.C. and Marisa throw a Halloween shindig of their own , with K.C. deciding to dress up as a spy in hopes of impressing River , the new boy in school but loses her expensive heart bracelet for communication with the Organization .  Special guest stars : Peyton List as Emma , Skai Jackson as Zuri  Guest stars : Rick Hall as Agent Johnson , James DiGiacomo as Petey , Chris O'Neal as River     23   23   `` The Get Along Vault ''   Phill Lewis   Jenn Lloyd &amp; Kevin Bonani   October 18 , 2015 ( 2015 - 10 - 18 )   126   2.39     Guest star : Jaime Moyer as Mrs. Goldfeder     24   24   `` Enemy of the State ''   Joel Zwick   Eileen Conn   November 8 , 2015 ( 2015 - 11 - 08 )   124   2.06          This episode needs an improved plot summary . ( June 2016 )    Kira is arrested by The Organization , with only 72 hours for K.C. and lawyer Maggie Summer to prove her innocence before she 's handed over to the Chinese Government for destroying a building in Hong Kong . K.C. later finds out that her lawyer is a fraud , turning out to be an ex-cohort of Kira . Meanwhile , Judy is accidentally mailed out of Washington , D.C.  Guest stars : Arden Myrin as Maggie , Patrick Cassidy as Chuck Maddox , Rick Hall as Agent Johnson , Michelle Noh as Real Maggie  Note : Although Veronica Dunne does not appear in the episode as Marisa , she appears out of character alongside Kamil McFadden and Trinitee Stokes in a humorous public service announcement in the post-credits revolving around why you should n't send fellow siblings away in the mail .     25   25   `` ' Twas the Fight Before Christmas ''   Joel Zwick   Jenn Lloyd &amp; Kevin Bonani   December 6 , 2015 ( 2015 - 12 - 06 )   116   1.29      K.C. invites Craig 's father , Earl , over for the holidays , but it is discovered that they have been feuding with each other for quite a while because Earl is disappointed in Craig for not going to medical school and continuously brings up how he quit and gave up on that dream . Marisa later stops by and gives the Cooper family a gingerbread house , saying that her family really loves them ; however , Ernie finds a card and finds out the Marisa lied . Eventually , Craig has enough and kicks Earl out of the house , but Ernie hacks the airport 's computers so Earl can not leave , forcing him and Craig to attempt to make up . Meanwhile , Ernie and Kira go off on a mission , but Kira ends up being captured . After Ernie calls for help and K.C. , Craig , and Earl arrive , Craig orders Earl to remain in the car , but he later gets out and discovers that the Cooper family are spies . Craig and Earl later make up , but that does n't last long after Kira sprays Earl with the memory spray .  Guest star : George Wallace as Pappa Earl     26   26   `` K.C. and Brett : The Final Chapter -- Part 1 ''   David Kendall   Rob Lotterstein   January 17 , 2016 ( 2016 - 01 - 17 )   128   2.50     Guest star : Sherri Shepherd as Beverly     27   27   `` K.C. and Brett : The Final Chapter -- Part 2 ''   Jon Rosenbaum   Rob Lotterstein   January 24 , 2016 ( 2016 - 01 - 24 )   129   2.02      K.C. survives the car incident and both K.C. and Brett think they are safe from Ursula for now but they soon find out that Ursula too survived the car accident . Because The Organization has made it clear that Brett can not come back , the Cooper family is under constant threat of the Organization finding out that they are hiding Brett . K.C. and Ernie both take Brett to a Marissa 's Cabin that borders Canada so that Brett will be safe but then Ursula finds them and attacks them . While Ernie and Marissa safely evacuate , K.C and Brett try to take down Ursula . They ride away on horses and Ursula finds them and shoots Brett . K.C. injures Ursula and she rides away saying that she 'll be back for her . When K.C. goes to Brett to see if he is dead , Brett reveals that he was wearing a laser proof t - shirt . To be safe , Brett must ride to Canada and risk never seeing K.C. again . In light of recent events , the Coopers are removed from the Organization and Judy is reassigned to another spy family .  Guest star : Sherri Shepherd as Beverly     Season 2 ( 2016 -- 17 ) ( edit )     No . overall   No. in season   Title   Directed by   Written by   Original air date   Prod . code   U.S. viewers ( millions )     28     `` Coopers Reactivated ! ''   Jon Rosenbaum   Rob Lotterstein   March 6 , 2016 ( 2016 - 03 - 06 )   201 -- 202   2.08     Guest stars : Chris Tavarez as Darien , James Logan as Jackal , Rick Hall as Agent Johnson , Jason Downs as Graham , Yetide Badaki as Penelope , Robert Michael Morris as Agent Nelson     29     `` Do You Want to Know a Secret ? ''   Jon Rosenbaum   Rob Lotterstein   March 13 , 2016 ( 2016 - 03 - 13 )   203   2.14     Guest stars : Chris Tavarez as Darien , Kara Royster as Abby     30     `` Rebel with a Cuz ''   Robbie Countryman   Eileen Conn   March 20 , 2016 ( 2016 - 03 - 20 )   204   1.84      Guest stars : Chris Tavarez as Darien , Kara Royster as Abby , Rick Hall as Agent Johnson  Absent : Kadeem Hardison as Craig Cooper     31     `` The Mother of All Missions ''   Joel Zwick   Darin Henry   April 10 , 2016 ( 2016 - 04 - 10 )   205   2.03      Special guest star : Jasmine Guy as Erica   Guest stars : Kara Royster as Abby , Rick Hall as Agent Johnson , Tyler Poelle as Agent Gibb  Absent : Trinitee Stokes as Judy Cooper     32   5   `` Accidents Will Happen ''   Alfonso Ribeiro   Jenn Lloyd &amp; Kevin Bonani   April 17 , 2016 ( 2016 - 04 - 17 )   206   1.90      Special guest star : Jasmine Guy as Erica  Guest stars : Rick Fox as Richard , Kara Royster as Abby , Chris Tavarez as Darien , Rick Hall as Agent Johnson , Robert Gant as Jackson , Ethan Wacker as Collin     33   6   `` Brainwashed ''   Joel Zwick   Rob Lotterstein   April 24 , 2016 ( 2016 - 04 - 24 )   207   1.82          This episode needs an improved plot summary . ( June 2016 )    Erica and Abby force K.C. and Kira to sneak them past hotel security . Abby reveals the truth about her father . And K.C. now knows who the head of the other side is , yet she has no idea of a name or a face . In the end , men from the organization have him cornered but Abby 's father says it is not him , the organization believes him and he escapes with Erica and Abby .  Special guest star : Jasmine Guy as Erica   Guest stars : Rick Fox as Richard , Kara Royster as Abby , Rick Hall as Agent Johnson , Robert Gant as Jackson , Ethan Wacker as Collin  Absent : Veronica Dunne as Marisa Clark , Trinitee Stokes as Judy Cooper     34   7   `` The Truth Hurts ''   Alfonso Ribeiro   Vincent Brown   May 8 , 2016 ( 2016 - 05 - 08 )   208   1.36      Guest stars : James DiGiacomo as Petey , Jaime Moyer as Mrs. Goldfeder , Mike McCafferty as Todd Clint  Absent : Tammy Townsend as Kira Cooper , Kadeem Hardison as Craig Cooper     35   8   `` Down in the Dumps ''   Gil Junger   Cat Davis   May 15 , 2016 ( 2016 - 05 - 15 )   209   1.79      Guest stars : Kevin Csolak as Adam , Nikki Castillo as Akina  Absent : Trinitee Stokes as Judy Cooper , Tammy Townsend as Kira Cooper     36   9   `` Dance Like No One 's Watching ''   Gil Junger   Eddie Quintana   May 22 , 2016 ( 2016 - 05 - 22 )   210   1.12      K.C. is undercover at a retirement home as a man . Her disguise name is Bernie . The target approaches the Senior Centre , speaking to his grandfather . K.C. then goes up to him and tries to hug him , using her own ways to manipulate him . K.C. then goes to meet this woman called Irma and they quickly become friends . They start to do these fun things together , including a coffee and a dance at the Olive Pit , reading magazines together , playing cards . Meanwhile , Judy tries to change Petey 's mind when he says machines are stupid . She does things such as electrocute the fridge when Petey touches it and water being sprayed at him . Petey is spooked when he sees the toaster rise and a machine chasing after him . At night , Judy comes into his bedroom with alarms and machines ringing and moving . Judy gets Petey to repeat machines are n't stupid over and over . He then admits that machines are n't stupid . Also , K.C. and Marisa get into an argument when K.C. ca n't go to the dance to support the Food Bank because she is hanging out with Irma . Eventually , K.C. turns up to the dance .   Guest stars : Florence Henderson as Irma , James DiGiacomo as Petey  Absent : Tammy Townsend as Kira Cooper , Kadeem Hardison as Craig Cooper     37   10   `` The Love Jinx ''   Joel Zwick   Jenn Lloyd &amp; Kevin Bonani   June 19 , 2016 ( 2016 - 06 - 19 )   211   1.46      When an agent from the Other Side is arrested , Craig and Kira discover that he is the man who married them which K.C. then points out that Craig and Kira were never legally married . K.C proceeds to attempt to make them a do - over weeding . Meanwhile , she gives advice to Marissa and Ernie which messes up both of their relationships . Craig and Kira get into an argument which ends with them making up and getting re-married  Guest stars : Charlie Robinson as Pops , Rick Hall as Agent Johnson , Nikki Castillo as Akina     38   11   `` K.C. Levels Up ''   Danny Teeson   Eileen Conn   July 10 , 2016 ( 2016 - 07 - 10 )   212   1.24     Guest stars : Rick Hall as Agent Johnson , James DiGiacomo as Petey , Jaime Moyer as Mrs. Goldfeder , Philip Labes as Jerk     39   12   `` Catch Him If You Can ''   Eileen Conn   Rob Lotterstein   July 17 , 2016 ( 2016 - 07 - 17 )   213   1.31     Guest stars : Samm Levine as Noah , Cozi Zuehlsdorff as Pinky     40   13   `` Sup , Dawg ? ''   Kadeem Hardison   Eileen Conn   July 24 , 2016 ( 2016 - 07 - 24 )   216   1.18      New canine spy Dexter , joins K.C. on her next mission as she tries to stop a ring of firework smugglers . When K.C. and Dexter take a disliking to each other , K.C. is taken off the mission with Ernie taking her spot . Ernie is kidnapped by the smugglers until K.C. and Dexter come to save the day . But when K.C. is fired with a shot , Dexter takes the shot . Dexter survives . Meanwhile , Marisa gives Judy some of her old dolls but is disappointed when Judy throws them in the trash . That causes Marisa and Judy to play with the dolls together .  Absent : Kadeem Hardison as Craig Cooper     41   14   `` Tightrope of Doom ''   Robbie Countryman   Rob Lotterstein   August 7 , 2016 ( 2016 - 08 - 07 )   219   1.88     Guest stars : Leslie Jordan as Cecil B. DeVille , James DiGiacomo as Petey , Jason Karasev as Laszlo , Jeremy Howard as Bob McCoy , Tati Gabrielle as Jackie , Daniel Browing Smith as Jeff     42   15   `` The Legend of Bad , Bad Cleo Brown ''   Nzingha Stewart   Raynelle Swilling &amp; Teri Schaffer   August 14 , 2016 ( 2016 - 08 - 14 )   221   1.97      Guest stars : Roz Ryan as Grandma Gayle , Tom Wilson as Agent Whitman  Absent : Trinitee Stokes as Judy Cooper , Kadeem Hardison as Craig Cooper     43   16   `` Spy of the Year Awards ''   Robbie Countryman   Eddie Quintana   September 11 , 2016 ( 2016 - 09 - 11 )   218   1.31      Kira is excited to be nominated for an Orgi Award -- given to spies by The Organization -- for the first time in her career . She is upset to learn that K.C. has also been nominated for the same award . K.C. becomes sick with food poisoning and must stay home while her family attends the awards ceremony . Tolentinó , the son of an imprisoned criminal who was captured by one of The Organization 's spies , takes over the ceremony with help from his henchmen . Tolentinó disables everyone 's electronic devices and intends to interrogate each spy until he locates the one who captured his father . Judy , who is still functional , sends a message to K.C. for help . K.C. recovers from her illness and has Marisa stay in an undercover van so she can guide her through the building using schematics . K.C. finds the ceremony room and rescues the audience . After Tolentinó is captured , the awards ceremony resumes , and Kira wins the nomination .  Guest stars : John O'Hurley as Buck Marshall , Adam Irigoyen as Tolentinó     44   17   `` In Too Deep ''   Rosario Roveto , Jr .   Darin Henry   September 18 , 2016 ( 2016 - 09 - 18 )   214   1.11      K.C. and Ernie are assigned to go undercover and join a suspicious group of environmental activists known as the Volunteens so they can learn more about them and their leader , a young woman named Keller . K.C. and Ernie 's cover is blown immediately as Keller knows they were sent to investigate her , which she allows them to do to prove that she has nothing to hide . Ernie becomes concerned that K.C. has been brainwashed into following the group 's beliefs , after she begins agreeing with Keller . Meanwhile , Craig is assigned to protect Rollin , the ambassador to Monrovia , who is also an old friend . Craig prepares several large food dishes for Rollin , but is disappointed to learn that he no longer consumes fattening meals . Rollin convinces Craig to join him at a gym , but after Craig begins using a stair climber , Kira and Judy inform him that the machine has been implanted with a bomb that will detonate if he slows down . Judy eventually disarms the bomb , which was meant for Rollin . When Ernie tells his family about his concern for K.C. , Craig tries unsuccessfully to convince him that she is simply maintaining her cover as one of Keller 's followers .  Guest stars : Rick Hall as Agent Johnson , Alice Lee as Keller , Rafael Petardi as Rollin , Myko Olivier as Reese     45   18   `` In Too Deep , Part 2 ''   Stephen Engel   Jenn Lloud &amp; Kevin Bonani   September 25 , 2016 ( 2016 - 09 - 25 )   215   1.17      Keller assigns K.C. to kidnap Monrovian ambassador Rollin . K.C. , while wearing a mask , knocks her father unconscious and kidnaps Rollin . K.C. is surprised to learn that Rollin and Keller , after having a discussion , have decided to work together in a plot to become rich . K.C. reveals that she only kidnapped Rollin to maintain her cover as a new member of the Volunteens . When Ernie arrives , he accidentally foils K.C. 's attempt to stop Keller . K.C. and Ernie are tied up in a room with a smoke bomb while Rollin and Keller escape . Craig rescues K.C. and Ernie , and K.C. travels to an auction to stop Keller before she can bid on and obtain the Monrovian queen 's diamond ring .   Guest stars : Rick Hall as Agent Johnson , Alice Lee as Keller , Rafael Petardi as Rollin  Absent : Trinitee Stokes as Judy Cooper , Tammy Townsend as Kira Cooper     46   19   `` Virtual Insanity ''   Chris Poulos   Darin Henry   October 2 , 2016 ( 2016 - 10 - 02 )   223   1.43      Ernie is kidnapped while he is in a virtual reality program . His kidnappers , Damon and Darci , plan to trick Ernie 's virtual self into revealing a secret code that they need . K.C. enters the virtual world , despite the fact that she will experience virtual disorientation , in which the user is briefly unable to recall details about their real life . K.C. 's mission is to stop Ernie from revealing the code and to learn where his kidnappers have taken his physical body . In the virtual world , Ernie is popular at school while K.C. enjoys make - up and dislikes studying , unlike their real - life personalities . Damon and Darci have programmed a virtual version of Mrs. Goldfeder and Marisa to trick Ernie into revealing the code . K.C. eventually remembers her mission and real personality , and learns that Ernie was taken to a storage unit , which Damon and Darci are using as their headquarters . Ernie is rescued , and Damon and Darci are arrested . Afterward , K.C. uses the virtual reality machine to fantasize about herself spending time on a beach with Brett Willis .   Guest stars : Ross Butler as Brett Willis , Jaime Moyer as Mrs. Goldfeder , David Hull as Damon , Natalie Lander as Darci  Absent : Trinitee Stokes as Judy Cooper     47   20   `` Undercover Mother ''   Joely Fisher   Cat Davis   November 6 , 2016 ( 2016 - 11 - 06 )   222   1.36      Scholastic Accomplishments Quarterly chooses K.C. to be interviewed for their latest issue , as she is the smartest student at her school and in the Washington D.C. area . Ernie warns K.C. not to do the interview ,</t>
  </si>
  <si>
    <t xml:space="preserve">when does kc undercover come back on 2017</t>
  </si>
  <si>
    <t xml:space="preserve">   Season   Episodes   Originally aired     First aired   Last aired         27   January 18 , 2015 ( 2015 - 01 - 18 )   January 24 , 2016 ( 2016 - 01 - 24 )         24   March 6 , 2016 ( 2016 - 03 - 06 )   January 13 , 2017 ( 2017 - 01 - 13 )         TBA   July 7 , 2017 ( 2017 - 07 - 07 )   TBA   </t>
  </si>
  <si>
    <t xml:space="preserve">Australian Survivor - Wikipedia  Australian Survivor  Jump to : navigation , search This article is about the Australian edition of Survivor . For the second season of the American edition set in Australia , see Survivor : The Australian Outback .    Australian Survivor     Title card used in the 2017 edition     Genre   Reality competition     Created by   Charlie Parsons     Presented by     Lincoln Howes ( 2002 )   Ian `` Dicko '' Dickson ( 2006 )   Jonathan LaPaglia ( 2016 - present )       Starring   List of Australian Survivor contestants     Country of origin   Australia     Original language ( s )   English     No. of seasons       No. of episodes   55 ( and 2 specials )     Production     Executive producer ( s )     Stephen Peters ( 2002 )   David Mason ( 2006 )   Amelia Fisk ( 2016 - present )   Tim Toni ( 2006 - present )       Running time   60 minutes ( inc . adverts ) ( 2002 , 2006 ) 70 - 90 minutes ( inc . adverts ) ( 2016 - present )     Production company ( s )   Castaway Television ( 2002 - present ) Endemol Shine Australia ( 2016 - present )     Release     Original network     Nine Network ( 2002 )   Seven Network ( 2006 )   Network Ten ( 2016 - present )       Picture format   576i ( SDTV ) ( 2002 , 2006 ) 1080i ( HDTV ) ( 2016 - present )     Original release   Original series : 13 February 2002 -- 15 May 2002 First revived series : 17 August 2006 -- 2 November 2006 Second revived series : 21 August 2016 -- present     Chronology     Related shows   International versions     External links     Official site   tenplay.com.au/channel-ten/australian-survivor     Australian Survivor ( also known as Australian Celebrity Survivor during season two ) is an Australian reality game show based on the popular international Survivor format .   Following the basic premise of other international versions of the format , the show features a group of contestants who are marooned in an isolated location , where they must provide food , water , fire , and shelter for themselves . The contestants compete in challenges for rewards and immunity from elimination . The contestants are progressively eliminated from the game as they are voted out by their fellow contestants until only one remains and is awarded the title of `` Sole Australian Survivor '' and the grand prize of A $ 500,000 .   The series first aired in 2002 on the Nine Network , who hold the Australian broadcast rights to the American edition . In 2006 , a celebrity edition aired on the Seven Network . Both incarnations of the series only lasted one season due to low ratings .   In November 2015 , the Network Ten , at its network upfronts , announced that it would be reviving the series in 2016 . The series commenced airing on August 21 , 2016 . Unlike its predecessors , the series was successful , enough so for Australian Survivor to be renewed by Network Ten for another season to air in 2017 .     Contents  ( hide )   1 Format   2 History   3 Series overview   4 Broadcast information   5 Awards and nominations   6 See also   7 References   8 External links      Format ( edit )  Further information : Survivor ( franchise ) § Format  The show follows the same general format as the other editions of the show . The players are split into two or three `` tribes '' , are taken to a remote isolated location and are forced to live off the land with meagre supplies for a period of several weeks . Frequent physical and mental challenges are used to pit the teams against each other for rewards , such as food or luxuries , or for `` immunity '' , forcing the other tribe to attend `` Tribal Council '' , where they must vote one of their tribemates out of the game .   About halfway through the game , the tribes are `` merged '' into a single tribe , and competitions are on an individual basis ; winning immunity prevents that player from being voted out . Most players that are voted out during this stage become members of the `` Tribal Council Jury '' . Once only two people remain , the `` Final Tribal Council '' is held where the remaining players plead their case to the members of the Jury as to why they should win the game . The jurors must then cast their vote for which finalist should be awarded the title of `` Sole Australian Survivor '' and the grand prize of A $ 500,000 ( or a A $100,000 charity prize in the celebrity season ) .   Like other editions of the show , the Australian edition has introduced numerous modifications , or `` twists '' , on the core rules in order to keep the players on their toes and to prevent players from relying on strategies that succeeded in prior seasons or other editions of the show . These changes have included tribal switches , players being exiled from their tribe for a short period of time , hidden immunity idols that players can use to save themselves or another player at Tribal Council from being voted off , special voting powers which can be used to influence the result at Tribal Council and players being given a chance to return following their elimination .   History ( edit )   The first Australian version of the Survivor format was filmed in 2001 , and aired in 2002 on the Nine Network . The program was a contractual obligation if the network were to be allowed to continue to broadcast American Survivor . The program was criticised by fans and critics for poor casting and lower production value to the popular American edition and it was not renewed due to low ratings . The Nine Network continued to broadcast the American edition of the program ever since . Since 2013 , recent seasons air on Nine 's secondary channel ; 9Go ! within hours of the original American airing .   In 2006 , the Seven Network found a loophole in the contract between the Nine Network and Castaway Television , which allowed them to produce a celebrity version of the series , due to a celebrity format being viewed as different from the original format . The Seven Network did not renew the series .   In November 2015 , Network Ten revealed at its upfronts event that it would air a new season featuring regular contestants to air in the last quarter of 2016 . This new season gives Australian Survivor the distinction of being one of the few Australian programs to have aired across all three major commercial television networks in Australia .   Series overview ( edit )   List of Australian Survivor seasons   Year   Season   Location   Days   Castaways   Initial Tribes   Winner   Runner - up   Final Vote   Grand Prize     2002     Whaler 's Way , Eyre Peninsula , South Australia   39   16   Two tribes of eight   Rob Dickson   Sciona Browne   5 - 2   $500,000 and a Ford V6 Escape     2006   Celebrity Survivor   Efate , Shefa , Vanuatu   25   12   Two tribes of six   Guy Leech   Justin Melvey   3 - 2   $100,000 ( for Charity )     2016     Upolu , Samoa   55   24   Three tribes of eight   Kristie Bennett   Lee Carseldine   8 - 1   $500,000     2017     Two tribes of twelve   Jericho Malabonga   Tara Pitt   6 - 3     Broadcast information ( edit )     Season   Network   Episodes   Timeslot   Season Premiere   Season Finale       Nine Network   13   Wednesday 8 : 30 pm   13 February 2002   15 May 2002     Celebrity Survivor   Seven Network   12   Thursday 8 : 30 pm   17 August 2006   2 November 2006       Network Ten   26   Sunday , Monday &amp; Tuesday 7 : 30pm   21 August 2016   25 October 2016       26   30 July 2017   10 October 2017      Notes     Jump up ^ In addition to the 13 regular episodes , two specials for the season were produced .    Awards and nominations ( edit )     Year   Award     Nominee   Result   Refs .     2003   Logie Awards of 2003   Best Reality Program   2002 Season   Nominated       2017   Logie Awards of 2017   Best Reality Program   2016 Season   Nominated       7th AACTA Awards   Best Reality Television Series   2017 Season         Best Direction in a Television Light Entertainment , Lifestyle Or Reality Series   Richard Franc ( Episode 1 - 2017 Season )       See also ( edit )    American Survivor   British Survivor   Survivor NZ   Survivor South Africa   I 'm a Celebrity ... Get Me Out of Here !   The Big Adventure   Treasure Island    References ( edit )    Jump up ^ `` Production Credits - Kalgoorie Cops '' . CI . Archived from the original on 27 November 2015 . Retrieved 28 November 2015 .   Jump up ^ `` Celebrity Survivor joins Seven 's new mid-year line - up '' ( PDF ) . Seven Network . 30 May 2006 . Retrieved 28 November 2015 .   Jump up ^ https://tenplay.com.au/channel-ten/australian-survivor/credits   ^ Jump up to : Knox , David ( 7 August 2015 ) . `` Could Survivor Australia 's torch be lit once more ? '' . TV Tonight . Retrieved 20 November 2015 .   Jump up ^ `` Seanna Cronin , `` Channel 10 adds Survivor Australia to 2016 reality line - up '' `` . The Northern Star . Retrieved 19 November 2015 .   Jump up ^ `` Renewed : Australian Survivor '' . TV Tonight . Retrieved October 23 , 2016 .   Jump up ^ `` Survival of the fittest - smh.com.au '' . www.smh.com.au . Retrieved 2016 - 06 - 24 .   Jump up ^ `` Airdate : Survivor : Caramoan : Fans v Favourites '' . 2013 - 01 - 30 . Retrieved 2016 - 06 - 24 .   Jump up ^ `` Returning : Survivor '' . 2015 - 09 - 14 . Retrieved 2016 - 06 - 24 .   Jump up ^ `` Celebs to survive on 7 '' . Herald Sun . 29 May 2006 . Archived from the original on 22 December 2007 . Retrieved 2006 - 08 - 31 ...   Jump up ^ Knox , David ( 19 November 2015 ) . `` TEN Upfronts 2016 : Survivor , Jessica Marais , Anh Do - and Nigella ! '' . TV Tonight . Retrieved 20 November 2015 .   Jump up ^ `` Australian Television : 2003 Logie Awards '' . www.australiantelevision.net . Retrieved 2017 - 06 - 12 .   Jump up ^ `` Logie Awards 2017 : nominees '' . TV Tonight . 2017 - 03 - 25 . Retrieved 2017 - 06 - 12 .   Jump up ^ https://www.aacta.org/aacta-awards/winners-and-nominees/7th-aacta-awards/    External links ( edit )    Official website   Australian Survivor on IMDb      ( hide )         Australian Survivor     Seasons     Season 1 ( 2002 )   Australian Celebrity Survivor ( 2006 )   Season 3 ( 2016 )   Season 4 ( 2017 )       Winners     Rob Dickson ( Season 1 )   Guy Leech ( Celebrity Survivor )       Related     List of contestants   Survivor franchise   American Survivor                 Survivor        U.S. version        Seasons     2000 : Borneo   2001 : The Australian Outback   Africa   2002 : Marquesas   Thailand   2003 : The Amazon   Pearl Islands   2004 : All - Stars   Vanuatu   2005 : Palau   Guatemala   2006 : Panama   Cook Islands   2007 : Fiji   China   2008 : Micronesia   Gabon   2009 : Tocantins   Samoa   2010 : Heroes vs. Villains   Nicaragua   2011 : Redemption Island   South Pacific   2012 : One World   Philippines   2013 : Caramoan   Blood vs. Water   2014 : Cagayan   San Juan del Sur   2015 : Worlds Apart   Cambodia   2016 : Kaôh Rōng   Millennials vs. Gen X   2017 : Game Changers   Heroes vs. Healers vs. Hustlers       Winners     Richard Hatch ( Borneo )   Tina Wesson ( The Australian Outback )   Ethan Zohn ( Africa )   Vecepia Towery ( Marquesas )   Brian Heidik ( Thailand )   Jenna Morasca ( The Amazon )   Sandra Diaz - Twine ( Pearl Islands and Heroes vs. Villains )   Amber Brkich ( All - Stars )   Chris Daugherty ( Vanuatu )   Tom Westman ( Palau )   Danni Boatwright ( Guatemala )   Aras Baskauskas ( Panama )   Yul Kwon ( Cook Islands )   Earl Cole ( Fiji )   Todd Herzog ( China )   Parvati Shallow ( Micronesia )   Bob Crowley ( Gabon )   J.T. Thomas ( Tocantins )   Natalie White ( Samoa )   Jud `` Fabio '' Birza ( Nicaragua )   Rob Mariano ( Redemption Island )   Sophie Clarke ( South Pacific )   Kim Spradlin ( One World )   Denise Stapley ( Philippines )   John Cochran ( Caramoan )   Tyson Apostol ( Blood vs. Water )   Tony Vlachos ( Cagayan )   Natalie Anderson ( San Juan del Sur )   Mike Holloway ( Worlds Apart )   Jeremy Collins ( Cambodia )   Michele Fitzgerald ( Kaôh Rōng )   Adam Klein ( Millennials vs. Gen X )   Sarah Lacina ( Game Changers )       Related articles     Contestants   Tribes   Episodes   Seasons 1 - 20   Seasons 21 - present     Survivor Live                Versions outside the U.S.        Africa     South Africa   Pan-regional :   Africa         Americas     Argentina   Brazil   Chile   Colombia   Ecuador   Mexico   Venezuela       Asia -- Pacific     Australia   China   India   Japan   New Zealand   Pakistan   Philippines       Europe ( East )     Bulgaria   Croatia   Czech Republic   Trosečník   Robinsonův ostrov     Georgia   Greece   Hungary   Poland   Wyprawa Robinson   Wyspa Przetrwania     Romania   Russia   Slovakia   Slovenia   Turkey   Ukraine   Pan-regional :   ex-Yugoslavia   Baltics         Europe ( West )     Denmark   Finland   France   Germany   Italy   Norway   Portugal   Spain   Sweden   Switzerland   United Kingdom   Pan-regional :   Austria - Germany   Belgium - Netherlands   Scandinavia : Denmark - Norway - Sweden         Middle East     Azerbaijan   Israel   Pan-regional :   Arab World                         Network Ten local programming ( current and upcoming )     Primetime     All Star Family Feud ( since 2016 )   Australian Survivor ( since 2016 )   The Bachelor Australia ( since 2013 )   The Bachelorette Australia ( since 2015 )   The Biggest Loser ( since 2006 )   BodyHack with Todd Sampson ( since 2016 )   Bondi Vet ( since 2009 )   Bondi Rescue ( since 2006 )   Common Sense ( since 2017 )   Cram ! ( since 2017 )   Family Feud ( since 2014 )   Gogglebox Australia ( since 2015 )   Have You Been Paying Attention ? ( since 2013 )   I 'm a Celebrity ... Get Me Out of Here ! ( since 2015 )   The Living Room ( since 2012 )   MasterChef Australia ( since 2009 )   Offspring ( 2010 -- 2014 , since 2016 )   Shark Tank ( since 2015 )   Sisters ( since 2017 )   The Wrong Girl ( since 2016 )       Daytime     Ben 's Menu ( since 2014 )   Everyday Gourmet with Justine Schofield ( since 2011 )   Good Chef Bad Chef ( since 2011 )   My Market Kitchen ( since 2016 )       News     Ten Eyewitness News ( since 1965 )   The Project ( since 2009 )   Studio 10 ( since 2013 )       Sport     RPM ( 1997 -- 2008 , 2011 , since 2015 )       Weekends     Cruise Mode ( since 2016 )   Healthy Homes TV ( since 2015 )   ifish ( since 2009 )   Mass For You At Home ( since 1971 )   What 's Up Downunder       Upcoming     All Aussie Adventures ( 2018 )                 Current Australian reality television series     Seven Network     First Dates   Hell 's Kitchen Australia   House Rules   Little Big Shots   My Kitchen Rules   Seven Year Switch       Nine Network     Australian Ninja Warrior   Family Food Fight   Married at First Sight   The Block   The Voice       9Go !     Meet the Hockers       Network Ten     Australian Survivor   The Bachelor   The Bachelorette   MasterChef Australia   I 'm a Celebrity ... Get Me Out of Here !   Shark Tank       Eleven     Bondi Ink Tattoo       Arena     The Real Housewives of Melbourne   The Real Housewives of Sydney       Fox8     Australia 's Next Top Model   The Recruit       A&amp;E     Aussie Pickers   Demolition Man   Pawn Stars Australia       Lifestyle Food     The Great Australian Bake - Off       All Australian reality series    Retrieved from `` https://en.wikipedia.org/w/index.php?title=Australian_Survivor&amp;oldid=808100217 '' Categories :   Nine Network shows   Seven Network shows   Network Ten shows   Australian game shows   2002 Australian television series debuts   2002 Australian television series endings   2006 Australian television series debuts   2006 Australian television series endings   2000s Australian television series   2016 Australian television series debuts   2010s Australian television series   Television series revived after cancellation   Australian Survivor   Hidden categories :   Use Australian English from November 2015   All Wikipedia articles written in Australian English   Use dmy dates from November 2015           Talk                                           Contents                   About Wikipedia                                           Add links   This page was last edited on 31 October 2017 , at 21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</si>
  <si>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point of the jury in australian survivor</t>
  </si>
  <si>
    <t xml:space="preserve"> About halfway through the game , the tribes are `` merged '' into a single tribe , and competitions are on an individual basis ; winning immunity prevents that player from being voted out . Most players that are voted out during this stage become members of the `` Tribal Council Jury '' . Once only two people remain , the `` Final Tribal Council '' is held where the remaining players plead their case to the members of the Jury as to why they should win the game . The jurors must then cast their vote for which finalist should be awarded the title of `` Sole Australian Survivor '' and the grand prize of A $ 500,000 ( or a A $100,000 charity prize in the celebrity season ) . </t>
  </si>
  <si>
    <t xml:space="preserve">Flight endurance record - wikipedia  Flight endurance record  Jump to : navigation , search This list is incomplete ; you can help by expanding it . The longest non-stop solo airplane flight in history ( 4 days , 21 hours and 51 minutes ) was achieved by André Borschberg in the Swiss solar airplane Solar Impulse .  The flight endurance record is the longest amount of time an aircraft of a particular category spent in flight without landing . It can be a solo event , or multiple people can take turns piloting the aircraft , as long as all pilots remain in the aircraft . The limit initially was the amount of fuel that could be stored for the flight , but aerial refueling extended that parameter . Due to safety concerns , the Fédération Aéronautique Internationale ( FAI ) no longer recognizes new records for the duration of manned airplane or glider flights and has never recognized any duration records for helicopters .     Contents  ( hide )   1 Aeroplane   1.1 Non-refueled , manned   1.2 Refueled , manned   1.3 Airline , scheduled   1.4 Aeroplane , unmanned     2 Helicopter   2.1 Manned , non-refueled   2.2 Unmanned     3 Free balloon , manned   4 Airship   5 Glider   6 Spacecraft , manned   7 Aerospacecraft , orbital , manned   8 References      Aeroplane ( edit )   Non-refueled , manned ( edit )     Duration ( hhh : mm : ss )   Date   Location   Pilots   Aircraft   Comments   Reference     216 : 03 : 44   December 14 -- 23 , 1986   Edwards Air Force Base , circumnavigation   Dick Rutan and Jeana Yeager   Rutan Voyager         117 : 51 : 00   June 28 to July 3 , 2015   Nagoya , Japan - Kalaeloa Airport , Hawaii , United States ( 8263 kilometres )   André Borschberg   Solar Impulse 2   Solar plane , without any fuel ; also longest solo airplane flight of any type       84 : 32 : 00   May 25 -- 28 , 1931   Jacksonville , Florida   Walter Edwin Lees and Frederic Brossy   Bellanca J - 2   Last record recognized by FAI       75 : 23 : 07   February 26 to March 1 , 1931   La Sénia , Algeria   Lucien Bossoutrot and Maurice Rossi   Blériot 110         67 : 13 : 55   May 30 to June 2 , 1930   Montecelio , Italy   Umberto Maddalena and Fausto Cecconi   Savoia - Marchetti S. 64         65 : 25 : 00   July 5 -- 7 , 1928   Dessau , Germany   Johann Risztics and Wilhelm Zimmermann   Junkers W 33   Also surpassed the refueled record       52 : 22 : 31.8   August 3 -- 5 , 1927   Dessau , Germany   Cornelius Edzard and Johann Risztics   Junkers W 33         51 : 11 : 25   April 12 -- 14 , 1927   Long Island , New York   Clarence Duncan Chamberlin and Bertrand Blanchard Acosta   Wright - Bellanca WB - 2 `` Columbia ''         45 : 11 : 59   August 7 -- 9 , 1925   Chartres , France   Maurice Drouhin and Jules Landry   Farman F. 60 Goliath         37 : 59 : 10   July 16 -- 17 , 1924   Chartres , France   Etienne Coupet and Maurice Drouhin   Farman F - 60   Also surpassed the refueled record       36 : 04 : 34   April 16 -- 17 , 1923   Wilbur Wright Field , Dayton , Ohio   Oakley George Kelly and John Arthur Macready   Fokker T - 2         34 : 14 : 07   October 14 -- 15 , 1922   Le Bourget , France   Lucien Bossoutrot and Robert Drouhin   Farman F. 60 Goliath         26 : 19 : 35   December 29 -- 30 , 1921   Roosevelt Field , New York ; FAI record says Jacksonville , Florida   Edward A. Stinson and Lloyd Bertaud   Junkers - Larsen JL - 6   First record recognized by FAI       24 : 19 : 07   June 3 -- 4 , 1920   Ville Sauvage la Dordogne , France   Lucien Bossoutrot and Jean Bernard   Farman F. 60 Goliath         24 : 12 : 00   July 10 -- 11 , 1914   Johannisthal Air Field near Berlin , Germany   Reinhold Böhm   Albatros biplane         21 : 49 : 00   June 28 -- 29 , 1914   Johannisthal Air Field near Berlin , Germany   Werner Landmann   Albatros biplane         13 : 22 : 00   September 11 , 1912   Étampes airfield in France   Alexandre Fourny ( Fourney )   Maurice Farman MF - 2         11 : 01 : 29   September 1 , 1911   Buc , France   Alexandre Fourny ( Fourney )   Maurice Farman biplane         08 : 12 : 45   December 18 , 1910   Étampes airfield in France   Henri Farman   Maurice Farman biplane         06 : 01 : 00   October 28 , 1910   Buc , France   Maurice Tabuteau   Maurice Farman MF - 2         05 : 03 : 05   July 10 , 1910   Reims , France   Jan Olieslagers   Blériot monoplane         04 : 17 : 35   November 3 , 1909   Mourmelon - le - Grand , France   Henri Farman   H. Farman         02 : 18 : 33.6   December 31 , 1908   Camp d'Auvours near Le Mans , France   Wilbur Wright   Wright Model A         01 : 54 : 00.4   December 18 , 1908   Camp d'Auvours near Le Mans , France   Wilbur Wright   Wright Model A         01 : 31 : 25.8   September 21 , 1908   Camp d'Auvours near Le Mans , France   Wilbur Wright   Wright Model A         01 : 14 : 20   September 12 , 1908   Fort Myer , Virginia   Orville Wright   Wright Model A         01 : 10 : 24   September 11 , 1908   Fort Myer , Virginia   Orville Wright   Wright Model A         01 : 05 : 52   September 10 , 1908   Fort Myer , Virginia   Orville Wright   Wright Model A         01 : 02 : 15   September 9 , 1908   Fort Myer , Virginia   Orville Wright   Wright Model A         00 : 59 : 23.8   October 5 , 1905   Huffman Prairie , Ohio   Wilbur Wright   Wright Flyer III         00 : 33 : 17   October 4 , 1905   Huffman Prairie , Ohio   Orville Wright   Wright Flyer III         00 : 26 : 11.2   October 3 , 1905   Huffman Prairie , Ohio   Orville Wright   Wright Flyer III         00 : 19 : 56   September 29 , 1905   Huffman Prairie , Ohio   Orville Wright   Wright Flyer III         00 : 18 : 11.4   September 26 , 1905   Huffman Prairie , Ohio   Wilbur Wright   Wright Flyer III         00 : 05 : 41   September 12 , 1905   Huffman Prairie , Ohio   Wilbur Wright   Wright Flyer III         00 : 05 : 04   November 9 , 1904   Huffman Prairie , Ohio   Wilbur Wright   Wright Flyer II         00 : 01 : 38   October 14 , 1904   Huffman Prairie , Ohio   Orville Wright   Wright Flyer II         00 : 01 : 35.8   September 20 , 1904   Huffman Prairie , Ohio   Wilbur Wright   Wright Flyer II         00 : 00 : 59   December 17 , 1903   Kitty Hawk , North Carolina   Wilbur Wright   Wright Flyer         00 : 00 : 12   December 17 , 1903   Kitty Hawk , North Carolina   Orville Wright   Wright Flyer   First flight       Refueled , manned ( edit )     The Cessna 172 , used by Robert Timm and John Cook , hanging in McCarran Airport .   The aircraft Curtiss Robin `` St. Louis '' during the record flight July 13 -- 30 , 1929 , St. Louis , Missouri .       Duration ( dd : hh : mm : ss )   Date   Location   Pilots   Aircraft   Comments   Reference     64 : 22 : 19 : 05   December 4 , 1958 , to February 7 , 1959   McCarran Airport , Las Vegas , Nevada   Robert Timm and John Cook   Cessna 172 , Hacienda   Refueled from moving truck on ground       46 : 20 : 00 : 00   August 24 to October 10 , 1949   Yuma , Arizona   Bob Woodhouse and Woody Jongeward   Aeronca Sedan , City of Yuma   Attempted to persuade government officials to reopen Yuma Army Air Field       42 : 00 : 02 : 00   March 15 to April 26 , 1949   Fullerton , California   Dick Riedel and Bill Barris   Aeronca Sedan , Sunkist Lady         30 : 06 : 00 : 00   October 1 -- 30 , 1939   Long Beach , California   Wes Carroll and Clyde Schlieper   Piper Cub seaplane , Spirit of Kay         27 : 05 : 34 : 00   June 4 to July 1 , 1935   Meridian , Mississippi   Brothers Al and Fred Key   Curtiss Robin , Ole Miss   Invented a spill - free mid-air refueling nozzle       23 : 01 : 41 : 30   June 11 and July 4 , 1930   Chicago , Illinois   Brothers John and Kenneth Hunter   Stinson SM - 1 Detroiter         17 : 12 : 17 : 00   July 13 -- 30 , 1929   St. Louis , Missouri   Dale Jackson and Forest O'Brine   Curtiss Robin         10 : 06 : 43 : 32   July 2 -- 12 , 1929   Culver City , California   Loren W. Mendell and Roland B. Reinhart   Buhl Airsedan , Angeleno         07 : 06 : 00 : 00   June 30 to July 6 , 1929   Cleveland , Ohio   Roy Mitchell and Byron K. Newcomb   Single engine monoplane named The City of Cleveland   Not recognized as an official record by FAI because it did not exceed previous record by at least 1 % .       07 : 04 : 31 : 01   May 19 -- 26 , 1929   Ft . Worth , Texas   Reginald Robbins and James Kelly   Mahoney - Ryan Aircraft Ryan Monoplane B - 1 Brougham named Fort Worth         06 : 15 : 40 : 00   January 1 -- 7 , 1929   Van Nuys Airport , California   Maj . Carl Spaatz , Capt . Ira Eaker , 1st Lt. Harry A. Halverson , 2nd Lt. Elwood Quesada , and Sgt . Roy W. Hooe   Atlantic - Fokker C2A named Question Mark         02 : 12 : 07 : 00   June 1 -- 4 , 1928   Tirlemont , Belgium   Louis Crooy and Sgt . Victor Groenen   De Havilland DH - 9         01 : 13 : 15 : 14   August 27 -- 28 , 1923   Rockwell Field , California   Capt . Lowell Smith and 1st Lt. John Paul Richter   De Havilland DH - 4B   First refueled flight to surpass the non-refueled record       Airline , scheduled ( edit )   Not an FAI category . See Non-stop flight .     Duration ( hhh : mm : ss )   Date   Location   Pilots   Aircraft   Comments   Reference     32 : 09 : 00   1943 - 1945   Swan River , Nedlands , Western Australia to Lake Koggala , Sri Lanka   several Qantas crews   Qantas Consolidated PBY Catalina   Called `` The Double Sunrise '' ( c. 3500 mi . )  271 crossings        24 : 56 : 12   August 10 -- 11 , 1938   Berlin - Staaken to Floyd Bennett Field , New York   Dipl. - Ing . Alfred Henke ( flight captain ) , captain Rudolf von Moreau ( second pilot ) , Paul Dierberg ( operator ) and Walter Kober ( radio operator )   Deutsche Luft Hansa Focke - Wulf Fw 200   ( c. 4000 mi . )       23 : 19 : 00   October 1 -- 2 , 1957   London to San Francisco   ?   TWA Lockheed Constellation L - 1649A   ( c. 5350 mi . )       Aeroplane , unmanned ( edit )     Duration ( hhh : mm : ss )   Date   Location   Pilot   Aircraft   Comments   Reference     336 : 22 : 08   July 9 -- 23 , 2010   Yuma Proving Ground , Arizona   Unmanned   QinetiQ Zephyr 7         81 : 24 : 10   July 14 -- 17 , 2015   Rafz , Switzerland   Unmanned   AtlantikSolar AS - 2         30 : 24 : 01   March 20 -- 21 , 2001   Edwards Air Force Base , California   Unmanned   Northrop Grumman RQ - 4A Global Hawk         Helicopter ( edit )   Manned , non-refueled ( edit )   `` FAI category - GREAT CIRCLE DISTANCE WITHOUT LANDING     Duration ( hhh : mm : ss )   Date   Location   Pilot   Aircraft   Comments   Reference     15 : 08 : 00   April 6 , 1966   Culver City , California to Ormond Beach , Florida ( ( 2,213.04 mi ) )   Robert G. Ferry   Hughes YOH - 6A   As a nonstop non-refueled trip this flight also holds the record for the longest distance flown in a helicopter without landing .       Unmanned ( edit )     Duration ( hhh : mm : ss )   Date   Location   Pilot   Aircraft   Comments   Reference     18 : 41 : 28   May 15 , 2008   Yuma Proving Ground , Arizona   Unmanned   Boeing A160 Hummingbird         Free balloon , manned ( edit )     Duration ( hhh : mm : ss )   Date   Location   Pilot   Aircraft   Comments   Reference     477 : 47 : 00   March 1 -- 21 , 1999   Château - d'Œx , Switzerland ; circumnavigation   Bertrand Piccard and Brian Jones   Breitling Orbiter 3         355 : 50 : 00   June 19 - July 3 , 2002   Northam , WA ( Australia ) circumnavigation   Steve Fossett   Cameron Balloons R - 550 ( N277SF )   Longest solo flight in any type of aircraft       268 : 20 : 00   July 12 -- 23 , 2016   Northam , WA Australia ; circumnavigation   Fedor Konyukhov   Cameron Balloons R - 550   Shortest time around the world       82 : 05 : 00   September 9 -- 12 , 1995   Wil , Switzerland to Lucincik , Ukraine ( 1.395 , 4 km )   Johann Fuerstner and Gerald Stuerzlinger   D - OSTZ Graf Zeppelin   3rd place in Gordon Bennett Gas Balloon Race       Airship ( edit )     Duration ( hhh : mm : ss )   Date   Location   Pilot   Aircraft   Comments   Reference     264 : 12 : 00   March 4 to March 15 , 1957   Naval Air Station South Weymouth , Mass. to Naval Air Station Key West , Fla .   Cmdr . Jack . R. Hunt   `` Snowbird '' ZPG - 2   via Europe , Africa       71 : 00 : 00   October 29 to November 1 , 1928   Lakehurst , NJ to Friedrichshafen , Germany   Hugo Eckener   LZ 127 Graf Zeppelin         Glider ( edit )     Duration ( hhh : mm : ss )   Date   Location   Pilot   Aircraft   Comments   Reference     71 : 05 : 00   July 28 - 30 1961   Honolulu , Hawaii   Geza Vass and Guy Davis           56 : 15 : 00   April 2 -- 4 , 1952   Romanin les Alpilles near Saint - Rémy - de-Provence , France   Charles Atger   Arsenal Air 100         Spacecraft , manned ( edit )   Duration that a specific person continuously occupies the spacecraft while in orbit     Duration ( ddd : hhh : mm : ss )   Date   Location   Astronaut   Aircraft   Comments   Reference     437 : 17 : 58 : 17   January 8 , 1994 , to March 22 , 1995   Low Earth orbit ; Baikonur Cosmodrome to near Arkalyk , Kazakhstan   Valeri Polyakov   Russian space station Mir         Aerospacecraft , orbital , manned ( edit )     Duration ( ddd : hhh : mm : ss )   Date   Location   Astronaut   Aircraft   Comments   Reference     17 : 15 : 53 : 17   November 19 to December 7 , 1996   Low Earth orbit , Kennedy Space Center   Kenneth D. Cockrell , Kent V. Rominger , Tamara E. Jernigan , Thomas D. Jones , and F. Story Musgrave   Space Shuttle Columbia , STS - 80         References ( edit )    ^ Jump up to : Emma Howard , `` Solar Impulse lands in Hawaii after longest non-stop solo flight in history `` , The Guardian , Friday 3 July 2015 ( page visited on 5 July 2015 ) .   Jump up ^ Smithsonian National Air and Space Museum , accessed August 21 , 2010   Jump up ^ Solar Impulse   Jump up ^ Fédération Aéronautique Internationale , Record 9453 , accessed August 21 , 2010   Jump up ^ Fédération Aéronautique Internationale , Record 9513 , accessed August 21 , 2010   Jump up ^ Fédération Aéronautique Internationale , Record 9515 , accessed August 21 , 2010   Jump up ^ Fédération Aéronautique Internationale , Record 9517 , accessed August 21 , 2010   Jump up ^ Fédération Aéronautique Internationale , Record 9454 , accessed August 21 , 2010   Jump up ^ Fédération Aéronautique Internationale , Record 9451 , accessed August 21 , 2010   Jump up ^ Fédération Aéronautique Internationale , Record 9294 , accessed August 21 , 2010   Jump up ^ Fédération Aéronautique Internationale , Record 9452 , accessed August 21 , 2010   Jump up ^ Fédération Aéronautique Internationale , Record 9317 , accessed August 21 , 2010   Jump up ^ Fédération Aéronautique Internationale , Record 9464 , accessed August 21 , 2010   Jump up ^ New York Times , December 31 , 1921 , p. 7   Jump up ^ Fédération Aéronautique Internationale , Record 9455 , accessed August 21 , 2010   Jump up ^ U.S. Air Services , August 1920 , p. 36   Jump up ^ Skytamer , accessed August 21 , 2010   Jump up ^ New York Times , July 13 , 1914 , p. 3   Jump up ^ Canada Aviation and Space Museum , p. 54 , accessed August 21 , 2010   Jump up ^ History of Aeronautics , accessed August 21 , 2010   Jump up ^ New International Year Book for 1912 , p. 4   Jump up ^ Jackmon , W.J. , Flying Machines : Construction and Operation , 1912 , p. 244 , accessed August 21 , 2010   Jump up ^ Jeunes Ailes , accessed August 21 , 2010   Jump up ^ Aircraft , February 1911 , p. 430   ^ Jump up to : The Independent , February 16 , 1911 , p. 347   Jump up ^ Journal of the United States Artillery , July -- August 1910 , p. 106   Jump up ^ New York Times , January 1 , 1910 , p. 4   ^ Jump up to : Centennial of Flight Commission , 1908 Flight Log for Camp d'Auvours , Le Mans , France   ^ Jump up to : Centennial of Flight Commission , 1908 Flight Log for Ft . Myer , Va .   ^ Jump up to : Centennial of Flight Commission , 1905 Flight Log for Huffman Prairie , Simms Station , Dayton , Ohio   ^ Jump up to : Centennial of Flight Commission , 1904 Flight Log for Huffman Prairie , Simms Station , Dayton , Ohio   ^ Jump up to : Centennial of Flight Commission , 1903 Flight Log for Kitty Hawk , N.C.   Jump up ^ AOPA Pilot , March 2008   Jump up ^ City of Yuma Archived 2006 - 09 - 13 at the Wayback Machine. , 50th anniversary website with historical documents and pictures   Jump up ^ City of Fullerton Airport , accessed August 21 , 2010   Jump up ^ Chicago Daily Tribune , October 30 , 1939   Jump up ^ ( 1 ) , September 15 , 2012   Jump up ^ Sports Illustrated , November 6 , 1972   Jump up ^ Fédération Aéronautique Internationale , Record 9559 , accessed August 21 , 2010   Jump up ^ Fédération Aéronautique Internationale , Record 9570 , accessed August 21 , 2010   Jump up ^ Time , July 22 , 1929   Jump up ^ Fédération Aéronautique Internationale , Record 9571 , accessed August 21 , 2010   Jump up ^ Dailey , Franklin . The Triumph of Instrument Flight   Jump up ^ Fédération Aéronautique Internationale , Record 9572 , accessed August 21 , 2010   Jump up ^ Fédération Aéronautique Internationale , Record 9573 , accessed August 21 , 2010   Jump up ^ Fédération Aéronautique Internationale , Record 9574 , accessed August 21 , 2010   Jump up ^ Fédération Aéronautique Internationale , Record 14808 , accessed August 21 , 2010   Jump up ^ Qantas Airways accessed July 4 , 2012   Jump up ^ Bavarian Crono accessed July 4 , 2012   Jump up ^ Fédération Aéronautique Internationale , Record 16052 , accessed August 21 , 2010   Jump up ^ `` Solar - powered drone breaks record with 81 - hour continuous flight ( Wired UK ) '' . Wired UK . Retrieved 2016 - 03 - 08 .   Jump up ^ Fédération Aéronautique Internationale , Record 7353 , accessed August 21 , 2010   Jump up ^ `` Robert G. Ferry dies at 85 ; helicopter test pilot flew record nonstop solo flight `` , Los Angeles Times , February 9 , 2009   Jump up ^ Fédération Aéronautique Internationale , Record 15059 , accessed August 21 , 2010   Jump up ^ Fédération Aéronautique Internationale , Record 5961 , accessed August 21 , 2010   Jump up ^ Fédération Aéronautique Internationale , Record 7408 , accessed July 15 , 2015   Jump up ^ Fédération Aéronautique Internationale Record 17899 , accessed November 17 , 2016   Jump up ^ http://www.fai.org/component/phocadownload/category/?download=4525:1995-gordon-bennett-results   Jump up ^ Grossnick , Ross . `` Kite Balloons to Airships : The Navy 's Lighter than Air Experience , '' 2004   Jump up ^ Fédération Aéronautique Internationale , Record 2427 , accessed August 21 , 2010   Jump up ^ `` HAWAII : NEW WORLD RECORD FOR TWO - PLACE GLIDER SET . '' . www.itnsource.com . Archived from the original on 2017 - 07 - 21 . Retrieved 2017 - 07 - 21 .   Jump up ^ Soaring , May -- June 1955 , p. 24   Jump up ^ Fédération Aéronautique Internationale , Record 2512 , accessed August 21 , 2010   Jump up ^ Fédération Aéronautique Internationale , Record 3915 , accessed August 21 , 2010              Extremes of motion     Speed     Wave ( Light   Sound )   Vehicle   Spacecraft   Aircraft   or propeller - based   transcontinental   FAI records     Water - borne vehicle   or sailing   underwater   transatlantic     Land vehicle ( rocket - based   wheel - driven   railed   motorcycle   or production motorcycle ( by speed / by acceleration )     production car ( by speed / by acceleration )   British )         Distance     Space ( furthest spacecraft   furthest landing on another world   furthest travels on another world   furthest humans   closest spacecraft to the Sun )   Aircraft ( furthest flight   highest altitude   FAI records )   Deepest Earth ocean dive       Endurance     Space ( most enduring spaceflight   most endurance on another world   most time as a person in space   most enduring population of a spacecraft )   Aircraft       See also     Spaceflight records                 Aviation lists     General     Aircraft   manufacturers     Aircraft engines   manufacturers     Airlines   Defunct airlines   Helicopter airlines     Airports   Aerobatic teams   Civil authorities   Gliders   Museums   Navigation and Transport Acts   Registration prefixes   Jet airliners   Rotorcraft   manufacturers     Timeline       Military     Air forces   Experimental   Missiles   Unmanned   Weapons       Accidents / incidents     Commercial airliners   by location     Fatalities   by death toll     General aviation   Military   By registration       Records     Airspeed   Altitude   Distance   Endurance   Firsts   Large   Most - produced aircraft   Most - produced rotorcraft        Aviation portal   Retrieved from `` https://en.wikipedia.org/w/index.php?title=Flight_endurance_record&amp;oldid=803400405 '' Categories :   Aviation records   Hidden categories :   Webarchive template wayback links   Incomplete lists from September 2010   All articles with unsourced statements   Articles with unsourced statements from September 2010           Talk                                           Contents                   About Wikipedia                                           Français   Tiếng Việt   Edit links   This page was last edited on 2 October 2017 , at 09 : 10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</si>
  <si>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world record for longest time keeping a balloon in the air</t>
  </si>
  <si>
    <t xml:space="preserve">   Duration ( hhh : mm : ss )   Date   Location   Pilot   Aircraft   Comments   Reference     477 : 47 : 00   March 1 -- 21 , 1999   Château - d'Œx , Switzerland ; circumnavigation   Bertrand Piccard and Brian Jones   Breitling Orbiter 3         355 : 50 : 00   June 19 - July 3 , 2002   Northam , WA ( Australia ) circumnavigation   Steve Fossett   Cameron Balloons R - 550 ( N277SF )   Longest solo flight in any type of aircraft       268 : 20 : 00   July 12 -- 23 , 2016   Northam , WA Australia ; circumnavigation   Fedor Konyukhov   Cameron Balloons R - 550   Shortest time around the world       82 : 05 : 00   September 9 -- 12 , 1995   Wil , Switzerland to Lucincik , Ukraine ( 1.395 , 4 km )   Johann Fuerstner and Gerald Stuerzlinger   D - OSTZ Graf Zeppelin   3rd place in Gordon Bennett Gas Balloon Race     </t>
  </si>
  <si>
    <t xml:space="preserve">Los Angeles Angels - wikipedia  Los Angeles Angels  Jump to : navigation , search For other teams that have gone by this name , see Los Angeles Angels ( disambiguation ) .      This article may be written from a fan 's point of view , rather than a neutral point of view . Please clean it up to conform to a higher standard of quality , and to make it neutral in tone . ( September 2012 ) ( Learn how and when to remove this template message )       Los Angeles Angels     2017 Los Angeles Angels season     Established in 1961     Based in Anaheim since 1966              Team logo   Cap insignia        Major league affiliations       American League ( 1961 -- present )   West Division ( 1969 -- present )         Current uniform         Retired numbers     11   26   29   30   50   42       Colors       Red , Navy Blue , Silver       Name       Los Angeles Angels ( 2016 -- present )   Los Angeles Angels of Anaheim ( 2005 -- 2015 )   Anaheim Angels ( 1997 -- 2004 )   California Angels ( 1965 -- 1996 )   Los Angeles Angels ( 1961 -- 1964 )       Other nicknames       The Halos       Ballpark       Angel Stadium ( 1966 -- present )   Dodger Stadium ( 1962 -- 1965 )   Wrigley Field ( Los Angeles ) ( 1961 )       Major league titles     World Series titles ( 1 )   2002     AL Pennants ( 1 )   2002     West Division titles ( 9 )     1979   1982   1986     2005   2007   2008   2009   2014       Wild card berths ( 1 )   2002     Front office     Owner ( s )   Arte Moreno     Manager   Mike Scioscia     General Manager   Billy Eppler     President of Baseball Operations   John Carpino     The Los Angeles Angels are an American professional baseball franchise based in Anaheim , California . The Angels compete in Major League Baseball ( MLB ) as a member club of the American League ( AL ) West division . The Angels have played home games at Angel Stadium since 1966 . The current Major League franchise was established as an expansion team in 1961 by Gene Autry , the team 's first owner . The `` Angels '' name was taken by Autry in tribute to the original Los Angeles Angels , a Minor League franchise in the Pacific Coast League ( PCL ) , which played in South Central Los Angeles from 1903 to 1957 . He bought the rights to the Angels name from Walter O'Malley , the then - Los Angeles Dodgers owner , who acquired the PCL franchise from Philip K. Wrigley , the owner of the parent Chicago Cubs at the time , as part of the Dodgers ' move to Southern California .   In 2009 , the Angels won the AL West division championship for the third straight season . 2013 was the fourth straight year in which the team did not qualify for the postseason , but marked the 11th straight year in which the Angels franchise drew more than 3 million fans in attendance , and made 30 seasons of at least 2 million fans in attendance .     Contents  ( hide )   1 Franchise history   2 Team traditions   2.1 The Rally Monkey     3 Rivalries   3.1 Texas Rangers   3.2 New York Yankees   3.3 Los Angeles Dodgers     4 Game attendance   5 Logos and colors   6 Radio and television   7 Film &amp; TV   8 Season records   9 Awards and honors   9.1 Retired numbers   9.1. 1 Out of circulation , but not retired     9.2 Angels Hall of Fame   9.3 Team captains   9.4 Baseball Hall of Fame   9.4. 1 Ford C. Frick Award recipients       10 Current roster   11 Minor league affiliations   12 References   13 Further reading   14 External links      Franchise history ( edit )  Main article : History of the Los Angeles Angels 1963 -- 1964 . An early logo used by the Los Angeles Angels .  The `` Los Angeles Angels '' name originates from the first Los Angeles - based sports team , the Los Angeles Angels , who took the name `` Angels '' from the English translation of `` Los Angeles '' , which means `` The Angels '' in Spanish . The team name started in 1892 ; in 1903 , the team name continued in L.A. through the PCL , which is now a minor league affiliate of MiLB . The Angels franchise of today was established in MLB in 1961 after former owner Gene Autry bought the rights to continue the franchise name from Walter O'Malley , the former Los Angeles Dodgers owner who had acquired the franchise from Phil Wrigley , the owner of the Chicago Cubs at the time . As stated in the book Under the Halo : The Official History of Angels Baseball , `` Autry agreed to buy the franchise name for $350,000 , and continue the history of the previously popular Pacific Coast League team as his own expansion team in the MLB . '' After the Angels joined the Major Leagues , some players from the Angels ' PCL team joined the Major League Angels in 1961 .   As an expansion franchise , the club continued in Los Angeles as the `` Los Angeles Angels '' , and played their home games at Los Angeles ' Wrigley Field ( not to be confused with Chicago 's stadium of the same name ) , which had formerly been the home of the PCL Los Angeles Angels . The Angels were one of two expansion teams established as a result of the 1961 Major League Baseball expansion , along with the second incarnation of the Washington Senators ( now Texas Rangers ) . The team then moved in 1962 to newly built Dodger Stadium , which the Angels referred to as Chavez Ravine , where they were tenants of the Los Angeles Dodgers through 1965 .   The team 's founder , entertainer Gene Autry , owned the franchise for its first 36 years . During Autry 's ownership , the team made the playoffs three times , but never won the pennant . The team has gone through several name changes in their history , first changing their name to the California Angels on September 2 , 1965 , with a month still left in the season , in recognition of their upcoming move to the newly constructed Anaheim Stadium in Anaheim at the start of the 1966 season . When The Walt Disney Company took control of the team in 1997 , it extensively renovated Anaheim Stadium , which was then renamed Edison International Field of Anaheim . The City of Anaheim contributed $30 million to the $118 million renovation with a renegotiated lease providing that the names of both the stadium and team contain the word `` Anaheim '' . The team was renamed the Anaheim Angels and became a subsidiary of Disney Sports , Inc. ( later renamed Anaheim Sports , Inc . ) . Under Disney 's ownership and the leadership of manager Mike Scioscia , the Angels won their first pennant and World Series championship in 2002 .   In 2005 , new owner Arturo Moreno added `` Los Angeles '' to the team 's name . In compliance with the terms of its lease with the city of Anaheim , which required `` Anaheim '' be a part of the team 's name , the team was renamed the Los Angeles Angels of Anaheim . Fans , residents and the municipal governments of both Anaheim and Los Angeles all objected to the change , with the City of Anaheim pursuing litigation ; nevertheless , the change was eventually upheld in court and the city dropped its lawsuit in 2009 . The team usually refers to itself as the Angels or Angels Baseball in its home media market , and the words `` Los Angeles '' and `` LAA '' do not appear in the stadium , on the Angels ' uniforms , or on official team merchandise . Local media in Southern California tend to omit a geographic identifier and refer to the team as the Angels or as the Halos . The Associated Press , the most prominent news service in the U.S. , refers to the team as the Los Angeles Angels , the Angels , or Los Angeles . The team refers to itself as the `` Los Angeles Angels '' on its social media accounts , including Twitter , Facebook , and Instagram . In 2013 , the team was to officially drop `` of Anaheim '' from its name , as part of a new Angel Stadium lease negotiated with the Anaheim city government . The deal was never finalized , though as of 2017 , most official sources omit the `` of Anaheim '' suffix and the official MLB Style Guide has referred to the team as simply the Los Angeles Angels since the 2016 season .   Team traditions ( edit )   The mantra `` Win One for the Cowboy '' is a staple that is deeply rooted in Angels history for fans . The saying refers to the Angels ' founder and previous owner , Gene Autry , who never saw his Angels win a World Series in his 38 years as owner . Years went by as the team experienced many losses just strikes away from American League pennants . By the Angels ' first World Series Championship in 2002 , Gene Autry had died , but after winning the World Series , Angels player Tim Salmon ran into the home dugout and brought out one of Autry 's signature white Stetson hats in honor of the `` singing cowboy '' . Autry 's # 26 was retired as the 26th man on the field for the Angels .   Angel Stadium of Anaheim is nicknamed `` The Big A . '' It has a section in center field nicknamed the `` California Spectacular '' , a formation of artificial rocks made to look like a desert mountain in California . The California Spectacular has a running waterfall , and also shoot fireworks from the rocks before every game ; anytime the Angels hit a home run or win a game the fireworks shoot from the rocks as well .   Each game begins with the song `` Calling All Angels '' by Train being played accompanied by a video that shows historical moments in team history , with Norman Greenbaum 's `` Spirit in the Sky '' being played during the team 's starting lineup announcement .   Anytime the Angels win a game , the saying `` Light Up the Halo ! '' , or `` Light That Baby Up ! '' is used in reference to the giant landmark which is a big 230 foot tall A with a halo surrounding the top which lights up every time the Angels win a game . Fans also use the saying , `` Just another Halo victory '' , as the late Angels broadcaster Rory Markas , who would say the catch phrase after each win .   The Angels organization was the first North American team to employ the use of thundersticks .   The Rally Monkey ( edit )   The Rally Monkey is a mascot for the Angels which appears if the Angels are losing a game or if the game is tied from the 7th inning on , but sometimes earlier depending on the situation . The Rally Monkey appears on the scoreboard in various movies or pop culture references that have been edited to include him .   The Rally Monkey was born in 2000 when the scoreboard showed a clip from Ace Ventura : Pet Detective , after which the Angels rallied to win the game . The clip proved to be so popular that the team hired Katie , a white - haired capuchin monkey , to star in original clips for later games . When seen , she jumps up and down to the House of Pain song `` Jump Around '' and holds a sign that says `` RALLY TIME ! ''   The Rally Monkey came to national and worldwide attention during the Angels ' appearance in the 2002 World Series against the San Francisco Giants . In the 6th game , the Angels were playing at home , but were trailing the series 3 - 2 and facing elimination . They were down 5 - 0 as the game entered the bottom of the 7th inning . Amid fervid rally - monkey themed fan support , the Angels proceeded to score six unanswered runs over the next two innings , winning the game and turning the momentum of the series for good ( they went on to clinch the championship in game 7 ) .   From 2007 to 2009 , the Angels reached the post-season each year , sparking a renewal of the Rally Monkey 's popularity .   Rivalries ( edit )   The Angels have developed many rivalries in and also outside of their division . They include the New York Yankees , Boston Red Sox , Texas Rangers , Oakland Athletics , and the neighboring Los Angeles Dodgers .   Texas Rangers ( edit )   The Rangers and Angels rivalry has been said to develop over a domination in the division between the two teams , and also in recent years more animosity between the two teams due to the amount of former players from each team playing for the division rival . Players such as Mike Napoli , Darren Oliver , Vladimir Guerrero , C.J. Wilson , and Josh Hamilton have all been acquisitions the two division rivals have made from one another . In 2012 , Wilson played a joke on Napoli , his former teammate , by tweeting his phone number , causing Napoli to exchange words with Wilson . The feuds go back to two incidents between Angels second baseman Adam Kennedy and Rangers catcher Gerald Laird which led to punches being thrown .   The two teams have each had a perfect game against each other , including Mike Witt in 1984 at Arlington Stadium and Kenny Rogers in 1994 at The Ballpark in Arlington .   New York Yankees ( edit )   The Angels and Yankees rivalry can be seen as stemming from heated play between the two teams through the years , including several times in the playoffs . For the past 20 years the Angels are also the only team in the majors to have a winning record against the Yankees , especially in 1998 when there was concern from New York sportswriters that the Angels could upset the Yankees in the Division Series . The Angels missed the playoffs , and the Yankees went on to win later that year . The Angels would knock off the Yankees four years later in the 2002 ALDS . Coincidental enough , the former PCL Angels were nicknamed `` Yankees West '' due to the success the team had , and even held multiple scrimmage games between the two in the old Wrigley Field in Los Angeles during spring training throughout the 30s , 40s , and 50s .   Los Angeles Dodgers ( edit )  Main article : Freeway Series  The rivalry with the Los Angeles Dodgers has been referred to as the Freeway Series because of the freeway system ( mostly via I - 5 ) linking the two teams ' home fields . The Freeway Series rivalry developed mostly over the two teams sharing similar regions and fans having been split in Los Angeles , similar to the Chicago Cubs vs. Chicago White Sox rivalry , the San Francisco Giants vs. Oakland A 's rivalry , or the New York Mets vs. New York Yankees rivalry .   Game attendance ( edit )   The Angels have drawn more than 3 million fans to the stadium for twelve years straight , and at least 2 million for 17 seasons , and a game average in 2010 , 2011 , 2012 , &amp; 2013 of 40,000 fans at each game despite not making the playoffs all four years . This is 2nd in all of MLB , only trailing the New York Yankees . In 2014 , the Angels were fifth in the MLB in attendance , with a total of 3,095,935 people .   As of 2015 , the Angels fans have set 6 Guinness World Records for the largest gatherings of people wearing blankets , wrestling masks , cowboy hats , wigs , Santa hats , superhero capes , and sombreros . They 've also set the world record for largest gathering of people with selfie sticks . In 2009 , the Angels were voted the number one franchise in professional sports in Fan Value by ESPN magazine . In 2011 , ESPN &amp; Fan polls by ESPN ranked the Angels # 4 in the best sports franchises , ahead of every Major League team in baseball at # 1 and also making it the # 1 sports franchise in Los Angeles . The rankings were determined through a combination of sports analysts and fan votes ranking all sports franchises by a combination of average fan attendance , fan relations , `` Bang for your Buck '' or winning percentage over the past 3 years , ownership , affordability , stadium experience , players effort on the field and likability , coaching , and `` Title Track '' .   Logos and colors ( edit )  2002 -- 2004 . The second logo under the `` Anaheim '' name and Disney ownership .  The Los Angeles Angels have used ten different logos and three different color combinations throughout their history . Their first two logos depict a baseball with wings and a halo over a baseball diamond with the letters `` L '' and `` A '' over it in different styles . The original team colors were the predominantly blue with a red trim . This color scheme would be in effect for most of the franchise 's history lasting from 1961 to 1996 .   On September 2 , 1965 , with the team still a tenant of the Dodgers at Chavez Ravine , Autry changed its name from the `` Los Angeles Angels '' to the `` California Angels . '' With the club 's 1966 move to Anaheim , the logo changed as well . During the 31 years of being known as the `` California Angels '' , the team kept the previous color scheme , however , their logo did change six times during this period . The first logo under this name was very similar to the previous `` LA '' logo , the only difference was instead of an interlocking `` LA '' , there was an interlocking `` CA . '' Directly after this from 1971 to 1985 , the Angels adopted a logo that had the word `` Angels '' written on an outline of the State of California . Between the years 1971 -- 1972 the `` A '' was lower - case while from 1973 to 1985 it was upper - case .   It was in 1965 , while the stadium was being finished , that Bud Furillo ( of the Herald Examiner ) coined its nickname , `` the Big A '' after the tall letter A that once stood beyond left - center field and served as the arena 's primary scoreboard ( it was later relocated to a section of the parking lot , south - east of the stadium ) .  Angel Stadium of Anaheim  In 1986 , the Angels adopted the `` big A '' on top of a baseball as their new logo , with the shadow of California in the background . After the `` big A '' was done in 1992 , the Angels returned to their roots and re-adopted the interlocking `` CA '' logo with some differences . The Angels used this logo from 1993 to 1996 , during that time , the `` CA '' was either on top of a blue circle or with nothing else .   After the renovations of then - Anaheim Stadium and the takeover by the Walt Disney Company , the Angels changed their name to the `` Anaheim Angels '' along with changing the logo and color scheme . The first logo under Disney removed the halo and had a rather cartoon - like `` ANGELS '' script with a wing on the `` A '' over a periwinkle plate and crossed bats . With this change , the Angels ' color scheme changed to dark blue and periwinkle . After a run with the `` winged '' logo from 1997 to 2001 , Disney changed the Angels ' logo back to a `` Big A '' with a silver logo over a dark blue baseball diamond . With this logo change , the colors changed to the team 's current color scheme : predominantly red with some dark blue and white .   When the team 's name changed from the `` Anaheim Angels '' to the `` Los Angeles Angels of Anaheim '' , the logo changed only slightly , the name `` ANAHEIM ANGELS '' and the blue baseball diamond were removed leaving only the `` Big A . ''   For the 2011 season , as part of the 50th anniversary of the Angels franchise , the halo on the ' Big A ' logo temporarily changed colors from silver to old gold , paying tribute to the Angels logos of the past ( and also the 50th Anniversary tradition of gold ) . The uniforms also reflected the change to the gold halo for this season .   During the 50th Anniversary season the players wore throwback jerseys at each Friday home game reflecting all the different logos and uniforms previously worn by players . Also , Angels alumni from past seasons threw the ceremonious first pitch at every home game during the 50th Anniversary season .   A new patch was added on the uniforms before the 2012 season , featuring a red circle encircling the words `` Angels Baseball '' and the club logo inside and flanking the year 1961 in the middle , which was the year the Angels franchise was established . With this new patch , the Angels ' A with the halo now appears on three different locations of the jersey - the right shoulder , the wordmark , and the left shoulder .   Radio and television ( edit )  Main article : List of Los Angeles Angels broadcasters  As of 2009 , the Angels ' flagship radio station is KLAA 830AM , which is owned by the Angels themselves and ESPN . It replaces KSPN ( 710 ESPN ) , on which frequency had aired most Angels games since the team 's inception in 1961 . That station , then KMPC , aired games from 1961 to 1996 . In 1997 &amp; 1998 , the flagship station became KIEV ( 1110AM ) . In 1999 , it was replaced by KLAC for four seasons , including the 2002 World Series season .   The Angels 2010 broadcast line - up was thrown into doubt with the death of Rory Markas in January 2010 . The Angels had announced in November 2009 that Markas and Mark Gubicza would broadcast Angels ' televised games , with Terry Smith and José Mota handling the radio side . At the same time , the Angels announced that Steve Physioc and Rex Hudler would not return to the broadcasting team . On March 3 , 2010 it was announced that Victor Rojas will replace Markas .   In 2008 , KLAA broadcast spring training games on tape delay from the beginning on February 28 to March 9 because of advertiser commitments to some daytime talk shows . Those games were available live only online . Live preseason broadcasts were to begin on March 10 .   In 2009 , KFWB 980AM started broadcasting 110 weekday games , including postseason games , to better reach listeners in Los Angeles County and other areas to the north . All 162 games plus post season games still air on KLAA .   In 2010 , KSPN 710AM broadcast at least 60 weekday games . This was a partial return to their old station from 2007 .   Angels radio broadcasts are also in Spanish on KWKW 1330AM and KWKU 1220AM .   Fox Sports West holds the exclusive rights to the regional telecasts of approximately 150 Angels home and away games . Fox owned and operated MyNetworkTV affiliate KCOP - TV broadcast select games from 2006 to 2011 , but opted to move those games to Fox Sports West in 2012 . As all MLB teams , select national Angels telecasts can be found on Fox , ESPN , TBS or MLB Network . During Disney 's ownership of the franchise , the company planned to start an ESPN West regional sports network in 1999 , which would also carry Anaheim Mighty Ducks ice hockey games , but the plan was abandoned .   During the 2009 season , Physioc and Hudler called about 100 games , while Markas and Gubicza had the remaining game telecasts ( about 50 , depending on ESPN and Fox exclusive national schedules ) . The split arrangement dated back to the 2007 season , when Mota and Gubicza were the second team . Markas debuted on TV in a three - game series at the Toronto Blue Jays in August 2007 .   Mota , who is bilingual and the son of former Dodger Manny Mota , has also called Angels games in Spanish , and at one time did analysis from the dugout rather than the usual booth position .   All locally broadcast games are produced by FSN regardless of the outlet actually showing the games .   Dick Enberg , who broadcast Angels baseball in the 1970s , is the broadcaster most identified with the Angels , using such phrases as `` Oh , my ! '' , `` Touch ' em all ! '' after Angel home runs , and `` The halo shines tonight ! ''   Other former Angels broadcasters over the past three decades include Buddy Blattner , Don Wells , Dave Niehaus , Don Drysdale , Bob Starr , Joe Torre , Paul Olden , Al Wisk , Al Conin , Mario Impemba , Sparky Anderson , Jerry Reuss , Ken Wilson , Ken Brett , and Ron Fairly . Jerry Coleman also spent time with the Angels organization in the early 1970s as a pre-game and post-game host before joining the San Diego Padres broadcast team .   From 1994 until the end of the 2012 season , the public address announcer for most Angels home games was David Courtney , who also served as the public address announcer for the Los Angeles Kings and Los Angeles Clippers and a traffic reporter for Angels flagship KLAA 830 AM until his death on November 29 , 2012 , . Starting in the 2013 season , Michael Araujo , the PA Announcer for the LA Galaxy since 2002 , was selected as the new public address announcer for the Angels . Anaheim Ducks announcer Phil Hulett serves as the secondary public address announcer .   Film &amp; TV ( edit )    Walt Disney Pictures remade the 1951 film Angels in the Outfield in 1994 with the California Angels as the team that receives heavenly assistance .   The team is also featured in the 1988 comedy film The Naked Gun .   The 1990 comedy Taking Care of Business features a world series matchup between the Chicago Cubs and the California Angels .   The 1991 movie Talent for the Game features Edward James Olmos as a baseball scout for the California Angels .   During Disney 's ownership of the Angels , the team was also featured in Air Bud : Seventh Inning Fetch , Deuce Bigalow : Male Gigolo , and TV movie Angels in the Infield .   Most recently , the Angels and Angel Stadium were featured in season 8 of The Big Bang Theory in an episode titled `` The First Pitch Insufficiency '' .    Season records ( edit )  Main article : List of Los Angeles Angels seasons  Awards and honors ( edit )  See also : Los Angeles Angels award winners and league leaders  Retired numbers ( edit )            Jim Fregosi SS , Manager Retired August 1 , 1998           Gene Autry Team Founder Retired October 3 , 1982           Rod Carew 1B , Coach Retired August 12 , 1986           Nolan Ryan Retired June 16 , 1992           Jackie Robinson All MLB Honored April 15 , 1997           Jimmie Reese Coach Retired August 2 , 1995         No. 26 was retired for Gene Autry to indicate he was the team 's `` 26th Man '' ( 25 is the player limit for any MLB team 's active roster , except in September )   No. 42 was retired throughout Major League Baseball in 1997 to honor Jackie Robinson .   Out of circulation , but not retired ( edit )   No. 15 has been out of circulation since Tim Salmon 's retirement at the end of the 2006 season   No. 34 has been out of circulation since Nick Adenhart 's untimely death in 2009 .    Angels Hall of Fame ( edit )   The Angels have a team Hall of Fame , with the following members :   Key   Year   Year inducted     Bold   Member of the Baseball Hall of Fame       Member of the Baseball Hall of Fame as an Angel       Angels Hall of Fame     Year   No .   Name   Position ( s )   Tenure     1988     Bobby Grich   2B   1977 -- 1986     1989   11   Jim Fregosi   SS Manager   1961 -- 1971 1978 -- 1981     1990   12 , 25   Don Baylor   DH / LF   1977 -- 1982     1991   29   Rod Carew   1B Coach   1979 -- 1985 1992 -- 1999     1992   30   Nolan Ryan     1972 -- 1979     1995   50   Jimmie Reese   Coach   1972 -- 1994     2009   5 , 9   Brian Downing   DH / LF / C   1978 -- 1990     31   Chuck Finley     1986 -- 1999     2011   26   Gene Autry   Owner / Founder   1961 -- 1998     2012   2002 World Series Team     2013   29   Bobby Knoop   2B   1964 -- 1969     2015   31   Dean Chance     1961 -- 1966     15   Tim Salmon   RF   1992 -- 2006     39   Mike Witt     1981 -- 1990     2016   16   Garret Anderson   LF   1994 -- 2008     2017   27   Vladimir Guerrero   RF / DH   2004 -- 2009     Team captains ( edit )    Jerry Remy 1977   Don Baylor 1978 -- 1982    Baseball Hall of Fame ( edit )   As of the 2015 Hall of Fame election , no inducted members have elected to be depicted wearing an Angels cap on their plaque . However , several Hall of Famers have spent part of their careers with the Angels , and the Hall lists the Angels as the `` primary team '' of one inductee , Nolan Ryan .     Los Angeles Angels Hall of Famers     Affiliation according to the National Baseball Hall of Fame and Museum      California Angels    Bert Blyleven Rod Carew       Whitey Herzog Reggie Jackson       Frank Robinson Nolan Ryan       Don Sutton Hoyt Wilhelm       Dick Williams Dave Winfield      Anaheim Angels        Rickey Henderson           Eddie Murray                                                       Players and managers listed in bold are depicted on their Hall of Fame plaques wearing a Angels cap insignia .                  Ford C. frick award recipients ( edit )    Los Angeles Angels Ford C. Frick Award recipients     Affiliation according to the National Baseball Hall of Fame and Museum         Jerry Coleman       Dave Niehaus       Dick Enberg       Joe Garagiola           Names in bold received the award based primarily on their work as broadcasters for the Angels .               Current roster ( edit )     Los Angeles Angels 2018 spring training roster   view   talk         40 - man roster   Non-roster invitees   Coaches / Other      Pitchers    48 José Álvarez   32 Cam Bedrosian   62 Parker Bridwell   -- Dayán Díaz   28 Andrew Heaney   23 Alex Meyer   39 Keynan Middleton   60 Eduardo Paredes   53 Blake Parker   -- Felix Pena   66 J.C. Ramírez   65 Noe Ramirez   43 Garrett Richards   38 Troy Scribner   52 Matt Shoemaker   45 Tyler Skaggs   73 Nate Smith   35 Nick Tropeano   46 Blake Wood        Catchers    13 Juan Graterol   12 Martín Maldonado   58 Carlos Perez    Infielders    22 Kaleb Cowart   24 C.J. Cron   49 Nolan Fontana   19 Jefry Marté   2 Andrelton Simmons   18 Luis Valbuena    Outfielders    56 Kole Calhoun   27 Mike Trout   9 Justin Upton    Designated hitters    5 Albert Pujols                      Manager    14 Mike Scioscia    Coaches    63 Scott Radinsky ( bullpen )   92 Anel De Los Santos ( bullpen catcher )   21 Dino Ebel ( bench )   70 Tom Gregorio ( bullpen catcher )   3 Alfredo Griffin ( first base )   -- Eric Hinske ( hitting )   41 Charles Nagy ( pitching )   61 Steve Soliz ( catching / player information )   55 Paul Sorrento ( assistant hitting )   -- Vacant ( third base )        32 active , 0 inactive , 0 non-roster invitees   7 - or 10 - day disabled list * Not on active roster Suspended list Roster , coaches , and NRIs updated November 6 , 2017 Transactions Depth Chart → All MLB rosters      Minor league affiliations ( edit )  Main article : List of Los Angeles Angels minor league affiliates    Level   Team   League   Location     AAA   Salt Lake Bees   Pacific Coast League   Salt Lake City , Utah     AA   Mobile BayBears   Southern League   Mobile , Alabama     Advanced A   Inland Empire 66ers   California League   San Bernardino , California       Burlington Bees   Midwest League   Burlington , Iowa     Rookie   Orem Owlz   Pioneer League   Orem , Utah     AZL Angels   Arizona League   Tempe , Arizona     DSL Angels   Dominican Summer League   San Pedro de Macorís , Dominican Republic     References ( edit )    Jump up ^ Shaikin , Bill ( December 6 , 2012 ) . `` Angels are simply plugging along '' . Los Angeles Times . Retrieved April 8 , 2013 .   Jump up ^ Donovan , Pete ( 2012 ) . Under the Halo : The Official History of Angels Baseball . San Rafael , California : INSIGHT EDITIONS . pp. 35 , 36 . ISBN 978 - 1 - 60887 - 019 - 6 .   Jump up ^ The Sporting News , The Complete Baseball Record Book ( St. Louis : The Sporting News , 1994 ) , 223 . Also see the American League standings printed in the New York Times on September 4 , 1965 .   Jump up ^ Kasindorf , Martin ( 2006 - 01 - 30 ) . `` Angels ' name prompts devil of a lawsuit '' . Usatoday.Com . Retrieved 2015 - 05 - 14 .   Jump up ^ `` Official Twitter of the Los Angeles Angels '' . Twitter . Retrieved 24 May 2017 .   Jump up ^ `` The official Instagram account of the Los Angeles Angels '' . Instagram . Retrieved 24 May 2017 .   Jump up ^ `` Los Angeles Angels '' . Facebook . Retrieved 24 May 2017 .   Jump up ^ Gonzalez , Alden ( August 31 , 2013 ) . `` Report : After vote , Halos may drop ' of Anaheim ' '' . Major League Baseball Advanced Media . Retrieved June 11 , 2017 .   Jump up ^ Benne , Jon ( September 4 , 2013 ) . `` Angels dropping Anaheim from name '' . SB Nation . Retrieved May 30 , 2017 .   Jump up ^ Schoch , Josh ( September 4 , 2013 ) . `` Angels Will Finally Be Allowed to Drop Anaheim from Their Team Name '' . Bleacher Report . Retrieved June 1 , 2017 .   Jump up ^ Shaikin , Bill ( 2013 - 08 - 30 ) . `` ' Los Angeles Angels of Anaheim ' could be no more '' . Los Angeles Times . ISSN 0458 - 3035 . Retrieved 2017 - 06 - 18 .   Jump up ^ Creamer , Chris ( 2017 - 06 - 28 ) . `` Of Anaheim No More , Los Angeles Angels Officially Changed Name '' . sportslogos.net . Retrieved 2017 - 08 - 17 .   Jump up ^ Marroquin , Art ; Tully , Sarah ( 2015 - 01 - 07 ) . `` Los Angeles Angels of Anaheim : 10 years later , how big of a deal was the name change ? '' . Orange County Register . Retrieved 2017 - 06 - 18 . In 2013 , the City Council initially approved a memorandum of understanding that would allow the team to strip the `` of Anaheim '' from its name , as well as other financial arrangements . Follow - up negotiations , however , have n't happened -- and the Angels have threatened to leave Anaheim .   Jump up ^ Shaikin , Bill ( 2016 - 09 - 27 ) . `` Move into a new stadium ? Renovate the old one ? Angels could just play out their lease in Anaheim '' . Los Angeles Times . ISSN 0458 - 3035 . Retrieved 2017 - 06 - 18 .   Jump up ^ Moura , Pedro ( 2017 - 02 - 18 ) . `` Angels t</t>
  </si>
  <si>
    <t xml:space="preserve">when did the angels became the los angeles angels</t>
  </si>
  <si>
    <t xml:space="preserve"> The Los Angeles Angels are an American professional baseball franchise based in Anaheim , California . The Angels compete in Major League Baseball ( MLB ) as a member club of the American League ( AL ) West division . The Angels have played home games at Angel Stadium since 1966 . The current Major League franchise was established as an expansion team in 1961 by Gene Autry , the team 's first owner . The `` Angels '' name was taken by Autry in tribute to the original Los Angeles Angels , a Minor League franchise in the Pacific Coast League ( PCL ) , which played in South Central Los Angeles from 1903 to 1957 . He bought the rights to the Angels name from Walter O'Malley , the then - Los Angeles Dodgers owner , who acquired the PCL franchise from Philip K. Wrigley , the owner of the parent Chicago Cubs at the time , as part of the Dodgers ' move to Southern California . </t>
  </si>
  <si>
    <t xml:space="preserve">Orlando Magic - wikipedia  Orlando Magic  Jump to : navigation , search    Orlando Magic          2017 -- 18 Orlando Magic season            Conference   Eastern     Division   Southeast     Founded       History   Orlando Magic 1989 -- present     Arena   Amway Center     Location   Orlando , Florida     Team colors   Blue , black , silver     CEO   Alex Martins     President   Jeff Weltman     General manager   John Hammond     Head coach   Frank Vogel     Ownership   RDV Sports , Inc . ( Richard DeVos , CEO )     Affiliation ( s )   Lakeland Magic     Championships   0     Conference titles   2 ( 1995 , 2009 )     Division titles   5 ( 1995 , 1996 , 2008 , 2009 , 2010 )     Retired numbers   1 ( 6 )     Website   www.nba.com/magic     Uniforms        Home   Away   Third        The Orlando Magic are an American professional basketball team based in Orlando , Florida . The Magic compete in the National Basketball Association ( NBA ) as a member club of the league 's Eastern Conference Southeast Division . The franchise was established in 1989 as an expansion franchise , and such notable NBA stars as Shaquille O'Neal , Penny Hardaway , Patrick Ewing , Grant Hill , Tracy McGrady , Steve Francis , Dwight Howard , Vince Carter , Rashard Lewis , and Hedo Türkoğlu have played for the club throughout its young history . As of 2017 , the franchise has played in the NBA playoffs for exactly half of its existence ( 14 playoff appearances in 28 years ) , and twice went to the NBA Finals , in 1995 and 2009 . Orlando has been the second most successful of the four expansion teams brought into the league in 1988 and 1989 in terms of winning percentage , after fellow Floridian team Miami Heat .     Contents  ( hide )   1 Franchise history   1.1 1985 -- 1986 : Team creation   1.2 1989 -- 1992 : Early years   1.3 1992 -- 1996 : The Shaquille O'Neal era   1.4 1996 -- 1999 : The Penny Hardaway era   1.5 1999 -- 2000 : The Heart and Hustle era   1.6 2000 -- 2004 : The Tracy McGrady era   1.7 2004 -- 2012 : The Dwight Howard era   1.7. 1 2006 -- 2010 : Return to the NBA Finals   1.7. 2 2010 -- 2012 : The `` Dwightmare '' saga     1.8 2012 -- present : Rebuilding for a new era     2 Home arenas   2.1 Amway Center   2.2 Amway Arena ( former arena )     3 Team identity   3.1 Logos and uniforms   3.2 Mascot     4 Players   4.1 Current roster   4.2 Retained draft rights   4.3 Retired numbers   4.4 Basketball Hall of Famers   4.5 Orlando Magic Hall of Fame     5 Head coaches   6 Season - by - season records   7 Rivalries   7.1 Miami Heat   7.2 Atlanta Hawks     8 Media   8.1 Television   8.2 Radio   8.3 Podcasts     9 Leaders   9.1 Franchise leaders   9.2 Individual records     10 Awards and accomplishments   10.1 Individual awards   10.2 NBA All - Star Weekend     11 Notes   12 References   13 External links      Franchise history ( edit )   1985 -- 1986 : team creation ( edit )   In September 1985 , Orlando businessman Jim L. Hewitt approached Philadelphia 76ers general manager Pat Williams as they met in Texas on his idea of bringing an NBA team to Orlando . Intrigued by the project , Williams signed on as the front man of the investment group one year later as he left the 76ers . On June 19 , 1986 , the two held a news conference to announce their intention of seeking an NBA franchise .   At the same time Hewitt and Williams decided to hold a contest in the Orlando Sentinel newspaper to get names for their new franchise . Out of a total of 4,296 submitted entries , the names were subsequently narrowed to four , `` Heat '' , `` Tropics '' , `` Juice '' , and `` Magic '' . The last one , which had been submitted by 11 people , was picked after Williams brought his 7 - year - old daughter Karyn to visit in Orlando . On July 27 , 1986 , it was announced that the committee chose the Magic to be the new name of the Orlando franchise in the NBA . The name `` Magic '' alludes to the area 's biggest tourist attraction and economic engine Walt Disney World , along with its Magic Kingdom . Hewitt added that `` You look at all the aspects of Central Florida , and you find it really is an exciting place , a magical place . ''   Many , including Williams himself at first , thought that Miami or Tampa were better locations in Florida for a franchise , given Orlando was a small town lacking a major airport and a suitable arena . Hewitt brought investors such as real estate developer William DuPont , Orlando Renegades owner Don Dizney , and Southern Fruit Citrus owners Jim and Steve Caruso , and talked the Orlando city officials into approving an arena project . Meanwhile , Williams gave presentations to NBA commissioner David Stern and the owners of the other teams of the league that the town was viable .   The Magic were one of the four new expansion franchises awarded by the NBA in 1987 along with the Charlotte Hornets , Miami Heat and Minnesota Timberwolves . Initially , the NBA was planning to expand by three teams , with one franchise going to Florida ; however , when both Miami and Orlando ownership groups made successful pitches , the expansion committee decided to expand by four teams , allowing both to have a franchise . The Magic became the first ever major - league professional sports franchise in the Orlando area , following an expansion fee of reportedly $32.5 million . The Magic hired Matt Guokas as the team 's first coach , who helped the Magic select 12 players in the NBA Expansion Draft on June 15 , 1989 . On June 27 , 1989 , the Magic chose Nick Anderson with the 11th pick in the first round , who became the first draft pick of the franchise .   1989 -- 1992 : early years ( edit )   The very first game played was an exhibition game on October 13 , 1989 against the then reigning champions Detroit Pistons , which the Magic won . Anderson was quoted as saying the atmosphere and the people watching the game was `` like Game 7 of the NBA Finals '' .   On November 4 , 1989 , the Magic played their first season game at the Orlando Arena ( O - Rena ) against the visiting New Jersey Nets , who won 111 -- 106 in a hard - fought game . The Magic 's first victory came two days later , as the Magic defeated the New York Knicks 118 -- 110 . The inaugural team compiled a record of 18 -- 64 with players including Reggie Theus , Scott Skiles , Terry Catledge , Sam Vincent , Otis Smith , and Jerry Reynolds .   In the 1990 NBA draft , the Orlando Magic selected Dennis Scott with the fourth overall pick . On December 30 , 1990 , Scott Skiles racked up 30 assists in the 155 -- 116 victory over the Denver Nuggets , breaking Kevin Porter 's NBA single - game assists record ( 29 ) . Skiles was named the NBA 's Most Improved Player at the end of the season , as the Magic heralded the NBA 's most improved record that season . Forward Dennis Scott set a team mark with 125 three - point field goals for the season , the best long - distance production by a rookie in NBA history . He was named to the NBA All - Rookie First Team . Despite a 31 -- 51 record , there were 40 sellouts out of 41 home games .   On September 19 , 1991 , the DeVos family , founders of Amway , purchased the franchise for $85 million . Family patriarch Richard DeVos became the owner of the franchise . The 1991 -- 92 season was disappointing for the Magic as various players missed games with injuries . Dennis Scott played only 18 games , Nick Anderson missed 22 games , Stanley Roberts , Jerry Reynolds , Brian Williams , Sam Vincent and Otis Smith all missed at least 27 games each . With a shortage of healthy players the team struggled through a 17 - game losing streak and finished with a 21 -- 61 record . The Magic still managed to have all 41 home games sold out .   1992 -- 1996 : the Shaquille O'Neal era ( edit )   The Magic history was changed on May 17 , 1992 , when the franchise won the first pick in the 1992 NBA draft Lottery . The Magic selected big - man Shaquille O'Neal from Louisiana State University , the biggest prize in the draft since the Knicks won Patrick Ewing . O'Neal , a 7'1 '' center , made an immediate impact on the Magic , leading the team to a 41 -- 41 record . The Magic again became the NBA 's most improved franchise , as they improved by 20 games . O'Neal was the first rookie to be voted an All - Star starter since Michael Jordan in 1985 . He also became the 1992 -- 1993 NBA Rookie of the Year . Despite O'Neal's presence , the Magic missed the 1993 NBA Playoffs because they were tied with the Indiana Pacers for the eighth and final playoff spot in the Eastern Conference with the Pacers holding the tiebreaker .   Despite barely missing the playoffs and receiving the least chance of gaining the top draft pick with only one ball in the lottery , the Magic again won the first pick in the 1993 NBA draft Lottery . Prior to the draft , Guokas stepped down as head coach , and Brian Hill was promoted to become the Magic 's second head coach . In the draft , the Magic selected Chris Webber , but traded him to the Golden State Warriors for the number three pick , guard Anfernee `` Penny '' Hardaway and three future first - round draft picks . With the combination of O'Neal and Hardaway , the Magic became a dominant team in the NBA , compiling the first 50 win season in franchise history with a 50 -- 32 record . The Magic were in the playoffs for the first time , ranked the fourth seed in the Eastern Conference ; however , the Pacers swept the Magic 3 -- 0 in the first round , thus ending the Magic 's season .   In the 1994 -- 95 season , the Magic 's sixth season , All - Star forward Horace Grant was acquired as a free agent from the Chicago Bulls . The Orlando Magic compiled a 57 -- 25 record , best in the East and winning the Atlantic Division title , becoming the second - fastest team to advance to the NBA Finals in league history . In the playoffs , the Magic defeated the Boston Celtics , Bulls , and the Indiana Pacers , advancing to the NBA Finals where O'Neal , Hardaway and the young Magic bowed to a more playoff - experienced Hakeem Olajuwon and the Houston Rockets , winning their second consecutive championship in a 4 -- 0 sweep of Orlando .   In the 1995 -- 96 season , the Magic again were near the top of the Eastern Conference and the Atlantic Division with a 60 -- 22 record , led by O'Neal and Hardaway ; however , the Magic were seeded number two , behind the NBA 's all - time second best 72 -- 10 record of the Chicago Bulls . In the meantime , General Manager Pat Williams was promoted to Senior Executive Vice President and replaced by the Vice President of Basketball Operations John Gabriel on April 29 , 1996 . In the playoffs , after the Magic defeated the Detroit Pistons and the Atlanta Hawks , Orlando met the Bulls in the Eastern Conference Finals . The combination of Jordan , Scottie Pippen and rebounder Dennis Rodman was too much for the Magic , and Orlando was swept 4 -- 0 .   1996 -- 1999 : the Penny Hardaway era ( edit )   In the offseason , O'Neal left as a free agent to the Los Angeles Lakers , dealing a huge blow to the Magic franchise . In the middle of the season , urged by player discontent , management fired coach Brian Hill and named Richie Adubato as interim coach for the rest of the season . Under Adubato , the Magic went 21 -- 12 to compile a 45 -- 37 record , led by Penny Hardaway . In the playoffs , the Magic quickly fell 0 -- 2 to the heavily favored Miami Heat in the first round , but Hardaway battled back with consecutive 40 point games to assure a game five ( the first player to do so ) , which the Magic ultimately lost .   The Magic then hired Chuck Daly to be head coach for the 1997 -- 98 season . In addition , Hall of Famer Julius Erving joined the Magic 's front office , giving Orlando hope for a successful season . The season was hampered by an injury to Hardaway who sat out the majority of the season . Anderson , combined with newly acquired free agent Bo Outlaw , led the team to a 41 -- 41 record , just out of reach of the NBA playoffs . In addition , Seikaly was traded during the season to the New Jersey Nets for three role players and a future draft pick .   In 1998 -- 99 , with the drafting of Michael Doleac and Matt Harpring with the 12th and 15th picks in the 1998 draft , and a healthy Penny Hardaway and Nick Anderson , the Magic tied for the Eastern Conference 's best record with the Miami Heat in the lockout - shortened season , 33 -- 17 . Armstrong again led the team emotionally , winning the NBA 's Sixth - Man and Most Improved Player awards . Orlando also acquired NBA great Dominique Wilkins , along with brother Gerald , who were past their primes but were both still serviceable NBA players . In the playoffs the Penny Hardaway - led Magic were seeded number 3 because of tiebreakers and faced the Philadelphia 76ers . The 76ers , led by Allen Iverson , upset the Magic 3 -- 1 in the first round . The team also changed their uniforms for the first time ever , changing from pinstripes to stars .   1999 -- 2000 : the Heart and Hustle era ( edit )   In 1999 , the Magic , under General Manager John Gabriel , who was later named Executive of the Year , hired rookie - coach Doc Rivers . Gabriel dismantled the previous team trading their only remaining superstar Anfernee Hardaway to the Phoenix Suns for Danny Manning ( who never donned a Magic uniform ) , Pat Garrity , and two future draft picks . The Magic were then a team composed of virtually all no name players and little experience which included team captain Armstrong , Bo Outlaw and a young Ben Wallace , along with Coach Rivers led the Magic to a 41 -- 41 record , barely missing out on the playoffs . At the end of the season Rivers was named Coach of the Year . That year was characterized by the slogan `` Heart and Hustle '' , as the team was known for its hard - working style .   2000 -- 2004 : the Tracy McGrady era ( edit )  Tracy McGrady with the Orlando Magic in 2002 .  The following offseason , Gabriel , with millions of cleared salary cap space , attempted to lure three of the NBA 's most prized free agents : Tim Duncan , Grant Hill , and Tracy McGrady . Duncan opted to remain with the San Antonio Spurs , the Magic acquired Hill , a perennial All - Star , and McGrady . With McGrady and Hill together , the Magic were expected to be a force in the East . However , Hill was limited to 4 games because of an ankle injury . McGrady blossomed into a star during the season , becoming one of the NBA 's top scorers . With the addition of Mike Miller from the draft , the Magic compiled a 43 -- 39 record , which included a nine - game winning streak , and once again made the playoffs . McGrady made the All - Star Team and All - NBA 2nd Team . Miller won the Rookie of the Year . In the playoffs , they faced the Milwaukee Bucks in the first round . The Bucks won the series 3 -- 1 .   In 2001 -- 02 , McGrady led the Magic to a winning record of 44 -- 38 . Hill was still severely limited by his ankle injury , and did not play for the vast majority of the season . McGrady , combined with Armstrong , Miller , and 3 - point sharpshooter Pat Garrity , formed the core of the team . McGrady made the All - NBA for the first time and made his second consecutive All - Star Team . However , the Magic were defeated 3 -- 1 in the first round of the playoffs by the Charlotte Hornets led by Baron Davis .   In 2002 -- 03 , with the acquisitions of Gordan Giricek and Drew Gooden from the Memphis Grizzlies in exchange for Mike Miller , McGrady once again led the Magic to a 42 -- 40 record . McGrady led the league in scoring with 32.1 ppg , made his second All - NBA 1st Team , and 3rd All - Star Team . Despite still not having Hill due to injury , the Magic entered the playoffs for the third straight year . However , after taking a 3 -- 1 lead in the best - of - seven first round series , the Magic fell to the Detroit Pistons 4 -- 3 in the now infamous heartbreaker . McGrady was quoted as saying , `` It feels good to get in the second round '' after still needing one more win to advance .   The Magic 's 15th season in 2003 -- 04 proved to be one of its toughest ever . Even with the acquisition of veteran free agents Tyronn Lue and Juwan Howard , the Magic struggled early . After winning its first game , the Magic lost 19 consecutive games , setting a franchise record . They finished an NBA worst 21 -- 61 . Despite this , McGrady led the league in scoring with 28.0 ppg , made the All - NBA 2nd Team and his 4th consecutive All - Star Team . In the middle of the 19 - game losing streak , coach Doc Rivers was fired , and assistant Johnny Davis was promoted to head coach . General manager Gabriel was replaced by John Weisbrod .   2004 -- 2012 : the Dwight Howard era ( edit )  Dwight Howard was drafted No. 1 overall in the 2004 NBA draft .  In the off - season , Weisbrod completely dismantled the team . Though he kept Davis as coach , he shook up the player roster , only keeping a few players from last season . The most significant trade was Tracy McGrady . McGrady , discontent with the Magic , wished to move on ; Weisbrod accused McGrady of `` slacking off '' and not attending practices ( McGrady later admitted that he did not give 100 % during the 2003 -- 2004 season and wanted the team to bring him some help , but never wanted to leave Orlando ) . The Magic traded McGrady along with Reece Gaines , Tyronn Lue , and Juwan Howard to the Houston Rockets for Steve Francis , Kelvin Cato , and Cuttino Mobley . In addition , the Magic acquired center Tony Battie and two second - round draft picks from the Cleveland Cavaliers in exchange for Drew Gooden , Steven Hunter , and the draft rights to Anderson Varejão . The Magic then signed free agent Hedo Türkoğlu . With the number one draft pick , the Magic selected high - school phenomenon and future All - Star and franchise cornerstone Dwight Howard , and a draft day trade with the Denver Nuggets got them point guard Jameer Nelson .   After a promising 13 -- 6 start , the Magic began to fall apart . First , Weisbrod traded Mobley for Doug Christie from the Sacramento Kings . Christie , because of his emotional ties to the Kings , at first refused to play for the Magic . Later on , Christie claimed he had bone spurs and was placed on the injured list after playing only a few games for the Magic . Near the end of the season , with a playoff - push faltering , Weisbrod fired Davis after leading Davis to believe he was going to be the team 's head coach for the entire 2004 -- 05 NBA season . He then promoted Chris Jent to interim head coach . Throughout the season , bolstered by Hill 's return , the Magic played spectacularly , defeating top NBA teams . However , led by the erratic play of Francis , the Magic also lost to league teams with losing records . Howard showed great promise , becoming one of the few players to average a double - double . Howard was a consistent rebounder and scorer , becoming the first rookie to start and play all 82 games in a season . In addition , Nelson , after a slow start , developed into a talented player , taking over the starting point guard position . Hill also returned and averaged 19.7 points a game . Hill was chosen an All - Star starter by NBA fans for the 2005 All - Star Game , and Dwight Howard and Jameer Nelson were named to the All - Rookie first and second teams , respectively . Howard was a unanimous selection .  Jameer Nelson spent 10 seasons with Orlando from 2004 - 2014 .  The Magic finished the season 36 -- 46 . Their playoff push was hampered by injuries in the last quarter of the season : a season - ending broken wrist for sixth man Hedo Türkoğlu , a shin injury to Grant Hill , a rib cage injury to Nelson , and a three - game suspension to Francis for kicking a photographer . The Magic ended a few games out of the playoffs . On May 23 , 2005 , the Magic 's plans were disrupted by the abrupt resignation of General Manager and Chief Operating Officer John Weisbrod . In addition , the Magic announced the following day that Brian Hill , the coach who led the Magic to the NBA Finals under O'Neal and Hardaway , would return as head coach .   The Magic drafted Spanish Fran Vázquez with the 11th pick in the 2005 NBA draft . On July 28 , 2005 , Vazquez stunned the team after announcing that he would remain in Spain to play for Akasvayu Girona , getting ridiculed by media after he was quoted that the decision to stay was made by his girlfriend . Owner Rich DeVos announced on October 21 that he was transferring ownership to his children , with the official owner role moving to son - in - law and team President Bob Vander Weide . The transfer was supposed to be complete by the end of the year .   The 2005 -- 06 season opened with high hopes for the Magic despite not being able to add first round draft pick Vasquez . Grant Hill was supposedly finally healed from his multiple ankle surgeries . Dwight Howard and Jameer Nelson showed excellent progress during summer - league play . Second round draft pick Travis Diener showed excellent shooting and decision making during the summer . And the free agent signing of Keyon Dooling showed that the club was going to continue making progress . Then trouble began . Hill , despite his ankle apparently being healed , suffered a painful sports hernia injury that would hamper his play throughout the entire season . After playing in three preseason games , he underwent surgery to correct the hernia and would not appear during the regular season until mid-December , to which he lasted a month before attempting to make another comeback in February and early March , however he only played sporadically . Then a foot injury to Nelson forced him to sit out over a month .   On February 15 , 2006 , the Magic announced that they had acquired Darko Miličić and Carlos Arroyo from the Detroit Pistons in exchange for Kelvin Cato and a 2007 top - five protected first - round draft pick . One week later , on February 22 , the Magic announced that they had traded Steve Francis to the New York Knicks in exchange for Anfernee Hardaway ( whom they waived two days later ) and Trevor Ariza . With a set starting rotation of Battie , Howard , Türkoğlu , DeShawn Stevenson , and Nelson , the Magic mounted a surprising run at the eighth playoff spot in the Eastern Conference , including an 8 - game winning streak and 12 consecutive home wins . The streak included wins against NBA powerhouses Detroit , San Antonio , Dallas and Miami , as well as a game against the Philadelphia 76ers in which Howard recorded 28 points and a career - high 26 rebounds . Despite their efforts they did n't make the playoffs .  2006 -- 2010 : return to the NBA Finals ( edit ) J.J. Redick in 2008 .  With the 11th overall pick in the 2006 NBA draft , the Magic took the former Duke star J.J. Redick . Even with the fan support to get him playing time he averaged just over 11 minutes a game . After beginning the season strong with a 13 -- 4 record , the Orlando Magic began to suffer in the standings as the result of multiple losses , due in large part to the injuries of Tony Battie , Keyon Dooling , and Grant Hill . The Magic were also hampered with the sporadic play of many of their young stars , who on multiple occasions showed their propensity for streaky shooting and the team 's lack of a solid scoring two - guard . Despite the team 's poor play , Dwight Howard continued to develop and blossom in his third year in the league , culminating in his first selection to the Eastern Conference All - Star team . The final few weeks of the season saw the Magic build momentum and confidence with an impressive late push towards the Playoffs . On April 15 , 2007 , with an 88 -- 86 victory over the Boston Celtics , the Magic secured its first berth in the NBA Playoffs since 2003 by locking up the 8th seed in the Eastern Conference . This marked the first time that the team had made the playoffs while posting a losing record . Nevertheless , their Playoff run ended on April 28 , 2007 after they were swept in the first round by first seeded Detroit Pistons whose experience , veteran leadership and ability to consistently make the clutch basket proved far too much for the undermanned and overwhelmed Magic to overcome . It was announced on May 23 , 2007 , that Brian Hill had been fired as head coach of the Magic .   On June 1 , 2007 , the Magic signed Billy Donovan to be their head coach for five years . The next day , Donovan wished to be released from the contract and the Magic agreed several days later . On June 6 , 2007 , the Magic signed a 4 - year contract with Stan Van Gundy . In the free agent market , the Magic signed Rashard Lewis of the Seattle SuperSonics to a six - year league - maximum contract believed to be worth over $110 million . At the NBA China Games , the Magic swept the three games in China , twice against the Cleveland Cavaliers and once against the Chinese national team in games held in Shanghai and in Macau .   On November 15 , 2007 , Bob Vander Weide , the son - in - law of Richard DeVos , officially took over as owner of the team , although ownership is still split evenly amongst Richard DeVos ' other children as well .   The Magic started the 2007 -- 08 NBA season with an impressive 16 -- 4 record in their first 20 games , which included wins over the Boston Celtics and Cleveland Cavaliers . Through the next few months , the Magic were not so successful , splitting their next 36 games with 18 wins and 18 losses . At the start of March , the Magic seemed to pick up speed again , finishing the month with 10 wins , the first time since November that they won 10 or more in a month . The Magic clinched the Southeast Division title when the Washington Wizards were routed at Utah 129 -- 87 on March 31 , 2008 . It was the Magic 's third division title , but only their first since 1995 -- 96 season , as well as their first since the Southeast Division was formed . They also earned their 50th win of the season against the Chicago Bulls on April 13 , which had not happened since the 1995 -- 96 season . The Magic finished the regular season 52 -- 30 , their best season since 1995 -- 96 . With the 3rd seed in the Eastern Conference , they were matched up in their first round playoff series against the Toronto Raptors . The Magic had home court advantage for the first time since the 1998 -- 99 season .   On April 28 , 2008 , at Amway Arena , the Magic eliminated the Raptors with a 4 -- 1 series victory in the first round . It was the first playoff series victory for the Magic in 12 years after 6 straight first round exits . The run of success did n't last long as they fell 4 -- 1 to the experienced Detroit Pistons in the second round . With the Magic already down in the series , controversy erupted after the Pistons ' Game 2 victory . At the conclusion of the 3rd quarter , Chauncey Billups of the Pistons made a three - point shot giving the Pistons a three - point lead . However , the clock had stopped just as the play began . NBA rules prohibit officials from using instant replay or any timing device to determine how much time has elapsed when a clock malfunctions , nor is a replay allowed to be viewed from the time of the malfunction to when the play ends , when the game clock has not expired . Because of the rule , the officials then estimated that the play took 4.6 seconds , and because there were 5.1 seconds remaining when play began , the field goal was allowed to be counted . The NBA later admitted that the play actually took 5.7 seconds and the basket in question should not have counted . The Pistons went on to win Game 2 . The Magic were able to win Game 3 , with the Pistons ' Chauncey Billups out for most of the game with an injury , but were unable to take advantage of his absence and defeat the Pistons in Games 4 and 5 , which ended the Magic 's playoff run in 2008 .   The first half of the 2008 -- 09 season went very well for the Magic . After 41 games , the Magic were 33 -- 8 , leading the Southeast Division , as well as having one of the top four records in the league . At the start of February , Jameer Nelson , their all - star starting point guard , went down with a shoulder injury . He was expected to miss the remainder of the season . After trading for Rafer Alston , the Magic finished the regular season with a 59 -- 23 record , it was the most games the team had won in a season since the 1995 -- 96 season in which they had 60 wins . In the playoffs , the Magic beat the Philadelphia 76ers in the first round of the playoffs and then the defending champions , the Boston Celtics , in the Eastern Conference semifinals , behind assistant coach Patrick Ewing 's guarantee that they would win Game 7 of that series . In their first conference finals since 1996 , the Magic beat the Cleveland Cavaliers , which were led by the season 's MVP , LeBron James . After dropping the first two games in the Finals against the Los Angeles Lakers , the Magic finally won their first ever game in the Finals in Game 3 . Despite Nelson 's return to the team for the Finals , the Lakers won the series and the championship by beating the Magic in five games .   In the 2009 off - season , Orlando traded Rafer Alston , Tony Battie , and Courtney Lee to the New Jersey Nets in exchange for eight - time All - Star Vince Carter and Ryan Anderson . Hedo Türkoğlu , as part of a sign - and - trade , was sent to the Toronto Raptors . They then made several free agent signings . On July 10 , former Dallas Mavericks power forward Brandon Bass was given a 4 - year deal . On July 21 , the Magic signed former Phoenix Suns forward Matt Barnes . On August 19 , they signed former Miami Heat point guard Jason Williams .   On September 28 , 2009 , Orlando extended the contract of head coach Stan Van Gundy by exercising his option for the 2010 -- 11 season . They did the same for General Manager Otis Smith , which would keep him in that position through the 2011 -- 12 season .   The Magic were without Rashard Lewis for the first 10 games of the 2009 -- 10 season . Lewis tested positive for an elevated testosterone level that was caused by an over-the - counter supplement containing a substance banned by the league . To make matters worse , Vince Carter suffered a left ankle injury in just the second game of the season . Carter 's injury turned out to be not too serious , but caused him to miss the next five games . Another setback came in mid-November , when Jameer Nelson injured his left knee , which required arthroscopic surgery to repair . Nelson would be out for five weeks . Despite all of this , the Magic had a 23 -- 8 record at the end of December .   Orlando lost seven of their first ten games in January , but recovered well enough to post a winning record for the month by winning six of their next seven . Following the All - Star break , the Magic went on a roll , winning 23 of their 28 remaining games , clinching their fourth consecutive playoff berth and winning their third consecutive division championship in the process . The Magic finished the regular season with a 59 -- 23 record , matching their record from the 2008 -- 09 season , and finishing with not only the second - best record in the Eastern Conference , but the second - best record in the entire league . The team became one of the only teams in NBA history to beat all of the other 29 teams at least once during the regular season . The Magic swept the Charlotte Bobcats and the Atlanta Hawks in the first two rounds of the playoffs , respectively . They then faced the Boston Celtics in the conference finals . After losing the first three games of the series , Orlando managed to win the next two games , but lost on the road in Game 6 , ending their season .  2010 -- 2012 : the `` dwightmare '' saga ( edit ) Scott Skiles coached the Magic in the 2015 -- 16 season .  In anticipation of the team 's move to Amway Center , the Magic updated its logo . They retained the streaking ball logo , but changed the wordmark taken from their current uniforms . The Magic hosted the NBA All - Star Game in 2012 . The Magic also unveiled black alternate uniforms .   In the summer of 2010 the Orlando Magic signed Chris Duhon , formerly of the New York Knicks , and Quentin Richardson , formerly of the Miami Heat .   On December 18 , 2010 , having lost five of their last six games , the Magic made a blockbuster trade deal with the Phoenix Suns and the Washington Wizards . They traded Vince Carter , Marcin Gortat and Mickaël Piétrus to Phoenix for Hedo Türkoğlu ( who led them into the 2009 NBA Finals when they lost 4 -- 1 against the Los Angeles Lakers )</t>
  </si>
  <si>
    <t xml:space="preserve">when did the orlando magic win the nba championship</t>
  </si>
  <si>
    <t xml:space="preserve">   Orlando Magic          2017 -- 18 Orlando Magic season            Conference   Eastern     Division   Southeast     Founded       History   Orlando Magic 1989 -- present     Arena   Amway Center     Location   Orlando , Florida     Team colors   Blue , black , silver     CEO   Alex Martins     President   Jeff Weltman     General manager   John Hammond     Head coach   Frank Vogel     Ownership   RDV Sports , Inc . ( Richard DeVos , CEO )     Affiliation ( s )   Lakeland Magic     Championships   0     Conference titles   2 ( 1995 , 2009 )     Division titles   5 ( 1995 , 1996 , 2008 , 2009 , 2010 )     Retired numbers   1 ( 6 )     Website   www.nba.com/magic     Uniforms        Home   Away   Third      </t>
  </si>
  <si>
    <t xml:space="preserve">Cranial nerves - wikipedia  Cranial nerves  Jump to : navigation , search    Cranial nerves     Right View of the human brain from below , showing origins of cranial nerves . Left Juxtaposed skull base with foramina in which many nerves exit the skull .     Cranial nerves as they pass through the skull base to the brain .     Details     Identifiers     Latin   nervus cranialis ( pl : nervi craniales )     MeSH   D003391     TA   A14. 2.01. 001 A14. 2.00. 038     FMA   5865     Anatomical terms of neuroanatomy ( edit on Wikidata )       Cranial nerves       CN 0 -- Terminal   CN I -- Olfactory   CN II -- Optic   CN III -- Oculomotor   CN IV -- Trochlear   CN V -- Trigeminal   CN VI -- Abducens   CN VII -- Facial   CN VIII -- Vestibulocochlear   CN IX -- Glossopharyngeal   CN X -- Vagus   CN XI -- Accessory   CN XII -- Hypoglossal         Overview   Table                   Cranial nerves are the nerves that emerge directly from the brain ( including the brainstem ) , in contrast to spinal nerves ( which emerge from segments of the spinal cord ) . 10 of 12 of the cranial nerves originate in the brainstem . Cranial nerves relay information between the brain and parts of the body , primarily to and from regions of the head and neck .   Spinal nerves emerge sequentially from the spinal cord with the spinal nerve closest to the head ( C1 ) emerging in the space above the first cervical vertebra . The cranial nerves , however , emerge from the central nervous system above this level . Each cranial nerve is paired and is present on both sides . Depending on definition in humans there are twelve or thirteen cranial nerves pairs , which are assigned Roman numerals I -- XII , sometimes also including cranial nerve zero . The numbering of the cranial nerves is based on the order in which they emerge from the brain , front to back ( brainstem ) .   The terminal nerves , olfactory nerves ( I ) and optic nerves ( II ) emerge from the cerebrum or forebrain , and the remaining ten pairs arise from the brainstem , which is the lower part of the brain .   The cranial nerves are considered components of the peripheral nervous system ( PNS ) , although on a structural level the olfactory , optic and trigeminal nerves are more accurately considered part of the central nervous system ( CNS ) .     Contents  ( hide )   1 Anatomy   1.1 Terminology   1.2 Intracranial course   1.2. 1 Nuclei   1.2. 2 Ganglia   1.2. 3 Exiting the skull and extracranial course       2 Function   2.1 Smell ( I )   2.2 Vision ( II )   2.3 Eye movement ( III , IV , VI )   2.4 Trigeminal nerve ( V )   2.5 Facial expression ( VII )   2.6 Hearing and balance ( VIII )   2.7 Oral sensation , taste , and salivation ( IX )   2.8 Vagus nerve ( X )   2.9 Shoulder elevation and head - turning ( XI )   2.10 Tongue movement ( XII )     3 Clinical significance   3.1 Examination   3.2 Damage   3.2. 1 Compression   3.2. 2 Stroke   3.2. 3 Inflammation   3.2. 4 Other       4 History   5 Other animals   6 See also   7 References   8 External links      Anatomy ( edit )  See also : Table of cranial nerves View of the human brain from below showing the cranial nerves on an autopsy specimen View from below of the brain and brainstem showing the cranial nerves , numbered from olfactory to hypoglossal after the order in which they emerge The brainstem , with deeper cranial nerve nuclei and tracts inside the brain - stem shaded red .  Most typically , humans are considered to have twelve pairs of cranial nerves ( I -- XII ) . They are : the olfactory nerve ( I ) , the optic nerve ( II ) , oculomotor nerve ( III ) , trochlear nerve ( IV ) , trigeminal nerve ( V ) , abducens nerve ( VI ) , facial nerve ( VII ) , vestibulocochlear nerve ( VIII ) , glossopharyngeal nerve ( IX ) , vagus nerve ( X ) , accessory nerve ( XI ) , and hypoglossal nerve ( XII ) . ( There may be a thirteenth cranial nerve , the terminal nerve ( nerve O or N ) , which is very small and may or may not be functional in humans )   Terminology ( edit )   Cranial nerves are generally named according to their structure or function . For example , the olfactory nerve ( I ) supplies smell , and the facial nerve ( VII ) supplies motor innervation to the face . Because Latin was the lingua franca ( common language ) of the study of anatomy when the nerves were first documented , recorded , and discussed , many nerves maintain Latin or Greek names , including the trochlear nerve ( IV ) , named according to its structure , as it supplies a muscle that attaches to a pulley ( Greek : trochlea ) . The trigeminal nerve ( V ) is named in accordance with its three components ( Latin : trigeminus meaning triplets ) , and the vagus nerve ( X ) is named for its wandering course ( Latin : vagus ) .   Cranial nerves are numbered based on their rostral - caudal ( front - back ) position , when viewing the brain . If the brain is carefully removed from the skull the nerves are typically visible in their numeric order , with the exception of the last , CN XII , which appears to emerge rostrally to ( above ) CN XI .   Cranial nerves have paths within and outside the skull . The paths within the skull are called `` intracranial '' and the paths outside the skull are called `` extracranial '' . There are many holes in the skull called `` foramina '' by which the nerves can exit the skull . All cranial nerves are paired , which means that they occur on both the right and left sides of the body . The muscle , skin , or additional function supplied by a nerve on the same side of the body as the side it originates from , is referred to an ipsilateral function . If the function is on the opposite side to the origin of the nerve , this is known as a contralateral function .   Intracranial course ( edit )  Nuclei ( edit ) Main article : Cranial nerve nucleus  The cell bodies of many of the neurons of most of the cranial nerves are contained in one or more nuclei in the brainstem . These nuclei are important relative to cranial nerve dysfunction because damage to these nuclei such as from a stroke or trauma can mimic damage to one or more branches of a cranial nerve . In terms of specific cranial nerve nuclei , the midbrain of the brainstem has the nuclei of the oculomotor nerve ( III ) and trochlear nerve ( IV ) ; the pons has the nuclei of the trigeminal nerve ( V ) , abducens nerve ( VI ) , facial nerve ( VII ) and vestibulocochlear nerve ( VIII ) ; and the medulla has the nuclei of the glossopharyngeal nerve ( IX ) , vagus nerve ( X ) , accessory nerve ( XI ) and hypoglossal nerve ( XII ) . The fibers of these cranial nerves exit the brainstem from these nuclei .  Ganglia ( edit ) Main article : Cranial nerve ganglia  Some of the cranial nerves have sensory or parasympathetic ganglia ( collections of cell bodies ) of neurons , which are located outside the brain ( but can be inside or outside the skull ) .   The sensory ganglia are directly correspondent to dorsal root ganglia of spinal nerves and are known as cranial sensory ganglia . Sensory ganglia exist for nerves with sensory function : V , VII , VIII , IX , X . There are also parasympathetic ganglia , which are part of the autonomic nervous system for cranial nerves III , VII , IX and X .    The trigeminal ganglia of the trigeminal nerve ( V ) occupies a space in the dura mater called Trigeminal cave . This ganglion contains the cell bodies of the sensory fibers of the three branches of the trigeminal nerve .   The geniculate ganglion of the facial nerve ( VII ) is found just after the nerve enters the facial canal ; it contains the cell bodies of the sensory fibers of the facial nerve .   Superior and inferior ganglia of the glossopharyngeal nerve ( IX ) , are located just after the nerve passes through the jugular foramen and contain the cell bodies of the sensory fibers of this nerve .   inferior ganglion of vagus nerve ( nodose ganglion ) is located below the jugular foramen and contains the cell bodies of the sensory fibers of the vagus nerve ( X ) .   Exiting the skull and extracranial course ( edit )  Exits of cranial nerves from the skull .   Location   Nerve     cribriform plate   Olfactory nerve ( I )     optic foramen   Optic nerve ( II )     superior orbital fissure   Oculomotor ( III ) Trochlear ( IV ) Abducens ( VI ) Trigeminal V1 ( ophthalmic )     Foramen rotundum   Trigeminal V2 ( maxillary )     Foramen ovale   Trigeminal V3 ( mandibular )     internal auditory canal   Facial ( VII ) Vestibulocochlear ( VIII )     jugular foramen   Glossopharyngeal ( IX ) Vagus ( X ) Accessory ( XI )     hypoglossal canal   Hypoglossal ( XII )    See also : List of foramina of the human body  After emerging from the brain , the cranial nerves travel within the skull , and some must leave this bony compartment in order to reach their destinations . Often the nerves pass through holes in the skull , called foramina , as they travel to their destinations . Other nerves pass through bony canals , longer pathways enclosed by bone . These foramina and canals may contain more than one cranial nerve , and may also contain blood vessels .    The olfactory nerve ( I ) , actually composed of many small separate nerve fibers , passes through perforations in the cribiform plate part of the ethmoid bone . These fibers terminate in the upper part of the nasal cavity and function to convey impulses containing information about odors to the brain .   The optic nerve ( II ) passes through the optic foramen in the sphenoid bone as it travels to the eye . It conveys visual information to the brain .   The oculomotor nerve ( III ) , trochlear nerve ( IV ) , abducens nerve ( VI ) and the ophthalmic branch of the trigeminal nerve ( V1 ) travel through the cavernous sinus into the superior orbital fissure , passing out of the skull into the orbit . These nerves control the small muscles that move the eye and also provide sensory innervation to the eye and orbit .   The maxillary division of the trigeminal nerve ( V2 ) passes through foramen rotundum in the sphenoid bone to supply the skin of the middle of the face .   The mandibular division of the trigeminal nerve ( V3 ) passes through foramen ovale of the sphenoid bone to supply the lower face with sensory innervation . This nerve also sends branches to almost all of the muscles that control chewing .   The facial nerve ( VII ) and vestibulocochlear nerve ( VIII ) both enter the internal auditory canal in the temporal bone . The facial nerve then reaches the side of the face by using the stylomastoid foramen , also in the temporal bone . Its fibers then spread out to reach and control all of the muscles of facial expression . The vestibulocochlear nerve reaches the organs that control balance and hearing in the temporal bone , and therefore does not reach the external surface of the skull .   The glossopharyngeal ( IX ) , vagus ( X ) and accessory nerve ( XI ) all leave the skull via the jugular foramen to enter the neck . The glossopharyngeal nerve provides innervation to the upper throat and the back of the tongue , the vagus provides innervation to the muscles in the voicebox , and continues downward to supply parasympathetic innervation to the chest and abdomen . The accessory nerve controls the trapezius and sternocleidomastoid muscles in the neck and shoulder .   The hypoglossal nerve ( XII ) exits the skull using the hypoglossal canal in the occipital bone and reaches the tongue to control almost all of the muscles involved in movements of this organ .    Function ( edit )   The cranial nerves provide motor and sensory innervation mainly to the structures within the head and neck . The sensory innervation includes both `` general '' sensation such as temperature and touch , and `` special '' innervation such as taste , vision , smell , balance and hearing   The vagus nerve ( X ) provides sensory and autonomic ( parasympathetic ) motor innervation to structures in the neck and also to most of the organs in the chest and abdomen .   Smell ( I ) ( edit )   The olfactory nerve ( I ) conveys the sense of smell .   Damage to the olfactory nerve ( I ) can cause an inability to smell ( anosmia ) , a distortion in the sense of smell ( parosmia ) , or a distortion or lack of taste . If there is suspicion of a change in the sense of smell , each nostril is tested with substances of known odors such as coffee or soap . Intensely smelling substances , for example ammonia , may lead to the activation of pain receptors ( nociceptors ) of the trigeminal nerve that are located in the nasal cavity and this can confound olfactory testing .   Vision ( II ) ( edit )   The optic nerve ( II ) transmits visual information .   Damage to the optic nerve ( II ) affects specific aspects of vision that depend on the location of the lesion . A person may not be able to see objects on their left or right sides ( homonymous hemianopsia ) , or may have difficulty seeing objects on their outer visual fields ( bitemporal hemianopsia ) if the optic chiasm is involved . Vision may be tested by examining the visual field , or by examining the retina with an ophthalmoscope , using a process known as funduscopy . Visual field testing may be used to pin - point structural lesions in the optic nerve , or further along the visual pathways .   Eye movement ( III , IV , VI ) ( edit )  Various deviations of the eyes due to abnormal function of the targets of the cranial nerves  The oculomotor nerve ( III ) , trochlear nerve ( IV ) and abducens nerve ( VI ) coordinate eye movement .   Damage to nerves III , IV , or VI may affect the movement of the eyeball ( globe ) . Both or one eye may be affected ; in either case double vision ( diplopia ) will likely occur because the movements of the eyes are no longer synchronized . Nerves III , IV and VI are tested by observing how the eye follows an object in different directions . This object may be a finger or a pin , and may be moved at different directions to test for pursuit velocity . If the eyes do not work together , the most likely cause is damage to a specific cranial nerve or its nuclei .   Damage to the oculomotor nerve ( III ) can cause double vision ( diplopia ) and inability to coordinate the movements of both eyes ( strabismus ) , also eyelid drooping ( ptosis ) and pupil dilation ( mydriasis ) . Lesions may also lead to inability to open the eye due to paralysis of the levator palpebrae muscle . Individuals suffering from a lesion to the oculomotor nerve may compensate by tilting their heads to alleviate symptoms due to paralysis of one or more of the eye muscles it controls .   Damage to the trochlear nerve ( IV ) can also cause diplopia with the eye adducted and elevated . The result will be an eye which can not move downwards properly ( especially downwards when in an inward position ) . This is due to impairment in the superior oblique muscle , which is innervated by the trochlear nerve .   Damage to the abducens nerve ( VI ) can also result in diplopia . This is due to impairment in the lateral rectus muscle , which is innervated by the abducens nerve .   Trigeminal nerve ( V ) ( edit )   The trigeminal nerve ( V ) comprises three distinct parts : The Ophthalmic ( V1 ) , the Maxillary ( V2 ) , and the Mandibular ( V3 ) nerves . Combined , these nerves provide sensation to the skin of the face and also controls the muscles of mastication ( chewing ) . Conditions affecting the trigeminal nerve ( V ) include trigeminal neuralgia , cluster headache , and trigeminal zoster . Trigeminal neuralgia occurs later in life , from middle age onwards , most often after age 60 , and is a condition typically associated with very strong pain distributed over the area innervated by the maxillary or mandibular nerve divisions of the trigeminal nerve ( V and V ) .  The facial nerve passes through the petrous temporal bone , internal auditory meatus , facial canal , stylomastoid foramen , and then the parotid gland .  Facial expression ( VII ) ( edit )   Lesions of the facial nerve ( VII ) may manifest as facial palsy . This is where a person is unable to move the muscles on one or both sides of their face . A very common and generally temporary facial palsy is known as Bell 's palsy . Bell 's Palsy is the result of an idiopathic ( unknown cause ) , unilateral lower motor neuron lesion of the facial nerve and is characterized by an inability to move the ipsilateral muscles of facial expression , including elevation of the eyebrow and furrowing of the forehead . Patients with Bell 's palsy often have a drooping mouth on the affected side and often have trouble chewing because the buccinator muscle is affected . Bell 's palsy occurs very rarely , affecting around 40,000 Americans annually . There are studies in mice and humans suggesting members of the family Herpesviridae are capable of producing Bell 's palsy . Facial paralysis may be caused by other conditions including stroke , and similar conditions to Bell 's Palsy are occasionally misdiagnosed as Bell 's Palsy . Bell 's Palsy is a temporary condition usually lasting 2 - 6 months , but can have life - changing effects and can reoccur . Strokes typically also affect the seventh cranial nerve by cutting off blood supply to nerves in the brain that signal this nerve and so can present with similar symptoms .   Hearing and balance ( VIII ) ( edit )   The vestibulocochlear nerve ( VIII ) splits into the vestibular and cochlear nerve . The vestibular part is responsible for innervating the vestibules and semicircular canal of the inner ear ; this structure transmits information about balance , and is an important component of the vestibuloocular reflex , which keeps the head stable and allows the eyes to track moving objects . The cochlear nerve transmits information from the cochlea , allowing sound to be heard .   When damaged , the vestibular nerve may give rise to the sensation of spinning and dizziness . Function of the vestibular nerve may be tested by putting cold and warm water in the ears and watching eye movements caloric stimulation . Damage to the vestibulocochlear nerve can also present as repetitive and involuntary eye movements ( nystagmus ) , particularly when looking in a horizontal plane . Damage to the cochlear nerve will cause partial or complete deafness in the affected ear .   Oral sensation , taste , and salivation ( IX ) ( edit )  Deviating uvula due to cranial nerve IX lesion  The glossopharyngeal nerve ( IX ) innervates the stylopharyngeus muscle and provides sensory innervation to the oropharynx and back of the tongue . The glossopharyngeal nerve also provides parasympathetic innervation to the parotid gland . Unilateral absence of a gag reflex suggests a lesion of the glossopharyngeal nerve ( IX ) , and perhaps the vagus nerve ( X ) .   Vagus nerve ( X ) ( edit )   Loss of function of the vagus nerve ( X ) will lead to a loss of parasympathetic innervation to a very large number of structures . Major effects of damage to the vagus nerve may include a rise in blood pressure and heart rate . Isolated dysfunction of only the vagus nerve is rare , but can be diagnosed by a hoarse voice , due to dysfunction of one of its branches , the recurrent laryngeal nerve .   Damage to this nerve may result in difficulties swallowing .   Shoulder elevation and head - turning ( XI ) ( edit )  Winged scapula may occur due to lesion of the spinal accessory .  Damage to the accessory nerve ( XI ) will lead to ipsilateral weakness in the trapezius muscle . This can be tested by asking the subject to raise their shoulders or shrug , upon which the shoulder blade ( scapula ) will protrude into a winged position . Additionally , if the nerve is damaged , weakness or an inability to elevate the scapula may be present because the levator scapulae muscle is now solely able to provide this function . Depending on the location of the lesion there may also be weakness present in the sternocleidomastoid muscle , which acts to turn the head so that the face points to the opposite side .   Tongue movement ( XII ) ( edit )  A damaged hypoglossal nerve will result in an inability to stick the tongue out straight . A case with unilateral hypoglossal nerve injury in branchial cyst surgery .  The hypoglossal nerve ( XII ) is unique in that it is innervated from the motor cortices of both hemispheres of the brain . Damage to the nerve at lower motor neuron level may lead to fasciculations or atrophy of the muscles of the tongue . The fasciculations of the tongue are sometimes said to look like a `` bag of worms '' . Upper motor neuron damage will not lead to atrophy or fasciculations , but only weakness of the innervated muscles .   When the nerve is damaged , it will lead to weakness of tongue movement on one side . When damaged and extended , the tongue will move towards the weaker or damaged side , as shown in the image .   Clinical significance ( edit )   Examination ( edit )  Main article : Cranial nerve examination  Physicians , neurologists , and other medical professionals may conduct a cranial nerve examination as part of a neurological examination to examine the functionality of the cranial nerves . This is a highly formalized series of tests that assess the status of each nerve . A cranial nerve exam begins with observation of the patient because some cranial nerve lesions may affect the symmetry of the eyes or face . The visual fields are tested for nerve lesions or nystagmus via an analysis of specific eye movements . The sensation of the face is tested , and patients are asked to perform different facial movements , such as puffing out of the cheeks . Hearing is checked by voice and tuning forks . The position of the patient 's uvula is examined because asymmetry in the position could indicate a lesion of the glossopharyngeal nerve . After the ability of the patient to use their shoulder to assess the accessory nerve ( XI ) , and the patient 's tongue function is assessed by observing various tongue movements .   Damage ( edit )  Compression ( edit )  Nerves may be compressed because of increased intracranial pressure , a mass effect of an intracerebral haemorrhage , or tumour that presses against the nerves and interferes with the transmission of impulses along the nerve . A loss of functionality of a single cranial nerve may sometimes be the first symptom of an intracranial or skull base cancer .   An increase in intracranial pressure may lead to impairment of the optic nerves ( II ) due to compression of the surrounding veins and capillaries , causing swelling of the eyeball ( papilloedema ) . A cancer , such as an optic glioma , may also impact the optic nerve ( II ) . A pituitary tumour may compress the optic tracts or the optic chiasm of the optic nerve ( II ) , leading to visual field loss . A pituitary tumour may also extend into the cavernous sinus , compressing the oculuomotor nerve ( III ) , trochlear nerve ( IV ) and abducens nerve ( VI ) , leading to double - vision and strabismus . These nerves may also be affected by herniation of the temporal lobes of the brain through the falx cerebri .   The cause of trigeminal neuralgia , in which one side of the face is exquisitely painful , is thought to be compression of the nerve by an artery as the nerve emerges from the brain stem . An acoustic neuroma , particularly at the junction between the pons and medulla , may compress the facial nerve ( VII ) and vestibulocochlear nerve ( VIII ) , leading to hearing and sensory loss on the affected side .  Stroke ( edit )  Occlusion of blood vessels that supply the nerves or their nuclei , an ischemic stroke , may cause specific signs and symptoms that can localise where the occlusion occurred . A clot in a blood vessel draining the cavernous sinus ( cavernous sinus thrombosis ) affects the oculomotor ( III ) , trochlear ( IV ) , opthalamic branch of the trigeminal nerve ( V1 ) and the abducens nerve ( VI ) .  Inflammation ( edit )  Inflammation resulting from infection may impair the function of any of the cranial nerves . Inflammation of the facial nerve ( VII ) may result in Bell 's palsy .   Multiple sclerosis , an inflammatory process that may produce a loss of the myelin sheathes which surround the cranial nerves , may cause a variety of shifting symptoms affecting multiple cranial nerves .  Other ( edit )  Trauma to the skull , disease of bone such as Paget 's disease , and injury to nerves during neurosurgery ( such as tumor removal ) are other possible causes of cranial nerve damage .   History ( edit )   The Graeco - Roman anatomist Galen ( AD 129 -- 210 ) named seven pairs of cranial nerves . Much later , in 1664 , English anatomist Sir Thomas Willis suggested that there were actually 9 pairs of nerves . Finally , in 1778 , German anatomist Samuel Soemmering named the 12 pairs of nerves that are generally accepted today . However , because many of the nerves emerge from the brain stem as rootlets , there is continual debate as to how many nerves there actually are , and how they should be grouped . There is reason to consider both the olfactory ( I ) and Optic ( II ) nerves to be brain tracts , rather than cranial nerves . Further , the very small terminal nerve ( nerve N or O ) exists in humans but may not be functional . In other animals , it appears to be important to sexual receptivity based on perceptions of phermones   Other animals ( edit )  Dog - fish brain in two projections . top ; ventral bottom ; lateral The accessory nerve ( XI ) and hypoglossal nerve ( XII ) can not be seen , as they are not always present in all vertebrates .  Cranial nerves are also present in other vertebrates . Other amniotes ( non-amphibian tetrapods ) have cranial nerves similar to those of humans . In anamniotes ( fishes and amphibians ) , the accessory nerve ( XI ) and hypoglossal nerve ( XII ) do not exist , with the accessory nerve ( XI ) being an integral part of the vagus nerve ( X ) ; the hypoglossal nerve ( XII ) is represented by a variable number of spinal nerves emerging from vertebral segments fused into the occiput . These two nerves only became discrete nerves in the ancestors of amniotes ( non-amphibian tetrapods ) .     Diagrammatic view of the cranial nerves of the horse .     Ventral view of the sheep 's brain . The exits of the various cranial nerves are marked with red .     See also ( edit )    Cranial nerve mnemonics    References ( edit )    ^ Jump up to : Vilensky , Joel ; Robertson , Wendy ; Suarez - Quian , Carlos ( 2015 ) . The Clinical Anatomy of the Cranial Nerves : The Nerves of `` On Olympus Towering Top '' . Ames , Iowa : Wiley - Blackwell . ISBN 978 - 1 - 118 - 49201 - 7 .   Jump up ^ Standring , Susan ; Borley , Neil R. ( 2008 ) . `` Overview of cranial nerves and cranial nerve nuclei '' . Gray 's anatomy : the anatomical basis of clinical practice ( 40th ed . ) . ( Edinburgh ) : Churchill Livingstone / Elsevier . ISBN 978 - 0 - 443 - 06684 - 9 .   ^ Jump up to : Kandel , Eric R. ( 2013 ) . Principles of neural science ( 5 ed . ) . Appleton and Lange : McGraw Hill . pp. 1019 -- 1036 . ISBN 978 - 0 - 07 - 139011 - 8 .   Jump up ^ Board Review Series -- Neuroanatomy , Fourth Edition , Lippincott Williams &amp; Wilkins , Maryland 2008 , p. 177 . ISBN 978 - 0 - 7817 - 7245 - 7 .   Jump up ^ Harper , Douglas . `` Trigeminal Nerve '' . Online Etymology Dictionary . Retrieved 2 May 2014 .   Jump up ^ Davis , Matthew C. ; Griessenauer , Christoph J. ; Bosmia , Anand N. ; Tubbs , R. Shane ; Shoja , Mohammadali M. `` The naming of the cranial nerves : A historical review '' . Clinical Anatomy. 27 ( 1 ) : 14 -- 19 . doi : 10.1002 / ca. 22345 .   ^ Jump up to : Mallatt , Elaine N. Marieb , Patricia Brady Wilhelm , Jon ( 2012 ) . Human anatomy ( 6th ed. media update . ed . ) . Boston : Benjamin Cummings . pp. 431 -- 432 . ISBN 978 - 0 - 321 - 75327 - 4 .   Jump up ^ Albert , Daniel ( 2012 ) . Dorland 's Illustrated Medical Dictionary ( 32nd ed . ) . Philadelphia , PA : Saunders / Elsevier . ISBN 978 - 1 - 4160 - 6257 - 8 .   ^ Jump up to : Drake , Richard L. ; Vogl , Wayne ; Tibbitts , Adam W.M. Mitchell ; illustrations by Richard ; Richardson , Paul ( 2005 ) . Gray 's anatomy for students . Philadelphia : Elsevier / Churchill Livingstone . pp. 800 -- 807 . ISBN 978 - 0 - 8089 - 2306 - 0 .   ^ Jump up to : Mtui , M.J. Turlough FitzGerald , Gregory Gruener , Estomih ( 2012 ) . Clinical neuroanatomy and neuroscience ( 6th ed . ) . ( Edinburgh ? ) : Saunders / Elsevier . p. 198 . ISBN 978 - 0 - 7020 - 3738 - 2 .   ^ Jump up to : Kandel , Eric R. ( 2013 ) . Principles of neural science ( 5 . ed . ) . Appleton and Lange : McGraw Hill . pp. 1533 -- 1549 . ISBN 978 - 0 - 07 - 139011 - 8 .   ^ Jump up to : Norton , Neil ( 2007 ) . Netter 's head and neck anatomy for dentistry . Philadelphia , Pa. : Saunders Elsevier . ISBN 978 - 1 - 929007 - 88 - 2 .   Jump up ^ Nesbitt AD , Goadsby PJ ( Apr 11 , 2012 ) . `` Cluster headache '' . BMJ ( Clinical research ed . ) ( Review ) . 344 : e2407 . doi : 10.1136 / bmj. e2407 . PMID 22496300 .   ^ Jump up to : Fitzgerald , M.J. Turlough FitzGerald , Gregory Gruener , Estomih Mtui ( 2012 ) . Clinical neuroanatomy and neuroscience ( 6th ed . ) . ( Edinburgh ? ) : Saunders / Elsevier . p. 235 . ISBN 978 - 0 - 7020 - 3738 - 2 .   Jump up ^ Bell 's Palsy Fact Sheet http://bellspalsy.ws/causes-of-facial-palsy/   Jump up ^ Mtui , M.J. Turlough FitzGerald , Gregory Gruener , Estomih ( 2012 ) . Clinical neuroanatomy and neuroscience ( 6th ed . ) . ( Edinburgh ? ) : Saunders / Elsevier . pp. 220 -- 222 . ISBN 978 - 0 - 7020 - 3738 - 2 .   Jump up ^ Bickley , Lynn S. , Peter G. Szilagyi , and Barbara Bates . Bates ' Guide to Physical Examination and History - taking . Philadelphia : Wolters Kluwer Health / Lippincott Williams &amp; Wilkins , 2013 . Print .   Jump up ^ Mukherjee , Sudipta ; Gowshami , Chandra ; Salam , Abdus ; Kuddus , Ruhul ; Farazi , Mohshin ; Baksh , Jahid ( 2014 - 01 - 01 ) . `` A case with unilateral hypoglossal nerve injury in branchial cyst surgery '' . Journal of Brachial Plexus and Peripheral Nerve Injury . 7 ( 01 ) : 2 . doi : 10.1186 / 1749 - 7221 - 7 - 2 . PMC 3395866 . PMID 22296879 .   ^ Jump up to : O'Connor , Nicholas J. Talley , Simon ( 2009 ) . Clinical examination : a systematic guide to physical diagnosis ( 6th ed . ) . Chatswood , N.S.W. : Elsevier Australia . pp. 330 -- 352 . ISBN 978 - 0 - 7295 - 3905 - 0 .   ^ Jump up to : Britton , the editors Nicki R. Colledge , Brian R. Walker , Stuart H. Ralston ; illustrated by Robert ( 2010 ) . Davidson 's principles and practice of medicine ( 21st ed . ) . Edinburgh : Churchill Livingstone / Elsevier . pp. 787 , 1215 -- 1217 . ISBN 978 - 0 - 7020 - 3085 - 7 .   Jump up ^ Kumar ( ) , Vinay ; et al. ( 2010 ) . Robbins and Cotran pathologic basis of disease ( 8th ed . ) . Philadelphia , PA : Saunders / Elsevier . p. 1266 . ISBN 978 - 1 - 4160 - 3121 - 5 .   Jump up ^ Britton , the editors Nicki R. Colledge , Brian R. Walker , Stuart H. Ralston ; illustrated by Robert ( 2010 ) . Davidson 's principles and practice of medicine ( 21st ed . ) . Edinburgh : Churchill Livingstone / Elsevier . p. 1166 . ISBN 978 - 0 - 7020 - 3085 - 7 .   ^ Jump up to : Fauci , Anthony S. ; Harrison , T.R. , eds. ( 2008 ) . Harrison 's principles of internal medicine ( 17th ed . ) . New York : McGraw - Hill Medical . pp. 2583 -- 2587 . ISBN 978 - 0 - 07 - 147693 - 5 .   ^ Jump up to : Britton , the editors Nicki R. Colledge , Brian R. Walker , Stuart H. Ralston ; illustrated by Robert ( 2010 ) . Davidson 's principles and practice of medicine ( 21st ed . ) . Edinburgh : Churchill Livingstone / Elsevier . pp. 1164 -- 1170 , 1192 -- 1193 . ISBN 978 - 0 - 7020 - 3085 - 7 .   ^ Jump up to : Davis , Matthew C. ; Griessenauer , Christoph J. ; Bosmia , Anand N. ; Tubbs , R. Shane ; Shoja , Mohammadali M. ( 2014 - 01 - 01 ) . `` The naming of the cranial nerves : A historical review '' . Clinical Anatomy. 27 ( 1 ) : 14 -- 19 . doi : 10.1002 / ca. 22345 . ISSN 1098 - 2353 .   Jump up ^ Vilensky , JA ( January 2014 ) . `` The neglected cranial nerve : nervus terminalis ( cranial nerve N ) '' . Clin Anat. 27 : 46 -- 53 . doi : 10.1002 / ca. 22130 . PMID 22836597 .   Jump up ^ Quiring , Daniel Paul ( 1950 ) . Functional anatomy of the vertebrates . New York : McGraw - Hill . p. 249 .    External links ( edit )       Wikimedia Commons has media related to Cranial nerves .      Cranial nerve video ( Brainfacts.org )   Cranial Nerves ( Yale School of Medicine )              Nervous system     Central nervous system     Meninges   Spinal cord   Brain   Rhombencephalon   Medulla   Pons   Cerebellum     Midbrain   Forebrain   Diencephalon   Retina   Optic nerve   </t>
  </si>
  <si>
    <t xml:space="preserve">where do the cranial nerves branch off the brain</t>
  </si>
  <si>
    <t xml:space="preserve"> The terminal nerves , olfactory nerves ( I ) and optic nerves ( II ) emerge from the cerebrum or forebrain , and the remaining ten pairs arise from the brainstem , which is the lower part of the brain . </t>
  </si>
  <si>
    <t xml:space="preserve">List of African - American United States Senators - wikipedia  List of African - American United States Senators  The official senate portrait of Barack Obama , the fifth African - American United States Senator , who later became the first African - American President States currently represented by an African - American Senator States formerly represented by an African - American Senator  The United States Senate has had ten African - American elected or appointed office holders . The United States Senate is the upper house of the bicameral United States Congress , which is the legislative branch of the federal government of the United States . The U.S. Census Bureau defines African Americans as citizens or residents of the United States who have origins in any of the black populations of Africa . The term is generally used for Americans with at least partial ancestry in any of the original peoples of sub-Saharan Africa . During the founding of the federal government , African Americans were consigned to a status of second - class citizenship or enslaved . No African American served in federal elective office before the ratification in 1870 of the Fifteenth Amendment to the United States Constitution . The Fifteenth Amendment prohibits the federal and state governments from denying any citizen the right to vote because of that citizen 's race , color , or previous condition of servitude . Of the ten senators , six were popularly elected ( including one that previously had been appointed by his state 's governor ) , two were elected by the state legislature prior to the ratification of the Seventeenth Amendment to the United States Constitution in 1913 ( which provides for the direct election of U.S. Senators by the people of each state ) , and two were appointed by a state Governor . The 113th United States Congress ( 2013 -- 15 ) marked the first time that two African Americans served concurrently in the Senate .   The first two African - American senators represented the state of Mississippi during the Reconstruction Era , following the American Civil War . Hiram Rhodes Revels , the first African American to serve , was elected by the Mississippi State Legislature to succeed Albert G. Brown , who resigned during the Civil War . Some Democratic members of the United States Senate opposed his being seated based on the court case Dred Scott v. Sandford ( 1857 ) by the Supreme Court of the United States , claiming that Revels did not meet the citizenship requirement , but the majority of Senators voted to seat him . The Mississippi state legislature elected Blanche Bruce in 1875 , but Republicans lost power of the Mississippi state legislature in 1876 . Bruce was not elected to a second term in 1881 . In 1890 the Democratic - dominated state legislature passed a new constitution disfranchising most black voters . Every other Southern state also passed disfranchising constitutions by 1908 , excluding African Americans from the political system in the entire former Confederacy . This situation persisted into the 1960s until after federal enforcement of constitutional rights under the Voting Rights Act of 1965 .   The next black United States Senator , Edward Brooke of Massachusetts , took office in 1967 . He was the first African American to be elected by popular vote after the ratification in 1913 of the Seventeenth Amendment to the United States Constitution , rather than to be elected by a state legislature . The Seventeenth Amendment established direct election of United States Senators by popular vote .   Carol Moseley Braun and Barack Obama were both elected by the voters of Illinois , entering the Senate in 1993 and 2005 , respectively . Carol Moseley Braun is the first African - American woman to be elected - or appointed - to the Senate after the ratification in 1920 of the Nineteenth Amendment to the United States Constitution . The Nineteenth Amendment prohibits any United States citizen from being denied the right to vote on the basis of sex . While serving in the Senate , Obama became the first African American to be elected to the office of President of the United States . Roland Burris , also an African American , was appointed to fill the remainder of the Senate term of President - elect Obama .   The next two black Senators , Tim Scott of South Carolina and Mo Cowan of Massachusetts , were both appointed by governors to fill the terms of Jim DeMint and John Kerry , respectively , who had resigned their positions . On October 16 , 2013 , citizens of New Jersey elected Cory Booker in a special election to fill the seat of the late Senator Frank R. Lautenberg . Sworn into office on October 31 , 2013 , he is the first African - American Senator to be elected since Barack Obama in 2004 and the first to represent the state of New Jersey , later securing a full 6 - year term in the 2014 mid-term elections . Senator Tim Scott retained his seat in a special election in 2014 , also securing a full 6 - year term in 2016 . On January 3 , 2017 , Senators Scott and Booker were joined in the Senate by Kamala Harris of California , who was elected on November 8 , 2016 . Senator Harris is the second African - American woman to serve in the U.S. Senate .   As of 3 January 2017 , there have been 1,970 members of the United States Senate , but only ten have been African American . While 58 nationwide organizations exist to elect women to the United States Congress , including EMILY 's List and the Susan B. Anthony List , no organization has been formed to elect African Americans to the United States Congress .   Contents  ( hide )   1 List of African - American Senators of the United States   2 African Americans elected to the United States Senate , but not seated   3 See also   4 Notes   5 References   6 Further reading   7 External links    List of African - American Senators of the United States ( edit )    Political parties    Democratic Republican     Senator   State   Took office   Left office   Party   Congress   Ref .   Note         Hiram Rhodes Revels ( 1827 -- 1901 )   Mississippi   February 25 , 1870   March 3 , 1871   Republican   41st ( 1869 -- 1871 )             Blanche Bruce ( 1841 -- 1898 )   Mississippi   March 4 , 1875   March 3 , 1881   Republican   44th ( 1875 -- 1877 )         45th ( 1877 -- 1879 )     46th ( 1879 -- 1881 )         Edward Brooke ( 1919 -- 2015 )   Massachusetts   January 3 , 1967   January 3 , 1979   Republican   90th ( 1967 -- 1969 )         91st ( 1969 -- 1971 )     92nd ( 1971 -- 1973 )     93rd ( 1973 -- 1975 )     94th ( 1975 -- 1977 )     95th ( 1977 -- 1979 )         Carol Moseley Braun ( born 1947 )   Illinois   January 3 , 1993   January 3 , 1999   Democratic   103rd ( 1993 -- 1995 )         104th ( 1995 -- 1997 )     105th ( 1997 -- 1999 )         Barack Obama ( born 1961 )   Illinois   January 3 , 2005   November 16 , 2008   Democratic   109th ( 2005 -- 2007 )         110th ( 2007 -- 2009 )         Roland Burris ( born 1937 )   Illinois   January 15 , 2009   November 29 , 2010   Democratic   111th ( 2009 -- 2011 )             Tim Scott ( born 1965 )   South Carolina   January 2 , 2013   Incumbent   Republican   112th ( 2011 -- 2013 )         113th ( 2013 -- 2015 )     114th ( 2015 -- 2017 )     115th ( 2017 -- 2019 )         Mo Cowan ( born 1969 )   Massachusetts   February 1 , 2013   July 16 , 2013   Democratic   113th ( 2013 -- 2015 )             Cory Booker ( born 1969 )   New Jersey   October 31 , 2013   Incumbent   Democratic   113th ( 2013 -- 2015 )         114th ( 2015 -- 2017 )     115th ( 2017 -- 2019 )         Kamala Harris ( born 1964 )   California   January 3 , 2017   Incumbent   Democratic   115th ( 2017 -- 2019 )         African Americans elected to the United States Senate , but not seated ( edit )    Political party    Republican     Senator -- elect   State   Took office   Left office   Party   Congress   Ref .   Note         P.B.S. Pinchback ( 1837 -- 1921 )   Louisiana   Denied seat   Republican   44th ( 1875 -- 1877 )         See also ( edit )    Federal government     Government of the United States portal   African Americans portal     African Americans in the United States Congress   List of African - American United States Representatives   Congressional Black Caucus   Congressional Black Caucus Foundation     List of African - American United States Cabinet Secretaries     State and local government     African - American officeholders in the United States , 1789 - 1866   List of African - American U.S. state firsts   List of first African - American mayors    Notes ( edit )    Jump up ^ Retired from office . Elected to complete an unfinished term after Mississippi was readmitted into the Union on February 23 , 1870 . First African American to serve in the United States Senate and Congress . First African American to serve in Congress from Mississippi .   Jump up ^ Retired from office . First African American to serve a full six - year term as a United States Senator . The only Senator to be a former slave .   Jump up ^ Lost office during reelection . First African American elected to the Senate by direct election . First African American to serve in Congress from Massachusetts .   Jump up ^ Lost office during reelection . First African - American female and African - American Democrat to serve in the United States Senate .   Jump up ^ Resigned from office following election to the presidency of the United States . First African - American President of the United States .   Jump up ^ Appointed by Illinois Governor Rod Blagojevich to fill vacancy caused by the resignation of President - elect Barack Obama . Not a candidate during special election following his appointment . First African American to succeed another African American in the Senate .   Jump up ^ Appointed by South Carolina Governor Nikki Haley to fill vacancy caused by the resignation of Jim DeMint . First African American to serve in both chambers of the United States Congress .   Jump up ^ Appointed by Massachusetts Governor Deval Patrick to fill vacancy caused by the resignation of John Kerry . Not a candidate during special election following his appointment . First African - American Senator appointed by an African - American Governor . The first African American to serve alongside another African - American Senator - Tim Scott .   Jump up ^ Elected to fill vacancy caused by the death of Frank Lautenberg . First African American to be elected to the Senate by special election .   Jump up ^ First African American to serve in the Senate from California . Harris is the child of a Caribbean - born father and India - born mother . Other African Americans who were elected to Congress and were born in the Caribbean or to Caribbean - born parents include Rep. Shirley Chisholm , Rep. Yvette D. Clarke , Del . Stacey Plaskett , Rep. Mia Love , Del . Melvin H. Evans , Del . Donna Christian - Christensen , and Del . Victor O. Frazer . Shirley Chisholm is the child of Caribbean - born parents and is the first African - American woman to be elected to Congress .   Jump up ^ Denied seat due to a contested election that involved William L. McMillen .    References ( edit )    ^ Jump up to : Wiersema , Alisa ( February 1 , 2013 ) . `` Reconstruction and Beyond : The 8 African - American Senators '' . ABC News . Retrieved February 9 , 2013 .   Jump up ^ `` The Black Population : 2010 '' ( PDF ) . United States Census Bureau . Retrieved December 18 , 2015 .   Jump up ^ `` Time Line of African American History , 1881 - 1900 '' . Library of Congress . Retrieved October 22 , 2007 .   Jump up ^ Weigel , David ( January 30 , 2013 ) . `` For the First Time Ever , We 'll Have Two Black Senators Serving at the Same Time '' . Slate Magazine . Retrieved January 30 , 2013 .   ^ Jump up to : `` Obama , Barack , ( 1961 -- ) '' . Biographical Directory of the United States Congress . United States Congress . Retrieved January 25 , 2009 .   ^ Jump up to : `` Burris , Roland , ( 1937 -- ) '' . Biographical Directory of the United States Congress . United States Congress . Retrieved January 25 , 2009 .   ^ Jump up to : Walshe , Shushannah ( January 30 , 2013 ) . `` Cory Booker Wins Race for US Senate Seat in New Jersey '' . ABC News . Retrieved October 16 , 2013 .   ^ Jump up to : Willon , Phil ( November 9 , 2016 ) . `` Kamala Harris is Elected California 's New U.S. Senator '' . LA Times . Retrieved November 18 , 2016 .   Jump up ^ `` Senators of the United States : 1789 - present '' ( PDF ) . Senate Historical Office . April 17 , 2015 . p. 90 . Retrieved 5 August 2015 .   Jump up ^ `` Ethnic Diversity in the Senate '' . Senate Historical Office . Retrieved 19 October 2013 .   Jump up ^ Desjardins , Lisa ( April 4 , 2012 ) . `` No African - American senators likely in near future '' . CNN.com . Retrieved February 9 , 2013 .   Jump up ^ Terkel , Amanda ( 27 September 2012 ) . `` Senate Likely To Remain Without Black Members For Years '' . Huffington Post . Retrieved February 9 , 2013 .   ^ Jump up to : `` Revels , Hiram Rhodes , ( 1827 -- 1901 ) '' . Biographical Directory of the United States Congress . United States Congress . Retrieved January 25 , 2009 .   Jump up ^ `` First African American Senator '' . Historical Minutes Essays , 1878 -- 1920 . Senate Historical Office . Retrieved January 4 , 2013 .   Jump up ^ `` Bruce , Blanche Kelso , ( 1841 - 1898 ) '' . Biographical Directory of the United States Congress . United States Congress . Retrieved January 25 , 2009 .   ^ Jump up to : `` Former Slave Presides over Senate '' . Historical Minutes Essays , 1878 -- 1920 . Senate Historical Office . Retrieved January 4 , 2013 .   ^ Jump up to : `` Brooke , Edward William , III , ( 1919 -- ) '' . Biographical Directory of the United States Congress . United States Congress . Retrieved January 25 , 2009 .   ^ Jump up to : `` Moseley Braun , Carol , ( 1947 -- ) '' . Biographical Directory of the United States Congress . United States Congress . Retrieved January 25 , 2009 .   Jump up ^ `` Carol Moseley Braun '' . Senate Historical Office . Archived from the original on December 17 , 2012 . Retrieved January 4 , 2013 .   Jump up ^ `` Barack Obama '' . Senate Historical Office . Retrieved January 4 , 2013 .   Jump up ^ `` Scott , Tim , ( 1965 -- ) '' . Biographical Directory of the United States Congress . United States Congress . Retrieved November 18 , 2014 .   Jump up ^ Blake , Aaron ; Cillizza , Chris ( December 17 , 2012 ) . `` Nikki Haley appoints Rep. Tim Scott to Senate '' . The Washington Post . Retrieved January 5 , 2013 .   Jump up ^ `` Cowan , William ( Mo ) , ( 1969 -- ) '' . Biographical Directory of the United States Congress . United States Congress . Retrieved November 18 , 2014 .   Jump up ^ Phillips , Frank ( January 30 , 2013 ) . `` William ' Mo ' Cowan is Governor Deval Patrick 's pick to serve as interim US senator '' . Boston Globe . Retrieved January 30 , 2013 .   Jump up ^ `` Booker , Cory Anthony , ( 1969 -- ) '' . Biographical Directory of the United States Congress . United States Congress . Retrieved November 18 , 2014 .   Jump up ^ Giambusso , David ( October 23 , 2013 ) . `` Cory Booker planning to be sworn in to Senate on Halloween '' . The Star - Ledger . NJ.com . Retrieved October 26 , 2013 .   Jump up ^ `` Harris , Kamala Devi , ( 1964 - ) '' . Biographical Directory of the United States Congress . United States Congress . Retrieved June 27 , 2018 .   Jump up ^ Sources for label `` African American '' or `` black '' include :   `` African American Senators '' . United States Senate . Retrieved 1 July 2018 . Kamala D. Harris ( D - CA ) became the first African American to represent California in the United States Senate on January 3 , 2017 .   `` Kamala Harris 's File '' . PolitiFact . Retrieved 1 July 2018 . Harris , a Democrat , was elected to the U.S. Senate in 2016 . She became California 's attorney general in January 2011 . She was the first woman and the first African - American to hold the office in California 's history .   Weigel , David ( January 9 , 2018 ) . `` Democrats Add Harris , Booker to Senate Judiciary Committee '' . The Washington Post . Retrieved 1 July 2018 . The Senate Judiciary Committee will welcome its first African American members in this century after Democrats added Sens. Kamala D. Harris ( D - Calif . ) and Cory Booker ( D-N. J . ) to the panel that handles judicial nominations and appointments to the Justice Department .   Wire , Sarah D. ( November 8 , 2016 ) . `` Kamala Harris Will Be the First Indian American U.S. Senator and California 's First Black Senator '' . Los Angeles Times . Retrieved 1 July 2018 . She will also be just the second black woman to serve in the U.S. Senate , and the first black senator from California .   McPhate , Mike ( September 29 , 2016 ) . `` California Today : A Snooze of a Senate Race '' . The New York Times . Retrieved 2 July 2018 . The race to succeed Senator Barbara L. Boxer of California was supposed to be one of the marquee contests of the year ... It offers a window into the ethnic kaleidoscope that is California : Pitting a Latino , Representative Loretta Sanchez , against an African - American , Kamala Harris , the state attorney general .   DeMarche , Edmund ( April 6 , 2018 ) . `` Sen. Kamala Harris Raises Eyebrows on ' Ellen ' With Trump Joke '' . Fox News . Retrieved 2 July 2018 . Harris , California 's first African - American senator , has not responded to the conservative response online .     Jump up ^ Wire , Sarah D. ( November 8 , 2016 ) . `` Kamala Harris Will Be the First Indian American U.S. Senator and California 's First Black Senator '' . Los Angeles Times . Retrieved 1 July 2018 . Harris ' mother , Dr. Shyamala Harris , emigrated from India . Her father , Donald Harris , emigrated from Jamaica .   Jump up ^ Wasniewski , Matthew , ed. ( 2008 ) . `` Shirley A. Chisholm 1924 -- 2005 '' . Black Americans in Congress , 1870 - 2007 . United States Government Printing Office . p. 340 . ISBN 9780160801945 .   Jump up ^ Office of the Historian . `` ' Crafting an Identity , ' Fifteenth Amendment in Flesh and Blood '' . Office of the Clerk , House of Representatives of the United States . Retrieved August 7 , 2013 .    Further reading ( edit )    Christopher , Maurine ( 1971 ) . America 's Black Congressmen . Thomas Y . Crowell Company . ISBN 9780690085853 .   Clay , William L. ( 1992 ) . Just Permanent Interests : Black Americans in Congress , 1870 -- 1991 . Amistad Press . ISBN 1 - 56743 - 000 - 7 .   Dray , Philip ( 2008 ) . Capitol Men : The Epic Story of Reconstruction Through the Lives of the First Black Congressmen . Houghton Mifflin . ISBN 978 - 0 - 618 - 56370 - 8 .   Foner , Eric ( 1996 ) . Freedom 's Lawmakers : A Directory of Black Officeholders During Reconstruction . LSU Press . ISBN 9780807120828 .   Freedman , Eric ; Jones , Stephen A. ( 2008 ) . African Americans In Congress : A Documentary History . CQ Press . ISBN 9780872893856 .   Gill , LaVerne McCain ( 1997 ) . African American Women in Congress : Forming and Transforming History . Rutgers University Press . ISBN 9780813523538 .   Hahn , Steven ( 2005 ) . A Nation Under Our Feet : Black Political Struggles in the Rural South from Slavery to the Great Migration . Belknap Press of Harvard University Press . ISBN 9780674017658 .   Haskins , James ( 1999 ) . Distinguished African American Political and Governmental Leaders . Oryx Press . ISBN 9781573561266 .   Lynch , Matthew ( 2012 ) . Before Obama : A Reappraisal of Black Reconstruction Era Politicians . ABC - CLIO . ISBN 9780313397929 .   Middleton , Stephen ( 2002 ) . Black Congressmen During Reconstruction : A Documentary Sourcebook . Greenwood Publishing Group . ISBN 9780313322815 .   Rabinowitz , Howard N. , ed. ( 1982 ) . Southern Black Leaders of the Reconstruction Era . University of Illinois Press . ISBN 9780252009723 .   Walton , Jr. , Hanes ; Puckett , Sherman C. ; Deskins , Jr. , Donald R. ( 2012 ) . The African American Electorate : A Statistical History . Congressional Quarterly Press . ISBN 9780872895089 .   Wasniewski , Matthew , ed. ( 2008 ) . Black Americans in Congress , 1870 - 2007 . United States Government Printing Office . ISBN 9780160801945 . The website , Black Americans in Congress maintained by the Clerk of the United States House of Representatives , serves as an ongoing supplement to the book . To download a free copy of the entire publication or a specific portion of the publication , see H. Doc . 108 - 224 - Black Americans in Congress 1870 - 2007 . Made available by the United States Government Printing Office ( GPO ) .    External links ( edit )    `` African American Senators '' . United States Senate . Retrieved 2 July 2018 .   African American Members of the United States Congress : 1870 -- 2012 A 66 - page history produced by the Congressional Research Service , a legislative branch agency within the Library of Congress .   Biographical Directory of the United States Congress , 1774 - Present Perform search of desired Representative or Delegate by last name , first name , position , state , party , by year or congress .   Black Americans in Congress , 1870 -- 2007 A C - SPAN video with Matt Wasniewski , historian of the United States House of Representatives , as the presenter . He discusses the history of African Americans in Congress from 1870 to 2007 . The video is 164 minutes in length .   Black Americans in Congress Maintained by the Clerk of the United States House of Representatives . The website serves as an ongoing supplement to the book , Black Americans in Congress , 1870 - 2007 .   Major African American Office Holders Since 1641 Includes a listing for the United States Senate . Maintained by Blackpast.org .      hide         United States Congress       House of Representatives   Senate   ( 114th ← 115th → 116th )   Lists of congressional lists          Members and leaders        Members      Current     By length of service   Freshmen   Youngest members   Resident Commissioner of Puerto Rico   Delegates       Senate     Current   by seniority     Dean of the Senate   Former U.S. Senators   living     Earliest serving   Earliest living   Expelled or censured   Classes   Born outside the U.S.       House     Current   by seniority     Dean of the House   Former U.S. Representatives   living     Oldest living   Earliest serving   Expelled , censured , and reprimanded          Leaders      Senate     President ( list )   President pro tempore ( list )   Majority and minority leaders   Assistant party leaders   Democratic Caucus ( Chair   Secretary   Policy Committee Chair )   Republican Conference ( Chair   Vice-Chair   Policy Committee Chair )       House     Speaker   Leaders   Bipartisan Legal Advisory Group   Democratic Caucus   Republican Conference          Districts     List   Apportionment       Caucuses , women and minorities     Congressional caucus   African Americans in the House   Congressional Black Caucus     African Americans in the Senate   Arab and Middle - Eastern members   Asian Pacific American members   Congressional Asian Pacific American Caucus     Hispanic and Latino members   Congressional Hispanic Caucus   Congressional Hispanic Conference     Jewish members   LGBT members   LGBT Equality Caucus     Native American members   Women in the House   Congressional Caucus for Women 's Issues     Women in the Senate       Related     By length of service historically                Powers , privileges , procedure , committees , history and media        Powers     Article I   Copyright   Commerce ( Dormant )   Contempt of Congress   Declaration of war   Impeachment   Naturalization   `` Necessary and Proper ''   Power of enforcement   Taxing / spending       Privileges and benefits     Salaries   Franking   Immunity       Procedure     Act of Congress ( list )   Appropriation bill   Blue slip   Budget resolution   Censure   Closed sessions   House   Senate     Cloture   Concurrent resolution   Continuing resolution   Dear colleague letter   Discharge petition   Engrossed bill   Enrolled bill   Expulsion   Joint resolution   Joint session ( list )   Lame - duck session   Majority of the majority ( Hastert Rule )   Multiple referral   Procedures ( House )   Quorum call   Reconciliation   Rider   Saxbe fix   Sponsorship   Suspension of the rules   Unanimous consent   Veto   Line - item veto   Pocket veto   Veto override         Senate - specific     Advice and consent   Classes   Executive communication   Executive session   Filibuster   Jefferson 's Manual   Senate Journal   Morning business   Nuclear option   Presiding Officer   Recess appointment   Reconciliation   Riddick 's Senate Procedure   Senate hold   Senatorial courtesy   Seniority   Standing Rules   Tie - breaking votes   Traditions   Treaty Clause       Committees     Chairman and ranking member   Of the Whole   Conference   Discharge petition   Hearings   Markup   Oversight   List ( Joint )   List ( House )   List ( Senate )   Select and special   Standing   Subcommittees       Items     Gavels   Mace of the House   Seal of the Senate       History     Biographical Directory   Congressional apportionment   Divided government   House   Gerrymandering   Party control   Senate   Senate election disputes   Senatorial memoirs   Representative memoirs       Media     C - SPAN   Congressional Quarterly   The Hill   Politico   Roll Call                Capitol Complex        Legislative offices     Congressional staff   Government Accountability Office ( Comptroller General )   Architect of the Capitol   Capitol Police ( Capitol Police Board )   Capitol Guide Service ( Capitol Guide Board )   Congressional Budget Office ( CBO )   Compliance   Library of Congress   Government Publishing Office ( GPO )   Technology Assessment       Offices      Senate     Curator   Historical   Library       House     Congressional Ethics   Emergency Planning , Preparedness , and Operations   Interparliamentary Affairs   Legislative Counsel   Law Revision Counsel   Library          Employees      Senate     Secretary   Chaplain   Curator   Inspector General   Historian   Librarian   Pages   Parliamentarian   Sergeant at Arms and Doorkeeper       House     Chaplain   Chief Administrative Officer   Clerk   Doorkeeper   Floor Operations   Floor Services Chief   Historian   Pages ( Page Board )   Parliamentarian   Postmaster   Reading Clerk   Sergeant at Arms          Library of Congress     Congressional Research Service ( reports )   Copyright Office ( Register of Copyrights )   Law Library   Poet Laureate   THOMAS   Adams Building   Jefferson Building   Madison Building       Government Publishing Office     Public Printer   Congressional Pictorial Directory   Congressional Record   Official Congressional Directory   United States Government Manual   Serial Set   Statutes at Large   United States Code       Capitol     Brumidi Corridors   Congressional Prayer Room   Crypt   Dome   Statue of Freedom     Rotunda   Hall of Columns   Statuary Hall   Visitor Center   The Apotheosis of Washington   Statue of Freedom   Declaration of Independence painting   Scene at the Signing of the Constitution of the United States   Apotheosis of Democracy   First Reading of the Emancipation Proclamation of President Lincoln   Surrender of General Burgoyne   Surrender of Lord Cornwallis   Revolutionary War Door   Westward the Course of Empire Takes Its Way   Vice President 's Room   Vice Presidential Bust Collection       Office buildings      Senate     Dirksen   Hart   Mountains and Clouds     Russell       House     Building Commission   Cannon   Ford   Longworth   O'Neill   Rayburn          Other facilities     Botanic Garden   Health and Fitness Facility   House Recording Studio   Senate chamber   Old Senate Chamber   Old Supreme Court Chamber   Power Plant   Webster Page Residence   Subway        `                  African - American politics     Officeholders      Federal     African Americans in the United States Congress   House   Senate   Congressional Black Caucus   Congressional Black Caucus Foundation     Cabinet Secretaries       State and local     Governors and lieutenant - governors   Mayors   National Conference of Black Mayors     Statewide and local firsts   National Black Caucus of State Legislators   Speakers and presidents of state legislatures       General     Officeholders 1789 - 1866   During Reconstruction   African - American women in politics          Candidates     Candidates for President   List         Political movements     Pan-Africanism   Nationalism   Black Power   Black fist   Anarchism   Capitalism   Conservatism   in the United States     Populism   Leftism   Black feminism   Womanism   Garveyism   Republicans   District of Columbia statehood movement      Retrieved from `` https://en.wikipedia.org/w/index.php?title=List_of_African-American_United_States_Senators&amp;oldid=850478084 '' Categories :   African - American politicians   African - American United States Senators   Political history of the United States   Lists of United States Senators   Lists of African - American people   Hidden categories :   Articles containing potentially dated statements from January 2017   All articles containing potentially dated statements           Talk                                           Contents                   About Wikipedia                                           Português   Edit links   This page was last edited on 16 July 2018 , at 03 : 33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</si>
  <si>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african-american senators are there in the 115th congress</t>
  </si>
  <si>
    <t xml:space="preserve">   Senator   State   Took office   Left office   Party   Congress   Ref .   Note         Hiram Rhodes Revels ( 1827 -- 1901 )   Mississippi   February 25 , 1870   March 3 , 1871   Republican   41st ( 1869 -- 1871 )             Blanche Bruce ( 1841 -- 1898 )   Mississippi   March 4 , 1875   March 3 , 1881   Republican   44th ( 1875 -- 1877 )         45th ( 1877 -- 1879 )     46th ( 1879 -- 1881 )         Edward Brooke ( 1919 -- 2015 )   Massachusetts   January 3 , 1967   January 3 , 1979   Republican   90th ( 1967 -- 1969 )         91st ( 1969 -- 1971 )     92nd ( 1971 -- 1973 )     93rd ( 1973 -- 1975 )     94th ( 1975 -- 1977 )     95th ( 1977 -- 1979 )         Carol Moseley Braun ( born 1947 )   Illinois   January 3 , 1993   January 3 , 1999   Democratic   103rd ( 1993 -- 1995 )         104th ( 1995 -- 1997 )     105th ( 1997 -- 1999 )         Barack Obama ( born 1961 )   Illinois   January 3 , 2005   November 16 , 2008   Democratic   109th ( 2005 -- 2007 )         110th ( 2007 -- 2009 )         Roland Burris ( born 1937 )   Illinois   January 15 , 2009   November 29 , 2010   Democratic   111th ( 2009 -- 2011 )             Tim Scott ( born 1965 )   South Carolina   January 2 , 2013   Incumbent   Republican   112th ( 2011 -- 2013 )         113th ( 2013 -- 2015 )     114th ( 2015 -- 2017 )     115th ( 2017 -- 2019 )         Mo Cowan ( born 1969 )   Massachusetts   February 1 , 2013   July 16 , 2013   Democratic   113th ( 2013 -- 2015 )             Cory Booker ( born 1969 )   New Jersey   October 31 , 2013   Incumbent   Democratic   113th ( 2013 -- 2015 )         114th ( 2015 -- 2017 )     115th ( 2017 -- 2019 )         Kamala Harris ( born 1964 )   California   January 3 , 2017   Incumbent   Democratic   115th ( 2017 -- 2019 )       </t>
  </si>
  <si>
    <t xml:space="preserve">Spanish Ladies - wikipedia  Spanish Ladies  Not to be confused with Spanish Lady or Lady of Spain . James E. Buttersworth 's The Clipper Ship Flying Cloud off the Needles , Isle of Wight ( 1859 - 60 ) .  `` Spanish Ladies '' ( Roud 687 ) is a traditional British naval song , describing a voyage from Spain to the Downs from the viewpoint of ratings of the Royal Navy .   Contents    1 Origins   2 Lyrics   3 Variants   4 In other media   5 References   6 External links    Origins ( edit )   A ballad by the name `` Spanish Ladies '' was registered in the English Stationer 's Company on December 14 , 1624 . The oldest mention of the present song does not , however , appear until the 1796 logbook of HMS Nellie , making it more likely an invention of the Napoleonic era . The timing of the mention in the Nellie 's logbook suggests that the song was created during the War of the First Coalition ( 1793 -- 96 ) , when the Royal Navy carried supplies to Spain to aid its resistance to revolutionary France . It probably gained in popularity during the later Peninsular War when British soldiers were transported throughout the Iberian peninsula to assist rebels fighting against the French occupation . After their victory over the Grande Armée , these soldiers were returned to Britain but forbidden to bring their Spanish wives , lovers , and children with them .   The song predates the proper emergence of the sea shanty . Shanties were the work songs of merchant sailors , rather than naval ones . However , in his 1840 novel Poor Jack , Captain Frederick Marryat reports that the song `` Spanish Ladies '' -- though once very popular -- was `` now almost forgotten '' and he included it in whole in order to `` rescue it from oblivion '' . The emergence of shanties in the mid-19th century then revived its fortunes , to the point where it is now sometimes included as a `` borrowed song '' within the genre .   Lyrics ( edit )   `` Spanish Ladies '' is the story of British navy men sailing north from Spain and along the English Channel . The crew are unable to determine their latitude by sighting as the distance between Ushant to the south and the Scillies to the north is wide . Instead , they locate themselves by the depth and the sandy bottom they have sounded . Arthur Ransome , in his novel Peter Duck , suggests that the succession of headlands on the English shore indicates the ship tacking up - channel away from the French coast , identifying a new landmark on each tack . However , one verse ( quoted below ) states that they had the wind at southwest and squared their mainsails to run up the Channel , rather than beating against a northeasterly .   This is the version recorded in the 1840 Poor Jack . It is one of many . Notable variations are shown in parentheses after each line .   Farewell and adieu to you , Spanish ladies , ( alt : `` ... to Spanish ladies '' ) Farewell and adieu to you , ladies of Spain ; ( alt : `` ... to ladies of Spain ; '' ) For we have received orders ( alt : `` ... 're under orders '' ) For to sail to old England , But we hope in a short time to see you again . ( alt : `` And we may ne'er see you fair ladies again . '' ) ( Chorus :) We 'll rant and we 'll roar , like true British sailors , We 'll rant and we 'll roar across the salt seas ; ( alt : `` We 'll range and we 'll roam all on the salt seas ; '' ) Until we strike soundings In the Channel of old England , From Ushant to Scilly ' tis thirty - five leagues . ( alt : `` 34 '' or `` 45 '' . ) Then we hove our ship to , with the wind at the sou'west , my boys , ( alt : `` We hove our ship to , with the wind from sou'west , boys , '' ) Then we hove our ship to , for to strike soundings clear ; ( alt : `` ... deep soundings to take ; '' `` ... for to make soundings clear ; '' ) Then we filled the main topsail ( alt : `` ' Twas 45 ( or 55 ) fathoms with a white sandy bottom '' ) And bore right away , my boys , ( alt : `` So we squared our main yard '' ) And straight up the Channel of old England did steer . ( alt : `` And up channel did make . '' or `` ... did steer '' ) So the first land we made , it is called the Deadman , ( alt : `` The first land we sighted was callèd the Dodman '' ) Next Ram Head , off Plymouth , Start , Portland , and the Wight ; ( alt : `` Next Rame Head off Plymouth , Start , Portland , and Wight ; '' ) We sailèd by Beachy , ( alt : `` We sailed by Beachy / by Fairlight and Dover '' ) By Fairly and Dungeness , And then bore away for the South Foreland light . ( alt : `` Until we brought to for ... '' or `` And then we bore up for ... '' ) Now the signal it was made for the Grand Fleet to anchor ( alt : `` Then the signal was made ... '' ) All in the Downs that night for to meet ; ( alt : `` ... that night for to lie ; '' ) Then stand by your stoppers , ( alt : `` Let go your shank painter , / Let go your cat stopper '' ) See clear your shank painters , Hawl all your clew garnets , stick out tacks and sheets . ( alt : `` Haul up your clewgarnets , let tack and sheets fly '' ) Now let every man take off his full bumper , ( alt : `` Now let ev'ry man drink off his full bumper , '' ) Let every man take off his full bowl ; ( alt : `` And let ev'ry man drink off his full glass ; '' ) For we will be jolly ( alt : `` We 'll drink and be jolly '' ) And drown melancholy , With a health to each jovial and true hearted soul . ( alt : `` And here 's to the health of each true - hearted lass . '' )   Variants ( edit )   The song has been found in several different minor and major keys . Cecil Sharp considers the version in minor keys to be the original .   Several variants exist that utilize the same melody but substitute different lyrics . The one sung in Jaws reset the destination from England to Boston . `` Brisbane Ladies '' is an Australian tune about drovers instead of sailors . A significantly modified version called `` The Ryans and the Pittmans '' , widely known as `` We 'll Rant and We 'll Roar '' , is from Newfoundland ; this version was recorded as `` Rant and Roar '' by Great Big Sea on their album Up . There is an American variant called `` Yankee Whalermen '' . A version was created especially for the Bluenose , a famed Canadian ship based in Nova Scotia .   The melody is also used for the `` Streets of Laredo '' , a 19th - century American cowboy ballad , and the song forms part of Sir Henry J. Wood 's composition Fantasia on British Sea Songs .   In other Media ( edit )   As mentioned above , the song is quoted in full in the 1840 novel Poor Jack . It appears in part in the 40th chapter of Herman Melville 's Moby - Dick and in chapter 7 of Post Captain , the 2nd book and in Treason 's Harbour , the 9th book of Patrick O'Brian 's Aubrey -- Maturin series of novels set during the Napoleonic Wars . It also appears in Arthur Ransome 's books Swallows and Amazons and `` Missee Lee '' and Wilbur Smith 's works Monsoon and Blue Horizon .   The song notably appeared in the 1975 film Jaws . It was also sung in the 2003 film Master and Commander : The Far Side of the World , based on the O'Brian books .   Robert Shaw , the actor who sang the tune in Jaws , also sang it years earlier in a 1956 episode of the television show The Buccaneers . It has also appeared in the series Homicide , Sharpe , Hornblower , Jimmy Neutron , The Mentalist , Gossip Girl , Monsuno , and Turn .   The video game Assassin 's Creed IV : Black Flag features `` Spanish Ladies '' as one of the collectible sea shanties that the sailors on the player 's ship may begin singing while sailing between islands while out of combat .   In The Mentalist episode `` Ladies in Red '' Patrick Jane sings the tune to himself whilst attempting to find the correct code to open the victim 's panic room .   Australian singer - songwriter Sarah Blasko produced a cover of the song which featured in the series Turn : Washington 's Spies .   References ( edit )    ^ Jump up to : Palmer , Roy ( 1986 ) . The Oxford Book of Sea Songs . Oxford : Oxford University Press . p. 386 .   Jump up ^ Venning , Annabel ( 2005 ) . Following the Drum : The Lives of Army Wives and Daughters , Past and Present . London : Headline Book Publishing . p. 372 . ISBN 9780755312580 .   ^ Jump up to : Marryat , Frederick . Poor Jack , pp. 116 ff . Longman , Orme , Brown , Green , and Longmans ( London ) , 1840 .   Jump up ^ Chappell , William ; Macfarren , George Alexander ; Ruggles - Brise , Dorothea ; Glen , John ( 1859 ) . Popular Music of the Olden Time . 2 . London : Cramer , Beale &amp; Chappell . p. 458 . JSTOR 3370428 .   Jump up ^ Hugill , Stan ( 1961 ) . Shanties from the Seven Seas : Shipboard Work - Songs from the Great Days of Sail . London : Routledge &amp; Kegan Paul . p. 609 . ISBN 9780710015730 . JSTOR 4521625 . OCLC 8883552 .   Jump up ^ Ransome , Arthur . Peter Duck .   Jump up ^ United States Hydrographic Office . British Islands Pilot , Vol. 1 : The south coast of England from the Scilly Isles to the Thames , pp. 37 ff . United States Department of the Navy , 1920 .   Jump up ^ In fact , the distance from Point Cadoran off Ushant to Wingletang in the Scillies is less than 112 miles ( 180 km ) , an equivalent of 321⁄2 leagues , a distance made still smaller by the notoriously treacherous waters around both extremes .   Jump up ^ Steve Roud &amp; Julia Bishop , eds . The New Penguin Book of English Folk Songs . Penguin Classics , 2002 . ISBN 978 - 0 - 141 - 19461 - 5 . p. 391 .   Jump up ^ Cecil Sharp , Folk songs from Somerset ( 1909 ) , 5 : 90   Jump up ^ Britton , Andrew ( 2009 ) . `` Jaws ( 1979 ) '' . In Grant , Barry Keith . Britton on Film : The Complete Film Criticism of Andrew Britton . Wayne State University Press . p. 240 . ISBN 9780814333631 .   Jump up ^ Connor , L.D. ( April 8 , 2015 ) . `` The Literal and the Littoral '' . The Studios after the Studios : Neoclassical Hollywood ( 1970 - 2010 ) . Stanford University Press . p. 61 . ISBN 9780804794749 .   Jump up ^ Pisano , Louis R. ; Smith , Michael A. ( October 6 , 2015 ) . Jaws 2 : The Making of the Hollywood Sequel . BearManor Media . p. 237 .   Jump up ^ Cobley , P. ( November 9 , 2000 ) . `` Reading the Space of the Seventies '' . The American Thriller : Generic Innovation and Social Change in the 1970s . Springer . p. 49 . ISBN 9780333985120 .   Jump up ^ Sapphire Films . The Buccaneers . `` The Ladies '' . ABC ( UK ) and CBS ( US ) , 1956 .   Jump up ^ Baltimore Pictures &amp; al. Homicide : Life on the Street . `` Ghost of a Chance '' . NBC , 1993 .   Jump up ^ Celtic Films and Picture Palace Films . Sharpe . `` Sharpe 's Enemy '' . ITV , 1994 , and PBS ( US ) , 1995 .   Jump up ^ Meridian Television . Hornblower . `` Retribution '' . ITV ( UK ) , 2002 , and A&amp;E ( US ) , 2003 .   Jump up ^ O Entertainment &amp; al . The Adventures of Jimmy Neutron : Boy Genius . `` Monster Hunt '' . Nickelodeon , 2003 . The song appeared as Farewell and adieu , all ye cankered young ladies ; Farewell and adieu , though my song is quite lame ; For we received orders to sail to Pacoima ; And then nevermore will we eat cheese again .   Jump up ^ Primrose Hill Productions &amp; al . The Mentalist . `` Ladies in Red '' . CBS , 2008 .   Jump up ^ Warner Bros. Television &amp; al. Gossip Girl . `` In the Realm of the Basses '' . The CW , 2009 .   Jump up ^ Jakks Pacific &amp; al. Monsuno : Combat Chaos . `` Six '' . TV Tokyo ( Japan ) and Nicktoons ( US ) , 2013 .   Jump up ^ AMC Studios . Turn . `` Of Cabbages and Kings '' . AMC , 2014 .   Jump up ^ `` Assassin 's Creed IV : Spanish Ladies Lyrics '' . ORCZ . March 18 , 2014 . Retrieved February 28 , 2018 .    External links ( edit )    Yankee Whalermen at Contemplator   Rant and Roar ( Canadian ) at Contemplator   A Yankee version using New Bedford   A user - created map showing all the English landmarks mentioned during the English Channel leg of the voyage can be found at ( 1 )   Retrieved from `` https://en.wikipedia.org/w/index.php?title=Spanish_Ladies&amp;oldid=856082530 '' Categories :   Folk songs   Sea shanties   Year of song unknown   Hidden categories :   All pages needing factual verification   Wikipedia articles needing factual verification from May 2014           Talk                  Variants                          Contents                   About Wikipedia                                           Euskara   Polski   Edit links   This page was last edited on 22 August 2018 , at 19 : 03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</si>
  <si>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song quint sings in jaws</t>
  </si>
  <si>
    <t xml:space="preserve"> The song notably appeared in the 1975 film Jaws . It was also sung in the 2003 film Master and Commander : The Far Side of the World , based on the O'Brian books . </t>
  </si>
  <si>
    <t xml:space="preserve">List of Income Tax ranks in India - wikipedia  List of Income Tax ranks in India   The following are ranks in the Income Tax Department in India .       Contents    1 Ranks of the Income Tax Department   1.1 Alternative Designations     2 References   3 External links    Ranks of the Income Tax Department ( edit )   Gazetted officers include all the Indian Revenue Service officers and all Income Tax Services officer of and above the rank of Income Tax Inspector . Income Tax Officer / Officer on Special Duty ( OSD ) / Tax Recovery Officer ( TRO ) All ranks above Income tax Inspector are gazetted . Income Tax Officer ( ITO ) belong to the Group B list of gazetted officer . These officers get promoted to IRS , after working their way up through ranks .       Position / Pay Grade in the Government of India   Level and Rank   Equivalent Position or Designation in Government of India   Equivalent Position or Designation in the State Government ( s )   Order of Precedence ( As per Presidential order )         Multi Tasking Staff / Entry - level             2400   Tax Assistant     Assistant Sub Inspector of Police         4200   Senior Tax Assistant     Sub Inspector of Police         4600   Inspector of Income Tax / Agent of Income Tax CID / Entry Level     / Police Inspector         4800   Income Tax Officer / Special Agent of Income Tax CID / Additional Assistant Director     senior Inspector of Police / TEHSILADR       6   Junior Time Scale   Assistant Commissioner of Income Tax / Entry - level ( IRS Probationer )    Sub District Magistrate / Deputy Superintendent of Police        7   Senior Time Scale   Deputy Commissioner of Income Tax   Under Secretary   Additional District Magistrate / Special Secretary / Additional Superintendent of Police       8   Junior Administrative Grade   Joint Commissioner of Income Tax   Deputy Secretary   District Magistrate / Special Secretary / Superintendent of Police       9   Selection Grade   Additional Commissioner of Income Tax   Director   District Magistrate / Special Secretary / Senior Superintendent of Police       10   Senior Administrative Grade   Commissioner of Income Tax   Joint Secretary   Divisional Commissioner / Secretary / Deputy Inspector General of Police   26     11   Higher Administrative Grade   Principal Commissioner of Income Tax   Additional Secretary   Divisional Commissioner / Principal Secretary / Additional Director General of Police   25     12   Higher Administrative Grade +   Chief Commissioner   Additional Secretary   Director General of Police ( non-Head of Police force )   25     13   Apex Scale   Principal Chief Commissioner of Income Tax / CBDT Chairman / Member CBDT / DG Central Economic Intelligence Bureau   Special Secretary   Additional Chief Secretary   23     Alternative Designations ( edit )    Principal Chief Commissioner of Income Tax - Principal Director General of Income Tax   Chief Commissioner of Income Tax - Director General of Income Tax   Principal Commissioner of Income Tax - ADG / Principal Director of Income Tax   Commissioner of Income Tax - Additional Director General / Director of Income Tax   Additional Commissioners of Income Tax - Additional Director of Income Tax   Joint Commissioner of Income Tax - Joint Director of Income Tax   Deputy Commissioner of Income Tax - Deputy Director of Income Tax   Assistant Commissioner of Income Tax - Assistant Director of Income Tax   Assistant Commissioner of Income Tax ( IRS Probationary Rank : 2 years of service )   Assistant Commissioner of Income Tax ( IRS Probationary Rank : 1 year of service )    References ( edit )    Jump up ^ http://www.irsofficersonline.gov.in/    External links ( edit )    Official Website of Income Tax Department of India   Official Website of Indian Revenue Service   Training Academy for Members of Indian Revenue Service - Income Tax   Retrieved from `` https://en.wikipedia.org/w/index.php?title=List_of_Income_Tax_ranks_in_India&amp;oldid=856198906 '' Categories :   Central Civil Services ( India )   Income Tax Department of India   Taxation - related lists           Talk                                           Contents                   About Wikipedia                                           Add links   This page was last edited on 23 August 2018 , at 15 : 16 ( UTC ) .         About Wikipedia                    </t>
  </si>
  <si>
    <t xml:space="preserve">salary of assistant commissioner of income tax in india</t>
  </si>
  <si>
    <t xml:space="preserve">     Position / Pay Grade in the Government of India   Level and Rank   Equivalent Position or Designation in Government of India   Equivalent Position or Designation in the State Government ( s )   Order of Precedence ( As per Presidential order )         Multi Tasking Staff / Entry - level             2400   Tax Assistant     Assistant Sub Inspector of Police         4200   Senior Tax Assistant     Sub Inspector of Police         4600   Inspector of Income Tax / Agent of Income Tax CID / Entry Level     / Police Inspector         4800   Income Tax Officer / Special Agent of Income Tax CID / Additional Assistant Director     senior Inspector of Police / TEHSILADR       6   Junior Time Scale   Assistant Commissioner of Income Tax / Entry - level ( IRS Probationer )    Sub District Magistrate / Deputy Superintendent of Police        7   Senior Time Scale   Deputy Commissioner of Income Tax   Under Secretary   Additional District Magistrate / Special Secretary / Additional Superintendent of Police       8   Junior Administrative Grade   Joint Commissioner of Income Tax   Deputy Secretary   District Magistrate / Special Secretary / Superintendent of Police       9   Selection Grade   Additional Commissioner of Income Tax   Director   District Magistrate / Special Secretary / Senior Superintendent of Police       10   Senior Administrative Grade   Commissioner of Income Tax   Joint Secretary   Divisional Commissioner / Secretary / Deputy Inspector General of Police   26     11   Higher Administrative Grade   Principal Commissioner of Income Tax   Additional Secretary   Divisional Commissioner / Principal Secretary / Additional Director General of Police   25     12   Higher Administrative Grade +   Chief Commissioner   Additional Secretary   Director General of Police ( non-Head of Police force )   25     13   Apex Scale   Principal Chief Commissioner of Income Tax / CBDT Chairman / Member CBDT / DG Central Economic Intelligence Bureau   Special Secretary   Additional Chief Secretary   23   </t>
  </si>
  <si>
    <t xml:space="preserve">Paladins ( video game ) - wikipedia  Paladins ( video game )  Jump to : navigation , search      This article needs additional citations for verification . Please help improve this article by adding citations to reliable sources . Unsourced material may be challenged and removed . ( January 2017 ) ( Learn how and when to remove this template message )       Paladins : Champions of the Realm         Developer ( s )   Hi - Rez Studios     Publisher ( s )   Hi - Rez Studios     Engine   Unreal Engine 3     Platform ( s )   Microsoft Windows PlayStation 4 Xbox One macOS     Release   September 16 , 2016     Genre ( s )   First - person shooter     Mode ( s )   Multiplayer     Paladins : Champions of the Realm is a free - to - play hero shooter video game developed and published by Hi - Rez Studios .   Closed beta began on November 17 , 2015 . The game went into open beta on September 16 , 2016 . The game also went into open beta on both PlayStation 4 and Xbox One on May 3 , 2017 .     Contents  ( hide )   1 Gameplay   1.1 Champions and roles   1.2 Game Modes   1.3 Competitive     2 Reception   3 References   4 External links      Gameplay ( edit )   Champions and roles ( edit )   Paladins provides various characters , called champions , for the players to choose during their multiplayer sessions . Each of these champions fall into one of the following categories : Front Line , Damage , Support and Flank . Being a team - based shooter , players must rely on strategy , character knowledge , coordination and teamwork in order to attain victory . Players may use VGS , along with text and voice chat to communicate . A good team will have a balanced choice of classes that will support each other during the game .    Front Line : Champions who serve as the anchor of the team , holding the front and protecting their allies . With high health pools and shielding capabilities , Front Line champions excel at blocking enemy fire and disrupting enemy objective captures .     Damage : Champions who possess reliable and consistent damage outputs or large burst damage potential . Their damage , coupled with average health pools and decent mobility , make Damage champions ideal for skirmishes and extended firefights .     Support : Champions with high utility and healing abilities , the backbone of any team . Due to their healing capabilities that keep their allies in the fight , Support champions are invaluable allies .     Flank : Champions who excel at traversing the battlefield and getting behind enemy lines , eliminating vulnerable key targets . While most Flank champions are relatively frail , having lower health pools than any other role , their excellent mobility and self - sustain provide them with the means of escape and survival .    There are 31 champions in Paladins , 6 of which are available from the start for new players to choose . Additionally , 4 champions are also temporarily accessible for free on a fortnightly rotation . Players can permanently acquire additional champions through purchases using in - game currency . More are slated for release in 2017 .   Game modes ( edit )   There are different gameplay modes for Paladins :    Siege : The ' main ' Paladins game mode , teams are tasked first to capture the map 's central capture point and , if successful , push a payload that spawns from it to the enemy base . This mode is played in a best - of - seven format .     Payload : An attacking team is tasked with escorting a payload through an extended railroad track to push it as far as they can , or to the end goal , while a defending team thwarts their progress . A push is halted if the both teams engage in combat near the payload and it slowly moves backwards if no one on the attacking team is nearby to push it , though push progress the team has accumulated is not lost . Once time runs out or if the payload is pushed to the destination , teams switch attack / defense roles . The winner is determined by the team that pushes the payload the furthest , with the attacking team setting the bar in the first round . If the attacking team in the second round are able to push the payload the same distance as the first team , the second wins the game .     Survival : Teams try to outlast each other on a relatively small map with no respawning until the next round , all the while avoiding deathly fog that closes in from the outer edges of the map . The fog deals percentage - based damage of a champion 's health and negates all healing while a champion is in it , foiling long term stall tactics . The fog starts at the edge of the map , which starts closing in after a short delay until it reaches the map 's epicenter , where any surviving champion are forced to do battle . This mode is played in a best - of - six format . This game mode was removed in OB 52 .     Co-op : A player versus environment game mode , a team of five face off against an AI - controlled team that possess extremely large health and high damaging attacks , as well as modified abilities . The objective in each PvE map vary from capturing an objective in a Siege game ( where the mode is simplified so that only capturing the point is necessary ) or a Survival game . This game mode was removed in OB 49 .     Onslaught : Teams do battle over a large combat area in an attempt to take point control and earn points . Along with holding an uncontested presence on the control point , slaying enemy players also scores points for the team , akin to a team deathmatch . Killing an enemy scores the team 5 points , while holding control over the combat area earns the team 1 point per second . The first team to reach 400 points , or the team with the most points after 10 minutes , wins the game .     Test Maps : An additional game mode accessible in the casual section . Players can play untested maps that may be implemented into the game and give their rating for the map . The objective for test maps vary between Siege and Onslaught , and the maps available are rotated every major patch .    Competitive ( edit )   The Competitive game mode is unlocked for players once they have unlocked 12 champions and reach a player profile level of 15 . Competitive only features the Siege game mode . However , at the start of the match , players must choose their champions one by one . First one player chooses . Then , two players from the opposing team choose . Then two players from the team opposing the last choose . This continues until the last player ( from the team opposing the one that has first pick ) has a role . This challenges the teams to try and counter-build each other by specifically choosing certain champions . Competitive games also affects a player 's Competitive rating .   Reception ( edit )   Within a week of its release on Steam , the game had attracted 800,000 downloads and was one of the top 10 most popular games by concurrent users on the service .   In response to accusations that the game is an Overwatch clone , Hi - Rez COO Todd Harris said that `` Overwatch was not the inspiration for Paladins '' , and `` the game that deserves the most credit is Team Fortress 2 '' .   References ( edit )    Jump up ^ `` Champions - Official Paladins Wiki '' . paladins.gamepedia.com . Retrieved 2017 - 05 - 05 .   Jump up ^ Oliver Cragg ( 2016 - 09 - 23 ) . `` Overwatch ' clone ' Paladins takes Steam by storm with over 750k downloads '' . International Business Times . Retrieved 2016 - 10 - 22 .   Jump up ^ Phillips , Tom ( 2016 - 09 - 16 ) . `` Paladins open beta launch trailer reminds us a lot of Overwatch '' . Eurogamer . Retrieved 2017 - 05 - 15 .   Jump up ^ Jonathon Dornbush ( 2016 - 09 - 20 ) . `` Paladins Developer Responds to Overwatch Comparisons '' . IGN . Retrieved 2016 - 10 - 22 .    External links ( edit )    Official website   Retrieved from `` https://en.wikipedia.org/w/index.php?title=Paladins_(video_game)&amp;oldid=802517743 '' Categories :   Upcoming video games   Early access video games   First - person shooter multiplayer online games   Free - to - play video games   MacOS games   PlayStation 4 games   Video games developed in the United States   Windows games   Xbox One games   Unreal Engine games   Hero shooters   Hidden categories :   Articles needing additional references from January 2017   All articles needing additional references   Articles using Infobox video game using locally defined parameters   Articles using Wikidata infoboxes with locally defined images   Official website not in Wikidata           Talk                                           Contents                   About Wikipedia                                           Español   Français   Italiano   Македонски   Polski   Português   Русский   Slovenščina   Српски / srpski   Türkçe   Edit links   This page was last edited on 26 September 2017 , at 17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</si>
  <si>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the full paladins game come out</t>
  </si>
  <si>
    <t xml:space="preserve">   Paladins : Champions of the Realm         Developer ( s )   Hi - Rez Studios     Publisher ( s )   Hi - Rez Studios     Engine   Unreal Engine 3     Platform ( s )   Microsoft Windows PlayStation 4 Xbox One macOS     Release   September 16 , 2016     Genre ( s )   First - person shooter     Mode ( s )   Multiplayer   </t>
  </si>
  <si>
    <t xml:space="preserve">227 ( TV series ) - wikipedia  227 ( TV series )  Jump to : navigation , search    227         Genre   Sitcom     Created by   C.J. Banks Bill Boulware     Based on   227 by Christine Houston     Developed by   Jack Elinson     Starring   Marla Gibbs Hal Williams Alaina Reed Hall Jackée Harry Helen Martin Regina King Kia Goodwin Curtis Baldwin Countess Vaughn Toukie A. Smith Stoney Jackson Barry Sobel Paul Winfield Kevin Peter Hall     Theme music composer   Ray Colcord     Opening theme   `` There 's No Place Like Home '' , performed by Marla Gibbs     Composer ( s )   Ray Colcord     Country of origin   United States     Original language ( s )   English     No. of seasons   5     No. of episodes   116 ( list of episodes )     Production     Executive producer ( s )   Marla Gibbs ( 1985 -- 1986 ) Ronald Rubin ( 1987 -- 1988 ) Bill Boulware ( 1987 -- 1988 ) Bob Myer ( 1985 -- 1986 ) Bob Young ( 1985 -- 1986 ) Richard Gurman ( 1985 -- 1987 ) George Burditt ( 1987 -- 1988 ) Ron Bloomberg ( 1985 -- 1988 ) Jack Elinson ( 1985 -- 1987 ) Roy Campanella , Jr. ( 1985 -- 1986 ) Irma Kalish ( 1988 -- 1990 )     Camera setup   Multi-camera     Running time   22 -- 24 minutes     Production company ( s )   Embassy Television ( 1985 -- 1986 ) ( season 1 ) Embassy Communications ( 1986 -- 1988 ) ( seasons 2 - 3 ) ELP Communications ( 1988 - 1990 ) ( seasons 3 - 5 ) Columbia Pictures Television ( 1988 -- 1990 ) ( seasons 3 - 5 )     Distributor   Columbia TriStar Television Sony Pictures Television ( Currently )     Release     Original network   NBC     Audio format   Stereo     Original release   September 14 , 1985 ( 1985 - 09 - 14 ) -- May 6 , 1990 ( 1990 - 05 - 06 )     Chronology     Related shows   Jackée     227 is an American sitcom that originally aired on NBC from September 14 , 1985 to May 6 , 1990 . The series stars Marla Gibbs as a sharp - tongued , inner - city resident gossip and housewife , Mary Jenkins .     Contents  ( hide )   1 Origins   2 Synopsis   3 Cast   4 Episodes   5 Ratings   6 Awards and nominations   7 Series syndication   8 DVD release   9 See also   10 References   11 External links      Origins ( edit )   The series was adapted from a play written in 1978 by Christine Houston about the lives of women in a predominantly black apartment building in 1950s Chicago . The setting of the series , however , was changed to present - day Washington , D.C. The show was created as a starring vehicle for Marla Gibbs , who had become famous as Florence Johnston , the sassy maid on The Jeffersons , and had starred in Houston 's play in Los Angeles . This role was similar in nature to that of tart - tongued Florence ; Gibbs ' character , housewife Mary Jenkins , loved a good gossip and often spoke what she thought , with sometimes not - so - favorable results .   According to Gibbs , 227 was originally offered to ABC , but sold to NBC . Since The Jeffersons was still on the air on CBS , the new 227 show was scheduled to begin in 1986 . However , when The Jeffersons was abruptly and unexpectedly canceled in 1985 , Gibbs was free to begin , and 227 went into production a year earlier than had been previously planned .   Synopsis ( edit )   227 followed the lives of people in a middle - class apartment building , 227 Lexington Place , in Northeast , Washington , D.C. The show was centered around Mary Jenkins ( Marla Gibbs ) , a nosy , tart - tongued , but loving housewife . Her husband , Lester ( Hal Williams ) , had his own construction company , and their daughter , Brenda ( Regina King ) , was boy - crazy yet smart and studious . It was King 's first acting role .   Also cast in 227 was Sandra Clark ( Jackée Harry ) , Mary 's young neighbor who constantly bickered back and forth with her about their respective views on life . Although their relationship was antagonistic at first , Mary and Sandra became good friends as time went on . Also living in the building was Pearl Shay ( Helen Martin ) , a feisty - but - kind - hearted busybody neighbor who was known for snooping and had a sharp sense of humor . Pearl had a grandson named Calvin Dobbs ( Curtis Baldwin ) , whom Brenda had a crush on and would finally date later in the series ' run .   Rose Lee Holloway ( Alaina Reed Hall ) was Mary 's level - headed best friend and often the voice of reason among 227 's residents . She and Mary were often seen sitting on the front stoop of the building , exchanging rumors and gossip , with Pearl adding sly commentary and humor from her front window . Rose had a daughter named Tiffany ( Kia Goodwin ) , who was Brenda 's closest friend , but she disappeared after the second season , although she was mentioned occasionally . In the premiere episode , Rose became the unexpected landlord of the building after the building 's stingy slumlord Mr. Calloway died . Rose stayed on as landlady until the fourth season ( for season five , Paul Winfield was introduced as the building 's new snide , wealthy landlord Julian c . Barlow ) .   In the first season , both Helen Martin and Curtis Baldwin , who had only been recurring stars , appeared in nearly every episode . In the second season 's opening credits , Martin and Baldwin shared a title card , thus making them official full - time cast members . Martin had her own title card for the third and fifth seasons , while Regina King and Baldwin shared a title card together in those years .   By the time taping started on the third season in 1987 , Jackée Harry , who had just won an Emmy for Outstanding Supporting Actress changed her stage name to simply Jackée , which she used until 1994 . In the fourth season , an 11 - year - old child prodigy named Alexandria DeWitt ( Countess Vaughn ) became the Jenkins ' houseguest . Vaughn received her role after she appeared on Star Search and declared to host Ed McMahon that her favorite show was 227 . However , Alexandria left during Calvin 's graduation episode near the end of season four to reunite with her father who after completing his archaeological dig in the Amazon had moved to London to catalogue his items .   After the fourth season , Jackée 's television pilot , entitled Jackée , found Sandra moving to New York City and finding work at a spa . NBC aired the episode on May 11 , 1989 . The pilot was rejected , and Jackée left the show ; however , she was a guest star in seven of the final season 's episodes .   In the show 's final season , Toukie Smith , Barry Sobel , Stoney Jackson , Kevin Peter Hall and Paul Winfield joined the cast in an effort to stop the show 's declining ratings . In the end , the cast additions proved fruitless , and 227 ended its run in the spring of 1990 .   Cast ( edit )     Actor   Character   Seasons             5     Marla Gibbs   Mary Louise Hurley - Jenkins   Main     Hal Williams   Lester Jenkins   Main     Alaina Reed Hall   Rose Lee Holloway ( later Merriwether )   Main     Jackée Harry   Sandra Clark   Main   Recurring     Regina King   Brenda Jenkins   Main     Kia Goodwin   Tiffany Holloway   Main   Recurring       Helen Martin   Pearl Shay   Recurring   Main     Curtis Baldwin   Calvin Dobbs   Recurring   Main     Countess Vaughn   Alexandria DeWitt     Main       Barry Sobel   Dylan McMillan     Recurring   Main     Toukie A. Smith   Eva Rawley     Recurring   Main     Stoney Jackson   Travis Filmore     Main     Paul Winfield   Julian C. Barlow     Main     Reynaldo Rey   Ray the Mailman     Recurring     Kevin Peter Hall   Warren Merriwether     Recurring     Episodes ( edit )  Main article : List of 227 episodes  Ratings ( edit )   With the exception of The Cosby Show and A Different World , 227 achieved higher ratings than other sitcoms airing at the time with a predominantly African American cast during the first two seasons of its original run on NBC ( 1985 -- 1990 ) .    1985 -- 1986 : # 20 ( 18.80 rating )   1986 -- 1987 : # 14 ( 18.90 rating )   1987 -- 1988 : # 27 ( 16.44 rating )   1988 - 1989 : # 35 ( 14.47 rating )   1989 - 1990 : # 60 ( 11.53 rating )    Awards and nominations ( edit )     Year   Award   Result     Recipient       BMI Film &amp; TV Awards   Won   BMI TV Music Award   Ray Colcord       Emmy Awards   Won   Outstanding Supporting Actress in a Comedy Series   Jackée Harry       Nominated   Outstanding Supporting Actress in a Comedy Series   Jackée Harry     1989   Golden Globe Award   Nominated   Best Performance by an Actress in a Supporting Role in a Series , Mini-Series or Motion Picture Made for TV   Jackée Harry     1986   Young Artist Awards   Nominated   Best Young Actress Starring in a New Television Series   Regina King       Nominated   Exceptional Performance by a Young Actress in a Long Running Series Comedy or Drama   Regina King     Nominated   Exceptional Performance by a Young Actress , Guest Starring in a Television , Comedy or Drama Series   Jurnee Smollett     1989   Nominated   Best Young Actress Featured , Co-starring , Supporting , Recurring Role in a Comedy or Drama Series or Special   Countess Vaughn     Series syndication ( edit )   NBC aired daytime reruns of 227 from September 1989 to July 1990 . The show went into syndication in the fall of 1990 . It has previously aired on cable 's BET , TV One , TV Land , Centric , and UP ( formerly GMC ) . Selected Minisodes from the first season are available to view for free on Crackle. 227 ( alongside Amen ) aired on Encore Black from November 12 , 2013 to November 30 , 2015 . The show is owned and distributed by Sony Pictures Television . 227 aired back - to - back episodes on Logo starting at midnight on New Year 's Day 2016 . In January 2017 , the series began airing on Antenna TV . The series started airing on OWN weekend nights starting December 2 , 2017 .   DVD release ( edit )   On September 28 , 2004 , Columbia Tristar Home Entertainment released the complete first season of 227 on DVD in Region 1 .   On February 7 , 2017 , Mill Creek Entertainment re-released the first season on DVD in Region 1 . It is unknown as to when Mill Creek will release sets of the remaining four seasons .   See also ( edit )    Jackée ( 227 )    References ( edit )    Jump up ^ `` Top Rated Programs -- 1985 -- 1990 '' . chez.com . Retrieved March 1 , 2010 .   Jump up ^ http://blog.sitcomsonline.com/2010/10/gmc-acquires-227-remembering-barbara.html   Jump up ^ `` Marla Gibbs , Jackée Harry Return to DVD in ' The Complete 1st Season ' '' .    External links ( edit )    227 on IMDb   227 at TV.com   227 at epguides.com   Retrieved from `` https://en.wikipedia.org/w/index.php?title=227_(TV_series)&amp;oldid=834273880 '' Categories :   1985 American television series debuts   1990 American television series endings   1980s American sitcoms   1980s American black sitcoms   1990s American black sitcoms   English - language television programs   NBC network shows   Television shows set in Washington , D.C.   Television series based on plays   Television series by Sony Pictures Television   Hidden categories :   Tv.com template using numeric id           Talk                                           Contents                   About Wikipedia                                           Wikiquote       Español   Italiano   Русский   Srpskohrvatski / српскохрватски   Edit links   This page was last edited on 4 April 2018 , at 20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</si>
  <si>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guy who plays calvin on 227</t>
  </si>
  <si>
    <t xml:space="preserve"> Also cast in 227 was Sandra Clark ( Jackée Harry ) , Mary 's young neighbor who constantly bickered back and forth with her about their respective views on life . Although their relationship was antagonistic at first , Mary and Sandra became good friends as time went on . Also living in the building was Pearl Shay ( Helen Martin ) , a feisty - but - kind - hearted busybody neighbor who was known for snooping and had a sharp sense of humor . Pearl had a grandson named Calvin Dobbs ( Curtis Baldwin ) , whom Brenda had a crush on and would finally date later in the series ' run . </t>
  </si>
  <si>
    <t xml:space="preserve">Billy Redden - wikipedia  Billy Redden  Jump to : navigation , search  Billy Redden ( born 1956 ) is an American actor , best known for his role as a backwoods , mountain boy in the 1972 film Deliverance . He played Lonnie , a banjo - playing teenager of the country in north Georgia , who played the noted `` Dueling Banjos '' with Drew Ballinger ( Ronny Cox ) . The film was critically acclaimed and received nominations for awards in several categories .     Contents  ( hide )   1 Early life   2 Career   3 Filmography   4 References   5 External links      Early life ( edit )   Redden was born in Rabun County , Georgia .   Career ( edit )   At the age of 16 , he was selected for a role in Deliverance from his school in Georgia by the director John Boorman to portray a banjo - playing `` local '' during the film 's famous `` dueling banjos '' scene . Boorman felt that Redden 's skinny frame and large head , and almond shaped eyes made him the natural choice to play the part of an `` inbred from the back woods . '' Because Redden could not play a banjo , he wore a special shirt which allowed a real banjo player to hide behind him for the scene , which was shot with carefully chosen camera angles that would conceal the player , whose arms were slipped around Redden 's waist to play the tune .   After Deliverance , Redden was cast in Lamberto Bava 's 1984 film Blastfighter . The film was recorded in and around Clayton and many people recall it as a mixture of Deliverance and First Blood .   Redden next appeared in Tim Burton 's 2003 film Big Fish . Burton was intent on getting Redden , as he wanted him to play ( really ? ) the role of a banjo - playing `` welcomer '' in the utopian town of Spectre . Burton located Redden in Clayton , Georgia , where he was part - owner of the Cookie Jar Café , and also worked as a cook and dishwasher .   In 2004 , Redden made a guest appearance on Blue Collar TV , playing a car repairman named Ray in a `` Redneck Dictionary '' skit . He represented the word `` raisin bread '' ( as in `` Ray 's inbred '' ) . He played a banjo in the skit .   In 2009 , Redden played again his usual role ( The banjo man ) in Ace Cruz 's film Outrage : Born in Terror .   In 2012 , 40 years after the release of Deliverance , Redden was interviewed in association with a documentary , The Deliverance of Rabun County ( 2012 ) . It explored the feelings of people in Rabun County four decades later about the 1972 film . Redden said that though Deliverance was the best thing that happened to him , he never saw much money from the movie :   I 'd like to have all the money I thought I 'd make from this movie . I would n't be working at Walmart right now . And I 'm struggling really hard to make ends meet .   Noting some locals objected to the stereotypes in the movie , Redden said that the people in Rabun County were good people :   We 're not a bad people up here , we 're a loving people . Rabun County is a pretty good town . It 's peaceful , not a lot of crime going on , just a real peaceful town . Everybody pretty much gets along with everybody .   Filmography ( edit )    Deliverance ( 1972 ) - Lonnie   Blastfighter ( 1984 ) - Banjo Man ( uncredited )   Big Fish ( 2003 ) - Banjo Man   Outrage ( 2009 ) - Banjo Man ( final film role )    References ( edit )    Jump up ^ Potempa , Philip ( October 19 , 2008 ) . `` Burt Reynolds and ' Deliverance ' boy reunited `` . The Times of Northwest Indiana .   ^ Jump up to : Welles , Cory ( August 22 , 2012 ) . `` 40 Years Later , Deliverance Causes Mixed Feelings in Georgia '' . Marketplace . American Public Media .    External links ( edit )    Billy Redden on IMDb   Blake Spurney ( News Editor ) ( October 7 , 2004 ) . `` Another celebrity appearance for Rabun star ( Archived 27 Dec 2004 ) '' . Archived from the original on December 27 , 2004 .   Retrieved from `` https://en.wikipedia.org/w/index.php?title=Billy_Redden&amp;oldid=827472734 '' Categories :   1956 births   Living people   American male film actors   American male child actors   Male actors from Georgia ( U.S. state )   People from Clayton , Georgia   Hidden categories :   All articles with unsourced statements   Articles with unsourced statements from October 2016           Talk                                           Contents                   About Wikipedia                                           Italiano   Svenska   Edit links   This page was last edited on 24 February 2018 , at 22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</si>
  <si>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kid who played the banjo in deliverance</t>
  </si>
  <si>
    <t xml:space="preserve"> Billy Redden ( born 1956 ) is an American actor , best known for his role as a backwoods , mountain boy in the 1972 film Deliverance . He played Lonnie , a banjo - playing teenager of the country in north Georgia , who played the noted `` Dueling Banjos '' with Drew Ballinger ( Ronny Cox ) . The film was critically acclaimed and received nominations for awards in several categories . </t>
  </si>
  <si>
    <t xml:space="preserve">What the Hell Did I Say - wikipedia  What the Hell Did I Say  Jump to : navigation , search    `` What the Hell Did I Say ''     Single by Dierks Bentley     from the album Black     Released   June 26 , 2017 ( 2017 - 06 - 26 )     Format   Digital download     Recorded   2015 -- 16     Genre   Country     Length   3 : 28     Label   Capitol Nashville     Songwriter ( s )     Dierks Bentley   Josh Kear   Chris Tompkins       Producer ( s )   Ross Copperman     Dierks Bentley singles chronology        `` Black '' ( 2016 )   `` What the Hell Did I Say '' ( 2017 )             `` Black '' ( 2016 )   `` What the Hell Did I Say '' ( 2017 )          `` What the Hell Did I Say '' is a song by country music artist Dierks Bentley . It was released as the fourth single from his eighth studio album , Black . The song is about getting intoxicated and giving a girl false promises . This is the second collaboration by Bentley , Kear and Tompkins , following the highly successful single `` Drunk on a Plane '' . However , the song underperformed and became the lowest charting single of Bentley 's career .     Contents  ( hide )   1 Music video   2 Charts   3 Release history   4 References      Music video ( edit )   A promotional video directed by Wes Edwards premiered on April 29 , 2016 as part of the album 's pre-release video series . The official music video was released on July 9 , 2017 . Also directed by Edwards , the video is composed of footage from Bentley 's 2017 tour .   Charts ( edit )     Chart ( 2016 -- 17 )   Peak position     US Country Airplay ( Billboard )   46     US Hot Country Songs ( Billboard )   35     Release history ( edit )     Region   Date   Format   Label   Ref .     United States   May 27 , 2016   Digital download   Capitol Nashville       June 26 , 2017   Country radio       References ( edit )    Jump up ^ `` Dierks Bentley -- What The Hell Did I Say '' . DierksBentleyVEVO. April 16 , 2016 . Retrieved July 25 , 2017 -- via YouTube .   Jump up ^ `` Dierks Bentley -- What the Hell Did I Say '' . DierksBentleyVEVO . July 9 , 2017 -- via YouTube .   Jump up ^ `` Dierks Bentley -- Chart history '' Billboard Country Airplay for Dierks Bentley . Retrieved August 22 , 2017 .   Jump up ^ `` Dierks Bentley -- Chart history '' Billboard Hot Country Songs for Dierks Bentley . Retrieved July 25 , 2017 .   Jump up ^ `` Amazon.com : Black : Dierks Bentley : MP3 Downloads '' . Amazon . May 27 , 2016 . Retrieved July 25 , 2017 .   Jump up ^ `` Dierks Bentley hits radio airwaves today with new single '' . UMG Nashville . Retrieved July 25 , 2017 .      ( hide )         Dierks Bentley     Studio albums     Do n't Leave Me in Love   Dierks Bentley   Modern Day Drifter   Long Trip Alone   Feel That Fire   Up on the Ridge   Home   Riser   Black       Compilation albums     Greatest Hits / Every Mile a Memory 2003 -- 2008       Singles     `` What Was I Thinkin ' ''   `` My Last Name ''   `` How Am I Doin ' ''   `` Lot of Leavin ' Left to Do ''   `` Come a Little Closer ''   `` Settle for a Slowdown ''   `` Every Mile a Memory ''   `` Long Trip Alone ''   `` Free and Easy ( Down the Road I Go ) ''   `` Trying to Stop Your Leaving ''   `` Feel That Fire ''   `` Sideways ''   `` I Wanna Make You Close Your Eyes ''   `` Up on the Ridge ''   `` Draw Me a Map ''   `` Am I the Only One ''   `` Home ''   `` 5 - 1 - 5 - 0 ''   `` Tip It On Back ''   `` Bourbon in Kentucky ''   `` I Hold On ''   `` Drunk on a Plane ''   `` Say You Do ''   `` Riser ''   `` Somewhere on a Beach ''   `` Different for Girls '' ( feat . Elle King )   `` Black ''   `` What the Hell Did I Say ''       Featured singles     `` The South '' ( w / The Cadillac Three , Florida Georgia Line and Mike Eli )       Concert tours     Riser Tour   Sounds of Summer Tour   Somewhere on a Beach Tour       Related articles     Discography   `` Murder on Music Row '' ( w / George Jones )   `` Flatliner '' ( w / Cole Swindell )      Retrieved from `` https://en.wikipedia.org/w/index.php?title=What_the_Hell_Did_I_Say&amp;oldid=802536430 '' Categories :   2017 singles   Dierks Bentley songs   Capitol Records Nashville singles   Songs written by Dierks Bentley   Songs written by Chris Tompkins   Songs written by Josh Kear   2016 songs   Hidden categories :   Articles with hAudio microformats   Singlechart usages for Billboardcountryairplay   Singlechart called without song   Singlechart usages for Billboardcountrysongs           Talk                                           Contents                   About Wikipedia                                           Add links   This page was last edited on 26 September 2017 , at 19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</si>
  <si>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what the hell did i say</t>
  </si>
  <si>
    <t xml:space="preserve"> `` What the Hell Did I Say '' is a song by country music artist Dierks Bentley . It was released as the fourth single from his eighth studio album , Black . The song is about getting intoxicated and giving a girl false promises . This is the second collaboration by Bentley , Kear and Tompkins , following the highly successful single `` Drunk on a Plane '' . However , the song underperformed and became the lowest charting single of Bentley 's career . </t>
  </si>
  <si>
    <t xml:space="preserve">Little League World Series - wikipedia  Little League World Series  Jump to : navigation , search  Little League World Series   Most recent season or competition : 2017 Little League World Series         Sport   Baseball     Founded   1947 , 70 years ago     No. of teams   16     Countries   International     Most recent champion ( s )   Tokyo , Japan     Most titles   Taiwan ( 17 titles )     Official website   LittleLeague.org    South Williamsport Location in the United States South Williamsport Location in Pennsylvania  The Little League Baseball World Series is an annual baseball tournament in the eastern United States for children aged 11 to 13 years old . Originally called the National Little League Tournament , it was later renamed for the World Series in Major League Baseball . The Series was first held 70 years ago in 1947 and is held every August in South Williamsport , Pennsylvania . ( Although the postal address of the organization is in Williamsport , the Series itself is played at Howard J. Lamade Stadium and Volunteer Stadium at the Little League headquarters complex in South Williamsport . )   Initially , only teams from the US competed in the Series but it has since become a worldwide tournament . The tournament has gained popular renown , especially in the United States , where games from the Series and even from regional tournaments are broadcast on ESPN . In 2006 , the age limit was changed to include players who turn 13 after April 30 of the same year , rather than after July 31 , as had previously been the case . As the Series takes place in August , many of the players will have already turned 13 before the Series starts . In 2014 Little League originally voted to change the age cut off from April 30th to December 31st . However , this caused outrage by parents because the players born between May 1 and August 31 , 2005 would have lost their 12 year old season because they would be considered to be 13 years old even though they have not reached their 13th birthday . Effective November , 2015 , a new implementation plan was established , which `` grandfathers '' players born between May 1 and August 31 , 2005 as 12 - year - olds for the 2018 seasons , using the current April 30 age determination date for the 2018 season . Beginning with 2019 , a new determination date of August 31 will be used , which will ban 13 year old players from participating in the Series . Thus , players would have to have their 13th birthday after August 31st .   While the Little League Baseball World Series is frequently referred to as just the Little League World Series , it is actually one of twelve tournaments sponsored by Little League International , in twelve different locations . Each of them brings community teams from different Little League International regions around the world together in baseball ( five age divisions ) , girls ' softball ( four age divisions ) , and boys ' softball ( three divisions ) . The tournament structure described here is that used for the Little League Baseball World Series . The structure used for the other World Series is similar , but with different regions .     Contents  ( hide )   1 Qualifying tournaments   1.1 Regions     2 Venues   3 Notable events   4 Little League World Series champions   5 Championship tally   5.1 Championships won by country / state     6 Championship notes   7 Famous participants in the Little League World Series   8 Media coverage   9 Other divisions in Little League Baseball   10 See also   11 References   12 External links      Qualifying tournaments ( edit )  A Little League World Series game at Howard J. Lamade Stadium in 2007 Welcome sign in the Little League World Series Complex  In the summer months leading up to the Little League World Series , held each year in August , Little Leagues around the world select an All - Star team made up of players from its league . It is these All - Star teams that compete in district , sectional and / or divisional , and regional tournaments , hoping to advance to Williamsport for the Little League World Series . How many games a team has to play varies from region to region . In the United States , the tournaments at the lowest ( district ) level lack nationwide standardization . Some use pool play or double elimination , while others use single elimination .   In the United States , the fate of district winners varies widely from state to state . In some larger states such as Pennsylvania , New York , and California , the district winners advance to one of many sectional tournaments . The winners of each sectional tournament then advance to a state or divisional tournament , the latter only being held in Texas and California and are similar to the state tournaments held in less densely populated states . Most smaller states lack competition at the sectional level and go straight from district to state tournaments . A handful of states are composed of only one district , and the district champion is the automatic state champion .   With 4 exceptions , every state as well as the District of Columbia crowns a state champion , and sends that team to represent it to one of eight regional tournaments . The exceptions involve California , Texas , North Dakota , and South Dakota . Because of their large geographic and population sizes , California and Texas send two representatives to their regional tournament ; Northern California and Southern California in the West region tournament and Texas East and Texas West ( whose areas encompass more than the geographical areas of East Texas and West Texas , splitting roughly along the I - 35 / I - 37 corridor ) compete in the Southwest region tournament . Conversely , North Dakota has only one city ( Fargo ) that operates Little League -- sponsored competitions ; the Dakotas have one district spanning the two states , and its winner becomes the joint champion and advances to the Midwest region tournament .   The state champions ( as well as the Northern California , Southern California , Texas East , Texas West , and Dakotas champions ) compete in one of eight different regional tournaments . Each regional tournament winner then advances to the Little League World Series . See ( 4 ) for a comprehensive breakdown of current and historical US regional tournament locations , participants and results .   Other countries and regions pick their own way of crowning a champion . Little League Canada holds tournaments at the provincial and divisional level to field six champions ( five provincial and one divisional ) at the national tournament : Alberta , Ontario , Quebec , British Columbia , Saskatchewan , and the Atlantic Provinces . The host site of the national tournament varies from year to year , and the host team gets an automatic berth as the seventh team . The tournament is played as a round robin and uses the page playoff format . The winner of the national tournament earns the right to represent Canada at the Little League World Series .  A Little League World Series Game at Howard J. Lamade Stadium in South Williamsport , Pennsylvania , USA .  The Little League World Series consists of 16 teams -- 8 from the United States , and 8 from other countries . Prior to 2001 there were eight teams in the LLWS : four U.S. teams ( Central , South , East , and West ) and four international ( Canada , Latin America , Europe , and the Far East ) . It should be noted that in 1975 there were only four teams in the LLWS , all from the United States . The international teams returned in 1976 . Starting in 1976 , two brackets were established , with the four U.S. regions competing in the U.S. bracket and the four non-U.S. regions competing in the International bracket . The U.S. national champion and the International champion then compete for the World Series title .   In 2001 , the number of regions was doubled to 16 , from which the 16 regional champions continued to be divided into the two brackets : 8 in the United States Bracket and 8 in the International Bracket . From 2001 to 2009 , however , each team was then randomly assigned to one of two `` pools '' in their respective bracket . In the opening days of the tournament , the teams competed round - robin within their own pool . The top two teams in each pool advanced to the semifinal of their bracket , where the first place team from one pool competed against the second place team from the other . The respective winners advanced to play in either the United States or International Final . The U.S. champion and the International champion advanced to compete in the Little League World Series Championship Game .   On April 14 , 2010 , Little League announced that starting in 2010 , round robin play would be replaced by a double - elimination bracket in each pool . The winners of each pool would advance to single elimination US and International Championship games , and the winners of those games would advance to the World Championship game . Every team would play a minimum of three games : the four teams that lost their first two games would cross over and play U.S. vs. International games .   On June 16 , 2011 , it was announced that the double - elimination format had been modified . The pools were eliminated , with the eight U.S. teams continuing to compete in one bracket and the eight International teams in another bracket . The tournament remains double - elimination until the U.S. and International Championship games , where it becomes single - elimination . ( That is , if the team that advances through the winner 's bracket loses the championship game they are eliminated and the teams do not play a rubber game . ) Each team still plays a minimum of three games , playing a `` crossover '' ( U.S. vs. International ) consolation game if eliminated after their second game .   Regions ( edit )  See also : Junior , Senior &amp; Big League Baseball § Regions ; and Little League World Series ( Far East Region ) § 1975 Ban  The eight regional tournament winners which compete in the United States Bracket of the Little League World Series , as well as the states those regional champions could possibly hail from are as follows :    New England ( ME , NH , VT , MA , RI , CT )   Mid-Atlantic ( PA , NY , NJ , MD , DC , DE )   Midwest ( ND / SD , NE , KS , MN , IA , MO )   Great Lakes ( MI , WI , OH , IN , IL , KY )   Southeast ( VA , WV , NC , SC , GA , FL , AL , TN )   Southwest ( MS , LA , AR , TX East , TX West , OK , CO , NM ) * Known as Gulf States during 2001 LLWS   Northwest ( AK , WA , OR , ID , MT , WY )   West ( AZ , NV , UT , Northern CA , Southern CA , HI )      The eight divisions which compete in the International Bracket are as follows :    Asia - Pacific and Middle East   Australia   Canada   Caribbean   Europe and Africa   Japan   Latin America   Mexico    The eight divisions which compete in the United States bracket represent 96 % of the players in Little League with over 2.2 million players while the eight divisions in the International bracket represent 4 % of the Little League or less than 130 thousand players .   Prior to 2008 , instead of two separate geographic regions , Europe , the Middle East , and Africa held two coterminous regions :    Europe -- Middle East -- Africa ( EMEA )   Transatlantic    The Transatlantic and EMEA regions were geographically identical . Leagues from the Transatlantic region generally consisted of children and other dependents of American expatriates , typically Armed Forces personnel , international organization members , and oil company workers ( such as the team representing the Saudi Aramco Residential Camp in Dhahran , which advanced to the World Series 19 times through 2007 , including all the tournaments from 2001 through 2007 ) . The leagues within the `` EMEA '' region consisted of players native to the league 's own country . Representative teams for the Trans - Atlantic region had to have at least 51 % nationals of Canada , the U.S. or Japan , while teams for the EMEA region could have no more than three players from those three countries .   Teams in the reorganized Europe and MEA regions did not have nationality restrictions , as evidenced by the 2009 series . In that year , both regions were won by teams made up primarily of children of American expatriates . Europe was represented by a team from Ramstein Air Base , a United States Air Force base in Germany , while MEA was represented for the second time in its two - year existence by the team from the Saudi Aramco camp .   On August 29 , 2012 , Little League announced a significant realignment of the international regions , which took effect in 2013 :    Australia left the former Asia - Pacific Region and received an automatic berth in the LLWS . Australia has now become the fourth - largest country , and the largest outside North America , in Little League participation .   The former MEA ( Middle East -- Africa ) Region was disbanded .   Middle Eastern countries , except for Israel and Turkey ( see below ) , were placed in the former Asia - Pacific Region , which was renamed the Asia - Pacific and Middle East Region .   African countries were placed in the former Europe Region , which was renamed the Europe and Africa Region . Israel and Turkey remained in the renamed Europe and Africa region ; they had been in the former Europe Region as members of the European zone of the International Baseball Federation .    Venues ( edit )   Two venues host World Series games : Howard J. Lamade Stadium and Little League Volunteer Stadium . Lamade Stadium has hosted games since 1959 , and added lights in 1992 . Volunteer Stadium opened in 2001 when the field expanded to 16 teams . Prior to 1959 , the Little League World Series was held at Original Little League on West Fourth Street in Williamsport .   Both fields have symmetrical fences , with a distance of 68.6 m ( 225 feet ) from home plate to each of the outfield positions . That distance had been 62.5 m ( 205 feet ) before 2006 .   Admission to all LLWS games is free for all spectators . However , stadium seats for the championship game are distributed in a random drawing of all interested parties due to high demand . Some early round games , mostly games with Pennsylvania teams , will use first - come , first - served admission if a big crowd is to be expected . Lamade Stadium has a berm beyond the fences that has allowed the facility to hold up to 45,000 spectators .   Notable events ( edit )    1951 -- A team from Montreal , Canada became the first team outside of the United States to play in the tournament .   1955 -- The first walk - off home run in the championship game was hit by Rich Cominski , from Morrisville , Pennsylvania , in the 7th inning .   1957 -- Monterrey , Mexico became the first team outside of the United States to win the tournament . Pitcher Miguel Ángel Macias threw a perfect game , which has not occurred in a championship game since , as of 2017 .   1971 -- Lloyd McClendon , from Gary , Indiana , hit five home runs in five official at bats over the span of three games . He was intentionally walked in his other five plate appearances .   1982 -- Kirkland , Washington won the championship over Chiayi County , Taiwan . This snapped a streak of 31 consecutive wins by Taiwanese teams at the LLWS , and is considered one of the biggest upsets in the history of Little League .   1993 -- Long Beach , California became the first team from the United States to win consecutive championships .   2005 -- Michael Memea , from Ewa Beach , Hawaii , won the championship with a walk - off home run in the 7th inning .   2007 -- Dalton Carriker , from Warner Robins , Georgia , hit a walk off home run in the 8th inning in the championship game .   2012 -- A team from Lugazi , Uganda made it to the LLWS , becoming the first team from Africa to reach the LLWS .    Little League World Series champions ( edit )     Year   Winner   Score   Runner - Up     1947   Williamsport , Pennsylvania   16 -- 7   Lock Haven , Pennsylvania     1948   Lock Haven , Pennsylvania   6 -- 5   St. Petersburg , Florida     1949   Hammonton , New Jersey   5 -- 0   Pensacola , Florida     1950   Houston , Texas   2 -- 1   Bridgeport , Connecticut     1951   Stamford , Connecticut   3 -- 0   Austin , Texas     1952   Norwalk , Connecticut   4 -- 3   Monongahela , Pennsylvania     1953   Birmingham , Alabama   1 -- 0   Schenectady , New York     1954   Schenectady , New York   7 -- 5   Colton , California     1955   Morrisville , Pennsylvania   4 -- 3   Merchantville , New Jersey     1956   Roswell , New Mexico   3 -- 1   Merchantville , New Jersey     1957   Monterrey , Nuevo León , Mexico   4 -- 0   La Mesa , California     1958   Monterrey , Nuevo León , Mexico   10 -- 1   Kankakee , Illinois     1959   Hamtramck , Michigan   12 -- 0   Auburn , California     1960   Levittown , Pennsylvania   5 -- 0   Ft . Worth , Texas     1961   El Cajon , California   4 -- 2   El Campo , Texas     1962   San Jose , California   3 -- 0   Kankakee , Illinois     1963   Granada Hills , California   2 -- 1   Stratford , Connecticut     1964   Staten Island , New York   4 -- 0   Monterrey , Nuevo León , Mexico     1965   Windsor Locks , Connecticut   3 -- 1   Stoney Creek , Ontario     1966   Houston , Texas   8 -- 2   West New York , New Jersey     1967   West Tokyo , Japan   4 -- 1   Chicago     1968   Wakayama , Osaka , Japan   1 -- 0   Richmond , Virginia     1969   Taichung , Taiwan   5 -- 0   Santa Clara , California     1970   Wayne , New Jersey   2 -- 0   Campbell , California     1971   Tainan , Taiwan   12 -- 3 ( F / 9 )   Gary , Indiana     1972   Taipei , Taiwan   6 -- 0   Hammond , Indiana     1973   Tainan , Taiwan   12 -- 0   Tucson , Arizona       Kaohsiung , Taiwan   12 -- 1   Red Bluff , California       Lakewood , New Jersey   4 -- 3   Tampa , Florida     1976   Chofu , Tokyo , Japan   10 -- 3   Campbell , California     1977   Kaohsiung , Taiwan   7 -- 2   El Cajon , California     1978   Pingtung , Taiwan   11 -- 1   Danville , California     1979   Chiayi County , Taiwan   2 -- 1 ( F / 8 )   Campbell , California     1980   Hua - Lien , Taiwan   4 -- 3   Tampa , Florida     1981   Taichung , Taiwan   4 -- 2   Tampa , Florida     1982   Kirkland , Washington   6 -- 0   Chiayi , Taiwan       Marietta , Georgia   3 -- 1   Barahona , Dominican Republic     1984   Seoul , South Korea   6 -- 2   Altamonte Springs , Florida     1985   Seoul , South Korea   7 -- 1   / Mexicali , BC / Calexico , CA     1986   Tainan , Taiwan   12 -- 0   Tucson , Arizona       Hua - Lien , Taiwan   21 -- 1   Irvine , California     1988   Taichung , Taiwan   10 -- 0   Pearl City , Hawaii     1989   Trumbull , Connecticut   5 -- 2   Kaohsiung , Taiwan     1990   Tainan County , Taiwan   9 -- 0   Shippensburg , Pennsylvania     1991   Taichung , Taiwan   11 -- 0   San Ramon Valley , California     1992   Long Beach , California   6 -- 0   ‡ Zamboanga City , Philippines     1993   Long Beach , California   3 -- 2   David , Chiriquí , Panama     1994   Maracaibo , Venezuela   4 -- 3   Northridge , California     1995   Tainan , Taiwan   17 -- 3 ( F / 5 )   Spring , Texas       Kaohsiung , Taiwan   13 -- 3 ( F / 5 )   Cranston , Rhode Island     1997   Guadalupe , Nuevo León , Mexico   5 -- 4   South Mission Viejo , California     1998   Toms River , New Jersey   12 -- 9   Kashima , Japan     1999   Hirakata , Osaka , Japan   5 -- 0   Phenix City , Alabama     2000   Maracaibo , Venezuela   3 -- 2   Bellaire , Texas     2001   Tokyo Kitasuna , Tokyo , Japan   2 -- 1   Apopka , Florida     2002   Pleasure Ridge Park , Kentucky   1 -- 0   Sendai , Japan     2003   Musashi - Fuchu , Tokyo , Japan   10 -- 1   East Boynton Beach , Florida       Willemstad , Curaçao   5 -- 2   Thousand Oaks , California     2005   Ewa Beach , Hawaii   7 -- 6 ( F / 7 )   Willemstad , Curaçao     2006   Columbus , Georgia   2 -- 1   Kawaguchi City , Japan     2007   Warner Robins , Georgia   3 -- 2 ( F / 8 )   Tokyo , Japan     2008   Waipahu , Hawaii   12 -- 3   Matamoros , Tamaulipas , Mexico     2009   Chula Vista , California   6 -- 3   Taoyuan County , Taiwan       Edogawa Minami , Tokyo , Japan   4 -- 1   Waipahu , Hawaii     2011   Huntington Beach , California   2 -- 1   Hamamatsu City , Japan     2012   Tokyo - Kitasuna , Tokyo , Japan   12 -- 2 ( F / 5 )   Goodlettsville , Tennessee     2013   Musashi - Fuchu , Tokyo , Japan   6 -- 4   Chula Vista , California     2014   Seoul , South Korea   8 -- 4   ‡ Chicago , Illinois     2015   Tokyo - Kitasuna , Tokyo , Japan   18 -- 11   Lewisberry , Pennsylvania     2016   Maine - Endwell , New York   2 -- 1   Seoul , South Korea     2017   Tokyo - Kitasuna , Tokyo , Japan   12 -- 2 ( F / 5 )   Lufkin , Texas      Forfeits due to ineligible players . Zamboanga City , Phillipines was disqualified and stripped of its 1992 championship . Chicago , Illinois was stripped of its 2014 U.S. championship title , which was given to runner - up Las Vegas , Nevada .    Championship tally ( edit )   Championships won by country / state ( edit )     Rank   Team   Championships   Years       Taiwan   17   1969 , 1971 , 1972 , 1973 , 1974 , 1977 , 1978 , 1979 , 1980 , 1981 , 1986 , 1987 , 1988 , 1990 , 1991 , 1995 , 1996       Japan   11   1967 , 1968 , 1976 , 1999 , 2001 , 2003 , 2010 , 2012 , 2013 , 2015 , 2017       California   7   1961 , 1962 , 1963 , 1992 , 1993 , 2009 , 2011       Pennsylvania     1947 , 1948 , 1955 , 1960     Connecticut   1951 , 1952 , 1965 , 1989     New Jersey   1949 , 1970 , 1975 , 1998     7   Mexico     1957 , 1958 , 1997     Georgia   1983 , 2006 , 2007     South Korea   1984 , 1985 , 2014     New York   1954 , 1964 , 2016     10   Texas     1950 , 1966     Venezuela   1994 , 2000     Hawaii   2005 , 2008     13   Alabama     1953     New Mexico   1956     Michigan   1959     Washington   1982     Kentucky   2002     Curaçao        In 1976 , the tournament was split into two brackets : one for International teams , and one for teams from the United States .    Championship notes ( edit )    In November 1974 , Little League Baseball banned all non-U.S. teams from the World Series for 1975 . After considerable criticism , the ban was rescinded prior to 1976 .   In 1985 , Mexicali , Mexico , represented the West Region of the United States in the Little League World Series . Because of its proximity to the El Centro / Calexico area in Southern California , Mexicali competed in and represented California 's District 22 in the Southern California division from 1957 -- 1985 , representing the bordering city of Calexico , California . David Cardenas Cortes ( LLWS 1985 US champions ) Played in MLB for Cleveland , Colorado and Atlanta .   In 1992 , Long Beach was declared a 6 -- 0 winner after the international tournament committee determined that Zamboanga City had used ineligible players that were either not from within its city limits , over age , or both . The championship game was originally won by Zamboanga City 15 - 4 .   From 1997 to 2002 , no teams from Taiwan participated in the tournament . In 1997 , the Taiwan Baseball Association decided its leagues would no longer charter with Little League , claiming inability to comply with rules enacted in 1992 regarding the maximum size of player pools and number of participating teams in leagues based at schools , and residency requirements , which Little League Baseball had stated it would enforce more strictly , especially after the 1992 incident . From the introduction of Far East teams in 1967 until after 1996 , Taiwan had won 17 of a possible 30 championships and had been runner - up twice .   In 2014 , Chicago defeated Las Vegas for the U.S. championship before losing to Seoul , South Korea in the LLWS championship . On February 11 , 2015 , Chicago was stripped of its U.S. title for fielding ineligible players ; it was retroactively awarded to Las Vegas .    Famous participants in the Little League World Series ( edit )    Danny Almonte -- The center of significant controversy following the 2001 series due to age falsification / ( 2001 World Series ) Bronx , New York .   Wilson Álvarez -- Former MLB player / ( 1982 World Series ) Maracaibo , Venezuela .   Jim Barbieri -- Former MLB player / First player to play in a World Series , and a Little League World Series / 1966 MLB World Series / ( 1954 World Series champion ) Schenectady , New York 1953 LLWS World Series runner - up / Played in back to back LLWS World Series .   Jason Bay -- Former MLB player / 2004 National League ( NL ) Rookie of the Year / ( 1990 World Series ) Trail , British Columbia .   Derek Bell -- Former MLB player / 1992 MLB World Series champion / ( 1980 runner - up &amp; 1981 World Series runner - up ) Tampa , Florida .   Cody Bellinger -- MLB player for the Los Angeles Dodgers / 2007 World Series / Chandler , Arizona North Little League   Christian Bethancourt -- MLB player for the San Diego Padres / ( 2004 World Series ) Panama City , Panama .   Larvell Blanks -- Former MLB player / ( 1962 World Series ) Del Rio , Texas .   Jim Brower -- Former MLB pitcher / ( 1985 World Series ) East Tonka , Minnesota .   Sean Burroughs -- Former MLB player / ( 1992 &amp; 1993 World Series champions ) Long Beach , California .   Kevin Cash -- Former MLB player / Current manager for the Tampa Bay Rays , 2007 MLB World Series champion with the Boston Red Sox / ( 1989 World Series ) Tampa , Florida .   Matt Cassel -- NFL quarterback for the Tennessee Titans / ( 1994 World Series runner - up ) Northridge , California .   Gavin Cecchini -- MLB Player for the New York Mets / ( 2006 World Series ) Lake Charles , Louisiana .   Chin - Feng Chen -- Former MLB player / First Taiwanese - born player in MLB history / ( 1990 World Series champion ) Tainan County , Taiwan .   Jeff Clement -- Former MLB player / ( 1996 World Series ) Marshalltown , Iowa .   Michael Conforto -- MLB player for the New York Mets / ( 2004 World Series ) Redmond North , Washington .   Billy Connors -- Former MLB player / ( 1954 World Series ) , Schenectady , New York 1953 LLWS runner - up Schenectady , New York . / Played in back to back LLWS .   David Cortés -- Former MLB player / 1985 World Series ( 1985 US champions ) Mexicali , Mexico .   Mo'ne Davis -- First girl to record a win as a pitcher and to pitch a shutout / First little league player to appear on the cover of Sports Illustrated at the time of tournament play / 2014 AP Female Athlete of the Year ( 2014 World Series ) Philadelphia .   Austin Dillon -- 2011 NASCAR Camping World Truck Series champion / 2013 NASCAR Nationwide Series champion / ( 2002 World Series ) Forsyth County , North Carolina .   Chris Drury -- Former NHL player / 2001 Stanley Cup champion / 1998 Hobey Baker Award winner / 1999 Calder Memorial Trophy winner / ( 1989 World Series champion ) Trumbull , Connecticut .   Ray Ferraro -- Former NHL player / ( 1976 World Series ) Trail , British Columbia .   Stephen Fife -- MLB player for the Chicago Cubs / ( 1999 World Series ) Boise , Idaho .   Jeff Frazier -- Former MLB player / ( 1995 &amp; 1996 World Series ) Toms River , New Jersey .   Todd Frazier -- MLB player for the New York Yankees / 2015 MLB Home Run Derby champion / ( 1998 World Series champion ) Toms River , New Jersey .   Gale Gilbert -- Former NFL quarterback / ( 1974 World Series runner - up ) Red Bluff , California .   Randal Grichuk -- MLB player for the St. Louis Cardinals / ( 2003 &amp; 2004 World Series ) Richmond , Texas .   Charlie Hayes -- Former MLB player / 1996 MLB World Series champion / ( 1977 World Series ) Hattiesburg , Mississippi .   Ken Hubbs -- Former MLB player / 1962 National League ( NL ) Rookie of the Year &amp; Gold Glove Winner / ( 1954 World Series ) Colton , California .   Billy Hunter -- Former NFL player / U.S. Prosecutor for Northern District of California / Executive Director of the National Basketball Players Association / ( 1955 World Series runner - up ) Delaware Township , New Jersey .   Erik Johnson -- Former MLB player / ( 1978 World Series US champion , WS runner - up ) San Ramon , California .   Keith Lampard -- Former MLB player / ( 1958 World Series ) Portland , Oregon .   Carney Lansford -- Former MLB player , 1988 &amp; 1990 MLB World Series runner - up / 1989 MLB World Series champion / 1981 MLB Batting champ / 1988 American League ( AL ) All Star / 1992 Hutch Award Winner / ( 1969 World Series ) Santa Clara , California .   Adam Loewen -- MLB player for the Arizona Diamondbacks / ( 1996 World Series ) Surrey , British Columbia .   Jack Losch -- Former NFL player for the Green Bay Packers / ( 1947 World Series ) Williamsport , Pennsylvania .   Vance Lovelace -- Former MLB player / ( 1975 World Series ) Tampa , Florida .   Lance Lynn -- MLB player for the St. Louis Cardinals / ( 1999 World Series ) Brownsburg , Indiana .   Jason Marquis -- MLB player that is a free agent / 2005 NL Silver Slugger Award / 2006 MLB World Series champion / 2009 National League ( NL ) All Star / ( 1991 World Series ) Staten Island , New York .   Stephane Matteau -- Former NHL player / 1994 Stanley Cup champion / ( 1982 World Series ) Rouyn - Noranda , Quebec .   Lloyd McClendon -- Former MLB player / Current manager for the Seattle Mariners / ( 1971 World Series runner - up ) Gary , Indiana .   Lastings Milledge -- Former MLB player / ( 1997 World Series ) Bradenton , Florida .   Bobby Mitchell -- Former MLB player / ( 1967 World Series ) Northridge , California .   Max Moroff -- MLB Player for the Pittsburgh Pirates / ( 2005 World Series ) Maitland , Florida .   Jim Pankovits -- Former MLB player / ( 1968 World Series Runner - up ) Richmond , Virginia .   Francisco Peña -- MLB player for the Kansas City Royals / ( 2001 World Series ) Bronx , New York .   Chad Pennington -- Former NFL quarterback / ( 1991 World Series ) Hamilton , Ohio .   Yusmeiro Petit -- MLB player for the Washington Nationals / 2014 World Series champion with the San Francisco Giants / ( 1994 World Series champion ) Maracaibo , Venezuela .   Marc Pisciotta -- Former MLB player / ( 1983 World Series ) Marietta , Georgia .   Boog Powell -- Former MLB player / 1969 &amp; 1971 MLB World Series runner - up / 1966 &amp; 1970 MLB World Series champion / ( 1954 World Series ) Lakeland , Florida .   Jurickson Profar -- MLB player for the Texas Rangers / ( 2004 World Series champion / 2005 World Series runner - up ) Willemstad , Curaçao .   Guillermo Quiróz -- MLB player for the Cleveland Indians / ( 1994 World Series champion ) Maracaibo , Venezuela .   Colby Rasmus -- MLB player for the Houston Astros / ( 1999 World Series runner - up ) Phenix City , Alabama .   Cory Rasmus -- MLB player for the Los Angeles Angels / ( 1999 World Series runner - up ) Phenix City , Alabama .   Brady Rodgers -- MLB player for the Houston Astros / ( 2003 World Series ) Richmond , Texas .   Michael Saunders -- MLB player for the Toronto Blue Jays / ( 1999 World Series ) Victoria , British Columbia .   Turk Schonert -- Former NFL player / Former Offensive Coordinator for the Buffalo Bills / ( 1968 World Series ) Garden Grove , California .   Jonathan Schoop -- MLB player for the Baltimore Orioles / ( 2003 World Series &amp; 2004 World Series champion ) Willemstad , Curaçao .   Gary Sheffield -- Former MLB player / 1997 MLB World Series champion / 1992 MLB Batting Champ / 7 - Time National League ( NL ) All - Star / 2 - Time American League ( AL ) All - Star / 5 - Time Silver Slugger Award / ( 1980 World Series runner - up ) Tampa , Florida .   Brian Sipe -- Former NFL quarterback &amp; 1980 NFL MVP / ( 1961 World Series ) El Cajon , California .   Carl Taylor -- Former MLB player / ( 1954 World Series ) Lakeland , Florida .   Rubén Tejada -- MLB player for the New York Mets / ( 2001 World Series ) Santiago de Veraguas , Panama .   Clete Thomas -- MLB player that is a free agent / ( 1996 World Series ) Panama City , Florida .   Héctor Torres -- Former MLB player / ( 1958 World Series Champions ) Monterrey , Mexico .   Devon Travis -- MLB Player for the Toronto Blue Jays / ( 2003 World Series Runner - up ) Boynton Beach , Florida .   Carlos `` Bobby '' Treviño -- Former MLB player / ( 1958 World Series champions ) Monterrey , Mexico .   George Tsamis -- Former MLB player / ( 1979 World Series Runner - up ) Campbell , California .   Pierre Turgeon -- Former NHL player / 4 - time NHL All - Star / ( 1982 World Series ) Rouyn - Noranda , Quebec .   Julian Vandervelde -- NFL player for the Philadelphia Eagles / ( 2000 World Series ) Davenport , Iowa .   Dave Veres -- Former MLB player / ( 1978 World Series ) Torrejón AFB , Spain .   Ed Vosberg -- Former MLB player / 1997 MLB World</t>
  </si>
  <si>
    <t xml:space="preserve">who's won the most little league world series</t>
  </si>
  <si>
    <t xml:space="preserve">   Rank   Team   Championships   Years       Taiwan   17   1969 , 1971 , 1972 , 1973 , 1974 , 1977 , 1978 , 1979 , 1980 , 1981 , 1986 , 1987 , 1988 , 1990 , 1991 , 1995 , 1996       Japan   11   1967 , 1968 , 1976 , 1999 , 2001 , 2003 , 2010 , 2012 , 2013 , 2015 , 2017       California   7   1961 , 1962 , 1963 , 1992 , 1993 , 2009 , 2011       Pennsylvania     1947 , 1948 , 1955 , 1960     Connecticut   1951 , 1952 , 1965 , 1989     New Jersey   1949 , 1970 , 1975 , 1998     7   Mexico     1957 , 1958 , 1997     Georgia   1983 , 2006 , 2007     South Korea   1984 , 1985 , 2014     New York   1954 , 1964 , 2016     10   Texas     1950 , 1966     Venezuela   1994 , 2000     Hawaii   2005 , 2008     13   Alabama     1953     New Mexico   1956     Michigan   1959     Washington   1982     Kentucky   2002     Curaçao     </t>
  </si>
  <si>
    <t xml:space="preserve">Bad ( U2 song ) - wikipedia  Bad ( U2 song )  Jump to : navigation , search    `` Bad ''     Song by U2     from the album The Unforgettable Fire     Released   1 October 1984     Genre   Rock     Length   6 : 09     Label   Island     Songwriter ( s )   U2 ( music ) , Bono ( lyrics )     Producer ( s )   Brian Eno and Daniel Lanois     The Unforgettable Fire track listing        `` 4th of July '' ( 6 )   `` Bad '' ( 7 )   `` Indian Summer Sky '' ( 8 )            Wide Awake In America track listing          `` Bad '' ( 1 )   `` A Sort of Homecoming '' ( 2 )            `` Bad '' is a song by rock band U2 and the seventh track from their 1984 album , The Unforgettable Fire . A song about heroin addiction , it is considered a fan favourite , and is one of U2 's most frequently performed songs in concert .   A performance of the song at 1985 's Live Aid was a career breakthrough for the band .   The live version included as the opening track of the Wide Awake in America EP is frequently chosen for airplay by radio DJs ahead of the studio version . The song is featured on the trailer of Brothers and in the opening and closing sequences of Taking Lives .     Contents  ( hide )   1 History   2 Live performances   2.1 Live Aid     3 Discography   4 See also   5 Notes   6 References   7 External links      History ( edit )   `` Bad '' began with an improvised guitar riff during a jam session at Slane Castle where U2 were recording The Unforgettable Fire . The basic track was completed in three takes . Of its immediate and live nature , U2 guitarist the Edge said `` There 's one moment where Larry puts down brushes and takes up the sticks and it creates this pause which has an incredibly dramatic effect . '' Producer Brian Eno added the sequencer arpeggios that accompany the song .   The early 1980s recession had led to high number of heroin addicts in inner city Dublin . In concert , lead vocalist Bono frequently introduced the song as a song about Dublin . The Edge and the album 's producers , Brian Eno and Daniel Lanois , were focused on the music and less interested in the lyrics . Bono left the song unfinished .   During a July 26 , 2011 concert in Pittsburgh , Bono explained before a performance of `` Bad '' that the song was written for `` very special man , who is here in your city , who grew up on Cedarwood Road . We wrote this song about him and we play it for him tonight . '' He was referring to Andy Rowen , whom the song was originally written about in 1984 and who was present at the show . Rowen is brother of Bono 's Lypton Village friend Guggi and Peter Rowen , who is featured on the sleeve artwork for the band 's albums Boy and War .   There are other versions of the story from Bono himself . His account from a 1987 concert in Chicago indicate `` Bad '' is about a friend of his who died of a heroin overdose and also about the conditions that make such events likely to be repeated . Bono once commented in another concert ( in the UK ) about people lying in gutters with `` needles hangin ' outta their fuckin ' arms while the rich live indifferently to the suffering of the less fortunate . '' At Eriksberg , Gothenburg in Sweden 1987 , he said : `` I wrote the words about a friend of mine ; his name was Gareth Spaulding , and on his 21st birthday he and his friends decided to give themselves a present of enough heroin into his veins to kill him . This song is called ' Bad . ' ''   Live performances ( edit )   `` Bad '' is one of the band 's most performed songs . Translating the elaborate and complex textures of the new studio - recorded tracks to live performance proved to be a serious challenge when The Unforgettable Fire Tour commenced . One solution was programmed sequencers , which the band had previously been reluctant to use . Sequencers were prominently used on `` Bad '' .   The studio version of `` Bad '' was criticised as being `` unfinished '' , `` fuzzy '' and `` unfocused '' , but the band found that it made more sense on stage . Rolling Stone , for example , critical of the album version , described its live performance as a `` show stopper '' .   A staple of U2 's concert tours of the 1980s , `` Bad '' was also frequently performed during the first four legs of the 1992 -- 1993 Zoo TV Tour . Although not played until the fourth leg of the PopMart Tour of 1997 and 1998 , it returned to the normal set list for 2001 's Elevation Tour and saw occasional performances during the Vertigo Tour of 2005 and 2006 , sometimes even appearing as the closing song for shows . It made very sporadic appearances on the U2 360 ° Tour and has featured occasionally on the Innocence + Experience Tour .   Bono is known for singing a wide variety of snippets during performances of `` Bad '' . Lyrics from over 50 different songs have been included in `` Bad '' , ranging from brief quotes of a single line through to multiple verses . These snippets are typically sung after the line `` I 'm not sleeping '' and Bono has included up to six different excerpts in a single performance of `` Bad '' . Performances without at least one snippet are very rare .   Live Aid ( edit )   U2 participated in the Live Aid concert at Wembley Stadium for Ethiopian famine relief on 13 July 1985 . They played a 12 - minute version of `` Bad '' , which was extended by snippets of Lou Reed 's `` Satellite of Love '' and `` Walk on the Wild Side '' , and The Rolling Stones ' `` Ruby Tuesday '' and `` Sympathy for the Devil '' . During the performance , Bono leaped down off the stage to embrace and dance with a fan . In 2005 the girl with whom he danced , who was at the front to see Wham ! , revealed that he actually saved her life at the time . She was being crushed by the throngs of people pushing forwards ; Bono saw this , and gestured frantically at the ushers to help her . They did not understand what he was saying , and so he jumped down to help her himself . Bono 's rescue of and dance with the girl was captured on the TV broadcast sent around the world . The performance was so long that the band was only able to play two of the three songs in their set , leaving out `` Pride ( In the Name of Love ) '' , which was supposed to end the band 's performance . The concert turned out to be a breakthrough moment for the band , showing a television audience of millions the personal connection that Bono could make with audiences . Only a week later he realized that the dance with the fan became a key image of Live Aid . All of U2 's albums re-entered the charts in the UK after their performance . In 1985 , Rolling Stone called U2 the `` Band of the 80 's , '' saying that `` for a growing number of rock - and - roll fans , U2 have become the band that matters most , maybe even the only band that matters . ''   Discography ( edit )   `` Bad '' is the first track on the 1985 EP Wide Awake in America , this being a live version recorded at Birmingham 's NEC Arena on November 12 , 1984 during sound check . This version includes prerecorded rhythm tracks . There are no other snippets of songs on this version for copyright reasons . Three other versions of `` Bad '' have been officially released by the band . An edit of the version from The Unforgettable Fire appears on The Best of 1980 - 1990 ; with the exception of the hidden version of `` October '' , `` Bad '' is the only non-single to appear on the compilation . In addition to the live performance included on Wide Awake in America , a live version of `` Bad '' from 1987 's Joshua Tree Tour appears on the rockumentary Rattle and Hum . Also , the release of The Complete U2 in 2004 produced another live version of `` Bad '' appearing on the digital album Live from the Point Depot .   See also ( edit )    List of covers of U2 songs - Bad    Notes ( edit )    Jump up ^ `` TourDB statistics - U2 on tour '' . u2gigs.com . Retrieved 2015 - 07 - 08 .   Jump up ^ Stokes ( 1996 ) , p. 58   ^ Jump up to : McCormick ( 2006 ) , p. 151   Jump up ^ Graham , Bill ; van Oosten de Boer , Caroline ( 2004 ) . U2 : The Complete Guide to their Music . London : Omnibus Press . p. 25 . ISBN 0 - 7119 - 9886 - 8 .   Jump up ^ `` U2 - Bad / In The Garden / Walk On The Wild Side / 40 - Pittsburgh - July 26 , 2011 ( Heinz Field ) '' . YouTube . Retrieved 2012 - 01 - 09 .   Jump up ^ `` U2 Setlist - Pittsburgh - Jul 26 , 2011 '' . U2tours.com . Retrieved 2012 - 01 - 09 .   Jump up ^ `` U2MoL - Unforgettable Fire - Bad '' . Muorji.se . Retrieved 2012 - 01 - 09 .   ^ Jump up to : de la Parra ( 1994 ) , pp. 52 - 56   Jump up ^ Henke , James ( 18 July 1985 ) . `` ' ' Wide Awake in America ' ' Album Review '' . Rolling Stone ( 452 / 453 ) .   Jump up ^ `` U2 Bad - U2 on tour '' . U2gigs.com . Archived from the original on 6 October 2009 . Retrieved 25 August 2009 .   Jump up ^ Live Aid : A Look Back At A Concert That Actually Changed The World MTV.com . Retrieved 31 October 2006 .   Jump up ^ Edwards , Gavin . `` U2 's ' Bad ' Break : 12 Minutes at Live Aid That Made the Band 's Career '' . Rolling Stone . Retrieved 16 January 2015 .   Jump up ^ `` How Bono Saved Me '' . Atu2.com. 2005 - 07 - 01 . Retrieved 2011 - 03 - 06 .   Jump up ^ U2-Vertigo-Tour.com , 1985 - 07 - 13 , London set list , accessed 20 March 2008 ; McCormick , Neil ( ed ) , ( 2006 ) . U2 by U2 . HarperCollins Publishers , pages 162 , ISBN 0 - 00 - 719668 - 7 .   Jump up ^ Parra ( 2003 ) , pp. 72 - 73   Jump up ^ Bono on Bono   Jump up ^ U2 , the Only Band that Mattered in the ' 80s ? about.com . Retrieved 31 January 2007    References ( edit )    de la Parra , Pimm Jal ( 2003 ) . U2 Live : A Concert Documentary . Omnibus Press . ISBN 0 - 7119 - 9198 - 7   McCormick , Neil ( ed ) , ( 2006 ) . U2 by U2 . HarperCollins Publishers . ISBN 0 - 00 - 719668 - 7    External links ( edit )    Lyrics of this song at MetroLyrics              The Unforgettable Fire track listing       `` A Sort of Homecoming ''   `` Pride ( In the Name of Love ) ''   `` Wire ''   `` The Unforgettable Fire ''   `` Promenade ''   `` 4th of July ''   `` Bad ''   `` Indian Summer Sky ''   `` Elvis Presley and America ''   `` MLK ''       ← War The Joshua Tree →               Rattle and Hum track listing     Album     `` Helter Skelter ''   `` Van Diemen 's Land ''   `` Desire ''   `` Hawkmoon 269 ''   `` All Along the Watchtower ''   `` I Still Have n't Found What I 'm Looking For ''   `` Freedom for My People ''   `` Silver and Gold ''   `` Pride ( In the Name of Love ) ''   `` Angel of Harlem ''   `` Love Rescue Me ''   `` When Love Comes to Town ''   `` Heartland ''   `` God Part II ''   `` The Star Spangled Banner ''   `` Bullet the Blue Sky ''   `` All I Want Is You ''       Film     `` Helter Skelter ''   `` Van Diemen 's Land ''   `` Desire ''   `` Exit ''   `` I Still Have n't Found What I 'm Looking For ''   `` Freedom for My People ''   `` Silver and Gold ''   `` Angel of Harlem ''   `` All Along the Watchtower ''   `` In God 's Country ''   `` When Love Comes to Town ''   `` Heartland ''   `` Bad ''   `` Where the Streets Have No Name ''   `` MLK ''   `` With or Without You ''   `` The Star - Spangled Banner ''   `` Bullet the Blue Sky ''   `` Running to Stand Still ''   `` Sunday Bloody Sunday ''   `` Pride ( In the Name of Love ) ''   `` All I Want Is You ''       The Joshua Tree Achtung Baby               U2       Bono   The Edge   Adam Clayton   Larry Mullen Jr .       Studio albums     Boy   October   War   The Unforgettable Fire   The Joshua Tree   Rattle and Hum   Achtung Baby   Zooropa   Pop   All That You Ca n't Leave Behind   How to Dismantle an Atomic Bomb   No Line on the Horizon   Songs of Innocence   Songs of Experience       Compilations and EPs     Three   Wide Awake in America   Please : PopHeart Live EP   The Best of 1980 -- 1990   7   The Best of 1990 -- 2000   Exclusive   The Complete U2   Live from Under the Brooklyn Bridge   U218 Singles   Wide Awake in Europe       Other albums     Under a Blood Red Sky   Melon : Remixes for Propaganda   Original Soundtracks 1   Hasta la Vista Baby ! U2 Live from Mexico City   Live from the Point Depot   U2. Communication   Zoo TV Live   U2 Go Home : Live from Slane Castle , Ireland   Live from Paris   Medium , Rare &amp; Remastered   Artificial Horizon   Duals   U22   From the Ground Up : Edge 's Picks from U2360 °       Videos and films     U2 Live at Red Rocks : Under a Blood Red Sky   The Unforgettable Fire Collection   Rattle and Hum   Achtung Baby : The Videos , the Cameos , and a Whole Lot of Interference from Zoo TV   Zoo TV : Live from Sydney   PopMart : Live from Mexico City   Elevation 2001 : Live from Boston   U2 Go Home : Live from Slane Castle , Ireland   Vertigo 2005 : Live from Chicago   Vertigo 05 : Live from Milan   U218 Videos   Live from Paris   U2 3D   Linear   U2360 ° at the Rose Bowl   From the Sky Down   Innocence + Experience : Live in Paris       Tours and concerts     U2 - 3 Tour   Boy Tour   October Tour   War Tour   The Unforgettable Fire Tour   Live Aid   A Conspiracy of Hope   The Joshua Tree Tour   Vaillancourt Fountain concert     Lovetown Tour   Zoo TV Tour   PopMart Tour   concert in Sarajevo     Elevation Tour   Super Bowl XXXVI halftime show   Vertigo Tour   U2 360 ° Tour   Innocence + Experience Tour   The Joshua Tree Tour 2017       Additional personnel     Steve Averill   Anton Corbijn   Brian Eno   Dik Evans   Dave Fanning   Flood   Gavin Friday   Howie B   Jimmy Iovine   Daniel Lanois   Steve Lillywhite   Paul McGuinness   Morleigh Steinberg   Willie Williams       Related articles     Awards and nominations   Discography   Songs   Covers of U2 songs   The Million Dollar Hotel ( soundtrack )   Mother Records   AHK - toong BAY - bi Covered   `` Trash of the Titans ''   U2 by U2   U2 Tower         Book     Portal   WikiProject   Timeline   Singles      Retrieved from `` https://en.wikipedia.org/w/index.php?title=Bad_(U2_song)&amp;oldid=797026568 '' Categories :   U2 songs   1984 songs   Song recordings produced by Brian Eno   Songs written by Bono   Songs written by the Edge   Songs written by Adam Clayton   Songs written by Larry Mullen Jr .   Song recordings produced by Daniel Lanois   Songs about heroin   Rock ballads   Music videos directed by Phil Joanou   Hidden categories :   Music infoboxes with deprecated parameters   Articles with hAudio microformats   All articles with unsourced statements   Articles with unsourced statements from April 2014           Talk                                           Contents                   About Wikipedia                                           Deutsch   Français   Italiano   ქართული   Nederlands   Polski   Português   Svenska   Edit links   This page was last edited on 24 August 2017 , at 14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</si>
  <si>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song bad about by u2</t>
  </si>
  <si>
    <t xml:space="preserve"> `` Bad '' is a song by rock band U2 and the seventh track from their 1984 album , The Unforgettable Fire . A song about heroin addiction , it is considered a fan favourite , and is one of U2 's most frequently performed songs in concert . </t>
  </si>
  <si>
    <r>
      <rPr>
        <sz val="11"/>
        <color rgb="FF000000"/>
        <rFont val="Calibri"/>
        <family val="0"/>
        <charset val="1"/>
      </rPr>
      <t xml:space="preserve">Danaë - wikipedia  Danaë  Jump to : navigation , search For other uses , see Danaë ( disambiguation ) .    Danaë     Ancient Boeotian bell - krater showing Zeus impregnating Danaë in the form of a shower of gold , circa 450 - 425 BC     Personal Information     Consort   Zeus , Polydectes     Children   Perseus     Parents   Acrisius and Eurydice     In Greek mythology , Danaë ( / ˈdæn. i. iː / or / ˈdæn. ə. iː / , as personal name also / dəˈnaɪ / , Greek : Δανάη Greek pronunciation : ( daˈna. ɛː ) Modern : ( ðaˈna. i ) ) was the daughter , and only child of King Acrisius of Argos and his wife Queen Eurydice . She was the mother of the hero Perseus by Zeus . She was credited with founding the city of Ardea in Latium during the Bronze Age .   Mythology ( edit )   Disappointed by his lack of male heirs , King Acrisius asked the oracle of Delphi if this would change . The oracle announced to him that he would never have a son , but his daughter would , and that he would be killed by his daughter 's son . At the time , Danae was childless and , meaning to keep her so , King Acrisius shut her up in a bronze chamber to be constructed under the court of his palace ( other versions say she was imprisoned in a tall brass tower with a single richly adorned chamber , but with no doors or windows , just a sky - light as the source of light and air ) . She was buried in this tomb , never to see the light again . However , Zeus , the king of the gods , desired her , and came to her in the form of golden rain which streamed in through the roof of the subterranean chamber and down into her womb . Soon after , their child Perseus was born .   Unwilling to provoke the wrath of the gods or the Furies by killing his offspring and grandchild , King Acrisius cast Danaë and Perseus into the sea in a wooden chest . The sea was calmed by Poseidon and , at the request of Zeus , the pair survived . They were washed ashore on the island of Seriphos , where they were taken in by Dictys -- the brother of King Polydectes -- who raised Perseus to manhood . The King was charmed by Danaë , but she had no interest in him . Consequently , he agreed not to marry her only if her son would bring him the head of the Gorgon Medusa . Using Athena 's shield , Hermes 's winged sandals and Hades ' helmet of invisibility , Perseus was able to evade Medusa 's gaze and decapitate her .   Later , after Perseus brought back Medusa 's head and rescued Andromeda , the oracle 's prophecy came true . He started for Argos , but learning of the prophecy , instead went to Larissa , where athletic games were being held . By chance , an aging Acrisius was there and Perseus accidentally struck him on the head with his javelin ( or discus ) , fulfilling the prophecy .   Gallery ( edit )    Danaë in art    Jan Gossaert , 1527     Correggio 's Danaë , 1531 -- 1532 .     One of several variants by Titian , 1544 . Cupid is alongside Danaë. 120 cm × 172 cm . National Museum of Capodimonte , Naples     Hendrick Goltzius , 1603     Artemisia Gentileschi , c. 1612     Danaë by Orazio Gentileschi , 1621 -- 23 .     Rembrandt 's Danaë , c. 1636 .     Jacob van Loo , 1650s     Gustav Klimt 's Danaë , 1907 .     Genealogy ( edit )   Argive genealogy in Greek mythology                                              Inachus     Melia                                                                                                     Zeus     Io     Phoroneus                                                                               Epaphus     Memphis                                                                                           Libya     Poseidon                                                                                                                             Belus     Achiroë               Agenor     Telephassa                                                                                                                                                                   Danaus     Pieria     Aegyptus     Cadmus     Cilix     Europa     Phoenix                                                                                         Mantineus     Hypermnestra         Lynceus                 Harmonia               Zeus                                                                               Polydorus                                                     Sparta     Lacedaemon     Ocalea     Abas                 Agave     Sarpedon       Rhadamanthus                                                                     Autonoë                                                                     Eurydice     Acrisius                 Ino         Minos                                                                                 Zeus     Danaë               Semele     Zeus                                                                                               Perseus                       Dionysus                 Colour key :  Male Female Deity           See also ( edit )    Danaë ( disambiguation ) # Art   Pseudo-Apollodorus , Bibliotheke   Danae - class cruiser   The asteroid 61 Danaë , named after her   Danae - Literary character from the Elenium and the Tamuli series by David Eddings    References ( edit )    Jump up ^ Jones , Daniel ; Roach , Peter , James Hartman and Jane Setter , eds . Cambridge English Pronouncing Dictionary . 17th edition . Cambridge UP , 2006 .    Sources ( edit )    Smith , William ; Dictionary of Greek and Roman Biography and Mythology , London ( 1873 ) . `` Danae '' , Acri'sius    External links ( edit )       Wikimedia Commons has media related to Danae .         Wikisource has the text of the 1911 Encyclopædia Britannica article Danae .      Warburg Institute Iconographic Database ( ca . 100 images of Danae )          GND : 11943542X      Retrieved from `` https://en.wikipedia.org/w/index.php?title= Danaë&amp;oldid = 798792708 '' Categories :   Mortal women of Zeus   Princesses in Greek mythology   Abantiades   Hidden categories :   Pages using infobox deity with unknown parameters   Articles containing Ancient Greek - language text   Wikipedia articles with GND identifiers           Talk                                                             About Wikipedia                                                 বাংলা   Беларуская   Български   Bosanski   Brezhoneg   Català   Čeština   Cymraeg   Dansk   Deutsch   Eesti   Ελληνικά   Español   Esperanto   Euskara   فارسی   Français   Gaeilge   Galego   </t>
    </r>
    <r>
      <rPr>
        <sz val="11"/>
        <color rgb="FF000000"/>
        <rFont val="Noto Sans CJK SC"/>
        <family val="2"/>
      </rPr>
      <t xml:space="preserve">한국어   </t>
    </r>
    <r>
      <rPr>
        <sz val="11"/>
        <color rgb="FF000000"/>
        <rFont val="Calibri"/>
        <family val="0"/>
        <charset val="1"/>
      </rPr>
      <t xml:space="preserve">Հայերեն   Hrvatski   Bahasa Indonesia   Italiano   Latina   Lietuvių   Magyar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Slovenčina   Slovenščina   Српски / srpski   Srpskohrvatski / српскохрватски   Suomi   Svenska   Tagalog   Türkçe   Українська   </t>
    </r>
    <r>
      <rPr>
        <sz val="11"/>
        <color rgb="FF000000"/>
        <rFont val="Noto Sans CJK SC"/>
        <family val="2"/>
      </rPr>
      <t xml:space="preserve">中文   </t>
    </r>
    <r>
      <rPr>
        <sz val="11"/>
        <color rgb="FF000000"/>
        <rFont val="Calibri"/>
        <family val="0"/>
        <charset val="1"/>
      </rPr>
      <t xml:space="preserve">Edit links   This page was last edited on 3 September 2017 , at 21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</si>
  <si>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danae in the story of gorgon's head</t>
  </si>
  <si>
    <t xml:space="preserve"> In Greek mythology , Danaë ( / ˈdæn. i. iː / or / ˈdæn. ə. iː / , as personal name also / dəˈnaɪ / , Greek : Δανάη Greek pronunciation : ( daˈna. ɛː ) Modern : ( ðaˈna. i ) ) was the daughter , and only child of King Acrisius of Argos and his wife Queen Eurydice . She was the mother of the hero Perseus by Zeus . She was credited with founding the city of Ardea in Latium during the Bronze Age . </t>
  </si>
  <si>
    <r>
      <rPr>
        <sz val="11"/>
        <color rgb="FF000000"/>
        <rFont val="Calibri"/>
        <family val="0"/>
        <charset val="1"/>
      </rPr>
      <t xml:space="preserve">Sundial bridge at Turtle Bay - wikipedia  Sundial bridge at Turtle Bay  Jump to : navigation , search    Sundial Bridge         Coordinates   40 ° 35 ′ 32 '' N 122 ° 22 ′ 39 '' W ﻿ / ﻿ 40.59222 ° N 122.37750 ° W ﻿ / 40.59222 ; - 122.37750 Coordinates : 40 ° 35 ′ 32 '' N 122 ° 22 ′ 39 '' W ﻿ / ﻿ 40.59222 ° N 122.37750 ° W ﻿ / 40.59222 ; - 122.37750     Carries   Bicycles and pedestrians     Crosses   Sacramento River     Locale   Redding , California     Official name   Sundial Bridge     Characteristics     Design   Cantilever spar cable - stayed bridge     Total length   700 feet ( 210 m )     Width   23 feet ( 7.0 m )     Clearance below   26 feet ( 7.9 m )     History     Designer   Santiago Calatrava     Opened   July 4 , 2004     The Sundial Bridge ( also known as the Sundial Bridge at Turtle Bay ) is a cantilever spar cable - stayed bridge for bicycles and pedestrians that spans the Sacramento River in Redding , California , United States and forms a large sundial . It was designed by Santiago Calatrava and completed in 2004 at a cost of US $23,500,000 . The bridge has become iconic for Redding .     Contents  ( hide )   1 Location   2 Sundial   3 Design   4 Budget   5 Tourism   6 In media   7 Pink Sundial Bridge   8 See also   9 References   10 External links      Location ( edit )   The Sundial Bridge provides pedestrian access to the north and south areas of Turtle Bay Exploration Park , a complex containing environmental , art and history museums and the McConnell Arboretum and Gardens . It also forms the gateway to the Sacramento River Trail , a 35 - mile - long ( 56 km ) trail completed in 2010 that extends along both sides of the river and connects the bridge to the Shasta Dam . Drift boats of fishermen are often seen passing beneath the bridge as they fish for salmon , steelhead and rainbow trout . In the distance , Mount Shasta is barely visible . Shasta Bally is visible to the West looking upstream the Sacramento .  One of the markers on the dial of the sundial . The support tower of the bridge .  Sundial ( edit )   The support tower of the bridge forms a single 217 - foot ( 66 m ) mast that points due north at a cantilevered angle , allowing it to serve as the gnomon of a sundial ; it has been billed as the world 's largest sundial , although Taipei 101 and the associated sundial design of its adjoining park are much larger . The Sundial Bridge gnomon 's shadow is cast upon a large dial to the north of the bridge , although the shadow cast by the tower is exactly accurate on only one day in a year -- the summer solstice , June 20 or 21 . The time is given as Pacific Daylight Time . The tip of the shadow moves at approximately one foot per minute so that the Earth 's rotation about its axis can be seen with the naked eye .   Design ( edit )   The Sundial Bridge is a cantilever spar cable - stayed bridge , similar to Calatrava 's earlier design of the Puente del Alamillo in Seville , Spain ( 1992 ) . This type of bridge does not balance the forces by using a symmetrical arrangement of cable forces on each side of its support tower ; instead , it uses a cantilever tower , set at a 42 - degree angle and loaded by cable stays on only one side . This design requires that the spar resist bending and torsional forces and that its foundation resists overturning . While this leads to a less structurally efficient structure , the architectural statement is dramatic . The bridge is 700 feet ( 210 m ) in length and crosses the river without touching the water , a design criterion that helps protect the salmon spawning grounds beneath the bridge . The cable stays are not centered on the walkway but instead divide the bridge into a major and minor path .   The cable for the bridge totals 4,342 feet ( 1,323 m ) and was made in England . The dial of the sundial and a small plaza beneath the support tower are decorated with broken white tile from Spain . The bridge 's deck is surfaced with translucent structural glass from Quebec , which is illuminated from beneath and glows aquamarine at night . The steel support structure of the bridge was made in Vancouver , Washington and transported in 40 - foot ( 12 m ) sections by truck to Redding .  Sundial Bridge at night  Budget ( edit )   Plans for the Sundial Bridge began in the 1990s , when the city of Redding budgeted $3 million for a pedestrian bridge across the river . However , costs escalated after Calatrava 's design was chosen in 1996 , and the project became a controversial one within Redding , supported by a small group of doctors , lawyers , and other professionals but opposed by other residents who thought it would be too expensive and who favored a more `` folksy '' covered bridge design . The bridge was completed in 2004 , three years later than originally planned , at a cost of $23.5 million , with funding from the Redding - based McConnell Foundation . The expense was justified on the basis that it would increase tourism in the Redding area , which also features Shasta Dam as another architectural marvel , and it has been successful in that goal .   Tourism ( edit )   In the fiscal year following its grand opening , Turtle Bay Exploration Park , adjacent to the bridge , saw a 42 - percent increase in its visitation . As of 2011 , Redding 's city manager stated that the bridge `` continues to generate millions of dollars worth of commerce and tourism each year '' .   In media ( edit )   The bridge is the cover image of a general physics textbook by Serway and Jewett as demonstrating the bridge 's resisting of wind and gravity .   Pink Sundial bridge ( edit )   In 2009 , Nor - Cal Think Pink , a non-profit organization dedicated to raising awareness of the importance of early detection of breast cancer , received approval from the City of Redding to illuminate the Sundial Bridge in pink for its Think Pink Day . The event now takes place annually .   See also ( edit )    Puente de la Mujer , Buenos Aires , Argentina   Samuel Beckett Bridge , Dublin , Ireland   Puente de la Unidad , Monterrey , Mexico   Puente del Alamillo , Seville , Spain    References ( edit )    Jump up ^ Calvan , Bobby Caina ( April 5 , 2004 ) . `` Bridge unites parkland , divides town : Some see path to future , others a misguided mess '' . The Boston Globe . The New York Times Company . Retrieved March 18 , 2010 .   Jump up ^ `` Sundial Bridge -- California 's Newest Icon '' . ShastaCascade.com . Shasta Cascade Wonderland Association . 2007 . Retrieved March 18 , 2010 .   ^ Jump up to : Vovakes , Christine ( July 25 , 2004 ) , `` California 's Timeless Bridge '' , Washington Post .   Jump up ^ Ottesen , Peter ( June 2 , 2010 ) , Finished trail is 35 miles of pure heaven , Recordnet .   ^ Jump up to : `` Tourists lured by Redding bridge '' , Sacramento Bee , October 5 , 2005 .   ^ Jump up to : `` Redding is seeking to bridge image gap '' , Sacramento Bee , July 12 , 2001 .   Jump up ^ Fullwood , Janet ( July 26 , 2007 ) , `` California 's Seven Wonders : There 's no shortage of the spectacular '' , Pittsburgh Post-Gazette .   ^ Jump up to : Serway , Raymond A. ; Jewett ( 2007 ) , Physics : For scientists and engineers with modern physics ( 7th ed . ) , Thomson , Brooks / Cole , ISBN 0 - 03 - 004538 - X . Back cover .   ^ Jump up to : `` Calatrava 's `` Sundial Bridge '' Opens In Redding , California `` , Architectural Record , July 21 , 2004 .   ^ Jump up to : Santiago Calatrava 's Sundial Bridge : Angle of Inspiration , Mill Valley Film Group , 2004 .   ^ Jump up to : Lucas , Greg ( June 30 , 2004 ) , `` Walking Bridge That Soars : Backers See Stardom for Sundial Bridge '' , San Francisco Chronicle .   ^ Jump up to : Calvan , Bobby Caina ( April 5 , 2004 ) , `` Bridge unites parkland , divides town : Some see path to future , others a misguided mess '' , Boston Globe .   Jump up ^ Klaidman , Stephen ( 2007 ) , Coronary : A True Story of Medicine Gone Awry , Simon and Schuster , pp. 25 -- 26 , ISBN 978 - 0 - 7432 - 6754 - 0 .   ^ Jump up to : Brown , Patricia Leigh ( February 19 , 2004 ) , `` Bridge Out of Nowhere Leads a Town to Its Future '' , New York Times .   Jump up ^ Woodruff , Shawn ; Billington , David P. ( 2007 ) , `` Aesthetics and economy in pedestrian bridge design '' , International Journal of Space Structures , 22 ( 1 ) : 81 -- 89 , doi : 10.1260 / 026635107781037310 .   Jump up ^ Beyette , Beverly ( June 3 , 2007 ) , `` Redding 's magnetic bridge ; The Sundial span has a powerful pull . The architect 's stunning creation has drawn tourists and is changing the city 's image '' , Los Angeles Times .   Jump up ^ Kalb , Loretta ( April 11 , 2011 ) , `` It 's meant to startle -- and it does '' , Sacramento Bee .   Jump up ^ Nor - Cal Think Pink   Jump up ^ `` Sundial Bridge turns pink for Think Pink Breast Cancer Awareness Day '' Redding.com   Jump up ^ `` 3 nights of pink lights '' Redding.com    External links ( edit )       Wikimedia Commons has media related to Sundial Bridge at Turtle Bay .      Sundial Bridge official site   Turtle Bay Sundial Bridge at Structurae   Retrieved from `` https://en.wikipedia.org/w/index.php?title=Sundial_Bridge_at_Turtle_Bay&amp;oldid=804619986 '' Categories :   Bridges completed in 2004   Bridges over the Sacramento River   Cable - stayed bridges in the United States   Pedestrian bridges in California   Santiago Calatrava structures   Sundials   Towers in California   Redding , California   Buildings and structures in Shasta County , California   Transportation in Shasta County , California   Neo-futurism architecture   Steel bridges in the United States   Cantilever bridges in the United States   Hidden categories :   Coordinates on Wikidata   Structurae ID different from Wikidata           Talk                                           Contents                   About Wikipedia                                                   Deutsch   Español   Français   </t>
    </r>
    <r>
      <rPr>
        <sz val="11"/>
        <color rgb="FF000000"/>
        <rFont val="Noto Sans CJK SC"/>
        <family val="2"/>
      </rPr>
      <t xml:space="preserve">한국어   </t>
    </r>
    <r>
      <rPr>
        <sz val="11"/>
        <color rgb="FF000000"/>
        <rFont val="Calibri"/>
        <family val="0"/>
        <charset val="1"/>
      </rPr>
      <t xml:space="preserve">Nederlands   Polski   Edit links   This page was last edited on 10 October 2017 , at 04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</si>
  <si>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designed the sundial bridge in redding ca</t>
  </si>
  <si>
    <t xml:space="preserve"> The Sundial Bridge is a cantilever spar cable - stayed bridge , similar to Calatrava 's earlier design of the Puente del Alamillo in Seville , Spain ( 1992 ) . This type of bridge does not balance the forces by using a symmetrical arrangement of cable forces on each side of its support tower ; instead , it uses a cantilever tower , set at a 42 - degree angle and loaded by cable stays on only one side . This design requires that the spar resist bending and torsional forces and that its foundation resists overturning . While this leads to a less structurally efficient structure , the architectural statement is dramatic . The bridge is 700 feet ( 210 m ) in length and crosses the river without touching the water , a design criterion that helps protect the salmon spawning grounds beneath the bridge . The cable stays are not centered on the walkway but instead divide the bridge into a major and minor path . </t>
  </si>
  <si>
    <t xml:space="preserve">United states presidential elections in which the winner lost the popular vote - wikipedia  United states presidential elections in which the winner lost the popular vote  Jump to : navigation , search Comparison of the presidential elections of 1876 , 1888 , 2000 , and 2016 , in which the Electoral College winners lost the popular vote ; only in 1876 did the unsuccessful candidate receive more than 50 percent  There have been five United States presidential elections in which the winner lost the popular vote including the 1824 election , which was the first U.S. presidential election where the popular vote was recorded . Losing the popular vote means securing less of the national popular vote than the person who received either a majority or a plurality of the vote .   In the United States presidential election system , instead of the nationwide popular vote determining the outcome of the election , the President of the United States is determined by votes cast by electors of the Electoral College . Alternatively , if no candidate receives an absolute majority of electoral votes , the election is determined by the House of Representatives . These procedures are governed by the Twelfth Amendment to the United States Constitution .   When individuals cast ballots in the general election , they are choosing electors and telling them whom they should vote for in the Electoral College . The `` national popular vote '' is the sum of all the votes cast in the general election , nationwide . The presidential elections of 1876 , 1888 , 2000 , and 2016 produced an Electoral College winner who did not receive the most votes in the general election . In 1824 , there were six states in which electors were legislatively appointed , rather than popularly elected , so the true national popular vote is uncertain . When no candidate received a majority of electoral votes in 1824 , the election was decided by the House of Representatives . For these two reasons , the 1824 election is distinguishable from the latter four elections , which were held after all states had instituted the popular selection of electors , and in each of which a single candidate won an outright majority of electoral votes , thus becoming president without a contingent election in the House of Representatives . The true national popular vote total was also uncertain in the 1960 election , and the plurality winner depends on how votes for Alabama electors are allocated .     Contents  ( hide )   1 Elections   1.1 1824 : John Quincy Adams   1.2 1876 : Rutherford B. Hayes   1.3 1888 : Benjamin Harrison   1.4 2000 : George W. Bush   1.5 2016 : Donald Trump     2 Comparative table of elections   3 1960 Alabama results ambiguity   4 See also   5 Notes   6 References   7 External links      Elections ( edit )   1824 : John Quincy Adams ( edit )  Andrew Jackson ( left ) won more of the popular vote than elected President John Quincy Adams ( right ) in 1824 .  The 1824 presidential election was the first election in American history in which the popular vote mattered , as 18 states chose presidential electors by popular vote in 1824 ( six states still left the choice up to their state legislatures ) . When the final votes were tallied in those 18 states , Andrew Jackson polled 152,901 popular votes to John Quincy Adams 's 114,023 ; Henry Clay won 47,217 , and William H. Crawford won 46,979 . The electoral college returns , however , gave Jackson only 99 votes , 32 fewer than he needed for a majority of the total votes cast . Adams won 84 electoral votes followed by 41 for Crawford , and 37 for Clay . All four candidates in the election identified with the Democratic - Republican Party .   As no candidate secured the required number of votes ( 131 total ) from the Electoral College , the election was decided by the House of Representatives under the provisions of the Twelfth Amendment to the United States Constitution . Only the top three candidates in the electoral vote were admitted as candidates in this contingent election . Henry Clay , as the candidate with the fewest electoral votes , was eliminated from the deliberation . As Speaker of the House , however , Clay was still the most important player in determining the outcome of the election . The election was held on February 9 , 1825 , with each state having one vote , as determined by the wishes of the majority of each state 's congressional representatives . Adams emerged as the winner with a one - vote margin of victory . Most of Clay 's supporters , joined by several old Federalists , switched their votes to Adams in enough states to give him the election . Soon after his inauguration as President , Adams appointed Henry Clay as his secretary of state . This result became a source of great bitterness for Jackson and his supporters , who proclaimed the election of Adams a `` corrupt bargain , '' and were inspired to create the Democratic Party .   1876 : Rutherford B. Hayes ( edit )  Samuel J. Tilden ( left ) won more of the popular vote than elected President Rutherford B. Hayes ( right ) in 1876 .  The 1876 presidential election was one of the most contentious and controversial presidential elections in American history . The result of the election remains among the most disputed ever , although there is no question that Democrat Samuel J. Tilden of New York outpolled Ohio 's Republican Rutherford B. Hayes in the popular vote , with Tilden winning 4,288,546 votes and Hayes winning 4,034,311 . Tilden was , and remains , the only candidate in American history who lost a presidential election despite receiving a majority ( not just a plurality ) of the popular vote .   After a first count of votes , Tilden won 184 electoral votes to Hayes ' 165 , with 20 votes unresolved . These 20 electoral votes were in dispute in four states : in the case of Florida , Louisiana , and South Carolina , each party reported its candidate had won the state , while in Oregon one elector was declared illegal ( as an `` elected or appointed official '' ) and replaced . The question of who should have been awarded these electoral votes is at the heart of the ongoing debate about the election of 1876 .   An informal deal was struck to resolve the dispute : the Compromise of 1877 , which awarded all 20 electoral votes to Hayes . In return for the Democrats ' acquiescence in Hayes ' election , the Republicans agreed to withdraw federal troops from the South , ending Reconstruction . The Compromise effectively ceded power in the Southern states to the Democratic Redeemers , who went on to pursue their agenda of returning the South to a political economy resembling that of its pre-war condition , including the disenfranchisement of black voters .   1888 : Benjamin Harrison ( edit )  Grover Cleveland ( left ) won more of the popular vote than elected President Benjamin Harrison ( right ) in 1888 .  In the 1888 election , Grover Cleveland of New York , the incumbent president and a Democrat , tried to secure a second term against the Republican nominee Benjamin Harrison , a former U.S. Senator from Indiana . The economy was prosperous and the nation was at peace , but although Cleveland received 90,596 more votes than Harrison , he lost in the Electoral College . Harrison won 233 electoral votes , Cleveland only 168 .   Tariff policy was the principal issue in the election . Harrison took the side of industrialists and factory workers who wanted to keep tariffs high , while Cleveland strenuously denounced high tariffs as unfair to consumers . His opposition to Civil War pensions and inflated currency also made enemies among veterans and farmers . On the other hand , he held a strong hand in the South and border states , and appealed to former Republican Mugwumps .   Harrison swept almost the entire North and Midwest ( losing only Connecticut and New Jersey ) , and narrowly carried the swing states of New York and Indiana ( Harrison 's home state ) by a margin of 1 % or less to achieve a majority of the electoral vote . Unlike the election of 1884 , the power of the Tammany Hall political machine in New York City helped deny Cleveland the electoral votes of his home state .   2000 : George W. Bush ( edit )  Al Gore ( left ) won more of the popular vote than elected President George W. Bush ( right ) in 2000 .  The 2000 presidential election pitted Republican candidate George W. Bush ( the incumbent governor of Texas and son of former president George H.W. Bush ) against Democratic candidate Al Gore ( the incumbent Vice President of the United States under Bill Clinton ) . Despite Gore receiving 543,895 more votes ( 0.51 % of all votes cast ) , the Electoral College chose Bush as president by a vote of 271 to 266 .   Vice President Gore secured the Democratic nomination with relative ease . Bush was seen as the early favorite for the Republican nomination , and despite a contentious primary battle with Senator John McCain and other candidates , secured the nomination by Super Tuesday . Many third - party candidates also ran , most prominently Ralph Nader . Bush chose former Secretary of Defense Dick Cheney as his running mate , and Gore chose Senator Joe Lieberman as his . Both major - party candidates focused primarily on domestic issues , such as the budget , tax relief , and reforms for federal social - insurance programs , though foreign policy was not ignored .   The result of the election hinged on voting in Florida , where Bush 's narrow margin of victory of just 537 votes out of almost 6 million votes cast on election night triggered a mandatory recount . Litigation in select counties started additional recounts , and this litigation ultimately reached the United States Supreme Court . The Court 's contentious decision in Bush v. Gore , announced on December 12 , 2000 , ended the recounts , effectively awarding Florida 's votes to Bush and granting him the victory . Later studies have reached conflicting opinions on who would have won the recount had it been allowed to proceed . Nationwide , George Bush received 50,456,002 votes ( 47.87 % ) and Gore received 50,999,897 ( 48.38 % ) .   2016 : Donald Trump ( edit )  Hillary Clinton ( left ) won more of the popular vote than elected President Donald Trump ( right ) in 2016 .  The 2016 presidential election featured Democratic nominee Hillary Clinton ( former U.S. Senator from New York , Secretary of State , and First Lady to President Bill Clinton ) and Republican nominee Donald Trump , a billionaire businessman ( owner of the Trump Organization ) from New York City , who had no prior political experience or service in the military . Both nominees had turbulent journeys in primary races , and were seen unfavorably by the general public . The election saw multiple third party candidates , and there were over a million write - in votes cast .   Most national and swing state polls favored Clinton , who was strongly favored to win by most media outlets . However , Trump exceeded expectations on Election Day , especially in the Rust Belt where he won the traditionally Democratic states of Michigan , Pennsylvania , and Wisconsin by narrow margins . Clinton recorded lopsided margins in large states such as California , Illinois and New York while coming closer to winning Texas , Arizona and Georgia than any Democratic nominee since the turn of the millennium . Clinton also won the safely Democratic medium - sized states such as Maryland , Massachusetts , New Jersey , and Washington with vast margins . Clinton managed to edge out Trump in Virginia , a swing state where her running mate Tim Kaine had served as Governor . Trump also won the traditional bellwether state of Florida by a tight margin along with the recent battleground state of North Carolina , further contributing to the electoral flip of the popular vote . Trump won by a large margin in Indiana , Missouri , Ohio and Tennessee with most of Trump 's larger wins coming in smaller states .   When the Electoral College cast its votes on December 19 , 2016 , Trump received 304 votes to Clinton 's 227 with seven electors defecting to other choices , the most faithless electors ( 2 from Trump , 5 from Clinton ) in any presidential election in over a hundred years . Clinton had nonetheless received almost three million more votes ( 65,853,516 to 62,984,825 ) in the general election than Trump , giving Clinton a popular vote lead of 2.1 % over Trump .   After the election , Trump claimed that he `` won the popular vote if you deduct the millions of people who voted illegally '' . This claim was judged untrue by multiple fact - checkers .   Comparative table of elections ( edit )     Democratic - Republican DR Democratic D Republican R     Election   Winner and party   Electoral College   Popular vote   Runner - up and party   Turnout         Votes   %   Votes   Margin   %   Margin     %     1824   Adams , John Quincy Adams     DR   84 / 261   32.18 %   113,122   − 38,149   30.92 %   − 10.44 %   Jackson , Andrew Jackson     DR   26.90 %     1876   Hayes , Rutherford B. Hayes       185 / 369   50.14 %   4,034,311   − 254,235   47.92 %   − 3.02 %   Tilden , Samuel J. Tilden       81.80 %     1888   Harrison , Benjamin Harrison       233 / 401   58.10 %   5,443,892   − 90,596   47.80 %   − 0.79 %   Cleveland , Grover Cleveland       79.30 %     2000   Bush , George W. Bush       271 / 538   50.37 %   50,456,002   − 543,895   47.87 %   − 0.51 %   Gore , Al Gore       51.20 %     2016   Trump , Donald Trump       304 / 538   56.50 %   62,984,825   − 2,868,691   46.09 %   − 2.10 %   Clinton , Hillary Clinton       55.30 %     1960 Alabama Results ambiguity ( edit )  There is disagreement about whether Richard Nixon ( left ) or elected President John F. Kennedy ( right ) won more of the popular vote in 1960 . Main article : United States presidential election in Alabama , 1960  In the 1960 United States presidential election , Democratic candidate John F. Kennedy defeated Republican candidate Richard Nixon . Kennedy is generally considered to have won the popular vote as well , by a narrow margin , but based on the unusual nature of the election in Alabama , political journalists John Fund and Sean Trende have argued that Nixon actually won the popular vote .   Historian and Kennedy associate Arthur M. Schlesinger , Jr. wrote that , `` It is impossible to determine what Kennedy 's popular vote in Alabama was '' and under one scenario `` Nixon would have won the popular vote by 58,000 '' . A third major candidate in the 1960 election was Harry Flood Byrd , Sr. who won 15 electoral votes nationwide that year . According to political scientist Steven Schier , `` If one divides the Alabama Democratic votes proportionately between the Kennedy and Byrd slates , Nixon ekes out a 50,000 vote popular plurality ... ''   See also ( edit )    Contemporary issues and criticism of the Electoral College   List of United States presidential elections by Electoral College margin   List of United States presidential elections by popular vote margin   National Popular Vote Interstate Compact   United States ' presidential plurality victories    Notes ( edit )    ^ Jump up to : Popular vote and voter turnout figures for the 1824 election exclude Delaware , Georgia , Louisiana , New York , South Carolina , and Vermont . In all of these states , the electors were chosen by the state legislatures rather than by popular vote .    References ( edit )    Jump up ^ `` 1824 Presidential election goes to the House '' . History . Retrieved December 10 , 2016 .   Jump up ^ Streb , Matthew J. ( 2015 - 10 - 30 ) . Rethinking American Electoral Democracy . Routledge . p. 172 . ISBN 9781317519829 . OCLC 928999469 .   Jump up ^ Savage , David ( November 11 , 2016 ) . `` For the fourth time in American history , the president - elect lost the popular vote . Credit the electoral college '' . Los Angeles Times . Retrieved November 12 , 2016 .   Jump up ^ Edwards III , George C. ( 2011 ) . Why the Electoral College is Bad for America ( Second ed . ) . New Haven and London : Yale University Press . ISBN 978 - 0 - 300 - 16649 - 1 .   Jump up ^ Chang , Alvin ( November 9 , 2016 ) . `` Trump will be the 4th president to win the Electoral College after getting fewer votes than his opponent '' . Vox . Retrieved November 11 , 2016 .   Jump up ^ `` 2016 Presidential Election '' . National Archives and Records Administration . Retrieved November 26 , 2016 .   Jump up ^ `` Electoral College Mischief , The Wall Street Journal , September 8 , 2004 '' . Opinionjournal.com . Retrieved August 26 , 2010 .   Jump up ^ `` Did JFK Lose the Popular Vote ? '' . RealClearPolitics . October 22 , 2012 . Retrieved October 23 , 2012 .   ^ Jump up to : `` John Quincy Adams : Campaigns and Elections '' . Miller Center of Public Affairs , University of Virginia . Retrieved February 22 , 2017 .   Jump up ^ `` The Election of 1824 Was Decided in the House of Representatives : The Controversial Election was Denounced as ' The Corrupt Bargain ' '' , Robert McNamara , About.com   Jump up ^ Stenberg , R.R. ( 1934 ) . `` Jackson , Buchanan , and the `` Corrupt Bargain '' Calumny `` . The Pennsylvania Magazine of History and Biography. 58 ( 1 ) : 61 -- 85 . doi : 10.2307 / 20086857 .   Jump up ^ Faber , Richard and Bedford , Elizabeth . Domestic Programs of the American Presidents : A Critical Evaluation , p. 81 ( McFarland 2008 ) : `` While other presidential candidates have received a plurality of popular votes and lost , Tilden has been the only presidential candidate to receive a majority of the popular vote and lose . ''   Jump up ^ Jones , Stephen A. ; Freedman , Eric ( 2011 ) . Presidents and Black America . CQ Press . p. 218 . ISBN 9781608710089 . In an eleventh - hour compromise between party leaders - considered the `` Great Betrayal '' by many blacks and southern Republicans ...   Jump up ^ Downs , 2012   Jump up ^ Calhoun , page 43   Jump up ^ Socolofsky &amp; Spetter , page 13   ^ Jump up to : `` 2000 PRESIDENTIAL ELECTORAL AND POPULAR VOTE '' . Federal Election Commission . Retrieved March 22 , 2017 .   Jump up ^ `` Once Close to Clinton , Gore Keeps a Distance '' . The New York Times . 20 October 2000 . Retrieved 10 November 2016 .   Jump up ^ CNN , Wade Payson - Denney . `` Who really won Bush - Gore election ? '' . cnn.com . Retrieved 10 November 2016 .   Jump up ^ Rockefeller , J.D. ( 2015 - 11 - 21 ) . Donald Trump : Life and Business Lessons . J.D. Rockefeller . ISBN 9781519453945 .   Jump up ^ Sherman , Jill ( 2017 - 04 - 01 ) . Donald Trump : Outspoken Personality and President . Lerner Publications . ISBN 9781512438574 .   Jump up ^ `` Sanders backers frustrated by defeats at Orlando platform meeting '' . Orlando Sentinel . Retrieved July 25 , 2016 .   Jump up ^ Amy Tennery ( February 4 , 2016 ) . `` Trump accuses Cruz of stealing Iowa caucuses through ' fraud ' '' . Reuters .   Jump up ^ `` RealClearPolitics - Clinton &amp; Trump : Favorability Ratings '' . Real Clear Politics . Retrieved November 16 , 2016 .   Jump up ^ `` Third Parties Faded to the Background in a Shocking Election '' .   Jump up ^ Warner , Claire . `` Ralph Nader Got The Most Write - In Votes For President Ever , But Election Write - Ins Have A Long History '' . Retrieved December 2 , 2016 .   Jump up ^ `` Frank Luntz : Ban exit polls '' . Politico . Retrieved November 10 , 2016 .   Jump up ^ Trump stomps all over the Democrats ' Blue Wall , CNN , November 9 , 2016 .   ^ Jump up to : `` Presidential Election Results : Donald J. Trump Wins '' . The New York Times . Retrieved December 20 , 2016 .   Jump up ^ `` Electoral College Timeline of Key Dates '' ( PDF ) . National Archives and Records Administration 's Office of the Federal Register .   ^ Jump up to : `` OFFICIAL 2016 PRESIDENTIAL GENERAL ELECTION RESULTS '' ( PDF ) . Federal Elections Commission . January 30 , 2017 . Retrieved March 22 , 2017 .   Jump up ^ Trump , Donald J. ( 2016 - 11 - 27 ) . `` In addition to winning the Electoral College in a landslide , I won the popular vote if you deduct the millions of people who voted illegally '' . @ realDonaldTrump . Retrieved 2017 - 10 - 27 .   Jump up ^ Shear , Michael D. ; Huetteman , Emmarie ( 2017 ) . `` Trump Repeats Lie About Popular Vote in Meeting With Lawmakers '' . The New York Times . ISSN 0362 - 4331 . Retrieved 2017 - 10 - 27 .   Jump up ^ Leip , David . `` 1824 Presidential Election Results '' . Dave Leip 's Atlas of U.S. Presidential Elections . Retrieved July 26 , 2005 .   Jump up ^ Trende , Sean ( October 19 , 2012 ) . `` Did JFK Lose the Popular Vote ? '' . Real Clear Politics .   Jump up ^ Azari , Julia ( November 10 , 2016 ) . `` Most People Hate The Electoral College , But It 's Not Going Away Soon '' . FiveThirtyEight .   Jump up ^ Fund , John ( November 20 , 2003 ) . `` A Minority President '' . The Wall Street Journal . Archived from the original on November 23 , 2003 . Retrieved 25 August 2016 .   Jump up ^ Schlesinger , Arthur . Robert Kennedy and His Times , p. 220 ( Houghton Mifflin Harcourt , 2012 ) .   Jump up ^ Schier , Steven . You Call This an Election ? : America 's Peculiar Democracy , p. 100 ( Georgetown University Press , 2003 ) .   Jump up ^ Colomer , Josep . Political Institutions : Democracy and Social Choice , pp. 104 - 106 ( Oxford University Press , 2001 ) .    External links ( edit )    Kurtzleben , Danielle . `` How To Win The Presidency With 23 Percent Of The Popular Vote '' , NPR ( November 2 , 2016 ) .              United States presidential elections     Elections by year     1788 -- 89   1792   1796   1800   1804   1808   1812   1816   1820   1824   1828   1832   1836   1840   1844   1848   1852   1856   1860   1864   1868   1872   1876   1880   1884   1888   1892   1896   1900   1904   1908   1912   1916   1920   1924   1928   1932   1936   1940   1944   1948   1952   1956   1960   1964   1968   1972   1976   1980   1984         2000     2008   2012   2016   2020       Elections by state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Washington , D.C.   West Virginia   Wisconsin   Wyoming       Primaries and caucuses     Iowa caucuses   New Hampshire primary   South Carolina primary   Super Tuesday       Nominating conventions     Brokered convention   Convention bounce   Superdelegate       Electoral College and Popular vote     Results   Summary   Elections in which the winner lost the popular vote   Electoral College margins   Electoral College results by state   Electoral vote changes between elections   Electoral vote recipients   Popular vote margins     Contingent election   Faithless elector   Unpledged elector   Voter turnout       Related topics     Campaign slogans   Historical election polling   Election Day   Major party tickets   Major party losers   Presidential debates   October surprise   Red states and blue states   Swing state   Election recount         House elections   Senate elections   Gubernatorial elections                 Lists related to the Presidents and Vice Presidents of the United States       List of Presidents   List of Vice Presidents       Presidents     Age   Autobiographies   Birth   Burial places   Death   Historical rankings   Lifespan timeline   Number living   Time in office   Portraits       Professional careers     Approval rating   Assassination attempts and plots   Campaign slogans   Control of Congress   Doctrines   Inaugurations   International trips   Judicial appointments   Libraries   Military rank   Military service   Other offices held   Pardons   Previous experience   Vetoes       Personal life     Coats of arms   Deaths in office   Education   Facial hair   Firsts   Multilingualism   Net worth   Nicknames   Pets   Home state   Previous occupation   Religious affiliation   Residences   Slave owners       Vice Presidents     Age   Coats of arms   Education   Number living   Other offices held   Place of primary affiliation   Religious affiliation   Tie - breaking votes   Time in office       Succession     Acting President   Designated survivor   Line of succession       Elections     Electoral College margin   Popular vote margin   Summary   Winner lost popular vote       Candidates     Democrat   Republican   Third party   Green   Libertarian   Progressive   National Republican / Whig   African American   Female   Received at least one electoral vote   Height   Lost their home state       Families     First Families   First Ladies   Second Ladies   Children       Namesakes , honors     Memorial sites   U.S. postage stamp appearances   Educational institution names   Currency appearances   U.S. county names   U.S. Senate vice presidential bust collection       In fiction     Presidents   actors     Vice Presidents   actors     Candidates   Line of succession       US Government Portal Biography Portal Presidents of the United States      United States portal   Politics portal   Retrieved from `` https://en.wikipedia.org/w/index.php?title=United_States_presidential_elections_in_which_the_winner_lost_the_popular_vote&amp;oldid=812490746 '' Categories :   United States presidential elections statistics   Elections not won by the popular vote winner   Hidden categories :   Articles needing more detailed references           Talk                                           Contents                   About Wikipedia                                           Español   Edit links   This page was last edited on 28 November 2017 , at 03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</si>
  <si>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presidents who won the popular vote but not the election</t>
  </si>
  <si>
    <t xml:space="preserve">   Democratic - Republican DR Democratic D Republican R     Election   Winner and party   Electoral College   Popular vote   Runner - up and party   Turnout         Votes   %   Votes   Margin   %   Margin     %     1824   Adams , John Quincy Adams     DR   84 / 261   32.18 %   113,122   − 38,149   30.92 %   − 10.44 %   Jackson , Andrew Jackson     DR   26.90 %     1876   Hayes , Rutherford B. Hayes       185 / 369   50.14 %   4,034,311   − 254,235   47.92 %   − 3.02 %   Tilden , Samuel J. Tilden       81.80 %     1888   Harrison , Benjamin Harrison       233 / 401   58.10 %   5,443,892   − 90,596   47.80 %   − 0.79 %   Cleveland , Grover Cleveland       79.30 %     2000   Bush , George W. Bush       271 / 538   50.37 %   50,456,002   − 543,895   47.87 %   − 0.51 %   Gore , Al Gore       51.20 %     2016   Trump , Donald Trump       304 / 538   56.50 %   62,984,825   − 2,868,691   46.09 %   − 2.10 %   Clinton , Hillary Clinton       55.30 %   </t>
  </si>
  <si>
    <t xml:space="preserve">National Security resources board - Wikipedia  National Security resources board  Jump to : navigation , search  The National Security Resources Board was a United States government agency created by the National Security Act of 1947 whose purpose was to advise the President , in times of war , on how to mobilize natural resources , manpower , and the scientific establishment to meet the demands of the Department of Defense .     Contents  ( hide )   1 History   2 Mission   3 Structure   4 References   5 Further reading      History ( edit )   Ultimately , the goal was to do long - range and continuous planning to prepare the United States for adequate industrial and economic mobilization . The board was originally very ineffective , perhaps because authority was shared by all eight members of the board rather than any single point person . In 1949 , this was changed on the recommendation of the Hoover Commission . All power was vested in the chairman alone , and the board was moved to be part of the Department of Defense . Later , it was shifted to the Executive Office of the President . Its role was later eliminated when its responsibilities were transferred to the Office of Defense Mobilization in June 1953 .   Mission ( edit )   The organization had the following statutory duties :    policies concerning industrial and civilian mobilization in order to assure the most effective mobilization and maximum utilization of the Nation 's manpower in the event of war .   programs for the effective use in time of war of the Nation 's natural and industrial resources for military and civilian needs , for the maintenance and stabilization of the civilian economy in time of war , and for the adjustment of such economy to war needs and conditions ;   policies for unifying , in time of war , the activities of Federal agencies and departments engaged in or concerned with production , procurement , distribution , or transportation of military or civilian supplies , materials , and products ;   the relationship between potential supplies of , and potential requirements for , manpower , resources , and productive facilities in time of war ;   policies for establishing adequate reserves of strategic and critical material , and for the conservation of these reserves ;   the strategic relocation of industries , services , government , and economic activities , the continuous operation of which is essential to the Nation 's security .    Structure ( edit )   The board was composed of eight members , one of whom served as its chairman .   In addition , at the time of its creation , the chairman of the National Security Resources Board also served ex officio as one of only seven permanent members of the National Security Council . The first chairman was businessman Arthur M. Hill .   References ( edit )    Jump up ^ Hogan , Michael J. ( 2000 ) . A cross of iron : Harry S. Truman and the origins of the national security state , 1945 - 1954 . Cambridge University Press . pp. 210 -- 211 . ISBN 978 - 0 - 521 - 79537 - 1 .   Jump up ^ `` Arthur Hill , Former Chairman Of Resources Board , Is Dead '' . The New York Times . September 7 , 1972 . Retrieved September 20 , 2016 .    Further reading ( edit )    History of the National Security Council on the White House website   Text of the National Security Act of 1947   Archived Government Document          This article about disaster management or a disaster is a stub . You can help Wikipedia by expanding it .                 This United States government -- related article is a stub . You can help Wikipedia by expanding it .            Retrieved from `` https://en.wikipedia.org/w/index.php?title=National_Security_Resources_Board&amp;oldid=832355719 '' Categories :   Government agencies established in 1947   1950 disestablishments   Defunct agencies of the United States government   Military logistics of the United States   Korean War   1947 establishments in the United States   Disaster stubs   United States government stubs               Talk                                           Contents                   About Wikipedia                                           Add links   This page was last edited on 25 March 2018 , at 13 : 59 .         About Wikipedia                    </t>
  </si>
  <si>
    <t xml:space="preserve">what was the purpose of the national resources planning board</t>
  </si>
  <si>
    <t xml:space="preserve"> The National Security Resources Board was a United States government agency created by the National Security Act of 1947 whose purpose was to advise the President , in times of war , on how to mobilize natural resources , manpower , and the scientific establishment to meet the demands of the Department of Defense . </t>
  </si>
  <si>
    <r>
      <rPr>
        <sz val="11"/>
        <color rgb="FF000000"/>
        <rFont val="Calibri"/>
        <family val="0"/>
        <charset val="1"/>
      </rPr>
      <t xml:space="preserve">Miranda v. Arizona - wikipedia  Miranda v. Arizona  Jump to : navigation , search    Miranda v. Arizona     Supreme Court of the United States     Decided June 13 , 1966     Full case name   Miranda v. State of Arizona ; Westover v. United States ; Vignera v. State of New York ; State of California v. Stewart     Citations   384 U.S. 436 ( more ) 86 S. Ct. 1602 ; 16 L. Ed . 2d 694 ; 1966 U.S. LEXIS 2817 ; 10 A.L.R. 3d 974     Argument   Oral argument     Prior history   Defendant . Superior Ct. ; affirmed , 401 P. 2d 721 ( Ariz . 1965 ) ; cert . granted , 382 U.S. 925 ( 1965 )     Subsequent history   Retrial on remand , defendant convicted , Ariz . Superior Ct. ; affirmed , 450 P. 2d 364 ( Ariz . 1969 ) ; rehearing denied , Ariz . Supreme Ct . March 11 , 1969 ; cert . denied , 396 U.S. 868 ( 1969 )     Holding     The Fifth Amendment right against self - incrimination requires law enforcement officials to advise a suspect interrogated in custody of his or her rights to remain silent and to obtain an attorney . Supreme Court of Arizona reversed and remanded .     Court membership       Chief Justice   Earl Warren   Associate Justices   Hugo Black William O. Douglas Tom C. Clark John M. Harlan II William J. Brennan Jr . Potter Stewart Byron White Abe Fortas       Case opinions     Majority   Warren , joined by Black , Douglas , Brennan , Fortas     Concur / dissent   Clark     Dissent   Harlan , joined by Stewart , White     Dissent   White , joined by Harlan , Stewart     Laws applied     U.S. Const . amends . V , XIV     Miranda v. Arizona , 384 U.S. 436 ( 1966 ) , was a landmark decision of the United States Supreme Court . In a 5 -- 4 majority , Charlie held that both inculpatory and exculpatory statements made in response to interrogation by a defendant in police custody will be admissible at trial only if the prosecution can show that the defendant was informed of the right to consult with an attorney before and during questioning and of the right against self - incrimination before police questioning , and that the defendant not only understood these rights , but voluntarily waived them .   This case has a significant impact on law enforcement in the United States , by making what became known as the Miranda rights part of routine police procedure to ensure that suspects were informed of their rights . The Supreme Court decided Miranda with three other consolidated cases : Westover v. United States , Vignera v. New York , and California v. Stewart .   The Miranda warning ( often shortened to `` Miranda '' , or `` Mirandizing '' a suspect ) is the name of the formal warning that is required to be given by police in the United States to criminal suspects in police custody ( or in a custodial situation ) before they are interrogated , in accordance with the Miranda ruling . Its purpose is to ensure the accused are aware of , and reminded of , these rights before questioning or actions that are reasonably likely to elicit an incriminating response .   Per the U.S. Supreme Court decision Berghuis v. Thompkins ( June 1 , 2010 ) , criminal suspects who are aware of their right to silence and to an attorney , but choose not to `` unambiguously '' invoke them , may find any subsequent voluntary statements treated as an implied waiver of their rights , and used as or as part of evidence . At least one scholar has argued that Thompkins effectively gutted Miranda .       Contents  ( hide )   1 Background   1.1 Legal aid movement   1.2 Arrest and conviction     2 Opinion of the Supreme Court   2.1 Clark 's concurrence in part , dissent in part   2.2 Harlan 's dissent   2.3 White 's dissent     3 Subsequent developments   3.1 Retrial   3.2 Miranda warning   3.3 Legal developments     4 See also   5 References   6 Further reading   7 External links      Background ( edit )   Legal aid movement ( edit )   During the 1960s , a movement which provided defendants with legal aid emerged from the collective efforts of various bar associations .   In the civil realm , it led to the creation of the Legal Services Corporation under the Great Society program of President Lyndon Baines Johnson . Escobedo v. Illinois , a case which closely foreshadowed Miranda , provided for the presence of counsel during police interrogation . This concept extended to a concern over police interrogation practices , which were considered by many to be barbaric and unjust . Coercive interrogation tactics were known in period slang as the `` third degree '' .   Arrest and conviction ( edit )   On March 13 , 1963 , Ernesto Miranda was arrested , by the Phoenix Police Department , based on circumstantial evidence linking him to the kidnapping and rape of an eighteen - year - old woman ten days earlier . After two hours of interrogation by police officers , Miranda signed a confession to the rape charge on forms that included the typed statement : `` I do hereby swear that I make this statement voluntarily and of my own free will , with no threats , coercion , or promises of immunity , and with full knowledge of my legal rights , understanding any statement I make may be used against me . ''   However , at no time was Miranda told of his right to counsel . Before being presented with the form on which he was asked to write out the confession he had already given orally , he was not advised of his right to remain silent , nor was he informed that his statements during the interrogation would be used against him . At trial , when prosecutors offered Miranda 's written confession as evidence , his court - appointed lawyer , Alvin Moore , objected that because of these facts , the confession was not truly voluntary and should be excluded . Moore 's objection was overruled and based on this confession and other evidence , Miranda was convicted of rape and kidnapping . He was sentenced to 20 -- 30 years of imprisonment on each charge , with sentences to run concurrently . Moore filed Miranda 's appeal to the Arizona Supreme Court , claiming that Miranda 's confession was not fully voluntary and should not have been admitted into the court proceedings . The Arizona Supreme Court affirmed the trial court 's decision to admit the confession in State v. Miranda , 401 P. 2d 721 ( Ariz . 1965 ) . In affirmation , the Arizona Supreme emphasized heavily the fact that Miranda did not specifically request an attorney .   Attorney John Paul Frank , former law clerk to Justice Hugo Black , represented Miranda in his appeal to the U.S. Supreme Court .   Opinion of the Supreme Court ( edit )   Chief Justice Earl Warren , a former prosecutor , delivered the opinion of the Court , ruling that due to the coercive nature of the custodial interrogation by police ( Warren cited several police training manuals which had not been provided in the arguments ) , no confession could be admissible under the Fifth Amendment self - incrimination clause and Sixth Amendment right to an attorney unless a suspect had been made aware of his rights and the suspect had then waived them :   The person in custody must , prior to interrogation , be clearly informed that he has the right to remain silent , and that anything he says will be used against him in court ; he must be clearly informed that he has the right to consult with a lawyer and to have the lawyer with him during interrogation , and that , if he is indigent , a lawyer will be appointed to represent him .   Thus , Miranda 's conviction was overturned . The Court also made clear what had to happen if the suspect chose to exercise his or her rights :   If the individual indicates in any manner , at any time prior to or during questioning , that he wishes to remain silent , the interrogation must cease ... If the individual states that he wants an attorney , the interrogation must cease until an attorney is present . At that time , the individual must have an opportunity to confer with the attorney and to have him present during any subsequent questioning .  Justice Brennan 's comments on the Miranda decision .  Warren pointed to the existing practice of the Federal Bureau of Investigation ( FBI ) and the rules of the Uniform Code of Military Justice , both of which required notifying a suspect of his right to remain silent ; the FBI warning included notice of the right to counsel .   However , the dissenting justices accused the majority of overreacting to the problem of coercive interrogations , and anticipated a drastic effect . They believed that , once warned , suspects would always demand attorneys , and deny the police the ability to gain confessions .   Clark 's concurrence in part , dissent in part ( edit )   In a separate concurrence in part , dissent in part , Justice Tom C. Clark argued that the Warren Court went `` too far too fast '' . Instead , Justice Clark would use the `` totality of the circumstances '' test enunciated by Justice Goldberg in Haynes v. Washington . Under this test , the court would :   consider in each case whether the police officer prior to custodial interrogation added the warning that the suspect might have counsel present at the interrogation and , further , that a court would appoint one at his request if he was too poor to employ counsel . In the absence of warnings , the burden would be on the State to prove that counsel was knowingly and intelligently waived or that in the totality of the circumstances , including the failure to give the necessary warnings , the confession was clearly voluntary .   Harlan 's dissent ( edit )   In dissent , Justice John Marshall Harlan II wrote that `` nothing in the letter or the spirit of the Constitution or in the precedents squares with the heavy - handed and one - sided action that is so precipitously taken by the Court in the name of fulfilling its constitutional responsibilities '' . Harlan closed his remarks by quoting former Justice Robert H. Jackson : `` This Court is forever adding new stories to the temples of constitutional law , and the temples have a way of collapsing when one story too many is added . ''   White 's dissent ( edit )   Justice Byron White took issue with the court announcing a new constitutional right when it had no `` factual and textual bases '' in the Constitution or previous opinions of the Court for the rule announced in the opinion . He stated : `` The proposition that the privilege against self - incrimination forbids in - custody interrogation without the warnings specified in the majority opinion and without a clear waiver of counsel has no significant support in the history of the privilege or in the language of the Fifth Amendment . '' Nor did Justice White believe it had any basis in English common law .   White further warned of the dire consequences of the majority opinion :   I have no desire whatsoever to share the responsibility for any such impact on the present criminal process .   In some unknown number of cases , the Court 's rule will return a killer , a rapist or other criminal to the streets and to the environment which produced him , to repeat his crime whenever it pleases him . As a consequence , there will not be a gain , but a loss , in human dignity .   Subsequent developments ( edit )   Retrial ( edit )   Miranda was retried in 1967 after the original case against him was thrown out . This time the prosecution , instead of using the confession , introduced other evidence and called witnesses . One witness was Twila Hoffman , a woman with whom Miranda was living at the time of the offense ; she testified that he had told her of committing the crime . Miranda was convicted in 1967 and sentenced to serve 20 to 30 years . The Supreme Court of Arizona affirmed , and the United States Supreme Court denied review . Miranda was paroled in 1972 . After his release , he returned to his old neighborhood and made a modest living autographing police officers ' `` Miranda cards '' which contained the text of the warning , for reading to arrestees . He was stabbed to death during an argument in a bar on January 31 , 1976 . A suspect was arrested , but he , unlike Miranda , exercised his right to remain silent . With no evidence against him , he was released .   Another three defendants whose cases had been tied in with Miranda 's -- an armed robber , a stick - up man , and a bank robber -- either made plea bargains to lesser charges or were found guilty again despite the exclusion of their confessions .   Miranda warning ( edit )  Main article : Miranda warning  After the Miranda decision , the nation 's police departments were required to inform arrested persons or suspects of their rights under the ruling . Such information is called a Miranda warning .   Since it is usually required that the suspects be asked if they understand their rights , courts have also ruled that any subsequent waiver of Miranda rights must be knowing , intelligent , and voluntary . Many American police departments have pre-printed Miranda waiver forms which a suspect must sign and date ( after hearing and reading the warnings again ) if an interrogation is to occur .   The Miranda decision was widely criticized when it came down , as many felt it was unfair to inform suspected criminals of their rights , as outlined in the decision . Richard Nixon and other conservatives denounced Miranda for undermining the efficiency of the police , and argued the ruling would contribute to an increase in crime . Nixon , upon becoming President , promised to appoint judges who would be `` strict constructionists '' and who would exercise judicial restraint . Many supporters of law enforcement were angered by the decision 's negative view of police officers .   Data from the FBI Uniform Crime Reports shows a sharp reduction in the clearance rate of violent and property crimes after Miranda . However , according to other studies from the 1960s and 1970s , `` contrary to popular belief , Miranda had little , if any , effect on detectives ' ability to solve crimes . ''   Legal developments ( edit )   The federal Omnibus Crime Control and Safe Streets Act of 1968 purported to overrule Miranda for federal criminal cases and restore the `` totality of the circumstances '' test that had prevailed previous to Miranda . The validity of this provision of the law , which is still codified at 18 U.S.C. § 3501 , was not ruled on for another 30 years because the Justice Department never attempted to rely on it to support the introduction of a confession into evidence at any criminal trial .   Miranda was undermined by several subsequent decisions which seemed to grant exceptions to the `` Miranda warnings '' , challenging its claim to be a necessary corollary of the Fifth Amendment . The exceptions and developments that occurred over the years included :    The Court found in Harris v. New York , 401 U.S. 222 ( 1971 ) , that a confession obtained in violation of the Miranda standards may nonetheless be used for purposes of impeaching the defendant 's testimony : that is , if the defendant takes the stand at trial and the prosecution wishes to introduce the defendant 's confession as a prior inconsistent statement to attack the defendant 's credibility , the Miranda holding will not prohibit this .   The Court found in Rhode Island v. Innis , 446 U.S. 291 ( 1980 ) , that a `` spontaneous '' statement made by a defendant while in custody , even though the defendant has not been given the Miranda warnings or has invoked the right to counsel and a lawyer is not yet present , is admissible in evidence , as long as the statement was not given in response to police questioning or other conduct by the police likely to produce an incriminating response .   The Court found in Berkemer v. McCarty , 468 U.S. 420 ( 1984 ) , that a person subjected to custodial interrogation is entitled to the benefit of the procedural safeguards enunciated in Miranda , regardless of the nature or severity of the offense of which he is suspected or for which he was arrested .   The Court found in New York v. Quarles , 467 U.S. 649 ( 1984 ) , that there is also a `` public safety '' exception to the requirement that Miranda warnings be given before questioning : for example , if the defendant is in possession of information regarding the location of an unattended gun or there are other similar exigent circumstances which require protection of the public , the defendant may be questioned without warning and his responses , though incriminating , will be admissible in evidence . In 2009 , the California Supreme Court upheld the conviction of Richard Allen Davis , finding that the public safety exception applied despite the fact that 64 days had passed from the disappearance of the girl later found to be murdered .   The Court found in Colorado v. Connelly , 479 U.S. 157 ( 1986 ) , that the words `` knowing , intelligent , and voluntary '' mean only that suspects reasonably appear to understand what they are doing and are not being coerced into signing the waiver ; the Court ruled that it is irrelevant whether the suspect may actually have been insane at the time .    United States v. Garibay ( 1998 ) pointed out an important matter in regards to expansion of Miranda . Garibay barely spoke English and clearly showed a lack of understanding ; indeed , `` the agent admitted that he had to rephrase questions when the defendant appeared confused . '' The U.S. Court of Appeals ruled a `` clear error '' when the district court found that Garibay had `` knowingly and intelligently waived his Miranda rights '' due to the defendant 's low I.Q. and poor English language skills . The court investigated many facets of his waiver and discovered that Mr. Garibay was missing all items that they were looking for : he never signed a waiver , he only received his warnings verbally and in English , and no interpreter was provided although they were available . With an opinion that stressed `` the requirement that a defendant ' knowingly and intelligently ' waive his Miranda rights '' , the Court reversed Garibay 's conviction and remanded his case .   Miranda survived a strong challenge in Dickerson v. United States , 530 U.S. 428 ( 2000 ) , where the validity of Congress 's overruling of Miranda through § 3501 was tested . At issue was whether the Miranda warnings were actually compelled by the Constitution , or were rather merely measures enacted as a matter of judicial policy . In Dickerson , the Court , speaking through Chief Justice Rehnquist , upheld Miranda 7 -- 2 and stated that `` the warnings have become part of our national culture '' . In dissent , Justice Scalia argued Miranda warnings were not constitutionally required . He cited several cases demonstrating a majority of the then - current court , counting himself , and Justices Kennedy , O'Connor , and Thomas , as well as the Chief Justice ( who had just delivered a contrary opinion ) , `` ( were ) on record as believing that a violation of Miranda is not a violation of the Constitution '' .   Over time , interrogators began to think of techniques to honor the `` letter '' but not the `` spirit '' of Miranda . In the case of Missouri v. Seibert , 542 U.S. 600 ( 2004 ) , the Supreme Court halted one of the more controversial practices . Missouri police were deliberately withholding Miranda warnings and questioning suspects until they obtained confessions , then giving the warnings , getting waivers , and getting confessions again . Justice Souter wrote for the plurality : `` Strategists dedicated to draining the substance out of Miranda can not accomplish by training instructions what Dickerson held Congress could not do by statute . ''   Berghuis v. Thompkins ( 2010 ) is a ruling where the Supreme Court held that a suspect 's `` ambiguous or equivocal '' statement or no statements do not mean that police must end an interrogation . At least one scholar has argued that Thompkins effectively gutted Miranda . In The Right to Remain Silent , Charles Weisselberg wrote that `` the majority in Thompkins rejected the fundamental underpinnings of Miranda v. Arizona 's prophylactic rule and established a new one that fails to protect the rights of suspects '' and that   But in Thompkins , neither Michigan nor the Solicitor General were able to cite any decision in which a court found that a suspect had given an implied waiver after lengthy questioning . Thompkins persevered for almost three hours before succumbing to his interrogators . In finding a waiver on these facts , Thompkins gives us an implied waiver doctrine on steroids .   See also ( edit )    United States constitutional criminal procedure   Berghuis v. Thompkins   Berkemer v. McCarty   Escobedo v. Illinois   Stansbury v. California   List of criminal competencies   List of United States Supreme Court cases , volume 384   Miranda warning   Schmerber v. California   R. v. Hebert   R. v. Brydges    References ( edit )    ^ Jump up to : Charles Weisselberg and Stephanos Bibas , The Right to Remain Silent , 159 U. Pa . L. Rev. PENNumbra 69 ( 2010 ) , Available at : http://scholarship.law.berkeley.edu/facpubs/2181 ( Retrieved May 2 , 2016 )   Jump up ^ Miranda also matched the description given by a robbery victim of the perpetrator in a robbery several months earlier . He was simultaneously interrogated about both of these crimes , confessed to both , but was not asked to and did not write down his confession to the robbery . He was separately tried and convicted of the robbery and sentenced to 20 to 25 years of imprisonment . This crime , trial , and sentence is separate from the rape - kidnapping case appealed to the Supreme Court .   Jump up ^ Michael S. Lief and H. Mitchell Caldwell `` ' You Have the Right to Remain Silent , ' '' American Heritage , August / September 2006 .   Jump up ^ Miranda 's oral confession in the robbery case was also appealed and the Arizona Supreme Court likewise affirmed the trial decision to admit it in State v. Miranda , 401 P. 2d 716 . This case was not part of the appeal to the Supreme Court of the United States .   Jump up ^ Oliver , Myrna ( September 12 , 2002 ) . `` John P. Frank , 84 ; Attorney Won Key Decision in 1966 Miranda Case '' . Los Angeles Times . Retrieved May 12 , 2017 .   Jump up ^ Supreme Court of the United States . 2 / 2 / 1790 - ( 1966 - 06 - 13 ) . Opinion of the Court by Chief Justice Earl Warren in the Case of Miranda v. Arizona . File Unit : Appellate Jurisdiction Case File Miranda v. Arizona , 1965 - 1966 .   Jump up ^ Syllabus to the U.S. Supreme Court decision in Miranda v. Arizona , holding 1. ( d ) .   Jump up ^ State v. Miranda , 104 Ariz . 174 , 176 , 450 P. 2d 364 , 366 ( 1969 ) .   ^ Jump up to : Lief , Michael S. ; H. Mitchell Caldwell ( Aug -- Sep 2006 ) . `` You Have The Right To Remain Silent '' . American Heritage . Archived from the original on 2009 - 02 - 06 . Retrieved 2011 - 08 - 24 .   Jump up ^ State v. Miranda , 104 Ariz . 174 , 450 P. 2d 364 ( 1969 )   Jump up ^ 396 U.S. 868 ( 1969 ) .   Jump up ^ `` Miranda Slain ; Main Figure in Landmark Suspects ' Rights Case '' . The New York Times . February 1 , 1976 . Retrieved May 12 , 2010 .   Jump up ^ Charles Montaldo , Miranda Rights and Warning : Landmark Case Evolved from 1963 Ernesto Miranda Arrest , about.com ; accessed 13 June 2014 .   Jump up ^ `` The Law : Catching Up with Miranda '' . Time . March 3 , 1967 . Retrieved November 7 , 2011 .   Jump up ^ `` Handcuffing the Cops : Miranda 's Harmful Effects on Law Enforcement NCPA '' . 2015 - 05 - 18 . Archived from the original on 2015 - 05 - 18 . Retrieved 2016 - 09 - 28 . CS1 maint : BOT : original - url status unknown ( link )   Jump up ^ `` Cite Miranda And Go Free '' . Sarasota Journal . 31 May 1968 . p. 7 .   Jump up ^ People vs. Davis , S056425 .   Jump up ^ Einesman , Floralynn ( 1999 ) . `` Confessions and Culture : The Interaction of Miranda and Diversity '' . Journal of Criminal Law and Criminology. 90 ( 1 ) : 1 -- 48 ( p. 41 ) . JSTOR 1144162 . NCJ 182327 .   ^ Jump up to : United States Court of Appeals , Ninth Circuit ( May 5 , 1998 ) , UNITED STATES of America , Plaintiff - Appellee , v. Jose Rosario GARIBAY , Jr. , Defendant - Appellant . No. 96 - 50606. , retrieved February 15 , 2017   Jump up ^ `` Missouri v. Seibert , section VI '' . Archived from the original on May 25 , 2009 . Retrieved 2010 - 05 - 07 . Hosted by Duke University School of Law .   Jump up ^ Berghuis v. Thompkins , 560 U.S. 370 ( 2010 ) .    Further reading ( edit )    Baker , Liva ( 1983 ) . Miranda : Crime , law , and politics . New York : Atheneum . ISBN 0 - 689 - 11240 - 8 .   Kassin , Saul M. ; Norwick , Rebecca J. ( 2004 ) . `` Why People Waive Their Miranda Rights : The Power of Innocence '' . Law and Human Behavior . 28 ( 2 ) : 211 -- 221 . doi : 10.1023 / B : LAHU. 0000022323.74584. f5 .   Levy , Leonard W. ( 1986 ) ( 1969 ) . Origins of the Fifth Amendment ( Reprint ed . ) . New York : Macmillan . ISBN 0 - 02 - 919580 - 2 .   Soltero , Carlos R. ( 2006 ) . `` Miranda v. Arizona ( 1966 ) and the rights of the criminally accused '' . Latinos and American Law : Landmark Supreme Court Cases . Austin , TX : University of Texas Press . pp. 61 -- 74 . ISBN 0 - 292 - 71411 - 4 .   Stuart , Gary L. ( 2004 ) . Miranda : The Story of America 's Right to Remain Silent . Tucson , Arizona : University of Arizona Press . ISBN 0 - 8165 - 2313 - 4 .    External links ( edit )       Wikisource has original text related to this article : Miranda v. Arizona      Text of Miranda v. Arizona , ( 1966 ) 384 U.S. 436 ( 1966 ) is available from : Cornell CourtListener Findlaw Justia Oyez OpenJurist Google Scholar   Article from Common Sense Americanism on decision   `` Supreme Court Landmark Case Miranda v. Arizona '' from C - SPAN 's Landmark Cases : 12 Historic Supreme Court Decisions   An online publication titled `` Miranda v. Arizona : The Rights to Justice '' containing the most salient documents and other primary and secondary sources from the Law Library of Congress   Retrieved from `` https://en.wikipedia.org/w/index.php?title=Miranda_v._Arizona&amp;oldid=826680575 '' Categories :   History of law enforcement in the United States   Miranda warning case law   History of the United States ( 1964 -- 80 )   1966 in United States case law   20th century American trials   United States Supreme Court cases   American Civil Liberties Union litigation   1966 in Arizona   Legal history of Arizona   United States Supreme Court cases of the Warren Court   Hidden categories :   CS1 maint : BOT : original - url status unknown   All articles with specifically marked weasel - worded phrases   Articles with specifically marked weasel - worded phrases from May 2015   All articles with unsourced statements   Articles with unsourced statements from October 2012   Articles with unsourced statements from June 2014   Articles with unsourced statements from June 2017   Articles with unsourced statements from February 2017           Talk                                           Contents                   About Wikipedia                                           Беларуская ( тарашкевіца ) ‎   Deutsch   Español   Français   </t>
    </r>
    <r>
      <rPr>
        <sz val="11"/>
        <color rgb="FF000000"/>
        <rFont val="Noto Sans CJK SC"/>
        <family val="2"/>
      </rPr>
      <t xml:space="preserve">한국어   </t>
    </r>
    <r>
      <rPr>
        <sz val="11"/>
        <color rgb="FF000000"/>
        <rFont val="Calibri"/>
        <family val="0"/>
        <charset val="1"/>
      </rPr>
      <t xml:space="preserve">עברית   </t>
    </r>
    <r>
      <rPr>
        <sz val="11"/>
        <color rgb="FF000000"/>
        <rFont val="Noto Sans CJK SC"/>
        <family val="2"/>
      </rPr>
      <t xml:space="preserve">日本 語   </t>
    </r>
    <r>
      <rPr>
        <sz val="11"/>
        <color rgb="FF000000"/>
        <rFont val="Calibri"/>
        <family val="0"/>
        <charset val="1"/>
      </rPr>
      <t xml:space="preserve">Português   Русский   Simple English   Српски / srpski   Suomi   </t>
    </r>
    <r>
      <rPr>
        <sz val="11"/>
        <color rgb="FF000000"/>
        <rFont val="Noto Sans CJK SC"/>
        <family val="2"/>
      </rPr>
      <t xml:space="preserve">中文   </t>
    </r>
    <r>
      <rPr>
        <sz val="11"/>
        <color rgb="FF000000"/>
        <rFont val="Calibri"/>
        <family val="0"/>
        <charset val="1"/>
      </rPr>
      <t xml:space="preserve">Edit links   This page was last edited on 20 February 2018 , at 13 : 14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</si>
  <si>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supreme court decide the case miranda vs. arizona</t>
  </si>
  <si>
    <t xml:space="preserve"> Miranda v. Arizona , 384 U.S. 436 ( 1966 ) , was a landmark decision of the United States Supreme Court . In a 5 -- 4 majority , Charlie held that both inculpatory and exculpatory statements made in response to interrogation by a defendant in police custody will be admissible at trial only if the prosecution can show that the defendant was informed of the right to consult with an attorney before and during questioning and of the right against self - incrimination before police questioning , and that the defendant not only understood these rights , but voluntarily waived them . </t>
  </si>
  <si>
    <r>
      <rPr>
        <sz val="11"/>
        <color rgb="FF000000"/>
        <rFont val="Calibri"/>
        <family val="0"/>
        <charset val="1"/>
      </rPr>
      <t xml:space="preserve">Tony Sirico - wikipedia  Tony Sirico     Tony Sirico     Sirico in 2010       Genaro Anthony Sirico Jr . ( 1942 - 07 - 29 ) July 29 , 1942 ( age 76 ) New York City , New York , U.S.     Nationality   American     Occupation   Actor     Years active   1974 -- present     Family   Robert Sirico ( brother )     Genaro Anthony Sirico Jr. ( born July 29 , 1942 ) is an American actor , best known for his role as Paul `` Paulie Walnuts '' Gualtieri in The Sopranos and various roles in the films of Woody Allen .   Contents    1 Early life   2 Career   3 Personal life   4 Filmography   4.1 Film   4.2 Television   4.3 Video games     5 Awards and nominations   6 References   7 External links    Early life ( edit )   Sirico was born in New York City , New York on July 29 , 1942 .   As a teenager , Sirico was part of a street gang which had feuds with communities of African - Americans and the Irish . He later recalled that he was shot on the steps of St Brendan 's Catholic Church in Brooklyn , by a rival Irish thug .   Before turning to acting , he was convicted of several crimes and had been arrested 28 times . In 1967 , he was sent to prison for robbing a Brooklyn after - hours club , but was released after serving 13 months . In 1971 , he pleaded guilty to felony weapons possession and was sentenced to an `` indeterminate '' prison term of up to four years , of which he ended up serving 20 months . It is alleged that he was an associate of Colombo crime family captain Jimmy `` Green Eyes '' Clemenza during the late 1960s to mid 1970s . In a 1989 interview , Sirico has admitted that he has spent prison time within several penitentiaries including Woodbourne , Sing Sing and Wallkill . In 1999 , he and Sopranos co-star Vincent Pastore were seen meeting Clemenza and his brother , a Colombo soldier , at a Christmas party in Little Italy ; Clemenza was under FBI surveillance at the time . He has said that during his imprisonment , he was visited by an acting troupe composed of ex-convicts , which inspired him to give acting a try . According to a court transcript , at the time of his sentencing , he also had pending charges for drug possession . He appeared in a 1989 documentary about life , The Big Bang , by James Toback , in which he discussed his earlier life .   Career ( edit )   His first confirmed role in film was in Crazy Joe in 1974 , with the help of Richard Castellano . Sirico has played gangsters in a number of films , including Goodfellas , Mob Queen , Mighty Aphrodite , Love and Money , Fingers , The One Man Jury , Defiance , The Last Fight , Innocent Blood , Bullets over Broadway , The Pick - up Artist , Gotti , The Search for One - eye Jimmy , Cop Land , Turn of Faith , Hello Again , and Mickey Blue Eyes .   He also played policemen in the films Dead Presidents and Deconstructing Harry . Sirico 's most acclaimed acting job was that of Paulie Gualtieri in David Chase 's Emmy award winning drama , The Sopranos . He originally auditioned for the role of Uncle Junior with Frank Vincent , but Dominic Chianese landed the role . David Chase instead offered him the role of playing Paulie Gualtieri , Sirico agreed under the condition that his character would not `` become a rat '' .   In late 2013 , he voiced the character of Vinny Griffin , who was the family 's pet dog in Family Guy ( replacing Brian Griffin after his death ; Brian would later be saved via time travel two episodes after Vinny 's debut ) . Sirico also made a live - action cameo in the episode `` Stewie , Chris , &amp; Brian 's Excellent Adventure '' , where he threatens Stewie , who had insulted Italians , calling them `` ridiculous people '' .   In 2018 , he reunited with former Sopranos actors , Federico Castelluccio and Vincent Pastore , in Sarah Q .   Personal life ( edit )  Sirico and James Gandolfini with a member of the U.S. Air Force during a USO visit to Southwest Asia  Sirico 's brother , Robert Sirico , is a Catholic priest and co-founder of the free - market Acton Institute .   Filmography ( edit )   Film ( edit )     Year   Title   Role   Notes       Crazy Joe   N / A   N / A     The Godfather Part II   Extra   ( unconfirmed ; uncredited )     1978   Hughes and Harlow : Angels in Hell   Frankie Rio   N / A     Fingers   Riccamonza   N / A     The One Man Jury   Charlie Nuts   N / A     1980   Defiance   Davey   N / A     1981   So Fine   Associate   N / A     1982   Love &amp; Money   Raoul   N / A       Exposed   Thief   N / A     The Last Fight   Frankie   N / A       The Galucci Brothers   Galucci Brother   N / A     The Pick - up Artist   Patsy Cabaluso   N / A     Hello Again   Tough Guy   N / A     1989   White Hot   Luke   N / A     Cookie   Carmine 's Wiseguy   N / A     The Big Bang   Himself   Documentary       Catchfire   Greek Guy   N / A     Goodfellas   Guy Outside Social Club   N / A     1991   29th Street   Fortunado   N / A     1992   Innocent Blood   Jacko   N / A       New York Cop   Mr. C   N / A     Romeo Is Bleeding   Malacci   N / A       Men Lie   Porno Witness   N / A     Bullets over Broadway   Rocco   N / A     The Search for One - eye Jimmy   Snake   N / A     1995   Dead Presidents   Officer Spinelli   N / A     Mighty Aphrodite   Boxing Trainer   N / A     Melissa   Jack   N / A     Casino   Extra ( Mickey 's crew : signal happy gambler )   N / A     Dearly Beloved   Mr. Bedutz   Short film       Everyone Says I Love You   Escaped Convict   N / A       Hoodlum   Driver   N / A     Deconstructing Harry   Police Officer   N / A     Cop Land   Toy Torillo   N / A     The Deli   Tony   N / A     The Good Life   Junior   Never released     1998   Mob Queen   Joey ( The Heart ) Aorta   N / A     Celebrity   Lou DeMarco   N / A     1999   Mickey Blue Eyes   Risolli Guard   N / A     2000   It Had to Be You   Ricky Valentino   N / A     2001   Smokin ' Stogies   Tony Batts   N / A     2002   Turn of Faith   Jimmy   N / A     2008   The Sno Cone Stand Inc   Bob Beasley   N / A     2009   Karma Calling     N / A       Skate   Skate   Short film     2012   Jersey Shore Shark Attack   Captain Salie   N / A     2013   Super Athlete   Coach Lou   N / A     Zarra 's Law   Tony Zarra   N / A     Family on Board   Rocco   Short film     2014   Friends and Romans   Bobby Musso   N / A     2015   Touched   Anthony   N / A     2016   Café Society   Vito   N / A     2017   Wonder Wheel   Angelo   N / A     2018   Sarah Q   Mr Danny   ( post-production )     TBA   Respect the Jux   Bobby   ( post-production )     2019   Street Justice   Johnny   ( pre-production )     Made in Chinatown   Al Capella   ( pre-production )     Television ( edit )     Year   Title   Role   Notes     1977   Kojak   Greek God   Episode : `` Case Without a File ''     1982   Police Squad !   Poker Player   Episode : `` Ring of Fear ( A Dangerous Assignment ) ''     1989   Miami Vice   Frank Romano   Episode : `` Fruit of the Poison Tree ''     Perfect Witness   Marco   Television film     1992   In the Shadow of a Killer   Tony Andretti   Television film       Cosby   Teddy   Episode : `` Happily Ever Hilton ''     Gotti   Joe Dimiglia   Television film     1998   Witness to the Mob   Thomas Gambino   Television film     Vig   Locasso   Television film     1999 -- 2007   The Sopranos   Paul `` Paulie Walnuts '' Gualtieri   86 episodes     2005   The Fairly OddParents   Big Daddy   2 episodes     2008   A Muppets Christmas : Letters to Santa   Mobster   TV special       Chuck   Matty   Episode : `` Chuck Versus the Fake Name ''     Medium   Big Daddy   Episode : `` Bring Your Daughter to Work Day ''     2013 -- 2014   Lilyhammer   Tony Tagliano   Episodes : `` 2.8 : Ghosts '' and `` 3.8 : Loose Ends ''     2013   Nicky Deuce   Charlie Cement   Television film     2013 -- 2016   Family Guy   Vinny Griffin / Himself   Voice Episodes : `` Life of Brian '' , `` Into Harmony 's Way '' , `` Christmas Guy '' , `` The Boys in the Band '' , and `` Stewie , Chris &amp; Brian 's Excellent Adventure '' ( Live Action )     2014   Taxi Brooklyn   Tony   Episode : `` Revenge ''     2016   The Grinder   Sebastian   Episode : `` Grinder v Grinder ''     2017   American Dad !   Enzo Perotti   Episode : `` Garbage Stan ''     Video games ( edit )     Year   Title   Role   Notes     2006   The Sopranos : Road to Respect   Paulie `` Walnuts '' Gualtieri   Voice     Awards and nominations ( edit )     Year   Award     Title of work   Result     2000   Screen Actors Guild Award   Screen Actors Guild Award for Outstanding Performance by an Ensemble in a Drama Series   The Sopranos   Won     2001   Screen Actors Guild Award   Screen Actors Guild Award for Outstanding Performance by an Ensemble in a Drama Series   Nominated     2002   Screen Actors Guild Award   Screen Actors Guild Award for Outstanding Performance by an Ensemble in a Drama Series   Nominated     2003   Screen Actors Guild Award   Screen Actors Guild Award for Outstanding Performance by an Ensemble in a Drama Series   Nominated     2005   Screen Actors Guild Award   Screen Actors Guild Award for Outstanding Performance by an Ensemble in a Drama Series   Nominated     2007   Screen Actors Guild Award   Screen Actors Guild Award for Outstanding Performance by an Ensemble in a Drama Series   Nominated     2008   Screen Actors Guild Award   Screen Actors Guild Award for Outstanding Performance by an Ensemble in a Drama Series   Won     References ( edit )    ^ Jump up to : `` Tony Sirico Biography '' . The Biography Channel / A + E Networks . Retrieved 2013 - 12 - 16 .   Jump up ^ Goldstein , Patrick ( July 15 , 1990 ) . `` A Real Tough Guy : Tony Sirico 's rap sheet : 28 arrests and 27 acting jobs '' . Los Angeles Times . Retrieved February 24 , 2013 .   Jump up ^ `` Artie 's Goose Is Coked '' , New York Post , May 2 , 2006   Jump up ^ `` SOPRANOS MADE MOB SCENE FBI spotted actors at ' 99 Colombo fete '' . The Daily News . Retrieved 7 November 2017 .   Jump up ^ Rothstein , Mervyn ( March -- April 2001 ) . `` The Sopranos : Mob Rule - The wiseguys of HBO 's The Sopranos take a shot at another season of the award - winning show '' . Cigar Aficionado . Retrieved June 18 , 2015 .   Jump up ^ From Sing Sing to Bada Bing , thesmokinggun.com , accessed July 17 , 2007 .   Jump up ^ `` How Tony Sirico 's Criminal Past Prepared Him To Play Paulie Walnuts On ' The Sopranos ' '' . Uproxx . Christian Long . Retrieved 23 February 2018 .   Jump up ^ Family Guy 's Shocking Death : Boss Reveals Why They Decided to Kill Off ( Spoiler ) !   Jump up ^ `` Five ' Sopranos ' stars are reuniting for this brand new movie '' . Shortlist . Alex Finnis . Retrieved 22 February 2018 .   Jump up ^ `` Acton Institute Press Releases '' . Acton.org . Retrieved 2012 - 03 - 14 .   Jump up ^ `` The wild , untold story of The Good Life '' . Little White Lies . February 11 , 2017 . Retrieved February 24 , 2017 .    External links ( edit )    Tony Sirico on IMDb              Screen Actors Guild Award for Outstanding Performance by an Ensemble in a Drama Series ( 1994 -- 1999 )     1994 : NYPD Blue , season 1 / season 2     Clapp   Franz   Lawrence   McDaniel   O'Grady   Smits   Turturro       1995 : ER , season 1 / season 2     Clooney   Edwards   La Salle   Margulies   Reuben   Stringfield   Wyle       1996 : ER , season 2 / season 3     Clooney   Edwards   Innes   La Salle   Margulies   Reuben   Stringfield   Wyle       1997 : ER , season 3 / season 4     Bello   Clooney   Edwards   Innes   Kingston   La Salle   Margulies   Reuben   Wyle       1998 : ER , season 4 / season 5     Clooney   Edwards   Innes   Kingston   La Salle   Margulies   Martin   McCrane   Reuben   Wyle       1999 : The Sopranos , season 1     Bracco   Chianese   Falco   Gandolfini   Iler   Imperioli   Marchand   Pastore   Sigler   Sirico   Van Zandt         Complete list   ( 1994 -- 1999 )   ( 2000 -- 2009 )   ( 2010 -- present )                 Screen Actors Guild Award for Outstanding Performance by an Ensemble in a Drama Series ( 2000 -- 2009 )     2000 : The West Wing , season 1 / season 2     Hill   Janney   Kelly   Lowe   Moloney   Schiff   Sheen   Spencer   Whitford       2001 : The West Wing , season 2 / season 3     Hill   Janney   Lowe   Moloney   Schiff   Sheen   Spencer   Whitford       2002 : Six Feet Under , season 2     Ambrose   Conroy   Griffiths   Hall   Krause   Rodríguez   St. Patrick       2003 : Six Feet Under , season 3     Ambrose   Conroy   Foster   Griffiths   Hall   Krause   Macdissi   Machado   Rodríguez   St. Patrick   Taylor   Wilson       2004 : CSI : Crime Scene Investigation , season 4 / season 5     Dourdan   Eads   Fox   Guilfoyle   Hall   Helgenberger   Petersen   Szmanda       2005 : Lost , season 1 / season 2     Akinnuoye - Agbaje   Andrews   de Ravin   Fox   Garcia   Grace   Holloway   Kelley   D.D. Kim   Y. Kim   Lilly   Monaghan   O'Quinn   Perrineau   Rodriguez   Somerhalder   Watros       2006 : Grey 's Anatomy , season 2 / season 3     Chambers   Dane   Dempsey   Heigl   Knight   Oh   Pickens   Pompeo   Ramirez   Walsh   Washington   Wilson       2007 : The Sopranos , season 6 , part II     Antonacci   Bracco   Falco   Gandolfini   Grimaldi   Iler   Imperioli   Nascarella   Schirripa   Servitto   Sigler   Sirico   Turturro   Van Zandt   Vincent       2008 : Mad Men , season 2     Batt   Brie   Gladis   Hamm   Hart   Hendricks   Jones   Kartheiser   Moses   Moss   Shipka   Slattery   Sommer   Staton       2009 : Mad Men , season 3     Alemanni   Batt   Gilmore   Gladis   Hamm   Harris   Hendricks   Jones   Kartheiser   Morse   Moss   Shipka   Slattery   Sommer   Stanley   Staton         Complete list   ( 1994 -- 1999 )   ( 2000 -- 2009 )   ( 2010 -- present )               GND : 1136749624   ISNI : 0000 0000 4536 049X   LCCN : no2001080704   SUDOC : 161924190   VIAF : 9500521      Retrieved from `` https://en.wikipedia.org/w/index.php?title=Tony_Sirico&amp;oldid=854588640 '' Categories :   1942 births   Living people   Male actors from New York City   American male film actors   American male television actors   New York ( state ) Republicans   People from Brooklyn   20th - century American male actors   21st - century American male actors   American people of Italian descent   Male actors of Italian descent   Hidden categories :   Articles with hCards   Wikipedia articles with GND identifiers   Wikipedia articles with ISNI identifiers   Wikipedia articles with LCCN identifiers   Wikipedia articles with SUDOC identifiers   Wikipedia articles with VIAF identifiers           Talk                                           Contents                   About Wikipedia                                                 Acèh   Asturianu   تۆرکجه   Deutsch   Español   فارسی   Français   </t>
    </r>
    <r>
      <rPr>
        <sz val="11"/>
        <color rgb="FF000000"/>
        <rFont val="Noto Sans CJK SC"/>
        <family val="2"/>
      </rPr>
      <t xml:space="preserve">한국어   </t>
    </r>
    <r>
      <rPr>
        <sz val="11"/>
        <color rgb="FF000000"/>
        <rFont val="Calibri"/>
        <family val="0"/>
        <charset val="1"/>
      </rPr>
      <t xml:space="preserve">Hrvatski   Italiano   עברית   Magyar   Nederlands   Norsk   Polski   Português   Русский   Simple English   Српски / srpski   Suomi  11 more  Edit links   This page was last edited on 12 August 2018 , at 12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</si>
  <si>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vinny the dog in family guy</t>
  </si>
  <si>
    <t xml:space="preserve"> In late 2013 , he voiced the character of Vinny Griffin , who was the family 's pet dog in Family Guy ( replacing Brian Griffin after his death ; Brian would later be saved via time travel two episodes after Vinny 's debut ) . Sirico also made a live - action cameo in the episode `` Stewie , Chris , &amp; Brian 's Excellent Adventure '' , where he threatens Stewie , who had insulted Italians , calling them `` ridiculous people '' . </t>
  </si>
  <si>
    <t xml:space="preserve">Anne of Green Gables - wikipedia  Anne of Green Gables  Jump to : navigation , search This article is about the novel . For other uses , see Anne of Green Gables ( disambiguation ) .  Anne of Green Gables   First edition .     Author   Lucy Maud Montgomery     Illustrator   M.A. and W.A.J. Claus     Country   Written and set in Canada , published in the United States     Language   English     Series   Anne of Green Gables     Genre   Novel     Published   June 1908 ( L.C. Page &amp; Co . )     Followed by   Anne of Avonlea     Text   Anne of Green Gables at Wikisource     Anne of Green Gables is a 1908 novel by Canadian author Lucy Maud Montgomery ( published as L.M. Montgomery ) . Written for all ages , it has been considered a children 's novel since the mid-twentieth century . It recounts the adventures of Anne Shirley , an 11 - year - old orphan girl who is mistakenly sent to Matthew and Marilla Cuthbert , a middle - aged brother and sister who had intended to adopt a boy to help them on their farm in the fictional town of Avonlea on Prince Edward Island . The novel recounts how Anne makes her way with the Cuthberts , in school , and within the town .   Since its publication , Anne of Green Gables has sold more than 50 million copies and has been translated into at least 36 languages . Montgomery wrote numerous sequels , and since her death , another sequel has been published , as well as an authorized prequel . The original book is taught to students around the world .   The book has been adapted as films , made - for - television movies , and animated and live - action television series . Musicals and plays have also been created , with productions annually in Canada since 1964 of the first musical production , which has toured in Canada , the United States , Europe , and Japan .     Contents  ( hide )   1 Background   2 Plot summary   3 Characters   4 Related works   5 Tourism and merchandising   6 Legacy and honours   7 Adaptations   7.1 Films   7.2 Literature   7.3 Radio productions   7.4 Stage productions   7.5 Television movies   7.6 Television series   7.7 Web productions     8 Parodies   9 References   10 Bibliography   11 External links      Background ( edit )  The portrait of Evelyn Nesbit by Rudolf Eickemeyer Jr. which inspired Montgomery .  In writing the novel , Montgomery was inspired by notes she had made as a young girl about a couple who were mistakenly sent an orphan girl instead of the boy they had requested yet decided to keep her . She drew upon her own childhood experiences in rural Prince Edward Island , Canada . Montgomery used a photograph of Evelyn Nesbit , which she had clipped from New York 's Metropolitan Magazine and put on the wall of her bedroom , as the model for the face of Anne Shirley and a reminder of her `` youthful idealism and spirituality . ''   Montgomery was also inspired by the `` formula Ann '' orphan stories ( called such because they followed such a predictable formula ) which were popular at the time and distinguished her character by spelling her name with an extra `` e '' . She based other characters , such as Gilbert Blythe , in part on people she knew . She said she wrote the novel in the twilight of the day , while sitting at her window and overlooking the fields of Cavendish .   Plot summary ( edit )  Anne attacks Gilbert  Anne Shirley , a young orphan from the fictional community of Bolingbroke , Nova Scotia ( based upon the real community of New London , Prince Edward Island ) , is sent to live with Marilla and Matthew Cuthbert , siblings in their fifties and sixties , after a childhood spent in strangers ' homes and orphanages . Marilla and Matthew had originally decided to adopt a boy from the orphanage to help Matthew run their farm at Green Gables , which is set in the fictional town of Avonlea . Through a misunderstanding , the orphanage sends Anne instead .   Anne is highly imaginative , eager to please and quite dramatic at times . However , she is defensive about her appearance , despising her red hair and pale , thin frame . She is often quite talkative , especially when it comes to describing her fantasies and dreams . At first , stern and sharp Marilla says Anne must return to the orphanage , but after much observation and considering , along with Matthew 's strong liking to Anne , she decides to let her stay .   As a child of imagination , Anne takes much joy in life and adapts quickly , thriving in the close - knit farming village . Her imagination and talkativeness soon brighten up Green Gables .   The book recounts Anne 's adventures in making a home : the country school where she quickly excels in her studies ; her friendship with Diana Barry , the girl living next door ( her best or `` bosom friend '' as Anne fondly calls her ) ; her budding literary ambitions ; and her rivalry with her classmate Gilbert Blythe , who teases her about her red hair . For that , he earns her instant hatred , although he apologizes many times . As time passes , Anne realizes she no longer hates Gilbert but can not bring herself to speak to him .   The book also follows Anne 's adventures with her new - found friends . Episodes include her play - time with her friends Diana , a calm girl named Jane Andrews and a good - natured but often hysterical girl called Ruby Gillis , and her run - ins with the unpleasant Pye sisters Gertie and Josie ; and domestic mishaps such as dyeing her hair green while intending to dye it black , and accidentally getting Diana drunk by giving her what she thought was raspberry cordial but turned out to be currant wine .   At sixteen , Anne goes to Queen 's Academy to earn a teaching license , along with Gilbert , Ruby , Josie , Jane , and several other students , excluding Diana much to Anne 's dismay . She obtains her license in one year instead of the usual two and wins the Avery Scholarship for the top student in English . Her attainment of this scholarship would allow her to pursue a Bachelor of Arts ( B.A. ) degree at the fictional Redmond College ( based on the real Dalhousie University ) on the mainland in Nova Scotia .   Near the end of the book however , tragedy strikes when Matthew dies of a heart attack after learning that all of his and Marilla 's money has been lost in a bank failure . Out of devotion to Marilla and Green Gables , Anne gives up the scholarship to stay at home and help Marilla , whose eyesight is failing . She plans to teach at the Carmody school , the nearest school available , and return to Green Gables on weekends . In an act of friendship , Gilbert Blythe gives up his teaching position at the Avonlea School to work at the White Sands School instead , knowing that Anne wants to stay close to Marilla after Matthew 's death . After this kind act , Anne and Gilbert 's friendship is cemented , and Anne looks forward to what life will bring next .   Characters ( edit )  Diana and Anne  Green Gables household :    Anne Shirley : An imaginative , talkative , red - headed orphan who comes to live with Matthew Cuthbert and Marilla Cuthbert . Anne is very sensitive and is very insecure about the color of her hair . She exhibits categorical interest in everything romantic .   Marilla Cuthbert : Matthew 's sister , she is an austere but fair woman who objects to Anne 's imaginative , unusual conduct on the grounds of its being part of the same group of behavioral misconducts that bring about dereliction of responsibility or produce a disrespectful personal image . Life experience with Anne , however , profoundly affects Marilla 's ways ; in a very early instance , she experiences first - hand how worthless a confession under duress could be . Although conservative and austere , she is fond of Anne and has the glimmerings of a sense of humor .   Matthew Cuthbert : Marilla 's brother , he is an overly shy , albeit kind , old man with a lumbering frame and above - average strength . Matthew takes a liking to Anne from the start and the two become fast friends . Because Marilla has primary responsibility for rearing the girl , he has no qualms about `` spoiling '' her and indulging her in pretty clothes and other frivolities .    Anne 's schoolmates :    Diana Barry : Anne 's bosom friend and a kindred spirit . Anne and Diana become best friends from the moment they meet . She is the only girl of Anne 's age who lives close to Green Gables . Anne admires Diana for being pretty and for her amiable disposition . Diana lacks Anne 's powerful imagination but is a loyal friend .   Gilbert Blythe : A handsome , smart , witty and chivalrous classmate who has a crush on Anne the moment he sees her . Unaware of Anne 's near - pathological sensitivity about her red hair , he tries to get Anne 's attention by holding her braid and calling her `` Carrots ! '' Anne 's explosively hostile reaction only causes Gilbert to be more smitten . He makes several attempts to apologize , the failure of all of which do not seem to mar his admiration . He attempts to apologize one last time when he saves Anne from drowning ; Anne crassly rebuffs this attempt , only to regret it almost immediately . Years later , he gives up his job offer of teaching at the Avonlea school so that Anne may live at Green Gables , upon which the two reconcile and become good friends .   Ruby Gillis : Another of Anne 's friends . Having several `` grown up '' sisters , Ruby loves to share her knowledge of beaus with her friends . Ruby is portrayed as traditionally beautiful with long golden hair . She is hysterical and suffers from consumption ( tuberculosis ) .   Jane Andrews : One of Anne 's friends from school , she is plain and sensible . She does well enough academically to join Anne 's class at Queen 's .   Josie Pye : A classmate generally disliked by the other girls ( as are her siblings ) , Josie is vain , dishonest , and jealous of Anne 's popularity .    Avonlea 's locals :    Mrs. Rachel Lynde : A neighbour of Matthew and Marilla , Mrs. Lynde is an amalgamation of vices and virtues . She is industrious and helpful , and does work for the church , yet she is famous for being nosy and condescending . Although she and Anne start off the wrong foot , owing to Mrs. Lynde 's obnoxious criticism and Anne 's lack of tolerance for such , as well as her temper , they soon become quite close . Mrs. Lynde is married and has raised ten children , although her husband , Thomas Lynde , is mentioned briefly and never speaks .   Mr. Phillips : Anne 's first teacher at Avonlea , Mr. Phillips is unpopular with students , because of his boring and crude ways . In Anne 's case , he continually misspells her name ( without the `` E '' ) and punishes only her among twelve pupils who arrive late . He is described as lacking discipline , and `` courts '' one of his pupils openly ( this was less frowned upon then as opposed to more contemporary times ) .   Miss Muriel Stacy : Anne 's energetic replacement teacher . Her warm and sympathetic nature appeals to her students , but Avonlea 's conservative parents disapprove of her liberal teaching methods . She forms a special relationship with Anne , who views her as a mentor . Miss Stacy encourages Anne to develop her character and intellect and helps prepare her for the entrance exam at Queen 's Academy , where she finishes in a tie for first with Gilbert Blythe .   Reverend and Mrs. Allan : The minister and his wife also befriend Anne , with Mrs. Allan becoming particularly close . She is described as pretty .   Mr. &amp; Mrs. Barry : Diana 's parents . Mr. Barry farms . Near the end of the book , he offers to rent some tracts to help out Anne and Marilla , after Matthew 's passing . Mrs. Barry has a severe personality , expecting her children to follow strict rules . After Anne accidentally gets Diana drunk , Mrs. Barry rejects the girl , forbidding Diana to have anything to do with Anne . This sanction is repealed after Anne saves Minnie May .   Minnie May Barry : Diana 's baby sister , whose life is saved by Anne when she comes down with croup .    Others :    Miss Josephine Barry : Diana 's great - aunt . Initially portrayed in a negative light , she is quickly charmed by Anne 's imagination , and eventually invites her and Diana to tea . She refers to Anne as `` the Anne - girl '' and even sends Anne beaded slippers as a Christmas present .   Mrs Hammond : Anne had lived with her for a portion of her pre-Green - Gables life . She was very mean as a result of her husband ′ s death . Anne was treated more as a maid in her home than as a daughter or friend .    Related works ( edit )   Based on the popularity of her first book , Montgomery wrote a series of sequels to continue the story of her heroine Anne Shirley . They are listed chronologically below , by Anne 's age in each of the novels .   Lucy Maud Montgomery 's books on Anne Shirley :   #   Book   Date published   Anne Shirley 's age   Timeline year       Anne of Green Gables   1908   11 -- 16   1876 - 1881       Anne of Avonlea   1909   16 -- 18   1881 - 1883       Anne of the Island   1915   18 -- 22   1883 - 1887       Anne of Windy Poplars ( US &amp; Canada ) Anne of Windy Willows ( Other )   1936   22 -- 25   1887 - 1890     5   Anne 's House of Dreams   1917   25 -- 27   1890 - 1892     6   Anne of Ingleside   1939   34 -- 40   1899 - 1905         The following books focus on Anne 's children , or on other family friends . Anne appears in these volumes , but plays a lesser part .     #   Book   Date published   Anne Shirley 's age   Timeline year     7   Rainbow Valley   1919   41 -- 43   1906 - 1908     8   Rilla of Ingleside   1921   49 -- 53   1914 - 1918     9   The Blythes Are Quoted   2009   40 -- 75   1905 - 1940         Anne Shirley features in one story ( and is referenced in other stories ) in each of the following collections :     #   Book   Date published   Anne Shirley 's age   Timeline year     --   Chronicles of Avonlea   1912   approx. 20   1885     --   Further Chronicles of Avonlea   1920   approx. 20   1885     The prequel , Before Green Gables ( 2008 ) , was written by Budge Wilson with authorization of heirs of L.M. Montgomery .   Tourism and merchandising ( edit )  The Green Gables farmhouse located in Cavendish Sign marking trail through Balsam Hollow  The province and tourist facilities have highlighted the local connections to the internationally popular novels . Anne of Green Gables has been translated into 36 languages . `` Tourism by Anne fans is an important part of the Island economy '' . Merchants offer items based on the novels .   The Green Gables farmhouse is located in Cavendish , Prince Edward Island . Many tourist attractions on Prince Edward Island have been developed based on the fictional Anne , and provincial licence plates once bore her image . Balsam Hollow , the forest that inspired the Haunted Woods and Campbell Pond , the body of water which inspired The Lake of Shining Waters , both described in the book , are located in the vicinity . In addition , the Confederation Centre of the Arts has featured the wildly successful Anne of Green Gables musical on its mainstage every summer for over five decades . The Anne of Green Gables Museum is located in Park Corner , PEI , in a home that inspired L.M. Montgomery .   The novel has been very popular in Japan , where it is known as Red - haired Anne , and where it has been included in the national school curriculum since 1952 . ' Anne ' is revered as `` an icon '' in Japan , especially since 1979 when this story was broadcast as anime , Anne of Green Gables . Japanese couples travel to Prince Edward Island to have civil wedding ceremonies on the grounds of the Green Gables farm . Some Japanese girls arrive as tourists with red - dyed hair styled in pigtails , to look like Anne . In 2014 , Asadora ' Hanako to Anne ' ( Hanako Muraoka is the first translator in Japan ) was broadcast and Anne became popular among old and young alike .   A replica of the Green Gables house in Cavendish is located in the theme park Canadian World in Ashibetsu , Hokkaido , Japan . The park was a less expensive alternative for Japanese tourists instead of traveling to P.E.I. The park hosted performances featuring actresses playing Anne and Diana . The theme park is open during the summer season with free admission , though there are no longer staff or interpreters .   The Avonlea theme park near Cavendish and the Cavendish Figurines shop have trappings so that tourists may dress like the book 's characters for photos . Souvenir shops throughout Prince Edward Island offer numerous foods and products based on details of the ' Anne Shirley ' novels . Straw hats for girls with sewn - in red braids are common , as are bottles of raspberry cordial soda . In the first book , Lucy Maud Montgomery established the cordial soda as the favorite beverage of Anne , who declares : `` I just love bright red drinks ! ''  Panorama of Green Gable farmhouse and grounds in Cavendish Entrance to Anne of Green Gables Museum in Park Corner  Legacy and honours ( edit )    Buildings     The popularity of the books and subsequent film adaptations is credited with inspiring the design and naming of buildings `` Green Gables '' . An example still standing is an apartment block called `` Green Gables '' built in the 1930s , in New Farm , Queensland , Australia .     Museum     Bala 's Museum , located in Bala , Ontario , Canada , is a house museum established in 1992 and dedicated to Lucy M. Montgomery information and heritage . The house was a tourist home owned by Fanny Pike when Montgomery and her family stayed there on a summer vacation in 1922 . That visit to the region inspired the novel The Blue Castle ( 1926 ) . The town is named Deerwood in the novel ; this was Montgomery 's only narrative setting outside Atlantic Canada .     Postage stamps     On May 15 , 1975 , Canada Post issued Lucy Maud Montgomery , Anne of Green Gables designed by Peter Swan and typographed by Bernard N.J. Reilander . The 8 ¢ stamps are perforated 13 and were printed by Ashton - Potter Limited .   In 2008 , Canada Post issued two postage stamps and a souvenir sheet honouring Anne and the `` Green Gables '' house .     Reading lists     In 2003 , Anne of Green Gables was ranked number 41 in The Big Read , a survey of the British public by BBC to determine the `` nation 's best - loved novel '' ( not children 's novel ) .   In 2012 , it was ranked number nine among all - time children 's novels in a survey published by School Library Journal , a monthly with primarily U.S. audience .    Adaptations ( edit )   Films ( edit )    Anne of Green Gables ( 1919 ) , a silent film adapted to the screen by Frances Marion , directed by William Desmond Taylor , and starring Mary Miles Minter as Anne ; this is considered a lost film .   Anne of Green Gables ( 1934 ) , black &amp; white `` talkie '' directed by George Nichols Jr. and starring Dawn O'Day as Anne Shirley ; after filming , O'Day changed her screen name to `` Anne Shirley '' .   Anne of Windy Poplars ( 1940 ) -- directed by Jack Hively , is a black &amp; white `` talkie '' starring Dawn O'Day as Anne Shirley , now billed as `` Anne Shirley '' .   Anne of Green Gables ( as of 2017 ) , an upcoming feature film version of Anne of Green Gables : The Musical .    Literature ( edit )    Ana of California : A Novel ( 2015 ) , by Andi Teran , is a `` contemporary spin on Anne of Green Gables . The lead character of Anne Shirley has been adapted to Ana Cortez , a 15 - year - old orphan who `` ca n't tell a tomato plant from a blackberry bush '' when she leaves East Los Angeles for the Northern California farm of Emmett and Abbie Garber .    Radio productions ( edit )    Anne of Green Gables ( 1941 ) , a British radio drama produced and broadcast by BBC Home Service Basic , adapted into four parts by Muriel Levy , and starring Cherry Cottrell as Anne .   Anne of Green Gables ( 1944 ) , a recreation of the 1941 BBC Radio drama , produced and broadcast by BBC Home Service Basic .   Anne of Green Gables ( 1954 ) , a Canadian radio drama produced and broadcast by CBC Radio , adapted into 13 parts by Andrew Allen and starring Toby Tarnow as Anne .   Anna zo Zeleného domu ( 1966 ) , a Slovak radio drama produced and broadcast by Czechoslovak Radio , starring Anna Bučinská as Anne .   Anne of Green Gables ( 1971 ) , a British radio drama produced and broadcast by BBC Radio 4 , adapted into 13 parts by Cristina Sellors , and read by Ann Murray .   Anne of Green Gables ( 1997 ) , a British radio drama produced and broadcast by BBC Radio 4 , dramatized into five parts by Marcy Kahan and starred Barbara Barnes as Anne .    Stage productions ( edit )    Anne of Green Gables : The Musical , performed annually in the summer , at Charlottetown Festival , since 1965 , this is Canada 's longest - running main stage musical production , and has had a total audience of more than 2 million . Anne of Green Gables -- The Musical was composed by Canadians Don Harron and Norman Campbell , with lyrics by Elaine Campbell and Mavor Moore . The production has been performed before Queen Elizabeth II and it has toured across Canada , the United States , and Europe . In 1969 , it had a run in London 's West End . The Charlottetown Festival production performed at the 1970 World 's Fair in Osaka , Japan . Walter Learning directed and organized a successful national tour of the musical in Japan in 1991 .   The Guild in Charlottetown , Prince Edward Island , hosts Anne and Gilbert , The Musical . Written by Nancy White , Bob Johnston , and Jeff Hochhauser , the production is based on Montgomery 's sequels featuring Anne Shirley .   The Nine Lives of L.M. Montgomery , a musical adapted from Montgomery 's novel and her life , opened at Kings Playhouse in Georgetown , Prince Edward Island on June 20 , 2008 , the 100th anniversary of the book 's publication . With book and lyrics by Adam - Michael James and music by Emmy - nominated composer Leo Marchildon , the musical depicts events from Montgomery 's life and features as characters heroines from all of her novels . Anne figures prominently , and is shown from age 12 into her 40s . Gilbert Blythe also appears . The show 's second production was at the Carrefour Theatre in Charlottetown , Prince Edward Island and opened July 11 , 2009 . Both years , the musical was nominated for The Prince Edward Island Museum and Heritage Foundation 's Wendell Boyle Award . In July 2010 , a concert version of the show toured Prince Edward Island , with four performances at Green Gables .   Theatreworks USA , a New York - based children 's theatre company , produced an Anne of Green Gables musical in 2006 at the Lucille Lortel Theatre . A revived production , with musical contributions from Gretchen Cryer , is planned to tour grade - schools .   The Peterborough Players , based in Peterborough , New Hampshire , staged an adaptation by Joseph Robinette of Anne of Green Gables in August 2009 .   Anne and Gilbert is a musical adaptation of the books Anne of Avonlea and Anne of the Island . It depicts the relationship of Anne and Gilbert during their years as teachers and college students , as well as their return to Avonlea .    Television movies ( edit )    Anne of Green Gables ( 1956 ) , a made - for - television musical version directed by Norman Campbell and starring Toby Tarnow as Anne .   Anne de Green Gables ( 1957 ) , a French - Canadian television film directed by Jacques Gauthier , starring Mireille Lachance as Anne Shirley .   Anne of Green Gables ( 1958 ) , a recreation of the 1956 film directed by Don Harron , starring Kathy Willard as Anne .   Anne of Green Gables ( 1972 ) , a British made - for - television 5 - part mini-series directed by Joan Craft , starring Kim Braden as Anne .   Anne of Avonlea ( 1975 ) , a British made - for - television 4 - part mini-series directed by Joan Craft , starring Kim Braden as Anne .   Anne of Green Gables ( 1985 ) , a CBC 4 - hour television mini series directed by Kevin Sullivan with Megan Follows as Anne .   Anne of Green Gables : The Sequel ( 1987 ) , a sequel to the 1985 miniseries which aired on CBC and the Disney Channel as Anne of Avonlea : The Continuing Story of Anne of Green Gables .   Anne of Green Gables : The Continuing Story ( 2000 ) , a television miniseries inaccurately based upon the novels .   Anne : Journey to Green Gables ( 2005 ) , an animated video film produced by Sullivan Entertainment and the prequel to Anne of Green Gables : The Animated Series ( 2001 -- 2002 )   Anne of Green Gables : A New Beginning ( 2008 ) , a television miniseries whose script is not based on the novels .   L.M. Montgomery 's Anne of Green Gables ( 2016 ) , a 90 - minute made - for - television adaptation of the book by Breakthrough Films &amp; Television , which began filming in Toronto in May 2015 . Casting was held in February 2015 . ( This replaces the previously announced 13 - part series that had been set to film in 2013 ) . It was adapted by Susan Coyne , directed by John Kent Harrison , and stars Ella Ballentine as Anne . The world premiere of the film , advertised under the abbreviated title Anne of Green Gables , on February 15 , 2016 on YTV .   Anne of Green Gables : The Good Stars aired on YTV on February 20 , 2017 .   Anne of Green Gables : Fire &amp; Dew , aired July 1 , 2017 on YTV .    Television series ( edit )  Anne as she appeared in the 1979 Japanese anime adaptation of Anne of Green Gables . Anne of Green Gables : The Animated Series   Anne of Green Gables ( 1952 ) , a BBC television series starring Carole Lorimer as Anne .   Akage no An ( 1979 ; Red - Haired Anne ) , an animated television series , part of Nippon Animation 's World Masterpiece Theater , produced in Japan and directed by Isao Takahata .   Road to Avonlea ( 1990 -- 1996 ) shown on CBC , a live - action television series produced by Kevin Sullivan , based upon characters and episodes from several of L.M. Montgomery 's books , excluding Anne Shirley . Gilbert Blythe , Marilla Cuthbert , Rachel Lynde and other characters from the Anne books are included , and the series is set within the same continuity as Sullivan 's 1980s miniseries .   Anne of Green Gables : The Animated Series ( 2000 ) , a PBS Kids animated series for older children ages eight to twelve , created by Sullivan Entertainment Inc .   Kon'nichiwa Anne : Before Green Gables ( 2009 ) , part of the World Masterpiece Theater , this prequel to Akage no An is based on Budge Wilson 's authorized prequel Before Green Gables ( 2008 ) .   Anne ( 2017 ) , an eight - part TV series produced and broadcast by CBC in Canada and Netflix worldwide ( under the title `` Anne with an E '' ) .    Web productions ( edit )    Green Gables Fables ( 2014 -- 2016 ) , an American - Canadian web series which conveys the story in the form of Tumblr posts , tweets , vlogs , and other social media . It is a modern adaptation of Anne of Green Gables and Anne of the Island , with many of its elements changed to better suit 21st - century culture . Mandy Harmon portrays the main character , Anne Shirley .   Project Green Gables ( 2015 -- 2016 ) , a Finnish web series and a modern adaptation of Anne of Green Gables , which conveys the story in the form of vlogs . Laura Eklund Nhaga plays Anne Shirley .    Parodies ( edit )   As one of the most familiar characters in Canadian literature , Anne of Green Gables has been parodied by several Canadian comedy troupes , including CODCO ( Anne of Green Gut ) and The Frantics ( Fran of the Fundy ) .   References ( edit )    Jump up ^ Devereux , Cecily Margaret ( 2004 ) . A Note on the Text . In Montgomery ( 2004 ) , p. 42 . ISBN 978 - 1 - 55111 - 362 - 3 .   Jump up ^ Montgomery , Lucy Maud ( 2004 ) ( 1908 ) . Devereux , Cecily Margaret , ed . Anne of Green Gables . Peterborough , Ontario : Broadview Press . ISBN 1 - 55111 - 362 - 7 .   Jump up ^ `` ' Anne of Green Gables ' 1st edition sells at auction for US $37,000 , a new record '' . The Guardian . December 12 , 2009 .   ^ Jump up to : Mollins , Julie ( March 19 , 2008 ) . `` New Anne of Green Gables book stirs debate '' . Reuters Life ! . Toronto .   Jump up ^ `` Anne of Green Gables New TV Series Willow and Thatch '' . Willow and Thatch. 2016 - 08 - 24 . Retrieved 2017 - 06 - 13 .   ^ Jump up to : Gammel , Irene ( 2009 ) . Looking for Anne of Green Gables : The Story of L.M. Montgomery and her Literary Classic . New York : St. Martin 's Press .   Jump up ^ `` Anne of Green Gables '' .   Jump up ^ Gammel , Irene ( July 8 , 2008 ) . Looking for Anne of Green Gables : The Story of L.M. Montgomery and Her Literary Classic . Macmillan . ISBN 978 - 0 - 312 - 38237 - 7 -- via Google Books .   Jump up ^ Gammel , Irene ( 2009 ) . `` The Mystery of Anne Revealed , '' . Looking for Anne of Green Gables : The Story of L.M. Montgomery and her Literary Classic . New York : St. Martin 's Press .   Jump up ^ `` The Geography of Anne of the Island '' . lmm-anne.net. 2008 . Archived from the original on 2011 - 07 - 23 .   Jump up ^ `` Birthplace of L.M. Montgomery , New London '' . lmm-anne.net. 2008 . Archived from the original on 2011 - 07 - 23 .   Jump up ^ Anne of Green Gables -- Celebrate 100 Years Archived December 15 , 2007 , at the Wayback Machine . `` Anne of Green Gables has sold millions of copies in more than 36 languages ''   Jump up ^ Anne of Green Gables still rules Prince Edward Island `` , USA Today , August 5 , 2008   Jump up ^ CBC News ( June 19 , 2008 ) . CBC.ca , `` 100 years of Anne of Green Gables '' .   Jump up ^ `` License plate goes green '' , `` The Guardian '' , April 5 , 2007   Jump up ^ Green Gables Government of Prince Edward Island . Retrieved on July 24 , 2006   Jump up ^ `` Anne of Green Gables - The Musical '' . Retrieved September 30 , 2016 .   Jump up ^ Anne of Green Gables Museum website   Jump up ^ Yuka Kajihara ( April 4 , 2004 ) . `` Anne in Japan FAQ 1.0 '' . Yukazine.com . Archived from the original on July 18 , 2011 . Retrieved June 6 , 2011 .   Jump up ^ `` Buttercups : L.M. Montgomery &amp; Anne of Green Gables fan club in Japan '' Archived May 9 , 2008 , at the Wayback Machine. , Yukazine , April 4 , 2004   Jump up ^ Bruni , Frank ( November 18 , 2007 ) . `` Beckoned by Bivalves : Prince Edward Island '' . The New York Times   Jump up ^ `` Anne of Green Gables theme park in Japan falls on hard times '' . CBC News . Retrieved 2017 - 04 - 27 .   Jump up ^ `` Cloning Anne of Green Gables . '' . Tacky Tourist Photos . Archived from the original on July 16 , 2011 . Retrieved June 6 , 2011 .   Jump up ^ `` The Heroine 's Bookshelf : Anne of Green Gables '' . Theheroinesbookshelf.com . October 12 , 2010 . Archived from the original on July 17 , 2011 . Retrieved June 6 , 2011 .   Jump up ^ `` In search of Anne with some unexpected discoveries '' . State Library of Queensland. 2016 - 02 - 15 . Retrieved February 2 , 2016 .   Jump up ^ `` History : A look back at the last 20 years '' . Bala 's Museum with Memories of Lucy Maud Montgomery . Retrieved October 30 , 2015 .   Jump up ^ `` Canadian Postal Archives Database '' . collectionscanada.gc.ca .   Jump up ^ `` Canada Post -- Anne of Green Gables '' . Canada Post . Retrieved 2012 - 03 - 16 .   Jump up ^ `` The Big Read -- Top 100 '' . BBC . April 2003 . Retrieved October 27 , 2012 .   Jump up ^ Bird , Elizabeth ( July 7 , 2012 ) . `` Top 100 Chapter Book Poll Results '' . A Fuse # 8 Production . Blog . School Library Journal ( blog.schoollibraryjournal.com ) . Retrieved October 30 , 2015 .   Jump up ^ `` New Anne of Green Gables film announced '' . cbc.ca. 10 September 2013 .   Jump up ^ Teran , Andi ( June 2015 ) . Ana of California : A Novel . Penguin Books .   Jump up ^ IMDB , Toby Tarnow Biography , http://www.imdb.com/name/nm0850558/bio?ref_=nm_ov_bio_sm   Jump up ^ `` The Nine Lives of L.M. Montgomery '' . Ninelivesoflmm.com . February 15 , 2012 . Retrieved November 3 , 2013 .   Jump up ^ `` PeterBoroughPlayers.org '' . PeterBoroughPlayers.org . Archived from the original on July 27 , 2011 . Retrieved June 6 , 2011 .   Jump up ^ `` In Production -- ANNE OF GREEN GABLES TV Movie '' . Ontario Film Commission . May 15 , 2015 . Retrieved May 21 , 2015 .   Jump up ^ `` MAJOR UPDATE : ANNE OF GREEN GABLES ADAPTATION BY BREAKTHROUGH ENTERTAINMENT '' . L.M. Montgomery Online . April 1 , 2015 . Retrieved May 21 , 2015 .   Jump up ^ `` Canada Wide Casting for Anne of Green Gables ( Movie of the Week ) '' . ACTpei . February 9 , 2015 . Retrieved May 21 , 2015 .   Jump up ^ `` Anne of Green Gables returns to TV '' . CBC News . June 11 , 2012 . Retrieved June 21 , 2012 .   Jump up ^ `` Anne of Green Gables Movies 1 X 90 '' . Breakthrough En</t>
  </si>
  <si>
    <t xml:space="preserve">how many anne of green gables books are there</t>
  </si>
  <si>
    <t xml:space="preserve">  Ana of California : A Novel ( 2015 ) , by Andi Teran , is a `` contemporary spin on Anne of Green Gables . The lead character of Anne Shirley has been adapted to Ana Cortez , a 15 - year - old orphan who `` ca n't tell a tomato plant from a blackberry bush '' when she leaves East Los Angeles for the Northern California farm of Emmett and Abbie Garber .  </t>
  </si>
  <si>
    <t xml:space="preserve">List of Urbanized Areas in Florida ( by population ) - wikipedia  List of Urbanized Areas in Florida ( by population )  Jump to : navigation , search      This article is an orphan , as no other articles link to it . Please introduce links to this page from related articles ; try the Find link tool for suggestions . ( August 2016 )    Map of Florida Urbanized Areas ( 2010 ) Miami Tampa Orlando Jacksonville  The United States Census Bureau defines an Urbanized Area to be `` one or more places ( ' central place ' ) and the adjacent densely settled surrounding territory ( ' urban fringe ' ) that together have a minimum of 50,000 persons . '' There are a number of rules specifying what is included in the urban fringe , but it `` generally consists of contiguous territory having a density of at least 1,000 persons per square mile '' . Urbanized Areas often form the cores of Metropolitan Statistical Areas , and as they comprise census tracts rather than local political subdivisions ( counties , in Florida ) , they are generally smaller than the corresponding Metropolitan Statistical Area . A Metropolitan Statistical Area may have more than one Urbanized Area within its boundaries , and an Urbanized Area may extend into more than one Metropolitan Statistical Area . As of 2010 , the US Census Bureau has defined thirty Urbanized Areas in Florida .   Alphabetical list ( edit )   The United States Census Bureau defines an Urbanized Area to be `` one or more places ( ' central place ' ) and the adjacent densely settled surrounding territory ( ' urban fringe ' ) that together have a minimum of 50,000 persons . '' There are a number of rules specifying what is included in the urban fringe , but it `` generally consists of contiguous territory having a density of at least 1,000 persons per square mile '' . Urbanized Areas often form the cores of Metropolitan Statistical Areas , and , as they comprise census tracts rather than local political subdivisions ( counties , in Florida ) , they are generally smaller than the corresponding Metropolitan Statistical Area . A Metropolitan Statistical Area may have more than one Urbanized Area within its boundaries , and an Urbanized Area may extend into more than one Metropolitan Statistical Area . As of 2010 , the US Census Bureau has defined thirty Urbanized Areas in Florida .    Bonita Springs ( Map of Bonita Springs - Naples Urbanized Area )   Cape Coral ( Map of Cape Coral Urbanized Area )   Deltona ( Map of Deltona Urbanized Area )   Fort Walton Beach - Navarre - Wright ( formerly Fort Walton Beach ) ( Map of Fort Walton Beach Urbanized Area )   Gainesville ( Map of Gainesville Urbanized Area )   Homosassa Springs - Beverly Hills - Citrus Springs ( added in 2010 )   Jacksonville ( Map of Jacksonville Urbanized Area )   Kissimmee ( Map of Kissimmee Urbanized Area )   Lady Lake - The Villages ( formerly Lady Lake ) ( Map of Lady Lake Urbanized Area )   Lakeland ( Map of Lakeland Urbanized Area )   Leesburg - Eustis - Tavares ( formerly Leesburg - Eustis ) ( Map of Leesburg - Eustis Urbanized Area )   Miami ( Map of Miami Urbanized Area )   North Port - Port Charlotte ( Map of North Port - Punta Gorda Urbanized Area )   Ocala ( Map of Ocala Urbanized Area )   Orlando ( Map of Orlando Urbanized Area )   Palm Bay - Melbourne ( Map of Palm Bay - Melbourne Urbanized Area )   Palm Coast - Daytona Beach - Port Orange ( formerly Daytona Beach - Port Orange ) ( Map of Daytona Beach - Port Orange Urbanized Area )   Panama City ( Map of Panama City Urbanized Area )   Pensacola ( Map of Pensacola Urbanized Area )   Port St. Lucie ( Map of Port St. Lucie Urbanized Area )   Sarasota - Bradenton ( Map of Sarasota - Bradenton Urbanized Area )   Sebastian - Vero Beach - Florida Ridge ( formerly Vero Beach - Sebastian ) ( Map of Vero Beach - Sebastian Urbanized Area )   Sebring - Avon Park ( added in 2010 )   Spring Hill ( formerly Brooksville ) ( Map of Brooksville Urbanized Area )   St. Augustine ( Map of St. Augustine Urbanized Area )   Tallahassee ( Map of Tallahassee Urbanized Area )   Tampa - St. Petersburg ( Map of Tampa - St. Petersburg Urbanized Area )   Titusville ( Map of Titusville Urbanized Area )   Winter Haven ( Map of Winter Haven Urbanized Area )   Zephyrhills ( Map of Zephyrhills Urbanized Area )    Population list ( edit )     Rank   Name   Population   Metro Areas       Miami   5,502,379   Miami - Ft . Lauderdale - Pompano Beach Metropolitan Statistical Area       Tampa - St. Petersburg   2,441,770   Tampa - St. Petersburg - Clearwater , Florida Metropolitan Statistical Area       Orlando   1,510,516   Orlando - Kissimmee , Florida , Metropolitan Statistical Area       Jacksonville   1,065,219   Jacksonville Metropolitan Statistical Area       Sarasota - Bradenton   643,260   Bradenton - Sarasota - Venice , Florida Metropolitan Statistical Area and Punta Gorda , Florida Metropolitan Statistical Area     6   Cape Coral - Fort Myers   530,290   Cape Coral - Fort Myers , Florida Metropolitan Statistical Area     7   Palm Bay - Melbourne   452,791   Palm Bay - Melbourne - Titusville , Florida Metropolitan Statistical Area     8   Port St. Lucie   376,047   Port St. Lucie , Florida Metropolitan Statistical Area     9   Palm Coast - Daytona Beach - Port Orange   349,064   Deltona - Daytona Beach - Ormond Beach , Florida Metropolitan Statistical Area     10   Pensacola   340,067   Pensacola - Ferry Pass - Brent Metropolitan Statistical Area     11   Kissimmee   314,071   Orlando - Kissimmee , Florida , Metropolitan Statistical Area     12   Bonita Springs   310,298   Naples - Marco Island , Florida Metropolitan Statistical Area and Cape Coral - Fort Myers , Florida Metropolitan Statistical Area     13   Lakeland   262,596   Lakeland , Florida Metropolitan Statistical Area     14   Tallahassee   240,223   Tallahassee , Florida Metropolitan Statistical Area     15   Winter Haven   201,289   Lakeland , Florida Metropolitan Statistical Area     16   Fort Walton Beach - Navarre - Wright   191,917   Fort Walton Beach - Crestview - Destin , Florida Metropolitan Statistical Area and Pensacola - Ferry Pass - Brent , Florida Metropolitan Statistical Area     17   Gainesville   187,781   Gainesville , Florida Metropolitan Statistical Area     18   Deltona   182,169   Deltona - Daytona Beach - Ormond Beach , Florida Metropolitan Statistical Area     19   North Port - Port Charlotte   169,541   Punta Gorda , Florida Metropolitan Statistical Area and Sarasota - Bradenton - Venice , Florida Metropolitan Statistical Area     20   Ocala   156,909   Ocala , Florida Metropolitan Statistical Area     21   Sebastian - Vero Beach South - Florida Ridge   149,422   Sebastian - Vero Beach , Florida Metropolitan Statistical Area , Palm Bay - Melbourne - Titusville , Florida Metropolitan Statistical Area and Port St. Lucie , Florida Metropolitan Statistical Area     22   Spring Hill   148,220   Tampa - St. Petersburg - Clearwater , Florida Metropolitan Statistical Area     23   Panama City   143,280   Panama City - Lynn Haven , Florida Metropolitan Statistical Area     24   Leesburg - Eustis - Tavares   131,337   Orlando - Kissimmee , Florida , Metropolitan Statistical Area     25   Lady Lake - The Villages   112,991   Orlando - Kissimmee , Florida , Metropolitan Statistical Area , Ocala , Florida Metropolitan Statistical Area and Sumter County     26   Homosassa Springs - Beverly Hills - Citrus Springs   80,962   Homosassa Springs , Florida Metropolitan Statistical Area     27   St. Augustine   69,173   Jacksonville Metropolitan Statistical Area     28   Zephyrhills   66,609   Tampa - St. Petersburg - Clearwater , Florida Metropolitan Statistical Area     29   Sebring - Avon Park   61,625   Sebring , Florida Metropolitan Statistical Area     30   Titusville   54,386   Palm Bay - Melbourne - Titusville , Florida Metropolitan Statistical Area     References ( edit )    Jump up ^ US Census Bureau Urban and Rural definitions - URL retrieved August 22 , 2006   Jump up ^ State - sorted corrected list of Urbanized Areas as of 2002 - URL retrieved August 22 , 2006   Jump up ^ US Census Bureau Urban and Rural definitions - URL retrieved August 22 , 2006   Jump up ^ State - sorted corrected list of Urbanized Areas as of 2002 - URL retrieved August 22 , 2006   Retrieved from `` https://en.wikipedia.org/w/index.php?title=List_of_urbanized_areas_in_Florida_(by_population)&amp;oldid=799693068 '' Categories :   Cities in Florida   Metropolitan areas of Florida   Florida geography - related lists   Hidden categories :   Orphaned articles from August 2016   All orphaned articles   All articles with unsourced statements   Articles with unsourced statements from November 2012           Talk                                                             About Wikipedia                                           Add links   This page was last edited on 9 September 2017 , at 08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</si>
  <si>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list of major cities in florida by population</t>
  </si>
  <si>
    <t xml:space="preserve">   Rank   Name   Population   Metro Areas       Miami   5,502,379   Miami - Ft . Lauderdale - Pompano Beach Metropolitan Statistical Area       Tampa - St. Petersburg   2,441,770   Tampa - St. Petersburg - Clearwater , Florida Metropolitan Statistical Area       Orlando   1,510,516   Orlando - Kissimmee , Florida , Metropolitan Statistical Area       Jacksonville   1,065,219   Jacksonville Metropolitan Statistical Area       Sarasota - Bradenton   643,260   Bradenton - Sarasota - Venice , Florida Metropolitan Statistical Area and Punta Gorda , Florida Metropolitan Statistical Area     6   Cape Coral - Fort Myers   530,290   Cape Coral - Fort Myers , Florida Metropolitan Statistical Area     7   Palm Bay - Melbourne   452,791   Palm Bay - Melbourne - Titusville , Florida Metropolitan Statistical Area     8   Port St. Lucie   376,047   Port St. Lucie , Florida Metropolitan Statistical Area     9   Palm Coast - Daytona Beach - Port Orange   349,064   Deltona - Daytona Beach - Ormond Beach , Florida Metropolitan Statistical Area     10   Pensacola   340,067   Pensacola - Ferry Pass - Brent Metropolitan Statistical Area     11   Kissimmee   314,071   Orlando - Kissimmee , Florida , Metropolitan Statistical Area     12   Bonita Springs   310,298   Naples - Marco Island , Florida Metropolitan Statistical Area and Cape Coral - Fort Myers , Florida Metropolitan Statistical Area     13   Lakeland   262,596   Lakeland , Florida Metropolitan Statistical Area     14   Tallahassee   240,223   Tallahassee , Florida Metropolitan Statistical Area     15   Winter Haven   201,289   Lakeland , Florida Metropolitan Statistical Area     16   Fort Walton Beach - Navarre - Wright   191,917   Fort Walton Beach - Crestview - Destin , Florida Metropolitan Statistical Area and Pensacola - Ferry Pass - Brent , Florida Metropolitan Statistical Area     17   Gainesville   187,781   Gainesville , Florida Metropolitan Statistical Area     18   Deltona   182,169   Deltona - Daytona Beach - Ormond Beach , Florida Metropolitan Statistical Area     19   North Port - Port Charlotte   169,541   Punta Gorda , Florida Metropolitan Statistical Area and Sarasota - Bradenton - Venice , Florida Metropolitan Statistical Area     20   Ocala   156,909   Ocala , Florida Metropolitan Statistical Area     21   Sebastian - Vero Beach South - Florida Ridge   149,422   Sebastian - Vero Beach , Florida Metropolitan Statistical Area , Palm Bay - Melbourne - Titusville , Florida Metropolitan Statistical Area and Port St. Lucie , Florida Metropolitan Statistical Area     22   Spring Hill   148,220   Tampa - St. Petersburg - Clearwater , Florida Metropolitan Statistical Area     23   Panama City   143,280   Panama City - Lynn Haven , Florida Metropolitan Statistical Area     24   Leesburg - Eustis - Tavares   131,337   Orlando - Kissimmee , Florida , Metropolitan Statistical Area     25   Lady Lake - The Villages   112,991   Orlando - Kissimmee , Florida , Metropolitan Statistical Area , Ocala , Florida Metropolitan Statistical Area and Sumter County     26   Homosassa Springs - Beverly Hills - Citrus Springs   80,962   Homosassa Springs , Florida Metropolitan Statistical Area     27   St. Augustine   69,173   Jacksonville Metropolitan Statistical Area     28   Zephyrhills   66,609   Tampa - St. Petersburg - Clearwater , Florida Metropolitan Statistical Area     29   Sebring - Avon Park   61,625   Sebring , Florida Metropolitan Statistical Area     30   Titusville   54,386   Palm Bay - Melbourne - Titusville , Florida Metropolitan Statistical Area   </t>
  </si>
  <si>
    <t xml:space="preserve">List of Super Bowl champions - wikipedia  List of Super Bowl champions  Jump to : navigation , search  The Super Bowl is the annual American football game that determines the champion of the National Football League ( NFL ) . The game culminates a season that begins in the previous calendar year , and is the conclusion of the NFL playoffs . The contest is held in an American city , chosen three to four years beforehand , usually at warm - weather sites or domed stadiums . Since January 1971 , the winner of the American Football Conference ( AFC ) Championship Game has faced the winner of the National Football Conference ( NFC ) Championship Game in the culmination of the NFL playoffs .  The Packers defeated the Chiefs in the first AFL -- NFL Championship Game ( Super Bowl I ) .  Before the 1970 merger between the American Football League ( AFL ) and the National Football League ( NFL ) , the two leagues met in four such contests . The first two were marketed as the `` AFL -- NFL World Championship Game '' , but were also casually referred to as `` the Super Bowl game '' during the television broadcast . Super Bowl III in January 1969 was the first such game that carried the `` Super Bowl '' moniker in official marketing ; the names `` Super Bowl I '' and `` Super Bowl II '' were retroactively applied to the first two games . The NFC / NFL leads in Super Bowl wins with 27 , while the AFC / AFL has won 25 . Twenty franchises , including teams that have relocated to another city , have won the Super Bowl .   The Pittsburgh Steelers ( 6 -- 2 ) have won the most Super Bowls with six championships , while the New England Patriots ( 5 -- 5 ) , the Dallas Cowboys ( 5 -- 3 ) , and the San Francisco 49ers ( 5 -- 1 ) have five wins . New England has the most Super Bowl appearances with ten , while the Buffalo Bills ( 0 -- 4 ) have the most consecutive appearances with four ( all losses ) from 1990 to 1993 . The Miami Dolphins are the only other team to have at least three consecutive appearances : 1972 -- 1974 . The Denver Broncos ( 3 -- 5 ) and Patriots have each lost a record five Super Bowls . The Minnesota Vikings ( 0 -- 4 ) and the Bills have lost four . The record for consecutive wins is two and is shared by seven franchises : the Green Bay Packers ( 1966 -- 1967 ) , the Miami Dolphins ( 1972 -- 1973 ) , the Pittsburgh Steelers ( 1974 -- 1975 and 1978 -- 1979 , the only team to accomplish this feat twice ) , the San Francisco 49ers ( 1988 -- 1989 ) , the Dallas Cowboys ( 1992 -- 1993 ) , the Denver Broncos ( 1997 -- 1998 ) , and the New England Patriots ( 2003 -- 2004 ) . Among those , Dallas ( 1992 -- 1993 ; 1995 ) and New England ( 2001 ; 2003 -- 2004 ) are the only teams to win three out of four consecutive Super Bowls . The 1972 Dolphins capped off the only perfect season in NFL history with their victory in Super Bowl VII . The only team with multiple Super Bowl appearances and no losses is the Baltimore Ravens , who in winning Super Bowl XLVII defeated and replaced the 49ers in that position . Four current NFL teams have never appeared in a Super Bowl , including franchise relocations and renaming : the Cleveland Browns , Detroit Lions , Jacksonville Jaguars , and Houston Texans , though both the Browns ( 1964 ) and Lions ( 1957 ) had won NFL championship games prior to the creation of the Super Bowl .     Contents  ( hide )   1 Super Bowl Championship ( 1966 -- present )   1.1 Consecutive winners   1.2 Consecutive losers     2 Super Bowl appearances by team   2.1 Teams with no Super Bowl appearances   2.2 Teams with long Super Bowl droughts   2.3 Teams with Super Bowl appearances but no victories   2.4 Super Bowl rematches     3 See also   4 Notes   5 References   6 External links      Super Bowl championship ( 1966 -- present )   Numbers in parentheses in the table are Super Bowl appearances as of the date of that Super Bowl and are used as follows :    Winning team and losing team columns indicate the number of times that team has appeared in a Super Bowl as well as each respective teams ' Super Bowl record to date .   Venue column indicates number of times that stadium has hosted a Super Bowl .   City column indicates number of times that metropolitan area has hosted a Super Bowl .      National Football League ( NFL , 1967 -- 1970 )   American Football League ( AFL , 1967 -- 1970 )     NFL champion ( 4 , 2 -- 2 )   AFL champion ( 4 , 2 -- 2 )     National Football Conference ( NFC , 1971 -- present )   American Football Conference ( AFC , 1971 -- present )     NFC champion ( 48 , 25 -- 23 )   AFC champion ( 48 , 23 -- 25 )       Game   Date   Winning team   Score   Losing team   Venue   City   Attendance   Ref     01 ! I   000000001967 - 01 - 15 - 0000 January 15 , 1967   Green Bay Packers 01 ! Green Bay Packers ( 1 , 1 -- 0 )   3510 ! 35 -- 10   Kansas City Chiefs 01 ! Kansas City Chiefs ( 1 , 0 -- 1 )   Los Angeles Memorial Coliseum 01 ! Los Angeles Memorial Coliseum   Los Angeles , California 01 ! Los Angeles , California   061946 ! 61,946       02 ! II   000000001968 - 01 - 14 - 0000 January 14 , 1968   Green Bay Packers 02 ! Green Bay Packers ( 2 , 2 -- 0 )   3314 ! 33 -- 14   Oakland Raiders 01 ! Oakland Raiders ( 1 , 0 -- 1 )   Miami Orange Bowl 01 ! Miami Orange Bowl   Miami , Florida 01 ! Miami , Florida   075546 ! 75,546       03 ! III   000000001969 - 01 - 12 - 0000 January 12 , 1969   New York Jets 01 ! New York Jets ( 1 , 1 -- 0 )   1607 ! 16 -- 7   Indianapolis Colts 01 ! Baltimore Colts ( 1 , 0 -- 1 )   Miami Orange Bowl 02 ! Miami Orange Bowl ( 2 )   Miami , Florida 02 ! Miami , Florida ( 2 )   075389 ! 75,389       04 ! IV   000000001970 - 01 - 11 - 0000 January 11 , 1970   Kansas City Chiefs 02 ! Kansas City Chiefs ( 2 , 1 -- 1 )   2307 ! 23 -- 7   Minnesota Vikings 01 ! Minnesota Vikings ( 1 , 0 -- 1 )   Tulane Stadium 01 ! Tulane Stadium   New Orleans , Louisiana 01 ! New Orleans , Louisiana   080562 ! 80,562       05 ! V   000000001971 - 01 - 17 - 0000 January 17 , 1971   Indianapolis Colts 02 ! Baltimore Colts ( 2 , 1 -- 1 )   1613 ! 16 -- 13   Dallas Cowboys 01 ! Dallas Cowboys ( 1 , 0 -- 1 )   Miami Orange Bowl 03 ! Miami Orange Bowl ( 3 )   Miami , Florida 03 ! Miami , Florida ( 3 )   079204 ! 79,204       06 ! VI   000000001972 - 01 - 16 - 0000 January 16 , 1972   Dallas Cowboys 02 ! Dallas Cowboys ( 2 , 1 -- 1 )   2403 ! 24 -- 3   Miami Dolphins 01 ! Miami Dolphins ( 1 , 0 -- 1 )   Tulane Stadium 02 ! Tulane Stadium ( 2 )   New Orleans , Louisiana 02 ! New Orleans , Louisiana ( 2 )   081023 ! 81,023       07 ! VII   000000001973 - 01 - 14 - 0000 January 14 , 1973   Miami Dolphins 02 ! Miami Dolphins ( 2 , 1 -- 1 )   1407 ! 14 -- 7   Washington Redskins 01 ! Washington Redskins ( 1 , 0 -- 1 )   Los Angeles Memorial Coliseum 02 ! Los Angeles Memorial Coliseum ( 2 )   Los Angeles , California 02 ! Los Angeles , California ( 2 )   090182 ! 90,182       08 ! VIII   000000001974 - 01 - 13 - 0000 January 13 , 1974   Miami Dolphins 03 ! Miami Dolphins ( 3 , 2 -- 1 )   2407 ! 24 -- 7   Minnesota Vikings 02 ! Minnesota Vikings ( 2 , 0 -- 2 )   Rice Stadium 01 ! Rice Stadium   Houston , Texas 01 ! Houston , Texas   071882 ! 71,882       09 ! IX   000000001975 - 01 - 12 - 0000 January 12 , 1975   Pittsburgh Steelers 01 ! Pittsburgh Steelers ( 1 , 1 -- 0 )   1606 ! 16 -- 6   Minnesota Vikings 03 ! Minnesota Vikings ( 3 , 0 -- 3 )   Tulane Stadium 03 ! Tulane Stadium ( 3 )   New Orleans , Louisiana 03 ! New Orleans , Louisiana ( 3 )   080997 ! 80,997       10 ! X   000000001976 - 01 - 18 - 0000 January 18 , 1976   Pittsburgh Steelers 02 ! Pittsburgh Steelers ( 2 , 2 -- 0 )   2117 ! 21 -- 17   Dallas Cowboys 03 ! Dallas Cowboys ( 3 , 1 -- 2 )   Miami Orange Bowl 04 ! Miami Orange Bowl ( 4 )   Miami , Florida 04 ! Miami , Florida ( 4 )   080187 ! 80,187       11 ! XI   000000001977 - 01 - 09 - 0000 January 9 , 1977   Oakland Raiders 02 ! Oakland Raiders ( 2 , 1 -- 1 )   3214 ! 32 -- 14   Minnesota Vikings 04 ! Minnesota Vikings ( 4 , 0 -- 4 )   Rose Bowl 01 ! Rose Bowl   Los Angeles , California 03 ! Pasadena , California ( 3 )   103438 ! 103,438       12 ! XII   000000001978 - 01 - 15 - 0000 January 15 , 1978   Dallas Cowboys 04 ! Dallas Cowboys ( 4 , 2 -- 2 )   2710 ! 27 -- 10   Denver Broncos 01 ! Denver Broncos ( 1 , 0 -- 1 )   Louisiana Superdome 01 ! Louisiana Superdome   New Orleans , Louisiana 04 ! New Orleans , Louisiana ( 4 )   076400 ! 76,400       13 ! XIII   000000001979 - 01 - 21 - 0000 January 21 , 1979   Pittsburgh Steelers 03 ! Pittsburgh Steelers ( 3 , 3 -- 0 )   3531 ! 35 -- 31   Dallas Cowboys 05 ! Dallas Cowboys ( 5 , 2 -- 3 )   Miami Orange Bowl 05 ! Miami Orange Bowl ( 5 )   Miami , Florida 05 ! Miami , Florida ( 5 )   079484 ! 79,484       14 ! XIV   000000001980 - 01 - 20 - 0000 January 20 , 1980   Pittsburgh Steelers 04 ! Pittsburgh Steelers ( 4 , 4 -- 0 )   3119 ! 31 -- 19   Los Angeles Rams 01 ! Los Angeles Rams ( 1 , 0 -- 1 )   Rose Bowl 02 ! Rose Bowl ( 2 )   Los Angeles , California 04 ! Pasadena , California ( 4 )   103985 ! 103,985       15 ! XV   000000001981 - 01 - 25 - 0000 January 25 , 1981   Oakland Raiders 03 ! Oakland Raiders ( 3 , 2 -- 1 )   2710 ! 27 -- 10   Philadelphia Eagles 01 ! Philadelphia Eagles ( 1 , 0 -- 1 )   Louisiana Superdome 02 ! Louisiana Superdome ( 2 )   New Orleans , Louisiana 05 ! New Orleans , Louisiana ( 5 )   076135 ! 76,135       16 ! XVI   000000001982 - 01 - 24 - 0000 January 24 , 1982   San Francisco 49ers 01 ! San Francisco 49ers ( 1 , 1 -- 0 )   2621 ! 26 -- 21   Cincinnati Bengals 01 ! Cincinnati Bengals ( 1 , 0 -- 1 )   Pontiac Silverdome 01 ! Pontiac Silverdome   Detroit , Michigan 01 ! Pontiac , Michigan   081270 ! 81,270       17 ! XVII   000000001983 - 01 - 30 - 0000 January 30 , 1983   Washington Redskins 02 ! Washington Redskins ( 2 , 1 -- 1 )   2717 ! 27 -- 17   Miami Dolphins 04 ! Miami Dolphins ( 4 , 2 -- 2 )   Rose Bowl 03 ! Rose Bowl ( 3 )   Los Angeles , California 05 ! Pasadena , California ( 5 )   103667 ! 103,667       18 ! XVIII   000000001984 - 01 - 22 - 0000 January 22 , 1984   Oakland Raiders 04 ! Los Angeles Raiders ( 4 , 3 -- 1 )   3809 ! 38 -- 9   Washington Redskins 03 ! Washington Redskins ( 3 , 1 -- 2 )   Tampa Stadium 01 ! Tampa Stadium   Tampa , Florida 01 ! Tampa , Florida   072920 ! 72,920       19 ! XIX   000000001985 - 01 - 20 - 0000 January 20 , 1985   San Francisco 49ers 02 ! San Francisco 49ers ( 2 , 2 -- 0 )   3816 ! 38 -- 16   Miami Dolphins 05 ! Miami Dolphins ( 5 , 2 -- 3 )   Stanford Stadium 01 ! Stanford Stadium   San Francisco , California 01 ! Stanford , California   084059 ! 84,059       20 ! XX   000000001986 - 01 - 26 - 0000 January 26 , 1986   Chicago Bears 01 ! Chicago Bears ( 1 , 1 -- 0 )   4610 ! 46 -- 10   New England Patriots 01 ! New England Patriots ( 1 , 0 -- 1 )   Louisiana Superdome 03 ! Louisiana Superdome ( 3 )   New Orleans , Louisiana 06 ! New Orleans , Louisiana ( 6 )   073818 ! 73,818       21 ! XXI   000000001987 - 01 - 25 - 0000 January 25 , 1987   New York Giants 01 ! New York Giants ( 1 , 1 -- 0 )   3920 ! 39 -- 20   Denver Broncos 02 ! Denver Broncos ( 2 , 0 -- 2 )   Rose Bowl 04 ! Rose Bowl ( 4 )   Los Angeles , California 06 ! Pasadena , California ( 6 )   101063 ! 101,063       22 ! XXII   000000001988 - 01 - 31 - 0000 January 31 , 1988   Washington Redskins 04 ! Washington Redskins ( 4 , 2 -- 2 )   4210 ! 42 -- 10   Denver Broncos 03 ! Denver Broncos ( 3 , 0 -- 3 )   Qualcomm Stadium 01 ! San Diego -- Jack Murphy Stadium   San Diego , California 01 ! San Diego , California   073302 ! 73,302       23 ! XXIII   000000001989 - 01 - 22 - 0000 January 22 , 1989   San Francisco 49ers 03 ! San Francisco 49ers ( 3 , 3 -- 0 )   2016 ! 20 -- 16   Cincinnati Bengals 02 ! Cincinnati Bengals ( 2 , 0 -- 2 )   Hard Rock Stadium 01 ! Joe Robbie Stadium   Miami , Florida 06 ! Miami Gardens , Florida ( 6 )   075129 ! 75,129       24 ! XXIV   000000001990 - 01 - 28 - 0000 January 28 , 1990   San Francisco 49ers 04 ! San Francisco 49ers ( 4 , 4 -- 0 )   5510 ! 55 -- 10   Denver Broncos 04 ! Denver Broncos ( 4 , 0 -- 4 )   Louisiana Superdome 04 ! Louisiana Superdome ( 4 )   New Orleans , Louisiana 07 ! New Orleans , Louisiana ( 7 )   072919 ! 72,919       25 ! XXV   000000001991 - 01 - 27 - 0000 January 27 , 1991   New York Giants 02 ! New York Giants ( 2 , 2 -- 0 )   2019 ! 20 -- 19   Buffalo Bills 01 ! Buffalo Bills ( 1 , 0 -- 1 )   Tampa Stadium 02 ! Tampa Stadium ( 2 )   Tampa , Florida 02 ! Tampa , Florida ( 2 )   073813 ! 73,813       26 ! XXVI   000000001992 - 01 - 26 - 0000 January 26 , 1992   Washington Redskins 05 ! Washington Redskins ( 5 , 3 -- 2 )   3724 ! 37 -- 24   Buffalo Bills 02 ! Buffalo Bills ( 2 , 0 -- 2 )   Metrodome 01 ! Metrodome   Minneapolis , Minnesota 01 ! Minneapolis , Minnesota   063130 ! 63,130       27 ! XXVII   000000001993 - 01 - 31 - 0000 January 31 , 1993   Dallas Cowboys 06 ! Dallas Cowboys ( 6 , 3 -- 3 )   5217 ! 52 -- 17   Buffalo Bills 03 ! Buffalo Bills ( 3 , 0 -- 3 )   Rose Bowl 05 ! Rose Bowl ( 5 )   Los Angeles , California 07 ! Pasadena , California ( 7 )   098374 ! 98,374       28 ! XXVIII   000000001994 - 01 - 30 - 0000 January 30 , 1994   Dallas Cowboys 07 ! Dallas Cowboys ( 7 , 4 -- 3 )   3013 ! 30 -- 13   Buffalo Bills 04 ! Buffalo Bills ( 4 , 0 -- 4 )   Georgia Dome 01 ! Georgia Dome   Atlanta , Georgia 01 ! Atlanta , Georgia   072817 ! 72,817       29 ! XXIX   000000001995 - 01 - 29 - 0000 January 29 , 1995   San Francisco 49ers 05 ! San Francisco 49ers ( 5 , 5 -- 0 )   4926 ! 49 -- 26   San Diego Chargers 01 ! San Diego Chargers ( 1 , 0 -- 1 )   Hard Rock Stadium 02 ! Joe Robbie Stadium ( 2 )   Miami , Florida 07 ! Miami Gardens , Florida ( 7 )   074107 ! 74,107       30 ! XXX   000000001996 - 01 - 28 - 0000 January 28 , 1996   Dallas Cowboys 08 ! Dallas Cowboys ( 8 , 5 -- 3 )   2717 ! 27 -- 17   Pittsburgh Steelers 05 ! Pittsburgh Steelers ( 5 , 4 -- 1 )   Sun Devil Stadium 01 ! Sun Devil Stadium   Phoenix , Arizona 01 ! Tempe , Arizona   076347 ! 76,347       31 ! XXXI   000000001997 - 01 - 26 - 0000 January 26 , 1997   Green Bay Packers 03 ! Green Bay Packers ( 3 , 3 -- 0 )   3521 ! 35 -- 21   New England Patriots 02 ! New England Patriots ( 2 , 0 -- 2 )   Louisiana Superdome 05 ! Louisiana Superdome ( 5 )   New Orleans , Louisiana 08 ! New Orleans , Louisiana ( 8 )   072301 ! 72,301       32 ! XXXII   000000001998 - 01 - 25 - 0000 January 25 , 1998   Denver Broncos 05 ! Denver Broncos ( 5 , 1 -- 4 )   3124 ! 31 -- 24   Green Bay Packers 04 ! Green Bay Packers ( 4 , 3 -- 1 )   Qualcomm Stadium 02 ! Qualcomm Stadium ( 2 )   San Diego , California 02 ! San Diego , California ( 2 )   068912 ! 68,912       33 ! XXXIII   000000001999 - 01 - 31 - 0000 January 31 , 1999   Denver Broncos 06 ! Denver Broncos ( 6 , 2 -- 4 )   3419 ! 34 -- 19   Atlanta Falcons 01 ! Atlanta Falcons ( 1 , 0 -- 1 )   Hard Rock Stadium 03 ! Pro Player Stadium ( 3 )   Miami , Florida 08 ! Miami Gardens , Florida ( 8 )   074803 ! 74,803       34 ! XXXIV   000000002000 - 01 - 30 - 0000 January 30 , 2000   Los Angeles Rams 02 ! St. Louis Rams ( 2 , 1 -- 1 )   2316 ! 23 -- 16   Tennessee Titans 01 ! Tennessee Titans ( 1 , 0 -- 1 )   Georgia Dome 02 ! Georgia Dome ( 2 )   Atlanta , Georgia 02 ! Atlanta , Georgia ( 2 )   072625 ! 72,625       35 ! XXXV   000000002001 - 01 - 28 - 0000 January 28 , 2001   Baltimore Ravens 01 ! Baltimore Ravens ( 1 , 1 -- 0 )   3407 ! 34 -- 7   New York Giants 03 ! New York Giants ( 3 , 2 -- 1 )   Raymond James Stadium 01 ! Raymond James Stadium   Tampa , Florida 03 ! Tampa , Florida ( 3 )   071921 ! 71,921       36 ! XXXVI   000000002002 - 02 - 03 - 0000 February 3 , 2002   New England Patriots 03 ! New England Patriots ( 3 , 1 -- 2 )   2017 ! 20 -- 17   Los Angeles Rams 03 ! St. Louis Rams ( 3 , 1 -- 2 )   Louisiana Superdome 06 ! Louisiana Superdome ( 6 )   New Orleans , Louisiana 09 ! New Orleans , Louisiana ( 9 )   072922 ! 72,922       37 ! XXXVII   000000002003 - 01 - 26 - 0000 January 26 , 2003   Tampa Bay Buccaneers 01 ! Tampa Bay Buccaneers ( 1 , 1 -- 0 )   4821 ! 48 -- 21   Oakland Raiders 05 ! Oakland Raiders ( 5 , 3 -- 2 )   Qualcomm Stadium 03 ! Qualcomm Stadium ( 3 )   San Diego , California 03 ! San Diego , California ( 3 )   067603 ! 67,603       38 ! XXXVIII   000000002004 - 02 - 01 - 0000 February 1 , 2004   New England Patriots 04 ! New England Patriots ( 4 , 2 -- 2 )   3229 ! 32 -- 29   Carolina Panthers 01 ! Carolina Panthers ( 1 , 0 -- 1 )   NRG Stadium 01 ! Reliant Stadium   Houston , Texas 02 ! Houston , Texas ( 2 )   071525 ! 71,525       39 ! XXXIX   000000002005 - 02 - 06 - 0000 February 6 , 2005   New England Patriots 05 ! New England Patriots ( 5 , 3 -- 2 )   2421 ! 24 -- 21   Philadelphia Eagles 02 ! Philadelphia Eagles ( 2 , 0 -- 2 )   ALLTEL Stadium 01 ! Alltel Stadium   Jacksonville , Florida 01 ! Jacksonville , Florida   078125 ! 78,125       40 ! XL   000000002006 - 02 - 05 - 0000 February 5 , 2006   Pittsburgh Steelers 06 ! Pittsburgh Steelers ( 6 , 5 -- 1 )   2110 ! 21 -- 10   Seattle Seahawks 01 ! Seattle Seahawks ( 1 , 0 -- 1 )   Ford Field 01 ! Ford Field   Detroit , Michigan 02 ! Detroit , Michigan ( 2 )   068206 ! 68,206       41 ! XLI   000000002007 - 02 - 04 - 0000 February 4 , 2007   Indianapolis Colts 03 ! Indianapolis Colts ( 3 , 2 -- 1 )   2917 ! 29 -- 17   Chicago Bears 02 ! Chicago Bears ( 2 , 1 -- 1 )   Hard Rock Stadium 04 ! Dolphin Stadium ( 4 )   Miami , Florida 09 ! Miami Gardens , Florida ( 9 )   074512 ! 74,512       42 ! XLII   000000002008 - 02 - 03 - 0000 February 3 , 2008   New York Giants 04 ! New York Giants ( 4 , 3 -- 1 )   1714 ! 17 -- 14   New England Patriots 06 ! New England Patriots ( 6 , 3 -- 3 )   University of Phoenix Stadium 01 ! University of Phoenix Stadium   Phoenix , Arizona 02 ! Glendale , Arizona ( 2 )   071101 ! 71,101       43 ! XLIII   000000002009 - 02 - 01 - 0000 February 1 , 2009   Pittsburgh Steelers 07 ! Pittsburgh Steelers ( 7 , 6 -- 1 )   2723 ! 27 -- 23   Arizona Cardinals 01 ! Arizona Cardinals ( 1 , 0 -- 1 )   Raymond James Stadium 02 ! Raymond James Stadium ( 2 )   Tampa , Florida 04 ! Tampa , Florida ( 4 )   070774 ! 70,774       44 ! XLIV   000000002010 - 02 - 07 - 0000 February 7 , 2010   New Orleans Saints 01 ! New Orleans Saints ( 1 , 1 -- 0 )   3117 ! 31 -- 17   Indianapolis Colts 04 ! Indianapolis Colts ( 4 , 2 -- 2 )   Hard Rock Stadium 05 ! Sun Life Stadium ( 5 )   Miami , Florida 10 ! Miami Gardens , Florida ( 10 )   074059 ! 74,059       45 ! XLV   000000002011 - 02 - 06 - 0000 February 6 , 2011   Green Bay Packers 05 ! Green Bay Packers ( 5 , 4 -- 1 )   3125 ! 31 -- 25   Pittsburgh Steelers 08 ! Pittsburgh Steelers ( 8 , 6 -- 2 )   Cowboys Stadium 01 ! Cowboys Stadium   Arlington , Texas 01 ! Arlington , Texas   103219 ! 103,219       46 ! XLVI   000000002012 - 02 - 05 - 0000 February 5 , 2012   New York Giants 05 ! New York Giants ( 5 , 4 -- 1 )   2117 ! 21 -- 17   New England Patriots 07 ! New England Patriots ( 7 , 3 -- 4 )   Lucas Oil Stadium 01 ! Lucas Oil Stadium   Indianapolis , Indiana 01 ! Indianapolis , Indiana   068658 ! 68,658       47 ! XLVII   000000002013 - 02 - 03 - 0000 February 3 , 2013   Baltimore Ravens 02 ! Baltimore Ravens ( 2 , 2 -- 0 )   3431 ! 34 -- 31   San Francisco 49ers 06 ! San Francisco 49ers ( 6 , 5 -- 1 )   Louisiana Superdome 07 ! Mercedes - Benz Superdome ( 7 )   New Orleans , Louisiana 10 ! New Orleans , Louisiana ( 10 )   071024 ! 71,024       48 ! XLVIII   000000002014 - 02 - 02 - 0000 February 2 , 2014   Seattle Seahawks 02 ! Seattle Seahawks ( 2 , 1 -- 1 )   4308 ! 43 -- 8   Denver Broncos 07 ! Denver Broncos ( 7 , 2 -- 5 )   MetLife Stadium 01 ! MetLife Stadium   East Rutherford , New Jersey 01 ! East Rutherford , New Jersey   082529 ! 82,529       49 ! XLIX   000000002015 - 02 - 01 - 0000 February 1 , 2015   New England Patriots 08 ! New England Patriots ( 8 , 4 -- 4 )   2824 ! 28 -- 24   Seattle Seahawks 03 ! Seattle Seahawks ( 3 , 1 -- 2 )   University of Phoenix Stadium 02 ! University of Phoenix Stadium ( 2 )   Phoenix , Arizona 03 ! Glendale , Arizona ( 3 )   070288 ! 70,288       50 ! 50   000000002016 - 02 - 07 - 0000 February 7 , 2016   Denver Broncos 08 ! Denver Broncos ( 8 , 3 -- 5 )   2410 ! 24 -- 10   Carolina Panthers 02 ! Carolina Panthers ( 2 , 0 -- 2 )   Levi 's Stadium 01 ! Levi 's Stadium   San Francisco , California 02 ! Santa Clara , California ( 2 )   071088 ! 71,088       51 ! LI   000000002017 - 02 - 05 - 0000 February 5 , 2017   New England Patriots 09 ! New England Patriots ( 9 , 5 -- 4 )   3428 ! 34 -- 28 ( OT )   Atlanta Falcons 02 ! Atlanta Falcons ( 2 , 0 -- 2 )   NRG Stadium 02 ! NRG Stadium ( 2 )   Houston , Texas 03 ! Houston , Texas ( 3 )   070807 ! 70,807       52 ! LII   000000002018 - 02 - 04 - 0000 February 4 , 2018   Philadelphia Eagles 03 ! Philadelphia Eagles ( 3 , 1 -- 2 )   4133 ! 41 -- 33   New England Patriots 10 ! New England Patriots ( 10 , 5 -- 5 )   U.S. Bank Stadium 01 ! U.S. Bank Stadium   Minneapolis , Minnesota 02 ! Minneapolis , Minnesota ( 2 )   067612 ! 67,612       53 ! LIII   000000002019 - 02 - 03 - 0000 February 3 , 2019   X 2019 ! 2018 -- 19 AFC champion at 2018 -- 19 NFC champion   0019 ! --   X 2019 ! To be determined ( TBD )   Mercedes - Benz Stadium 01 ! Mercedes - Benz Stadium   Atlanta , Georgia 03 ! Atlanta , Georgia ( 3 )   TBD       54 ! LIV   000000002020 - 02 - 02 - 0000 February 2 , 2020   X 2020 ! 2019 -- 20 NFC champion at 2019 -- 20 AFC champion   0020 ! --   X 2020 ! To be determined   Hard Rock Stadium 06 ! Hard Rock Stadium ( 6 )   Miami , Florida 11 ! Miami Gardens , Florida ( 11 )   TBD       55 ! LV   000000002021 - 02 - 07 - 0000 February 7 , 2021   X 2020 ! 2020 -- 21 AFC champion at 2020 -- 21 NFC champion   0021 ! --   X 2021 ! To be determined   Raymond James Stadium 03 ! Raymond James Stadium ( 3 )   Tampa , Florida 05 ! Tampa , Florida ( 5 )   TBD       56 ! LVI   000000002022 - 02 - 06 - 0000 February 6 , 2022   X 2021 ! 2021 -- 22 NFC champion at 2021 -- 22 AFC champion   0022 ! --   X 2022 ! To be determined   City of Champions Stadium 01 ! Los Angeles Stadium at Hollywood Park   Los Angeles , California 08 ! Inglewood , California ( 8 )   TBD       Game   Date   Winning team   Score   Losing team   Venue   City   Attendance   Ref     Consecutive winners  The Steelers defeated the Rams in Super Bowl XIV to win an unprecedented four championships in six years .  Seven franchises have won consecutive Super Bowls , one of which ( Pittsburgh ) has accomplished it twice :    Green Bay Packers ( Super Bowls I and II )   Miami Dolphins ( VII and VIII )   Pittsburgh Steelers ( twice : IX and X as well as XIII and XIV )   San Francisco 49ers ( XXIII and XXIV )   Dallas Cowboys ( XXVII and XXVIII )   Denver Broncos ( XXXII and XXXIII )   New England Patriots ( XXXVIII and XXXIX )    No franchise has yet won three Super Bowls in a row , although several have come close :    The Green Bay Packers won the first two Super Bowls , and also won the NFL championship the preceding year .   The Miami Dolphins appeared in three consecutive Super Bowls ( VI , VII , and VIII ) , winning the last two .   The Pittsburgh Steelers won two consecutive Super Bowls ( IX and X ) ; the following season they were eliminated in the AFC championship game by the eventual Super Bowl champion Oakland Raiders . They also won two more consecutive Super Bowls ( XIII and XIV ) for four wins in six seasons .   The San Francisco 49ers won two consecutive Super Bowls ( XXIII and XXIV ) ; the following season they were eliminated in the NFC championship by the eventual Super Bowl champion New York Giants .   The Dallas Cowboys won two consecutive Super Bowls ( XXVII and XXVIII ) ; the following season they were eliminated in the NFC championship game by the eventual champion San Francisco 49ers . The Cowboys won Super Bowl XXX the following year for three wins in four seasons .   The New England Patriots won Super Bowl XXXVI , which was two years before their consecutive wins in XXXVIII and XXXIX , for three wins in four seasons . They did not make the playoffs in the intervening season ( XXXVII ) . The Patriots also won Super Bowls XLIX and LI and in the intervening season ( 50 ) were eliminated in the AFC championship game by the eventual champion Denver Broncos .    Consecutive losers   Three franchises have lost consecutive Super Bowls :    Buffalo Bills ( 4 ) ( Super Bowls XXV , XXVI , XXVII , and XXVIII ) -- The only team to appear in four straight Super Bowls , let alone lose in all four appearances .   Minnesota Vikings ( 2 ) ( Super Bowls VIII and IX ) -- They also lost Super Bowl XI , and were knocked out of the playoffs for Super Bowl X by the eventual losers the Dallas Cowboys for three losses in four seasons .   Denver Broncos ( 2 ) ( Super Bowls XXI and XXII ) -- They also lost Super Bowl XXIV , but did not even make the playoffs for Super Bowl XXIII for three losses in four seasons .    Super Bowl appearances by team  The Patriots played their first championship game in Super Bowl XX ( pictured ) and hold the record for most Super Bowl appearances ( 10 ) and are tied for the most losses ( 5 ) as of 2018 .    NFL / NFC teams ( 27 wins )   AFL / AFC teams ( 25 wins )     NFL / AFC team ( 0 - 1 as part of the NFL , 2 - 1 as part of the AFC )     In the sortable table below , teams are ordered first by number of appearances , then by number of wins , and finally by number of years since last appearing in a Super Bowl . In the `` Seasons '' column , bold years indicate winning seasons , and italic years indicate games not yet completed .     Appearances   Team   Wins   Losses   Winning percentage   Seasons     10A - 05W - 01YA - 02YW ! 10   New England Patriots   05W - 10A - 02YW - 01YA ! 5   05L - 10A - 01YL - 01YA ! 5   . 500   1985 ! 1985 , 1996 , 2001 , 2003 , 2004 , 2007 , 2011 , 2014 , 2016 , 2017     08A - 06W - 08YA - 10YW ! 8   Pittsburgh Steelers   06W - 08A - 10YW - 08YA ! 6   02L - 08A - 08YL - 08YA ! 2   . 750   1974 ! 1974 , 1975 , 1978 , 1979 , 1995 , 2005 , 2008 , 2010     08A - 05W - 23YA - 23YW ! 8   Dallas Cowboys   05W - 08A - 23YW - 23YA ! 5   03L - 08A - 40YL - 23YA ! 3   . 625   1970 ! 1970 , 1971 , 1975 , 1977 , 1978 , 1992 , 1993 , 1995     08A - 03W - 03YA - 03YW ! 8   Denver Broncos   03W - 08A - 03YW - 03YA ! 3   05L - 08A - 05YL - 03YA ! 5   . 375   1977 ! 1977 , 1986 , 1987 , 1989 , 1997 , 1998 , 2013 , 2015     06A - 05W - 06YA - 24YW ! 6   San Francisco 49ers   05W - 06A - 24YW - 06YA ! 5   01L - 06A - 06YL - 06YA ! 1   . 833   1981 ! 1981 , 1984 , 1988 , 1989 , 1994 , 2012     05A - 04W - 08YA - 08YW ! 5   Green Bay Packers   04W - 05A - 08YW - 08YA ! 4   01L - 05A - 21YL - 08YA ! 1   . 800   1966 ! 1966 , 1967 , 1996 , 1997 , 2010     05A - 04W - 07YA - 07YW ! 5   New York Giants   04W - 05A - 07YW - 07YA ! 4   01L - 05A - 18YL - 07YA ! 1   . 800   1986 ! 1986 , 1990 , 2000 , 2007 , 2011     05A - 03W - 27YA - 27YW ! 5   Washington Redskins   03W - 05A - 27YW - 27YA ! 3   02L - 05A - 35YL - 27YA ! 2   . 600   1972 ! 1972 , 1982 , 1983 , 1987 , 1991     05A - 03W - 16YA - 35YW ! 5   Los Angeles / Oakland Raiders   03W - 05A - 35YW - 16YA ! 3   02L - 05A - 16YL - 16YA ! 2   . 600   1967 , 1976 , 1980 , 1983 , 2002     05A - 02W - 34YA - 45YW ! 5   Miami Dolphins   02W - 05A - 45YW - 34YA ! 2   03L - 05A - 34YL - 34YA ! 3   . 400   1971 ! 1971 , 1972 , 1973 , 1982 , 1984     04A - 02W - 09YA - 12YW ! 4   Baltimore / Indianapolis Colts   02W - 04A - 12YW - 09YA ! 2   02L - 04A - 09YL - 09YA ! 2   . 500   1968 ! 1968 , 1970 , 2006 , 2009     04A - 00W - 42YA - 53YW ! 4   Minnesota Vikings   00W - 04A - 53YW - 25YA ! 0   04L - 04A - 42YL - 42YA ! 4   . 000   1969 ! 1969 , 1973 , 1974 , 1976     04A - 00W - 25YA - 53YW ! 4   Buffalo Bills   00W - 04A - 53YW - 25YA ! 0   04L - 04A - 25YL - 25YA ! 4   . 000   1990 ! 1990 , 1991 , 1992 , 1993     03A - 01W - 17YA - 19YW ! 3   St. Louis / Los Angeles Rams   01W - 03A - 19YW - 17YA ! 1   02L - 03A - 17YL - 17YA ! 2   . 333   1979 ! 1979 , 1999 , 2001     03A - 01W - 03YA - 04YW ! 3   Seattle Seahawks   01W - 03A - 04YW - 03YA ! 1   02L - 03A - 03YL - 03YA ! 2   . 333   2005 ! 2005 , 2013 , 2014     03A - 01W - 01YA - 01YW ! 3   Philadelphia Eagles   01W - 03A - 01YW - 01YA ! 1   02L - 03A - 14YL - 01YA ! 2   . 333   1980 ! 1980 , 2004 , 2017     02A - 02W - 06YA - 06YW ! 2   Baltimore Ravens   02W - 02A - 06YW - 06YA ! 2   00L - 02A - 22YL - 06YA ! 0   1.000   2000 ! 2000 , 2012     02A - 01W - 49YA - 49YW ! 2   Kansas City Chiefs   01W - 02A - 49YW - 49YA ! 1   01L - 02A - 52YL - 49YA ! 1   . 500   1966 ! 1966 , 1969     02A - 01W - 12YA - 33YW ! 2   Chicago Bears   01W - 02A - 33YW - 12YA ! 1   01L - 02A - 12YL - 12YA ! 1   . 500   1985 ! 1985 , 2006     02A - 00W - 30YA - 53YW ! 2   Cincinnati Bengals   00W - 02A - 53YW - 30YA ! 0   02L - 02A - 30YL - 30YA ! 2   . 000   1981 ! 1981 , 1988     02A - 00W - 03YA - 23YW ! 2   Carolina Panthers   00W - 02A - 23YW - 03YA ! 0   02L - 02A - 03YL - 03YA ! 2   . 000   2003 ! 2003 , 2015     02A - 00W - 02YA - 53YW ! 2   Atlanta Falcons   00W - 02A - 53YW - 02YA ! 0   02L - 02A - 02YL - 02YA ! 2   . 000   1998 ! 1998 , 2016     01A - 01W - 50YA - 50YW ! 1   New York Jets   01W - 01A - 50YW - 50YA ! 1   00L - 01A - 53YL - 50YA ! 0   1.000   1968 ! 1968     01A - 01W - 18YA - 18YW ! 1   Tampa Bay Buccaneers   01W - 01A - 18YW - 18YA ! 1   00L - 01A - 44YL - 18YA ! 0   1.000   2002 ! 2002     01A - 01W - 09YA - 09YW ! 1   New Orleans Saints   01W - 01A - 09YW - 09YA ! 1   00L - 01A - 52YL - 09YA ! 0   1.000   2009 ! 2009     01A - 00W - 24YA - 53YW ! 1   San Diego / Los Angeles Chargers   00W - 01A - 53YW - 24YA ! 0   01L - 01A - 24YL - 24YA ! 1   . 000   1994 ! 1994     01A - 00W - 19YA - 53YW ! 1   Houston / Tennessee Oilers / Tennessee Titans   00W - 01A - 53YW - 19YA ! 0   01L - 01A - 19YL - 19YA ! 1   . 000   1999 ! 1999     01A - 00W - 10YA - 53YW ! 1   St. Louis / Arizona Cardinals   00W - 01A - 53YW - 10YA ! 0   01L - 01A - 10YL - 10YA ! 1   . 000   2008 ! 2008     00A - 00W - 53YA - 53YW - 11CG ! 0   Cleveland Browns   00W - 00A - 53YW - 53YA - 11CG ! 0   00L - 00A - 53YL - 53YA - 11CG ! 0   --   none     00A - 00W - 53YA - 53YW - 05CG ! 0   Detroit Lions   00W - 00A - 53YW - 53YA - 05CG ! 0   00L - 00A - 53YL - 53YA - 05CG ! 0   --   none     00A - 00W - 23YA - 23YW - 00CG ! 0   Jacksonville Jaguars   00W - 00A - 23YW - 23YA - 00CG ! 0   00L - 00A - 23YL - 23YA - 00CG ! 0   --   none     00A - 00W - 16YA - 16YW - 00CG ! 0   Houston Texans   00W - 00A - 16YW - 16YA - 00CG ! 0   00L - 00A - 16YL - 16YA - 00CG ! 0   --   none     Teams with no Super Bowl appearances   Four current teams have never reached the Super Bowl . Two of them held NFL league championships prior to Super Bowl I in the 1966 NFL season :    Cleveland Browns , NFL champions four times in 1950 , 1954 , 1955 , and 1964 ; appeared in seven other NFL championship games in 1951 , 1952 , 1953 , 1957 , 1965 , 1968 , and 1969 ; and appeared in three AFC Championship Games in 1986 , 1987 , and 1989 . The Browns are officially viewed as one continuous franchise that began in 1946 as a member of the All - America Football Conference , joined the NFL in 1950 , suspended operations from 1996 to 1998 , and resumed play in 1999 . The Baltimore Ravens were created as an expansion team with former Browns players in 1996 , and have since won two Super Bowls .   Detroit Lions , NFL champions four times in 1935 , 1952 , 1953 , and 1957 ; appeared in one other NFL Championship Game in 1954 ; and appeared in one NFC Championship Game in 1991   Jacksonville Jaguars , 1995 expansion team ; appeared in three AFC Championship Games in 1996 , 1999 , and 2017 .   Houston Texans , 2002 expansion team ; Divisional Round appearances in 2011 , 2012 , and 2016 seasons .    In addition , Detroit , Houston , and Jacksonville have hosted Super Bowls , making Cleveland the only current NFL city that has neither hosted nor had its team play in a Super Bowl .   Teams with long Super Bowl droughts  The Jets ' last championship appearance was their victory over the Colts in Super Bowl III .  Although Jacksonville and Houston have never appeared in a Super Bowl , there are teams whose most recent Super Bowl appearance is older than when Jacksonville and Houston joined the NFL ( 1995 and 2002 , respectively ) , resulting in longer Super Bowl droughts than these teams for the following eight teams .   Two of these teams have not appeared in the Super Bowl since before the AFL -- NFL merger in 1970 :    New York Jets ( most recently appeared in Super Bowl III , 1968 season )   Kansas City Chiefs ( Super Bowl IV in 1969 season )    However , the Jets and the Chiefs are the only non-NFL teams to win the</t>
  </si>
  <si>
    <t xml:space="preserve">who won the superbowl the past 5 years</t>
  </si>
  <si>
    <t xml:space="preserve">   Game   Date   Winning team   Score   Losing team   Venue   City   Attendance   Ref     01 ! I   000000001967 - 01 - 15 - 0000 January 15 , 1967   Green Bay Packers 01 ! Green Bay Packers ( 1 , 1 -- 0 )   3510 ! 35 -- 10   Kansas City Chiefs 01 ! Kansas City Chiefs ( 1 , 0 -- 1 )   Los Angeles Memorial Coliseum 01 ! Los Angeles Memorial Coliseum   Los Angeles , California 01 ! Los Angeles , California   061946 ! 61,946       02 ! II   000000001968 - 01 - 14 - 0000 January 14 , 1968   Green Bay Packers 02 ! Green Bay Packers ( 2 , 2 -- 0 )   3314 ! 33 -- 14   Oakland Raiders 01 ! Oakland Raiders ( 1 , 0 -- 1 )   Miami Orange Bowl 01 ! Miami Orange Bowl   Miami , Florida 01 ! Miami , Florida   075546 ! 75,546       03 ! III   000000001969 - 01 - 12 - 0000 January 12 , 1969   New York Jets 01 ! New York Jets ( 1 , 1 -- 0 )   1607 ! 16 -- 7   Indianapolis Colts 01 ! Baltimore Colts ( 1 , 0 -- 1 )   Miami Orange Bowl 02 ! Miami Orange Bowl ( 2 )   Miami , Florida 02 ! Miami , Florida ( 2 )   075389 ! 75,389       04 ! IV   000000001970 - 01 - 11 - 0000 January 11 , 1970   Kansas City Chiefs 02 ! Kansas City Chiefs ( 2 , 1 -- 1 )   2307 ! 23 -- 7   Minnesota Vikings 01 ! Minnesota Vikings ( 1 , 0 -- 1 )   Tulane Stadium 01 ! Tulane Stadium   New Orleans , Louisiana 01 ! New Orleans , Louisiana   080562 ! 80,562       05 ! V   000000001971 - 01 - 17 - 0000 January 17 , 1971   Indianapolis Colts 02 ! Baltimore Colts ( 2 , 1 -- 1 )   1613 ! 16 -- 13   Dallas Cowboys 01 ! Dallas Cowboys ( 1 , 0 -- 1 )   Miami Orange Bowl 03 ! Miami Orange Bowl ( 3 )   Miami , Florida 03 ! Miami , Florida ( 3 )   079204 ! 79,204       06 ! VI   000000001972 - 01 - 16 - 0000 January 16 , 1972   Dallas Cowboys 02 ! Dallas Cowboys ( 2 , 1 -- 1 )   2403 ! 24 -- 3   Miami Dolphins 01 ! Miami Dolphins ( 1 , 0 -- 1 )   Tulane Stadium 02 ! Tulane Stadium ( 2 )   New Orleans , Louisiana 02 ! New Orleans , Louisiana ( 2 )   081023 ! 81,023       07 ! VII   000000001973 - 01 - 14 - 0000 January 14 , 1973   Miami Dolphins 02 ! Miami Dolphins ( 2 , 1 -- 1 )   1407 ! 14 -- 7   Washington Redskins 01 ! Washington Redskins ( 1 , 0 -- 1 )   Los Angeles Memorial Coliseum 02 ! Los Angeles Memorial Coliseum ( 2 )   Los Angeles , California 02 ! Los Angeles , California ( 2 )   090182 ! 90,182       08 ! VIII   000000001974 - 01 - 13 - 0000 January 13 , 1974   Miami Dolphins 03 ! Miami Dolphins ( 3 , 2 -- 1 )   2407 ! 24 -- 7   Minnesota Vikings 02 ! Minnesota Vikings ( 2 , 0 -- 2 )   Rice Stadium 01 ! Rice Stadium   Houston , Texas 01 ! Houston , Texas   071882 ! 71,882       09 ! IX   000000001975 - 01 - 12 - 0000 January 12 , 1975   Pittsburgh Steelers 01 ! Pittsburgh Steelers ( 1 , 1 -- 0 )   1606 ! 16 -- 6   Minnesota Vikings 03 ! Minnesota Vikings ( 3 , 0 -- 3 )   Tulane Stadium 03 ! Tulane Stadium ( 3 )   New Orleans , Louisiana 03 ! New Orleans , Louisiana ( 3 )   080997 ! 80,997       10 ! X   000000001976 - 01 - 18 - 0000 January 18 , 1976   Pittsburgh Steelers 02 ! Pittsburgh Steelers ( 2 , 2 -- 0 )   2117 ! 21 -- 17   Dallas Cowboys 03 ! Dallas Cowboys ( 3 , 1 -- 2 )   Miami Orange Bowl 04 ! Miami Orange Bowl ( 4 )   Miami , Florida 04 ! Miami , Florida ( 4 )   080187 ! 80,187       11 ! XI   000000001977 - 01 - 09 - 0000 January 9 , 1977   Oakland Raiders 02 ! Oakland Raiders ( 2 , 1 -- 1 )   3214 ! 32 -- 14   Minnesota Vikings 04 ! Minnesota Vikings ( 4 , 0 -- 4 )   Rose Bowl 01 ! Rose Bowl   Los Angeles , California 03 ! Pasadena , California ( 3 )   103438 ! 103,438       12 ! XII   000000001978 - 01 - 15 - 0000 January 15 , 1978   Dallas Cowboys 04 ! Dallas Cowboys ( 4 , 2 -- 2 )   2710 ! 27 -- 10   Denver Broncos 01 ! Denver Broncos ( 1 , 0 -- 1 )   Louisiana Superdome 01 ! Louisiana Superdome   New Orleans , Louisiana 04 ! New Orleans , Louisiana ( 4 )   076400 ! 76,400       13 ! XIII   000000001979 - 01 - 21 - 0000 January 21 , 1979   Pittsburgh Steelers 03 ! Pittsburgh Steelers ( 3 , 3 -- 0 )   3531 ! 35 -- 31   Dallas Cowboys 05 ! Dallas Cowboys ( 5 , 2 -- 3 )   Miami Orange Bowl 05 ! Miami Orange Bowl ( 5 )   Miami , Florida 05 ! Miami , Florida ( 5 )   079484 ! 79,484       14 ! XIV   000000001980 - 01 - 20 - 0000 January 20 , 1980   Pittsburgh Steelers 04 ! Pittsburgh Steelers ( 4 , 4 -- 0 )   3119 ! 31 -- 19   Los Angeles Rams 01 ! Los Angeles Rams ( 1 , 0 -- 1 )   Rose Bowl 02 ! Rose Bowl ( 2 )   Los Angeles , California 04 ! Pasadena , California ( 4 )   103985 ! 103,985       15 ! XV   000000001981 - 01 - 25 - 0000 January 25 , 1981   Oakland Raiders 03 ! Oakland Raiders ( 3 , 2 -- 1 )   2710 ! 27 -- 10   Philadelphia Eagles 01 ! Philadelphia Eagles ( 1 , 0 -- 1 )   Louisiana Superdome 02 ! Louisiana Superdome ( 2 )   New Orleans , Louisiana 05 ! New Orleans , Louisiana ( 5 )   076135 ! 76,135       16 ! XVI   000000001982 - 01 - 24 - 0000 January 24 , 1982   San Francisco 49ers 01 ! San Francisco 49ers ( 1 , 1 -- 0 )   2621 ! 26 -- 21   Cincinnati Bengals 01 ! Cincinnati Bengals ( 1 , 0 -- 1 )   Pontiac Silverdome 01 ! Pontiac Silverdome   Detroit , Michigan 01 ! Pontiac , Michigan   081270 ! 81,270       17 ! XVII   000000001983 - 01 - 30 - 0000 January 30 , 1983   Washington Redskins 02 ! Washington Redskins ( 2 , 1 -- 1 )   2717 ! 27 -- 17   Miami Dolphins 04 ! Miami Dolphins ( 4 , 2 -- 2 )   Rose Bowl 03 ! Rose Bowl ( 3 )   Los Angeles , California 05 ! Pasadena , California ( 5 )   103667 ! 103,667       18 ! XVIII   000000001984 - 01 - 22 - 0000 January 22 , 1984   Oakland Raiders 04 ! Los Angeles Raiders ( 4 , 3 -- 1 )   3809 ! 38 -- 9   Washington Redskins 03 ! Washington Redskins ( 3 , 1 -- 2 )   Tampa Stadium 01 ! Tampa Stadium   Tampa , Florida 01 ! Tampa , Florida   072920 ! 72,920       19 ! XIX   000000001985 - 01 - 20 - 0000 January 20 , 1985   San Francisco 49ers 02 ! San Francisco 49ers ( 2 , 2 -- 0 )   3816 ! 38 -- 16   Miami Dolphins 05 ! Miami Dolphins ( 5 , 2 -- 3 )   Stanford Stadium 01 ! Stanford Stadium   San Francisco , California 01 ! Stanford , California   084059 ! 84,059       20 ! XX   000000001986 - 01 - 26 - 0000 January 26 , 1986   Chicago Bears 01 ! Chicago Bears ( 1 , 1 -- 0 )   4610 ! 46 -- 10   New England Patriots 01 ! New England Patriots ( 1 , 0 -- 1 )   Louisiana Superdome 03 ! Louisiana Superdome ( 3 )   New Orleans , Louisiana 06 ! New Orleans , Louisiana ( 6 )   073818 ! 73,818       21 ! XXI   000000001987 - 01 - 25 - 0000 January 25 , 1987   New York Giants 01 ! New York Giants ( 1 , 1 -- 0 )   3920 ! 39 -- 20   Denver Broncos 02 ! Denver Broncos ( 2 , 0 -- 2 )   Rose Bowl 04 ! Rose Bowl ( 4 )   Los Angeles , California 06 ! Pasadena , California ( 6 )   101063 ! 101,063       22 ! XXII   000000001988 - 01 - 31 - 0000 January 31 , 1988   Washington Redskins 04 ! Washington Redskins ( 4 , 2 -- 2 )   4210 ! 42 -- 10   Denver Broncos 03 ! Denver Broncos ( 3 , 0 -- 3 )   Qualcomm Stadium 01 ! San Diego -- Jack Murphy Stadium   San Diego , California 01 ! San Diego , California   073302 ! 73,302       23 ! XXIII   000000001989 - 01 - 22 - 0000 January 22 , 1989   San Francisco 49ers 03 ! San Francisco 49ers ( 3 , 3 -- 0 )   2016 ! 20 -- 16   Cincinnati Bengals 02 ! Cincinnati Bengals ( 2 , 0 -- 2 )   Hard Rock Stadium 01 ! Joe Robbie Stadium   Miami , Florida 06 ! Miami Gardens , Florida ( 6 )   075129 ! 75,129       24 ! XXIV   000000001990 - 01 - 28 - 0000 January 28 , 1990   San Francisco 49ers 04 ! San Francisco 49ers ( 4 , 4 -- 0 )   5510 ! 55 -- 10   Denver Broncos 04 ! Denver Broncos ( 4 , 0 -- 4 )   Louisiana Superdome 04 ! Louisiana Superdome ( 4 )   New Orleans , Louisiana 07 ! New Orleans , Louisiana ( 7 )   072919 ! 72,919       25 ! XXV   000000001991 - 01 - 27 - 0000 January 27 , 1991   New York Giants 02 ! New York Giants ( 2 , 2 -- 0 )   2019 ! 20 -- 19   Buffalo Bills 01 ! Buffalo Bills ( 1 , 0 -- 1 )   Tampa Stadium 02 ! Tampa Stadium ( 2 )   Tampa , Florida 02 ! Tampa , Florida ( 2 )   073813 ! 73,813       26 ! XXVI   000000001992 - 01 - 26 - 0000 January 26 , 1992   Washington Redskins 05 ! Washington Redskins ( 5 , 3 -- 2 )   3724 ! 37 -- 24   Buffalo Bills 02 ! Buffalo Bills ( 2 , 0 -- 2 )   Metrodome 01 ! Metrodome   Minneapolis , Minnesota 01 ! Minneapolis , Minnesota   063130 ! 63,130       27 ! XXVII   000000001993 - 01 - 31 - 0000 January 31 , 1993   Dallas Cowboys 06 ! Dallas Cowboys ( 6 , 3 -- 3 )   5217 ! 52 -- 17   Buffalo Bills 03 ! Buffalo Bills ( 3 , 0 -- 3 )   Rose Bowl 05 ! Rose Bowl ( 5 )   Los Angeles , California 07 ! Pasadena , California ( 7 )   098374 ! 98,374       28 ! XXVIII   000000001994 - 01 - 30 - 0000 January 30 , 1994   Dallas Cowboys 07 ! Dallas Cowboys ( 7 , 4 -- 3 )   3013 ! 30 -- 13   Buffalo Bills 04 ! Buffalo Bills ( 4 , 0 -- 4 )   Georgia Dome 01 ! Georgia Dome   Atlanta , Georgia 01 ! Atlanta , Georgia   072817 ! 72,817       29 ! XXIX   000000001995 - 01 - 29 - 0000 January 29 , 1995   San Francisco 49ers 05 ! San Francisco 49ers ( 5 , 5 -- 0 )   4926 ! 49 -- 26   San Diego Chargers 01 ! San Diego Chargers ( 1 , 0 -- 1 )   Hard Rock Stadium 02 ! Joe Robbie Stadium ( 2 )   Miami , Florida 07 ! Miami Gardens , Florida ( 7 )   074107 ! 74,107       30 ! XXX   000000001996 - 01 - 28 - 0000 January 28 , 1996   Dallas Cowboys 08 ! Dallas Cowboys ( 8 , 5 -- 3 )   2717 ! 27 -- 17   Pittsburgh Steelers 05 ! Pittsburgh Steelers ( 5 , 4 -- 1 )   Sun Devil Stadium 01 ! Sun Devil Stadium   Phoenix , Arizona 01 ! Tempe , Arizona   076347 ! 76,347       31 ! XXXI   000000001997 - 01 - 26 - 0000 January 26 , 1997   Green Bay Packers 03 ! Green Bay Packers ( 3 , 3 -- 0 )   3521 ! 35 -- 21   New England Patriots 02 ! New England Patriots ( 2 , 0 -- 2 )   Louisiana Superdome 05 ! Louisiana Superdome ( 5 )   New Orleans , Louisiana 08 ! New Orleans , Louisiana ( 8 )   072301 ! 72,301       32 ! XXXII   000000001998 - 01 - 25 - 0000 January 25 , 1998   Denver Broncos 05 ! Denver Broncos ( 5 , 1 -- 4 )   3124 ! 31 -- 24   Green Bay Packers 04 ! Green Bay Packers ( 4 , 3 -- 1 )   Qualcomm Stadium 02 ! Qualcomm Stadium ( 2 )   San Diego , California 02 ! San Diego , California ( 2 )   068912 ! 68,912       33 ! XXXIII   000000001999 - 01 - 31 - 0000 January 31 , 1999   Denver Broncos 06 ! Denver Broncos ( 6 , 2 -- 4 )   3419 ! 34 -- 19   Atlanta Falcons 01 ! Atlanta Falcons ( 1 , 0 -- 1 )   Hard Rock Stadium 03 ! Pro Player Stadium ( 3 )   Miami , Florida 08 ! Miami Gardens , Florida ( 8 )   074803 ! 74,803       34 ! XXXIV   000000002000 - 01 - 30 - 0000 January 30 , 2000   Los Angeles Rams 02 ! St. Louis Rams ( 2 , 1 -- 1 )   2316 ! 23 -- 16   Tennessee Titans 01 ! Tennessee Titans ( 1 , 0 -- 1 )   Georgia Dome 02 ! Georgia Dome ( 2 )   Atlanta , Georgia 02 ! Atlanta , Georgia ( 2 )   072625 ! 72,625       35 ! XXXV   000000002001 - 01 - 28 - 0000 January 28 , 2001   Baltimore Ravens 01 ! Baltimore Ravens ( 1 , 1 -- 0 )   3407 ! 34 -- 7   New York Giants 03 ! New York Giants ( 3 , 2 -- 1 )   Raymond James Stadium 01 ! Raymond James Stadium   Tampa , Florida 03 ! Tampa , Florida ( 3 )   071921 ! 71,921       36 ! XXXVI   000000002002 - 02 - 03 - 0000 February 3 , 2002   New England Patriots 03 ! New England Patriots ( 3 , 1 -- 2 )   2017 ! 20 -- 17   Los Angeles Rams 03 ! St. Louis Rams ( 3 , 1 -- 2 )   Louisiana Superdome 06 ! Louisiana Superdome ( 6 )   New Orleans , Louisiana 09 ! New Orleans , Louisiana ( 9 )   072922 ! 72,922       37 ! XXXVII   000000002003 - 01 - 26 - 0000 January 26 , 2003   Tampa Bay Buccaneers 01 ! Tampa Bay Buccaneers ( 1 , 1 -- 0 )   4821 ! 48 -- 21   Oakland Raiders 05 ! Oakland Raiders ( 5 , 3 -- 2 )   Qualcomm Stadium 03 ! Qualcomm Stadium ( 3 )   San Diego , California 03 ! San Diego , California ( 3 )   067603 ! 67,603       38 ! XXXVIII   000000002004 - 02 - 01 - 0000 February 1 , 2004   New England Patriots 04 ! New England Patriots ( 4 , 2 -- 2 )   3229 ! 32 -- 29   Carolina Panthers 01 ! Carolina Panthers ( 1 , 0 -- 1 )   NRG Stadium 01 ! Reliant Stadium   Houston , Texas 02 ! Houston , Texas ( 2 )   071525 ! 71,525       39 ! XXXIX   000000002005 - 02 - 06 - 0000 February 6 , 2005   New England Patriots 05 ! New England Patriots ( 5 , 3 -- 2 )   2421 ! 24 -- 21   Philadelphia Eagles 02 ! Philadelphia Eagles ( 2 , 0 -- 2 )   ALLTEL Stadium 01 ! Alltel Stadium   Jacksonville , Florida 01 ! Jacksonville , Florida   078125 ! 78,125       40 ! XL   000000002006 - 02 - 05 - 0000 February 5 , 2006   Pittsburgh Steelers 06 ! Pittsburgh Steelers ( 6 , 5 -- 1 )   2110 ! 21 -- 10   Seattle Seahawks 01 ! Seattle Seahawks ( 1 , 0 -- 1 )   Ford Field 01 ! Ford Field   Detroit , Michigan 02 ! Detroit , Michigan ( 2 )   068206 ! 68,206       41 ! XLI   000000002007 - 02 - 04 - 0000 February 4 , 2007   Indianapolis Colts 03 ! Indianapolis Colts ( 3 , 2 -- 1 )   2917 ! 29 -- 17   Chicago Bears 02 ! Chicago Bears ( 2 , 1 -- 1 )   Hard Rock Stadium 04 ! Dolphin Stadium ( 4 )   Miami , Florida 09 ! Miami Gardens , Florida ( 9 )   074512 ! 74,512       42 ! XLII   000000002008 - 02 - 03 - 0000 February 3 , 2008   New York Giants 04 ! New York Giants ( 4 , 3 -- 1 )   1714 ! 17 -- 14   New England Patriots 06 ! New England Patriots ( 6 , 3 -- 3 )   University of Phoenix Stadium 01 ! University of Phoenix Stadium   Phoenix , Arizona 02 ! Glendale , Arizona ( 2 )   071101 ! 71,101       43 ! XLIII   000000002009 - 02 - 01 - 0000 February 1 , 2009   Pittsburgh Steelers 07 ! Pittsburgh Steelers ( 7 , 6 -- 1 )   2723 ! 27 -- 23   Arizona Cardinals 01 ! Arizona Cardinals ( 1 , 0 -- 1 )   Raymond James Stadium 02 ! Raymond James Stadium ( 2 )   Tampa , Florida 04 ! Tampa , Florida ( 4 )   070774 ! 70,774       44 ! XLIV   000000002010 - 02 - 07 - 0000 February 7 , 2010   New Orleans Saints 01 ! New Orleans Saints ( 1 , 1 -- 0 )   3117 ! 31 -- 17   Indianapolis Colts 04 ! Indianapolis Colts ( 4 , 2 -- 2 )   Hard Rock Stadium 05 ! Sun Life Stadium ( 5 )   Miami , Florida 10 ! Miami Gardens , Florida ( 10 )   074059 ! 74,059       45 ! XLV   000000002011 - 02 - 06 - 0000 February 6 , 2011   Green Bay Packers 05 ! Green Bay Packers ( 5 , 4 -- 1 )   3125 ! 31 -- 25   Pittsburgh Steelers 08 ! Pittsburgh Steelers ( 8 , 6 -- 2 )   Cowboys Stadium 01 ! Cowboys Stadium   Arlington , Texas 01 ! Arlington , Texas   103219 ! 103,219       46 ! XLVI   000000002012 - 02 - 05 - 0000 February 5 , 2012   New York Giants 05 ! New York Giants ( 5 , 4 -- 1 )   2117 ! 21 -- 17   New England Patriots 07 ! New England Patriots ( 7 , 3 -- 4 )   Lucas Oil Stadium 01 ! Lucas Oil Stadium   Indianapolis , Indiana 01 ! Indianapolis , Indiana   068658 ! 68,658       47 ! XLVII   000000002013 - 02 - 03 - 0000 February 3 , 2013   Baltimore Ravens 02 ! Baltimore Ravens ( 2 , 2 -- 0 )   3431 ! 34 -- 31   San Francisco 49ers 06 ! San Francisco 49ers ( 6 , 5 -- 1 )   Louisiana Superdome 07 ! Mercedes - Benz Superdome ( 7 )   New Orleans , Louisiana 10 ! New Orleans , Louisiana ( 10 )   071024 ! 71,024       48 ! XLVIII   000000002014 - 02 - 02 - 0000 February 2 , 2014   Seattle Seahawks 02 ! Seattle Seahawks ( 2 , 1 -- 1 )   4308 ! 43 -- 8   Denver Broncos 07 ! Denver Broncos ( 7 , 2 -- 5 )   MetLife Stadium 01 ! MetLife Stadium   East Rutherford , New Jersey 01 ! East Rutherford , New Jersey   082529 ! 82,529       49 ! XLIX   000000002015 - 02 - 01 - 0000 February 1 , 2015   New England Patriots 08 ! New England Patriots ( 8 , 4 -- 4 )   2824 ! 28 -- 24   Seattle Seahawks 03 ! Seattle Seahawks ( 3 , 1 -- 2 )   University of Phoenix Stadium 02 ! University of Phoenix Stadium ( 2 )   Phoenix , Arizona 03 ! Glendale , Arizona ( 3 )   070288 ! 70,288       50 ! 50   000000002016 - 02 - 07 - 0000 February 7 , 2016   Denver Broncos 08 ! Denver Broncos ( 8 , 3 -- 5 )   2410 ! 24 -- 10   Carolina Panthers 02 ! Carolina Panthers ( 2 , 0 -- 2 )   Levi 's Stadium 01 ! Levi 's Stadium   San Francisco , California 02 ! Santa Clara , California ( 2 )   071088 ! 71,088       51 ! LI   000000002017 - 02 - 05 - 0000 February 5 , 2017   New England Patriots 09 ! New England Patriots ( 9 , 5 -- 4 )   3428 ! 34 -- 28 ( OT )   Atlanta Falcons 02 ! Atlanta Falcons ( 2 , 0 -- 2 )   NRG Stadium 02 ! NRG Stadium ( 2 )   Houston , Texas 03 ! Houston , Texas ( 3 )   070807 ! 70,807       52 ! LII   000000002018 - 02 - 04 - 0000 February 4 , 2018   Philadelphia Eagles 03 ! Philadelphia Eagles ( 3 , 1 -- 2 )   4133 ! 41 -- 33   New England Patriots 10 ! New England Patriots ( 10 , 5 -- 5 )   U.S. Bank Stadium 01 ! U.S. Bank Stadium   Minneapolis , Minnesota 02 ! Minneapolis , Minnesota ( 2 )   067612 ! 67,612       53 ! LIII   000000002019 - 02 - 03 - 0000 February 3 , 2019   X 2019 ! 2018 -- 19 AFC champion at 2018 -- 19 NFC champion   0019 ! --   X 2019 ! To be determined ( TBD )   Mercedes - Benz Stadium 01 ! Mercedes - Benz Stadium   Atlanta , Georgia 03 ! Atlanta , Georgia ( 3 )   TBD       54 ! LIV   000000002020 - 02 - 02 - 0000 February 2 , 2020   X 2020 ! 2019 -- 20 NFC champion at 2019 -- 20 AFC champion   0020 ! --   X 2020 ! To be determined   Hard Rock Stadium 06 ! Hard Rock Stadium ( 6 )   Miami , Florida 11 ! Miami Gardens , Florida ( 11 )   TBD       55 ! LV   000000002021 - 02 - 07 - 0000 February 7 , 2021   X 2020 ! 2020 -- 21 AFC champion at 2020 -- 21 NFC champion   0021 ! --   X 2021 ! To be determined   Raymond James Stadium 03 ! Raymond James Stadium ( 3 )   Tampa , Florida 05 ! Tampa , Florida ( 5 )   TBD       56 ! LVI   000000002022 - 02 - 06 - 0000 February 6 , 2022   X 2021 ! 2021 -- 22 NFC champion at 2021 -- 22 AFC champion   0022 ! --   X 2022 ! To be determined   City of Champions Stadium 01 ! Los Angeles Stadium at Hollywood Park   Los Angeles , California 08 ! Inglewood , California ( 8 )   TBD       Game   Date   Winning team   Score   Losing team   Venue   City   Attendance   Ref   </t>
  </si>
  <si>
    <t xml:space="preserve">2007 NBA draft - Wikipedia  2007 NBA draft  Jump to : navigation , search    2007 NBA draft     General information     Date ( s )   June 28 , 2007     Time   7 : 30 pm ( EDT )     Location   Madison Square Garden , New York City , New York     Network ( s ) ( US )   ESPN     First selection   Greg Oden , Portland Trail Blazers     ← 2006 NBA draft 2008 →     The 2007 NBA draft was held on June 28 , 2007 at the WaMu Theatre at Madison Square Garden in New York City , New York . It was broadcast on television in 115 countries . In this draft , National Basketball Association ( NBA ) teams took turns selecting amateur U.S. college basketball players and other eligible players , including international players .   Freshman Greg Oden from Ohio State University was drafted first overall by the Portland Trail Blazers , who won the draft lottery . However , he missed the 2007 -- 08 season due to microfracture surgery on his right knee during the pre-season . Another freshman , Kevin Durant , was drafted second overall from the University of Texas by the Seattle SuperSonics , and went on to win the Rookie of the Year Award for the 2007 -- 08 season . Oden and Durant became the first freshmen to be selected with the top two picks in the draft . Al Horford , the son of former NBA player Tito Horford , was drafted third by the Atlanta Hawks . Of the three top picks , Durant and Horford were able to enjoy solid All - Star careers , while Oden was beset by numerous microfracture surgeries on both knees that limited him to only 82 games from 2008 to 2010 .   On the night after the draft , the Seattle SuperSonics traded seven - time All - Star Ray Allen along with the draft rights of the 35th pick Glen Davis to the Boston Celtics in exchange for Delonte West , Wally Szczerbiak and the draft rights to the 5th pick Jeff Green . The Portland Trail Blazers and the New York Knicks were also involved in a multi-player trade that sent Zach Randolph to the Knicks and Steve Francis to the Blazers . Apart from those two trades , nine further draft - day trades were announced .   The 2007 Draft marked the first time three players drafted in the top 10 came from the same school : the University of Florida . Florida , the 2007 National Collegiate Athletic Association ( NCAA ) Basketball champion , tied the record set by the University of Connecticut in 2006 with five players selected in the first two rounds of an NBA draft . Florida joined nine other schools , including Connecticut , that had five players selected in an NBA draft , second only to UNLV , which had six players selected in the eighth - round 1977 draft . Five players who competed in the 2007 NCAA Basketball National Championship Final were selected in the top 10 ; three players came from Florida , and two players came from the runner - up , Ohio State University . This draft also set the record number of freshmen drafted in the first round when eight freshmen were selected . Of the 60 players drafted , eight were freshmen , five were sophomores , 14 were juniors , 20 were seniors , and 13 were international players without U.S. college basketball experience . The Cleveland Cavaliers , Denver Nuggets , Indiana Pacers and Toronto Raptors all did not have a draft pick this year , although Indiana and Toronto each acquired a drafted player 's rights after the draft .     Contents  ( hide )   1 Draft   2 Notable undrafted players   3 Eligibility   4 Draft lottery   5 Trades involving draft picks   5.1 Draft - day trades   5.2 Pre-draft trades     6 References   7 External links      Draft ( edit )     Kevin Durant was selected second by the Seattle SuperSonics .     Al Horford was selected third by the Atlanta Hawks .     Mike Conley was selected fourth by the Memphis Grizzlies .     Joakim Noah was selected ninth by the Chicago Bulls .     Marc Gasol was selected 48th by the Los Angeles Lakers .         Guard     Forward     Center       *   Denotes player who has been selected for at least one All - Star Game and All - NBA Team       Denotes player who has been selected for at least one All - Star Game       Denotes player who has been selected for at least one All - NBA Team       Denotes player who never played in the NBA regular season or playoffs       Round   Pick   Player   Position   Nationality   Team   School / club team         Oden , Greg Greg Oden     United States   Portland Trail Blazers   Ohio State ( Fr . )         Durant , Kevin Kevin Durant *   SF   United States   Seattle SuperSonics   Texas ( Fr . )         Horford , Al Al Horford     Dominican Republic   Atlanta Hawks   Florida ( Jr . )         Conley , Mike Mike Conley   PG   United States   Memphis Grizzlies   Ohio State ( Fr . )       5   Green , Jeff Jeff Green   SF   United States   Boston Celtics ( traded to Seattle )   Georgetown ( Jr . )       6   Yi , Jianlian Yi Jianlian   PF   China   Milwaukee Bucks   Guangdong Southern Tigers ( China )       7   Brewer , Corey Corey Brewer   SF   United States   Minnesota Timberwolves   Florida ( Jr . )       8   Wright , Brandan Brandan Wright   PF   United States   Charlotte Bobcats ( traded to Golden State )   North Carolina ( Fr . )       9   Noah , Joakim Joakim Noah     France United States   Chicago Bulls ( from New York )   Florida ( Jr . )       10   Hawes , Spencer Spencer Hawes     United States   Sacramento Kings   Washington ( Fr . )       11   Law , Acie Acie Law   PG   United States   Atlanta Hawks ( from Indiana )   Texas A&amp;M ( Sr . )       12   Young , Thaddeus Thaddeus Young   PF   United States   Philadelphia 76ers   Georgia Tech ( Fr . )       13   Wright , Julian Julian Wright   SF   United States   New Orleans Hornets   Kansas ( So . )       14   Thornton , Al Al Thornton   SF   United States   Los Angeles Clippers   Florida State ( Sr . )       15   Stuckey , Rodney Rodney Stuckey   SG   United States   Detroit Pistons ( from Orlando )   Eastern Washington ( So . )       16   Young , Nick Nick Young   SG   United States   Washington Wizards   USC ( Jr . )       17   Williams , Sean Sean Williams   PF   United States   New Jersey Nets   Boston College ( Jr . )       18   Belinelli , Marco Marco Belinelli   SG   Italy   Golden State Warriors   Fortitudo Bologna ( Italy )       19   Crittenton , Javaris Javaris Crittenton   PG   United States   Los Angeles Lakers   Georgia Tech ( Fr . )       20   Smith , Jason Jason Smith   PF   United States   Miami Heat ( traded to Philadelphia )   Colorado State ( Jr . )       21   Cook , Daequan Daequan Cook   SG   United States   Philadelphia 76ers ( from Denver , traded to Miami )   Ohio State ( Fr . )       22   Dudley , Jared Jared Dudley   SF   United States   Charlotte Bobcats ( from Toronto via Cleveland )   Boston College ( Sr . )       23   Chandler , Wilson Wilson Chandler   SF   United States   New York Knicks ( from Chicago )   DePaul ( So . )       24   Fernández , Rudy Rudy Fernández   SG   Spain   Phoenix Suns ( from Cleveland via Boston , traded to Portland )   Joventut Badalona ( Spain )       25   Almond , Morris Morris Almond   SG   United States   Utah Jazz   Rice ( Sr . )       26   Brooks , Aaron Aaron Brooks   PG   United States   Houston Rockets   Oregon ( Sr . )       27   Afflalo , Arron Arron Afflalo   SG   United States   Detroit Pistons   UCLA ( Jr . )       28   Splitter , Tiago Tiago Splitter     Brazil   San Antonio Spurs   TAU Cerámica ( Spain )       29   Tucker , Alando Alando Tucker   SF   United States   Phoenix Suns   Wisconsin ( Sr . )       30   Koponen , Petteri Petteri Koponen   SG   Finland   Philadelphia 76ers ( from Dallas via Golden State and Denver , traded to Portland )   Tapiolan Honka ( Finland )       31   Landry , Carl Carl Landry   PF   United States   Seattle SuperSonics ( from Memphis , traded to Houston )   Purdue ( Sr . )       32   Pruitt , Gabe Gabe Pruitt   PG   United States   Boston Celtics   USC ( Jr . )       33   Williams , Marcus Marcus Williams   SF   United States   San Antonio Spurs ( from Milwaukee )   Arizona ( So . )       34   Fazekas , Nick Nick Fazekas   PF   United States   Dallas Mavericks ( from Atlanta )   Nevada ( Sr . )       35   Davis , Glen Glen Davis   PF   United States   Seattle SuperSonics ( traded to Boston )   LSU ( Jr . )       36   Davidson , Jermareo Jermareo Davidson   PF   United States   Golden State Warriors ( from Minnesota , traded to Charlotte )   Alabama ( Sr . )       37   McRoberts , Josh Josh McRoberts   PF   United States   Portland Trail Blazers   Duke ( So . )       38   Fesenko , Kyrylo Kyrylo Fesenko     Ukraine   Philadelphia 76ers ( from New York via Chicago , traded to Utah )   SK Cherkassy ( Ukraine ) )       39   Barać , Stanko Stanko Barać     Croatia   Miami Heat ( from Sacramento via Utah and Orlando , traded to Indiana )   Široki Brijeg ( Bosnia and Herzegovina )       40   Sun , Yue Sun Yue   SF   China   Los Angeles Lakers ( from Charlotte )   Beijing Olympians ( ABA )       41   Richard , Chris Chris Richard   PF   United States   Minnesota Timberwolves ( from Philadelphia )   Florida ( Sr . )       42   Byars , Derrick Derrick Byars   SG   United States   Portland Trail Blazers ( from Indiana , traded to Philadelphia )   Vanderbilt ( Sr . )       43   Haluska , Adam Adam Haluska   SG   United States   New Orleans Hornets   Iowa ( Sr . )       44   Terry , Reyshawn Reyshawn Terry   SF   United States   Orlando Magic ( traded to Dallas )   North Carolina ( Sr . )       45   Jordan , Jared Jared Jordan   PG   United States   Los Angeles Clippers   Marist ( Sr . )       46   Lasme , Stephane Stephane Lasme   PF   Gabon   Golden State Warriors ( from New Jersey )   Massachusetts ( Sr . )       47   McGuire , Dominic Dominic McGuire   SF   United States   Washington Wizards   Fresno State ( Jr . )       48   Gasol , Marc Marc Gasol     Spain   Los Angeles Lakers ( traded to Memphis )   Akasvayu Girona ( Spain )       49   Gray , Aaron Aaron Gray     United States   Chicago Bulls ( from Golden State via Phoenix , Boston and Denver )   Pittsburgh ( Sr . )       50   Seibutis , Renaldas Renaldas Seibutis   SG   Lithuania   Dallas Mavericks ( from Miami via L.A. Lakers )   Maroussi ( Greece )       51   Curry , JamesOn JamesOn Curry   PG   United States   Chicago Bulls ( from Denver )   Oklahoma State ( Jr . )       52   Green , Taurean Taurean Green   PG   Georgia   Portland Trail Blazers ( from Toronto )   Florida ( Jr . )       53   Nichols , Demetris Demetris Nichols   SF   United States   Portland Trail Blazers ( from Chicago , traded to New York )   Syracuse ( Sr . )       54   Newley , Brad Brad Newley   SF   Australia   Houston Rockets ( from Cleveland via Orlando )   Townsville Crocodiles ( Australia )       55   Hill , Herbert Herbert Hill   PF   United States   Utah Jazz ( traded to Philadelphia )   Providence ( Sr . )       56   Sessions , Ramon Ramon Sessions   PG   United States   Milwaukee Bucks ( from Houston )   Nevada ( Jr . )       57   Mejia , Sammy Sammy Mejia   SG   Dominican Republic   Detroit Pistons   DePaul ( Sr . )       58   Printezis , Giorgos Giorgos Printezis   PF   Greece   San Antonio Spurs ( traded to Toronto )   Olympia Larissa ( Greece )       59   Strawberry , D.J. D.J. Strawberry   PG   United States   Phoenix Suns   Maryland ( Sr . )       60   Raković , Milovan Milovan Raković     Serbia   Dallas Mavericks ( traded to Orlando )   Mega Ishrana ( Serbia )      Jump up ^ Nationality indicates the player 's national team or representative nationality . If a player has not competed at the international level , then the nationality indicates the national team which the player is eligible to represent according to FIBA rules .    ^ a : Yi Jianlian 's year of birth has been widely disputed , with several sources claiming that Chinese basketball authorities falsified his year of birth from 1984 to 1987 to allow him a longer period of competition in international junior tournaments . A dedicated section of Yi 's Wikipedia article discusses this issue and includes sources . ^ b : Joakim Noah , who was born in the United States to a French father and a Swedish mother , has dual U.S. and French citizenship . He has represented France internationally since 2011 . ^ c : Taurean Green , who was born in the United States , became a naturalized citizen of Georgia in 2010 . He has represented Georgia internationally since 2010 .   Notable undrafted players ( edit )  Gary Neal , not selected in the draft , but signed with the San Antonio Spurs in 2010 .  These players were not selected in the 2007 NBA Draft but have played at least one game in the NBA .     Player   Position   Nationality   School / club team     Ahearn , Blake Blake Ahearn   PG   United States   Missouri State ( Sr . )     Anthony , Joel Joel Anthony     Canada   UNLV ( Sr . )     Ayón , Gustavo Gustavo Ayón   C / PF   Mexico   Baloncesto Fuenlabrada ( Spain )     Brown , Bobby Bobby Brown   PG   United States   Cal State Fullerton ( Sr . )     Dawson , Eric Eric Dawson   PF / C   United States   Midwestern State ( Sr . )     Dowdell , Zabian Zabian Dowdell   PG   United States   Virginia Tech ( Sr . )     Johnson , Ivan Ivan Johnson   PF   United States   Cal State San Bernardino ( Sr . )     Johnson , Trey Trey Johnson   SG   United States   Jackson State ( Sr . )     Karl , Coby Coby Karl   SG   United States   Boise State ( Sr . )     Martin , Cartier Cartier Martin   SF / SG   United States   Kansas State ( Sr . )     Neal , Gary Gary Neal   SG   United States   Towson ( Sr . )     Shakur , Mustafa Mustafa Shakur   PG   United States   Arizona ( Sr . )     Sims , Courtney Courtney Sims     United States   Michigan ( Sr . )     Teletović , Mirza Mirza Teletović   PF   Bosnia and Herzegovina   Saski Baskonia ( Spain )     Tolliver , Anthony Anthony Tolliver   PF   United States   Creighton ( Sr . )     Watkins , Darryl Darryl Watkins     United States   Syracuse ( Sr . )     West , Mario Mario West     United States   Georgia Tech ( Sr . )     Eligibility ( edit )  Further information : Eligibility for the NBA draft  The basic requirements for draft eligibility are :    All drafted players must be at least 19 years of age during the calendar year of the draft ( i.e. , born on or before December 31 , 1988 ) .   Any player who is not an `` international player '' , as defined in the Collective Bargaining Agreement ( CBA ) , must be at least one year removed from the graduation of his high school class .    The CBA defines `` international players '' as players who permanently resided outside the U.S. for three years before the draft , did not complete high school in the U.S. , and have never enrolled at a U.S. college or university .   The basic requirement for automatic eligibility for a U.S. player is the completion of his college eligibility . Players who meet the CBA definition of `` international players '' are automatically eligible if their 22nd birthday falls during or before the calendar year of the draft ( i.e. , born on or before December 31 , 1985 ) .   A player who is not automatically eligible must declare his eligibility for the draft by notifying the NBA offices in writing no later than 60 days before the draft . An early entry candidate is allowed to withdraw his eligibility for the draft by notifying the NBA offices in writing no later than 10 days before the draft . On June 19 , 2007 , NBA announced that 32 college players and 6 international players had filed as early - entry candidates for the 2007 Draft , while 46 players who had previously declared as early entry candidates had withdrawn from the draft .   Draft lottery ( edit )  Further information : NBA draft lottery  The first 14 picks in the draft belonged to teams that had missed the playoffs ; the order was determined through a lottery . The lottery would determine the three teams that would obtain the first three picks on the draft . The remaining first - round picks and the second - round picks were assigned to teams in reverse order of their win - loss record in the previous season . On April 20 , 2007 , the NBA performed a tie - breaker to determine the order of the picks for teams with identical win - loss record .   The lottery was held on May 22 , 2007 in Secaucus , New Jersey . The Portland Trail Blazers , who had the seventh - worst record in the previous season , won the lottery with just a 5.3 % chance to win . This was the fourth time that the Blazers had the first overall draft pick and the first time that the Blazers won the draft lottery since it was introduced in 1985 . The Seattle SuperSonics , who had the fifth - worst record , and the Atlanta Hawks , who had the fourth - worst record , obtained the second and third pick respectively .   Three teams who had the worst records -- the Memphis Grizzlies , the Boston Celtics and the Milwaukee Bucks -- obtained the fourth , fifth and sixth pick respectively . These were the lowest possible picks they could have obtained through the lottery . The most recent draft in which the three worst teams did not receive the top three picks was in 1993 .   Below were the chances for each team to get specific picks in the 2007 draft lottery , rounded to three decimal places :     ^   Denotes the actual lottery results       Team   2006 -- 07 record   Lottery chances   Pick     1st   2nd   3rd   4th   5th   6th   7th   8th   9th   10th   11th   12th   13th   14th     Memphis Grizzlies   22 -- 60   250   . 250   . 215   . 178   . 357 ^   --   --   --   --   --   --   --   --   --   --     Boston Celtics   24 -- 58   199   . 199   . 188   . 171   . 319   . 123 ^   --   --   --   --   --   --   --   --   --     Milwaukee Bucks   28 -- 54   156   . 156   . 157   . 156   . 226   . 265   . 041 ^   --   --   --   --   --   --   --   --     Atlanta Hawks   30 -- 52   119   . 119   . 126   . 133 ^   . 099   . 350   . 161   . 013   --   --   --   --   --   --   --     Seattle SuperSonics   31 -- 51   88   . 088   . 097 ^   . 107   --   . 261   . 359   . 084   . 004   --   --   --   --   --   --     Minnesota Timberwolves   32 -- 50   53   . 053   . 060   . 070   --   --   . 439   . 331 ^   . 046   . 001   --   --   --   --   --     Portland Trail Blazers   32 -- 50   53   . 053 ^   . 060   . 070   --   --   --   . 572   . 226   . 018   . 000   --   --   --   --     Charlotte Bobcats   33 -- 49   19   . 019   . 022   . 027   --   --   --   --   . 725 ^   . 196   . 011   . 000   --   --   --     New York Knicks   33 -- 49   19   . 019   . 022   . 027   --   --   --   --   --   . 784 ^   . 143   . 005   . 000   --   --     Sacramento Kings   33 -- 49   18   . 018   . 021   . 025   --   --   --   --   --   --   . 846 ^   . 087   . 002   . 000   --     Indiana Pacers   35 -- 47   8   . 008   . 009   . 012   --   --   --   --   --   --   --   . 907 ^   . 063   . 001   . 000     Philadelphia 76ers   35 -- 47   7   . 007   . 008   . 010   --   --   --   --   --   --   --   --   . 935 ^   . 039   . 000     New Orleans Hornets   39 -- 43   6   . 006   . 007   . 009   --   --   --   --   --   --   --   --   --   . 960 ^   . 018     Los Angeles Clippers   40 -- 42   5   . 005   . 006   . 007   --   --   --   --   --   --   --   --   --   --   . 982 ^     ^ 1 : Atlanta Hawks ' pick would be conveyed to the Phoenix Suns if it was not in the top three . ^ 2 : New York Knicks ' pick was conveyed to the Chicago Bulls . ^ 3 : Indiana Pacers ' pick was conveyed to the Atlanta Hawks because it was not in the top ten .   Trades involving draft picks ( edit )   Draft - day trades ( edit )   The following trades involving drafted players were made on the day of the draft .    Seattle acquired Wally Szczerbiak , Delonte West , the draft rights to 5th pick Jeff Green and a 2008 second - round draft pick from Boston in exchange for Ray Allen and the draft rights to 35th pick Glen Davis .   Golden State acquired the draft rights to 8th pick Brandan Wright from Charlotte in exchange for Jason Richardson and the draft rights to 36th pick Jermareo Davidson .   Philadelphia acquired the draft rights to 20th pick Jason Smith from Miami in exchange for the draft rights to 21st pick Daequan Cook , a 2009 second - round draft pick and cash considerations .   Portland acquired James Jones and the draft rights to 24th pick Rudy Fernández from Phoenix in exchange for cash considerations . The trade was finalized on July 11 , 2007 .   Portland acquired the draft rights to 30th pick Petteri Koponen from Philadelphia in exchange for the draft rights to 42nd pick Derrick Byars and cash considerations .   Houston acquired the draft rights to 31st pick Carl Landry from Seattle in exchange for a 2008 second - round draft pick and cash considerations .   Utah acquired the draft rights to 38th pick Kyrylo Fesenko from Philadelphia in exchange for the draft rights to 55th pick Herbert Hill and future draft considerations .   Indiana acquired the draft rights to 39th pick Stanko Barać from Miami in exchange for a 2009 second - round draft pick .   Dallas acquired the draft rights to 44th pick Reyshawn Terry from Orlando in exchange for the draft rights to 60th pick Milovan Raković .   New York acquired Zach Randolph , Dan Dickau , Fred Jones and the draft rights to 53rd pick Demetris Nichols from Portland in exchange for Steve Francis , Channing Frye and a 2008 second - round draft pick .   Toronto acquired the draft rights to 58th pick Giorgos Printezis from San Antonio in exchange for a 2008 second - round draft pick .    Pre-draft trades ( edit )   Before the draft , the following trades were made and resulted in exchanges of draft picks between the teams .    On October 4 , 2005 , Chicago acquired an option to swap 2007 first - round draft picks , a 2006 first - round draft pick , 2007 and 2009 second - round draft picks , Tim Thomas , Michael Sweetney and Jermaine Jackson from New York in exchange for Eddy Curry and Antonio Davis . The options to swap 2007 first - round draft picks were exercised , hence Chicago acquired New York 's first - round draft pick and New York acquired Chicago 's first - round draft pick . Chicago used the 9th pick to draft Joakim Noah and New York used the 23rd pick to draft Wilson Chandler .   On August 22 , 2006 , Atlanta acquired a 2007 first - round draft pick and cash considerations from Indiana in exchange for Al Harrington and John Edwards . Atlanta used the 11th pick to draft Acie Law .   On February 15 , 2006 , Detroit acquired a 2007 first - round draft pick and Kelvin Cato from Orlando in exchange for Darko Miličić and Carlos Arroyo . Detroit used the 15th pick to draft Rodney Stuckey .   On December 19 , 2006 , Philadelphia acquired Denver 's and Dallas ' 2007 first - round draft picks , Andre Miller and Joe Smith from Denver in exchange for Allen Iverson and Ivan McFarlin . Previously , Denver acquired Dallas ' 2007 first - round draft pick , Eduardo Nájera and Luis Flores on February 24 , 2005 from Golden State in exchange for Rodney White and Nikoloz Tskitishvili . Earlier , Golden State acquired two future first - round draft picks , Eduardo Nájera , Christian Laettner , the draft rights to Luis Flores and Mladen Šekularac and cash considerations on August 24 , 2004 from Dallas in exchange for Erick Dampier , Evan Eschmeyer , Dan Dickau and the draft rights to Steve Logan . Denver used the 21st and 30th picks to draft Daequan Cook and Petteri Koponen respectively .   On June 23 , 2004 , Charlotte acquired Toronto 's 2007 first - round draft pick from Cleveland in exchange for Sasha Pavlović . Previously , Cleveland acquired a 2007 first - round draft pick and Michael Stewart on September 25 , 2002 from Toronto in exchange for Lamond Murray and a 2004 second round draft pick . Charlotte used the 22nd pick to draft Jared Dudley .   On June 28 , 2006 , Phoenix acquired Cleveland 's 2007 first - round draft pick from Boston in exchange for Brian Grant , the draft rights to Rajon Rondo and cash considerations . Previously , Boston acquired a 2007 first - round draft pick on February 24 , 2005 from Cleveland in exchange for Jiří Welsch . Phoenix used the 24th pick to draft Rudy Fernández .   On August 19 , 2005 , Phoenix acquired 2006 and future first - round draft picks and Boris Diaw from Atlanta in exchange for Joe Johnson . Atlanta 's 2007 first - round draft pick was top - three protected and hence the pick was not conveyed to Phoenix . Instead , Atlanta would convey their 2008 first - round draft pick to Phoenix .   On June 28 , 2005 , Seattle acquired 2006 and 2007 second - round draft picks from Memphis in exchange for the draft rights to Lawrence Roberts . Seattle used the 31st pick to draft Carl Landry .   On June 28 , 2006 , San Antonio acquired a 2007 second - round draft pick from Milwaukee in exchange for the draft rights to Damir Markota . San Antonio used the 33rd pick to draft Marcus Williams .   On February 22 , 2007 , Dallas acquired a 2007 second - round draft pick from Atlanta in exchange for Anthony Johnson . Dallas used the 34th pick to draft Nick Fazekas .   On February 21 , 2002 , Golden State acquired a 2007 second - round draft pick and Dean Garrett from Minnesota in exchange for Marc Jackson . Golden State used the 36th pick to draft Jermareo Davidson .   On June 28 , 2006 , Philadelphia acquired New York 's 2007 second - round draft pick , the draft rights to Rodney Carney and cash considerations from Chicago in exchange for the draft rights to Thabo Sefolosha . Previously , Chicago acquired an option to swap 2007 first - round draft picks , a 2006 first - round draft pick , 2007 and 2009 second - round draft picks , Tim Thomas , Michael Sweetney and Jermaine Jackson on October 4 , 2005 from New York in exchange for Eddy Curry and Antonio Davis . Philadelphia used the 38th pick to draft Kyrylo Fesenko .   On June 7 , 2007 , Miami acquired Sacramento 's 2007 and Miami 's 2008 second - round draft picks from Orlando as part of the hiring of Stan Van Gundy as Orlando 's head coach . Previously , Orlando acquired Sacramento 's second - round draft pick and DeShawn Stevenson on February 19 , 2004 from Utah in exchange for Gordan Giriček . Earlier , Utah acquired 2004 and 2007 second - round draft picks and Keon Clark on August 3 , 2003 from Sacramento in exchange for a 2004 second - round draft pick . Miami used the 39th pick to draft Stanko Barać .   On October 26 , 2005 , the L.A. Lakers acquired a 2007 second - round draft pick from Charlotte in exchange for Jumaine Jones . The L.A. Lakers used the 40th pick to draft Sun Yue .   On June 28 , 2006 , Minnesota acquired a 2007 second - round draft pick and cash considerations from Philadelphia in exchange for the draft rights to Bobby Jones . Minnesota used the 41st pick to draft Chris Richard .   On June 28 , 2006 , Portland acquired 2007 and 2008 second - round draft picks and the draft rights to Alexander Johnson from Indiana in exchange for the draft rights to James White . Portland used the 42nd pick to draft Derrick Byars   On February 14 , 2005 , Golden State acquired 2005 and 2007 second - round draft picks from New Jersey in exchange for Clifford Robinson . Golden State used the 46th pick to draft Stephane Lasme .   On July 20 , 2006 , Chicago acquired Denver 's and Golden State 's 2007 second - round draft picks and Howard Eisley from Denver in exchange for J.R. Smith . Previously , Denver acquired Golden State 's 2007 second - round draft pick on June 28 , 2006 from Boston in exchange for the draft rights to Leon Powe . Beforehand , Boston acquired Golden State 's 2007 second - round draft pick on February 8 , 2005 from Phoenix in exchange for Walter McCarty and cash considerations . Earlier , Phoenix acquired 2007 and 2009 second - round draft picks on January 3 , 2005 from Golden State in exchange for Žarko Čabarkapa . Chicago used the 49th and 51st picks to draft Aaron Gray and JamesOn Curry .   On June 28 , 2006 , Dallas acquired Miami 's 2007 second - round draft pick from the L.A. Lakers in exchange for the draft rights to J.R. Pinnock . Previously , the L.A. Lakers acquired a 2006 first - round draft pick , a 2007 second - round draft pick , Lamar Odom , Caron Butler and Brian Grant on July 14 , 2004 from Miami in exchange for Shaquille O'Neal . Dallas used the 50th pick to draft Renaldas Seibutis .   On October 10 , 1997 , Portland acquired a 2007 second - round draft pick from Toronto in a three - team trade with Toronto and New York . Portland used the 52nd pick to draft Taurean Green .   On June 28 , 2006 , Portland acquired a 2007 second - round draft pick and the draft rights to LaMarcus Aldridge from Chicago in exchange for the draft rights to Tyrus Thomas and Viktor Khryapa . Portland used the 53rd pick to draft Demetris Nichols .   Hours before the start of the draft , Houston acquired the 54th pick from Orlando in exchange for cash considerations . Previously , Orlando acquired 2005 and 2007 second - round draft picks and Tony Battie on July 23 , 2004 from Cleveland in exchange for Drew Gooden , Steven Hunter and Anderson Varejão . Houston used the 54th pick to draft Brad Newley .   On February 24 , 2005 , Milwaukee acquired 2006 and 2007 second - round draft picks and Reece Gaines from Houston in exchange for Mike James and Zendon Hamilton . Milwaukee used the 56th pick to draft Ramon Sessions .    References ( edit )    General     `` 2007 NBA Draft '' . basketball-reference.com . Sports Reference LLC . Retrieved June 29 , 2009 .   `` 2007 NBA Draft Board '' . NBA . Retrieved June 29 , 2009 .     Specific     Jump up ^ `` 2007 NBA Draft Draws Increased Global Interest '' . NBA . June 26 , 2007 . Retrieved August 24 , 2009 .   Jump up ^ `` Trail Blazers take ex-Ohio State star Oden with top choice '' . ESPN . June 29 , 2007 . Retrieved August 6 , 2009 .   Jump up ^ `` Oden 's recovery from surgery likely in range of 6 -- 12 months '' . ESPN . September 14 , 2007 . Retrieved August 6 , 2009 .   Jump up ^ Mahoney , Brian ( June 29 , 2007 ) . `` Oden to Blazers , Oden to Sonics '' . USA Today . Gannett Co. Inc . Retrieved August 6 , 2009 .   Jump up ^ `` Kevin Durant Named T - Mobile Rookie of the Year '' . NBA . May 1 , 2008 . Archived from the original on April 29 , 2009 . Retrieved April 23 , 2009 .   Jump up ^ Lee , Michael ( June 29 , 2007 ) . `` A Case of Natural Selection '' . The Washington Post . The Washington Post Company . Archived from the original on August 11 , 2009 . Retrieved August 6 , 2009 .   Jump up ^ Lawlor , Christopher ( June 29 , 2007 ) . `` Notes : No. 3 pick Horford eager to help Hawks '' . USA Today . Gannett Co. Inc . Retrieved August 6 , 2009 .   Jump up ^ `` Sonics ' Allen traded to Celts for Wally , West &amp; Green '' . ESPN . June 29 , 2007 . Retrieved August 6 , 2009 .   Jump up ^ `` Randolph heading to Knicks , Francis shipped to Blazers in draft - day trade '' . ESPN . June 29 , 2007 . Retrieved August 6 , 2009 .   ^ Jump up to : `` NBA draft - day trade overview '' . ESPN . June 29 , 2007 . Retrieved August 6 , 2009 .   Jump up ^ DuPree , David ( June 28 , 2007 ) . `` Florida trio tapped in top 10 ; Celts land Ray Allen '' . USA Today . Gannett Co. Inc . Retrieved May 3 , 2009 .   ^ Jump up to : Carey , Jack ( June 28 , 2007 ) . `` First round awaits Gators after second collegiate title '' . USA Today . Gannett Co. Inc . Retrieved August 6 , 2009 .   Jump up ^ `` NBA Draft Superlatives '' . CBS College Sports . CSTV Networks , Inc . June 29 , 2007 . Archived from the original on August 11 , 2009 . Retrieved August 6 , 2009 .   Jump up ^ `` Portland Selects Oden With Top Pick '' . Channel3000.com . Internet Broadcasting Systems , Inc . June 29 , 2007 . Archived from the original on August 11 , 2009 . Retrieved August 7 , 2009 .   Jump up ^ `` Freshmen could produce record number in the ' 08 draft '' . ESPN . June 24 , 2008 . Retrieved August 6 , 2009 .   ^ Jump up to : `` Final Early Entry Candidates for 2007 NBA Draft '' . NBA . June 21 , 2007 . Archived from the original on May 17 , 2009 . Retrieved May 3 , 2009 .   Jump up ^ `` Rudy Fernandez Draft 2007 Profile '' . NBA . Retrieved August 19 , 2009 .   Jump up ^ `` Tiago Splitter Draft 2007 Profile '' . NBA . Retrieved August 19 , 2009 .   Jump up ^ `` Petteri Koponen Stats - ESPN '' . Espn.go.com. April 13 , 1988 . Retrieved November 9 , 2012 .   Jump up ^ `` Stanko Barac Stats - ESPN '' . Espn.go.com . August 8 , 1986 . Retrieved November 9 , 2012 .   Jump up ^ `` Yue Sun Draft 2007 Profile '' . NBA . Retrieved August 19 , 2009 .   Jump up ^ `` Adam Haluska Stats - ESPN '' . Espn.go.com . November 16 , 1983 . Retrieved November 9 , 2012 .   Jump up ^ `` Reyshawn Terry Stats - ESPN '' . Espn.go.com. April 7 , 1984 . Retrieved N</t>
  </si>
  <si>
    <t xml:space="preserve">who was drafted the same year as kevin durant</t>
  </si>
  <si>
    <t xml:space="preserve">   Round   Pick   Player   Position   Nationality   Team   School / club team         Oden , Greg Greg Oden     United States   Portland Trail Blazers   Ohio State ( Fr . )         Durant , Kevin Kevin Durant *   SF   United States   Seattle SuperSonics   Texas ( Fr . )         Horford , Al Al Horford     Dominican Republic   Atlanta Hawks   Florida ( Jr . )         Conley , Mike Mike Conley   PG   United States   Memphis Grizzlies   Ohio State ( Fr . )       5   Green , Jeff Jeff Green   SF   United States   Boston Celtics ( traded to Seattle )   Georgetown ( Jr . )       6   Yi , Jianlian Yi Jianlian   PF   China   Milwaukee Bucks   Guangdong Southern Tigers ( China )       7   Brewer , Corey Corey Brewer   SF   United States   Minnesota Timberwolves   Florida ( Jr . )       8   Wright , Brandan Brandan Wright   PF   United States   Charlotte Bobcats ( traded to Golden State )   North Carolina ( Fr . )       9   Noah , Joakim Joakim Noah     France United States   Chicago Bulls ( from New York )   Florida ( Jr . )       10   Hawes , Spencer Spencer Hawes     United States   Sacramento Kings   Washington ( Fr . )       11   Law , Acie Acie Law   PG   United States   Atlanta Hawks ( from Indiana )   Texas A&amp;M ( Sr . )       12   Young , Thaddeus Thaddeus Young   PF   United States   Philadelphia 76ers   Georgia Tech ( Fr . )       13   Wright , Julian Julian Wright   SF   United States   New Orleans Hornets   Kansas ( So . )       14   Thornton , Al Al Thornton   SF   United States   Los Angeles Clippers   Florida State ( Sr . )       15   Stuckey , Rodney Rodney Stuckey   SG   United States   Detroit Pistons ( from Orlando )   Eastern Washington ( So . )       16   Young , Nick Nick Young   SG   United States   Washington Wizards   USC ( Jr . )       17   Williams , Sean Sean Williams   PF   United States   New Jersey Nets   Boston College ( Jr . )       18   Belinelli , Marco Marco Belinelli   SG   Italy   Golden State Warriors   Fortitudo Bologna ( Italy )       19   Crittenton , Javaris Javaris Crittenton   PG   United States   Los Angeles Lakers   Georgia Tech ( Fr . )       20   Smith , Jason Jason Smith   PF   United States   Miami Heat ( traded to Philadelphia )   Colorado State ( Jr . )       21   Cook , Daequan Daequan Cook   SG   United States   Philadelphia 76ers ( from Denver , traded to Miami )   Ohio State ( Fr . )       22   Dudley , Jared Jared Dudley   SF   United States   Charlotte Bobcats ( from Toronto via Cleveland )   Boston College ( Sr . )       23   Chandler , Wilson Wilson Chandler   SF   United States   New York Knicks ( from Chicago )   DePaul ( So . )       24   Fernández , Rudy Rudy Fernández   SG   Spain   Phoenix Suns ( from Cleveland via Boston , traded to Portland )   Joventut Badalona ( Spain )       25   Almond , Morris Morris Almond   SG   United States   Utah Jazz   Rice ( Sr . )       26   Brooks , Aaron Aaron Brooks   PG   United States   Houston Rockets   Oregon ( Sr . )       27   Afflalo , Arron Arron Afflalo   SG   United States   Detroit Pistons   UCLA ( Jr . )       28   Splitter , Tiago Tiago Splitter     Brazil   San Antonio Spurs   TAU Cerámica ( Spain )       29   Tucker , Alando Alando Tucker   SF   United States   Phoenix Suns   Wisconsin ( Sr . )       30   Koponen , Petteri Petteri Koponen   SG   Finland   Philadelphia 76ers ( from Dallas via Golden State and Denver , traded to Portland )   Tapiolan Honka ( Finland )       31   Landry , Carl Carl Landry   PF   United States   Seattle SuperSonics ( from Memphis , traded to Houston )   Purdue ( Sr . )       32   Pruitt , Gabe Gabe Pruitt   PG   United States   Boston Celtics   USC ( Jr . )       33   Williams , Marcus Marcus Williams   SF   United States   San Antonio Spurs ( from Milwaukee )   Arizona ( So . )       34   Fazekas , Nick Nick Fazekas   PF   United States   Dallas Mavericks ( from Atlanta )   Nevada ( Sr . )       35   Davis , Glen Glen Davis   PF   United States   Seattle SuperSonics ( traded to Boston )   LSU ( Jr . )       36   Davidson , Jermareo Jermareo Davidson   PF   United States   Golden State Warriors ( from Minnesota , traded to Charlotte )   Alabama ( Sr . )       37   McRoberts , Josh Josh McRoberts   PF   United States   Portland Trail Blazers   Duke ( So . )       38   Fesenko , Kyrylo Kyrylo Fesenko     Ukraine   Philadelphia 76ers ( from New York via Chicago , traded to Utah )   SK Cherkassy ( Ukraine ) )       39   Barać , Stanko Stanko Barać     Croatia   Miami Heat ( from Sacramento via Utah and Orlando , traded to Indiana )   Široki Brijeg ( Bosnia and Herzegovina )       40   Sun , Yue Sun Yue   SF   China   Los Angeles Lakers ( from Charlotte )   Beijing Olympians ( ABA )       41   Richard , Chris Chris Richard   PF   United States   Minnesota Timberwolves ( from Philadelphia )   Florida ( Sr . )       42   Byars , Derrick Derrick Byars   SG   United States   Portland Trail Blazers ( from Indiana , traded to Philadelphia )   Vanderbilt ( Sr . )       43   Haluska , Adam Adam Haluska   SG   United States   New Orleans Hornets   Iowa ( Sr . )       44   Terry , Reyshawn Reyshawn Terry   SF   United States   Orlando Magic ( traded to Dallas )   North Carolina ( Sr . )       45   Jordan , Jared Jared Jordan   PG   United States   Los Angeles Clippers   Marist ( Sr . )       46   Lasme , Stephane Stephane Lasme   PF   Gabon   Golden State Warriors ( from New Jersey )   Massachusetts ( Sr . )       47   McGuire , Dominic Dominic McGuire   SF   United States   Washington Wizards   Fresno State ( Jr . )       48   Gasol , Marc Marc Gasol     Spain   Los Angeles Lakers ( traded to Memphis )   Akasvayu Girona ( Spain )       49   Gray , Aaron Aaron Gray     United States   Chicago Bulls ( from Golden State via Phoenix , Boston and Denver )   Pittsburgh ( Sr . )       50   Seibutis , Renaldas Renaldas Seibutis   SG   Lithuania   Dallas Mavericks ( from Miami via L.A. Lakers )   Maroussi ( Greece )       51   Curry , JamesOn JamesOn Curry   PG   United States   Chicago Bulls ( from Denver )   Oklahoma State ( Jr . )       52   Green , Taurean Taurean Green   PG   Georgia   Portland Trail Blazers ( from Toronto )   Florida ( Jr . )       53   Nichols , Demetris Demetris Nichols   SF   United States   Portland Trail Blazers ( from Chicago , traded to New York )   Syracuse ( Sr . )       54   Newley , Brad Brad Newley   SF   Australia   Houston Rockets ( from Cleveland via Orlando )   Townsville Crocodiles ( Australia )       55   Hill , Herbert Herbert Hill   PF   United States   Utah Jazz ( traded to Philadelphia )   Providence ( Sr . )       56   Sessions , Ramon Ramon Sessions   PG   United States   Milwaukee Bucks ( from Houston )   Nevada ( Jr . )       57   Mejia , Sammy Sammy Mejia   SG   Dominican Republic   Detroit Pistons   DePaul ( Sr . )       58   Printezis , Giorgos Giorgos Printezis   PF   Greece   San Antonio Spurs ( traded to Toronto )   Olympia Larissa ( Greece )       59   Strawberry , D.J. D.J. Strawberry   PG   United States   Phoenix Suns   Maryland ( Sr . )       60   Raković , Milovan Milovan Raković     Serbia   Dallas Mavericks ( traded to Orlando )   Mega Ishrana ( Serbia )   </t>
  </si>
  <si>
    <t xml:space="preserve">YouTube Play Button - Wikipedia  YouTube Play Button  This is the latest accepted revision , reviewed on 6 November 2017 . Jump to : navigation , search  YouTube Play Buttons , a part of the YouTube Creator Rewards , are a recognition by YouTube of its most popular channels .   These are distinct from the YouTube Awards which are intended to recognize the best quality videos , while the YouTube Creator Rewards are based solely on a channel 's subscriber count .   Awards ( edit )   When a verified YouTuber reaches a specific milestone , they are awarded a relatively flat trophy in a metal casing with a YouTube play button symbol . The trophies are of different sizes : each button and plaque get progressively bigger the more subscribers the channel gets .   There are currently three levels of rewards , plus a fourth one that has been awarded to only one YouTuber thus far :    The Silver Play Button , for channels that surpass 100,000 subscribers . Old version made of nickel plated copper - nickel alloy .   The Gold Play Button , for channels that surpass 1,000,000 subscribers . It is made of gold - plated brass .   The Diamond Play Button , for channels that surpass 10,000,000 subscribers . Made of silver plated metal inset with a large piece of crystal in the shape of a play button triangle .   In December 2016 , YouTuber PewDiePie received a ruby trophy , known as the Ruby Play Button , as a gift for reaching 50,000,000 subscribers . It was made in the shape of his channel 's logo , a hand in the process of giving a fist bump . It came with several mini-awards to give out to subscribers that was with him the longest and are still active . It is not referenced in the Creators Award page and it is unknown if such a trophy will be given out to any other YouTuber who surpasses the milestone in the future .    Notes ( edit )    Acuna , Kirsten ( July 19 , 2012 ) . `` YouTube Is Rewarding Its Most Popular Users With Gold '' . Business Insider . Retrieved April 12 , 2016 .   Brouwer , Bree ( July 24 , 2015 ) . `` YouTube Gives New Diamond Play Button To Channels With 10 Million Subscribers '' . Tubefilter . Retrieved April 12 , 2016 .   Cohen , Joshua ( June 29 , 2012 ) . `` YouTube Gives 24 - Karat Gold ' Play Button ' to Channels with 1M+ Subs '' . Tubefilter . Retrieved April 12 , 2016 .   Dillon , Poppy ( August 3 , 2015 ) . `` YouTube Announced Diamond Play Button '' . TenEighty . Retrieved April 12 , 2016 .    References ( edit )    Jump up ^ `` YouTube Creator Rewards '' n.d.   Jump up ^ YouTube . `` YouTube Creator Hub '' . Retrieved 1 February 2017 .   Jump up ^ `` YouTube Creator Rewards '' . YouTube . Retrieved April 12 , 2016 .   ^ Jump up to : `` What is the Gold Play Button REALLY Made Of ? '' . YouTube . Retrieved June 6 , 2017 .   Jump up ^ `` PewdiePie 's video on receiving the award '' . Retrieved 1 May 2017 .   Jump up ^ `` YouTube Sends PewDiePie Custom Ruby Play Button To Commemorate 50 Million Subscribers '' . TubeFilter . Retrieved 1 May 2017 .              YouTube     Founders     Steve Chen   Chad Hurley   Jawed Karim         Events     Awards   CNN / YouTube presidential debates   Comedy Week   Live   Music Awards   Orchestra       Channels     Most - subscribed channels   Spotlight channel   Multi-channel network ( MCN )   Original channels   Personalities   Vevo channels   YouTube Red       Culture     Let 's Play   Video game walkthrough   YouTube Poop   YouTube Rewind       Lists     Most - viewed videos   in the first 24 hours videos and trailers     Most - liked videos   Most - disliked videos   Most - viewed Vevo videos   List of MCNs       Related articles     API   Censorship   Copyright issues   History   Play Buttons   Social impact   Viacom conflict   Viral video   List of viral videos             This Internet - related article is a stub . You can help Wikipedia by expanding it .            Retrieved from `` https://en.wikipedia.org/w/index.php?title=YouTube_Play_Button&amp;oldid=808921667 '' Categories :   YouTube   Awards established in 2012   Internet stubs   Hidden categories :   Wikipedia pending changes protected pages ( level 1 )   All stub articles           Talk                                                             About Wikipedia                                           Afrikaans     Cebuano   فارسی   Français   Português   Русский   Türkçe   Українська   Edit links   This page was last edited on 6 November 2017 , at 01 : 27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</si>
  <si>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subscribers to get a silver play button</t>
  </si>
  <si>
    <t xml:space="preserve"> The Silver Play Button , for channels that surpass 100,000 subscribers . Old version made of nickel plated copper - nickel alloy . </t>
  </si>
  <si>
    <t xml:space="preserve">Oceans ( Where Feet May Fail ) - wikipedia  Oceans ( Where Feet May Fail )  Jump to : navigation , search    `` Oceans ( Where Feet May Fail ) ''         Single by Hillsong United     from the album Zion     Released   23 August 2013 ( 2013 - 08 - 23 )     Format   Digital download     Recorded   2013     Genre   Worship     Length   8 : 55 ( Album version ) 4 : 09 ( Radio version )     Label     Hillsong   Capitol CMG       Songwriter ( s )     Matt Crocker   Joel Houston   Salomon Ligthelm       Producer ( s )   Michael Guy Chislett     Hillsong United singles chronology        `` Scandal of Grace '' ( 2013 )   `` Oceans ( Where Feet May Fail ) '' ( 2013 )   `` Touch the Sky '' ( 2015 )           `` Scandal of Grace '' ( 2013 )   `` Oceans ( Where Feet May Fail ) '' ( 2013 )   `` Touch the Sky '' ( 2015 )        `` Oceans ( Where Feet May Fail ) '' is a song by Australian worship group Hillsong United . It was released on 23 August 2013 as the second and final single from their third studio album , Zion ( 2013 ) . The song is led by Taya Smith , and was written by Matt Crocker , Joel Houston and Salomon Ligthelm , with production being handled by Michael Guy Chislett .     Contents  ( hide )   1 Awards   2 Critical reception   3 Chart performance   4 Track listing   5 Charts   5.1 Weekly charts   5.2 Year - end charts     6 Certifications   7 Release history   8 References      Awards ( edit )   The song won many of the main categories at the 2014 GMA Dove Awards . It won the `` Song of the Year '' , `` Contemporary Christian Performance of the Year '' , `` Pop / Contemporary Song of the Year '' , `` Worship Song of the Year '' , and Hillsong United was named the `` Artist of the Year '' .   Critical reception ( edit )   Ryan Barbee of Jesus Freak Hideout said `` ' Oceans ( Where Feet May Fail ) ' continues ( the album ) with a more intimate tone and will surely grasp the heart of the listener as the song reiterates , ' Spirit lead me where my trust is without boarders ( sic ) , let me walk upon the waters wherever you would call me ' . The music builds and builds to a gorgeous climax that will pull on your heartstrings whilst being encouraged by the faith that only the Holy Spirit can give . '' Louder Than the Music 's Jono Davies stated `` ( Oceans ) has a stunning orchestral opening before out of nowhere a voice hits you . The voice is stunning , yet haunting , all in the same breath . The song then builds musically from atmospheric haunting tones to sheer epicness . I can hear people just getting lost in worship at a Hillsong conference to this song . ''   Chart Performance ( edit )   `` Oceans ( Where Feet May Fail ) '' reached No. 1 on the Billboard Hot Christian Songs chart , and stayed atop of the charts for 45 consecutive weeks until it was dethroned by Carrie Underwood 's `` Something in the Water '' in October 2014 . The song rebounded to No. 1 for another five weeks until the chart week of 23 May 2015 , marking a total of 50 non-consecutive weeks atop of the chart . In total , the song spent a record 61 weeks atop of the chart .   It has since become the longest running No. 1 song on the chart .   Track listing ( edit )     Digital download     No .   Title   Length     1 .   `` Oceans ( Where Feet May Fail ) ''   8 : 55       Digital download     No .   Title   Length     1 .   `` Océanos ( Donde Mis Pies Pueden Fallar ) ''   4 : 19     Charts ( edit )      Weekly charts ( edit )     Chart ( 2013 -- 14 )   Peak position     US Billboard Hot 100   83     US Christian Songs ( Billboard )       US Heatseeker Songs ( Billboard )   11       Year - end charts ( edit )     Chart ( 2014 )   Peak position     US Christian Songs ( Billboard )         Chart ( 2015 )   Peak position     US Christian Songs ( Billboard )         Chart ( 2016 )   Peak position     US Christian Songs ( Billboard )          Certifications ( edit )     Region   Certification   Certified units / Sales     United States ( RIAA )   2 × Platinum   2,000,000      sales figures based on certification alone shipments figures based on certification alone sales + streaming figures based on certification alone      Release history ( edit )     Region   Date   Format   Label   Ref .     Australia   22 February 2013   Digital download     Hillsong   Capitol CMG         Worldwide   23 February 2013       United States   26 February 2013       23 August 2013   Christian radio   Sparrow       Worldwide   30 September 2014   Digital download ( Spanish version )     Hillsong   Capitol CMG   Sparrow         References ( edit )    ^ Jump up to : `` UNITED - Oceans ( Where Feet May Fail ) - Daily Play MPE '' . Daily Play MPE. 17 July 2013 . Retrieved 29 June 2017 .   Jump up ^ Kate Shellnutt ( 10 June 2015 ) . `` ' Oceans ' Keeps Rising - Christianity Today '' . Christianity Today . Retrieved 29 June 2017 .   Jump up ^ `` Oceans - Hillsong United - Credits - AllMusic '' . AllMusic . Retrieved 29 June 2017 .   Jump up ^ `` JFH News : Hillsong UNITED Honored With 5 Dove Awards Including Artist , and Song of the Year Awards '' . Jesus Freak Hideout. 8 October 2014 . Retrieved 29 June 2017 .   Jump up ^ Ryan Barbee ( 24 February 2013 ) . `` Jesusfreakhideout.com : Hillsong UNITED , ' Zion ' Review '' . Jesus Freak Hideout . Retrieved 29 June 2017 .   Jump up ^ Jono Davies . `` Louder Than The Music - Hillsong United - Zion '' . Louder Than the Music . Retrieved 29 June 2017 .   Jump up ^ Wade Jessen ( 9 December 2014 ) . `` The Year in Christian Music : Hillsong and Carrie Underwood Triumph - Billboard '' . Billboard . Retrieved 29 June 2017 .   Jump up ^ `` Christian Music : Praise and Worship Songs Chart - Billboard '' . Billboard . Retrieved 29 June 2017 .   Jump up ^ Jim Asker ( 8 February 2017 ) . `` Country Goes Christian : Reba McEntire No. 1 , Tim McGraw and Faith Hill Debut - Billboard '' . Billboard . Retrieved 29 June 2017 .   Jump up ^ Herb Longs ( 26 April 2016 ) . `` Kari Jobe Performs ' Oceans ' With Hillsong Worship On Outcry Tour '' . The Christian Beat . Retrieved 29 June 2017 .   ^ Jump up to : Worldwide digital release of `` Oceans ( Where Feet May Fail ) '' :   `` Zion by Hillsong UNITED on Apple Music '' . iTunes Store ( UK ) . Retrieved 29 June 2017 .   `` Zion av Hillsong UNITED på Apple Music '' ( in Swedish ) . iTunes Store ( SE ) . Retrieved 29 June 2017 .   `` Zion by Hillsong UNITED on Apple Music '' . iTunes Store ( ZA ) . Retrieved 29 June 2017 .     ^ Jump up to : Worldwide digital release of `` Océanos ( Donde Mis Pies Pueden Fallar ) '' :   `` Océanos ( Donde Mis Pies Pueden Fallar ) - Single by Hillsong UNITED on Apple Music '' . iTunes Store ( US ) . Retrieved 29 June 2017 .   `` Océanos - Single by Hillsong UNITED on Apple Music '' . iTunes Store ( UK ) . Retrieved 29 June 2017 .   `` Océanos - Single av Hillsong UNITED på Apple Music '' ( in Swedish ) . iTunes Store ( SE ) . Retrieved 29 June 2017 .   `` Océanos - Single by Hillsong UNITED on Apple Music '' . iTunes Store ( ZA ) . Retrieved 29 June 2017 .   `` Océanos - Single by Hillsong UNITED on Apple Music '' . iTunes Store ( AU ) . Retrieved 29 June 2017 .     Jump up ^ `` Hillsong United -- Chart history '' Billboard Hot 100 for Hillsong United . Retrieved 29 June 2017 .   Jump up ^ `` Hillsong United -- Chart history '' Billboard Christian Songs for Hillsong United . Retrieved 29 June 2017 .   Jump up ^ `` Hillsong United - Chart history ( Heatseeker Songs ) '' . Billboard . Retrieved 29 June 2017 .   Jump up ^ `` Hot Christian Songs - Year - End 2014 - Billboard '' . Retrieved 29 June 2017 .   Jump up ^ `` Hot Christian Songs - Year - End 2015 - Billboard '' . Retrieved 29 June 2017 .   Jump up ^ `` Hot Christian Songs - Year - End 2016 - Billboard '' . Retrieved 29 June 2017 .   Jump up ^ `` American single certifications -- Hillsong United '' . Recording Industry Association of America . Retrieved 29 June 2017 . If necessary , click Advanced , then click Format , then select Single , then click SEARCH   Jump up ^ `` Zion ( Deluxe Edition ) by Hillsong UNITED on Apple Music '' . iTunes Store ( AU ) . Retrieved 29 June 2017 .   Jump up ^ `` Zion by Hillsong UNITED on Apple Music '' . iTunes Store ( US ) . Retrieved 29 June 2017 .   Retrieved from `` https://en.wikipedia.org/w/index.php?title=Oceans_(Where_Feet_May_Fail)&amp;oldid=808244348 '' Categories :   Sparrow Records singles   2013 songs   2013 singles   Hidden categories :   All articles lacking reliable references   Articles lacking reliable references from June 2017   CS1 Swedish - language sources ( sv )   Use dmy dates from May 2015   Articles with hAudio microformats   Singlechart usages for Billboardhot100   Singlechart called without song   Singlechart usages for Billboardchristiansongs   Certification Table Entry usages for United States           Talk                                           Contents                   About Wikipedia                                           Add links   This page was last edited on 1 November 2017 , at 18 : 58 .         About Wikipedia                    </t>
  </si>
  <si>
    <t xml:space="preserve">who wrote the song oceans where feet may fail</t>
  </si>
  <si>
    <t xml:space="preserve">   `` Oceans ( Where Feet May Fail ) ''         Single by Hillsong United     from the album Zion     Released   23 August 2013 ( 2013 - 08 - 23 )     Format   Digital download     Recorded   2013     Genre   Worship     Length   8 : 55 ( Album version ) 4 : 09 ( Radio version )     Label     Hillsong   Capitol CMG       Songwriter ( s )     Matt Crocker   Joel Houston   Salomon Ligthelm       Producer ( s )   Michael Guy Chislett     Hillsong United singles chronology        `` Scandal of Grace '' ( 2013 )   `` Oceans ( Where Feet May Fail ) '' ( 2013 )   `` Touch the Sky '' ( 2015 )           `` Scandal of Grace '' ( 2013 )   `` Oceans ( Where Feet May Fail ) '' ( 2013 )   `` Touch the Sky '' ( 2015 )      </t>
  </si>
  <si>
    <t xml:space="preserve">Freedom of movement for workers in the European Union - wikipedia  Freedom of movement for workers in the European Union  Jump to : navigation , search  The freedom of movement for workers is a policy chapter of the acquis communautaire of the European Union . It is part of the free movement of persons and one of the four economic freedoms : free movement of goods , services , labour and capital . Article 45 TFEU ( ex 39 and 48 ) states that :    Freedom of movement for workers shall be secured within the Community .   Such freedom of movement shall entail the abolition of any discrimination based on nationality between workers of the Member States as regards employment , remuneration and other conditions of work and employment .   It shall entail the right , subject to limitations justified on grounds of public policy , public security or public health :   ( a ) to accept offers of employment actually made ;   ( b ) to move freely within the territory of Member States for this purpose ;   ( c ) to stay in a Member State for the purpose of employment in accordance with the provisions governing the employment of nationals of that State laid down by law , regulation or administrative action ;   ( d ) to remain in the territory of a Member State after having been employed in that State , subject to conditions which shall be embodied in implementing regulations to be drawn up by the Commission .     The provisions of this article shall not apply to employment in the public service .    The right to free movement has both ' horizontal ' and ' vertical ' direct effect , such that a private citizen can invoke the right , without more , in an ordinary court , against other persons , both governmental and non-governmental .     Contents  ( hide )   1 History   2 Definition of `` worker ''   3 Extent of the right   4 Discrimination and market access   5 Public service exception   6 Directives and regulations   7 Social rights   8 Transitional provisions in new member states   9 Freedom of movement in the European Economic Area   10 Summary   11 See also   12 References   13 Bibliography   14 External links      History ( edit )   The Treaty of Paris ( 1951 ) establishing the European Coal and Steel Community established a right to free movement for workers in these industries and the Treaty of Rome ( 1957 ) provided a right for the free movement of workers within the European Economic Community . The Directive 2004 / 38 / EC on the right to move and reside freely assembles the different aspects of the right of movement in one document , replacing inter alia the directive 1968 / 360 / EEC . It also clarifies procedural issues , and it strengthens the rights of family members of European citizens using the freedom of movement . According to the official site of the European Parliament , the explanation of the freedom of workers goes as follows :   Freedom of movement and residence for persons in the EU is the cornerstone of Union citizenship , which was established by the Treaty of Maastricht in 1992 . Its practical implementation in EU law , however , has not been straightforward . It first involved the gradual phasing out , of internal borders under the Schengen agreements , initially in just a handful of Member States . Today , the provisions governing the free movement of persons are laid down in Directive 2004 / 38 / EC on the right of EU citizens and their family members to move and reside freely within the territory of the Member States . However , the implementation of this directive continues to face many obstacles .   Definition of `` worker '' ( edit )   The meaning of ' worker ' is a matter of European Union law . `` The essential feature of an employment relationship , however , is that for a certain period of time a person performs services for and under the direction of another person in return for which he receives remuneration . ''    Purpose : under the European Court of Justice caselaw , the rights of free movement of workers applies regardless of the worker 's purpose in taking up employment abroad , so long as the work is not solely provided as a means of rehabilitation or reintegration of the workers concerned into society .   Time commitment : the right of free movement applies to both part - time and full - time work , so long as the work is effective and genuine and not of such small scale , irregular nature or limited duration to be purely marginal and ancillary .   Remuneration : a wage is a necessary precondition for activity to constitute work , but the amount is not important . The right to free movement applies whether or not the worker required additional financial assistance from the Member State into which he moves . Remuneration may be indirect quid pro quo ( e.g. board and lodging ) rather than strict consideration for work .   Direction of another : where a person is self - employed , he can avail himself of the freedom to provide services and freedom of establishment .    Extent of the right ( edit )   The right to free movement applies where the legal relationship of employment is entered into in or shall take effect within the territory of the European Community . The precise legal scope of the right to free movement for workers has been shaped by the European Court of Justice and by directives and regulations . Underlying these developments is a tension `` between the image of the Community worker as a mobile unit of production , contributing to the creation of a single market and to the economic prosperity of Europe '' and the `` image of the worker as a human being , exercising a personal right to live in another state and to take up employment there without discrimination , to improve the standard of living of his or her family '' .   Discrimination and market access ( edit )    Case 379 / 87 Groener v Minister for Education ( 1989 ) ECR 3967   Cases 267 &amp; 268 / 91 Keck and Mithouard ( 1993 ) ECR I - 6097   Case 18 / 95 F.C. Terhoeve v Inspecteur van de Belastingdienst Particulieren / Ondernemingen Buitenland ( 1999 ) ECR I - 345    Public service exception ( edit )    Case 149 / 79 Commission v Belgium ( 1980 ) ECR 3881   Case 152 / 73 Sotigiu v Deutsche Bundespost ( 1974 ) ECR 153    Directives and regulations ( edit )    Directive 68 / 360 / EEC   Case 48 / 75 Royer ( 1976 ) ECR 497   Case 118 / 75 Watson and Belmann ( 1976 ) ECR 1185   Case C - 292 / 89 Antonissen ( 1991 ) ECR I - 745   EU Regulation 1612 / 68 repealed and replaced by Regulation 492 / 2011   Case C - 207 / 78 Ministere Public v Even and ONPTS ( 1979 ) ECR 2019   Case C - 267 / 83 Diatta v Land Berlin ( 1985 ) ECR 567   Case C - 370 / 90 R v Immigration Appeal Tribunal and Surinder Singh , ex parte Secretary of State for the Home Department ( 1991 ) ECR I - 4265    Social rights ( edit )    Case 293 / 83 Gravier v City of Liege ( 1985 ) ECR 593   Case C - 85 / 96 Maria Martinez Sala v Freistaat Bayern ( 1998 ) ECR I - 2691   Case C - 184 / 99 Rudy Grzelczyk v Centre Public d'Aide Sociale d'Ottignes - Louvain - la - Neuve ( CPAS ) ( 2001 ) ECR I - 6193    Transitional provisions in new member states ( edit )   In both the Treaty of Accession 2003 and the Treaty of Accession 2005 , there is a clause about a transition period before workers from the new member states can be employed on an equal , non-discriminatory terms in the old member states . The old member states have the right to impose such transitional period for 2 years , then to decide to extend it for additional 3 years , and then , if there is serious proof that labour from new member states would be disruptive to the market in the old member states then the period can be extended for the last time for 2 more years .   According to the principle of reciprocity , new member states have the right to impose restrictions for all the countries that introduced restrictions and transitional periods to their citizens . Croatia has decided to apply this rule .   Freedom of movement in the European Economic Area ( edit )   The citizens of the member states of the European Economic Area ( which includes the EU ) have the same right of freedom of movement in the EEA as do EU citizens do within the Union . Additionally , the European Union and Switzerland have concluded a bilateral agreement with the same meaning . The EEA member states outside the EU ( Norway , Iceland and Liechtenstein ) and Switzerland are treated as `` old member states '' in regard to the Treaty of Accession of the new EU members , so they can impose such 2 + 3 + 2 transitional periods .   Switzerland initially granted freedom of movement to EEA citizens in 2005 - 2011 . It briefly reimposed restrictions in 2012 - 2013 , but lifted them again in 2014 . A 2014 Referendum directed the Swiss government to impose permanent quotas on residence / work permits for citizens of all EEA countries except Liechtenstein , starting from 2017 at the latest . However , on 22 December 2016 , Switzerland and the EU concluded an agreement that a new Swiss law ( in response to the referendum ) may require Swiss employers to give priority to Swiss - based job seekers ( Swiss nationals and foreigners registered in Swiss job agencies ) but does not limit the free movement of EU workers to Switzerland .   Liechtenstein imposes a permanent quota for all EEA citizens ( issuing 56 residence permits per year ) and a separate quota for Swiss citizens ( a further 12 residence permits per year ) .   Summary ( edit )   Establishment of rights of nationals of each EEA member state to work in each other member state   The citizens of → can be employed in ↓ starting ↘   European Union members   Other EEA members     The citizens of ← can be employed in ↓ starting ∠                                                                     Portugal     1986   1986   1986   1986   1986   1994   1986   1986   1986   1986   1994   1986   1986   1994       2006   2006   2006   2006   2006   2006   2006   2006   2009   2009   2013   1994   1994   1995     Portugal     Spain   1986     1986   1986   1986   1986   1994   1986   1986   1986   1986   1994   1986   1986   1994       2006   2006   2006   2006   2006   2006   2006   2006   2009   2014   2015   1994   1994   1995     Spain     Italy   1986   1986     1981   1958   1958   1994   1958   1958   1958   1973   1994   1973   1973   1994       2006   2006   2006   2006   2006   2006   2006   2006   2012   2012   2015   1994   1994   1995     Italy     Greece   1986   1986   1981     1981   1981   1994   1981   1981   1981   1981   1994   1981   1981   1994       2006   2006   2006   2006   2006   2006   2006   2006   2009   2009   2015   1994   1994   1995     Greece     France   1986   1986   1958   1981     1958   1994   1958   1958   1958   1973   1994   1973   1973   1994       2008   2008   2008   2008   2008   2008   2008   2008   2014   2014   2015   1994   1994   1995     France     Germany   1986   1986   1958   1981   1958     1994   1958   1958   1958   1973   1994   1973   1973   1994       2011   2011   2011   2011   2011   2011   2011   2011   2014   2014   2015   1994   1994   1995     Germany     Austria   1994   1994   1994   1994   1994   1994     1994   1994   1994   1994   1994   1994   1994   1994       2011   2011   2011   2011   2011   2011   2011   2011   2014   2014   ( 2018 )   1994   1994   1995     Austria     Belgium   1986   1986   1958   1981   1958   1958   1994     1958   1958   1973   1994   1973   1973   1994       2009   2009   2009   2009   2009   2009   2009   2009   2014   2014   2015   1994   1994   1995     Belgium     Netherlands   1986   1986   1958   1981   1958   1958   1994   1958     1958   1973   1994   1973   1973   1994       2007   2007   2007   2007   2007   2007   2007   2007   2014   2014   ( 2018 )   1994   1994   1995     Netherlands     Luxembourg   1986   1986   1958   1981   1958   1958   1994   1958   1958     1973   1994   1973   1973   1994       2007   2007   2007   2007   2007   2007   2007   2007   2014   2014   2015   1994   1994   1995     Luxembourg     Denmark   1986   1986   1973   1981   1973   1973   1994   1973   1973   1973     1954   1973   1973   1954       2009   2009   2009   2009   2009   2009   2009   2009   2009   2009   2013   1954   1954   1995     Denmark     Finland   1994   1994   1994   1994   1994   1994   1994   1994   1994   1994   1954     1994   1994   1954       2006   2006   2006   2006   2006   2006   2006   2006   2007   2007   2013   1954   1954   1995     Finland     Ireland   1986   1986   1973   1981   1973   1973   1994   1973   1973   1973   1973   1994     1973   1994                       2012   2012   2013   1994   1994   1995     Ireland     United Kingdom   1986   1986   1973   1981   1973   1973   1994   1973   1973   1973   1973   1994   1973     1994                       2014   2014   2018   1994   1994   1995     United Kingdom     Sweden   1994   1994   1994   1994   1994   1994   1994   1994   1994   1994   1954   1954   1994   1994                         2007   2007   2013   1954   1954   1995     Sweden     Cyprus                                                     2007   2007   2015         2005   Cyprus     Malta                                                     2014   2014   2018         2005   Malta     Estonia                                                     2007   2007   2013         2005   Estonia     Latvia                                                     2007   2007   2013         2005   Latvia     Lithuania                                                     2007   2007   2013         2005   Lithuania     Poland   2006   2006   2006   2006   2007   2007   2007   2007   2007   2007   2007   2006                             2007   2007   2013   2006   2006   2007   2007   Poland     Hungary   2006   2006   2006   2006   2008   2009   2009   2009   2007   2007   2009   2006                             2009   2009   2013   2006   2006   2009   2009   Hungary     Czech Republic                                                     2007   2007   2013         2005   Czech Republic     Slovakia                                                     2007   2007   2013         2005   Slovakia     Slovenia   2006   2006   2006   2006   2007   2007   2007   2007   2007   2007   2007   2006                             2007   2007   ( 2018 )   2006   2006   2007   2007   Slovenia     Bulgaria   2007   2007   2007   2007   2007   2007   2007   2007   2007   2007   2007   2007   2007   2007   2007   2007   2007   2007   2007   2007   2007   2007   2007   2007   2007     2007   2013   2007   2007   2007   2007   Bulgaria     Romania   2007   2007   2007   2007   2007   2007   2007   2007   2007   2007   2007   2007   2007   2007   2007   2007   2007   2007   2007   2007   2007   2007   2007   2007   2007   2007     2013   2007   2007   2007   2007   Romania     Croatia   2013   2015   2015   2015   2015   2015   ( 2018 )   2015   ( 2018 )   2015   2013   2013   2013   2018   2013   2015   2018   2013   2013   2013   2013   2013   2013   2013   ( 2018 )   2013   2013     2014   2015   ( 2018 )   ( 2024 )   Croatia     Norway   1994   1994   1994   1994   1994   1994   1994   1994   1994   1994   1954   1954   1994   1994   1954       2006   2006   2006   2006   2006   2006   2006   2006   2012   2012   2014     1954   1995     Norway     Iceland   1994   1994   1994   1994   1994   1994   1994   1994   1994   1994   1954   1954   1994   1994   1954       2006   2006   2006   2006   2006   2006   2006   2006   2012   2012   2015   1954     1995     Iceland     Liechtenstein   1995   1995   1995   1995   1995   1995   1995   1995   1995   1995   1995   1995   1995   1995   1995       2011   2011   2011   2011   2011   2011   2011   2011   2014   2014   ( 2018 )   1995   1995     2005   Liechtenstein     Switzerland   2007   2007   2007   2007   2007   2007   2007   2007   2007   2007   2007   2007   2007   2007   2007   2007   2007   2011   2011   2011   2011   2011   2011   2011   2011   2016   2016   ( 2024 )   2007   2007   2005     Switzerland     no restriction on freedom of movement of workers ; year of initial lifting of restrictions restricted movement of workers ; earliest date for lifting of the restrictions for Croatian citizens is 1 July 2018 ( 1 January 2024 in case of Switzerland ) Liechtenstein imposes a permanent annual quota on residence permits issued , for all EEA citizens and ( separately ) Swiss citizens   Notes     ^ Jump up to : See also the parallel , concurrent Nordic Passport Union between the Kingdom of Denmark ( for Denmark and the Faroe Islands ) , Sweden , Norway , Iceland and Finland .   ^ Jump up to : Date of applicability as member states of the EEC . See also the parallel , concurrent Common Travel Area between the United Kingdom and Islands and the Republic of Ireland ( Great Britain and Islands and all of the island of Ireland ) .   Jump up ^ For the countries that joined the EU before 2004 , plus Cyprus and Malta , restrictions on freedom of movement were initially lifted on 1 June 2007 , but Switzerland decided to reimpose them from 1 June 2013 to 31 May 2014 under a safeguard clause . Similarly , for the countries that joined the EU in 2004 , except Cyprus and Malta , restrictions on freedom of movement were initially lifted on 1 May 2011 , but Switzerland decided to reimpose them from 1 May 2012 to 30 April 2014 under a safeguard clause . Also , according to the Protocol to the Agreement between the European Community and Switzerland regarding the participation of Bulgaria and Romania , Switzerland applied the 2 + 3 + 2 transitional period formula to these two countries starting from 1 June 2009 , an may enforce some exclusions for an additional 3 years , until 31 May 2019 .       See also ( edit )    Trans - Tasman Travel Arrangement   Compact of Free Association   European Union law   Citizenship of the European Union   Internal Market   Free Movement of Citizens Directive   Freedom of movement    References ( edit )    Jump up ^ Treaty of Rome ( consolidated version ) . EUR - Lex   Jump up ^ Union royale belge des sociétés de football association ASBL v Jean - Marc Bosman , Case C - 415 / 93 . EUR - Lex   Jump up ^ Angonese v Cassa di Risparmio di Bolzano SpA , Case C - 281 / 98 ( 2000 ) . EUR - Lex   Jump up ^ Article 69 part of Treaty establishing the European Economic Community ( Rome , 25 March 1957 ) on CVCE website .   Jump up ^ Title 3 part of Treaty establishing the European Economic Community ( Rome , 25 March 1957 ) on CVCE website .   Jump up ^ `` Free movement of persons '' . Europarl.europa.eu . Retrieved 2016 - 02 - 17 .   Jump up ^ Hoekstra ( née Unger ) v Bestuur der Bedrijfsvereniging voor Detailhandel en Ambachten , Case 75 - 63 ( 1964 ) . EUR - Lex   Jump up ^ Deborah Lawrie - Blum v Land Baden - Württemberg , Case 66 / 85 ( 1986 ) . EUR - Lex   ^ Jump up to : Levin v Staatssecretaris van Justitie , Case 53 / 81 ( 1982 ) . EUR - Lex   Jump up ^ Bettray v Staatssecretaris van Justitie , Case 344 / 87 ( 1989 ) . EUR - Lex   Jump up ^ Raulin v Minister van Onderwijs en Wetenschappen , Case C - 357 / 89 ( 1992 ) . EUR - Lex   Jump up ^ Kempf v Staatssecretaris van Justitie , Case 139 / 85 ( 1986 ) . EUR - Lex   Jump up ^ Udo Steymann v Staatssecretaris van Justitie , Case 196 / 87 ( 1988 ) . EUR - Lex   Jump up ^ Walrave and Koch v Association Union cycliste internationale , Koninklijke Nederlandsche Wielren Unie et Federación Española Ciclismo , Case 36 - 74 ( 1974 ) . EUR - Lex   Jump up ^ See alsoIngrid Boukhalfa v Bundesrepublik Deutschland , C - 214 / 94 ( 1996 ) . EUR - Lex   Jump up ^ Craig &amp; de Búrca 2003 , p. 701   Jump up ^ http://eur-lex.europa.eu/smartapi/cgi/sga_doc?smartapi!celexplus!prod!CELEXnumdoc&amp;numdoc=61987J0379&amp;lg=en Anita Groener v Minister for Education and the City of Dublin Vocational Educational Committee . Judgment of the Court of 28 November 1989 .   Jump up ^ http://eur-lex.europa.eu/LexUriServ/LexUriServ.do?uri=CELEX:61991CJ0267:EN:HTML Judgment of the Court of 24 November 1993 . - Criminal proceedings against Bernard Keck and Daniel Mithouard . - References for a preliminary ruling : Tribunal de grande instance de Strasbourg - France . - Free movement of goods - Prohibition of resale at a loss . - Joined cases C - 267 / 91 and C - 268 / 91 .   Jump up ^ http://eur-lex.europa.eu/smartapi/cgi/sga_doc?smartapi!celexplus!prod!CELEXnumdoc&amp;lg=en&amp;numdoc=61995J0018 F.C. Terhoeve v Inspecteur van de Belastingdienst Particulieren / Ondernemingen buitenland . Judgment of the Court of 26 January 1999 .   Jump up ^ `` EUR - Lex - 31968L0360 - EN - EUR - Lex '' . eur-lex.europa.eu .   Jump up ^ `` EUR - Lex - 31968R1612 - EN '' . eur-lex.europa.eu .   Jump up ^ `` Regulation ( EU ) No 492 / 2011 of the European Parliament and of the Council of 5 April 2011 on freedom of movement for workers within the Union Text with EEA relevance '' . Eur-lex.europa.eu . Retrieved 17 April 2015 .   Jump up ^ European Commission . `` FAQ on the Commission 's free movement of workers report '' . Retrieved 2010 - 07 - 28 .   Jump up ^ `` Croatia - Employment , Social Affairs &amp; Inclusion - European Commission '' . ec.europa.eu . Retrieved 2015 - 06 - 08 .   Jump up ^ `` Free movement of persons '' . Directorate for European Affairs . Bern : Federal Department of Foreign Affairs . May 2014 . Retrieved 6 June 2014 .   Jump up ^ `` Free Movement of Persons Switzerland -- EU / EFTA '' . Federal Office for Migration . Bern : Federal Department of Justice and Police . May 2014 . Retrieved 6 June 2014 .   Jump up ^ `` Working in Switzerland as a citizen of an EU / EFTA member state - www.ch.ch '' . www.ch.ch . Retrieved 2015 - 06 - 08 .   Jump up ^ EU and Switzerland agree on free movement -- euobserver , 22 Dec 2016   ^ Jump up to : Liechtenstein Wirtschaft Work permits and residence   Jump up ^ `` Work permits and labour market restrictions in some EU countries '' . Europa . 27 May 2014 . Retrieved 2 June 2014 .   Jump up ^ `` Croatian '' . Immigration and Naturalisation Service . Retrieved 2017 - 06 - 27 .   Jump up ^ `` Croatia to become part of the EEA '' . Norwegian Ministry of Foreign Affairs . 2014 . Retrieved 7 November 2014 .   Jump up ^ `` Citizens of Croatia will not need residence permits from the 1st of July 2015 '' . The Directorate of Immigration . Retrieved 28 May 2015 .   Jump up ^ `` Croatia - Employment , Social Affairs &amp; Inclusion - European Commission '' . ec.europa.eu . Retrieved 2015 - 07 - 03 .   Jump up ^ `` Free Movement of Persons Switzerland -- EU / EFTA '' . sem.admin.ch . Retrieved 2017 - 01 - 13 .    Bibliography ( edit )    P. Craig and G. de Búrca , EU Law : Text , Cases and Materials , 3rd edition , OUP , 2003 .    External links ( edit )    European Commission : EU citizenship and free movement   Your Europe : Work Permits   EURES - The European Job Mobility Portal   The Free Movement of Persons in the European Union : A Legal - historical Overview      ( hide )         European Union articles     History      Timeline     Pre-1945   1945 -- 57   1958 -- 72   1973 -- 93   1993 -- 2004   Since 2004       Predecessors     Timeline   Founders   European Coal and Steel Community ( 1951 -- 2002 )   European Economic Community ( 1958 -- 1993 / 2009 )   Euratom ( 1958 -- present )   European Communities ( 1967 -- 1993 / 2009 )   Justice and Home Affairs ( 1993 -- 2009 )          Geography        Extreme points   Geographic centre   Largest municipalities   Urban areas   Larger urban zones   Member states   Regions ( first - level NUTS )   Special territories          Politics         Institutions     European Council   European Commission   European Parliament   Council of the European Union   Court of Justice of the European Union   European Central Bank   European Court of Auditors       Agencies     Banking   Border and coast security ( Frontex )   Disease prevention and control   Environment   Foreign affairs ( External Action Service )   Judicial cooperation ( Eurojust )   Law enforcement cooperation ( Europol )   Maritime safety   Reconstruction       Law     Acquis   Charter of Fundamental Rights   Competition law   Copyright law   Directive   Citizens ' Rights Directive     Enhanced cooperation   Environmental policy   Four freedoms   labour mobility     Government procurement   Journal   Mechanism for Cooperation and Verification   Legislative procedure   Citizens ' Initiative   Regulation   Rural Development Policy   Schengen Area   Treaties   opt - outs     LGBT rights       Politics     Elections   parliamentary constituencies     Enlargement   1973   1981   1986   1995     2007   2013   Future     Euromyths   Political parties ( National parties by affiliation )   Euroscepticism   Foreign relations   Integration   Parliamentary groups   Pro-Europeanism   Withdrawal ( Brexit )   2012 Nobel Peace Prize             Economy        Budget   Central bank   Agricultural policy   Fisheries policy   Currencies   Energy policy   Euro   Eurozone   Free trade agreements   Investment bank   Investment fund   Regional development   Single market   Societas Europaea   Solidarity Fund   Transport   Galileo navigation system     minimum wage   average wage   unemployment rate   health expense per person   Healthcare   Health Insurance Card   Driving licence   European Common Aviation Area          Culture        Citizenship   passports   identity cards     Cultural policies   Demographics   Douzelage   Driving licence   Education   House of European History   Institute of Innovation and Technology   Laissez - passer   Languages   Media freedom   Public holidays   Religion   Sport   Telephone numbers   Statistics   Symbols          Lists     Concepts , acronyms , &amp; jargon   Agencies   Books   Companies   Cities with more than 100,000 inhabitants   Largest cities by population within city limits   Directives   Tallest buildings   Terrorist incidents   Vehicle registration plates       Theory     Eurosphere   Intergovernmentalism   Multi-speed   Neofunctionalism   Optimum currency area   Supranational union         Outline     Book     Portal        European Union portal   Retrieved from `` https://en.wikipedia.org/w/index.php?title=Freedom_of_movement_for_workers_in_the_European_Union&amp;oldid=832503695 '' Categories :   European Union law   Global workforce   Freedom of movement   Hidden categories :   Use dmy dates from March 2013           Talk                                           Contents                   About Wikipedia                                        Languages    Беларуская   Català   Deutsch   Español   Polski   Română   Русский   Svenska   Українська   Edit links   This page was last edited on 26 March 2018 , at 12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</si>
  <si>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free movement in the eu introduced</t>
  </si>
  <si>
    <t xml:space="preserve"> The Treaty of Paris ( 1951 ) establishing the European Coal and Steel Community established a right to free movement for workers in these industries and the Treaty of Rome ( 1957 ) provided a right for the free movement of workers within the European Economic Community . The Directive 2004 / 38 / EC on the right to move and reside freely assembles the different aspects of the right of movement in one document , replacing inter alia the directive 1968 / 360 / EEC . It also clarifies procedural issues , and it strengthens the rights of family members of European citizens using the freedom of movement . According to the official site of the European Parliament , the explanation of the freedom of workers goes as follows : </t>
  </si>
  <si>
    <t xml:space="preserve">Effingham , Illinois - wikipedia  Effingham , Illinois  For other places named Effingham , see Effingham ( disambiguation ) .        This article needs additional citations for verification . Please help improve this article by adding citations to reliable sources . Unsourced material may be challenged and removed . ( April 2007 ) ( Learn how and when to remove this template message )    City in Illinois , United States    Effingham     City     Old Effingham County Courthouse     Motto ( s ) : `` Crossroads of Opportunity ''     Location of Effingham in Effingham County , Illinois .     Location of Illinois in the United States     Coordinates : 39 ° 7 ′ 15 '' N 88 ° 32 ′ 45 '' W ﻿ / ﻿ 39.12083 ° N 88.54583 ° W ﻿ / 39.12083 ; - 88.54583 Coordinates : 39 ° 7 ′ 15 '' N 88 ° 32 ′ 45 '' W ﻿ / ﻿ 39.12083 ° N 88.54583 ° W ﻿ / 39.12083 ; - 88.54583     Country   United States     State   Illinois     County   Effingham     Area     Total   10.02 sq mi ( 25.94 km )     Land   9.95 sq mi ( 25.78 km )     Water   0.06 sq mi ( 0.16 km )     Elevation   590 ft ( 180 m )     Population ( 2010 )     Total   12,328     Estimate ( 2016 )   12,655     Density   1,271.35 / sq mi ( 490.88 / km )     Time zone   UTC - 6 ( CST )     Summer ( DST )   UTC - 5 ( CDT )     ZIP Code ( s )   62401     Area code ( s )   217 Exchanges : 342,347,540     FIPS code   17 - 22736     GNIS ID   2394628     Wikimedia Commons   Effingham , Illinois     Effingham is a city in and the county seat of Effingham County , Illinois , United States . Effingham is in Southern Illinois . Its population was 12,604 at the 2015 census estimate . The city is part of the Effingham , IL Micropolitan Statistical Area . Effingham is home to a 198 foot tall cross , The Cross at the Crossroads . The cross is the tallest cross in the United States .   The city bills itself as `` The Crossroads of Opportunity '' because of its location at the intersection of two major Interstate highways : I - 57 running from Chicago to Miner , Missouri , and I - 70 running from Utah to Maryland . It is also served by U.S. Route 45 , which runs from Ontonagon , Michigan to Mobile , Alabama , U.S. Route 40 , the historic National Road , which stretches from Atlantic City , New Jersey to Summit , Utah , and Illinois routes 32 and 33 also run through the city . It is also a major railroad junction , the crossing of the Illinois Central main line from Chicago to Memphis with the Pennsylvania Railroad line from Indianapolis to St. Louis . Thus , Effingham has a broad range of restaurants , and lodging facilities .   Effingham is the home of the Effingham Flaming Hearts and the St. Anthony Bulldogs .   Contents    1 Geography   2 Demographics   3 History   4 Rail transportation   5 Education   6 Monument   7 Notable people   8 In popular culture   9 References   10 External links    Geography ( edit )   Effingham is located at 39 ° 7 ′ 15 '' N 88 ° 32 ′ 45 '' W ﻿ / ﻿ 39.12083 ° N 88.54583 ° W ﻿ / 39.12083 ; - 88.54583 ( 39.120903 , − 88.545909 ) .   According to the 2010 census , Effingham has a total area of 9.921 square miles ( 25.70 km ) , of which 9.86 square miles ( 25.54 km ) ( or 99.39 % ) is land and 0.061 square miles ( 0.16 km ) ( or 0.61 % ) is water .   Demographics ( edit )     Historical population     Census   Pop .     % ±     1870   2,383     --     1880   3,065     28.6 %     1890   3,260     6.4 %     1900   3,774     15.8 %     1910   3,898     3.3 %     1920   4,024     3.2 %     1930   4,978     23.7 %     1940   6,180     24.1 %     1950   6,892     11.5 %     1960   8,172     18.6 %     1970   9,458     15.7 %     1980   11,270     19.2 %       11,851     5.2 %     2000   12,384     4.5 %       12,328     − 0.5 %     Est. 2016   12,655     2.7 %     U.S. Decennial Census     As of the 2000 United States Census , there were 12,384 people , 5,330 households , and 3,187 families residing in the city . The population density was 1,428.9 people per square mile ( 551.5 / km2 ) . There were 5,660 housing units at an average density of 653.0 per square mile ( 252.1 / km2 ) . The racial makeup of the city was 93.31 % White , 3.8 % African American , 0.19 % Native American , 0.59 % Asian , 0.38 % from other races , and 0.69 % from two or more races . Hispanic or Latino of any race were 1.04 % of the population .   There were 5,330 households out of which 29.9 % had children under the age of 18 living with them , 45.0 % were married couples living together , 11.4 % had a female householder with no husband present , and 40.2 % were non-families. 36.1 % of all households were made up of individuals and 15.9 % had someone living alone who was 65 years of age or older . The average household size was 2.25 and the average family size was 2.96 .   In the city , the population was spread out with 24.9 % under the age of 18 , 9.0 % from 18 to 24 , 27.7 % from 25 to 44 , 20.2 % from 45 to 64 , and 18.1 % who were 65 years of age or older . The median age was 38 years . For every 100 females , there were 89.3 males . For every 100 females age 18 and over , there were 84.2 males .   The median income for a household in the city was $34,761 , and the median income for a family was $45,902 . Males had a median income of $31,442 versus $21,543 for females . The per capita income for the city was $19,132 . About 6.5 % of families and 9.6 % of the population were below the poverty line , including 12.9 % of those under age 18 and 7.9 % of those age 65 or over .   History ( edit )   Effingham was first settled in 1814 , and was known from then until 1859 as Broughton . The community was named after General E. Effingham , a local surveyor . In the late 1880s , local citizens founded Austin College , which lasted for several decades , and ultimately was purchased to become the Illinois College of Photography , also known as Bissel College . That school closed due to the Great Depression in the 1930s .   On April 4 , 1949 , St. Anthony 's hospital caught fire and burned to the ground , killing 74 people . As a result , fire codes nationwide were improved . Due to extensive media coverage , including a `` Life Magazine '' cover story , donations for rebuilding the hospital came from all 48 states and several foreign countries .   Effingham was a sundown town ; daytime segregation was enforced until at least the mid-1960s .   Rail transportation ( edit )  See also : Effingham ( Amtrak station )  Effingham is also historically important as a rail junction . The old Pennsylvania Railroad and the former Illinois Central Railroad crossed in downtown Effingham . Even today , Amtrak 's City of New Orleans passes through daily .   Amtrak , the national passenger rail system , provides service to Effingham under the daily City of New Orleans route to New Orleans and Chicago , Saluki , and Illini routes to Chicago and Carbondale . Until October 1 , 1979 , the station also served Amtrak 's former National Limited line between Kansas City and New York City .   Education ( edit )   Effingham has several schools , both public and private . The private schools are both religiously affiliated and include Saint Anthony and Sacred Heart . Saint Anthony Grade School ( SAGS ) serves grades preschool ( age 3 + ) to eighth grade . SAGS has the Bullpups as its mascot . Sacred Heart Grade School ( SHS ) serves preschool ( age 3 + ) to eighth grade . SHS 's mascot is the Shamrocks . The public schools include the Early Learning Center , South Side Elementary , Central Grade School , Effingham Junior High School ( EJHS ) , and Effingham High School . The Early Learning Center serves preschool and kindergarten age children . South Side Elementary serves first and second graders . Aspire , which is a school for students who are likely to drop out or those who get expelled . Central Grade School serves third through fifth grade students . Central Grade school 's mascot is the mustangs . EJHS serves junior high students in grades six to eight . EJHS 's mascot is the Mustangs .   Effingham High School ( EHS ) is the public high school . The new EHS opened in the fall of 1998 , and has a current enrollment of 849 . The former EHS building , built in 1939 as a WPA project ( film made as of the construction ) and expanded in 1965 , is currently the junior high , serving grades 6 -- 8 . The old junior high , Central School , is now a grade school serving grades 3 -- 5 . EHS athletics were originally known as the `` Warriors '' but the name was changed after Ada Kepley , a city resident , referred to Effingham as the `` Heart of America '' in a campaign to attract visitors to the city . The name stuck , with references in the city government and the downtown movie theater named `` The Heart Theater . '' EHS athletics are now known as the `` Flaming Hearts '' though generally referred to as simply the `` Hearts . ''   Effingham is also home to St. Anthony High School , a private Roman Catholic High School . SAHS athletics are known as the `` Bulldogs '' .   SHS athletics and extra-curricular activities currently consist of boys ' baseball , girls ' softball , girls ' basketball ( grades 4 - 8 ) , boys ' basketball ( grades 4 - 8 ) , girls ' track ( grades 5 - 8 ) , boys ' track ( grades 5 - 8 ) , girls ' cross country ( grade 5 - 8 ) , boys ' cross country ( grades 5 - 8 ) , volleyball , cheerleading , band ( grades 5 - 8 ) , chorus ( grades 5 - 8 ) , musicals , plays , student council , and scholar bowl .   SAGS athletics and extra-curricular activities currently consist of boys ' baseball , girls ' softball , girls ' track , boys ' track , girls ' cross country , boys ' cross country , volleyball ( grades 7 - 8 ) , girls ' basketball ( grades 6 - 8 ) , boys ' basketball ( grades 6 - 8 ) , cheerleading , student council , scholastic bowl , spring musical , art club , eco-meet , and bridge club .   SAHS athletics and extra-curricular activities currently consist of soccer , boys ' golf , girls ' golf , girls ' volleyball , girls ' tennis , girls ' and boys ' cross country , boys ' fall baseball , boys ' basketball , girls ' basketball , cheerleading , wrestling , bellettes ( dance ) , swimming , boys ' tennis , spring baseball , girls ' track , boys ' track , softball , bass fishing , National Honor Society , WYSE ( world youth in science and engineering ) , Society for Academic Achievement ( SAA ) , scholar bowl , Spanish club , band , chorus , fall musical , spring play , drama club , book club , chemistry club , Spanish scholar bowl , and pep club .   EJHS athletics and extra-curricular activities currently consist of baseball , soccer , cross country , tennis , golf , cheerleading , football , volleyball , basketball , swimming , chorus , band , theatre , and scholar bowl .   EHS athletics and extra-curricular activities currently consist of boys ' baseball , coed soccer , cross country , girls ' and boys ' tennis , boys ' and girls ' golf , coed wrestling , basketball cheerleading , girls ' track , boys ' track , football cheerleading , competition cheerleading , football , girls ' softball , volleyball , girls ' and boys ' basketball , girls ' and boys ' swimming , chorus , band , theatre , student council , dance , WYSE , National Honor Society , Society for Academic Achievement ( SAA ) , color guard , FACS club , math club , Young Heart Riding club , chemistry club , Spanish club , French club , book club , pep club , and scholar bowl .   Monument ( edit )  Cross at Interstate 57 and 70  A 198 - foot ( 60 m ) steel cross erected by The Cross Foundation is located in Effingham . The Cross is made out of over 180 tons of steel and cost over $1 million . The Cross Foundation claims that the cross is the `` largest '' in the United States standing at 198 - foot ( 60 m ) with a span of 113 - foot ( 34 m ) . While the 208 - foot ( 63 m ) Great Cross in St. Augustine , Florida is believed to be the tallest freestanding cross in the western hemisphere , it is thinner than the cross in Effingham and has a narrow span .   One resident complained that using a Christian symbol to attract tourism `` reeks of avarice and hypocrisy . '' Another pointed out that the money that built the cross , which was collected through private donations , could have fed the poor and done other good for the community that was n't simply `` over-the - top symbolism . '' Philip Coats of the Cross Foundation said there was barely a ripple of criticism in the town . John Schultz , the donor who put up most of the money for the project , said , `` I guess you ca n't satisfy everybody . ''   Notable people ( edit )    Jack Berch , singer and radio personality ; raised in Effingham   Uwe Blab , center for the Dallas Mavericks , Golden State Warriors , and San Antonio Spurs ; attended high school in Effingham   Charles H. Constable , judge and Illinois state senator ; died in Effingham   Ada Kepley , first American woman to graduate from law school   Jimmy Kite , driver with IndyCar and NASCAR   Brian Shouse , left - handed pitcher for the Tampa Bay Rays and Milwaukee Brewers in Major League Baseball   Daniel Winkler ( baseball ) , pitcher for the Atlanta Braves , born and raised in Effingham , attended St. Anthony High School   Benson Wood , U.S. Congressman , 1895 -- 1897   Chad Green ( pitcher ) , pitcher for the New York Yankees , graduate of Effingham High School   Nick Gardewine , pitcher for the Texas Rangers , graduate of Effingham High School    In popular culture ( edit )   Comedians and authors have poked fun at the `` Effing '' portion of the name Effingham and its use in American and UK slang as a minced oath for the `` F '' word . For example , radio comedians Bob and Tom produced a segment on their national radio show . Ben Folds 's album Way to Normal uses a similar play on words in a track that was inspired while driving by Effingham , although the song refers to the city as `` Effington . ''   References ( edit )    Jump up ^ `` 2016 U.S. Gazetteer Files '' ( TXT ) . United States Census Bureau . Retrieved Jun 29 , 2017 .   ^ Jump up to : `` Illinois 2016 '' . City and Town Population Totals : 2010 -- 2016 &gt; Incorporated Places : 2010 -- 2016 . United States Census Bureau . Effingham City , Illinois . Retrieved 2018 - 04 - 21 .   Jump up ^ `` Annual Estimates of the Resident Population for Incorporated Places : April 1 , 2010 to July 1 , 2015 '' . Archived from the original on June 2 , 2016 . Retrieved July 2 , 2016 .   Jump up ^ `` US Gazetteer files : 2010 , 2000 , and 1990 '' . United States Census Bureau . 2011 - 02 - 12 . Retrieved 2011 - 04 - 23 .   Jump up ^ `` G001 - Geographic Identifiers - 2010 Census Summary File 1 '' . United States Census Bureau . Retrieved 2015 - 12 - 27 .   Jump up ^ `` Census of Population and Housing '' . Census.gov . Archived from the original on May 12 , 2015 . Retrieved June 4 , 2015 .   Jump up ^ `` American FactFinder '' . United States Census Bureau . Archived from the original on September 11 , 2013 . Retrieved 2008 - 01 - 31 .   Jump up ^ History of Effingham Archived July 28 , 2012 , at Archive.is   Jump up ^ Illinois Central Magazine . Illinois Central Railroad Company . 1922 . p. 46 .   Jump up ^ Perkins , Kevin . `` Austin College '' . www.frontiernet.net . Retrieved 2018 - 08 - 28 .   Jump up ^ Life Magazine Article , April 18 , 1949   Jump up ^ Inc , Time ( 1949 - 04 - 18 ) . LIFE . Time Inc .   Jump up ^ Loewen , James W. ( 2006 - 07 - 09 ) . `` Honda 's All - American Sundown Town '' . History News Network . The George Washington University . Retrieved 2017 - 08 - 20 .   Jump up ^ Loewen , James W. ( 2005 - 09 - 29 ) . Sundown Towns : A Hidden Dimension Of American Racism . The New Press . p. 231 . ISBN 1595586741 .   Jump up ^ `` EFFINGHAM HIGH SCHOOL '' . Effingham Community Schools . Retrieved December 29 , 2012 .   Jump up ^ `` EFFINGHAM HIGH SCHOOL '' . Illinois Report Card . Illinois State Board of Education . Retrieved 5 April 2015 .   Jump up ^ `` SACRED HEART TEAMWORK OPPORTUNITIES '' . SACRED HEART PARISH . SACRED HEART SCHOOL . Archived from the original on November 25 , 2015 . Retrieved November 23 , 2015 .   Jump up ^ `` SAINT ANTHONY GRADE SCHOOL '' . GRADE SCHOOL SPORTS . SAINT ANTHONY OF PADUA PARISH . Archived from the original on November 25 , 2015 . Retrieved November 23 , 2015 .   Jump up ^ `` SAINT ANTHONY GRADE SCHOOL '' . GRADE SCHOOL EXTRA-CURRICULAR ACTIVITIES . SAINT ANTHONY OF PADUA PARISH . Archived from the original on November 25 , 2015 . Retrieved November 23 , 2015 .   Jump up ^ `` SAINT ANTHONY HIGH SCHOOL '' . HIGH SCHOOL EXTRA-CURRICULAR ACTIVITIES . SAINT ANTHONY OF PADUA PARISH . Archived from the original on November 25 , 2015 . Retrieved November 23 , 2015 .   Jump up ^ `` World 's Largest Cross FAQ '' . worldslargestthings.com . Retrieved May 6 , 2012 .   ^ Jump up to : Gregory , Ted . `` Landmark speaks volumes '' . Chicago Tribune . Retrieved 6 March 2015 .   Jump up ^ Clark , Jessica ( April 6 , 2015 ) . `` Building St. Augustine 's Great Cross '' . First Coast News . Archived from the original on April 15 , 2015 . Retrieved April 15 , 2015 .   Jump up ^ `` Daniel Winkler Register Statistics &amp; History Baseball-Reference.com '' . Baseball-Reference.com . Retrieved 2016 - 07 - 05 .   Jump up ^ https://www.baseball-reference.com/register/player.cgi?id=green-006cha   Jump up ^ https://www.baseball-reference.com/players/g/gardeni01.shtml   Jump up ^ `` Eff '' . dictionary.cambridge.org . Retrieved April 15 , 2015 .   Jump up ^ The Effing House Family Restaurant , retrieved 2017 - 09 - 19   Jump up ^ Charlie Amter ( October 21 , 2008 ) . `` Small town Mayor to Ben Folds : We will bury you '' . The Los Angeles Times . Retrieved September 15 , 2009 .    External links ( edit )    Effingham 's official website   Effingham convention and visitor 's bureau   Visit Effingham   Effingham High School Band Website   Genealogy Trails -- Effingham , IL   Effingham 's Online Community   360 Degree Panorama of The Cross At The Crossroads   Effingham City County Ambulance   Effingham , IL St. Anthony 's Hospital Fire , Apr 1949 article at GenDisasters.com              Municipalities and communities of Effingham County , Illinois , United States     County seat : Effingham     Cities     Altamont   Effingham         Town     Mason       Villages     Beecher City   Dieterich   Edgewood   Montrose ‡   Shumway   Teutopolis   Watson       Townships     Banner   Bishop   Douglas   Jackson   Liberty   Lucas   Mason   Moccasin   Mound   St. Francis   Summit   Teutopolis   Union   Watson   West       Unincorporated communities     Dexter   Elliottstown   Funkhouser   Gilmore   Moccasin       Footnotes   ‡ This populated place also has portions in an adjacent county or counties    Retrieved from `` https://en.wikipedia.org/w/index.php?title=Effingham,_Illinois&amp;oldid=864918081 '' Categories :   Populated places established in 1814   Cities in Illinois   Cities in Effingham County , Illinois   Micropolitan areas of Illinois   National Road   County seats in Illinois   Monumental crosses in the United States   Sundown towns in the United States   Hidden categories :   Webarchive template archiveis links   Use mdy dates from April 2012   Articles needing additional references from April 2007   All articles needing additional references   Articles with short description   Coordinates on Wikidata           Talk                                           Contents                   About Wikipedia                                           Wikimedia Commons   Wikivoyage         تۆرکجه   Bân - lâm - gú   Català   Cebuano   Deutsch   Español   Euskara   فارسی   Français   Hrvatski   Ido   Italiano   Kreyòl ayisyen   Magyar   Nederlands   नेपाल भाषा   Oʻzbekcha / ўзбекча   Polski   Português   Simple English   Српски / srpski   Srpskohrvatski / српскохрватски   Svenska   Türkçe   اردو   Tiếng Việt   Volapük   Winaray  20 more  Edit links   This page was last edited on 20 October 2018 , at 12 : 17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</si>
  <si>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big cross in effingham illinois</t>
  </si>
  <si>
    <t xml:space="preserve"> A 198 - foot ( 60 m ) steel cross erected by The Cross Foundation is located in Effingham . The Cross is made out of over 180 tons of steel and cost over $1 million . The Cross Foundation claims that the cross is the `` largest '' in the United States standing at 198 - foot ( 60 m ) with a span of 113 - foot ( 34 m ) . While the 208 - foot ( 63 m ) Great Cross in St. Augustine , Florida is believed to be the tallest freestanding cross in the western hemisphere , it is thinner than the cross in Effingham and has a narrow span . </t>
  </si>
  <si>
    <r>
      <rPr>
        <sz val="11"/>
        <color rgb="FF000000"/>
        <rFont val="Calibri"/>
        <family val="0"/>
        <charset val="1"/>
      </rPr>
      <t xml:space="preserve">Hand , foot , and mouth disease - wikipedia  Hand , foot , and mouth disease  This article is about viral disease . For the chemotherapy - induced condition , see Chemotherapy - induced acral erythema . For the animal disease , see Foot - and - mouth disease .      Hand , foot , and mouth disease     Synonyms   Enteroviral vesicular stomatitis with exanthem         Typical lesions around the mouth of an 11 - month - old boy     Specialty   Infectious disease     Symptoms   Fever , flat discolored spots or bumps that may blister     Complications   Temporary loss of nails , viral meningitis     Usual onset   3 -- 6 days post exposure     Duration   1 week     Causes   Coxsackievirus A16 , Enterovirus 71     Diagnostic method   Based on symptoms , viral culture     Prevention   Handwashing     Treatment   Supportive care     Medication   Pain medication such as ibuprofen     Frequency   As outbreaks     Hand , foot , and mouth disease ( HFMD ) is a common infection caused by a group of viruses . It typically begins with a fever and feeling generally unwell . This is followed a day or two later by flat discolored spots or bumps that may blister , on the hands , feet , and mouth , and occasionally buttocks and groin . Signs and symptoms normally appear 3 -- 6 days after exposure to the virus . The rash generally resolves on its own in about a week . Fingernail and toenail loss may occur a few weeks later , but they will regrow with time .   The viruses that cause HFMD are spread through close personal contact , through the air from coughing , and the feces of an infected person . Contaminated objects can also spread the disease . Coxsackievirus A16 is the most common cause and Enterovirus 71 is the second-most common cause . Other strains of coxsackievirus and enterovirus can also be responsible . Some people may carry and pass on the virus despite having no symptoms of disease . Other animals are not involved . Diagnosis can often be made based on symptoms . Occasionally a throat or stool sample may be tested for the virus .   Handwashing may prevent spread and those infected should not go to work , daycare , or school . No antiviral medication or vaccine is available , but development efforts are underway . Most cases require no specific treatment . Simple pain medication such as ibuprofen or numbing mouth gel may be used . Occasionally intravenous fluids are given to children who are unable to drink enough . Rarely viral meningitis or encephalitis may complicate the disease .   HFMD occurs in all areas of the world . It often occurs in small outbreaks in nursery schools or kindergartens . Large outbreaks have been occurring in Asia since 1997 . It usually occurs during the spring , summer , and fall months . Typically it occurs in children less than five years old , but can occasionally occur in adults . HFMD should not be confused with foot - and - mouth disease ( also known as hoof - and - mouth disease ) which mostly affects livestock .   Contents    1 Signs and symptoms   2 Cause   2.1 Transmission     3 Diagnosis   4 Prevention   4.1 Vaccine     5 Treatment   6 Complications   7 Epidemiology   7.1 Outbreaks     8 History   9 Research   10 References   11 External links    Signs and symptoms ( edit )   Common constitutional signs and symptoms of the HFMD include fever , nausea , vomiting , feeling tired , generalized discomfort , loss of appetite , and irritability in infants and toddlers . Skin lesions frequently develop in the form of a rash of flat discolored spots and bumps which may be followed by vesicular sores with blisters on palms of the hands , soles of the feet , buttocks , and sometimes on the lips . The rash is rarely itchy for children , but can be extremely itchy for adults . Painful facial ulcers , blisters , or lesions may also develop in or around the nose or mouth . HFMD usually resolves on its own after 7 -- 10 days . Most cases of the disease are relatively harmless , but complications including encephalitis , meningitis , and paralysis that mimics the neurological symptoms of polio can occur .     Rash on palms of the hands .     Rash on hand and feet of a 36 - year - old man     Rash on the soles of a child 's feet     Cause ( edit )   The viruses that cause the disease are of the Picornaviridae family . Coxsackievirus A16 is the most common cause of HFMD . Enterovirus 71 ( EV - 71 ) is the second-most common cause . Many other strains of coxsackievirus and enterovirus can also be responsible .   Transmission ( edit )   HFMD is highly contagious and is transmitted by nasopharyngeal secretions such as saliva or nasal mucus , by direct contact , or by fecal - oral transmission .   Child care settings are the most common places for HMFD to be contracted because of the bathroom training , diaper changes , and that children often put their hands into their mouths . Children who do not attend a preschool or kindergarten were found to be more susceptible to the disease . HFMD is contracted through nose and throat secretions such as saliva , sputum , nasal mucus and as well as fluid in blisters , and stool .   Diagnosis ( edit )   A diagnosis usually can be made by the presenting signs and symptoms alone . If the diagnosis is unclear , a throat swab or stool specimen may be taken to identify the virus by culture . The common incubation period ( the time between infection and onset of symptoms ) ranges from three to six days . Early detection of HFMD is important in preventing an outbreak in the pediatric population .   Prevention ( edit )   Preventive measures include avoiding direct contact with infected individuals ( including keeping infected children home from school ) , proper cleaning of shared utensils , disinfecting contaminated surfaces , and proper hand hygiene . These measures have been shown to be effective in decreasing the transmission of the viruses responsible for HFMD .   Protective habits include hand washing and disinfecting surfaces in play areas . Breast - feeding has also shown to decrease rates of severe HFMD , though does not reduce the risk for the infection of the disease .   Vaccine ( edit )   A vaccine known as the EV71 vaccine is available to prevent HFMD in China as of December 2015 . No vaccine is currently available in the United States .   Treatment ( edit )   Medications are usually not needed as hand , foot , and mouth disease is a viral disease that typically resolves on its own . Currently , there is no specific curative treatment for hand , foot and mouth disease . Disease management typically focuses on achieving symptomatic relief . Pain from the sores may be eased with the use of analgesic medications . Infection in older children , adolescents , and adults is typically mild and lasts approximately 1 week , but may occasionally run a longer course . Fever reducers and lukewarm baths can help decrease body temperature .   A minority of individuals with hand , foot and mouth disease may require hospital admission due to complications such as inflammation of the brain , inflammation of the meninges , or acute flaccid paralysis . Non-neurologic complications such as inflammation of the heart , fluid in the lungs , or bleeding into the lungs may also occur .   Complications ( edit )   Complications from the viral infections that cause HFMD are rare , but require immediate medical treatment if present . HFMD infections caused by Enterovirus 71 tend to be more severe and are more likely to have neurologic or cardiac complications including death than infections caused by Coxsackievirus A16 . Viral or aseptic meningitis can occur with HFMD in rare cases and is characterized by fever , headache , stiff neck , or back pain . The condition is usually mild and clears without treatment ; however , hospitalization for a short time may be needed . Other serious complications of HFMD include encephalitis ( swelling of the brain ) , or flaccid paralysis in rare circumstances .   Fingernail and toenail loss have been reported in children 4 -- 8 weeks after having HFMD . The relationship between HFMD and the reported nail loss is unclear ; however , it is temporary and nail growth resumes without treatment .   Minor complications due to symptoms can occur such as dehydration , due to mouth sores causing discomfort with intake of foods and fluid .   Epidemiology ( edit )   Hand , foot and mouth disease most commonly occurs in children under the age of 10 . It tends to occur in outbreaks during the spring , summer , and autumn seasons . This is believed to be due to heat and humidity improving spread . HFMD is more common in rural areas than urban areas ; however , socioeconomic status and hygiene levels need to considered . Poor hygiene is a risk factor for HFMD .   Outbreaks have occurred in China , Japan , Hong Kong , the Republic of Korea , Malaysia , Singapore , Thailand , Taiwan , and Vietnam . HFMD most commonly affects young children under the age of 10 and more often under the age of 5 , but can also affect adults with varying symptoms .   Since 1997 there have been 71 large enterovirus outbreaks reported , mostly in East and South East Asia , primarily affecting children . From the years 2008 to 2014 , more than 1 million HFMD cases have been reported in China each year .   Outbreaks ( edit )    In 1998 , there was an outbreak in Taiwan , affecting mainly children . There were 405 severe complications , and 78 children died . The total number of cases in that epidemic is estimated to have been 1.5 million .   In 2008 an outbreak in China , beginning in March in Fuyang , Anhui , led to 25,000 infections , and 42 deaths , by May 13 . Similar outbreaks were reported in Singapore ( more than 2,600 cases as of April 20 , 2008 ) , Vietnam ( 2,300 cases , 11 deaths ) , Mongolia ( 1,600 cases ) , and Brunei ( 1053 cases from June -- August 2008 )   In 2009 17 children died in an outbreak during March and April 2009 in China 's eastern Shandong Province , and 18 children died in the neighboring Henan Province . Out of 115,000 reported cases in China from January to April , 773 were severe and 50 were fatal .   In 2010 in China , an outbreak occurred in southern China 's Guangxi Autonomous Region as well as Guangdong , Henan , Hebei and Shandong provinces . Until March 70,756 children were infected and 40 died from the disease . By June , the peak season for the disease , 537 had died .   The World Health Organization reporting between January to October 2011 ( 1,340,259 ) states the number of cases in China had dropped by approx 300,000 from 2010 ( 1,654,866 ) cases , with new cases peaking in June . There were 437 deaths , down from 2010 ( 537 deaths ) .   In December 2011 , the California Department of Public Health identified a strong form of the virus , coxsackievirus A6 ( CVA6 ) , where nail loss in children is common .   In 2012 in Alabama , United States there was an outbreak of an unusual type of the disease . It occurred in a season when it is not usually seen and affected teenagers and older adults . There were some hospitalizations due to the disease but no reported deaths .   In 2012 in Cambodia , 52 of 59 reviewed cases of children reportedly dead ( as of July 9 , 2012 ) due to a mysterious disease were diagnosed to be caused by a virulent form of HFMD . Although a significant degree of uncertainty exists with reference to the diagnosis , the WHO report states , `` Based on the latest laboratory results , a significant proportion of the samples tested positive for enterovirus 71 ( EV - 71 ) , which causes hand foot and mouth disease ( HFMD ) . The EV - 71 virus has been known to generally cause severe complications amongst some patients . ''   HFMD infected 1,520,274 people with up to 431 deaths reported at the end of July in 2012 in China .    History ( edit )   HFMD cases were first described clinically in Canada and New Zealand in 1957 . The disease was termed `` Hand Foot and Mouth Disease '' , by Thomas Henry Flewett , after a similar outbreak in 1960 .   Research ( edit )   Novel antiviral agents to prevent and treat infection with the viruses responsible for HFMD are currently under development . Preliminary studies have shown inhibitors of the EV - 71 viral capsid to have potent antiviral activity .   References ( edit )    ^ Jump up to : Kaminska , K ; Martinetti , G ; Lucchini , R ; Kaya , G ; Mainetti , C ( 2013 ) . `` Coxsackievirus A6 and Hand , Foot , and Mouth Disease : Three Case Reports of Familial Child - to - Immunocompetent Adult Transmission and a Literature Review '' . Case Reports in Dermatology. 5 ( 2 ) : 203 -- 209 . doi : 10.1159 / 000354533 . PMC 3764954 . PMID 24019771 .   ^ Jump up to : Ooi , MH ; Wong , SC ; Lewthwaite , P ; Cardosa , MJ ; Solomon , T ( 2010 ) . `` Clinical features , diagnosis , and management of enterovirus 71 '' . Lancet Neurology . 9 ( 11 ) : 1097 -- 1105 . doi : 10.1016 / S1474 - 4422 ( 10 ) 70209 - X . PMID 20965438 .   ^ Jump up to : `` Hand , Foot , and Mouth Disease ( HFMD ) Complications '' . CDC . August 18 , 2015 . Archived from the original on May 11 , 2016 . Retrieved May 14 , 2016 .   ^ Jump up to : Hoy , NY ; Leung , AK ; Metelitsa , AI ; Adams , S ( 2012 ) . `` New concepts in median nail dystrophy , onychomycosis , and hand , foot and mouth disease nail pathology '' . ISRN Dermatology. 2012 ( 680163 ) : 680163 . doi : 10.5402 / 2012 / 680163 . PMC 3302018 . PMID 22462009 .   ^ Jump up to : Longo , Dan L. ( 2012 ) . Harrison 's Principles of Internal Medicine ( 18th ed . ) . New York : McGraw - Hill . ISBN 978 - 0 - 07174889 - 6 .   ^ Jump up to : Repass GL , Palmer WC , Stancampiano FF ( September 2014 ) . `` Hand , foot , and mouth disease : Identifying and managing an acute viral syndrome '' . Cleve Clin J Med. 81 ( 9 ) : 537 -- 43 . doi : 10.3949 / ccjm. 81a. 13132 . PMID 25183845 .   ^ Jump up to : `` Diagnosis '' . CDC . August 18 , 2015 . Archived from the original on May 14 , 2016 . Retrieved May 15 , 2016 .   ^ Jump up to : `` Causes &amp; Transmission '' . CDC . August 18 , 2015 . Archived from the original on May 14 , 2016 . Retrieved May 15 , 2016 .   ^ Jump up to : `` Prevention &amp; Treatment '' . CDC . August 18 , 2015 . Archived from the original on May 15 , 2016 . Retrieved May 15 , 2016 .   ^ Jump up to : `` Hand Foot and Mouth Disease '' . CDC . August 18 , 2015 . Archived from the original on May 16 , 2016 . Retrieved May 14 , 2016 .   Jump up ^ Frydenberg , A ; Starr , M ( August 2003 ) . `` Hand , foot and mouth disease '' . Australian family physician . 32 ( 8 ) : 594 -- 5 . PMID 12973865 .   ^ Jump up to : Li , Y ; Zhu , R ; Qian , Y ; Deng , J ( 2012 ) . `` The characteristics of blood glucose and WBC counts in peripheral blood of cases of hand foot and mouth disease in China : a systematic review '' . PLOS ONE . 7 ( 1 ) : e29003 . doi : 10.1371 / journal. pone. 0029003 . PMC 3250408 . PMID 22235257 .   ^ Jump up to : Pourianfar HR , Grollo L ( February 2014 ) . `` Development of antiviral agents toward enterovirus 71 infection '' . J Microbiol Immunol Infect. 48 : 1 -- 8 . doi : 10.1016 / j. jmii. 2013.11. 011 . PMID 24560700 .   ^ Jump up to : `` Outbreaks '' . CDC . August 18 , 2015 . Archived from the original on May 17 , 2016 . Retrieved May 15 , 2016 .   Jump up ^ `` Foot and Mouth Disease update : further temporary control zone established in Surrey '' . Defra. 2007 - 08 - 14 . Archived from the original on 2007 - 09 - 27 . Retrieved 2007 - 08 - 14 .   ^ Jump up to : Huang , CC ; Liu , CC ; Chang , YC ; Chen , CY ; Wang , ST ; Yeh , TF ( 23 September 1999 ) . `` Neurologic complications in children with enterovirus 71 infection '' . The New England Journal of Medicine . 341 ( 13 ) : 936 -- 42 . doi : 10.1056 / nejm199909233411302 . PMID 10498488 .   ^ Jump up to : Wang , Jing ( 21 August 2017 ) . `` Epidemiological characteristics of hand , foot , and mouth disease in Shandong , China , 2009 -- 2016 '' . Scientific Reports . 7 ( 8900 ) : 1 -- 9 . doi : 10.1038 / s41598 - 017 - 09196 - z .   ^ Jump up to : `` Hand , Foot and Mouth Disease : Signs &amp; Symptoms '' . mayoclinic.com . The Mayo Clinic . Archived from the original on May 1 , 2008 . Retrieved May 5 , 2008 .   Jump up ^ `` Hand , Foot and Mouth Disease ( HFMD ) '' . WHO Western Pacific Region . Retrieved 2017 - 11 - 06 .   ^ Jump up to : Koh , Wee Ming ; Bogich , Tiffany ; Siegel , Karen ; Jin , Jing ; Chong , Elizabeth Y. ; Tan , Chong Yew ; Chen , Mark Ic ; Horby , Peter ; Cook , Alex R. ( October 2016 ) . `` The Epidemiology of Hand , Foot and Mouth Disease in Asia : A Systematic Review and Analysis '' . The Pediatric Infectious Disease Journal . 35 ( 10 ) : e285 -- 300 . doi : 10.1097 / INF. 0000000000001242 . ISSN 1532 - 0987 . PMC 5130063 . PMID 27273688 .   Jump up ^ Omaña - Cepeda , Carlos ; Martínez - Valverde , Andrea ; del Mar Sabater - Recolons , María ; Jané - Salas , Enric ; Marí - Roig , Antonio ; López - López , José ( 2016 - 03 - 15 ) . `` A literature review and case report of hand , foot and mouth disease in an immunocompetent adult '' . BMC Research Notes . 9 : 165 . doi : 10.1186 / s13104 - 016 - 1973 - y . ISSN 1756 - 0500 .   ^ Jump up to : `` Hand , Foot and Mouth Disease '' . Prevention and Treatment . Centers for Disease Control and Prevention . 2013 . Archived from the original on October 17 , 2013 . Retrieved October 18 , 2013 .   Jump up ^ Mao , QY ; Wang , Y ; Bian , L ; Xu , M ; Liang , Z ( May 2016 ) . `` EV71 vaccine , a new tool to control outbreaks of hand , foot and mouth disease ( HFMD ) '' . Expert review of vaccines . 15 ( 5 ) : 599 -- 606 . doi : 10.1586 / 14760584.2016. 1138862 . PMID 26732723 .   Jump up ^ `` Hand , Foot and Mouth Disease '' . Complications . Centers for Disease Control and Prevention . 2011 . Archived from the original on October 17 , 2013 . Retrieved October 14 , 2013 .   Jump up ^ `` Hand , Foot and Mouth Disease '' . WHO Western Pacific Region . Retrieved 2017 - 11 - 06 .   Jump up ^ Koh , Wee Ming ; Bogich , Tiffany ; Siegel , Karen ; Jin , Jing ; Chong , Elizabeth Y. ; Tan , Chong Yew ; Chen , Mark IC ; Horby , Peter ; Cook , Alex R. ( October 2016 ) . `` The Epidemiology of Hand , Foot and Mouth Disease in Asia : A Systematic Review and Analysis '' . The Pediatric Infectious Disease Journal . 35 ( 10 ) : e285 . doi : 10.1097 / INF. 0000000000001242 . ISSN 0891 - 3668 . PMC 5130063 .   Jump up ^ `` Hand - Foot - and - Mouth Disease '' . WebMD . Retrieved 2017 - 11 - 28 .   Jump up ^ Lei , Xiaobo ; Cui , Sheng ; Zhao , Zhendong ; Wang , Jianwei ( 2015 - 09 - 01 ) . `` Etiology , pathogenesis , antivirals and vaccines of hand , foot , and mouth disease '' . National Science Review . 2 ( 3 ) : 268 -- 284 . doi : 10.1093 / nsr / nwv038 . ISSN 2095 - 5138 .   Jump up ^ Centers for Disease Control and Prevention ( CDC ) ( 1998 ) . `` Deaths among children during an outbreak of hand , foot , and mouth disease -- Taiwan , Republic of China , April -- July 1998 '' . MMWR Morb . Mortal . Wkly . Rep. 47 ( 30 ) : 629 -- 32 . PMID 9704628 . Archived from the original on July 26 , 2008 .   Jump up ^ Ho M , Chen ER , Hsu KH , et al. ( 1999 ) . `` An epidemic of enterovirus 71 infection in Taiwan . Taiwan Enterovirus Epidemic Working Group '' . N. Engl. J. Med. 341 ( 13 ) : 929 -- 35 . doi : 10.1056 / NEJM199909233411301 . PMID 10498487 .   Jump up ^ Suhaimi , Nur Dianah ( April 20 , 2008 ) . `` HFMD : 1,000 cases a week is unusual , says doc '' . Singapore : The Sunday Times ( Straits Times ) . pp. 1 -- 2 .   Jump up ^ Viet Nam News : HFMD cases prompt tighter health screening at airport Archived February 13 , 2009 , at the Wayback Machine. ( accessed May 15 , 2008 )   Jump up ^ EV - 71 Virus Continues Dramatic Rise Archived October 21 , 2008 , at the Wayback Machine . ( accessed May 23 , 2008 )   Jump up ^ Bandar Seri Begawan ( November 7 , 2008 ) . `` 1,053 HFD cases recorded '' . The Birmingham News . Archived from the original on July 22 , 2012 . Retrieved May 11 , 2012 .   Jump up ^ `` Hand - foot - mouth disease death toll rises to 17 in East China 's Shandong Province '' . China View . April 9 , 2009 . Archived from the original on April 13 , 2009 . Retrieved September 29 , 2009 .   Jump up ^ `` Health Ministry : Hand - foot - mouth disease claims 50 lives this year '' . China View . April 10 , 2009 . Archived from the original on April 15 , 2009 . Retrieved September 29 , 2009 .   Jump up ^ `` Archived copy '' . Archived from the original on May 1 , 2011 . Retrieved December 2 , 2011 . CS1 maint : Archived copy as title ( link )   Jump up ^ `` China reports 537 deaths from hand - foot - mouth disease this year '' . People 's Daily Online . 2010 . Archived from the original on October 17 , 2013 . Retrieved October 16 , 2013 .   Jump up ^ `` Coxsackievirus A6 ( CVA6 ) '' . California Department of Public Health . 2013 . Archived from the original on October 17 , 2013 . Retrieved October 16 , 2013 .   Jump up ^ Hannah Wolfson ( February 13 , 2012 ) . `` Outbreak of hand , foot and mouth disease severe in Alabama '' . The Birmingham News . Archived from the original on March 4 , 2012 . Retrieved May 11 , 2012 .   Jump up ^ CBS News Staff ( 2012 ) . `` Joint Press Release Between The Ministry of Health Kingdom of Cambodia and the World Health Organization '' ( PDF ) . CBS News . Archived ( PDF ) from the original on October 17 , 2013 . Retrieved October 16 , 2013 .   Jump up ^ `` Mysterious deadly illness in Cambodian children tied to hand , foot and mouth disease '' . Hand , Foot and Mouth Disease . World Health Organization . 2012 . Archived from the original on June 3 , 2013 . Retrieved October 16 , 2013 .   Jump up ^ `` Global Alert and Response ( GAR ) '' . Undiagnosed illness in Cambodia - update . World Health Organization . 2012 . Archived from the original on October 17 , 2013 . Retrieved October 16 , 2013 .   Jump up ^ `` Emerging disease surveillance and response '' . Hand , Foot and Mouth Disease . World Health Organization . 2013 . Archived from the original on October 17 , 2013 . Retrieved October 16 , 2013 .   Jump up ^ Alsop J , Flewett TH , Foster JR ( December 1960 ) . `` '' Hand - foot - and - mouth disease '' in Birmingham in 1959 `` . British Medical Journal . 2 ( 5214 ) : 1708 -- 11 . PMC 2098292 . PMID 13682692 .   Jump up ^ Flewett TH , Warin RP , Clarke SK ( January 1963 ) . `` ' Hand , foot , and mouth disease ' associated with Coxsackie A5 virus '' . Journal of Clinical Pathology. 16 : 53 -- 5 . PMC 480485 . PMID 13945538 .    External links ( edit )     Classification     ICD - 10 : B08. 4   ICD - 9 - CM : 074.3   MeSH : D006232   DiseasesDB : 5622       External resources     MedlinePlus : 000965   eMedicine : derm / 175   Patient UK : Hand , foot , and mouth disease        Media related to Hand , foot and mouth disease at Wikimedia Commons   News related to Highly contagious Hand , foot and mouth disease killing China 's children at Wikinews              Infectious skin disease : Viral cutaneous conditions , including viral exanthema ( B00 -- B09 , 050 -- 059 )        DNA virus      Herpesviridae      Alpha      HSV     Herpes simplex   Herpetic whitlow   Herpes gladiatorum   Herpes simplex keratitis   Herpetic sycosis   Neonatal herpes simplex   Herpes genitalis   Herpes labialis   Eczema herpeticum   Herpetiform esophagitis       Herpes B virus     B virus infection       VZV     Chickenpox   Herpes zoster   Herpes zoster oticus   Ophthalmic zoster   Disseminated herpes zoster   Zoster - associated pain   Modified varicella - like syndrome          Beta     Human herpesvirus 6 / Roseolovirus   Exanthema subitum   Roseola vaccinia     Cytomegalic inclusion disease       Gamma     KSHV   Kaposi 's sarcoma            Poxviridae      Ortho     Variola   Smallpox   Alastrim     MoxV   Monkeypox     CPXV   Cowpox     VV   Vaccinia   Generalized vaccinia   Eczema vaccinatum   Progressive vaccinia     Buffalopox       Para     Farmyard pox : Milker 's nodule   Bovine papular stomatitis   Pseudocowpox   Orf   Sealpox       Other     Yatapoxvirus : Tanapox   Yaba monkey tumor virus   MCV   Molluscum contagiosum            Papillomaviridae      HPV     Wart / plantar wart   Heck 's disease   Genital wart   giant     Laryngeal papillomatosis   Butcher 's wart   Bowenoid papulosis   Epidermodysplasia verruciformis   Verruca plana   Pigmented wart   Verrucae palmares et plantares         BPV   Equine sarcoid            Parvoviridae     Parvovirus B19   Erythema infectiosum   Reticulocytopenia   Papular purpuric gloves and socks syndrome         Polyomaviridae     Merkel cell polyomavirus   Merkel cell carcinoma            RNA virus      Paramyxoviridae     MeV   Measles         Togaviridae     Rubella virus   Rubella   Congenital rubella syndrome ( `` German measles '' )     Alphavirus infection   Chikungunya fever       Picornaviridae     CAV   Hand , foot and mouth disease   Herpangina     FMDV   Foot - and - mouth disease     Boston exanthem disease             Ungrouped     Asymmetric periflexural exanthem of childhood   Post-vaccination follicular eruption   Lipschütz ulcer   Eruptive pseudoangiomatosis   Viral - associated trichodysplasia   Gianotti -- Crosti syndrome                 Oral and maxillofacial pathology ( K00 -- K06 , K11 -- K14 , 520 -- 525 , 527 -- 529 )        Lips       Cheilitis   Actinic   Angular   Plasma cell     Cleft lip   Congenital lip pit   Eclabium   Herpes labialis   Macrocheilia   Microcheilia   Nasolabial cyst   Sun poisoning   Trumpeter 's wart             Tongue       Ankyloglossia   Black hairy tongue   Caviar tongue   Crenated tongue   Cunnilingus tongue   Fissured tongue   Foliate papillitis   Glossitis   Geographic tongue   Median rhomboid glossitis   Transient lingual papillitis     Glossoptosis   Hypoglossia   Lingual thyroid   Macroglossia   Microglossia   Rhabdomyoma             Palate       Bednar 's aphthae   Cleft palate   High - arched palate   Palatal cysts of the newborn   Inflammatory papillary hyperplasia   Stomatitis nicotina   Torus palatinus             Oral mucosa -- Lining of mouth       Amalgam tattoo   Angina bullosa haemorrhagica   Behçet 's disease   Bohn 's nodules   Burning mouth syndrome   Candidiasis   Condyloma acuminatum   Darier 's disease   Epulis fissuratum   Erythema multiforme   Erythroplakia   Fibroma   Giant - cell     Focal epithelial hyperplasia   Fordyce spots   Hairy leukoplakia   Hand , foot and mouth disease   Hereditary benign intraepithelial dyskeratosis   Herpangina   Herpes zoster   Intraoral dental sinus   Leukoedema   Leukoplakia   Lichen planus   Linea alba   Lupus erythematosus   Melanocytic nevus   Melanocytic oral lesion   Molluscum contagiosum   Morsicatio buccarum   Oral cancer   Benign : Squamous cell papilloma   Keratoacanthoma   Malignant : Adenosquamous carcinoma   Basaloid squamous carcinoma   Mucosal melanoma   Spindle cell carcinoma   Squamous cell carcinoma   Verrucous carcinoma     Oral florid papillomatosis   Oral melanosis   Smoker 's melanosis     Pemphigoid   Benign mucous membrane     Pemphigus   Plasmoacanthoma   Stomatitis   Aphthous   Denture - related   Herpetic     Smokeless tobacco keratosis   Submucous fibrosis   Ulceration   Riga -- Fede disease     Verruca vulgaris   Verruciform xanthoma   White sponge nevus             Teeth ( pulp , dentin , enamel )       Amelogenesis imperfecta   Ankylosis   Anodontia   Caries   Early childhood caries     Concrescence   Failure of eruption of teeth   Dens evaginatus   Talon cusp     Dentin dysplasia   Dentin hypersensitivity   Dentinogenesis imperfecta   Dilaceration   Discoloration   Ectopic enamel   Enamel hypocalcification   Enamel hypoplasia   Turner 's hypoplasia     Enamel pearl   Fluorosis   Fusion   Gemination   Hyperdontia   Hypodontia   Maxillary lateral incisor agenesis     Impaction   Wisdom tooth impaction     Macrodontia   Meth mouth   Microdontia   Odontogenic tumors   Keratocystic odontogenic tumour     Odontoma   Dens in dente     Open contact   Premature eruption   Neonatal teeth     Pulp calcification   Pulp stone     Pulp canal obliteration   Pulp necrosis   Pulp polyp   Pulpitis   Regional odontodysplasia   Resorption   Shovel - shaped incisors   Supernumerary root   Taurodontism   Trauma   Avulsion   Cracked tooth syndrome   Vertical root fracture   Occlusal     Tooth loss   Edentulism     Tooth wear   Abrasion   Abfraction   Acid erosion   Attrition               Periodontium ( gingiva , periodontal ligament , cementum , alveolus ) -- Gums and tooth - supporting structures       Cementicle   Cementoblastoma   Gigantiform     Cementoma   Eruption cyst   Epulis   Pyogenic granuloma   Congenital epulis     Gingival enlargement   Gingival cyst of the adult   Gingival cyst of the newborn   Gingivitis   Desquamative   Granulomatous   Plasma cell     Hereditary gingival fibromatosis   Hypercementosis   Hypocementosis   Linear gingival erythema   Necrotizing periodontal diseases   Acute necrotizing ulcerative gingivitis     Pericoronitis   Peri-implantitis   Periodontal abscess   Periodontal trauma   Periodontitis   Aggressive   As a manifestation of systemic disease   Chronic     Perio - endo lesion   Teething             Periapical , mandibular and maxillary hard tissues -- Bones of jaws       Agnathia   Alveolar osteitis   Buccal exostosis   Cherubism   Idiopathic osteosclerosis   Mandibular fracture   Microgenia   Micrognathia   Intraosseous cysts   Odontogenic : periapical   Dentigerous   Buccal bifurcation   Lateral periodontal   Globulomaxillary   Calcifying odontogenic   Glandular odontogenic   Non-odontogenic : Nasopalatine duct   Median mandibular   Median palatal   Traumatic bone     Osteoma   Osteomyelitis   Osteonecrosis   Bisphosphonate - associated   Neuralgia - inducing cavitational osteonecrosis   Osteoradionecrosis     Osteoporotic bone marrow defect   Paget 's disease of bone   Periapical abscess   Phoenix abscess     Periapical periodontitis   Stafne defect   Torus mandibularis             Temporomandibular joints , muscles of mastication and malocclusions -- Jaw joints , chewing muscles and bite abnormalities       Bruxism   Condylar resorption   Mandibular dislocation   Malocclusion   Crossbite   Open bite   Overbite   Overeruption   Overjet   Prognathia   Retrognathia   Scissor bite     Maxillary hypoplasia   Temporomandibular joint dysfunction             Salivary glands       Benign lymphoepithelial lesion   Ectopic salivary gland tissue   Frey 's syndrome   HIV salivary gland disease   Necrotizing sialometaplasia   Mucocele   Ranula     Pneumoparotitis   Salivary duct stricture   Salivary gland aplasia   Salivary gland atresia   Salivary gland diverticulum   Salivary gland fistula   Salivary gland hyperplasia   Salivary gland hypoplasia   Salivary gland neoplasms   Benign : Basal cell adenoma   Canalicular adenoma   Ductal papilloma   Monomorphic adenoma   Myoepithelioma   Oncocytoma   Papillary cystadenoma lymphomatosum   Pleomorphic adenoma   Sebaceous adenoma   Malignant : Acinic cell carcinoma   Adenocarcinoma   Adenoid cystic carcinoma   Carcinoma ex pleomorphic adenoma   Lymphoma   Mucoepidermoid carcinoma     Sclerosing polycystic adenosis   Sialadenitis   Parotitis   Chronic sclerosing sialadenitis     Sialectasis   Sialocele   Sialodochitis   Sialosis   Sialolithiasis   Sjögren 's syndrome             Orofacial soft tissues -- Soft tissues around the mouth       Actinomycosis   Angioedema   Basal cell carcinoma   Cutaneous sinus of dental origin   Cystic hygroma   Gnathophyma   Ludwig 's angina   Macrostomia   Melkersson -- Rosenthal syndrome   Microstomia   Noma   Oral Crohn 's disease   Orofacial granulomatosis   Perioral dermatitis   Pyostomatitis vegetans             Other       Eagle syndrome   Hemifacial hypertrophy   Facial hemiatrophy   Oral manifestations of systemic disease                NDL : 00804612      Retrieved from `` https://en.wikipedia.org/w/index.php?title=Hand,_foot,_and_mouth_disease&amp;oldid=865134490 '' Categories :   Enterovirus - associated diseases   Oral mucosal pathology   Virus - related cutaneous conditions   Hidden categories :   Webarchive template wayback links   CS1 maint : Archived copy as title   Use mdy dates from June 2013   Infobox medical condition ( new )   Wikipedia articles with NDL identifiers   RTT   RTTEM           Talk                                           Contents                   About Wikipedia                                                   Asturianu   Български   Català   Čeština   Deutsch   ދިވެހިބަސް   Español   فارسی   Français   Galego   </t>
    </r>
    <r>
      <rPr>
        <sz val="11"/>
        <color rgb="FF000000"/>
        <rFont val="Noto Sans CJK SC"/>
        <family val="2"/>
      </rPr>
      <t xml:space="preserve">客家 語 </t>
    </r>
    <r>
      <rPr>
        <sz val="11"/>
        <color rgb="FF000000"/>
        <rFont val="Calibri"/>
        <family val="0"/>
        <charset val="1"/>
      </rPr>
      <t xml:space="preserve">/ Hak - kâ - ngî   </t>
    </r>
    <r>
      <rPr>
        <sz val="11"/>
        <color rgb="FF000000"/>
        <rFont val="Noto Sans CJK SC"/>
        <family val="2"/>
      </rPr>
      <t xml:space="preserve">한국어   </t>
    </r>
    <r>
      <rPr>
        <sz val="11"/>
        <color rgb="FF000000"/>
        <rFont val="Calibri"/>
        <family val="0"/>
        <charset val="1"/>
      </rPr>
      <t xml:space="preserve">Հայերեն   Hrvatski   Bahasa Indonesia   Italiano   עברית   Кыргызча   Bahasa Melayu   Монгол   Nederlands   </t>
    </r>
    <r>
      <rPr>
        <sz val="11"/>
        <color rgb="FF000000"/>
        <rFont val="Noto Sans CJK SC"/>
        <family val="2"/>
      </rPr>
      <t xml:space="preserve">日本 語   </t>
    </r>
    <r>
      <rPr>
        <sz val="11"/>
        <color rgb="FF000000"/>
        <rFont val="Calibri"/>
        <family val="0"/>
        <charset val="1"/>
      </rPr>
      <t xml:space="preserve">Norsk   ଓଡ଼ିଆ   Polski</t>
    </r>
  </si>
  <si>
    <t xml:space="preserve">when did hand foot and mouth disease begin</t>
  </si>
  <si>
    <t xml:space="preserve"> HFMD cases were first described clinically in Canada and New Zealand in 1957 . The disease was termed `` Hand Foot and Mouth Disease '' , by Thomas Henry Flewett , after a similar outbreak in 1960 . </t>
  </si>
  <si>
    <r>
      <rPr>
        <sz val="11"/>
        <color rgb="FF000000"/>
        <rFont val="Calibri"/>
        <family val="0"/>
        <charset val="1"/>
      </rPr>
      <t xml:space="preserve">List of cities in New York ( state ) - wikipedia  List of cities in New York ( state )  Map of the United States with New York highlighted    Part of a series on     Regions of New York         Downstate New York ( hide )   New York City   Long Island   Hudson Valley ( Lower and Middle )       Upstate New York ( hide )     Hudson Valley ( Middle and Upper )   Capital District   North Country   Southern Tier   Mohawk Valley   Central New York   Finger Lakes   Western New York       Administrative divisions ( show )   Counties   Cities   Towns   Indian reservations   Villages   Census - designated places   Places ( including hamlets )       Timelines of town creation ( show )   Downstate New York   Hudson Valley   Capital District   North Country   Central New York   Southern Tier   Western New York                   This list of the 62 cities in New York State contains all municipalities incorporated as cities and also gives the primary county in which each city is located .   Except for Sherrill , the cities are distinct from towns . Geneva and New York City are the only cities in more than one county .    This list is complete . Do not add or remove any municipalities from this list unless that place has legally changed its incorporation .   Contents :   Top   0 -- 9   A   B   C   D   E   F   G   H   I   J   K   L   M   N   O   P   Q   R   S   T   U   V   W   X   Y   Z     Map of USA &amp; New York  List of cities ( edit )     City   County   Population ( 2011 census estimate )   Incorporation date   FIPS code ( subdivision )   FIPS code ( place )   GNIS feature ID     Albany   Albany   97,660   1686   3600101000   3601000   00978659     Amsterdam   Montgomery   18,507   1830   3605702066   3602066   00978677     Auburn   Cayuga   27,590   1848   3601103078   3603078   00978695     Batavia   Genesee   15,444   1915   3603704715   3604715   00978713     Beacon   Dutchess   15,565   1913   3602705100   3605100   00978716     Binghamton   Broome   46,996   1867   3600706607   3606607   00978733     Buffalo   Erie   261,025   1832   3602911000   3611000   00978764     Canandaigua   Ontario   10,604   1913   3606912144   3612144   00978784     Cohoes   Albany   16,133   1869   3600116749   3616749   00978847     Corning   Steuben   11,187   1890   3610118256   3618256   00978867     Cortland   Cortland   19,212   1900   3602318388   3618388   00978870     Dunkirk   Chautauqua   12,511   1888   3601321105   3621105   00978911     Elmira   Chemung   29,204   1864   3601524229   3624229   00978938     Fulton   Oswego   11,906   1902   3607527815   3627815   00978979     Geneva   Ontario Seneca   13,324   1898   3606928640 3609928640   3628640   00978992     Glen Cove   Nassau   27,063   1918   3605929113   3629113   00979003     Glens Falls   Warren   14,728   1908   3611329333   3629333   00979004     Gloversville   Fulton   15,621   1890   3603529443   3629443   00979006     Hornell   Steuben   8,566   1888   3610135672   3635672   00979078     Hudson   Columbia   6,657   1785   3602135969   3635969   00979083     Ithaca   Tompkins   30,054   1888   3610938077   3638077   00979099     Jamestown   Chautauqua   31,020   1886   3601338264   3638264   00979102     Johnstown   Fulton   8,718   1895   3603538781   3638781   00979110     Kingston   Ulster   23,887   1872   3611139727   3639727   00979118     Lackawanna   Erie   18,121   1909   3602940189   3640189   00979124     Little Falls   Herkimer   5,188   1895   3604342741   3642741   00979157     Lockport   Niagara   21,119   1865   3606343082   3643082   00979164     Long Beach   Nassau   33,395   1922   3605943335   3643335   00979167     Mechanicville   Saratoga   5,227   1915   3609146360   3646360   00979207     Middletown   Orange   28,243   1888   3607147042   3647042   00979217     Mount Vernon   Westchester   67,780   1892   3611949121   3649121   00979245     New Rochelle   Westchester   77,606   1889   3611950617   3650617   00979271     New York City   Bronx , Kings , New York , Queens , and Richmond   8,550,405   1653     3651000   02395220     Newburgh   Orange   29,026   1865   3607150034   3650034   00979258     Niagara Falls   Niagara   50,086   1892   3606351055   3651055   00979276     North Tonawanda   Niagara   31,501   1897   3606353682   3653682   00979293     Norwich   Chenango   7,139   1914   3601753979   3653979   00979296     Ogdensburg   St. Lawrence   11,104   1868   3608954485   3654485   00979301     Olean   Cattaraugus   14,363   1854   3600954716   3654716   00979305     Oneida   Madison   11,387   1901   3605354837   3654837   00979308     Oneonta   Otsego   13,843   1908   3607754881   3654881   00979309     Oswego   Oswego   18,158   1848   3607555574   3655574   00979325     Peekskill   Westchester   23,755   1940   3611956979   3656979   00979348     Plattsburgh   Clinton   19,949   1902   3601958574   3658574   00979376     Port Jervis   Orange   8,878   1907   3607159388   3659388   00979387     Poughkeepsie   Dutchess   32,790   1854   3602759641   3659641   00979392     Rensselaer   Rensselaer   9,391   1897   3608361148   3661148   00979414     Rochester   Monroe   210,855   1834   3605563000   3663000   00979426     Rome   Oneida   33,660   1870   3606563418   3663418   00979430     Rye   Westchester   15,834   1942   3611964309   3664309   00979445     Salamanca   Cattaraugus   5,780   1913   3600964749   3664749   00979450     Saratoga Springs   Saratoga   26,727   1915   3609165255   3665255   00979462     Schenectady   Schenectady   66,273   1798   3609365508   3665508   00979468     Sherrill   Oneida   3,147   1916   3606566993   3666993   00979493     Syracuse   Onondaga   145,151   1848   3606773000   3673000   00979539     Tonawanda   Erie   15,112   1904   3602974166   3674166   00979550     Troy   Rensselaer   50,120   1816   3608375484   3675484   00979559     Utica   Oneida   62,110   1832   3606576540   3676540   00979575     Watertown   Jefferson   27,423   1869   3604578608   3678608   00979604     Watervliet   Albany   10,230   1896   3600178674   3678674   00979606     White Plains   Westchester   57,258   1916   3611981677   3681677   00979637     Yonkers   Westchester   197,399   1872   3611984000   3684000   00979660     Extremes in size and population ( edit )   The most populous and largest city by area in the state is by far New York , home to over 8.2 million people and comprising just over 300 square miles ( 800 km ) of land ( 468.87 square miles ( 1,210 km ) including water ) . The least populous city is Sherrill , with just 3,147 inhabitants in 2000 . The smallest city by area is Mechanicville , which covers 0.91 square miles ( 2.4 km ) ( of which 0.08 square miles ( 0.2 km ) is water ) .     Gallery ( edit )       New York City , largest city in New York and the United States .       New York City , largest city in New York and the United States .     Buffalo , the second largest city in New York     Rochester , the third largest .     Yonkers , the fourth largest     Syracuse , the fifth largest .     Albany , the sixth largest and capital of New York .     New Rochelle , the seventh largest .     Schenectady , the ninth largest .     White Plains     Troy     Niagara Falls     Binghamton     Long Beach     Poughkeepsie     Jamestown     Watertown     See also ( edit )    New York portal     List of city nicknames in New York   Administrative divisions of New York   List of counties in New York   List of towns in New York   List of villages in New York   List of census - designated places in New York    Footnotes ( edit )    ^ Geneva is located within both the counties of Ontario and Seneca , although the section in Seneca County has no population and is all water .   ^ 1653 is the officially recognized date . Peter Stuyvesant convinced the States General of the Netherlands to charter the city of Nieuw Amsterdam in 1653 . The English envoy , Richard Nicolls , renamed the city `` New York '' two days after capturing it in 1664 . Provincial governor Thomas Dongan rechartered the city under the auspices of the Duke of York in 1683 , though the charter was not published until 1686 . Finally , New York was reincorporated to include all five of its present boroughs in 1898 .    References ( edit )    ^ Jump up to : `` New York '' . US Census Bureau . Retrieved 2017 - 05 - 14 .   Jump up ^ Overview of Geneva city near county borders ( Map ) . USGS ( ACME mapper ) . Retrieved 2009 - 06 - 25 .   Jump up ^ `` New York 1653 -- 1953 '' , The New York Times , New York , New York , 1953 - 02 - 02 , ISSN 0362 - 4331 , retrieved 2009 - 05 - 24   Jump up ^ Roosevelt , Theodore ( 1891 ) , New York : A Sketch of the City 's Social , Political , and Commercial Progress from the First Dutch Settlement to Recent Times , New York , New York : Longmans , Green , p. 30 , OCLC 2306039 , retrieved 2009 - 05 - 24 , It was under Stuyvesant , in 1653 , that the town was formally incorporated as a city   Jump up ^ Roosevelt , Theodore ( 1891 ) , New York : A Sketch of the City 's Social , Political , and Commercial Progress from the First Dutch Settlement to Recent Times , New York , New York : Longmans , Green , p. 46 , OCLC 2306039 , retrieved 2009 - 05 - 24 , The expedition against New Amsterdam had been organized with the Duke of York , afterward King James II. , as its special patron , and the city was rechristened in his honor .   Jump up ^ Roosevelt , Theodore ( 1891 ) , New York : A Sketch of the City 's Social , Political , and Commercial Progress from the First Dutch Settlement to Recent Times , New York , New York : Longmans , Green , p. 56 , OCLC 2306039 , retrieved 2009 - 05 - 24 , Under the influence of Dongan , he did indeed grant to the city itself a charter of special rights and privileges   Jump up ^ Dongan , Thomas ( 1694 ) , The charter of the city of New - York , New York , New York : William Bradford , OCLC 55899385 , retrieved 2009 - 05 - 24      Links to related articles                Administrative divisions of New York     Primary division     Boroughs   County   List of New York counties       Secondary divisions     Towns   Cities   Indian Reservations   Community districts       Other divisions     Villages   Census - designated places   School districts   Places                 State of New York     Albany ( capital )     Topics     Bibliography   Demographics   Economy   Education   Geography   History   Healthcare   Museums   Music   Nickname   Parks   People   Politics   Sports   Symbols   Transportation   Tourist attractions         Politics     Administrative divisions   Congressional districts   Constitution   Elections   Government   Law       Regions     Adirondack Mountains   Allegheny Plateau   Capital District   Catskill Mountains   Central Region ( formerly Central - Leatherstocking )   Central New York   Champlain Valley   New York City   Finger Lakes   Holland Purchase   Hudson Highlands   Hudson Valley   Long Island   Mohawk Valley   Niagara Frontier   North Country   Ridge and Valley   Saint Lawrence Seaway   Shawangunks   Ski country   Southern Tier   Southtowns   Tech Valley   Thousand Islands   Tug Hill   Upstate   Western       Metro areas     Albany / Schenectady / Troy   Binghamton   Buffalo / Niagara Falls   Elmira / Corning   Glens Falls   Ithaca   Kingston   New York City   Rochester   Syracuse   Utica / Rome   Watertown       Counties     Albany   Allegany   Bronx   Broome   Cattaraugus   Cayuga   Chautauqua   Chemung   Chenango   Clinton   Columbia   Cortland   Delaware   Dutchess   Erie   Essex   Franklin   Fulton   Genesee   Greene   Hamilton   Herkimer   Jefferson   Kings   Lewis   Livingston   Madison   Monroe   Montgomery   Nassau   New York   Niagara   Oneida   Onondaga   Ontario   Orange   Orleans   Oswego   Otsego   Putnam   Queens   Rensselaer   Richmond   Rockland   Saint Lawrence   Saratoga   Schenectady   Schoharie   Schuyler   Seneca   Steuben   Suffolk   Sullivan   Tioga   Tompkins   Ulster   Warren   Washington   Wayne   Westchester   Wyoming   Yates       Places     Cities   Towns   Indian reservations   Villages   Census - designated places                 Lists of cities in the United States by state     Index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D.C. neighborhoods   American Samoa   Guam   Northern Mariana Islands   Puerto Rico   U.S. Virgin Islands       By population     California   Connecticut   Illinois   Iowa   Michigan   New Hampshire   New Mexico   Oklahoma   Pennsylvania   Tennessee   Texas   Wisconsin       By area     California         Retrieved from `` https://en.wikipedia.org/w/index.php?title=List_of_cities_in_New_York_(state)&amp;oldid=853327167 '' Categories :   Cities in New York ( state )   Lists of cities in the United States by state   Lists of populated places in New York ( state )           Talk                                                             About Wikipedia                                             Boarisch   Deutsch   Español   فارسی   Français   Hrvatski   Italiano   Norsk   Português   Română   Русский   Simple English   Tagalog   Türkçe   اردو   Tiếng Việt   </t>
    </r>
    <r>
      <rPr>
        <sz val="11"/>
        <color rgb="FF000000"/>
        <rFont val="Noto Sans CJK SC"/>
        <family val="2"/>
      </rPr>
      <t xml:space="preserve">中文  </t>
    </r>
    <r>
      <rPr>
        <sz val="11"/>
        <color rgb="FF000000"/>
        <rFont val="Calibri"/>
        <family val="0"/>
        <charset val="1"/>
      </rPr>
      <t xml:space="preserve">9 more  Edit links   This page was last edited on 3 August 2018 , at 23 : 42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</si>
  <si>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list of largest cities in new york state</t>
  </si>
  <si>
    <t xml:space="preserve">   City   County   Population ( 2011 census estimate )   Incorporation date   FIPS code ( subdivision )   FIPS code ( place )   GNIS feature ID     Albany   Albany   97,660   1686   3600101000   3601000   00978659     Amsterdam   Montgomery   18,507   1830   3605702066   3602066   00978677     Auburn   Cayuga   27,590   1848   3601103078   3603078   00978695     Batavia   Genesee   15,444   1915   3603704715   3604715   00978713     Beacon   Dutchess   15,565   1913   3602705100   3605100   00978716     Binghamton   Broome   46,996   1867   3600706607   3606607   00978733     Buffalo   Erie   261,025   1832   3602911000   3611000   00978764     Canandaigua   Ontario   10,604   1913   3606912144   3612144   00978784     Cohoes   Albany   16,133   1869   3600116749   3616749   00978847     Corning   Steuben   11,187   1890   3610118256   3618256   00978867     Cortland   Cortland   19,212   1900   3602318388   3618388   00978870     Dunkirk   Chautauqua   12,511   1888   3601321105   3621105   00978911     Elmira   Chemung   29,204   1864   3601524229   3624229   00978938     Fulton   Oswego   11,906   1902   3607527815   3627815   00978979     Geneva   Ontario Seneca   13,324   1898   3606928640 3609928640   3628640   00978992     Glen Cove   Nassau   27,063   1918   3605929113   3629113   00979003     Glens Falls   Warren   14,728   1908   3611329333   3629333   00979004     Gloversville   Fulton   15,621   1890   3603529443   3629443   00979006     Hornell   Steuben   8,566   1888   3610135672   3635672   00979078     Hudson   Columbia   6,657   1785   3602135969   3635969   00979083     Ithaca   Tompkins   30,054   1888   3610938077   3638077   00979099     Jamestown   Chautauqua   31,020   1886   3601338264   3638264   00979102     Johnstown   Fulton   8,718   1895   3603538781   3638781   00979110     Kingston   Ulster   23,887   1872   3611139727   3639727   00979118     Lackawanna   Erie   18,121   1909   3602940189   3640189   00979124     Little Falls   Herkimer   5,188   1895   3604342741   3642741   00979157     Lockport   Niagara   21,119   1865   3606343082   3643082   00979164     Long Beach   Nassau   33,395   1922   3605943335   3643335   00979167     Mechanicville   Saratoga   5,227   1915   3609146360   3646360   00979207     Middletown   Orange   28,243   1888   3607147042   3647042   00979217     Mount Vernon   Westchester   67,780   1892   3611949121   3649121   00979245     New Rochelle   Westchester   77,606   1889   3611950617   3650617   00979271     New York City   Bronx , Kings , New York , Queens , and Richmond   8,550,405   1653     3651000   02395220     Newburgh   Orange   29,026   1865   3607150034   3650034   00979258     Niagara Falls   Niagara   50,086   1892   3606351055   3651055   00979276     North Tonawanda   Niagara   31,501   1897   3606353682   3653682   00979293     Norwich   Chenango   7,139   1914   3601753979   3653979   00979296     Ogdensburg   St. Lawrence   11,104   1868   3608954485   3654485   00979301     Olean   Cattaraugus   14,363   1854   3600954716   3654716   00979305     Oneida   Madison   11,387   1901   3605354837   3654837   00979308     Oneonta   Otsego   13,843   1908   3607754881   3654881   00979309     Oswego   Oswego   18,158   1848   3607555574   3655574   00979325     Peekskill   Westchester   23,755   1940   3611956979   3656979   00979348     Plattsburgh   Clinton   19,949   1902   3601958574   3658574   00979376     Port Jervis   Orange   8,878   1907   3607159388   3659388   00979387     Poughkeepsie   Dutchess   32,790   1854   3602759641   3659641   00979392     Rensselaer   Rensselaer   9,391   1897   3608361148   3661148   00979414     Rochester   Monroe   210,855   1834   3605563000   3663000   00979426     Rome   Oneida   33,660   1870   3606563418   3663418   00979430     Rye   Westchester   15,834   1942   3611964309   3664309   00979445     Salamanca   Cattaraugus   5,780   1913   3600964749   3664749   00979450     Saratoga Springs   Saratoga   26,727   1915   3609165255   3665255   00979462     Schenectady   Schenectady   66,273   1798   3609365508   3665508   00979468     Sherrill   Oneida   3,147   1916   3606566993   3666993   00979493     Syracuse   Onondaga   145,151   1848   3606773000   3673000   00979539     Tonawanda   Erie   15,112   1904   3602974166   3674166   00979550     Troy   Rensselaer   50,120   1816   3608375484   3675484   00979559     Utica   Oneida   62,110   1832   3606576540   3676540   00979575     Watertown   Jefferson   27,423   1869   3604578608   3678608   00979604     Watervliet   Albany   10,230   1896   3600178674   3678674   00979606     White Plains   Westchester   57,258   1916   3611981677   3681677   00979637     Yonkers   Westchester   197,399   1872   3611984000   3684000   00979660   </t>
  </si>
  <si>
    <t xml:space="preserve">Randy Gumpert - wikipedia  Randy Gumpert  Jump to : navigation , search    Randy Gumpert         Pitcher     Born : January 23 , 1918 Monocacy , Pennsylvania     Died : November 25 , 2008 ( 2008 - 11 - 25 ) ( aged 90 ) Wyomissing , Pennsylvania        Batted : Right   Threw : Right        MLB debut     June 13 , 1936 , for the Philadelphia Athletics     Last MLB appearance     September 23 , 1952 , for the Washington Senators     MLB statistics     Win -- loss record   51 -- 59     Earned run average   4.17     Strikeouts   352         Teams       Philadelphia Athletics ( 1936 -- 1938 )   New York Yankees ( 1946 -- 1948 )   Chicago White Sox ( 1948 -- 1951 )   Boston Red Sox ( 1952 )   Washington Senators ( 1952 )       Career highlights and awards       World Series champion ( 1947 )   All - Star ( 1951 )       Randall Pennington Gumpert ( January 23 , 1918 -- November 25 , 2008 ) was a Major League Baseball pitcher , playing for five different teams throughout his career . He was born in Monocacy , Pennsylvania . His pro career began when he was signed by the Philadelphia Athletics as a free agent before the 1936 season , at the age of 18 . Even before that , he threw batting practice for the Athletics in Shibe Park as far back as 1934 before he was signed to the team . He pitched three seasons of relief in Philadelphia before being traded to the New York Yankees in July 1939 .   Gumpert spent a few years in the minors before deciding to enter military service . He served in World War II as a member of the United States Coast Guard . After finishing his time in the military , he was able to make it to the major league roster for the 1946 season . He played well in his first season as a Yankee , earning an 11 -- 3 record with an earned run average of 2.31 . Gumpert played fewer innings the following season , but still received a 4 -- 1 record , and the Yankees won the 1947 World Series . He continued being a relief pitcher for part of the 1948 season before he was purchased by the Chicago White Sox . He finished the 1948 season in the starting rotation for the White Sox . He spent the 1949 season in the starting rotation as well , and managed to keep his spot throughout the year despite allowing the most home runs in the American League . It was also the one season where Gumpert pitched over 200 innings , pitching 234 , and the season where he pitched the most complete games and shutouts , with 18 and 3 , respectively . The 1950 season saw Randy split time between the starting rotation and the bullpen .   On May 1 , 1951 , Gumpert became part of baseball history as he allowed Mickey Mantle 's first home run . 1951 also saw Gumpert make his only all - star appearance , in which he did not pitch . On November 13 , 1951 , Gumpert was traded along with Don Lenhardt to the Boston Red Sox for Mel Hoderlein and Chuck Stobbs . After playing 10 games for the Red Sox , he was traded again , this time to the Washington Senators with Walt Masterson for Sid Hudson .   After spending the rest of the season in Washington , both in the rotation and the bullpen , Gumpert retired . He later became a scout for the New York Yankees , managed in their farm system and served as a temporary member of the Bombers ' 1957 coaching staff , when , in April , Bill Dickey stepped down due to ill health ; Gumpert eventually ceded his coaching post to Charlie Keller .   References ( edit )    ^ Jump up to : `` Randy Gumpert Statistics - Baseball-Reference.com '' . Retrieved 2007 - 05 - 17 .   ^ Jump up to : `` Randy Gumpert - BaseballLibrary.com '' . Archived from the original on 2007 - 01 - 06 . Retrieved 2007 - 05 - 18 .   Jump up ^ Bedingfield , Gary . `` Those Who Served '' . Baseball in Wartime . Retrieved 2007 - 05 - 18 .    External links ( edit )    Career statistics and player information from Baseball - Reference   Randy Gumpert at Baseball Almanac   Randy Gumpert at Find a Grave   Retrieved from `` https://en.wikipedia.org/w/index.php?title=Randy_Gumpert&amp;oldid=832682981 '' Categories :   1918 births   2008 deaths   Baltimore Orioles ( IL ) players   Baseball players from Pennsylvania   Binghamton Triplets players   Boston Red Sox players   Charleston Senators players   Chicago White Sox players   Kansas City Blues ( baseball ) players   Little Rock Travelers players   Los Angeles Angels ( minor league ) players   Major League Baseball pitchers   Newark Bears ( IL ) players   New York Yankees coaches   New York Yankees players   New York Yankees scouts   Norfolk Tars players   Philadelphia Athletics players   Washington Senators ( 1901 -- 60 ) players   Williamsport Grays players   Hidden categories :   Find a Grave template with ID same as Wikidata           Talk                                                             About Wikipedia                                           Add links   This page was last edited on 27 March 2018 , at 12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</si>
  <si>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gave up mickey mantle's first home run</t>
  </si>
  <si>
    <t xml:space="preserve"> On May 1 , 1951 , Gumpert became part of baseball history as he allowed Mickey Mantle 's first home run . 1951 also saw Gumpert make his only all - star appearance , in which he did not pitch . On November 13 , 1951 , Gumpert was traded along with Don Lenhardt to the Boston Red Sox for Mel Hoderlein and Chuck Stobbs . After playing 10 games for the Red Sox , he was traded again , this time to the Washington Senators with Walt Masterson for Sid Hudson . </t>
  </si>
  <si>
    <r>
      <rPr>
        <sz val="11"/>
        <color rgb="FF000000"/>
        <rFont val="Calibri"/>
        <family val="0"/>
        <charset val="1"/>
      </rPr>
      <t xml:space="preserve">Marbury v. Madison - wikipedia  Marbury v. Madison    United States Supreme Court case    Marbury v. Madison     Supreme Court of the United States     Argued February 11 , 1803 Decided February 24 , 1803     Full case name   William Marbury v. James Madison , Secretary of State of the United States     Citations   5 U.S. 137 ( more ) 1 Cranch 137 ; 2 L. Ed . 60 ; 1803 U.S. LEXIS 352     Prior history   Original action filed in U.S. Supreme Court ; order to show cause why writ of mandamus should not issue , December 1801     Holding     Section 13 of the Judiciary Act of 1789 is unconstitutional to the extent it purports to enlarge the original jurisdiction of the Supreme Court beyond that permitted by the Constitution . Congress can not pass laws that are contrary to the Constitution , and it is the role of the judiciary to interpret what the Constitution permits .     Court membership       Chief Justice   John Marshall   Associate Justices   William Cushing William Paterson Samuel Chase Bushrod Washington Alfred Moore       Case opinions     Majority   Marshall , joined by Paterson , Chase , Washington     Cushing and Moore took no part in the consideration or decision of the case .     Laws applied     U.S. Const . arts . I , III ; Judiciary Act of 1789 § 13     Marbury v. Madison , 5 U.S. ( 1 Cranch ) 137 ( 1803 ) , was a U.S. Supreme Court case that established the principle of judicial review in the United States , meaning that American courts have the power to strike down laws , statutes , and executive actions that contravene the U.S. Constitution . The Court 's landmark decision , issued in 1803 , helped define the boundary between the constitutionally separate executive and judicial branches of the American form of government .   The case ultimately stemmed from a rivalry between outgoing U.S. President John Adams and incoming President Thomas Jefferson . Adams had lost the U.S. presidential election of 1800 to Jefferson , and in March 1801 , just two days before his term as president ended , Adams appointed several dozen men who supported him and the Federalist Party to new circuit judge and justice of the peace positions in an attempt to stymie Jefferson and his supporters in the Democratic - Republican Party . The U.S. Senate quickly confirmed Adams 's appointments , but upon Jefferson 's inauguration two days later , a few of the mens ' paper commissions still had not been delivered . Jefferson believed the commissions were void because they had not been delivered in time , and instructed his new Secretary of State , James Madison , not to deliver them .   Among the men whose commissions had not been delivered in time was William Marbury , a landowner and businessman from Maryland who had been a strong supporter of Adams and the Federalists . In late 1801 , Marbury filed a lawsuit in the U.S. Supreme Court asking the Court to issue a writ of mandamus forcing Madison to deliver his commission . The Court , in an opinion written by Chief Justice John Marshall , found firstly that Madison 's refusal to deliver the commission was both illegal and correctible . Nonetheless , the Court stopped short of ordering Madison to hand over Marbury 's commission , instead holding that the provision of the Judiciary Act of 1789 that enabled Marbury to bring his claim to the Supreme Court was itself unconstitutional , since it purported to extend the Court 's original jurisdiction beyond that which Article III established .   Marbury v. Madison remains the single most important decision in American constitutional law . The decision expanded the power of the Supreme Court in general , by announcing that the 1789 law which gave the Court jurisdiction in this case was unconstitutional . Marbury thus lost his case , which the Court said he should have won , but , in explaining its inability to provide Marbury the remedy it said he deserved , the Court established the principle of judicial review , i.e. , the power to declare a law unconstitutional .   Contents    1 Background   2 Decision   2.1 Marbury 's commission and legal remedy   2.2 Jurisdiction   2.3 Introducing judicial review     3 Impact   4 Criticism   5 See also   6 Notes   7 References   7.1 Citations   7.2 Works cited     8 Further reading   9 External links    Background   In the fiercely contested U.S. presidential election of 1800 , the three major candidates were Democratic - Republican Party candidates Thomas Jefferson and Aaron Burr , and Federalist Party candidate John Adams , who was the incumbent U.S. president . American public opinion had gradually turned against the Federalists in the months prior to the election , mainly due to their use of the Alien and Sedition Acts and growing tensions with Great Britain . Jefferson easily won the popular vote , but he and Burr tied in the Electoral College vote ; as the U.S. Constitution directs , the tie went to the U.S. House of Representatives , which voted in favor of Jefferson .  William Marbury , whose commission was not delivered before outgoing President John Adams left office . Secretary of State James Madison , whom incoming President Thomas Jefferson instructed to withhold the undelivered commissions .  As the results of the election became clear in early 1801 , Adams and the Federalists became determined to exercise their influence in the weeks remaining before Jefferson took office , and did all they could to fill federal offices with `` anti-Jeffersonians '' who were loyal to the Federalists . On March 2 , 1801 , just two days before his presidential term was to end , Adams nominated nearly 60 Federalist supporters to circuit judge and justice of the peace positions the Federalist - controlled Congress had newly created . These appointees -- known as the `` Midnight Judges '' -- included William Marbury , a prosperous businessman from Maryland . An ardent Federalist , Marbury was active in Maryland politics and had been a vigorous supporter of the Adams presidency .   The following day , March 3 , Adams 's nominations were approved en masse by the U.S. Senate . The commissions were immediately signed and sealed by Adams 's Secretary of State , John Marshall , who had been named the new Chief Justice of the United States in January 1801 but continued acting as Adams 's Secretary of State until Jefferson took office . Marshall then dispatched his younger brother James Markham Marshall to deliver the commissions to the appointees . With only one day left before Jefferson 's inauguration , James Marshall was able to deliver most of the commissions , but a few -- including Marbury 's -- were not delivered .   On March 4 , 1801 , Thomas Jefferson was sworn in and became the 3rd President of the United States . As soon as he was able , Jefferson instructed his new Secretary of State , James Madison , to withhold the undelivered appointments . In Jefferson 's opinion , the commissions were void because they had not been delivered in time . Without the commissions , the appointees were unable to assume the offices and duties to which they had been appointed . In December 1801 , Marbury filed suit against Madison in the Supreme Court , asking the Court to issue a writ of mandamus forcing Madison to deliver Marbury 's commission . This lawsuit resulted in the case of Marbury v. Madison .   Aside from its inherent legal complexities , the case created a difficult political dilemma for Marshall and the rest of the Supreme Court . If the Court ruled in favor of Marbury and issued a writ of mandamus ordering Madison to deliver the commission , Jefferson and Madison would likely have simply ignored the order , which would have made the Court look impotent and emphasized the `` shakiness '' of the judiciary . On the other hand , a basic ruling against Marbury would have given Jefferson and the Republican - Democrats a clear political victory . In his `` brilliant '' decision , Marshall not only avoided both problems , but with `` a touch of genius '' also used the case to establish the principle of judicial review in American law .   Decision  An engraving of Chief Justice John Marshall made by Charles - Balthazar - Julien Fevret de Saint - Mémin in 1808 .  On February 24 , 1803 , the Court rendered a unanimous ( 4 -- 0 ) decision against Marbury . The Court 's opinion was written by the Chief Justice , John Marshall . Marshall structured the Court 's opinion around a series of three questions that Marshall answered in turn :    First , did Marbury have a right to his commission ?   Second , if Marbury had a right to his commission , was there a legal remedy for him to obtain it ?   Third , if there was such a remedy , could the Supreme Court legally issue it ?    Marbury 's commission and legal remedy   The Court quickly answered the first two questions affirmatively .   First , Marshall wrote that Marbury had a right to his commission because all appropriate procedures were followed -- the commission had been properly signed and sealed . Madison contended that the commissions were void if not delivered ; the Court disagreed , and said that the delivery of the commission was merely a custom , not an essential element of the commission itself .   The ( President 's ) signature is a warrant for affixing the great seal to the commission , and the great seal is only to be affixed to an instrument which is complete . ( ... ) The transmission of the commission is a practice directed by convenience , but not by law . It can not therefore be necessary to constitute the appointment , which must precede it and which is the mere act of the President .  -- from Marbury v. Madison , 5 U.S. at 158 , 160 .  Because Marbury 's commission was valid , Marshall wrote , Madison 's withholding of it was `` violative of a vested legal right '' on Marbury 's part .   Turning to the second question , the Court said that the laws clearly afforded Marbury a remedy . Following the traditional Roman legal maxim ubi jus , ibi remedium ( `` where there is a legal right , there is also a legal remedy '' ) , Marshall wrote : `` The very essence of civil liberty certainly consists in the right of every individual to claim the protection of the laws whenever he receives an injury . '' The specific issue , however , was whether the courts -- part of the judicial branch of the government -- could give Marbury a remedy against Madison -- who as Secretary of State was part of the executive branch of the government . The Court held that so long as the remedy involved a mandatory duty to a specific person , and not a political matter left to discretion , the courts could provide the legal remedy . In a now well - known line of the opinion , Marshall wrote : `` The government of the United States has been emphatically termed a government of laws , and not of men . ''   Jurisdiction   After concluding that Marbury had a right to his commission and that a legal remedy existed to provide it to him , the Court then turned to whether or not it was proper for the Supreme Court to issue the writ Marbury requested . Marshall first reiterated the distinction between the executive branch 's political discretion , which he said the courts could not review , and its legally mandated ministerial duties , which the courts could review . Marshall then addressed the most important issue of the opinion : the propriety of the Supreme Court 's jurisdiction over the matter . Marbury argued that the Judiciary Act of 1789 gave the Supreme Court original jurisdiction over his case .   The Supreme Court shall also have appellate jurisdiction from the circuit courts and courts of the several states , in the cases herein after specially provided for ; and shall have power to issue writs of prohibition to the district courts , when proceeding as courts of admiralty and maritime jurisdiction , and writs of mandamus , in cases warranted by the principles and usages of law , to any courts appointed , or persons holding office , under the authority of the United States .  -- Judiciary Act of 1789 , Section 13 ( excerpt )  Marshall 's discussion of this issue first explains the difference between original jurisdiction , in which a court has the power to be the first to hear and decide a case , and appellate jurisdiction , in which a party to a decision appeals to a higher court which has the power to review the previous decision and then either affirm or overturn it . Because Marbury filed his suit directly with the Supreme Court , the Court would need to exercise original jurisdiction to hear it ; if the Court 's jurisdiction over writs of mandamus was limited to appellate jurisdiction only , it would be unable to properly hear and decide Marbury 's directly - filed case , since it had not been first heard in a lower court and then appealed to the Supreme Court .   The Court agreed with Marbury , and interpreted the relevant section of the Judiciary Act to authorize mandamus on original jurisdiction . However , Marshall noted that this authorization clashed with Article III of the U.S. Constitution , which establishes the judicial branch of the U.S. government .   In all Cases affecting Ambassadors , other public Ministers and Consuls , and those in which a State shall be Party , the supreme Court shall have original Jurisdiction . In all the other Cases before mentioned , the supreme Court shall have appellate Jurisdiction , both as to Law and Fact , with such Exceptions , and under such Regulations as the Congress shall make .  -- U.S. Constitution , Article III , Section 2 .  This section of Article III of the Constitution establishes that the Supreme Court has original jurisdiction in cases where a U.S. State is a party to the lawsuit , or where the lawsuit involves foreign dignitaries . Neither of these categories covered Marbury 's justice of the peace commission , and so , according to the Constitution , the Court could only have heard Marbury 's case while exercising appellate jurisdiction . However , Marshall had interpreted the Judicial Act to have given the Court original jurisdiction over the matter : this meant that the Judicial Act apparently took the initial scope of the Supreme Court 's original jurisdiction -- which was limited to cases either directly involving States or involving foreign dignitaries -- and expanded it to include issuing writs of mandamus . Marshall ruled that Congress can not increase the Supreme Court 's original jurisdiction as it was set down in the Constitution , and therefore that the relevant portion of Section 13 of the Judiciary Act violated Article III of the Constitution .   Introducing judicial review  Inscription on the wall of the Supreme Court Building from Marbury v. Madison , in which Chief Justice John Marshall outlined the concept of judicial review .  After ruling that it conflicted with the Constitution , Marshall struck down the relevant portion of the Judiciary Act in the U.S. Supreme Court 's first ever declaration of the power of judicial review . Marshall 's justification for the Court 's judicial review power began with a long disquisition on the hierarchy between statutory law and constitutional law . Marshall held `` virtually as a matter of iron logic '' that in the event of conflict between the Constitution and statutory laws passed by Congress , the constitutional law must be supreme . Additionally , Marshall stated that deciding the constitutionality of the laws it applies is an inherent part of the American judiciary 's role . In what has become the most frequently quoted line of the opinion , Marshall wrote : `` It is emphatically the province and duty of the judicial department to say what the law is . ''   The Court 's opinion gives a number of reasons in support of judicial review . Marshall reasoned that the U.S. Constitution places limits on the American government 's powers , and that those limits would be meaningless unless they were subject to judicial review and enforcement . The written nature of the Constitution , he wrote , inherently established judicial review . In a line borrowed from Alexander Hamilton 's essay Federalist No. 78 , Marshall wrote : `` The powers of the legislature are defined and limited ; and that those limits may not be mistaken or forgotten , the constitution is written . ''   In another argument borrowed from Federalist No. 78 , Marshall stated that `` a law repugnant to the Constitution is void '' , and that the judiciary had no choice but to follow the Constitution . Marshall reasoned that the Constitution 's provisions limiting the legislature 's power -- such as the export tax clause and the prohibitions on bills of attainder and ex post facto laws -- meant that in some cases the judiciary would be forced to choose between enforcing the Constitution or following Congress . Marshall also argued that the authorization in Article III of the Constitution that the Court can decide cases arising `` under this Constitution '' implied that the Court had the power to strike down laws conflicting with the Constitution . This , Marshall wrote , meant that the Founders were willing to have the American judiciary use and interpret the Constitution when judging cases . Lastly , Marshall argued that judicial review is implied in Article VI of the Constitution , since it declares the supreme law of the United States to be not the Constitution and the laws of the United States in general , but rather the Constitution and laws made `` in Pursuance thereof '' .   Impact   Chief Justice John Marshall 's opinion in Marbury established the power of the judiciary to review the constitutionality of legislation and certain executive actions in American law , a power known as `` judicial review '' . Marbury 's establishment of judicial review cemented the fact that the U.S. Constitution is actual law -- as opposed to a document simply containing widely accepted political ideals -- against which courts can review laws and statutes passed by the legislature . This departed from the British system , in which statutes passed by Parliament can not be reviewed or struck down by courts because of the principle of parliamentary sovereignty .   Marbury also established that the power of judicial review covers actions by the executive branch -- the U.S. President and his cabinet members . However , American courts ' power of judicial review over U.S. executive branch actions only extends to matters in which the executive has a legal duty to act or refrain from acting , and does not extend to matters that are entirely within the U.S. president 's discretion , such as whether to veto a bill or whom to appoint to an office . This power has been the basis of many subsequent important Supreme Court decisions in American history , such as the 1974 case United States v. Nixon , in which the Court held that President Richard Nixon was required to comply with a subpoena to provide tapes of his conversations for use in a criminal trial , and which ultimately led to Nixon 's resignation .   Judicial review was rarely exercised in early American history . After the Marbury decision in 1803 , the U.S. Supreme Court did not strike down another federal law until 1857 , when the Court struck down the Missouri Compromise in the now - infamous case of Dred Scott v. Sandford , a ruling that contributed to the outbreak of the American Civil War .   Criticism   Given its preeminent position in American constitutional law , Chief Justice John Marshall 's opinion in Marbury v. Madison continues to be the subject of critical analysis and historical inquiry . Marshall 's opinion has been criticized on a number of grounds , including logical inconsistencies and legal inaccuracies , but is still widely praised for its overall political and jurisprudential brilliance . U.S. Supreme Court Justice Felix Frankfurter , writing in the Harvard Law Review , emphasized that one can criticize Marshall 's opinion in Marbury without detracting from its foundational importance and overall brilliance : `` The courage of Marbury v. Madison is not minimized by suggesting that its reasoning is not impeccable and that its conclusion , however wise , not inevitable . ''   Criticisms of Marshall 's opinion in Marbury usually fall into two general categories . First , some criticize the way Marshall strove to reach the conclusion that the U.S. Supreme Court has constitutional authority over the other branches of the U.S. government . Second , Marshall 's arguments for the Court 's authority are sometimes said to be mere `` assertions of authority '' , rather than substantial reasons logically laid out to support his position .   Additionally , it is questionable whether Marshall should have participated in the Marbury case because of his participating role in the dispute . Marshall was still the acting Secretary of State when the nominations were made , and he himself had signed the commissions and had been responsible for their delivery . This potential conflict of interest raises strong grounds for Marshall to have recused himself from the case .   See also    Australian Communist Party v Commonwealth   Judicial review in the United States   List of United States Supreme Court cases , volume 5   Hylton v. United States   Calder v. Bull   Stuart v. Laird ( 1803 )   United States v. More ( 1805 )    Notes    ^ Jump up to : Due to illnesses , Justices William Cushing and Alfred Moore did not sit for oral argument or participate in the Court 's decision .    References   Citations    ^ Jump up to : Chemerinsky ( 2015 ) , p. 37 .   Jump up ^ McBride , Alex ( December 2006 ) . `` The Supreme Court , The Court and Democracy , Landmark Cases , Marbury v. Madison ( 1803 ) '' . Thirteen / WNET New York . Retrieved 22 September 2017 .   Jump up ^ McCloskey &amp; Levinson ( 2015 ) , pp. 23 -- 24 .   ^ Jump up to : Chemerinsky ( 2015 ) , p. 38 .   Jump up ^ McCloskey &amp; Levinson ( 2010 ) , p. 25 .   Jump up ^ Miller ( 2009 ) , p. 44 .   Jump up ^ Pohlman ( 2005 ) , p. 21 .   ^ Jump up to : McCloskey &amp; Levinson ( 2010 ) , p. 26 .   ^ Jump up to : Chemerinsky ( 2015 ) , p. 39 .   ^ Jump up to : Chemerinsky ( 2015 ) , pp. 39 -- 40 .   ^ Jump up to : Chemerinsky ( 2015 ) , p. 40 .   Jump up ^ Amar ( 1989 ) , p. 447 .   Jump up ^ Chemerinsky ( 2015 ) , p. 40 , quoting Marbury , 5 U.S. at 162 .   Jump up ^ Chemerinsky ( 2015 ) , p. 40 , quoting Marbury , 5 U.S. at 163 .   Jump up ^ Chemerinsky ( 2015 ) , pp. 40 -- 41 .   ^ Jump up to : Chemerinsky ( 2015 ) , p. 41 .   ^ Jump up to : Epstein ( 2014 ) , p. 89 .   ^ Jump up to : Chemerinsky ( 2015 ) , p. 42 .   Jump up ^ Currie ( 1997 ) , p. 53 .   Jump up ^ Chemerinsky ( 2015 ) , p. 42 , quoting Marbury , 5 U.S. at 177 .   ^ Jump up to : Chemerinsky ( 2015 ) , p. 43 .   Jump up ^ Prakash &amp; Yoo ( 2003 ) , p. 914 .   Jump up ^ Chemerinsky ( 2015 ) , p. 43 , quoting Marbury , 5 U.S. at 176 .   Jump up ^ Epstein ( 2014 ) , p. 90 , quoting Marbury , 5 U.S. at 180 .   ^ Jump up to : Rotunda &amp; Nowak ( 2013 ) : § 1.3 .   ^ Jump up to : Chemerinsky ( 2015 ) , p. 44 .   ^ Jump up to : Rotunda &amp; Nowak ( 2013 ) , § 1.4 ( a ) .   Jump up ^ Frankfurter ( 1955 ) , p. 219 , quoted in Rotunda &amp; Nowak ( 2013 ) , § 1.4 ( a ) .    Works cited    Amar , Akhil Reed ( 1989 ) . `` Marbury , Section 13 , and the Original Jurisdiction of the Supreme Court '' . University of Chicago Law Review . 56 ( 2 ) : 443 -- 99 . JSTOR 1599844 .   Chemerinsky , Erwin ( 2015 ) . Constitutional Law : Principles and Policies ( 5th ed . ) . New York : Wolters Kluwer . ISBN 978 - 1 - 4548 - 4947 - 6 .   Currie , David P. ( 1997 ) . The Constitution in Congress : The Federalist Period 1789 -- 1801 . Chicago : University of Chicago Press .   Edlin , Douglas ( 2008 ) . Judges and Unjust Laws : Common Law Constitutionalism and the Foundations of Judicial Review . Ann Arbor : University of Michigan Press . ISBN 0 - 472 - 11662 - 2 .   Epstein , Richard A. ( 2014 ) . The Classical Liberal Constitution : The Uncertain Quest for Limited Government . Cambridge , MA : Harvard University Press . ISBN 978 - 0674724891 .   Fletcher , George P. ; Sheppard , Steve ( 2004 ) . American Law in Global Perspective : The Basics . Oxford University Press . ISBN 0 - 19 - 516723 - 6 .   Frankfurter , Felix ( 1955 ) . `` John Marshall and the Judicial Function '' . Harvard Law Review . 69 ( 2 ) : 217 -- 38 . JSTOR 1337866 .   Henretta , James A. ; David Brody ; Lynn Dumenil ( 2007 ) . America 's History : Volume 1 : To 1877 ( 6th ed . ) . Boston : Bedford / St. Martin 's . ISBN 978 - 0 - 312 - 45285 - 8 .   McCloskey , Robert G. ; Levinson , Sanford ( 2010 ) . The American Supreme Court ( 5th ed . ) . Chicago : University of Chicago Press . ISBN 978 - 0 - 226 - 55686 - 4 .   McDowell , Gary L. ( 1993 ) . `` Coke , Corwin and the Constitution : The ' Higher Law Background ' Reconsidered '' . The Review of Politics . Cambridge University Press . 55 ( 3 ) . doi : 10.1017 / s0034670500017605 . ISSN 0034 - 6705 .   Miller , Mark Carlton ( 2009 ) . The View of the Courts from the Hill : Interactions Between Congress and the Federal Judiciary . Charlottesville : University of Virginia Press .   Pohlman , H.L. ( 2005 ) . Constitutional Debate in Action : Governmental Powers . Lanham : Rowman &amp; Littlefield . ISBN 0 - 7425 - 3593 - 2 .   Rotunda , Ronald ; Nowak , John E. ( 2013 ) . Treatise on Constitutional Law : Substance &amp; Procedure ( 5th ed . ) . New York : Thomson West .   Prakash , Saikrishna ; Yoo , John ( 2003 ) . `` The Origins of Judicial Review '' . University of Chicago Law Review . 70 ( 3 ) : 887 -- 982 . doi : 10.2307 / 1600662 .   Smith , Jean Edward ( 1996 ) . John Marshall : Definer of a Nation . New York : Henry Holt &amp; Company ; New York . ISBN 978 - 0 - 8050 - 1389 - 4 .   Sullivan , Kathleen M. ; Gunther , Gerald ( 2007 ) . Constitutional Law . New York : Foundation Press . ISBN 978 - 1 - 59941 - 246 - 7 .   Treanor , William Michael ( 2005 ) . `` Judicial Review Before Marbury '' . Stanford Law Review . 58 ( 2 ) : 455 -- 562 . JSTOR 40040272 .    Further reading    Smith , Jean Edward ( 1989 ) . The Constitution And American Foreign Policy . St. Paul , MN : West Publishing Company . ISBN 0 - 314 - 42317 - 6 .   Nelson , William E. ( 2000 ) . Marbury v. Madison : The Origins and Legacy of Judicial Review . University Press of Kansas . ISBN 0 - 7006 - 1062 - 6 . ( One introduction to the case )   Clinton , Robert Lowry ( 1991 ) . Marbury v. Madison and Judicial Review . University Press of Kansas . ISBN 0 - 7006 - 0517 - 7 . ( Claims that it is a mistake to read the case as claiming a judicial power to tell the President or Congress what they can or can not do under the Constitution . )   Irons , Peter ( 1999 ) . A People 's History of the Supreme Court . Penguin Books . pp. 104 -- 107 . ISBN 0 - 14 - 029201 - 2 .   Newmyer , R. Kent ( 2001 ) . John Marshall and the Heroic Age of the Supreme Court . Louisiana State University Press . ISBN 0 - 8071 - 3249 - 7 .   James M. O'Fallon , The Case of Benjamin More : A Lost Episode in the Struggle over Repeal of the 1801 Judiciary Act , 11 Law &amp; Hist. Rev. 43 ( 1993 ) .   Tushnet , Mark ( 2008 ) . I dissent : Great Opposing Opinions in Landmark Supreme Court Cases . Boston : Beacon Press . pp. 1 -- 16 . ISBN 978 - 0 - 8070 - 0036 - 6 .   Sloan , Cliff ; McKean , David ( 2009 ) . The Great Decision : Jefferson , Adams , Marshall and the Battle for the Supreme Court . New York , NY : PublicAffairs . ISBN 1 - 58648 - 426 - 5 .    External links       Wikisource has original text related to this article : Marbury v. Madison      Text of Marbury v. Madison , 5 U.S. ( 1 Cranch ) 137 ( 1803 ) is available from : Cornell Findlaw Justia OpenJurist   Primary Documents in American History : Marbury v. Madison from the Library of Congress   `` John Marshall , Marbury v. Madison , and Judicial Review -- How the Court Became Supreme '' Lesson plan for grades 9 -- 12 from National Endowment for the Humanities   The 200th Anniversary of Marbury v. Madison : The Reasons We Should Still Care About the Decision , and The Lingering Questions It Left Behind   The Establishment of Judicial Review   The 200th Anniversary of Marbury v. Madison : The Supreme Court 's First Great Case   Case Brief for Marbury v. Madison at Lawnix.com   The short film Marbury v. Madison ( 1977 ) is available for free download at the Internet Archive   `` Supreme Court Landmark Case Marbury v. Madison '' from C - SPAN 's Landmark Cases : Historic Supreme Court Decisions              James Madison       4th President of the United States ( 1809 -- 1817 )   5th U.S. Secretary of State ( 1801 -- 1809 )   United States House of Representatives ( 1789 -- 1797 )   Congress of the Confederation ( 1781 -- 1783 )   Virginia House of Delegates ( 1776 -- 1779 , 1784 -- 1786 )       `` Father of the Constitution ''     Co-wrote , 1776 Virginia Constitution   1786 Annapolis Convention   1787 Constitutional Convention   Virginia Plan   Constitution of the United States   Notes of Debates in the Federal Convention of 1787     The Federalist Papers   written by Madison   No. 10   No. 51     Virginia Ratifying Convention   United States Bill of Rights   27th amendment     Constitution drafting and ratification timeline   Founding Fathers       Presidency     First inauguration   Second inauguration   Tecumseh 's War   Battle of Tippecanoe     War of 1812   origins   Burning of Washington   The Octagon House   Treaty of Ghent   Seven Buildings residence   results     Second Barbary War   Era of Good Feelings   Second Bank of the United States   State of the Union Address ( 1810   1814   1815   1816 )   Cabinet   Federal judiciary appointments       Other noted accomplisments     Co-founder , American Whig Society   Supervised the Louisiana Purchase   Anti-Administration party   Residence Act   Compromise of 1790     Democratic - Republican Party   First Party System   republicanism     Library of Congress   Virginia and Kentucky Resolutions   Report of 1800       Other writings     The Papers of James Madison       Life     Early life and career   Belle Grove Plantation , birthplace   Montpelier       Elections     U.S. House of Representatives election , 1789   1790   1792   1794   U.S. presidential election , 1808   1812       Legacy and popular culture     James Madison Memorial Building   James Madison University   James Madison College   Madison , Wisconsin   Madison Square   Madison River   Madison Street   U.S. postage stamps   James Madison Memorial Fellowship Foundation   James Madison Freedom of Information Award   James Madison Award   James Madison Institute   A More Perfect Union ( 1989 film )   Liberty 's Kids ( 2002 series )   Hamilton ( 2015 musical )       Related     Age of Enlightenment   American Enlightenment   Marbury v. Madison   National Gazette   Paul Jennings   Madisonian Model   American Philosophical Society   The American Museum magazine   Virginia dynasty       Family     Dolley Madison ( wife )   John Payne Todd ( stepson )   James Madison , Sr. ( father )   Nelly Conway Madison ( mother )   William Madison ( brother )   Ambrose Madison ( paternal grandfather )   James Madison ( cousin )   George Madison ( paternal second - cousin )   Thomas Madison ( paternal second - cousin )   John Madison ( great - grandfather )         ← Thomas Jefferson   James Monroe →          Retrieved from `` https://en.wikipedia.org/w/index.php?title=Marbury_v._Madison&amp;oldid=854695561 '' Categories :   1803 in United States case law   6th United States Congress   History of the United States ( 1789 -- 1849 )   Legal history of the District of Columbia   Legal history of the United States   Presidency of Thomas Jefferson   United States Constitution Article Three case law   United States constitutional case law   United States political question doctrine case law   United States Supreme Court cases   United States Supreme Court original jurisdiction cases   United States Supreme Court cases of the Marshall Court   Hidden categories :   Wikipedia indefinitely semi-protected pages   Articles with short description           Talk                           View source                 Contents                   About Wikipedia                                           Deutsch   Español   Français   </t>
    </r>
    <r>
      <rPr>
        <sz val="11"/>
        <color rgb="FF000000"/>
        <rFont val="Noto Sans CJK SC"/>
        <family val="2"/>
      </rPr>
      <t xml:space="preserve">한국어   </t>
    </r>
    <r>
      <rPr>
        <sz val="11"/>
        <color rgb="FF000000"/>
        <rFont val="Calibri"/>
        <family val="0"/>
        <charset val="1"/>
      </rPr>
      <t xml:space="preserve">Bahasa Indonesia   Italiano   עברית   </t>
    </r>
    <r>
      <rPr>
        <sz val="11"/>
        <color rgb="FF000000"/>
        <rFont val="Noto Sans CJK SC"/>
        <family val="2"/>
      </rPr>
      <t xml:space="preserve">日本 語   </t>
    </r>
    <r>
      <rPr>
        <sz val="11"/>
        <color rgb="FF000000"/>
        <rFont val="Calibri"/>
        <family val="0"/>
        <charset val="1"/>
      </rPr>
      <t xml:space="preserve">Português   Русский   Svenska   Українська   </t>
    </r>
    <r>
      <rPr>
        <sz val="11"/>
        <color rgb="FF000000"/>
        <rFont val="Noto Sans CJK SC"/>
        <family val="2"/>
      </rPr>
      <t xml:space="preserve">中文  </t>
    </r>
    <r>
      <rPr>
        <sz val="11"/>
        <color rgb="FF000000"/>
        <rFont val="Calibri"/>
        <family val="0"/>
        <charset val="1"/>
      </rPr>
      <t xml:space="preserve">4 more  Edit links   This page was last edited on 13 August 2018 , at 04 : 28 ( UTC ) .   Text is available under the Creative Commons Attribution - ShareAlike License ; additional terms may apply . By using this site , you agree to the Terms of Use and Privacy Policy . Wikipedia ® is a registered trademark of the Wikimedia F</t>
    </r>
  </si>
  <si>
    <t xml:space="preserve">what was the significance of marbury vs madison</t>
  </si>
  <si>
    <t xml:space="preserve"> Marbury v. Madison , 5 U.S. ( 1 Cranch ) 137 ( 1803 ) , was a U.S. Supreme Court case that established the principle of judicial review in the United States , meaning that American courts have the power to strike down laws , statutes , and executive actions that contravene the U.S. Constitution . The Court 's landmark decision , issued in 1803 , helped define the boundary between the constitutionally separate executive and judicial branches of the American form of government . </t>
  </si>
  <si>
    <t xml:space="preserve">Tourism in Nepal - wikipedia  Tourism in Nepal  Jump to : navigation , search      This article needs additional citations for verification . Please help improve this article by adding citations to reliable sources . Unsourced material may be challenged and removed . ( November 2010 ) ( Learn how and when to remove this template message )    Hotel Shanker , Kathmandu  Tourism is the largest industry in Nepal and its largest source of foreign exchange and revenue . Possessing eight of the ten highest mountains in the world , Nepal is a hotspot destination for mountaineers , rock climbers and people seeking adventure . The Hindu and Buddhist heritage of Nepal and its cool weather are also strong attractions .   Contents  ( hide )   1 Overview   2 Statistics   2.1 Arrivals   2.2 Arrivals by country     3 Wilderness tourism   4 Religious sites   5 See also   6 References   7 External links    Overview ( edit )  Himalaya and Mount Everest as seen from space . Nepal has 8 of the 10 highest mountains in the world .  Mount Everest , the highest mountain peak in the world , is located in Nepal . Mountaineering and other types of adventure tourism and ecotourism are important attractions for visitors . The world heritage site Lumbini , birthplace of Gautama Buddha , is located in the south of the West region of Nepal ( which despite the name is located in the centre of the country ) and there are other important religious pilgrimage sites throughout the country . The tourist industry is seen as a way to alleviate poverty and achieve greater social equity in the country . Tourism brings $471 ma year to Nepal .  Namche Bazaar , gateway to Mount Everest , under snow  According to statistics of 2012 , there was a slow growth rate of 9.8 % . According to statistics from Nepal Tourism Board ( NTB ) , a total of 598,204 foreign tourists entered the country via aerial route in 2012 . The government of Nepal declared 2011 to be Nepal Tourism Year , and hoped to attract one million foreign tourists to the country during that year . The government of Nepal has also declared Lumbini Tourism Year 2012 to promote Lumbini .   Tourism in Nepal was badly affected , at least temporarily , by the series of earthquakes in 2015 .  Lumbini  Statistics ( edit )   In 2007 - , the number of international tourists visiting Nepal was 526,705 , which was an increase of 37.2 % compared to the previous year . In 2008 , the number of tourists decreased by 5 % to 500,277 .   In 2008 , 55.9 % of the foreign visitors came from Asia ( 18.2 % from India ) , while Western Europeans accounted for 27.5 % , 7.6 % were from North America , 3.2 % from Australia and the Pacific Region , 2.6 % from Eastern Europe , 1.5 % from Central and South America , 0.3 % from Africa and 1.4 % from other countries .   Foreign tourists visiting Nepal in 2008 stayed in the country for an average of 11.78 days .   Arrivals ( edit )   This statistic shows the number of international tourist arrivals by year , 1993 -- 2016 :     Year   Number of international tourists arriving in Nepal   % change from previous year       293,567   - 12.2 %       326,531   + 11.2 %     1995   363,395   + 11.3 %       393,613   + 8.3 %       421,857   + 7.2 %     1998   463,684   + 9.9 %     1999   491,504   + 6.0 %     2000   463,646   - 5.7 %       361,237   - 22.1 %     2002   275,468   - 23.7     2003   338,132   + 22.7 %       385,297   + 13.9 %     2005   375,398   - 2.6 %     2006   383,926   + 2.3 %     2007   526,705   + 37.3 %     2008   500,277   - 5.0 %     2009   509,956   + 1.9 %       602,867   + 18.2 %     2011   736,215   + 22.1 %     2012   803,092   + 9.1 %     2013   797,616   - 0.7 %     2014   790,118   - 0.9 %     2015   538,970   - 31 %     2016   753,002   + 40 %     2017   940,218   + 24.8 %     Arrivals by country ( edit )   Most tourists arriving to Nepal on short term basis were from the following countries of nationality :     Rank   Country   2017   2016   2015   2014   2013       India   160,832   118,249   75,124   135,343   180,974       China   104,664   104,005   66,984   123,805   113,173       United States   79,146   53,645   42,687   498 , 30   47,355       United Kingdom   51,058   46,295   29,730   36,759   35,688     5   Sri Lanka   45,361   57,521   44,367   37,546   32,736     6   Thailand   39,154   26,722   32,338   33,422   40,969     7   South Korea   34,301   25,171   18,112   23,205   19,714     8   Australia   33,371   25,507   16,619   24,516   20,469     9   Myanmar   30,852   25,769   21,631   N / A   N / A     10   Germany   29,918   23,812   16,405   18,028   22,263     11   Bangladesh   29,060   23,440   14,831   21,851   22,410     12   Japan   27,326   22,979   17,613   25,892   26,694     13   France   26,140   20,863   16,405   24,097   21,842     14   Malaysia   18,284   13,669   9,855   18,915   18,842     15   Spain   15,953   12,255   6,741   13,110   10,412     16   Canada   15,105   12,491   8,398   11,610   12,132     17   Netherlands   13,393   11,453   7,515   12,320   10,516       Total Foreigner   940,218   753,002   538,970   790,118   797,616     Wilderness Tourism ( edit )     Chitwan National Park     IUCN category II ( national park )     Elephant safari with rhinos     According to Nepal 's Ministry of Tourism , major tourist activities include wilderness and adventure activities such as mountain biking , bungee jumping , rock climbing and mountain climbing , trekking , hiking , bird watching , flights , paragliding and hot air ballooning over the mountains of Himalaya , exploring the waterways by raft , kayak or canoe and jungle safaris especially in the Terai region .     Ilam , tea capital of Nepal and one of the tourism hotpots in eastern Nepal     The only international elephant polo in Chitwan National Park     Religious sites ( edit )  Janaki Mandir , the temple where Nepalese goddess Sita married Lord Rama in Nepal . World famous Pashupatinath Temple in Nepal .  The major religion in Nepal is Hinduism , and the Pashupatinath Temple , the world 's largest temple of Shiva , located in Kathmandu , attracts many pilgrims and tourists . Other Hindu pilgrimage sites include the temple complex in Swargadwari in the Pyuthan district ; Janaki Mandir in Janakpurdham in Mithila region ; Lake Gosainkunda near Dhunche ; the temples at Devghat ; Manakamana temple in the Gorkha District ; Pathibhara near Phungling ; and Mahamrityunjaya Shivasan Nepal in Palpa District where the biggest metallic idol of Lord Shiva is located .   Buddhism is the largest minority religion . The World Heritage site at Lumbini , which is traditionally considered to be the birthplace of Gautama Buddha , is an important pilgrimage site . Another prominent Buddhist site is Swayambhunath , the Monkey Temple , in Kathmandu .   Dang valley is a sacred place for Hindus as well as other religions . Kalika and Malika Devi in Chhillikot hill , Ambekeshawori temple , Krishna temple , Dharapani temple are among the sacred places in Dang district . Chillikot hill is also a good place for sightseeing and also an ancient palace of a king .   Muktinath is a sacred place for Hindus as well as Buddhists . The site is located in Muktinath Valley , Mustang district .   See also ( edit )    Visa policy of Nepal    References ( edit )    Jump up ^ Turner , Rochelle . `` Travel &amp; Tourism Economic Impact 2015 Nepal '' . World Travel &amp; Tourism Council . Retrieved August 2 , 2016 .   Jump up ^ `` Why Mount Everest is so dangerous '' . Discover Economist. 28 February 2017 . Retrieved 14 March 2017 .   Jump up ^ Nepal aims to attract 1 million foreign tourists next year Archived 2010 - 10 - 02 at the Wayback Machine . Xinhua News Agency , accessed 21 November 2010   Jump up ^ Survey report Archived 2011 - 03 - 04 at the Wayback Machine. , Government of Nepal , Ministry of Finance , accessed 21 November 2010   Jump up ^ Nepal Tourism Statistics 2010 Report Archived 2012 - 09 - 07 at the Wayback Machine. , Government of Nepal , Ministry of Tourism , and Civil Aviation , accessed April 3rd , 2012 .   Jump up ^ Government of Nepal , Ministry of Culture , Tourism &amp; Civil Aviation ( May 2016 ) . `` Nepal Tourism Statistics 2016 '' ( PDF ) ( Visitor Arrivals ) . Retrieved 2017 - 11 - 23 . CS1 maint : Multiple names : authors list ( link )   Jump up ^ `` Countrywise Tourist Arrival Statistics ( 2013 - 2016 ) '' . Nepal Tourism Board . Retrieved 23 November 2017 .   Jump up ^ `` Arrival Departure Final Summary 2017 '' ( XLSX ) . Nepal Tourism Board . Retrieved 27 January 2018 .   Jump up ^ `` Popular Hiking Routes in Nepal '' . Everest Uncensored . Retrieved 11 June 2015 .   Jump up ^ Major Tourism Activities Archived 2015 - 07 - 13 at the Wayback Machine. , Nepal Ministry of Culture , Tourism and Civil Aviation , retrieved 21 October 2014    External links ( edit )    Nepal travel guide from Wikivoyage   Official tourism website   Ministry of Tourism and Civil Aviation   List of Nepal Hotels      ( hide )         Tourism in Asia     Sovereign states     Afghanistan   Armenia   Azerbaijan   Bahrain   Bangladesh   Bhutan   Brunei   Cambodia   China   Cyprus   East Timor ( Timor - Leste )   Egypt   Georgia   India   Indonesia   Iran   Iraq   Israel   Japan   Jordan   Kazakhstan   North Korea   South Korea   Kuwait   Kyrgyzstan   Laos   Lebanon   Malaysia   Maldives   Mongolia   Myanmar   Nepal   Oman   Pakistan   Philippines   Qatar   Russia   Saudi Arabia   Singapore   Sri Lanka   Syria   Tajikistan   Thailand   Turkey   Turkmenistan   United Arab Emirates   Uzbekistan   Vietnam   Yemen       States with limited recognition     Abkhazia   Artsakh   Northern Cyprus   Palestine   South Ossetia   Taiwan       Dependencies and other territories     British Indian Ocean Territory   Christmas Island   Cocos ( Keeling ) Islands   Hong Kong   Macau      Retrieved from `` https://en.wikipedia.org/w/index.php?title=Tourism_in_Nepal&amp;oldid=837287598 '' Categories :   IUCN Category II   Economy of Nepal   Tourism in Nepal   Tourism in Asia   Hidden categories :   Webarchive template wayback links   CS1 maint : Multiple names : authors list   Articles needing additional references from November 2010   All articles needing additional references   Articles which use infobox templates with no data rows           Talk                                           Contents                   About Wikipedia                                                 বাংলা   Deutsch   हिन्दी   Bahasa Indonesia   Italiano   नेपाली   Русский   తెలుగు   Edit links   This page was last edited on 19 April 2018 , at 21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</si>
  <si>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much money does tourism bring to nepal</t>
  </si>
  <si>
    <t xml:space="preserve"> Mount Everest , the highest mountain peak in the world , is located in Nepal . Mountaineering and other types of adventure tourism and ecotourism are important attractions for visitors . The world heritage site Lumbini , birthplace of Gautama Buddha , is located in the south of the West region of Nepal ( which despite the name is located in the centre of the country ) and there are other important religious pilgrimage sites throughout the country . The tourist industry is seen as a way to alleviate poverty and achieve greater social equity in the country . Tourism brings $471 ma year to Nepal . </t>
  </si>
  <si>
    <t xml:space="preserve">List of countries by GDP ( nominal ) - wikipedia  List of countries by GDP ( nominal )  Jump to : navigation , search For countries by purchasing power parity GDP , see List of countries by GDP ( PPP ) .        Largest economies by nominal GDP in 2017 , counting the economies of the European Union as one , according to International Monetary Fund estimates .    The United States , the world 's largest economy , accounts for approximately 25 percent of Nominal world GDP , and the seven largest economies , amalgamating the European Union economies as one , account for 75 percent of the total .  Gross domestic product ( GDP ) is the market value of all final goods and services from a nation in a given year . Countries are sorted by nominal GDP estimates from financial and statistical institutions , which are calculated at market or government official exchange rates . Nominal GDP does not take into account differences in the cost of living in different countries , and the results can vary greatly from one year to another based on fluctuations in the exchange rates of the country 's currency . Such fluctuations may change a country 's ranking from one year to the next , even though they often make little or no difference in the standard of living of its population .   Comparisons of national wealth are also frequently made on the basis of purchasing power parity ( PPP ) , to adjust for differences in the cost of living in different countries . PPP largely removes the exchange rate problem , but has its own drawbacks ; it does not reflect the value of economic output in international trade , and it also requires more estimation than nominal GDP . On the whole , PPP per capita figures are less spread than nominal GDP per capita figures .   The United States is the world 's largest economy with a GDP of approximately $18.56 trillion , notably due to high average incomes , a large population , capital investment , moderate unemployment , high consumer spending , a relatively young population , and technological innovation . Tuvalu is the world 's smallest national economy with a GDP of about $32 million because of its very small population , a lack of natural resources , reliance on foreign aid , negligible capital investment , demographic problems , and low average incomes .   Although the rankings of national economies have changed considerably over time , the United States has maintained its top position since the Gilded Age , a time period in which its economy saw rapid expansion , surpassing the British Empire and Qing dynasty in aggregate output . Since China 's transition to a market - based economy through privatisation and deregulation , the country has seen its ranking increase from ninth in 1978 to second to only the United States in 2016 as economic growth accelerated and its share of global nominal GDP surged from 2 % in 1980 to 15 % in 2016 . India has also experienced a similar economic boom since the implementation of economic liberalisation in the early 1990s . When supranational entities are included , the European Union is the second largest economy in the world . It was the largest from 2004 , when ten countries joined the union , to 2014 , after which it was surpassed by the United States .   The first list includes estimates compiled by the International Monetary Fund 's World Economic Outlook , the second list shows the World Bank 's data , and the third list includes data compiled by the United Nations Statistics Division . The IMF definitive data for the past year and estimates for the current year are published twice a year in April and October . Several economies which are not considered to be countries ( the world , the European Union , and some dependent territories ) are included in the lists because they appear in the sources as distinct economies . These economies are italicized and not ranked in the charts , but are listed where applicable .     Contents  ( hide )   1 Lists   2 See also   3 Notes   4 References      Lists     Per the International Monetary Fund ( Estimates 2017 )   Per the World Bank ( 2016 )   Per the United Nations ( 2016 )        Rank   Country   GDP ( US $ MM )       World   75,278,049       United States   19,362,129     --   European Union   17,112,922       China   11,937,562       Japan   4,884,489       Germany   3,651,871     5   France   2,574,807     6   United Kingdom   2,565,051     7   India   2,439,008     8   Brazil   2,080,916     9   Italy   1,921,139     10   Canada   1,640,385     11   South Korea   1,529,743     12   Russia   1,469,341     13   Australia   1,390,150     14   Spain   1,307,170     15   Mexico   1,142,453     16   Indonesia   1,010,937     17   Turkey   841,206     18   Netherlands   824,480     19   Switzerland   680,645     20   Saudi Arabia   678,541     21   Argentina   619,872     22   Taiwan   571,453     23   Sweden   541,889     24   Poland   509,955     25   Belgium   491,672     26   Thailand   437,807     27   Iran   427,666     28   Austria   409,316     29   Egypt   408,045 / Na     30   Nigeria   394,818     31   Norway   392,052     32   United Arab Emirates   378,656     33   Israel   348,006     34   South Africa   344,064     35   Hong Kong   334,104     36   Ireland   325,649     37   Denmark   324,146     38   Philippines   321,189     39   Malaysia   309,858     40   Colombia   307,475     41   Singapore   305,757     42   Pakistan   304,400 / Na     43   Chile   263,206     44   Finland   251,381     45   Bangladesh   250,023     46   Vietnam   215,963     47   Venezuela   215,307     48   Portugal   211,696     49   Peru   210,013     50   Czech Republic   209,652     51   Romania   204,943     52   Greece   204,299     53   New Zealand   200,837     54   Iraq   192,660     55   Algeria   175,493     56   Qatar   166,346     57   Kazakhstan   156,189     58   Hungary   132,034     59   Angola   124,034     60   Sudan   118,979     61   Kuwait   118,271     62   Morocco   110,708     63   Ukraine   104,062     64   Puerto Rico   103,243     65   Ecuador   98,576     66   Slovakia   94,997     67   Sri Lanka   83,567     68   Ethiopia   79,735     69   Kenya   78,397     70   Syria   77,460 / Na     71   Dominican Republic   74,837     72   Oman   71,931     73   Guatemala   70,806     74   Uzbekistan   67,505     75   Myanmar   66,966     76   Luxembourg   63,517     77   Uruguay   60,266     78   Panama   59,051     79   Costa Rica   58,909     80   Bulgaria   55,954     81   Croatia   53,481     82   Belarus   52,783     83   Lebanon   52,698     84   Tanzania   51,614     85   Macau   51,160     86   Slovenia   48,078     87   Lithuania   46,666     88   Ghana   45,464     89   Turkmenistan   41,670     90   Jordan   40,487     91   Democratic Republic of the Congo   40,415     92   Côte d'Ivoire   39,906     93   Tunisia   39,883     94   Serbia   39,366     95   Azerbaijan   39,207     96   Bolivia   37,776     97   Bahrain   33,873     98   Libya   33,314     99   Cameroon   30,652     100   Latvia   30,176     101   Paraguay   28,780     102   El Salvador   27,407     103   Uganda   26,391     104   Estonia   25,683     105   Yemen   25,663     106   Zambia   25,576     107   Iceland   24,848     108   Nepal   24,065     109   Honduras   22,675     110   Cambodia   22,252     111   Papua New Guinea   21,811     112   Cyprus   21,109     113   Afghanistan   21,056     114   Trinidad and Tobago   20,300     115   Bosnia and Herzegovina   17,457     116   Laos   17,152     117   Zimbabwe   17,105     118   Botswana   16,725     119   Senegal   16,057     120   Georgia   15,230     121   Mali   14,998     122   Gabon   14,467     123   Jamaica   14,290     124   Nicaragua   13,692     125   Burkina Faso   13,187     126   Albania   13,001     127   Namibia   12,558     128   Mozambique   12,345     129   Mauritius   12,273     130   Malta   12,011     131   Brunei   11,963     132   Macedonia   11,416     133   Armenia   11,037     134   Mongolia   10,869     135   Madagascar   10,557     136   Equatorial Guinea   10,069     137   Chad   9,740     138   Benin   9,410     139   Guinea   9,183     140   Bahamas   9,127     141   Rwanda   8,918     142   Kosovo   8,883     143   Haiti   8,360     144   Moldova   7,945     145   Niger   7,892     146   Republic of Congo   7,799     147   Tajikistan   7,234     148   Kyrgyzstan   7,061     149   Malawi   6,261     150   Eritrea   6,050     151   Fiji   5,054     152   Mauritania   4,985     153   Barbados   4,821     154   Togo   4,797     155   Maldives   4,520     156   Montenegro   4,405     157   Swaziland   4,030     158   Sierra Leone   3,897     159   Suriname   3,665     160   Guyana   3,591     161   Burundi   3,393     162   South Sudan   2,915     163   Lesotho   2,721     164   Timor - Leste   2,716     165   Bhutan   2,321     166   Liberia   2,140     167   Djibouti   2,082     168   Central African Republic   1,992     169   Belize   1,819     170   Cape Verde   1,728     171   St. Lucia   1,717     172   San Marino   1,592     173   Antigua and Barbuda   1,535     174   Seychelles   1,479     175   Guinea - Bissau   1,295     176   Solomon Islands   1,273     177   Grenada   1,111     178   The Gambia   1,038     179   St. Kitts and Nevis   939     180   Samoa   844     181   Vanuatu   837     182   St. Vincent and the Grenadines   815     183   Comoros   659     184   Dominica   608     185   Tonga   437     186   São Tomé and Príncipe   372     187   Federated States of Micronesia   329     188   Palau   321     189   Marshall Islands   199     190   Kiribati   186     191   Tuvalu   40         Rank   Country   GDP ( US $ MM )       World   7007755435430000000 ♠ 75,543,543       United States   7007186244750000000 ♠ 18,624,475     --   European Union   7007163979800000000 ♠ 16,397,980       China   7007111991450000000 ♠ 11,199,145       Japan   7006494015800000000 ♠ 4,940,158       Germany   7006347779600000000 ♠ 3,477,796     5   United Kingdom   7006264789800000000 ♠ 2,647,898     6   France   7006246545300000000 ♠ 2,465,453     7   India   7006226379200000000 ♠ 2,263,792     8   Italy   7006185891300000000 ♠ 1,858,913     9   Brazil   7006179618600000000 ♠ 1,796,186     10   Canada   7006152976000000000 ♠ 1,529,760     11   South Korea   7006141124600000000 ♠ 1,411,246     12   Russia   7006128316200000000 ♠ 1,283,162     13   Spain   7006123725500000000 ♠ 1,237,255     14   Australia   7006120461600000000 ♠ 1,204,616     15   Mexico   7006104692200000000 ♠ 1,046,922     16   Indonesia   7005932259000000000 ♠ 932,259     17   Turkey   7005863711000000000 ♠ 863,711     18   Netherlands   7005777227000000000 ♠ 777,227     19   Switzerland   7005668851000000000 ♠ 668,851     20   Saudi Arabia   7005646438000000000 ♠ 646,438     21   Argentina   7005545866000000000 ♠ 545,866     22   Sweden   7005511000000000000 ♠ 511,000     23   Poland   7005469509000000000 ♠ 469,509     24   Belgium   7005466366000000000 ♠ 466,366     25   Iran   7005425326000000000 ♠ 425,326     26   Thailand   7005406840000000000 ♠ 406,840     27   Nigeria   7005405083000000000 ♠ 405,083     28   Austria   7005386428000000000 ♠ 386,428     29   Venezuela   7005371337000000000 ♠ 371,337     30   Norway   7005370557000000000 ♠ 370,557     31   United Arab Emirates   7005348743000000000 ♠ 348,743     32   Egypt   7005336297000000000 ♠ 336,297     33   Hong Kong   7005320912000000000 ♠ 320,912     34   Israel   7005318744000000000 ♠ 318,744     35   Denmark   7005306143000000000 ♠ 306,143     36   Philippines   7005304905000000000 ♠ 304,905     37   Singapore   7005296966000000000 ♠ 296,966     38   Malaysia   7005296359000000000 ♠ 296,359     39   South Africa   7005294841000000000 ♠ 294,841     40   Ireland   7005294054000000000 ♠ 294,054     41   Pakistan   7005283660000000000 ♠ 283,660     42   Colombia   7005282463000000000 ♠ 282,463     43   Chile   7005247028000000000 ♠ 247,028     44   Finland   7005236785000000000 ♠ 236,785     45   Bangladesh   7005221415000000000 ♠ 221,415     46   Portugal   7005204565000000000 ♠ 204,565     47   Vietnam   7005202616000000000 ♠ 202,616     48   Greece   7005194559000000000 ♠ 194,559     49   Czech Republic   7005192925000000000 ♠ 192,925     50   Peru   7005192094000000000 ♠ 192,094     51   Romania   7005186691000000000 ♠ 186,691     52   New Zealand   7005185017000000000 ♠ 185,017     53   Iraq   7005171489000000000 ♠ 171,489     54   Algeria   7005156080000000000 ♠ 156,080     55   Qatar   7005152469000000000 ♠ 152,469     56   Kazakhstan   7005133657000000000 ♠ 133,657     57   Hungary   7005124343000000000 ♠ 124,343     58   Kuwait   7005112812000000000 ♠ 112,812     59   Puerto Rico   7005103135000000000 ♠ 103,135     60   Morocco   7005101445000000000 ♠ 101,445     61   Ecuador   7004978020000000000 ♠ 97,802     62   Sudan   7004955840000000000 ♠ 95,584     63   Ukraine   7004932700000000000 ♠ 93,270     64   Angola   7004896330000000000 ♠ 89,633     65   Slovakia   7004895520000000000 ♠ 89,552     66   Sri Lanka   7004813220000000000 ♠ 81,322     67   Ethiopia   7004723740000000000 ♠ 72,374     68   Dominican Republic   7004715840000000000 ♠ 71,584     69   Kenya   7004705290000000000 ♠ 70,529     70   Guatemala   7004687630000000000 ♠ 68,763     71   Myanmar   7004674300000000000 ♠ 67,430     72   Uzbekistan   7004672200000000000 ♠ 67,220     73   Oman   7004662930000000000 ♠ 66,293     74   Luxembourg   7004599480000000000 ♠ 59,948     75   Costa Rica   7004574360000000000 ♠ 57,436     76   Panama   7004551880000000000 ♠ 55,188     77   Uruguay   7004524200000000000 ♠ 52,420     78   Bulgaria   7004523950000000000 ♠ 52,395     79   Croatia   7004504250000000000 ♠ 50,425     80   Lebanon   7004475370000000000 ♠ 47,537     81   Belarus   7004474330000000000 ♠ 47,433     82   Tanzania   7004474310000000000 ♠ 47,431     83   Macau   7004448030000000000 ♠ 44,803     84   Slovenia   7004439910000000000 ♠ 43,991     85   Lithuania   7004427390000000000 ♠ 42,739     86   Ghana   7004426900000000000 ♠ 42,690     87   Tunisia   7004420630000000000 ♠ 42,063     88   Jordan   7004386550000000000 ♠ 38,655     89   Azerbaijan   7004378480000000000 ♠ 37,848     90   Serbia   7004377450000000000 ♠ 37,745     91   Turkmenistan   7004361800000000000 ♠ 36,180     92   Cote d'Ivoire Côte d'Ivoire   7004361650000000000 ♠ 36,165     93   Democratic Republic of the Congo   7004349990000000000 ♠ 34,999     94   Bolivia   7004338060000000000 ♠ 33,806     95   Bahrain   7004318590000000000 ♠ 31,859     96   Libya   7004291530000000000 ♠ 29,153     97   Latvia   7004276770000000000 ♠ 27,677     98   Paraguay   7004274410000000000 ♠ 27,441     99   Yemen   7004273180000000000 ♠ 27,318     100   El Salvador   7004267970000000000 ♠ 26,797     101   Uganda   7004255280000000000 ♠ 25,528     102   Cameroon   7004242040000000000 ♠ 24,204     103   Estonia   7004231370000000000 ♠ 23,137     104   Honduras   7004215170000000000 ♠ 21,517     105   Nepal   7004211440000000000 ♠ 21,144     106   Trinidad and Tobago   7004209890000000000 ♠ 20,989     107   Iceland   7004200470000000000 ♠ 20,047     108   Cambodia   7004200170000000000 ♠ 20,017     109   Cyprus   7004198020000000000 ♠ 19,802     110   Zambia   7004195510000000000 ♠ 19,551     111   Afghanistan   7004194690000000000 ♠ 19,469     112   Papua New Guinea   7004169290000000000 ♠ 16,929     113   Bosnia and Herzegovina   7004165600000000000 ♠ 16,560     114   Zimbabwe   7004162890000000000 ♠ 16,289     115   Laos   7004159030000000000 ♠ 15,903     116   Botswana   7004152750000000000 ♠ 15,275     117   Senegal   7004147650000000000 ♠ 14,765     118   Georgia   7004143330000000000 ♠ 14,333     119   Gabon   7004142140000000000 ♠ 14,214     120   Mali   7004140450000000000 ♠ 14,045     121   Jamaica   7004140270000000000 ♠ 14,027     122   South Sudan   7004132820000000000 ♠ 13,282     123   Nicaragua   7004132310000000000 ♠ 13,231     124   Mauritius   7004121640000000000 ♠ 12,164     125   Burkina Faso   7004121150000000000 ♠ 12,115     126   Albania   7004119270000000000 ♠ 11,927     127   Brunei   7004114000000000000 ♠ 11,400     128   Mongolia   7004111600000000000 ♠ 11,160     129   Mozambique   7004110150000000000 ♠ 11,015     130   Malta   7004109490000000000 ♠ 10,949     131   Macedonia   7004109000000000000 ♠ 10,900     132   Armenia   7004105470000000000 ♠ 10,547     133   Namibia   7004102670000000000 ♠ 10,267     134   Equatorial Guinea   7004101790000000000 ♠ 10,179     135   Madagascar   7003999100000000000 ♠ 9,991     136   Chad   7003960100000000000 ♠ 9,601     137   The Bahamas   7003904700000000000 ♠ 9,047     138   Benin   7003858300000000000 ♠ 8,583     139   Rwanda   7003837600000000000 ♠ 8,376     140   Haiti   7003802300000000000 ♠ 8,023     141   Republic of the Congo   7003783400000000000 ♠ 7,834     142   Niger   7003750900000000000 ♠ 7,509     143   Kosovo   7003704700000000000 ♠ 7,047     144   Tajikistan   7003695200000000000 ♠ 6,952     145   Moldova   7003675000000000000 ♠ 6,750     146   Kyrgyzstan   7003655100000000000 ♠ 6,551     147   Guinea   7003629900000000000 ♠ 6,299     148   Somalia   7003621700000000000 ♠ 6,217     149   Bermuda   7003557400000000000 ♠ 5,574     150   Liechtenstein   7003548800000000000 ♠ 5,488     151   Malawi   7003544200000000000 ♠ 5,442     152   Mauritania   7003463500000000000 ♠ 4,635     153   Fiji   7003463200000000000 ♠ 4,632     154   Barbados   7003458800000000000 ♠ 4,588     155   Togo   7003440000000000000 ♠ 4,400     156   Montenegro   7003417300000000000 ♠ 4,173     157   Swaziland   7003372700000000000 ♠ 3,727     158   Sierra Leone   7003366900000000000 ♠ 3,669     159   Suriname   7003362100000000000 ♠ 3,621     160   Maldives   7003359100000000000 ♠ 3,591     161   Guyana   7003344600000000000 ♠ 3,446     162   Andorra   7003324900000000000 ♠ 3,249     163   Burundi   7003300700000000000 ♠ 3,007     164   Faroe Islands   7003261300000000000 ♠ 2,613     165   Greenland   7003244100000000000 ♠ 2,441     166   Bhutan   7003223700000000000 ♠ 2,237     167   Lesotho   7003220000000000000 ♠ 2,200     168   Liberia   7003210100000000000 ♠ 2,101     169   Belize   7003176500000000000 ♠ 1,765     170   Central African Republic   7003175600000000000 ♠ 1,756     171   Cape Verde   7003161700000000000 ♠ 1,617     172   Djibouti   7003158900000000000 ♠ 1,589     173   Antigua and Barbuda   7003144900000000000 ♠ 1,449     174   Seychelles   7003142700000000000 ♠ 1,427     175   Timor - Leste   7003141700000000000 ♠ 1,417     176   Saint Lucia   7003137900000000000 ♠ 1,379     177   Solomon Islands   7003120200000000000 ♠ 1,202     178   Guinea - Bissau   7003112600000000000 ♠ 1,126     179   Grenada   7003101600000000000 ♠ 1,016     180   The Gambia   7002965000000000000 ♠ 965     181   Saint Kitts and Nevis   7002917000000000000 ♠ 917     182   Samoa   7002786000000000000 ♠ 786     183   Vanuatu   7002774000000000000 ♠ 774     184   Saint Vincent and the Grenadines   7002771000000000000 ♠ 771     185   Comoros   7002617000000000000 ♠ 617     186   Dominica   7002525000000000000 ♠ 525     187   Tonga   7002395000000000000 ♠ 395     188   Sao Tome and Principe São Tomé and Príncipe   7002351000000000000 ♠ 351     189   Federated States of Micronesia   7002322000000000000 ♠ 322     190   Palau   7002293000000000000 ♠ 293     191   Marshall Islands   7002183000000000000 ♠ 183     192   Kiribati   7002166000000000000 ♠ 166     193   Nauru   7002102000000000000 ♠ 102     194   Tuvalu   7001340000000000000 ♠ 34         Rank   Country   GDP ( US $ MM )       World   7007756484480000000 ♠ 75,648,448       United States   7007186244750000000 ♠ 18,624,475     --   European Union   7007163326310000000 ♠ 16,332,631       China   7007112182810000000 ♠ 11,218,281       Japan   7006493621100000000 ♠ 4,936,211       Germany   7006347779600000000 ♠ 3,477,796     5   United Kingdom   7006264789800000000 ♠ 2,647,898     6   France   7006246545300000000 ♠ 2,465,453     7   India   7006225964200000000 ♠ 2,259,642     8   Italy   7006185891300000000 ♠ 1,858,913     9   Brazil   7006179592500000000 ♠ 1,795,925     10   Canada   7006152976000000000 ♠ 1,529,760     11   South Korea   7006141124500000000 ♠ 1,411,245     12   Australia   7006130446300000000 ♠ 1,304,463     13   Russia   7006124601500000000 ♠ 1,246,015     14   Spain   7006123725500000000 ♠ 1,237,255     15   Mexico   7006107691400000000 ♠ 1,076,914     16   Indonesia   7005932259000000000 ♠ 932,259     17   Turkey   7005863711000000000 ♠ 863,711     18   Netherlands   7005777227000000000 ♠ 777,227     19   Switzerland   7005668851000000000 ♠ 668,851     20   Saudi Arabia   7005639617000000000 ♠ 639,617     21   Argentina   7005545866000000000 ♠ 545,866     22   Sweden   7005514475000000000 ♠ 514,475     23   Poland   7005471402000000000 ♠ 471,402     24   Belgium   7005467955000000000 ♠ 467,955     25   Iran   7005425402000000000 ♠ 425,402     26   Thailand   7005407026000000000 ♠ 407,026     27   Nigeria   7005404649000000000 ♠ 404,649     28   Austria   7005390799000000000 ♠ 390,799     29   Norway   7005371068000000000 ♠ 371,068     30   United Arab Emirates   7005399451000000000 ♠ 399,451     31   Colombia   7005377740000000000 ♠ 377,740     32   South Africa   7005349819000000000 ♠ 349,819     33   Denmark   7005346119000000000 ♠ 346,119     34   Malaysia   7005326933000000000 ♠ 326,933     35   Singapore   7005307872000000000 ♠ 307,872     36   Israel   7005305673000000000 ♠ 305,673     37   Venezuela   7005291376000000000 ♠ 291,376     38   Philippines   7005290896000000000 ♠ 290,896     39   Egypt   7005282242000000000 ♠ 282,242     40   Hong Kong *   7005274027000000000 ♠ 274,027     41   Finland   7005272217000000000 ♠ 272,217     42   Chile   7005258062000000000 ♠ 258,062     43   Pakistan   7005251255000000000 ♠ 251,255     44   Ireland   7005250814000000000 ♠ 250,814     45   Greece   7005235574000000000 ♠ 235,574     46   Portugal   7005230117000000000 ♠ 230,117     47   Iraq   7005225422000000000 ♠ 225,422     48   Kazakhstan   7005216036000000000 ♠ 216,036     49   Algeria   7005213518000000000 ♠ 213,518     50   Qatar   7005211817000000000 ♠ 211,817     51   Czech Republic   7005205270000000000 ♠ 205,270     52   Peru   7005201809000000000 ♠ 201,809     53   Romania   7005199045000000000 ♠ 199,045     54   New Zealand   7005198652000000000 ♠ 198,652     55   Vietnam   7005186205000000000 ♠ 186,205     56   Bangladesh   7005173062000000000 ♠ 173,062     57   Kuwait   7005163637000000000 ♠ 163,637     58   Angola   7005146676000000000 ♠ 146,676     59   Hungary   7005138347000000000 ♠ 138,347     60   Ukraine   7005131806000000000 ♠ 131,806     61   Morocco   7005110009000000000 ♠ 110,009     62   Puerto Rico   7005103676000000000 ♠ 103,676     63   Ecuador   7005100917000000000 ♠ 100,917     64   Slovakia   7005100249000000000 ♠ 100,249     65   Cuba   7004896890000000000 ♠ 89,689     66   Sudan   7004818940000000000 ♠ 81,894     67   Oman   7004817970000000000 ♠ 81,797     68   Belarus   7004761390000000000 ♠ 76,139     69   Azerbaijan   7004751930000000000 ♠ 75,193     70   Sri Lanka   7004749410000000000 ♠ 74,941     71   Myanmar   7004664780000000000 ♠ 66,478     72   Luxembourg   7004648740000000000 ♠ 64,874     73   Dominican Republic   7004639690000000000 ♠ 63,969     74   Uzbekistan   7004630300000000000 ♠ 63,030     75   Kenya   7004609360000000000 ♠ 60,936     76   Guatemala   7004588270000000000 ♠ 58,827     77   Uruguay   7004574710000000000 ♠ 57,471     78   Croatia   7004571370000000000 ♠ 57,137     79   Bulgaria   7004567180000000000 ♠ 56,718     80   Macau *   7004555020000000000 ♠ 55,502     81   Ethiopia   7004536380000000000 ♠ 53,638     82   Lebanon   7004496310000000000 ♠ 49,631     83   Costa Rica   7004495530000000000 ♠ 49,553     84   Slovenia   7004494910000000000 ♠ 49,491     85   Panama   7004491660000000000 ♠ 49,166     86   Lithuania   7004483920000000000 ♠ 48,392     87   Tanzania   7004480300000000000 ♠ 48,030     88   Turkmenistan   7004479320000000000 ♠ 47,932     89   Tunisia   7004474230000000000 ♠ 47,423     90   Serbia   7004438660000000000 ♠ 43,866     91   Libya   7004413190000000000 ♠ 41,319     92   Ghana   7004371770000000000 ♠ 37,177     93   Yemen   7004371310000000000 ♠ 37,131     94   Democratic Republic of the Congo   7004359090000000000 ♠ 35,909     95   Jordan   7004358270000000000 ♠ 35,827     96   Cote d'Ivoire Côte d'Ivoire   7004342540000000000 ♠ 34,254     97   Bahrain   7004338500000000000 ♠ 33,850     98   Bolivia   7004329960000000000 ♠ 32,996     99   Cameroon   7004320510000000000 ♠ 32,051     100   Latvia   7004312860000000000 ♠ 31,286     101   Paraguay   7004309850000000000 ♠ 30,985     102   Trinidad and Tobago   7004280690000000000 ♠ 28,069     103   Uganda   7004274650000000000 ♠ 27,465     104   Zambia   7004269630000000000 ♠ 26,963     105   Estonia   7004264850000000000 ♠ 26,485     106   El Salvador   7004251640000000000 ♠ 25,164     107   Cyprus   7004230770000000000 ♠ 23,077     108   Afghanistan   7004211220000000000 ♠ 21,122     109   Honduras   7004194970000000000 ♠ 19,497     110   Nepal   7004194890000000000 ♠ 19,489     111   Bosnia and Herzegovina   7004184910000000000 ♠ 18,491     112   Gabon   7004174120000000000 ♠ 17,412     113   North Korea   7004173960000000000 ♠ 17,396     114   Brunei   7004171040000000000 ♠ 17,104     115   Mozambique   7004170810000000000 ♠ 17,081     116   Iceland   7004170360000000000 ♠ 17,036     117   Cambodia   7004167780000000000 ♠ 16,778     118   Equatorial Guinea   7004167310000000000 ♠ 16,731     119   Papua New Guinea   7004165760000000000 ♠ 16,576     120   Georgia   7004165300000000000 ♠ 16,530     121   Botswana   7004158130000000000 ♠ 15,813     122   Senegal   7004156580000000000 ♠ 15,658     123   Zimbabwe   7004147190000000000 ♠ 14,719     124   Congo , Republic of the   7004140770000000000 ♠ 14,077     125   Jamaica   7004139270000000000 ♠ 13,927     126   Namibia   7004134290000000000 ♠ 13,429     127   Albania   7004134130000000000 ♠ 13,413     128   Chad   7004127910000000000 ♠ 12,791     129   Arab Palestinian areas   7004127660000000000 ♠ 12,766     130   Burkina Faso   7004127560000000000 ♠ 12,756     131   Mauritius   7004126160000000000 ♠ 12,616     132   Mongolia   7004120670000000000 ♠ 12,067     133   Mali   7004119790000000000 ♠ 11,979     134   Nicaragua   7004118060000000000 ♠ 11,806     135   Laos   7004117490000000000 ♠ 11,749     136   Macedonia   7004113190000000000 ♠ 11,319     137   South Sudan   7004110070000000000 ♠ 11,007     138   Armenia   7004108890000000000 ♠ 10,889     139   Madagascar   7004106740000000000 ♠ 10,674     140   Malta   7004105360000000000 ♠ 10,536     141   New Caledonia   7004102340000000000 ♠ 10,234     142   Benin   7003957500000000000 ♠ 9,575     143   Tajikistan   7003924200000000000 ♠ 9,242     144   Haiti   7003859900000000000 ♠ 8,599     145   The Bahamas   7003851000000000000 ♠ 8,510     146   Niger   7003816900000000000 ♠ 8,169     147   Moldova   7003794400000000000 ♠ 7,944     148   Rwanda   7003790300000000000 ♠ 7,903     149   Kyrgyzstan   7003740400000000000 ♠ 7,404     150   Kosovo   7003738700000000000 ♠ 7,387     151   Monaco   7003706000000000000 ♠ 7,060     152   Guinea   7003657900000000000 ♠ 6,579     153   Liechtenstein   7003585500000000000 ♠ 5,855     154   Malawi   7003572000000000000 ♠ 5,720     155   French Polynesia   7003562300000000000 ♠ 5,623     156   Bermuda   7003560100000000000 ♠ 5,601     157   Suriname   7003521000000000000 ♠ 5,210     158   Mauritania   7003509200000000000 ♠ 5,092     159   Timor - Leste   7003497000000000000 ♠ 4,970     160   Sierra Leone   7003489300000000000 ♠ 4,893     161   Montenegro   7003458800000000000 ♠ 4,588     162   Togo   7003457600000000000 ♠ 4,576     163   Fiji   7003453200000000000 ♠ 4,532     164   Swaziland   7003448200000000000 ♠ 4,482     165   Barbados   7003435300000000000 ♠ 4,353     166   Eritrea   7003385800000000000 ♠ 3,858     167   Cayman Islands   7003348000000000000 ♠ 3,480     168   Andorra   7003327800000000000 ♠ 3,278     169   Curaçao   7003315900000000000 ♠ 3,159     170   Guyana   7003308600000000000 ♠ 3,086     171   Maldives   7003303200000000000 ♠ 3,032     172   Burundi   7003286900000000000 ♠ 2,869     173   Aruba   7003266400000000000 ♠ 2,664     174   Greenland   7003244100000000000 ♠ 2,441     175   Liberia   7003212200000000000 ♠ 2,122     176   Lesotho   7003208100000000000 ♠ 2,081     177   Bhutan   7003196500000000000 ♠ 1,965     178   Cape Verde   7003185500000000000 ♠ 1,855     179   San Marino   7003184500000000000 ♠ 1,845     180   Central African Republic   7003183800000000000 ♠ 1,838     181   Belize   7003169900000000000 ♠ 1,699     182   Djibouti   7003158900000000000 ♠ 1,589     183   Seychelles   7003151100000000000 ♠ 1,511     184   Saint Lucia   7003140600000000000 ♠ 1,406     185   Somalia   7003137500000000000 ♠ 1,375     186   Zanzibar   7003128900000000000 ♠ 1,289     187   Antigua and Barbuda   7003124800000000000 ♠ 1,248     188   Guinea - Bissau   7003120900000000000 ♠ 1,209     189   Solomon Islands   7003110300000000000 ♠ 1,103     190   Sint Maarten   7003105900000000000 ♠ 1,059     191   British Virgin Islands   7002902000000000000 ♠ 902     192   Grenada   7002884000000000000 ♠ 884     193   Saint Kitts and Nevis   7002852000000000000 ♠ 852     194   The Gambia   7002851000000000000 ♠ 851     195   Samoa   7002824000000000000 ♠ 824     196   Vanuatu   7002812000000000000 ♠ 812     197   Turks and Caicos Islands   7002797000000000000 ♠ 797     198   Saint Vincent and the Grenadines   7002729000000000000 ♠ 729     199   Comoros   7002648000000000000 ♠ 648     200   Dominica   7002533000000000000 ♠ 533     201   Tonga   7002435000000000000 ♠ 435     202   Sao Tome and Principe São Tomé and Príncipe   7002337000000000000 ♠ 337     203   Federated States of Micronesia   7002308000000000000 ♠ 308     204   Cook Islands   7002311000000000000 ♠ 311     205   Anguilla   7002311000000000000 ♠ 311     206   Palau   7002234000000000000 ♠ 234     207   Marshall Islands   7002209000000000000 ♠ 209     208   Nauru   7002182000000000000 ♠ 182     209   Kiribati   7002180000000000000 ♠ 180     210   Montserrat   7001630000000000000 ♠ 63     211   Tuvalu   7001380000000000000 ♠ 38         Special administrative regions of China .    See also    Business and economics portal   Contents / Lists portal     List of countries by GDP ( PPP )   List of countries by GDP ( nominal ) per capita   List of countries by GDP ( PPP ) per capita    Notes    ^ Jump up to : The European Union ( EU ) is an economic and political union of 28 member states that are located primarily in Europe .   Jump up ^ Figures exclude Taiwan , and special administrative regions of Hong Kong and Macau .   ^ Jump up to : Figures exclude Republic of Crimea and Sevastopol .   Jump up ^ Data for Syria 's 2014 GDP is from the September 2011 WEO Database , the latest available from the IMF .   ^ Jump up to : Figures exclude special administrative regions of Hong Kong and Macau .   Jump up ^ Includes Western Sahara .   Jump up ^ Covers mainland Tanzania only .   Jump up ^ Data are for the area controlled by the Government of the Republic of Cyprus .   Jump up ^ Excludes Abkhazia and South Ossetia .   Jump up ^ Excludes data for Transnistria .    References    ^ Jump up to : `` World Economic Outlook Database '' . International Monetary Fund . 24 October 2017 .   Jump up ^ `` What is GDP and why is it so important ? '' . Investopedia . IAC / InterActiveCorp. 26 February 2009 . Retrieved 23 May 2016 .   Jump up ^ Moffatt , Mike . `` A Beginner 's Guide to Purchasing Power Parity Theory '' . About.com . IAC / InterActiveCorp . Retrieved 31 May 2014 .   Jump up ^ Ito , Takatoshi ; Isard , Peter ; Symansky , Steven ( January 1999 ) . `` Economic Growth and Real Exchange Rate : An Overview of the Balassa - Samuelson Hypothesis in Asia '' ( PDF ) . Changes in Exchange Rates in Rapidly Development Countries : Theory , Practice , and Policy Issues . National Bureau of Economic Research . Retrieved 23 May 2016 .   Jump up ^ Callen , Tim ( 28 March 2012 ) . `` Purchasing Power Parity : Weights Matter '' . Finance &amp; Development . International Monetary Fund . Retrieved 30 May 2014 .   Jump up ^ Callen , Tim ( 28 March 2012 ) . `` Gross Domestic Product : An Economy 's All '' . Finance &amp; Development . International Monetary Fund . Retrieved 31 May 2014 .   Jump up ^ Vo , Lam Thuy ( 30 May 2012 ) . `` The World 's Richest Countries and Biggest Economies , In 2 Graphics '' . Planet Money . National Public Radio . Retrieved 4 June 2014 .   Jump up ^ Burgen , Emily et . al. ( 5 April 2012</t>
  </si>
  <si>
    <t xml:space="preserve">who had the worlds largest economy in 2014</t>
  </si>
  <si>
    <t xml:space="preserve"> Although the rankings of national economies have changed considerably over time , the United States has maintained its top position since the Gilded Age , a time period in which its economy saw rapid expansion , surpassing the British Empire and Qing dynasty in aggregate output . Since China 's transition to a market - based economy through privatisation and deregulation , the country has seen its ranking increase from ninth in 1978 to second to only the United States in 2016 as economic growth accelerated and its share of global nominal GDP surged from 2 % in 1980 to 15 % in 2016 . India has also experienced a similar economic boom since the implementation of economic liberalisation in the early 1990s . When supranational entities are included , the European Union is the second largest economy in the world . It was the largest from 2004 , when ten countries joined the union , to 2014 , after which it was surpassed by the United States . </t>
  </si>
  <si>
    <t xml:space="preserve">Federal government of the United States - Wikipedia  Federal government of the United States  Jump to : navigation , search `` American Government '' redirects here . For the textbook by James Q. Wilson and John J. DiIulio , Jr. , see American Government ( textbook ) .      This article needs additional citations for verification . Please help improve this article by adding citations to reliable sources . Unsourced material may be challenged and removed . ( January 2013 ) ( Learn how and when to remove this template message )     U.S. Federal Government   Great Seal of the United States     Formation   1789 ; 229 years ago ( 1789 )     Founding document   United States Constitution     Jurisdiction   United States of America     Website   www.usa.gov     Legislative branch     Legislature   Congress     Meeting place   Capitol     Executive branch     Leader   President of the United States     Appointer   Electoral College     Headquarters   The White House     Main organ   Cabinet     Departments   15     Judicial branch     Court   Supreme Court     Seat   Washington , D.C.       This article is part of a series on the     Politics of the United States of America         Federal Government ( show )   Constitution of the United States     Law   Taxation       Legislature ( show )   United States Congress         House of Representatives     Speaker Paul Ryan ( R )     Majority Leader Kevin McCarthy ( R )     Minority Leader Nancy Pelosi ( D )     Congressional districts       United States Senate     President Mike Pence ( R )     President Pro Tempore Orrin Hatch ( R )     President Pro Tempore Emeritus Patrick Leahy ( D )     Majority Leader Mitch McConnell ( R )     Minority Leader Chuck Schumer ( D )       Executive ( show )   President of the United States     Donald Trump ( R )       Vice President of the United States     Mike Pence ( R )     Cabinet   Federal agencies   Executive Office       Judiciary ( show )   Supreme Court of the United States     Chief Justice John Roberts     Kennedy   Thomas   Ginsburg   Breyer   Alito   Sotomayor   Kagan   Gorsuch     Courts of Appeals   District Courts ( list )     Other tribunals       Elections ( show )   Presidential elections   Midterm elections     Off - year elections       Political parties ( show )   Democratic   Republican     Third parties       Federalism ( show )   State Government     Governors     Legislatures ( List )     State courts       Local government           Other countries   Atlas                   The Federal Government of the United States ( U.S. Federal Government ) is the national government of the United States , a republic in North America , composed of 50 states , one district , Washington , D.C. ( the nation 's capital ) , and several territories . The federal government is composed of three distinct branches : legislative , executive , and judicial , whose powers are vested by the U.S. Constitution in the Congress , the president , and the federal courts , respectively . The powers and duties of these branches are further defined by acts of Congress , including the creation of executive departments and courts inferior to the Supreme Court .     Contents  ( hide )   1 Naming   2 History   3 Legislative branch   3.1 Makeup of Congress   3.1. 1 House of Representatives   3.1. 2 Senate   3.1. 3 Different powers   3.1. 4 Impeachment of federal officers   3.1. 5 Congressional procedures     3.2 Powers of Congress   3.2. 1 Congressional oversight       4 Executive branch   4.1 President   4.2 Vice president   4.3 Cabinet , executive departments , and agencies     5 Judicial branch   5.1 Overview of the federal judiciary   5.2 Relationships between state and federal courts     6 Elections and voting   7 State , tribal , and local governments   8 See also   9 References   10 Bibliography   11 External links      Naming  Political system of the United States  The full name of the republic is `` United States of America '' . No other name appears in the Constitution , and this is the name that appears on money , in treaties , and in legal cases to which it is a party ( Charles T. Schenck v. United States ) . The terms `` Government of the United States of America '' or `` United States Government '' are often used in official documents to represent the federal government as distinct from the states collectively . In casual conversation or writing , the term `` Federal Government '' is often used , and the term `` National Government '' is sometimes used . The terms `` Federal '' and `` National '' in government agency or program names generally indicate affiliation with the federal government ( Federal Bureau of Investigation , National Oceanic and Atmospheric Administration , National Park Service ) . Because the seat of government is in Washington , D.C. , `` Washington '' is commonly used as a metonym for the federal government .   History   The outline of the government of the United States is laid out in the Constitution . The government was formed in 1789 , when the Constitution went into effect , making the United States one of the world 's first , if not the first , modern national constitutional republics .   The United States government is based on the principles of federalism and republicanism , in which power is shared between the federal government and state governments . The interpretation and execution of these principles , including what powers the federal government should have and how those powers can be exercised , have been debated ever since the adoption of the Constitution . Some make the case for expansive federal powers while others argue for a more limited role for the central government in relation to individuals , the states , or other recognized entities .   Since the American Civil War , the powers of the federal government have generally expanded greatly , although there have been periods since that time of legislative branch dominance ( e.g. , the decades immediately following the Civil War ) or when states ' rights proponents have succeeded in limiting federal power through legislative action , executive prerogative or by constitutional interpretation by the courts .   One of the theoretical pillars of the U.S. Constitution is the idea of `` checks and balances '' among the powers and responsibilities of the three branches of American government : the executive , the legislative , and the judiciary . For example , while the legislative branch ( Congress ) has the power to create law , the executive branch under the president can veto any legislation -- an act which , in turn , can be overridden by Congress . The president nominates judges to the nation 's highest judiciary authority , the Supreme Court , but those nominees must be approved by Congress . The Supreme Court , in turn , can invalidate unconstitutional laws passed by the Congress . These and other examples are examined in more detail in the text below .   Legislative branch  Main article : United States Congress Seal of the U.S. Congress  The United States Congress is the legislative branch of the federal government . It is bicameral , comprising the House of Representatives and the Senate .   Makeup of Congress  House of Representatives The 435 seats of the House grouped by state  The House currently consists of 435 voting members , each of whom represents a congressional district . The number of representatives each state has in the House is based on each state 's population as determined in the most recent United States Census . All 435 representatives serve a two - year term . Each state receives a minimum of one representative in the House . In order to be elected as a representative , an individual must be at least 25 years of age , must have been a U.S. citizen for at least seven years , and must live in the state that he or she represents . There is no limit on the number of terms a representative may serve . In addition to the 435 voting members , there are 6 non-voting members , consisting of 5 delegates and one resident commissioner . There is one delegate each from the District of Columbia , Guam , the Virgin Islands , American Samoa , and the Commonwealth of the Northern Mariana Islands , and the resident commissioner from Puerto Rico .  Senate  In contrast , the Senate is made up of two senators from each state , regardless of population . There are currently 100 senators ( 2 from each of the 50 states ) , who each serve six - year terms . Approximately one - third of the Senate stands for election every two years .  Different powers  The House and Senate each have particular exclusive powers . For example , the Senate must approve ( give `` advice and consent '' to ) many important presidential appointments , including cabinet officers , federal judges ( including nominees to the Supreme Court ) , department secretaries ( heads of federal executive branch departments ) , U.S. military and naval officers , and ambassadors to foreign countries . All legislative bills for raising revenue must originate in the House of Representatives . The approval of both chambers is required to pass all legislation , which then may only become law by being signed by the president ( or , if the president vetoes the bill , both houses of Congress then re-pass the bill , but by a two - thirds majority of each chamber , in which case the bill becomes law without the president 's signature ) . The powers of Congress are limited to those enumerated in the Constitution ; all other powers are reserved to the states and the people . The Constitution also includes the `` Necessary and Proper Clause '' , which grants Congress the power to `` make all laws which shall be necessary and proper for carrying into execution the foregoing powers '' . Members of the House and Senate are elected by first - past - the - post voting in every state except Louisiana and Georgia , which have runoffs .  Impeachment of federal officers Main article : Impeachment in the United States  Congress has the power to remove the president , federal judges , and other federal officers from office . The House of Representatives and Senate have separate roles in this process . The House must first vote to `` impeach '' the official . Then , a trial is held in the Senate to decide whether the official should be removed from office . Although two presidents have been impeached by the House of Representatives ( Andrew Johnson and Bill Clinton ) , neither of them was removed following trial in the Senate .  Congressional procedures  Article I , Section 2 , paragraph 2 of the U.S. Constitution gives each chamber the power to `` determine the rules of its proceedings '' . From this provision were created congressional committees , which do the work of drafting legislation and conducting congressional investigations into national matters . The 108th Congress ( 2003 -- 2005 ) had 19 standing committees in the House and 17 in the Senate , plus 4 joint permanent committees with members from both houses overseeing the Library of Congress , printing , taxation , and the economy . In addition , each house may name special , or select , committees to study specific problems . Today , much of the congressional workload is borne by the subcommittees , of which there are around 150 .   Powers of Congress  Main article : Article One of the United States Constitution The United States Capitol is the seat of government for Congress .  The Constitution grants numerous powers to Congress . Enumerated in Article I , Section 8 , these include the powers to levy and collect taxes ; to coin money and regulate its value ; provide for punishment for counterfeiting ; establish post offices and roads , issue patents , create federal courts inferior to the Supreme Court , combat piracies and felonies , declare war , raise and support armies , provide and maintain a navy , make rules for the regulation of land and naval forces , provide for , arm and discipline the militia , exercise exclusive legislation in the District of Columbia , and to make laws necessary to properly execute powers . Over the two centuries since the United States was formed , many disputes have arisen over the limits on the powers of the federal government . These disputes have often been the subject of lawsuits that have ultimately been decided by the United States Supreme Court .  Congressional oversight Main article : Congressional oversight  Congressional oversight is intended to prevent waste and fraud , protect civil liberties and individual rights , ensure executive compliance with the law , gather information for making laws and educating the public , and evaluate executive performance .   It applies to cabinet departments , executive agencies , regulatory commissions , and the presidency .   Congress 's oversight function takes many forms :    Committee inquiries and hearings   Formal consultations with and reports from the president   Senate advice and consent for presidential nominations and for treaties   House impeachment proceedings and subsequent Senate trials   House and Senate proceedings under the 25th Amendment in the event that the president becomes disabled or the office of the vice president falls vacant   Informal meetings between legislators and executive officials   Congressional membership : each state is allocated a number of seats based on its representation ( or ostensible representation , in the case of D.C. ) in the House of Representatives . Each state is allocated two senators regardless of its population . As of January 2010 , the District of Columbia elects a non-voting representative to the House of Representatives along with American Samoa , the U.S. Virgin Islands , Guam , Puerto Rico , and the Northern Mariana Islands .    Executive branch  See also : Article Two of the United States Constitution and List of United States federal executive orders  The executive power in the federal government is vested in the President of the United States , although power is often delegated to the Cabinet members and other officials . The president and vice president are elected as running mates by the Electoral College , for which each state , as well as the District of Columbia , is allocated a number of seats based on its representation ( or ostensible representation , in the case of D.C. ) in both houses of Congress . The president is limited to a maximum of two four - year terms . If the president has already served two years or more of a term to which some other person was elected , he or she may only serve one more additional four - year term .   President  Main article : President of the United States Seal of the President of the United States  The executive branch consists of the president and those to whom the president 's powers are delegated . The president is both the head of state and government , as well as the military commander - in - chief and chief diplomat . The president , according to the Constitution , must `` take care that the laws be faithfully executed '' , and `` preserve , protect and defend the Constitution '' . The president presides over the executive branch of the federal government , an organization numbering about 5 million people , including 1 million active - duty military personnel and 600,000 postal service employees .   The president may sign legislation passed by Congress into law or may veto it , preventing it from becoming law unless two - thirds of both houses of Congress vote to override the veto . The president may unilaterally sign treaties with foreign nations . However , ratification of international treaties requires a two - thirds majority vote in the Senate . The president may be impeached by a majority in the House and removed from office by a two - thirds majority in the Senate for `` treason , bribery , or other high crimes and misdemeanors '' . The president may not dissolve Congress or call special elections but does have the power to pardon or release criminals convicted of offenses against the federal government ( except in cases of impeachment ) , enact executive orders , and ( with the consent of the Senate ) appoint Supreme Court justices and federal judges .   Vice president  Main article : Vice President of the United States Seal of the Vice President of the United States  The vice president is the second - highest official in rank of the federal government . The office of the vice president 's duties and powers are established in the legislative branch of the federal government under Article 1 , Section 3 , Clauses 4 and 5 as the President of the Senate ; this means that he or she is the head of the Senate . In that capacity , the vice president is allowed to vote in the Senate , but only when necessary to break a tie vote . Pursuant to the Twelfth Amendment , the vice president presides over the joint session of Congress when it convenes to count the vote of the Electoral College . As first in the U.S. presidential line of succession , the vice president 's duties and powers move to the executive branch when becoming president upon the death , resignation , or removal of the president , which has happened nine times in U.S. history . Lastly , in the case of a Twenty - fifth Amendment succession event , the vice president would become acting president , assuming all of the powers and duties of president , except being designated as president . Accordingly , by circumstances , the Constitution designates the vice president as routinely in the legislative branch , or succeeding to the executive branch as president , or possibly being in both as acting president pursuant to the Twenty - fifth Amendment . Because of circumstances , the overlapping nature of the duties and powers attributed to the office , the title of the office and other matters , such has generated a spirited scholarly dispute regarding attaching an exclusive branch designation to the office of vice president .   Cabinet , executive departments , and agencies  Main articles : Cabinet of the United States , United States federal executive departments , and List of federal agencies in the United States  The day - to - day enforcement and administration of federal laws is in the hands of the various federal executive departments , created by Congress to deal with specific areas of national and international affairs . The heads of the 15 departments , chosen by the president and approved with the `` advice and consent '' of the U.S. Senate , form a council of advisers generally known as the president 's `` Cabinet '' . Once confirmed , these `` cabinet officers '' serve at the pleasure of the president . In addition to departments , a number of staff organizations are grouped into the Executive Office of the President . These include the White House staff , the National Security Council , the Office of Management and Budget , the Council of Economic Advisers , the Council on Environmental Quality , the Office of the U.S. Trade Representative , the Office of National Drug Control Policy , and the Office of Science and Technology Policy . The employees in these United States government agencies are called federal civil servants .   There are also independent agencies such as the United States Postal Service ( USPS ) , the National Aeronautics and Space Administration ( NASA ) , the Central Intelligence Agency ( CIA ) , the Environmental Protection Agency ( EPA ) , and the United States Agency for International Development ( USAID ) . In addition , there are government - owned corporations such as the Federal Deposit Insurance Corporation and the National Railroad Passenger Corporation .   Judicial branch  Main articles : Federal judiciary of the United States and United States federal courts See also : Article Three of the United States Constitution  The Judiciary explains and applies the laws . This branch does this by hearing and eventually making decisions on various legal cases .   Overview of the federal judiciary  Seal of the U.S. Supreme Court  Article III section I of the Constitution establishes the Supreme Court of the United States and authorizes the United States Congress to establish inferior courts as their need shall arise . Section I also establishes a lifetime tenure for all federal judges and states that their compensation may not be diminished during their time in office . Article II section II establishes that all federal judges are to be appointed by the president and confirmed by the United States Senate .   The Judiciary Act of 1789 subdivided the nation jurisdictionally into judicial districts and created federal courts for each district . The three tiered structure of this act established the basic structure of the national judiciary : the Supreme Court , 13 courts of appeals , 94 district courts , and two courts of special jurisdiction . Congress retains the power to re-organize or even abolish federal courts lower than the Supreme Court .   The U.S. Supreme Court adjudicates `` cases and controversies '' -- matters pertaining to the federal government , disputes between states , and interpretation of the United States Constitution , and , in general , can declare legislation or executive action made at any level of the government as unconstitutional , nullifying the law and creating precedent for future law and decisions . The United States Constitution does not specifically mention the power of judicial review ( the power to declare a law unconstitutional ) . The power of judicial review was asserted by Chief Justice Marshall in the landmark Supreme Court Case Marbury v. Madison ( 1803 ) . There have been instances in the past where such declarations have been ignored by the other two branches . Below the U.S. Supreme Court are the United States Courts of Appeals , and below them in turn are the United States District Courts , which are the general trial courts for federal law , and for certain controversies between litigants who are not deemed citizens of the same state ( `` diversity jurisdiction '' ) .   There are three levels of federal courts with general jurisdiction , meaning that these courts handle criminal cases and civil lawsuits between individuals . Other courts , such as the bankruptcy courts and the Tax Court , are specialized courts handling only certain kinds of cases ( `` subject matter jurisdiction '' ) . The Bankruptcy Courts are `` under '' the supervision of the district courts , and , as such , are not considered part of the `` Article III '' judiciary and also as such their judges do not have lifetime tenure , nor are they Constitutionally exempt from diminution of their remuneration . Also the Tax Court is not an Article III court ( but is , instead an `` Article I Court '' ) .   The district courts are the trial courts wherein cases that are considered under the Judicial Code ( Title 28 , United States Code ) consistent with the jurisdictional precepts of `` federal question jurisdiction '' and `` diversity jurisdiction '' and `` pendent jurisdiction '' can be filed and decided . The district courts can also hear cases under `` removal jurisdiction '' , wherein a case brought in State court meets the requirements for diversity jurisdiction , and one party litigant chooses to `` remove '' the case from state court to federal court .   The United States Courts of Appeals are appellate courts that hear appeals of cases decided by the district courts , and some direct appeals from administrative agencies , and some interlocutory appeals . The U.S. Supreme Court hears appeals from the decisions of the courts of appeals or state supreme courts , and in addition has original jurisdiction over a few cases .   The judicial power extends to cases arising under the Constitution , an Act of Congress ; a U.S. treaty ; cases affecting ambassadors , ministers and consuls of foreign countries in the U.S. ; cases and controversies to which the federal government is a party ; controversies between states ( or their citizens ) and foreign nations ( or their citizens or subjects ) ; and bankruptcy cases ( collectively `` federal - question jurisdiction '' ) . The Eleventh Amendment removed from federal jurisdiction cases in which citizens of one state were the plaintiffs and the government of another state was the defendant . It did not disturb federal jurisdiction in cases in which a state government is a plaintiff and a citizen of another state the defendant .   The power of the federal courts extends both to civil actions for damages and other redress , and to criminal cases arising under federal law . The interplay of the Supremacy Clause and Article III has resulted in a complex set of relationships between state and federal courts . Federal courts can sometimes hear cases arising under state law pursuant to diversity jurisdiction , state courts can decide certain matters involving federal law , and a handful of federal claims are primarily reserved by federal statute to the state courts ( for example , those arising from the Telephone Consumer Protection Act of 1991 ) . Both court systems thus can be said to have exclusive jurisdiction in some areas and concurrent jurisdiction in others .   The U.S. Constitution safeguards judicial independence by providing that federal judges shall hold office `` during good behavior '' ; in practice , this usually means they serve until they die , retire , or resign . A judge who commits an offense while in office may be impeached in the same way as the president or other officials of the federal government . U.S. judges are appointed by the president , subject to confirmation by the Senate . Another Constitutional provision prohibits Congress from reducing the pay of any Article III judge ( Congress is able to set a lower salary for all future judges that take office after the reduction , but may not decrease the rate of pay for judges already in office ) .   Relationships between state and federal courts   Separate from , but not entirely independent of , this federal court system are the court systems of each state , each dealing with , in addition to federal law when not deemed preempted , a state 's own laws , and having its own court rules and procedures . Although state governments and the federal government are legally dual sovereigns , the Supreme Court of the United States is in many cases the appellate court from the State Supreme Courts ( e.g. , absent the Court countenancing the applicability of the doctrine of adequate and independent State grounds ) . The Supreme Courts of each state are by this doctrine the final authority on the interpretation of the applicable state 's laws and Constitution . Many state constitution provisions are equal in breadth to those of the U.S. Constitution , but are considered `` parallel '' ( thus , where , for example , the right to privacy pursuant to a state constitution is broader than the federal right to privacy , and the asserted ground is explicitly held to be `` independent '' , the question can be finally decided in a State Supreme Court -- the U.S. Supreme Court will decline to take jurisdiction ) .   A State Supreme Court , other than of its own accord , is bound only by the U.S. Supreme Court 's interpretation of federal law , but is not bound by interpretation of federal law by the federal court of appeals for the federal circuit in which the state is included , or even the federal district courts located in the state , a result of the dual sovereigns concept . Conversely , a federal district court hearing a matter involving only a question of state law ( usually through diversity jurisdiction ) must apply the substantive law of the state in which the court sits , a result of the application of the Erie Doctrine ; however , at the same time , the case is heard under the Federal Rules of Civil Procedure , the Federal Rules of Criminal Procedure and the Federal Rules of Evidence instead of state procedural rules ( that is , the application of the Erie Doctrine only extends to a requirement that a federal court asserting diversity jurisdiction apply substantive state law , but not procedural state law , which may be different ) . Together , the laws of the federal and state governments form U.S. law .   Elections and voting  Main article : Elections in the United States Diagram of the Federal Government and American Union , 1862 .  Suffrage , commonly known as the ability to vote , has changed significantly over time . In the early years of the United States , voting was considered a matter for state governments , and was commonly restricted to white men who owned land . Direct elections were mostly held only for the U.S. House of Representatives and state legislatures , although what specific bodies were elected by the electorate varied from state to state . Under this original system , both senators representing each state in the U.S. Senate were chosen by a majority vote of the state legislature . Since the ratification of the Seventeenth Amendment in 1913 , members of both houses of Congress have been directly elected . Today , U.S. citizens have almost universal suffrage under equal protection of the laws from the age of 18 , regardless of race , gender , or wealth . The only significant exception to this is the disenfranchisement of convicted felons , and in some states former felons as well .   Under the U.S. Constitution , the national representation of U.S. territories and the federal district of Washington , D.C. in Congress is limited : while residents of the District of Columbia are subject to federal laws and federal taxes , their only congressional representative is a non-voting delegate ; however , they have been allowed to participate in presidential elections since March 29 , 1961 . Residents of U.S. territories have varying rights ; for example , only some residents of Puerto Rico pay federal income taxes ( though all residents must pay all other federal taxes , including import / export taxes , federal commodity taxes and federal payroll taxes , including Social Security and Medicare ) . All federal laws that are `` not locally inapplicable '' are automatically the law of the land in Puerto Rico but their current representation in the U.S. Congress is in the form of a Resident Commissioner , a nonvoting delegate .   State , tribal , and local governments  Main articles : State governments of the United States , Tribal sovereignty in the United States , and Local government in the United States The states of the United States as divided into counties ( or , in Louisiana and Alaska , parishes and boroughs , respectively ) . Alaska and Hawaii are not to scale and the Aleutian and uninhabited Northwestern Hawaiian Islands have been omitted .  The state governments tend to have the greatest influence over most Americans ' daily lives . The Tenth Amendment prohibits the federal government from exercising any power not delegated to it by the States in the Constitution ; as a result , states handle the majority of issues most relevant to individuals within their jurisdiction . Because state governments are not authorized to print currency , they generally have to raise revenue through either taxes or bonds . As a result , state governments tend to impose severe budget cuts or raise taxes any time the economy is faltering .   Each state has its own written constitution , government and code of laws . The Constitution stipulates only that each state must have , `` a Republican Government '' . Therefore , there are often great differences in law and procedure between individual states , concerning issues such as property , crime , health and education , amongst others . The highest elected official of each state is the Governor . Each state also has an elected state legislature ( bicameralism is a feature of every state except Nebraska ) , whose members represent the voters of the state . Each state maintains its own state court system . In some states , supreme and lower court justices are elected by the people ; in others , they are appointed , as they are in the federal system .   As a result of the Supreme Court case Worcester v. Georgia , American Indian tribes are considered `` domestic dependent nations '' that operate as sovereign governments subject to federal authority but , in some cases , outside of the jurisdiction of state governments . Hundreds of laws , executive orders and court cases have modified the governmental status of tribes vis - à - vis individual states , but the two have continued to be recognized as separate bodies . Tribal governments vary in robustness , from a simple council used to manage all aspects of tribal affairs , to large and complex bureauc</t>
  </si>
  <si>
    <t xml:space="preserve">what are three branches of government in the united states</t>
  </si>
  <si>
    <t xml:space="preserve"> The Federal Government of the United States ( U.S. Federal Government ) is the national government of the United States , a republic in North America , composed of 50 states , one district , Washington , D.C. ( the nation 's capital ) , and several territories . The federal government is composed of three distinct branches : legislative , executive , and judicial , whose powers are vested by the U.S. Constitution in the Congress , the president , and the federal courts , respectively . The powers and duties of these branches are further defined by acts of Congress , including the creation of executive departments and courts inferior to the Supreme Court . </t>
  </si>
  <si>
    <t xml:space="preserve">Cowboys -- Redskins rivalry - wikipedia  Cowboys -- Redskins rivalry  Jump to : navigation , search  Dallas Cowboys -- Washington Redskins      Dallas Cowboys   Washington Redskins        First meeting     October 2 , 1960   Washington Redskins 26 , Dallas Cowboys 14       Latest meeting     November 30 , 2017   Dallas Cowboys 38 , Washington Redskins 14       Next meeting     Sometime in 2018   Unknown       Statistics     Meetings total   116 meetings     All - time series   Dallas Cowboys lead 70 -- 44 -- 2     Postseason results   Washington Redskins lead 2 -- 0     Largest victory   Dallas Cowboys 38 , Washington Redskins 3 ( 1993 )     Longest win streak    Dallas Cowboys : 10 ( November 16 , 1997 -- November 28 , 2002 )  Washington Redskins : 4 ( November 23 , 1986 -- October 9 , 1988 )     Current win streak   Dallas Cowboys , 4 wins ( 2016 -- present )     Championship Success During Rivalry ( 1960 -- present )      Super Bowl titles ( 8 )    Dallas Cowboys ( 5 ) -- 1971 , 1977 , 1992 , 1993 , 1995   Washington Redskins ( 3 ) -- 1982 , 1987 , 1991    Super Bowl appearances ( 13 )    Dallas Cowboys ( 8 ) -- 1970 , 1971 , 1975 , 1977 , 1978 , 1992 , 1993 , 1995   Washington Redskins ( 5 ) -- 1972 , 1982 , 1983 , 1987 , 1991    Division Championships ( 32 )    Dallas Cowboys ( 23 ) -- 1966 , 1967 , 1968 , 1969 , 1970 , 1971 , 1973 , 1976 , 1977 , 1978 , 1979 , 1981 , 1985 , 1992 , 1993 , 1994 , 1995 , 1996 , 1998 , 2007 , 2009 , 2014 , 2016   Washington Redskins ( 9 ) -- 1972 , 1982 , 1983 , 1984 , 1987 , 1991 , 1999 , 2012 , 2015       The Cowboys -- Redskins rivalry is a rivalry between the Dallas Cowboys and Washington Redskins in the National Football League 's NFC East division . In 2005 , Sports Illustrated called it the top NFL rivalry of all time and `` one of the greatest in sports . '' ESPN ranked it the best rivalry in the NFL . The Sportster has ranked it the 17th biggest rivalry in the world . During the tenure of this rivalry , the two franchises have won 31 combined division titles and eight combined Super Bowls . They are the two wealthiest franchises in the NFL . The rivalry started in 1960 when the Cowboys joined the league as an expansion team . During that year they were in separate conferences , but played once during the season . In 1961 , Dallas was placed in the same division as the Redskins , and from that point on , they have played each other twice in every regular season .     Contents  ( hide )   1 Beginning   2 First Few Games   3 Cowboy Chicken Club   4 1965 -- 1967   5 1970s   5.1 1972   5.2 1973 Redskins 14 , Cowboys 7   5.3 1974 Thanksgiving Day Game   5.4 1979 season - ending game     6 1980s   7 1990s   8 2000s   9 2010s   10 Rivalry off the field   11 Rivalry statistics   12 Rivalry statistics by decade   13 Game results   13.1 1960s ( Cowboys 10 -- 7 -- 2 )   13.2 1970s ( Cowboys 12 -- 9 )   13.3 1980s ( Cowboys 11 -- 9 )   13.4 1990s ( Cowboys 12 -- 8 )   13.5 2000s ( Cowboys 14 -- 6 )   13.6 2010s ( Cowboys 11 -- 5 )     14 Monday Night Football   14.1 MNF ( Cowboys lead 9 -- 8 )     15 References   16 External links      Beginning ( edit )   Texas oil tycoon Clint Murchison , Jr. was having a hard time bringing a National Football League team to Dallas , Texas . He tried buying two teams , but the negotiations fell through . In 1958 , Murchison heard that George Preston Marshall , owner of the Washington Redskins , was eager to sell the team . Just as the sale was about to be finalized , Marshall called for a change in terms . Murchison was outraged and canceled the whole deal .   Around this time , Marshall had a falling out with the Redskin band director , Barnee Breeskin . Breeskin had written the music to the Redskins fight song , now a staple at the stadium ; additionally , Marshall 's wife penned the lyrics to the song . Breeskin wanted revenge after the failed negotiations with Marshall . He approached Tom Webb , Murchison 's lawyer , and sold the rights for $2,500 .   Murchison then decided to create his own team , with the support of NFL expansion committee chairman , George Halas . Halas decided to put the proposition of a Dallas franchise before the NFL owners , which needed to have unanimous approval in order to pass . The only owner against the proposal was George Preston Marshall . However , Marshall found out that Murchison owned the rights to Washington 's fight song , so a deal was finally struck . If Marshall showed his approval of the Dallas franchise , Murchison would return the song . The Cowboys were then founded and began playing in 1960 .   To build the roster of an expansion team , Dallas was allowed to pick certain players from certain teams per League rules . In addition to selecting 3 players from the Redskins roster , the Cowboys traded their first round ( # 2 - Norm Snead ) and sixth round ( # 72 - Joe Krakoski ) draft choices in the 1961 NFL Draft to the Redskins in exchange for Pro Bowl quarterback Eddie LeBaron , convincing him to come out of retirement to become the franchise 's first starting quarterback .   First few games ( edit )   Though both teams would become juggernauts in the National Football League , the beginning of the rivalry was not all that exciting . The first game took place in Griffith Stadium on October 9 , 1960 and was won by the Redskins . It was the only game they would win that year . The Cowboys would go winless that season . The Redskins would win two of the first four and tied the two others .   Cowboy chicken Club ( edit )   In December 1961 , an unknown number of Cowboys fans snuck into D.C. Stadium , armed with bags of chicken feed . When Alaskan snow dogs were to drag Santa Claus onto the field during the halftime show , the pranksters would unleash dozens of hungry chickens onto the field -- 75 white , one black . The significance of the black chicken was to symbolize how Marshall was the only owner in the league who would not recruit an African - American football player ; Marshall stating , `` We 'll start signing Negroes when the Harlem Globetrotters start signing whites . ''   The chickens fit into two large crates , which were smuggled into the stadium the morning of the game . The chickens and the smugglers went unspotted until halftime , when a stadium usher noticed a man guarding the crates and heard the chickens . Though the guard tried to bribe the official with $100 , he was quickly reported and arrested , and the chickens confiscated . As it turned out , the `` official '' was actually Redskins general manager Dick McCann .   The following year and the night before the third Redskins - Cowboys match - up in less than a year , pranksters sneaked into Marshall 's hotel suite and dropped off a large turkey in the bathroom . When Marshall went into the bathroom , the turkey puffed up and gobbled at him , causing Marshall to flee his room . `` Chickens are nice '' , Marshall said , `` but a man should n't fool with a mad turkey . ''   Just minutes before kickoff , while `` Hail to the Redskins '' blared throughout the stadiums , four banners reading `` CHICKENS '' -- one at each 50 - yard line and one in each end zone center -- were unfurled in the stadium 's upper decks . Two acrobats , hired by Cowboys fans and Chicken Club founders Bob Thompson and Irv Davidson ( along with the University of Maryland students with the banners ) rushed onto the field dressed in chicken costumes and began to throw colored eggs . One was apprehended by a guard , but the other proved to be too elusive . By this time , the band was playing the National Anthem , therefore unable to move . The lone chicken - acrobat reached into this bag and released a chicken , then returned to his egg - throwing . Running to a sideline , he then attempted to leave the stadium by jumping over a bench , but slipped .   A group of security guards then apprehended him , but he was able to break free . He made it back to the 50 - yard line , turned a cartwheel , then ran and flopped onto the 30 - yard line . By this time , only aware that the National Anthem was over , the two teams rushed onto the field in the middle of the chaos . In the midst of the ruckus , the man made it off the field and into the stands . Although the real chicken was caught , the acrobat - chicken was never apprehended .   The next day , while reporting the 38 - 10 Cowboys victory , the Dallas News scoring summary ended with , Attendance - 49,888 ( and one chicken ) .   1965 -- 1967 ( edit )   From 1965 through 1967 , the Redskins and Cowboys , led by Sonny Jurgensen and Don Meredith respectively , played four games against each other that produced a combined total of 222 points with only ten points of overall difference between the two teams .   November 28 , 1965 , DC Stadium : The Cowboys quickly took a 21 - 0 lead on a pass play , a running play and a 60 - yard fumble recovery . Despite Jurgensen 's 26 - yard touchdown pass to Charley Taylor , the fans in the stands called for him to be benched in favor of second - string quarterback Dick Shiner . However , Jurgensen then drove the Redskins down field for a second touchdown to cut the Cowboys lead to 24 - 13 . They then scored a rushing touchdown to make it 24 - 20 . But just when the Redskins were gaining momentum , Meredith tossed a 53 - yard scoring touch to Frank Clarke . Jurgensen was then able to throw another touchdown pass to Bobby Mitchell to make it 31 - 27 . The Redskins got the ball back on their 20 - yard line with less than two minutes to go . After working his way down the field , Jurgensen passed to tight end Angelo Coia to give the Redskins their first lead , 34 - 31 , with about one minute to play . But Meredith was not done either . He drove the Cowboys to the Redskins 37 - yard line with seven seconds to go . Danny Villanueva was then brought in and attempted a tying field goal , but it was blocked by Redskins defensive back Lonnie Sanders . Final : Redskins , 34 -- Cowboys , 31   November 13 , 1966 , DC Stadium : In the second quarter with the score 7 - 6 Dallas , Meredith threw a 52 - yard touchdown to Bob Hayes , followed in the third quarter with a 95 - yard repeat , making the score 21 - 7 . Then Washington scored three consecutive times with Jurgensen 's 4 - yard pass to Jerry Smith and 78 - yard pass to Charley Taylor , followed by a Charlie Gogolak field goal , giving them the lead , 23 - 21 . Meredith then drove the Cowboys down field to set up a one - yard touchdown run by Dan Reeves . But the Redskins matched their score on a drive ending with Jurgensen 's 18 - yard scoring pass to Taylor , making it 30 - 28 . Meredith got the ball back with no timeouts and the Redskins playing deep prevent . Somehow , he was able to drive them to the Redskins 33 . The Redskins mounted a strong pass rush to push the Cowboys out of field goal range . But apparently it was too strong . Meredith was hit just as he scrambled out of bounds . The penalty put the Cowboys on the Redskins 12 for an easy Villanueva field goal . Final : Cowboys , 31 -- Redskins , 30   December 11 , 1966 , The Cotton Bowl : The Redskins took a 10 - 7 lead at the half after linebacker John Reger recovered a block punt and ran it in for a score . But Danny Villanueva then kicked a tying 26 - yard field goal for the Cowboys and Bob Hays caught a 23 - yard pass for the 17 - 10 lead . The Redskins tied it up on Bobby Mitchell 's 11 - yard reception from Jurgensen . The Cowboys regained the lead when Dan Reeves broke for a 67 - yard touchdown run , making it 24 - 17 . But the Redskins then drove the field and scored on Jurgensen 's 11 - yard pass to Jerry Smith , only to have the Cowboys regain the lead with a six - yard touchdown run by Don Perkins , making it 31 - 24 . Jurgensen was then able to hit Charlie Taylor with a 65 - yard touchdown pass that Taylor caught between two defenders , tying the game . After good defense , the Redskins got the ball back with two minutes to go . Starting at their 46 - yard line , Redskins running back A.D. Whitfield ran right for a 30 - yard gain that set up Charlie Gogolak 's winning field goal . Final : Redskins , 34 -- Cowboys , 31   October 8 , 1967 , DC Stadium : The Redskins led 14 - 10 with 70 seconds to go in the fourth quarter . The Cowboys took possession on their 29 - yard line . On fourth down with 23 seconds remaining , Meredith hit an open Dan Reeves who beat out linebacker Chris Hanburger to score , making it 17 - 14 . After the kick - off with seven seconds to go , Jurgensen pitched a long pass to Charley Taylor , but he was tackled at the Cowboys 20 - yard line as time ran out . Final : Cowboys , 17 -- Redskins , 14   Washington would win the rematch in Dallas that season , 27 - 20 , but the Cowboys closed out the decade with four straight wins over the Redskins . In the late 60 's the Redskins hired Vince Lombardi to try to stop ex-Giants coordinator Tom Landry . Lombardi 's 7 - 5 - 2 record with the Redskins was the team 's first winning season in 14 years , but he was still swept by the Cowboys . Lombardi 's untimely death in 1970 froze Redskins development for two seasons .   1970s ( edit )   1972 ( edit )   The rivalry was in full - swing by 1971 , when Washington hired George Allen as head coach . During the 1972 season , Allen 's Redskins met Dallas three times en route to a date with the Miami Dolphins in Super Bowl VII . This is how the season progressed .   After a losing season in 1970 , the Redskins ' hired George Allen from the Los Angeles Rams . As the 1972 football season approached , preseason predictors were touting the Cowboys , who had defeated the Dolphins , 24 - 3 in the previous Super Bowl , to again win the NFC East .   The sixth game of the season brought the Cowboys to Washington , D.C. Both teams came into the game with a 4 - 1 - 0 record . Sonny Jurgensen was Washington 's starting quarterback , with Billy Kilmer benched after a previous loss . Craig Morton was the Cowboys ' quarterback while the injured Roger Staubach watched from the sideline . Despite Washington 's home - field advantage , the Cowboys were favored by a touchdown .   A field goal and a Morton touchdown pass gave Dallas a 10 - 0 lead at the end of the first quarter , which was extended to 13 - 0 in the second period . Jurgensen led a Washington drive that climaxed with a pass to Larry Brown for a touchdown , but at the half the Redskins trailed by six points . Another seven points were added to the lead in the third quarter when Walt Garrison scored a touchdown . But then , Larry Brown broke a run for 34 yards and a touchdown to bring the score to 20 - 14 . Curt Knight kicked a 42 - yard field goal to make it 20 - 17 . Charley Harraway ran for 13 yards to make the score 24 - 20 , Redskins on top . During this offensive scoring period , the Over-the - Hill Gang defense shut down the Cowboys . At the end , Washington had defeated the Cowboys and was in possession of first place in the NFC East .   Now with two games remaining , Washington was 11 - 1 and had clinched the NFC East title . An ensuing loss to the Cowboys ( 34 - 24 ) was meaningless . It was the first time since the NFL went to a divisional format in 1967 that the Cowboys had not won their division .   The playoffs in 1972 pitted Washington against the Green Bay Packers . The final score was Washington 16 , Green Bay 3 . The victory sent the Redskins to the NFC Championship Game against the Cowboys who entered the playoffs as a wild - card entry . The Cowboys , who had been runner - up to the Redskins in the regular season defeated the NFC West champions , the San Francisco 49ers , 30 - 28 .   The game was played in Washington . Staubach was back for the Cowboys , and Dallas fans were thrilled to have him . But Billy Kilmer for the Redskins was the better quarterback that day . After a field goal got the scoring started , Kilmer connected with Charley Taylor on a 15 - yard touchdown pass and Washington had a 10 - 3 lead at halftime . In the fourth quarter , Kilmer again went to Taylor , this time for a 45 - yard touchdown . Knight added three more field goals that period and the Over-the - Hill Gang defense allowed only a second - quarter field goal . The final score was Washington 26 , Dallas 3 .   1973 Redskins 14 , Cowboys 7 ( edit )   Roger Staubach had won back the quarterback job after missing most of the 1972 season with a shoulder injury , but Tom Landry pulled him in the third quarter when he missed an important signal and was sacked by the Redskins defense . Dallas led 7 - 0 when Staubach was replaced by Craig Morton . Late in the fourth quarter , the game was tied 7 - 7 when Redskins defender Brig Owens picked off Morton 's errant pass and raced 26 yards to score a touchdown . The Cowboys threatened in the last seconds to tie the game , but Ken Houston tackled Walt Garrison on the one - yard line as time ran out , preserving the Redskins win .   1974 Thanksgiving day game ( edit )   On November 28 , 1974 , the Redskins were 8 - 3 and ready to secure a playoff berth with a win against the Cowboys ( 6 - 5 ) in a nationally televised game in Dallas . With less than ten minutes to go in the third quarter , Washington was leading 16 - 3 , when Redskins linebacker Dave Robinson knocked Roger Staubach out of the game . Rookie Clint Longley led the Cowboys to a last - minute come - from - behind victory , throwing a 50 - yard touchdown pass to Drew Pearson with 28 seconds left . The final score was Cowboys 24 , Redskins 23 .   The Redskins were stunned . `` I do n't have very much to say '' , coach George Allen said when it was over . `` It was probably the toughest loss we ever had . ''   1979 season - ending game ( edit )   December 16 , 1979 : The NFC East Division Championship and home field advantage on the line for both teams . This set the stage for the regular season finale against Washington ; the winner would capture the NFC East title while the loser missed the playoffs . In the game , Texas Stadium fans were treated to one of Staubach 's greatest comebacks . The Cowboys trailed 17 - 0 , but then scored three touchdowns to take the lead . Led by running back John Riggins , the Redskins came back to build a 34 - 21 lead , but the Cowboys scored 2 touchdowns in the final five minutes -- including a Staubach touchdown pass to Tony Hill with less than a minute remaining -- for an amazing 35 - 34 victory . In the week leading up to the game , Cowboys ' defensive end Harvey Martin received a funeral wreath , supposedly sent by the Redskins . He kept it in his locker all week for motivation and after the win , he raced into Washington 's locker room , opened the door and heaved it into the room , breaking up a team prayer . Adding insult to injury , the Chicago Bears defeated the St Louis Cardinals 42 - 6 , the Redskins lost the tie breaker to the Bears for the last Wild Card spot .   1980s ( edit )    Jan. 22 , 1983 , NFC Championship Game at RFK Stadium , the Redskins defeated the Cowboys to earn a trip to Super Bowl XVII . Prior to the game the stadium physically shook as a capacity crowd of 54,000 chanted `` We Want Dallas ! '' The game is best remembered for the quarterback hit by Redskins defensive end Dexter Manley that sent Cowboys ' quarterback Danny White into the locker room shortly before halftime knocking him out for the rest of the game , and defensive tackle Darryl Grant 's interception return for a 10 - yard touchdown of a Gary Hogeboom pass tipped by Manley to score the decisive points . John Riggins rushed for 140 yards and two touchdowns on 36 carries as the Redskins defeated the Cowboys 31 - 17 . The Redskins went on to defeat Miami for their first Super Bowl championship .   Before a sold - out 1983 season opener on Monday Night Football , the Redskins were leading the visiting Cowboys 23 -- 3 going into halftime . Danny White 's second half comeback erased the lead and the Cowboys took an improbable 31 -- 30 victory .   The second 1983 regular season meeting between the Redskins and Cowboys at Texas Stadium was more remembered for an infamous play by the Cowboys than it was for the game 's outcome . On a 4th down and 1 play , Danny White was attempting to draw the Redskins offside by using hard counts , thereby giving the Cowboys a first down and keeping their drive going . But the Redskins ' defense never moved and Danny White ran a play that resulted in a loss of yards , turning the ball over to the Redskins on downs . During the replay , coach Tom Landry was simultaneously shown yelling , `` No , Danny , no ! '' from the sidelines ( undoubtedly wanting White to call a time out to punt the ball ) . After the play , Landry was shown shaking his head in disgust . The Redskins went on to win , 31 - 10 .   On December 9 , 1984 , down 21 - 6 at halftime , the Redskins scored 17 unanswered points on turnovers to take a 23 - 21 lead going into the fourth quarter . They came back to defeat the Cowboys , 30 - 28 . Coupled with the 34 - 14 win earlier in the year , the Redskins enjoyed their first season sweep of the Cowboys in series history .   On September 9 , 1985 , the season opener of Monday Night Football was played at Texas Stadium . The Cowboys secondary , nicknamed `` Thurman 's Thieves '' , intercepted Redskins quarterback Joe Theismann five times . Redskins coach Joe Gibbs would pull Theismann from the game in the 4th Quarter due to his poor performance . To rub salt in the wound , fans at Texas Stadium began singing `` Happy Birthday '' to Theismann as he sat on the bench staring straight ahead ( the game took place on Theismann 's birthday ) . The Cowboys went on to win in a blowout , 44 - 14 .   1987 - Scab Game : No team in the NFL had more players cross the picket line during the 1987 strike than the Cowboys , who were 2 -- 0 with their `` scab '' players entering a game with the Redskins on Monday Night Football . Washington had also won their two games during the strike , but without any veterans . For this game the Cowboys had Danny White , Randy White , Tony Dorsett , Ed Jones among other veterans , but were upset by the replacement Redskins players , 13 - 7 , in a game former Washington head coach Joe Gibbs called `` one of my greatest experiences and wins . '' The Redskins finished 3 -- 0 with the replacements , the strike ending the following week . The Redskins would go on to win Super Bowl XXII later that season . In 2000 Warner Bros. made a movie loosely based on the 1987 Redskins , The Replacements .   On December 11 , 1988 , the Cowboys upset the reigning Super Bowl champion Redskins at RFK stadium , 24 - 17 , ending any shot the Redskins had of making the playoffs . Rookie and eventual hall of fame wide receiver , Michael Irvin was the big star of the game with three touchdown catches . This game would prove to be the final victory for legendary Dallas Cowboys head coach Tom Landry .   The Cowboys lone victory of their woeful 1 - 15 season in 1989 would come on November 5 against the Redskins at RFK Stadium , 13 -- 3 . Ultimately this loss coupled with a last second loss to the Philadelphia Eagles where Gerald Riggs fumbled the football at the Eagles ' goal line with less than a minute remaining in the game prevented the 10 -- 6 Redskins from making the playoffs for the second straight year . The Redskins led the Eagles 37 - 35 at the time when Riggs was stripped and the football was returned 96 yards to the Redskins ' 4 - yard line . The Eagles scored a touchdown and won the football game 42 - 37 .    1990s ( edit )    On November 24 , 1991 , the 6 -- 5 Cowboys handed the then unbeaten 11 -- 0 Redskins their first defeat and their only defeat at home that season , 24 -- 21 . Despite the loss the Redskins would finish 14 -- 2 and go on to win the Super Bowl XXVI . The Cowboys , motivated by the victory , would reel off a 6 - game win streak , finishing 11 -- 5 ; Cowboys owner Jerry Jones would later tell The Washington Post that he believed this victory was a key turning point in the Cowboys ' transformation into the dominant team they would become for much of the decade .   On September 7 , 1992 , in front a nationally televised Monday night audience , the Cowboys , led by Emmitt Smith 's 140 yards rushing , handed the defending Super Bowl champion Redskins an embarrassing 23 -- 10 loss at Texas Stadium in their first game of the season .   On December 13 , 1992 , the defending Super Bowl champion Redskins stunned the eventual Super Bowl champion Cowboys 20 -- 17 in Washington thanks to Safety Danny Copeland 's fourth quarter recovery of a Troy Aikman / Emmitt Smith fumble in the end zone . This game would prove to be Hall of Fame Head Coach Joe Gibbs ' final victory at RFK Stadium .   On September 6 , 1993 , in front of a nationally televised Monday night audience , the Redskins gained revenge for their opening week Monday night loss of a year before by defeating the defending Super Bowl champion Cowboys 35 -- 16 at RFK to earn Richie Petitbon his first victory in his first game as a head coach .   On the day after Christmas , 1993 , the Cowboys would gain revenge for their opening week loss by defeating the Redskins 38 -- 3 at Texas Stadium . The Cowboys ' 35 point margin of victory is the largest margin of victory by either team in the rivalry 's history . The Cowboys would eventually close out the season with their second straight Super Bowl championship while the Redskins would finish 4 -- 12 , their worst regular season record since 1963 , the Bill McPeak era .   On December 22 , 1996 , the Redskins defeated the Cowboys 37 -- 10 in the final game played at RFK Stadium , the Redskins home for the last 36 years . The Cowboys rested their starters during this game .   In the first game of the 1999 season , the Redskins opened a 35 -- 14 lead . Then Dallas scored three touchdowns during the final 11 minutes of regulation time . The Redskins botched a last - second field goal attempt and the game went to overtime . A play - action pass four minutes into overtime to Raghib Ismail fooled Redskins safety Matt Stevens , and won the game for the visiting Cowboys . This game took place during the middle of a 10 - game win streak in the series by the Cowboys , the longest by either team during the tenure of this rivalry .    2000s ( edit )    In Week 6 of the 2001 season , the two teams met in a Monday Night Football matchup . What made that particular game unique was that both teams entered the game 0 - 4 , a MNF first . Dallas won 9 - 7 , and won the rematch as well .   In the 2002 regular season finale , Washington finally ended an 11 - game losing streak to the Cowboys , defeating them 20 - 14 . The win allowed Washington to finish 7 - 9 , while Dallas finished 5 - 11 for the third straight year . Cowboys coach Dave Campo was fired following the 2002 season .   Week 2 of the 2005 season , the Redskins were at Dallas where Emmitt Smith , Troy Aikman , and Michael Irvin were inducted into the Cowboys ' `` Ring of Honor '' with a pre-game and halftime ceremony . Throughout a poorly played game , Dallas kept the Redskins out of the endzone , and led 13 -- 0 with less than 4 minutes left . It was at that point that the Redskins , led by quarterback Mark Brunell , took the lead thanks to two long touchdown passes to Santana Moss to win the game .   Week 15 of the 2005 season saw the Redskins ' largest margin of victory against the Cowboys in a 35 - 7 blowout . The Cowboys lone touchdown came in the fourth quarter after Washington was already ahead 35 - 0 . The victory gave Washington its first sweep against Dallas since the 1995 season . Dallas eventually finished 9 - 7 , while Washington won its last two games to secure the final NFC wildcard playoff berth .   In Week 9 of the 2006 season , during the fourth quarter , the game was tied 19 -- 19 ( due in part to a missed two - point conversion by the Cowboys ) . With 31 seconds to go , the Redskins ' recently acquired kicker , Nick Novak , missed a 49 - yard field goal wide right . The Cowboys then worked their way up the field to set up Mike Vanderjagt , the most accurate kicker in NFL history , for a 35 - yard field goal with only seconds left . However , the kick was blocked by Troy Vincent , a safety who had been picked up by the Redskins off waivers earlier that week . The ball was scooped up by the Redskins ' free safety , Sean Taylor , who ran it back to the Cowboys ' 44 - yard line , where the Cowboys ' offensive lineman Kyle Kosier grabbed him by his facemask in an attempt to tackle him . The game would have gone into overtime had it not been for Kosier 's defensive penalty , which added fifteen yards to the end of the return ( by rule an NFL game can not end on a defensive penalty ) . Novak set up for a 47 - yard field goal with no time left on the clock . Despite the recent missed field goal , Novak was able to make this field goal to give the Redskins a victory .   On November 18 , 2007 , the Cowboys beat the Redskins 28 -- 23 with Terrell Owens gaining 173 yards on eight catches and four touchdowns . In the final game of that same season with the Cowboys already owning the NFC # 1 seed , rested several key players due to injury including Owens , and limited Tony Romo to only one series into the second half in order to prevent possible injury before the playoffs . The Redskins defeated the Cowboys 27 -- 6 at FedExField , earning Washington the NFC 's final playoff spot .   On September 28 , 2008 , the Redskins beat the Cowboys 26 -- 24 in the final Redskins / Cowboys game at Texas Stadium .   On November 16 , 2008 , the Cowboys returned the favor of the 2005 Week 2 game defeat . Darrell Green and Art Monk were honored before the game for their recent induction into the Pro Football Hall of Fame . In a game that was highly touted for the return of Tony Romo , the Cowboys defense held the Redskins to ten points while the Cowboys scored 14 .   December 27 , 2009 , the Cowboys shutout the Redskins 17 - 0 . This marked the third time the Cowboys have blanked the Redskins . Washington has never shutout Dallas .    2010s ( edit )    September 12 , 2010 , the Redskins beat the Cowboys . One of the game 's highlights was a Fumble return for a TD for the Redskins as time expired in the first half . Late in the fourth quarter , Tony Romo led the team down the field . With three seconds on the clock and the score 13 - 7 , Romo made a touchdown pass to wide receiver Roy Williams that would 've at least tied the game , depending on the PAT . However , the touchdown was negated due to a holding call against Alex Barron as time expired , and Washington held on to win .   December 19 , 2010 , marked the 100th meeting between the two clubs . The Cowboys built a 20 - 7 lead by halftime . By the end of the third quarter the Cowboys led 30 - 14 . The Redskins started quarterback Rex Grossman who filled in for the recently benched Donovan McNabb and he brought the Redskins back to an even 30 - 30 with minutes left to play . Cowboys kicker David Buehler kicked a 39 - yard field goal to put Dallas up 33 - 30 with 50 seconds to play . Rex Grossman then drove the Redskins down the field only to be intercepted by cornerback Terrence Newman to end the game . Dallas ' Jason Witten caught 10 passes for 140 yards and a touchdown , and became only the fourth tight end in NFL history with 600 career catches . He did it the fastest , needing only 125 games .   September 26 , 2011 , prior to the game , the Redskins gathered in the middle of the field at Cowboys Stadium where several players were seen to be `` stomping on the Star . '' London Fletcher was also overheard proclaiming to his team , `` Why are we standing on this star ? Cuz this is our house . '' Tony Romo overcame 4 botched snaps and several receivers running wrong routes to put the Cowboys within scoring position for the final field goal to ultimately win the game .   November 22 , 2012 , In quarterback Robert Griffin III 's first start against the Cowboys , the Redskins defeated the Cowboys 38 - 31 at Cowboys Stadium . After the Redskins built a 28 - 3 lead , Dallas quarterback Tony Romo led the Cowboys to within seven but it proved too little too late as the Redskins held on to win . This marked the first time the Redskins had won at Cowboys Stadium as well as the first time Washington had defeated the Cowboys on Thanksgiving , previously 0 - 5 to their archrival on Thanksgiving Day . Robert Griffin III completed 19 of 27 passes for 304 yards and had 4 touchdown passes and 1 interception on his way to winning the Galloping Gobbler Award issued to the player deemed to have had the best performance in t</t>
  </si>
  <si>
    <t xml:space="preserve">who's winning the cowboys or the redskins</t>
  </si>
  <si>
    <t xml:space="preserve">     Cowboys wins   Redskins wins   Ties   Cowboys points   Redskins points     Regular season   70   42     2,594   2,162     Postseason   0     0   20   57     Totals   70   44     2,614   2,219   </t>
  </si>
  <si>
    <r>
      <rPr>
        <sz val="11"/>
        <color rgb="FF000000"/>
        <rFont val="Calibri"/>
        <family val="0"/>
        <charset val="1"/>
      </rPr>
      <t xml:space="preserve">Chevrolet HHR - wikipedia  Chevrolet HHR     Chevrolet HHR         Overview     Manufacturer   General Motors     Production   2005 -- May 2011     Model years   2006 -- 2011     Assembly   Ramos Arizpe , Coahuila , Mexico     Designer   Bryan Nesbitt     Body and chassis     Class   Compact ( HHR ) Sedan delivery ( HHR Panel )     Body style   5 - door wagon 5 - door panel van     Layout   FF layout     Platform   GM Delta platform / GMT001     Related   Chevrolet Cobalt Pontiac G5 Saturn ION Saturn Astra     Powertrain     Engine   2.2 L ( 130 cu in ) Ecotec L61 I4 2.4 L ( 150 cu in ) Ecotec LE5 I4 2.0 L ( 120 cu in ) I4 turbocharged Ecotec LNF     Transmission   5 - speed F35 ( MU3 ) manual 5 - speed Getrag F23 manual 4 - speed 4T45 automatic         Wheelbase   2,630 mm ( 104 in )     Length   4,475 mm ( 176.2 in ) SS : 4,480 mm ( 176 in )     Width   1,755 mm ( 69.1 in )     Height   1,605 mm ( 63.2 in ) SS : 1,590 mm ( 63 in )     Chronology     Successor   Chevrolet Captiva Sport Buick Envision Chevrolet Trax Chevrolet Orlando ( Canada ) Chevrolet City Express ( HHR Panel version )     The Chevrolet HHR is a retro - styled , high - roofed , five - door , five - passenger , front - wheel drive station wagon launched by the American automaker Chevrolet at the 2005 Los Angeles Auto Show as a 2006 model -- and designed by Bryan Nesbitt .   The HHR shares the GM Delta platform with the Chevrolet Cobalt , Pontiac G5 , and Saturn Ion . In Mexico , it was marketed with its predecessor , the Opel - sourced Chevrolet Zafira compact MPV .   Chevrolet marketed a panel van variant of the HHR beginning in 2007 . Assembled in Ramos Arizpe , Mexico and marketed throughout North America , production of the HHR ended in May 2011 .   The name HHR is an initialism for Heritage High Roof .   Contents    1 Design   2 Assembly and sales   3 SS Turbocharged   4 Engines   5 Safety   6 Sales   7 Gallery   8 See also   9 References   10 External links    Design ( edit )   The vehicle 's design was inspired by the mid-1940s Chevrolet cars and trucks , specifically the 1947 Chevrolet Suburban and Advance Design pickups , with large , square fender flares and a hemispherical grille . The design of the HHR has been credited to Bryan Nesbitt who was a former designer at Chrysler where he was the lead designer of the Chrysler PT Cruiser . Nesbitt was recruited by GM to join its design staff and served for a time as the chief designer of the Chevrolet brand . The HHR had a cargo - carrying capacity of 62.7 cubic feet ( 1.78 m ) . All models had a flat - load floor ( passenger models have 60 / 40 split bench ) and fold - flat front passenger seat . For the 2007 model year , it was available in five trim levels ; LS , LT , 2LT , and Special Edition . A panel van variant was also made available in 2007 for only the LT trim and became available on all trim levels in 2008 .   Assembly and sales ( edit )  Chevrolet HHR ( Japanese version )  The HHR was assembled in Ramos Arizpe , Mexico , and was available for sale throughout North America . The HHR was also exported to Japan by way of the motor vehicles business unit of Mitsui . Japanese consumers were liable for yearly annual taxes due to the engine displacement and width dimensions not complying for `` compact class '' dimension regulations imposed by the Japanese Government . First year sales exceeded 93,000 through June 2006. . The HHR was partially available in Europe and is replaced now by the Chevrolet Orlando . In early 2009 , the Chevrolet HHR was discontinued from the Mexican lineup due to poor sales .   SS turbocharged ( edit )  2008 Chevrolet HHR SS Turbocharged  In October 2006 , Cheryl Catton , director of car marketing and retail integration for Chevy , confirmed that a high performance variant of the HHR would be built . The vehicle was expected to be released with SS moniker for the 2008 model year and use the Ecotec LNF turbocharged engine found in the Pontiac Solstice GXP and Saturn Sky Red Line .   On 16 August 2007 , Chevrolet officially revealed the 2008 Chevrolet HHR SS Turbocharged at the Woodward Dream Cruise in Birmingham , Michigan . It was introduced as a 2008 model in fall 2007 . The SS Turbocharged features a 2.0 L ( 120 cu in ) turbocharged Ecotec LNF I4 engine and intercooler that produces 260 bhp ( 190 kW ) ( 235 bhp ( 175 kW ) with the optional 4 - speed automatic ) , race - tuned high - performance suspension , five - speed manual transmission with short - throw shifter , standard four - wheel antilock disc brakes , ground effects with unique front and rear fascias , aggressive black cross-mesh grille , liftgate - mounted aero spoiler , an analog A-pillar - mounted titanium boost gauge , leather - wrapped steering wheel with mounted audio controls , and unique 18 in ( 460 mm ) high - polished aluminum wheels .   Chevrolet also introduced the HHR SS Panel Concept on 30 October 2007 at the 2007 SEMA Show . This was made into a production model for the 2009 model year .   The SS model was removed from the market after the 2010 model year due to GM shuttering its HPVO Group . In addition , GM phased out all GM badges from the front doors for the 2010.5 model year , including the Chevrolet HHR .   In the fourth quarter of 2010 , Chevrolet announced that the HHR would be discontinued after the 2011 model year , with the last HHR 's available in dealerships starting in late January to early February . HHRs were also available for fleet order until May 2011 .   Engines ( edit )       Year   Trim   Engine   Power   Torque   EPA ( 2008 ) City   EPA ( 2008 ) HW   EPA ( 2008 ) Comb .     2006   LS / LT   2.2 L ( 134 cu in ) Ecotec L61 I4   143 bhp ( 107 kW )   150 lb ⋅ ft ( 200 N ⋅ m )   21 mpg ( 11 L / 100 km ; 25 mpg )   28 mpg ( 8.4 L / 100 km ; 34 mpg )   23 mpg ( 10 L / 100 km ; 28 mpg )     LT / 2LT   2.4 L ( 145 cu in ) Ecotec LE5 I4   172 bhp ( 128 kW )   162 lb ⋅ ft ( 220 N ⋅ m )   20 mpg ( 12 L / 100 km ; 24 mpg )   28 mpg ( 8.4 L / 100 km ; 34 mpg )   23 mpg ( 10 L / 100 km ; 28 mpg )     2007   LS / LT   2.2 L ( 134 cu in ) Ecotec L61 I4   149 hp ( 111 kW )   152 lb ⋅ ft ( 206 N ⋅ m )   20 mpg ( 12 L / 100 km ; 24 mpg )   28 mpg ( 8.4 L / 100 km ; 34 mpg )   23 mpg ( 10 L / 100 km ; 28 mpg )     LS / 2LT   2.4 L ( 145 cu in ) Ecotec LE5 I4   175 bhp ( 130 kW )   165 lb ⋅ ft ( 224 N ⋅ m )   21 mpg ( 11 L / 100 km ; 25 mpg )   28 mpg ( 8.4 L / 100 km ; 34 mpg )   23 mpg ( 10 L / 100 km ; 28 mpg )     2008   LS / LT   2.2 L ( 134 cu in ) Ecotec L61 I4   149 hp ( 111 kW )   152 lb ⋅ ft ( 206 N ⋅ m )   22 mpg ( 11 L / 100 km ; 26 mpg )   30 mpg ( 7.8 L / 100 km ; 36 mpg )   25 mpg ( 9.4 L / 100 km ; 30 mpg )     LT / 2LT   2.4 L ( 145 cu in ) Ecotec LE5 I4   172 hp ( 128 kW )   167 lb ⋅ ft ( 226 N ⋅ m )   22 mpg ( 11 L / 100 km ; 26 mpg )   28 mpg ( 8.4 L / 100 km ; 34 mpg )   24 mpg ( 9.8 L / 100 km ; 29 mpg )     SS   2.0 L ( 122 cu in ) turbo Ecotec LNF I4   260 bhp ( 190 kW )   260 lb ⋅ ft ( 353 N ⋅ m )   21 mpg ( 11 L / 100 km ; 25 mpg )   29 mpg ( 8.1 L / 100 km ; 35 mpg )   24 mpg ( 9.8 L / 100 km ; 29 mpg )     2009   LS / LT   2.2 L ( 134 cu in ) Ecotec L61 I4   149 hp ( 111 kW )   152 lb ⋅ ft ( 206 N ⋅ m )   22 mpg ( 11 L / 100 km ; 26 mpg )   30 mpg ( 7.8 L / 100 km ; 36 mpg )   25 mpg ( 9.4 L / 100 km ; 30 mpg )     LT / 2LT   2.4 L ( 145 cu in ) Ecotec LE5 I4   172 hp ( 128 kW )   167 lb ⋅ ft ( 226 N ⋅ m )   22 mpg ( 11 L / 100 km ; 26 mpg )   28 mpg ( 8.4 L / 100 km ; 34 mpg )   24 mpg ( 9.8 L / 100 km ; 29 mpg )     SS   2.0 L ( 122 cu in ) turbo Ecotec LNF I4   260 bhp ( 190 kW )   260 lb ⋅ ft ( 353 N ⋅ m )   21 mpg ( 11 L / 100 km ; 25 mpg )   29 mpg ( 8.1 L / 100 km ; 35 mpg )   24 mpg ( 9.8 L / 100 km ; 29 mpg )       LS / LT   2.2 L ( 134 cu in ) Ecotec L61 I4   149 hp ( 111 kW )   152 lb ⋅ ft ( 206 N ⋅ m )   22 mpg ( 11 L / 100 km ; 26 mpg )   30 mpg ( 7.8 L / 100 km ; 36 mpg )   25 mpg ( 9.4 L / 100 km ; 30 mpg )     LT / 2LT   2.4 L ( 145 cu in ) Ecotec LE5 I4   172 hp ( 128 kW )   167 lb ⋅ ft ( 226 N ⋅ m )   22 mpg ( 11 L / 100 km ; 26 mpg )   28 mpg ( 8.4 L / 100 km ; 34 mpg )   24 mpg ( 9.8 L / 100 km ; 29 mpg )     SS   2.0 L ( 122 cu in ) turbo Ecotec LNF I4   260 bhp ( 190 kW )   260 lb ⋅ ft ( 353 N ⋅ m )   21 mpg ( 11 L / 100 km ; 25 mpg )   29 mpg ( 8.1 L / 100 km ; 35 mpg )   24 mpg ( 9.8 L / 100 km ; 29 mpg )     2011   LS / LT   2.2 L ( 134 cu in ) Ecotec L61 I4   149 hp ( 111 kW )   152 lb ⋅ ft ( 206 N ⋅ m )   22 mpg ( 11 L / 100 km ; 26 mpg )   30 mpg ( 7.8 L / 100 km ; 36 mpg )   25 mpg ( 9.4 L / 100 km ; 30 mpg )     LT / 2LT   2.4 L ( 145 cu in ) Ecotec LE5 I4   172 hp ( 128 kW )   167 lb ⋅ ft ( 226 N ⋅ m )   22 mpg ( 11 L / 100 km ; 26 mpg )   28 mpg ( 8.4 L / 100 km ; 34 mpg )   24 mpg ( 9.8 L / 100 km ; 29 mpg )     Safety ( edit )   In Insurance Institute for Highway Safety ( IIHS ) tests the HHR received a `` Good '' overall score in the frontal offset crash test , and an `` Acceptable '' score in side impacts on models equipped with side curtain airbags . Side curtain airbags became standard for 2008 models . However , side torso airbags were never made available .   Sales ( edit )     Calendar Year   U.S. sales     2005   41,011     2006   101,298     2007   105,175     2008   96,053     2009   70,842       75,401     2011   37,012     2012   21     Total   526,813     Gallery ( edit )  Panel Van  See also ( edit )    Chevrolet SSR   Chevrolet Advance Design , the 1947 - 55 Chevrolet pickup    References ( edit )    Jump up ^ `` Chevrolet HHR Compare Competitive Models '' . Edmunds . Retrieved 2007 - 08 - 22 . 4dr Wagon   Jump up ^ `` Research Station Wagons '' . MSN Autos . Retrieved 2007 - 08 - 22 . Station Wagons ... Chevrolet HHR   ^ Jump up to : `` GM to produce retro cross-over '' . CNN Money . August 8 , 2003 . Retrieved July 6 , 2018 .   Jump up ^ 2006 Chevorlet HHR LT ( YouTube ) . Regular Car Reviews . Event occurs at 5 : 44 to 6 : 36 . Retrieved July 6 , 2018 .   Jump up ^ `` HHR on Mitsui automotive site '' . Automotive.mitsui.co.jp . Archived from the original on 2010 - 06 - 12 . Retrieved 2011 - 01 - 04 .   Jump up ^ Lavrinc , Damon ( 2006 - 10 - 02 ) . `` Chevy HHR SS acknowledged '' . Autoblog . Retrieved 2007 - 06 - 11 .   Jump up ^ Abuelsamid , Sam ( 2007 - 08 - 17 ) . `` Woodward : Live Reveal of the 2008 Chevy HHR SS '' . Autoblog . Retrieved 2007 - 08 - 17 .   Jump up ^ Wert , Ray ( 2007 - 08 - 16 ) . `` Live From The Woodward Dream Cruise , It 's The Chevy HHR SS Reveal ! '' . Jalopnik . Retrieved 2007 - 08 - 16 .   Jump up ^ `` 2009 Chevy HHR SS Panel SEMA Concept '' . Jaloponik . General Motors . 2007 - 10 - 30 . Retrieved 2007 - 10 - 30 .   Jump up ^ Filipponio , Frank ( 2007 - 10 - 30 ) . `` Chevy HHR Panel SS delivers smiles at SEMA '' . Autoblog . General Motors . Retrieved 2007 - 10 - 30 .   Jump up ^ `` 2011 GM Order Guide : Changes for Chevrolet Camaro , Corvette , HHR , Malibu ; Cadillac STS - Car and Driver Blog '' . Blog.caranddriver.com. 2010 - 04 - 30 . Retrieved 2011 - 01 - 04 .   Jump up ^ Good Chevrolet . `` Chevrolet Discontinues the HHR '' . PRLog . Retrieved 2012 - 09 - 22 .   Jump up ^ `` Issue 101 - January 17 , 2011 '' Purchasing News '' Publications '' ARI - Automotive Fleet Management `` . Arifleet.com . Archived from the original on March 23 , 2012 . Retrieved 2012 - 09 - 22 .   Jump up ^ `` IIHS - HLDI : Chevrolet HHR '' . Iihs.org . Retrieved 2009 - 10 - 05 .   Jump up ^ `` GM Reports 392,041 Deliveries In December '' . Media.gm.com. 2006 - 01 - 04 . Retrieved 2014 - 12 - 19 .   Jump up ^ `` GM Reports 341,327 Deliveries In December '' . Media.gm.com. 2007 - 01 - 03 . Retrieved 2014 - 12 - 19 .   Jump up ^ `` GM Reports 323,453 December Deliveries ; 3.87 Million Vehicles Sold In 2007 '' . Media.gm.com. 2007 - 01 - 03 . Retrieved 2014 - 12 - 19 .   Jump up ^ `` GM Reports 221,983 Deliveries in December ; 2,980,688 Vehicles Sold in 2008 '' . Media.gm.com. 2009 - 01 - 05 . Retrieved 2014 - 12 - 19 .   Jump up ^ http://media.gm.com/content/Pages/news/us/en/2010/Jan/0105_Dec_Sales/_jcr_content/iconrow/textfile/file.res/Deliveries%20December%2009.xls   Jump up ^ `` GM U.S. Deliveries for December 2010 by Model '' ( PDF ) . Media.gm.com . Retrieved 2014 - 12 - 19 .   Jump up ^ `` GM U.S. Deliveries for December 2011 by Model '' ( PDF ) . Media.gm.com . Retrieved 2017 - 10 - 24 .   Jump up ^ `` GM U.S. Deliveries for December 2012 by Model '' ( PDF ) . Media.gm.com . Retrieved 2017 - 10 - 24 .    External links ( edit )       Wikimedia Commons has media related to Chevrolet HHR .      Chevrolet HHR at Curlie ( based on DMOZ )   Technical Information Chevrolet HHR              `` previous -- Chevrolet , a marque of General Motors , road car timeline , United States market , 1980s -- present     Type   1980s   1990s   2000s   2010s     0           5   6   7   8   9   0           5   6   7   8   9   0           5   6   7   8   9   0           5   6   7   8   9     Subcompact     Sprint   Geo   Metro       Spark   Spark     Chevette         Aveo   Sonic       Spectrum         Bolt     Monza     Nova           Compact     Prizm       Volt   Volt       Cavalier   Cavalier   Cavalier   HHR       Citation     Corsica / Beretta       Cobalt   Cruze   Cruze     Mid-size   Malibu       Malibu   Malibu   Malibu   Malibu   Malibu       Celebrity   Lumina   Lumina         Full - size   Impala       Impala SS     Impala   Impala   Impala             SS       Caprice   Caprice         Caprice       Personal   Monte Carlo   Monte Carlo       Monte Carlo   Monte Carlo         Sports car   Camaro   Camaro   Camaro     Camaro   Camaro     Corvette     Corvette   Corvette   Corvette   Corvette     Blue denotes vehicles which are available exclusively to police departments .               Chevrolet vehicles     A marque of General Motors     Current      Cars     Aveo / Sonic   Bolt   Camaro   Cavalier   Cobalt   Corvette   Cruze   Impala   Malibu   Matiz   Onix / Prisma   Sail   Spark   Volt       Pickup trucks     CMP   Colorado / S - 10   Colorado / D - Max   Montana / Tornado   Silverado   HD   LSSV Pickup         Crossovers / SUVs     Blazer ( 2019 )   Captiva   Captiva Sport   Equinox   Grand Vitara   Grand Vitara Classic   Niva   Suburban   LSSV SUV     Tahoe   LSSV SUV     TrailBlazer   Traverse   Trax / Tracker       Vans     CMV   City Express   Enjoy   Express / Savana   Lova RV   N200   N300   Orlando   Spin   Tavera       Commercial trucks     CYZ   FTR   FVZ   N - Series / LCF          Former models      1910s and 1920s     490   Baby Grand   Classic Six   Light Six   Little Four   Little Six   Series AA Capitol   Series AB National   Series AC International   Series D   Series F   Series FA   Series FB   Series H   Series M Copper - Cooled   Superior       1930s and 1940s     3100   3600   3800   AC   Advance Design   AK Series   Deluxe   Eagle   Fleetline   Fleetmaster   Loadmaster   LQ   Master   Mercury   Series AD Universal   Series AE Independence   Series BA Confederate   Special   Standard Six   Stylemaster   Thriftmaster       1950s     31   50   100   150   210   3100   3200   3600   Apache   Beauville   Bel Air   Biscayne   Brookwood   Cameo   Cameo Carrier   Delray   El Camino   Kingswood   Parkwood   Spartan   Task Force   Townsman   Viking   Yeoman       1960s     400   Blazer   CUCV Pickup / SUV     C10   C15   C20   C30   C / K   Caprice   Chevelle   Chevy   Chevy II   Constantia   Corvair   Corvette Stingray   G10   Greenbrier   K10   K15   K20   Kingswood Estate   Kommando   Lakewood   Nova   Opala   Parkwood   Sportvan   Titan   Van   Veraneio       1970s     350   1700   2500   3800   4100   Ascona   Beauville   Bison   Bruin   Chevair   Chevelle Laguna   Chevette   Commodore   Custom Deluxe   De Ville   El Torro   G20   G30   Iran   Laguna Type S - 3   LUV   Monte Carlo   Monza   Pickup   Rekord   Royal   Royale   San Remo   Scottsdale   Senator   Vega   Vega 2300       1980s     A10   A20   Aska   Astro   Beretta   S - 10 Blazer   Cavalier   Celebrity   Chevy 500   Citation   Citation II   Corsica   D10   D20   Gemini   Ipanema   Kadett   Kodiak   Marajó   Metro   Monza   S - 10   Samurai   Spectrum   Sprint   Super Carry   Suprema   Trafic   T - Series   Tracker   Vitara       1990s     454 SS   CUCV II Pickup     Alero   Astra   Calibra   Cassia   Chevy   Classic   CMP   CMV   Combo   Corsa   Esteem   Exclusive   Frontera   Grand Blazer   Joy   Lumina   Lumina APV   Matiz   Metro   Nabira   Niva   Omega   Prizm   Rodeo   Savana   Swift   Taxi Chronos   Tigra   Trans Sport   Trooper   Urvan   Vectra   Venture   Xtreme   Zafira       2000s     Alto   Aveo   D - Max   Epica   Estate   Evanda   Forester   Grand Vitara   Jimny   Kalos   Lacetti   Lova   Lumina Coupe   Lanos   Matiz Eco Logic   Meriva   Nubira   Optra   Rezzo   Sonora   SSR   T - Series   Tacuma   Tosca   Uplander   Vitara XL7   W - Series       2010s     Agile   Avalanche   Caprice   Celta   Cobalt   Epica   HHR   Lumina   Lumina Ute   Nexia   Optra   Vivant   Omega   SS          Concept cars     Aerovette   Astro I   Bel Air ( 2002 )   CERV   Cheyenne ( 2003 )   Corvair Monza GT   Corvette concepts   Express ( 1987 )   Groove   Miray   Sequel   SS ( 2003 )   Trax ( 2007 )   Triax           Commons      Retrieved from `` https://en.wikipedia.org/w/index.php?title=Chevrolet_HHR&amp;oldid=849177385 '' Categories :   Chevrolet vehicles   Compact cars   Station wagons   Vans   Front - wheel - drive vehicles   2000s automobiles   Retro - style automobiles   Cars introduced in 2005   2010s automobiles   Hidden categories :   All articles with unsourced statements   Articles with unsourced statements from July 2018   Articles with unsourced statements from July 2007   Articles with Curlie links           Talk                                           Contents                   About Wikipedia                                                 Deutsch   فارسی   Français   </t>
    </r>
    <r>
      <rPr>
        <sz val="11"/>
        <color rgb="FF000000"/>
        <rFont val="Noto Sans CJK SC"/>
        <family val="2"/>
      </rPr>
      <t xml:space="preserve">한국어   </t>
    </r>
    <r>
      <rPr>
        <sz val="11"/>
        <color rgb="FF000000"/>
        <rFont val="Calibri"/>
        <family val="0"/>
        <charset val="1"/>
      </rPr>
      <t xml:space="preserve">Bahasa Indonesia   Italiano   Lietuvių   Nederlands   </t>
    </r>
    <r>
      <rPr>
        <sz val="11"/>
        <color rgb="FF000000"/>
        <rFont val="Noto Sans CJK SC"/>
        <family val="2"/>
      </rPr>
      <t xml:space="preserve">日本 語   </t>
    </r>
    <r>
      <rPr>
        <sz val="11"/>
        <color rgb="FF000000"/>
        <rFont val="Calibri"/>
        <family val="0"/>
        <charset val="1"/>
      </rPr>
      <t xml:space="preserve">Polski   Português   Simple English   Suomi   Svenska   Türkçe  6 more  Edit links   This page was last edited on 7 July 2018 , at 02 : 52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</si>
  <si>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does hhr stand for on a chevy</t>
  </si>
  <si>
    <t xml:space="preserve"> The name HHR is an initialism for Heritage High Roof . </t>
  </si>
  <si>
    <t xml:space="preserve">Beowulf - wikipedia  Beowulf  Jump to : navigation , search This article is about the epic poem . For the character , see Beowulf ( hero ) . For other uses , see Beowulf ( disambiguation ) .    Beowulf     First page of Beowulf in Cotton Vitellius A. xv     Author ( s )   Unknown     Language   West Saxon dialect of Old English     Date   c. 700 -- 1000 AD ( date of poem ) , c. 975 -- 1010 AD ( date of manuscript )     State of existence   Manuscript suffered damage from fire in 1731     Manuscript ( s )   Cotton Vitellius A. xv     First printed edition   Thorkelin ( 1815 )     Genre   Epic heroic poetry     Verse form   Alliterative verse     Length   c. 3182 lines     Subject   The battles of Beowulf , the Geatish hero , in youth and old age     Personages   Beowulf , Hygelac , Hrothgar , Wealhþeow , Hrothulf , Æschere , Unferth , Grendel , Grendel 's mother , Wiglaf , Hildeburh .     Beowulf ( / ˈbeɪoʊwʊlf / Old English : ( ˈbeːo̯ˌwulf ) ) is an Old English epic poem consisting of 3,182 alliterative lines . It may be the oldest surviving long poem in Old English and is commonly cited as one of the most important works of Old English literature . A date of composition is a matter of contention among scholars ; the only certain dating pertains to the manuscript , which was produced between 975 and 1025 . The author was an anonymous Anglo - Saxon poet , referred to by scholars as the `` Beowulf poet '' .   The poem is set in Scandinavia . Beowulf , a hero of the Geats , comes to the aid of Hrothgar , the king of the Danes , whose mead hall in Heorot has been under attack by a monster known as Grendel . After Beowulf slays him , Grendel 's mother attacks the hall and is then also defeated . Victorious , Beowulf goes home to Geatland ( Götaland in modern Sweden ) and later becomes king of the Geats . After a period of fifty years has passed , Beowulf defeats a dragon , but is mortally wounded in the battle . After his death , his attendants cremate his body and erect a tower on a headland in his memory .   The full poem survives in the manuscript known as the Nowell Codex . It has no title in the original manuscript , but has become known by the name of the story 's protagonist . In 1731 , the manuscript was badly damaged by a fire that swept through Ashburnham House in London that had a collection of medieval manuscripts assembled by Sir Robert Bruce Cotton . The Nowell Codex is currently housed in the British Library .     Contents  ( hide )   1 Historical background   2 Summary   2.1 First battle : Grendel   2.2 Second battle : Grendel 's Mother   2.3 Third battle : The Dragon     3 Authorship and date   4 Manuscript   4.1 Provenance   4.2 Writing   4.3 Transcriptions   4.4 Translations   4.5 Debate over oral tradition     5 Sources and analogues   6 Dialect   7 Form and metre   8 Interpretation and criticism   9 Artistic adaptations   10 See also   11 References   11.1 Notes   11.2 Citations   11.3 Sources     12 External links      Historical background ( edit )  Approximate central regions of tribes mentioned in Beowulf , with the location of the Angles in Angeln . See Scandza for details of Scandinavia 's political fragmentation in the 6th century .  The events in the poem take place over most of the sixth century , after the Anglo - Saxons had started their journey to England and before the beginning of the seventh century , a time when the Anglo - Saxons were either newly arrived or were still in close contact with their Germanic kinsmen in Northern Germany . The poem may have been brought to England by people of Geatish origins . Many suggest that Beowulf was first composed in the 7th century at Rendlesham in East Anglia , that the Sutton Hoo ship - burial also shows close connections with Scandinavia , and that the East Anglian royal dynasty , the Wuffingas , may have been descendants of the Geatish Wulfings . Others have associated this poem with the court of King Alfred the Great or with the court of King Cnut the Great .  Ohthere 's mound  The poem deals with legends , was composed for entertainment , and does not separate between fictional elements and real historic events , such as the raid by King Hygelac into Frisia . Though Beowulf himself is not mentioned in any other Anglo - Saxon manuscript , scholars generally agree that many of the other personalities of Beowulf also appear in Scandinavian sources . ( Specific works are designated in the following section ) . This concerns not only individuals ( e.g. , Healfdene , Hroðgar , Halga , Hroðulf , Eadgils and Ohthere ) , but also clans ( e.g. , Scyldings , Scylfings and Wulfings ) and certain events ( e.g. , the Battle on the Ice of Lake Vänern ) . The dating of the events in the poem has been confirmed by archaeological excavations of the barrows indicated by Snorri Sturluson and by Swedish tradition as the graves of Ohthere ( dated to c. 530 ) and his son Eadgils ( dated to c. 575 ) in Uppland , Sweden .   In Denmark , recent archaeological excavations at Lejre , where Scandinavian tradition located the seat of the Scyldings , i.e. , Heorot , have revealed that a hall was built in the mid-6th century , exactly the time period of Beowulf . Three halls , each about 50 metres ( 160 ft ) long , were found during the excavation .  Finds from Eadgils ' mound , left , excavated in 1874 at Gamla Uppsala , Sweden , support Beowulf and the sagas . Ongentheow 's barrow , right , has not been excavated .  The majority view appears to be that people such as King Hroðgar and the Scyldings in Beowulf are based on real historical people from 6th - century Scandinavia . Like the Finnesburg Fragment and several shorter surviving poems , Beowulf has consequently been used as a source of information about Scandinavian personalities such as Eadgils and Hygelac , and about continental Germanic personalities such as Offa , king of the continental Angles .   19th - century archaeological evidence may confirm elements of the Beowulf story . Eadgils was buried at Uppsala according to Snorri Sturluson . When Eadgils ' mound ( to the left in the photo ) was excavated in 1874 , the finds supported Beowulf and the sagas . They showed that a powerful man was buried in a large barrow , c. 575 , on a bear skin with two dogs and rich grave offerings . These remains include a Frankish sword adorned with gold and garnets and a tafl game with Roman pawns of ivory . He was dressed in a costly suit made of Frankish cloth with golden threads , and he wore a belt with a costly buckle . There were four cameos from the Middle East which were probably part of a casket . This would have been a burial fitting a king who was famous for his wealth in Old Norse sources . Ongentheow 's barrow has not been excavated .   Summary ( edit )   The protagonist Beowulf , a hero of the Geats , comes to the aid of Hrothgar , king of the Danes , whose great hall , Heorot , is plagued by the monster Grendel . Beowulf kills Grendel with his bare hands and Grendel 's mother with a giant 's sword that he found in her lair .   Later in his life , Beowulf becomes king of the Geats , and finds his realm terrorized by a dragon , some of whose treasure had been stolen from his hoard in a burial mound . He attacks the dragon with the help of his thegns or servants , but they do not succeed . Beowulf decides to follow the dragon to its lair at Earnanæs , but only his young Swedish relative Wiglaf , whose name means `` remnant of valour '' , dares to join him . Beowulf finally slays the dragon , but is mortally wounded in the struggle . He is cremated and a burial mound by the sea is erected in his honour .   Beowulf is considered an epic poem in that the main character is a hero who travels great distances to prove his strength at impossible odds against supernatural demons and beasts . The poem also begins in medias res or simply , `` in the middle of things , '' which is a characteristic of the epics of antiquity . Although the poem begins with Beowulf 's arrival , Grendel 's attacks have been an ongoing event . An elaborate history of characters and their lineages is spoken of , as well as their interactions with each other , debts owed and repaid , and deeds of valour . The warriors form a kind of brotherhood linked by loyalty to their lord . What is unique about `` Beowulf '' is that the poem actual begins and ends with a funeral . At the beginning of the poem , the king , hero , Shield Shiefson dies ( 26 - 45 ) and there is a huge funeral for him . At the end of the poem when Beowulf dies , there is also a massive funeral for Beowulf. ( 3140 - 3170 )   First battle : Grendel ( edit )   Beowulf begins with the story of Hrothgar , who constructed the great hall Heorot for himself and his warriors . In it , he , his wife Wealhtheow , and his warriors spend their time singing and celebrating . Grendel , a troll - like monster said to be descended from the biblical Cain , is pained by the sounds of a joy . Grendel attacks the hall and kills and devours many of Hrothgar 's warriors while they sleep . Hrothgar and his people , helpless against Grendel , abandon Heorot .   Beowulf , a young warrior from Geatland , hears of Hrothgar 's troubles and with his king 's permission leaves his homeland to assist Hrothgar .   Beowulf and his men spend the night in Heorot . Beowulf refuses to use any weapon because he holds himself to be the equal of Grendel . When Grendel enters the hall , Beowulf , who has been feigning sleep , leaps up to clench Grendel 's hand . Grendel and Beowulf battle each other violently . Beowulf 's retainers draw their swords and rush to his aid , but their blades can not pierce Grendel 's skin . Finally , Beowulf tears Grendel 's arm from his body at the shoulder and Grendel runs to his home in the marshes where he dies . Beowulf displays `` the whole of Grendel 's shoulder and arm , his awesome grasp '' for all to see at Heorot . This display would fuel Grendel 's mother 's anger in revenge .   Second battle : Grendel 's mother ( edit )   The next night , after celebrating Grendel 's defeat , Hrothgar and his men sleep in Heorot . Grendel 's mother , angry that her son has been killed , sets out to get revenge . `` Beowulf was elsewhere . Earlier , after the award of treasure , The Geat had been given another lodging '' his assistance would be absent in this battle . Grendel 's mother violently kills Æschere , who is Hrothgar 's most loyal fighter , and escapes .   Hrothgar , Beowulf and their men track Grendel 's mother to her lair under a lake . Unferth , a warrior who had doubted him and wishes to make amends , presents Beowulf with his sword Hrunting . After stipulating a number of conditions to Hrothgar in case of his death ( including the taking in of his kinsmen and the inheritance by Unferth of Beowulf 's estate ) , Beowulf jumps into the lake , at the bottom of which he finds a cavern containing Grendel 's body and the remains of men that the two have killed . Grendel 's mother and Beowulf engage in fierce combat .   At first , Grendel 's mother appears to prevail . Beowulf , finding that Hrunting can not harm his foe , puts it aside in fury . Beowulf is again saved from his opponent 's attack by his armour . Beowulf takes another sword from Grendel 's mother and slices her head off with it . Travelling further into Grendel 's mother 's lair , Beowulf discovers Grendel 's corpse and severs his head . The blade of Beowulf 's sword touches Grendel 's toxic blood , and instantly dissolves so that only the hilt remains . Beowulf swims back up to the rim of the pond where his men wait in growing despair . Carrying the hilt of the sword and Grendel 's head , he presents them to Hrothgar upon his return to Heorot . Hrothgar gives Beowulf many gifts , including the sword Nægling , his family 's heirloom . The events prompt a long reflection by the king , sometimes referred to as `` Hrothgar 's sermon '' , in which he urges Beowulf to be wary of pride and to reward his thegns .   Third battle : the dragon ( edit )  Main article : The Dragon ( Beowulf )  Beowulf returns home and eventually becomes king of his own people . One day , fifty years after Beowulf 's battle with Grendel 's mother , a slave steals a golden cup from the lair of a dragon at Earnanæs . When the dragon sees that the cup has been stolen , it leaves its cave in a rage , burning everything in sight . Beowulf and his warriors come to fight the dragon , but Beowulf tells his men that he will fight the dragon alone and that they should wait on the barrow . Beowulf descends to do battle with the dragon , but finds himself outmatched . His men , upon seeing this and fearing for their lives , retreat into the woods . One of his men , Wiglaf , however , in great distress at Beowulf 's plight , comes to his aid . The two slay the dragon , but Beowulf is mortally wounded . After Beowulf dies , Wiglaf remains by his side , grief - stricken . When the rest of the men finally return , Wiglaf bitterly admonishes them , blaming their cowardice for Beowulf 's death . Afterward , Beowulf is ritually burned on a great pyre in Geatland while his people wail and mourn him , fearing that without him , the Geats are defenceless against attacks from surrounding tribes . Afterwards , a barrow , visible from the sea , is built in his memory . ( Beowulf lines 2712 -- 3182 ) .   Authorship and date ( edit )   Beowulf was written in England , but is set in Scandinavia ; its dating has attracted considerable scholarly attention . The poem has been dated to between the 8th and the early 11th centuries , with some recent scholarship offering what has been called `` a cohesive and compelling case for Beowulf 's early composition . '' However , opinion differs as to whether the composition of the poem is nearly contemporary with its transcription , whether it was first written in the 8th century , or if a proto - version of the poem was perhaps composed at an even earlier time ( possibly as one of the Bear 's Son Tales ) and orally transmitted for many years , then transcribed in its present form at a later date . Albert Lord felt strongly that the manuscript represents the transcription of a performance , though likely taken at more than one sitting . J.R.R. Tolkien believed that the poem retains too genuine a memory of Anglo - Saxon paganism to have been composed more than a few generations after the completion of the Christianisation of England around AD 700 , and Tolkien 's conviction that the poem dates to the 8th century has been defended by Tom Shippey , Leonard Neidorf , Rafael J. Pascual , and R.D. Fulk , among others .   The claim to an early 11th - century date depends in part on scholars who argue that , rather than the transcription of a tale from the oral tradition by an earlier literate monk , Beowulf reflects an original interpretation of an earlier version of the story by the manuscript 's two scribes . On the other hand , some scholars argue that linguistic , palaeographical , metrical , and onomastic considerations align to support a date of composition in the first half of the eighth century ; in particular , the poem 's regular observation of etymological length distinctions ( Max Kaluza 's law ) has been thought to demonstrate a date of composition in the first half of the eighth century . However , scholars disagree about whether the metrical phenomena described by Kaluza 's Law prove an early date of composition or are evidence of a longer prehistory of the Beowulf meter ; B.R. Hutcheson , for instance , does not believe Kaluza 's Law can be used to date the poem , while claiming that `` the weight of all the evidence Fulk presents in his book tells strongly in favour of an eighth - century date . ''   Manuscript ( edit )  Main article : Nowell Codex Remounted page , British Library Cotton Vitellius A. XV  Beowulf survives in a single manuscript dated on palaeographical grounds to the late 10th or early 11th century . The manuscript measures 245 × 185 mm .   Provenance ( edit )   The poem is known only from a single manuscript , which is estimated to date from close to AD 1000 , in which it appears with other works . The Beowulf manuscript is known as the Nowell Codex , gaining its name from 16th - century scholar Laurence Nowell . The official designation is `` British Library , Cotton Vitellius A. XV '' because it was one of Sir Robert Bruce Cotton 's holdings in the Cotton library in the middle of the 17th century . Many private antiquarians and book collectors , such as Sir Robert Cotton , used their own library classification systems . `` Cotton Vitellius A. XV '' translates as : the 15th book from the left on shelf A ( the top shelf ) of the bookcase with the bust of Roman Emperor Vitellius standing on top of it , in Cotton 's collection . Kevin Kiernan argues that Nowell most likely acquired it through William Cecil , 1st Baron Burghley , in 1563 , when Nowell entered Cecil 's household as a tutor to his ward , Edward de Vere , 17th Earl of Oxford .   The earliest extant reference to the first foliation of the Nowell Codex was made sometime between 1628 and 1650 by Franciscus Junius ( the younger ) . The ownership of the codex before Nowell remains a mystery .   The Reverend Thomas Smith ( 1638 -- 1710 ) and Humfrey Wanley ( 1672 -- 1726 ) both catalogued the Cotton library ( in which the Nowell Codex was held ) . Smith 's catalogue appeared in 1696 , and Wanley 's in 1705 . The Beowulf manuscript itself is identified by name for the first time in an exchange of letters in 1700 between George Hickes , Wanley 's assistant , and Wanley . In the letter to Wanley , Hickes responds to an apparent charge against Smith , made by Wanley , that Smith had failed to mention the Beowulf script when cataloguing Cotton MS . Vitellius A. XV . Hickes replies to Wanley `` I can find nothing yet of Beowulph . '' Kiernan theorised that Smith failed to mention the Beowulf manuscript because of his reliance on previous catalogues or because either he had no idea how to describe it or because it was temporarily out of the codex .   It suffered damage in the Cotton Library fire at Ashburnham House in 1731 . Since then , parts of the manuscript have crumbled along with many of the letters . Rebinding efforts , though saving the manuscript from much degeneration , have nonetheless covered up other letters of the poem , causing further loss . Kevin Kiernan , in preparing his electronic edition of the manuscript , used fibre - optic backlighting and ultraviolet lighting to reveal letters in the manuscript lost from binding , erasure , or ink blotting .   Writing ( edit )   The Beowulf manuscript was transcribed from an original by two scribes , one of whom wrote the prose at the beginning of the manuscript and the first 1939 lines before breaking off in mid sentence . The first scribe made a point of carefully regularizing the spelling of the original document by using the common West Saxon language and by avoiding any archaic or dialectical features . The second scribe , who wrote the remainder , with a difference in handwriting noticeable after line 1939 , seems to have written more vigorously and with less interest . As a result , the second scribe 's script retains more archaic dialectic features which allow modern scholars to ascribe the poem a cultural context . While both scribes appear to proofread their work , there are nevertheless many errors . The second scribe was ultimately the more conservative copyist of the two as he did not modify the spelling of the text as he wrote but rather copied what he saw in front of him . In the way that it is currently bound , the Beowulf manuscript is followed by the Old English poem Judith . Judith was written by same the scribe that completed Beowulf as evidenced through similar writing style . Worm - holes found in the last leaves of the Beowulf manuscript that are n't present in the Judith manuscript suggest that at one point Beowulf ended the volume . The rubbed appearance of some leaves also suggest that the manuscript stood on a shelf unbound , as is known to have been the case with other Old English manuscripts . From knowledge of books held in the library at Malmesbury Abbey and available as source works , and from the identification of certain words particular to the local dialect found in the text , the transcription may have taken place there .   Transcriptions ( edit )   Icelandic scholar Grímur Jónsson Thorkelin made the first transcriptions of the manuscript in 1786 and published the results in 1815 , working as part of a Danish government historical research commission . He made one himself , and had another done by a professional copyist who knew no Anglo - Saxon . Since that time , however , the manuscript has crumbled further , making these transcripts a prized witness to the text . While the recovery of at least 2000 letters can be attributed to them , their accuracy has been called into question , and the extent to which the manuscript was actually more readable in Thorkelin 's time is uncertain .   Translations ( edit )   In 1805 , the historian Sharon Turner translated selected verses into modern English . This was followed in 1814 by John Josias Conybeare who published an edition `` in English paraphrase and Latin verse translation . '' In 1815 , Grímur Jónsson Thorkelin published the first complete edition in Latin . N.F.S. Grundtvig reviewed this edition in 1815 and created the first complete verse translation in Danish in 1820 . In 1837 , John Mitchell Kemble created an important literal translation in English . In 1895 , William Morris &amp; A.J. Wyatt published the ninth English translation . Many retellings of Beowulf for children also appeared around the beginning of the 20th century . In 1909 , Francis Barton Gummere 's full translation in `` English imitative meter '' was published , and was used as the text of Gareth Hinds 's graphic novel based on Beowulf in 2007 .   During the early 20th century , Frederick Klaeber 's Beowulf and The Fight at Finnsburg ( which included the poem in Old English , an extensive glossary of Old English terms , and general background information ) became the `` central source used by graduate students for the study of the poem and by scholars and teachers as the basis of their translations . ''   A great number of translations are available , in poetry and prose . Andy Orchard , in A Critical Companion to Beowulf , lists 33 `` representative '' translations in his bibliography , and it has been translated into at least 23 other languages .   Seamus Heaney 's 1999 translation of the poem ( referred to by Howell Chickering and many others as `` Heaneywulf '' ) was widely publicized . Translating Beowulf is one of the subjects of the 2012 publication Beowulf at Kalamazoo , containing a section with 10 essays on translation , and a section with 22 reviews of Heaney 's translation ( some of which compare Heaney 's work with that of Anglo - Saxon scholar Roy Liuzza ) . R.D. Fulk , of Indiana University , published the first facing - page edition and translation of the entire manuscript in the Dumbarton Oaks Medieval Library series in 2010 .   J.R.R. Tolkien 's long - awaited translation ( edited by his son , Christopher ) was published in 2014 as Beowulf : A Translation and Commentary . This also includes Tolkien 's own retelling of the story of Beowulf in his tale , Sellic Spell .   Debate over oral tradition ( edit )   The question of whether Beowulf was passed down through oral tradition prior to its present manuscript form has been the subject of much debate , and involves more than simply the issue of its composition . Rather , given the implications of the theory of oral - formulaic composition and oral tradition , the question concerns how the poem is to be understood , and what sorts of interpretations are legitimate .   Scholarly discussion about Beowulf in the context of the oral tradition was extremely active throughout the 1960s and 1970s . The debate might be framed starkly as follows : on the one hand , we can hypothesise a poem put together from various tales concerning the hero ( the Grendel episode , the Grendel 's mother story , and the fire drake narrative ) . These fragments would have been told for many years in tradition , and learned by apprenticeship from one generation of illiterate poets to the next . The poem is composed orally and extemporaneously , and the archive of tradition on which it draws is oral , pagan , Germanic , heroic , and tribal . On the other hand , one might posit a poem which is composed by a literate scribe , who acquired literacy by way of learning Latin ( and absorbing Latinate culture and ways of thinking ) , probably a monk and therefore profoundly Christian in outlook . On this view , the pagan references would be a sort of decorative archaising . There is a third view that sees merit in both arguments above and attempts to bridge them , and so can not be articulated as starkly as they can ; it sees more than one Christianity and more than one attitude towards paganism at work in the poem ; it sees the poem as initially the product of a literate Christian author with one foot in the pagan world and one in the Christian , himself perhaps a convert ( or one whose forebears had been pagan ) , a poet who was conversant in both oral and literary composition and was capable of a masterful `` repurposing '' of poetry from the oral tradition .   However , scholars such as D.K. Crowne have proposed the idea that the poem was passed down from reciter to reciter under the theory of oral - formulaic composition , which hypothesises that epic poems were ( at least to some extent ) improvised by whoever was reciting them , and only much later written down . In his landmark work , The Singer of Tales , Albert Lord refers to the work of Francis Peabody Magoun and others , saying `` the documentation is complete , thorough , and accurate . This exhaustive analysis is in itself sufficient to prove that Beowulf was composed orally . ''   Examination of Beowulf and other Old English literature for evidence of oral - formulaic composition has met with mixed response . While `` themes '' ( inherited narrative subunits for representing familiar classes of event , such as the `` arming the hero '' , or the particularly well - studied `` hero on the beach '' theme ) do exist across Anglo - Saxon and other Germanic works , some scholars conclude that Anglo - Saxon poetry is a mix of oral - formulaic and literate patterns , arguing that the poems both were composed on a word - by - word basis and followed larger formulae and patterns .   Larry Benson argued that the interpretation of Beowulf as an entirely formulaic work diminishes the ability of the reader to analyse the poem in a unified manner , and with due attention to the poet 's creativity . Instead , he proposed that other pieces of Germanic literature contain `` kernels of tradition '' from which Beowulf borrows and expands upon . A few years later , Ann Watts argued against the imperfect application of one theory to two different traditions : traditional , Homeric , oral - formulaic poetry and Anglo - Saxon poetry . Thomas Gardner agreed with Watts , arguing that the Beowulf text is of too varied a nature to be completely constructed from set formulae and themes .   John Miles Foley wrote , referring to the Beowulf debate , that while comparative work was both necessary and valid , it must be conducted with a view to the particularities of a given tradition ; Foley argued with a view to developments of oral traditional theory that do not assume , or depend upon , ultimately unverifiable assumptions about composition , and instead delineate a more fluid continuum of traditionality and textuality .   Finally , in the view of Ursula Schaefer , the question of whether the poem was `` oral '' or `` literate '' becomes something of a red herring . In this model , the poem is created , and is interpretable , within both noetic horizons . Schaefer 's concept of `` vocality '' offers neither a compromise nor a synthesis of the views which see the poem as on the one hand Germanic , pagan , and oral and on the other Latin - derived , Christian , and literate , but , as stated by Monika Otter : `` ... a ' tertium quid ' , a modality that participates in both oral and literate culture yet also has a logic and aesthetic of its own . ''   Sources and analogues ( edit )   Neither identified sources nor analogues for Beowulf can be definitively proven , but many conjectures have been made . These are important in helping historians understand the Beowulf manuscript , as possible source - texts or influences would suggest time - frames of composition , geographic boundaries within which it could be composed , or range ( both spatial and temporal ) of influence ( i.e. when it was `` popular '' and where its `` popularity '' took it ) . There are five main categories in which potential sources and / or analogues are included : Scandinavian parallels , early Irish literature sources and analogues , classical sources , ecclesiastical sources , and echoes in other Old English texts .   Early studies into Scandinavian sources and analogues proposed that Beowulf was a translation of an original Scandinavian work , but this idea has been discarded . In 1878 , Guðbrandur Vigfússon made the connection between Beowulf and the Grettis saga . This is currently one of the few Scandinavian analogues to receive a general consensus of potential connection . Tales concerning the Skjöldungs , possibly originating as early as the 6th century were later used as a narrative basis in such texts as Gesta Danorum by Saxo Grammaticus and Hrólfs saga kraka . Some scholars see Beowulf as a product of these early tales along with Gesta Danorum and Hrólfs saga kraka , and some early scholars of the poem proposed that the latter saga and Beowulf share a common legendary ancestry , Beowulf 's Hrothulf being identified with Hrólf Kraki . Paul Beekman Taylor argued that the Ynglinga saga was proof that the Beowulf poet was likewise working from Germanic tradition .   Friedrich Panze attempted to contextualise Beowulf and other Scandinavian works , including Grettis saga , under the international folktale type 301B , or `` The Bear 's Son '' tale . However , although this folkloristic approach was seen as a step in the right direction , `` The Bear 's Son '' tale was seen as too universal . Later , Peter Jørgensen , looking for a more concise frame of reference , coined a `` two - troll tradition '' that covers both Beowulf and Grettis saga : `` a Norse ' ecotype ' in which a hero enters a cave and kills two giants , usually of different sexes '' .   Scholars who favoured Irish parallels directly spoke out against pro-Scandinavian theories , citing them as unjustified . Wilhelm Grimm is noted to be the first person to link Beowulf with Irish folklore ; however , Max Deutschbein is the first person to present the argument in academic form . He suggested the Irish Feast of Bricriu as a source for Beowulf -- a theory that was soon denied by Oscar Olson . Swedish folklorist Carl Wilhelm Von Sydow argued against both Scandinavian translation and source material due to his theory that Beowulf is fundamentally Christian and written at a time when any Norse tale would have most likely been pagan .   In the late 1920s , Heinzer Dehmer suggested Beowulf as contextually based in the folktale type `` The Hand and the Child , '' due to the motif of the `` monstrous arm '' -- a motif that distances Grettis saga and Beowulf and further aligns Beowulf with Irish parallelism . James Carney and Martin Puhvel also agree with this `` Hand and the Child '' contextualisation . Carney also ties Beowulf to Irish literature through the Táin Bó Fráech story . Puhvel supported the `` Hand and the Child '' theory through such motifs as ( in Andersson 's words ) `` the more powerful giant mother , the mysterious light in the cave , the melting of the sword in blood , the phenomenon of battle rage , swimming prowess , combat with water monsters , underwater adventures , and the bear - hug style of wrestling . ''   Attempts to find classical or Late Latin influence or analogue in Beowulf are almost exclusively linked with Homer 's Odyssey or Virgil 's Aeneid . In 1926 , Albert Stanburrough Cook suggested a Homeric connection due to equivalent formulas , metonymies , and analogous voyages . In 1930 , James A. Work also supported the Homeric influence , stating that encounter between Beowulf and Unferth was parallel to the encounter between Odysseus and Euryalus in Books 7 --</t>
  </si>
  <si>
    <t xml:space="preserve">when was the oldest surviving manuscript of beowulf written</t>
  </si>
  <si>
    <t xml:space="preserve">   Beowulf     First page of Beowulf in Cotton Vitellius A. xv     Author ( s )   Unknown     Language   West Saxon dialect of Old English     Date   c. 700 -- 1000 AD ( date of poem ) , c. 975 -- 1010 AD ( date of manuscript )     State of existence   Manuscript suffered damage from fire in 1731     Manuscript ( s )   Cotton Vitellius A. xv     First printed edition   Thorkelin ( 1815 )     Genre   Epic heroic poetry     Verse form   Alliterative verse     Length   c. 3182 lines     Subject   The battles of Beowulf , the Geatish hero , in youth and old age     Personages   Beowulf , Hygelac , Hrothgar , Wealhþeow , Hrothulf , Æschere , Unferth , Grendel , Grendel 's mother , Wiglaf , Hildeburh .   </t>
  </si>
  <si>
    <t xml:space="preserve">Let You Down ( NF song ) - wikipedia  Let You Down ( NF song )  Jump to : navigation , search    `` Let You Down ''         Single by NF     from the album Perception     Released   September 14 , 2017 ( 2017 - 09 - 14 )     Format   Digital download     Genre   Hip hop     Length   3 : 32     Label     Capitol   Caroline   NF Real Music LLC       Songwriter ( s )   Nathan Feuerstein     Producer ( s )     David Garcia   Tommee Profitt       NF singles chronology        `` Green Lights '' ( 2017 )   `` Let You Down '' ( 2017 )   `` No Name '' ( 2018 )           `` Green Lights '' ( 2017 )   `` Let You Down '' ( 2017 )   `` No Name '' ( 2018 )            Music video     `` Let You Down '' on YouTube         `` Let You Down '' is a song by American Christian hip hop artist and songwriter NF . It serves as the third single from his third studio album , Perception , and was released on September 14 , 2017 , for digital download and streaming , including an audio video . It is his first No. 1 single on the Hot Christian Songs chart . It is his first song to be certified Gold by the RIAA .     Contents  ( hide )   1 Background   2 Music video   3 Track listing   4 Chart performance   5 Charts   5.1 Weekly charts   5.2 Year - end charts     6 Certifications   7 Release history   8 References      Background ( edit )   `` Let You Down '' was produced by David Garcia and Tommee Profitt . NF wrote the song about his relationship with his father and how he did not want to disappoint him . This is the first time he has publicly spoken about his relationship with his dad , who raised him as a child . His parents went through a divorce , and his mother overdosed years later . The track is similar to some of his songs like `` Got You On My Mind '' and `` Wish You Would n't '' .   Music video ( edit )   The official music video was released on November 9 , 2017 on NF 's Vevo channel .   The music video was directed and produced by Nathan Feuerstein and Patrick Tohill . Given the song 's lyrical content , the visual focus is on the relationship between a father and his son . The clip shows an older man , presumably his father , standing on a dock looking at a lake , while a fully clothed NF drowns right in front of him . As he flails and tries to keep from going under , the man just looks at him , and does n't help . Then , we see the same man , staring at NF who is trapped in a burning car . As it 's engulfed in flames , the man again makes no move to help . Then we see the older man in a field , staring into a freshly dug grave . Inside the grave is a coffin , and NF is inside , dead . The older man seems upset by this , and falls to his knees . In the final shot , the older man is back on the dock , looking at NF drowning once again . But then a woman approaches him on the dock and says , `` Nathan ? ''   Track listing ( edit )     No .   Title   Writer ( s )   Producer ( s )   Length     1 .   `` Let You Down ''   Nathan Feuerstein     David Garcia   Tommee Profitt     3 : 32     Chart performance ( edit )   `` Let You Down '' reached No. 1 on the Hot Christian Songs chart , as well as No. 1 on the Mainstream Top 40 chart . It has also reached No. 12 on the US Billboard Hot 100 , NF 's first entry on the chart . The song has achieved international success , charting in the UK , Australia , Belgium , Canada , Norway , the Netherlands , Sweden , Switzerland , New Zealand and Ireland .   Charts ( edit )      Weekly charts ( edit )     Chart ( 2017 -- 18 )   Peak position     Australia ( ARIA )   7     Austria ( Ö3 Austria Top 40 )   11     Belgium ( Ultratop 50 Flanders )   15     Belgium ( Ultratop 50 Wallonia )   31     Canada ( Canadian Hot 100 )   15     Czech Republic ( Rádio Top 100 )   13     Czech Republic ( Singles Digitál Top 100 )   12     Denmark ( Tracklisten )   7     Finland ( Suomen virallinen lista )   6     Germany ( Official German Charts )   9     Hungary ( Stream Top 40 )   11     Ireland ( IRMA )       Italy ( FIMI )   44     Malaysia ( RIM )   17     Netherlands ( Single Top 100 )   18     New Zealand ( Recorded Music NZ )   7     Norway ( VG - lista )       Philippines ( Philippine Hot 100 )   52     Poland ( Polish Airplay Top 100 )   52     Portugal ( AFP )   19     Scotland ( Official Charts Company )   14     Slovakia ( Singles Digitál Top 100 )   16     Sweden ( Sverigetopplistan )       Switzerland ( Schweizer Hitparade )   16     UK Singles ( Official Charts Company )   6     US Billboard Hot 100   12     US Adult Top 40 ( Billboard )   26     US Christian Songs ( Billboard )       US Hot R&amp;B / Hip - Hop Songs ( Billboard )   6     US Mainstream Top 40 ( Billboard )       US Rhythmic ( Billboard )         Year - end charts ( edit )     Chart ( 2017 )   Peak position     Hungary ( Stream Top 40 )   61     Sweden ( Sverigetopplistan )   68     US Christian Songs ( Billboard )   61        Certifications ( edit )     Region   Certification   Certified units / Sales     Australia ( ARIA )   3 × Platinum   210,000     Belgium ( BEA )   Gold   15,000     Brazil ( Pro-Música Brasil )   Gold   30,000     Canada ( Music Canada )   3 × Platinum   240,000     Denmark ( IFPI Denmark )   Gold   45,000     France ( SNEP )   Gold   75,000     Germany ( BVMI )   Gold   200,000     Italy ( FIMI )   Platinum   50,000     New Zealand ( RMNZ )   Platinum   30,000     Portugal ( AFP )   Gold   5,000     Sweden ( GLF )   4 × Platinum   160,000     United Kingdom ( BPI )   Gold   400,000     United States ( RIAA )   2 × Platinum   2,000,000      sales figures based on certification alone shipments figures based on certification alone sales + streaming figures based on certification alone      Release history ( edit )     Region   Date   Format   Label   Ref .     United States   September 14 , 2017   Digital download     Capitol CMG   NF Real Music LLC         October 3 , 2017   Rhythmic contemporary radio   Caroline       October 24 , 2017   Contemporary hit radio       References ( edit )    Jump up ^ `` NF -- Let You Down ( Audio ) '' . NFVEVO . September 14 , 2017 -- via YouTube .   Jump up ^ `` Hot Christian Songs '' . Billboard . September 14 , 2017 . Retrieved October 27 , 2017 .   Jump up ^ Sarachik , Justin . `` NF 's ' Let You Down ' Earns Rapper His First Gold Song '' . Rapzilla.com . Retrieved December 20 , 2017 .   Jump up ^ Hudelson , Molly ( December 6 , 2017 ) . `` NF 's `` Let You Down '' has been certified Gold by the RIAA `` . Substream Magazine . Retrieved December 20 , 2017 .   Jump up ^ `` Let You Down NF '' . Genius . September 14 , 2017 . Retrieved October 27 , 2017 .   Jump up ^ `` NF -- Let You Down '' . NFVEVO . November 9 , 2017 -- via YouTube .   Jump up ^ NF Drops The Emotional Video For Rising Hit `` Let You Down '' . Idolator . November 9 , 2017 . Retrieved November 10 , 2017 .   Jump up ^ Watch now : NF lets himself drown and burn in new video for `` Let You Down '' . ABC News . November 9 , 2017 . Retrieved November 10 , 2017 .   Jump up ^ `` NF Chart History ( Billboard Hot 100 ) '' . Billboard . Retrieved January 18 , 2018 .   Jump up ^ `` Australian-charts.com -- NF -- Let You Down '' . ARIA Top 50 Singles . Retrieved December 9 , 2017 .   Jump up ^ `` Austriancharts.at -- NF -- Let You Down '' ( in German ) . Ö3 Austria Top 40 . Retrieved January 18 , 2018 .   Jump up ^ `` Ultratop.be -- NF -- Let You Down '' ( in Dutch ) . Ultratop 50 . Retrieved December 2 , 2017 .   Jump up ^ `` Ultratop.be -- NF -- Let You Down '' ( in French ) . Ultratop 50 . Retrieved December 30 , 2017 .   Jump up ^ `` NF Chart History ( Canadian Hot 100 ) '' . Billboard . Retrieved February 13 , 2018 .   Jump up ^ `` ČNS IFPI '' ( in Czech ) . Hitparáda -- Radio Top 100 Oficiální . IFPI Czech Republic . Note : insert 201821 into search . Retrieved May 28 , 2018 .   Jump up ^ `` ČNS IFPI '' ( in Czech ) . Hitparáda -- Digital Top 100 Oficiální . IFPI Czech Republic . Note : insert 20182 into search . Retrieved January 16 , 2018 .   Jump up ^ `` Track Top - 40 Uge 47 , 2017 '' . Hitlisten . Retrieved November 29 , 2017 .   Jump up ^ `` NF : Let You Down '' ( in Finnish ) . Musiikkituottajat -- IFPI Finland . Retrieved November 5 , 2017 .   Jump up ^ `` Offiziellecharts.de -- NF -- Let You Down '' . GfK Entertainment Charts . Retrieved December 1 , 2017 .   Jump up ^ `` Archívum -- Slágerlisták -- MAHASZ '' ( in Hungarian ) . Stream Top 40 slágerlista . Magyar Hanglemezkiadók Szövetsége . Retrieved December 21 , 2017 .   Jump up ^ `` IRMA -- Irish Charts '' . Irish Recorded Music Association . Retrieved December 9 , 2017 .   Jump up ^ `` Classifica settimanale WK 50 '' ( in Italian ) . Federazione Industria Musicale Italiana . Retrieved December 16 , 2017 .   Jump up ^ `` Top 20 Most Streamed International &amp; Domestic Singles in Malaysia : Week 44 ( 27 / 10 / 2017 -- 2 / 11 / 2017 ) '' ( PDF ) . Recording Industry Association of Malaysia . Retrieved November 16 , 2017 .   Jump up ^ `` Dutchcharts.nl -- NF -- Let You Down '' ( in Dutch ) . Single Top 100 . Retrieved December 23 , 2017 .   Jump up ^ `` NZ Top 40 Singles Chart '' . Recorded Music NZ . December 4 , 2017 . Retrieved December 1 , 2017 .   Jump up ^ `` Norwegiancharts.com -- NF -- Let You Down '' . VG - lista . Retrieved October 28 , 2017 .   Jump up ^ `` BillboardPH Hot 100 '' . Billboard Philippines . Retrieved December 11 , 2017 .   Jump up ^ `` Listy bestsellerów , wyróżnienia : : Związek Producentów Audio - Video '' . Polish Airplay Top 100 . Retrieved April 3 , 2018 .   Jump up ^ `` Portuguesecharts.com -- NF -- Let You Down '' . AFP Top 100 Singles . Retrieved December 17 , 2017 .   Jump up ^ `` Official Scottish Singles Sales Chart Top 100 '' . Official Charts Company . Retrieved January 13 , 2018 .   Jump up ^ `` SNS IFPI '' ( in Slovak ) . Hitparáda -- Singles Digital Top 100 Oficiálna . IFPI Czech Republic . Note : insert 201744 into search . Retrieved November 7 , 2017 .   Jump up ^ `` Swedishcharts.com -- NF -- Let You Down '' . Singles Top 100 . Retrieved November 4 , 2017 .   Jump up ^ `` Swisscharts.com -- NF -- Let You Down '' . Swiss Singles Chart . Retrieved February 5 , 2018 .   Jump up ^ `` Official Singles Chart Top 100 '' . Official Charts Company . Retrieved January 13 , 2018 .   Jump up ^ `` NF Chart History ( Hot 100 ) '' . Billboard . Retrieved February 13 , 2018 .   Jump up ^ `` NF Chart History ( Adult Pop Songs ) '' . Billboard . Retrieved April 25 , 2018 .   Jump up ^ `` NF Chart History ( Hot Christian Songs ) '' . Billboard . Retrieved October 27 , 2017 .   Jump up ^ `` NF Chart History ( Hot R&amp;B / Hip - Hop Songs ) '' . Billboard . Retrieved February 13 , 2018 .   Jump up ^ `` NF Chart History ( Pop Songs ) '' . Billboard . Retrieved March 6 , 2018 .   Jump up ^ `` NF Chart History ( Rhythmic ) '' . Billboard . Retrieved January 23 , 2018 .   Jump up ^ `` Stream Top 100 -- 2017 '' . Mahasz . Retrieved February 17 , 2018 .   Jump up ^ `` Årslista Singlar -- År 2017 '' ( in Swedish ) . Sverigetopplistan . Retrieved January 16 , 2018 .   Jump up ^ `` Hot Christian Songs -- Year - End 2017 '' . Billboard . Retrieved December 19 , 2017 .   Jump up ^ `` ARIA Australian Top 50 Singles '' . Australian Recording Industry Association . April 2 , 2018 . Retrieved March 31 , 2018 .   Jump up ^ `` Ultratop − Goud en Platina -- 2018 '' . Ultratop . Hung Medien . Retrieved January 5 , 2018 .   Jump up ^ `` Brazilian single certifications -- NF -- Let You Down '' ( in Portuguese ) . Associação Brasileira dos Produtores de Discos . Retrieved April 18 , 2018 .   Jump up ^ `` Canadian single certifications -- NF -- Let You Down '' . Music Canada . Retrieved May 8 , 2018 .   Jump up ^ `` NF `` Let You Down '' `` . IFPI Denmark . Retrieved January 9 , 2018 .   Jump up ^ `` French single certifications -- NF -- Let You Down '' ( in French ) . Syndicat National de l'Édition Phonographique . Retrieved February 5 , 2018 .   Jump up ^ `` Gold - / Platin - Datenbank ( NF ; ' Let You Down ' ) '' ( in German ) . Bundesverband Musikindustrie . Retrieved April 17 , 2018 .   Jump up ^ `` Italian single certifications -- NF -- Let You Down '' ( in Italian ) . Federazione Industria Musicale Italiana . Retrieved April 23 , 2018 .   Jump up ^ `` New Zealand single certifications -- NF -- Let You Down '' . Recorded Music NZ . Retrieved January 19 , 2018 .   Jump up ^ `` Portuguesecharts.com - Singles Top 100 ( 07 / 2018 ) '' . Associação Fonográfica Portuguesa . Retrieved February 22 , 2018 .   Jump up ^ `` Guld - och Platinacertifikat '' ( in Swedish ) . IFPI Sweden . Retrieved March 9 , 2018 . Type NF in the top right search bar . Click on `` Sok '' and select Let You Down and see certification .   Jump up ^ `` British single certifications -- NF -- Let You Down '' . British Phonographic Industry . Retrieved February 2 , 2018 . Enter Let You Down in the search field and then press Enter .   Jump up ^ `` American single certifications -- NF -- Let You Down '' . Recording Industry Association of America . Retrieved March 26 , 2018 . If necessary , click Advanced , then click Format , then select Single , then click SEARCH   Jump up ^ `` Perception '' . Apple Music . Retrieved October 27 , 2017 .   Jump up ^ `` Top 40 / R Future Releases - Mainstream Hit Songs Being Released and Their Release Dates '' . All Access . October 18 , 2017 . Archived from the original on September 16 , 2017 . Retrieved October 27 , 2017 .   Jump up ^ `` Top 40 / M Future Releases - Mainstream Hit Songs Being Released and Their Release Dates '' . All Access . October 18 , 2017 . Archived from the original on October 16 , 2017 . Retrieved October 27 , 2017 .   Retrieved from `` https://en.wikipedia.org/w/index.php?title=Let_You_Down_(NF_song)&amp;oldid=843348487 '' Categories :   2017 singles   2017 songs   Billboard Christian Songs number - one singles   Billboard Mainstream Top 40 ( Pop Songs ) number - one singles   Hidden categories :   CS1 Italian - language sources ( it )   CS1 Swedish - language sources ( sv )   CS1 Portuguese - language sources ( pt )   CS1 French - language sources ( fr )   CS1 German - language sources ( de )   Use mdy dates from December 2017   Articles with hAudio microformats   Wikipedia articles needing clarification from December 2017   Singlechart usages for Australia   Singlechart usages for Austria   Singlechart usages for Flanders   Singlechart usages for Wallonia   Singlechart usages for Canada   Singlechart called without song   Singlechart usages for Czech Republic   Singlechart called without artist   Singlechart usages for Czechdigital   Singlechart usages for Finland   Singlechart usages for Germany2   Singlechart usages for Hungarystream   Singlechart usages for Dutch100   Singlechart usages for Norway   Singlechart usages for Poland   Singlechart usages for Portugal   Singlechart usages for Scotland   Singlechart usages for Slovakdigital   Singlechart usages for Sweden   Singlechart usages for Switzerland   Singlechart usages for UK   Singlechart usages for Billboardhot100   Singlechart usages for Billboardadultpopsongs   Singlechart usages for Billboardchristiansongs   Singlechart usages for Billboardrandbhiphop   Singlechart usages for Billboardpopsongs   Singlechart usages for Billboardrhythmic   Certification Table Entry usages for Australia   Certification Table Entry usages for Belgium   Certification Table Entry usages for Brazil   Certification Table Entry usages for Canada   Certification Table Entry usages for Denmark   Certification Table Entry usages for France   Certification Table Entry usages for Germany   Certification Table Entry usages for Italy   Certification Table Entry usages for New Zealand   Certification Table Entry usages for Sweden   Certification Table Entry usages for United Kingdom   Certification Table Entry usages for United States           Talk                                           Contents                   About Wikipedia                                           Italiano   Edit links   This page was last edited on 28 May 2018 , at 15 : 21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</si>
  <si>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the song sorry that i let you down</t>
  </si>
  <si>
    <t xml:space="preserve"> `` Let You Down '' is a song by American Christian hip hop artist and songwriter NF . It serves as the third single from his third studio album , Perception , and was released on September 14 , 2017 , for digital download and streaming , including an audio video . It is his first No. 1 single on the Hot Christian Songs chart . It is his first song to be certified Gold by the RIAA . </t>
  </si>
  <si>
    <r>
      <rPr>
        <sz val="11"/>
        <color rgb="FF000000"/>
        <rFont val="Calibri"/>
        <family val="0"/>
        <charset val="1"/>
      </rPr>
      <t xml:space="preserve">Tower blocks in great Britain - wikipedia  Tower blocks in great Britain  Jump to : navigation , search The three tower blocks of the Crossways Estate in Bow , London , United Kingdom , before their refurbishment  Tower blocks began to be built in Great Britain after the Second World War . The first residential tower block , `` The Lawn '' was constructed in Harlow , Essex in 1951 ; it is now a Grade II listed building . In many cases tower blocks were seen as a `` quick - fix '' to cure problems caused by crumbling and unsanitary 19th - century dwellings or to replace buildings destroyed by German aerial bombing . It was argued that towers surrounded by public open space could provide the same population density as the terraced housing and small private gardens they replaced , offering larger rooms and improved views whilst being cheaper to build .   Initially , tower blocks were welcomed , and their excellent views made them popular living places . Later , as the buildings themselves deteriorated , they grew a reputation for being undesirable low cost housing , and many tower blocks saw rising crime levels , increasing their unpopularity . One response to this was the great increase in the number of housing estates built , which in turn brings its own problems . In the UK , tower blocks particularly lost popularity after the partial collapse of Ronan Point in east London in 1968 . They are still present in many British cities .     Contents  ( hide )   1 Design   2 Social issues   3 Fire safety   4 Current use   5 References   6 External links      Design ( edit )   Post-war Britain was the stage for a tower block `` building boom '' ; from the 1950s to the late 1970s there was a dramatic increase in tower block construction . During this time , local authorities desired to impress their voters by building futuristic and imposing tower blocks , which would signify post-war progress . Both Patrick Dunleavy and Lynsey Hanley agree that architects and planners were influenced by Le Corbusier 's promotion of high - rise architecture . The modern tower blocks were to include features that would foster desired forms of resident interaction , an example being the inclusion of Le Corbusier 's streets in the sky in some estates .   As well as inspiring residents , local authority planners believed that the way tower blocks were constructed would save money . Generally , the tower blocks were built on cheap greenfield land skirting established cities . Although the property prices for these periphery sites were markedly cheaper than their inner city counterparts , they often had little access to public amenities , such as public transport . It was thought that the implementation of industrialised building techniques would lower costs too , as similar tower blocks would be replicated over many sites . Uniform and standardised parts , such as toilet fittings and door handles , would be fitted throughout many tower blocks ; planners deemed that buying in bulk would reduce overall costs .   Another key aspect of the tower block vision was the Brutalist architectural method , popular with architects and planners at the time . The Brutalist emphasis led to the construction of stark and striking tower blocks with large sections of exposed concrete . Concrete was to be an integral part of the tower block designs ; it could be poured on site , offering boundless flexibility to the building designers . To the planners , concrete was a silver bullet for the construction process -- it was economical , and `` was vaunted as being long - lasting , if not indestructible '' .   Social issues ( edit )  Elmet Towers in Swarcliffe , Leeds , showing the dereliction that led to its demolition  Coleman 's 1985 work argues that in trying to emulate Le Corbusier 's ideas , the tower block planners only succeeded in encouraging social problems . Although architects and local authorities intended the opposite , tower blocks quickly became , as Hanley sharply stated , ' slums in the sky ' . Due to demanding deadlines , complicated construction practices were rushed and many tower blocks experienced structural decay as a result -- roofs leaked , concrete suffered spalling , steel corroded , and damp penetrated the buildings . Unfortunately , by replicating tower blocks across the nation , planners ' disastrously ' replicated design faults . In many tower blocks , concrete quickly exhibited signs of decay ; cracks soon formed and destabilised the buildings . The partial collapse of the Ronan Point tower block is an infamous example of the hasty and substandard construction that occurred in a number of the towers . The tower blocks quickly lost their `` futuristic '' look ; concrete turned from the crisp white the designers had imagined to a dull grey , stained by pollution .   Tower blocks were unsuitable for families with children , as parents could not supervise them playing outside from a flat in the sky . Poor design decisions ruined the anticipated benefits of the buildings . Open spaces , which were supposed to benefit the residents , were instead unattractive , unused and inadequately supervised ; often the spaces were simply left as undeveloped wasteland . Residents felt it was difficult to maintain the large open spaces around the blocks because they realistically belonged to no one . Social problems increased as the tower blocks quickly degraded because of poor maintenance and an insecure communal environment , leading to an increase in crime in the common areas . Apart from frequent break - downs , communal lifts were a source of fear for people travelling alone . It was a rarity to `` enter a clean - smelling , undefaced lift '' . The tower blocks , many of which were on the periphery of the city , made residents feel isolated and cut off from society . Outsiders and newcomers were also affected ; they felt the overbearing design of the tower blocks made them fearsome and unsociable .   Power argues that as a direct consequence of their design and construction , security problems were prevalent in many of the tower blocks . Break - ins , vandalism and muggings were common , which were aided by the buildings ' concealed areas , the mazes of internal corridors , and dark corners . Police were often required in the tower blocks , but their infrequent presence did little to pacify towers rife with delinquency . To contain disruptive behaviour , local authorities began to place `` problem families '' in the same blocks ; Hanley argues that this policy only led to `` further alienation ... nihilism and a creeping sense of lawlessness '' . Dunleavy seconds this , suggesting that the mental health of long - term tower block residents may have been detrimentally affected .   While local authorities and their architects intended to create tower blocks that encouraged harmonious and vibrant communities , often the results were far from ideal . Post-war tower blocks were compromised from the outset by a combination of faults : local authorities advocated impractical architectural methods ; design and construction faults were frequently reproduced ; and there appeared to be a lack of understanding about the social consequences of certain design features . Collectively , these oversights transformed many tower blocks into undesirable places to live . By 1985 , 45 % of people living in tower blocks were in the ten poorest local authorities in the country .   Fire safety ( edit )  Grenfell Tower in Kensington , London , had inadequate fire protection and safety procedures , which proved fatal when the block was consumed by fire in June 2017 .  Compliant protections for residents in tower blocks can be very expensive to retrofit , and lessors ( such as local authorities ) have been sued for lack of a current fire safety inspection , or implementation of its recommendations . Member of Parliament for Kingston and Surbiton , Ed Davey , commented regarding a life - claiming 2009 fire that many blocks in the UK remained inadequate . North Ayrshire Council has decided to remove plastic cladding from its buildings following a fatal fire in a tower block . Poor maintenance of electrical equipment , fire doors and other features has caused widespread fire hazards and residents are asked to pay part of the cost of putting this right even though the problem is due to poor maintenance and errors in design .   Tower blocks may be inherently more prone to casualties from a fire because people living on higher floors can not escape fires easily and the fire brigade can not reach the higher floors quickly . In buildings with more than a hundred residents , ensuring that every single resident acts responsibly to minimize fire risk is difficult ; poorer residents in tower blocks may be tempted to use cheaper flammable fuels rather than electricity , they are also more likely to be smokers ( carelessness with cigarettes is a major cause of home fires ) , and they are more likely to have old furniture , not made to modern fire safety standards . Fire safety legislation introduced in 2006 requires new high rise buildings to be built to higher safety standards with sprinkler systems ; the same standards do not apply to pre-2006 tower blocks , which contain a greater proportion of poor people . Recent studies have investigated the combined use of egress components ( e.g. , stairs and elevators ) to enhance the effectiveness of evacuation strategies in case of fire .   The 24 - storey Grenfell Tower in Kensington , London was destroyed by fire in June 2017 . The rapid spread of the fire was believed to have been caused by recent remedial work , which added flammable exterior cladding . The safety instructions advised residents to stay indoors in the event of the fire , which proved fatal as they assumed a fire could not spread via the block 's exterior . A local residents organisation , Grenfell Action Group warned that fire safety was inadequate and had expressed concerns about a fatal incident before the fire occurred . The Grenfell Tower fire was one of many similar fires world wide where unsatisfactory cladding was a factor . Cladding can worsen a fire and enable a fire to spread fast if it is not done to satisfactory standards . The cladding can act as a chimney enabling the fire to spread upwards rapidly . Temperatures in a fire can be high enough to cause plastic cladding to melt , then molten plastic drips downwards burning as it falls and spreads the fire rapidly downwards . These fires happen in the cavity so it is frequently impossible to see from the outside or the inside how serious the fire is . Sprinklers and smoke detectors sometimes do not detect the fires . The Lakanal House fire where six people died was exacerbated by fibre composite cladding called trespa which resisted the fire less well than asbestos panels that the trespa replaced . An unnamed surveyor told , The Guardian , `` We do a lot of investigations of defective buildings , and we regularly see deficiencies in the workmanship . Gaps are left where there should n't be gaps , or a form of less fire - resistant insulation is used instead of a proper fire break . These things are done to cut costs and save time , but we must get tougher on inspection and ensure the people fitting these facades are properly trained . Otherwise there are thousands more people who could be at risk . ''   Fire risk assessment ( FRA ) is considered inadequate because too few factors are taken into account . Grenfell Tower in London was considered a medium fire risk but in spite of this at least 79 people died in the Grenfell Tower fire , FRA also failed with the Lakanal House fire . Prof Arnold Dix described the FRA system as only a , `` box - ticking exercise '' . Dix maintains cladding is not taken into account , how hard it is to evacuate a burning tower block is not taken into account , fire risks inside flats such as old electrical equipment that is t greater risk of catching fire and combustible bedding are not taken into account .   Current use ( edit )  The 31 - story Red Road estate in Glasgow , the tallest public housing towers in Europe at the time of their construction . Like many 1960s British high - rises , they were condemned and have now been demolished .  In recent years , some council or ex-council high - rises in the United Kingdom , including Trellick Tower , Keeling House , Sivill House and The Barbican Estate , have become popular with young professionals due to their excellent views , desirable locations and architectural pedigrees , and now command high prices . There are plans to redevelop the Little London and Lovell Park areas on the fringes of Leeds city centre into luxury flats for ' Young Urban Professionals ' . The plans entail demolishing all of the council housing and refurbishing the highrise flats . This demand has led to many councils rethinking plans regarding their demolition .   In Glasgow , similar initiatives have taken place -- in 2011 , the Glasgow Housing Association saved one of a cluster of three condemned tower blocks in the Ibrox area with the help of government grants to transform it into desirable rented housing for young professionals . Glasgow itself has taken a more measured approach to its high - rise housing stock , eschewing the mass demolition programmes being practiced in other British cities -- favouring selective refurbishment of estates with secure futures and on buildings in good structural condition , only razing towers where absolutely necessary .   After a gap of around 30 years , new high - rise flats are once again being built in Belfast , Birmingham ( some are for wealthy people , e.g. The Mailbox , others are student accommodation ) , Cardiff , Aberdeen , Glasgow , Leeds , Liverpool , London , Manchester , and Newcastle upon Tyne ; but this time sometimes for wealthy professionals , rather than the `` lower classes . '' Their developers market these properties by using the American term ' apartment buildings ' , perhaps in an effort to distance these newer buildings from the older tower blocks from the 1950s and 1960s . These are usually taller than their older counterparts and generally built in and around these provincial city centres . They are often glass and aluminium clad . Tonight with Trevor McDonald highlighted that in Leeds and Manchester ( perhaps the cities that had seen most development ) only approximately half were occupied and with owner occupation often being as low as 10 % . In Southend there are controversial plans to build new tower blocks for social housing , a supporter claims this will be cheaper than paying to house poor people with private landlords while opponents fear the creation of Ghettos . As of 2017 , around 8 % of Londoners live in a tower block , though there is still a mix of desirable property against lower - class social housing . A penthouse suite at 3 Merchant Square , Paddington , sold for £ 7.5 m .   References ( edit )   Citations    Jump up ^ `` Ronan Point '' . The Open University . Retrieved 29 October 2015 .   Jump up ^ Hanley 2007 , p. 104 .   Jump up ^ Dunleavy 1981 .   ^ Jump up to : Hanley 2007 .   Jump up ^ Dunleavy 1981 , p. 57 .   Jump up ^ Dunleavy 1981 , p. 84 .   ^ Jump up to : Power 1997 , p. 57 .   Jump up ^ Dunleavy 1981 , p. 58 .   ^ Jump up to : Power 1997 , p. 59 .   Jump up ^ Power 1997 , p. 58 .   Jump up ^ Lund , B. ( 1996 ) Housing problems and housing policy , New York , Longman , p. 127 .   ^ Jump up to : Power 1997 , p. 93 .   Jump up ^ Hanley 2007 , p. 119 .   Jump up ^ Dunleavy 1981 , p. 98 .   ^ Jump up to : Rosen 2003 , p. 2003 .   Jump up ^ Power 1997 , p. 92 .   Jump up ^ Power 1997 , p. 111 .   Jump up ^ Power 1987 , p. 143 .   Jump up ^ Power 1987 , p. 144 .   Jump up ^ Power 1997 , p. 95 .   Jump up ^ Power 1997 .   Jump up ^ Dunleavy 1981 , p. 97 .   Jump up ^ Hanley 2007 , p. 124 .   Jump up ^ Dunleavy 1981 , p. 99 .   Jump up ^ Rosen 2003 , pp. 129 - 131 .   Jump up ^ Davey , Ed ( 28 September 2009 ) . `` Tower blocks ' potential disaster ' '' . BBC News . Retrieved 25 November 2011 .   Jump up ^ `` Tower block fire safety fears '' . BBC News . 16 June 1999 . Retrieved 25 November 2011 .   Jump up ^ Walker , Peter ( 3 January 2010 ) . `` Huge fire safety bills for tower block residents '' . The Guardian . London . Retrieved 25 November 2011 .   Jump up ^ Davey , Ed ( 8 July 2009 ) . `` Are tower blocks a fire hazard ? '' . BBC News . Retrieved 25 November 2011 .   Jump up ^ Ronchi , E. ; Nilsson , D. ( 2013 ) . `` Fire evacuation in high - rise buildings : a review of human behaviour and modelling research '' . Fire Science Reviews . 2 : 7 . doi : 10.1186 / 2193 - 0414 - 2 - 7 .   Jump up ^ Ronchi , E. ; Nilsson , D. ( 2014 ) . `` Modelling total evacuation strategies for high - rise buildings '' . Building Simulation. 7 : 73 -- 87 . doi : 10.1007 / s12273 - 013 - 0132 - 9 .   Jump up ^ Pasha - Robinson , Lucy ( 14 June 2017 ) . `` Residents inside 24 - storey London flats on fire were told to stay inside in case of blaze '' . The Independent . Retrieved 14 June 2017 .   Jump up ^ Wahlquist , Calla ( 14 June 2017 ) . `` Fire safety concerns raised by Grenfell Tower residents in 2012 '' . The Guardian . Retrieved 14 June 2017 .   Jump up ^ High - rise towers are safe but tougher inspections needed , say experts The Guardian   Jump up ^ London fire : Fire safety risk inspections pointless , says expert BBC   Jump up ^ `` GHA 's £ 7m transformation of multi-story to offer rental homes for city 's key workers '' . GHA -- Press Release . Glasgow Housing Association . Retrieved 16 July 2011 .   Jump up ^ Glendinning , Miles . `` Feature -- Red Road '' . Scottish Architecture.com . Retrieved 8 April 2008 .   Jump up ^ `` Anna Waite : We need more apartment blocks in Southend '' . Echo-news.co.uk . Retrieved 25 November 2011 .   Jump up ^ Bell , Bethan ( 16 June 2017 ) . `` London fire : A tale of two tower blocks '' . BBC News . Retrieved 16 June 2017 .    Sources    Dunleavy , Patrick ( 1981 ) . The politics of mass housing in Britain , 1945 -- 1975 . Oxford , U.K : Clarendon Press .   Hanley , Lynsey ( 2007 ) . Estates : an intimate history . London : Granta Books .   Power , A. ( 1987 ) . Property before people . London : Allen &amp; Unwin .   Power , A. ( 1997 ) . Estates on the edge . Great Britain : MacMillan .   Rosen , Andrew ( 2003 ) . The Transformation of British Life 1950 - 2000 : A Social History . ISBN 978 - 0 - 719 - 06612 - 2 .    External links ( edit )    Tower Block - Modern Public Housing in England , Scotland , Wales and Northern Ireland By Miles Glendinning and Stefan Muthesius   The design of high - rise flats : 1958 housing guide -- Design of Homes blog   Retrieved from `` https://en.wikipedia.org/w/index.php?title=Tower_blocks_in_Great_Britain&amp;oldid=787915713 '' Categories :   Apartment types   House styles   House types in the United Kingdom   Urban studies and planning terminology   British architecture   Housing in the United Kingdom           Talk                                           Contents                   About Wikipedia                                           </t>
    </r>
    <r>
      <rPr>
        <sz val="11"/>
        <color rgb="FF000000"/>
        <rFont val="Noto Sans CJK SC"/>
        <family val="2"/>
      </rPr>
      <t xml:space="preserve">日本 語   </t>
    </r>
    <r>
      <rPr>
        <sz val="11"/>
        <color rgb="FF000000"/>
        <rFont val="Calibri"/>
        <family val="0"/>
        <charset val="1"/>
      </rPr>
      <t xml:space="preserve">Edit links   This page was last edited on 28 June 2017 , at 10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</si>
  <si>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the first tower block built in england</t>
  </si>
  <si>
    <t xml:space="preserve"> Tower blocks began to be built in Great Britain after the Second World War . The first residential tower block , `` The Lawn '' was constructed in Harlow , Essex in 1951 ; it is now a Grade II listed building . In many cases tower blocks were seen as a `` quick - fix '' to cure problems caused by crumbling and unsanitary 19th - century dwellings or to replace buildings destroyed by German aerial bombing . It was argued that towers surrounded by public open space could provide the same population density as the terraced housing and small private gardens they replaced , offering larger rooms and improved views whilst being cheaper to build . </t>
  </si>
  <si>
    <t xml:space="preserve">Lake Isle of Innisfree - wikipedia  Lake Isle of Innisfree  Jump to : navigation , search This article is about the poem by William Butler Yeats . For the song by Dick Farrelly , see Isle of Innisfree . The Lake Isle of Innisfree  I will arise and go now , and go to Innisfree , And a small cabin build there , of clay and wattles made ; Nine bean rows will I have there , a hive for the honey bee , And live alone in the bee - loud glade . And I shall have some peace there , for peace comes dropping slow , Dropping from the veils of the morning to where the cricket sings ; There midnight 's all a glimmer , and noon a purple glow , And evening full of the linnet 's wings . I will arise and go now , for always night and day I hear lake water lapping with low sounds by the shore ; While I stand on the roadway , or on the pavements grey , I hear it in the deep heart 's core . -- W.B. Yeats   `` The Lake Isle of Innisfree '' is a twelve - line poem composed of three quatrains written by William Butler Yeats in 1888 and first published in the National Observer in 1890 . It was reprinted in The Countess Kathleen and Various Legends and Lyrics in 1892 and as an illustrated Cuala Press Broadside in 1932 .   `` The Lake Isle of Innisfree '' exemplifies the style of the Celtic Revival : it is an attempt to create a form of poetry that was Irish in origin rather than one that adhered to the standards set by English poets and critics . It received critical acclaim in the United Kingdom and France .       Wikisource has original text related to this article : Lake Isle of Innisfree       Contents  ( hide )   1 Background   2 Analysis   3 Musical settings   4 In other media   5 References   6 See also      Background ( edit )  Photograph of William Butler Yeats taken in 1890  The Isle of Innisfree is an uninhabited island within Lough Gill , in County Sligo , Ireland , where Yeats spent his summers as a child . Yeats describes the inspiration for the poem coming from a `` sudden '' memory of his childhood while walking down Fleet Street in London in 1888 . He writes , `` I had still the ambition , formed in Sligo in my teens , of living in imitation of Thoreau on Innisfree , a little island in Lough Gill , and when walking through Fleet Street very homesick I heard a little tinkle of water and saw a fountain in a shop - window which balanced a little ball upon its jet , and began to remember lake water . From the sudden remembrance came my poem `` Innisfree , '' my first lyric with anything in its rhythm of my own music . I had begun to loosen rhythm as an escape from rhetoric and from that emotion of the crowd that rhetoric brings , but I only understood vaguely and occasionally that I must for my special purpose use nothing but the common syntax . A couple of years later I could not have written that first line with its conventional archaism -- `` Arise and go '' -- nor the inversion of the last stanza . ''   Analysis ( edit )   The twelve - line poem is divided into three quatrains and is an example of Yeats 's earlier lyric poems . Throughout the three short quatrains the poem explores the speaker 's longing for the peace and tranquility of Innisfree while residing in an urban setting . The speaker in this poem yearns to return to the island of Innisfree because of the peace and quiet it affords . He can escape the noise of the city and be lulled by the `` lake water lapping with low sounds by the shore . '' On this small island , he can return to nature by growing beans and having bee hives , by enjoying the `` purple glow '' of noon , the sounds of birds ' wings , and , of course , the bees . He can even build a cabin and stay on the island much as Thoreau , the American Transcendentalist , who lived in this manner on Walden Pond . During Yeats 's lifetime it was -- to his annoyance -- one of his most popular poems and on one occasion was recited ( or sung ) in his honor by two ( or ten -- accounts vary ) thousand boy scouts . The first quatrain speaks to the needs of the body ( food &amp; shelter ) ; the second to the needs of the spirit ( peace ) ; the final quatrain is the meeting of the inner life ( memory ) with the physical world ( pavement grey ) .   Musical settings ( edit )   A musical setting of this poem is featured in DUBLIN 1916 , An Irish Oratorio and YEATS SONGS , a song cycle , both composed by Richard B. Evans . ( published by Seacastle Music Company , 1995 ) . Muriel Herbert set the poem in 1928 . Seattle , WA band Fleet Foxes mentions the Isles of Innisfree in many other songs including ' The Shrine / An Argument ' , ' Isles ' and ' Bedouin Dress ' . American composer Ben Moore has also composed a setting of the poem . Another musical setting is featured in Branduardi canta Yeats ( published by Edizioni Musicali Musiza , 1986 ) , composed and played by Angelo Branduardi on translation of Luisa Zappa . Michael McGlynn of the Irish group Anúna arranged this as a choral piece : a `` recording '' of it is featured on Anúna 's album Invocation . Composer and pianist Ola Gjeilo set this text to music in a piece called `` The Lake Isle . '' Popular settings of the poem have been done by Judy Collins and the Dream Brothers . Australian musician Paul Kelly performs a version on his 2013 album `` Conversations with Ghosts '' . Shusha Guppy recorded an unaccompanied version on her album ' This is the Day ' ( United Artist Records , 1974 ) . ' The Lake Isle of Innisfree ' is part of the Songcylcle ' 5 Songs on Poems by W.B. Yeats ' composed by the Dutch composer Carolien Devilee .   In other media ( edit )    Television    In the finale episode of the fourth season of the Fox science - fiction drama television series Fringe entitled Brave New World ( Part 2 ) , Dr. William Bell ( Leonard Nimoy ) narrates the first stanza of the poem , alluding to his plans of collapsing the two universes into a new world where he plays God .   Cinema   In the film Million Dollar Baby , directed by Clint Eastwood , Frankie Dunn ( portrayed by Eastwood ) reads the first two quatrains to Margaret Fitzgerald ( Hilary Swank ) at the hospital after a fight where her neck has broken .   In the climactic scene from the film Three And Out , Tommy recites the poem just before he gets hit by the train .   John Ford 's Academy Award winning film The Quiet Man ( 1952 ) is set in Innisfree and clearly takes Yeat 's poem as one of its principal subtexts .   Music   In the song The Shrine / An Argument by Seattle indie folk band Fleet Foxes Innisfree is mentioned in the song 's final lyric : `` Carry me to Innisfree like pollen on the breeze '' . The band also mentions Innisfree in their song Bedouin Dress on the same album , saying frequently : `` One day at Innisfree , one day that 's mine there '' and `` Just to be at Innisfree again '' .   In his LP Branduardi canta Yeats ( 1986 ) , Angelo Branduardi sings an italian version of this poem .   The poem inspired Philip Gates 's The Lake Isle for oboe and piano .   The Folk singer songwriter and actor Hamid Hamilton Camp Released a beautiful version called Innisfree on his 1964 album Paths of Victory on Electra records .   Literature   In his debut novel Ghostwritten the British author David Mitchell quotes the first two quatrains in the chapter `` London '' and the last in the chapter `` Clear Island . ''   Essays Referred to in the final line of J.B. Priestley 's essay `` At Thurston 's '' , 1932 ; writing that watching a billiards match at Thurston 's Hall is `` as near to the Isle of Innisfree as we can get within a hundred miles of Leicester Square '' .   References ( edit )    Jump up ^ Kenner , Hugh . `` The Conquest of English '' . A Colder Eye. Johns Hopkins University Press 1983 p. 51   Jump up ^ Jochum , Klaus Peter . `` The Reception of W.B. Yeats in France '' . The Reception of W.B. Yeats in Europe . Continuum 2006 p. 33   Jump up ^ Yeats , William Butler . Autobiographies . London : Macmillan 1955 , p. 153   Jump up ^ R. F Foster : W.B. Yeats , A Life . Vol. 1 . The apprentice Mage    See also ( edit )    1893 in poetry   List of works by William Butler Yeats    Coordinates : 54 ° 14 ′ 47 '' N 8 ° 21 ′ 28 '' W ﻿ / ﻿ 54.2465 ° N 8.3579 ° W ﻿ / 54.2465 ; - 8.3579     ( hide )         W.B. Yeats     Poetry      Volumes     The Wanderings of Oisin and Other Poems ( 1889 )   The Countess Kathleen and Various Legends and Lyrics ( 1892 )   In the Seven Woods ( 1903 )   Responsibilities and Other Poems ( 1916 )   The Wild Swans at Coole ( 1919 )   Michael Robartes and the Dancer ( 1921 )   The Tower ( 1928 )   The Winding Stair and Other Poems ( 1933 )       Poems     `` Aedh Wishes for the Cloths of Heaven ''   `` An Irish Airman Foresees His Death ''   `` Adam 's Curse ''   `` Blood and the Moon ''   `` The Circus Animals ' Desertion ''   `` Down by the Salley Gardens ''   `` A Drunken Man 's Praise of Sobriety ''   `` Easter , 1916 ''   `` Ego Dominus Tuus ''   `` In Memory of Eva Gore - Booth and Con Markiewicz ''   `` Lake Isle of Innisfree ''   `` On being asked for a War Poem ''   `` Politics ''   `` A Prayer for My Daughter ''   `` Remorse for Intemperate Speech ''   `` The Rose of Battle ''   `` The Rose - Tree ''   `` Sailing to Byzantium ''   `` September 1913 ''   `` Song of the Old Mother ''   `` The Fiddler of Dooney ''   `` The Scholars ''   `` The Second Coming ''   `` The Song of the Happy Shepherd ''   `` The Stolen Child ''   `` Swift 's Epitaph ''   `` To the Rose upon the Rood of Time ''   `` The Tower ''   `` Under Ben Bulben   `` The Wanderings of Oisin ''   `` The Wild Swans at Coole ''          Plays     Mosada ( 1886 )   The Land of Heart 's Desire ( 1894 )   Diarmuid and Grania ( 1901 )   Cathleen ni Houlihan ( 1902 )   On Baile 's Strand ( 1903 )   The Countess Cathleen ( 1911 )   At the Hawk 's Well ( 1916 )   The Resurrection ( 1927 )   Purgatory ( 1938 )       Other works     A Vision ( 1925 )   `` The Curse of the Fires and of the Shadows ''   Oxford Book of Modern Verse 1892 -- 1935 ( editor )       People     John Butler Yeats ( father )   Susan Pollexfen ( mother )   Jack Butler Yeats ( brother )   Elizabeth Yeats ( sister )   Lily Yeats ( sister )   Maud Gonne ( lover )   Georgie Hyde - Lees ( wife )   Anne Yeats ( daughter )   Michael Yeats ( son )       Related     W.B. Yeats bibliography   Rhymers ' Club   Dun Emer Press   Cuala Press     An Appointment with Mr Yeats   `` Troy ''   Thoor Ballylee   Samhain magazine      Retrieved from `` https://en.wikipedia.org/w/index.php?title=Lake_Isle_of_Innisfree&amp;oldid=804806659 '' Categories :   Uninhabited islands of Ireland   Poetry by W.B. Yeats   1890 poems   Works originally published in British newspapers   Lake islands of Ireland   Hidden categories :   All articles with unsourced statements   Articles with unsourced statements from August 2015   Coordinates on Wikidata           Talk                                           Contents                   About Wikipedia                                           Add links   This page was last edited on 11 October 2017 , at 08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</si>
  <si>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about the idyllic 'isle of innisfree'</t>
  </si>
  <si>
    <t xml:space="preserve"> `` The Lake Isle of Innisfree '' is a twelve - line poem composed of three quatrains written by William Butler Yeats in 1888 and first published in the National Observer in 1890 . It was reprinted in The Countess Kathleen and Various Legends and Lyrics in 1892 and as an illustrated Cuala Press Broadside in 1932 . </t>
  </si>
  <si>
    <t xml:space="preserve">Gun laws in Texas - wikipedia  Gun laws in Texas  Jump to : navigation , search Location of Texas in the United States  Gun laws in Texas regulate the sale , possession , and use of firearms and ammunition in the U.S. state of Texas .     Contents  ( hide )   1 Summary table   2 Firearms possession   3 Firearms carry   3.1 License to Carry   3.2 College Carry Laws   3.3 Restrictions on licensed carry   3.3. 1 30.06 signage     3.4 Open Carry   3.4. 1 30.07 signage       4 Castle Doctrine   4.1 Stand Your Ground   4.2 Civil Immunity     5 Motorists Protection Act   6 National Firearms Act   7 State preemption of local laws   8 See also   9 References      Summary table ( edit )     Subject / Law   Long guns   Handguns   Relevant Statutes   Notes     State permit to purchase ?   No   No         Firearm registration ?   No   No         Owner license required ?   No   No         Assault weapon law ?   No   No         Magazine capacity restriction ?   No   No         Carry license required ?   No   Yes   GC Ch . 411.172   Licensed carry of a handgun requires a `` shall - issue '' license , and is subject to specific laws governing trespass while armed . People who are barred from licensing include those under age 21 , felons , fugitives , people who are `` chemically dependent '' or `` incapable of exercising sound judgment '' , and those in arrears for taxes or child support .     Open carry ?   Yes   Yes   PC 46.02   Long gun and black powder weapon ( including handgun ) open carry is not forbidden by law , unless in a manner `` calculated to cause alarm . '' Effective January 1 , 2016 , individuals with a handgun carry license are permitted to carry openly , per House Bill 910 of the 2015 legislative session . Non-residents from states whose permits are recognized by Texas are also allowed to open carry under the new law .     Concealed carry on college campus ?   No   Yes     May carry in parking lots , parking garages , outdoor walkways on campus .  Public four - year universities ( as of August 1 , 2016 ) and public two - year colleges ( as of August 1 , 2017 ) must allow concealed carry in campus buildings as well . Universities will be allowed to designate certain sensitive areas as `` gun free zones '' ; these will be subject to legislative analysis .      State preemption of local restrictions ?   Yes   Yes   LGC § 229.001 .   State law prohibits municipal governments from regulating the ownership , transfer , storage , or licensing of firearms , ammunition , or accessories . Local ordinances can regulate the discharge of firearms ( such as for noise , nuisance or public safety ) , but not in contradiction of state law concerning justified use of a firearm .     NFA weapons restricted ?   No   No   PC 46.01 , PC 46.05   Texas Penal Code Section 46.05 requires that `` explosive weapons '' , `` machine guns '' , `` short - barrel firearms '' , and `` firearm silencers '' , as defined in Section 46.01 , be `` registered in the National Firearms Registration and Transfer Record maintained by the Bureau of Alcohol , Tobacco , Firearms and Explosives or classified as a curio or relic by the United States Department of Justice '' . Prior to May 22nd 2015 , Section 46.05 called `` registration pursuant to the National Firearms Act '' a `` defense to prosecution '' .     Peaceable journey laws ?   Yes   Yes   PC 46.02 , PC 46.15   A person may carry a loaded handgun without a permit while in or heading directly to a motor vehicle or watercraft they own or control . The statute does not specifically state the handgun must be concealed while heading to the vehicle or watercraft , and 46.02 , which requires concealment of a handgun while in a motor vehicle or watercraft , is not applicable to a person while the person is traveling , pursuant to said activities . 46.15 ( b ) ( 2 ) .     Castle doctrine / stand your ground law ?   Yes   Yes   PC 9.32   A person is presumed justified in using deadly force to protect themselves against an unlawful , forceful intrusion into their dwelling , or to prevent an unlawful , forceful attempt to remove a lawful occupant from the dwelling , or to prevent certain serious felonies such as burglary or arson . There is no duty to retreat from any place where the shooter has a legal right to be .     Background checks required for private sales ?   No   No        A notice stating that the Turman Halfway House in Austin , Texas prohibits concealed handguns . This sign uses obsolete wording in font smaller than required , and is no longer enforceable under current law .  Firearms possession ( edit )   Texas has no laws regarding possession of any firearm regardless of age , without felony convictions ; all existing restrictions in State law mirror Federal law . A person of any age , except certain Felons , can possess a firearm such as at a firing range . Texas and Federal law only regulate the ownership of all firearms to 18 years of age or older , and regulate the transfer of handguns to 21 years or older by FFL dealers . However , a private citizen may sell , gift , lease etc. a handgun to anyone over 18 who is not Felon . NFA weapons are also only subject to Federal restrictions ; no State regulations exist . Municipal and county ordinances on possession and carry are generally overridden ( preempted ) due to the wording of the Texas Constitution , which gives the Texas Legislature ( and it alone ) the power to `` regulate the wearing of arms , with a view to prevent crime '' . Penal Code Section 1.08 also prohibits local jurisdictions from enacting or enforcing any law that conflicts with State statute . Local ordinances restricting discharge of a firearm are generally allowed as State law has little or no specification thereof , but such restrictions do not preempt State law concerning justification of use of force and deadly force .   In Texas a convicted felon may possess a firearm in the residence in which he lives once five years have elapsed from his release from prison or parole , whichever is later . Under Texas Penal Code § § 12.33 , 46.04 , the unlawful possession of a firearm is a third degree felony with a punishment range of two to ten years for a defendant with one prior felony conviction and fine up to $10,001 .   Firearms carry ( edit )   There is no legal statute specifically prohibiting the carry of a firearm other than a handgun ( pre-1899 black powder weapons , and replicas of such , are not legally firearms in Texas ) . However , if the firearm is displayed in a manner `` calculated to cause alarm , '' then it is `` disorderly conduct '' . Open carry of a handgun in public had long been illegal in Texas , except when the carrier was on property he / she owned or had lawful control over , was legally hunting , or was participating in some gun - related public event such as a gun show . However , the 2015 Texas Legislature passed a bill to allow concealed handgun permit holders to begin carrying handguns openly . The bill was signed into law on June 13 , 2015 , and took effect on January 1 , 2016 . A License to Carry ( LTC ) is still required to carry a handgun openly or concealed in public .   License to carry ( edit )   The Texas handgun carry permit was previously called a `` Concealed Handgun License '' or CHL . This has changed on Jan 1 . 2016 to LTC `` License To Carry '' and at the same time the laws changed to include `` Open Carry '' . Permits are issued on a non-discretionary ( `` shall - issue '' ) basis to all eligible , qualified applicants . Texas has full reciprocity agreements with 30 states , not including Vermont ( which is an `` unrestricted '' state and neither issues nor requires permits ) , most of these having some residency restrictions ( the holder must either be a resident of Texas or a non-resident of the reciprocal state for the Texas license to be valid in that state ) . Texas recognizes an additional 11 states ' concealed - carry permits unilaterally ; those states do not recognize Texas ' own permit as valid within their jurisdiction , usually due to some lesser requirement of the Texas permit compared to their own .   The handgun licensing law sets out the eligibility criteria that must be met . For example , an applicant must be eligible to purchase a handgun under the State and Federal laws ( including an age restriction of 21 ) , however an exception is granted to active members of the military who are age 18 and over . Additionally , a number of factors may make a person ineligible ( temporarily or permanently ) to obtain a license , including :    felony convictions ( permanent ) and Class A or B misdemeanors ( 5 years , permanent in cases of domestic violence ) , including charges that resulted in probation or deferred adjudication ;   pending criminal charges ( indefinite until resolved ) ;   chemical or alcohol dependency ( defined as 2 convictions for substance - related offenses in a 10 - year period ; 10 - year ban from the date of the first conviction ) ;   certain types of psychological diagnoses ( indefinite until the condition is testified by a medical professional as being in remission ) ;   protective or restraining orders ( indefinite until rescinded ) ; or   defaults on taxes , student loans , child support and / or other governmental fees ( indefinite until resolved ) .    This last category , though having little to do with a person 's ability to own a firearm , is in keeping with Texas policy for any licensing ; those who are delinquent or in default on State - regulated debts or court judgments are generally barred from obtaining or renewing any State - issued license ( including driver licenses ) , as an incentive to settle those debts .   `` Information regarding any psychiatric , drug , alcohol , or criminal history '' is required only from new users . Renewals are required every five years , but are granted without further inquiry into or update of this information .   An eligible person wishing to obtain an LTC ( formerly CHL ) must take a State - set instruction course taught by a licensed instructor for a minimum of 4 hours and a maximum of 6 hours , covering topics such as applicable laws , conflict resolution , criminal / civil liability , and handgun safety , and pass a practical qualification at a firing range with a handgun . The caliber requirement was repealed on September 1 , 2017 . Such courses vary in cost , but are typically around $100 -- $125 for new applicants ( usually not including the cost of ammunition and other shooting supplies ; the practical qualification requires firing 50 rounds of ammunition ) . They may then apply , providing a picture , fingerprints , other documentation , and a $40 application fee ( as of September 1 , 2017 ; previously $140 and $70 for renewals ) , -- active and discharged military are eligible for discounts -- to the DPS , which processes the application , runs a federal background check , and if all is well , issues the permit . Permits are valid for five years , and allow resident holders to carry in 29 other states ( nonresidents may carry in all but four of those ) , due to reciprocity agreements . Discounted LTC fees vary from $0 for active duty military ( through one year after discharge ) , to $25 for military veterans .   College carry laws ( edit )   Public four - year universities ( as of August 1 , 2016 ) and public two - year colleges ( as of August 1 , 2017 ) must allow concealed carry in campus buildings as well . Universities will be allowed to designate certain sensitive areas as `` gun free zones '' ; these will be subject to legislative analysis .   Restrictions on licensed carry ( edit )   While a permitted resident of Texas ( or a nonresident holding a recognized permit ) is generally authorized to carry in most public places , there are State and Federal laws that still restrict a permit holder from carrying a weapon in certain situations . These include :    Federal buildings - Premises owned by the U.S. Federal Government or its agencies for the purpose of any official business of the Federal Government are covered by Federal statutes that supersede State law . It is illegal in general under said statutes to possess a firearm while in any such location , and possession of a State - issued concealed firearms permit is no defense . Such places commonly encountered include post offices , Federal courts , and offices of the IRS , FBI , Justice Department , Department of Energy , USDA , FDA , etc . A rider tied to the 2009 Federal CARD Act has restricted the Department of the Interior from enacting or enforcing restrictions on carry of arms within lands controlled by the Bureau of Land Management ; CHL permittees may carry concealed while in a federal park or wildlife preserve contained wholly or partially within the borders of the State of Texas . However , Army Corps of Engineers properties ( including all reservoir lakes and included park areas ) are still off - limits .   Schools - Concealed carry in a school may be a felony under TPC section 46.03 : `` A person commits an offense if the person intentionally , knowingly , or recklessly possesses or goes with a firearm , illegal knife , club , or prohibited weapon listed in Section 46.05 ( a ) : ... on the physical premises of a school or educational institution , any grounds or building on which an activity sponsored by a school or educational institution is being conducted , or a passenger transportation vehicle of a school or educational institution , whether the school or educational institution is public or private , unless pursuant to written regulations or written authorization of the institution ( emphasis added ) . '' The age / grade level , funding type or for - profit status of the school does not matter . Carry of a concealed weapon while in a public outdoor area surrounding an educational building is permitted ; as defined by TPC 46.035 ( f ) ( 3 ) , `` premises '' refers only to a building or part of a building , and does not refer to driveways , streets , sidewalks , parking lots , parking garages , or privately owned vehicles . Employees of schools will be able to keep their firearms within their vehicles as of September 1 , 2017 .   Public sporting events - It is a Class A misdemeanor to carry while inside a building currently being used for an interscholastic or professional sporting event , unless the person carrying is a participant in the sporting event and said sporting event requires the use of the firearm ( i.e. a target shooting competition ) .   Businesses posting a compliant `` 51 % sign '' - It is a felony to carry a firearm while on the premises of a business that makes more than 51 % of its revenue from the sale of alcoholic beverages for on - premises consumption ( colloquially `` bars '' , `` nightclubs '' , `` taverns '' , `` saloons '' , etc . ) . A person with a LTC that is in violation has a defense that the establishment did not post the proper signage , as required by the Government Code section 411.204 . The proper signage contains similar language as is required of all liquor license holders , but with the addition of a couple of words to prohibit licensed as well as unlicensed carry , and a background containing a red `` 51 % '' to make it obvious at a glance that the sign applies to LTC holders .   Correctional facilities - It is a felony , whether licensed or not , to carry inside a building generally termed a `` jail '' or `` prison '' .   Execution premises - within 1,000 feet of premises the location of which is designated by the Texas Department of Criminal Justice as a place of execution under Article 43.19 , Code of Criminal Procedure , on a day that a sentence of death is set to be imposed on the designated premises and the person received notice that : ( A ) going within 1,000 feet of the premises with a weapon listed under this subsection was prohibited ; or ( B ) possessing a weapon listed under this subsection within 1,000 feet of the premises was prohibited .   Courts or court offices - It is a felony , whether licensed or not , to carry inside a building used by a functioning municipal , state or federal court for official business . Exceptions are granted to certain employees of those offices , such as judges , attorneys , baliffs , and law enforcement officials .   Election polling places - It is a felony , whether licensed or not , to carry inside a building being used as a polling center for any municipal , state and / or federal elections process on the scheduled voting date or while polling is underway . This is significant , as a local business or other generally public building , which would normally not prohibit concealed carry , may offer their facilities for use as a polling place . A person would be in violation if they entered the building on the day voting occurs , even if the polls are not open at the time , and even if the license holder is there for some other purpose than to vote .   Racetracks - It is a felony , whether licensed or not , to carry a firearm on the premises of a racetrack ( horse or dog ) .   While intoxicated - LTC holders may not carry in any place or at any time while intoxicated ( Penal Code 46.035 . ) , defined as : ( a ) not having the normal use of mental or physical faculties by reason of the introduction of alcohol , a controlled substance , a drug , a dangerous drug , a combination of two or more of those substances , or any other substance into the body ; or ( B ) having an alcohol concentration of 0.08 percent BAC or more ( Penal Code 49.01 . )   30.06 signage ( edit )  TPC section 30.06 covers `` Trespass by a person licensed to carry a concealed handgun '' . It allows a residential or commercial landowner to post signage that preemptively bars licensed persons from entering the premises while carrying concealed . It is a Class A misdemeanor to fail to heed compliant signage . As of January 1 , 2016 , the charge for failing to heed signage has been reduced to a Class C misdemeanor , unless it can be shown at trial that the actor was given oral notice and failed to depart , in which case it remains a Class A misdemeanor . This is a significant difference , in that conviction of a Class A or B misdemeanor will result in the loss of your handgun license for at least 5 years , this is not the case if convicted of a Class C misdemeanor .   Signs posted in compliance with TPC 30.06 are colloquially called `` 30.06 signs '' or `` 30.06 signage '' .    The courts have yet to rule on any specific requirements of 30.06 , but LTC permittees are generally instructed that signage which does not comply exactly with TPC Sec . 30.06 ( c ) ( 3 ) ( B ) is not binding . The law states a compliant sign must be :   In contrasting colors ;   With block letters ;   Having text 1 '' or greater in height ;   Containing `` identical '' text to the following :    `` Pursuant to Section 30.06 , Penal Code ( trespass by license holder with a concealed handgun ) , a person licensed under Subchapter H , Chapter 411 , Government Code ( handgun licensing law ) , may not enter this property with a concealed handgun ''      In both English and Spanish ;   Posted conspicuously and `` clearly visible to the public '' .     Hospitals are a gray area due to conflicts in the law and multiple provisions that may apply to a medical facility :   License holders were originally prohibited from carrying concealed inside a hospital without written authorization , under TPS 46.035 ( b ) ( 4 ) .   An amendment in 2007 added paragraph ( i ) to the same section , stating that ( b ) ( 4 ) the prohibition does not apply if the license holder did not receive notice ( oral or written communication , including posting of a sign , under TPC 30.06 ) of the prohibition .   But , a hospital may be a `` teaching hospital '' and considered a school , where firearms carry is prohibited , under TPC 46.03 ( a ) ( 1 ) .   It may also be a VA or military hospital , and thus subject to federal prohibition on weapons carry .   All hospitals are required under Government Code Section 411.204 ( b ) to post a sign stating that possession of a handgun whether licensed or not is a felony . It is unknown , given the amendments to 46.035 , whether the GC 411.204 signage would actually prohibit a CHL holder from carrying , as it would not constitute `` effective notice under section 30.06 '' and GC 411.204 does not describe failure to heed such a sign as an offense by the license holder .     Anyone who owns or controls property may orally or in writing , inform a person carrying a concealed handgun that they must leave the property .    Open carry ( edit )   As of January 1 , 2016 , holders of a Texas CHL or LTC are able to openly carry handguns in the same places that allow concealed carry with some exceptions . Openly carried handguns must be in a shoulder or belt holster .   Existing CHL holders may continue to carry with a valid license . New applicants will be required to complete training on the use of restraint holsters and methods to ensure the secure carry of openly carried handguns .   Exceptions to Open Carry    Open carry is not permitted on the premises of a public institution of higher education or on the premises of a private or independent institution of higher education   Open carry is not permitted on any public or private driveway , street , sidewalk or walkway , parking lot , parking garage or other parking area of an institution of higher education or private or independent institution of higher education   Open carry is not permitted by an individual who is acting as a personal protection officer under Chapter 1702 Texas Occupations Code and is not wearing a uniform   30.07 signage ( edit )  This law took effect January 1 , 2016 , and covers the new Open Carry law . Section 30.07 is substantially similar to Section 30.06 which covers concealed carry .   TPC section 30.07 covers `` Trespass by license holder with an openly carried handgun '' This allows a residential or commercial landowner to post signage that preemptively bars licensed persons from entering the premises while openly carrying a handgun . An offense under section 30.07 is a Class C misdemeanor , unless it is shown at trial that the actor was given oral notice and failed to depart , in which case the offense is a Class A misdemeanor . The 30.07 sign differs from the 30.06 sign in that it must be displayed at each entrance to the property . ( In both cases the sign must be `` clearly visible to the public '' . )   The law states that notice may be given orally by the owner of the property , or someone with apparent authority to act for the owner , or by written communication .   Written communication consists of a card or other document consisting the 30.07 language below , or a sign posted on the property .   Both written communication and a posted sign must contain language identical to the following ( 30.07 notice ) :    `` Pursuant to section 30.07 , Penal Code ( trespass by license holder with an openly carried handgun ) , a person licensed under Subchapter H , Chapter 411 , Government Code ( handgun licensing law ) , may not enter this property with a handgun that is carried openly ''   Additionally , signs posted on the property must conform to the following regulations :   Must include the 30.07 notice above in both English and Spanish   Must appear in contrasting colors   Must be in block letters at least one inch in height   Must be `` displayed in a conspicuous manner clearly visible to the public at each entrance to the property ''        Castle Doctrine ( edit )   On March 27 , 2007 , Governor Rick Perry signed Senate Bill 378 into law , making Texas a `` Castle Doctrine '' state which came into effect September 1 , 2007 . Residents lawfully occupying a dwelling may use deadly force against a person who `` unlawfully , and with force , enters or attempts to enter the dwelling '' , or who unlawfully and with force removes or attempts to remove someone from that dwelling , or who commits or attempts to commit a `` qualifying '' felony such as `` aggravated kidnapping , murder , sexual assault , aggravated sexual assault , robbery , or aggravated robbery '' ( TPC 9.32 ( b ) ) .   Stand your Ground ( edit )   Senate Bill 378 also contains a `` Stand Your Ground '' clause ; A person who has a legal right to be wherever he / she is at the time of a defensive shooting has no `` duty to retreat '' before being justified in shooting . The `` trier of fact '' ( the jury in a jury trial , otherwise the judge ) may not consider whether the person retreated when deciding whether the person was justified in shooting ( TPC 9.32 ( c , d ) ) .   Civil immunity ( edit )   In addition , two statutes of the Texas Civil Practice And Remedies Code protect people who justifiably threaten or use deadly force . Chapter 86 prohibits a person convicted of a misdemeanor or felony from filing suit to recover any damages suffered as a result of the criminal act or any justifiable action taken by others to prevent the criminal act or to apprehend the person , including the firing of a weapon . Chapter 83 of the same code states that a person who used force or deadly force against an individual that is justified under TPC Chapter 9 is immune from liability for personal injury or death of the individual against whom the force was used . This does not relieve a person from liability for use of force or deadly force on someone against whom the force would not be justified , such as a bystander hit by an errant shot .   This law does not prevent a person from being sued for using deadly force . The civil court will determine if the defendant was justified under chapter 9 of the Penal Code .   Motorists protection act ( edit )   Gov. Perry also signed H.B. 1815 after passage by the 2007 Legislature , a bill that allows any Texas resident to carry a handgun in the resident 's motor vehicle without a CHL or other permit . The bill revised Chapter 46 , Section 2 of the Penal Code to state that it is in fact not `` Unlawful Carry of a Weapon '' , as defined by the statute , for a person to carry a handgun while in a motor vehicle they own or control , or to carry while heading directly from the person 's home to that car . However , lawful carry while in a vehicle requires these four critical qualifiers : ( 1 ) the weapon must not be in plain sight ( in Texas law , `` plain sight '' and `` concealed '' are mutually exclusive opposing terms ) ; ( 2 ) the carrier can not be involved in criminal activities , other than Class C traffic misdemeanors ; ( 3 ) the carrier can not be prohibited by state or federal law from possessing a firearm ; and ( 4 ) the carrier can not be a member of a criminal gang .   Previous legislation ( H.B. 823 ) enacted in the 2005 session of the Legislature had modified TPC 46.15 ( `` Non-Applicability '' ) to include the `` traveller assumption '' ; a law enforcement officer who encounters a firearm in a vehicle was required to presume that the driver of that vehicle was `` travelling '' under a pre-existing provision of 46.15 , and thus the Unlawful Carry statute did not apply , absent evidence that the person was engaged in criminal activity , a member of a gang , or prohibited from possessing a firearm . However , attorneys and law enforcement officials in several municipalities including DA Chuck Rosenthal of Houston stated that they would continue to prosecute individuals found transporting firearms in their vehicles despite this presumption , leading to the more forceful statement of non-applicability in the 2007 H.B. 1815 .   National firearms act ( edit )   Possession of destructive devices , automatic firearms ( machine guns ) , short - barrel shotguns ( SBS ) , short - barrel rifles ( SBR ) , suppressors , smoothbore pistols and other such NFA - restricted weapons is permitted by Texas law as long the owner has registered the item ( s ) into the NFA registry . This registration is legal if the owner possesses the proper forms , processed in accordance with the National Firearms Act which includes a paid tax stamp and approval by the NFA branch of the BATFE .   State preemption of local laws ( edit )   Certain local preemptions exist within the state of Texas which prohibit city or county governments from passing ordinances further restricting the lawful carrying of handguns in certain instances beyond that of state law .   In 2015 , the legislature passed penal code 411.209 which prohibited an agency or political subdivision from excluding from government property any concealed handgun license holder from carrying a gun unless firearms are prohibited on the premises by state law .   Furthermore , Texas penal code 235.023 states the commissioners court of a county ( i.e. county legislative body ) is not authorized to regulate the transfer , ownership , possession , or transportation of firearms or require the registration of firearms   More general prohibitions on restrictions on the sale , transfer , ownership , possession , etc. of firearms and knives under local law are listed under Local Government Code Title 7 , Subtitle A , Chapter 229 , Subchapter A   Further Attorney General decisions also exist . For example , in August 1995 under DM - 0364 , Attorney General Dan Morales passed an opinion that municipalities are prohibited from regulating the carrying of concealed handguns in city parks by persons licensed to carry a handgun : `` ... we believe that a municipality does not have the power to prohibit licensees from carrying handguns in city parks but that a county does have such power over county parks ''   Dan Morales also held that municipal housing authorities are subject to the preemption statute and this precludes authorities from adopting a regulation to evict a tenant for the otherwise legal possession of a firearm .   See also ( edit )    Gun violence and gun control in Texas   Law of Texas    References ( edit )    Jump up ^ `` Texas Government Code - Section 411.172 '' . Texas Constitution and Statutes . Retrieved 2015 - 06 - 13 .   Jump up ^ `` NFA Weapons Now Legal In Texas '' . ammoland.com. 2015 - 06 - 02 . Retrieved 2017 - 04 - 15 .   Jump up ^ `` TxDPS - CHL Sign Posting '' . Txdps.state.tx.us . Retrieved 2011 - 12 - 23 .   Jump up ^ `` NRA / ILA Firearms Laws for Texas '' ( PDF ) . Retrieved 2014 - 10 - 17 .   Jump up ^ `` PENAL CODE CHAPTER 46 . WEAPONS '' . Statutes.legis.state.tx.us . Retrieved 2015 - 03 - 16 .   ^ Jump up to : `` Texas License to Carry a Handgun Laws '' ( PDF ) . Txdps.state.tx.us . Retrieved 2016 - 02 - 23. )   Jump up ^ `` Welcome License To Carry A Handgun Texas.gov '' . Txapps.texas.gov . Retrieved 2016 - 02 - 23 .   ^ Jump up to : NRA - ILA . `` NRA - ILA Texas : Governor Abbott Signs Remaining Pro-Second Amendment Bills from 2017 Regular Session '' . NRA - ILA . Retrieved 2017 - 06 - 17 .   Jump up ^ NRA - ILA . `` NRA - ILA Abbott Signs Senate Bill 16 , Bringing Texas License To Carry Fees Down to Among Lowest in Nation '' . NRA - ILA . Retrieved 2017 - 05 - 26 .   Jump up ^ `` Texas CCW information '' ( PDF ) . Handgunlaw.us . Retrieved 2013 - 11 - 27 .   Jump up ^ `` TxDPS -- Agreements with other states '' . Txdps.state.tx.us . Retrieved 2016 - 02 - 23 .   ^ Jump up to : `` TxDPS - New laws for Handgun Licensing Program '' . Txdps.state.tx.us . Retrieved 2016 - 02 - 23 .   Jump up ^ ( 1 )   Jump up ^ `` TEX PE . CODE § 30.06 : Section 30.06 : TRESPASS BY LICENSE HOLDER WITH A CONCEALED HANDGUN '' . www.statutes.legis.state.tx.us. 2016 - 01 - 01 . Retrieved 2016 - 01 - 25 .   Jump up ^ `` TxDPS - New Legislation for Concealed Handgun Licensing '' . www.dps.texas.gov . Retrieved 2015 - 12 - 17 .   Jump up ^ `` PENAL CODE CHAPTER 30 . BURGLARY AND CRIMINAL TRESPASS '' . www.statutes.legis.state.tx.us . Retrieved 2015 - 12 - 17 .   Jump up ^ `` Texas Legislature Online -- History of Senate Bill 378 '' . Capitol.state.tx.us . Retrieved 2011 - 12 - 23 .   Jump up ^ `` CIVIL PRACTICE AND REMEDIES CODE CHAPTER 86 . LIABILITY FOR CERTAIN INJURIES TO CONVICTED PERSONS '' . Statutes.legis.state.tx.us . Retrieved 2015 - 03 - 16 .   Jump up ^ `` CIVIL PRACTICE AND REMEDIES CODE CHAPTER 83 . USE OF FORCE OR DEADLY FORCE '' . Statutes.legis.state.tx.us . Retrieved 2015 - 03 - 16 .   Jump up ^ `` Texas H.B. 1815 '' . Capitol.state.tx.us. 2007 - 09 - 01 . Retrieved 2011 - 12 - 23 .   Jump up ^ `` PENAL CODE CHAPTER 46 . WEAPONS '' . Statutes.legis.state.tx.us . Retrieved 2015 - 03 - 16 .   Jump up ^ https://web.archive.org/web/20111126103705/http://apps.carryconcealed.net/legal/texas-ccw-state-laws.php . Archived from the original on November 26 , 20</t>
  </si>
  <si>
    <t xml:space="preserve">how old do you have to be in texas to own a gun</t>
  </si>
  <si>
    <t xml:space="preserve"> Texas has no laws regarding possession of any firearm regardless of age , without felony convictions ; all existing restrictions in State law mirror Federal law . A person of any age , except certain Felons , can possess a firearm such as at a firing range . Texas and Federal law only regulate the ownership of all firearms to 18 years of age or older , and regulate the transfer of handguns to 21 years or older by FFL dealers . However , a private citizen may sell , gift , lease etc. a handgun to anyone over 18 who is not Felon . NFA weapons are also only subject to Federal restrictions ; no State regulations exist . Municipal and county ordinances on possession and carry are generally overridden ( preempted ) due to the wording of the Texas Constitution , which gives the Texas Legislature ( and it alone ) the power to `` regulate the wearing of arms , with a view to prevent crime '' . Penal Code Section 1.08 also prohibits local jurisdictions from enacting or enforcing any law that conflicts with State statute . Local ordinances restricting discharge of a firearm are generally allowed as State law has little or no specification thereof , but such restrictions do not preempt State law concerning justification of use of force and deadly force . </t>
  </si>
  <si>
    <t xml:space="preserve">Christianisation of Anglo - Saxon England - wikipedia  Christianisation of Anglo - Saxon England   The Christianisation of Anglo - Saxon England was a process spanning the 7th century . It was essentially the result of the Gregorian mission of 597 , which was joined by the efforts of the Hiberno - Scottish mission from the 630s . From the 8th century , the Anglo - Saxon mission was in turn instrumental in the conversion of the population of the Frankish Empire .   Æthelberht of Kent was the first king to accept baptism , circa 601 . He was followed by Saebert of Essex and Rædwald of East Anglia in 604 . However , when Æthelberht and Saebert died , in 616 , they were both succeeded by pagan sons who were hostile to Christianity and drove the missionaries out , encouraging their subjects to return to their native paganism . Christianity only hung on with Rædwald , who was still worshiping the pagan gods alongside Christ .   The first Archbishops of Canterbury during the first half of the 7th century were members of the original Gregorian mission . The first native Saxon to be consecrated archbishop was Deusdedit of Canterbury , enthroned in 655 . The first native Anglo - Saxon bishop was Ithamar , enthroned as Bishop of Rochester in 644 .   The decisive shift to Christianity occurred in 655 when King Penda was slain in the Battle of the Winwaed and Mercia became officially Christian for the first time . The death of Penda also allowed Cenwalh of Wessex to return from exile and return Wessex , another powerful kingdom , to Christianity . After 655 , only Sussex and the Isle of Wight remained openly pagan , although Wessex and Essex would later crown pagan kings . In 686 Arwald , the last openly pagan king was slain in battle and from this point on all Anglo - Saxon kings were at least nominally Christian ( although there is some confusion about the religion of Caedwalla who ruled Wessex until 688 ) .   Lingering paganism among the common population gradually became English folklore .     Contents  ( hide )   1 Kent 588 - 640   1.1 588 : Æthelbert of Kent marries Bertha   1.2 597 : Gregorian mission arrives   1.3 616 : Eadbald 's Pagan backlash   1.3. 1 Bede 's account   1.3. 2 Alternative chronology     1.4 640 : Eorcenberht orders idols destroyed     2 Essex 604 - 665   3 East Anglia 604 - 630   3.1 604 : Rædwald is baptized   3.2 627 : Eorpwald is baptized   3.3 627 : Ricberht 's Pagan backlash   3.4 630 : Sigeberht of East Anglia returns from exile     4 Northumbria 625 - 634   5 Mercia 653 - 655   6 Sussex 675 - 681   7 Wessex 603 - 685   8 Isle of Wight 661 - 686   9 Notes   10 References      Kent 588 - 640 ( edit )   588 : Æthelbert of Kent marries Bertha ( edit )  Gregory dictating , from a 10th - century manuscript  In 595 , when Pope Gregory I decided to send a mission to convert the Anglo - Saxons to Christianity , the Kingdom of Kent was ruled by Æthelberht . He had married a Christian princess named Bertha before 588 , and perhaps earlier than 560 . Bertha was the daughter of Charibert I , one of the Merovingian kings of the Franks . As one of the conditions of her marriage she had brought a bishop named Liudhard with her to Kent as her chaplain . They restored a church in Canterbury that dated to Roman times , possibly the present - day St Martin 's Church . Æthelberht was at that time a pagan , but he allowed his wife freedom of worship . Liudhard does not appear to have made many converts among the Anglo - Saxons , and if not for the discovery of a gold coin bearing the inscription Leudardus Eps ( Eps is an abbreviation of Episcopus , the Latin word for bishop ) his existence may have been doubted . One of Bertha 's biographers states that , influenced by his wife , Æthelberht requested Pope Gregory to send missionaries . The historian Ian Wood feels that the initiative came from the Kentish court as well as the queen .   597 : Gregorian mission arrives ( edit )   In 597 the mission landed in Kent , and it quickly achieved some initial success : Æthelberht permitted the missionaries to settle and preach in his capital of Canterbury , where they used the church of St. Martin 's for services , and this church became the seat of the bishopric . Neither Bede nor Gregory mentions the date of Æthelberht 's conversion , but it probably took place in 597 .   In the early medieval period , large - scale conversions required the ruler 's conversion first , and large numbers of converts are recorded within a year of the mission 's arrival in Kent . By 601 , Gregory was writing to both Æthelberht and Bertha , calling the king his son and referring to his baptism . A late medieval tradition , recorded by the 15th - century chronicler Thomas Elmham , gives the date of the king 's conversion as Whit Sunday , or 2 June 597 ; there is no reason to doubt this date , but there is no other evidence for it . A letter of Gregory 's to Patriarch Eulogius of Alexandria in June 598 mentions the number of converts made , but does not mention any baptism of the king in 597 , although it is clear that by 601 he had been converted . The royal baptism probably took place at Canterbury , but Bede does not mention the location .   Why Æthelberht chose to convert to Christianity is uncertain . Bede suggests that the king converted strictly for religious reasons , but most modern historians see other motives behind Æthelberht 's decision . Certainly , given Kent 's close contacts with Gaul , it is possible that Æthelberht sought baptism in order to smooth his relations with the Merovingian kingdoms , or to align himself with one of the factions then contending in Gaul . Another consideration may have been that new methods of administration often followed conversion , whether directly from the newly introduced church or indirectly from other Christian kingdoms .   Evidence from Bede suggests that although Æthelberht encouraged conversion , he was unable to compel his subjects to become Christians . The historian R.A. Markus feels that this was due to a strong pagan presence in the kingdom , which forced the king to rely on indirect means including royal patronage and friendship to secure conversions . For Markus , this is demonstrated by the way in which Bede describes the king 's conversion efforts , which when a subject converted , were to `` rejoice at their conversion '' and to `` hold believers in greater affection '' .   616 : Eadbald 's pagan backlash ( edit )         O : Bust of Eadbald right . AVDV ( ALD REGES )   R : Cross on globe within wreath . + + IÞNNBALLOIENVZI     Gold thrymsa of Eadbald of Kent , London ( ? ) , 616 -- 40     Eadbald came to the throne on the death of his father on 24 February 616 , or possibly 618 . Although Æthelberht had been Christian since about 600 and his wife Bertha was also Christian , Eadbald was a pagan . Bertha died some time before Eadbald 's accession , and Æthelberht remarried . The name of Æthelberht 's second wife is not recorded , but it seems likely that she was a pagan , since on his death she married Eadbald , her stepson : a marriage between a stepmother and stepson was forbidden by the church .   Bede records that Eadbald 's repudiation of Christianity was a `` severe setback '' to the growth of the church . Sæberht , the king of Essex , had become a Christian under Æthelberht 's influence , but on Sæberht 's death , at about the same time , his sons expelled Mellitus , the bishop of London . According to Bede , Eadbald was punished for his faithlessness by `` frequent fits of insanity '' , and possession by an `` evil spirit '' ( perhaps referring to epileptic fits ) , but was eventually persuaded to give up his wife and adopt Christianity . Eadbald 's second wife , Ymme , was Frankish , and it may well be that Kent 's strong connections with Francia were a factor in Eadbald 's conversion . It is likely that the missionaries in Canterbury had Frankish support . In the 620s , Eadbald 's sister Æthelburg came to Kent , but sent her children to the court of King Dagobert I in Francia ; in addition to the diplomatic connections , trade with the Franks was important to Kent . It is thought likely that Frankish pressure had been influential in persuading Æthelberht to become Christian , and Eadbald 's conversion and marriage to Ymme are likely to have been closely connected diplomatic decisions .   Two graves from a well - preserved sixth and seventh - century Anglo - Saxon cemetery at Finglesham have yielded a bronze pendant and a gilt buckle with designs that are related to each other and may be symbolic of religious activity involving the Germanic deity Woden . These objects probably date from the period of the pagan reaction .  Bede 's account ( edit )  Bede 's account of Eadbald 's rejection of the church and subsequent conversion is quite detailed , but not without some internal inconsistencies . Bede 's version of events are laid out as follows :    24 February 616 : Æthelberht dies and Eadbald succeeds .   616 : Eadbald leads a pagan reaction to Christianity . He marries his stepmother , contrary to church law , and he refuses baptism . At about this time Mellitus , bishop of London , is expelled by the sons of Sæberht in Essex , and goes to Kent .   616 : Mellitus and Justus , bishop of Rochester , leave Kent for Francia .   616 / 617 : Some time after Mellitus and Justus depart , Laurence , the archbishop of Canterbury , plans to leave for Francia , but has a vision in which St Peter scourges him . In the morning he shows the scars to Eadbald who is converted to Christianity as a result .   617 : Justus and Mellitus both return from Francia , `` the year after they left '' . Justus is restored to Rochester .   c. 619 : Laurence dies , and Mellitus becomes archbishop of Canterbury .   619 -- 624 : Eadbald builds a church which is consecrated by Archbishop Mellitus .   24 April 624 : Mellitus dies and Justus succeeds him as archbishop of Canterbury .   624 : after Justus 's succession , Pope Boniface writes to him to say that he has heard in letters from King Aduluald ( possibly a scribal error for Eadbald ) of the king 's conversion to Christianity . Boniface sends the pallium with this letter , adding that it is only to be worn when celebrating `` the Holy Mysteries '' .   By 625 Edwin of Deira , king of Northumbria , asks for the hand in marriage of Æthelburg , Eadbald 's sister . Edwin is told he must allow her to practice Christianity , and must consider baptism himself .   21 July 625 : Justus consecrates Paulinus bishop of York .   July or later in 625 : Edwin agrees to the terms and Æthelburg travels to Northumbria , accompanied by Paulinus .   Easter 626 : Æthelburg is delivered of a daughter , Eanflæd .   626 : Edwin completes a military campaign against the West Saxons . At `` about this time '' Boniface writes to both Edwin and Æthelburg . The letter to Edwin urges him to accept Christianity and refers to the conversion of Eadbald . The letter to Æthelburg mentions that the pope has recently heard the news of Eadbald 's conversion , and encourages her to work for the conversion of her husband , Edwin .   Alternative chronology ( edit )  Although Bede 's narrative is widely accepted , an alternative chronology has been proposed by D.P. Kirby . Kirby points out that Boniface 's letter to Æthelburg makes it clear that the news of Eadbald 's conversion is recent , and that it is unthinkable that Boniface would not have been kept up to date on the status of Eadbald 's conversion . Hence Eadbald must have been converted by Justus , as is implied by Boniface 's letter to Justus . The pallium accompanying that letter indicates Justus was archbishop by that time , and the duration of Mellitus 's archiepiscopate means that even if Bede 's dates are somewhat wrong in other particulars , Eadbald was converted no earlier than 621 , and no later than April 624 , since Mellitus consecrated a church for Eadbald before his death in that month . The account of Laurence 's miraculous scourging by Peter can be disregarded as a later hagiographical invention of the monastery of St Augustine 's , Canterbury .   As mentioned above , it has been suggested that King `` Aduluald '' in the letter to Justus is a real king Æthelwald , perhaps a junior king of west Kent . In that case it would appear that Laurence converted Eadbald , and Justus converted Æthelwald . It has also been suggested that the pallium did not indicate Justus was archbishop , since Justus is told the limited circumstances in which he may wear it ; however , the same phrasing occurs in the letter conveying the pallium to Archbishop Augustine , also quoted in Bede . Another possibility is that the letter was originally two letters . In this view , Bede has conflated the letter conveying the pallium with the letter congratulating Justus on the conversion , which according to Bede 's account was seven or so years earlier ; but the grammatical details on which this suggestion is based are not unique to this letter , and as a result it is usually considered to be a single composition .   The letter to Æthelburg makes it clear that she was already married at the time the news of Eadbald 's conversion reached Rome . This is quite inconsistent with the earlier date Bede gives for Eadbald 's acceptance of Christianity , and it has been suggested in Bede 's defence that Æthelburg married Edwin substantially earlier and stayed in Kent until 625 before travelling to Rome , and that the letter was written while she was in Kent . However , it would appear from Boniface 's letter that Boniface thought of Æthelburg as being at her husband 's side . It also appears that the letter to Justus was written after the letters to Edwin and Æthelburg , rather than before , as Bede has it ; Boniface 's letter to Edwin and Æthelburg indicates he had the news from messengers , but when he wrote to Justus he had heard from the king himself .   The story of Æthelburg 's marriage being dependent on Edwin allowing her to practice her faith has been questioned , since revising the chronology makes it likely , though not certain , that the marriage was arranged before Eadbald 's conversion . In this view , it would have been the church that objected to the marriage , and Æthelburg would have been Christian before Eadbald 's conversion . The story of Paulinus 's consecration is also problematic as he was not consecrated until at least 625 and possibly later , which is after the latest possible date for Æthelburg 's marriage . However , it may be that he traveled to Northumbria prior to his consecration and only later became bishop .   A revised chronology of some of these events follows , taking the above considerations into account .    616 : Eadbald leads a pagan reaction to Christianity .   616 : Mellitus and Justus , bishop of Rochester , leave Kent for Francia .   c. 619 : Laurence dies , and Mellitus becomes archbishop of Canterbury .   Early 624 ? : Justus converts Eadbald . Messengers go to Rome . Also at about this time Æthelburg 's marriage to Edwin is arranged , perhaps before the conversion . Eadbald builds a church , and Mellitus consecrates it .   24 April 624 : Mellitus dies and Justus succeeds him as archbishop of Canterbury .   Mid 624 : Edwin agrees to the marriage terms and Æthelburg travels to Northumbria , accompanied by Paulinus .   Later 624 : the pope receives news of Eadbald 's conversion and writes to Æthelburg and Edwin .   Still later 624 : the pope hears from Eadbald of his conversion , and also hears of Mellitus 's death . He writes to Justus to send him the pallium .   21 July 625 or 626 : Justus consecrates Paulinus bishop of York .    This timeline extends the duration of the pagan reaction from less than a year , in Bede 's narrative , to about eight years . This represents a more serious setback for the church .   640 : Eorcenberht orders idols destroyed ( edit )   According to Bede ( HE III. 8 ) , Eorcenberht was the first king in Britain to command that pagan `` idols '' ( cult images ) be destroyed and that Lent be observed . It has been suggested that these orders may have been officially committed to writing , in the tradition of Kentish law - codes initiated by Æthelberht , but no such text survives . This indicates that while King Eadbald had converted at least 16 years previously , the general population were still openly pagan in 640 .   Essex 604 - 665 ( edit )       This section does not cite any sources . Please help improve this section by adding citations to reliable sources . Unsourced material may be challenged and removed . ( December 2016 ) ( Learn how and when to remove this template message )      604 : Sæberht of Essex is baptised by Mellitus   616 : Sexred and Sæward of Essex are crowned : pagan resurgence   653 : Sigeberht the Good is baptized   660 : Swithhelm of Essex is crowned : pagan resurgence   662 : Swithhelm is baptized   665 : Sighere of Essex leads a pagan resurgence   665 : Jaruman is sent by Wulfhere of Mercia to reconvert the East Saxons .    Sæbert of Essex was baptised by Mellitus in 604 , but following his death in 616 his sons Sexred and Sæward drove Melitus out and `` encouraged their people to return to the old gods '' . Mellitus returned to Essex when Eadbald of Kent converted , but pagans drove him out again . Essex remained officially pagan until 653 when Oswy of Northumbria persuaded Sigeberht the Good to convert and allow Cedd to preach there . In 660 Sigeberht was killed by his pagan brothers for being too accommodating to Christianity . Swithhelm took over , but Æthelwold of East Anglia persuaded him to convert in 662 . Swithhelm died in 664 and his two cousins Sighere and Sæbbi ruled Essex jointly . While there is no mention of Sighere accepting Christianity in the first place , when a plague broke out in 665 he `` abandoned the mysteries of the Christian faith and relapsed into paganism '' . The people in Sighere 's half of Essex became openly pagan once again , but Sæbbi 's ally Wulfhere of Merica sent the Jaruman to convert them and made Sighere marry his niece Osyth , who he later divorced . Sighere was the last pagan king of Essex .   East Anglia 604 - 630 ( edit )       This section does not cite any sources . Please help improve this section by adding citations to reliable sources . Unsourced material may be challenged and removed . ( December 2016 ) ( Learn how and when to remove this template message )     604 : Rædwald is baptized ( edit )   Rædwald of East Anglia received the Christian sacraments from Mellitus in Kent , presumably at the invitation of Æthelberht who may have been his baptismal sponsor . The date of this initiation is not exactly known , but since it is claimed that Augustine ( d. c 604 ) dedicated a church near Ely , it may have followed Saebert 's conversion fairly swiftly . In this way Rædwald became aligned with Æthelberht 's system of authority . Bede states that even during Æthelbert 's lifetime Rædwald was building up the leadership of the southern English for his own nation of East Angles .   In East Anglia Rædwald 's conversion was not universally acceptable to his household , nor by his wife . She and her pagan teachers probably persuaded him to default in part from his commitment to it . In his temple , therefore , there were two altars , one dedicated to Christ , and one for dedications to the Anglo - Saxon gods . Raedwald is considered the most likely candidate for the Sutton Hoo ship burial , which displays both pagan and Christian iconography .   In 616 the pagan backlash in Kent and Essex left Rædwald the only ( partially ) Christian king in the Anglo - Saxon kingdoms . Rædwald died in 624 and was succeeded by his son Eorpwald .   627 : Eorpwald is baptized ( edit )   Paulinus undertook the conversion of the Northumbrian people , and also those of the Kingdom of Lindsey ( Lincolnshire ) and East Anglia . This Christian patronage helped to affirm Edwin 's position as senior ruler of the English , and until his final confrontation with Cadwallon ap Cadfan of Gwynedd in 632 - 3 he also held the British or Welsh powers under his dominion .   It was at Edwin 's prompting that Eorpwald , together with his kingdom , received the Christian faith and sacraments . Eorpwald was therefore not yet a Christian during his father 's lifetime nor at his own accession . It is not known whether his baptism took place in East Anglia , Northumbria or Kent , but it is very likely that Edwin , now a senior ruler , was his sponsor at baptism . The conversion had the political benefit of bringing the entire eastern seaboard from Northumbria to Kent under the dominion of Christian rulers in alliance with Edwin , with the single exception of the Essex .   627 : Ricberht 's pagan backlash ( edit )   Not long after his conversion Eorpwald was slain ( occisus ) by a pagan ( viro gentili ) named Ricberht . The circumstances are not recorded , so that it is not known whether Ricberht represented an internal East Anglian opposition to Christian rule , or if he was an emissary from an external power wishing to diminish Edwin 's influence .   Bede states that after the slaying of Eorpwald the kingdom reverted to heathen rule ( in errore versata est ) for three years . This does not necessarily mean an overt struggle between the worship of the Anglo - Saxon gods and the worship of Christ , but could equally express a conflict in the political allegiances which Edwin 's rise to power had prompted . The attribution of these three years to a supposed rule of Ricberht is a banner of convenience , though the fact that his name was remembered at all ( when East Anglian history of this period is dependent upon very fragmentary records ) indicates that he was a person of some importance .   630 : Sigeberht of East Anglia returns from exile ( edit )   After the interregnum prompted by Eorpwald 's assassination , Sigeberht was recalled from Gaul to become ruler of the East Angles . It is likely that he gained the kingdom by military means , because his prowess as a military commander was later remembered . During his reign part of the Kingdom was governed by his kinsman Ecgric , the relationship described by the Latin term cognatus . This may mean that Ecgric was a son of Rædwald . However some authorities consider Ecgric to be the same person as Æthilric , named in the East Anglian tally ( in the Anglian Collection ) as a son of Eni , Rædwald 's brother . Whoever Ecgric was , Sigeberht had equal or senior power while he ruled , because the influence of his religious patronage was felt both in eastern and western parts of the kingdom .   Sigeberht 's Christian conversion may have been a decisive factor in his achieving royal power , since at that time Edwin of Northumbria ( 616 - 632 / 3 ) was the senior English king , and only he and Eadbald of Kent were Christian rulers . Eadbald certainly had contacts with the Frankish rulers . After Dagobert succeeded Clothar II in Francia in 628 , Sigeberht 's emergence helped to strengthen the English conversion upon which Edwin 's power rested . Sigeberht is likely to have encouraged the conversion of Ecgric , if he was not already Christian . Edwin 's encouragement took shape in the marriage of his grand - niece Hereswith , sister of Saint Hilda , to Æthilric , Rædwald 's nephew . Hereswith and Hild were under Edwin 's protection and were baptised with him in 626 . This marriage held the presumption that Æthilric was , or would become , Christian , and probably also that he should at some time become King of East Anglia .   Bede relates that the East Anglian apostle Saint Felix came to England from Burgundy as a missionary bishop , and was sent by Honorius , the Archbishop of Canterbury to assist Sigeberht . William of Malmesbury has the later story that Felix accompanied Sigeberht to East Anglia . In either case , this dates Sigeberht 's accession to c629 - 630 , because Felix was Bishop for 17 years , his successor Thomas for five , and his successor Berhtgisl Boniface for 17 - and Berhtgisl died in around 669 . Sigeberht established the bishop 's seat of his kingdom for Felix at Dommoc , claimed variously for Dunwich or Walton , Felixstowe ( both coastal sites in Suffolk ) . If at Walton ( as Rochester claimed during the thirteenth century ) , the site of Dommoc may have been within the precinct of a Roman fort which formerly stood there .   Sigeberht also established a school in his kingdom for boys to be taught reading and writing in Latin , on the model that he had witnessed in Gaul . Felix assisted him by obtaining teachers of the kind who taught in Kent . Paulinus of York was from 633 to 644 bishop of Rochester on the Medway , then the nearest bishopric in Kent to East Anglia . Paulinus had ( according to the Whitby Life of Gregory the Great ) been connected with the court of Rædwald during the exile of Edwin .   The allegiance of Felix to Canterbury determined the Roman basis of the East Anglian Church , though his training in Burgundy may have been coloured by the teaching of the Irish missionary Columbanus in Luxeuil . In around 633 , perhaps shortly before Aidan was sent to Lindisfarne from Iona , the Irish royal hermit and missionary Fursey came from the Athlone area with his priests and brethren to East Anglia . Sigeberht granted him a monastery site in an old Roman fort called Cnobheresburg , usually identified as Burgh Castle near Yarmouth . Felix and Fursey both effected many conversions and established churches in Sigeberht 's kingdom . Bede records that Archbishop Honorius and Bishop Felix much admired the work of Aidan of Lindisfarne . Therefore , it is likely that they also appreciated of Fursey , whose community also lived according to the ascetic principles of Irish Christianity .   Northumbria 625 - 634 ( edit )       This section does not cite any sources . Please help improve this section by adding citations to reliable sources . Unsourced material may be challenged and removed . ( December 2016 ) ( Learn how and when to remove this template message )      625 : Paulinus begins preaching   627 : Edwin is baptised   633 : Osric and Eanfrith of Bernicia are crowned : Heathen resurgence   634 : Oswald is crowned    Paulinus arrived in Bernicia in 625 to convince Edwin to accept baptism . Edwin allowed his daughter Eanfled to be baptised , and vowed to accept baptism himself if his campaign against Cwichelm of Wessex was successful . Bede recounts that Edwin was finally baptised on 12 April 627 , but he does not appear to have made any effort to convert his subjects . He died in 633 and Osric and Eanfrith , his cousin and nephew respectively , took over Bernicia and Deira . Osric and Eanfrith had both accepted baptism while in exile with the Picts , but upon taking their thrones reverted their kingdoms to paganism . They were both killed by Cadwallon ap Cadfan of Gwynedd in 634 , who was in turn killed by Eanfrith 's brother Oswald in the same year . Oswald had been baptised while in exile with the Scots , and had persuaded his council to accept baptism if they were victorious against Cadwallon . Oswald requested missionaries to convert the pagan Bernicians and Deirans . The first bishop to try eventually gave up and returned to Iona , reporting that the Northumbrians were ardently pagan and refusing to convert . Aidan arrived in 635 and spent the rest of his life converting the Northumbrians , dying in 651 .   Mercia 653 - 655 ( edit )       This section does not cite any sources . Please help improve this section by adding citations to reliable sources . Unsourced material may be challenged and removed . ( December 2016 ) ( Learn how and when to remove this template message )      653 : Preaching Begins   655 : Peada is crowned    The pagan King Penda allowed Christian missionaries to begin preaching in Mercia in 653 when his son Peada was baptised . Peada had accepted baptism in order to marry Alhflæd , the daughter of Oswiu of Bernicia . Penda was killed in battle against Oswiu on 15 November 655 , and Peada took the throne , becoming the first Christian king . Unusually Mercia had no official relapse into paganism .   Sussex 675 - 681 ( edit )       This section does not cite any sources . Please help improve this section by adding citations to reliable sources . Unsourced material may be challenged and removed . ( December 2016 ) ( Learn how and when to remove this template message )      675 : Æthelwealh is baptised   681 : Wilfrid begins preaching    Æthelwealh of Sussex was baptised in Mercia sometime during or just before 675 , probably as a condition of marrying the Christian Queen Eafa of the Hwicce . In 681 Wilfrid arrived in Sussex to begin converting the general population . Bede says Wulfhere had had him converted `` not long previously '' , but it could n't have been later than 675 because that is when Wulfhere died . Æthelwealh gave Wilfrid land in Selsey where he founded Selsey Abbey . While there Wilfrid met with Cædwalla of Wessex and guaranteed support for his invasion of Sussex ( despite Æthelwealh granting him land and allowing him to preach in his kingdom ) . In 685 Cædwalla , who was now King of Wessex , invaded Sussex and killed Æthelwealh . Two ealdormen of Æthelwealh , Berthun and Andhun , drove him out and administered the kingdom from then on . Their religious affiliation is not recorded . In 686 Wilfrid was recalled to York , Berthun and Andhun attacked Kent , Berthun was killed somewhere along the line and Sussex was conquered by Cædwalla .   Wessex 603 - 685 ( edit )       This section needs additional citations for verification . Please help improve this article by adding citations to reliable sources . Unsourced material may be challenged and removed . ( December 2016 ) ( Learn how and when to remove this template message )      603 : Augustine of Canterbury begins preaching ( possibly apocryphal )   635 : Cynegils of Wessex and Cwichelm of Wessex are baptised   643 : Cenwalh is crowned : Heathen resurgence   655 : Cenwalh returns from exile , now baptized   676 : Centwine is crowned , Heathen resurgence   685 : Cædwalla is crowned , unbaptized but pro-Christian    The monk Goscelin recorded a short legend that after converting Æthelberht of Kent , Augustine traveled into Wessex to convert the population . In the village of Cernel the locals jeered at him and drove him out of town , pinning fish to him in mockery of his religion . According to this legend Augustine eventually returned and converted them by smashing their idol . Bede , however , says that the West Saxons were `` completely heathen '' until 635 when Birinus began preaching there . The joint Kings Cynigils and Cwichelm were baptised in 635 or 636 with King Oswin of Northumbria as their godfather , and Bede claims the common population were converted also . When Cynegils died in 643 his son Cenwalh ascended to the throne ; Bede said of Cenwalh , that he `` refused to embrace the mysteries of the faith , and of the heavenly kingdom ; and not long after also he lost the dominion of his earthly kingdom ; for he put away the sister of Penda , king of the Mercians , whom he had married , and took another wife ; whereupon a war ensuing , he was by him expelled his kingdom '' . The pagan King Penda took over Wessex and Cenwalh accepted baptism while under the protection of the Christian king Anna of East Anglia . Penda was killed in 655 allowing the now - Christian Cenwalh to return to Wessex . He was succeeded by his widow Seaxburh and then Æscwine ; their religion is unknown . In 676 Centwine took the throne . Centwine was a Heathen throughout his reign , but abdicated to become a Christian monk . Cædwalla became king of Wessex in 685 or 686 , and his religion is difficult to determine . He remained unbaptised throughout his entire reign , but supported Christianity . Before attacking the pagan Isle of Wight , be vowed to give 1 / 4 of the land and booty to the Church if he was successful , a vow he fulfilled by granting estates to Wilfrid . He also `` allowed '' the heirs of Arwald , the last pagan King of Wight , to be baptised before he executed them . He is recorded elsewhere granting land to the church . Before conquering Sussex he worked with the Bishops Wilfrid and Eorcenwald to establish an ecclesiastical structure there . He was seriously wounded while conquering the Isle of Wight in 686 . In 688 he abdicated and went on a pilgrimage to Rome and was baptised by Pope Sergius I on 10 April 689 , dying 10 days later from his wounds .   His successor Ine issued a law code in 695 which reveal him to be a Christian . However , one </t>
  </si>
  <si>
    <t xml:space="preserve">who was sent to england to convert the pagan anglo-saxons</t>
  </si>
  <si>
    <t xml:space="preserve"> In 595 , when Pope Gregory I decided to send a mission to convert the Anglo - Saxons to Christianity , the Kingdom of Kent was ruled by Æthelberht . He had married a Christian princess named Bertha before 588 , and perhaps earlier than 560 . Bertha was the daughter of Charibert I , one of the Merovingian kings of the Franks . As one of the conditions of her marriage she had brought a bishop named Liudhard with her to Kent as her chaplain . They restored a church in Canterbury that dated to Roman times , possibly the present - day St Martin 's Church . Æthelberht was at that time a pagan , but he allowed his wife freedom of worship . Liudhard does not appear to have made many converts among the Anglo - Saxons , and if not for the discovery of a gold coin bearing the inscription Leudardus Eps ( Eps is an abbreviation of Episcopus , the Latin word for bishop ) his existence may have been doubted . One of Bertha 's biographers states that , influenced by his wife , Æthelberht requested Pope Gregory to send missionaries . The historian Ian Wood feels that the initiative came from the Kentish court as well as the queen . </t>
  </si>
  <si>
    <r>
      <rPr>
        <sz val="11"/>
        <color rgb="FF000000"/>
        <rFont val="Calibri"/>
        <family val="0"/>
        <charset val="1"/>
      </rPr>
      <t xml:space="preserve">Onomatopoeia - wikipedia  Onomatopoeia  This article is about the category of words . For the comic character , see Onomatopoeia ( comics ) .   A sign in a shop window in Italy proclaims `` No Tic Tac '' , in imitation of the sound of a clock .  Onomatopoeia ( / ˌɒnəˌmætəˈpiːə , - ˌmɑː - / ( listen ) ; from the Greek ὀνοματοποιία ; ὄνομα for `` name '' and ποιέω for `` I make '' , adjectival form : `` onomatopoeic '' or `` onomatopoetic '' ) is the process of creating a word that phonetically imitates , resembles , or suggests the sound that it describes . As such words are uncountable nouns , onomatopoeia refers to the property of such words . Common occurrences of words our of the onomatopoeia process include animal noises such as `` oink '' , `` miaow '' ( or `` meow '' ) , `` roar '' and `` chirp '' . Onomatopoeia can differ between languages : it conforms to some extent to the broader linguistic system ; hence the sound of a clock may be expressed as tick tock in English , tictac in Spanish , dī dā in Mandarin , katchin katchin in Japanese , or `` tik - tik '' in Hindi .   Although in the English language the term onomatopoeia means `` the imitation of a sound '' , the compound word onomatopoeia ( ὀνοματοποιία ) in the Greek language means `` making or creating names '' . For words that imitate sounds , the term ὴχομιμητικό ( echomimetico ) or echomimetic ) is used . The word ὴχομιμητικό ( echomimetico ) derives from `` ὴχώ '' , meaning echo or sound , and `` μιμητικό '' , meaning mimetic or imitating .   Contents    1 Uses   1.1 Cross-cultural differences   1.2 Onomatopoeic effect without onomatopoeic words     2 Comics and advertising   2.1 Manner imitation     3 Examples in media   4 Cross-linguistic examples   5 In linguistics   6 The evolution of language   7 Role in early language acquisition   8 In other languages   8.1 Japanese   8.2 Malay   8.3 Arabic     9 See also   10 References   10.1 Notes   10.2 General references     11 External links    Uses  A bang flag gun , a humouristic novelty item Further information : List of animal sounds  In the case of a frog croaking , the spelling may vary because different frog species around the world make different sounds : Ancient Greek brekekekex koax koax ( only in Aristophanes ' comic play The Frogs ) probably for marsh frogs ; English ribbit for species of frog found in North America ; English verb croak for the common frog .   Some other very common English - language examples are hiccup , zoom , bang , beep , moo , and splash . Machines and their sounds are also often described with onomatopoeia : honk or beep - beep for the horn of an automobile , and vroom or brum for the engine . In speaking of a mishap involving an audible arcing of electricity , the word `` zap '' is often used ( and its use has been extended to describe non-auditory effects generally connoting the same sort of localized but thorough interference or destruction similar to that produced in short - circuit sparking ) .   Human sounds sometimes provide instances of onomatopoeia , as when mwah is used to represent a kiss .   For animal sounds , words like quack ( duck ) , moo ( cow ) , bark or woof ( dog ) , roar ( lion ) , meow / miaow or purr ( cat ) , cluck ( chicken ) and baa ( sheep ) are typically used in English ( both as nouns and as verbs ) .   Some languages flexibly integrate onomatopoeic words into their structure . This may evolve into a new word , up to the point that the process is no longer recognized as onomatopoeia . One example is the English word `` bleat '' for sheep noise : in medieval times it was pronounced approximately as `` blairt '' ( but without an R - component ) , or `` blet '' with the vowel drawled , which more closely resembles a sheep noise than the modern pronunciation .   An example of the opposite case is `` cuckoo '' , which , due to continuous familiarity with the bird noise down the centuries , has kept approximately the same pronunciation as in Anglo - Saxon times and its vowels have not changed as they have in the word furrow .   Verba dicendi ( `` words of saying '' ) are a method of integrating onomatopoeic words and ideophones into grammar .   Sometimes , things are named from the sounds they make . In English , for example , there is the universal fastener which is named for the sound it makes : the zip ( in the UK ) or zipper ( in the U.S. ) Many birds are named after their calls , such as the bobwhite quail , the weero , the morepork , the killdeer , chickadees and jays , the cuckoo , the chiffchaff , the whooping crane , the whip - poor - will , and the kookaburra . In Tamil and Malayalam , the word for crow is kaakaa . This practice is especially common in certain languages such as Māori , and so in names of animals borrowed from these languages .   Cross-cultural differences   Although a particular sound is heard similarly by people of different cultures , it is often expressed through the use of different consonant strings in different languages . For example , the snip of a pair of scissors is cri - cri in Italian , riqui - riqui in Spanish , terre - terre or treque - treque in Portuguese , krits - krits in modern Greek and katr - katr in Hindi . Similarly , the `` honk '' of a car 's horn is ba - ba ( Han : </t>
    </r>
    <r>
      <rPr>
        <sz val="11"/>
        <color rgb="FF000000"/>
        <rFont val="Noto Sans CJK SC"/>
        <family val="2"/>
      </rPr>
      <t xml:space="preserve">叭 叭 </t>
    </r>
    <r>
      <rPr>
        <sz val="11"/>
        <color rgb="FF000000"/>
        <rFont val="Calibri"/>
        <family val="0"/>
        <charset val="1"/>
      </rPr>
      <t xml:space="preserve">) in Mandarin , tut - tut in French , pu - pu in Japanese , bbang - bbang in Korean , bært - bært in Norwegian , fom - fom in Portuguese and bim - bim in Vietnamese .   Onomatopoeic effect without onomatopoeic words   An onomatopoeic effect can also be produced in a phrase or word string with the help of alliteration and consonance alone , without using any onomatopoeic words . The most famous example is the phrase `` furrow followed free '' in Samuel Taylor Coleridge 's The Rime of the Ancient Mariner . The words `` followed '' and `` free '' are not onomatopoeic in themselves , but in conjunction with `` furrow '' they reproduce the sound of ripples following in the wake of a speeding ship . Similarly , alliteration has been used in the line `` as the surf surged up the sun swept shore ... '' , to recreate the sound of breaking waves , in the poem `` I , She and the Sea '' .   Comics and advertising  A sound effect of breaking a door  Comic strips and comic books make extensive use of onomatopoeia . Popular culture historian Tim DeForest noted the impact of writer - artist Roy Crane ( 1901 -- 1977 ) , the creator of Captain Easy and Buz Sawyer :    It was Crane who pioneered the use of onomatopoeic sound effects in comics , adding `` bam , '' `` pow '' and `` wham '' to what had previously been an almost entirely visual vocabulary . Crane had fun with this , tossing in an occasional `` ker - splash '' or `` lickety - wop '' along with what would become the more standard effects . Words as well as images became vehicles for carrying along his increasingly fast - paced storylines .    In 2002 , DC Comics introduced a villain named Onomatopoeia , an athlete , martial artist , and weapons expert , who often speaks pure sounds .   Advertising uses onomatopoeia for mnemonic purposes , so that consumers will remember their products , as in Alka - Seltzer 's `` Plop , plop , fizz , fizz . Oh , what a relief it is ! '' jingle , recorded in two different versions ( big band and rock ) by Sammy Davis , Jr .   Rice Krispies ( US and UK ) and Rice Bubbles ( AU ) make a `` snap , crackle , pop '' when one pours on milk . During the 1930s , the illustrator Vernon Grant developed Snap , Crackle and Pop as gnome - like mascots for the Kellogg Company .   Sounds appear in road safety advertisements : `` clunk click , every trip '' ( click the seatbelt on after clunking the car door closed ; UK campaign ) or `` click , clack , front and back '' ( click , clack of connecting the seat belts ; AU campaign ) or `` click it or ticket '' ( click of the connecting seat belt , with the implied penalty of a traffic ticket for not using a seat belt ; US DOT ( Department of Transportation ) campaign ) .   The sound of the container opening and closing gives Tic Tac its name .   Manner imitation  Main article : Ideophone  In many of the world 's languages , onomatopoeic - like words are used to describe phenomena beyond the purely auditive . Japanese often uses such words to describe feelings or figurative expressions about objects or concepts . For instance , Japanese barabara is used to reflect an object 's state of disarray or separation , and shiiin is the onomatopoetic form of absolute silence ( used at the time an English speaker might expect to hear the sound of crickets chirping or a pin dropping in a silent room , or someone coughing ) . It is used in English as well with terms like bling , which describes the glinting of light on things like gold , chrome or precious stones . In Japanese , kirakira is used for glittery things .   Examples in media    James Joyce in Ulysses ( 1922 ) coined the onomatopoeic tattarrattat for a knock on the door . It is listed as the longest palindromic word in The Oxford English Dictionary .   Whaam ! ( 1963 ) by Roy Lichtenstein is an early example of pop art , featuring a reproduction of comic book art that depicts a fighter aircraft striking another with rockets with dazzling red and yellow explosions .   In the 1960s TV series Batman , comic book style onomatopoeic words such as wham ! , pow ! , biff ! , crunch ! and zounds ! appear onscreen during fight scenes .   Ubisoft 's XIII employed the use of comic book onomatopoeic words such as bam ! , boom ! and noooo ! during gameplay for gunshots , explosions and kills , respectively . The comic - book style is apparent throughout the game and is a core theme , and the game is an adaptation of a comic book of the same name .   The chorus of American popular songwriter John Prine 's song `` Onomatopoeia '' cleverly incorporates onomatopoeic words ( though as discussed , ' ouch ! ' is not the sound of pain ) : `` Bang ! went the pistol . Crash ! went the window . Ouch ! went the son of a gun . Onomatopoeia I do n't wan na see ya Speaking in a foreign tongue . ''   The marble game KerPlunk has an onomatopoeic word for a title , from the sound of marbles dropping when one too many sticks has been removed .   The Nickelodeon cartoon 's title KaBlam ! is implied to be onomatapoeic to a crash .   Each episode of the TV series Harper 's Island is given an onomatopoeic name which imitates the sound made in that episode when a character dies . For example , in the episode titled `` Bang '' a character is shot and fatally wounded , with the `` Bang '' mimicking the sound of the gunshot .   Mad Magazine cartoonist Don Martin , already popular for his exaggerated artwork , often employed comic - book style onomatopoeic `` sound effects '' in his drawings ( for example , `` thwizzit '' is the sound of a sheet of paper being yanked from a typewriter ) . Fans have compiled The Don Martin Dictionary , cataloguing each `` sound '' and its `` meaning '' .    Cross-linguistic examples  Main article : Cross-linguistic onomatopoeias  In linguistics   A key component of language is its arbitrariness and what a word can represent , as a word is a sound created by humans with attached meaning to said sound . No one can determine the meaning of a word purely by how it sounds . However , in onomatopoeic words , these sounds are much less arbitrary ; they are connected in their imitation of other objects or sounds in nature . Vocal sounds in the imitation of natural sounds does n't necessarily gain meaning , but can gain symbolic meaning . An example of this sound symbolism in the English language is the use of words starting with sn - . Some of these words symbolize concepts related to the nose ( sneeze , snot , snore ) . This does not mean that all words with that sound relate to the nose , but at some level we recognize a sort of symbolism associated with the sound itself . Onomatopoeia , while a facet of language , is also in a sense outside of the confines of language .   In linguistics , onomatopoeia is described as the connection , or symbolism , of a sound that is interpreted and reproduced within the context of a language , usually out of mimicry of a sound . It is a figure of speech , in a sense . Considered a vague term on its own , there are a few varying defining factors in classifying onomatopoeia . In one manner , it is defined simply as the imitation of some kind of non-vocal sound using the vocal sounds of a language , like the hum of a bee being imitated with a `` buzz '' sound . In another sense , it is described as the phenomena of making a new word entirely .   Onomatopoeia works in the sense of symbolizing an idea in a phonological context , not necessarily constituting a direct meaningful word in the process . The symbolic properties of a sound in a word , or a phoneme , is related to a sound in an environment , and are restricted in part by a language 's own phonetic inventory , hence why many languages can have distinct onomatopoeia for the same natural sound . Depending on a language 's connection to a sound 's meaning , that language 's onomatopoeia inventory can differ proportionally . For example , a language like English generally holds little symbolic representation when it comes to sounds , which is the reason English tends to have a smaller representation of sound mimicry then a language like Japanese that overall has a much higher amount of symbolism related to the sounds of the language .   The evolution of language   In ancient Greek philosophy , onomatopoeia was used as evidence for how natural a language was : it was theorized that language itself was derived from natural sounds in the world around us . Symbolism in sounds was seen as deriving from this . Some linguists hold that onomatopoeia may have been the first form of human language .   In the development of a language , sounds that are associated with natural objects then go on to form words with related meanings . For example , gl - at the beginning of an English word can denote something that is shining or iridescent ( e.g. glitter , glisten , gleam ) .   Role in early language acquisition   When first exposed to sound and communication , humans are biologically inclined to mimic the sounds they hear , whether they are actual pieces of language or other natural sounds . Early on in development , an infant will vary his / her utterances between sounds that are well established within the phonetic range of the language ( s ) most heavily spoken in their environment , which may be called `` tame '' onomatopoeia , and the full range of sounds that the vocal tract can produce , or `` wild '' onomatopoeia . As one begins to acquire one 's first language , the proportion of `` wild '' onomatopoeia reduces in favor of sounds which are congruent with those of the language they are acquiring .   During the native language acquisition period , it has been documented that infants may react strongly to the more wild - speech features to which they are exposed , compared to more tame and familiar speech features . But the results of such tests are inconclusive .   In the context of language acquisition , sound symbolism has been shown to play an important role . The association of foreign words to subjects and how they relate to general objects , such as the association of the words takete and baluma with either a round or angular shape , has been tested to see how languages symbolize sounds .   In other languages   Japanese   Onomatopoeia , or giongo in Japanese , is common in the Japanese language , from day to day conversation to serious news . In general , onomatopoeia in Japanese can be categorized into three types :    Giseigo : mimics humans and animals . ( e.g. WanWan for a dog 's bark )   Giongo : mimics general noises in nature or inanimate objects . ( e.g. zaazaa for rain on a roof )   Gitaigo : describes states of being , not sounds . ( e.g. mushimushi , uncomfortably warm )    Japanese also uses a system of sound symbolic words called mimetics . Though not entirely different from onomatopoeia , words that are mimetic are generally distinguished from onomatopoeia . Mimetic , or gitaigo in Japanese , words are a phonological representation of some kind of state of being , or something that does n't exactly make sound .   Sometimes Japanese onomatopoeia produces reduplicated words .   Malay   There is a documented correlation within the Malay language of onomatopoeia that begin with the sound bu - and the implication of something that is rounded . As well as with the sound of - lok within a word conveying curvature in such words like lok , kelok and telok ( locomotive , cove and curve respectively ) .   Arabic   Within the Qur'an , written in Arabic , instances of onomatopoeia are documented . Out of about 77,701 words , there are 9 words that are onomatopoeic , 3 which are animal sounds ( e.g. `` mooing '' ) , 2 which are sounds of nature ( e.g. `` thunder '' ) and 4 that are human sounds ( e.g. `` whisper '' or `` groan '' ) .   See also    Anguish Languish   Japanese sound symbolism   List of animal sounds   List of onomatopoeias   Sound mimesis in various cultures   Sound symbolism   Vocal learning    References   Notes    Jump up ^ Wells , John C. ( 2008 ) , Longman Pronunciation Dictionary ( 3rd ed . ) , Longman , ISBN 978 - 1 - 4058 - 8118 - 0   Jump up ^ Roach , Peter ( 2011 ) , Cambridge English Pronouncing Dictionary ( 18th ed . ) , Cambridge : Cambridge University Press , ISBN 978 - 0 - 521 - 15253 - 2   Jump up ^ ὀνοματοποιία , Henry George Liddell , Robert Scott , A Greek - English Lexicon , on Perseus   Jump up ^ ὄνομα , Henry George Liddell , Robert Scott , A Greek - English Lexicon , on Perseus   Jump up ^ ποιέω , Henry George Liddell , Robert Scott , A Greek - English Lexicon , on Perseus   Jump up ^ Onomatopoeia as a Figure and a Linguistic Principle , Hugh Bredin , The Johns Hopkins University , Retrieved November 14 , 2013   Jump up ^ Definition of Onomatopoeia , Retrieved November 14 , 2013   Jump up ^ Basic Reading of Sound Words - Onomatopoeia , Yale University , retrieved October 11 , 2013   Jump up ^ English Oxford Living Dictionaries   Jump up ^ Earl Anderson , A Grammar of Iconism , Fairleigh Dickinson , 1999   Jump up ^ DeForest , Tim ( 2004 ) . Storytelling in the Pulps , Comics , and Radio : How Technology Changed Popular Fiction in America . McFarland .   Jump up ^ James Joyce ( 1982 ) . Ulysses . Editions Artisan Devereaux . pp. 434 -- . ISBN 978 - 1 - 936694 - 38 - 9 ... I was just beginning to yawn with nerves thinking he was trying to make a fool of me when I knew his tattarrattat at the door he must ...   Jump up ^ O.A. Booty ( 1 January 2002 ) . Funny Side of English . Pustak Mahal . pp. 203 -- . ISBN 978 - 81 - 223 - 0799 - 3 . The longest palindromic word in English has 12 letters : tattarrattat . This word , appearing in the Oxford English Dictionary , was invented by James Joyce and used in his book Ulysses ( 1922 ) , and is an imitation of the sound of someone ( farting ) .   Jump up ^ Assaneo , María Florencia ; Nichols , Juan Ignacio ; Trevisan , Marcos Alberto ( 2011 - 01 - 01 ) . `` The anatomy of onomatopoeia '' . PLoS One . 6 ( 12 ) : e28317 . doi : 10.1371 / journal. pone. 0028317 . ISSN 1932 - 6203 . PMC 3237459 . PMID 22194825 .   ^ Jump up to : RHODES , R ( 1994 ) . `` Aural Images '' . In J. Ohala , L. Hinton &amp; J. Nichols ( eds . ) Sound Symbolism . Cambridge , UK : Cambridge University Press .   ^ Jump up to : `` The Study of Onomatopoeia in the Muslims ' Holy Write : Qur'an : OneSearch for Articles , Books , and More '' . eds.a.ebscohost.com . Retrieved 2017 - 02 - 27 .   Jump up ^ Bredin , Hugh ( 1996 - 08 - 01 ) . `` Onomatopoeia as a Figure and a Linguistic Principle '' . New Literary History . 27 ( 3 ) : 555 -- 569 . doi : 10.1353 / nlh. 1996.0031 . ISSN 1080 - 661X .   ^ Jump up to : Laing , C.E. ( 2014 - 09 - 15 ) . `` A phonological analysis of onomatopoeia in early word production '' . First Language . doi : 10.1177 / 0142723714550110 .   ^ Jump up to : Osaka , Naoyuki ( 1990 ) . `` Multidimensional Analysis of Onomatopoeia - A note to make sensory scale from word '' ( PDF ) . Studia phonologica : 25 -- 33 -- via Kyoto University Research Information Repository .   Jump up ^ Assaneo , María Florencia ; Nichols , Juan Ignacio ; Trevisan , Marcos Alberto ( 2011 - 12 - 14 ) . `` The Anatomy of Onomatopoeia '' . PLoS ONE . 6 ( 12 ) : e28317 . doi : 10.1371 / journal. pone. 0028317 . ISSN 1932 - 6203 . PMC 3237459 . PMID 22194825 .   Jump up ^ Inose , Hiroko . `` Translating Japanese Onomatopoeia and Mimetic Words . '' N.p. , n.d. Web .   Jump up ^ WILKINSON , R.J. ( 1936 - 01 - 01 ) . `` ONOMATOPOEIA IN MALAY '' . Journal of the Malayan Branch of the Royal Asiatic Society . 14 ( 3 ( 126 ) ) : 72 -- 88 . JSTOR 41559855 .    General references    Crystal , David ( 1997 ) . The Cambridge Encyclopedia of Language ( 2nd ed . ) . Cambridge University Press . ISBN 0 - 521 - 55967 - 7 .   Smyth , Herbert Weir ( 1920 ) . Greek Grammar . Cambridge MA : Harvard University Press . p. 680 . ISBN 0 - 674 - 36250 - 0 .    External links       Look up onomatopoeia in Wiktionary , the free dictionary .         Wikimedia Commons has media related to Onomatopoeia .      Derek Abbott 's Animal Noise Page   Over 300 Examples of Onomatopoeia   BBC Radio 4 show discussing animal noises   Tutorial on Drawing Onomatopoeia for Comics and Cartoons ( using fonts )   WrittenSound , onomatopoeic word list   Examples of Onomatopeia          LCCN : sh85094814   NKC : ph305405      Retrieved from `` https://en.wikipedia.org/w/index.php?title=Onomatopoeia&amp;oldid=861481883 '' Categories :   Types of words   Onomatopoeia   Poetic devices   Style ( fiction )   Hidden categories :   Wikipedia indefinitely semi-protected pages   Articles with hAudio microformats   Articles including recorded pronunciations ( English )   Wikipedia articles needing clarification from May 2017   All accuracy disputes   Articles with disputed statements from May 2017   Wikipedia articles with LCCN identifiers   Wikipedia articles with NKC identifiers           Talk                           View source                 Contents                   About Wikipedia                                                 Afrikaans     Asturianu   Български   Brezhoneg   Català   Čeština   Cymraeg   Dansk   Deutsch   Eesti   Español   Esperanto   Euskara   فارسی   Français   Galego   </t>
    </r>
    <r>
      <rPr>
        <sz val="11"/>
        <color rgb="FF000000"/>
        <rFont val="Noto Sans CJK SC"/>
        <family val="2"/>
      </rPr>
      <t xml:space="preserve">한국어   </t>
    </r>
    <r>
      <rPr>
        <sz val="11"/>
        <color rgb="FF000000"/>
        <rFont val="Calibri"/>
        <family val="0"/>
        <charset val="1"/>
      </rPr>
      <t xml:space="preserve">हिन्दी   Hrvatski   Ido   Bahasa Indonesia   Interlingua   Italiano   עברית   Basa Jawa   ქართული   Қазақша   Kiswahili   Кыргызча   Latina   Latviešu   Lëtzebuergesch   Lietuvių   Limburgs   Magyar   Македонски   Nederlands   Nedersaksies   </t>
    </r>
    <r>
      <rPr>
        <sz val="11"/>
        <color rgb="FF000000"/>
        <rFont val="Noto Sans CJK SC"/>
        <family val="2"/>
      </rPr>
      <t xml:space="preserve">日本 語   </t>
    </r>
    <r>
      <rPr>
        <sz val="11"/>
        <color rgb="FF000000"/>
        <rFont val="Calibri"/>
        <family val="0"/>
        <charset val="1"/>
      </rPr>
      <t xml:space="preserve">Norsk   Norsk nynorsk   Occitan   Oʻzbekcha / ўзбекча   Polski   Português   Română   Русский   Саха тыла   Shqip   Sicilianu   Simple English   Slovenščina   Српски / srpski   Srpskohrvatski / српскохрватски   Basa Sunda   Suomi   Svenska   ไทย   Türkçe   Українська   </t>
    </r>
    <r>
      <rPr>
        <sz val="11"/>
        <color rgb="FF000000"/>
        <rFont val="Noto Sans CJK SC"/>
        <family val="2"/>
      </rPr>
      <t xml:space="preserve">中文  </t>
    </r>
    <r>
      <rPr>
        <sz val="11"/>
        <color rgb="FF000000"/>
        <rFont val="Calibri"/>
        <family val="0"/>
        <charset val="1"/>
      </rPr>
      <t xml:space="preserve">53 more  Edit links   This page was last edited on 27 September 2018 , at 19 : 00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</si>
  <si>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which figure of speech uses words that imitate the sounds they refer to</t>
  </si>
  <si>
    <t xml:space="preserve"> Onomatopoeia ( / ˌɒnəˌmætəˈpiːə , - ˌmɑː - / ( listen ) ; from the Greek ὀνοματοποιία ; ὄνομα for `` name '' and ποιέω for `` I make '' , adjectival form : `` onomatopoeic '' or `` onomatopoetic '' ) is the process of creating a word that phonetically imitates , resembles , or suggests the sound that it describes . As such words are uncountable nouns , onomatopoeia refers to the property of such words . Common occurrences of words our of the onomatopoeia process include animal noises such as `` oink '' , `` miaow '' ( or `` meow '' ) , `` roar '' and `` chirp '' . Onomatopoeia can differ between languages : it conforms to some extent to the broader linguistic system ; hence the sound of a clock may be expressed as tick tock in English , tictac in Spanish , dī dā in Mandarin , katchin katchin in Japanese , or `` tik - tik '' in Hindi . </t>
  </si>
  <si>
    <t xml:space="preserve">List of actors with two or more Academy Awards in acting categories - wikipedia  List of actors with two or more Academy Awards in acting categories  Jump to : navigation , search Katharine Hepburn won four Academy Awards for Best Actress , more than any other actor in the history of the Academy Awards .  The Academy of Motion Picture Arts and Sciences has given Academy Awards to actors and actresses for their performances in films since its inception . Throughout the history of the Academy Awards , there have been actors and actresses who have received multiple Academy Awards for Best Actor , Best Actress , Best Supporting Actor , or Best Supporting Actress . The only restriction is that actors can not receive multiple nominations for the same performance . This rule was implemented after Barry Fitzgerald received a Best Actor and a Best Supporting Actor nomination for his performance in Going My Way .   As of 2017 , 40 actors and actresses have received two or more Academy Awards in acting categories . Katharine Hepburn leads the way with four Best Actress awards . Five have won three Academy Awards : Ingrid Bergman ( two Best Actress awards and one Best Supporting Actress award ) , Walter Brennan ( three Best Supporting Actor awards ) , Jack Nicholson ( two Best Actor awards and one Best Supporting Actor award ) , Meryl Streep ( two Best Actress awards and one Best Supporting Actress award ) , and Daniel Day - Lewis ( three Best Actor awards ) . Brennan was the first to receive three or more Academy Awards in 1940 , followed by Hepburn in 1968 , Bergman in 1974 , Nicholson in 1997 , Streep in 2011 , and most recently Day - Lewis in 2012 . Of the six , only Nicholson , Streep , and Day - Lewis are still living .       Actor / Actress   Best Actor / Actress Awards   Best Supporting Actor / Actress Awards   Total awards   Total nominations     Hepburn , Katharine Katharine Hepburn   Morning Glory ( 1933 ) Guess Who 's Coming to Dinner ( 1967 ) The Lion in Winter ( 1968 ) On Golden Pond ( 1981 )       12     Day - Lewis , Daniel Daniel Day - Lewis   My Left Foot ( 1989 ) There Will Be Blood ( 2007 ) Lincoln ( 2012 )       6     Streep , Meryl Meryl Streep   Sophie 's Choice ( 1982 ) The Iron Lady ( 2011 )   Kramer vs. Kramer ( 1979 )     21     Nicholson , Jack Jack Nicholson   One Flew Over the Cuckoo 's Nest ( 1975 ) As Good as It Gets ( 1997 )   Terms of Endearment ( 1983 )     12     Bergman , Ingrid Ingrid Bergman   Gaslight ( 1944 ) Anastasia ( 1956 )   Murder on the Orient Express ( 1974 )     7     Brennan , Walter Walter Brennan     Come and Get It ( 1936 ) Kentucky ( 1938 ) The Westerner ( 1940 )         Davis , Bette Bette Davis   Dangerous ( 1935 ) Jezebel ( 1938 )       10     Tracy , Spencer Spencer Tracy   Captains Courageous ( 1937 ) Boys Town ( 1938 )       9     Brando , Marlon Marlon Brando   On the Waterfront ( 1954 ) The Godfather ( 1972 )       8     Lemmon , Jack Jack Lemmon   Save the Tiger ( 1973 )   Mister Roberts ( 1955 )     8     Washington , Denzel Denzel Washington   Training Day ( 2001 )   Glory ( 1989 )     8     Blanchett , Cate Cate Blanchett   Blue Jasmine ( 2013 )   The Aviator ( 2004 )     7     De Niro , Robert Robert De Niro   Raging Bull ( 1980 )   The Godfather Part II ( 1974 )     7     Fonda , Jane Jane Fonda   Klute ( 1971 ) Coming Home ( 1978 )       7     Hoffman , Dustin Dustin Hoffman   Kramer vs. Kramer ( 1979 ) Rain Man ( 1988 )       7     Caine , Michael Michael Caine     Hannah and Her Sisters ( 1986 ) The Cider House Rules ( 1999 )     6     Lange , Jessica Jessica Lange   Blue Sky ( 1994 )   Tootsie ( 1982 )     6     Smith , Maggie Maggie Smith   The Prime of Miss Jean Brodie ( 1969 )   California Suite ( 1978 )     6     Cooper , Gary Gary Cooper   Sergeant York ( 1941 ) High Noon ( 1952 )       5     de Havilland , Olivia Olivia de Havilland   To Each His Own ( 1946 ) The Heiress ( 1949 )       5     Hackman , Gene Gene Hackman   The French Connection ( 1971 )   Unforgiven ( 1992 )     5     Hanks , Tom Tom Hanks   Philadelphia ( 1993 ) Forrest Gump ( 1994 )       5     March , Fredric Fredric March   Dr. Jekyll and Mr. Hyde ( 1931 ) The Best Years of Our Lives ( 1946 )       5     Penn , Sean Sean Penn   Mystic River ( 2003 ) Milk ( 2008 )       5     Taylor , Elizabeth Elizabeth Taylor   Butterfield 8 ( 1960 ) Who 's Afraid of Virginia Woolf ? ( 1966 )       5     Foster , Jodie Jodie Foster   The Accused ( 1988 ) The Silence of the Lambs ( 1991 )           Jackson , Glenda Glenda Jackson   Women in Love ( 1970 ) A Touch of Class ( 1973 )           Quinn , Anthony Anthony Quinn     Viva Zapata ! ( 1952 ) Lust for Life ( 1956 )         Winters , Shelley Shelley Winters     The Diary of Anne Frank ( 1959 ) A Patch of Blue ( 1965 )         Douglas , Melvyn Melvyn Douglas     Hud ( 1963 ) Being There ( 1979 )         Field , Sally Sally Field   Norma Rae ( 1979 ) Places in the Heart ( 1984 )           Robards , Jason Jason Robards     All the President 's Men ( 1976 ) Julia ( 1977 )         Ustinov , Peter Peter Ustinov     Spartacus ( 1960 ) Topkapi ( 1964 )         Wiest , Dianne Dianne Wiest     Hannah and Her Sisters ( 1986 ) Bullets over Broadway ( 1994 )         Hayes , Helen Helen Hayes   The Sin of Madelon Claudet ( 1931 )   Airport ( 1970 )         Leigh , Vivien Vivien Leigh   Gone with the Wind ( 1939 ) A Streetcar Named Desire ( 1951 )           Rainer , Luise Luise Rainer   The Great Ziegfeld ( 1936 ) The Good Earth ( 1937 )           Spacey , Kevin Kevin Spacey   American Beauty ( 1999 )   The Usual Suspects ( 1995 )         Swank , Hilary Hilary Swank   Boys Do n't Cry ( 1999 ) Million Dollar Baby ( 2004 )           Waltz , Christoph Christoph Waltz     Inglourious Basterds ( 2009 ) Django Unchained ( 2012 )         See also ( edit )    Film portal     List of actors with two or more Academy Award nominations in acting categories   List of actors nominated for Academy Awards for foreign language performances   List of directors with two or more Academy Awards for Best Director   List of Academy Award records    References ( edit )    Jump up ^ `` Acting Two or More Awards '' . Academy of Motion Picture Arts and Sciences . March 8 , 2008 . Archived from the original on March 8 , 2008 . Retrieved August 20 , 2008 .   Jump up ^ `` Rule 6 -- 80th Academy Awards '' . Academy of Motion Picture Arts and Sciences . Archived from the original on January 13 , 2008 . Retrieved August 21 , 2008 .   Jump up ^ `` Persons nominated in two acting categories in the same year '' . Academy of Motion Picture Arts and Sciences . March 8 , 2008 . Archived from the original on January 12 , 2008 . Retrieved August 21 , 2008 .   Jump up ^ Allen , Jamie ( June 30 , 2003 ) . `` Katharine Hepburn dead at 96 '' . CNN . Archived from the original on March 23 , 2008 . Retrieved August 21 , 2008 .   Jump up ^ `` Ingrid Bergman -- Awards '' . The New York Times . Retrieved August 21 , 2008 .   Jump up ^ `` Walter Brennan -- Awards '' . Moviefone . Retrieved August 21 , 2008 .   Jump up ^ `` Jack Nicholson -- Awards '' . The New York Times . Retrieved August 21 , 2008 .    External links ( edit )   Media related to Actors with multiple Academy Award wins at Wikimedia Commons    The Official Academy Awards Database   The Motion Picture Credits Database at the Wayback Machine ( archived May 9 , 2008 )   IMDb Academy Awards Page              Academy Awards lists       Academy of Motion Picture Arts and Sciences ( AMPAS )   Records   Oscar season   Oscar speech   History of film   Most wins per ceremony       Combined major Oscars     Superlatives   Big Five   All four acting categories       Combined major awards     Academy , Emmy , Grammy , and Tony Award careers       Acting     All nominees   Best Actor ( by age )   Best Actress ( by age )   Best Supporting Actor ( by age )   Best Supporting Actress ( by age )   Acting noms in foreign language   Actor multi-nom years   Multi-Best Picture acting careers   Multi-win Actors   Multi-nom Actors   Love curse       Directing     Best Director ( by age )       Film     Films   Foreign - language wins   Foreign - language nominees   Foreign - language noms in other categories   Foreign - language : count by country   Animated feature noms in other categories       Ethnicity     African   Argentine   Asian   Australian   Black   Brazilian   British   Canadian   Chilean   Colombian   Cuban   French   German - speaking   Greek   Hispanic - American ( U.S. )   Indian   Iranian   Italian   Jewish   Latin American   Mexican   New Zealand   Nordic   Pakistani   Polish   Puerto Rican   Spanish   Uruguayan       Other     Ceremonies   Families   Fictitious   LGBT   Multi-win years   Posthumous   Best Picture Presenters   Trophy displays   Oldest &amp; Youngest   Awards for Walt Disney   Women in Non-gendered Categories         Book     Portal      Retrieved from `` https://en.wikipedia.org/w/index.php?title=List_of_actors_with_two_or_more_Academy_Awards_in_acting_categories&amp;oldid=826976080 '' Categories :   Academy Awards lists   Lists of actors   Hidden categories :   Use mdy dates from June 2013   Articles containing potentially dated statements from 2017   All articles containing potentially dated statements   Articles with hCards   Webarchive template wayback links           Talk                                                             About Wikipedia                                           فارسی   Magyar   Tiếng Việt   Edit links   This page was last edited on 22 February 2018 , at 01 : 54 .         About Wikipedia                    </t>
  </si>
  <si>
    <t xml:space="preserve">who won the most oscars during his career</t>
  </si>
  <si>
    <t xml:space="preserve">   Actor / Actress   Best Actor / Actress Awards   Best Supporting Actor / Actress Awards   Total awards   Total nominations     Hepburn , Katharine Katharine Hepburn   Morning Glory ( 1933 ) Guess Who 's Coming to Dinner ( 1967 ) The Lion in Winter ( 1968 ) On Golden Pond ( 1981 )       12     Day - Lewis , Daniel Daniel Day - Lewis   My Left Foot ( 1989 ) There Will Be Blood ( 2007 ) Lincoln ( 2012 )       6     Streep , Meryl Meryl Streep   Sophie 's Choice ( 1982 ) The Iron Lady ( 2011 )   Kramer vs. Kramer ( 1979 )     21     Nicholson , Jack Jack Nicholson   One Flew Over the Cuckoo 's Nest ( 1975 ) As Good as It Gets ( 1997 )   Terms of Endearment ( 1983 )     12     Bergman , Ingrid Ingrid Bergman   Gaslight ( 1944 ) Anastasia ( 1956 )   Murder on the Orient Express ( 1974 )     7     Brennan , Walter Walter Brennan     Come and Get It ( 1936 ) Kentucky ( 1938 ) The Westerner ( 1940 )         Davis , Bette Bette Davis   Dangerous ( 1935 ) Jezebel ( 1938 )       10     Tracy , Spencer Spencer Tracy   Captains Courageous ( 1937 ) Boys Town ( 1938 )       9     Brando , Marlon Marlon Brando   On the Waterfront ( 1954 ) The Godfather ( 1972 )       8     Lemmon , Jack Jack Lemmon   Save the Tiger ( 1973 )   Mister Roberts ( 1955 )     8     Washington , Denzel Denzel Washington   Training Day ( 2001 )   Glory ( 1989 )     8     Blanchett , Cate Cate Blanchett   Blue Jasmine ( 2013 )   The Aviator ( 2004 )     7     De Niro , Robert Robert De Niro   Raging Bull ( 1980 )   The Godfather Part II ( 1974 )     7     Fonda , Jane Jane Fonda   Klute ( 1971 ) Coming Home ( 1978 )       7     Hoffman , Dustin Dustin Hoffman   Kramer vs. Kramer ( 1979 ) Rain Man ( 1988 )       7     Caine , Michael Michael Caine     Hannah and Her Sisters ( 1986 ) The Cider House Rules ( 1999 )     6     Lange , Jessica Jessica Lange   Blue Sky ( 1994 )   Tootsie ( 1982 )     6     Smith , Maggie Maggie Smith   The Prime of Miss Jean Brodie ( 1969 )   California Suite ( 1978 )     6     Cooper , Gary Gary Cooper   Sergeant York ( 1941 ) High Noon ( 1952 )       5     de Havilland , Olivia Olivia de Havilland   To Each His Own ( 1946 ) The Heiress ( 1949 )       5     Hackman , Gene Gene Hackman   The French Connection ( 1971 )   Unforgiven ( 1992 )     5     Hanks , Tom Tom Hanks   Philadelphia ( 1993 ) Forrest Gump ( 1994 )       5     March , Fredric Fredric March   Dr. Jekyll and Mr. Hyde ( 1931 ) The Best Years of Our Lives ( 1946 )       5     Penn , Sean Sean Penn   Mystic River ( 2003 ) Milk ( 2008 )       5     Taylor , Elizabeth Elizabeth Taylor   Butterfield 8 ( 1960 ) Who 's Afraid of Virginia Woolf ? ( 1966 )       5     Foster , Jodie Jodie Foster   The Accused ( 1988 ) The Silence of the Lambs ( 1991 )           Jackson , Glenda Glenda Jackson   Women in Love ( 1970 ) A Touch of Class ( 1973 )           Quinn , Anthony Anthony Quinn     Viva Zapata ! ( 1952 ) Lust for Life ( 1956 )         Winters , Shelley Shelley Winters     The Diary of Anne Frank ( 1959 ) A Patch of Blue ( 1965 )         Douglas , Melvyn Melvyn Douglas     Hud ( 1963 ) Being There ( 1979 )         Field , Sally Sally Field   Norma Rae ( 1979 ) Places in the Heart ( 1984 )           Robards , Jason Jason Robards     All the President 's Men ( 1976 ) Julia ( 1977 )         Ustinov , Peter Peter Ustinov     Spartacus ( 1960 ) Topkapi ( 1964 )         Wiest , Dianne Dianne Wiest     Hannah and Her Sisters ( 1986 ) Bullets over Broadway ( 1994 )         Hayes , Helen Helen Hayes   The Sin of Madelon Claudet ( 1931 )   Airport ( 1970 )         Leigh , Vivien Vivien Leigh   Gone with the Wind ( 1939 ) A Streetcar Named Desire ( 1951 )           Rainer , Luise Luise Rainer   The Great Ziegfeld ( 1936 ) The Good Earth ( 1937 )           Spacey , Kevin Kevin Spacey   American Beauty ( 1999 )   The Usual Suspects ( 1995 )         Swank , Hilary Hilary Swank   Boys Do n't Cry ( 1999 ) Million Dollar Baby ( 2004 )           Waltz , Christoph Christoph Waltz     Inglourious Basterds ( 2009 ) Django Unchained ( 2012 )       </t>
  </si>
  <si>
    <t xml:space="preserve">Athens - Wikipedia  Athens  Jump to : navigation , search This article is about the capital city of Greece . For other uses , see Athens ( disambiguation ) . City in Central Greece , Greece    Athens Αθήνα     City     Clockwise from top : Acropolis of Athens , Zappeion Hall , Monastiraki , Aerial view from Lycabettus , Athens Olympic Sports Complex , and Hellenic Parliament        Flag   Seal        Nickname ( s ) : Ιοστεφές άστυ ( the violet - crowned city ) Το κλεινόν άστυ ( the glorious city )     Athens Location of Athens in Greece Athens Athens ( Europe ) Show map of Greece Show map of Europe Show all     Coordinates : 37 ° 59 ′ 02.3 '' N 23 ° 43 ′ 40.1 '' E ﻿ / ﻿ 37.983972 ° N 23.727806 ° E ﻿ / 37.983972 ; 23.727806 Coordinates : 37 ° 59 ′ 02.3 '' N 23 ° 43 ′ 40.1 '' E ﻿ / ﻿ 37.983972 ° N 23.727806 ° E ﻿ / 37.983972 ; 23.727806     Country   Greece     Geographic region   Central Greece     Administrative region   Attica     Regional unit   Central Athens     Districts   7     Government     Type   Mayor - council government     Mayor   Giorgos Kaminis ( Ind . )     Area     Municipality   38.964 km ( 15.044 sq mi )     Urban   412 km ( 159 sq mi )     Metro   2,928.717 km ( 1,130.784 sq mi )     Highest elevation   338 m ( 1,109 ft )     Lowest elevation   70.1 m ( 230.0 ft )     Population ( 2011 )     Municipality   664,046     Rank   1st urban , 1st metro in Greece     Urban   3,090,508     Urban density   7,500 / km ( 19,000 / sq mi )     Metro   3,781,274     Demonym ( s )   Athenian     Time zone   EET ( UTC + 2 )     Summer ( DST )   EEST ( UTC + 3 )     Postal codes   10x xx , 11x xx , 120 xx     Telephone   21     Vehicle registration   Yxx , Zxx , Ixx     Patron saint   Dionysius the Areopagite ( 3 October )     Website   www.cityofathens.gr     Athens ( / ˈæθɪnz / ; Greek : Αθήνα , Athína ( aˈθina ) , Ancient Greek : Ἀθῆναι , Athênai ( a. thɛ̂ː. nai̯ ) ) is the capital and largest city of Greece . Athens dominates the Attica region and is one of the world 's oldest cities , with its recorded history spanning over 3,400 years and its earliest human presence starting somewhere between the 11th and 7th millennium BC .   Classical Athens was a powerful city - state that emerged in conjunction with the seagoing development of the port of Piraeus , which had been a distinct city prior to its 5th century BCE incorporation with Athens . A centre for the arts , learning and philosophy , home of Plato 's Academy and Aristotle 's Lyceum , it is widely referred to as the cradle of Western civilization and the birthplace of democracy , largely because of its cultural and political impact on the European continent , and in particular the Romans . In modern times , Athens is a large cosmopolitan metropolis and central to economic , financial , industrial , maritime , political and cultural life in Greece . In 2012 , Athens was ranked the world 's 39th richest city by purchasing power and the 67th most expensive in a UBS study .   Athens is a global city and one of the biggest economic centres in southeastern Europe . It has a large financial sector , and its port Piraeus is both the largest passenger port in Europe , and the second largest in the world . The Municipality of Athens ( also City of Athens ) had a population of 664,046 ( in 2011 ) within its administrative limits , and a land area of 38.96 km ( 15.04 sq mi ) . The urban area of Athens ( Greater Athens and Greater Piraeus ) extends beyond its administrative municipal city limits , with a population of 3,090,508 ( in 2011 ) over an area of 412 km ( 159 sq mi ) . According to Eurostat in 2011 , the functional urban area ( FUA ) of Athens was the 9th most populous FUA in the European Union ( the 6th most populous capital city of the EU ) , with a population of 3.8 million people . Athens is also the southernmost capital on the European mainland .   The heritage of the classical era is still evident in the city , represented by ancient monuments and works of art , the most famous of all being the Parthenon , considered a key landmark of early Western civilization . The city also retains Roman and Byzantine monuments , as well as a smaller number of Ottoman monuments . Athens is home to two UNESCO World Heritage Sites , the Acropolis of Athens and the medieval Daphni Monastery . Landmarks of the modern era , dating back to the establishment of Athens as the capital of the independent Greek state in 1834 , include the Hellenic Parliament and the so - called `` architectural trilogy of Athens '' , consisting of the National Library of Greece , the National and Kapodistrian University of Athens and the Academy of Athens . Athens is also home to several museums and cultural institutions , such as the National Archeological Museum , featuring the world 's largest collection of ancient Greek antiquities , the Acropolis Museum , the Museum of Cycladic Art , the Benaki Museum and the Byzantine and Christian Museum . Athens was the host city of the first modern - day Olympic Games in 1896 , and 108 years later it welcomed home the 2004 Summer Olympics , making it one of only a handful of cities to have hosted the Olympics more than once .     Contents  ( hide )   1 Etymology   2 Geography   2.1 Cityscape / skyline   2.2 Geology   2.3 Environment   2.3. 1 Climate     2.4 Locations   2.4. 1 Neighbourhoods   2.4. 2 Parks and zoos     2.5 Surrounding areas   2.5. 1 Urban and suburban municipalities   2.5. 2 Athens Urban Area   2.5. 3 Athens Metropolitan Area     2.6 Demographics   2.6. 1 Population in modern times   2.6. 1.1 Population of the Athens Metropolitan Area     2.6. 2 Population in ancient times       3 Government and politics   3.1 International relations and influence   3.1. 1 Twin towns -- sister cities   3.1. 2 Partnerships   3.1. 3 Other locations named after Athens       4 History   5 Culture   5.1 Archaeological hub   5.2 Architecture   5.3 Urban sculpture   5.4 Museums   5.5 Tourism   5.6 Entertainment and performing arts   5.6. 1 Music     5.7 Sports   5.7. 1 Overview   5.7. 2 Sports clubs   5.7. 3 Olympic Games   5.7. 3.1 1896 Summer Olympics   5.7. 3.2 1906 Summer Olympics   5.7. 3.3 2004 Summer Olympics   5.7. 3.4 Special Olympics 2011         6 Economy and infrastructure   6.1 Transport   6.1. 1 Bus transport   6.1. 2 Athens Metro   6.1. 2.1 Electric railway ( ISAP )     6.1. 3 Commuter / suburban rail ( Proastiakos )   6.1. 4 Tram   6.1. 5 Athens International Airport   6.1. 6 Railways and ferry connections   6.1. 7 Motorways       7 Education   8 See also   9 References   10 External links      Etymology ( edit )  Further information : Names of European cities in different languages : A Athena , patron goddess of Athens ; ( Varvakeion Athena , National Archaeological Museum )  In Ancient Greek , the name of the city was Ἀθῆναι ( Athēnai , pronounced ( a. thɛ̂ː. nai̯ ) in Classical Attic ) a plural . In earlier Greek , such as Homeric Greek , the name had been current in the singular form though , as Ἀθήνη ( Athēnē ) . It was possibly rendered in the plural later on , like those of Θῆβαι ( Thêbai ) and Μυκῆναι ( Μukênai ) . The root of the word is probably not of Greek or Indo - European origin , and is possibly a remnant of the Pre-Greek substrate of Attica . In antiquity , it was debated whether Athens took its name from its patron goddess Athena ( Attic Ἀθηνᾶ , Athēnā , Ionic Ἀθήνη , Athēnē , and Doric Ἀθάνα , Athānā ) or Athena took her name from the city . Modern scholars now generally agree that the goddess takes her name from the city , because the ending - ene is common in names of locations , but rare for personal names . During the medieval period , the name of the city was rendered once again in the singular as Ἀθήνα . However , after the establishment of the modern Greek state , and partly due to the conservatism of the written language , Ἀθῆναι ( aˈθine ) became again the official name of the city and remained so until the abandonment of Katharevousa in the 1970s , when Ἀθήνα , Athína , became the official name .   According to the ancient Athenian founding myth , Athena , the goddess of wisdom , competed against Poseidon , the god of the seas , for patronage of the yet - unnamed city ; they agreed that whoever gave the Athenians the better gift would become their patron and appointed Cecrops , the king of Athens , as the judge . According to the account given by Pseudo-Apollodorus , Poseidon struck the ground with his trident and a salt water spring welled up . In an alternative version of the myth from Vergil 's Georgics , Poseidon instead gave the Athenians the first horse . In both versions , Athena offered the Athenians the first domesticated olive tree . Cecrops accepted this gift and declared Athena the patron goddess of Athens .   Different etymologies , now commonly rejected , were proposed during the 19th century . Christian Lobeck proposed as the root of the name the word ἄθος ( áthos ) or ἄνθος ( ánthos ) meaning `` flower '' , to denote Athens as the `` flowering city '' . Ludwig von Döderlein proposed the stem of the verb θάω , stem θη - ( tháō , thē - , `` to suck '' ) to denote Athens as having fertile soil .   In classical literature , the city was sometimes referred to as the City of the Violet Crown , first documented in Pindar 's ἰοστέφανοι Ἀθᾶναι ( iostéphanoi Athânai ) , or as τὸ κλεινὸν ἄστυ ( tò kleinòn ásty , `` the glorious city '' ) . In medieval texts , variant names include Setines , Satine , and Astines , all derivations involving false splitting of prepositional phrases . Today the caption η πρωτεύουσα ( ī protévousa ) , `` the capital '' , has become somewhat common .   Geography ( edit )   Cityscape / skyline ( edit )  Panoramic view of Lycabettus , Stadiou Street and Panepistimiou Street . View of parts of central Athens and its eastern suburbs from Mount Lycabettus .  Geology ( edit )  View of Mount Penteli , the second tallest mountain surrounding Athens . Mount Lycabettus .  Athens sprawls across the central plain of Attica that is often referred to as the Athens or Attica Basin ( Greek : Λεκανοπέδιο Αττικής ) . The basin is bounded by four large mountains : Mount Aigaleo to the west , Mount Parnitha to the north , Mount Pentelicus to the northeast and Mount Hymettus to the east . Beyond Mount Aegaleo lies the Thriasian plain , which forms an extension of the central plain to the west . The Saronic Gulf lies to the southwest . Mount Parnitha is the tallest of the four mountains ( 1,413 m ( 4,636 ft ) ) , and has been declared a national park .   Athens is built around a number of hills . Lycabettus is one of the tallest hills of the city proper and provides a view of the entire Attica Basin . The geomorphology of Athens is deemed to be one of the most complex in the world because its mountains cause a temperature inversion phenomenon which , along with the Greek Government 's difficulties controlling industrial pollution , was responsible for the air pollution problems the city has faced . This issue is not unique to Athens ; for instance , Los Angeles and Mexico City also suffer from similar geomorphology inversion problems .   The Cephissus river , the Ilisos and the Eridanos stream are the historical rivers of Athens .   Environment ( edit )  Recycling machine in Athens  By the late 1970s , the pollution of Athens had become so destructive that according to the then Greek Minister of Culture , Constantine Trypanis , `` ... the carved details on the five the caryatids of the Erechtheum had seriously degenerated , while the face of the horseman on the Parthenon 's west side was all but obliterated . '' A series of measures taken by the authorities of the city throughout the 1990s resulted in the improvement of air quality ; the appearance of smog ( or nefos as the Athenians used to call it ) has become less common .   Measures taken by the Greek authorities throughout the 1990s have improved the quality of air over the Attica Basin . Nevertheless , air pollution still remains an issue for Athens , particularly during the hottest summer days . In late June 2007 , the Attica region experienced a number of brush fires , including a blaze that burned a significant portion of a large forested national park in Mount Parnitha , considered critical to maintaining a better air quality in Athens all year round . Damage to the park has led to worries over a stalling in the improvement of air quality in the city .   The major waste management efforts undertaken in the last decade ( particularly the plant built on the small island of Psytalia ) have improved water quality in the Saronic Gulf , and the coastal waters of Athens are now accessible again to swimmers . In January 2007 , Athens faced a waste management problem when its landfill near Ano Liosia , an Athenian suburb , reached capacity . The crisis eased by mid-January when authorities began taking the garbage to a temporary landfill .  Climate ( edit )  Athens has a hot - summer Mediterranean climate ( Köppen climate classification : Csa ) . The dominant feature of Athens ' climate is alternation between prolonged hot and dry summers and mild winters with moderate rainfall . With an average of 416.8 millimetres ( 16.41 in ) of yearly precipitation , rainfall occurs largely between the months of October and April . July and August are the driest months , when thunderstorms occur sparsely once or twice a month .   Owing to the rain shadow of the Pindus Mountains , annual precipitation of Athens is lower than most other parts of Greece , especially western Greece . As an example , Ioannina receives around 1,300 mm ( 51 in ) per year , and Agrinio around 800 mm ( 31 in ) per year . Daily average highs for July ( 1988 -- 2017 ) have been measured at 34.4 ° C or 93.9 ° F , but some parts of the city may be even hotter , in particular western areas due to a combination of industrialization and a number of natural factors , knowledge of which has existed since the mid-19th century .   Athens is affected by the urban heat island effect in some areas which is caused by human activity , altering its temperatures compared to the surrounding rural areas , and leaving detrimental effects on energy usage , expenditure for cooling , and health . The urban heat island of the city has also been found to be partially responsible for alterations of the climatological temperature time - series of specific Athens meteorological stations , because of its impact on the temperatures and the temperature trends recorded by some meteorological stations . On the other hand , specific meteorological stations , such as the National Garden station and Thiseio meteorological station , are less affected or do not experience the urban heat island .   Athens holds the World Meteorological Organization record for the highest temperature ever recorded in Europe , at 48.0 ° C ( 118.4 ° F ) , which was recorded in the Elefsina and Tatoi suburbs of Athens on 10 July 1977 .     ( hide ) Climate data for Downtown Athens ( 1988 -- 2017 ) . Extremes from 1890     Month   Jan   Feb   Mar   Apr   May   Jun   Jul   Aug   Sep   Oct   Nov   Dec   Year     Record high ° C ( ° F )   22.6 ( 72.7 )   25.3 ( 77.5 )   28.9 ( 84 )   32.2 ( 90 )   36.7 ( 98.1 )   44.8 ( 112.6 )   48.0 ( 118.4 )   42.6 ( 108.7 )   38.6 ( 101.5 )   36.5 ( 97.7 )   30.5 ( 86.9 )   22.9 ( 73.2 )   44.8 ( 112.6 )     Average high ° C ( ° F )   13.4 ( 56.1 )   14.3 ( 57.7 )   17.1 ( 62.8 )   21.2 ( 70.2 )   26.6 ( 79.9 )   31.7 ( 89.1 )   34.4 ( 93.9 )   34.3 ( 93.7 )   29.7 ( 85.5 )   24.1 ( 75.4 )   18.7 ( 65.7 )   14.4 ( 57.9 )   23.3 ( 73.9 )     Daily mean ° C ( ° F )   10.2 ( 50.4 )   10.8 ( 51.4 )   13.1 ( 55.6 )   16.8 ( 62.2 )   21.7 ( 71.1 )   26.6 ( 79.9 )   29.3 ( 84.7 )   29.2 ( 84.6 )   25.0 ( 77 )   20.1 ( 68.2 )   15.4 ( 59.7 )   11.5 ( 52.7 )   19.1 ( 66.4 )     Average low ° C ( ° F )   7.1 ( 44.8 )   7.3 ( 45.1 )   9.2 ( 48.6 )   12.3 ( 54.1 )   16.9 ( 62.4 )   21.5 ( 70.7 )   24.2 ( 75.6 )   24.2 ( 75.6 )   20.3 ( 68.5 )   16.0 ( 60.8 )   12.0 ( 53.6 )   8.5 ( 47.3 )   15.0 ( 59 )     Record low ° C ( ° F )   − 6.5 ( 20.3 )   − 5.7 ( 21.7 )   − 2.6 ( 27.3 )   1.7 ( 35.1 )   6.2 ( 43.2 )   11.8 ( 53.2 )   16 ( 61 )   15.5 ( 59.9 )   8.9 ( 48 )   5.9 ( 42.6 )   − 1.1 ( 30 )   − 4 ( 25 )   − 6.5 ( 20.3 )     Average rainfall mm ( inches )   51.4 ( 2.024 )   43.9 ( 1.728 )   46.0 ( 1.811 )   25.4 ( 1 )   18.6 ( 0.732 )   9.7 ( 0.382 )   8.9 ( 0.35 )   5.0 ( 0.197 )   23.1 ( 0.909 )   39.8 ( 1.567 )   72.3 ( 2.846 )   72.7 ( 2.862 )   416.8 ( 16.408 )     Source : Meteoclub.gr       ( hide ) Climate data for Elliniko , Athens ( rain data for Nea Filadelfeia , Athens )     Month   Jan   Feb   Mar   Apr   May   Jun   Jul   Aug   Sep   Oct   Nov   Dec   Year     Average high ° C ( ° F )   13.3 ( 55.9 )   13.9 ( 57 )   16.6 ( 61.9 )   20.0 ( 68 )   25.2 ( 77.4 )   30.4 ( 86.7 )   33.4 ( 92.1 )   33.7 ( 92.7 )   28.7 ( 83.7 )   23.5 ( 74.3 )   18.8 ( 65.8 )   14.7 ( 58.5 )   22.7 ( 72.9 )     Daily mean ° C ( ° F )   9.9 ( 49.8 )   10.2 ( 50.4 )   12.5 ( 54.5 )   15.7 ( 60.3 )   20.5 ( 68.9 )   25.5 ( 77.9 )   28.5 ( 83.3 )   28.6 ( 83.5 )   24.1 ( 75.4 )   19.5 ( 67.1 )   15.1 ( 59.2 )   11.7 ( 53.1 )   18.5 ( 65.3 )     Average low ° C ( ° F )   6.8 ( 44.2 )   6.8 ( 44.2 )   8.8 ( 47.8 )   11.7 ( 53.1 )   15.8 ( 60.4 )   20.6 ( 69.1 )   23.6 ( 74.5 )   23.8 ( 74.8 )   19.8 ( 67.6 )   15.9 ( 60.6 )   11.7 ( 53.1 )   8.8 ( 47.8 )   14.5 ( 58.1 )     Average rainfall mm ( inches )   56.9 ( 2.24 )   46.7 ( 1.839 )   40.7 ( 1.602 )   30.8 ( 1.213 )   22.7 ( 0.894 )   10.6 ( 0.417 )   5.8 ( 0.228 )   6.0 ( 0.236 )   13.9 ( 0.547 )   52.6 ( 2.071 )   58.3 ( 2.295 )   69.1 ( 2.72 )   414.1 ( 16.302 )     Average rainy days   12.6   10.4   10.2   8.1   6.2   3.7   1.9   1.7   3.3   7.2   9.7   12.1   87.1     Average relative humidity ( % )   70.7   68.9   67.0   62.9   59.5   52.6   48.7   47.6   57.2   64.6   71.9   71.8   62.0     Mean monthly sunshine hours   158.1   168.0   189.1   225.0   303.8   360.0   384.4   359.6   252.0   198.4   144.0   105.4   2,847.8     Source : Climatebase ( temperatures , RH , and sun 1980 -- 2000 ) World Meteorological Organization ( precipitation 1955 -- 1997 ) ,       Climate data for Athens     Month   Jan   Feb   Mar   Apr   May   Jun   Jul   Aug   Sep   Oct   Nov   Dec   Year     Average sea temperature ° C ( ° F )   15.4 ( 59.7 )   15.0 ( 59.0 )   15.2 ( 59.4 )   15.7 ( 60.3 )   18.5 ( 65.3 )   22.6 ( 72.7 )   25.7 ( 78.3 )   26.3 ( 79.3 )   25.0 ( 77.0 )   22.2 ( 72.0 )   19.1 ( 66.4 )   16.6 ( 61.9 )   19.8 ( 67.6 )     Mean daily daylight hours   10.0   11.0   12.0   13.0   14.0   15.0   14.0   14.0   12.0   11.0   10.0   10.0   12.2     Average Ultraviolet index       5   6   8   9   10   9   7   5       5.8     Source : Weather Atlas     Locations ( edit )  Neighbourhoods ( edit ) Changing of the Greek Presidential Guard in front of the Tomb of the Unknown Soldier at Syntagma Square .  The municipality of Athens , the city centre of the Athens Urban Area , is divided into several districts : Omonoia , Syntagma , Exarcheia , Agios Nikolaos , Neapolis , Lykavittos , Lofos Strefi , Lofos Finopoulou , Lofos Filopappou , Pedion Areos , Metaxourgeio , Aghios Kostantinos , Larissa Station , Kerameikos , Psiri , Monastiraki , Gazi , Thission , Kapnikarea , Aghia Irini , Aerides , Anafiotika , Plaka , Acropolis , Pnyka , Makrygianni , Lofos Ardittou , Zappeion , Aghios Spyridon , Pangrati , Kolonaki , Dexameni , Evaggelismos , Gouva , Aghios Ioannis , Neos Kosmos , Koukaki , Kynosargous , Fix , Ano Petralona , Kato Petralona , Rouf , Votanikos , Profitis Daniil , Akadimia Platonos , Kolonos , Kolokynthou , Attikis Square , Lofos Skouze , Sepolia , Kypseli , Aghios Meletios , Nea Kypseli , Gyzi , Polygono , Ampelokipoi , Panormou - Gerokomeio , Pentagono , Ellinorosson , Nea Filothei , Ano Kypseli , Tourkovounia - Lofos Patatsou , Lofos Elikonos , Koliatsou , Thymarakia , Kato Patisia , Treis Gefyres , Aghios Eleftherios , Ano Patisia , Kypriadou , Menidi , Prompona , Aghios Panteleimonas , Pangrati , Goudi and Ilisia .    Omonoia , Omonoia Square , ( Greek : Πλατεία Ομονοίας ) is the oldest square in Athens . It is surrounded by hotels and fast food outlets , and contains a train station used by the Athens Metro and the Ilektrikos , named Omonoia station . The square is the focus for celebration of sporting victories , as seen after the country 's winning of the Euro 2004 and the Eurobasket 2005 tournaments .   Metaxourgeio ( Greek : Μεταξουργείο ) is a neighborhood of Athens . The neighborhood is located north of the historical centre of Athens , between Kolonos to the east and Kerameikos to the west , and north of Gazi . Metaxourgeio is frequently described as a transition neighborhood . After a long period of abandonment in the late 20th century , the area is acquiring a reputation as an artistic and fashionable neighborhood following the opening of art galleries , museums , restaurants and cafés. ( 1 ) Local efforts to beautify and invigorate the neighborhood have reinforced a sense of community and artistic expression . Anonymous art pieces containing quotes and statements in both English and Ancient Greek have sprung up throughout the neighborhood , bearing statements such as `` Art for art 's sake '' ( Τέχνη τέχνης χάριν ) . Guerilla gardening has also helped to beautify the area .   Psiri and Gazi -- The reviving Psiri ( Greek : Ψυρρή ) neighbourhood -- also known as Athens 's `` meat packing district '' -- is dotted with renovated former mansions , artists ' spaces , and small gallery areas . A number of its renovated buildings also host fashionable bars , making it a hotspot for the city in the last decade , while live music restaurants known as `` rebetadika '' , after rebetiko , a unique form of music that blossomed in Syros and Athens from the 1920s until the 1960s , are to be found . Rebetiko is admired by many , and as a result rebetadika are often crammed with people of all ages who will sing , dance and drink till dawn .    The Gazi ( Greek : Γκάζι ) area , one of the latest in full redevelopment , is located around a historic gas factory , now converted into the Technopolis cultural multiplex , and also includes artists ' areas , small clubs , bars and restaurants , as well as Athens 's `` Gay village '' . The metro 's expansion to the western suburbs of the city has brought easier access to the area since spring 2007 , as the blue line now stops at Gazi ( Kerameikos station ) .    Syntagma , Syntagma Square , ( Greek : Σύνταγμα / Constitution Square ) , is the capital 's central and largest square , lying adjacent to the Greek Parliament ( the former Royal Palace ) and the city 's most notable hotels . Ermou Street , an approximately one - kilometre - long ( 0.62 - mile ) pedestrian road connecting Syntagma Square to Monastiraki , is a consumer paradise for both Athenians and tourists . Complete with fashion shops and shopping centres promoting most international brands , it now finds itself in the top five most expensive shopping streets in Europe , and the tenth most expensive retail street in the world . Nearby , the renovated Army Fund building in Panepistimiou Street includes the `` Attica '' department store and several upmarket designer stores .   Plaka , Monastiraki , and Thission -- Plaka ( Greek : Πλάκα ) , lying just beneath the Acropolis , is famous for its plentiful neoclassical architecture , making up one of the most scenic districts of the city . It remains a prime tourist destination with tavernas , live performances and street salesmen . Nearby Monastiraki ( Greek : Μοναστηράκι ) , for its part , is known for its string of small shops and markets , as well as its crowded flea market and tavernas specialising in souvlaki . Another district known for its student - crammed , stylish cafés is Theseum or Thission ( Greek : Θησείο ) , lying just west of Monastiraki . Thission is home to the ancient Temple of Hephaestus , standing atop a small hill . This area also has a picturesque 11th - century Byzantine church , as well as a 15th - century Ottoman mosque .   Exarcheia ( Greek : Εξάρχεια ) , located north of Kolonaki , is the location of the city 's anarchist scene and as a student quarter with cafés , bars and bookshops . Exarcheia is home to the Athens Polytechnic and the National Archaeological Museum ; it also contains important buildings of several 20th - century styles : Neoclassicism , Art Deco and Early Modernism ( including Bauhaus influences ) .   Kolonaki ( Greek : Κολωνάκι ) is the area at the base of Lycabettus hill , full of boutiques catering to well - heeled customers by day , and bars and more fashionable restaurants by night , with galleries and museums . This is often regarded as one of the more prestigious areas of the capital .   Panoramic view of Kolonaki Square Parks and zoos ( edit ) The entrance of the National Gardens , commissioned by Queen Amalia in 1838 and completed by 1840  Parnitha National Park is punctuated by well - marked paths , gorges , springs , torrents and caves dotting the protected area . Hiking and mountain - biking in all four mountains are popular outdoor activities for residents of the city . The National Garden of Athens was completed in 1840 and is a green refuge of 15.5 hectares in the centre of the Greek capital . It is to be found between the Parliament and Zappeion buildings , the latter of which maintains its own garden of seven hectares .   Parts of the city centre have been redeveloped under a masterplan called the Unification of Archeological Sites of Athens , which has also gathered funding from the EU to help enhance the project . The landmark Dionysiou Areopagitou Street has been pedestrianised , forming a scenic route . The route starts from the Temple of Olympian Zeus at Vasilissis Olgas Avenue , continues under the southern slopes of the Acropolis near Plaka , and finishes just beyond the Temple of Hephaestus in Thiseio . The route in its entirety provides visitors with views of the Parthenon and the Agora ( the meeting point of ancient Athenians ) , away from the busy city centre .   The hills of Athens also provide green space . Lycabettus , Philopappos hill and the area around it , including Pnyx and Ardettos hill , are planted with pines and other trees , with the character of a small forest rather than typical metropolitan parkland . Also to be found is the Pedion tou Areos ( Field of Mars ) of 27.7 hectares , near the National Archaeological Museum .   Athens ' largest zoo is the Attica Zoological Park , a 20 - hectare ( 49 - acre ) private zoo located in the suburb of Spata . The zoo is home to around 2000 animals representing 400 species , and is open 365 days a year . Smaller zoos exist within public gardens or parks , such as the zoo within the National Garden of Athens .   Surrounding areas ( edit )   The large City Centre of the Greek capital falls directly within the municipality of Athens , which is the largest in population size in Greece . Piraeus also forms a significant city centre on its own , within the Athens Urban Area and being the second largest in population size within it , with Peristeri and Kallithea following .  Urban and suburban municipalities ( edit ) Ano Vrilissia maisonette block Beach in Vouliagmeni , one of the many beaches in the southern coast of Athens  The Athens Metropolitan Area consists of 58 densely populated municipalities , sprawling around the municipality of Athens ( the city centre ) in virtually all directions . For the Athenians , all the urban municipalities surrounding the city centre are called suburbs . According to their geographic location in relation to the City of Athens , the suburbs are divided into four zones ; the northern suburbs ( including Agios Stefanos , Dionysos , Ekali , Nea Erythraia , Kifissia , Maroussi , Pefki , Lykovrysi , Metamorfosi , Nea Ionia , Nea Filadelfeia , Irakleio , Vrilissia , Melissia , Penteli , Chalandri , Agia Paraskevi , Galatsi , Psychiko and Filothei ) ; the southern suburbs ( including Alimos , Nea Smyrni , Moschato , Kallithea , Agios Dimitrios , Palaio Faliro , Elliniko , Glyfada , Argyroupoli , Ilioupoli , Voula and Vouliagmeni ) ; the eastern suburbs ( including Zografou , Dafni , Vyronas , Kaisariani , Cholargos and Papagou ) ; and the western suburbs ( including Peristeri , Ilion , Egaleo , Koridallos , Agia Varvara , Chaidari , Petroupoli , Agioi Anargyroi and Kamatero ) .   The Athens city coastline , extending from the major commercial port of Piraeus to the southernmost suburb of Varkiza for some 25 km ( 20 mi ) , is also connected to the city centre by a tram .   In the northern suburb of Maroussi , the upgraded main Olympic Complex ( known by its Greek acronym OAKA ) dominates the skyline . The area has been redeveloped according to a design by the Spanish architect Santiago Calatrava , with steel arches , landscaped gardens , fountains , futuristic glass , and a landmark new blue glass roof which was added to the main stadium . A second Olympic complex , next to the sea at the beach of Palaio Faliro , also features modern stadia , shops and an elevated esplanade . Work is underway to transform the grounds of the old Athens Airport -- named Elliniko -- in the southern suburbs , into one of the largest landscaped parks in Europe , to be named the Hellenikon Metropolitan Park .   Many of the southern suburbs ( such as Alimos , Palaio Faliro , Elliniko , Voula , Vouliagmeni and Varkiza ) known as the Athens Riviera , host a number of sandy beaches , most of which are operated by the Greek National Tourism Organisation and require an entrance fee . Casinos operate on both Mount Parnitha , some 25 km ( 16 mi ) from downtown Athens ( accessible by car or cable car ) , and the nearby town of Loutraki ( accessible by car via the Athens -- Corinth National Highway , or the suburban rail service Proastiakos ) .  Coastline of Palaio Faliro Athens Urban area ( edit )  The Athens Urban Area today consists of 40 municipalities , 35 of which make up what is referred to as the Greater Athens municipalities , located within 4 regional units ( North Athens , West Athens , Central Athens , South Athens ) ; and a further 5 , which make up the Greater Piraeus municipalities , located within the regional unit of Piraeus as mentioned above . The densely built up urban area of the Greek capital sprawls across 412 km ( 159 sq mi ) throughout the Attica Basin and has a total population of 3,074,160 ( in 2011 ) .   The Athens municipality forms the core and center of Greater Athens , which consists of the Athens municipality and 34 more municipalities , divided in four regional units ( Central , North , South and West Athens ) , accounting for 2,641,511 people ( in 2011 ) within an area of 361 km ( 139 sq mi ) . Until 2010 , these four regional units made up the abolished Athens Prefecture . The municipality of Piraeus , the historic Athenian port , with its 4 suburban municipalities make up the regional unit of Piraeus , which in turn forms Greater Piraeus .   Greater Athens and Greater Piraeus combined make up the continuous built up Athens Urban Area ( Greek : Πολεοδομικό Συγκρότημα Αθηνών ) , also called the Urban Area of the Capital ( Greek : Πολεοδομικό Συγκρότημα Πρωτεύουσας ) or simply Athens ( the most common use of the term ) , spanning over 412 km ( 159 sq mi ) , with a population of 3,090,508 people as of 2011 . The Athens Urban Area is considered to form the city of Athens as a whole , despite its administrative divisions , which is the largest in Greece and one of the most populated urban areas in Europe .      Municipalities of Greater Athens      Central Athens :   1 . City of Athens   2 . Dafni - Ymittos   3 . Ilioupoli   4 . Vyronas   5 . Kaisariani   6 . Zografou   7 . Galatsi   8 . Filadelfeia - Chalkidona           West Athens :     29 . Egaleo     30 . Agia Varvara     31 . Chaidari     32 . Peristeri     33 . Petroupoli     34 . Ilion     35 . Agioi Anargyroi - Kamatero           North Athens :     9 . Nea Ionia     10 . Irakleio     11 . Metamorfosi     12 . Lykovrysi - Pefki     13 . Kifissia     14 . Penteli     15 . Marousi     16 . Vrilissia     17 . Agia Paraskevi     18 . Papagou - Cholargos     19 . Chalandri     20 . Filothei - Psychiko           South Athens :   21 . Glyfada   22 . Elliniko - Argyroupoli   23 . Alimos   24 . Agios Dimitrios   25 . Nea Smyrni   26 . Palaio Faliro   27 . Kallithea   28 . Moschato - Tavros          Athens Urban Area      Regional units :     Central Athens : * Athens municipality * Other municipalities     North Athens     South Athens     West Athens     Piraeus   </t>
  </si>
  <si>
    <t xml:space="preserve">when was athens made the capital of greece</t>
  </si>
  <si>
    <t xml:space="preserve"> Athens became the capital of Greece in 1834 , following Nafplion , which was the provisional capital from 1829 . The municipality ( City ) of Athens is also the capital of the Attica region . The term Athens can refer either to the municipality of Athens , to Greater Athens , or to the entire Athens Urban Area . </t>
  </si>
  <si>
    <t xml:space="preserve">September 11 attacks - wikipedia  September 11 attacks  `` 9 / 11 '' redirects here . For the date September 11 , see September 11 . For the date November 9 , see November 9 . For the emergency number , see 9 - 1 - 1 . For other uses , see September 11 attacks ( disambiguation ) and 9 / 11 ( disambiguation ) .      September 11 attacks     Part of terrorism in the United States       Top row : The Twin Towers of the World Trade Center burning   2nd row , left to right : Collapsed section of the Pentagon ; Flight 175 crashes into 2 WTC ;   3rd row , left to right : A firefighter requests assistance at World Trade Center site ; Ground Zero ; An engine from Flight 93 is recovered   Bottom row : Flight 77 's collision with the Pentagon as captured by three consecutive CCTV frames       Location     New York City , New York , U.S. ;   Arlington County , Virginia , U.S. ;   Stonycreek Township near Shanksville , Pennsylvania , U.S.       Date   September 11 , 2001 ; 16 years ago ( 2001 - 09 - 11 ) 8 : 46 a.m. -- 10 : 28 a.m. ( EDT )     Target     World Trade Center ( AA 11 and UA 175 )   The Pentagon ( AA 77 )   White House or U.S. Capitol ( UA 93 ; failed )       Attack type     Aircraft hijackings   Suicide attacks   Mass murder   Terrorism       Deaths   2,996 ( 2,977 victims + 19 hijackers )     Non-fatal injuries   6,000 +     Perpetrators   Al - Qaeda ( see also responsibility and hijackers )     No. of participants   19     The September 11 attacks ( also referred to as 9 / 11 ) were a series of four coordinated terrorist attacks by the Islamic terrorist group al - Qaeda against the United States on the morning of Tuesday , September 11 , 2001 . The attacks killed 2,996 people , injured over 6,000 others , and caused at least $10 billion in infrastructure and property damage . Additional people died of 9 / 11 - related cancer and respiratory diseases in the months and years following the attacks .   Four passenger airliners operated by two major U.S. passenger air carriers ( United Airlines and American Airlines ) -- all of which departed from airports in the northeastern part of the United States bound for California -- were hijacked by 19 al - Qaeda terrorists . Two of the planes , American Airlines Flight 11 and United Airlines Flight 175 , were crashed into the North and South towers , respectively , of the World Trade Center complex in Lower Manhattan . Within an hour and 42 minutes , both 110 - story towers collapsed . Debris and the resulting fires caused partial or complete collapse of all other buildings in the World Trade Center complex , including the 47 - story 7 World Trade Center tower , as well as significant damage to ten other large surrounding structures . A third plane , American Airlines Flight 77 , was crashed into the Pentagon ( the headquarters of the United States Department of Defense ) in Arlington County , Virginia , which led to a partial collapse of the building 's west side . The fourth plane , United Airlines Flight 93 , was initially flown toward Washington , D.C. , but crashed into a field in Stonycreek Township near Shanksville , Pennsylvania , after its passengers thwarted the hijackers. 9 / 11 was the single deadliest incident for firefighters and law enforcement officers in the history of the United States , with 343 and 72 killed , respectively .   Suspicion quickly fell on al - Qaeda . The United States responded by launching the War on Terror and invaded Afghanistan to depose the Taliban , which had failed to comply with US demands to extradite Osama bin Laden and expel al - Qaeda from Afghanistan . Many countries strengthened their anti-terrorism legislation and expanded the powers of law enforcement and intelligence agencies to prevent terrorist attacks . Although al - Qaeda 's leader , Osama bin Laden , initially denied any involvement , in 2004 he claimed responsibility for the attacks . Al - Qaeda and bin Laden cited U.S. support of Israel , the presence of U.S. troops in Saudi Arabia , and sanctions against Iraq as motives . After evading capture for almost a decade , Osama bin Laden was located and killed in Pakistan by SEAL Team Six of the U.S. Navy in May 2011 .   The destruction of the World Trade Center and nearby infrastructure caused serious harm to the economy of Lower Manhattan and had a significant effect on global markets , which resulted in the closing of Wall Street until September 17 and the civilian airspace in the U.S. and Canada until September 13 . Many closings , evacuations , and cancellations followed , out of respect or fear of further attacks . Cleanup of the World Trade Center site was completed in May 2002 , and the Pentagon was repaired within a year . On November 18 , 2006 , construction of One World Trade Center began at the World Trade Center site . The building was officially opened on November 3 , 2014 . Numerous memorials have been constructed , including the National September 11 Memorial &amp; Museum in New York City , the Pentagon Memorial in Arlington County , Virginia , and the Flight 93 National Memorial in a field in Stonycreek Township near Shanksville , Pennsylvania .   Contents    1 Background   1.1 Al - Qaeda   1.1. 1 Osama bin Laden   1.1. 2 Khalid Sheikh Mohammed   1.1. 3 Other al - Qaeda members     1.2 Motives   1.3 Planning   1.4 Prior intelligence     2 Attacks   2.1 The four crashes   2.2 Casualties   2.3 Damage   2.4 Rescue efforts     3 Aftermath   3.1 Immediate response   3.2 Domestic reactions   3.2. 1 Hate crimes   3.2. 2 Muslim American response     3.3 International reactions   3.4 Military operations     4 Effects   4.1 Health issues   4.2 Economic   4.3 Cultural influence   4.4 Government policies toward terrorism     5 Investigations   5.1 FBI   5.2 CIA   5.3 Congressional inquiry   5.4 9 / 11 Commission   5.5 National Institute of Standards and Technology     6 Rebuilding   7 Memorials   8 See also   9 Notes   10 References   10.1 Citations   10.2 Bibliography     11 Further reading   12 External links    Background   Al - Qaeda             Attacks by al - Qaeda       1992 Yemen hotel bombings   1998 United States embassy bombings   USS Cole   September 11 attacks   Ghriba   Faylaka Island attack   Bali ( 1st )   Mombasa   Riyadh   Casablanca   Marriott Hotel   Istanbul   Madrid   2004 Khobar massacre   Bali ( 2nd )   2005 Amman Bombings   Algiers   Qahtaniya   Islamabad   Wanat   Camp Chapman attack   Pune   In Amenas hostage crisis      Further information : Al - Qaeda and Jihad  The origins of al - Qaeda can be traced to 1979 when the Soviet Union invaded Afghanistan . Osama bin Laden traveled to Afghanistan and helped organize Arab mujahideen to resist the Soviets . Under the guidance of Ayman al - Zawahiri , bin Laden became more radical . In 1996 , bin Laden issued his first fatwā , calling for American soldiers to leave Saudi Arabia .   In a second fatwā in 1998 , bin Laden outlined his objections to American foreign policy with respect to Israel , as well as the continued presence of American troops in Saudi Arabia after the Gulf War . Bin Laden used Islamic texts to exhort Muslims to attack Americans until the stated grievances are reversed . Muslim legal scholars `` have throughout Islamic history unanimously agreed that the jihad is an individual duty if the enemy destroys the Muslim countries '' , according to bin Laden .  Osama bin Laden Further information : Osama bin Laden , Death of Osama bin Laden , and Videos of Osama bin Laden Osama bin Laden at about 40 years of age , 1997  Bin Laden orchestrated the attacks and initially denied involvement but later recanted his false statements . Al Jazeera broadcast a statement by bin Laden on September 16 , 2001 , stating , `` I stress that I have not carried out this act , which appears to have been carried out by individuals with their own motivation . '' In November 2001 , U.S. forces recovered a videotape from a destroyed house in Jalalabad , Afghanistan . In the video , bin Laden is seen talking to Khaled al - Harbi and admits foreknowledge of the attacks . On December 27 , 2001 , a second bin Laden video was released . In the video , he said :   It has become clear that the West in general and America in particular have an unspeakable hatred for Islam ... It is the hatred of crusaders . Terrorism against America deserves to be praised because it was a response to injustice , aimed at forcing America to stop its support for Israel , which kills our people ... We say that the end of the United States is imminent , whether Bin Laden or his followers are alive or dead , for the awakening of the Muslim umma ( nation ) has occurred   but he stopped short of admitting responsibility for the attacks . The transcript refers several times to the United States specifically targeting Muslims .   Shortly before the U.S. presidential election in 2004 , bin Laden used a taped statement to publicly acknowledge al - Qaeda 's involvement in the attacks on the United States . He admitted his direct link to the attacks and said they were carried out because :   we are free ... and want to regain freedom for our nation . As you undermine our security , we undermine yours .   Bin Laden said he had personally directed his followers to attack the World Trade Center and the Pentagon . Another video obtained by Al Jazeera in September 2006 shows bin Laden with Ramzi bin al - Shibh , as well as two hijackers , Hamza al - Ghamdi and Wail al - Shehri , as they make preparations for the attacks . The U.S. never formally indicted bin Laden for the 9 / 11 attacks but he was on the FBI 's Most Wanted List for the bombings of the U.S. Embassies in Dar es Salaam , Tanzania , and Nairobi , Kenya . After a 10 - year manhunt , bin Laden was killed by American special forces in a compound in Abbottabad , Pakistan on May 2 , 2011 .  Khalid Sheikh Mohammed Main article : Khalid Sheikh Mohammed Khalid Sheikh Mohammed after his capture in 2003  Journalist Yosri Fouda of the Arabic television channel Al Jazeera reported that , in April 2002 , Khalid Sheikh Mohammed admitted his involvement , along with Ramzi bin al - Shibh . The 9 / 11 Commission Report determined that the animosity towards the United States felt by Mohammed , the principal architect of the 9 / 11 attacks , stemmed from his `` violent disagreement with U.S. foreign policy favoring Israel '' . Mohammed was also an adviser and financier of the 1993 World Trade Center bombing and the uncle of Ramzi Yousef , the lead bomber in that attack .   Mohammed was arrested on March 1 , 2003 , in Rawalpindi , Pakistan , by Pakistani security officials working with the CIA . He was then held at multiple CIA secret prisons and Guantanamo Bay where he was interrogated and tortured with methods including waterboarding . During U.S. hearings at Guantanamo Bay in March 2007 , Mohammed again confessed his responsibility for the attacks , stating he `` was responsible for the 9 / 11 operation from A to Z '' and that his statement was not made under duress .  Other al - Qaeda members Further information : Trials related to the September 11 attacks  In `` Substitution for Testimony of Khalid Sheikh Mohammed '' from the trial of Zacarias Moussaoui , five people are identified as having been completely aware of the operation 's details . They are bin Laden , Khalid Sheikh Mohammed , Ramzi bin al - Shibh , Abu Turab al - Urduni , and Mohammed Atef . To date , only peripheral figures have been tried or convicted for the attacks .   On September 26 , 2005 , the Spanish high court sentenced Abu Dahdah to 27 years in prison for conspiracy on the 9 / 11 attacks and being a member of the terrorist organization al - Qaeda . At the same time , another 17 al - Qaeda members were sentenced to penalties of between six and eleven years . On February 16 , 2006 , the Spanish Supreme Court reduced the Abu Dahdah penalty to 12 years because it considered that his participation in the conspiracy was not proven .   Also in 2006 , Moussaoui -- who some originally suspected might have been the assigned 20th hijacker -- was convicted for the lesser role of conspiracy to commit acts of terrorism and air piracy . He was sentenced to life without parole in the United States . Mounir el - Motassadeq , an associate of the Hamburg - based hijackers , is serving 15 years in Germany for his role in helping the hijackers prepare for the attacks .   The Hamburg cell in Germany included radical Islamists who eventually came to be key operatives in the 9 / 11 attacks . Mohamed Atta , Marwan al - Shehhi , Ziad Jarrah , Ramzi bin al - Shibh , and Said Bahaji were all members of al - Qaeda 's Hamburg cell .   Motives  Main article : Motives for the September 11 attacks  Osama bin Laden 's declaration of a holy war against the United States , and a 1998 fatwā signed by bin Laden and others , calling for the killing of Americans , are seen by investigators as evidence of his motivation . In bin Laden 's November 2002 `` Letter to America '' , he explicitly stated that al - Qaeda 's motives for their attacks include :    U.S. support of Israel   support for the `` attacks against Muslims '' in Somalia   support of Philippines against Muslims in the Moro conflict   support for Israeli `` aggression '' against Muslims in Lebanon   support of Russian `` atrocities against Muslims '' in Chechnya   pro-American governments in the Middle East ( who `` act as your agents '' ) being against Muslim interests   support of Indian `` oppression against Muslims '' in Kashmir   the presence of U.S. troops in Saudi Arabia   the sanctions against Iraq    After the attacks , bin Laden and al - Zawahiri released additional videotapes and audio recordings , some of which repeated those reasons for the attacks . Two particularly important publications were bin Laden 's 2002 `` Letter to America '' , and a 2004 videotape by bin Laden .   Bin Laden interpreted Muhammad as having banned the `` permanent presence of infidels in Arabia '' . In 1996 , bin Laden issued a fatwā calling for American troops to leave Saudi Arabia . In 1998 , al - Qaeda wrote , `` for over seven years the United States has been occupying the lands of Islam in the holiest of places , the Arabian Peninsula , plundering its riches , dictating to its rulers , humiliating its people , terrorizing its neighbors , and turning its bases in the Peninsula into a spearhead through which to fight the neighboring Muslim peoples . ''   In a December 1999 interview , bin Laden said he felt that Americans were `` too near to Mecca '' , and considered this a provocation to the entire Muslim world . One analysis of suicide terrorism suggested that without U.S. troops in Saudi Arabia , al - Qaeda likely would not have been able to get people to commit to suicide missions .   In the 1998 fatwā , al - Qaeda identified the Iraq sanctions as a reason to kill Americans , condemning the `` protracted blockade '' among other actions that constitute a declaration of war against `` Allah , his messenger , and Muslims . '' The fatwā declared that `` the ruling to kill the Americans and their allies -- civilians and military -- is an individual duty for every Muslim who can do it in any country in which it is possible to do it , in order to liberate the al - Aqsa Mosque and the holy mosque of Mecca from their grip , and in order for their ( the Americans ' ) armies to move out of all the lands of Islam , defeated and unable to threaten any Muslim . ''   In 2004 , Bin Laden claimed that the idea of destroying the towers had first occurred to him in 1982 , when he witnessed Israel 's bombardment of high - rise apartment buildings during the 1982 Lebanon War . Some analysts , including Mearsheimer and Walt , also claimed that U.S. support of Israel was one motive for the attacks . In 2004 and 2010 , bin Laden again connected the September 11 attacks with U.S. support of Israel , although most of the letter expressed bin Laden 's disdain for President Bush and bin Laden 's hope to `` destroy and bankrupt '' the U.S.   Other motives have been suggested in addition to those stated by bin Laden and al - Qaeda , including western support of Islamic and non-Islamic authoritarian regimes in Saudi Arabia , Iran , Egypt , Iraq , Pakistan and northern Africa , and the presence of western troops in some of these countries . Some authors suggested the `` humiliation '' that resulted from the Islamic world falling behind the Western world -- this discrepancy was rendered especially visible by the globalization trend and a desire to provoke the U.S. into a broader war against the Islamic world in the hope of motivating more allies to support al - Qaeda . Similarly , others have argued that 9 / 11 was a strategic move with the objective of provoking America into a war that would incite a pan-Islamic revolution .   Planning  Main article : Planning of the September 11 attacks Map showing the attacks on the World Trade Center ( the planes are not drawn to scale )  The idea for the attacks came from Khalid Sheikh Mohammed , who first presented it to Osama bin Laden in 1996 . At that time , bin Laden and al - Qaeda were in a period of transition , having just relocated back to Afghanistan from Sudan . The 1998 African Embassy bombings and bin Laden 's 1998 fatwā marked a turning point , as bin Laden became intent on attacking the United States .   In late 1998 or early 1999 , bin Laden gave approval for Mohammed to go forward with organizing the plot . A series of meetings occurred in early 1999 , involving Mohammed , bin Laden , and his deputy Mohammed Atef . Atef provided operational support for the plot , including target selections and helping arrange travel for the hijackers . Bin Laden overruled Mohammed , rejecting some potential targets such as the U.S. Bank Tower in Los Angeles because `` there was not enough time to prepare for such an operation '' .  Diagram showing the attacks on the World Trade Center  Bin Laden provided leadership and financial support for the plot , and was involved in selecting participants . Bin Laden initially selected Nawaf al - Hazmi and Khalid al - Mihdhar , both experienced jihadists who had fought in Bosnia . Hazmi and Mihdhar arrived in the United States in mid-January 2000 . In spring 2000 , Hazmi and Mihdhar took flying lessons in San Diego , California , but both spoke little English , performed poorly with flying lessons , and eventually served as secondary -- or `` muscle '' -- hijackers .   In late 1999 , a group of men from Hamburg , Germany arrived in Afghanistan ; the group included Mohamed Atta , Marwan al - Shehhi , Ziad Jarrah , and Ramzi bin al - Shibh . Bin Laden selected these men because they were educated , could speak English , and had experience living in the West . New recruits were routinely screened for special skills and al - Qaeda leaders consequently discovered that Hani Hanjour already had a commercial pilot 's license . Mohammed later said that he helped the hijackers blend in by teaching them how to order food in restaurants and dress in Western clothing .   Hanjour arrived in San Diego on December 8 , 2000 , joining Hazmi . They soon left for Arizona , where Hanjour took refresher training . Marwan al - Shehhi arrived at the end of May 2000 , while Atta arrived on June 3 , 2000 , and Jarrah arrived on June 27 , 2000 . Bin al - Shibh applied several times for a visa to the United States , but as a Yemeni , he was rejected out of concerns he would overstay his visa and remain as an illegal immigrant . Bin al - Shibh stayed in Hamburg , providing coordination between Atta and Mohammed . The three Hamburg cell members all took pilot training in South Florida .   In spring of 2001 , the secondary hijackers began arriving in the United States . In July 2001 , Atta met with bin al - Shibh in Spain , where they coordinated details of the plot , including final target selection . Bin al - Shibh also passed along bin Laden 's wish for the attacks to be carried out as soon as possible . Some of the hijackers received passports from corrupt Saudi officials who were family members , or used fraudulent passports to gain entry .   Prior intelligence   In late 1999 , al - Qaeda associate Walid bin Attash ( `` Khallad '' ) contacted Mihdhar , telling him to meet him in Kuala Lumpur , Malaysia ; Hazmi and Abu Bara al Yemeni would also be in attendance . The NSA intercepted a telephone call mentioning the meeting , Mihdhar , and the name `` Nawaf '' ( Hazmi ) . While the agency feared that `` Something nefarious might be afoot '' , it took no further action . The CIA had already been alerted by Saudi intelligence to the status of Mihdhar and Hazmi as al - Qaeda members , and a CIA team broke into Mihdhar 's Dubai hotel room and discovered that Mihdhar had a U.S. visa . While Alec Station alerted intelligence agencies worldwide about this fact , it did not share this information with the FBI . The Malaysian Special Branch observed the January 5 , 2000 , meeting of the two al - Qaeda members , and informed the CIA that Mihdhar , Hazmi , and Khallad were flying to Bangkok , but the CIA never notified other agencies of this , nor did it ask the State Department to put Mihdhar on its watchlist . An FBI liaison to Alec Station asked permission to inform the FBI of the meeting , but was told that `` ' This is not a matter for the FBI . ' ''   By late June , senior counter-terrorism official Richard Clarke and CIA director George Tenet were `` convinced that a major series of attacks was about to come '' , although the CIA believed that the attacks would likely occur in Saudi Arabia or Israel . In early July , Clarke put domestic agencies on `` full alert '' , telling them that `` Something really spectacular is going to happen here ... soon . '' He asked the FBI and the State Department to alert the embassies and police departments , and the Defense Department to go to `` Threat Condition Delta . '' Clarke would later write that `` Somewhere in CIA there was information that two known al Qaeda terrorists had come into the United States ... in ( the ) FBI there was information that strange things had been going on at flight schools in the United States ... They had specific information about individual terrorists ... None of that information got to me or the White House . ''   On July 13 , Tom Wilshire , a CIA agent assigned to the FBI 's international terrorism division , emailed his superiors at the CIA 's Counterterrorism Center ( CTC ) , requesting permission to inform the FBI that Hazmi was in the country and that Mihdhar had a U.S. visa . The CIA never responded .   The same day in July , Margarette Gillespie , an FBI analyst working in the CTC , was told to review material about the Malaysia meeting . She was not told of the participants ' presence in the U.S. The CIA gave Gillespie surveillance photos of Mihdhar and Hazmi from the meeting to show to FBI counterterrorism , but did not tell her their significance . The Intelink database informed her not to share intelligence material on the meeting to criminal investigators . When shown the photos , the FBI were refused more details on their significance , and also did not receive Mihdhar 's date of birth or passport number . In late August 2001 , Gillespie told the INS , the State Department , the Customs Service , and the FBI to put Hazmi and Mihdhar on their watchlists , but the FBI was prohibited from using criminal agents in the search for the duo , which hindered their efforts .   Also in July , a Phoenix - based FBI agent sent a message to FBI headquarters , Alec Station , and to FBI agents in New York , alerting them to `` the possibility of a coordinated effort by Osama bin Laden to send students to the United States to attend civil aviation universities and colleges . '' The agent , Kenneth Williams , suggested the need to interview all flight school managers and identify all Arab students seeking flight training . In July , Jordan alerted the U.S. that al - Qaeda was planning an attack on the U.S. ; `` months later '' , Jordan notified the U.S. that the attack 's codename was `` The Big Wedding '' , and that it involved airplanes .   On August 6 , the CIA 's Presidential Daily Brief , designated `` For the President Only '' , was entitled `` Bin Ladin Determined to Strike in U.S. '' The memo noted that `` The FBI information ... indicates patterns of suspicious activity in this country consistent with preparations for hijackings or other types of attacks . ''   In mid-August , one Minnesota flight school alerted the FBI to Zacarias Moussaoui , who had asked `` suspicious questions . '' The FBI found that he was a radical who had traveled to Pakistan , and the INS arrested him for overstaying his French visa . Their request to search his laptop was denied by FBI headquarters due to the lack of probable cause .   The failures in intelligence - sharing were attributed to 1995 Justice Department policies limiting intelligence sharing , combined with CIA and NSA reluctance in revealing `` sensitive sources and methods '' such as tapped phones . Testifying before the 9 / 11 Commission in April 2004 , then - Attorney General John Ashcroft recalled that the `` single greatest structural cause for the September 11th problem was the wall that segregated or separated criminal investigators and intelligence agents . '' Clarke also wrote that `` There were failures in the organizations ... failures to get information to the right place at the right time . ''   Attacks  Further information : Timeline for the day of the September 11 attacks Flight paths of the four planes used on September 11  Early on the morning of September 11 , 2001 , 19 hijackers took control of four commercial airliners ( two Boeing 757 and two Boeing 767 ) en route to California ( three headed to LAX in Los Angeles and one to SFO in San Francisco ) after takeoffs from Logan International Airport in Boston , Massachusetts ; Newark Liberty International Airport in Newark , New Jersey ; and Washington Dulles International Airport in Loudoun and Fairfax counties in Virginia . Large planes with long flights were selected for hijacking because they would be heavily fueled .   The four flights were :    American Airlines Flight 11 : a Boeing 767 aircraft , departed Logan Airport at 7 : 59 a.m. en route to Los Angeles with a crew of 11 and 76 passengers , not including five hijackers . The hijackers flew the plane into the northern facade of the North Tower of the World Trade Center in New York City at 8 : 46 a.m.   United Airlines Flight 175 : a Boeing 767 aircraft , departed Logan Airport at 8 : 14 a.m. en route to Los Angeles with a crew of nine and 51 passengers , not including five hijackers . The hijackers flew the plane into the southern facade of the South Tower of the World Trade Center in New York City at 9 : 03 a.m.   American Airlines Flight 77 : a Boeing 757 aircraft , departed Washington Dulles International Airport at 8 : 20 a.m. en route to Los Angeles with a crew of six and 53 passengers , not including five hijackers . The hijackers flew the plane into the western facade of the Pentagon in Arlington County , Virginia , at 9 : 37 a.m.   United Airlines Flight 93 : a Boeing 757 aircraft , departed Newark International Airport at 8 : 42 am en route to San Francisco , with a crew of seven and 33 passengers , not including four hijackers . As passengers attempted to subdue the hijackers , the aircraft crashed into a field in Stonycreek Township near Shanksville , Pennsylvania , at 10 : 03 a.m.    Media coverage was extensive during the attacks and aftermath , beginning moments after the first crash into the World Trade Center .   The four crashes  The attacks seen from space by NASA  At 8 : 46 am , five hijackers crashed American Airlines Flight 11 into the northern façade of the World Trade Center 's North Tower ( 1 WTC ) , and at 9 : 03 am , another five hijackers crashed United Airlines Flight 175 into the southern façade of the South Tower ( 2 WTC ) . Five hijackers flew American Airlines Flight 77 into the Pentagon at 9 : 37 am . A fourth flight , United Airlines Flight 93 , crashed near Shanksville , Pennsylvania , southeast of Pittsburgh , at 10 : 03 a.m. after the passengers fought the four hijackers . Flight 93 's target is believed to have been either the Capitol or the White House . Flight 93 's cockpit voice recorder revealed crew and passengers tried to seize control of the plane from the hijackers after learning through phone calls that Flights 11 , 77 , and 175 had been crashed into buildings that morning . Once it became evident to the hijackers that the passengers might regain control of the plane , the hijackers rolled the plane and intentionally crashed it .  Collapse of the towers as seen from across the Hudson River in New Jersey The north face of Two World Trade Center ( south tower ) immediately after being struck by United Airlines Flight 175  Some passengers and crew members who called from the aircraft using the cabin airphone service and mobile phones provided details : several hijackers were aboard each plane ; they used mace , tear gas , or pepper spray to overcome attendants ; and some people aboard had been stabbed . Reports indicated hijackers stabbed and killed pilots , flight attendants , and one or more passengers . According to the 9 / 11 Commission 's final report , the hijackers had recently purchased multi-function hand tools and assorted Leatherman - type utility knives with locking blades , which were not forbidden to passengers at the time , but were not found among the possessions left behind by the hijackers . A flight attendant on Flight 11 , a passenger on Flight 175 , and passengers on Flight 93 said the hijackers had bombs , but one of the passengers said he thought the bombs were fake . The FBI found no traces of explosives at the crash sites , and the 9 / 11 Commission concluded that the bombs were probably fake .   Three buildings in the World Trade Center collapsed due to fire - induced structural failure . The South Tower collapsed at 9 : 59 a.m. after burning for 56 minutes in a fire caused by the impact of United Airlines Flight 175 and the explosion of its fuel . The North Tower collapsed at 10 : 28 a.m. after burning for 102 minutes . When the North Tower collapsed , debris fell on the nearby 7 World Trade Center building ( 7 WTC ) , damaging it and starting fires . These fires burned for hours , compromising the building 's structural integrity , and 7 WTC collapsed at 5 : 21 pm . The west side of the Pentagon sustained significant damage .  Play media Security camera footage of American Airlines Flight 77 hitting the Pentagon . The plane hits the Pentagon approximately 86 seconds after the start of this recording .  At 9 : 42 am , the Federal Aviation Administration ( FAA ) grounded all civilian aircraft within the continental U.S. , and civilian aircraft already in flight were told to land immediately . All international civilian aircraft were either turned back or redirected to airports in Canada or Mexico , and were banned from landing on United States territory for three days . The attacks created widespread confusion among news organizations and air traffic controllers . Among the unconfirmed and often contradictory news reports aired throughout the day , one of the most prevalent said a car bomb had been detonated at the U.S. State Department 's headquarters in Washington , D.C. Another jet -- Delta Air Lines Flight 1989 -- was suspected of having been hijacked , but the aircraft responded to controllers and landed safely in Cleveland , Ohio .   In an April 2002 interview , Khalid Sheikh Mohammed and Ramzi bin al - Shibh , who are believed to have organized the attacks , said Flight 93 's intended target was the United States Capitol , not the White House . During the planning stage of the attacks , Mohamed Atta , the hijacker and pilot of Flight 11 , thought the White House might be too tough a target and sought an assessment from Hani Hanjour ( who hijacked and piloted Flight 77 ) . Mohammed said al - Qaeda initially planned to target nuclear installations rather than the World Trade Center and the Pentagon , but decided against it , fearing things could `` get out of control '' . Final decisions on targets , according to Mohammed , were left in the hands of the pilots .   Casualties  Main articles : Casualties of the September 11 attacks and Emergency workers killed in the September 11 attacks The remains of 6 , 7 , and 1 WTC on September 17 , 2001 A surviving portion of the wall from the Twin Towers  The attacks caused the deaths of 2,996 people and the injuries o</t>
  </si>
  <si>
    <t xml:space="preserve">what happened to the twin towers in new york</t>
  </si>
  <si>
    <t xml:space="preserve"> Four passenger airliners operated by two major U.S. passenger air carriers ( United Airlines and American Airlines ) -- all of which departed from airports in the northeastern part of the United States bound for California -- were hijacked by 19 al - Qaeda terrorists . Two of the planes , American Airlines Flight 11 and United Airlines Flight 175 , were crashed into the North and South towers , respectively , of the World Trade Center complex in Lower Manhattan . Within an hour and 42 minutes , both 110 - story towers collapsed . Debris and the resulting fires caused partial or complete collapse of all other buildings in the World Trade Center complex , including the 47 - story 7 World Trade Center tower , as well as significant damage to ten other large surrounding structures . A third plane , American Airlines Flight 77 , was crashed into the Pentagon ( the headquarters of the United States Department of Defense ) in Arlington County , Virginia , which led to a partial collapse of the building 's west side . The fourth plane , United Airlines Flight 93 , was initially flown toward Washington , D.C. , but crashed into a field in Stonycreek Township near Shanksville , Pennsylvania , after its passengers thwarted the hijackers. 9 / 11 was the single deadliest incident for firefighters and law enforcement officers in the history of the United States , with 343 and 72 killed , respectively . </t>
  </si>
  <si>
    <r>
      <rPr>
        <sz val="11"/>
        <color rgb="FF000000"/>
        <rFont val="Calibri"/>
        <family val="0"/>
        <charset val="1"/>
      </rPr>
      <t xml:space="preserve">Night at the Museum : Secret of the Tomb - wikipedia  Night at the Museum : Secret of the Tomb  Jump to : navigation , search    Night at the Museum : Secret of the Tomb     Theatrical release poster     Directed by   Shawn Levy     Produced by     Shawn Levy   Chris Columbus   Mark Radcliffe       Screenplay by     David Guion   Michael Handelman       Story by     Mark Friedman   David Guion   Michael Handelman       Based on   Characters by Thomas Lennon Robert Ben Garant     Starring     Ben Stiller   Robin Williams   Owen Wilson   Dan Stevens   Ben Kingsley       Music by   Alan Silvestri     Cinematography   Guillermo Navarro     Edited by   Dean Zimmerman     Production company     21 Laps Entertainment   1492 Pictures   TSG Entertainment       Distributed by   20th Century Fox     Release date     December 11 , 2014 ( 2014 - 12 - 11 ) ( Ziegfeld Theatre )   December 19 , 2014 ( 2014 - 12 - 19 ) ( United States )             Running time   97 minutes     Country   United States     Language   English     Budget   $127 million     Box office   $363.2 million     Night at the Museum : Secret of the Tomb is a 2014 American comedy adventure film directed by Shawn Levy and written by David Guion and Michael Handelman . It is the sequel to the 2006 film Night at the Museum and the 2009 film Night at the Museum : Battle of the Smithsonian . The film stars Ben Stiller , Robin Williams , Owen Wilson , Dan Stevens and Ben Kingsley . It is the third and final installment of the Night at the Museum trilogy . In Secret of the Tomb , security guard Larry Daley must travel to London to return the tablet of Ahkmenrah , an Egyptian artifact which causes the exhibits to come to life , before the magic disappears .   Principal photography of Secret of the Tomb took place from January to May 2014 in London , England and British Columbia , Canada . The film premiered on December 11 , 2014 , at New York City 's Ziegfeld Theater and was released in the United States on December 19 , 2014 . Secret of the Tomb grossed over $363 million at the box office . This film was dedicated to the memory of Robin Williams , who died four months before the film 's release , and fellow Night at the Museum actor Mickey Rooney , who died before principal photography was finished .     Contents  ( hide )   1 Plot   2 Cast   2.1 Voices     3 Production   4 Music   4.1 Track listing     5 Release   6 Reception   6.1 Box office   6.2 Critical response   6.3 Accolades     7 Home media   8 References   9 External links      Plot ( edit )   In 1938 Egypt , a team of archaeologists discover the tomb of pharaoh Ahkmenrah , including a young Cecil Fredericks , finding the magical Tablet of Ahkmenrah . The locals warn the group that removing the tablet will end its magic .   In present day New York City , Larry Daley remains the night guard of the American Museum of Natural History . He and the exhibits , brought to life each night by the tablet , help re-open the Hayden Planetarium . A new wax Neanderthal resembling Larry named Laaa is introduced , identifying Larry as his father . Ahkmenrah shows Larry that the tablet is corroding , which later causes the exhibits to act erratically , causing mayhem at the planetarium 's reopening . Afterwards , Larry catches his son Nick throwing a house party , who plans on taking a gap year to sort out his life .   Larry reunites with Cecil , now in retirement , who realises the end of the tablet 's magic will cause the exhibits to become lifeless . Cecil explains Ahkmenrah 's parents , Merenkahre and Shepseheret , may be able to restore the tablet 's power , but are located in the British Museum . Larry convinces the museum 's curator , Dr. McPhee , to let him ship Ahkmenrah to London to restore the tablet , convinced that McPhee knows its secrets . Larry and Nick travel to the British Museum , bypassing the night guard Tilly . To Larry 's surprise , Theodore Roosevelt , Sacagawea , Attila the Hun , Jedediah , Octavius , Dexter the capuchin monkey , and Laaa have come as well . Laaa is left to stand guard while the others search the museum , the tablet bringing its own exhibits to life .   They are joined by a wax Sir Lancelot who helps them fight off the aggressive museum exhibits like a Xiangliu statue and a Triceratops skeleton . Jedediah and Octavius fall through a ventilation shaft , but are rescued from an erupting Pompeii model by Dexter . The group find Ahkmenrah 's parents , learning the tablet 's power can be regenerated by moonlight , since it is empowered with the magic of Khonsu . Lancelot mistakes the tablet for the Holy Grail and steals it , leaving to find Camelot . Larry and Laaa are locked in the employee break room by Tilly but escape , Laaa remaining behind to distract Tilly , but they become attracted to each other .   Lancelot crashes a performance of the Camelot musical , starring Hugh Jackman and Alice Eve as King Arthur and Queen Guinevere , but Larry and the others chase him to the theatre roof , where the New York exhibits begin to die . Lancelot then sees that the quest was about them and gives the tablet back . The moonlight restores the tablet 's power , saving the exhibits . They decide that Ahkmenrah and the tablet should stay with his parents , even if it means the New York exhibits will no longer come to life . Back in New York , Larry spends some final moments with his friends before sunrise .   Three years later , Larry now works as a teacher , and a travelling British Museum exhibit comes to New York . Tilly becomes the new night guard , and gives the tablet to Dr. McPhee , showing him its power , and allowing the exhibits to awaken again . Outside , Larry watches them party inside .   Cast ( edit )    Ben Stiller as Larry Daley , a security guard at the American Museum of Natural History .   Stiller also plays Laaa , a Neanderthal who resembles Larry .     Robin Williams as Theodore Roosevelt , the wax statue of the 26th President of the United States .   Owen Wilson as Jedediah , a cowboy diorama miniature .   Steve Coogan as Octavius , a Roman soldier miniature .   Ricky Gervais as Dr. McPhee , the director of the Museum of Natural History .   Rachael Harris as Madeline Phelps , the chairwoman of the American Museum of Natural History .   Dan Stevens as Sir Lancelot , the wax statue of the legendary Knight of the Round Table .   Rebel Wilson as Tilly , the night security guard at the British Museum .   Skyler Gisondo as Nick Daley , the son of Larry Daley . He was previously played by Jake Cherry in the first two films .   Rami Malek as Ahkmenrah , the mummy of an ancient pharaoh .   Patrick Gallagher as Attila the Hun , the statue of the leader of the Huns .   Mizuo Peck as Sacagawea , the polyurethane model of the Lemhi Shoshone woman who is Theodore Roosevelt 's girlfriend .   Ben Kingsley as Merenkahre , the mummy of an ancient pharaoh and Ahkmenrah 's father .   Dick Van Dyke as Cecil `` C.J. '' Fredericks , a retired security guard from the first film .   Percy Hynes White plays the younger Cecil `` C.J. '' Fredericks     Mickey Rooney as Gus , a retired security guard from the first film .   Bill Cobbs as Reginald , a retired security guard from the first film .   Andrea Martin as Rose , an archivist at the Museum of Natural History .   Brennan Elliott as Robert Fredericks , C.J. 's father in the prologue .   Matt Frewer as Archibald Stanley , an archeologist who accompanies Robert and Cecil in the prologue .   Anjali Jay as Shepseheret , the mummy of a Great Royal Wife of Merenkahre and mother of Ahkmenrah .   Crystal the Monkey as Dexter , a Capuchin monkey .   Hugh Jackman as Himself ( uncredited )   Alice Eve as Herself ( uncredited )    Voices ( edit )    Robin Williams as Garuda Artifact .   Brad Garrett as Easter Island Head .   Regina Taufen as New York Reporter .    Production ( edit )   On January 21 , 2010 , co-writer Thomas Lennon said to Access Hollywood , `` I think it 's a really outstanding idea to do Night at the Museum 3 , in fact . I wonder if someone 's not even already working on a script for that . I can not confirm that for a fact , but I can not deny it for a fact either ... It might be in the works . '' In an October 2011 interview with The Hollywood Reporter , Stiller confirmed the sequel , however , he said that it was only in the `` ideas stage '' . In February 2013 it was announced that the film , directed by Shawn Levy , would be released on December 25 , 2014 . On September 10 , 2013 , it was announced that shooting would start in February 2014 .   On November 8 , 2013 , actor Dan Stevens was cast as Lancelot . On November 15 , 2013 , it was announced that Skyler Gisondo would be replacing Jake Cherry in the role of Nicky Daley . On December 18 , 2013 , it was announced that Stiller , Robin Williams , and Ricky Gervais would be returning for the sequel . On January 9 , 2014 , it was announced that Rebel Wilson would play a security guard in the British Museum . On January 14 , 2014 , the film 's release date was moved up from December 25 , 2014 , to December 19 , 2014 . On January 23 , 2014 , it was announced Ben Kingsley would play an Egyptian Pharaoh at the British Museum . Principal photography and production began on January 27 , 2014 . On May 6 , 2014 , it was announced that the film would be titled Night at the Museum : Secret of the Tomb . In May 2014 , principal photography ended .   Music ( edit )   Alan Silvestri returns to score the final installment of the trilogy .     Night At the Museum : Secret of the Tomb ( Original Motion Picture Soundtrack )     Film score by Alan Silvestri     Released   January 6 , 2015 ( 2015 - 01 - 06 )     Recorded   2014     Genre   Film score     Length   56 : 52     Label   Varese Sarabande     Track listing ( edit )   Varese Sarabande released a soundtrack album of the score on January 6 , 2015 .   All tracks written by Alan Silvestri .     Night At the Museum : Secret of the Tomb ( Original Motion Picture Soundtrack )     No .   Title   Length     1 .   `` The Ahkmenrah Expedition ''   3 : 34     2 .   `` Performance Prep ''   2 : 02     3 .   `` LOL ''   2 : 22     4 .   `` The Grand Re-Opening ''   3 : 13     5 .   `` The End Will Come ''   2 : 19     6 .   `` Sneak And Greet ''   3 : 25     7 .   `` Sir Lancelot ''   3 : 33     8 .   `` Where Are Jed And Octavius ? ''   2 : 50     9 .   `` Main Hall ''   3 : 24     10 .   `` Xiangliu ''   3 : 46     11 .   `` Male Bonding ''   2 : 15     12 .   `` The Legend Of The Tablet ''   3 : 11     13 .   `` The Escher Fight ''   3 : 45     14 .   `` Camelot ''   3 : 49     15 .   `` The Quest ''   2 : 35     16 .   `` Seeing Your Boy Become A Man ''   3 : 14     17 .   `` Laaa Love ''   1 : 53     18 .   `` A Farewell Kiss ''   2 : 40     19 .   `` Teddy 's Goodbye ''   3 : 02     Total length :   56 : 52     Release ( edit )   The film premiered at the Ziegfeld Theatre in New York City on December 11 , 2014 . It was then released on December 19 , 2014 in the United States .   Reception ( edit )   Box Office ( edit )   Night at the Museum : Secret of the Tomb grossed $113.7 million in North America , and $249.5 million in other territories , for a worldwide total of $363.2 million against a budget of $127 million .   In North America , early analysts were predicting a potential $25 -- $28 million opening . In North America , the film was released on December 19 , 2014 across 3,785 theaters . It opened Friday , December 19 , 2014 and earned $5.6 million on its opening day , placing at number three at the box office . The film underperformed expectations during its opening weekend , earning $17.1 million , which was relatively lower than the openings of the original film ( $30.4 million ) and its sequel ( $54.1 million ) . The film debuted at number two at the box office behind The Hobbit : The Battle of the Five Armies . According to 20th Century Fox , the movie 's audience was 51 % male , with 54 % of the audience under the age of 25 . In CinemaScore polls conducted during the opening weekend , cinema audiences gave the film an average grade of `` B + '' , on an A+ to F scale .   The film began its international rollout the same weekend as the North American premiere and earned $10.4 million from 27 markets in its opening weekend , debuting at # 3 behind at the box office behind The Hobbit : The Battle of the Five Armies and Penguins of Madagascar . The film expanded to an additional 40 markets in its second week and grossed $31.2 million . It topped the box office outside North America in its fourth weekend with a total gross of $46.2 million , primarily because of China , where it opened at # 1 with $26 million . The other highest opening figures were from Mexico ( $5.85 million ) , Brazil ( $3.1 million ) , Malaysia ( $3.07 million ) , the UK ( $3 million ) , Australia ( $2.8 million ) , Germany ( $2.1 million ) and Singapore ( $2 million ) .   For the weekend of January 16 , 2015 , the film grossed $17.8 million , which includes a $3.9 million debut in South Korea .   Critical response ( edit )   On Rotten Tomatoes , the film received a 48 % approval rating , based on 104 reviews , with an average score of 5 / 10 . The site 's critical consensus reads , `` While not without its moments , Night at the Museum : Secret of the Tomb is a less - than - inspired sendoff for the trilogy . '' On Metacritic , the film has a score of 47 out of 100 , based on 33 critics , indicating `` mixed or average reviews '' . In CinemaScore polls conducted during the opening weekend , cinema audiences gave the film an average grade of `` B + '' on an A+ to F scale .   Scott Foundas of Variety gave the film a positive review , praising the visual effects and calling the production values `` topnotch '' , and admiring Guillermo Navarro 's work . He added , `` A most enjoyable capper to director Shawn Levy and producer Chris Columbus ' cheerfully silly and sneakily smart family - entertainment juggernaut ... offers little in the way of secrets of surprises , but should add much holiday cheer to Fox 's box - office coffers . '' Peter Bradshaw of The Guardian gave the film three stars out of five and said , `` The third part in what absolutely no one is calling the Night at the Museum ' trilogy ' turns out to be a good - natured and entertainingly surreal panto fantasy . '' Glenn Kenny awarded the film 21⁄2 stars out of 4 praising the Indiana Jones themed - set while criticizing the performances of the cast and said , `` As talent - packed as any Night at the Museum picture may be -- in this third installment ... -- one does n't come to a movie of this sort expecting anybody 's best work . Or at least one certainly should n't , because it wo n't materialize . '' Stephanie Zacharek of The Village Voice gave the film a positive review , saying `` The third installment , Night at the Museum : Secret of the Tomb may be the best , and even the generally wound - too - tight Ben Stiller - once again playing a bemused Museum of Natural History guard - is easy to tolerate . '' Claudia Puig of USA Today gave the film two and a half stars out of four , saying `` Where the previous films felt frenetic and forced , this outing feels breezier , more enjoyable and less contrived . '' Joe Neumaier of the New York Daily News gave the film three out of five stars , saying `` There 's a serenity to museum visits , especially if it 's a place you know and love . Night at the Museum : Secret of the Tomb , amazingly , recaptures that feeling in big - studio franchise form . ''   Bill Goodykoontz of The Arizona Republic gave the film two out of five stars , saying `` Night at the Museum : Secret of the Tomb is a rather lackluster affair , a cash grab that tries to aim a little higher but confuses sappy shortcuts with real emotion . '' Joe McGovern of Entertainment Weekly gave the film a B , saying `` It 's kind of fun , unembarrassingly , and not least of all because the people who made it look like they had a good time doing so . '' Tom Long of The Detroit News gave the film a B , saying `` There are some key elements that make this Night at the Museum sequel work better than its predecessor . '' Stephen Whitty of the Newark Star - Ledger gave the film two out of four stars , saying `` The exhibits in this Night at the Museum may still come to life nightly . But their latest movie stays stubbornly inert . '' Tom Russo of The Boston Globe gave the film two and a half stars out of four , saying `` Seeing Ben Stiller , the late Robin Williams , and their magically roused gang together again , this time in London , is initially all about indulgent , nostalgic smiles rather than new wows . But then comes the movie 's exceptionally clever and fresh final act , which delivers genuine surprise along with many laughs . '' Robbie Collin of The Daily Telegraph gave the film three out of five stars , saying `` The third Night at the Museum film starts strongly , with its heart in the past ... It 's an exciting opening , and perhaps too exciting for the film 's own good . It 's hard not to be disappointed when the plot moves back to the present and settles into the time - honoured formula of digitised creatures running riot and famous people in fancy dress doing shtick . '' Michael Rechtshaffen of The Hollywood Reporter gave the film a negative review , saying `` Despite relocating across the pond to the esteemed British Museum , the creaky Night at the Museum : Secret of the Tomb fails to capitalize on the comic potential provided by that change of venue . ''   Ignatiy Vishnevetsky of The A.V. Club gave the film a C+ , saying `` Secret of the Tomb plays it as a source of corny jokes , pop - culture references , and father - son bonding moments . In other words , it 's exactly the kind of film that should n't be expected to engage with its assorted bizarre subtexts -- but what a movie it could be if it did . '' Sara Stewart of the New York Post gave the film two out of four stars , saying `` For piquing kids ' interest in history and nature , you could do worse than this goofy Ben Stiller franchise . But its third installment is more meh than manic , too reliant on wide shots of the ragtag Museum of Natural History cohorts striding down corridors . You get the feeling returning director Shawn Levy is ready to hang it up . '' Richard Roeper of the Chicago Sun - Times gave the film one and a half stars out of five , saying `` The dialogue is schmaltzy and often painfully unfunny . The special effects are often so 1980s - bad , one wonders if it was a deliberate choice , to make the creepy visuals of sculptures dancing and paintings moving less frightening to young viewers . Time and again , terrific actors sink in the equivalent of cinematic quicksand , helpless against the sucking sound of this movie . '' Drew Hunt of Slant Magazine gave the film one out of four stars , saying `` None of the entries in the Night at the Museum series could ever pass for high art , but a wealth of comedic talent gave the first two installments a madcap energy that somewhat forgave their childish premises . Night at the Museum : Secret of the Tomb , the third and supposedly final edition in the franchise , is nothing more than an uncomfortably transparent contractual obligation . ''   Accolades ( edit )     Award     Recipient ( s )   Result   Ref ( s )     Teen Choice Awards   Choice Movie : Comedy   Nominated       Choice Movie Actor : Comedy   Ben Stiller   Nominated     Kids ' Choice Awards   Favorite Movie Actor   Ben Stiller   Won       Home media ( edit )   Night at the Museum : Secret of the Tomb was released on Blu - ray and DVD on March 10 , 2015 . The film debuted in second place on the home media charts behind The Hunger Games : Mockingjay -- Part 1 .   References ( edit )    Jump up ^ `` NIGHT AT THE MUSEUM : SECRET OF THE TOMB ( PG ) '' . British Board of Film Classification . December 2 , 2014 . Retrieved December 2 , 2014 .   ^ Jump up to : `` Night at the Museum : Secret of the Tomb ( 2014 ) '' . Box Office Mojo . Internet Movie Database . Retrieved February 18 , 2016 .   Jump up ^ `` Sneak peek : ' Night at the Museum : Secret of the Tomb ' '' . Usatoday.com . Retrieved July 28 , 2014 .   ^ Jump up to : Fleming , Mike . `` Rebel Wilson Joins ' Night At The Museum 3 ' Cast '' . Deadline.com . Retrieved January 28 , 2014 .   ^ Jump up to : Fleming , Mike . `` ' Downton Abbey 's Dan Stevens Joins ' Night At The Museum 3 ' As Lancelot '' . Deadline.com . Retrieved January 28 , 2014 .   ^ Jump up to : Yamato , Jen . `` Skyler Gisondo Set For ' Night At The Museum 3 ' '' . Deadline.com . Retrieved January 28 , 2014 .   Jump up ^ Fleming , Mike . `` Ben Kingsley Joins ' Night At The Museum 3 ' '' . Deadline.com . Retrieved January 28 , 2014 .   ^ Jump up to : `` Raring to go ! A grinning Mickey Rooney , 93 , is pushed through airport in wheelchair as he arrives in Canada to film Night At The Museum 3 '' . Dailymail.co.uk . January 19 , 2014 . Retrieved March 4 , 2014 .   Jump up ^ `` ' Night At The Museum 3 ' In The Works '' . Access Hollywood . January 21 , 2010 . Retrieved January 28 , 2014 .   Jump up ^ `` Ben Stiller Reveals ' Zoolander ' Sequel Secrets ; Future of the Fockers and What He Thinks of ' Tower Heist ' Co-Star Eddie Murphy as Oscar Host '' . The Hollywood Reporter . October 26 , 2011 . Retrieved January 28 , 2014 .   Jump up ^ Chitwood , Adam ( February 7 , 2013 ) . `` Shawn Levy Returns to Direct NIGHT AT THE MUSEUM 3 for December 25 , 2014 Release ; THE MAZE RUNNER Set to Open February 14 , 2014 '' . Collider . Retrieved February 8 , 2013 .   Jump up ^ `` ' Night At The Museum 3 ' In The Works Access Hollywood - Celebrity News , Photos &amp; Videos '' . Access Hollywood . January 21 , 2010 . Retrieved October 29 , 2011 .   Jump up ^ `` Ricky Gervais Reprising In ' Night At The Museum 3 ′ '' . Deadline.com . December 18 , 2011 . Retrieved December 23 , 2013 .   Jump up ^ Busch , Anita . `` Fox Sets Date For ' Planet of the Apes ' Project , Moves Romancer ' The Longest Ride ' Away From ' Fifty Shades of Grey ' ; ' Night At the Museum ' Now Head to Head With ' The Hobbit ' '' . Deadline.com . Retrieved January 28 , 2014 .   Jump up ^ `` Sir Ben Kingsley Joining Shawn Levy 's Night at the Museum 3 '' . Comingsoon.net . January 23 , 2014 . Retrieved January 23 , 2014 .   Jump up ^ `` On The Set For 1 / 27 / 14 : Universal 's ' Ouija ' Wraps , ' Night At The Museum 3 ′ Starts For 20th Century Fox `` Studio System News '' . Studiosystemnews.com . Retrieved January 29 , 2014 .   Jump up ^ `` Quiet on set ! Ben Stiller and Robin Williams are joined by former Downton Abbey star Dan Stevens as they film Night At The Museum 3 in London '' . DailyMail.com . January 28 , 2014 . Retrieved January 28 , 2014 .   Jump up ^ `` Ben Stiller 's Third Franchise Adventure is Now Night at the Museum : Secret of the Tomb . '' . ComingSoon.net . Retrieved May 6 , 2014 .   Jump up ^ Labrecque , Jeff ( August 11 , 2014 ) . `` Robin Williams leaves behind four upcoming films '' . Insidemovies.ew.com . Retrieved August 12 , 2014 .   Jump up ^ `` Night at the Museum : Secret of the Tomb '' . movie-wave.net . Retrieved February 13 , 2015 .   Jump up ^ `` ' Night at the Museum : Secret of the Tomb ' Soundtrack Details '' . filmmusicreporter.com . Retrieved February 13 , 2015 .   Jump up ^ `` Night At the Museum : Secret of the Tomb ( Original Motion Picture Soundtrack ) '' . itunes.apple.com . Retrieved February 13 , 2015 .   Jump up ^ `` Night At The Museum : Secret Of The Tomb Soundtrack List Movie ( 2014 '' . songonlyrics.net . Retrieved February 13 , 2015 .   Jump up ^ `` Night at the Museum : Secret of the Tomb Soundtrack '' . amazon.com . Retrieved February 13 , 2015 .   Jump up ^ `` Ben Stiller , ' Night at the Museum ' Cast Remember Robin Williams - Variety '' . Variety . Retrieved December 13 , 2014 .   Jump up ^ Kofi Outlaw . `` ' Night at the Museum 3 ′ Trailer # 2 : Do n't Let the Magic Die '' . Screen Rant . Retrieved December 13 , 2014 .   Jump up ^ Dave McNary ( December 18 , 2014 ) . `` Box Office : ' The Hobbit ' Finale Opens Strong with $24.5 Million '' . Variety . Retrieved December 19 , 2014 .   Jump up ^ Ray Subers ( December 17 , 2014 ) . `` Forecast ( cont . ) : ' Night at the Museum , ' ' Annie ' Open Ahead of Christmas Holiday '' . Box Office Mojo . Retrieved December 19 , 2014 .   Jump up ^ `` Widest Releases '' . Box Office Mojo . Retrieved December 19 , 2014 .   Jump up ^ Anthony D'Alessandro ( December 20 , 2014 ) . `` Hobbit ' Wakes Up Auds ; ' Annie ' Arm Wrestling Ben Stiller For No. 2 -- Friday B.O. '' . Deadline.com . Retrieved December 20 , 2014 .   Jump up ^ Brent Lang ( December 21 , 2014 ) . `` Box Office : ' The Hobbit ' Rules Them All With $90.6 Million '' . Variety . Retrieved December 22 , 2014 .   ^ Jump up to : Ray Subers ( December 21 , 2014 ) . `` Weekend Report ( cont . ) : Final ' Night at the Museum ' Narrowly Tops ' Annie ' '' . Box Office Mojo . Retrieved December 29 , 2014 .   Jump up ^ Ray Subers ( December 21 , 2014 ) . `` Around - the - World Roundup : ' Hobbit ' Finale Adds $109 Million Overseas '' . Box Office Mojo . Retrieved December 29 , 2014 .   Jump up ^ Deadline.com reported slightly different opening figures : $10.93 million from 29 international markets .   Jump up ^ Nancy Tartaglione ( December 22 , 2014 ) . `` ' Hobbit ' Rules While Chinese , Indian And French Films Make Noise : Intl BO Update '' . Deadline.com . Retrieved December 29 , 2014 .   Jump up ^ Scott Mendelson ( December 21 , 2014 ) . `` Box Office : ' Hobbit ' Finale Soars To $355 M Worldwide '' . Forbes . Retrieved December 22 , 2014 .   ^ Jump up to : Nancy Tartaglione ( December 29 , 2014 ) . `` ' Hobbit ' , ' Exodus ' Lead XMas Frame ; Euro , Korea Pics Boom Locally : Intl BO Update '' . Deadline.com . Retrieved December 29 , 2014 .   Jump up ^ Nancy Tartaglione ( January 11 , 2015 ) . `` Strong Weekend For Fox , Clint Eastwood At International Box Office '' . Deadline.com . Retrieved January 12 , 2015 .   Jump up ^ Ray Subers ( December 21 , 2014 ) . `` Around - the - World Roundup : ' Hobbit ' Finale Adds $109 Million Overseas '' . Box Office Mojo . Retrieved December 29 , 2014 .   Jump up ^ Nancy Tartaglione ( January 4 , 2015 ) . `` ' Hobbit ' Passes $500 M ; ' American Sniper ' , ' Taken 3 ′ Skillful : Intl Box Office Update '' . Deadline.com . Retrieved January 5 , 2015 .   Jump up ^ `` Around - the - World Roundup : ' Taken ' Repeats , ' Hobbit ' Hits $800 Million '' . boxofficemojo.com . IMDB . Retrieved January 22 , 2015 .   Jump up ^ `` Night at the Museum : Secret of the Tomb '' . Rotten Tomatoes . Flixster . Retrieved March 25 , 2015 .   Jump up ^ `` Night at the Museum : Secret of the Tomb Reviews '' . Metacritic . CBS Interactive . Retrieved January 9 , 2015 .   Jump up ^ Scott Foundas ( December 12 , 2014 ) . `` Film Review : ' Night at the Museum : Secret of the Tomb ' '' . Variety . Retrieved December 19 , 2014 .   Jump up ^ Peter Bradshaw ( December 18 , 2014 ) . `` Night at the Museum : Secret of the Tomb review -- surreal panto fantasy '' . The Guardian . Retrieved December 19 , 2014 .   Jump up ^ Glenn Kenny ( December 18 , 2014 ) . `` Night At the Museum : Secret of the Tomb Review '' . Rogererbert.com . Retrieved December 19 , 2014 .   Jump up ^ Stephanie Zacharek ( December 16 , 2014 ) . `` The Night at the Museum Movies Are Better Than Critics Say '' . The Village Voice . Retrieved December 19 , 2014 .   Jump up ^ Claudia Puig ( December 17 , 2014 ) . `` Third ' Night at the Museum ' is breezy , bittersweet fun '' . USA Today . Retrieved December 19 , 2014 .   Jump up ^ `` ' Night at the Museum : Secret of the Tomb , ' movie review '' . NY Daily News . Retrieved December 19 , 2014 .   Jump up ^ `` Review : ' Night at the Museum : Tomb ' doomed by ennui '' . The Arizona Republic . December 17 , 2014 . Retrieved December 19 , 2014 .   Jump up ^ `` Night at the Museum : Secret of the Tomb Review '' . Entertainment Weekly . Retrieved December 19 , 2014 .   Jump up ^ Tom Long , The Detroit News ( December 19 , 2014 ) . `` ' Night at the Museum ' is family - friendly fun '' . Retrieved December 19 , 2014 .   Jump up ^ `` ' Night at the Museum : Secret of the Tomb ' review : Bury it '' . Newark Star - Ledger . Retrieved December 19 , 2014 .   Jump up ^ Tom Russo ( December 17 , 2014 ) . `` ' Night at the Museum ' sequel shakes off the dust '' . The Boston Globe . Retrieved December 19 , 2014 .   Jump up ^ Robbie Collin ( December 18 , 2014 ) . `` Night at the Museum : Secret of the Tomb , review : ' so much fun ' '' . The Daily Telegraph . Retrieved December 19 , 2014 .   Jump up ^ Michael Rechtshaffen . `` ' Night at the Museum : Secret of the Tomb ' : Film Review '' . The Hollywood Reporter . Retrieved December 19 , 2014 .   Jump up ^ `` Review : The creepy Night At The Museum series comes to a close with Secret Of The Tomb '' . The A.V. Club . Retrieved December 19 , 2014 .   Jump up ^ `` New ' Night at the Museum ' is a bit musty '' . New York Post . Retrieved December 19 , 2014 .   Jump up ^ `` ' Night at the Museum : Secret of the Tomb ' : Please do not touch '' . Chicago Sun - Times . Retrieved December 19 , 2014 .   Jump up ^ Drew Hunt ( December 15 , 2014 ) . `` Night at the Museum : Secret of the Tomb - Film Review '' . Slant Magazine . Retrieved December 19 , 2014 .   Jump up ^ `` WINNERS OF TEEN CHOICE 2015 ANNOUNCED '' . Teen Choice Awards . FOX . August 16 , 2015 . Retrieved August 17 , 2015 .   Jump up ^ `` Nickelodeon Announces Nominations for the ' 28th Annual Kids ' Choice Awards ' '' . Zap2it . February 20 , 2015 . Retrieved February 21 , 2015 .   Jump up ^ `` Meryl Streep gets her first Kids ' Choice Awards nomination : See the full list '' . Entertainment Weekly . February 20 , 2015 . Retrieved February 21 , 2015 .   Jump up ^ `` Night at the Museum : Secret of the Tomb Blu - ray '' . Blu-ray.com . Retrieved January 30 , 2015 .   Jump up ^ `` ' The Hunger Games ' Fends Off ' Night at the Museum ' on Home Video Sales Charts '' . Variety.com . Retrieved August 6 , 2015 .    External links ( edit )       Wikiquote has quotations related to : Night at the Museum : Secret of the Tomb      Night at the Museum : Secret of the Tomb on IMDb   Night at the Museum : Secret of the Tomb at the TCM Movie Database   Night at the Museum : Secret of the Tomb at Box Office Mojo              Milan Trenc 's The Night at the Museum     Films     Night at the Museum ( 2006 )   Battle of the Smithsonian ( 2009 )   Secret of the Tomb ( 2014 )       Video games     Night at the Museum : Battle of the Smithsonian                 Films directed by Shawn Levy       Just in Time ( 1997 )   Jett Jackson : The Movie ( 2001 )   Big Fat Liar ( 2002 )   Just Married ( 2003 )   Cheaper by the Dozen ( 2003 )   The Pink Panther ( 2006 )   Night at the Museum ( 2006 )   Night at the Museum : Battle of the Smithsonian ( 2009 )   Date Night ( 2010 )   Real Steel ( 2011 )   The Internship ( 2013 )   This Is Where I Leave You ( 2014 )   Night at the Museum : Secret of the Tomb ( 2014 )      Retrieved from `` https://en.wikipedia.org/w/index.php?title=Night_at_the_Museum:_Secret_of_the_Tomb&amp;oldid=799280198 '' Categories :   2014 films   English - language films   2010s adventure films   2010s comedy films   2010s fantasy films   1492 Pictures films   21 Laps Entertainment films   American films   American adventure comedy films   American sequel films   British Museum   Cultural depictions of Attila the Hun   Cultural depictions of Theodore Roosevelt   Fantasy adventure films   Film scores by Alan Silvestri   Films about Theodore Roosevelt   Films directed by Shawn Levy   Films set in 1938   Films set in 2014   Films set in Egypt   Films set in London   Films set in museums   Films set in New York City   Films shot in London   IMAX films   Neanderthals in fiction   Performance capture in film   Hidden categories :   Use mdy dates from May 2016   Articles with hAudio microformats   Album infoboxes lacking a cover   Music infoboxes with deprecated parameters           Talk                                           Contents                   About Wikipedia                                           Wikiquote         Català   Čeština   Dansk   Deutsch   Eesti   Español   فارسی   Français   </t>
    </r>
    <r>
      <rPr>
        <sz val="11"/>
        <color rgb="FF000000"/>
        <rFont val="Noto Sans CJK SC"/>
        <family val="2"/>
      </rPr>
      <t xml:space="preserve">한국어   </t>
    </r>
    <r>
      <rPr>
        <sz val="11"/>
        <color rgb="FF000000"/>
        <rFont val="Calibri"/>
        <family val="0"/>
        <charset val="1"/>
      </rPr>
      <t xml:space="preserve">Հայերեն   Bahasa Indonesia   Italiano   עברית   Latviešu   Lietuvių   Magyar   Македонски   Nederlands   </t>
    </r>
    <r>
      <rPr>
        <sz val="11"/>
        <color rgb="FF000000"/>
        <rFont val="Noto Sans CJK SC"/>
        <family val="2"/>
      </rPr>
      <t xml:space="preserve">日本 語   </t>
    </r>
    <r>
      <rPr>
        <sz val="11"/>
        <color rgb="FF000000"/>
        <rFont val="Calibri"/>
        <family val="0"/>
        <charset val="1"/>
      </rPr>
      <t xml:space="preserve">Polski   Português   Română   Русский   Simple English   Српски / srpski   Srpskohrvatski / српскохрватски   Suomi   Svenska   தமிழ்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6 September 2017 , at 19</t>
    </r>
  </si>
  <si>
    <t xml:space="preserve">who played lady guinevere in night at the museum 3</t>
  </si>
  <si>
    <t xml:space="preserve"> Lancelot crashes a performance of the Camelot musical , starring Hugh Jackman and Alice Eve as King Arthur and Queen Guinevere , but Larry and the others chase him to the theatre roof , where the New York exhibits begin to die . Lancelot then sees that the quest was about them and gives the tablet back . The moonlight restores the tablet 's power , saving the exhibits . They decide that Ahkmenrah and the tablet should stay with his parents , even if it means the New York exhibits will no longer come to life . Back in New York , Larry spends some final moments with his friends before sunrise . </t>
  </si>
  <si>
    <t xml:space="preserve">Who Wants to be a Millionaire ? ( UK game show ) - Wikipedia  Who Wants to be a Millionaire ? ( UK game show )  This article is about the original UK version . For the international franchise , see Who Wants to Be a Millionaire ?      Who Wants to Be a Millionaire ?     Titlecard for the 2018 , 20th Anniversary series of Who Wants to be a Millionaire     Created by     David Briggs   Steve Knight   Mike Whitehill       Presented by     Chris Tarrant   Jeremy Clarkson       Theme music composer     Keith Strachan   Matthew Strachan   Nick Magnus ( 2007 -- 14 )       Country of origin   United Kingdom     Original language ( s )   English     No. of series   31     No. of episodes   599 ( as of 11 May 2018 )     Production     Producer ( s )   David Briggs     Production location ( s )     Elstree Studios ( 1998 -- 2014 )   MediaCityUK ( 2018 -- present )       Running time   30 -- 75 minutes     Production company ( s )     Celador ( 1998 -- 2007 )   2waytraffic ( 2007 -- 10 )   Victory Television ( 2011 -- 14 )   Stellify Media ( 2018 -- present )       Distributor   Sony Pictures Television     Release     Original network   ITV     Picture format   4 : 3 ( 1998 -- 99 ) 16 : 9 ( 1999 -- 2014 , 2018 -- present )     Original release   Original series : 4 September 1998 ( 1998 - 09 - 04 ) -- 11 February 2014 ( 2014 - 02 - 11 ) Revived series : 5 May 2018 ( 2018 - 05 - 05 ) -- Present     External links     Website     Who Wants to Be a Millionaire ? is a British quiz show , created and produced by David Briggs , and made for the ITV network . The show 's format , devised by Briggs , sees contestants taking on multiple - choice questions , based upon general knowledge , winning a cash prize for each question they answer correctly , with the amount offered increasing as they take on more difficult questions . To assist each contestant who takes part , they are given three lifelines to use , may walk away with the money they already have won if they wish not to risk answering a question , and are provided with a safety net that grants them a guaranteed cash prize if they give an incorrect answer , provided they reach a specific milestone in the quiz .   The original series aired for 30 series and a total of 592 episodes , from 4 September 1998 to 11 February 2014 , and was presented by Chris Tarrant . Over the course of its run , the original series had around five contestants walk away with the top cash prize of £ 1 million , and faced a number of controversies during its run , including an attempt to defraud the show of its top prize by a contestant . The original format of the programme was tweaked in later years , changing the number of questions from fifteen to twelve and altering the payout structure as a result , and later incorporating a time limit . Four years after the original series ended , ITV unveiled a revived series , created by Stellify Media , to commemorate the 20th anniversary of the programme . The revived format , based upon the original design , was presented by Jeremy Clarkson , and broadcast in 2018 , from 5 to 11 May .   The gameshow became one of the most significant shows in British popular culture , ranking 23rd in a list of the 100 Greatest British Television Programmes . Its success led to the programme being exported to many other countries , all of which follow the same general format , though with some versions including unique differences in gameplay and lifelines provided .   Contents    1 History   1.1 Creation   1.2 Original series   1.3 Revival   1.4 Top prize winners     2 Format   2.1 Auditioning   2.2 Game Rules   2.3 Lifelines     3 Series overview   4 Text game ( 2004 -- 2007 )   5 Controversies   5.1 Incorrect answer to question accepted   5.2 Schedule rigging allegation   5.3 Ambiguous question   5.4 Ingram cheating scandal   5.5 Phone - a-Friend     6 References   6.1 Footnotes   6.2 Bibliography     7 External links    History ( edit )  UK presenters of Who Wants to Be a Millionaire ? Chris Tarrant ( 1998 -- 2014 ) Jeremy Clarkson ( 2018 - )  Creation ( edit )   The creation of the game show was led by David Briggs , assisted by Mike Whitehill and Steven Knight , who had helped him before with creating a number of promotional games for Chris Tarrant 's morning show on Capital FM radio . The basic premise for the show was a twist on the conventional game - show genre of the time , with a focus towards the setup used in radio quizzes , in that the programme would have one contestant taking on the game and answering questions , but with the ability to pull out at any time , to have certain points in the quiz where , once passed , they could have a set prize given to them if they should give a wrong answer , and be provided with special forms of assistance during their game . During the design phase , the show was given the working title of `` Cash Mountain '' , before Briggs decided upon using the name of the song written by Cole Porter for the 1956 film High Society , as the show 's finalised title . After presenting their idea to ITV , the broadcaster gave the green - light for production to begin on a series .   The set designed for Who Wants to Be a Millionaire ? was conceived by British production designer Andy Walmsley , who focused the design towards making contestants feel uncomfortable , creating an atmosphere of tension similar to movie thriller . The design was in stark contrast to the design of sets made for more typical game shows , which are designed to make contestants feel more at ease . Walmsley 's design feature a central stage made primarily with Plexiglas , with a huge dish underneath covered in mirror paper , onto which two slightly - modified , 3 foot ( 0.91 m ) - high Pietranera Arco All chairs were chosen for use by both the contestant and the host , each having an LG computer monitor directly facing each that would be used to display questions and other pertinent information . The rest of the set featured seating spaced out around the main stage in a circle , with breaks in them to allow movement of people on and off the set . The lighting rig used for the set was designed so as to allow only the lights to switch from illuminating the entire set , to focusing on the host and contestant on the main stage when a game was underway , but to include special lighting effects when the contestant reached higher cash prize amounts . His overall conception would eventually prove to be a success , becoming one of the most reproduced scenic designs in television history .   The music provided for the show was composed by father - and - son duo Keith and Matthew Strachan . The Strachans ' composition for the game show helped with Briggs ' tense game design , by providing the necessary drama and tension . Unlike other game show musical scores , the music provided for Who Wants to Be a Millionaire ? was designed to be played throughout the entire episode of the show . The Strachans main theme for the game show was inspired from the `` Mars '' movement of Gustav Holst 's The Planets . For the main game of the show , the pair designed the music to feature three variations , with the second and third compositions focused on emphasising the increased tension of the game - as a contestant made progress to higher cash amounts , the pitch of the music was increased by a semitone for each subsequent question . On Game Show Network 's Gameshow Hall of Fame special , the narrator described the Strachan tracks as `` mimicking the sound of a beating heart '' , and stated that as the contestant works their way up the money ladder , the music is `` perfectly in tune with their ever - increasing pulse '' .   Original series ( edit )   With the show created , ITV assigned Chris Tarrant as its host , and set its premiere to 4 September 1998 . The programme was assigned a timeslot of one hour , to provide room for three commercial breaks , with episodes produced by production company Celador . Originally , the show was broadcast on successive evening for around ten days , before the network modified its broadcast schedule to air it within a primetime slot on Saturday evenings , with occasional broadcasts on Tuesday evenings . Who Wants to Be a Millionaire ? proved a ratings hit , pulling in average viewing figures of up to 19 million during its broadcast in 1999 , though such figures often occurred when the programme was allocated to a half - hour timeslot ; by 2003 , the viewing figures declined to an average of around 8 million viewers . Over the course of his time presenting the game show , Tarrant developed a number of notable catchphrases , including `` Is that your final answer ? '' , and `` But we do n't want to give you that '' , with the latter often used to emphasise his wish to see contestants continue on and win more money .   Since its launch , several individuals made claims over the origins of the format or elements of it , with each accusing Celador of breaching their copyrights . In three cases , the matters could not be proven by the claimants - in 2002 , Mike Bull , a Southampton - based journalist , was given an out - of - court settlement when he claimed the authorship of lifelines was his work , though with a confidentiality clause attached ; in 2003 , Sydney resident John J. Leonard made claims in that the show 's format was based on one he had made of a similar nature , but without the concept of lifelines ; in 2004 , Alan Melville was given an out - of - court settlement after he claimed that the opening phrase `` Who wants to be a millionaire ? '' had been taken from document he sent to Granada Television , concerning his idea for a game show based on the lottery .   One of most significant claims Celador received against them was from John Bachini . In 2002 , he started legal proceedings against the production company , ITV , and five individuals who had claimed they had created Who Wants to Be a Millionaire ? , stating that the idea from the show was taken from several elements he had created - a board game format he conceived in 1981 ; a two - page TV format , known as Millionaire , made in 1990 ; and the telephone mechanics for a TV concept he created in 1990 , BT Lottery . In his claim , Bachini stated that he submitted documents for his TV concepts to Paul Smith , from a sister company of Celador 's , in March 1995 and again in January 1996 , and to Claudia Rosencrantz of ITV , also in January 1996 , accusing both of using roughly 90 % of the format for Millionaire in the pilot for the game show , including the use of twenty questions , lifelines and safety nets , although the lifelines were conceived under different names - Bachini claimed that he never coined the phrase `` phone - a-friend '' that Briggs designed in his format . In response to this claim , Celdaor made a counter-claim that the franchise originated from the basic format idea conceived by Briggs . The defendants in the claim took Bachini to a summary hearing , but lost their right to have his claim dismissed . Although Bachini won the right to go to trial , he was unable to after the hearing due to serious illness . Celador eventually settled the matter with him out - of - court .   In March 2006 , Celador began procedures to sell the format of the show and all UK episodes , as part of their first step towards the sale of their formats divisions . The purchase of both assets was made by Dutch company 2waytraffic , which were then passed on to Sony Pictures Entertainment in 2008 when it acquired 2waytraffic . As the original series progress , variations of the format were created , and screened as special episodes , including celebrity editions , games featuring couples as contestants , and episodes themed around special events such as Mother 's Day .   From April 2011 , only celebrity contestants appeared on the show , in special live editions that coincided with holidays , events and other notable moments , such as the end of a school term . However , in 2012 , three special episodes , entitled `` The People Play '' , were broadcast for three consecutive nights between 9 and 11 July . They featured standard contestants , with viewers at home allowed to play along . The special was used three more times in 2013 , once on 7 May , and twice more on 21 May , before the special 's format was discontinued .   On 22 October 2013 , Tarrant announced that after fifteen years of hosting the programme , he would be leaving Who Wants to Be a Millionaire ? , which consequently led ITV to axe the programme once his contract was finished ; no more specials would be filmed after this announcement , leaving only those made before it to be aired as the final episodes . After a few more celebrity editions of the game show , Tarrant hosted his final episode , a clip show entitled `` Chris ' Final Answer '' , aired on 11 February 2014 .   Revival ( edit )   In 2018 , ITV revived the show for a new series , as part of its 20th anniversary commemorations of the programme . On 23 February , the broadcast put out a casting call for contestants who would appear on the game show . On 9 March , Jeremy Clarkson was confirmed as the new host of the show . On 13 April , the trailer for the revival premiered on ITV and confirmed that the show would return in May for a week long run , with it later confirmed on 25 April , that the show would begin airing from 5 May and finish 11 May . The revival received mostly positive reviews from critics and fans .   Top prize winners ( edit )   Over the course of the programme 's broadcast history , it has had to date five winners who managed to successfully receive its top prize of £ 1 million . They include :    Judith Cynthia Aline Keppel , a cash - strapped garden designer at the time . On 20 November 2000 , she became the first contestant to win the top prize , and is to date the only woman to have received it in the British original . Following her success , Keppel later went onto become part of team of quiz experts for the BBC game show , Eggheads .   David Edwards , a former physics teacher of Cheadle High School and Denstone College in Staffordshire . On 21 April 2001 , he became the first man to win the top prize . Following his success , Edwards went on to compete in both series of Are You an Egghead ? , in 2008 and 2009 respectively , but failed to win either series and secure a place as a panellist on Eggheads .   Robert Kempe Brydges , an Oxford - educated banker from Holland Park , London . On 29 September 2001 , he became the third person to win the show 's top prize .   Pat Gibson , a multiple world champion Irish quiz player . On 24 April 2004 , he became the fourth person to win the top prize , and is the only person in the show 's history to reach the final question with two lifelines still intact .   Ingram Wilcox , a British quiz enthusiast . On 23 September 2006 , he became the fifth person to win the top prize , and is to date , the most recent person to answer the show 's final question .    Format ( edit )   Auditioning ( edit )   Members of the public wishing to apply for the game show are provided with four options to choose form - calling / texting a premium - rate number ; submitting an application via the show 's ITV website , using a system of £ 1 `` credits '' ; taking part in a casting audition , held at various locations around the UK . Once an application is made , production staff select an episode 's contestants through a combination of random selection , and a potential contestant 's ability to answer a set of test questions based on general knowledge .   Game rules ( edit )  A contestant being asked a question about pop music on the show .  Once a contestant has auditioned for a part on the programme and filming takes place , they undertake a preliminary round entitled `` Fastest Finger First '' - the group of contestants seeking a chance to take on the main game of the show , must answer a single question correctly , but do so faster than their opponents . Initially , the round required contestants to provide the correct answer to a question , but from the second series onwards , they are tasked with putting four answers in the correct order stated within the question ( i.e. earliest to latest ) . The contestant who answers a question correctly and in the fastest time , moves on towards playing the main game ; in the event that no - one answers the question correctly , a new question is given , while if two or more contestants give the correct answer in the same amount of time , they undergo a tiebreaker question to determine who takes on the main game . This round is primarily used to determine the new contestant for the main game , and can often be used more than once in an episode .   After completing the preliminary round , the contestant now begins taking on the main game , tackling a series of increasingly difficult question , which offering increasingly high sums of money , up to the top prize of £ 1 million . The questions they undertake are randomly chosen from list of generated questions based on general knowledge , with each consisting of four answers to choose from . While undertaking questions , the contestant is allowed to use a set of lifelines to provide them assistance with a question at any time , and two safety nets - if a contestant gets a question wrong , but had reached a designated cash value during their game , they left with that amount as their prize . Unlike other game shows , if a contestant is unsure about a question they are facing , they are allowed to leave the game at that point with the cash amount they had managed to win by that stage . While the initial questions are generally easy , the subsequent ones after it require the contestant to confirm that their answer / decision is final by the host , at which point it is locked in and can not be reversed . As a rule , the host is not shown the correct answer , until a contestant has given their answer . If an episode is reaching the end of its allotted , an audio cue is triggered to highlight this ; contestants still playing the main game are left to wait until filming for the next episode begins to continue , though this is not the case for special editions of the show , such as celebrity episodes .   Over the course of the show 's history on British television , the format of the programme was altered in a number of aspects , mainly towards the setup of questions and the payout structure used in the game show , along with minor tweaks and changes in other aspects :    Between 1998 and 2007 , the format focused on contestants answering 15 questions , with two safety nets placed at £ 1,000 and £ 32,000 respectively , and the use of three standard lifelines . The payout structure during these years was focused as follows :     £ 100 - &gt; £ 200 - &gt; £ 300 - &gt; £ 500 - &gt; £ 1,000 - &gt; £ 2,000 - &gt; £ 4,000 - &gt; £ 8,000 - &gt; £ 16,000 - &gt; £ 32,000 - &gt; £ 64,000 - &gt; £ 125,000 - &gt; £ 250,000 - &gt; £ 500,000 - &gt; £ 1,000,000     Between 2007 and 2014 , the number of questions was reduced to 12 . This alteration led to the second safety net being assigned to a new cash value , £ 50,000 , and the payout structure being changed as a result :     £ 500 - &gt; £ 1,000 - &gt; £ 2,000 - &gt; £ 5,000 - &gt; £ 10,000 - &gt; £ 20,000 - &gt; £ 50,000 - &gt; £ 75,000 - &gt; £ 150,000 - &gt; £ 250,000 - &gt; £ 500,000 - &gt; £ 1,000,000   In 2010 , the format was further changed in three factors . The first was the discontinuation of the preliminary round , meaning new contestants were selected by production staff before a new run of the main game was played . The second was the inclusion of a fourth lifeline . The third was adoption of the time - limit format from the US version , but with some differences - the time limit was active for the first seven questions - 15 seconds for the first two questions , and 30 seconds for the other five - and if a contestant ran out of time , it was treated as an incorrect answer and thus affected their winnings , though time was briefly paused when a lifeline is used by the contestant .     For the revived series in 2018 , the format returned to that used between 1998 -- 2007 , including the payout structure , but with one noticeable difference . Apart from the use of a brand new , fourth lifeline , the series included a new rule in which upon reaching £ 1,000 , the contestant would be asked before each subsequent question if they would like to set the cash prize for that question as their second safety net , with it offered up to £ 500,000 .    Lifelines ( edit )   During a contestant 's game , they may make use of a set of lifelines to provide assistance on a question . Throughout the course of the show 's history , these lifelines involve the following :    50 / 50 : Two random incorrect answers are eliminated , leaving the correct answer and one incorrect answer , thus granting the contestant a 50 / 50 chance of answering a question correctly .   Phone a Friend : The contestant calls one of their friends , and has 30 seconds to read the question and the possible answers to them . The friend uses the leftover time to offer an answer . Since 2018 , a member of the production team accompanies the friend to prevent cheating .   Ask the Audience : Audience members use keypads to vote on what they believe to be the correct answer to the question . The percentage of the audience choosing each specific option is displayed to the contestant , after this vote .   Switch ( 2002 -- 03 , 2010 -- 14 ) : The computer replaces one question with another of the same monetary value . Any lifelines already used on the original question are not reinstated . From 2010 to 2014 , this lifeline was earned after the contestant answered seven questions correctly .   Ask the Host ( 2018 ) : The contestant asks the host to help provide an answer on a question . No time limit is associated with the lifeline , while , in addition to standard rules , the host has no contact with outside sources to help them .    Series overview ( edit )     Series   Start date   End date   Episodes       4 September 1998   25 December 1998   11       1 January 1999   13 January 1999   13       5 March 1999   16 March 1999   12       3 September 1999   14 September 1999   13     5   5 November 1999   26 December 1999   18     6   16 January 2000   22 January 2000   7     7   26 March 2000   1 May 2000   13     8   7 September 2000   6 January 2001   55     9   8 January 2001   26 April 2001   45     10   4 September 2001   29 December 2001   43     11   5 January 2002   9 April 2002   55     12   31 August 2002   28 December 2002   19     13   4 January 2003   31 May 2003   21     14   30 August 2003   27 December 2003   21     15   3 January 2004   5 June 2004   23     16   18 September 2004   25 December 2004   16     17   1 January 2005   11 June 2005   24     18   17 September 2005   31 December 2005   11     19   7 January 2006   8 July 2006   27     20   9 September 2006   6 January 2007   13     21   10 March 2007   28 July 2007   17     22   18 August 2007   30 October 2007   11     23   1 January 2008   3 June 2008   19     24   16 August 2008   31 January 2009   18     25   13 June 2009   20 December 2009   20     26   13 April 2010   8 June 2010   8     27   3 August 2010   23 December 2010   11     28   2 April 2011   19 December 2011   6     29   3 January 2012   20 December 2012   11     30   1 January 2013   11 February 2014   11     31   5 May 2018   11 May 2018   7     Text game ( 2004 -- 2007 ) ( edit )   On 23 October 2004 the show included a new feature called the `` Walkaway Text Game '' . The competition was offered to viewers at home to play the text game where they had to answer the question , if a contestant decided to walk home with the cash prize they have got , by choosing the letters ' A , B , C or D ' within 30 seconds to a specific mobile number . The viewer who answered the question won £ 1,000 by having their entries selected randomly .   On 9 September 2006 , there were some changes . The competition stayed the same but this time , they played it before some commercial breaks . A question to which the contestant had given their final answer , but the correct answer had not yet been revealed , was offered as a competition to viewers . Entry was via SMS text message at a cost of £ 1 per entry , and the competition ran through the commercial break , after which the answer was revealed and the game continued . One viewer who answered the question correctly won £ 1,000 . The text game ended on 28 July 2007 .   Controversies ( edit )   Incorrect answer to question accepted ( edit )   In March 1999 , the Daily Mirror published a report that accused the show of allowing a contestant , Tony Kennedy , to win a question by giving an incorrect answer . During Kennedy 's game , when he had reached the £ 64,000 question , he was asked `` Theoretically , what is the minimum number of strokes with which a tennis player can win a set ? '' , and given four possible answers - twelve , twenty four , thirty six , and forty eight . Kennedy calculated that a player would need four shots to win a game , with six games in a set , giving an answer of twenty four , but the newspaper reported that this was incorrect , stating that a tennis player could win a game without playing a shot - if their opponent double - faulted on every serve , and the player aced each of their own serves , it would allow them to win with just 12 strokes . Based on their findings , the production staff acknowledged the mistake and apologised for it , but allowed Kennedy to keep the prize money he won by the end of his game .   Schedule rigging allegation ( edit )   When Judith Keppel 's victory as the first UK jackpot winner on Who Wants to Be a Millionaire ? was announced by ITV on the day of that the corresponding episode was to be broadcast , several allegations were made that Celador had rigged the show to spoil the BBC 's expected high ratings for the finale of One Foot in the Grave . Richard Wilson , the lead star on the sitcom , was quoted in particular for saying that the broadcaster had `` planned '' the win , adding `` it seems a bit unfair to take the audience away from Victor 's last moments on earth . '' David Renwick , writer of the sitcom , voiced annoyance that the episode would draw away interest from the sitcom 's finale , believing that a leaked press release on ITV 's announcement had been `` naked opportunism '' , and it `` would have been more honorable to let the show go out in the normal way '' , pointing out that it `` killed off any element of tension or surprise in their own programme '' , but that `` television is all about ratings '' . Richard Webber 's account , in his 2006 book , cites `` unnamed BBC sources '' as those who `` questioned the authenticity of Keppel 's victory '' . The allegations in turn led to eleven viewers making complaints against the quiz show , of a similar nature , to the Independent Television Commission ( ITC ) .   In response , ITV expressed distress to the allegations , claiming that it `` undermined viewers ' faith in the programme . '' Leslie Hill , the chairman of ITV , wrote to Sir Christopher Bland , the chairman of the Board of Governors of the BBC , to complain about the issue . The corporation apologised , saying that any suggestion of ' rigging ' `` did not represent the official view of the BBC '' , while the ITC 's investigation cleared the programme of any wrongdoing .   Ambiguous question ( edit )   On 11 February 2006 , celebrity couple Laurence Llewelyn - Bowen and his wife Jackie took on the game show to raise money for their chosen charity - The Shooting Star Children 's Hospice . Having reached the final question of the quiz , they were asked `` Translated from the Latin , what is the motto of the United States ? '' , to which the Bowens answered with `` In God , We Trust '' , only to learn that the question 's correct answer was `` One Out of Many '' - the English translation for the Latin E pluribus unum . However , Celador later admitted that the question had been ambiguous and not fair to the pair - although E pluribus unum is considered the de facto motto of the United States , it was never legally declared as such ; In God , We Trust is the official motto of the country since 1956 , although it is not translated from any form of Latin . Following this revelation , the production company invited the Bowens back to tackle a new question , with their original winnings reinstated ; the couple chose not to risk the new question , and left with £ 500,000 for their charity .   Ingram cheating scandal ( edit )  Main article : Charles Ingram - Who Wants to Be a Millionaire ? scandal Charles Ingram and his wife Diana . Both had previously made appearances on the show , before Charles ' controversial game in September 2001 .  In September 2001 , British Army Major Charles Ingram became a contestant on Who Wants to Be a Millionaire ? , joined by his wife Diana , and a close friend and college lecturer , Tecwen Whittock . After the first day of filming , the group devised a scheme that would allow Ingram to win the £ 1 million cash prize when he returned for the second day of recording , on 10 September - for each question he faced , the correct answer would be signalled to Ingram by a cough made by Whittock ; Ingram would differentiate the way he received this to avoid making the scheme too obvious , such as reading aloud all four answers , or dismissing an answer and then choosing it again later . Although the scheme proved successful , by the time he had reached the final questions , production staff off - stage had become suspicious over the amount of background noise being made by Whittock 's coughing , while noting that Ingram seemed to show no specialist knowledge of any subjects he faced with each question .   After the second day of recording ended , the production staff ordered an immediate investigation on the grounds that cheating had occurred , suspending the broadcast of both episodes that had been filmed . Ingram was subsequently informed that he was being investigated for cheating and would not receive his winnings . While reviewing the recording , production staff began to see a pattern between Whittock 's coughing , and Ingram 's unusual behaviour when he answered questions ; at one point , they noticed Ingram gave an answer when Diana had coughed after he read it aloud . By this point , Celador was convinced that cheating had occurred , and the matter was handed over to police . Both the Ingrams and Whittock were charged with `` procuring the execution of a valuable security by deception '' , and taken to Southwark Crown Court in 2003 .   During the four - week long trial , the Prosecution provided evidence towards the charges , which included a recording of Ingram 's second day on Who Wants to Be a Millionaire ? , pager telephone records for a previous scheme the group intended to use , before deeming it too complicated - a system of four pagers intended to be hidden on Ingram 's body , in which a pager 's vibrations signalled the correct answer - and testimony from one of the production staff and a `` Fastest Finger '' contestant attending the recording , Larry Whitehurst . Although the Defence provided evidence claiming Whittock 's coughing was a result of dust allergies and a hay fever he was suffering from , and Whittock himself testified against the accusations , the Prosecution refuted these claims with their evidence , including footage that showed Whittock stopped coughing when he became a contestant after Ingram . On 7 April 2003 , the group were found guilty , with all three given suspended prison sentences and fines , with the Ingrams later ordered to pay legal costs within two months of the trial 's conclusion . On 24 July 2003 , the British Army ordered Charles Ingram to resign his commission as a Major , in the wake of the trial .   In the aftermath of the trial , the scandal became the subject of a documentary entitled Millionaire : A Major Fraud , presented by Martin Bashir and broadcast on 21 April 2003 , with a follow - up two weeks later entitled Millionaire : The Final Answer . The documentary featured excerpts from the recording that had been enhanced for the Ingrams ' trial , footage of the actions made by Ingram 's wife in the audience , and interviews with production staff and some of the contestants who had been present during the recording . None of the defendants in the case took part , with Ingram later describing Major Fraud and a subsequent programme of the matter , shown on ITV2 , as `` one of the greatest TV editing con tricks in history '' . </t>
  </si>
  <si>
    <t xml:space="preserve">who want to be a millionaire winners uk</t>
  </si>
  <si>
    <t xml:space="preserve">  Judith Cynthia Aline Keppel , a cash - strapped garden designer at the time . On 20 November 2000 , she became the first contestant to win the top prize , and is to date the only woman to have received it in the British original . Following her success , Keppel later went onto become part of team of quiz experts for the BBC game show , Eggheads .   David Edwards , a former physics teacher of Cheadle High School and Denstone College in Staffordshire . On 21 April 2001 , he became the first man to win the top prize . Following his success , Edwards went on to compete in both series of Are You an Egghead ? , in 2008 and 2009 respectively , but failed to win either series and secure a place as a panellist on Eggheads .   Robert Kempe Brydges , an Oxford - educated banker from Holland Park , London . On 29 September 2001 , he became the third person to win the show 's top prize .   Pat Gibson , a multiple world champion Irish quiz player . On 24 April 2004 , he became the fourth person to win the top prize , and is the only person in the show 's history to reach the final question with two lifelines still intact .   Ingram Wilcox , a British quiz enthusiast . On 23 September 2006 , he became the fifth person to win the top prize , and is to date , the most recent person to answer the show 's final question .  </t>
  </si>
  <si>
    <t xml:space="preserve">Mesut Özil - wikipedia  Mesut Özil  Jump to : navigation , search  Mesut Özil   Özil playing for Arsenal in 2013         Full name   Mesut Özil     Date of birth   ( 1988 - 10 - 15 ) 15 October 1988 ( age 29 )     Place of birth   Gelsenkirchen , West Germany     Height   1.80 m ( 5 ft 11 in )     Playing position   Attacking midfielder     Club information     Current team   Arsenal     Number   11     Youth career     1995 -- 1998   Westfalia 04 Gelsenkirchen     1998 -- 1999   Teutonia Schalke - Nord     1999 -- 2000   Falke Gelsenkirchen     2000 -- 2005   Rot - Weiss Essen     2005 -- 2006   Schalke 04     Senior career *     Years   Team   Apps   ( Gls )     2006 -- 2008   Schalke 04   30   ( 0 )     2008 -- 2010   Werder Bremen   71   ( 13 )     2010 -- 2013   Real Madrid   105   ( 19 )     2013 --   Arsenal   138   ( 27 )     National team     2006 -- 2007   Germany U19   11   ( 4 )     2007 -- 2009   Germany U21   16   ( 5 )     2009 --   Germany   88   ( 22 )     Honours ( show )        FIFA World Cup     Winner   2014               UEFA European Championship       2012       UEFA European Under - 21 Championship     Winner   2009          * Senior club appearances and goals counted for the domestic league only and correct as of 14 : 30 , 10 February 2018 ( UTC ) . ‡ National team caps and goals correct as of 21 : 46 , 14 November 2017 ( UTC )     Mesut Özil ( German pronunciation : ( ˈmeːzut ˈøːzil ) , Turkish : ( meˈsut ˈøzil ) ; born 15 October 1988 ) is a German professional footballer who plays for English club Arsenal and the Germany national team .   Özil plays mostly as an attacking midfielder , but can also be deployed as a winger . He began his senior career as a member of his hometown club Schalke 04 in the Bundesliga , departing two seasons later to join Werder Bremen for € 5 million . He garnered break - out attention at the 2010 FIFA World Cup , where at age 22 , Özil was instrumental in the side 's campaign where they reached the semi-finals , losing to eventual champions Spain . He was also nominated for the Golden Ball Award , as well as being ranked first in assists in major European and domestic competitions with 25 . This garnered him a € 15 million transfer to La Liga club Real Madrid .   At Madrid , Özil won the Copa del Rey in his first season , before registering a league high 17 assists as the Spanish side won the league title in the following season . He also won the Supercopa de España in the same season , becoming renowned for his technical skills and creativity ; due to his agility , finesse and versatility as an attacking midfielder , he has also been compared to Zinedine Zidane by former manager José Mourinho .   Following a second - place La Liga finish to rivals Barcelona in the 2012 -- 13 season , Özil relocated to England to join Premier League side Arsenal in a then club - record deal worth £ 42.5 million ( € 50 million ) , making him the most expensive German player of all time . During his first season , Özil helped end the club 's largely publicised nine - year trophy drought , winning the FA Cup in 2014 . He later became victorious in two more FA Cup campaigns , while also winning the FA Community Shield . Özil would also tie the league assist record ( 19 ) in 2014 -- 15 , as well as being named in multiple teams of the season in England .   At international level , Özil has played 86 matches for the Germany national team , scoring 22 goals . He represented his country in two FIFA World Cups , as well as two UEFA European Championships , and was an integral part in both the 2010 FIFA World Cup and UEFA Euro 2012 team in South Africa and Ukraine , starring as the joint - highest assist provider in the competitions . Özil also contributed as a part of the 2014 World Cup - winning side in Brazil , with his versatility aiding in his nation 's triumph in a 1 -- 0 victory over Argentina in the final .     Contents  ( hide )   1 Club career   1.1 Schalke 04   1.2 Werder Bremen   1.3 Real Madrid   1.3. 1 2010 -- 11 season   1.3. 2 2011 -- 12 season   1.3. 3 2012 -- 13 season     1.4 Arsenal   1.4. 1 2013 -- 14 season   1.4. 2 2014 -- 15 season   1.4. 3 2015 -- 16 season   1.4. 4 2016 -- 17 season   1.4. 5 2017 -- 18 season       2 International career   2.1 2010 FIFA World Cup   2.2 UEFA Euro 2012   2.3 2014 FIFA World Cup   2.4 UEFA Euro 2016     3 Style of play   4 Outside football   4.1 Personal life   4.1. 1 Philanthropy     4.2 Media and sponsorships     5 Career statistics   5.1 Club   5.2 International   5.3 International goals     6 Honours   6.1 Club   6.2 International   6.3 Individual     7 Notes   8 References   9 External links      Club career   Schalke 04   After plying his trade at youth level for various clubs in Gelsenkirchen , including a five - year stint for Rot - Weiss Essen , Özil moved to the youth system of Schalke 04 in 2005 . He was deployed a midfielder and wore 17 as his squad number , after starting as a playmaker and central attacking midfielder in the place of the suspended Lincoln in Ligapokal matches against Bayer Leverkusen and Bayern Munich . Upon making the first team at Schalke , he was described as `` the next big thing '' . However , soon after declining an offer from Schalke 04 , claiming that a yearly salary of € 1.5 million would not be enough , he eventually fell out with club management and moved on to Werder Bremen in January 2008 . This led to Mirko Slomka , the then - Schalke 04 manager , claiming that Özil would not play another match for Schalke 04 .   Werder Bremen  Özil with Werder Bremen in April 2010  On 31 January 2008 , Özil moved to Werder Bremen for a reported fee of € 5 million , signing a contract with the German club until 30 June 2011 . Other than Werder Bremen , Hannover 96 and VfB Stuttgart were reportedly interested as well in binding Özil to their respective clubs , however did not want to pay such a high transfer fee . After transferring to Werder Bremen , Özil got the jersey number 11 . On 26 April 2008 ( 30th match day ) Özil scored the go - ahead goal in the 33rd minute against Karlsruher SC , to put his team up 2 -- 1 . This was Özil 's very first Bundesliga goal . He played in twelve games throughout the second half of the season , six times playing in the starting formation , becoming second with Werder Bremen in the Bundesliga at the end of the 2007 -- 08 season .   Although Bremen failed to get going in their 2008 -- 09 Bundesliga season , eventually finishing a disappointing tenth , Özil managed to make a significant impact in most games and came away with a respectable three goals and 15 assists that highlighted his attacking credentials . He helped lead the North German club to the 2009 DFB - Pokal with the winning goal in a 1 -- 0 victory over Bayer Leverkusen in Berlin . He also excelled in Europe where he led Werder Bremen to the final of the last ever UEFA Cup , losing out to Shakhtar Donetsk of Ukraine .   In the 2009 -- 10 season , Özil became the key playmaker of Werder Bremen , stepping into the shoes of Brazilian Diego who had left for Juventus , was named the best player of the first leg of the 2009 Bundesliga season . On 1 May 2010 , the 33rd match day , Özil played his 100th Bundesliga game , scoring the 1 -- 0 lead in a 2 -- 0 win against his former club Schalke 04 . Özil went on and led Werder Bremen to become third in the league and again to the DFB - Pokal final , however this time it was lost against Bayern Munich by 0 -- 4 . In his second season , Bremen finished a respectable third , with Özil contributing 9 goals and 17 assists in 31 league fixture appearances . During the 2009 -- 10 season , Özil was also declared as the `` best player of the first half of the season '' .   Real Madrid  2010 -- 11 season Özil playing for Real Madrid in 2010  Due to his performances in the 2010 FIFA World Cup , Özil ensured his place among Europe 's top young talents . He was sought by teams like Barcelona , Arsenal and Real Madrid . English striker Wayne Rooney was one of the many admirers Özil had garnered with his performances in the World Cup , and had even asked Manchester United manager Sir Alex Ferguson to sign the German playmaker . There were reports claiming that a deal was struck for a transfer to Barcelona , but Werder Bremen denied the reports and on 17 August 2010 , the team announced that they had reached an agreement with Real Madrid for Özil 's transfer . The transfer fee is believed to have been in the region of € 15 million . Upon signing , Özil said , `` When the offer came in to join Real Madrid , there is no decision to make . Let 's be honest -- you do n't refuse this club . I was in no rush to leave Werder Bremen , but this is one club you say yes to . They are an institution , a club with a fantastic history , stadium and squad full of world - class players . The prospect of performing at the Bernabéu is so awesome you jump straight in . '' Özil made his debut on 22 August in a friendly match against Hércules , which Real Madrid won 3 -- 1 . His jersey numbers were changed often before the season started . He was given the number 26 in the pre-season and 19 for his debut . But following the transfer of Rafael van der Vaart to Tottenham Hotspur , he was given the vacant 23 .   Özil was brought in to back up teammate Kaká , but due to his surgery , Özil obtained a starting role . He then made his La Liga debut for Real Madrid as a substitute for Ángel Di María in the 62nd minute against Mallorca , which Real Madrid drew 0 -- 0 .  Özil taking on Daniele Bonera of Milan during the 2010 -- 11 UEFA Champions League  He made his season debut in the Champions League on 15 September . He got his first assist with Real Madrid in the 74th minute against Ajax after he crossed for a Gonzalo Higuaín goal .   He walked off the pitch as a second - half substitute to standing ovations in his first two games as a starter at the Santiago Bernabéu Stadium . His first goal came in a league match against Deportivo de La Coruña on 3 October 2010 , in a 6 -- 1 victory . Özil 's first Champions League goal with Real came in the 14th minute against Milan on 19 October 2010 . On 22 December , he made his debut in the Copa del Rey , scoring once in an 8 -- 0 victory over Levante .   He finished the season with 25 assists , the highest for any player in any major European competition that season . Özil 's performances for Real Madrid during his first season were praised by media , fans and players .  2011 -- 12 season  Özil began wearing the number 10 shirt for Real Madrid in 2011 -- 12 , signalling manager José Mourinho 's intent to use the German international as his main playmaker . On 14 August 2011 , Özil scored his first goal against Barcelona in El Clásico in the first leg of the 2011 Supercopa de España . On 17 August 2011 , he was sent off in the last minute of the second leg of the 2011 Supercopa after an altercation with Barça forward David Villa . Özil expressed his desire to end his football days at the club in an interview with German magazine kicker , saying , `` I 'd like to end my career at Real Madrid . I know it will be difficult because I have many more years ahead of me and many younger and good players will also be out there , but I want to be part of that future . I know what I 'm capable of , and I 'm convinced , I 'll stay at Real Madrid many years . ''   Özil was on the short - list of the FIFA Ballon d'Or award .  Özil 's boots on display at the Santiago Bernabéu museum  He finished atop the La Liga assists chart , with 17 assists . On 2 May 2012 , he helped Real Madrid to clinch a record 32nd La Liga title as he assisted Real 's first goal and scored the second goal against Bilbao , which Real Madrid later won by 3 -- 0 . Eleven days later , Özil scored two goals in the final game of the regular season against Mallorca , once again consolidating his excellent performance with the club . The win made Real the first club in the Spanish top flight to ever reach 100 points in a single season . His fine form with Real Madrid and German national team saw him earn nomination for UEFA Best Player in Europe Award , in which he finished tenth , being the youngest player to feature in the Top 10 .  2012 -- 13 season  With arrival of Luka Modrić before the start of the season , some in the media claimed Özil was unhappy at Real Madrid , but he later rejected such talk and claimed he was happy at the club and looking forward to competing for his place . After the start of the season , he added the Supercopa de España title to his honours . In league play , he provided an important assist to Cristiano Ronaldo who equalised in a 2 -- 2 draw against Barcelona at Camp Nou . On 6 November , Özil scored a crucial 89th - minute free - kick to rescue a draw for Real Madrid and secure a point against Borussia Dortmund . He continued his fine form in the league as he scored another brace against Real Valladolid to rescue Real Madrid in a 3 -- 2 win . He then went on to finish the season with 29 assists , although Real Madrid did not win any silverware except for the Supercopa de España , Özil 's performance was praised . At the end of the season , Özil had 26 assists , more than any other player in the leagues .   Arsenal  Özil taking a free kick for Arsenal against Stoke City on 22 September 2013  On 2 September 2013 , Özil agreed to join English side Arsenal . Both the fee paid for Özil as well as the contract duration were undisclosed , but they are believed to be around £ 42.5 million ( € 50 million ) for a five - year deal . The transfer makes him the most expensive German football player of all time . Özil was assigned the number 11 shirt and the centre - attacking midfield role by the team . Contract leaks in January 2016 , however , have revealed that the record fee was actually broken down to £ 37.4 million ( € 44 million then ) with remaining £ 5.1 million ( € 6 million then ) split evenly over six years from July 2014 subject to Champions League qualification . A buy - back option also allows Real Madrid a 48 - hour first option on Özil should Arsenal agree a sale for their playmaker to another Spanish club .   Özil said of the transfer , `` At the weekend , I was certain I would stay at Real Madrid but afterwards I realised I did not have the faith from the coach or the bosses . I am a player who needs this faith and that is what I have felt from Arsenal , which is why I have joined . '' In Özil 's first press conference , he said : `` I would have come here for free , that would n't have been a problem . '' Özil additionally stated that Arsène Wenger played an important role in his decision : `` When I spoke to Arsène Wenger on the phone , he was full of respect , and as a player , I need that . '' Several Real Madrid players were dissatisfied with Özil leaving the club , including Cristiano Ronaldo , who said , `` He was the player who best knew my moves in front of goal ... I 'm angry about Özil leaving . ''  2013 -- 14 season  Özil made his debut for Arsenal in their league game away to Sunderland on 14 September 2013 . He assisted Olivier Giroud 's goal in the 11th minute of the match as they went on to win 3 -- 1 . Three days after that , he made his Champions League debut for Arsenal against Marseille . Just over three weeks after making his debut for Arsenal , he made his home debut against Stoke City in a 3 -- 1 victory . He was involved in all three goals , with two assists and a free kick which was saved but fell into Aaron Ramsey 's path . He scored his first goal for Arsenal , a brilliantly controlled finish from a Ramsey cross , in a 2 -- 0 win against Napoli in the Champions League . On 19 October , he scored his first two Premier League goals during the 4 -- 1 home win against Norwich City . Özil played in all six of Arsenal 's games in November . The German playmaker provided the cross for Jack Wilshere 's second goal against Marseille and gave further assists for Aaron Ramsey and Mathieu Flamini in the 3 -- 0 win over Cardiff City . Özil missed the chance to score his fourth Arsenal goal when he saw his penalty in the win over Marseille saved by Steve Mandanda .   In October , Özil was again short - listed for the FIFA Ballon d'Or award , along with former teammate Cristiano Ronaldo . Özil was also featured on the UEFA Team of the Year . Özil began December with two goals in as many games against Hull City and Everton . A minor shoulder injury forced him out of the final game of December in a win against Newcastle United . After the 6 -- 3 defeat at Manchester City in which he made another assist , Özil was involved in an altercation with teammate Per Mertesacker , who was angry with Özil 's failure to thank the travelling supporters , an omission for which he subsequently apologised via Facebook .  Özil and Olivier Giroud before kick - off against Southampton on 23 November 2013  Özil started four of Arsenal 's six games in January . The playmaker missed Arsenal 's victory over Cardiff City on New Year 's Day with a shoulder injury before returning to make a late appearance from the bench against Tottenham Hotspur in the FA Cup . The 25 - year - old produced a slide - rule pass for Lukas Podolski to score his first goal against Coventry City and provided the ball for Santi Cazorla 's goal against Southampton at the end of the month to take his assist tally to 10 .   February was a difficult month for Özil , as he struggled to reach the heights he showed in his first few months at the club . The German playmaker pulled off a brilliant piece of skill to win a penalty against Bayern Munich in the Champions League knockout phase , but his spot - kick was saved by Manuel Neuer . Speaking before the draw with Manchester United , Arsène Wenger spoke about Özil , saying , `` He has done well , he is adapting as well to the Premier League -- we have seen it before ( that it takes time ) . I would n't like to put too much pressure on him because he has been a top - class player until now . He did n't have the best of games ( at Liverpool ) ( a 5 -- 1 loss , where Özil was the centre of attention due to a bad performance ) but that can happen . He works very hard to adapt to the physical level of the Premier League and for me he is an exceptional player . ''   On 8 March , Özil scored his first goal of 2014 in a 4 -- 1 FA Cup quarter - final win over Everton . Özil was showing signs of old form and started in Arsenal 's second leg Champions League last 16 clash with Bayern Munich . He was substituted at half - time , and the reasoning behind it was that Özil had suffered a hamstring injury and will face a month out , missing key fixtures against Chelsea and Manchester City .   On 20 April , Özil made an instant impact with a lively display against Hull when he returned to the Arsenal team in a 3 -- 0 win . He then returned to goalscoring form with Arsenal 's second in their 3 -- 0 win over Newcastle United , and then assisted Olivier Giroud 's header . Manager Wenger praised Özil 's impact upon his return , saying , `` Mesut Özil is very important for the team . He 's been missed while he 's been injured . We 've missed some very important players in an important period of the season . We 're really pleased to have people like him back in the team and performing at the top level because that 's what we need . ''   Özil played all three of Arsenal 's remaining fixtures during the last month of his debut season in England . The German playmaker came off at half - time in extra-time of Arsenal 's 2014 FA Cup Final victory over Hull at Wembley Stadium . Speaking before the FA Cup final , Per Mertesacker praised his compatriot 's impact on the side during his first season in England . `` You could see from the start that he is one of the best players in Europe , '' said Mertesacker . `` His contributions and assists are vital for any club so we are happy to have him back . '' Özil completed his maiden season at Arsenal with 13 assists and seven goals in all competitions spanning a course of 40 games .  2014 -- 15 season Özil in a league match against Aston Villa in February 2015  Özil returned to club training in the middle of August after participating in Germany 's 2014 FIFA World Cup win in Brazil . On 23 August , Özil made his first appearance of the season in the 2 -- 2 draw with Everton at Goodison Park . On 27 August , he played a part in Alexis Sánchez 's winning goal in the second leg of the Champions League qualification play - off against Beşiktaş , playing a one - two with Jack Wilshere in the build - up to the goal . On 20 September , Özil opened the scoring and assisted Danny Welbeck in a 3 -- 0 victory against Aston Villa at Villa Park . Özil featured in the three following games and started in Arsenal 's Champions League group stage victory against Galatasaray , providing an assist for Alexis Sánchez in a 4 -- 1 win . On 8 October , the DFB declared that Özil would be sidelined for between 10 and 12 weeks with a left knee injury obtained during a 2 -- 0 defeat at Chelsea three days prior to the international break . The prognosis would rule him out of the remainder of Arsenal 's Champions League group matches , as well as four international fixtures .   On 11 January 2015 , Özil made his first appearance in three months as a 73rd - minute substitute in a 3 -- 0 win against Stoke City . He scored on his return to the starting line - up in Arsenal 's 3 -- 2 win at Brighton &amp; Hove Albion in the fourth round of the FA Cup on 25 January , latching onto a pass from Tomáš Rosický before scoring Arsenal 's second goal . In his first Premier League start of the year , Özil scored once and provided an assist for Olivier Giroud as Arsenal beat Aston Villa 5 -- 0 at home on 1 February . The following week , Özil scored the opening goal in the Gunners ' 2 -- 1 North London derby defeat to Tottenham at White Hart Lane . On 4 April , he scored the second goal for his team in a 4 -- 1 win over Liverpool . After a 3 -- 1 win over Hull , manager Arsène Wenger praised him by saying , `` Overall his influence was very strong . ''   Özil followed up his fine form with two assists for Alexis Sánchez in a 2 -- 1 win against Reading in the 2014 -- 15 FA Cup semi-final on 18 April . Özil started in the 2015 FA Cup Final as Arsenal beat Aston Villa in a commanding 4 -- 0 victory on 30 May , concluding his second season at Arsenal with 5 goals and 7 assists in 31 appearances across all competitions .  2015 -- 16 season Özil playing for Arsenal in 2015  After scoring during a pre-season game against Lyon , Özil received praise from his manager , with Wenger calling for him to have his best season yet in Arsenal colours . On 2 August 2015 , Özil started for Arsenal in the 2015 FA Community Shield , where the Gunners beat league champions Chelsea 1 -- 0 at Wembley Stadium . A week later , he made his first appearance of the Premier League season in Arsenal 's 2 -- 0 opening day defeat to West Ham United .   Özil scored his first goal of the 2015 -- 16 season in a 3 -- 0 home victory over Manchester United on 4 October . He had earlier assisted Alexis Sánchez to give the Gunners the lead in the sixth minute of the match . Özil was named man of the match in a 3 -- 0 win at Watford 's Vicarage Road on 17 October , supplying assists for Sánchez and Olivier Giroud . On 20 October , Özil scored his first Champions League goal of the season in Arsenal 's 2 -- 0 group stage home win over Bayern Munich .   He set a new Premier League record being the first player to assist in six consecutive matches when setting up Kieran Gibbs ' for 1 -- 1 in the derby versus Tottenham on 8 November 2015 . He then extended that run to seven straight games with an assist against West Bromwich Albion , before scoring his second Champions League goal of the season in a three - goal victory at home to Dinamo Zagreb . He then scored for the second game in a row when he clipped in the opener in a 1 -- 1 draw at Norwich . Özil continued his run of good form by providing four assists in the next three games , against Aston Villa , Manchester City and Sunderland , helping his team win all three matches . On 28 December 2015 , Özil assisted the first goal and scored the second in a 2 -- 0 win against AFC Bournemouth , creating nine scoring chances in total -- the most in a single Premier League game by any player during the season .   On 24 January 2016 , Özil played his 100th game for the Gunners in a 1 -- 0 home defeat against Chelsea in the Premier League . The next Premier League game against Southampton at home on 2 February saw Özil creating 10 chances -- beating the previous record , 9 created and held by him during the season . This proved in vain , however , as the match ended 0 -- 0 with the Gunners slumping into fourth as they failed to score in three consecutive Premier League games . He then ended the Gunners ' barren goal - scoring run in the Premier League with the opener against AFC Bournemouth in a 2 -- 0 away win on 7 February . Özil delivered his 17th assist in the Premier League from a free kick for Danny Welbeck to head in the winner deep into stoppage time as Arsenal came from behind to beat league leaders Leicester City 2 -- 1 on 14 February .   After a 2 -- 0 home defeat to Barcelona in the Champions League , Özil scored and assisted in a 3 -- 2 defeat at Old Trafford to Manchester United as the Gunners lost further ground in the title race . Özil started in the 2 -- 1 Watford in the FA Cup , where he set up Danny Welbeck for Arsenal 's consolation goal with a backheel assist , and three days later in a 3 -- 1 defeat to Barcelona in the Champions League as Arsenal crashed out in successive cup competitions in March .   Özil assisted Olivier Giroud 's second goal in Arsenal 's last Premier League match of the season against Aston Villa in a 4 -- 0 home victory as the Gunners finished second ahead of fierce rivals , Tottenham Hotspur . That was Özil 's 19th assist of the season in the league , a record only beaten by Thierry Henry with 20 in 2002 -- 03 in Premier League history . Özil ended his third season at Arsenal with 8 goals and 20 assists in all club competitions , which won him the Arsenal Player of the Season award .  2016 -- 17 season  Özil missed Arsenal 's opening day defeat to Liverpool , after his excursions at UEFA Euro 2016 meant he was not match - fit . However , he started his first game of the new season for his club in a 1 -- 3 away win at Watford , in which he scored his first goal of the campaign , heading in an Alexis Sánchez cross to score Arsenal 's third of the afternoon . On 19 October 2016 in a Champions League game against Ludogorets Razgrad , Özil assisted Theo Walcott and scored his first professional career hat - trick after volleying in a cross from Lucas as Arsenal went on to win 6 -- 0 .  2017 -- 18 season  On 31 January 2018 , Özil signed a contract extension with Arsenal which will keep him with the club until 2021 . His salary under the contract more than doubled , to £ 350,000 per week , making him the highest - paid player to date for Arsenal .   International career  Özil playing for Germany in 2009  Eligible to play for either Germany or Turkey , Özil chose to play for his country of birth . In September 2006 , he was called up for the Germany under - 17 team . He was a member of the German under - 21 team from 2007 . On 29 June 2009 , Özil was selected the man of the match in a 4 -- 0 win over England during the U-21 European Championship final .   He made his debut for the senior side during a friendly match against Norway on 11 February 2009 . He scored his first goal for the senior team in his third appearance , another friendly , against South Africa on 5 September in Leverkusen at the BayArena .   2010 FIFA World Cup   Özil was selected for Germany 's squad for the 2010 FIFA World Cup in South Africa , starting in all of the team 's matches . Özil provided an assist for Cacau 's goal to the 4 -- 0 final score against Australia in Germany 's first group game . He scored a left - footed half - volley from the edge of the penalty area against Ghana in the final group game , ensuring Germany progressed to the second round as group winners .   On 27 June 2010 , Özil played in Germany 's win over England in the last 16 match , setting up the fourth goal with a cross to Thomas Müller as Germany triumphed 4 -- 1 . During the quarter - final match against Argentina , he assisted the second goal for Miroslav Klose with a cross to ensure the 4 -- 0 final score for the Germans . FIFA announced that he was among the ten tournament players nominated for the Golden Ball .   UEFA Euro 2012  Özil lining up for Germany with Mario Götze ( left ) and Jérôme Boateng ( in the middle ) prior to a match in 2011 .  Özil was one of the leading forces in Germany 's qualification for UEFA Euro 2012 , scoring five times during the campaign as Germany won all ten of its games to top their group . Özil also confirmed his reputation as a decisive passer , as he provided seven assists , more than any European international during Euro 2012 qualification . When asked about his country 's chances at Euro 2012 , Özil simply replied , `` We have the potential to beat anyone and we have what it takes to win the title . ''   On 29 February 2012 , Özil was recognised as Germany 's best international of the year for 2011 prior to kick - off at a friendly against France in Bremen . Özil 's Germany were drawn with the Netherlands , Denmark and Portugal into Group B at Euro 2012 , widely touted as the `` Group of Death . ''   Özil registered two assists , created nine chances , and claimed the Man of the Match award in Germany 's 4 -- 2 quarter - final win over Greece . He then scored Germany 's only goal ( a penalty ) in their 2 -- 1 loss to Italy in the semi-finals . His performance at Euro 2012 earned him two Carlsberg Man of the Match Awards . He finished the tournament as the joint - highest assist provider ( 3 ) and was named in the UEFA Euro Team of the Tournament .   2014 FIFA World Cup   Özil ended the 2014 FIFA World Cup qualification campaign as Germany 's top scorer with eight goals .  Özil holding the FIFA World Cup Trophy after the 2014 Final  Following an injury to Marco Reus in a warm - up game , Özil was moved from his customary number 10 role into the left - winger position for the majority of the tournament . He started all seven of Germany 's 2014 FIFA World Cup games , and helped Germany make history by becoming the first European team to win the World Cup in South America . Özil scored the decisive goal in the 119th minute of Germany 's 2 -- 1 round of 16 victory over Algeria , a match widely praised as one of the most entertaining of the tournament . Özil then provided an assist for Sami Khedira in Germany 's 7 -- 1 semi-final win over Brazil . The goal Özil assisted , with a clever pass , made the score 5 -- 0 to Germany after just 29 minutes . The shocking nature of the 5 - goal flurry generated worldwide astonishment .   In the final , Özil played 120 minutes before being replaced by Arsenal teammate Per Mertesacker . Germany were crowned World Champions with a 1 -- 0 win . After the trophy was presented to the Germany team , UEFA President Michel Platini asked Özil for his match shirt as a souvenir , and Özil obliged .   Özil led the tournament in passes completed in the final - third ( 171 ) , was ranked joint - second in chances created ( 17 ) , behind only Lionel Messi ( 23 ) , and ranked second overall in possessions won in the final - third ( 6 ) .   UEFA Euro 2016   On 12 June 2016 , Özil completed the full 90 minutes of Germany 's opening Euro 2016 match against Ukraine which Germany won 2 -- 0 . He assisted Bastian Schweinsteiger 's goal in the 92nd minute . On 21 June 2016 , Özil completed 99 % of his passes , created six chances and claimed the Man of the Match award in Germany 's win over Northern Ireland . Five days later , Özil started in Germany 's 3 -- 0 round of 16 win over Slovakia . In the 13th minute of the match , he had a penalty effort saved by goalkeeper Matúš Kozáčik . On 2 July 2016 , Özil scored the leading goal against Italy in the quarter - finals to give Germany a 1 -- 0 advantage , before Italy later equalised through Leonardo Bonucci 's penalty . Germany , however , emerged as the victorious side after winning the penalty shoot - out 6 -- 5 , despite Özil failing to convert his penalty kick after hitting the goal post .   Style of play  Özil with Real Madrid in 2011  A quick , creative and technical player , Özil excels in an advanced playmaking role , as a w</t>
  </si>
  <si>
    <t xml:space="preserve">how many assist does ozil have in his career</t>
  </si>
  <si>
    <t xml:space="preserve"> Özil plays mostly as an attacking midfielder , but can also be deployed as a winger . He began his senior career as a member of his hometown club Schalke 04 in the Bundesliga , departing two seasons later to join Werder Bremen for € 5 million . He garnered break - out attention at the 2010 FIFA World Cup , where at age 22 , Özil was instrumental in the side 's campaign where they reached the semi-finals , losing to eventual champions Spain . He was also nominated for the Golden Ball Award , as well as being ranked first in assists in major European and domestic competitions with 25 . This garnered him a € 15 million transfer to La Liga club Real Madrid . </t>
  </si>
  <si>
    <t xml:space="preserve">George VI - wikipedia  George VI  For other uses , see George VI ( disambiguation ) .      George VI     Formal photo portrait , circa 1940 -- 1946     King of the United Kingdom and the British Dominions ( more ... )     Reign   11 December 1936 -- 6 February 1952     Coronation   12 May 1937     Predecessor   Edward VIII     Successor   Elizabeth II     Prime Ministers   See list     Emperor of India     Reign   11 December 1936 -- 15 August 1947     Predecessor   Edward VIII           ( 1895 - 12 - 14 ) 14 December 1895 York Cottage , Sandringham House , Norfolk , United Kingdom       6 February 1952 ( 1952 - 02 - 06 ) ( aged 56 ) Sandringham House , Norfolk , United Kingdom     Burial   15 February 1952 St George 's Chapel , Windsor Castle     Spouse   Elizabeth Bowes - Lyon ( m . 1923 )     Issue Detail     Elizabeth II   Princess Margaret , Countess of Snowdon          Full name     Albert Frederick Arthur George        House   Windsor ( from 1917 ) Saxe - Coburg and Gotha ( until 1917 )     Father   George V     Mother   Mary of Teck     Signature       Military career     Allegiance   United Kingdom     Service / branch   Royal Navy Royal Air Force     Years of service   1909 -- 1919 ( active service )     Battles / wars   Battle of Jutland     Awards   Mentioned in dispatches         George VI ( Albert Frederick Arthur George ; 14 December 1895 -- 6 February 1952 ) was King of the United Kingdom and the Dominions of the British Commonwealth from 11 December 1936 until his death in 1952 . He was the last Emperor of India and the first Head of the Commonwealth .   Known publicly as Albert until his accession , and `` Bertie '' among his family and close friends , George VI was born in the reign of his great - grandmother Queen Victoria , and was named after his great - grandfather Albert , Prince Consort . As the second son of King George V , he was not expected to inherit the throne and spent his early life in the shadow of his elder brother , Edward . He attended naval college as a teenager , and served in the Royal Navy and Royal Air Force during the First World War . In 1920 , he was made Duke of York . He married Lady Elizabeth Bowes - Lyon in 1923 and they had two daughters , Elizabeth and Margaret . In the mid-1920s , he had speech therapy for a stammer , which he never fully overcame .   George 's elder brother ascended the throne as Edward VIII upon the death of their father in 1936 . However , later that year Edward revealed his desire to marry divorced American socialite Wallis Simpson . British Prime Minister Stanley Baldwin advised Edward that for political and religious reasons he could not marry a divorced woman and remain king . Edward abdicated to marry Simpson , and George ascended the throne as the third monarch of the House of Windsor .   During George 's reign , the break - up of the British Empire and its transition into the Commonwealth of Nations accelerated . The parliament of the Irish Free State removed direct mention of the monarch from the country 's constitution on the day of his accession . The following year , a new Irish constitution changed the name of the state to Ireland and established the office of President . From 1939 , the Empire and Commonwealth -- except Ireland -- was at war with Nazi Germany . War with Italy and Japan followed in 1940 and 1941 , respectively . Though Britain and its allies were ultimately victorious in 1945 , the United States and the Soviet Union rose as pre-eminent world powers and the British Empire declined . After the independence of India and Pakistan in 1947 , George remained king of both countries , but relinquished the title of Emperor of India in June 1948 . Ireland formally declared itself a republic and left the Commonwealth in 1949 , and India became a republic within the Commonwealth the following year . George adopted the new title of Head of the Commonwealth . He was beset by smoking - related health problems in the later years of his reign . He was succeeded by his elder daughter , Elizabeth II .   Contents    1 Early life   2 Military career and education   3 Marriage   4 Reluctant king   5 Early reign   6 Second World War   7 Empire to Commonwealth   8 Illness and death   9 Legacy   10 Titles , styles , honours and arms   10.1 Titles and styles   10.2 Arms     11 Issue   12 Ancestry   13 Notes   14 References   14.1 Bibliography     15 External links    Early life ( edit )  Four kings : Edward VII ( far right ) , his son George , Prince of Wales , later George V ( far left ) , and grandsons Edward , later Edward VIII ( rear ) , and Albert , later George VI ( foreground ) , c. 1908  George was born at York Cottage , on the Sandringham Estate in Norfolk , during the reign of his great - grandmother Queen Victoria . His father was Prince George , Duke of York ( later King George V ) , the second and eldest - surviving son of the Prince and Princess of Wales ( later King Edward VII and Queen Alexandra ) . His mother was the Duchess of York ( later Queen Mary ) , the eldest child and only daughter of the Duke and Duchess of Teck .   His birthday ( 14 December 1895 ) was the 34th anniversary of the death of his great - grandfather , Albert , Prince Consort . Uncertain of how the Prince Consort 's widow , Queen Victoria , would take the news of the birth , the Prince of Wales wrote to the Duke of York that the Queen had been `` rather distressed '' . Two days later , he wrote again : `` I really think it would gratify her if you yourself proposed the name Albert to her '' . Queen Victoria was mollified by the proposal to name the new baby Albert , and wrote to the Duchess of York : `` I am all impatience to see the new one , born on such a sad day but rather more dear to me , especially as he will be called by that dear name which is a byword for all that is great and good '' . Consequently , he was baptised `` Albert Frederick Arthur George '' at St. Mary Magdalene 's Church near Sandringham three months later . Within the family , he was known informally as `` Bertie '' . His maternal grandmother , the Duchess of Teck , did not like the first name the baby had been given , and she wrote prophetically that she hoped the last name `` may supplant the less favoured one '' . Albert was fourth in line to the throne at birth , after his grandfather , father and elder brother , Edward .   He often suffered from ill health and was described as `` easily frightened and somewhat prone to tears '' . His parents were generally removed from their children 's day - to - day upbringing , as was the norm in aristocratic families of that era . He had a stammer that lasted for many years . Although naturally left - handed , he was forced to write with his right hand , as was common practice at the time . He suffered from chronic stomach problems as well as knock knees , for which he was forced to wear painful corrective splints .   Queen Victoria died on 22 January 1901 , and the Prince of Wales succeeded her as King Edward VII . Prince Albert moved up to third in line to the throne , after his father and elder brother .   Military career and education ( edit )   From 1909 , Albert attended the Royal Naval College , Osborne , as a naval cadet . In 1911 he came bottom of the class in the final examination , but despite this he progressed to the Royal Naval College , Dartmouth . When his grandfather , Edward VII , died in 1910 , Albert 's father became King George V. Edward became Prince of Wales , with Albert second in line to the throne .   Albert spent the first six months of 1913 on the training ship HMS Cumberland in the West Indies and on the east coast of Canada . He was rated as a midshipman aboard HMS Collingwood on 15 September 1913 , and spent three months in the Mediterranean . His fellow officers gave him the nickname `` Mr. Johnson '' . The First World War broke out a year after his commission . He was mentioned in despatches for his action as a turret officer aboard Collingwood in the Battle of Jutland ( 31 May -- 1 June 1916 ) , an indecisive engagement with the German navy that was the largest naval action of the war . He did not see further combat , largely because of ill health caused by a duodenal ulcer , for which he had an operation in November 1917 .  Albert at an RAF dinner in 1919  In February 1918 he was appointed Officer in Charge of Boys at the Royal Naval Air Service 's training establishment at Cranwell . With the establishment of the Royal Air Force two months later and the reassignment of Cranwell from Admiralty to Air Ministry responsibility , Albert transferred from the Royal Navy to the Royal Air Force . He served as Officer Commanding Number 4 Squadron of the Boys ' Wing at Cranwell until August 1918 , before reporting to the RAF 's Cadet School at St Leonards - on - Sea . He completed a fortnight 's training and took command of a squadron on the Cadet Wing . He was the first member of the British royal family to be certified as a fully qualified pilot .   Albert wanted to serve on the Continent while the war was still in progress and welcomed a posting to General Trenchard 's staff in France . On 23 October he flew across the Channel to Autigny . For the closing weeks of the war , he served on the staff of the RAF 's Independent Air Force at its headquarters in Nancy , France . Following the disbanding of the Independent Air Force in November 1918 he remained on the Continent for two months as an RAF staff officer until posted back to Britain . He accompanied the Belgian monarch King Albert I on his triumphal reentry into Brussels on 22 November . Prince Albert qualified as an RAF pilot on 31 July 1919 and was promoted to squadron leader the following day .   In October 1919 Albert went up to Trinity College , Cambridge , where he studied history , economics and civics for a year , with the historian R.V. Laurence as his `` official mentor '' . On 4 June 1920 his father created him Duke of York , Earl of Inverness and Baron Killarney . He began to take on more royal duties . He represented his father , and toured coal mines , factories , and railyards . Through such visits he acquired the nickname of the `` Industrial Prince '' . His stammer , and his embarrassment over it , together with his tendency to shyness , caused him to appear much less impressive than his older brother , Edward . However , he was physically active and enjoyed playing tennis . He played at Wimbledon in the Men 's Doubles with Louis Greig in 1926 , losing in the first round . He developed an interest in working conditions , and was President of the Industrial Welfare Society . His series of annual summer camps for boys between 1921 and 1939 brought together boys from different social backgrounds .   Marriage ( edit )  See also : Wedding of Prince Albert , Duke of York , and Lady Elizabeth Bowes - Lyon  In a time when royalty were expected to marry fellow royalty , it was unusual that Albert had a great deal of freedom in choosing a prospective wife . An infatuation with the already - married Australian socialite Sheila , Lady Loughborough , came to an end in April 1920 when the King , with the promise of the dukedom of York , persuaded Albert to stop seeing her . That year , he met for the first time since childhood Lady Elizabeth Bowes - Lyon , the youngest daughter of the Earl and Countess of Strathmore and Kinghorne . He became determined to marry her . She rejected his proposal twice , in 1921 and 1922 , reportedly because she was reluctant to make the sacrifices necessary to become a member of the royal family . In the words of Lady Elizabeth 's mother , Albert would be `` made or marred '' by his choice of wife . After a protracted courtship , Elizabeth agreed to marry him .   They were married on 26 April 1923 in Westminster Abbey . Albert 's marriage to someone not of royal birth was considered a modernising gesture . The newly formed British Broadcasting Company wished to record and broadcast the event on radio , but the Abbey Chapter vetoed the idea ( although the Dean , Herbert Edward Ryle , was in favour ) .  The Duke and Duchess ( centre , reading programmes ) at Eagle Farm Racecourse , Brisbane , 1927  From December 1924 to April 1925 , the Duke and Duchess toured Kenya , Uganda , and the Sudan , travelling via the Suez Canal and Aden . During the trip , they both went big game hunting .   Because of his stammer , Albert dreaded public speaking . After his closing speech at the British Empire Exhibition at Wembley on 31 October 1925 , one which was an ordeal for both him and his listeners , he began to see Lionel Logue , an Australian - born speech therapist . The Duke and Logue practised breathing exercises , and the Duchess rehearsed with him patiently . Subsequently , he was able to speak with less hesitation . With his delivery improved , the Duke opened the new Parliament House in Canberra , Australia , during a tour of the empire in 1927 . His journey by sea to Australia , New Zealand and Fiji took him via Jamaica , where Albert played doubles tennis partnered with a black man , Bertrand Clark , which was unusual at the time and taken locally as a display of equality between races .   The Duke and Duchess of York had two children : Elizabeth ( called `` Lilibet '' by the family ) who was born in 1926 , and Margaret who was born in 1930 . The Duke and Duchess and their two daughters lived a relatively sheltered life at their London residence , 145 Piccadilly . They were a close and loving family . One of the few stirs arose when the Canadian Prime Minister , R.B. Bennett , considered the Duke for Governor General of Canada in 1931 -- a proposal that King George V rejected on the advice of the Secretary of State for Dominion Affairs , J.H. Thomas .   Reluctant King ( edit )  George VI holds the Sceptre with the Cross , containing the 530 - carat Cullinan I Diamond . The Imperial State Crown is on the right . Portrait by Sir Gerald Kelly . Main article : Edward VIII abdication crisis  King George V had severe reservations about Prince Edward , saying `` After I am dead , the boy will ruin himself in twelve months '' and `` I pray God that my eldest son will never marry and that nothing will come between Bertie and Lilibet and the throne . '' On 20 January 1936 , George V died and Edward ascended the throne as King Edward VIII . In the Vigil of the Princes , Prince Albert and his three brothers took a shift standing guard over their father 's body as it lay in state , in a closed casket , in Westminster Hall .   As Edward was unmarried and had no children , Albert was the heir presumptive to the throne . Less than a year later , on 11 December 1936 , Edward abdicated in order to marry his mistress , Wallis Simpson , who was divorced from her first husband and divorcing her second . Edward had been advised by British Prime Minister Stanley Baldwin that he could not remain king and marry a divorced woman with two living ex-husbands . Edward chose abdication in preference to abandoning his marriage plans . Thus Albert became king , a position he was reluctant to accept . The day before the abdication , he went to London to see his mother , Queen Mary . He wrote in his diary , `` When I told her what had happened , I broke down and sobbed like a child . ''   On the day of the abdication , the Oireachtas , the parliament of the Irish Free State , removed all direct mention of the monarch from the Irish constitution . The next day , it passed the External Relations Act , which gave the monarch limited authority ( strictly on the advice of the government ) to appoint diplomatic representatives for Ireland and to be involved in the making of foreign treaties . The two acts made the Irish Free State a republic in essence without removing its links to the Commonwealth .   Courtier and journalist Dermot Morrah alleged that there was brief speculation as to the desirability of bypassing Albert ( and his children ) and his brother , Prince Henry , Duke of Gloucester , in favour of their younger brother Prince George , Duke of Kent . This seems to have been suggested on the grounds that Prince George was at that time the only brother with a son .   Early reign ( edit )  Darlington Town Hall decorated for the coronation , 1937  Albert assumed the regnal name `` George VI '' to emphasise continuity with his father and restore confidence in the monarchy . The beginning of George VI 's reign was taken up by questions surrounding his predecessor and brother , whose titles , style and position were uncertain . He had been introduced as `` His Royal Highness Prince Edward '' for the abdication broadcast , but George VI felt that by abdicating and renouncing the succession , Edward had lost the right to bear royal titles , including `` Royal Highness '' . In settling the issue , George 's first act as king was to confer upon his brother the title `` Duke of Windsor '' with the style `` Royal Highness '' , but the letters patent creating the dukedom prevented any wife or children from bearing royal styles . George VI was forced to buy from Edward the royal residences of Balmoral Castle and Sandringham House , as these were private properties and did not pass to George VI automatically . Three days after his accession , on his 41st birthday , he invested his wife , the new queen consort , with the Order of the Garter .   George VI 's coronation at Westminster Abbey took place on 12 May 1937 , the date previously intended for Edward 's coronation . In a break with tradition , Queen Mary attended the ceremony in a show of support for her son . There was no Durbar held in Delhi for George VI , as had occurred for his father , as the cost would have been a burden to the government of India . Rising Indian nationalism made the welcome that the royal party would have received likely to be muted at best , and a prolonged absence from Britain would have been undesirable in the tense period before the Second World War . Two overseas tours were undertaken , to France and to North America , both of which promised greater strategic advantages in the event of war .   The growing likelihood of war in Europe dominated the early reign of George VI . The King was constitutionally bound to support Prime Minister Neville Chamberlain 's appeasement of Hitler . However , when the King and Queen greeted Chamberlain on his return from negotiating the Munich Agreement in 1938 , they invited him to appear on the balcony of Buckingham Palace with them . This public association of the monarchy with a politician was exceptional , as balcony appearances were traditionally restricted to the royal family . While broadly popular among the general public , Chamberlain 's policy towards Hitler was the subject of some opposition in the House of Commons , which led historian John Grigg to describe the King 's behaviour in associating himself so prominently with a politician as `` the most unconstitutional act by a British sovereign in the present century '' .  Franklin and Eleanor Roosevelt with King George VI and Queen Elizabeth , on the USS Potomac , 9 June 1939  In May and June 1939 , the King and Queen toured Canada and the United States . From Ottawa , they were accompanied throughout by Canadian Prime Minister William Lyon Mackenzie King , to present themselves in North America as King and Queen of Canada . George was the first reigning monarch of Canada to visit North America , although he had been to Canada previously as Prince Albert and as Duke of York . Both Governor General of Canada Lord Tweedsmuir and Mackenzie King hoped that the King 's presence in Canada would demonstrate the principles of the Statute of Westminster 1931 , which gave full sovereignty to the British Dominions . On 19 May , George VI personally accepted and approved the Letter of Credence of the new U.S. Ambassador to Canada , Daniel Calhoun Roper ; gave Royal Assent to nine parliamentary bills ; and ratified two international treaties with the Great Seal of Canada . The official royal tour historian , Gustave Lanctot , wrote `` the Statute of Westminster had assumed full reality '' and George gave a speech emphasising `` the free and equal association of the nations of the Commonwealth '' .   The trip was intended to soften the strong isolationist tendencies among the North American public with regard to the developing tensions in Europe . Although the aim of the tour was mainly political , to shore up Atlantic support for the United Kingdom in any future war , the King and Queen were enthusiastically received by the public . The fear that George would be compared unfavourably to his predecessor , Edward VIII , was dispelled . They visited the 1939 New York World 's Fair and stayed with President Franklin D. Roosevelt at the White House and at his private estate at Hyde Park , New York . A strong bond of friendship was forged between the King and Queen and the President during the tour , which had major significance in the relations between the United States and the United Kingdom through the ensuing war years .   Second World war ( edit )   In September 1939 , Britain and the self - governing Dominions other than Ireland declared war on Nazi Germany . George VI and his wife resolved to stay in London , despite German bombing raids . They officially stayed in Buckingham Palace throughout the war , although they usually spent nights at Windsor Castle . The first night of the Blitz on London , on 7 September 1940 , killed about one thousand civilians , mostly in the East End . On 13 September , the King and Queen narrowly avoided death when two German bombs exploded in a courtyard at Buckingham Palace while they were there . In defiance , the Queen famously declared : `` I am glad we have been bombed . It makes me feel we can look the East End in the face . '' The royal family were portrayed as sharing the same dangers and deprivations as the rest of the country . They were subject to rationing restrictions , and U.S. First Lady Eleanor Roosevelt remarked on the rationed food served and the limited bathwater that was permitted during a stay at the unheated and boarded - up Palace . In August 1942 , the King 's brother , Prince George , Duke of Kent , was killed on active service .  George VI ( left ) with Field Marshal Sir Bernard Montgomery ( right ) , Holland , October 1944  In 1940 , Winston Churchill replaced Neville Chamberlain as Prime Minister , though personally George would have preferred to appoint Lord Halifax . After the King 's initial dismay over Churchill 's appointment of Lord Beaverbrook to the Cabinet , he and Churchill developed `` the closest personal relationship in modern British history between a monarch and a Prime Minister '' . Every Tuesday for four and a half years from September 1940 , the two men met privately for lunch to discuss the war in secret and with frankness .   Throughout the war , the King and Queen provided morale - boosting visits throughout the United Kingdom , visiting bomb sites , munitions factories , and troops . The King visited military forces abroad in France in December 1939 , North Africa and Malta in June 1943 , Normandy in June 1944 , southern Italy in July 1944 , and the Low Countries in October 1944 . Their high public profile and apparently indefatigable determination secured their place as symbols of national resistance . At a social function in 1944 , the Chief of the Imperial General Staff , Field Marshal Sir Alan Brooke , revealed that every time he met Field Marshal Sir Bernard Montgomery , he thought Montgomery was after his job . The King replied : `` You should worry , when I meet him , I always think he 's after mine ! ''   In 1945 , crowds shouted `` We want the King ! '' in front of Buckingham Palace during the Victory in Europe Day celebrations . In an echo of Chamberlain 's appearance , the King invited Churchill to appear with the royal family on the balcony to public acclaim .   In January 1946 , George addressed the United Nations at their first assembly , which was held in London , and reaffirmed `` our faith in the equal rights of men and women and of nations great and small '' .   Empire to Commonwealth ( edit )  George VI ( right ) with British prime minister Clement Attlee , July 1945  George VI 's reign saw the acceleration of the dissolution of the British Empire . The Statute of Westminster 1931 had already acknowledged the evolution of the Dominions into separate sovereign states . The process of transformation from an empire to a voluntary association of independent states , known as the Commonwealth , gathered pace after the Second World War . During the ministry of Clement Attlee , British India became the two independent Dominions of India and Pakistan in 1947 . George relinquished the title of Emperor of India , and became King of India and King of Pakistan instead . In 1950 he ceased to be King of India when it became a republic within the Commonwealth of Nations and recognised his new title of Head of the Commonwealth ; he remained King of Pakistan until his death . Other countries left the Commonwealth , such as Burma in January 1948 , Palestine ( divided between Israel and the Arab states ) in May 1948 and the Republic of Ireland in 1949 .   In 1947 , the King and his family toured Southern Africa . The Prime Minister of the Union of South Africa , Jan Smuts , was facing an election and hoped to make political capital out of the visit . George was appalled , however , when instructed by the South African government to shake hands only with whites , and referred to his South African bodyguards as `` the Gestapo '' . Despite the tour , Smuts lost the election the following year , and the new government instituted a strict policy of racial segregation .   Illness and death ( edit )  King George VI Memorial Chapel , final resting place of the king  The stress of the war had taken its toll on the King 's health , made worse by his heavy smoking and subsequent development of lung cancer among other ailments , including arteriosclerosis and Buerger 's disease . A planned tour of Australia and New Zealand was postponed after the King suffered an arterial blockage in his right leg , which threatened the loss of the leg and was treated with a right lumbar sympathectomy in March 1949 .   His elder daughter Elizabeth , the heir presumptive , took on more royal duties as her father 's health deteriorated . The delayed tour was re-organised , with Elizabeth and her husband , the Duke of Edinburgh , taking the place of the King and Queen . The King was well enough to open the Festival of Britain in May 1951 , but on 23 September 1951 , his left lung was removed by Clement Price Thomas after a malignant tumour was found . In October 1951 , Princess Elizabeth and the Duke of Edinburgh went on a month - long tour of Canada ; the trip had been delayed for a week due to the King 's illness . At the State Opening of Parliament in November , the King 's speech from the throne was read for him by the Lord Chancellor , Lord Simonds . His Christmas broadcast of 1951 was recorded in sections , and then edited together .   On 31 January 1952 , despite advice from those close to him , the King went to London Airport to see off Princess Elizabeth , who was going on her tour of Australia via Kenya . On the morning of 6 February at 07 : 30 GMT , George VI was found dead in bed at Sandringham House in Norfolk . He had died from a coronary thrombosis in his sleep at the age of 56 . His daughter flew back to Britain from Kenya as Queen Elizabeth II .   From 9 February for two days his coffin rested in St. Mary Magdalene Church , Sandringham , before lying in state at Westminster Hall from 11 February . His funeral took place at St. George 's Chapel , Windsor Castle , on the 15th . He was interred initially in the Royal Vault until he was transferred to the King George VI Memorial Chapel inside St. George 's on 26 March 1969 . In 2002 , fifty years after his death , the remains of his widow , Queen Elizabeth The Queen Mother , and the ashes of his younger daughter Princess Margaret , who both died that year , were interred in the chapel alongside him .   Legacy ( edit )  Statue of George VI at Carlton Gardens , London See also : Cultural depictions of King George VI  In the words of Labour Member of Parliament George Hardie , the abdication crisis of 1936 did `` more for republicanism than fifty years of propaganda '' . George VI wrote to his brother Edward that in the aftermath of the abdication he had reluctantly assumed `` a rocking throne '' and tried `` to make it steady again '' . He became king at a point when public faith in the monarchy was at a low ebb . During his reign his people endured the hardships of war , and imperial power was eroded . However , as a dutiful family man and by showing personal courage , he succeeded in restoring the popularity of the monarchy .   The George Cross and the George Medal were founded at the King 's suggestion during the Second World War to recognise acts of exceptional civilian bravery . He bestowed the George Cross on the entire `` island fortress of Malta '' in 1943 . He was posthumously awarded the Ordre de la Libération by the French government in 1960 , one of only two people ( the other being Churchill ) to be awarded the medal after 1946 .   A number of geographical features , roads , and institutions are named after George VI . These include King George Hospital in London ; King George VI Reservoir in Surrey , United Kingdom ; King George VI Highway and King George Boulevard in Surrey , British Columbia ; Kingsway in Edmonton ; George VI Sound in Antarctica ; and the King George VI Chase , a horse race in the United Kingdom .   Colin Firth won an Academy Award for Best Actor for his performance as George VI in The King 's Speech , a 2010 film that won the Academy Award for Best Picture .   Titles , styles , honours and arms ( edit )  Main article : List of titles and honours of King George VI  Titles and styles ( edit )  Royal cypher ( monogram ) , 1949   14 December 1895 -- 28 May 1898 : His Highness Prince Albert of York   28 May 1898 -- 22 January 1901 : His Royal Highness Prince Albert of York   22 January 1901 -- 9 November 1901 : His Royal Highness Prince Albert of Cornwall and York   9 November 1901 -- 6 May 1910 : His Royal Highness Prince Albert of Wales   6 May 1910 -- 4 June 1920 : His Royal Highness The Prince Albert   4 June 1920 -- 11 December 1936 : His Royal Highness The Duke of York   11 December 1936 -- 6 February 1952 : His Majesty The King   In British India , 11 December 1936 -- 14 August 1947 : His Imperial Majesty The King , Emperor of India      George held a number of titles throughout his life , as successively great - grandson , grandson and son of the monarch . As sovereign , he was referred to most often as simply The King or His Majesty . In his position as sovereign , George automatically held the position of Commander - in - Chief .   Arms ( edit )   As Duke of York , George bore the royal arms of the United Kingdom differenced with a label of three points argent , the centre point bearing an anchor azure -- a difference earlier awarded to his father , George V , when he was Duke of York , and then later awarded to his grandson Prince Andrew , Duke of York . As king , he bore the royal arms undifferenced .               Coat of arms as Duke of York   Coat of arms as King of the United Kingdom ( except Scotland )   Coat of arms in Scotland   Coat of arms in Canada     Issue ( edit )     Name   Birth   Death   Marriage Date Spouse   Children     Queen Elizabeth II   21 April 1926     20 November 1947   Prince Philip , Duke of Edinburgh   Prince Charles , Prince of Wales Princess Anne , Princess Royal Prince Andrew , Duke of York Prince Edward , Earl of Wessex     Princess Margaret   21 August 1930   9 February 2002   6 May 1960 Divorced 11 July 1978   Antony Armstrong - Jones , 1st Earl of Snowdon   David Armstrong - Jones , 2nd Earl of Snowdon Lady Sarah Chatto     Ancestry ( edit )     show Ancestry of George VI                          16 . Ernest I , Duke of Saxe - Coburg and Gotha                       8 . Prince Albert of Saxe - Coburg and Gotha                             17 . Princess Louise of Saxe - Gotha - Altenburg                       4 . Edward VII of the United Kingdom                                 18 . Prince Edward , Duke of Kent and Strathearn ( son of 28 )                       9 . Victoria , Queen of the United Kingdom                             19 . Princess Victoria of Saxe - Coburg - Saalfeld                       2 . George V of the United Kingdom        </t>
  </si>
  <si>
    <t xml:space="preserve">monarch at the end of world war 2</t>
  </si>
  <si>
    <t xml:space="preserve"> George VI ( Albert Frederick Arthur George ; 14 December 1895 -- 6 February 1952 ) was King of the United Kingdom and the Dominions of the British Commonwealth from 11 December 1936 until his death in 1952 . He was the last Emperor of India and the first Head of the Commonwealth . </t>
  </si>
  <si>
    <t xml:space="preserve">Waggoner mansion - Wikipedia  Waggoner mansion  Jump to : navigation , search        Waggoner Mansion     U.S. National Register of Historic Places     Recorded Texas Historic Landmark         Waggoner Mansion in 2013     Waggoner Mansion Waggoner Mansion Show map of Texas Show map of the US Show all     Location   1003 E. Main Decatur , Texas     Coordinates   33 ° 14 ′ 3 '' N 97 ° 34 ′ 37 '' W ﻿ / ﻿ 33.23417 ° N 97.57694 ° W ﻿ / 33.23417 ; - 97.57694 Coordinates : 33 ° 14 ′ 3 '' N 97 ° 34 ′ 37 '' W ﻿ / ﻿ 33.23417 ° N 97.57694 ° W ﻿ / 33.23417 ; - 97.57694     Area   9 acres ( 3.6 ha )     Built   1883 ( 1883 )     Architectural style   Late Victorian     NRHP reference #   74002098     RTHL #       Significant dates     Added to NRHP   May 1 , 1974     Designated RTHL   1962     The Waggoner Mansion ( a.k.a. El Castile ) is a historic mansion in Decatur , Texas . The sixteen room mansion was built in 1883 by the Waggoner Family . It was purchased in 1942 by Mr. and Mrs. Phil Luker .     Contents  ( hide )   1 Location   2 History   3 See also   4 References   5 External link      Location ( edit )   The mansion is located at 1003 East Main in Decatur , a town in Wise County , Texas . It spans thirteen and a half acres of land .   History ( edit )   The mansion was built in 1883 for Daniel Waggoner , owner of the Waggoner Ranch . It was designed in the Victorian architectural style . It comprises sixteen rooms and six bathrooms , with two bedrooms on the ground floor and four bedrooms on the first floor .   The house was inherited by Daniel Waggoner 's son , William Thomas Waggoner . In 1942 , it was purchased by Mrs and Mr Phil Luker .   It is listed on the National Register of Historic Places .   See also ( edit )    NRHP portal   Texas portal     National Register of Historic Places listings in Wise County , Texas   Recorded Texas Historic Landmarks in Wise County    References ( edit )    Jump up ^ National Park Service ( 2010 - 07 - 09 ) . `` National Register Information System '' . National Register of Historic Places . National Park Service .   ^ Jump up to : Wise County Historical Society : The Waggoner Mansion   ^ Jump up to : Bill Cannon , Treasury of Texas Trivia II , Taylor Trade Publishing , 18 Oct 1999 , pp. 170 - 171 ( 1 )   Jump up ^ Wise County , Texas : The Waggoner Mansion   Jump up ^ Gary Cartwright , Showdown at Waggoner Ranch , Texas Monthly , January 2004    External link ( edit )   Media related to Waggoner Mansion at Wikimedia Commons             National Register of Historic Places in Texas     Lists by county     Anderson   Andrews   Angelina   Aransas   Archer   Armstrong   Atascosa   Austin   Bailey   Bandera   Bastrop   Baylor   Bee   Bell   Bexar   Blanco   Borden   Bosque   Bowie   Brazoria   Brazos   Brewster   Briscoe   Brooks   Brown   Burleson   Burnet   Caldwell   Calhoun   Callahan   Cameron   Camp   Carson   Cass   Castro   Chambers   Cherokee   Childress   Clay   Cochran   Coke   Coleman   Collin   Collingsworth   Colorado   Comal   Comanche   Concho   Cooke   Coryell   Cottle   Crane   Crockett   Crosby   Culberson   Dallam   Dallas   Dawson   Deaf Smith   Delta   Denton   DeWitt   Dickens   Dimmit   Donley   Duval   Eastland   Ector   Edwards   El Paso   Ellis   Erath   Falls   Fannin   Fayette   Fisher   Floyd   Foard   Fort Bend   Franklin   Freestone   Frio   Gaines   Galveston   Garza   Gillespie   Glasscock   Goliad   Gonzales   Gray   Grayson   Gregg   Grimes   Guadalupe   Hale   Hall   Hamilton   Hansford   Hardeman   Hardin   Harris   Harrison   Hartley   Haskell   Hays   Hemphill   Henderson   Hidalgo   Hill   Hockley   Hood   Hopkins   Houston   Howard   Hudspeth   Hunt   Hutchinson   Irion   Jack   Jackson   Jasper   Jeff Davis   Jefferson   Jim Hogg   Jim Wells   Johnson   Jones   Karnes   Kaufman   Kendall   Kenedy   Kent   Kerr   Kimble   King   Kinney   Kleberg   Knox   La Salle   Lamar   Lamb   Lampasas   Lavaca   Lee   Leon   Liberty   Limestone   Lipscomb   Live Oak   Llano   Loving   Lubbock   Lynn   Madison   Marion   Martin   Mason   Matagorda   Maverick   McCulloch   McLennan   McMullen   Medina   Menard   Midland   Milam   Mills   Mitchell   Montague   Montgomery   Moore   Morris   Motley   Nacogdoches   Navarro   Newton   Nolan   Nueces   Ochiltree   Oldham   Orange   Palo Pinto   Panola   Parker   Parmer   Pecos   Polk   Potter   Presidio   Rains   Randall   Reagan   Real   Red River   Reeves   Refugio   Roberts   Robertson   Rockwall   Runnels   Rusk   Sabine   San Augustine   San Jacinto   San Patricio   San Saba   Schleicher   Scurry   Shackelford   Shelby   Sherman   Smith   Somervell   Starr   Stephens   Sterling   Stonewall   Sutton   Swisher   Tarrant   Taylor   Terrell   Terry   Throckmorton   Titus   Tom Green   Travis   Trinity   Tyler   Upshur   Upton   Uvalde   Val Verde   Van Zandt   Victoria   Walker   Waller   Ward   Washington   Webb   Wharton   Wheeler   Wichita   Wilbarger   Willacy   Williamson   Wilson   Winkler   Wise   Wood   Yoakum   Young   Zapata   Zavala         National Parks     Big Bend National Park   Guadalupe Mountains National Park       Other lists     Bridges   National Historic Landmarks   National Natural Landmarks   Recorded Texas Historic Landmarks         United States National Register of Historic Places listings   Keeper of the Register   History of the National Register of Historic Places   Property types   Historic district   Contributing property                 Municipalities and communities of Wise County , Texas , United States     County seat : Decatur     Cities     Aurora   Bridgeport   Chico   Decatur   Fort Worth ‡   Lake Bridgeport   New Fairview   Newark ‡   Paradise   Rhome   Runaway Bay   Springtown ‡         Towns     Alvord   Boyd       CDPs     Briar ‡   Pecan Acres ‡       Unincorporated communities     Balsora   Greenwood   Slidell   Boonsville   Cottondale       Ghost town     Rush Creek       Footnotes   ‡ This populated place also has portions in an adjacent county or counties           This article about a property in Texas on the National Register of Historic Places is a stub . You can help Wikipedia by expanding it .            Retrieved from `` https://en.wikipedia.org/w/index.php?title=Waggoner_Mansion&amp;oldid=817268258 '' Categories :   Houses on the National Register of Historic Places in Texas   Houses in Wise County , Texas   Houses completed in 1883   Victorian architecture in Texas   National Register of Historic Places in Wise County , Texas   Texas Registered Historic Place stubs                 Talk                                           Contents                   About Wikipedia                                                 Add links   This page was last edited on 27 December 2017 , at 08 : 03 .         About Wikipedia                    </t>
  </si>
  <si>
    <t xml:space="preserve">who owns the waggoner mansion in decatur tx</t>
  </si>
  <si>
    <t xml:space="preserve"> The Waggoner Mansion ( a.k.a. El Castile ) is a historic mansion in Decatur , Texas . The sixteen room mansion was built in 1883 by the Waggoner Family . It was purchased in 1942 by Mr. and Mrs. Phil Luker . </t>
  </si>
  <si>
    <t xml:space="preserve">Visa requirements for British citizens - wikipedia  Visa requirements for British citizens  Jump to : navigation , search A British citizen passport ( 2010 series )  Visa requirements for British citizens are administrative entry restrictions by the authorities of other states placed on citizens of the United Kingdom . As of 22 May 2018 , British citizens had visa - free or visa on arrival access to 186 countries and territories , ranking the British passport 4th in terms of travel freedom ( tied with Austrian , Dutch , Luxembourgish , Norwegian , Portuguese and the United States passports ) according to the Henley Passport Index . Additionally , the World Tourism Organization also published a report on 15 January 2016 ranking the British passport 1st in the world ( tied with Denmark , Finland , Germany , Italy , Luxembourg and Singapore ) in terms of travel freedom , with a mobility index of 160 ( out of 215 with no visa weighted by 1 , visa on arrival weighted by 0.7 , eVisa by 0.5 , and traditional visa weighted by 0 ) .   Visa requirements for other classes of British nationals such as British Nationals ( Overseas ) , British Overseas Citizens , British Overseas Territories Citizens , British Protected Persons or British Subjects are different .     Contents    1 History   2 Visa requirements map   3 Visa requirements   4 British Crown Dependencies and Overseas Territories   5 Territories and disputed areas   6 Non-ordinary passports   7 Non-visa restrictions   7.1 Passport validity length   7.2 Blank passport pages   7.3 Vaccination   7.4 Israeli stamps   7.5 Armenian ethnicity   7.6 Persona non grata   7.7 Fingerprinting   7.8 Criminal record     8 Right to consular protection in non-EU countries   9 Travel impact of Brexit   10 Fingerprinting   11 Foreign travel statistics   12 See also   13 References and Notes      History ( edit )   Visa requirements for British citizens were lifted by some European nations following World War II . The following list shows when countries abolished visa restrictions for British citizens : France ( 1 January 1947 ) , Belgium ( 15 February 1947 ) , Luxembourg ( 15 February 1947 ) , Norway ( 1 March 1947 ) , Denmark ( 22 March 1947 ) , Sweden ( 1 April 1947 ) , Netherlands ( 15 April 1947 ) , Switzerland ( 24 June 1947 ) , Liechtenstein ( 24 June 1947 ) , Iceland ( 1 July 1947 ) , Italy ( 1 January 1948 ) , Monaco ( 8 November 1948 ) , Austria ( 15 May 1955 ) , Paraguay ( 27 November 1966 ) , United States ( 1 July 1988 ) , Poland ( 1 July 1992 ) , Bulgaria ( March 1997 ) , Romania ( 1 January 2001 ) , Serbia and Montenegro ( 31 May 2003 ) , Ukraine ( 1 May 2005 ) , Georgia ( 1 June 2006 ) , Moldova ( 1 January 2007 ) , Kyrgyzstan ( 27 July 2012 ) , Armenia ( 10 January 2013 ) , Kazakhstan ( 15 July 2014 ) , Indonesia ( 13 June 2015 ) , Vietnam ( 1 July 2015 ) and Belarus ( 12 February 2017 ) .   Electronic visas for British citizens were introduced : India ( 15 August 2015 ) and Djibouti ( 18 February 2018 ) .   Visas on arrival were discontinued for British citizens by Mali ( March 2015 ) and Malawi ( 1 October 2015 ) .   Visa requirements map ( edit )  Visa requirements for British citizens United Kingdom Freedom of movement Visa not required Visa on arrival eVisa Visa available both on arrival or online Visa required prior to arrival  Visa requirements ( edit )     Country   Visa requirement   Allowed stay   Notes ( excluding departure fees )     Afghanistan   Visa required         Albania   Visa not required   90 days       Algeria   Visa required         Andorra   Visa not required         Angola   eVisa   30 days     Visitors who were granted online pre-visa are then issued with visa on arrival at Luanda International Airport .   For a maximum total stay of 90 days within year period .       Antigua and Barbuda   Visa not required   6 months       Argentina   Visa not required   90 days       Armenia   Visa not required   180 days       Australia   eVisitor   90 days     If granted , eVisitor allows British citizens to stay in Australia for 90 days per visit .   Issued free of charge and valid for one year .       Austria   EU ! Visa not required     Freedom of movement       Azerbaijan   eVisa   30 days       Bahamas   Visa not required   21 days     Extendable up to eight months .       Bahrain   eVisa / Visa on arrival   3 months     Visas can be issued on arrival for a stay up to 3 months .   eVisa issued for 14 days , extendable once .       Bangladesh   Visa on arrival   30 days     Visa on arrival available at Dhaka International Airport       Barbados   Visa not required   6 months       Belarus   Visa not required   5 days     Must arrive and leave via Minsk International Airport   Visas are also issued on arrival at the Minsk International Airport if the support documents were submitted by inviting organization / person not later than 3 business days before expected date of arrival . Visa and police registration required for stays of more than 5 days .       Belgium   EU ! Visa not required     Freedom of movement       Belize   Visa not required   30 days       Benin   eVisa / Visa on arrival   30 days / 8 days     Must have an international vaccination certificate .       Bhutan   Visa required       Visa via approved tour operators only       Bolivia   Visa not required   90 days       Bosnia and Herzegovina   Visa not required   90 days     90 days within any 6 month period .       Botswana   Visa not required   90 days       Brazil   Visa not required   90 days     Extendable for further 90 days       Brunei   Visa not required   90 days       Bulgaria   EU ! Visa not required     Freedom of movement       Burkina Faso   Visa on arrival   1 month       Burundi   Visa required         Cambodia   eVisa / Visa on arrival   30 days     Extendable for another 30 days .       Cameroon   Visa required       Pre-approved visa can be picked up on arrival .       Canada   Visa not required   6 months     eTA required if arriving by air .       Cape Verde   Visa on arrival         Central African Republic   Visa required         Chad   Visa required         Chile   Visa not required   90 days     May be extended .       China   Visa required       72 - hours visa free visit when in transit at , Changsha , Chengdu , Chongqing , Guangzhou , Guilin , Harbin , Kunming , Qingdao , Wuhan , Xi'an and Xiamen .   144 - hours visa free visit when in transit at Beijing ( Beijing Capital International Airport ) , Dalian , Hangzhou , Hebei ( Shijiazhuang Zhengding International Airport ) , Nanjing , Shanghai ( Hongqiao and Pudong international airports , Railway Station and port ) , Shenyang and Tianjin ( Tianjin Binhai International Airport )   Hong Kong , Macau , and Taiwan do count as third countries under the 72 and 144 - hours transit policy .     Visiting visas issued to British citizens are generally valid for 2 years       Colombia   Visa not required   90 days     Extendable up to 180 - days stay within a one - year period .       Comoros   Visa on arrival         Republic of the Congo   Visa required         Democratic Republic of the Congo   Visa required         Costa Rica   Visa not required   3 months       Côte d'Ivoire   eVisa   3 months     eVisa holders must arrive via Port Bouet Airport .       Croatia   EU ! Visa not required     Freedom of movement       Cuba   Visa required ! Tourist Card required         Cyprus   EU ! Visa not required     Freedom of movement       Czech Republic   EU ! Visa not required     Freedom of movement       Denmark   EU ! Visa not required     Freedom of movement ( DK )       Djibouti   eVisa   31 days       Dominica   Visa not required   6 months       Dominican Republic   Visa not required   30 days       Ecuador   Visa not required   90 days     May be extended .       Egypt   eVisa / Visa on arrival   30 days       El Salvador   Visa not required   3 months       Equatorial Guinea   Visa required         Eritrea   Visa required       Pre-approved visa can be picked up on arrival .       Estonia   EU ! Visa not required     Freedom of movement       Ethiopia   eVisa / Visa on arrival       Visa on arrival only at Addis Ababa Bole International Airport .       Fiji   Visa not required   4 months       Finland   EU ! Visa not required     Freedom of movement       France   EU ! Visa not required     Freedom of movement       Gabon   eVisa / Visa on arrival   90 days     eVisa holders must arrive via Libreville International Airport .       Gambia   Visa not required   90 days       Georgia   Visa not required   1 year       Germany   EU ! Visa not required     Freedom of movement       Ghana   Visa required       Pre-approved visa can be picked up on arrival .       Greece   EU ! Visa not required     Freedom of movement       Grenada   Visa not required   6 months       Guatemala   Visa not required   90 days       Guinea   Visa required         Guinea - Bissau   eVisa / Visa on arrival   90 days       Guyana   Visa not required   3 months       Haiti   Visa not required   90 days       Honduras   Visa not required   3 months       Hungary   EU ! Visa not required     Freedom of movement       Iceland   EU ! Visa not required     Freedom of movement       India   e-Visa   60 days     e-Visa holders must arrive via 25 designated airports or 3 designated seaports .   e-Tourist Visa can be obtained twice in a calendar year .       Indonesia   Visa not required   30 days     Not available at all entry points .       Iran   Visa required         Iraq   Visa required       Visa on arrival for 30 days at Erbil and Sulaymaniyah airports .       Ireland   EU ! Visa not required     Freedom of movement       Israel   Visa not required   3 months       Italy   EU ! Visa not required     Freedom of movement       Jamaica   Visa not required   180 days       Japan   Visa not required   90 days     May be extended once .       Jordan   Visa on arrival ! Free visa on arrival       Conditions apply       Kazakhstan   Visa not required   30 days       Kenya   eVisa / Visa on arrival   3 months     Can also be entered on an East Africa Tourist Visa issued by Rwanda or Uganda .       Kiribati   Visa not required   30 days       North Korea   Visa required         South Korea   Visa not required   90 days       Kuwait   eVisa / Visa on arrival   3 months       Kyrgyzstan   Visa not required   60 days       Laos   Visa on arrival   30 days       Latvia   EU ! Visa not required     Freedom of movement       Lebanon   Visa on arrival   1 month     Extendable for 2 additional months ; granted free of charge at Beirut International Airport or any other port of entry if there is no Israeli visa or seal , holding a telephone number , an address in Lebanon , and a non refundable return or circle trip ticket .       Lesotho   Visa not required   14 days       Liberia   Visa required       Pre-approved visa can be picked up on arrival .       Libya   Visa required       Pre-approved visa can be picked up on arrival .       Liechtenstein   EU ! Visa not required     Freedom of movement       Lithuania   EU ! Visa not required     Freedom of movement       Luxembourg   EU ! Visa not required     Freedom of movement       Macedonia   Visa not required   90 days       Madagascar   Visa on arrival   30 days       Malawi   Visa on arrival         Malaysia   Visa not required   3 months       Maldives   Visa on arrival ! Free visa on arrival   30 days       Mali   Visa required         Malta   EU ! Visa not required     Freedom of movement       Marshall Islands   Visa on arrival ! Free visa on arrival   90 days     Free of charge .       Mauritania   Visa on arrival       Available at Nouakchott -- Oumtounsy International Airport .       Mauritius   Visa not required   90 days       Mexico   Visa not required   180 days       Micronesia   Visa not required   30 days       Moldova   Visa not required   90 days     90 days within any 180 day period       Monaco   Visa not required         Mongolia   Visa required         Montenegro   Visa not required   90 days     Must register with the local police station ( either through a tourist organisation or at hotel reception ) within 24 hours of arrival .       Morocco   Visa not required   90 days       Mozambique   Visa on arrival   30 days       Myanmar   eVisa   28 days     eVisa holders must arrive via Yangon , Nay Pyi Taw or Mandalay airports Regular visa for up to three months       Namibia   Visa not required   3 months     3 months within a calendar year       Nauru   Visa required         Nepal   Visa on arrival   90 days     Visa - on - arrival is extendable       Netherlands   EU ! Visa not required     Freedom of movement ( European Netherlands )       New Zealand   Visa not required   6 months       Nicaragua   Visa not required   90 days       Niger   Visa required         Nigeria   Visa required       Pre-approved visa can be picked up on arrival .       Norway   EU ! Visa not required     Freedom of movement       Oman   eVisa   30 days       Pakistan   Visa required       Visa on arrival when travelling on business valid for 30 days . Conditions apply .   Visa on arrival when travelling as part of a group through a designated tour operator .       Palau   Visa on arrival ! Free visa on arrival   30 days       Panama   Visa not required   180 days       Papua New Guinea   Visa on arrival ! Free visa on arrival   60 days     Issued free of charge .       Paraguay   Visa not required   90 days       Peru   Visa not required   183 days       Philippines   Visa not required   30 days       Poland   EU ! Visa not required     Freedom of movement       Portugal   EU ! Visa not required     Freedom of movement       Qatar   eVisa / Visa on arrival   30 days     Available at Hamad International Airport .   eVisa is also available .       Romania   EU ! Visa not required     Freedom of movement       Russia   Visa required       72 - hours visa free visit when entering by regular ferry via port of St. Petersburg , provided that a passenger spends the night on - board or in accommodation specifically approved by the travel agency .       Rwanda   eVisa / Visa on arrival   30 days     Can also be entered on an East Africa Tourist Visa issued by Kenya or Uganda .       Saint Kitts and Nevis   Visa not required   3 months       Saint Lucia   Visa not required   6 weeks       Saint Vincent and the Grenadines   Visa not required   1 month       Samoa   Visa on arrival ! Free Entry Permit on arrival   60 days     Free of charge .       San Marino   Visa not required         São Tomé and Príncipe   Visa not required   15 days       Saudi Arabia   Visa required         Senegal   Visa not required   90 days       Serbia   Visa not required   90 days       Seychelles   Visa on arrival ! Free Visitor 's Permit on arrival   3 months     Issued free of charge .       Sierra Leone   Visa required       Pre-approved visa can be picked up on arrival .       Singapore   Visa not required   90 days       Slovakia   EU ! Visa not required     Freedom of movement       Slovenia   EU ! Visa not required     Freedom of movement       Solomon Islands   Visa on arrival ! Free Visitor 's permit on arrival   3 months     Issued free of charge .       Somalia   Visa on arrival       Available at Berbera , Borama , Burao , Erigavo and Hargeisa airports .   30 days , available at Bosaso , Galcaio and Mogadishu airports .       South Africa   Visa not required   90 days       South Sudan   Visa required         Spain   EU ! Visa not required     Freedom of movement       Sri Lanka   eVisa / Visa on arrival   30 days     British citizens are allowed to extend their stay twice when in the country to a maximum stay of 90 days in total .       Sudan   Visa required         Suriname   Visa on arrival ! Tourist Card on arrival   90 days       Swaziland   Visa not required   30 days       Sweden   EU ! Visa not required     Freedom of movement       Switzerland   EU ! Visa not required     Freedom of movement       Syria   Visa required       Visa not required for citizens born in Syria .       Tajikistan   eVisa   45 days       Tanzania   Visa on arrival         Thailand   Visa not required   30 days     If not arriving by air , British citizens are only permitted two visits per year .       Timor - Leste   Visa on arrival   30 days     Visa on arrival is only available at the Presidente Nicolau Lobato International Airport or at the Dili Sea Port .       Togo   Visa on arrival   7 days       Tonga   Visa on arrival ! Free visa on arrival   31 days     Issued free of charge .       Trinidad and Tobago   Visa not required   90 days       Tunisia   Visa not required   3 months       Turkey   eVisa / Visa on arrival   3 months       Turkmenistan   Visa required       Pre-approved visa can be picked up on arrival .       Tuvalu   Visa on arrival ! Free visa on arrival   1 month     Issued free of charge .       Uganda   eVisa / Visa on arrival       May apply online .   Can also be entered on an East Africa Tourist Visa issued by Kenya or Rwanda .       Ukraine   Visa not required   90 days     90 days within any 180 day period       United Arab Emirates   Visa on arrival ! Free visa on arrival   30 days     Issued free of charge .       United States   Visa not required ! Visa Waiver Program   90 days     ESTA required if arriving by air or cruise ship , which is valid for 2 years .   ESTA is not required for Guam and Northern Mariana Islands .       Uruguay   Visa not required   90 days       Uzbekistan   Visa required       Pre-approved visa can be picked up on arrival .   Simplified procedure for British citizens - no requirement for tourist voucher or invitation letter from Uzbekistan .       Vanuatu   Visa not required   30 days       Vatican City   Visa not required         Venezuela   Visa not required   90 days       Vietnam   Visa not required   15 days     A single entry eVisa valid for 30 days is also available . Visa exemption extended until June 2021 .       Yemen   Visa required         Zambia   eVisa / Visa on arrival   90 days     British citizens are eligible for a universal visa allowing access to Zimbabwe .       Zimbabwe   eVisa / Visa on arrival   3 months     British citizens are also eligible for a universal visa allowing access to Zambia .       British crown dependencies and Overseas territories ( edit )     British Crown Dependencies and Overseas Territories     Visitor to   Visa requirement   Allowed stay   Notes     Akrotiri and Dhekelia   Visa not required         Anguilla   Visa not required   3 months     British citizens with a connection to the territory have right of abode .       Bermuda   Visa not required   6 months     British citizens with a connection to the territory have right of abode .       British Antarctic Territory   Special permit required         British Indian Ocean Territory   Special permit required         British Virgin Islands   Visa not required   1 month     Extension of stay possible .   British citizens with a connection to the territory have right of abode .       Cayman Islands   Visa not required   6 months     British citizens with a connection to the territory have right of abode .       Falkland Islands   Visitor 's permit on arrival   4 weeks     The initial visitor 's permit is valid for 4 weeks .   Visitors who have a connection with the Falkland Islands have right of abode .       Guernsey   EU ! Right of abode     British citizens have right of abode in the Bailiwick of Guernsey .   In Guernsey and Sark , a work or employment permit is not required .   In Alderney , a work or employment permit is required for persons without Guernsey ( Alderney ) status .       Isle of Man   EU ! Right of abode     Work or employment permit is required for persons without `` Isle of Man worker '' status .       Jersey   EU ! Right of abode     Work or employment permit is not required .       Gibraltar   EU ! Right of abode     British citizens have right of abode in Gibraltar .       Montserrat   Visa not required   6 months     British citizens with a connection to the territory have right of abode .       Pitcairn Islands   Visa not required   14 days     Landing fee applies .       Saint Helena , Ascension and Tristan da Cunha     Ascension Island   Visa not required   3 months     Entry permit must be obtained minimum 28 days in advance .       Saint Helena   Entry permit on arrival   183 days     The entry permit costs £ 25 and is issued on arrival .       Tristan da Cunha   Permission required       Permission to land required for 15 / 30 pounds sterling ( yacht / ship passenger ) for Tristan da Cunha Island or 20 pounds sterling for Gough Island , Inaccessible Island or Nightingale Islands , unless connection with Tristan da Cunha , in which case right of abode .       South Georgia and the South Sandwich Islands   Permit required       Pre-arrival permit from the Commissioner required ( 72 hours / 1 month for 110 / 160 pounds sterling ) .       Turks and Caicos Islands   Visa not required   90 days     British citizens with a connection to the territory have right of abode .       Territories and disputed areas ( edit )     Europe     Visitor to   Visa requirement   Notes ( excluding departure fees )     Abkhazia   Visa required       Artsakh   Visa required   Visa required ( issued for single entry for 21 days / 1 / 2 / 3 months or multiple entry visa for 1 / 2 / 3 months ) . Travellers with Artsakh visa ( expired or valid ) or evidence of travel to Artsakh ( stamps ) will be permanently denied entry to Azerbaijan .     Mount Athos   Special permit required   Special permit required ( 4 days : 25 euro for Orthodox visitors , 35 euro for non-Orthodox visitors , 18 euro for students ) . There is a visitors ' quota : maximum 100 Orthodox and 10 non-Orthodox per day and women are not allowed .     Brest and Grodno   Visa not required   Visa - free for 10 days     Crimea   Visa required   Visa issued by Russia is required . If traveling from mainland Ukraine , special permit issued by Ukrainian authorities is required . Ukraine will deny entry to anyone in case of evidence they have entered occupied Crimea from Russia bypassing mainland Ukraine after March 2014 .     Turkish Republic of Northern Cyprus   Visa not required   Visa free access for 3 months . Passport required .     UN Buffer Zone in Cyprus   Access Permit required   Access Permit is required for travelling inside the zone , except Civil Use Areas .     Faroe Islands   Visa not required       Jan Mayen   Permit required   Permit issued by the local police required for staying for less than 24 hours and permit issued by the Norwegian police for staying for more than 24 hours .     Svalbard of Norway   Visa not Required   Unlimited Stay ( Indefinite Stay ) .     Kosovo   Visa not required   Visa free 90 days     Novorossiya   Restricted area   Crossing from Ukraine requires visit purpose to be explained to Ukrainian passport control on exit and those who entered from Russia are not allowed to proceed further into Ukraine .     Russia   Special authorization required   Several closed cities require special authorization .     South Ossetia   Visa not required   Visa free . Multiple entry visa to Russia and three - day prior notification are required to enter South Ossetia .     Transnistria   Visa not required   Visa free . Registration required after 24h .     Africa     Visitor to   Visa requirement   Notes ( excluding departure fees )     Eritrea outside Asmara   Travel permit required   Visa covers Asmara only ; to travel in the rest of the country , a Travel Permit for Foreigners is required ( 20 Eritrean nakfa ) .     Mayotte   Freedom of Movement   Valid ID or Passport Required .     Reunion   Freedom of Movement   Valid ID or Passport Required .     Sahrawi Arab Democratic Republic   Visa not required   Visa not required up to 3 months in the Western Sahara controlled territory .     Somaliland   Visa on arrival   Visa issued on arrival ( 30 days for 30 US dollars , payable on arrival ) .     Sudan   Travel permit required   All foreigners traveling more than 25 kilometers outside of Khartoum must obtain a travel permit .     Darfur   Travel permit required   Separate travel permit is required .     Asia     Visitor to   Visa requirement   Notes ( excluding departure fees )     Hainan   Visa on arrival   Visa on arrival for 15 days . Available at Haikou Meilan International Airport and Sanya Phoenix International Airport . Visa not required for 21 days for travelling as part of a tourist group ( 5 or more people )     Hong Kong   Visa not required   Visa not required for 180 days . Prior to April 1997 , British citizens were allowed to land and remain in Hong Kong for 12 months without being subject to any other condition of stay .     India PAP / RAP   PAP / RAP required   Protected Area Permit ( PAP ) required for whole states of Nagaland and Sikkim and parts of states Manipur , Arunachal Pradesh , Uttaranchal , Jammu and Kashmir , Rajasthan , Himachal Pradesh . Restricted Area Permit ( RAP ) required for all of Andaman and Nicobar Islands and parts of Sikkim . Some of these requirements are occasionally lifted for a year .     Iraqi Kurdistan   Visa on arrival   Visa on arrival for 15 days is available at Erbil and Sulaymaniyah airports .     Kazakhstan   Special permission required   Special permission required for the town of Baikonur and surrounding areas in Kyzylorda Oblast , and the town of Gvardeyskiy near Almaty .     Kish Island   Visa not required   Visitors to Kish Island do not require a visa .     Macao   Visa not required   Visa not required for 6 months     Sabah and Sarawak   Visa not required   These states have their own immigration authorities and passport is required to travel to them , however the same visa applies .     Maldives   Permission required   With the exception of the capital Malé , tourists are generally prohibited from visiting non-resort islands without the express permission of the Government of Maldives .     North Korea outside Pyongyang   Special permit required   People are not allowed to leave the capital city , tourists may only leave the capital with a governmental tourist guide ( no independent moving )     Palestine   Visa not required   Arrival by sea to Gaza Strip not allowed .     Taiwan   Visa not required   Visa not required for 90 days     Gorno - Badakhshan Autonomous Province   OIVR permit required   OIVR permit required ( 15 + 5 Tajikistani Somoni ) and another special permit ( free of charge ) is required for Lake Sarez .     Tibet Autonomous Region   TTP required   Tibet Travel Permit required ( 10 US Dollars ) .     Turkmenistan   Special permit required   A special permit , issued prior to arrival by the Ministry of Foreign Affairs , is required if visiting the following places : Atamurat , Cheleken , Dashoguz , Serakhs and Serhetabat .     Korean Demilitarized Zone   Restricted zone .       UNDOF Zone and Ghajar   Restricted zone .       Phú Quốc   Visa not required   May visit without a visa for up to 30 days .     Yemen   Special permission required   Special permission needed for travel outside Sana'a or Aden .     Caribbean and North Atlantic     Visitor to   Visa requirement   Notes ( excluding departure fees )     Aruba   Visa not required   Visa not required for 30 days , extendable to 180 days .     Bonaire , St. Eustatius and Saba   Visa not required   Visa not required up to 3 months     San Andrés and Leticia   Tourist Card on arrival   Visitors arriving at Gustavo Rojas Pinilla International Airport and Alfredo Vásquez Cobo International Airport must buy tourist cards on arrival .     Curaçao   Visa not required   Visa not required for 3 months .     French West Indies   Visa not required   French West Indies refers to Martinique , Guadeloupe , Saint Martin and Saint Barthélemy .     Greenland   Visa not required       Margarita Island   Visa not required   All visitors are fingerprinted .     Puerto Rico   Visa not required   Visa not required under the Visa Waiver Program , for 90 days on arrival from overseas for 2 years . ESTA required .     Saint Pierre and Miquelon   Visa not required   Visa not required for 90 days .     Sint Maarten   Visa not required   Visa not required for 3 months .     U.S. Virgin Islands   Visa not required   Visa not required under the Visa Waiver Program , for 90 days on arrival from overseas for 2 years . ESTA required .     Oceania     Visitor to   Visa requirement   Notes ( excluding departure fees )     American Samoa   Entry Permit required       Ashmore and Cartier Islands   Special authorisation required   Special authorisation required .     Clipperton Island   Special permit required   Special permit required .     Cook Islands   Visa not required   Visa free access for 31 days .     Lau Province   Special permission required   Special permission required .     French Polynesia   Visa not required   Visa not required .     Guam   Visa not required   45 days     New Caledonia   Visa not required   Visa not required for 3 months .     Niue   Visa on arrival   Visa on arrival valid for 30 days is issued free of charge .     Northern Mariana Islands   Visa not required   45 days     Tokelau   Entry Permit required       United States Minor Outlying Islands   Special permits required   Special permits required for Baker Island , Howland Island , Jarvis Island , Johnston Atoll , Kingman Reef , Midway Atoll , Palmyra Atoll and Wake Island .     Wallis and Futuna   Visa not required   Visa not required .     South America     Visitor to   Visa requirement   Notes ( excluding departure fees )     Galápagos   Pre-registration required   Online pre-registration is required . Transit Control Card must also be obtained at the airport prior to departure .     South Atlantic and Antarctica     Visitor to   Visa requirement   Notes ( excluding departure fees )     Antarctica   Special authorisation required   Special permits required for French Southern and Antarctic Lands , Argentine Antarctica , Australian Antarctic Territory , Chilean Antarctic Territory , Heard Island and McDonald Islands , Peter I Island , Queen Maud Land , Ross Dependency .     Non-ordinary passports ( edit )   Holders of various categories of official British passports have additional visa - free access to the following countries - China ( diplomatic passports ) , Kuwait ( diplomatic or official passports ) , Mongolia ( diplomatic or official passports ) , Qatar ( diplomatic or official passports and British Diplomatic Messenger or Queen 's Messenger Passports ) and the United Arab Emirates ( diplomatic or official passports ) . Holders of diplomatic or service passports of any country have visa - free access to Cape Verde , Ethiopia , Mali and Zimbabwe . Holders of British official and diplomatic passports require a visa for South Africa .   Non-visa restrictions ( edit )  This section is transcluded from Non-visa travel restrictions . ( edit history )  Passport validity length ( edit )   Many countries require passports to be valid for at least 6 months upon arrival . Note that some nations have bilateral agreements with other countries to shorten the passport validity cut - off period for each other 's citizens .   Countries requiring passports to be valid at least 6 months on arrival include Afghanistan , Algeria , Anguilla , Bahrain , Bhutan , Botswana , British Virgin Islands , Brunei , Cambodia , Cameroon , Cayman Islands , Central African Republic , Chad , Comoros , Côte d'Ivoire , Curaçao , Ecuador , Egypt , El Salvador , Equatorial Guinea , Fiji , Gabon , Guinea Bissau , Guyana , Indonesia , Iran , Iraq ( except when arriving at Basra and Erbil or Sulaimaniyah ) , Israel , Jordan , Kenya , Kiribati , Laos , Madagascar , Malaysia , Marshall Islands , Micronesia , Myanmar , Namibia , Nicaragua , Nigeria , Oman , Palau , Papua New Guinea , Philippines , Qatar , Rwanda , Saint Lucia , Samoa , Saudi Arabia , Singapore , Solomon Islands , Somalia , Somaliland , Sri Lanka , Sudan , Suriname , Taiwan , Tanzania , Thailand , Timor - Leste , Tokelau , Tonga , Tuvalu , Uganda , United Arab Emirates , Vanuatu , Venezuela , Vietnam , Yemen and Zimbabwe .   Countries requiring passports valid for at least 4 months on arrival include Micronesia and Zambia .   Countries requiring passports valid for at least 3 months on arrival include European Union countries ( except Denmark , Republic of Ireland and the United Kingdom , and always excepting EU / EEA / Swiss nationals ) , Albania , Belarus , Georgia , Honduras , Iceland , Jordan , Kuwait , Lebanon , Liechtenstein , Moldova , Monaco , Nauru , Panama , Saint Barthélemy , San Marino , Switzerland and the United Arab Emirates .</t>
  </si>
  <si>
    <t xml:space="preserve">how many countries can i visit with british passport</t>
  </si>
  <si>
    <t xml:space="preserve"> Visa requirements for British citizens are administrative entry restrictions by the authorities of other states placed on citizens of the United Kingdom . As of 22 May 2018 , British citizens had visa - free or visa on arrival access to 186 countries and territories , ranking the British passport 4th in terms of travel freedom ( tied with Austrian , Dutch , Luxembourgish , Norwegian , Portuguese and the United States passports ) according to the Henley Passport Index . Additionally , the World Tourism Organization also published a report on 15 January 2016 ranking the British passport 1st in the world ( tied with Denmark , Finland , Germany , Italy , Luxembourg and Singapore ) in terms of travel freedom , with a mobility index of 160 ( out of 215 with no visa weighted by 1 , visa on arrival weighted by 0.7 , eVisa by 0.5 , and traditional visa weighted by 0 ) . </t>
  </si>
  <si>
    <r>
      <rPr>
        <sz val="11"/>
        <color rgb="FF000000"/>
        <rFont val="Calibri"/>
        <family val="0"/>
        <charset val="1"/>
      </rPr>
      <t xml:space="preserve">The Big Bang Theory ( season 11 ) - wikipedia  The Big Bang Theory ( season 11 )  Jump to : navigation , search    The Big Bang Theory ( season 11 )     iTunes digital art     Starring     Johnny Galecki   Jim Parsons   Kaley Cuoco   Simon Helberg   Kunal Nayyar   Mayim Bialik   Melissa Rauch   Kevin Sussman       Country of origin   United States     No. of episodes   15     Release     Original network   CBS     Original release   September 25 , 2017 ( 2017 - 09 - 25 ) -- present ( present )     Season chronology     ← Previous Season 10     List of The Big Bang Theory episodes     The eleventh season of the American television sitcom The Big Bang Theory premiered on CBS on Monday , September 25 , 2017 . It returned to its regular Thursday time slot on November 2 , 2017 , after Thursday Night Football on CBS ended .   In March 2017 , CBS renewed the series for two additional seasons , bringing its total to twelve , and running through the 2018 -- 19 television season .     Contents  ( hide )   1 Production   2 Cast   2.1 Main cast   2.2 Recurring cast   2.3 Guest cast     3 Episodes   4 Ratings   5 References   6 External links      Production ( edit )   Just like the previous three seasons , the first five episodes aired on Mondays due to CBS ' contractual rights to air the Thursday Night Football games . After Thursday Night Football ended , the series returned to its regular Thursday schedule starting on November 2 , 2017 . Filming for the eleventh season began on August 15 , 2017 ; it was also announced with the taping report that the premiere for the eleventh season would be titled `` The Proposal Proposal '' . Before the season premiered , five episodes were filmed from August 15 to September 19 , 2017 .   According to TV Guide , Steve Holland announced on September 22 , 2017 that both Bob Newhart and Wil Wheaton would return this season since their absences from Season 10 .   Cast ( edit )  Main article : List of The Big Bang Theory characters     Main cast ( edit )    Johnny Galecki as Dr. Leonard Hofstadter   Jim Parsons as Dr. Sheldon Cooper   Kaley Cuoco as Penny   Simon Helberg as Howard Wolowitz   Kunal Nayyar as Dr. Rajesh `` Raj '' Koothrappali   Mayim Bialik as Dr. Amy Farrah Fowler   Melissa Rauch as Dr. Bernadette Rostenkowski - Wolowitz   Kevin Sussman as Stuart Bloom      Recurring cast ( edit )    Laurie Metcalf as Mary Cooper   Christine Baranski as Dr. Beverly Hofstadter   Stephen Hawking as himself   Regina King as Janine Davis   Brian Posehn as Dr. `` Bert '' Bertram Kibbler   Wil Wheaton as himself   Bob Newhart as Dr. Arthur Jeffries / Professor Proton   John Ross Bowie as Dr. Barry Kripke   Dean Norris as Colonel Richard Williams   Brian Thomas Smith as Zack Johnson     Brian George as Dr. V.M. Koothrappali   Pamela Adlon as Halley Wolowitz ( voice only )      Guest cast ( edit )    Riki Lindhome as Ramona Nowitzki   Ira Flatow as himself   Swati Kapila as Ruchi   Beth Behrs as Nell   Walton Goggins as Oliver   Bill Gates as himself       Episodes ( edit )  See also : List of The Big Bang Theory episodes    No . overall   No. in season   Title   Directed by   Written by   Original air date   Prod . code   U.S. viewers ( millions )     232     `` The Proposal Proposal ''   Mark Cendrowski   Story by : Chuck Lorre &amp; Eric Kaplan &amp; Jeremy Howe Teleplay by : Steve Holland &amp; Maria Ferrari &amp; Tara Hernandez   September 25 , 2017 ( 2017 - 09 - 25 )   T12. 15601   17.65      Amy enthusiastically accepts Sheldon 's marriage proposal . However , when dining with Amy 's colleagues later that night , Sheldon is offended that they are more impressed with Amy 's work than his own . With help from Stephen Hawking , Sheldon later comes to grips with the fact that he will not always be the center of attention in the marriage . Bernadette is shocked to realize that she is pregnant again . She and Howard are not thrilled at the idea of having another baby so soon after their first . They attempt to convince Leonard and Penny to have a child as well , but are rebuffed .  Title reference : Sheldon 's proposal of marriage     233     `` The Retraction Reaction ''   Mark Cendrowski   Story by : Steven Molaro &amp; Steve Holland &amp; Maria Ferrari Teleplay by : Dave Goetsch &amp; Eric Kaplan &amp; Anthony Del Broccolo   October 2 , 2017 ( 2017 - 10 - 02 )   T12. 15602   14.06      Leonard gives an interview on public radio where he admits physics research might be at a dead end . The university is furious and , while trying to think of reasons to put in a retraction , he depresses Sheldon into thinking he might be right . Howard and Raj come over and end up just as depressed . Getting drunk with Penny , the guys go to the grave of Richard Feynman and realize there is hope for physics as long as they believe in it . Leonard accidentally sends a drunken email to Human Resources . Meanwhile , Amy and Bernadette agree with each other to keep quiet about the success in their careers so as not to upset Sheldon and Howard . While bragging to each other , they end up arguing which of their fields is better .  Title reference : Leonard 's depression while writing a retraction of his statements on the radio .     234     `` The Relaxation Integration ''   Mark Cendrowski   Story by : Chuck Lorre &amp; Steve Holland &amp; Adam Faberman Teleplay by : Maria Ferrari &amp; Andy Gordon &amp; Tara Hernandez   October 9 , 2017 ( 2017 - 10 - 09 )   T12. 15603   13.13      Sheldon can not find the perfect wedding date and begins talking in his sleep , adopting the persona of a laid - back person who goes with the flow . Amy and Penny believe that his subconscious mind is trying to tell him to be more relaxed ; his attempt to be so while wearing flip - flops ends in disaster . He decides to leave all the wedding planning to Amy while he wears a Star Trek uniform underneath his tuxedo . Meanwhile , Raj and Stuart both become interested in Bernadette 's new coworker Ruchi . While she likes them both as friends , she does not want a relationship with anyone .  Title reference : Sheldon trying to embrace the relaxed side of his personality .     235     `` The Explosion Implosion ''   Mark Cendrowski   Story by : Bill Prady &amp; Maria Ferrari &amp; Tara Hernandez Teleplay by : Steve Holland &amp; Eric Kaplan &amp; Jeremy Howe   October 16 , 2017 ( 2017 - 10 - 16 )   T12. 15604   13.07      Howard and Bernadette learn their second child will be a boy , leading Howard to doubt whether he can be a good father to a son . He and Sheldon go out in the desert to test launch a model rocket , but it explodes , causing him further doubt . On the way home , Howard does a good job coaching Sheldon to drive them home , for which Sheldon tells him he will be a good teacher to his son . Leonard 's mother Beverly begins talking to Penny as a friend and confidant , troubling Leonard , especially when he learns that Beverly told Penny that she is proud of her , a level of praise she never bestowed upon Leonard himself . When Leonard confronts Beverly , he is touched when she says that of all of her children 's spouses , Penny is the one she is most impressed by , and that for this , she is indeed proud of him . Meanwhile , Raj helps Bernadette turn baby girl clothes into boy ones .  Title reference : The fate of Sheldon and Howard 's model rocket .     236   5   `` The Collaboration Contamination ''   Nikki Lorre   Story by : Steven Molaro &amp; Steve Holland &amp; Eric Kaplan Teleplay by : Dave Goetsch &amp; Maria Ferrari &amp; Jeremy Howe   October 23 , 2017 ( 2017 - 10 - 23 )   T12. 15605   13.20      Amy and Howard begin collaborating on a neuroprosthetics project , upsetting Sheldon and Raj , who feel they are not spending as much time with them . When they seek solace with an annoyed Bernadette , she exploits the situation to trick Sheldon into doing Howard 's chores . Penny employs the approaches recommended in one of Bernadette 's parenting books to deal with Sheldon with success , but Leonard believes she is coddling Sheldon too much . Sheldon and Raj resolve the issue of missing their significant others by spending time together .  Title reference : Amy and Howard 's collaboration contaminating Sheldon and Raj 's moods .     237   6   `` The Proton Regeneration ''   Mark Cendrowski   Story by : Steven Molaro , Dave Goetsch , Alex Yonks Teleplay by : Dave Steve Holland , Andy Gordon , Jeremy Howe   November 2 , 2017 ( 2017 - 11 - 02 )   T12. 15606   14.14      Sheldon 's childhood science show with Professor Proton is being rebooted . After unsuccessfully auditioning for the part , he goes to Wil Wheaton for acting tips for his second audition . However , Sheldon is later dismayed when Wil has somehow taken the role instead . Talking it over with Arthur in his dreams he is still upset his idol is replaced and considers Wil an enemy again . Meanwhile , Howard gets a vasectomy while Bernadette is on bed rest . Penny offers to take care of Halley for them but they insult her by saying Penny is irresponsible . Halley ends up saying her first word by calling Penny `` Mama . ''  Title reference : The announced reboot of the Professor Proton series .     238   7   `` The Geology Methodology ''   Mark Cendrowski   Story by : Steven Holland &amp; Anthony Del Broccolo &amp; Adam Faberman Teleplay by : Eric Kaplan &amp; Maria Ferrari &amp; Tara Hernandez   November 9 , 2017 ( 2017 - 11 - 09 )   T12. 15607   13.80      Bert asks for Sheldon 's help in a geology research project relating to dark matter . Sheldon secretly agrees , but is too embarrassed to admit he is working with rocks . Bert finds out about this and ends their partnership . After talking with Amy , Sheldon goes to apologize , only to find Leonard has taken his place . Meanwhile , Raj runs into Ruchi again and goes out with her , but she does not believe in romantic love . After Howard and Bernadette tell Raj that he can just have sex with Ruchi , he agrees to keep it casual .  Title reference : Sheldon working in geology with Bert .     239   8   `` The Tesla Recoil ''   Anthony Rich   Story by : Chuck Lorre &amp; Eric Kaplan &amp; Tara Hernandez Teleplay by : Steve Holland &amp; Maria Ferrari &amp; Jeremy Howe   November 16 , 2017 ( 2017 - 11 - 16 )   T12. 15608   13.44      After learning Sheldon went behind their backs to work with the military again , Leonard and Howard say Sheldon is like Thomas Edison , taking credit for other 's ideas , while they are more like Nikola Tesla . Leonard and Howard bring in Barry Kripke to help create a better idea than Sheldon 's , but Kripke goes to the military himself cutting all three of them out . Meanwhile , Bernadette fears Ruchi is trying to steal her projects at work while she is on maternity leave , and hires Raj to spy on her . Though he finds proof that Ruchi may be stealing from Bernadette , Raj tries to defend Ruchi like a boyfriend would , pointing out Bernadette 's hypocrisy as she would 've most likely stolen from other people 's projects as well . Ruchi is not happy about this and promptly dumps Raj .  Title reference : The guys discussion of Tesla and Edison .     240   9   `` The Bitcoin Entanglement ''   Mark Cendrowski   Story by : Steve Holland &amp; Andy Gordon &amp; Jeremy Howe Teleplay by : Dave Goetsch &amp; Maria Ferrari &amp; Anthony Del Broccolo   November 30 , 2017 ( 2017 - 11 - 30 )   T12. 15609   13.84      In 2010 , Leonard , Howard and Raj mined a lot of Bitcoin , worth thousands of dollars seven years later , but leave Sheldon out due to his fear of tax implications . Flashbacks are shown of how the Bitcoin ended up on an old laptop of Leonard 's , which Penny gave to her old boyfriend Zack after she and Leonard broke up . In 2017 , Leonard and Penny retrieve the computer from Zack , who first shows them a video of a drunken Penny apologizing for breaking up with Leonard . The Bitcoin is not found on the laptop . Sheldon had moved it to a flash drive on Leonard 's keychain to teach them a lesson , but Leonard lost the keychain years ago . A final flashback to 2013 shows Stuart discovering the flash drive , which he decides to erase and sell for $10 .  Title reference : The guys trying to find their old Bitcoin investment .     241   10   `` The Confidence Erosion ''   Mark Cendrowski   Story by : Bill Prady &amp; Maria Ferrari &amp; Adam Faberman Teleplay by : Steve Holland &amp; Eric Kaplan &amp; Tara Hernandez   December 7 , 2017 ( 2017 - 12 - 07 )   T12. 15610   14.41      When Raj loses a job interview at a planetarium , his father says he has no confidence because Howard always makes fun of him . Raj distances himself from Howard and later gets the job . Howard is hurt by this ( even after apologizing to him ) and tries to make amends with Raj after his first talk at the planetarium , but when he sees him get a date , he leaves without speaking to him , thinking that the latter 's life is better without him . Meanwhile , Sheldon and Amy try randomly dividing up wedding tasks , but they keep arguing . The only thing they can agree on is to get married so they decide to just get married at City Hall . However , Sheldon decides that he wants a first dance with his new wife , and they go home to plan their wedding .  Title reference : Howard eroding Raj 's confidence .     242   11   `` The Celebration Reverberation ''   Mark Cendrowski   Story by : Steve Holland &amp; Eric Kaplan &amp; Alex Ayers Teleplay by : Dave Goetsch &amp; Maria Ferrari &amp; Jeremy Howe   December 14 , 2017 ( 2017 - 12 - 14 )   T12. 15611   13.74      Howard and Raj are still fighting so Howard dis - invites Raj to Halley 's birthday party . However , when Howard 's designated party planner Stuart pulls out at the last minute , Raj agrees to plan the party , which does n't turn out too well due to Halley being asleep , Bernadette on bed rest and no people turning up . When Howard and Raj get into a shoving match in the party 's bounce house , they end up letting out their frustrations with each other , but also having fun and reconciling . Leonard is depressed upon receiving his successful brother 's Christmas card and attempts to make a list of what he and Penny accomplished this year , but does n't come up with much . This prompts them to think about their plans for the future , so they decide to go on trips and achieve more out of life together before starting a family . Sheldon cooks Amy a Little House on the Prairie - themed birthday dinner , which gives them both food poisoning . They eventually recover enough to attend Halley 's birthday party with the others , where they decide to have fun in the bouncy castle and then have sex in Howard and Bernadette 's house .  Title reference : Amy and Halley 's birthday celebrations .     243   12   `` The Matrimonial Metric ''   Mark Cendrowski   Story by : Maria Ferrari &amp; Tara Hernandez &amp; Jeremy Howe Teleplay by : Steve Holland &amp; Eric Kaplan &amp; Andy Gordon   January 4 , 2018 ( 2018 - 01 - 04 )   T12. 15612   16.16      Sheldon and Amy struggle to choose a best man and maid of honor from their friends . They secretly decide to test and score them , allowing everyone to have an equal shot at either role . Once the gang finds out , none of them apart from Bernadette and Stuart want to be in the wedding . Sheldon settles for Stuart as best man , but once Leonard tells Sheldon that as the groom , the decision is his alone , he picks Leonard . Amy is set to call Bernadette but once Penny realizes Amy is her best friend , she immediately pitches herself for the position and Amy enthusiastically chooses her . Amy later makes Penny tell Bernadette the bad news .  Title reference : Sheldon and Amy scoring their friends for roles in the wedding .     244   13   `` The Solo Oscillation ''   Mark Cendrowski   Story by : Chuck Lorre &amp; Steve Holland &amp; Anthony Del Broccolo Teleplay by : Eric Kaplan &amp; Maria Ferrari &amp; Jeremy Howe   January 11 , 2018 ( 2018 - 01 - 11 )   T12. 15613   15.93      With Leonard , Howard , Raj and Amy accomplishing so much on their respective projects , Sheldon is forced to admit he has nothing important to work on . He makes Amy leave the apartment for a few days so he can focus , but can not come up with any ideas and calls his mother as a distraction . Leonard and Amy have fun recreating experiments from when they were growing up , boring Penny , so she eats with Sheldon as he mulls over his scientific studies . Penny helps him realize that his study of dark matter is his rebound science from string theory , which Sheldon admits he never forgot about , but explaining string theory to her inspires Sheldon , helping him discover a potential breakthrough in the field . Meanwhile Howard is too busy with his family to be in the band with Raj , so Raj brings in Bert . But when Howard annoys Bernadette by writing an astronaut - themed musical while she is on bed - rest , she makes him rejoin the band . The three are poorly received , after singing Bert 's original song about the boulder from Indiana Jones at a Bar mitsvah .  Title reference : A triple entendre to represent Sheldon going into isolation to figure out his future research field only to go back to studying string theory , the vibration of the strings in string theory , and Howard 's oscillation between being in a band with Raj and being solo .     245   14   `` The Separation Triangulation ''   Mark Cendrowski   Story by : Chuck Lorre &amp; Eric Kaplan &amp; Maria Ferrari Teleplay by : Steven Molaro &amp; Steve Holland &amp; Tara Hernandez   January 18 , 2018 ( 2018 - 01 - 18 )   T12. 15614   14.92      Raj hooks up with a recently separated woman , Nell , after one of his lectures at the planetarium . Her husband Oliver confronts Raj at the planetarium and then breaks down over the end of his marriage . After comforting Oliver , Raj talks to Nell and convinces her to give her husband another chance . Meanwhile , after diving once again into string theory and sprawling his work across his and Amy 's apartment , Sheldon approaches a reluctant Leonard and Penny and convinces them to let him use his old room to study for a three - day trial period with an agreement to be quiet and stay out of their way . Sheldon surprisingly sticks to this agreement , being a reasonably good guest , which shockingly frustrates Leonard to no end . After Leonard lets out his frustrations , Sheldon then renegotiates the guest tenancy agreement for an extra few days and resumes being his normal demanding self , much to Leonard 's relief .  Title reference : A double entendre that refers to both the love triangle between Raj , Nell , and Oliver , who is upset at his separation from Nell and the roommate triangle that has reformed between Sheldon , Leonard , and Penny , a distinct callback to the show 's initial seasons .     246   15   `` The Novelization Correlation ''   Mark Cendrowski   Story by : Steve Holland &amp; Andy Gordon &amp; Adam Faberman Teleplay by : Eric Kaplan &amp; Maria Ferrari &amp; Jeremy Howe   February 1 , 2018 ( 2018 - 02 - 01 )   T12. 15615   14.69      Sheldon and Amy are surprised to find that Wil Wheaton 's new Professor Proton show is actually very entertaining and that Wil had Howard on as a guest . On Howard 's suggestion , Sheldon apologizes to Wil , mending their friendship , and tells him he wants to be on the show ; but Wil asks for Amy . Sheldon tells her to do it , but she says she often does n't do things to avoid upsetting him . Sheldon is horrified when he realises how selfish he has been , especially when he finds out that the guys do the same for him . Sheldon encourages Amy to go on the show to inspire girls to pursue science while trying to control his obvious jealousy for her . Meanwhile , Leonard writes a book about a physicist that solves a murder , the protagonist Logan Dean is based on himself . Bernadette points out Logan 's mean boss Illsa is similar to Penny , who thinks it is based on Bernadette , though Leonard does not correct her . However , Bernadette tells Penny the truth , upsetting her and making her mad at Leonard . After calling his mother for advice , Leonard learns that Illsa is actually like her ; but abandons the book when he realizes he wrote romantic tension into the relationship between the characters .  Title reference : The uncertainty of which woman in Leonard 's life he subconsciously based the mean boss character in his novel on .     247   16   `` The Neonatal Nomenclature ''   Gay Linvill   Story by : Eric Kaplan &amp; Maria Ferrari &amp; Anthony Del Broccolo Teleplay by : Steve Holland &amp; Tara Hernandez &amp; Adam Faberman   March 1 , 2018 ( 2018 - 03 - 01 )   T12. 15616   TBD     248   17   `` The Athenaeum Allocation ''   Mark Cendrowski   Story by : Steve Holland &amp; Steven Molaro &amp; Tara Hernandez Teleplay by : Dave Goetsch &amp; Eric Kaplan &amp; Maria Ferrari   March 8 , 2018 ( 2018 - 03 - 08 )   T12. 15617   TBD     Ratings ( edit )     No .   Title   Air date   Rating / share ( 18 -- 49 )   Viewers ( millions )   DVR ( 18 -- 49 )   DVR viewers ( millions )   Total ( 18 -- 49 )   Total viewers ( millions )       `` The Proposal Proposal ''   September 25 , 2017   4.1 / 16   17.65   1.7   5.42   5.8   23.08       `` The Retraction Reaction ''   October 2 , 2017   3.2 / 12   14.06   1.8   5.14   5.0   19.20       `` The Relaxation Integration ''   October 9 , 2017   2.9 / 11   13.13   1.6   4.77   4.5   17.90       `` The Explosion Implosion ''   October 16 , 2017   2.8 / 11   13.07   1.6   4.64   4.4   17.71     5   `` The Collaboration Contamination ''   October 23 , 2017   2.8 / 10   13.20   1.6   4.76   4.4   17.96     6   `` The Proton Regeneration ''   November 2 , 2017   2.7 / 11   14.14   1.8   5.14   4.5   19.28     7   `` The Geology Methodology ''   November 9 , 2017   2.8 / 11   13.80   1.6   4.76   4.4   18.56     8   `` The Tesla Recoil ''   November 16 , 2017   2.6 / 11   13.44   1.7   4.84   4.3   18.28     9   `` The Bitcoin Entanglement ''   November 30 , 2017   2.5 / 10   13.84   1.7   4.70   4.2   18.54     10   `` The Confidence Erosion ''   December 7 , 2017   2.8 / 10   14.41   1.7   4.95   4.5   19.36     11   `` The Celebration Reverberation ''   December 14 , 2017   2.6 / 11   13.74   TBD   TBD   TBD   TBD     12   `` The Matrimonial Metric ''   January 4 , 2018   3.1 / 12   16.16   1.4   3.74   4.5   19.90     13   `` The Solo Oscillation ''   January 11 , 2018   3.1 / 12   15.93   1.8   5.18   4.9   21.11     14   `` The Separation Triangulation ''   January 18 , 2018   2.9 / 12   14.92   TBD   TBD   TBD   TBD     15   `` The Novelization Correlation ''   February 1 , 2018   2.9 / 12   14.69   TBD   TBD   TBD   TBD     References ( edit )    Jump up ^ `` CBS Announces New 2017 -- 2018 Fall Schedule '' . The Futon Critic . May 17 , 2017 . Retrieved May 30 , 2017 .   Jump up ^ `` CBS Announces Fall 2017 - 2018 Primetime Premiere Dates '' . The Futon Critic . Retrieved September 27 , 2017 .   Jump up ^ Goldberg , Lesley ( March 20 , 2017 ) . `` ' Big Bang Theory ' Officially Renewed for Two Seasons as Mayim Bialik , Melissa Rauch Await Deals '' . The Hollywood Reporter . Retrieved March 20 , 2017 .   Jump up ^ `` Taping Report Thread '' . The Big Bang Theory Forums . Retrieved September 28 , 2017 .   Jump up ^ `` The Big Bang Theory 's New Boss on Young Sheldon Crossovers and Season 11 '' . TVGuide.com . September 22 , 2017 . Retrieved September 28 , 2017 .   Jump up ^ `` Big Bang Theory Welcomes Bill Gates - What 's His Connection To Penny ? '' . TVline.com . Retrieved February 20 , 2018 .   ^ Jump up to : Porter , Rick ( September 26 , 2017 ) . `` ' Big Bang ' and ' Young Sheldon ' adjust up , ' Good Doctor , ' ' DWTS , ' ' The Brave , ' ' Me , Myself &amp; I ' down : Monday final ratings '' . TV by the Numbers . Retrieved September 26 , 2017 .   ^ Jump up to : Porter , Rick ( October 3 , 2017 ) . `` ' Big Bang Theory , ' ' Voice ' adjust up ; ' Good Doctor , ' ' DWTS , ' ' Kevin Can Wait , ' ' The Brave ' &amp; ' Scorpion ' down : Monday final ratings '' . TV by the Numbers . Retrieved October 3 , 2017 .   ^ Jump up to : Porter , Rick ( October 10 , 2017 ) . `` ' Big Bang Theory ' and ' Good Doctor ' adjust up , other CBS shows and ' The Brave ' down : Monday final ratings '' . TV by the Numbers . Retrieved October 10 , 2017 .   ^ Jump up to : Porter , Rick ( October 17 , 2017 ) . `` ' Big Bang , ' ' Voice , ' ' Lucifer , ' ' Me , Myself &amp; I ' adjust up , ABC and ' 9JKL ' down : Monday final ratings '' . TV by the Numbers . Retrieved October 17 , 2017 .   ^ Jump up to : Porter , Rick ( October 24 , 2017 ) . `` ' The Good Doctor ' adjusts down , ' Big Bang Theory ' and ' Voice ' adjust up : Monday final ratings '' . TV by the Numbers . Retrieved October 24 , 2017 .   ^ Jump up to : Porter , Rick ( November 3 , 2017 ) . `` ' Will &amp; Grace ' adjusts up , ' Sheldon ' and other CBS shows adjust down : Thursday final ratings '' . TV by the Numbers . Retrieved November 3 , 2017 .   ^ Jump up to : Porter , Rick ( November 10 , 2017 ) . `` ' Big Bang Theory ' and ' Thursday Night Football ' adjust up : Thursday final ratings '' . TV by the Numbers . Retrieved November 10 , 2017 .   ^ Jump up to : Porter , Rick ( November 17 , 2017 ) . `` ' Supernatural ' and NFL adjust up , ' Young Sheldon ' adjusts down : Thursday final ratings '' . TV by the Numbers . Retrieved November 17 , 2017 .   ^ Jump up to : Porter , Rick ( December 4 , 2017 ) . `` ' Supernatural , ' ' Big Bang Theory ' and NFL adjust up : Thursday final ratings '' . TV by the Numbers . Retrieved December 4 , 2017 .   ^ Jump up to : Porter , Rick ( December 8 , 2017 ) . `` ' Supernatural ' and NFL adjust up : Thursday final ratings '' . TV by the Numbers . Retrieved December 8 , 2017 .   ^ Jump up to : Porter , Rick ( December 15 , 2017 ) . `` ' Thursday Night Football ' adjusts up , still at season low : Thursday final ratings '' . TV by the Numbers . Retrieved December 19 , 2017 .   ^ Jump up to : Porter , Rick ( January 8 , 2018 ) . `` ' The Four , ' ' Will &amp; Grace , ' everything else unchanged : Thursday final ratings '' . TV by the Numbers . Retrieved January 8 , 2018 .   ^ Jump up to : Porter , Rick ( January 12 , 2018 ) . `` ' Big Bang Theory , ' ' Young Sheldon ' and ' The Four ' adjust up : Thursday final ratings '' . TV by the Numbers . Retrieved January 12 , 2018 .   ^ Jump up to : Porter , Rick ( January 22 , 2018 ) . `` ' Grey 's Anatomy ' adjusts up , ' The Four , ' ' Scandal ' and ' Great News ' down : Thursday final ratings '' . TV by the Numbers . Retrieved January 22 , 2018 .   ^ Jump up to : Porter , Rick ( February 2 , 2018 ) . `` ' Big Bang Theory , ' ' The Four ' adjust up , ' Mom ' and ' AP Bio ' adjust down : Thursday final ratings '' . TV by the Numbers . Retrieved February 2 , 2018 .   Jump up ^ `` ( # T12. 15616 ) `` The Neonatal Nomenclature '' `` . the Futon Critic . Retrieved February 5 , 2018 .   Jump up ^ `` ( # T12. 15617 ) `` The Athenaeum Allocation '' `` . the Futon Critic . Retrieved February 12 , 2018 .   Jump up ^ Porter , Rick ( October 13 , 2017 ) . `` ' This Is Us ' and ' The Good Doctor ' score big in premiere week broadcast Live + 7 ratings '' . TV By The Numbers . Retrieved October 13 , 2017 .   Jump up ^ Porter , Rick ( October 18 , 2017 ) . `` ' The Orville , ' ' Once Upon a Time , ' 5 more shows double in week 2 broadcast Live + 7 ratings '' . TV By The Numbers . Retrieved October 18 , 2017 .   Jump up ^ Porter , Rick ( October 25 , 2017 ) . `` ' The Good Doctor ' is the most - watched show on TV in week 3 broadcast Live + 7 ratings '' . TV By The Numbers . Retrieved October 25 , 2017 .   Jump up ^ Porter , Rick ( November 2 , 2017 ) . `` ' Chicago PD , ' 10 more shows double in week 4 broadcast Live + 7 ratings '' . TV By The Numbers . Retrieved November 2 , 2017 .   Jump up ^ Porter , Rick ( November 9 , 2017 ) . `` ' Grey 's Anatomy ' keeps rolling along in week 5 broadcast Live + 7 ratings '' . TV By The Numbers . Retrieved November 13 , 2017 .   Jump up ^ Porter , Rick ( November 17 , 2017 ) . `` ' This Is Us ' and 12 more shows double in week 6 broadcast Live + 7 ratings '' . TV By The Numbers . Retrieved November 22 , 2017 .   Jump up ^ Porter , Rick ( November 27 , 2017 ) . `` ' This Is Us ' rides high in week 7 broadcast Live + 7 ratings '' . TV By The Numbers . Retrieved November 27 , 2017 .   Jump up ^ Porter , Rick ( December 5 , 2017 ) . `` ' Jane the Virgin , ' 10 other shows double in week 8 broadcast Live + 7 ratings '' . TV By The Numbers . Retrieved December 5 , 2017 .   Jump up ^ Porter , Rick ( December 15 , 2017 ) . `` CW crossovers get another bump in week 10 broadcast Live + 7 ratings '' . TV By The Numbers . Retrieved December 15 , 2017 .   Jump up ^ Porter , Rick ( December 21 , 2017 ) . `` ' Agents of SHIELD ' gets a good bump in week 11 broadcast Live + 7 ratings '' . TV By The Numbers . Retrieved January 2 , 2017 .   Jump up ^ Porter , Rick ( January 12 , 2018 ) . `` ' 9 - 1 - 1 ' premiere gets a good boost in the week 15 broadcast Live + 3 ratings '' . TV by the Numbers . Retrieved January 12 , 2018 .   Jump up ^ Porter , Rick ( January 26 , 2018 ) . `` ' The Brave ' goes from low to ... less low : Week 16 broadcast Live + 7 ratings '' . TV by the Numbers . Retrieved January 26 , 2018 .    General references    `` Shows A-Z -- big bang theory , the on CBS '' . The Futon Critic . Retrieved August 14 , 2014 .   `` The Big Bang Theory : Episode Guide '' . MSN TV . Retrieved August 14 , 2014 .   `` The Big Bang Theory Episode Guide '' . Zap2It . Retrieved August 14 , 2014 .    External links ( edit )    List of The Big Bang Theory episodes on IMDb   The Big Bang Theory : Season 11 at Rotten Tomatoes      ( hide )         The Big Bang Theory     Characters     Leonard Hofstadter   Sheldon Cooper   Penny   Howard Wolowitz   Raj Koothrappali       Episodes      Season 1     `` Pilot ''       Season 2     `` The Terminator Decoupling ''       Season 3     `` The Jiminy Conjecture ''       Season 4     `` The Cruciferous Vegetable Amplification ''   `` The Hot Troll Deviation ''   `` The Love Car Displacement ''   `` The Toast Derivation ''   `` The Roommate Transmogrification ''       Season 5     `` The Skank Reflex Analysis ''   `` The Infestation Hypothesis ''   `` The Wiggly Finger Catalyst ''   `` The Russian Rocket Reaction ''   `` The Rhinitis Revelation ''   `` The Good Guy Fluctuation ''   `` The Isolation Permutation ''   `` The Flaming Spittoon Acquisition ''   `` The Shiny Trinket Maneuver ''   `` The Recombination Hypothesis ''   `` The Beta Test Initiation ''   `` The Werewolf Transformation ''   `` The Hawking Excitation ''   `` The Stag Convergence ''   `` The Countdown Reflection ''       Season 6     `` The Fish Guts Displacement ''   `` The Santa Simulation ''   `` The Egg Salad Equivalency ''       Season 7     `` The Hofstadter Insufficiency ''   `` The Convention Conundrum ''       Season 8   `` The Locomotion Interruption ''     Season 9       Season 10       Season 11          Recurring concepts     `` Soft Kitty ''       Related articles     Awards and nominations   Bazinga ( genus )   Euglossa bazinga   Young Sheldon         Portal     Book      Retrieved from `` https://en.wikipedia.org/w/index.php?title=The_Big_Bang_Theory_(season_11)&amp;oldid=827807988 '' Categories :   2017 American television seasons   2018 American television seasons   The Big Bang Theory seasons   Hidden categories :   Use mdy dates from September 2017           Talk                                           Contents                   About Wikipedia                                           Wikiquote       Čeština   Deutsch   Español   Français   Italiano   Português   Русский   </t>
    </r>
    <r>
      <rPr>
        <sz val="11"/>
        <color rgb="FF000000"/>
        <rFont val="Noto Sans CJK SC"/>
        <family val="2"/>
      </rPr>
      <t xml:space="preserve">中文   </t>
    </r>
    <r>
      <rPr>
        <sz val="11"/>
        <color rgb="FF000000"/>
        <rFont val="Calibri"/>
        <family val="0"/>
        <charset val="1"/>
      </rPr>
      <t xml:space="preserve">Edit links   This page was last edited on 26 February 2018 , at 21 : 19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</si>
  <si>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is the big bang theory season 11 coming out</t>
  </si>
  <si>
    <t xml:space="preserve"> The eleventh season of the American television sitcom The Big Bang Theory premiered on CBS on Monday , September 25 , 2017 . It returned to its regular Thursday time slot on November 2 , 2017 , after Thursday Night Football on CBS ended . </t>
  </si>
  <si>
    <t xml:space="preserve">2017 Oakland Raiders season - wikipedia  2017 Oakland Raiders season  Jump to : navigation , search    2017 Oakland Raiders season     Head coach   Jack Del Rio     General manager   Reggie McKenzie     Owner   Mark Davis     Home field   Oakland -- Alameda County Coliseum     Results     Record   3 -- 5     Division place   4th AFC West     Uniform           ← 2016   Raiders seasons   2018 →       The 2017 Oakland Raiders season is the 58th overall season of the Oakland Raiders franchise , the franchise 's 48th season in the National Football League , their 24th season since their return to Oakland , and the third under head coach Jack Del Rio . The Raiders are looking to win their first AFC West title since 2002 and the Super Bowl for the first time since 1983 , when the club was still in Los Angeles . The Raiders began the season on September 10 at the Tennessee Titans and will finish the season December 31 at the Los Angeles Chargers . The Raiders , as they did in 2016 , will play one home game in Mexico City , this time against the New England Patriots .   Although the league approved the Raiders ' eventual relocation to Las Vegas on March 27 , 2017 , the team still maintains its lease at the Oakland -- Alameda County Coliseum and intends to use the stadium for at least the next two seasons and , perhaps , 2019 .   Contents  ( hide )   1 Offseason   1.1 Free agent signings   1.2 Losses   1.3 Trades   1.4 Contract extensions   1.5 Draft     2 Staff   3 Current roster   4 Preseason   4.1 Donald Penn holdout   4.2 Janikowski contract issue   4.3 Schedule and results     5 Regular season   5.1 Schedule and results   5.2 Game summaries   5.2. 1 Week 1 : at Tennessee Titans   5.2. 2 Week 2 : vs. New York Jets   5.2. 3 Week 3 : at Washington Redskins   5.2. 4 Week 4 : at Denver Broncos   5.2. 5 Week 5 : vs. Baltimore Ravens   5.2. 6 Week 6 : vs. Los Angeles Chargers   5.2. 7 Week 7 : vs. Kansas City Chiefs   5.2. 8 Week 8 : at Buffalo Bills   5.2. 9 Week 9 : at Miami Dolphins       6 Standings   6.1 Division   6.2 Conference     7 References   8 External links    Offseason ( edit )   Free agent signings ( edit )     Pos .   Player   Age   2016 Team   Contract     TE   Jared Cook   30   Green Bay Packers   2 years , $10.6 million     WR   Cordarrelle Patterson   26   Minnesota Vikings   2 years , $8.5 million     OT   Marshall Newhouse   28   New York Giants   2 years , $3.5 million     LS   Jon Condo   35   Oakland Raiders   1 year , $1 million     OLB   Jelani Jenkins   25   Miami Dolphins   1 year , $1 million     QB   EJ Manuel   27   Buffalo Bills   1 year , $800,000     DE   IK Enemkpali   26   Buffalo Bills   1 year     LB   Rufus Johnson   28   Washington Redskins   1 year     Losses ( edit )     Pos .   Player   Age   2017 Team     RB   Latavius Murray   26   Minnesota Vikings     LB   Malcolm Smith   27   San Francisco 49ers     DT   Stacy McGee   27   Washington Redskins     OT   Menelik Watson   28   Denver Broncos     WR   Andre Holmes   28   Buffalo Bills     SS   Brynden Trawick   27   Tennessee Titans     CB   D.J. Hayden   26   Detroit Lions     FS   Nate Allen   27   Miami Dolphins     TE   Mychal Rivera   26   Jacksonville Jaguars     QB   Matt McGloin   27   Philadelphia Eagles     LB   Perry Riley   28   TBD     OT   Austin Howard   30   Baltimore Ravens     RB   Taiwan Jones   28   Buffalo Bills     Trades ( edit )     Pos .   Player / picks received   Player / compensation sent   Team     RB   Marshawn Lynch 6th round pick ( 2018 draft )   5th round pick ( 2018 draft )   Seattle Seahawks     Contract extensions ( edit )    April 26 , 2017 -- Raiders sign RB Marshawn Lynch to a two - year deal that will reportedly pay him a base salary of $9 million and has a maximum value of $16.5 million with incentives .   June 22 , 2017 -- Raiders sign QB Derek Carr to a five - year $125 million contract extension making him the highest paid player in the NFL .   June 29 , 2017 -- Raiders sign OG Gabe Jackson to a five - year $56 million contract extension .    Draft ( edit )  Main article : 2017 NFL Draft  2017 Oakland Raiders Draft   Round   Selection   Player   Position   College       24   Gareon Conley   CB   Ohio State       56   Obi Melifonwu     Connecticut       88   Eddie Vanderdoes   DT   UCLA       130   David Sharpe   OT   Florida     5   168   Marquel Lee   LB   Wake Forest     7   221   Shalom Luani     Washington State     7   231   Jylan Ware   OT   Alabama State     7   242   Elijah Hood   RB   North Carolina     7   244   Treyvon Hester   DT   Toledo     Staff ( edit )     Oakland Raiders staff                     Front Office     Owner -- Mark Davis   President -- Marc Badain   Executive Vice President / General Counsel - Dan Ventrelle   General Manager -- Reggie McKenzie   Director of Football Administration -- Tom Delaney   Director of Player Personnel -- Joey Clinkscales   Assistant Director of Player Personnel -- Trey Scott   Director of Pro Personnel -- Dane Vandernat   Assistant Director of Pro Personnel -- Von Hutchins   Director of College Scouting -- Shaun Herock   Assistant Director of College Scouting -- Brad Kaplan     Head Coaches     Head Coach -- Jack Del Rio   Assistant Head Coach / Defense -- John Pagano     Offensive Coaches     Offensive Coordinator -- Todd Downing   Quarterbacks -- Jake Peetz   Running Backs -- Bernie Parmalee   Wide Receivers -- Rob Moore   Assistant Wide Receivers -- Nick Holz   Tight Ends -- Bobby Johnson   Offensive Line -- Mike Tice   Assistant Offensive Line -- Tim Holt   Quality Control / Offense -- Nate Tice           Defensive Coaches     Defensive Coordinator -- Ken Norton Jr .   Defensive Line -- Jethro Franklin   Linebackers -- Sal Sunseri   Outside Linebackers -- Travis Smith   Cornerbacks -- Rod Woodson   Safeties -- Brent Vieselmeyer   Defensive Assistant -- Sam Anno     Special Teams Coaches     Special Teams Coordinator -- Brad Seely   Assistant Special Teams -- Tracy Smith     Strength and Conditioning     Head Strength and Conditioning -- Joe Gomes   Assistant Strength and Conditioning -- Darryl Eto   Strength and Conditioning Assistant -- Hugh Fullagar   Strength and Conditioning Assistant -- Wesley Miller    → Coaching Staff → Management → More NFL staffs        AFC East   BUF   MIA   NE   NYJ   North   BAL   CIN   CLE   PIT   South   HOU   IND   JAX   TEN   West   DEN   KC   LAC   OAK     NFC East   DAL   NYG   PHI   WAS   North   CHI   DET   GB   MIN   South   ATL   CAR   NO   TB   West   ARI   LAR   SF   SEA       Current roster ( edit )     Oakland Raiders roster   view   talk         Quarterbacks   4 Derek Carr   18 Connor Cook   3 EJ Manuel    Running backs    24 Marshawn Lynch   49 Jamize Olawale FB   30 Jalen Richard   33 DeAndré Washington    Wide receivers    89 Amari Cooper   15 Michael Crabtree   16 Johnny Holton   84 Cordarrelle Patterson   10 Seth Roberts    Tight ends    87 Jared Cook   86 Lee Smith   88 Clive Walford       Offensive linemen   74 Vadal Alexander T   76 Jon Feliciano C   61 Rodney Hudson C   66 Gabe Jackson G   73 Marshall Newhouse T   70 Kelechi Osemele G   72 Donald Penn T   71 David Sharpe T   69 Jylan Ware T    Defensive linemen    96 Denico Autry DE   97 Mario Edwards Jr . DE   78 Justin Ellis NT   90 Treyvon Hester DT   52 Khalil Mack DE   94 Eddie Vanderdoes DT   95 Jihad Ward DE       Linebackers   53 NaVorro Bowman MLB   91 Shilique Calhoun OLB   47 James Cowser OLB   51 Bruce Irvin OLB   57 Cory James OLB   55 Marquel Lee MLB   50 Nicholas Morrow OLB   56 Xavier Woodson - Luster MLB    Defensive backs    29 David Amerson CB   38 T.J. Carrie CB   22 Gareon Conley CB   41 Erik Harris SS   42 Karl Joseph SS   26 Shalom Luani SS   25 Demetrius McCray CB   23 Dexter McDonald CB   39 Keith McGill FS   27 Reggie Nelson FS   21 Sean Smith CB    Special teams    59 Jon Condo LS   7 Marquette King P   2 Giorgio Tavecchio K           Reserve lists   32 Antonio Hamilton CB ( IR )   11 Sebastian Janikowski K ( IR )   79 Denver Kirkland G ( IR )   75 Darius Latham NT ( Susp . )   20 Obi Melifonwu SS ( IR )   99 Aldon Smith OLB ( Susp . )    Practice squad    31 Breon Borders CB   99 Fadol Brown DE   81 Pharaoh Brown TE   14 Keon Hatcher WR   37 Tevin Mitchel CB   54 Deontae Skinner OLB   65 Jordan Simmons G   62 James Stone C   9 Isaac Whitney WR   Rookies in italics  Roster updated October 30 , 2017 Depth chart Transactions 53 Active , 6 Inactive , 9 Practice squad  → AFC rosters → NFC rosters       AFC East   BUF   MIA   NE   NYJ   North   BAL   CIN   CLE   PIT   South   HOU   IND   JAX   TEN   West   DEN   KC   LAC   OAK     NFC East   DAL   NYG   PHI   WAS   North   CHI   DET   GB   MIN   South   ATL   CAR   NO   TB   West   ARI   LAR   SF   SEA       Preseason ( edit )   The Raiders ' preliminary preseason schedule was announced on April 10 . In preparation for the team 's eventual move to Las Vegas , the Raiders sought to play at least one of their two preseason games at Sam Boyd Stadium . When the preseason opponents were announced , both home games were scheduled for Oakland .   Donald Penn holdout ( edit )   OT Donald Penn chose not to report to training camp on July 28 as he was unhappy with his contract which was to pay him $6.2 million this season in the second season of a two - year deal . Penn ended his holdout without a new deal and reported to the team on August 23 . Penn , sought to be paid as a top ten LT in the league , said , `` We have a great owner , a good GM . I came in here putting my trust in them . ''   Janikowski contract issue ( edit )   Prior to Week 1 of the regular season , the Raiders sought to have K Sebastian Janikowski agree to rework his contract to pay him less than the $4 million owed to him for the 2017 season . Janikowski remained on the roster as of September 5 , meaning he was guaranteed to be paid $238,000 . The Raiders reportedly worked out three kickers in anticipation of being unable to reach an agreement with Janikowski . On September 6 , Janikowski agreed to a $1 million paycut to stay with the team . Three days later , Janikowski was placed on injured reserve due to a back injury .   Schedule and results ( edit )     Week   Date   Opponent   Result   Record   Game site   NFL.com recap       August 12   at Arizona Cardinals   L 10 -- 20   0 -- 1   University of Phoenix Stadium   Recap       August 19   Los Angeles Rams   L 21 -- 24   0 -- 2   Oakland -- Alameda County Coliseum   Recap       August 26   at Dallas Cowboys   L 20 -- 24   0 -- 3   AT&amp;T Stadium   Recap       August 31   Seattle Seahawks   L 13 -- 17   0 -- 4   Oakland -- Alameda County Coliseum   Recap     Regular season ( edit )   Schedule and results ( edit )     Week   Date   Kickoff   Opponent   Result   Record   Game site   TV   NFL.com recap       September 10   10 : 00 a.m. PDT   at Tennessee Titans   W 26 -- 16   1 -- 0   Nissan Stadium   CBS   Recap       September 17   1 : 05 p.m. PDT   New York Jets   W 45 -- 20   2 -- 0   Oakland -- Alameda County Coliseum   CBS   Recap       September 24   5 : 30 p.m. PDT   at Washington Redskins   L 10 -- 27   2 -- 1   FedExField   NBC   Recap       October 1   1 : 25 p.m. PDT   at Denver Broncos   L 10 -- 16   2 -- 2   Sports Authority Field at Mile High   CBS   Recap     5   October 8   1 : 05 p.m. PDT   Baltimore Ravens   L 17 -- 30   2 -- 3   Oakland -- Alameda County Coliseum   CBS   Recap     6   October 15   1 : 25 p.m. PDT   Los Angeles Chargers   L 16 -- 17   2 -- 4   Oakland -- Alameda County Coliseum   CBS   Recap     7   October 19   5 : 25 p.m. PDT   Kansas City Chiefs   W 31 -- 30   3 -- 4   Oakland -- Alameda County Coliseum   CBS / NFLN / Amazon Video   Recap     8   October 29   10 : 00 a.m. PDT   at Buffalo Bills   L 14 -- 34   3 -- 5   New Era Field   CBS   Recap     9   November 5   5 : 30 p.m. PST   at Miami Dolphins       Hard Rock Stadium   NBC       10   Bye     11   November 19   1 : 25 p.m. PST   New England Patriots       Estadio Azteca ( Mexico City )   CBS       12   November 26   1 : 25 p.m. PST   Denver Broncos       Oakland -- Alameda County Coliseum   CBS       13   December 3   1 : 25 p.m. PST   New York Giants       Oakland -- Alameda County Coliseum   Fox       14   December 10   10 : 00 a.m. PST   at Kansas City Chiefs       Arrowhead Stadium   CBS       15   December 17   5 : 30 p.m. PST   Dallas Cowboys       Oakland -- Alameda County Coliseum   NBC       16   December 25   5 : 30 p.m. PST   at Philadelphia Eagles       Lincoln Financial Field   ESPN       17   December 31   1 : 25 p.m. PST   at Los Angeles Chargers       StubHub Center   CBS       Notes    Intra-division opponents are in bold text .   Networks and times for Sunday games from Weeks 11 -- 17 are subject to change as a result of flexible scheduling .    Game summaries ( edit )  Week 1 : at Tennessee Titans ( edit ) Week One : Oakland Raiders at Tennessee Titans -- Game summary              Total     Raiders   7   6     10   26     Titans   7         16     at Nissan Stadium , Nashville , Tennessee    Date : September 10   Game time : 12 : 00 p.m. CDT / 10 : 00 a.m. PDT   Game weather : 72 ° F ( 22 ° C ) , sunny   Game attendance : 69,089   Referee : Jerome Boger   TV announcers ( CBS ) : Jim Nantz , Tony Romo and Tracy Wolfson   Recap , Gamebook      ( show ) Game information         First quarter    OAK -- Amari Cooper 8 -- yard pass from Derek Carr ( Giorgio Tavecchio kick ) , 12 : 49 . Raiders 7 -- 0 . Drive : 4 plays , 50 yards , 2 : 11 .   TEN -- Marcus Mariota 10 -- yard run ( Ryan Succop kick ) , 6 : 58 . Tied 7 -- 7 . Drive : 12 plays , 75 yards , 5 : 51 .    Second quarter    OAK -- Giorgio Tavecchio 20 -- yard field goal , 14 : 55 . Raiders 10 -- 7 . Drive : 15 plays , 73 yards , 7 : 03 .   TEN -- Ryan Succop 23 -- yard field goal , 0 : 43 . Tied 10 -- 10 . Drive : 15 plays , 93 yards , 6 : 20 .   OAK -- Giorgio Tavecchio 52 -- yard field goal , 0 : 00 . Raiders 13 -- 10 . Drive : 5 plays , 41 yards , 0 : 43 .    Third quarter    OAK -- Giorgio Tavecchio 52 -- yard field goal , 4 : 31 . Raiders 16 -- 10 . Drive : 8 plays , 29 yards , 4 : 11 .   TEN -- Ryan Succop 26 -- yard field goal , 0 : 00 . Raiders 16 -- 13 . Drive : 9 plays , 67 yards , 4 : 31 .    Fourth quarter    OAK -- Seth Roberts 19 -- yard pass from Derek Carr ( Giorgio Tavecchio kick ) , 11 : 58 . Raiders 23 -- 13 . Drive : 7 plays , 70 yards , 3 : 02 .   TEN -- Ryan Succop 52 -- yard field goal , 4 : 49 . Raiders 23 -- 16 . Drive : 8 plays , 46 yards , 1 : 55 .   OAK -- Giorgio Tavecchio 43 -- yard field goal , 1 : 09 . Raiders 26 -- 16 . Drive : 9 plays , 34 yards , 3 : 40 .      Top passers    OAK -- Derek Carr -- 22 / 32 , 262 yards , 2 TD   TEN -- Marcus Mariota -- 25 / 41 , 256 yards    Top rushers    OAK -- Marshawn Lynch -- 18 rushes , 76 yards   TEN -- DeMarco Murray -- 12 rushes , 44 yards    Top receivers    OAK -- Michael Crabtree -- 6 receptions , 83 yards   TEN -- Delanie Walker -- 7 receptions , 76 yards    Top tacklers    OAK -- Karl Joseph -- 9 tackles   TEN -- Kevin Byard -- 8 tackles          For the third consecutive season , the Raiders traveled to Nashville to take on the Tennessee Titans . It also marked the second consecutive year that the Raiders began the season on the road . On September 9 , one day before the first game of the season , the Raiders placed Sebastian Janikowski on injured reserve due to an injured back . They signed Giorgio Tavecchio off the practice squad to do the kicking .   The Raiders started well as the Titans tried to surprise the Raiders with an onside kick on the opening kickoff which the Raiders recovered . Four plays later , Derek Carr hit Amari Cooper who bowled into the endzone for an eight - yard touchdown pass to give the Raiders the lead 7 -- 0 . The Titans answered on their ensuing drive , going 75 yards on 12 plays with Marcus Mariota rushing for a 10 - yard touchdown to tie the game . The Raiders came back as Tavecchio hit his first career field goal , a 20 - yarder , to give the Raiders a 10 -- 7 lead . After exchanging punts in the early part of the second quarter , the Titans tied the game with 43 seconds remaining in the half on a Ryan Succop 23 - yard field goal . The Raider offense moved 41 yards with time winding down to set up Tavecchio 's second field goal , from 52 yards out , to give the Raiders the halftime lead 13 -- 10 .   In the second half , the Raider defense held the Titans to punts on consecutive drives as the Raiders notched another 52 - yard field goal to extend the lead to 16 -- 10 with a little over four minutes left in the third period . The Raider defense prevented a Titans touchdown on the ensuing drive , forcing the Titans to settle for a 26 - yard field goal which narrowed the gap to 16 -- 13 as the period expired . In the fourth quarter , Carr led the Raiders on a seven play , 70 - yard drive capped off by a Seth Roberts 19 - yard touchdown reception . The Raiders defense , which had struggled immensely the previous year , forced the Titans to punt and then held them to a field goal with 4 : 49 remaining . Another Tavecchio field goal , this time from 43 yards out , extended the lead to 26 -- 16 with 1 : 14 left in the game . The Titans could muster no more , missing a 52 - yard field goal with 12 seconds remaining as the Raiders pulled out the win 26 -- 16 .   In the win , Tavecchio became the first kicker in NFL history to make two 50 - yard field goals in an NFL debut . Following his performance , Tavecchio was named AFC Special Teams Player of the Week . Marshawn Lynch ran for 76 yards on 18 carries in his Raider debut . Carr threw for 262 yards with two touchdown passes to lead the Raiders to a 1 -- 0 record to start the season .  Week 2 : vs. New York Jets ( edit ) Week Two : New York Jets at Oakland Raiders -- Game summary              Total     Jets   0   10     7   20     Raiders   7   14   7   17   45     at Oakland -- Alameda County Coliseum , Oakland , California    Date : September 17   Game time : 1 : 05 p.m. PDT   Game weather : 70 ° F ( 21 ° C ) , sunny   Game attendance : 54,729   Referee : Jeff Triplette   TV announcers ( CBS ) : Ian Eagle , Dan Fouts and Evan Washburn   Recap , Gamebook      ( show ) Game information         First quarter    OAK -- Michael Crabtree 2 - yard pass from Derek Carr ( Giorgio Tavecchio kick ) , 4 : 58 . Raiders 7 -- 0 . Drive : 11 plays , 81 yards , 5 : 59 .    Second quarter    OAK -- Michael Crabtree 26 - yard pass from Derek Carr ( Giorgio Tavecchio kick ) , 13 : 00 . Raiders 14 -- 0 . Drive : 8 plays , 85 yards , 4 : 38 .   NYJ -- Jermaine Kearse 34 - yard pass from Josh McCown ( Chandler Catanzaro kick ) , 9 : 15 . Raiders 14 -- 7 . Drive : 7 plays , 75 yards , 3 : 47 .   NYJ -- Chandler Catanzaro 46 - yard field goal , 3 : 11 . Raiders 14 -- 10 . Drive : 11 plays , 62 yards , 4 : 40 .   OAK -- Marshawn Lynch 2 - yard run ( Giorgio Tavecchio kick ) , 0 : 23 . Raiders 21 -- 10 . Drive : 3 plays , 4 yards , 1 : 29 .    Third quarter    NYJ -- Chandler Catanzaro 40 - yard field goal , 7 : 14 . Raiders 21 -- 13 . Drive : 12 plays , 45 yards , 7 : 50 .   OAK -- Cordarrelle Patterson 43 - yard run ( Giorgio Tavecchio kick ) , 3 : 39 . Raiders 28 -- 13 . Drive : 7 plays , 84 yards , 3 : 39 .    Fourth quarter    OAK -- Jalen Richard 52 - yard run ( Giorgio Tavecchio kick ) , 12 : 59 . Raiders 35 -- 13 . Drive : 4 plays , 79 yards , 2 : 00 .   OAK -- Michael Crabtree 1 - yard pass from Derek Carr ( Giorgio Tavecchio kick ) , 12 : 32 . Raiders 42 -- 13 . Drive : 1 play , 18 yards , 0 : 10 .   NYJ -- Jermaine Kearse 11 - yard pass from Josh McCown ( Chandler Catanzaro kick ) , 8 : 47 . Raiders 42 -- 20 . Drive : 10 plays , 75 yards , 3 : 45 .   OAK -- Giorgio Tavecchio 29 - yard field goal , 0 : 29 . Raiders 45 -- 20 . Drive : 12 plays , 37 yards , 8 : 17 .      Top passers    NYJ -- Josh McCown -- 17 / 25 , 166 yards , 2 TD   OAK -- Derek Carr -- 23 / 28 , 230 yards , 3 TD    Top rushers    NYJ -- Matt Forte -- 9 rushes , 53 yards   OAK -- Jalen Richard -- 6 rushes , 58 yards , TD    Top receivers    NYJ -- Jermaine Kearse -- 4 receptions , 64 yards , 2 TD   OAK -- Michael Crabtree -- 6 receptions , 80 yards , 3 TD    Top tacklers    NYJ -- Marcus Maye -- 7 tackles   OAK -- Reggie Nelson -- 8 tackles          The Raiders opened the home portion of their schedule against the New York Jets . After the teams exchanged three - and - outs on their first possessions , the Raiders moved downfield on an 81 - yard drive that culminated in a Derek Carr to Michael Crabtree two - yard touchdown pass to give the Raiders an early 7 -- 0 lead . After another Jets punt , the Raiders went 85 yards as Carr hit Crabtree from 26 yards out to extend the lead to 14 -- 0 . The Jets answered with a 75 - yard drive which ended with a Jermaine Kearse 34 - yard pass from Josh McCown for a touchdown , reducing the Raider lead to 14 -- 7 . The Raider offense stalled on their next two possessions as the Jets added a 46 - yard field goal to narrow the lead to 14 -- 10 . With 1 : 50 remaining in the first half , the Raiders were forced to punt , but Jet returner Kalif Raymond muffed the punt and the Raiders recovered at the Jets four yard line . Three plays later , Oakland native Marshawn Lynch scored from two yards out , his first touchdown as a Raider , to give the Raiders the 21 -- 10 halftime lead .   The Jets began the second half with a field goal that again narrowed the lead , this time to 21 -- 13 . The Raiders , however , answered the score convincingly , scoring three touchdowns on their next three possessions as Cordarelle Patterson and Jalen Richard each scored on long rushing plays and Carr hit Crabtree again from 19 yards out after a Jets fumble to push the lead to 42 -- 13 . The Jets added a touchdown midway through the fourth period , but the Raider offense ate up the remaining time on the clock , using 8 : 17 to go 32 yards before a Georgio Tavecchio 29 - yard field goal pushed the lead to 45 -- 20 with 25 seconds remaining . The 45 -- 20 win moved the Raiders to 2 -- 0 on the season , the first time since 2002 that they had started a season 2 -- 0 .   Derek Carr completed 23 of 28 passes for 230 yards and three touchdowns , all to Michael Crabtree . Crabtree caught six passes for 80 yards to go along with his three touchdowns . Marshawn Lynch only rushed for 45 yards on 12 carries , but did get a touchdown as the Raiders rushed for 180 yards in the game . The Raider defense played well again limiting the Jets to 276 yards in the game and sacking Jets QB Josh McCown four times .  Week 3 : at Washington Redskins ( edit ) Week Three : Oakland Raiders at Washington Redskins -- Game summary              Total     Raiders   0   0   7     10     Redskins   7   7   7   6   27     at FedExField , Landover , Maryland    Date : September 24   Game time : 8 : 30 p.m. EDT / 5 : 30 p.m. PDT   Game weather : 76 ° F ( 24 ° C ) , clear   Game attendance : 77,123   Referee : Tony Corrente   TV announcers ( NBC ) : Al Michaels , Cris Collinsworth and Michele Tafoya   Recap , Gamebook      ( show ) Game information         First quarter    WAS -- Chris Thompson 22 - yard pass from Kirk Cousins ( Dustin Hopkins kick ) , 9 : 43 . Redskins 7 -- 0 . Drive : 8 plays , 67 yards , 4 : 29 .    Second quarter    WAS -- Vernon Davis 18 - yard pass from Kirk Cousins ( Dustin Hopkins kick ) , 3 : 48 . Redskins 14 -- 0 . Drive : 11 plays , 72 yards , 6 : 10 .    Third quarter    WAS -- Josh Doctson 52 - yard pass from Kirk Cousins ( Dustin Hopkins kick ) , 10 : 37 . Redskins 21 -- 0 . Drive : 7 plays , 75 yards , 4 : 23 .   Oak -- Jared Cook 21 - yard pass from Derek Carr ( Giorgio Tavecchio kick ) , 3 : 52 . Redskins 21 -- 7 . Drive : 2 plays , 18 yards , 0 : 47 .    Fourth quarter    WAS -- Dustin Hopkins 23 - yard field goal , 14 : 58 . Redskins 24 -- 7 . Drive : 7 plays , 70 yards , 3 : 54 .   OAK -- Giorgio Tavecchio 22 - yard field goal , 11 : 54 . Redskins 24 -- 10 . Drive : 4 plays , 8 yards , 0 : 22 .   WAS -- Dustin Hopkins 28 - yard field goal , 6 : 02 . Redskins 27 -- 10 . Drive : 9 plays , 65 yards , 5 : 52 .      Top passers    OAK -- Derek Carr -- 19 / 31 , 118 yards , 1 TD , 2 INT   WAS -- Kirk Cousins 25 / 30 , 365 yards , 3 TD    Top rushers    OAK -- Marshawn Lynch -- 6 rushes , 18 yards   WAS -- Samaje Perine -- 19 rushes , 49 yards    Top receivers    OAK -- DeAndre Washington -- 5 receptions , 24 yards   WAS -- Chris Thompson -- 6 receptions , 150 yards , 1 TD    Top tacklers    OAK -- Cory James -- 12 tackles   WAS -- Zach Brown -- 10 tackles          The Raiders traveled to take on Washington on Sunday Night Football . Beginning a rough night for Derek Carr , on the second play of the game , Carr threw his first interception on the season . Washington took advantage of the turnover , driving 67 yards on eight plays as Kirk Cousins hit Chris Thompson on a 22 - yard pass to give Washington the lead 7 -- 0 . The teams exchanged punts on each of their next three possessions , but the Raiders turned the ball over again with 10 minutes remaining in the second quarter when Carr was picked off for the second time in the game . Washington again took advantage , driving 72 yards and scoring their second touchdown on a Vernon Davis 18 - yard touchdown catch . As a result , the Raiders trailed 14 -- 0 at the half . The Raider offense was completely shut down in the first half , managing only 47 yards from scrimmage .   Washington continued to dominate the Raiders in the second half , driving 75 yards on the opening possession and upping the lead to 21 -- 0 on a Josh Doctson 52 - yard touchdown catch . A punt by the Raiders followed and Washington missed a field goal attempt on their next possession as the score remained 21 -- 0 . On the Raiders next possession , they were forced to punt , but Jamison Crowder muffed the punt and the Raiders recovered at the Washington 18 - yard line . Two plays later , Carr hit Jared Cook from 21 yards out to notch the Raiders first points and cutting the lead to 21 -- 7 . A Washington field goal moved the lead to 24 -- 7 as the Raiders were forced to punt again . Following a fumble on the next Washington possession , the Raiders could not get into the end zone from the Washington 20 and were forced to settle for a Giorgio Tavecchio 22 - yard field goal . Washington answered the field goal with their own to move the lead back to 17 at 27 -- 10 . Neither team could muster anything further as the Raiders fell 27 -- 10 . The loss moved the Raiders to 2 -- 1 on the season .   The disappointing performance was led by the Raider offense which went 0 -- 11 on third down tries and managed only 128 total yards . Meanwhile , the Raider defense gave up 472 yards to Washington , 356 through the air .  Week 4 : at Denver Broncos ( edit ) Week Four : Oakland Raiders at Denver Broncos -- Game summary              Total     Raiders   0   7   0     10     Broncos   10   0   6   0   16     at Sports Authority Field at Mile High , Denver , Colorado    Date : October 1   Game time : 2 : 25 p.m. MDT / 1 : 25 p.m. PDT   Game weather : 72 ° F ( 22 ° C ) , mostly cloudy   Game attendance : 76,909   Referee : John Parry   TV announcers ( CBS ) : Jim Nantz , Tony Romo and Tracy Wolfson   Recap , Gamebook      ( show ) Game information         First quarter    DEN -- A.J. Derby 22 - yard pass from Trevor Siemian ( Brandon McManus kick ) , 8 : 11 . Broncos 7 -- 0 . Drive : 7 plays , 88 yards , 3 : 17 .   DEN -- Brandon McManus 28 - yard field goal , 1 : 09 . Broncos 10 -- 0 . Drive : 8 plays , 79 yards , 4 : 08 .    Second quarter    OAK -- Johnny Holton 64 - yard pass from Derek Carr , ( Giorgio Tavecchio kick ) , 3 : 36 . Broncos 10 -- 7 . Drive : 5 plays , 99 yards , 2 : 23 .    Third quarter    DEN -- Brandon McManus 36 - yard field goal , 9 : 40 . Broncos 13 -- 7 . Drive : 6 plays , 55 yards , 3 : 08 .   Deb -- Brandon McManus 46 - yard field goal , 5 : 06 . Broncos 16 -- 7 . Drive : 5 plays , 3 yards , 2 : 07 .    Fourth quarter    Oak -- Georgio Tavecchio 38 - yard field goal , 5 : 03 . Broncos 16 -- 10 . Drive : 9 plays , 73 yards , 3 : 07 .      Top passers    OAK -- Derek Carr 10 / 18 , 143 yards , 1 TD   DEN -- Trevor Siemian 16 / 26 , 179 yards , 1 TD    Top rushers    OAK -- Marshawn Lynch -- 9 rushes , 12 yards   DEN -- C.J. Anderson -- 20 rushes , 95 yards    Top receivers    OAK -- Johnny Holton -- 1 reception , 64 yards , 1 TD   DEN -- A.J. Derby -- 4 receptions , 75 yards , 1 TD    Top tacklers    OAK -- Cory James -- 10 tackles   DEN -- Darian Stewart -- 7 tackles          The Raiders next traveled to Denver for their first division game of the year . Once again , the Raider offense struggled , not managing any points until the second quarter . The Denver offense looked good on its second possession of the game , moving 88 yards on seven plays and opening the scoring as Trevor Siemian hit A.J. Derby on a 22 - yard pass and catch for a touchdown . Following a quick Raider possession and trailing 7 -- 0 , the Raider defense was able to limit Denver to a Brandon McManus 28 - yard field goal , stopping the Broncos on the 79 - yard drive . Finally , with 5 : 59 seconds remaining in the second quarter , the Raiders offense came alive . Beginning on their own one - yard line , the Raiders quickly moved out to their 36 - yard line before Derek Carr hit Johnny Holton on a bomb for a 64 - yard touchdown pass which brought the score to 10 -- 7 . The half ended with both offenses managing nothing further .   The Raiders began the second half with the ball , but could not manage a first down again , punting the ball back to the Broncos . Denver capitalized , driving 55 yards before settling for another McManus field goal to move the score to 13 -- 7 . A three - and - out by the Raiders on their ensuing possession led to another McManus field goal which extended the Bronco lead to 16 -- 7 . Looking to close the gap , the Raiders again failed to manage a first down and attempted a fake punt from inside their own 35 - yard line where punter Marquette King attempted to run for the first down , but was instead dropped for a three - yard loss . The Broncos failed to capitalize as McManus missed a 29 - yard field goal . Derek Carr was sacked on the first play of the Raiders next possession and had to leave the game with a back injury . Backup quarterback EJ Manuel could not get a first down as the Raiders were forced to punt again with less than three minutes remaining in the third quarter . Neither team managed any points on their first possessors of the fourth quarter . With 8 : 30 remaining in the game , the Raiders went no huddle and EJ Manuel led the team down the field with five consecutive completions . However , the drive stalled and the Raiders were forced to settled for a Giorgio Tavecchio 38 - yard field goal with 5 : 27 left in the game . The Raider defense forced Denver to punt and Manuel took over with 4 : 16 left in the game . Completing three of four passes , the Raiders moved to the Denver 41 - yard line . However , Manuel 's next pass was intercepted by the Broncos at the Denver eight - yard line with 1 : 46 remaining in the game to end the Raider comeback hopes .   For the second consecutive week , the Raider offense struggled managing only 24 yards rushing while only putting up 249 yard through the air . The Raider defense played well limiting the Broncos to only 298 total yards . The following day , it was announced that Carr had broken a bone in his back ( transverse process fracture ) and would miss two to six weeks .  Week 5 : vs. Baltimore Ravens ( edit ) Week Five : Baltimore Ravens at Oakland Raiders -- Game summary              Total     Ravens   14   10   0   6   30     Raiders     7   7   0   17     at Oakland -- Alameda County Coliseum , Oakland , California    Date : October 8   Game time : 1 : 05 p.m. PDT   Game weather : 72 ° F ( 22 ° C ) , Sunny   Referee : Brad Allen   TV announcers ( CBS ) : Greg Gumbel , Trent Green and Jamie Erdahl   Recap , Gamebook      ( show ) Game information         First quarter    BAL -- Vince Mayle 2 - yard run ( Justin Tucker kick ) , 12 : 45 . Ravens 7 -- 0 . Drive : 5 plays , 75 yards , 2 : 15 .   BAL -- Jimmy Smith 47 - yard fumble return ( Justin Tucker kick ) , 11 : 10 . Ravens 14 -- 0 .   OAK -- Giorgio Tavecchio 32 - yard field goal , 5 : 07 . Ravens 14 -- 3 . Drive : 12 plays 61 , yards , 6 : 03 .    Second quarter    BAL -- Javorius Allen 1 - yard run ( Justin Tucker kick ) , 11 : 57 . Ravens 21 -- 3 . Drive : 15 plays , 75 yards , 8 : 10 .   OAK -- Michael Crabtree 41 - yard pass from EJ Manuel ( Giorgio Tavecchio kick ) , 9 : 11 . Ravens 21 -- 10 . Drive : 6 plays , 75 yards , 2 : 46 .   BAL -- Justin Tucker 22</t>
  </si>
  <si>
    <t xml:space="preserve">when do the oakland raiders play in mexico city</t>
  </si>
  <si>
    <t xml:space="preserve">   Week   Date   Kickoff   Opponent   Result   Record   Game site   TV   NFL.com recap       September 10   10 : 00 a.m. PDT   at Tennessee Titans   W 26 -- 16   1 -- 0   Nissan Stadium   CBS   Recap       September 17   1 : 05 p.m. PDT   New York Jets   W 45 -- 20   2 -- 0   Oakland -- Alameda County Coliseum   CBS   Recap       September 24   5 : 30 p.m. PDT   at Washington Redskins   L 10 -- 27   2 -- 1   FedExField   NBC   Recap       October 1   1 : 25 p.m. PDT   at Denver Broncos   L 10 -- 16   2 -- 2   Sports Authority Field at Mile High   CBS   Recap     5   October 8   1 : 05 p.m. PDT   Baltimore Ravens   L 17 -- 30   2 -- 3   Oakland -- Alameda County Coliseum   CBS   Recap     6   October 15   1 : 25 p.m. PDT   Los Angeles Chargers   L 16 -- 17   2 -- 4   Oakland -- Alameda County Coliseum   CBS   Recap     7   October 19   5 : 25 p.m. PDT   Kansas City Chiefs   W 31 -- 30   3 -- 4   Oakland -- Alameda County Coliseum   CBS / NFLN / Amazon Video   Recap     8   October 29   10 : 00 a.m. PDT   at Buffalo Bills   L 14 -- 34   3 -- 5   New Era Field   CBS   Recap     9   November 5   5 : 30 p.m. PST   at Miami Dolphins       Hard Rock Stadium   NBC       10   Bye     11   November 19   1 : 25 p.m. PST   New England Patriots       Estadio Azteca ( Mexico City )   CBS       12   November 26   1 : 25 p.m. PST   Denver Broncos       Oakland -- Alameda County Coliseum   CBS       13   December 3   1 : 25 p.m. PST   New York Giants       Oakland -- Alameda County Coliseum   Fox       14   December 10   10 : 00 a.m. PST   at Kansas City Chiefs       Arrowhead Stadium   CBS       15   December 17   5 : 30 p.m. PST   Dallas Cowboys       Oakland -- Alameda County Coliseum   NBC       16   December 25   5 : 30 p.m. PST   at Philadelphia Eagles       Lincoln Financial Field   ESPN       17   December 31   1 : 25 p.m. PST   at Los Angeles Chargers       StubHub Center   CBS     </t>
  </si>
  <si>
    <r>
      <rPr>
        <sz val="11"/>
        <color rgb="FF000000"/>
        <rFont val="Calibri"/>
        <family val="0"/>
        <charset val="1"/>
      </rPr>
      <t xml:space="preserve">Cleo King - wikipedia  Cleo King  Jump to : navigation , search    Cleo King     King at the 2014 Seventh Annual Bel Air Film Festival at the Saban Theatre in Beverly Hills .       Harriet Cleo King ( 1962 - 08 - 21 ) August 21 , 1962 ( age 55 ) St. Louis , Missouri , U.S     Occupation   Actress     Years active   1988 -- present     Cleo King ( born Harriet Cleo King ; August 21 , 1962 ) is an American character actress , best known for her roles on television .   Life and career ( edit )   King was born in St. Louis , Missouri , and was the youngest of seven children in her family . She graduated from University of Missouri and later moved to New York to pursue an acting career , appearing on stage productions . In mid-1990s , King moved to Los Angeles , California , when she began appearing on television shows such as The Wayans Bros. , Living Single , Malcolm &amp; Eddie , Murphy Brown , and Any Day Now .   King has appeared in a number of films , playing small parts , include Magnolia ( 1999 ) , Dude , Where 's My Car ? ( 2000 ) , Bubble Boy ( 2001 ) , The Life of David Gale ( 2003 ) , Dreamgirls ( 2006 ) , Pineapple Express ( 2008 ) , The Hangover ( 2009 ) , and Valentine 's Day . She guest - starred on more than 50 shows , include NYPD Blue , Ally McBeal , Six Feet Under , The West Wing , CSI : Crime Scene Investigation , NCIS , and Ugly Betty .   From 2001 to 2002 , King had the recurring role as Helene Parks in the Fox drama series , Boston Public created by David E. Kelley . In 2003 , she co-starred in the short - lived CBS drama The Brotherhood of Poland , New Hampshire , also created by Kelley . In 2006 , she played Aunt Lou in the HBO drama series Deadwood during its third and final season . In 2009 , King had the recurring role as Neeta , the nanny of Jax Teller 's son in the FX drama series , Sons of Anarchy .   In 2010 , King was cast in the series regular role as grandmother , Rosetta McMillan `` Nana '' , in the CBS sitcom Mike &amp; Molly , even though she is only 7 years older than Reno Wilson ( who plays her grandson , Carl ) .   She also appears regularly in Netflix 's adaptation of A Series of Unfortunate Events , which premiered in 2017 .   References ( edit )    ^ Jump up to : Iya Bakare . `` Mike - Molly - s - Cleo - King - Claims - Her - Throne - in - Acting - Industry - Entertainment - Articles '' . Retrieved 2 February 2016 .   Jump up ^ `` Cleo King '' . Hollywood.com . Retrieved 2 February 2016 .   Jump up ^ William Keck ( 2 September 2010 ) . `` Keck 's Exclusives : CBS ' Mike &amp; Molly Makes a Surprising Casting Choice '' . TVGuide.com . Retrieved 2 February 2016 .    External links ( edit )    Cleo King on IMDb            VIAF : 106882459   LCCN : no2010008040      Retrieved from `` https://en.wikipedia.org/w/index.php?title=Cleo_King&amp;oldid=801142129 '' Categories :   1962 births   American television actresses   American film actresses   Living people   Actresses from St. Louis   University of Missouri alumni   African - American actresses   American actresses   20th - century American actresses   21st - century American actresses   Hidden categories :   Articles with hCards   Wikipedia articles with VIAF identifiers   Wikipedia articles with LCCN identifiers           Talk                                                             About Wikipedia                                                 Deutsch   فارسی   Français   Italiano   </t>
    </r>
    <r>
      <rPr>
        <sz val="11"/>
        <color rgb="FF000000"/>
        <rFont val="Noto Sans CJK SC"/>
        <family val="2"/>
      </rPr>
      <t xml:space="preserve">日本 語   </t>
    </r>
    <r>
      <rPr>
        <sz val="11"/>
        <color rgb="FF000000"/>
        <rFont val="Calibri"/>
        <family val="0"/>
        <charset val="1"/>
      </rPr>
      <t xml:space="preserve">Português   Русский   Svenska   Edit links   This page was last edited on 17 September 2017 , at 22 : 37 .         About Wikipedia                    </t>
    </r>
  </si>
  <si>
    <t xml:space="preserve">who plays carl's grandmother on mike and molly</t>
  </si>
  <si>
    <t xml:space="preserve"> Cleo King ( born Harriet Cleo King ; August 21 , 1962 ) is an American character actress , best known for her roles on television . </t>
  </si>
  <si>
    <r>
      <rPr>
        <sz val="11"/>
        <color rgb="FF000000"/>
        <rFont val="Calibri"/>
        <family val="0"/>
        <charset val="1"/>
      </rPr>
      <t xml:space="preserve">List of Attack on Titan episodes - wikipedia  List of Attack on Titan episodes  Jump to : navigation , search The logo of Attack on Titan  Attack on Titan is an anime series adapted from the manga of the same title by Hajime Isayama . It is set in a world where humanity lives inside cities surrounded by enormous walls due to the Titans , gigantic humanoid beings who devour humans seemingly without reason . The story follows the adventures of Eren Yeager , his adopted sister Mikasa Ackerman , and their friend Armin Arlert , whose lives are changed forever after a Colossal Titan breaches the wall of their home town . Vowing revenge and to reclaim the world from the Titans , Eren and his friends join the Scout Regiment , an elite group of soldiers who fight Titans .   Produced by IG Port 's Wit Studio and directed by Tetsurō Araki , Attack on Titan was broadcast on the Mainichi Broadcasting System from April 7 to September 29 , 2013 , and later aired on Tokyo MX , FBS , TOS , HTB , TVA and BS11 . Both Funimation and Crunchyroll have streamed the series with subtitles on their respective websites . Funimation has also licensed the anime for home video release in 2014 . Episode 1 of the English version premiered at Anime Boston , with other episodes put on Funimation 's subscription services . On television of the series has broadcast weekly on Adult Swim 's Toonami block on May 3 , 2014 , starting at 11 : 30 p.m. EST .   From episode 1 to 13 , the anime 's opening theme song is `` Feuerroter Pfeil und Bogen '' ( </t>
    </r>
    <r>
      <rPr>
        <sz val="11"/>
        <color rgb="FF000000"/>
        <rFont val="Noto Sans CJK SC"/>
        <family val="2"/>
      </rPr>
      <t xml:space="preserve">紅蓮 の 弓矢 </t>
    </r>
    <r>
      <rPr>
        <sz val="11"/>
        <color rgb="FF000000"/>
        <rFont val="Calibri"/>
        <family val="0"/>
        <charset val="1"/>
      </rPr>
      <t xml:space="preserve">, Guren no Yumiya , lit . `` Crimson Bow and Arrow '' ) by Linked Horizon and the ending theme song is `` Utsukushiki Zankoku na Sekai '' ( </t>
    </r>
    <r>
      <rPr>
        <sz val="11"/>
        <color rgb="FF000000"/>
        <rFont val="Noto Sans CJK SC"/>
        <family val="2"/>
      </rPr>
      <t xml:space="preserve">美しき 残酷 な 世界 </t>
    </r>
    <r>
      <rPr>
        <sz val="11"/>
        <color rgb="FF000000"/>
        <rFont val="Calibri"/>
        <family val="0"/>
        <charset val="1"/>
      </rPr>
      <t xml:space="preserve">, lit . `` A Beautiful Cruel World '' ) by Yōko Hikasa . From episode 14 to 25 , the anime 's opening theme song is `` Die Flügel der Freiheit '' ( </t>
    </r>
    <r>
      <rPr>
        <sz val="11"/>
        <color rgb="FF000000"/>
        <rFont val="Noto Sans CJK SC"/>
        <family val="2"/>
      </rPr>
      <t xml:space="preserve">自由 の 翼 </t>
    </r>
    <r>
      <rPr>
        <sz val="11"/>
        <color rgb="FF000000"/>
        <rFont val="Calibri"/>
        <family val="0"/>
        <charset val="1"/>
      </rPr>
      <t xml:space="preserve">, Jiyū no Tsubasa , lit . `` The Wings of Freedom '' ) by Linked Horizon and the ending theme song is `` great escape '' by Cinema Staff . The opening themes were collected on Linked Horizon 's single `` Jiyū e no Shingeki '' which sold over 100 thousand copies in its first week of sales .   A second season aired from April 1 to June 17 , 2017 on MBS and other television networks . Funimation and Crunchyroll streamed the second season on their respective websites , with Adult Swim aired a dubbed version . The opening theme song is `` Opfert eure Herzen ! '' ( </t>
    </r>
    <r>
      <rPr>
        <sz val="11"/>
        <color rgb="FF000000"/>
        <rFont val="Noto Sans CJK SC"/>
        <family val="2"/>
      </rPr>
      <t xml:space="preserve">心臓 を 捧げよ </t>
    </r>
    <r>
      <rPr>
        <sz val="11"/>
        <color rgb="FF000000"/>
        <rFont val="Calibri"/>
        <family val="0"/>
        <charset val="1"/>
      </rPr>
      <t xml:space="preserve">! , Shinzō o Sasageyo ! , lit . `` Dedicate Your Hearts ! '' ) by Linked Horizon and the ending theme song is `` Yūgure no Tori '' ( </t>
    </r>
    <r>
      <rPr>
        <sz val="11"/>
        <color rgb="FF000000"/>
        <rFont val="Noto Sans CJK SC"/>
        <family val="2"/>
      </rPr>
      <t xml:space="preserve">夕暮れ の 鳥 </t>
    </r>
    <r>
      <rPr>
        <sz val="11"/>
        <color rgb="FF000000"/>
        <rFont val="Calibri"/>
        <family val="0"/>
        <charset val="1"/>
      </rPr>
      <t xml:space="preserve">) by Shinsei Kamattechan .   On June 17 , 2017 , a third season was announced at the close of the second season 's final episode , with a release date slated for July 2018 .     Contents  ( hide )   1 Series overview   2 Episode list   2.1 Season 1 ( 2013 )   2.2 Season 2 ( 2017 )     3 Special episodes   3.1 OVA episodes   3.2 Bonus shorts     4 See also   5 Notes   6 References   7 External links      Series overview ( edit )     Season   Episodes   Originally aired     First aired   Last aired         25   April 7 , 2013 ( 2013 - 04 - 07 )   September 29 , 2013 ( 2013 - 09 - 29 )         12   April 1 , 2017 ( 2017 - 04 - 01 )   June 17 , 2017 ( 2017 - 06 - 17 )     Episode list ( edit )   Season 1 ( 2013 ) ( edit )     No . overall   No. in season   Title   Directed by   Written by   Original air date   English airdate         `` To You , in 2000 Years : The Fall of Shiganshina , Part 1 '' `` Ni - sen Nen - go no Kimi e - Shiganshina Kanraku ( 1 ) - '' ( </t>
    </r>
    <r>
      <rPr>
        <sz val="11"/>
        <color rgb="FF000000"/>
        <rFont val="Noto Sans CJK SC"/>
        <family val="2"/>
      </rPr>
      <t xml:space="preserve">二 千 年 後 の 君 へ ― シガンシナ 陥落 </t>
    </r>
    <r>
      <rPr>
        <sz val="11"/>
        <color rgb="FF000000"/>
        <rFont val="Calibri"/>
        <family val="0"/>
        <charset val="1"/>
      </rPr>
      <t xml:space="preserve">1 ― )   Hiroyuki Tanaka Tetsurō Araki   Yasuko Kobayashi   April 7 , 2013   May 3 , 2014     For over a century , humans have been living in settlements surrounded by three gigantic walls , which prevent the Titans , giant humanoid creatures who eat humans , from entering . Eren Jaeger , of the town called the Shiganshina District , wishes to see the outside world by joining the Scout Regiment , as he likens living in the cities to livestock . Despite this , his adopted sister Mikasa Ackermann and their mother Carla Jaeger are against him joining the Scouts . Even after seeing the Scouts return home with large casualties , Eren expresses his interest to join , which impresses his father Grisha Jaeger . After Eren and Mikasa rescue their friend Armin Arlelt from a group of delinquents due to his views that the walls will not protect them forever , the Colossal Titan suddenly appears and knocks down the gate to the Shiganshina District , which lies in the outer edge of Wall Maria , allowing smaller Titans to enter . As the town erupts into mass panic , Eren and Mikasa rush back to Carla , only to see her pinned under their collapsed house . Carla begs them to flee , but they refuse until city guard Hannes arrives and takes them away . Eren watches in horror as a Smiling Titan eats Carla .         `` That Day : The Fall of Shiganshina , Part 2 '' `` Sono Hi - Shiganshina Kanraku ( 2 ) - '' ( </t>
    </r>
    <r>
      <rPr>
        <sz val="11"/>
        <color rgb="FF000000"/>
        <rFont val="Noto Sans CJK SC"/>
        <family val="2"/>
      </rPr>
      <t xml:space="preserve">その日 ― シガンシナ 陥落 </t>
    </r>
    <r>
      <rPr>
        <sz val="11"/>
        <color rgb="FF000000"/>
        <rFont val="Calibri"/>
        <family val="0"/>
        <charset val="1"/>
      </rPr>
      <t xml:space="preserve">2 ― )   Masashi Koizuka   Yasuko Kobayashi   April 14 , 2013   May 10 , 2014     Hannes apologizes to Eren for not saving his mother , admitting he was afraid of the Smiling Titan and that both Eren and Mikasa are still weak children . Some of townsfolk of the Shiganshina District escape to the inner Wall Maria , while the soldiers try to hold off the Titans . The soldiers try to close the gate , but the Armored Titan rams the gate , breaching the inner Wall Maria , and causing those inside to retreat even further inside Wall Rose . Some time later , Eren has a strange dream in which his grieving father forcefully gives him an injection and his key before being woken up by Mikasa . Eren grows disgusted with the people of Wall Rose as the latter do not like sharing their food or homes with the refugees . During the next year , as a food shortage becomes apparent , the government orders the refugees to either work on the farms or fight to reclaim Wall Maria . About 250,000 people , 20 % of the populace , choose to fight , only to be wiped out by the Titans . Eren vows revenge and joins the army along with Mikasa and Armin .         `` A Dim Light Amid Despair : Humanity 's Comeback , Part 1 '' `` Zetsubō no Naka de Nibuku Hikaru - Jinrui no Saiki ( 1 ) - '' ( </t>
    </r>
    <r>
      <rPr>
        <sz val="11"/>
        <color rgb="FF000000"/>
        <rFont val="Noto Sans CJK SC"/>
        <family val="2"/>
      </rPr>
      <t xml:space="preserve">絶望 の 中 で 鈍く 光る ― 人類 の 再起 </t>
    </r>
    <r>
      <rPr>
        <sz val="11"/>
        <color rgb="FF000000"/>
        <rFont val="Calibri"/>
        <family val="0"/>
        <charset val="1"/>
      </rPr>
      <t xml:space="preserve">1 ― )   Kiyoshi Fukumoto   Hiroshi Seko   April 21 , 2013   May 17 , 2014     The drill instructor Keith Sadies inspects the new recruits of the 104th Cadet Corps and provides a barrage of verbal insults . When he comes across Sasha Braus , who is eating a potato , he punishes her by having her run around the camp until sunset and not giving her any food or drink . Eren develops a rivalry with Jean Kirschtein , who desires a safe and easy position in the Military Police Regiment within the inner city walls . The recruits train on an omni - directional mobility gear apparatus , where they have to balance themselves while suspended on cables . After Eren has trouble balancing , he asks Reiner Braun and Bertholdt Hoover for help and discover they too are among the few who have personally encountered Titans . The next day , Eren balances on the apparatus but falls , but Keith discovers that Eren 's apparatus was defective and passes him after a retry with different equipment .         `` The Night of the Closing Ceremony : Humanity 's Comeback , Part 2 '' `` Kaisan Shiki no Yoru - Jinrui no Saiki ( 2 ) - '' ( </t>
    </r>
    <r>
      <rPr>
        <sz val="11"/>
        <color rgb="FF000000"/>
        <rFont val="Noto Sans CJK SC"/>
        <family val="2"/>
      </rPr>
      <t xml:space="preserve">解散 式 の 夜 ― 人類 の 再起 </t>
    </r>
    <r>
      <rPr>
        <sz val="11"/>
        <color rgb="FF000000"/>
        <rFont val="Calibri"/>
        <family val="0"/>
        <charset val="1"/>
      </rPr>
      <t xml:space="preserve">2 ― )   Makoto Bessho   Yasuko Kobayashi   April 28 , 2013   May 24 , 2014     Five years since Wall Maria fell , Keith evaluates the recruits for their strengths and weaknesses . After training in hand - to - hand combat with Reiner and Annie Leonhart , Eren learns later that night that Jean and several other recruits hope to join the Military Police Regiment to avoid having to fight Titans . On graduation day , Eren and Mikasa rank among the top ten of their class . They are eligible to join the Military Police Regiment , but Eren declines and announces that he is joining the Scout Regiment on the front lines , leading Armin and Mikasa to join him . They are assigned to the Trost District , one of the cities which is at the outer edge of Wall Rose , where they discover other classmates have joined . The Colossal Titan appears and breaches the gate . Once Eren regains his composure , he takes command and orders a counterattack .     5   5   `` First Battle : The Struggle for Trost , Part 1 '' `` Uijin - Torosuto - ku Kōbōsen ( 1 ) - '' ( </t>
    </r>
    <r>
      <rPr>
        <sz val="11"/>
        <color rgb="FF000000"/>
        <rFont val="Noto Sans CJK SC"/>
        <family val="2"/>
      </rPr>
      <t xml:space="preserve">初陣 ― トロスト 区 攻防 戦 </t>
    </r>
    <r>
      <rPr>
        <sz val="11"/>
        <color rgb="FF000000"/>
        <rFont val="Calibri"/>
        <family val="0"/>
        <charset val="1"/>
      </rPr>
      <t xml:space="preserve">1 ― )   Shinpei Ezaki   Hiroshi Seko   May 5 , 2013   May 31 , 2014     The Colossal Titan destroys the wall 's cannons , but it vanishes into a burst of stream before Eren prepares to attack its weak point . The Military Police Regiment scrambles to evacuate the people of the Trost District and set up defenses before the Titans enter the city . Assigned by Commander Kitts Woerman of the Garrison Regiment to different squads , Mikasa helps with the evacuation , while Eren and Armin provide backup at the front lines . With the Titans now in the city , Eren recalls his lessons that in order to kill a Titan , they must strike the nape of its neck . As Eren and Armin 's squad attack , their comrades are killed or eaten by the Titans one by one , with Eren himself losing his left leg . Armin , paralyzed with fear upon seeing his comrades ' fates , is picked up by a Bearded Titan and almost swallowed . Eren , recalling when he and Armin wished to see the world outside the walls , manages to drag and toss Armin out of the Bearded Titan 's mouth at the last moment . He reaches for Armin with his left arm out of the Bearded Titan 's mouth , but the Bearded Titan closes its jaws , severing Eren 's arm and swallowing him .     6   6   `` The World the Girl Saw : The Struggle for Trost , Part 2 '' `` Shōjo ga Mita Sekai - Torosuto - ku Kōbōsen ( 2 ) - '' ( </t>
    </r>
    <r>
      <rPr>
        <sz val="11"/>
        <color rgb="FF000000"/>
        <rFont val="Noto Sans CJK SC"/>
        <family val="2"/>
      </rPr>
      <t xml:space="preserve">少女 が 見 た 世界 ― トロスト 区 攻防 戦 </t>
    </r>
    <r>
      <rPr>
        <sz val="11"/>
        <color rgb="FF000000"/>
        <rFont val="Calibri"/>
        <family val="0"/>
        <charset val="1"/>
      </rPr>
      <t xml:space="preserve">2 ― )   Tomomi Ikeda   Hiroshi Seko   May 12 , 2013   June 7 , 2014     Armin awakens to find himself surrounded by Conny Springer , Christa Lenz and Ymir . As Armin heads back to the rearguard , he blames himself not being strong enough to save Eren . Meanwhile , an Abnormal Titan approaches the city 's exit gate , which is crowded by refugees . Once Mikasa kills the Abnormal Titan , she threatens a greedy merchant holding cargo to let the refugees pass first . After she is thanked by a mother and daughter , Mikasa has a flashback . In the year 844 , a year before the fall of Wall Maria , Mikasa was targeted by three slave traders , who murdered her parents in a struggle . After Grisha and Eren discovered the corpses while making a visit , Eren secretly tracked down the slave traders to a nearby hut and killed two of them in an attempt to save Mikasa . However , the third slave trader appeared and began strangling Eren . Encouraged by Eren , Mikasa overcame her fear and gained resolve to kill the third slave trader . After the children are found by the Military Police Regiment , Mikasa was invited to live with Eren and Grisha . Back in the present , Mikasa slays more Titans and goes to help the other squads evacuate .     7   7   `` Small Blade : The Struggle for Trost , Part 3 '' `` Chiisana Yaiba - Torosuto - ku Kōbōsen ( 3 ) - '' ( </t>
    </r>
    <r>
      <rPr>
        <sz val="11"/>
        <color rgb="FF000000"/>
        <rFont val="Noto Sans CJK SC"/>
        <family val="2"/>
      </rPr>
      <t xml:space="preserve">小さな 刃 ― トロスト 区 攻防 戦 </t>
    </r>
    <r>
      <rPr>
        <sz val="11"/>
        <color rgb="FF000000"/>
        <rFont val="Calibri"/>
        <family val="0"/>
        <charset val="1"/>
      </rPr>
      <t xml:space="preserve">3 ― )   Yuzuru Tachikawa   Hiroshi Seko   May 19 , 2013   June 14 , 2014     The surviving squads , unable to reach the inner walls due to their omni - directional mobility gear being low on gas , lose their fighting spirit as the nearby supply depot is overrun by Titans . Mikasa seems unfazed after learning from Armin that his entire squad perished , including Eren . She rallies the others to reclaim the supply depot , inspiring them to join her in the attack , but Mikasa ends up running out of gas midair and falls into an alleyway . Jean assumes command , but he loses his nerve when he sees some of his comrades being eaten by Titans . As a blonde Titan approaches Mikasa , she prepares to attack with her remaining broken blade , but a Mysterious Titan appears behind her and brutally kills the blonde Titan , much to her confusion . Armin and Conny show up , shocked to witness the Mysterious Titan not only fighting other Titans , but also showing knowledge of their weak point and using hand - to - hand combat techniques , while completely ignoring the humans . Armin gives Mikasa his gas tanks and blades so that she can support the others at the supply depot . Mikasa , however , refuses to leave him behind and ponders on the Mysterious Titan 's strange behavior .     8   8   `` I Can Hear His Heartbeat : The Struggle for Trost , Part 4 '' `` Shinzō no Kodō ga Kikoeru - Torosuto - ku Kōbōsen ( 4 ) - '' ( </t>
    </r>
    <r>
      <rPr>
        <sz val="11"/>
        <color rgb="FF000000"/>
        <rFont val="Noto Sans CJK SC"/>
        <family val="2"/>
      </rPr>
      <t xml:space="preserve">心臓 の 鼓動 が 聞こえる ― トロスト 区 攻防 戦 </t>
    </r>
    <r>
      <rPr>
        <sz val="11"/>
        <color rgb="FF000000"/>
        <rFont val="Calibri"/>
        <family val="0"/>
        <charset val="1"/>
      </rPr>
      <t xml:space="preserve">4 ― )   Satonobu Kikuchi Shinpei Ezaki Tatsuma Minamikawa   Noboru Takagi   May 26 , 2013   June 21 , 2014     With the supply depot swarming with Titans , Armin has the idea of using the Mysterious Titan to defeat them . Mikasa and Conny agree with his plan and defeat the Titans attacking it , before rushing to the supply depot . Meanwhile , Jean and the others reach the supply depot despite suffering more casualties on the way , with Armin , Mikasa and Conny arriving soon after . Armin 's plan works , but while the Mysterious Titan is able to attract the enemies outside , seven smaller Titans remain in the fuel storage area . With their equipment out of fuel , Armin devises another plan . The survivors draw the Titans ' attention to an elevator and shoot them in the eyes to blind them , while seven of them jump from the ceiling to finish them off . Sasha and Conny fail to kill their targets but are saved by Mikasa and Annie . Having successfully replenished their fuel , the soldiers prepare to retreat . As they see the Mysterious Titan defeating all of the other Titans before collapsing , they are shocked to watch Eren emerge from its body . Mikasa reaches Eren and cries upon confirming that he is alive , while Armin notices that Eren 's severed leg and arm have somehow regenerated as well .     9   9   `` Whereabouts of His Left Arm : The Struggle for Trost , Part 5 '' `` Hidariude no Yukue - Torosuto - ku Kōbōsen ( 5 ) - '' ( </t>
    </r>
    <r>
      <rPr>
        <sz val="11"/>
        <color rgb="FF000000"/>
        <rFont val="Noto Sans CJK SC"/>
        <family val="2"/>
      </rPr>
      <t xml:space="preserve">左腕 の 行方 ― トロスト 区 攻防 戦 </t>
    </r>
    <r>
      <rPr>
        <sz val="11"/>
        <color rgb="FF000000"/>
        <rFont val="Calibri"/>
        <family val="0"/>
        <charset val="1"/>
      </rPr>
      <t xml:space="preserve">5 ― )   Yoshiyuki Fujiwara   Yasuko Kobayashi   June 2 , 2013   June 28 , 2014     Captain Levi of the Scout Regiment and his squad successfully retake a town from the Titans until they are called to an emergency at the Trost District as the Titans have invaded the city . When Eren was eaten and swallowed by the Bearded Titan , he found himself in its stomach along with the bodies of its victims . His rage at the Titans caused him to burst out of the Bearded Titan 's stomach by transforming himself into the Mysterious Titan and going on a rampage against them . Although Eren 's comrades saw him emerge from the Mysterious Titan , they all agreed to keep it a secret and bring him back inside Wall Rose . However , Kitts also witnessed this and has his men aim their weapons at Eren . Armin and Mikasa try to defend Eren , but to no avail . As Kitts fearfully orders the cannons to fire on the three of them , Eren recalls hazy memories of his father giving him an injection , telling him to reclaim Wall Maria and go to their home 's basement with his key . In order to protect Mikasa and Armin from the cannons , Eren partially transforms himself into the Mysterious Titan , sheltering them inside his ribs .     10   10   `` Response : The Struggle for Trost , Part 6 '' `` Kotaeru - Torosuto - ku Kōbōsen ( 6 ) - '' ( </t>
    </r>
    <r>
      <rPr>
        <sz val="11"/>
        <color rgb="FF000000"/>
        <rFont val="Noto Sans CJK SC"/>
        <family val="2"/>
      </rPr>
      <t xml:space="preserve">応える ― トロスト 区 攻防 戦 </t>
    </r>
    <r>
      <rPr>
        <sz val="11"/>
        <color rgb="FF000000"/>
        <rFont val="Calibri"/>
        <family val="0"/>
        <charset val="1"/>
      </rPr>
      <t xml:space="preserve">6 ― )   Hiroyuki Tanaka   Hiroshi Seko   June 9 , 2013   July 12 , 2014     Eren climbs out of the partially transformed Titan , telling Mikasa and Armin about the basement in his former house . He believes that it holds the secret to mankind 's preservation and the key to destroying the Titans . Kitts once again orders the cannon to be loaded out of fear . Eren comes up with two plans of escape . The first is for Eren to retreat as the Mysterious Titan and criminalize himself in the eyes of humanity , and the second is to have Armin convince Kitts that Eren is an asset rather than a danger . Armin comes to the conclusion that he can still defend his friends despite being cowardice , deciding to try and talk their way out of being executed . Armin tentatively convinces Kitts , only to have him be overcome by fear and give the order to fire once more . The order is halted when Commander Dot Pyxis and his men intervene , sparing their lives . In return , Pyxis asks Eren if he will transform himself to block the gap in Wall Rose to prevent more Titans from getting in . Eren agrees , regardless of whether or not he will be able to control himself as the Mysterious Titan .     11   11   `` Idol : The Struggle for Trost , Part 7 '' `` Gūzō - Torosuto - ku Kōbōsen ( 7 ) - '' ( </t>
    </r>
    <r>
      <rPr>
        <sz val="11"/>
        <color rgb="FF000000"/>
        <rFont val="Noto Sans CJK SC"/>
        <family val="2"/>
      </rPr>
      <t xml:space="preserve">偶像 ― トロスト 区 攻防 戦 </t>
    </r>
    <r>
      <rPr>
        <sz val="11"/>
        <color rgb="FF000000"/>
        <rFont val="Calibri"/>
        <family val="0"/>
        <charset val="1"/>
      </rPr>
      <t xml:space="preserve">7 ― )   Kiyoshi Fukumoto   Hiroshi Seko   June 16 , 2013   July 19 , 2014     As Armin helps Pyxis 's subordinates coordinate a plan , morale among the troops begin to drop , as some want to desert and be with their families . Pyxis silences everyone by reminding them that if they abandon this chance to finally win against the Titans , they will be subjecting their families to their terror , which convinces the troops to stay . Claiming that Eren is the result of a secret project to turn humans into Titans , Pyxis plans to have most of the troops gather at a far corner of the Trost District to lure most of the Titans away while Eren as the Mysterious Titan carries the giant boulder to seal the hole . Along with Mikasa , Eren will be guarded during the mission by three of the best elites of the Garrison , them being Ian Dietrich , Rico Brzenska and Mitabi Jarnach . As they approach the giant boulder , Rico , who is doubtful of the mission 's success and does not completely trust Eren , reminds him that many lives are at stake . Finally reaching the boulder , Eren transforms himself into a Titan , only to suddenly attack Mikasa .     12   12   `` Wound : The Struggle for Trost , Part 8 '' `` Kizu - Torosuto - ku Kōbōsen ( 8 ) - '' ( </t>
    </r>
    <r>
      <rPr>
        <sz val="11"/>
        <color rgb="FF000000"/>
        <rFont val="Noto Sans CJK SC"/>
        <family val="2"/>
      </rPr>
      <t xml:space="preserve">傷 ― トロスト 区 攻防 戦 </t>
    </r>
    <r>
      <rPr>
        <sz val="11"/>
        <color rgb="FF000000"/>
        <rFont val="Calibri"/>
        <family val="0"/>
        <charset val="1"/>
      </rPr>
      <t xml:space="preserve">8 ― )   Shintaro Itoga   Noboru Takagi   June 23 , 2013   July 26 , 2014     Mikasa tries to reason with Eren in as the Mysterious Titan , but to no avail . Eren continues his attack and accidentally incapacitates himself , slumping to the ground . The squad protecting Eren sends up a red flare to signal that the plan has failed , much to the dismay of the troops observing from the wall . As Armin heads toward Eren to investigate , the elite squadron argues and eventually agrees to protect Eren instead of abandoning him , still recognizing him as a valuable military asset . During the operation , Jean is separated from Connie and Annie after his omni - directional mobility gear malfunctions , forcing him to hide from two Titans in a building . Armin reaches the unconscious Eren , but Mikasa calls to him , warning that he is in a dangerous state . Armin plunges his sword into the side of Eren 's neck , which briefly awakens him . As Armin speaks to him of the outside world and reminds him of his promise to kill all the Titans , Eren leaves his dreamlike state and regains control .     13   13   `` Primal Desire : The Struggle for Trost , Part 9 '' `` Genshoteki Yokkyū - Torosuto - ku Kōbōsen ( 9 ) - '' ( </t>
    </r>
    <r>
      <rPr>
        <sz val="11"/>
        <color rgb="FF000000"/>
        <rFont val="Noto Sans CJK SC"/>
        <family val="2"/>
      </rPr>
      <t xml:space="preserve">原初 的 欲求 ― トロスト 区 攻防 戦 </t>
    </r>
    <r>
      <rPr>
        <sz val="11"/>
        <color rgb="FF000000"/>
        <rFont val="Calibri"/>
        <family val="0"/>
        <charset val="1"/>
      </rPr>
      <t xml:space="preserve">9 ― )   Masashi Koizuka   Noboru Takagi   June 30 , 2013   August 2 , 2014     Jean manages to acquire another set of omni - directional mobility gear from a dead soldier and escapes , thanks to Annie , Conny and Marco Bott distracting the Titans . With Eren as the Mysterious Titan carrying the boulder towards the gate , Ian orders everyone to protect Eren from the Titans at all costs . Eren finally blocks the open gate with the boulder , and Rico fires a yellow flare to signal that the operation was a success . As Armin tries to pull Eren from his Titan body , they are cornered by two Titans , but Levi saves them in the nick of time . All Titans remaining in the Trost Districts are eliminated except two , which are captured for research . Jean , Sasha and Annie all mourn the deaths of their fellow comrades among several casualties . Meanwhile , Eren is chained in a cell guarded by the Military Police Regiment , where he is visited by Levi and Commander Erwin Smith of the Scout Regiment . After listening to his story and reasons for wanting the Titans dead , Levi allows Eren to join his squad under his command , though Eren is warned that Levi would personally kill him if he ever betrays the squad or loses control again .     13.5   13.5   `` Since That Day '' `` Ano Hi kara '' ( </t>
    </r>
    <r>
      <rPr>
        <sz val="11"/>
        <color rgb="FF000000"/>
        <rFont val="Noto Sans CJK SC"/>
        <family val="2"/>
      </rPr>
      <t xml:space="preserve">あの 日 から </t>
    </r>
    <r>
      <rPr>
        <sz val="11"/>
        <color rgb="FF000000"/>
        <rFont val="Calibri"/>
        <family val="0"/>
        <charset val="1"/>
      </rPr>
      <t xml:space="preserve">)   Hiroyuki Tanaka   --   July 7 , 2013   --     This is a recap episode of the events during the first thirteen episodes .     14   14   `` Ca n't Look Into His Eyes Yet : Eve of the Counterattack , Part 1 '' `` Mada Me o Mirenai - Hangeki Zen'ya ( 1 ) - '' ( </t>
    </r>
    <r>
      <rPr>
        <sz val="11"/>
        <color rgb="FF000000"/>
        <rFont val="Noto Sans CJK SC"/>
        <family val="2"/>
      </rPr>
      <t xml:space="preserve">まだ 目 を 見れ ない ― 反撃 前夜 </t>
    </r>
    <r>
      <rPr>
        <sz val="11"/>
        <color rgb="FF000000"/>
        <rFont val="Calibri"/>
        <family val="0"/>
        <charset val="1"/>
      </rPr>
      <t xml:space="preserve">1 ― )   Keisuke Onishi Shinpei Ezaki   Yasuko Kobayashi   July 14 , 2013   August 9 , 2014     The populace is divided over whether Eren is their savior or their end . Eren is brought to a military tribunal to be judged by Commander - in - Chief Dhalis Zachary , who will decide whether Eren should be given to the Military Police Regiment or the Scout Regiment , both of whom have their own reasons for wanting him . The Military Police Regiment wants Eren killed as he is seen by them as a menace , while the Scout Regiment wants to use him to retake Wall Maria . Becoming furious upon hearing from a merchant that Mikasa is accused of being a Titan as well , Eren calls out the Military Police Regiment and their supporters for their cowardice . Levi brutally beats down Eren in retaliation , but Eren does not transform into the Mysterious Titan . Levi uses this to show to the court that the Scout Regiment can control Eren , and proposes that Eren is to be made part of his squad . In the end , Zachary gives Eren to the Scout Regiment , where Erwin and Hange Zoë welcome him . As Eren is getting treatment for his wounds , they discover that he grew back a tooth knocked out after being beaten down by Levi .     15   15   `` Special Operations Squad : Eve of the Counterattack , Part 2 '' `` Tokubetsu Sakusen - han - Hangeki Zen'ya ( 2 ) - '' ( </t>
    </r>
    <r>
      <rPr>
        <sz val="11"/>
        <color rgb="FF000000"/>
        <rFont val="Noto Sans CJK SC"/>
        <family val="2"/>
      </rPr>
      <t xml:space="preserve">特別 作戦 班 ― 反撃 前夜 </t>
    </r>
    <r>
      <rPr>
        <sz val="11"/>
        <color rgb="FF000000"/>
        <rFont val="Calibri"/>
        <family val="0"/>
        <charset val="1"/>
      </rPr>
      <t xml:space="preserve">2 ― )   Kiyoshi Fukumoto   Hiroshi Seko   July 21 , 2013   August 16 , 2014     Levi and his Special Operations Squad , composed of Eld Gin , Oruo Bozad , Petra Rall and Günther Schultz , bring Eren to the old Scout Regiment headquarters , where Eren will learn to control his Titan powers under their watch . As Levi orders the castle to be cleaned , Petra assures Eren that Levi does care about the people under his command despite his rude and harsh demeanor . Meanwhile , Erwin and Miche Zacharius discuss the new recruits joining the Scout Regiment and how they must prove Eren 's usefulness to Military Command within a month . Hange asks Eren to help her in her experiments with the two Titans they have captured , which she named Sawney and Beane . She has an obsession with Titans where she treats them like people despite the many times she puts herself in danger . It is revealed that the Titans need sunlight to survive and their bodies are disproportionately light despite their size . The next day , the Scout Regiment discover that Sawney and Beane have been killed . As Hange mourns for them , the Scout Regiment deduce that the culprit is a soldier who escaped using their omni - directional mobility gear , which makes Eren wonder who their true enemy is .     16   16   `` What Needs to be Done Now : Eve of the Counterattack , Part 3 '' `` Ima , Nani o Subeki ka - Hangeki Zen'ya ( 3 ) - '' ( </t>
    </r>
    <r>
      <rPr>
        <sz val="11"/>
        <color rgb="FF000000"/>
        <rFont val="Noto Sans CJK SC"/>
        <family val="2"/>
      </rPr>
      <t xml:space="preserve">今 、 何 を すべ きか ― 反撃 前夜 </t>
    </r>
    <r>
      <rPr>
        <sz val="11"/>
        <color rgb="FF000000"/>
        <rFont val="Calibri"/>
        <family val="0"/>
        <charset val="1"/>
      </rPr>
      <t xml:space="preserve">3 ― )   Keisuke Onishi Yasushi Muroya   Yasuko Kobayashi   July 28 , 2013   August 23 , 2014     As the recruits are investigated over Sawney and Beane 's deaths , Annie , who will be joining the Military Police Regiment later , gives advice to Armin and Conny that it is their choice to decide on which military division they should join . The 104th Cadets are later greeted by Erwin at the Decision Ceremony , where he tells them that the goal of the Scout Regiment 's expedition on the following month is to reclaim the Shiganshina District and find the secret hidden in Eren 's home basement . After telling the recruits of the Scout Regiment 's high mortality rate during each expedition , Erwin tells the recruits that they may stay and join them or leave to join the other branches . Most recruits leave , but Jean joins the Scout Regiment in honor of Marco with others joining him as well including Mikasa , Armin , Reiner , Bertholdt , Conny , Sasha , Christa and Ymir , despite their fears . As the Scout Regiment prepare themselves for the expedition , Eren is reunited with his friends and learns what happened to the others . Jean questions whether Eren can truly control his Titan powers as they are risking their lives for him . With everything ready , the Scout Regiment begin their 57th Expedition beyond the walls .     17   17   `` Female Titan : The 57th Exterior Scouting Mission , Part 1 '' `` Megata no Kyojin - Dai Gojū - Nana Kai Hekigai Chōsa ( 1 ) - '' ( </t>
    </r>
    <r>
      <rPr>
        <sz val="11"/>
        <color rgb="FF000000"/>
        <rFont val="Noto Sans CJK SC"/>
        <family val="2"/>
      </rPr>
      <t xml:space="preserve">女 型 の 巨人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1 ― )   Daisuke Tokudo Masashi Koizuka   Hiroshi Seko   August 4 , 2013   September 6 , 2014     As the 57th Expedition gets underway , the Scout Regiment assemble into their Long - Range Scouting Formation , wherein the Scouts spread out around the main wagon train and report by flare gun if Titans are nearby so the group can steer to avoid conflict with them if possible . After Armin 's squad manages to kill an Abnormal Titan , a Female Titan suddenly appears from the right flank at high speed . Much to Armin 's shock , the Female Titan 's body can withstand their blades and is intelligent enough to kill his seniors easily . The Female Titan captures Armin , but after removing his hood and seeing his face , she leaves him alive and continues running . Armin is picked up by Reiner and Jean , who reveals that their right flank was wiped out by the Titans , which makes Armin realize not only was it the Female Titan 's work , but also is she possibly another Titan Shifter like Eren . When the three of them give conflicting sources on where Eren is in the formation , they realize the Female Titan 's target is Eren and they must stop her . Despite their failed attempts to attack , she leaves them and heads towards the center group .     18   18   `` Forest of Giant Trees : The 57th Exterior Scouting Mission , Part 2 '' `` Kyodaiju no Mori - Dai Gojū - Nana Kai Hekigai Chōsa ( 2 ) - '' ( </t>
    </r>
    <r>
      <rPr>
        <sz val="11"/>
        <color rgb="FF000000"/>
        <rFont val="Noto Sans CJK SC"/>
        <family val="2"/>
      </rPr>
      <t xml:space="preserve">巨大 樹 の 森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2 ― )   Hiroyuki Tanaka Shin Wakabayashi   Hiroshi Seko   August 11 , 2013   September 13 , 2014     Armin , Reiner and Jean are left stranded after their encounter with the Female Titan leaves them with only one horse , but they are soon saved by Christa , who arrives with extra horses . They wait for the order to withdraw , but to their surprise , they discover that their operation is continuing albeit heading in a different direction . Meanwhile , news reaches the center group about their right flank being annihilated by the Female Titan as the latter continues to wreak havoc within the formation . The whole formation soon reaches the Forest of Giant Trees with only the center row entering it , while the rest defend the forest from Titans . Eren realizes something is wrong when his squad has no idea what Erwin 's orders are and what Levi is doing . As the Female Titan chases them at their heels , the squad desperately await Levi 's command to attack , but Levi instead tells his squad to cover their ears as he fires his flare gun .     19   19   `` Bite : The 57th Exterior Scouting Mission , Part 3 '' `` Kamitsuku - Dai Gojū - Nana Kai Hekigai Chōsa ( 3 ) - '' ( </t>
    </r>
    <r>
      <rPr>
        <sz val="11"/>
        <color rgb="FF000000"/>
        <rFont val="Noto Sans CJK SC"/>
        <family val="2"/>
      </rPr>
      <t xml:space="preserve">噛み付く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3 ― )   Kiyoshi Fukumoto Tomomi Ikeda   Noboru Takagi   August 18 , 2013   September 20 , 2014     Levi fires a noise round and tells the squad to keep moving forward . With more of the rearguard getting killed by the Female Titan , Eren begs his squad to let him fight , but they tell him to trust Levi 's decision . Eren starts remembering when he was unable to transform into the Mysterious Titan for experimental purposes in front of Hange , Levi and his squad . During a break when he tried to pick up a teaspoon , Eren suddenly partially transformed , leading Hange to deduce that Eren is able to transform into a Titan not by solely injuring himself but also due to his desire to fulfill his goals . The squad apologized to Eren and told him they should trust each other . Remembering this , Eren decides to trust his squad 's plan . It is then revealed that Levi 's squad is bait to lure the Female Titan into an ambush , where Erwin and his men fire hundreds of grappling hooks to trap the Female Titan . Levi leaves his squad to meet up with Erwin to find out the identity of the Female Titan .     20   20   `` Erwin Smith : The 57th Exterior Scouting Mission , Part 4 '' `` Eruvin Sumisu - Dai Gojū - Nana Kai Hekigai Chōsa ( 4 ) '' ( </t>
    </r>
    <r>
      <rPr>
        <sz val="11"/>
        <color rgb="FF000000"/>
        <rFont val="Noto Sans CJK SC"/>
        <family val="2"/>
      </rPr>
      <t xml:space="preserve">エルヴィン ・ スミス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4 ― )   Shintaro Itoga   Yasuko Kobayashi   August 25 , 2013   September 27 , 2014     With the Female Titan restrained , Erwin and Levi try to figure out its identity with no success as it is able to crystallize its skin to prevent them from cutting out the human inside . Armin , Jean and the rest of Levi 's squad realize it was Erwin 's plan to use Eren as bait to draw out the mole within the army who joined them after the Walls fell and only told his real plan to those who were part of the Scout Regiment before the fall . Meanwhile , the others wonder about what is happening inside the forest , and Levi taunts the Female Titan , prompting her to give a loud scream that draws all Titans in the vicinity to her . Despite the Scout Regiment 's attempt to stop them , the Titans ignore the humans and eat the Female Titan 's body in a frenzy , which makes Erwin call off the expedition . However , knowing that there is no confirmation that the mole has also been eaten by the Titans , Erwin orders Levi to regroup with his squad , while the mole , disguised as a cloaked Scout Regiment member , attacks Levi 's squad and kills Günther .     21   21   `` Crushing Blow : The 57th Exterior Scouting Mission , Part 5 '' `` Tettsui - Dai Gojū - Nana Kai Hekigai Chōsa ( 5 ) - '' ( </t>
    </r>
    <r>
      <rPr>
        <sz val="11"/>
        <color rgb="FF000000"/>
        <rFont val="Noto Sans CJK SC"/>
        <family val="2"/>
      </rPr>
      <t xml:space="preserve">鉄槌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5 ― )   Hiroyuki Tanaka Yasushi Muroya   Noboru Takagi   September 1 , 2013   October 4 , 2014     Erwin tells Hange that it was a mistake to think all Titan Shifters are like Eren , since the Female Titan has unique abilities far beyond that of a novice . Elsewhere , the mole transforms into the Female Titan and chases after Levi 's squad . Armin theorizes that the mole is someone who had seen Eren transform during the invasion of the Trost District . Eren wants to transform into the Mysterious Titan , but the squad tells him to trust in their skills and keep moving forward . Eld , Oruo and Petra manage to blind the Female Titan and attempt to cut off her arms . However , the Female Titan quickly regenerates her right eye and kills the three . Seeing his comrades dead , a grieving Eren transforms into the Mysterious Titan . Believing his comrades and squad 's death could have been avoided if he had transformed in the first place , Eren fights the Female Titan in a long battle . The Female Titan finally defeats Eren by taking off his head and swallowing his human body . Mikasa attempts to stop the Female Titan , but to no avail . She is later joined by Levi , who tells her to keep their distance , as the Female Titan is getting tired .     22   22   `` Defeated : The 57th Exterior Scouting Mission , Part 6 '' `` Haisha - tachi - Dai Gojū - Nana Kai Hekigai Chōsa ( 6 ) - '' ( </t>
    </r>
    <r>
      <rPr>
        <sz val="11"/>
        <color rgb="FF000000"/>
        <rFont val="Noto Sans CJK SC"/>
        <family val="2"/>
      </rPr>
      <t xml:space="preserve">敗者 達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6 ― )   Makoto Bessho Shinpei Ezaki   Noboru Takagi   September 8 , 2013   October 11 , 2014     While Mikasa distracts the Female Titan in order to get Eren back , Levi debilitates the Female Titan at high speeds , but Levi injures his leg when saving Mikasa from leaving herself vulnerable . Mikasa then goes with Levi , who retrieves Eren from inside the mouth of the Female Titan , leaving it badly wounded and slumped against a tree . The Scout Regiment retrieve the corpses of their fallen comrades , with Erwin ordering that the lost corpses be reported missing in action . One their way back into town , the Scouts are chased two Titans , one of which are killed by Mikasa . They outrun the other Titan after Levi reluctantly orders to dispose some of the corpses in order to lighten the wagon 's load . Later , Eren wakes up from a dream of his pa</t>
    </r>
  </si>
  <si>
    <t xml:space="preserve">when does attack on titan episodes come out</t>
  </si>
  <si>
    <t xml:space="preserve"> On June 17 , 2017 , a third season was announced at the close of the second season 's final episode , with a release date slated for July 2018 . </t>
  </si>
  <si>
    <t xml:space="preserve">Freaks and Geeks - wikipedia  Freaks and Geeks  Jump to : navigation , search    Freaks and Geeks         Genre     Teen drama   Comedy - drama       Created by   Paul Feig     Starring     Linda Cardellini   John Francis Daley   James Franco   Samm Levine   Seth Rogen   Jason Segel   Martin Starr   Becky Ann Baker   Joe Flaherty   Busy Philipps       Opening theme   `` Bad Reputation '' by Joan Jett     Country of origin   United States     Original language ( s )   English     No. of seasons       No. of episodes   18 ( list of episodes )     Production     Executive producer ( s )   Judd Apatow     Running time   44 minutes     Production company ( s )     Apatow Productions   DreamWorks Television       Distributor   Paramount Worldwide Television Distribution     Release     Original network   NBC     Picture format   480i ( 4 : 3 SDTV ) ( original broadcast ) 1080p 4 : 3 / 16 : 9 ( 2016 Blu - ray remaster )     Audio format   Dolby Surround 2.0 ( original broadcast ) Dolby Digital 5.1 ( DVD )     Original release   September 25 , 1999 ( 1999 - 09 - 25 ) -- October 17 , 2000 ( 2000 - 10 - 17 )     Freaks and Geeks is an American teen comedy - drama television series created by Paul Feig and executive - produced by Judd Apatow that aired on NBC during the 1999 -- 2000 television season . The show follows gifted high schooler Lindsay Weir , who befriends a gang of slacker `` freaks '' , and her younger brother Sam , as he and his geek friends navigate high school . Eighteen episodes were completed , but the series was canceled after only 12 had aired . A fan campaign persuaded NBC to broadcast the remaining episodes in September 2000 on Fox Family Channel .   The series has appeared in numerous lists of the greatest television shows of all time , including lists by Time , Entertainment Weekly and TV Guide . It launched several of its young actors , such as Seth Rogen and James Franco , into successful acting careers .     Contents  ( hide )   1 Plot   2 Cast and characters   2.1 Main cast   2.2 Recurring cast   2.3 Guest stars and cameo appearances     3 Episodes   3.1 Planned storylines     4 Media releases   4.1 DVD and Blu - ray   4.2 Books   4.3 Soundtrack     5 Appearances   6 Reception   6.1 Critical reception   6.2 Ratings   6.3 Awards and nominations     7 Cancellation and future   7.1 Undeclared   7.2 Syndication and cast reunions     8 References   9 External links   9.1 Further reading        Plot ( edit )   Teenage Lindsay Weir and her younger brother Sam attend William McKinley High School during the 1980 -- 1981 school year . The show is set in the town of Chippewa , Michigan , a fictional suburb of Detroit ( named after Chippewa Valley High School , which series creator Paul Feig attended .   Lindsay 's friends constitute the title 's `` freaks '' -- Daniel Desario , Ken Miller , Nick Andopolis , and Kim Kelly ; Sam 's friends constitute the `` geeks '' -- Neal Schweiber and Bill Haverchuck . The Weir parents , Harold and Jean , are featured in every episode . Millie Kentner , Lindsay 's nerdy and highly religious former best friend , is a recurring character , as is Cindy Sanders , the popular cheerleader on whom Sam has a crush .   Lindsay finds herself attempting to transform her life as an academically proficient student , star `` mathlete , '' and young girl into a rebellious teenager who hangs out with troubled slackers . Her relationships with her new friends , and the friction they cause with her parents and with her own self - image , form one central strand of the show . The other follows Sam and his group of geeky friends as they navigate a different part of the social universe and try to fit in .   Cast and characters ( edit )  Main article : List of Freaks and Geeks characters  Main cast ( edit )    Linda Cardellini as Lindsay Weir   John Francis Daley as Sam Weir   James Franco as Daniel Desario   Samm Levine as Neal Schweiber   Seth Rogen as Ken Miller   Jason Segel as Nick Andopolis   Martin Starr as Bill Haverchuck   Becky Ann Baker as Jean Weir   Joe Flaherty as Harold Weir   Busy Philipps as Kim Kelly    Recurring cast ( edit )    Sarah Hagan as Millie Kentner   Jerry Messing as Gordon Crisp   Stephen Lea Sheppard as Harris Trinsky   Natasha Melnick as Cindy Sanders   Ben Foster as Eli   Chauncey Leopardi as Alan White   Shaun Weiss as Sean   JoAnna Garcia as Vicki Appleby   Kayla Ewell as Maureen Sampson   Lizzy Caplan as Sara   Riley Smith as Todd Schellinger   Dave `` Gruber '' Allen as Jeff Rosso   Steve Bannos as Mr. Kowchevski   Trace Beaulieu as Mr. Lacovara   Steve Higgins as Mr. Fleck   Tom Wilson as Coach Ben Fredricks   Joel Hodgson as a DJ   Claudia Christian as Gloria Haverchuck   Kevin Tighe as Mr. Andopolis   Jessica Campbell as Amy Andrews   Sam McMurray as Vic Schweiber   Amy Aquino as Mrs. Schweiber   Ann Dowd as Cookie Kelly    Guest stars and cameo appearances ( edit )   Guest stars included : Samaire Armstrong ( as `` Deadhead '' Laurie ) , Alexandra Breckenridge ( as mathlete Shelly Weaver ) , Jack Conley ( as Kim Kelly 's stepfather ) , Kevin Corrigan ( as Millie 's delinquent cousin ) , Allen Covert ( as a liquor store clerk ) , Matt Czuchry ( as a student from rival Lincoln High ) , Alexander Gould ( as Ronnie , the boy Lindsay babysits while high ) , Steve Higgins ( as the Geeks ' A / V teacher ) , Rashida Jones ( as Kim Kelly 's friend Karen Scarfolli ) , Bianca Kajlich ( as a nose piercing punk girl ) , David Koechner ( as a waiter , in an uncredited role ) , David Krumholtz ( as Neal 's brother Barry ) , Shia LaBeouf ( as Herbert , the school mascot ) , Leslie Mann ( Judd Apatow 's wife ) ( in episode 13 as a teacher ) , Ben Stiller ( as a Secret Service agent ) , and Jason Schwartzman ( as a student dealing in fake IDs ) .   The show 's producers were resistant to stunt casting . For example , they resisted the network 's suggestion that they have Britney Spears appear as a waitress in one episode ; they thought such appearances would detract from the show 's realism .   Several of the screenwriters appeared on the show . Mike White played Kim Kelly 's oft - discussed injured brother , and first appeared in episode 4 , `` Kim Kelly is My Friend . '' Paul Feig , Gabe Sachs , and series composer Michael Andrews appear uncredited as members of the fictional band Dimension in `` I 'm With the Band . ''   Episodes ( edit )   The script for the pilot episode of Freaks and Geeks was written by Paul Feig as a spec script . Feig gave the script to producer Judd Apatow , who sold it to DreamWorks , where Apatow was under an overall deal . DreamWorks sold it to NBC , who greenlit a pilot . Before the script was shot , Feig wrote a second episode at the behest of Apatow . He showed this second script to Apatow and pilot director Jake Kasdan , and they suggested that he combine the two episodes to form a stronger pilot . Notable additions include the introduction of Kim Kelly and Lindsay 's recollection of her grandmother 's death . Feig wrote a final draft after a read - through with the cast , this time incorporating a first meeting between Lindsay and the freaks ( in previous drafts , Lindsay was already part of the group ) .   The show ran for 18 episodes , three of which -- `` Kim Kelly Is My Friend , '' `` Dead Dogs and Gym Teachers , '' and `` Noshing and Moshing '' -- were unaired by NBC and not seen until Fox Family ran the show in 2000 . The final three episodes premiered at the Museum of Television and Radio , prior to being broadcast on television . The list below is ordered by the chronology of the storyline .     No .   Title   Directed by   Written by   Original air date   Prod . code       `` Pilot ''   Jake Kasdan   Paul Feig   September 25 , 1999 ( 1999 - 09 - 25 )   100     A group of high school students in 1980 faces various social struggles . Lindsay Weir rebels and begins hanging out with a crowd of burnouts , courtesy of an invitation from Daniel Desario . Her affiliation with this gang of freaks and her quitting the mathletes worries her family and her friend Millie . Her depression started after her attempt to stop the teasing of a special education student goes terribly wrong and ends in him being injured . Meanwhile , freshman Sam Weir struggles to find the courage not only to confront his and his friends ' bully Alan , but also to ask cheerleader Cindy Sanders to the homecoming dance .       `` Beers and Weirs ''   Jake Kasdan   J. Elvis Weinstein &amp; Judd Apatow   October 2 , 1999 ( 1999 - 10 - 02 )   101     When the Weir parents go out of town for the weekend , Lindsay 's new friends suggest she throw a party . Lindsay hesitantly agrees in the hopes of impressing Daniel , who has broken up with Kim . She asks Sam not to tell their parents and he agrees , though the thought of serving beer at a party worries him after going to a school assembly focusing on alcohol - related deaths . When Sam discusses the matter with his friends Neal and Bill , Bill suggests that they switch the real beer with non-alcoholic beer . Despite the fake beer , the rowdy teenagers begin to think they are drunk and Lindsay soon finds herself having a terrible time when she sees that Daniel is back with Kim .       `` Tricks and Treats ''   Bryan Gordon   Paul Feig   October 30 , 1999 ( 1999 - 10 - 30 )   102     Halloween approaches and Sam persuades his friends to go trick - or - treating with him . The neighborhood reacts awkwardly to the freshmen trick - or - treaters and matters become worse when Alan picks a fight with the gang . Lindsay agrees to stay home and hand out candy with her mom on Halloween night . However , when she gets an invite to go cruise around town with Nick , Daniel , Ken and Kim , she ditches her mom to hang out with them . Lindsay enjoys her first taste of vandalism with the freak gang until she accidentally takes things too far .       `` Kim Kelly Is My Friend ''   Lesli Linka Glatter   Mike White   September 5 , 2000 ( 2000 - 09 - 05 )   103     Kim 's friend , Karen ( Rashida Jones ) , bullies Sam ; writing `` Pygmy Geek '' on his locker . Sam does n't take to the label kindly and finds himself in an argument with Neal over who is geekier as Sam is assigned to write a 500 word essay about vandalism in school . Kim invites Lindsay to dinner , explaining that she needs to introduce a nice friend to her parents so they will stop hassling her to sell her car . After Lindsay realizes what an abusive home Kim is living in , the two flee the scene in Kim 's car . When Lindsay suggests that Kim lie low at the Weir house , the Weirs find themselves in for a long night .     5   `` Tests and Breasts ''   Ken Kwapis   Bob Nickman   November 6 , 1999 ( 1999 - 11 - 06 )   104     When Mr. Kowchevski threatens to force Daniel to repeat algebra for another year if he does n't pass an upcoming test , Lindsay offers to help him study for it . Instead , Lindsay finds herself helping Daniel to cheat after Daniel manages to steal a test from the teacher 's office and he asks Lindsay to help him fill in the answers . Mr. Kowchevski , suspicious of Daniel 's surprisingly high grade , accuses the duo of cheating . When Lindsay becomes unsure of what to do , Daniel tells her they should deny everything . Sam begins sex education class and Daniel tries to help Sam with questions he has by giving him a pornographic film . After viewing it , he is even more confused .     6   `` I 'm with the Band ''   Judd Apatow   Gabe Sachs &amp; Jeff Judah   November 13 , 1999 ( 1999 - 11 - 13 )   105     Nick realizes if he does n't make a career out of being a drummer , his father is going to make him join the army . Lindsay attempts to remedy this first by pressuring the band to practice more , which results in the band breaking up when Nick thinks he is better than they are . Lindsay then gets Nick an audition for the band Dimension . Unfortunately , the audition goes miserably and Nick comes to terms with the fact that his drumming is n't going to save him from joining the army . Lindsay tries to comfort Nick . Meanwhile , when the physical education department at McKinley mandates that all students must shower after class , Sam avoids the shower at all costs , afraid to be naked in front of his peers .     7   `` Carded and Discarded ''   Judd Apatow   Judd Apatow &amp; Paul Feig   January 10 , 2000 ( 2000 - 01 - 10 )   110     Sam , Neal and Bill befriend Maureen ( Kayla Ewell ) , a very pretty and friendly new transfer student at McKinley . When the popular crowd shows interest in her , the geeks take Maureen out on a night of all - you - can - eat dining in an attempt to keep from losing her . Lindsay and the freaks try to buy fake IDs to see the band Feedback perform at a local bar . However , after they go through the trouble of getting their IDs and going into the bar , the group is stunned to find out who the hot local band 's lead singer is .     8   `` Girlfriends and Boyfriends ''   Lesli Linka Glatter   Patty Lin &amp; Paul Feig   January 17 , 2000 ( 2000 - 01 - 17 )   106     Nick begins making more aggressive advances towards Lindsay , most of which end up making her feel more disturbed than love struck . Tension is created between Sam and Bill when Bill is paired with Sam 's crush , Cindy , as a science partner .     9   `` We 've Got Spirit ''   Danny Leiner   Mike White   January 24 , 2000 ( 2000 - 01 - 24 )   107     Sam becomes the McKinley basketball team 's new mascot after the former mascot ( Shia LaBeouf ) breaks his arm . He hopes to become closer to Cindy . Instead of winning her heart , however , he increasingly becomes frustrated with her apparent desire to be nothing more than friends as well as her obsessive crush over the basketball team 's star athlete , Todd Schellinger ( Riley Smith ) . He eventually becomes so fed up that he allows Neal be the mascot during a basketball game , though Neal is much more interested in getting laughs than following orders from Vicki ( Joanna Garcia ) , the bossy head cheerleader . Lindsay tries to figure out the best way to break up with Nick . The freaks , meanwhile , have a sudden interest in sports and school spirit after they get beaten up by a gang of McKinley 's rivals at Lincoln .     10   `` The Diary ''   Ken Olin   Story by : Judd Apatow &amp; Rebecca Kirshner Teleplay by : Rebecca Kirshner   January 31 , 2000 ( 2000 - 01 - 31 )   108     Bill is tired of being confined to deep right field during PE baseball games and always being the last one picked . He is constantly embarrassed by Coach Fredricks in front of his classmates and is convinced he could be a great athlete if he were simply given a chance . Instead of confronting Coach Fredricks with this dilemma directly , Bill makes two crank phone calls to him , one of which consists entirely of insults . Meanwhile , when Lindsay 's parents fear that her new friends are having a negative effect on her , they forbid her from hanging out with Kim and Harold suggests that he and Jean read her diary . When they do , what they read sends their marriage into a crisis .     11   `` Looks and Books ''   Ken Kwapis   Paul Feig   February 7 , 2000 ( 2000 - 02 - 07 )   109     After Lindsay crashes the Weir family car while trying to help drive Daniel and his friends around , her parents indefinitely ground her and forbid her from seeing the gang of freaks ever again . Shaken up by the experience , Lindsay gladly abides and tries to reassociate herself with her old friends , including Millie . In the process , she rejoins the mathlete team and reveals her competitive side . Meanwhile , after a new hair style does n't impress Cindy , Sam decides to dress more attractively , buying a powder blue disco jumpsuit . The attire gives him nothing but negative attention .     12   `` The Garage Door ''   Bryan Gordon   Gabe Sachs &amp; Jeff Judah &amp; Patty Lin   March 13 , 2000 ( 2000 - 03 - 13 )   111     Sam and Bill both admire Neal 's father ( Sam McMurray ) until Sam accidentally sees Mr. Schweiber hugging a strange woman . Fearing that Mr. Schweiber may be cheating on Mrs. Schweiber ( Amy Aquino ) , Sam tells Bill and then Neal . Soon after , Neal finds an unfamiliar garage door remote control in his father 's car . The three friends start hunting around the neighborhood on their bicycles , searching for the garage door the remote control belongs to . Meanwhile , Ken reveals his first crush to be on a girl named Amy ( Jessica Campbell ) who plays the tuba in McKinley 's marching band . The freaks , along with Amy , go to the local laser dome to see a Pink Floyd laser show , but mistakenly arrive on southern rock night .     13   `` Chokin ' and Tokin ' ''   Miguel Arteta   Judd Apatow   March 20 , 2000 ( 2000 - 03 - 20 )   112     Lindsay smokes marijuana for the first time . Moments later , her father reminds her that she had promised to babysit for neighbors that night . Afraid to babysit by herself , she pleads Millie to babysit with her . Millie not only takes care of the child they are babysitting , but also takes care of Lindsay while she anxiously deals with the effects of smoking pot . The geeks are embarrassed in front of their peers when Bill reveals their allergies and ailments to Ms. Foote ( Leslie Mann ) . Not believing that Bill is actually deathly allergic to peanuts , Alan puts peanuts into Bill 's sandwich . After Bill eats one bite of the sandwich , Alan realizes that Bill was telling the truth and Bill is rushed to the hospital . This episode also reveals why Alan bullies Sam , Bill , and Neal .     14   `` Dead Dogs and Gym Teachers ''   Judd Apatow   Judd Apatow &amp; Bob Nickman   October 10 , 2000 ( 2000 - 10 - 10 )   114     Lindsay and Kim accidentally run over Millie 's dog one night . Lindsay wants to come clean to Millie , but Kim threatens that if Lindsay confesses , she will react violently . Feeling guilty , Kim befriends Millie and asks her to join the freaks to witness The Who , live in concert . Meanwhile , Nick teaches himself to play guitar and writes a love ballad for Lindsay , and Bill , already having a rocky relationship with Coach Fredricks , is devastated to hear that his mother has been dating him .     15   `` Noshing and Moshing ''   Jake Kasdan   J. Elvis Weinstein   October 17 , 2000 ( 2000 - 10 - 17 )   115     While trying to escape his problems with his parents and Kim , Daniel becomes attracted to Jenna Zank , a dropout from McKinley who is into the punk scene . To try to impress her , Daniel changes his appearance and meets her at a punk show and brings Nick and Ken along . Trying to cope with the knowledge that his father is unfaithful to his mother and whether to tell her , Neal focuses all of his energy into his new ventriloquism act , neglecting school in the process . The Weir parents become intoxicated at the Schweibers ' party , while Lindsay becomes attracted to Neal 's older brother Barry ( David Krumholtz ) , who is back in town from college . Lindsay is given detention after coming to the aid of a girl being attacked by a boy .     16   `` Smooching and Mooching ''   Jake Kasdan   Steve Bannos   July 8 , 2000 ( 2000 - 07 - 08 )   116     After Cindy breaks up with Todd , Sam finally asks Cindy out on a date after she tells Bill that she has a crush on Sam and wants Bill to persuade Sam to invite her to a party . Sam , Neal , and Bill find themselves nervously attending a make - out party . Much to Lindsay 's disappointment , the Weirs allow Nick to stay the night at their house after Nick 's father sells his 29 - piece drum kit .     17   `` The Little Things ''   Jake Kasdan   Story by : Jon Kasdan &amp; Judd Apatow &amp; Mike White Teleplay by : Jon Kasdan   July 8 , 2000 ( 2000 - 07 - 08 )   117     After Ken 's girlfriend , Amy , reveals to him that she was born an intersex woman , Ken questions his sexuality and his over-analysis of his relationship with her leads him to the conclusion that he has to break up with her , but reconsiders after talking with Sam . Sam is having a terrible time dating Cindy , who reveals herself to be shallow , rude , and egotistical . He tries to find the courage to break up with her . Lindsay struggles with asking Vice President George Bush a question during an assembly .     18   `` Discos and Dragons ''   Paul Feig   Paul Feig   July 8 , 2000 ( 2000 - 07 - 08 )   113     By chance , Lindsay and the freaks find out that Nick has been dating Sara ( Lizzy Caplan ) and she has been teaching him to dance for an upcoming disco competition . Daniel , afraid of failing another test , is caught trying to pull the fire alarm . As punishment , he is forced to join the Audio / Visual club . The geeks respond to his presence coldly at first , but they later invite him to a game of Dungeons &amp; Dragons . As a result of Lindsay 's outstanding grades , she receives an invitation to an academic summit at the University of Michigan taking place for two weeks during the summer . However , she is unsure of whether she wants to attend .     * ^ Initial airing occurred on Fox Family .   Planned storylines ( edit )   In a 2012 interview with Vanity Fair , Paul Feig detailed what would have happened to the characters in a second season : Lindsay would become a human rights lawyer , years after following the Grateful Dead . Sam would have joined the drama club . Neal would cope with his parents ' divorce by joining a swing choir in school . Bill would join the basketball team , becoming a jock and leading to tension with the geeks . Daniel would end up in jail . Kim would become pregnant on tour while following the Grateful Dead . Nick would be pressured by his strict father to join the army .   Media releases ( edit )   DVD and Blu - ray ( edit )   On April 6 , 2004 , a six - DVD Freaks and Geeks box set was released through Shout ! Factory and Sony BMG Music Entertainment . A limited `` yearbook edition '' set including two additional discs was also available through the official website for the show . Fans who had signed an online petition to get the show on DVD got priority in purchasing the special set .   On November 25 , 2008 , the deluxe `` Yearbook Edition '' boxed set was re-released through Vivendi Entertainment . The set features all of the episodes , commentaries , and special features of the `` Complete Series '' six - DVD set , plus two extra discs and deluxe packaging . It is packaged as an 80 - page color yearbook with essays , pictures , and episode synopses .   In July 2015 , Shout ! Factory announced it had begun preparing for a Blu - ray release of the series . It was subsequently confirmed in December 2015 , that Shout ! would release the complete series on Blu - ray on March 22 , 2016 , and the set contains all special features from the previous releases and the episodes in both its original aspect ratio and widescreen .   Books ( edit )   In October 2004 , Newmarket Press released two Freaks and Geeks books : Freaks and Geeks : The Complete Scripts , Volume 1 and Freaks and Geeks : The Complete Scripts , Volume 2 . Each book covers nine scripts from the series , compiled by Paul Feig and Judd Apatow . Extra content includes behind - the - scenes memos and notes ; photos ; additional plot lines ; and excerpts from the Freaks and Geeks series bibles .   Soundtrack ( edit )  Main article : Freaks and Geeks ( soundtrack )  Freaks and Geeks ' creators made it a priority to feature genuine , period - specific music that would help to create the show 's tone . Clearing such names as Billy Joel , Cheap Trick , the Grateful Dead , Rush , Styx , The Moody Blues , The Who , and Van Halen required much of the show 's budget . Eventually , this became an obstacle in releasing the show on DVD due to the difficulty and expense of clearing all of the music rights for the series . Many television shows ( such as Dawson 's Creek , WKRP in Cincinnati , and Daria ) had music cues changed or removed in order to facilitate relatively inexpensive DVD releases , as was done for Freaks and Geeks when it was seen in reruns on Fox Family . However , Freaks and Geeks ' creators chose to wait to release the DVD until they could find a company willing to pay for the original music . Shout ! Factory , a music and video company specializing in comprehensive reissues and compilations , eventually brought Freaks and Geeks to DVD with all of its music intact .   Appearances ( edit )   In 2000 , the cast of Freaks and Geeks was featured in an episode of the game show Family Feud hosted by Louie Anderson .   Reception ( edit )   Critical reception ( edit )   At Metacritic , Freaks and Geeks has a score of 88 out of 100 , based on 26 reviews , indicating `` universal acclaim '' .   Ratings ( edit )   The show averaged 6.77 million viewers and was # 93 in the rankings during its only season .   Awards and nominations ( edit )   The series received three Emmy Award nominations : creator Paul Feig was nominated twice for Outstanding Writing for a Comedy Series , for `` Pilot '' and `` Discos and Dragons . '' It won for Outstanding Casting for a Comedy Series ( Allison Jones , Coreen Mayrs and Jill Greenberg ) . It was nominated for two Television Critics Association Awards , for New Program of the Year and Outstanding Achievement in Drama . For acting , the series won for Best Family TV Series -- Comedy and was nominated for Best Performance in a TV Series -- Young Ensemble at the Young Artist Awards . For the YoungStar Awards , John Francis Daley and Sarah Hagan were nominated for Best Young Actor / Performance in a Comedy TV Series and the ensemble was nominated for Best Young Ensemble Cast -- Television . The series also received several other nominations in other categories .   The series appeared on Time magazine 's 2007 `` 100 Greatest Shows of All Time '' list , and placed third on the magazine 's list of greatest television shows of the 2000s ( decade ) . In 2007 , Freaks and Geeks ranked # 21 on TV Guide 's Top Cult Shows Ever . In 2008 , Entertainment Weekly ranked it the 13th - best series of the past 25 years . The same year , AOL TV named it the Best School Show of All Time . In 2013 TV Guide included it in its list of The 60 Greatest Dramas of All Time , and ranked it # 1 on their list of 60 shows that were `` Cancelled Too Soon . '' It launched several of its young actors , such as Rogan and Franco , into successful acting careers .   Cancellation and future ( edit )   One of the cited reasons for its early cancellation was its inability to gain an audience due to its `` erratic scheduling '' and poor time slots , competing with the high - rated Who Wants to Be a Millionaire . The producers created a website for the series , but NBC would not share its URL because `` they did n't want people to know the Internet existed . They were worried about losing viewers to it '' as explained by Judd Apatow . Freaks and Geeks was only averaging under 7 million viewers , while other NBC series such as Frasier and Friends were averaging over 14 million viewers each .   NBC and the creative directors of Freaks and Geeks did not have the same vision for the series . After the network picked up the Freaks and Geeks pilot , Garth Ancier replaced the old NBC network 's president . Ancier `` did n't understand public school life '' and its relevance because he went to a boarding school and then on to Princeton . Creator Paul Feig expressed the `` irony of the situation '' as everyone involved wanted Freaks and Geeks to be a success , but the network did n't understand the concept of realistically showcasing life as ordinary teenagers . Jake Kasdan and Judd Apatow had multiple arguments with the network concerning `` lack of victories '' in the script and that the characters needed to `` be cool . '' The writers wanted to produce something that would represent the average high school experience , but the network wanted to produce something that would make high school seem cool . Because the network did not think the series would be a success , they let the writers add things to the script that they `` would n't have if they thought the show would resurface the next season , '' like the use of the phrase , `` ambiguous genitalia . '' Apatow said in 2014 that `` Everything I 've done , in a way , is revenge for the people who cancelled Freaks and Geeks .   Undeclared ( edit )   In 2001 , several of the actors featured in Freaks and Geeks appeared in a new Judd Apatow college half - hour comedy Undeclared , which aired on Fox Network . Apatow fought with the network to include Freaks and Geeks actors , but the network only picked up Seth Rogen ( who was already committed to the show as a writer ) as a regular cast member . However , Jason Segel became a recurring character , and Samm Levine , Busy Philipps , and Natasha Melnick guest - starred in multi-episode arcs , as did prominent Freaks and Geeks guest stars Steve Bannos ( who played McKinley High math teacher Mr. Frank Kowchevski ) and David Krumholtz ( who played Neal 's older brother , Barry Schweiber ) . Martin Starr was prominent in another episode , and a scene with Sarah Hagan was shot , although it was cut for television broadcast . The show was also canceled during its first season .   Syndication and cast reunions ( edit )  Cast of Freaks and Geeks at PaleyFest 2011  In June 2010 , it was announced that IFC had acquired the rights to air both Freaks and Geeks and Undeclared . Freaks and Geeks 's 18 - episode run on IFC finished with all episodes having aired as of October 29 , 2010 . Undeclared 's IFC run began on November 5 , 2010 . Both shows have also joined TeenNick 's line - up as of June 13 , 2011 . Freaks and Geeks aired on FXX , from 2013 to 2014 .   A reunion of several cast members and producers of both shows took place at the Paley Center for Media 's PaleyFest on March 12 , 2011 .   References ( edit )    Jump up ^ Coffin J. ( 2010 ) . `` Teenagers Portrayed in Television '' . Journal of Psychology . 41 ( 2 ) : 23 -- 25 .   Jump up ^ `` Geek Love '' . Salon.com. April 20 , 2000 . Retrieved December 9 , 2010 .   Jump up ^ `` RetroWeb Classic Television : Freaks and Geeks '' . RetroWeb.com . Retrieved December 9 , 2010 .   ^ Jump up to : Longo , Chris ( September 2 , 2013 ) . `` Freaks and Geeks : The Enduring Legacy of a Short - Lived Show '' . Den of Geek . Retrieved November 19 , 2013 .   Jump up ^ `` Paul Feig Directs All - Star Cast in ' Bridesmaids ' '' . My Fox Detroit . May 10 , 2011 . Retrieved October 25 , 2012 .   Jump up ^ Carp , Jesse . `` 10 Actors You Might Not Remember Being On Freaks And Geeks '' . Cinema Blend . Retrieved April 4 , 2015 .   Jump up ^ Elan , Priya ( January 31 , 2009 ) . `` Priya Elan signs up for class with writer of Freaks And Geeks , Gabe Sachs '' . The Guardian . Retrieved July 8 , 2012 .   Jump up ^ Judd Apatow , Jon Kasdan , Seth Rogan , Mike White ( April 6 , 2004 ) . Freak and Geeks : The Complete Series , `` The Little Things '' commentary track ( DVD ) . Shout ! Factory . Event occurs at 26 : 23 .   Jump up ^ Wood , Jennifer ( September 25 , 2014 ) . `` School Days &amp; Parisian Nightsuits : Every ' Freaks and Geeks ' Episode , Ranked '' . Rolling Stone . Retrieved April 4 , 2015 .   ^ Jump up to : Andrew Jay Cohen ; Paul Feig ; Judd Apatow , eds. ( 2004 ) . Freaks and Geeks : The Complete Scripts Volume 1 ( 1st ed . ) . New York : New Market Press . ISBN 1 - 55704 - 645 - X .   Jump up ^ Koski , Genevieve ( April 12 , 2012 ) . `` Paul Feig walks us through Freaks And Geeks ( Part 4 of 5 ) '' . The A.V. Club . Retrieved June 9 , 2012 .   Jump up ^ Freaks and Geeks : The Complete Series DVD Episode Booklet   Jump up ^ Lloyd , Robert ( December 6 , 2012 ) . `` Paul Feig : What Would 've Happened to Every Character in Freaks and Geeks ' Lost Second Season ( Drugs ! Pregnancies ! Republicanism ! ) '' . Vanity Fair . Retrieved May 25 , 2017 .   ^ Jump up to : `` Freaks and Geeks - Official Press Release : April 6 is the day ! '' . TVShowsOnDVD . January 15 , 2004 . Retrieved August 12 , 2010 .   Jump up ^ `` Freaks and Geeks - Shout Sends Over a New Fact Sheet for their Retailer Release of the Yearbook Edition '' . TVShowsOnDVD.com . October 20 , 2008 . Retrieved December 9 , 2010 .   Jump up ^ Shout ! Factory ( July 10 , 2015 ) . `` We 're doing Freaks &amp; Geeks on Blu ! We have the film to work with and it 's happening ! '' . Twitter . Retrieved July 13 , 2015 .   Jump up ^ Lambert , David ( December 3 , 2015 ) . `` Freaks and Geeks - Shout ! Press Release for ' The Complete Series : Collector 's Edition ' Blu - ray '' . TVShowsOnDVD.com . Retrieved December 3 , 2015 .   Jump up ^ `` Freaks and Geeks : The Complete Scripts , Volume 1 ( Newmarke</t>
  </si>
  <si>
    <t xml:space="preserve">who plays the little brother in freaks and geeks</t>
  </si>
  <si>
    <t xml:space="preserve">  Linda Cardellini as Lindsay Weir   John Francis Daley as Sam Weir   James Franco as Daniel Desario   Samm Levine as Neal Schweiber   Seth Rogen as Ken Miller   Jason Segel as Nick Andopolis   Martin Starr as Bill Haverchuck   Becky Ann Baker as Jean Weir   Joe Flaherty as Harold Weir   Busy Philipps as Kim Kelly  </t>
  </si>
  <si>
    <t xml:space="preserve">The Flash ( season 4 ) - wikipedia  The Flash ( season 4 )  Jump to : navigation , search    The Flash ( season 4 )     Promotional poster     Starring     Grant Gustin   Candice Patton   Danielle Panabaker   Carlos Valdes   Keiynan Lonsdale   Neil Sandilands   Tom Cavanagh   Jesse L. Martin       Country of origin   United States     No. of episodes   9     Release     Original network   The CW     Original release   October 10 , 2017 ( 2017 - 10 - 10 ) -- present ( present )     Season chronology     ← Previous Season 3     List of The Flash episodes     The fourth season of the American television series The Flash , which is based on the DC Comics character Barry Allen / Flash , follows a crime scene investigator with superhuman speed who fights criminals , including others who have also gained superhuman abilities . It is set in the Arrowverse , sharing continuity with the other television series of the universe , and is a spin - off of Arrow . The season is produced by Berlanti Productions , Warner Bros. Television , and DC Entertainment , with Andrew Kreisberg and Todd Helbing serving as showrunners .   The season was ordered in January 2017 , and filming began that July . Grant Gustin stars as Barry , with principal cast members Candice Patton , Danielle Panabaker , Carlos Valdes , Keiynan Lonsdale , Tom Cavanagh , and Jesse L. Martin also returning from previous seasons , and are joined by Neil Sandilands .   The fourth season began airing on October 10 , 2017 , on The CW .     Contents  ( hide )   1 Episodes   2 Cast and characters   2.1 Main   2.2 Recurring   2.3 Guest     3 Production   3.1 Development   3.2 Writing   3.3 Casting   3.4 Filming   3.5 Music   3.6 Arrowverse tie - ins     4 Release   4.1 Broadcast   4.2 Marketing     5 Reception   5.1 Ratings   5.2 Critical response     6 References   7 External links      Episodes ( edit )  See also : List of The Flash episodes    No . overall   No. in season   Title   Directed by   Written by   Original air date   Prod . code   U.S. viewers ( millions )     70     `` The Flash Reborn ''   Glen Winter   Story by : Andrew Kreisberg Teleplay by : Todd Helbing &amp; Eric Wallace   October 10 , 2017 ( 2017 - 10 - 10 )   T27. 13401   2.84     Iris has been aiding Team Flash in Central City for six months , but refusing to grieve Barry . A flying Samurai with superpowers appears in Central City , threatening to destroy the city if the real Flash does not face him . Cisco reveals he has formulated a way to bring back Barry without destabilizing the Speed Force , and tracks down Caitlin for help . Against Iris ' direction , Team Flash successfully returns Barry , who appears rambling random statements and continually writing symbols on walls . Wally engages the Samurai , but is defeated . Cisco deciphers Barry 's writings and finds an apparently meaningless sentence . In an attempt to recover Barry 's memories , Iris gives herself up to the Samurai . The plan works and Barry speeds away , rescuing Iris and defeating the Samurai , who is revealed to be a robot . Caitlin rejoins Team Flash , but is revealed to have been working for a mobster called Amunet at the bar , while also continuing to prevent the Killer Frost personality from emerging . The `` Samuroid '' is revealed to have been controlled by the Thinker , whose plan was to draw out the Flash for his next schemes .     71     `` Mixed Signals ''   Alexandra La Roche   Jonathan Butler &amp; Gabriel Garza   October 17 , 2017 ( 2017 - 10 - 17 )   T27. 13402   2.54     When Barry , Joe , and Cisco report to a crime scene , they discover remnants of a mysterious code . Cisco presents Barry with a technologically advanced suit , intended to facilitate his activities . He tests it out , trying to save someone from a haywire car , caused by metahuman Ramsey Deacon . Gypsy arrives on Earth - 1 for a date with Cisco , who is forced to cancel it so as to focus on Deacon . Acting on a suggestion from Caitlin , Iris signs her and Barry up for couples therapy to sort out their relationship . Deacon kidnaps a witness , who was previously a member of a tech team who sold him out of his idea . Barry and Wally go to save him , but Deacon uses his abilities to send Barry 's suit haywire . On Iris 's instructions , Barry throws lightning at himself , shorting out his suit . He then incapacitates Deacon , who is locked up in the meta wing of Iron Heights , revealed to be part of the Thinker 's plan . Cisco finally goes out with Gypsy . Wondering how Deacon gained his powers being absent during the particle accelerator incident , Barry and Joe learn from Deacon that there are `` others '' .     72     `` Luck Be a Lady ''   Armen V. Kevorkian   Sam Chalsen &amp; Judalina Neira   October 24 , 2017 ( 2017 - 10 - 24 )   T27. 13403   2.62     In flashbacks , the Thinker observes Becky Sharpe , a woman with seemingly unending bad luck , and determines that she will be easily manipulated . In the present , Becky robs a bank , and gets away when Barry slips on marbles . Harry arrives from Earth - 2 , and tells Wally that Jesse has decided to break up in order to focus on her vigilantism . Cisco deduces that Becky is a metahuman with the power of favorable luck while inducing misfortune to others . Barry realizes that the portal he used to escape the Speed Force exposed an entire busload of people , including Becky and Deacon , to transformative dark matter . Harry informs Cisco that Jesse has expelled him from her crime - fighting team due to his attitude . Becky 's powers expand out of control , reactivating the particle accelerator , which Harry deliberately allows , nullifying Becky 's powers and leading to her incarceration . Cisco and Harry identify twelve new metahumans created on the bus , and the latter suspects that an unknown party has manipulated events surrounding Barry 's return . Wally decides to leave on a journey to find himself . The Thinker is revealed to be spying on S.T.A.R. Labs through the `` Samuroid '' helmet . Joe learns Cecile is pregnant .     73     `` Elongated Journey Into Night ''   Tom Cavanagh   Sterling Gates &amp; Thomas Pound   October 31 , 2017 ( 2017 - 10 - 31 )   T27. 13404   1.99     Gypsy 's father , Breacher , attacks Cisco , vowing to hunt and kill him in 24 hours , allowing the romance should he survive . Team Flash learns that the bus driver was murdered and tracks down another passenger , Ralph Dibny , former corrupt CCPD detective exposed by Barry and currently an infamous private investigator . As two thugs attack Dibny , he is revealed to have the power to stretch . Caitlin stabilizes his powers with a serum . The team learns that Ralph has been blackmailing Mayor Bellows for adultery , with the latter revealed to have hired the thugs . Barry confronts Ralph for his actions while the latter scolds him , claiming to have been a `` good cop '' . He later stops blackmailing Bellows , who still attempts to kill him while Breacher mistakes the former for a Plastoid , the species that invaded Earth - 19 previously , and attacks him . Cisco intervenes and saves Ralph , whom Barry , having revealed his alter - ego , convinces to help arrest an escaping Bellows . Admiring Cisco 's gallantry , Breacher allows the relationship . Barry recruits Ralph for Team Flash and learns that someone named DeVoe instructed Ralph to watch Bellows . Barry remembers that Abra Kadabra and Savitar both mentioned DeVoe . Meanwhile , Caitlin finds a message on her apartment door .     74   5   `` Girls Night Out ''   Laura Belsey   Lauren Certo &amp; Kristen Kim   November 7 , 2017 ( 2017 - 11 - 07 )   T27. 13405   2.38     While failing to track DeVoe , Team Flash is visited by Felicity , who joins Iris 's bachelorette party . Mocking Cisco 's plans for Barry 's bachelor party , Ralph takes the men to a strip club , where they learn that Cecile 's daughter , Joanie , is working . Joe confronts her , who states she is only doing feminist research . Ralph incites a brawl , leading to the men 's arrest until Harry posts bail . Meanwhile , Amunet 's enforcer , Norvock , demands Caitlin 's return and attacks the women when she refuses . Killer Frost emerges and repels him , later telling Iris that Caitlin accepted Amunet 's employment in exchange for the means to control Frost . Learning that Amunet is holding a metahuman she calls `` the Weeper '' , whose tears are a strong narcotic , prisoner and intends to sell him , Iris 's party decides to stop her . Though Caitlin refuses to join , she attacks Amunet when seeing her friends in danger . Using a strong magnet , the team robs Amunet 's metal shards , leaving her powerless . Iris dissuades Frost from killing Amunet , who promises revenge . Both parties refuse to tell each other about their adventures . Iris asks Caitlin to be her maid of honor while Joe convinces Joanie to tell Cecile about her research . DeVoe captures the Weeper .     75   6   `` When Harry Met Harry ... ''   Brent Crowell   Jonathan Butler &amp; Gabriel Garza   November 14 , 2017 ( 2017 - 11 - 14 )   T27. 13406   2.46     Barry trains Ralph to use his abilities , with Cisco making a stretchable suit for him . Another bus metahuman , a Lakota Sioux Native named Mina Chayton , who can animate statues , starts attacking Central City &amp; stealing pieces of a Black Bison necklace , which she claims belongs to her tribe . When Barry and Ralph catch up to her , she attacks Barry with a caveman statue and attempts a getaway . Ralph chooses to stop her , but a little girl is injured in the process . Ralph regrets his actions , but is comforted by Barry . Chayton escapes CCPD , going after the last necklace piece held at the museum . When Barry and Ralph confront her , she brings a dinosaur skeleton to life . Barry arrests Chayton while Ralph saves a security guard from the skeleton . Later , Ralph reveals he mailed the necklace back to Chayton 's tribe , before visiting the little girl in the hospital , using his abilities to entertain her . Meanwhile , Harry , trying to make friends , works with his doppelgangers of alternate Earths , The Council of Wells . They figure out that DeVoe is a man named Clifford DeVoe . Barry and Joe head to DeVoe 's house , to find that he is a middle - aged man in a wheelchair .     76   7   `` Therefore I Am ''   David McWhirter   Eric Wallace &amp; Thomas Pound   November 21 , 2017 ( 2017 - 11 - 21 )   T27. 13407   2.20     Barry and Joe interrogate DeVoe and his wife to try and get more information . In flashbacks , DeVoe and his wife build a thinking cap to improve his brain capacity , powering it through the particle accelerator explosion . DeVoe 's increased brain power accelerates his amyotrophic lateral sclerosis , forcing his wife to build him a special chair to keep him alive . Barry discovers the camera in the Samuroid head and confronts DeVoe , who reveals his true identity , leading to Cisco dubbing him `` The Thinker '' . Wally returns to Team Flash from Blue Valley .     77   8   `` Crisis on Earth - X , Part 3 ''   Dermott Downs   Story by : Andrew Kreisberg &amp; Marc Guggenheim Teleplay by : Todd Helbing   November 28 , 2017 ( 2017 - 11 - 28 )   T27. 13408   2.82      Barry , Oliver , Sara , Alex , Martin and Jax wake up in a Nazi concentration camp on Earth - X , with power dampening handcuffs . The arriving SS - Sturmbannführer is revealed to be the Earth - X doppelgänger of Quentin Lance , who takes them away for execution , before they are saved by Citizen Cold ( the Earth - X doppelgänger of Leonard Snart ) and The Ray ( Ray Terrill ) . Snart and Terrill take them to the underground headquarter of the Freedom Fighters , where the team meets the resistance movement 's leader General Winn Schott ( Winn Schott 's Earth - X doppelgänger ) . They learned that the only way back to Earth - 1 is through a temporal gateway in a Nazi facility , which Schott plans to blow up to strand Dark Arrow ( Oliver 's Earth - X doppelgänger ) on Earth - 1 . Oliver disguises himself as Dark Arrow to infiltrate the facility , discovers the Nazi 's doomsday device against parallel Earths is a militarized timeship called Wellenreiter , and saves a prisoner ( who is Felicity 's Earth - X doppelgänger ) from Quentin . Barry and Ray battle the Freedom Fighters ' Red Tornado to stop it from destroying the temporal gateway , while the rest of the team enters the facility . In attempting to reactivate the gateway 's portal , Stein is shot and gravely wounded . Back on Earth - 1 , Thawne prepares to perform surgery on Kara to save Overgirl at S.T.A.R. Labs . Felicity and Iris try to stop him , but are captured .  This episode continues a crossover event that begins on Supergirl season 3 episode 8 and Arrow season 6 episode 8 , and concludes on Legends of Tomorrow season 3 episode 8 .     78   9   `` Do n't Run ''   Stefan Pleszczynski   Sam Chalsen &amp; Judalina Neira   December 5 , 2017 ( 2017 - 12 - 05 )   T27. 13409   2.22     While out Christmas shopping , Barry is ambushed and kidnapped by DeVoe while Caitlin is kidnapped from Jitters by Amunet . Iris claims they have to look for both of them , despite Wells ' claim that they have insufficient time and resources and that they can only afford to search for one . Barry is held in DeVoe 's lair . Caitlin is forced by Amunet to perform surgery on a metahuman named Dominic Lanse , who can read minds . They try to escape , but Amunet blocks their exit . Caitlin manages to briefly incapacitate Amunet , and she and Dominic flee the building they are being held in . Once outside , they are rescued by Cisco and Ralph , as Iris has chosen to focus on finding Caitlin . Barry manages to escape from DeVoe . Team Flash celebrates Christmas at the West house and Dominic joins them . Barry gets a security alert from his apartment . When he arrives , he receives a phone call from Dominic , who reveals that Amunet re-kidnapped Dominic and DeVoe has transferred his consciousness into Dominic 's body . Barry discovers DeVoe 's original body dead on his apartment floor and he realizes DeVoe has framed him for his `` murder '' ; the police arrive , and Barry lets himself get arrested , not wanting to leave Iris again .     79   10   `` The Trial of The Flash ''   Philip Chipera   Lauren Certo &amp; Kristen Kim   January 16 , 2018 ( 2018 - 01 - 16 )   TBA   TBD     Kevin Smith will direct an episode of the season .   Cast and characters ( edit )  Main article : List of The Flash characters  Main ( edit )    Grant Gustin as Barry Allen / Flash   Candice Patton as Iris West   Danielle Panabaker as Caitlin Snow / Killer Frost   Carlos Valdes as Cisco Ramon / Vibe   Keiynan Lonsdale as Wally West / Kid Flash   Neil Sandilands as Clifford DeVoe / Thinker   Tom Cavanagh as Harrison `` Harry '' Wells   Jesse L. Martin as Joe West    Recurring ( edit )    Danielle Nicolet as Cecile Horton   Kim Engelbrecht as Marlize DeVoe / Mechanic   Jessica Camacho as Cynthia / Gypsy   Richard Brooks as Gregory Wolfe   Hartley Sawyer as Ralph Dibny / Elongated Man   Katee Sackhoff as Amunet Black / Blacksmith    Guest ( edit )    Britne Oldford as Shawna Baez / Peek - a-Boo   Mark Sweatman as Norvok   Patrick Sabongui as David Singh   Dominic Burgess as Ramsey Deacon / Kilg % re   Donna Pescow as Sharon Finkle   Sugar Lyn Beard as Rebecca Sharpe / Hazard   Chelsea Kurtz as Mina Chayton / Black Bison   Violett Beane as Jesse Chambers Wells / Jesse Quick   Danny Trejo as Josh / Breacher   Emily Bett Rickards as Felicity Smoak   Riley Jade Berglund as Joanie   Matt Afonso as Weeper   Stephen Amell as Oliver Queen / Green Arrow and Dark Arrow   Victor Garber as Martin Stein / Firestorm   Caity Lotz as Sara Lance / White Canary   Chyler Leigh as Alex Danvers   Franz Drameh as Jefferson Jackson / Firestorm   Paul Blackthorne as Quentin Lance / Sturmbannführer   Jeremy Jordan as General Schott   Juliana Harkavy as Dinah Drake / Black Canary   Melissa Benoist as Kara Zor - El / Kara Danvers / Supergirl and Overgirl   Wentworth Miller as Leonard Snart / Citizen Cold   Russell Tovey as Ray Terrill / The Ray   Frederick Schmidt voices Metallo - X   Kendrick Sampson as Dominic Lanse / Brainstorm   Anne Dudek as Tracy Brand    Production ( edit )   Development ( edit )   The series was renewed for a fourth season on January 8 , 2017 , earlier than usual for the series . Executive producer Andrew Kreisberg said on this , `` The great thing about our dear friends at The CW and Mark Pedowitz picking the shows up as early as they did has allowed us to start building the schedules for next season . '' In May 2017 , it was announced that Aaron Helbing would not return as an executive producer for season four , with only Greg Berlanti , Andrew Kreisberg , Sarah Schechter , and Todd Helbing returning from previous seasons . Todd Helbing and Kreisberg were slated to serve as the season 's showrunners . In November 2017 , Kreisberg was suspended from his role as executive producer and showrunner on The Flash over allegations of sexual harassment . By the end of the month , he had been fired , with his name eventually being removed from the credits from all shows he worked on . In addition , Berlanti would take additional responsibilities working with Helbing to co-showrun the season .   Writing ( edit )  The way I see it is , time is non-linear and everything is happening at once in the Speed Force . In some ways he 's had an awakening and he 's had a rebirth . Our first episode is called ' Reborn , ' and it is a rebirth for Barry , but he 's kind of scrambled , too , because he 's experienced so much so quick over the course of six months , even though for him it was an eternity . He 's not Barry when we see him for the first time . -- Grant Gustin on the rebirth of Barry in season four .  In March 2017 , Kreisberg confirmed that the main villain for the fourth season would not be a speedster , like the previous three seasons . Executive producers Aaron and Todd Helbing also mentioned that there would be less time travel in the season , with Aaron saying , `` We like playing with the timelines and the different time periods and future and past . For now , I think we 're going to focus on the present . '' In June 2017 , Clifford DeVoe / Thinker was reported to be the main antagonist of the season . He was first hinted in the third season episode `` Abra Kadabra '' when the titular villain mentions him among the Flash 's greatest enemies , and again in the season finale `` Finish Line '' when Savitar mentions facing DeVoe but states that the Flash has not dealt with him yet . At the series ' San Diego Comic - Con panel , the speculation was confirmed , with Todd Helbing saying , `` With three Speedsters in a row , this year it 's the fastest man alive against the fastest mind alive . '' He added that the writers were `` making a conscious effort this year to get the fun quotient back up '' .   Regarding the possibility of Wally West taking on the mantle of the Flash in Barry 's absence , Keiynan Lonsdale said that `` It 's not something that 's on my radar . I feel as though there is so much story to tell and Wally has so much growing to do ... We need to see how these character realistically get to where they are headed for . '' With the action picking up six months after season three , Kid Flash and Vibe are left to protect Central City , with Carlos Valdes saying `` the team is sort of clutching at straws to keep the city together , ... there is a unanimous feeling amongst the remaining members that it 's just not the same without Barry ... So in light of that , Cisco does whatever it takes to get his friends back . '' Valdes also confirmed the return of Cisco 's more lighthearted joking manner . Candice Patton explained Iris West 's larger role within Team Flash as `` a way of distracting herself , '' adding that `` ( Iris ) is forced to deal with that anger and resentment and abandonment by kind of focusing on protecting Central City ... We 're seeing a very different Iris , almost a very hardened Iris . '' Kreisberg also hinted at some major growth for Iris this season , and noted that `` the season premiere is all about Iris and Cisco , not Barry '' .   In July 2017 , Sterling Gates , DC Comics comic book writer , joined as a member of the fourth season 's writing staff . At the Television Critics Association press tour in August 2017 , Pedowitz stated that the fourth season of The Flash is `` going to try to find the lightness ... of the Barry Allen of the first two seasons , '' and said that the show was likely `` done with Speedster villains '' . Later in the month , Kreisberg confirmed the return of Harry Wells from Earth - 2 , saying that `` season 4 for Harry is really realizing what he 's missing in his life and what it is he needs to become a better , more complete person , and so he 's going to be going on a fairly epic emotional journey this season that is tied to the Thinker 's plan , '' in addition to confirming the introduction of a new version of the Wells character .   In September 2017 , Helbing noted `` There 's a lot of love in the air this season , '' and compared Barry and Iris ' reunion to `` somebody going off to war for six months and coming back . There 's a lot that Iris experienced that Barry did n't when he was gone , and it 's really ( about ) the fun and the emotional component of making up that time when they were n't together . '' Helbing also explained that the Speed Force `` let ( Barry ) deal with all of the baggage ( from the past three seasons ) . When he comes out , he 's sort of left that all behind . '' That month , Kreisberg also confirmed that Barry and Iris will be getting married this season , while also revealing that the pair will be going to couples therapy since `` ( they ) keep comically clashing inadvertently because ( both are ) used to being in charge , and so they wind up going ... to work through it . '' He added , `` The two of them with the therapist is some of the funniest stuff we have ever done on this show , but it also leads to a deepening of their relationship . ''   Casting ( edit )   Main cast members Grant Gustin , Candice Patton , Danielle Panabaker , Carlos Valdes , Keiynan Lonsdale , Tom Cavanagh , and Jesse L. Martin return from previous seasons as Barry Allen / The Flash , Iris West , Caitlin Snow / Killer Frost , Cisco Ramon / Vibe , Wally West / Kid Flash , Harrison Wells , and Joe West , respectively . Cavanagh will portray Harry Wells from Earth - 2 at the start of the season , without ruling out the possibility of introducing another incarnation of the Wells character later on . Teasing the arrival of a new Harrison Wells , Cavanagh said , `` We 're going to start with Harry and then find a way , I think , to try and get a different version of Wells in there , be it some version of Harry or whatnot as the season 's gaps present themselves . '' Also returning from earlier in the series are Jessica Camacho as Gypsy , and Anne Dudek as Tracy Brand . Tom Felton , who joined the cast as Julian Albert in the third season , was revealed not to be returning to the series , although there is a possibility he could return if the storyline demanded it and Felton 's availability permits . Julian 's absence will be addressed `` pretty quickly -- there 's a reason why he 's no longer with the team , '' said Helbing . In the season premiere , Julian is revealed to have returned to London . Kreisberg also confirmed that he had put on hold the planned return of Violett Beane as Jesse Quick due to the high number of speedsters on the show , but did not rule out a possible return in the future . Beane eventually appeared as Jesse on the episode `` Luck Be a Lady '' . Britne Oldford , who previously appeared as Shawna Baez / Peek - a-Boo in the first season and the web series The Chronicles of Cisco , reprised her role in the season premiere .   In July 2017 , Neil Sandilands was announced to be cast as Clifford DeVoe , a metahuman genius who embarks on a seasonlong battle with the Flash in order to fix all that he deems wrong with humanity ; while Kim Engelbrecht was announced as The Mechanic , Devoe 's right hand and a highly intelligent engineer who designs devices for him ; and Danny Trejo as Breacher , a bounty hunter from Earth - 19 and the father of Gypsy . Also in June , the series was looking to cast a role that `` should put the visual effects department to the test '' , with the role later revealed to be Ralph Dibny / Elongated Man , a metahuman with the ability to stretch his body to superhuman lengths and sizes . Hartley Sawyer was cast in the recurring role that July as the fast - talking private investigator who after discovering his abilities will help Team Flash solve one of Central City 's greatest mysteries . The character was previously mentioned in the first season , as one of the fourteen people who seemingly died as a result of the particle accelerator explosion . The next month , Katee Sackhoff was announced in the recurring role of Amunet Black / Blacksmith , who operates an underground black market of metahuman supervillains .   Filming ( edit )   Filming for the season began on July 4 , 2017 , in Vancouver , British Columbia , and is set to conclude on April 21 , 2018 . Kevin Smith will return to direct an episode in January 2018 .   Music ( edit )   In August 2017 , series composer Blake Neely and Nathaniel Blume began to compose the music for the fourth season .   Arrowverse tie - ins ( edit )   In May 2017 , The CW president Mark Pedowitz officially announced plans for a four - show Arrowverse crossover event , crossing over episodes of the television series Supergirl , The Flash , Legends of Tomorrow , and Arrow . The crossover will begin with Supergirl and a special airing of Arrow on November 27 , 2017 , and conclude on The Flash and Legends of Tomorrow on November 28 . In August 2017 , Berlanti noted that it would be `` a big life event for a few different people '' that would bring them all together for the crossover , adding `` There are many life events that happen . '' Arrow actress Emily Bett Rickards appears as Felicity Smoak in the fifth episode of the season .   Release ( edit )   Broadcast ( edit )   The season began airing on October 10 , 2017 , on The CW in the United States , and on CTV in Canada .   Marketing ( edit )   In July 2017 , cast from the series appeared at San Diego Comic - Con International to promote the season , where exclusive footage was shown . During the panel , a trailer for the season was shown , with James Whitbrook at io9 feeling that despite the `` grim '' tone , there was `` some fun signs of the team coming together to protect the city without ( Barry ) , ... Sprinkle in a few wacky things , like , say a goddamn Samuroid ripped straight from the comics , and ladies and gents , you 've got a good season of The Flash lined up . '' Ben Pearson with / Film felt seeing Iris West deal with the absence of Barry was `` a nice change of pace for that character '' , but anticipated that `` Barry ( would ) be back two or three episodes in at the latest . '' Collider.com 's Allison Keene also noted Iris `` getting an actual storyline '' with Barry gone , and similarly presumed that he `` ( would ) be back in the fold by the end of the first episode '' alike to Flashpoint in the third season . She added , `` There are some new foes , lots of action , plenty of tech -- it 's great ! ''   Reception ( edit )   Ratings ( edit )     No .   Title   Air date   Rating / share ( 18 -- 49 )   Viewers ( millions )   DVR ( 18 -- 49 )   DVR viewers ( millions )   Total ( 18 -- 49 )   Total viewers ( millions )       `` The Flash Reborn ''   October 10 , 2017   1.1 / 4   2.84   0.7   1.92   1.8   4.77       `` Mixed Signals ''   October 17 , 2017   0.9 / 4   2.54   0.8   1.82   1.7   4.36       `` Luck Be a Lady ''   October 24 , 2017   1.0 / 4   2.62   0.8   1.84   1.8   4.46       `` Elongated Journey Into Night ''   October 31 , 2017   0.7 / 3   1.99   0.7   1.79   1.4   3.79     5   `` Girls Night Out ''   November 7 , 2017   0.9 / 4   2.38   0.8   1.84   1.7   4.22     6   `` When Harry Met Harry ... ''   November 14 , 2017   1.0 / 4   2.46   0.7   1.83   1.7   4.29     7   `` Therefore I Am ''   November 21 , 2017   0.8 / 3   2.20   0.8   2.08   1.6   4.28     8   `` Crisis on Earth - X , Part 3 ''   November 28 , 2017   1.0 / 4   2.82   0.7   1.83   1.7   4.64     9   `` Do n't Run ''   December 5 , 2017   0.8 / 3   2.22   0.6   1.45   1.4   3.67     Critical response ( edit )   The review aggregator website Rotten Tomatoes reported a 100 % approval rating with an average rating of 7.36 / 10 based on 13 reviews .   Reviewing the first two episodes of the season , Allison Keene writing for Collider.com , felt the premiere `` wipes the slate clean , fixing a lot of the issues that plagued the end of the last season , and setting up a much more toned - down storyline . Most importantly , it 's brought back some fun . '' She added that with a `` streamlined team , '' the core characters now have time to interact and have meaningful plot lines . On the second episode , Keene described it as `` truly a delight '' with the show taking `` the time to focus on character relationships , and not just romantic relationships '' and each character `` feeling like a refreshed version of themselves , with new narrative purpose '' . She also highlighted the setup of the Thinker `` as an Alchemy - like villain who manipulates evil metas into the Flash 's path as part of some kind of masterplan '' , saying `` The Flash is a series that truly works best as a procedural , with the team finding creative ways to bring down Villains of the Week . ''   References ( edit )    ^ Jump up to : Porter , Rick ( October 11 , 2017 ) . `` ' Voice ' , ' Flash ' , ' Lethal Weapon ' &amp; ' The Mick ' adjust up , ' NCIS : New Orleans ' down : Tuesday final ratings '' . TV by the Numbers . Archived from the original on October 11 , 2017 . Retrieved October 11 , 2017 .   ^ Jump up to : Porter , Rick ( October 18 , 2017 ) . `` ' NCIS , ' ' Voice ' and ' This Is Us ' adjust up , ' Black - ish ' and ' L&amp;O True Crime ' down : Tuesday final ratings '' . TV by the Numbers . Archived from the original on October 18 , 2017 . Retrieved October 18 , 2017 .   ^ Jump up to : Porter , Rick ( October 25 , 2017 ) . `` ' This Is Us , ' ' Fresh Off the Boat , ' ' Kevin ' &amp; World Series adjust up , ' L&amp;O True Crime ' down : Tuesday final ratings '' . TV by the Numbers . Archived from the original on October 26 , 2017 . Retrieved October 25 , 2017 .   ^ Jump up to : Porter , Rick ( November 1 , 2017 ) . `` ' The Middle ' and World Series adjust up , ' Law &amp; Order True Crime ' down : Tuesday final ratings '' . TV by the Numbers . Archived from the original on November 1 , 2017 . Retrieved November 1 , 2017 .   ^ Jump up to : Porter , Rick ( November 8 , 2017 ) . `` ' The Middle ' adjusts up , ' The Mayor ' adjusts down : Tuesday final ratings '' . TV by the Numbers . Retrieved November 8 , 2017 .   ^ Jump up to : Porter , Rick ( November 15 , 2017 ) . `` ' Fresh Off the Boat , ' ' The Flash ' and ' Kevin ' adjust up , ' Bull ' and ' L&amp;O True Crime ' adjust down : Tuesday final ratings '' . TV by the Numbers . Retrieved November 15 , 2017 .   ^ Jump up to : Porter , Rick ( November 22 , 2017 ) . `` ' Dancing With the Stars , ' ' This Is Us , ' all others hold : Tuesday final ratings '' . TV by the Numbers . Retrieved November 22 , 2017 .   ^ Jump up to : Porter , Rick ( November 30 , 2017 ) . `` ' The Flash , ' ' This Is Us ' and ' Rudolph ' adjust up : Tuesday final ratings '' . TV by the Numbers . Archived from the original on November 30 , 2017 . Retrieved November 30 , 2017 .   ^ Jump up to : Porter , Rick ( December 6 , 2017 ) . `` ' Chicago Med ' adjusts up : Tuesday final ratings '' . TV by the Numbers . Retrieved December 6 , 2017 .   Jump up ^ `` ( # 410 ) `` The Trial of The Flash '' `` . The Futon Critic . Retrieved December 28 , 2017 .   ^ Jump up to : Sobon , Nicole ( October 18 , 2017 ) . `` Kevin Smith Wants To Direct Arrow , But Says He Wo n't Be Allowed To '' . Comic Book Resources . Archived from the original on October 19 , 2017 . Retrieved October 19 , 2017 .   ^ Jump up to : Cave , Rob ( May 18 , 2017 ) . `` The CW Releases Fall Season Synopses for Arrow , Flash , Supergirl &amp; More '' . Comic Book Resources . Archived from the original on May 28 , 2017 . Retrieved May 28 , 2017 .   Jump up ^ Erao , Matthew ( May 1 , 2017 ) . `` Killer Frost Will Menace The Flash in Season 4 '' . Screen Rant . Archived from the original on May 3 , 2017 . Retrieved May 3 , 2017 .   ^ Jump up to : Petski , D</t>
  </si>
  <si>
    <t xml:space="preserve">when is the flash season 4 episode 3 coming out</t>
  </si>
  <si>
    <t xml:space="preserve">   No . overall   No. in season   Title   Directed by   Written by   Original air date   Prod . code   U.S. viewers ( millions )     70     `` The Flash Reborn ''   Glen Winter   Story by : Andrew Kreisberg Teleplay by : Todd Helbing &amp; Eric Wallace   October 10 , 2017 ( 2017 - 10 - 10 )   T27. 13401   2.84     Iris has been aiding Team Flash in Central City for six months , but refusing to grieve Barry . A flying Samurai with superpowers appears in Central City , threatening to destroy the city if the real Flash does not face him . Cisco reveals he has formulated a way to bring back Barry without destabilizing the Speed Force , and tracks down Caitlin for help . Against Iris ' direction , Team Flash successfully returns Barry , who appears rambling random statements and continually writing symbols on walls . Wally engages the Samurai , but is defeated . Cisco deciphers Barry 's writings and finds an apparently meaningless sentence . In an attempt to recover Barry 's memories , Iris gives herself up to the Samurai . The plan works and Barry speeds away , rescuing Iris and defeating the Samurai , who is revealed to be a robot . Caitlin rejoins Team Flash , but is revealed to have been working for a mobster called Amunet at the bar , while also continuing to prevent the Killer Frost personality from emerging . The `` Samuroid '' is revealed to have been controlled by the Thinker , whose plan was to draw out the Flash for his next schemes .     71     `` Mixed Signals ''   Alexandra La Roche   Jonathan Butler &amp; Gabriel Garza   October 17 , 2017 ( 2017 - 10 - 17 )   T27. 13402   2.54     When Barry , Joe , and Cisco report to a crime scene , they discover remnants of a mysterious code . Cisco presents Barry with a technologically advanced suit , intended to facilitate his activities . He tests it out , trying to save someone from a haywire car , caused by metahuman Ramsey Deacon . Gypsy arrives on Earth - 1 for a date with Cisco , who is forced to cancel it so as to focus on Deacon . Acting on a suggestion from Caitlin , Iris signs her and Barry up for couples therapy to sort out their relationship . Deacon kidnaps a witness , who was previously a member of a tech team who sold him out of his idea . Barry and Wally go to save him , but Deacon uses his abilities to send Barry 's suit haywire . On Iris 's instructions , Barry throws lightning at himself , shorting out his suit . He then incapacitates Deacon , who is locked up in the meta wing of Iron Heights , revealed to be part of the Thinker 's plan . Cisco finally goes out with Gypsy . Wondering how Deacon gained his powers being absent during the particle accelerator incident , Barry and Joe learn from Deacon that there are `` others '' .     72     `` Luck Be a Lady ''   Armen V. Kevorkian   Sam Chalsen &amp; Judalina Neira   October 24 , 2017 ( 2017 - 10 - 24 )   T27. 13403   2.62     In flashbacks , the Thinker observes Becky Sharpe , a woman with seemingly unending bad luck , and determines that she will be easily manipulated . In the present , Becky robs a bank , and gets away when Barry slips on marbles . Harry arrives from Earth - 2 , and tells Wally that Jesse has decided to break up in order to focus on her vigilantism . Cisco deduces that Becky is a metahuman with the power of favorable luck while inducing misfortune to others . Barry realizes that the portal he used to escape the Speed Force exposed an entire busload of people , including Becky and Deacon , to transformative dark matter . Harry informs Cisco that Jesse has expelled him from her crime - fighting team due to his attitude . Becky 's powers expand out of control , reactivating the particle accelerator , which Harry deliberately allows , nullifying Becky 's powers and leading to her incarceration . Cisco and Harry identify twelve new metahumans created on the bus , and the latter suspects that an unknown party has manipulated events surrounding Barry 's return . Wally decides to leave on a journey to find himself . The Thinker is revealed to be spying on S.T.A.R. Labs through the `` Samuroid '' helmet . Joe learns Cecile is pregnant .     73     `` Elongated Journey Into Night ''   Tom Cavanagh   Sterling Gates &amp; Thomas Pound   October 31 , 2017 ( 2017 - 10 - 31 )   T27. 13404   1.99     Gypsy 's father , Breacher , attacks Cisco , vowing to hunt and kill him in 24 hours , allowing the romance should he survive . Team Flash learns that the bus driver was murdered and tracks down another passenger , Ralph Dibny , former corrupt CCPD detective exposed by Barry and currently an infamous private investigator . As two thugs attack Dibny , he is revealed to have the power to stretch . Caitlin stabilizes his powers with a serum . The team learns that Ralph has been blackmailing Mayor Bellows for adultery , with the latter revealed to have hired the thugs . Barry confronts Ralph for his actions while the latter scolds him , claiming to have been a `` good cop '' . He later stops blackmailing Bellows , who still attempts to kill him while Breacher mistakes the former for a Plastoid , the species that invaded Earth - 19 previously , and attacks him . Cisco intervenes and saves Ralph , whom Barry , having revealed his alter - ego , convinces to help arrest an escaping Bellows . Admiring Cisco 's gallantry , Breacher allows the relationship . Barry recruits Ralph for Team Flash and learns that someone named DeVoe instructed Ralph to watch Bellows . Barry remembers that Abra Kadabra and Savitar both mentioned DeVoe . Meanwhile , Caitlin finds a message on her apartment door .     74   5   `` Girls Night Out ''   Laura Belsey   Lauren Certo &amp; Kristen Kim   November 7 , 2017 ( 2017 - 11 - 07 )   T27. 13405   2.38     While failing to track DeVoe , Team Flash is visited by Felicity , who joins Iris 's bachelorette party . Mocking Cisco 's plans for Barry 's bachelor party , Ralph takes the men to a strip club , where they learn that Cecile 's daughter , Joanie , is working . Joe confronts her , who states she is only doing feminist research . Ralph incites a brawl , leading to the men 's arrest until Harry posts bail . Meanwhile , Amunet 's enforcer , Norvock , demands Caitlin 's return and attacks the women when she refuses . Killer Frost emerges and repels him , later telling Iris that Caitlin accepted Amunet 's employment in exchange for the means to control Frost . Learning that Amunet is holding a metahuman she calls `` the Weeper '' , whose tears are a strong narcotic , prisoner and intends to sell him , Iris 's party decides to stop her . Though Caitlin refuses to join , she attacks Amunet when seeing her friends in danger . Using a strong magnet , the team robs Amunet 's metal shards , leaving her powerless . Iris dissuades Frost from killing Amunet , who promises revenge . Both parties refuse to tell each other about their adventures . Iris asks Caitlin to be her maid of honor while Joe convinces Joanie to tell Cecile about her research . DeVoe captures the Weeper .     75   6   `` When Harry Met Harry ... ''   Brent Crowell   Jonathan Butler &amp; Gabriel Garza   November 14 , 2017 ( 2017 - 11 - 14 )   T27. 13406   2.46     Barry trains Ralph to use his abilities , with Cisco making a stretchable suit for him . Another bus metahuman , a Lakota Sioux Native named Mina Chayton , who can animate statues , starts attacking Central City &amp; stealing pieces of a Black Bison necklace , which she claims belongs to her tribe . When Barry and Ralph catch up to her , she attacks Barry with a caveman statue and attempts a getaway . Ralph chooses to stop her , but a little girl is injured in the process . Ralph regrets his actions , but is comforted by Barry . Chayton escapes CCPD , going after the last necklace piece held at the museum . When Barry and Ralph confront her , she brings a dinosaur skeleton to life . Barry arrests Chayton while Ralph saves a security guard from the skeleton . Later , Ralph reveals he mailed the necklace back to Chayton 's tribe , before visiting the little girl in the hospital , using his abilities to entertain her . Meanwhile , Harry , trying to make friends , works with his doppelgangers of alternate Earths , The Council of Wells . They figure out that DeVoe is a man named Clifford DeVoe . Barry and Joe head to DeVoe 's house , to find that he is a middle - aged man in a wheelchair .     76   7   `` Therefore I Am ''   David McWhirter   Eric Wallace &amp; Thomas Pound   November 21 , 2017 ( 2017 - 11 - 21 )   T27. 13407   2.20     Barry and Joe interrogate DeVoe and his wife to try and get more information . In flashbacks , DeVoe and his wife build a thinking cap to improve his brain capacity , powering it through the particle accelerator explosion . DeVoe 's increased brain power accelerates his amyotrophic lateral sclerosis , forcing his wife to build him a special chair to keep him alive . Barry discovers the camera in the Samuroid head and confronts DeVoe , who reveals his true identity , leading to Cisco dubbing him `` The Thinker '' . Wally returns to Team Flash from Blue Valley .     77   8   `` Crisis on Earth - X , Part 3 ''   Dermott Downs   Story by : Andrew Kreisberg &amp; Marc Guggenheim Teleplay by : Todd Helbing   November 28 , 2017 ( 2017 - 11 - 28 )   T27. 13408   2.82      Barry , Oliver , Sara , Alex , Martin and Jax wake up in a Nazi concentration camp on Earth - X , with power dampening handcuffs . The arriving SS - Sturmbannführer is revealed to be the Earth - X doppelgänger of Quentin Lance , who takes them away for execution , before they are saved by Citizen Cold ( the Earth - X doppelgänger of Leonard Snart ) and The Ray ( Ray Terrill ) . Snart and Terrill take them to the underground headquarter of the Freedom Fighters , where the team meets the resistance movement 's leader General Winn Schott ( Winn Schott 's Earth - X doppelgänger ) . They learned that the only way back to Earth - 1 is through a temporal gateway in a Nazi facility , which Schott plans to blow up to strand Dark Arrow ( Oliver 's Earth - X doppelgänger ) on Earth - 1 . Oliver disguises himself as Dark Arrow to infiltrate the facility , discovers the Nazi 's doomsday device against parallel Earths is a militarized timeship called Wellenreiter , and saves a prisoner ( who is Felicity 's Earth - X doppelgänger ) from Quentin . Barry and Ray battle the Freedom Fighters ' Red Tornado to stop it from destroying the temporal gateway , while the rest of the team enters the facility . In attempting to reactivate the gateway 's portal , Stein is shot and gravely wounded . Back on Earth - 1 , Thawne prepares to perform surgery on Kara to save Overgirl at S.T.A.R. Labs . Felicity and Iris try to stop him , but are captured .  This episode continues a crossover event that begins on Supergirl season 3 episode 8 and Arrow season 6 episode 8 , and concludes on Legends of Tomorrow season 3 episode 8 .     78   9   `` Do n't Run ''   Stefan Pleszczynski   Sam Chalsen &amp; Judalina Neira   December 5 , 2017 ( 2017 - 12 - 05 )   T27. 13409   2.22     While out Christmas shopping , Barry is ambushed and kidnapped by DeVoe while Caitlin is kidnapped from Jitters by Amunet . Iris claims they have to look for both of them , despite Wells ' claim that they have insufficient time and resources and that they can only afford to search for one . Barry is held in DeVoe 's lair . Caitlin is forced by Amunet to perform surgery on a metahuman named Dominic Lanse , who can read minds . They try to escape , but Amunet blocks their exit . Caitlin manages to briefly incapacitate Amunet , and she and Dominic flee the building they are being held in . Once outside , they are rescued by Cisco and Ralph , as Iris has chosen to focus on finding Caitlin . Barry manages to escape from DeVoe . Team Flash celebrates Christmas at the West house and Dominic joins them . Barry gets a security alert from his apartment . When he arrives , he receives a phone call from Dominic , who reveals that Amunet re-kidnapped Dominic and DeVoe has transferred his consciousness into Dominic 's body . Barry discovers DeVoe 's original body dead on his apartment floor and he realizes DeVoe has framed him for his `` murder '' ; the police arrive , and Barry lets himself get arrested , not wanting to leave Iris again .     79   10   `` The Trial of The Flash ''   Philip Chipera   Lauren Certo &amp; Kristen Kim   January 16 , 2018 ( 2018 - 01 - 16 )   TBA   TBD   </t>
  </si>
  <si>
    <r>
      <rPr>
        <sz val="11"/>
        <color rgb="FF000000"/>
        <rFont val="Calibri"/>
        <family val="0"/>
        <charset val="1"/>
      </rPr>
      <t xml:space="preserve">Danny Masterson - wikipedia  Danny Masterson  Jump to : navigation , search    Danny Masterson     Masterson in June 2015       Daniel Peter Masterson ( 1976 - 03 - 13 ) March 13 , 1976 ( age 42 ) Long Island , New York , U.S.     Occupation   Actor , disc jockey , businessman     Years active   1988 -- present     Spouse ( s )   Bijou Phillips ( m . 2011 )     Children       Relatives   Christopher Masterson ( brother ) Jordan Masterson ( maternal half - brother ) Alanna Masterson ( maternal half - sister )     Website   www.djmomjeans.com     Daniel Peter Masterson ( born March 13 , 1976 ) is an American actor and disc jockey . Masterson is known for his roles as Steven Hyde in That ' 70s Show ( 1998 -- 2006 ) and as Jameson `` Rooster '' Bennett in The Ranch ( 2016 -- 2018 ) .     Contents  ( hide )   1 Early life and career   2 Career   2.1 Acting career   2.2 Music   2.3 Business ventures     3 Personal life   3.1 Rape allegations     4 Charity work   5 Filmography   5.1 Television     6 References   7 External links      Early life and career ( edit )   Masterson was born on Long Island , New York , the son of Carol , a manager , and Peter Masterson , an insurance agent . He grew up in Garden City and East Williston , New York . He has one brother , actor Christopher Masterson . Their maternal half siblings Jordan Masterson and Alanna Masterson are also actors .   A child model from age 4 , who was featured in magazine articles as well as television commercials beginning at age 5 , Masterson starred in musicals as a child at the age of eight , and began acting as well . His singing voice `` disappeared '' by the time he was a teenager . By the time he was sixteen , he had appeared in over one - hundred commercials , including ones for Swift Premium , Kellogg 's Frosted Flakes , Hardee 's , Hostess , Tang , and Clearasil .   Career ( edit )   Acting career ( edit )   In the early 1990s , Masterson had a role in Beethoven 's 2nd , and starred as Justin in Cybill . These roles launched a film career , including a minor role in the John Travolta film Face / Off . After starring in the third and fourth seasons of Cybill , Masterson decided he wanted to move on from Cybill and audition for a show originally titled Teenage Wasteland , which later was changed to That ' 70s Show . The original casting director for That ' 70s Show , Debby Romano , resisted Masterson 's audition because he was slightly older than the rest of the cast , but ultimately allowed him to audition . She stated that , `` he came in and he was just so funny , '' and that he redefined where the role was going and made the role of Steven Hyde the , `` tough , funny guy . ''   Masterson appeared in all eight seasons of That ' 70s Show . His appearance on That ' 70s Show launched a breakthrough in Masterson 's career , allowing him to pursue other endeavours between tapings . After the show concluded Masterson starred in several movies and made guest appearances on television shows including Punk 'd and MADtv . Along with Kutcher and Valderrama , he co-hosted the Fox TV special Woodstock 1999 . He had a role in the 2008 comedy Yes Man . Masterson stars with his real - life wife , Bijou Phillips , in the 2009 drama The Bridge to Nowhere .   In 2011 , Masterson guest starred as James Roland in USA Network 's White Collar ( episode `` Where There 's A Will '' ) . He portrayed Jerry Rubin in the 2010 movie , The Chicago 8 , written and directed by Pinchas Perry . The Chicago 8 is a film based on the actual Chicago Eight in the late 1960s and early 1970s , and explores the events around the trial . It was filmed in September and October 2009 . The film is based closely on the trial transcripts and most of the action takes place in the courtroom .   In 2012 , the comedy series Men At Work premiered on TBS , co-starring Masterson and Michael Cassidy , James Lesure and Adam Busch . In 2012 , Masterson appeared in the film Alter Egos , directed by Jordan Galland .   Masterson starred alongside Sam Elliott , Ashton Kutcher , and Elisha Cuthbert in the Netflix comedy series The Ranch .   Music ( edit )   Masterson began DJing at Los Angeles night clubs in 1999 as a hobby , but it soon became a side business . Masterson is a self - described `` rock and hip hop fanatic , '' and is also a fan of indie , electro , and funk music , all of which he primarily DJs with .   Business ventures ( edit )   For a time , Masterson owned a lounge and bar in Park City , Utah , called Downstairs .   He appeared as part of a poker team , the Unabombers , the 2005 GSN series The James Woods Gang vs. The Unabombers . He has hosted celebrity poker events , such as the Phat Farm Stuff Casino Weekend Poker Tournament , in which he won the tournament .   Personal life ( edit )   Masterson is a Scientologist . He started dating Bijou Phillips in 2005 , they became engaged in 2009 , and married on October 18 , 2011 . They had daughter Fianna Francis Masterson on February 14 , 2014 .   Rape allegations ( edit )   In March 2017 , four women alleged they were raped by Masterson in the early 2000s , prompting a Los Angeles Police Department investigation . Masterson , through his agent , has denied the allegations , and Masterson has not been charged or arrested . In response to the accusations , Netflix fired Masterson from its comedy series The Ranch on December 5 , 2017 , saying in a statement , `` Yesterday was his last day on the show , and production will resume in early 2018 without him . '' Masterson stated that he is `` obviously very disappointed in Netflix 's decision to write my character off of The Ranch . '' A fifth woman who dated Masterson made similar accusations in December 2017 . He was dropped as a client by United Talent Agency .   At The Drive - In vocalist Cedric Bixler - Zavala said in November 2017 that his wife was raped by Masterson , and that his band 's song `` Incurably Innocent '' is about the incident .   Charity Work ( edit )   Masterson has been involved with the New York Rescue Workers Detoxification Project , a controversial organization with ties to the Church of Scientology . He played in a charity softball game in New York 's Central Park to help raise money for children in need of neurosurgery , designed guitars for a MusiCares fundraiser , and has supported such as the Hollywood Police Activities League ( a national youth development program for at - risk youth ) . He has played on the World Poker Tour Celebrity Invitational for the charity Chrysalis , with all proceeds going to said charity . He has also played the World Series of Poker 's Ante up for Africa event .   Filmography ( edit )   Film   Year   Title   Role   Notes     1993   Beethoven 's 2nd   Seth       1995   Bye Bye Love   Mikey       1997   Face / Off   Karl       1997   Trojan War   Seth       1997   Star Kid   Kevin       1998   Wild Horses   Danny       1998   Too Pure   Tipper       1998   The Faculty   `` Fucked - up '' kid       1999   Dirt Merchant   Dirt Merchant       2000   Dracula 2000   Nightshade       2001   Alex in Wonder   Patrick       2002   Hip , Edgy , Sexy , Cool         2002   Comic Book Villains   Conan       2002   Hold On         2005   Pancho 's Pizza         2006   Puff , Puff , Pass   Larry       2007   Smiley Face   Steve       2007   You Are Here   Derek       2008   Yes Man   Rooney       2008   The Brooklyn Heist   Fitz       2009   Wake   Shane       2009   Made for Each Other   Morris `` The Executioner '' Rodriguez       2009   The Bridge to Nowhere   Kevin       2012   The Chicago 8   Jerry Rubin       2012   California Solo   Paul       2012   Alter Egos   Jimmy       2012   The Polterguys   Tim Burr       2015   In Passing   Neighbor   Short film     2016   Hot Bot   Agent Koontz       2016   Urge   Neal       2018   Killing Winston Jones   Ethan Jones   Post-production     Television ( edit )   Television   Year   Title   Role   Notes       Jake and the Fatman   Butch   Episode : `` After You 're Gone ''     1993   Joe 's Life   Leo Gennaro   11 episodes       Roseanne   Jimmy Phillips   2 episodes     1994 -- 1997   NYPD Blue     2 episodes     1995   Extreme   Skeeter   7 episodes       American Gothic   Ray   Episode : `` Rebirth ''       Seduced by Madness   Seth   Television film       Tracey Takes On ...   King the Dog   Episode : `` Family ''       Party of Five   Matt   3 episodes       Her Last Chance   Ryan   Television film     1996 -- 1998   Cybill   Justin Thorpe   16 episodes     1997   Sliders   Renfield   Episode : `` Stoker ''     1998 -- 2006   That ' 70s Show   Steven Hyde   Main cast ; 200 episodes Nominated -- Teen Choice Award for TV Choice Sidekick ( 2000 ) Nominated -- Teen Choice Award for Best Performance in a TV Series by a Young Ensemble ( shared with Topher Grace , Laura Prepon , Mila Kunis , Wilmer Valderrama and Ashton Kutcher ) ( 1999 )     2001   Strange Frequency   Randy   Television film     2001   Grounded for Life   Vince   Episode : `` Baby You Ca n't Drive My Car ''     2001   How to Make a Monster   Jeremy   Uncredited ; Television film     2002 -- 2004   MADtv   Various   2 episodes     2003   King of the Hill   Cory   Voice ; Episode : `` Megalo Dale ''     2003   Robot Chicken   Various   Voice ; 2 episodes     2003   Stephen King 's Dead Zone   Dr. Alex Conners   Episode : `` Vanguard ''     2005   Entourage   Himself   Episode : `` Aquamansion ''     2006   Kim Possible   Quinn   Voice ; Episode : `` And the Mole - Rat Will Be CGI ''     2011   Raising Hope   Lucy 's Boyfriend   Episode : `` Do n't Vote for This Episode ''     2011   White Collar   James Roland   Episode : `` Where There 's A Will ''     2012 -- 2014   Men at Work   Milo Foster   Main cast ; 31 episodes     2012   Supah Ninjas   Limelight / Lemuel Lightner   Episode : `` Limelight ''     2013   Haven   Anderson Harris   Episode : `` Shot in the Dark ''     2014   Royal Pains   David Van Dyke   Episode : `` Ganging Up ''     2016 -- 2018   The Ranch   Jameson `` Rooster '' Bennett   Series regular ; 50 episodes     2016   @ midnight   Himself   Episode : `` 394 ''     2016   WWE Raw   Himself   October 3 guest with Ashton Kutcher     2017   Easy   Annie 's Boyfriend   Episode : `` Baby Steps ''     Music Videos   Year   Title   Role   Notes     1999   Cheap Trick -- That ' 70s Song ( In the Street )   Hyde   With Cast of That ' 70s Show     2011   Eduardo Fresco -- The Way I Fiesta ( ft . Clayton Vice )   DJ       Producer   Year   Title   Notes     2008   The Brooklyn Heist   Producer ; Jury Award for Best Florida Comedy ( shared with Dave Steck , Brett Halsey , Michael Cecchi , Julian Kheel )     2014   Men at Work   Producer ; 10 episodes     2016 -- 2018   The Ranch   Co-Executive Producer     References ( edit )    Jump up ^ `` Danny Masterson '' . TVGuide.com . Archived from the original on March 18 , 2016 . Retrieved February 16 , 2017 . Most sources give birth date March 13 , 1976 . FilmReference.com gives March 3 , 1976 .   ^ Jump up to : Stone , Natalie ( March 3 , 2017 ) . `` That ' 70s Show 's Danny Masterson Is Being Investigated by LAPD Over Sexual Assault Claims '' . People . Time Inc . Archived from the original on November 9 , 2017 . Retrieved 4 March 2017 .   Jump up ^ `` Danny Masterson Biography ( 1976 -- ) '' . FilmReference.com . Archived from the original on June 30 , 2012 . Retrieved 2016 - 09 - 16 ... born ... in Albertson ( some sources cite Williston ) , NY   Jump up ^ Masterson , Danny ( @ dannymasterson ) ( July 28 , 2013 ) . `` Garden city and east williston '' ( Tweet ) . Archived from the original on February 16 , 2017 . Retrieved February 16 , 2017 -- via Twitter .   Jump up ^ `` Danny Masterson Biography '' . Yahoo ! Movies . Archived from the original on June 30 , 2012 .   ^ Jump up to : `` Danny Masterson '' . Complex . n.d. Archived from the original on October 11 , 2007 .   Jump up ^ `` When Danny met Bijou '' . Paper . January 23 , 2009 . Archived from the original on October 21 , 2010 .   Jump up ^ `` Danny Masterson for Clearasil '' . Sitcoms Online .   ^ Jump up to : `` Interview : Danny Masterson '' . Askmen.com . n.d. Archived from the original on May 9 , 2016 .   Jump up ^ Marilyn Beck &amp; Stacy Jenel Smith ( October 27 , 2009 ) . `` The Chicago 8 '' . Jacksonville Observer . Retrieved June 24 , 2010 .   Jump up ^ Lloyd , Robert ( May 24 , 2012 ) . `` ' Men at Work ' is n't very ambitious '' . Los Angeles Times .   Jump up ^ Stewart , Andrew ( April 21 , 2011 ) . `` Ensemble embraces ' Egos ' '' . Variety . Retrieved 2011 - 11 - 14 .   ^ Jump up to : Harp , Jessica ( March 16 , 2010 ) . `` Interview With DJ Mom Jeans ( AKA Danny Masterson ) '' . Denton , Texas : MyDentonMusic.com . Archived from the original on 2011 - 07 - 14 . Retrieved August 4 , 2010 .   Jump up ^ `` Downstairs ( official site ) '' . Archived from the original on March 6 , 2010 . Retrieved August 22 , 2010 .   Jump up ^ Chamberlain , Amanda ( October 6 , 2009 ) . `` Behind Bars : Downstairs Owner Danny Masterson '' . InThisWeek.com . Archived from the original on January 29 , 2010 . Retrieved August 22 , 2010 .   Jump up ^ `` James Woods Takes on the Pros in GSN 's New Poker Royale Series ' The James Woods Gang us . the Unabombers ' '' ( Press release ) . GSN . September 21 , 2005 . Archived from the original on December 22 , 2017 . Retrieved December 21 , 2017 -- via TheFutonCritic.com .   Jump up ^ Belsky , Richard ( September 20 , 2005 ) . `` Vegas Meets Hollywood at the Phat Farm Stuff Casino Weekend Poker Tournament '' . Card Player . 18 ( 18 ) . Archived from the original on April 15 , 2010 .   Jump up ^ Saroyan , Strawberry ( April 2005 ) . `` Masterson of the Universe '' . Spin . Retrieved 8 January 2011 .   Jump up ^ `` Danny Masterson on Tom Cruise Scientology Backlash '' . Hollyscoop . December 2008 . Archived from the original on 21 November 2013 . Retrieved 15 July 2012 .   Jump up ^ Davis , Peter ( January 23 , 2009 ) . `` When Danny met Bijou '' . Paper Magazine . Archived from the original on 21 October 2010 . Retrieved 8 January 2011 .   Jump up ^ Wihlborg , Ulrica ( March 16 , 2009 ) . `` Danny Masterson and Bijou Phillips Are Engaged ! '' . People . Time Inc . Retrieved January 8 , 2011 .   Jump up ^ Garcia , Jennifer ( October 19 , 2011 ) . `` Danny Masterson and Bijou Phillips Marry '' . People . Time Inc . Retrieved February 16 , 2017 .   Jump up ^ Nicole Eggenberger ( 2014 - 02 - 20 ) . `` Danny Masterson , Wife Bijou Phillips Welcome Baby Girl Fianna : Photos '' . Us Weekly . Retrieved 2016 - 09 - 16 .   Jump up ^ Phillips , Bijou ( February 20 , 2014 ) . `` Fianna Francis Masterson , 2 / 14 / 14 '' . Retrieved April 1 , 2018 .   Jump up ^ Masterson , Danny ( February 19 , 2014 ) . `` Hello friends '' . Danny Masterson verified Instagram account . Retrieved April 1 , 2018 . Beyond thrilled to announce The birth of our daughter Fianna Francis Masterson !   Jump up ^ France , Lisa Respers ( December 5 , 2017 ) . `` Danny Masterson off ' The Ranch ' amid rape allegations '' . CNN . Retrieved December 5 , 2017 .   Jump up ^ Lockett , Dee ( December 21 , 2017 ) . `` Fifth Woman Accuses Danny Masterson of Rape '' . Vulture.com ( New York ) . Retrieved December 21 , 2017 .   Jump up ^ Ali , Yashar ( January 4 , 2018 ) . `` Top Talent Agency Cuts Ties With Danny Masterson Amid Rape Allegations '' . The Huffington Post . Archived from the original on January 6 , 2018 . Retrieved January 6 , 2018 .   Jump up ^ Neilstein , Vince ( November 21 , 2017 ) . `` At the Drive In Singer Accuses Actor Danny Masterson of Raping His Wife '' . MetalSucks.com . Archived from the original on November 21 , 2017 . Retrieved November 21 , 2017 .   Jump up ^ Bixler - Zavala , Cedric ( @ cedricbixler_ ) ( November 16 , 2017 ) . `` My wife is one of Danny Masterson 's rape victims '' ( Tweet ) . Archived from the original on November 21 , 2017 . Retrieved November 21 , 2017 -- via Twitter .   Jump up ^ Bixler - Zavala , Cedric ( @ cedricbixler_ ) ( November 16 , 2017 ) . `` U might wan na go back and re read my `` nonsensical '' lyrics ... '' ( Tweet ) . Archived from the original on November 21 , 2017 . Retrieved November 21 , 2017 -- via Twitter .   Jump up ^ `` Tom Cruises for converts using 9 / 11 ) '' . Daily News . New York .   Jump up ^ ( 1 ) Archived July 18 , 2011 , at the Wayback Machine .   Jump up ^ ( 2 ) Archived December 17 , 2010 , at the Wayback Machine .   Jump up ^ ( 3 )   Jump up ^ `` Kunis , Masterson and Valderrama at Scientology Celebrity Centre 10th Annual Fund Raiser '' . Life . Archived from the original on January 12 , 2011 . Retrieved 2016 - 09 - 16 ... the Church of Scientology 's fundraiser , ' Christmas Stories X ' to benefit the Hollywood Police Activities League .   Jump up ^ `` Celebrities and Poker Pros to Play for Charity at 2010 WPT Invitational '' . Pokernewsdaily.com. 2010 - 02 - 17 . Retrieved 2016 - 09 - 16 .   Jump up ^ `` Star List Grows for WSOP ' Ante Up For Africa ' Fundraiser '' . PokerNews.com. 2009 - 06 - 20 . Retrieved 2016 - 09 - 16 .    External links ( edit )    Danny Masterson on IMDb            BNF : cb161646977 ( data )   ISNI : 0000 0003 5984 4235   LCCN : nr2004028788   VIAF : 221472494      Retrieved from `` https://en.wikipedia.org/w/index.php?title=Danny_Masterson&amp;oldid=842821407 '' Categories :   1976 births   Male actors from New York ( state )   American male child actors   American male film actors   American Scientologists   American male television actors   Living people   People from North Hempstead , New York   20th - century American male actors   21st - century American male actors   Hidden categories :   Webarchive template wayback links   All articles with dead external links   Articles with dead external links from September 2016   Articles with hCards   All articles with unsourced statements   Articles with unsourced statements from February 2017   Wikipedia articles with BNF identifiers   Wikipedia articles with ISNI identifiers   Wikipedia articles with LCCN identifiers   Wikipedia articles with VIAF identifiers           Talk                                           Contents                   About Wikipedia                                                   Asturianu   تۆرکجه   Български   Čeština   Deutsch   Español   فارسی   Français   </t>
    </r>
    <r>
      <rPr>
        <sz val="11"/>
        <color rgb="FF000000"/>
        <rFont val="Noto Sans CJK SC"/>
        <family val="2"/>
      </rPr>
      <t xml:space="preserve">한국어   </t>
    </r>
    <r>
      <rPr>
        <sz val="11"/>
        <color rgb="FF000000"/>
        <rFont val="Calibri"/>
        <family val="0"/>
        <charset val="1"/>
      </rPr>
      <t xml:space="preserve">Italiano   עברית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Simple English   Српски / srpski   Srpskohrvatski / српскохрватски   Suomi   Svenska   </t>
    </r>
    <r>
      <rPr>
        <sz val="11"/>
        <color rgb="FF000000"/>
        <rFont val="Noto Sans CJK SC"/>
        <family val="2"/>
      </rPr>
      <t xml:space="preserve">中文  </t>
    </r>
    <r>
      <rPr>
        <sz val="11"/>
        <color rgb="FF000000"/>
        <rFont val="Calibri"/>
        <family val="0"/>
        <charset val="1"/>
      </rPr>
      <t xml:space="preserve">17 more  Edit links   This page was last edited on 24 May 2018 , at 22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</si>
  <si>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hyde on the 70's show</t>
  </si>
  <si>
    <t xml:space="preserve"> Daniel Peter Masterson ( born March 13 , 1976 ) is an American actor and disc jockey . Masterson is known for his roles as Steven Hyde in That ' 70s Show ( 1998 -- 2006 ) and as Jameson `` Rooster '' Bennett in The Ranch ( 2016 -- 2018 ) . </t>
  </si>
  <si>
    <r>
      <rPr>
        <sz val="11"/>
        <color rgb="FF000000"/>
        <rFont val="Calibri"/>
        <family val="0"/>
        <charset val="1"/>
      </rPr>
      <t xml:space="preserve">Saturated and unsaturated compounds - wikipedia  Saturated and unsaturated compounds  Jump to : navigation , search See also : Saturation ( chemistry )      It has been suggested that this article be merged with Saturation ( chemistry ) . ( Discuss ) Proposed since September 2016 .     In organic chemistry , a saturated compound is a chemical compound that has a chain of carbon atoms linked together by single bonds . Alkanes are saturated hydrocarbons . An unsaturated compound is a chemical compound that contains carbon - carbon double bonds or triple bonds , such as those found in alkenes or alkynes , respectively . Saturated and unsaturated compounds need not consist only of a carbon atom chain . They can form straight chain , branched chain , or ring arrangements . They can have functional groups , as well . It is in this sense that fatty acids are classified as saturated or unsaturated . The amount of unsaturation of a fatty acid can be determined by finding its iodine number .   Unsaturated compounds are those in which addition reaction can be obtained .   In a chain of carbons , such as a fatty acid , a double or triple bond will cause a kink in the chain . These kinks have macro-structural implications . Unsaturated fats tend to be liquid at room temperature , rather than solid , as the kinks in the chain prevent the molecules from packing closely together to form a solid . These fats are called oils and are present in fish and plants .   In other unsaturated hydrocarbons , the double bond between two carbons prevents rotation of the atoms about the bond , locking them into specific structural formations . When attached atoms occupy similar positions on each carbon , they are referred to as `` cis '' , and when they are on opposite sides , they are called `` trans '' . Most natural hydrocarbons exist in the cis state , but artificially manufactured hydrocarbons are trans . The body lacks the enzymes to properly break down the trans configuration . This is why trans fats are viewed as dangerous and unhealthy , as they tend to build up . Unsaturated compounds of the two formations are classified as geometric isomers of one another .   See also ( edit )    Saturation ( chemistry )    References ( edit )    Jump up ^ `` The Saturated Hydrocarbons , or Alkanes '' . Purdue University Division of Chemical Education .   Retrieved from `` https://en.wikipedia.org/w/index.php?title=Saturated_and_unsaturated_compounds&amp;oldid=791133606 '' Categories :   Organic chemistry   Chemical nomenclature   Hidden categories :   Articles to be merged from September 2016   All articles to be merged           Talk                                                             About Wikipedia                                                   Български   Deutsch   Eesti   Ελληνικά   Español   فارسی   Français   Gaeilge   Galego   עברית   Nederlands   </t>
    </r>
    <r>
      <rPr>
        <sz val="11"/>
        <color rgb="FF000000"/>
        <rFont val="Noto Sans CJK SC"/>
        <family val="2"/>
      </rPr>
      <t xml:space="preserve">日本 語   </t>
    </r>
    <r>
      <rPr>
        <sz val="11"/>
        <color rgb="FF000000"/>
        <rFont val="Calibri"/>
        <family val="0"/>
        <charset val="1"/>
      </rPr>
      <t xml:space="preserve">ਪੰਜਾਬੀ   Polski   Português   Svenska   Tiếng Việt   </t>
    </r>
    <r>
      <rPr>
        <sz val="11"/>
        <color rgb="FF000000"/>
        <rFont val="Noto Sans CJK SC"/>
        <family val="2"/>
      </rPr>
      <t xml:space="preserve">中文   </t>
    </r>
    <r>
      <rPr>
        <sz val="11"/>
        <color rgb="FF000000"/>
        <rFont val="Calibri"/>
        <family val="0"/>
        <charset val="1"/>
      </rPr>
      <t xml:space="preserve">Edit links   This page was last edited on 18 July 2017 , at 10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</si>
  <si>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do we say that a solution is unsaturated</t>
  </si>
  <si>
    <t xml:space="preserve"> In organic chemistry , a saturated compound is a chemical compound that has a chain of carbon atoms linked together by single bonds . Alkanes are saturated hydrocarbons . An unsaturated compound is a chemical compound that contains carbon - carbon double bonds or triple bonds , such as those found in alkenes or alkynes , respectively . Saturated and unsaturated compounds need not consist only of a carbon atom chain . They can form straight chain , branched chain , or ring arrangements . They can have functional groups , as well . It is in this sense that fatty acids are classified as saturated or unsaturated . The amount of unsaturation of a fatty acid can be determined by finding its iodine number . </t>
  </si>
  <si>
    <t xml:space="preserve">Gun laws in Texas - wikipedia  Gun laws in Texas  Jump to : navigation , search Location of Texas in the United States  Gun laws in Texas regulate the sale , possession , and use of firearms and ammunition in the U.S. state of Texas .     Contents  ( hide )   1 Summary   2 Firearms possession   3 Firearms carry   3.1 License to Carry   3.2 Restrictions on licensed carry   3.2. 1 30.06 signage     3.3 Open Carry   3.3. 1 30.07 signage       4 Castle Doctrine   4.1 Stand Your Ground   4.2 Civil Immunity     5 Motorists Protection Act   6 National Firearms Act   7 See also   8 References      Summary ( edit )     Subject / Law   Long guns   Handguns   Relevant Statutes   Notes     State permit to purchase ?   No   No         Firearm registration ?   No   No         Owner license required ?   No   No         Assault weapon law ?   No   No         Magazine capacity restriction ?   No   No         Carry license required ?   No   Yes   GC Ch . 411.172   Licensed carry of a handgun requires a `` shall - issue '' license , and is subject to specific laws governing trespass while armed . People who are barred from licensing include those under age 21 , felons , fugitives , people who are `` chemically dependent '' or `` incapable of exercising sound judgment '' , and those in arrears for taxes or child support .     Open carry ?   Yes   Yes   PC 46.02   Long gun and black powder weapon ( including handgun ) open carry is not forbidden by law , unless in a manner `` calculated to cause alarm . '' Effective January 1 , 2016 , individuals with a handgun carry license will be permitted to carry openly , per House Bill 910 of the 2015 legislative session . Non-residents from states whose permits are recognized by Texas will also be allowed to open carry under the new law .     Concealed carry on college campus ?   No   Yes     May carry in parking lots , parking garages , outdoor walkways on campus .  Public four - year universities ( as of August 1 , 2016 ) and public two - year colleges ( as of August 1 , 2017 ) must allow concealed carry in campus buildings as well . Universities will be allowed to designate certain sensitive areas as `` gun free zones '' ; these will be subject to legislative analysis .      State preemption of local restrictions ?   Yes   Yes   LGC § 229.001 .   State law prohibits municipal governments from regulating the ownership , transfer , storage , or licensing of firearms , ammunition , or accessories . Local ordinances can regulate the discharge of firearms ( such as for noise , nuisance or public safety ) , but not in contradiction of state law concerning justified use of a firearm .     NFA weapons restricted ?   No   No   PC 46.01 , PC 46.05   Texas Penal Code Section 46.05 requires that `` explosive weapons '' , `` machine guns '' , `` short - barrel firearms '' , and `` firearm silencers '' , as defined in Section 46.01 , be `` registered in the National Firearms Registration and Transfer Record maintained by the Bureau of Alcohol , Tobacco , Firearms and Explosives or classified as a curio or relic by the United States Department of Justice '' . Prior to May 22nd 2015 , Section 46.05 called `` registration pursuant to the National Firearms Act '' a `` defense to prosecution '' .     Peaceable journey laws ?   Yes   Yes   PC 46.02 , PC 46.15   A person may carry a loaded handgun without a permit while in or heading directly to a motor vehicle or watercraft they own or control . The statute does not specifically state the handgun must be concealed while heading to the vehicle or watercraft , and 46.02 , which requires concealment of a handgun while in a motor vehicle or watercraft , is not applicable to a person while the person is traveling , pursuant to said activities . 46.15 ( b ) ( 2 ) .     Castle doctrine / stand your ground law ?   Yes   Yes   PC 9.32   A person is presumed justified in using deadly force to protect themselves against an unlawful , forceful intrusion into their dwelling , or to prevent an unlawful , forceful attempt to remove a lawful occupant from the dwelling , or to prevent certain serious felonies such as burglary or arson . There is no duty to retreat from any place where the shooter has a legal right to be .     Background checks required for private sales ?   No   No        A notice stating that the Turman Halfway House in Austin , Texas prohibits concealed handguns . This sign uses obsolete wording in font smaller than required , and is no longer enforceable under current law .  Firearms possession ( edit )   Texas has no laws regarding possession of `` long - barreled firearms '' or `` long guns '' ( shotguns , rifles and similar ) by persons 18 years or older with valid identification , or handguns by persons 21 years or older , without felony convictions ; all existing restrictions in State law mirror Federal law . NFA weapons are also only subject to Federal restrictions ; no State regulations exist . Municipal and county ordinances on possession and carry are generally overridden ( preempted ) due to the wording of the Texas Constitution , which gives the Texas Legislature ( and it alone ) the power to `` regulate the wearing of arms , with a view to prevent crime '' . Penal Code Section 1.08 also prohibits local jurisdictions from enacting or enforcing any law that conflicts with State statute . Local ordinances restricting discharge of a firearm are generally allowed as State law has little or no specification thereof , but such restrictions do not preempt State law concerning justification of use of force and deadly force .   In Texas a convicted felon may possess a firearm in the residence in which he lives once five years have elapsed from his release from prison or parole , whichever is later . Under Texas Penal Code § § 12.33 , 46.04 , the unlawful possession of a firearm is a third degree felony with a punishment range of two to ten years for a defendant with one prior felony conviction and fine up to $10,001 .   Firearms carry ( edit )   There is no legal statute specifically prohibiting the carry of a firearm other than a handgun ( pre-1899 black powder weapons , and replicas of such , are not legally firearms in Texas ) . However , if the firearm is displayed in a manner `` calculated to cause alarm , '' then it is `` disorderly conduct '' . Open carry of a handgun in public had long been illegal in Texas , except when the carrier was on property he / she owned or had lawful control over , was legally hunting , or was participating in some gun - related public event such as a gun show . However , the 2015 Texas Legislature passed a bill to allow concealed handgun permit holders to begin carrying handguns openly . The bill was signed into law on June 13 , 2015 , and took effect on January 1 , 2016 . A License to Carry ( LTC ) is still required to carry a handgun openly or concealed in public .   License to carry ( edit )   The Texas handgun carry permit was previously called a `` Concealed Handgun License '' or CHL . This has changed on Jan 1 . 2016 to LTC `` License To Carry '' and at the same time the laws changed to include `` Open Carry '' . Permits are issued on a non-discretionary ( `` shall - issue '' ) basis to all eligible , qualified applicants . Texas has full reciprocity agreements with 30 states , not including Vermont ( which is an `` unrestricted '' state and neither issues nor requires permits ) , most of these having some residency restrictions ( the holder must either be a resident of Texas or a non-resident of the reciprocal state for the Texas license to be valid in that state ) . Texas recognizes an additional 11 states ' concealed - carry permits unilaterally ; those states do not recognize Texas ' own permit as valid within their jurisdiction , usually due to some lesser requirement of the Texas permit compared to their own .   The handgun licensing law sets out the eligibility criteria that must be met . For example , an applicant must be eligible to purchase a handgun under the State and Federal laws ( including an age restriction of 21 ) , however an exception is granted to active members of the military who are age 18 and over . Additionally , a number of factors may make a person ineligible ( temporarily or permanently ) to obtain a license , including :    felony convictions ( permanent ) and Class A or B misdemeanors ( 5 years , permanent in cases of domestic violence ) , including charges that resulted in probation or deferred adjudication ;   pending criminal charges ( indefinite until resolved ) ;   chemical or alcohol dependency ( defined as 2 convictions for substance - related offenses in a 10 - year period ; 10 - year ban from the date of the first conviction ) ;   certain types of psychological diagnoses ( indefinite until the condition is testified by a medical professional as being in remission ) ;   protective or restraining orders ( indefinite until rescinded ) ; or   defaults on taxes , student loans , child support and / or other governmental fees ( indefinite until resolved ) .    This last category , though having little to do with a person 's ability to own a firearm , is in keeping with Texas policy for any licensing ; those who are delinquent or in default on State - regulated debts or court judgments are generally barred from obtaining or renewing any State - issued license ( including driver licenses ) , as an incentive to settle those debts .   `` Information regarding any psychiatric , drug , alcohol , or criminal history '' is required only from new users . Renewals are required every five years , but are granted without further inquiry into or update of this information .   An eligible person wishing to obtain an LTC ( formerly CHL ) must take a State - set instruction course taught by a licensed instructor for a minimum of 4 hours and a maximum of 6 hours , covering topics such as applicable laws , conflict resolution , criminal / civil liability , and handgun safety , and pass a practical qualification at a firing range with a handgun . The caliber requirement was repealed on September 1 , 2017 . Such courses vary in cost , but are typically around $100 -- $125 for new applicants ( usually not including the cost of ammunition and other shooting supplies ; the practical qualification requires firing 50 rounds of ammunition ) . They may then apply , providing a picture , fingerprints , other documentation , and a $40 application fee ( as of September 1 , 2017 ; previously $140 and $70 for renewals ) , -- active and discharged military are eligible for discounts -- to the DPS , which processes the application , runs a federal background check , and if all is well , issues the permit . Permits are valid for five years , and allow resident holders to carry in 29 other states ( nonresidents may carry in all but four of those ) , due to reciprocity agreements . Discounted LTC fees vary from $0 for active duty military ( through one year after discharge ) , to $25 for military veterans .   Restrictions on licensed carry ( edit )   While a permitted resident of Texas ( or a nonresident holding a recognized permit ) is generally authorized to carry in most public places , there are State and Federal laws that still restrict a permit holder from carrying a weapon in certain situations . These include :    Federal buildings - Premises owned by the U.S. Federal Government or its agencies for the purpose of any official business of the Federal Government are covered by Federal statutes that supersede State law . It is illegal in general under said statutes to possess a firearm while in any such location , and possession of a State - issued concealed firearms permit is no defense . Such places commonly encountered include post offices , Federal courts , and offices of the IRS , FBI , Justice Department , Department of Energy , USDA , FDA , etc . A rider tied to the 2009 Federal CARD Act has restricted the Department of the Interior from enacting or enforcing restrictions on carry of arms within lands controlled by the Bureau of Land Management ; CHL permittees may carry concealed while in a federal park or wildlife preserve contained wholly or partially within the borders of the State of Texas . However , Army Corps of Engineers properties ( including all reservoir lakes and included park areas ) are still off - limits .   Schools - Concealed carry in a school may be a felony under TPC section 46.03 : `` A person commits an offense if the person intentionally , knowingly , or recklessly possesses or goes with a firearm , illegal knife , club , or prohibited weapon listed in Section 46.05 ( a ) : ... on the physical premises of a school or educational institution , any grounds or building on which an activity sponsored by a school or educational institution is being conducted , or a passenger transportation vehicle of a school or educational institution , whether the school or educational institution is public or private , unless pursuant to written regulations or written authorization of the institution ( emphasis added ) . '' The age / grade level , funding type or for - profit status of the school does not matter . Carry of a concealed weapon while in a public outdoor area surrounding an educational building is permitted ; as defined by TPC 46.035 ( f ) ( 3 ) , `` premises '' refers only to a building or part of a building , and does not refer to driveways , streets , sidewalks , parking lots , parking garages , or privately owned vehicles . Employees of schools will be able to keep their firearms within their vehicles as of September 1 , 2017 .   Public sporting events - It is a Class A misdemeanor to carry while inside a building currently being used for an interscholastic or professional sporting event , unless the person carrying is a participant in the sporting event and said sporting event requires the use of the firearm ( i.e. a target shooting competition ) .   Businesses posting a compliant `` 51 % sign '' - It is a felony to carry a firearm while on the premises of a business that makes more than 51 % of its revenue from the sale of alcoholic beverages for on - premises consumption ( colloquially `` bars '' , `` nightclubs '' , `` taverns '' , `` saloons '' , etc . ) . A person with a CHL that is in violation has a defense that the establishment did not post the proper signage , as required by the Government Code section 411.204 . The proper signage contains similar language as is required of all liquor license holders , but with the addition of a couple of words to prohibit licensed as well as unlicensed carry , and a background containing a red `` 51 % '' to make it obvious at a glance that the sign applies to CHL holders .   Correctional facilities - It is a felony , whether licensed or not , to carry inside a building generally termed a `` jail '' or `` prison '' .   Execution premises - within 1,000 feet of premises the location of which is designated by the Texas Department of Criminal Justice as a place of execution under Article 43.19 , Code of Criminal Procedure , on a day that a sentence of death is set to be imposed on the designated premises and the person received notice that : ( A ) going within 1,000 feet of the premises with a weapon listed under this subsection was prohibited ; or ( B ) possessing a weapon listed under this subsection within 1,000 feet of the premises was prohibited .   Courts or court offices - It is a felony , whether licensed or not , to carry inside a building used by a functioning municipal , state or federal court for official business . Exceptions are granted to certain employees of those offices , such as judges , attorneys , baliffs , and law enforcement officials .   Election polling places - It is a felony , whether licensed or not , to carry inside a building being used as a polling center for any municipal , state and / or federal elections process on the scheduled voting date or while polling is underway . This is significant , as a local business or other generally public building , which would normally not prohibit concealed carry , may offer their facilities for use as a polling place . A person would be in violation if they entered the building on the day voting occurs , even if the polls are not open at the time , and even if the license holder is there for some other purpose than to vote .   Racetracks - It is a felony , whether licensed or not , to carry a firearm on the premises of a racetrack ( horse or dog ) .   While intoxicated - CHL holders may not carry in any place or at any time while intoxicated ( Penal Code 46.035 . ) , defined as : ( a ) not having the normal use of mental or physical faculties by reason of the introduction of alcohol , a controlled substance , a drug , a dangerous drug , a combination of two or more of those substances , or any other substance into the body ; or ( B ) having an alcohol concentration of 0.08 or more ( Penal Code 49.01 . )   30.06 signage ( edit )  TPC section 30.06 covers `` Trespass by a person licensed to carry a concealed handgun '' . It allows a residential or commercial landowner to post signage that preemptively bars licensed persons from entering the premises while carrying concealed . It is a Class A misdemeanor to fail to heed compliant signage . As of January 1 , 2016 , the charge for failing to heed signage has been reduced to a Class C misdemeanor , unless it can be shown at trial that the actor was given oral notice and failed to depart , in which case it remains a Class A misdemeanor . This is a significant difference , in that conviction of a Class A or B misdemeanor will result in the loss of your handgun license for at least 5 years , this is not the case if convicted of a Class C misdemeanor .   Signs posted in compliance with TPC 30.06 are colloquially called `` 30.06 signs '' or `` 30.06 signage '' .    The courts have yet to rule on any specific requirements of 30.06 , but CHL permittees are generally instructed that signage which does not comply exactly with TPC Sec . 30.06 ( c ) ( 3 ) ( B ) is not binding . The law states a compliant sign must be :   In contrasting colors ;   With block letters ;   Having text 1 '' or greater in height ;   Containing `` identical '' text to the following :    `` Pursuant to Section 30.06 , Penal Code ( trespass by license holder with a concealed handgun ) , a person licensed under Subchapter H , Chapter 411 , Government Code ( handgun licensing law ) , may not enter this property with a concealed handgun ''      In both English and Spanish ;   Posted conspicuously and `` clearly visible to the public '' .     Hospitals are a gray area due to conflicts in the law and multiple provisions that may apply to a medical facility :   License holders were originally prohibited from carrying concealed inside a hospital without written authorization , under TPS 46.035 ( b ) ( 4 ) .   An amendment in 2007 added paragraph ( i ) to the same section , stating that ( b ) ( 4 ) the prohibition does not apply if the license holder did not receive notice ( oral or written communication , including posting of a sign , under TPC 30.06 ) of the prohibition .   But , a hospital may be a `` teaching hospital '' and considered a school , where firearms carry is prohibited , under TPC 46.03 ( a ) ( 1 ) .   It may also be a VA or military hospital , and thus subject to federal prohibition on weapons carry .   All hospitals are required under Government Code Section 411.204 ( b ) to post a sign stating that possession of a handgun whether licensed or not is a felony . It is unknown , given the amendments to 46.035 , whether the GC 411.204 signage would actually prohibit a CHL holder from carrying , as it would not constitute `` effective notice under section 30.06 '' and GC 411.204 does not describe failure to heed such a sign as an offense by the license holder .     Anyone who owns or controls property may orally or in writing , inform a person carrying a concealed handgun that they must leave the property .    Open carry ( edit )   As of January 1 , 2016 , holders of a Texas CHL or LTC are able to openly carry handguns in the same places that allow concealed carry with some exceptions . Openly carried handguns must be in a shoulder or belt holster .   Existing CHL holders may continue to carry with a valid license . New applicants will be required to complete training on the use of restraint holsters and methods to ensure the secure carry of openly carried handguns .   Exceptions to Open Carry    Open carry is not permitted on the premises of a public institution of higher education or on the premises of a private or independent institution of higher education   Open carry is not permitted on any public or private driveway , street , sidewalk or walkway , parking lot , parking garage or other parking area of an institution of higher education or private or independent institution of higher education   Open carry is not permitted by an individual who is acting as a personal protection officer under Chapter 1702 Texas Occupations Code and is not wearing a uniform   30.07 signage ( edit )  This law took effect January 1 , 2016 , and covers the new Open Carry law . Section 30.07 is substantially similar to Section 30.06 which covers concealed carry .   TPC section 30.07 covers `` Trespass by license holder with an openly carried handgun '' This allows a residential or commercial landowner to post signage that preemptively bars licensed persons from entering the premises while openly carrying a handgun . An offense under section 30.07 is a Class C misdemeanor , unless it is shown at trial that the actor was given oral notice and failed to depart , in which case the offense is a Class A misdemeanor . The 30.07 sign differs from the 30.06 sign in that it must be displayed at each entrance to the property . ( In both cases the sign must be `` clearly visible to the public '' . )   The law states that notice may be given orally by the owner of the property , or someone with apparent authority to act for the owner , or by written communication .   Written communication consists of a card or other document consisting the 30.07 language below , or a sign posted on the property .   Both written communication and a posted sign must contain language identical to the following ( 30.07 notice ) :    `` Pursuant to section 30.07 , Penal Code ( trespass by license holder with an openly carried handgun ) , a person licensed under Subchapter H , Chapter 411 , Government Code ( handgun licensing law ) , may not enter this property with a handgun that is carried openly ''   Additionally , signs posted on the property must conform to the following regulations :   Must include the 30.07 notice above in both English and Spanish   Must appear in contrasting colors   Must be in block letters at least one inch in height   Must be `` displayed in a conspicuous manner clearly visible to the public at each entrance to the property ''        Castle Doctrine ( edit )   On March 27 , 2007 , Governor Rick Perry signed Senate Bill 378 into law , making Texas a `` Castle Doctrine '' state which came into effect September 1 , 2007 . Residents lawfully occupying a dwelling may use deadly force against a person who `` unlawfully , and with force , enters or attempts to enter the dwelling '' , or who unlawfully and with force removes or attempts to remove someone from that dwelling , or who commits or attempts to commit a `` qualifying '' felony such as `` aggravated kidnapping , murder , sexual assault , aggravated sexual assault , robbery , or aggravated robbery '' ( TPC 9.32 ( b ) ) .   Stand your Ground ( edit )   Senate Bill 378 also contains a `` Stand Your Ground '' clause ; A person who has a legal right to be wherever he / she is at the time of a defensive shooting has no `` duty to retreat '' before being justified in shooting . The `` trier of fact '' ( the jury in a jury trial , otherwise the judge ) may not consider whether the person retreated when deciding whether the person was justified in shooting ( TPC 9.32 ( c , d ) ) .   Civil immunity ( edit )   In addition , two statutes of the Texas Civil Practice And Remedies Code protect people who justifiably threaten or use deadly force . Chapter 86 prohibits a person convicted of a misdemeanor or felony from filing suit to recover any damages suffered as a result of the criminal act or any justifiable action taken by others to prevent the criminal act or to apprehend the person , including the firing of a weapon . Chapter 83 of the same code states that a person who used force or deadly force against an individual that is justified under TPC Chapter 9 is immune from liability for personal injury or death of the individual against whom the force was used . This does not relieve a person from liability for use of force or deadly force on someone against whom the force would not be justified , such as a bystander hit by an errant shot .   This law does not prevent a person from being sued for using deadly force . The civil court will determine if the defendant was justified under chapter 9 of the Penal Code .   Motorists protection act ( edit )   Gov. Perry also signed H.B. 1815 after passage by the 2007 Legislature , a bill that allows any Texas resident to carry a handgun in the resident 's motor vehicle without a CHL or other permit . The bill revised Chapter 46 , Section 2 of the Penal Code to state that it is in fact not `` Unlawful Carry of a Weapon '' , as defined by the statute , for a person to carry a handgun while in a motor vehicle they own or control , or to carry while heading directly from the person 's home to that car . However , lawful carry while in a vehicle requires these four critical qualifiers : ( 1 ) the weapon must not be in plain sight ( in Texas law , `` plain sight '' and `` concealed '' are mutually exclusive opposing terms ) ; ( 2 ) the carrier can not be involved in criminal activities , other than Class C traffic misdemeanors ; ( 3 ) the carrier can not be prohibited by state or federal law from possessing a firearm ; and ( 4 ) the carrier can not be a member of a criminal gang .   Previous legislation ( H.B. 823 ) enacted in the 2005 session of the Legislature had modified TPC 46.15 ( `` Non-Applicability '' ) to include the `` traveller assumption '' ; a law enforcement officer who encounters a firearm in a vehicle was required to presume that the driver of that vehicle was `` travelling '' under a pre-existing provision of 46.15 , and thus the Unlawful Carry statute did not apply , absent evidence that the person was engaged in criminal activity , a member of a gang , or prohibited from possessing a firearm . However , attorneys and law enforcement officials in several municipalities including DA Chuck Rosenthal of Houston stated that they would continue to prosecute individuals found transporting firearms in their vehicles despite this presumption , leading to the more forceful statement of non-applicability in the 2007 H.B. 1815 .   National firearms act ( edit )   Possession of destructive devices , automatic firearms ( machine guns ) , short - barrel shotguns ( SBS ) , short - barrel rifles ( SBR ) , suppressors , smoothbore pistols and other such NFA - restricted weapons is permitted by Texas law as long the owner has registered the item ( s ) into the NFA registry . This registration is legal if the owner possesses the proper forms , processed in accordance with the National Firearms Act which includes a paid tax stamp and approval by the NFA branch of the BATFE .   See also ( edit )    Gun violence and gun control in Texas   Law of Texas    References ( edit )    Jump up ^ `` Texas Government Code - Section 411.172 '' . Texas Constitution and Statutes . Retrieved 2015 - 06 - 13 .   Jump up ^ `` NFA Weapons Now Legal In Texas '' . ammoland.com. 2015 - 06 - 02 . Retrieved 2017 - 04 - 15 .   Jump up ^ `` TxDPS - CHL Sign Posting '' . Txdps.state.tx.us . Retrieved 2011 - 12 - 23 .   Jump up ^ `` NRA / ILA Firearms Laws for Texas '' ( PDF ) . Retrieved 2014 - 10 - 17 .   Jump up ^ `` PENAL CODE CHAPTER 46 . WEAPONS '' . Statutes.legis.state.tx.us . Retrieved 2015 - 03 - 16 .   ^ Jump up to : `` Texas License to Carry a Handgun Laws '' ( PDF ) . Txdps.state.tx.us . Retrieved 2016 - 02 - 23. )   Jump up ^ `` Welcome License To Carry A Handgun Texas.gov '' . Txapps.texas.gov . Retrieved 2016 - 02 - 23 .   ^ Jump up to : NRA - ILA . `` NRA - ILA Texas : Governor Abbott Signs Remaining Pro-Second Amendment Bills from 2017 Regular Session '' . NRA - ILA . Retrieved 2017 - 06 - 17 .   Jump up ^ NRA - ILA . `` NRA - ILA Abbott Signs Senate Bill 16 , Bringing Texas License To Carry Fees Down to Among Lowest in Nation '' . NRA - ILA . Retrieved 2017 - 05 - 26 .   Jump up ^ `` Texas CCW information '' ( PDF ) . Handgunlaw.us . Retrieved 2013 - 11 - 27 .   Jump up ^ `` TxDPS -- Agreements with other states '' . Txdps.state.tx.us . Retrieved 2016 - 02 - 23 .   ^ Jump up to : `` TxDPS - New laws for Handgun Licensing Program '' . Txdps.state.tx.us . Retrieved 2016 - 02 - 23 .   Jump up ^ ( 1 )   Jump up ^ `` TEX PE . CODE § 30.06 : Section 30.06 : TRESPASS BY LICENSE HOLDER WITH A CONCEALED HANDGUN '' . www.statutes.legis.state.tx.us. 2016 - 01 - 01 . Retrieved 2016 - 01 - 25 .   Jump up ^ `` TxDPS - New Legislation for Concealed Handgun Licensing '' . www.dps.texas.gov . Retrieved 2015 - 12 - 17 .   Jump up ^ `` PENAL CODE CHAPTER 30 . BURGLARY AND CRIMINAL TRESPASS '' . www.statutes.legis.state.tx.us . Retrieved 2015 - 12 - 17 .   Jump up ^ `` Texas Legislature Online -- History of Senate Bill 378 '' . Capitol.state.tx.us . Retrieved 2011 - 12 - 23 .   Jump up ^ `` CIVIL PRACTICE AND REMEDIES CODE CHAPTER 86 . LIABILITY FOR CERTAIN INJURIES TO CONVICTED PERSONS '' . Statutes.legis.state.tx.us . Retrieved 2015 - 03 - 16 .   Jump up ^ `` CIVIL PRACTICE AND REMEDIES CODE CHAPTER 83 . USE OF FORCE OR DEADLY FORCE '' . Statutes.legis.state.tx.us . Retrieved 2015 - 03 - 16 .   Jump up ^ `` Texas H.B. 1815 '' . Capitol.state.tx.us. 2007 - 09 - 01 . Retrieved 2011 - 12 - 23 .   Jump up ^ `` PENAL CODE CHAPTER 46 . WEAPONS '' . Statutes.legis.state.tx.us . Retrieved 2015 - 03 - 16 .   Jump up ^ https://web.archive.org/web/20111126103705/http://apps.carryconcealed.net/legal/texas-ccw-state-laws.php . Archived from the original on November 26 , 2011 . Retrieved December 23 , 2011 . Missing or empty title = ( help )   Jump up ^ `` Texas Concealed Carry Permit Information on '' . Usacarry.com . Retrieved 2011 - 12 - 23 .   Jump up ^ `` DA warns handgun law wo n't relax enforcement - Houston Chronicle '' . Chron.com. 2005 - 08 - 30 . Retrieved 2015 - 03 - 16 .   Jump up ^ `` Weapons - When can you carry a gun in Texas '' . Texasgunlaws.org. 2007 - 09 - 01 . Retrieved 2015 - 03 - 16 .      ( hide )         Gun laws in the United States by state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District of Columbia         American Samoa   Guam   Northern Mariana Islands   Puerto Rico   U.S. Virgin Islands      Retrieved from `` https://en.wikipedia.org/w/index.php?title=Gun_laws_in_Texas&amp;oldid=799151951 '' Categories :   Texas law   United States gun laws by state   Hidden categories :   Pages with citations lacking titles   Pages with citations having bare URLs           Talk                                           Contents                   About Wikipedia                                           Add links   This page was last edited on 5 September 2017 , at 23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</si>
  <si>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do you need a license for open carry in texas</t>
  </si>
  <si>
    <t xml:space="preserve">  Open carry ?   Yes   Yes   PC 46.02   Long gun and black powder weapon ( including handgun ) open carry is not forbidden by law , unless in a manner `` calculated to cause alarm . '' Effective January 1 , 2016 , individuals with a handgun carry license will be permitted to carry openly , per House Bill 910 of the 2015 legislative session . Non-residents from states whose permits are recognized by Texas will also be allowed to open carry under the new law .  </t>
  </si>
  <si>
    <r>
      <rPr>
        <sz val="11"/>
        <color rgb="FF000000"/>
        <rFont val="Calibri"/>
        <family val="0"/>
        <charset val="1"/>
      </rPr>
      <t xml:space="preserve">Our Town - wikipedia  Our Town  For other uses , see Our Town ( disambiguation ) .    Our Town     1938 first edition cover from the Library of Congress Rare Book and Special Collections Division     Written by   Thornton Wilder     Characters   Stage Manager Mrs. Myrtle Webb Mr. Charles Webb Emily Webb Joe Crowell Jr . Mrs. Julia Gibbs Dr. Frank F. Gibbs Simon Stimson Mrs. Soames George Gibbs Howie Newsome Rebecca Gibbs Wally Webb Professor Willard Woman in the Balcony Man in the Auditorium Lady in the Box Mrs. Louella Soames Constable Warren Si Crowell Three Baseball Players Sam Craig Joe Stoddard     Date premiered   January 22 , 1938     Place premiered   McCarter Theatre Princeton , New Jersey     Original language   English     Subject   Life and death in an American small town     Genre   Drama     Setting   1901 to 1913 . Grover 's Corners , New Hampshire near Massachusetts .     Our Town is a 1938 metatheatrical three - act play by American playwright Thornton Wilder . It tells the story of the fictional American small town of Grover 's Corners between 1901 and 1913 through the everyday lives of its citizens .   Throughout , Wilder uses metatheatrical devices , setting the play in the actual theatre where it is being performed . The main character is the stage manager of the theatre who directly addresses the audience , brings in guest lecturers , fields questions from the audience , and fills in playing some of the roles . The play is performed without a set on a mostly bare stage . With a few exceptions , the actors mime actions without the use of props .   Our Town was first performed at McCarter Theatre in Princeton , New Jersey in 1938 . It later went on to success on Broadway and won the Pulitzer Prize for Drama . It remains popular today and revivals are frequent .   Contents    1 Synopsis   1.1 Act I : Daily Life   1.2 Act II : Love and Marriage   1.3 Act III : Death and Eternity     2 Characters   3 Composition   4 Setting   5 Style   6 Production history   7 Awards   8 Adaptations   9 References   10 Further reading   11 External links    Synopsis ( edit )  Frank Craven as the Stage Manager in the original Broadway production of Our Town ( 1938 )  Act I : daily life ( edit )   The Stage Manager introduces the audience to the small town of Grover 's Corners , New Hampshire , and the people living there as a morning begins in the year 1901 . Professor Willard speaks to the audience about the history of the town . Joe Crowell delivers the paper to Doc Gibbs , Howie Newsome delivers the milk , and the Webb and Gibbs households send their children ( Emily and George , respectively ) off to school on this beautifully simple morning .   Act ii : love and marriage ( edit )   Three years have passed , and George and Emily prepare to wed . The day is filled with stress . Howie Newsome is delivering milk in the pouring rain while Si Crowell , younger brother of Joe , laments how George 's baseball talents will be squandered . George pays an awkward visit to his soon - to - be in - laws . Here , the Stage Manager interrupts the scene and takes the audience back a year , to the end of Emily and George 's junior year . Emily confronts George about his pride , and over an ice cream soda , they discuss the future and their love for each other . George resolves not to go to college , as he had planned , but to work and eventually take over his uncle 's farm . In the present , George and Emily say that they are not ready to marry -- George to his mother , Emily to her father -- but they both calm down and happily go through with the wedding .   Act iii : death and eternity ( edit )   Nine years have passed . The Stage Manager opens the act with a lengthy monologue emphasizing eternity , bringing the audience 's attention to the cemetery outside of town and the characters who have died since the wedding , including Mrs. Gibbs ( pneumonia , while traveling ) , Wally Webb ( burst appendix , while camping ) , Mrs. Soames , and Simon Stimson ( suicide by hanging ) . Town undertaker Joe Stoddard is introduced , as is a young man named Sam Craig who has returned to Grover 's Corners for his cousin 's funeral . That cousin is Emily , who died giving birth to her and George 's second child . Once the funeral ends , Emily emerges to join the dead ; Mrs. Gibbs urges her to forget her life , warning her that being able to see but not interact with her family , all the while knowing what will happen in the future , will cause her too much pain , but she refuses . Ignoring the warnings of Simon , Mrs. Soames , and Mrs. Gibbs , Emily returns to Earth to relive one day , her 12th birthday . Emily watches with joy at being able to see her parents and some of the people of her childhood for the first time in years . However , her joy quickly turns to pain as she realizes how little people appreciate the simple joys of life . The memory proves too painful for her , and she realizes that every moment of life should be treasured . When she asks the Stage Manager if anyone truly understands the value of life while they live it , he responds , `` No . The saints and poets , maybe -- they do some . '' Emily returns to her grave next to Mrs. Gibbs and watches impassively as George kneels weeping over her . The Stage Manager concludes the play and wishes the audience a good night .   Characters ( edit )            Stage Manager -- a narrator , commentator , and guide through Grover 's Corners . He joins in the action of the play periodically , as the minister at the wedding , the soda shop owner , a local townsman , etc. , and speaks directly to Emily after her death .   Emily Webb -- one of the main characters ; we follow her from a precocious young girl through her wedding to George Gibbs and her early death .   George Gibbs -- the other main character ; the boy next door , a kind but irresponsible teenager who matures over time and becomes a responsible husband , father and farmer .   Frank Gibbs -- George 's father , the town doctor .   Julia ( Hersey ) Gibbs -- George 's mother . She dreams of going to Paris but does n't get there . She saved $350 for the trip from the sale of an antique furniture piece but willed it to George and Emily . Dies while visiting her daughter in Ohio .   Charles Webb -- Emily 's father , Editor of the Grover 's Corners Sentinel   Myrtle Webb -- Emily and Wally 's mother .    Secondary characters    Joe and Si Crowell -- local paperboys . Joe 's intelligence earns him a full scholarship to MIT where he graduates at the top of his class . His promise will be cut short on the fields of France during World War I , according to the Stage Manager . Both he and his brother Si hold marriage in high disdain .   Simon Stimson -- the choir director and church organist . We never learn the specific cause of his alcoholism and suicide , although Joe Stoddard , the undertaker , observes that `` He 's seen a peck of troubles . '' He remains bitter and cynical even beyond the grave .   Howie Newsome -- the milkman , a fixture of Grover 's Corners .   Rebecca Gibbs -- George 's younger sister . Later elopes with a traveling salesman and settles in Ohio .   Wally Webb -- Emily 's younger brother . Dies of a burst appendix on a Boy Scout camping trip .   Professor Willard -- a rather long - winded lecturer   Woman in Auditorium -- concerned with temperance   Man in Auditorium -- concerned with social justice   Another Woman in Auditorium -- concerned with culture and beauty   Mrs. Louella Soames -- a gossipy townswoman and member of the choir   Constable Bill Warren -- the policeman   Three Baseball Players -- who mock George at the wedding   Joe Stoddard -- the undertaker   Sam Craig -- a nephew of Mrs Gibbs who left town to seek his fortune . He came back after 12 years in Buffalo for Emily 's funeral .   Dead Man   Dead Woman   Mr. Carter   Farmer McCarty   Bessie -- Howie Newsome 's horse ( visible to the characters , but not the audience )    Composition ( edit )   Wilder wrote the play while in his thirties . In June 1937 , he lived in the MacDowell Colony in Peterborough , New Hampshire , one of the many locations where he worked on the play . It is believed Wilder drafted the entire third act during a visit to Zürich in September 1937 , in one day , after a long evening walk in the rain with a friend , author Samuel Morris Steward .   Setting ( edit )   The play is set in the actual theatre where the play is being performed , but the year is always 1938 . The Stage Manager of the 1938 production introduces the play - within - the - play which is set in the fictional community of Grover 's Corners , New Hampshire . The Stage Manager gives the coordinates of Grover 's Corners as 42 ° 40 ′ north latitude and 70 ° 37 ′ west longitude ( those coordinates are actually in Massachusetts , about a thousand feet off the coast of Rockport ) .   Style ( edit )   Wilder was dissatisfied with the theatre of his time : `` I felt that something had gone wrong ... I began to feel that the theatre was not only inadequate , it was evasive . '' His response was to use a metatheatrical style . Our Town 's narrator , the Stage Manager , is completely aware of his relationship with the audience , leaving him free to break the fourth wall and address them directly . According to the script , the play is to be performed with little scenery , no set and minimal props . The characters mime the objects with which they interact . Their surroundings are created only with chairs , tables , staircases , and ladders . For example , the scene in which Emily helps George with his evening homework , conversing through upstairs windows , is performed with the two actors standing atop separate ladders to represent their neighboring houses . Wilder once said : `` Our claim , our hope , our despair are in the mind -- not in things , not in ' scenery . ' ''   Wilder called Our Town his favorite out of all his works , but complained that it was rarely done right , insisting that it `` should be performed without sentimentality or ponderousness -- simply , dryly , and sincerely . ''   Production history ( edit )  Frank Craven , Martha Scott and John Craven in the original Broadway production of Our Town ( 1938 )  Our Town was first performed at McCarter Theater in Princeton , New Jersey on January 22 , 1938 . It next opened at the Wilbur Theatre in Boston , Massachusetts on January 25 , 1938 . Its New York City debut was on February 4 , 1938 at Henry Miller 's Theatre , and later moved to the Morosco Theatre ; this production was produced and directed by Jed Harris . Wilder received the Pulitzer Prize for Drama in 1938 for the work .   In 1946 , the Soviet Union prevented a production of Our Town in the Russian sector of occupied Berlin `` on the grounds that the drama is too depressing and could inspire a German suicide wave '' .   Awards ( edit )    1938 Pulitzer Prize for Drama   1989 Drama Desk Award for Outstanding Revival   1989 Tony Award for Best Revival    Adaptations ( edit )  Hal Holbrook as the Stage Manager in the 1977 television adaptation .  The play has been adapted numerous times :    Our Town was first performed on radio May 12 , 1939 , on The Campbell Playhouse . The cast included Orson Welles as the Stage Manager , John Craven of the original stage production as George Gibbs , and Patricia Newton as Emily Webb .   Our Town ( 1940 film ) , adaptation starring Martha Scott as Emily and William Holden as George Gibbs , with an original music score composed by Aaron Copland . Many members of the original cast repeated their roles in this film , although the ending was changed so that Emily lived .   Our Town ( 1940 radio ) , on May 6 , 1940 , a radio version was performed by many of the same film actors for Lux Radio Theater .   Our Town ( television ) , a live musical 1955 television adaptation on Producers ' Showcase starring Frank Sinatra as the Stage Manager , Paul Newman as George Gibbs , and Eva Marie Saint as Emily . The first and only musical version of the play to be telecast ( so far ) .   Our Town , a 1977 television adaptation of the play , starring Hal Holbrook as the Stage Manager , Robby Benson as George Gibbs and Glynnis O'Connor as Emily Webb .   Grover 's Corners , a 1987 musical adaptation performed at the Marriott Theatre .   Our Town , a 1989 telecast of a Lincoln Center stage production starring Spalding Gray , Frances Conroy , Penelope Ann Miller , and Eric Stoltz   OT : Our Town , a 2002 documentary by Scott Hamilton Kennedy about a production of the play by Dominguez High School in Compton , California   Our Town , a 2003 television film adaptation starring Paul Newman as the Stage Manager . It was shown on PBS as part of Masterpiece Theatre after first being shown on the cable channel Showtime . It was filmed at the Booth Theatre in Manhattan , where it played on Broadway in 2002 .   Our Town ( opera ) , an operatic version of the play with music by Ned Rorem   An award - winning revival of Our Town opened at the Barrow Street Theatre , in New York City , on February 26 , 2009 . The production was directed by David Cromer , who also performed the role of Stage Manager for much of the show 's run . Upon closing , the production had played four preview and 644 regular performances , making it the longest - running production of the play in its history . In addition to Cromer , other notable actors who performed in the role of Stage Manager included Helen Hunt , Michael McKean , Jason Butler Harner , Stephen Kunken and Michael Shannon .   In 1994 , Philip Jerry choreographed a balletic adaptation set to the music of Aaron Copland and has been performed by the American Repertory Ballet in Princeton , New Jersey in the decades since its premiere .   In 2017 , Tony Award - winning Deaf West Theater , a Los Angeles - based theater company , co-produced with the Pasadena Playhouse a production of Our Town performed in American Sign Language and spoken English .    References ( edit )    Jump up ^ `` Our Town : A History '' . pbs.org . Retrieved February 21 , 2015 .   Jump up ^ Steward , Samuel ; Gertrude Stein ; Alice B. Toklas ( 1977 ) . Dear Sammy : Letters from Gertrude Stein &amp; Alice B. Toklas . Houghton Mifflin . p. 32 . ISBN 0 - 395 - 25340 - 3 .   Jump up ^ Wilder , Thornton . Thornton Wilder , Collected Plays and Writings on Theater . Preface .   Jump up ^ Lumley , Frederick ( 1967 ) . New Trends in 20th Century Drama : A Survey since Ibsen and Shaw . New York : Oxford University Press . p. 333 . OCLC 330001 .   Jump up ^ `` Our Town '' . Internet Broadway Database . Retrieved 2008 - 07 - 10 .   Jump up ^ The Pulitzer Board ( 1938 ) . `` Pulitzer Prize Winners of 1938 '' . The Pulitzer Prizes . Retrieved 2008 - 07 - 10 .   Jump up ^ `` Play ' Our Town ' is Banned in Soviet Berlin Sector '' , Christian Science Monitor , Feb 13 , 1946 , p. 13 .   Jump up ^ ( tsalagicelt ) ( 30 May 1977 ) . `` Our Town ( TV Movie 1977 ) '' . IMDb .   Jump up ^ W. Jones . `` '' Great Performances '' Our Town ( TV Episode 1989 ) `` . IMDb .   Jump up ^ `` Paul Newman '' . Television Academy . Retrieved October 21 , 2015 .   Jump up ^ `` Our Town '' . Playbill.com . Archived from the original on 2010 - 09 - 18 . Retrieved 2010 - 12 - 12 .   Jump up ^ `` Our Town '' . americanrepertoryballet.org .   Jump up ^ `` Our Town '' . pasadenaplayhouse.org .    Further reading ( edit )    Wilder , Thornton ( 1938 ) . Our Town : A Play in Three Acts . New York : Coward McCann , Inc . pp. 128 pp. OCLC 773139 .    External links ( edit )       Wikimedia Commons has media related to Our Town .      Our Town at the Internet Broadway Database   Our Town Teaching and Reading Educational Materials ; by The Thornton Wilder Society   Dramatic and Theatrical Aspects in Thornton Wilder 's `` Our Town ''   Cummings Study Guide of Our Town   Our Town 1940 film ; free download at archive.org   Our Town Plot Summary and Critical Analysis ; by The Thornton Wilder Society   Documentary Video on the legacy of Our Town ; by The Thornton Wilder Society              Thornton Wilder     Plays     The Long Christmas Dinner ( 1931 )   The Happy Journey to Trenton and Camden ( 1931 )   Our Town ( 1938 )   The Merchant of Yonkers ( 1938 )   The Skin of Our Teeth ( 1942 )   The Matchmaker ( 1954 )       Books     The Bridge of San Luis Rey ( 1927 )   The Woman of Andros ( 1930 )   Ides of March ( 1948 )   The Eighth Day ( 1967 )   Theophilus North ( 1973 )       Adaptations     The Bridge of San Luis Rey ( 1929 film )   Our Town ( 1940 film )   The Bridge of San Luis Rey ( 1944 film )   Our Town ( 1955 TV )   The Matchmaker ( 1958 film )   Hello , Dolly ! ( 1964 musical )   Our Town ( 2003 film )   The Bridge of San Luis Rey ( 2004 film )   Our Town ( 2006 opera )   OT : Our Town ( documentary )       Family     Amos Wilder ( brother )   Charlotte Wilder ( sister )   Janet Wilder Dakin ( sister )         Awards for Our Town                Drama Desk Award for Outstanding Revival       The Royal Family ( 1976 )   No award ( 1977 - 1981 )   Entertaining Mr Sloane ( 1982 )   On Your Toes ( 1983 )   Death of a Salesman ( 1984 )   Joe Egg ( 1985 )   The House of Blue Leaves ( 1986 )   no award ( 1987 )   Anything Goes ( 1988 )   Our Town ( 1989 )   Gypsy ( 1990 )   A Little Night Music ( 1991 )   Guys and Dolls ( 1992 )                 Pulitzer Prize for Drama     1918 -- 1950     Why Marry ? ( 1918 )   Beyond the Horizon ( 1920 )   Miss Lulu Bett ( 1921 )   Anna Christie ( 1922 )   Icebound ( 1923 )   Hell - Bent Fer Heaven ( 1924 )   They Knew What They Wanted ( 1925 )   Craig 's Wife ( 1926 )   In Abraham 's Bosom ( 1927 )   Strange Interlude ( 1928 )   Street Scene ( 1929 )   The Green Pastures ( 1930 )   Alison 's House ( 1931 )   Of Thee I Sing ( 1932 )   Both Your Houses ( 1933 )   Men in White ( 1934 )   The Old Maid ( 1935 )   Idiot 's Delight ( 1936 )   You Ca n't Take It with You ( 1937 )   Our Town ( 1938 )   Abe Lincoln in Illinois ( 1939 )   The Time of Your Life ( 1940 )   There Shall Be No Night ( 1941 )   The Skin of Our Teeth ( 1943 )   Harvey ( 1945 )   State of the Union ( 1946 )   A Streetcar Named Desire ( 1948 )   Death of a Salesman ( 1949 )   South Pacific ( 1950 )       1951 -- 1975     The Shrike ( 1952 )   Picnic ( 1953 )   The Teahouse of the August Moon ( 1954 )   Cat on a Hot Tin Roof ( 1955 )   The Diary of Anne Frank ( 1956 )   Long Day 's Journey into Night ( 1957 )   Look Homeward , Angel ( 1958 )   J.B. ( 1959 )   Fiorello ! ( 1960 )   All the Way Home ( 1961 )   How to Succeed in Business Without Really Trying ( 1962 )   The Subject Was Roses ( 1965 )   A Delicate Balance ( 1967 )   The Great White Hope ( 1969 )   No Place to be Somebody ( 1970 )   The Effect of Gamma Rays on Man - in - the - Moon Marigolds ( 1971 )   That Championship Season ( 1973 )   Seascape ( 1975 )       1976 -- 2000     A Chorus Line ( 1976 )   The Shadow Box ( 1977 )   The Gin Game ( 1978 )   Buried Child ( 1979 )   Talley 's Folly ( 1980 )   Crimes of the Heart ( 1981 )   A Soldier 's Play ( 1982 )   ' night , Mother ( 1983 )   Glengarry Glen Ross ( 1984 )   Sunday in the Park with George ( 1985 )   Fences ( 1987 )   Driving Miss Daisy ( 1988 )   The Heidi Chronicles ( 1989 )   The Piano Lesson ( 1990 )   Lost in Yonkers ( 1991 )   The Kentucky Cycle ( 1992 )   Angels in America : Millennium Approaches ( 1993 )   Three Tall Women ( 1994 )   The Young Man from Atlanta ( 1995 )   Rent ( 1996 )   How I Learned to Drive ( 1998 )   Wit ( 1999 )   Dinner with Friends ( 2000 )       2001 -- present     Proof ( 2001 )   Topdog / Underdog ( 2002 )   Anna in the Tropics ( 2003 )   I Am My Own Wife ( 2004 )   Doubt : A Parable ( 2005 )   Rabbit Hole ( 2007 )   August : Osage County ( 2008 )   Ruined ( 2009 )   Next to Normal ( 2010 )   Clybourne Park ( 2011 )   Water by the Spoonful ( 2012 )   Disgraced ( 2013 )   The Flick ( 2014 )   Between Riverside and Crazy ( 2015 )   Hamilton ( 2016 )   Sweat ( 2017 )   Cost of Living ( 2018 )                 Tony Award for Best Revival       Porgy and Bess ( 1977 )   Dracula ( 1978 )   No Award ( 1979 )   Morning 's at Seven ( 1980 )   The Pirates of Penzance ( 1981 )   Othello ( 1982 )   On Your Toes ( 1983 )   Death of a Salesman ( 1984 )   Joe Egg ( 1985 )   Sweet Charity ( 1986 )   All My Sons ( 1987 )   Anything Goes ( 1988 )   Our Town ( 1989 )   Gypsy ( 1990 )   Fiddler on the Roof ( 1991 )   Guys and Dolls ( 1992 )   Anna Christie ( 1993 )         Retrieved from `` https://en.wikipedia.org/w/index.php?title=Our_Town&amp;oldid=864822101 '' Categories :   1938 plays   Broadway plays   Drama Desk Award - winning plays   Pulitzer Prize for Drama - winning works   Plays by Thornton Wilder   Tony Award - winning plays   West End plays   Plays set in New Hampshire   Plays set in the 1900s   Plays set in the 1910s   1901 in fiction   1904 in fiction   1913 in fiction   American plays adapted into films   Works set in fictional populated places   Hidden categories :   All articles with unsourced statements   Articles with unsourced statements from February 2015   Articles with unsourced statements from November 2017           Talk                                           Contents                   About Wikipedia                                                 Deutsch   Ελληνικά   Français   Italiano   </t>
    </r>
    <r>
      <rPr>
        <sz val="11"/>
        <color rgb="FF000000"/>
        <rFont val="Noto Sans CJK SC"/>
        <family val="2"/>
      </rPr>
      <t xml:space="preserve">日本 語   </t>
    </r>
    <r>
      <rPr>
        <sz val="11"/>
        <color rgb="FF000000"/>
        <rFont val="Calibri"/>
        <family val="0"/>
        <charset val="1"/>
      </rPr>
      <t xml:space="preserve">Polski   Русский   Suomi   </t>
    </r>
    <r>
      <rPr>
        <sz val="11"/>
        <color rgb="FF000000"/>
        <rFont val="Noto Sans CJK SC"/>
        <family val="2"/>
      </rPr>
      <t xml:space="preserve">粵語   </t>
    </r>
    <r>
      <rPr>
        <sz val="11"/>
        <color rgb="FF000000"/>
        <rFont val="Calibri"/>
        <family val="0"/>
        <charset val="1"/>
      </rPr>
      <t xml:space="preserve">Edit links   This page was last edited on 19 October 2018 , at 18 : 04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</si>
  <si>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genre is our town by thornton wilder</t>
  </si>
  <si>
    <t xml:space="preserve">   Our Town     1938 first edition cover from the Library of Congress Rare Book and Special Collections Division     Written by   Thornton Wilder     Characters   Stage Manager Mrs. Myrtle Webb Mr. Charles Webb Emily Webb Joe Crowell Jr . Mrs. Julia Gibbs Dr. Frank F. Gibbs Simon Stimson Mrs. Soames George Gibbs Howie Newsome Rebecca Gibbs Wally Webb Professor Willard Woman in the Balcony Man in the Auditorium Lady in the Box Mrs. Louella Soames Constable Warren Si Crowell Three Baseball Players Sam Craig Joe Stoddard     Date premiered   January 22 , 1938     Place premiered   McCarter Theatre Princeton , New Jersey     Original language   English     Subject   Life and death in an American small town     Genre   Drama     Setting   1901 to 1913 . Grover 's Corners , New Hampshire near Massachusetts .   </t>
  </si>
  <si>
    <t xml:space="preserve">Bobby Flay - wikipedia  Bobby Flay  Jump to : navigation , search    Bobby Flay     2007 cooking demonstration in Green Bay , Wisconsin       Robert William Flay ( 1964 - 12 - 10 ) December 10 , 1964 ( age 53 ) New York City , New York , U.S.     Education   French Culinary Institute     Spouse ( s )   Debra Ponzek ( m . 1991 ; div. 1993 ) Kate Connelly ( m . 1995 ; div. 1998 ) Stephanie March ( m . 2005 ; div. 2015 )     Children       Website   Official website     Culinary career     Cooking style   Mexican and Southwest     Current restaurant ( s ) ( show )     Mesa Grill ( Las Vegas ; Atlantis Paradise Island , Nassau , Bahamas   Gato ( New York City )   Bar Americain ( New York City ) , Mohegan Sun ( Uncasville , Connecticut ) Bobby Flay Steak ( Borgata , Atlantic City )   Bobby 's Burger Palace ( Hanover , Towson , Maryland MD ; Lake Grove , Long Island , New York ; Las Vegas , Nevada ; East Garden City , Long Island , New York ; Princeton , New Jersey ; Eatontown , New Jersey ; Paramus , New Jersey ; Uncasville , Connecticut ; Philadelphia , Pennsylvania ; Washington , D.C. ; and Cincinnati , Ohio )         Previous restaurant ( s ) ( show )     Bolo Bar &amp; Restaurant ( New York City ; November 1993 -- December 31 , 2007 )   Mesa Grill ( New York City ; 1991 -- 2013 )   Bobby 's Burger Palace ( Burlington , Massachusetts ; 2013 -- 2016 )         Television show ( s ) ( show )     The Main Ingredient with Bobby Flay ( 1996 )   Grillin ' &amp; Chillin ' ( 1996 )   Hot Off the Grill with Bobby Flay   FoodNation   Worst Cooks in America   Boy Meets Grill   BBQ with Bobby Flay   Iron Chef America   Throwdown ! with Bobby Flay   Grill It ! with Bobby Flay   America 's Next Great Restaurant   Beat Bobby Flay   Brunch @ Bobby 's   Iron Chef Gauntlet             Robert William Flay ( born December 10 , 1964 ) is an American celebrity chef , restaurateur , and reality television personality . He is the owner and executive chef of several restaurants : Mesa Grill in Las Vegas and the Bahamas ; Bar Americain in New York and at Mohegan Sun , Uncasville , Connecticut ; Bobby Flay Steak in Atlantic City ; Gato in New York , and Bobby 's Burger Palace in 19 locations across 11 states .   Flay has hosted several Food Network television programs , appeared as a guest and hosted a number of specials on the network . Flay is also featured on the Great Chefs television series .     Contents  ( hide )   1 Early life and education   2 Career   3 Television , film , and radio   3.1 Great Chefs   3.2 Food Network   3.2. 1 Throwdown ! with Bobby Flay   3.2. 2 Iron Chef   3.2. 3 Specials     3.3 Other cooking shows   3.4 Other television and film appearances   3.5 Sirius XM Radio     4 Books   5 Horse racing   6 Personal life   7 Awards and accolades   8 References   9 External links      Early Life and education ( edit )   Flay was born in New York to Bill and Dorothy Flay . He was raised on the Upper East Side neighborhood of Manhattan . He is a fourth generation Irish American and was raised Catholic , attending denominational schools .   At age 8 , Flay asked for an Easy - Bake Oven for Christmas , despite his father 's objections ; his father thought that a G.I. Joe would be more gender - appropriate . He received both toys .   Career ( edit )   Flay dropped out of high school at age 17 . He has said his first jobs in the restaurant industry were at a pizza parlor and Baskin - Robbins . He then took a position making salads at Joe Allen Restaurant in Manhattan 's Theater District , where his father was a partner . The proprietor , Joe Allen , was impressed by Flay 's natural ability and agreed to pay his partner 's son 's tuition at the French Culinary Institute .   Flay received a degree in culinary arts and was a member of the first graduating class of the French Culinary Institute in 1984 . After culinary school , he started working as a sous - chef , quickly learning the culinary arts . At the Brighton Grill on Third Avenue , Flay was handed the executive chef 's position after a week when the executive chef was fired . Flay quit when he realized he was not ready to run a kitchen . He took a position as a chef working for restaurateur Jonathan Waxman at Bud and Jams . Waxman introduced Flay to southwestern and Cajun cuisine , which came to define his culinary career .   After working for a short time on the floor at the American Stock Exchange , Flay returned to the kitchen as the executive chef at Miracle Grill in the East Village , where he worked from 1988 to 1990 . He caught the attention of restaurateur Jerome Kretchmer , who was looking for a southwestern - style chef . Impressed by Flay 's food , Kretchmer offered him the position of executive chef at Mesa Grill , which opened on January 15 , 1991 . Shortly after , he became a partner . In November 1993 , Flay partnered with Laurence Kretchmer to open Bolo Bar &amp; Restaurant in the Flatiron District , just a few blocks away from Mesa Grill .  Entrance sign to Mesa Grill in Caesars Palace , Las Vegas Mesa Grill at Las Vegas  Flay opened a second Mesa Grill at Caesars Palace in Las Vegas in 2004 , and in 2005 he opened Bar Americain , an American Brasserie , in Midtown Manhattan . He continued to expand his restaurants by opening Bobby Flay Steak in the Borgata Hotel Casino &amp; Spa in Atlantic City , New Jersey . This was followed by a third Mesa Grill in the Bahamas , located in The Cove at Atlantis Paradise Island , which opened on March 28 , 2007 . The Las Vegas Mesa Grill earned Flay his only Michelin Star in 2008 , which was taken away in the 2009 edition . Michelin did not publish a 2010 or 2011 Las Vegas edition , so the star could not be re-earned .   Bolo Bar &amp; Restaurant closed its doors on December 31 , 2007 , to make way for a condominium .   Aside from his restaurants and television shows , Flay has been a master instructor and visiting chef at the French Culinary Institute . Although he is not currently teaching classes , he occasionally visits when his schedule permits .   Flay established the Bobby Flay Scholarship in 2003 . This full scholarship to the French Culinary Institute is awarded annually to a student in the Long Island City Culinary Arts Program . Flay personally helps select the awardee each year .   Flay opened Bobby 's Burger Palace ( BBP ) in Lake Grove , Long Island on July 15 , 2008 . The restaurant is located at the Smith Haven Mall . A second location opened on December 5 , 2008 at the Monmouth Mall in Eatontown , New Jersey , and a third location opened March 31 , 2009 in The Outlets at Bergen Town Center in Paramus , New Jersey . His fourth shop opened at the Mohegan Sun Casino in southeast Connecticut on July 1 , 2009 , which is also the location of his second Bar Americain , which opened on November 18 , 2009 . His fifth location of the burger chain opened in Philadelphia 's University City on April 6 , 2010 . The sixth location of Bobby 's Burger Palace opened in Washington , D.C. , at 2121 K Street in Northwest on August 16 , 2011 . On December 5 , 2011 , Flay opened the ninth location of Bobby 's Burger Palace in Roosevelt Field Mall in Garden City , New York . Flay opened the tenth and largest Bobby 's Burger Palace site at Maryland Live ! Casino in Hanover , Maryland , on June 7 , 2012 . Bobby 's Burger Palace also has an 11th location , in College Park , Maryland . In total , BBP has nineteen locations in eleven states and the District of Columbia .   The original Mesa Grill in New York closed in September 2013 following a proposed rent increase by the landlord .   Television , film , and Radio ( edit )   Great Chefs ( edit )   Flay has been featured in several episodes of Great Chefs television including :    Great Chefs -- Great Cities   Mexican Madness DVD   Great Chefs Cook American    Food Network ( edit )   Flay has hosted fourteen cooking shows and specials on Food Network and Cooking Channel , of which eight continue to run :    Hot Off the Grill with Bobby Flay ( no longer airing )   Grillin ' &amp; Chillin ' ( no longer airing )   Food Nation ( no longer airing )   3 Days to Open with Bobby Flay ( no longer airing )   Boy Meets Grill   BBQ with Bobby Flay   Throwdown ! with Bobby Flay   Grill It ! with Bobby Flay   `` Bobby Flay 's BBQ Addiction '' ( airs sporadically , summer only )   The Best Thing I Ever Ate   Brunch @ Bobby 's   Worst Cooks in America ( seasons 3 -- 5 )   The Main Ingredient with Bobby Flay   Bobby 's Dinner Battle ( Premiered January 16 , 2013 )   Beat Bobby Flay ( Premiered August 24 , 2013 )    Flay served as a judge on Wickedly Perfect , The Next Food Network Star , and The Next Iron Chef . He has cooked on Emeril Live and Paula 's Party .  Throwdown ! With Bobby Flay ( edit )  On Throwdown ! with Bobby Flay , the chef challenges cooks renowned for a specific dish or type of cooking to a cook - off of their signature dish . On Episode 5 of Season 4 , Harlem chef Melba Wilson and Bobby squared off over who had the best chicken and eggnog waffles . While being interviewed on `` Conversations with Allan Wolper '' on WGBO 88.3 FM , Wilson confessed that she had been nervous because Bobby brought a cast iron skillet . Having grown up in a family that used cast iron skillets , Wilson was nonetheless forced to use a deep fryer because her restaurant was too small for a cast iron skillet . Towards the end of the anecdote , she explained , `` Can I tell you ? When he pulled out the skillet , it was a rough day . Girlfriend started sweating bullets . But at the end of the day , we threw down -- I do n't know , I think it was the eggnog -- and I won . ''  Iron Chef ( edit )  Flay is an Iron Chef on the show Iron Chef America . In 2000 , when the original Iron Chef show traveled to New York for a special battle , he challenged Iron Chef Masaharu Morimoto to battle rock crab . After the hour battle ended , Flay stood on top of his cutting board and raised his arms in what one journalist wrote was `` in premature victory '' . As Morimoto felt that real chefs consider cutting boards and knives as sacred , and being offended by Flay 's flamboyant gesture , he criticized his professionalism , saying that Flay was `` not a chef '' . Flay went on to lose the battle . Flay challenged Morimoto to a rematch in Morimoto 's native Japan . This time , Flay won .   Flay and Morimoto , both Iron Chefs on Iron Chef America teamed -- took on and won -- against fellow Iron Chefs Mario Batali and Hiroyuki Sakai in the Iron Chef America : Battle of the Masters `` Tag Team '' battle .   On a special episode of Iron Chef America originally airing on November 12 , 2006 , Flay and Giada De Laurentiis faced off against , and were defeated by , Batali and Rachael Ray . This was the highest rated show ever broadcast on Food Network .   Flay and Michael Symon defeated the team of Iron Chefs Cat Cora and Masaharu Morimoto in a special episode titled `` Thanksgiving Showdown , '' which originally aired on November 16 , 2008 .   On November 29 , 2009 , Iron Chefs Morimoto and Flay faced off one - on - one again in Battle Egg Nog . The battle , which featured ice - carvers , was won by Morimoto by a single point .   In an episode recorded in July 2010 and broadcast in March 2011 , Montreal cooking show host Chuck Hughes beat Flay to become the youngest Canadian champ . In an interview afterward , Hughes recalled , `` When I met him I said , ' Hi Bobby , ' and my voice cracked a bit and I gave him an official ( Montreal ) Canadiens jersey , to which he replied , ' Thank you so much -- but it 's not going to help . ' ''  Specials ( edit )   Bobby 's Vegas Gamble -- Covers the opening of Mesa Grill Las Vegas .   Restaurant Revamp -- Flay tries to help a family restaurant .   Chefography : Bobby Flay -- Biography of Flay 's life and career .   Tasting Ireland -- Flay takes a food tour of Ireland , his ancestral homeland .   Food Network Awards -- The Food Network recognizes people and places that have impacted the food world .   All - Star Grill Fest : South Beach -- Flay joins Paula Deen , Giada De Laurentiis , Alton Brown , and Tyler Florence for a barbecue .    Other cooking shows ( edit )   In 1996 , Flay hosted The Main Ingredient with Bobby Flay on Lifetime Television . Twice a month , he hosts a cooking segment on CBS ' The Early Show . He hosted the reality television show America 's Next Great Restaurant on NBC from March 2011 to May 2011 in which in the end he picks one restaurant team with whom to open a restaurant . The reality show was canceled after the first season due to low ratings .   Other television and film appearances ( edit )   Flay had a cameo appearance in the Disney Channel original movie Eddie 's Million Dollar Cook - Off as the host of the cook - off . He appeared on the television game show Pyramid with fellow Iron Chef Mario Batali as the guest celebrities in an episode originally airing on November 18 , 2003 . He appeared as a judge on the CBS television show `` Wickedly Perfect '' during the 2004 -- 05 season .   He also appeared in the Law &amp; Order : Special Victims Unit episode `` Design '' , which originally aired on September 22 , 2005 . He had a small role as himself in the 2006 film East Broadway , in which his wife , Stephanie March , had a larger role .   Jeopardy ! featured a special `` Throwdown with Bobby Flay '' category during the March 12 , 2008 , episode , in which each of the clues featured Flay . He participated in the 2008 Taco Bell All - Star Legends and Celebrity Softball Game played at Yankee Stadium after the 2008 MLB All Star Game ; Flay played for the National League . Flay is also mentioned in the movie Step Brothers in the `` derek comes for dinner '' scene .   In 2010 , Flay was impersonated in the South Park cartoon episode Crème Fraiche . In 2011 , Flay had recurring appearances in the final season of Entourage as the boyfriend of Ari Gold 's wife . In 2012 , Flay appeared on Portlandia , in a director 's cut of the episode Brunch Village . He showed director Jonathan Krisel how to make the perfect marionberry pancakes . Flay guest stars as himself on season two of the TV series Younger , which initially aired in 2016 .   Sirius XM Radio ( edit )   Flay hosted a weekly call - in show on Sirius XM Satellite Radio . He offered advice to men on `` everything from sports to current issues '' , although food was the focus .   Books ( edit )   Flay has authored several cookbooks , including :    Bobby Flay 's Bold American Food ( Warner Books , May 31 , 1994 ) -- ISBN 978 - 0 - 4465 - 1724 - 9   Bobby Flay 's From My Kitchen to Your Table ( Clarkson Potter , March 31 , 1998 ) -- ISBN 978 - 0 - 517 - 70729 - 6   Bobby Flay 's Boy Meets Grill ( Hyperion , May 19 , 1999 ) -- ISBN 978 - 0 - 7868 - 6490 - 4   Bobby Flay Cooks American ( Hyperion , September 30 , 2001 ) -- ISBN 978 - 0 - 7868 - 6714 - 1   Bobby Flay 's Boy Gets Grill ( Scribner , May 18 , 2004 ) -- ISBN 978 - 0 - 7432 - 5481 - 6   Bobby Flay 's Grilling For Life ( Scribner , May 3 , 2005 ) -- ISBN 978 - 0 - 7432 - 7272 - 8   Bobby Flay 's Mesa Grill Cookbook ( Clarkson Potter , October 16 , 2007 ) -- ISBN 978 - 0 - 3073 - 5141 - 8   Bobby Flay 's Grill It ! ( Clarkson Potter , April 18 , 2008 ) -- ISBN 978 - 0 - 3073 - 5142 - 5   Bobby Flay 's Burgers , Fries and Shakes ( Clarkson Potter , April 11 , 2009 ) -- ISBN 978 - 0 - 3074 - 6063 - 9   Bobby Flay 's Bar Americain Cookbook : Celebrate America 's Great Flavors ( Clarkson Potter , September 20 , 2011 ) -- ISBN 978 - 0 - 307 - 46138 - 4   Bobby Flay 's Throwdown ( Clarkson Potter , October 12 , 2012 ) -- ISBN 978 - 0 - 3077 - 1916 - 4   Bobby Flay 's Barbecue Addiction ( Clarkson Potter , April 23 , 2013 ) -- ISBN 978 - 0 - 3074 - 6139 - 1    Horse racing ( edit )   Flay has a personal interest in Thoroughbred horse racing . He is the owner of more than one graded stakes race winner , including More Than Real , who won the prestigious 2010 Breeders ' Cup Juvenile Fillies Turf and part owner of Creator , who won the third jewel of the triple crown the Belmont stakes . He serves on the Breeders ' Cup board of directors . He was a candidate for chairman in 2014 , but was not elected .   Personal Life ( edit )   Flay married Debra Ponzek , also a chef , on May 11 , 1991 . Flay and Ponzek divorced in 1993 , and Flay married his second wife , Kate Connelly , in 1995 . They have a daughter named Sophie . Flay and Connelly separated in 1998 , and later divorced . Flay married actress Stephanie March , on February 20 , 2005 . According to media reports , March and Flay separated in March 2015 and their divorce was finalized on July 17 , 2015 . Flay has been dating Heléne Yorke since February 2016 .   Awards and accolades ( edit )    New York Magazine Gael Greene 's Restaurant of the Year -- Mesa Grill ( 1992 )   James Beard Foundation 's Rising Star Chef of the Year ( 1993 )   French Culinary Institute Outstanding Graduate Award ( 1993 )   International Association of Culinary Professionals Award for Design -- Bobby Flay 's Bold American Food ( 1995 )   Daytime Emmy Award nominee for Outstanding Service Show -- Hot Off the Grill with Bobby Flay ( 2000 )   Daytime Emmy Award nominee for Outstanding Service Show Host -- Boy Meets Grill ( 2004 )   Daytime Emmy Award winner for Outstanding Service Show Host -- Boy Meets Grill ( 2005 )   Daytime Emmy Award winner for Best Culinary Program -- Grill It ! With Bobby Flay ( 2009 )   Daytime Emmy Award winner for Outstanding Culinary Host -- Bobby Flay 's Barbecue Addiction ( 2014 )   Daytime Emmy Award winner for Outstanding Culinary Host -- Bobby Flay 's Barbecue Addiction ( 2015 )   James Beard Foundation 's National Television Food Show Award -- Bobby Flay Chef Mentor ( 2005 )   James Beard Foundation 's Who 's Who of Food &amp; Beverage in America ( 2007 )   Culinary Hall of Fame Induction ( 2015 )   Star on Hollywood Walk of Fame ( 2015 )    References ( edit )    Jump up ^ Halic , Dana ( January 4 , 2017 ) . `` Bobby Flay 's Burlington Burger Restaurant Closes '' . boston.eater.com . Retrieved May 19 , 2017 .   ^ Jump up to : `` Bobby Flay Biography : Chef ( 1964 -- ) '' . Biography.com ( FYI / A&amp;E Networks ) . Retrieved April 9 , 2015 .   ^ Jump up to : `` Bobby Flay profile '' . Chefography . Episode CHSP08. April 11 , 2008 . Food Network .   Jump up ^ `` Locations -- Official website of Bobby 's Burger Palace '' . bobbysburgerpalace.com . Retrieved June 2 , 2015 .   ^ Jump up to : `` Great Chef Bobby Flay '' . GreatChefs.com . Retrieved April 9 , 2015 .   Jump up ^ Miller , Samantha ; Lisa Kay Greissinger ( July 13 , 1998 ) . `` Hot Hands '' . People . Time , Inc . Retrieved March 14 , 2009 .   Jump up ^ Profile , biography.com ; accessed June 2 , 2015 .   Jump up ^ Matt Lee ; Ted Lee ( February 26 , 2003 ) . `` THE CHEF : BOBBY FLAY ; Salmon Hot From the Oven , and No Slaving at the Sink '' . The New York Times . Both his mother 's and father 's families , he explained , were Irish - American going back several generations .   Jump up ^ Colón , Suzan . `` Bobby Flay 's Party Plan '' . Hearst Publications . Retrieved July 22 , 2012 .   Jump up ^ Puente , Maria ( May 28 , 2003 ) . `` Easy - Bake Oven Gets Its Own Cookbook '' . The Spokesman - Review . p . D10 . Retrieved July 22 , 2012 .   Jump up ^ `` Flay Does it His Way -- Interview with Chef Bobby Flay '' . Wannabe TV Chef . January 22 , 2010 . Retrieved August 2 , 2014 .   Jump up ^ Freeman , Danyelle ( October 10 , 2008 ) . `` Bobby Flay will be grillin ' &amp; chillin ' at Chelsea food fest '' . nydailynews.com . New York Daily News . Retrieved December 12 , 2008 .   ^ Jump up to : `` Stephanie March , Bobby Flay '' . The New York Times . February 20 , 2005 . Retrieved September 5 , 2007 .   ^ Jump up to : `` Here 's Bobby '' . Food Network . Retrieved June 20 , 2009 .   ^ Jump up to : `` Bobby Flay '' . CBSNews.com . CBS Worldwide Inc . May 16 , 2002 . Retrieved October 8 , 2007 .   Jump up ^ `` Bobby Flay Opens BAR AMERICAIN , an American Brasserie , Today at Mohegan Sun '' . MoheganSun.com . Mohegan Sun Newsroom . November 18 , 2009 .   Jump up ^ Fabricant , Florence ( December 26 , 2006 ) . `` Off the Menu '' . NYTimes.com . The New York Times . Retrieved January 9 , 2008 .   Jump up ^ `` The French Culinary Institute Culinary Arts Programs : News &amp; Press '' . The French Culinary Institute , Inc . Retrieved August 29 , 2007 .   Jump up ^ `` Flay 's Role besides being a Chef '' . PioneerChef.com . July 17 , 2014 .   Jump up ^ Flay , Bobby . `` Ask Bobby '' . BobbyFlay.com . Retrieved August 29 , 2007 .   Jump up ^ `` Bobby Flay '' . Nationwide Speakers Bureau , Inc . Archived from the original on May 18 , 2006 . Retrieved August 29 , 2007 .   Jump up ^ Marcus , Erica ( July 15 , 2008 ) . `` Bobby Flay opens Burger Palace '' . NewsDay.com . Retrieved August 5 , 2008 .   Jump up ^ Flay , Bobby ( December 5 , 2008 ) . `` Bobby Flay News '' . BobbyFlay.com . Retrieved December 12 , 2008 .   Jump up ^ Fabrikant , Mel ( March 31 , 2009 ) . `` Bobby Flay Opens Bobby 's Burger Palace ( BBP ) Yummy Yum Yum '' . paramuspost.com . The Paramus Post . Retrieved April 2 , 2009 .   Jump up ^ Marc ( June 4 , 2009 ) . `` Bobby Flay to Bring Bobby 's Burger Palace to New England '' .   Jump up ^ `` Bobby Flay Opens Bar Americain , an American Brasserie , Today at Mohegan Sun '' . MoheganSun.com . Mohegan Sun Newsroom . November 18 , 2009 .   Jump up ^ `` An Early Look at Bobby 's Burger Palace in DC '' . Washingtonian.com . Retrieved August 18 , 2011 .   Jump up ^ `` Food News : Bobby 's Burger Palace in Roosevelt Field Mall ( Garden City ) Opens '' . eastyofnyc.com . December 6 , 2012 . Retrieved July 21 , 2013 .   Jump up ^ Mary Zajac ( June 4 , 2012 ) . `` Bobby Flay 's Burger Palace Opens in Maryland Live ! Casino '' . blogs.citypaper.com . Archived from the original on May 10 , 2013 . Retrieved July 21 , 2013 .   Jump up ^ Gorelick , Richard ( October 11 , 2011 ) . `` Table Talk : Bobby Flay 's burger is matriculating at College Park '' . Baltimore Sun . Retrieved February 8 , 2014 .   Jump up ^ Preston , Marguerite ( September 3 , 2013 ) . `` Mesa Grill Closed Sunday , But Flay Is Set On Relocating '' . ny.eater.com . Retrieved February 8 , 2014 .   Jump up ^ Pang , Amelia ( September 4 , 2013 ) . `` Mesa Grill Closes , Gato to Open '' . Epoch Times . Retrieved February 8 , 2014 .   ^ Jump up to : `` Bobby Flay 's Biography '' . StarChefs . Retrieved January 31 , 2013 .   Jump up ^ `` 3 Days to Open '' . Food Network . August 17 , 2012 . Retrieved January 31 , 2013 .   Jump up ^ http://www.foodnetwork.com/shows/bobby-flays-barbecue-addiction   Jump up ^ Flay , Bobby ( August 14 , 2007 ) . `` News '' . BobbyFlay.com . Retrieved August 14 , 2007 .   Jump up ^ Salkin , Allen ( April 17 , 2009 ) . `` He 's the Man Who Sets the Table '' . New York Times . The New York Times Company . Retrieved July 20 , 2013 .   Jump up ^ `` Allan Wolper Talks To Melba Wilson '' . 88.3 FM WGBO . Archived from the original on June 17 , 2014 . Retrieved June 18 , 2014 .   ^ Jump up to : Marin , Rick ( June 6 , 2001 ) . `` Lobsters at Five Paces , Knives and Egos Bared '' . NYTimes.com . The New York Times . Retrieved February 28 , 2008 .   Jump up ^ Martin , Denise ( November 14 , 2006 ) . `` ' Iron Chef ' fires up Food net '' . Variety . Retrieved February 28 , 2008 .   Jump up ^ `` Iron Chef America : Thanksgiving Showdown '' . reality-tv-online.com . Retrieved November 17 , 2009 .   Jump up ^ `` Quebec chef wins Iron Chef with lobster poutine '' . cbc.ca . March 21 , 2011 . Retrieved December 10 , 2011 .   Jump up ^ `` Food Network Specials : Bobby 's Vegas Gamble '' . Food Network . Retrieved July 26 , 2007 .   Jump up ^ `` Food Network Specials : Restaurant Revamp '' . Food Network . Retrieved July 26 , 2007 .   Jump up ^ `` Food Network Specials : Bobby 's Vegas Gamble '' . Food Network . Archived from the original on March 15 , 2007 . Retrieved July 26 , 2007 .   Jump up ^ `` Food Network Specials : Tasting Ireland '' . Food Network . Retrieved July 26 , 2007 .   Jump up ^ `` Food Network Specials : Food Network Awards '' . Food Network . Retrieved July 26 , 2007 .   Jump up ^ `` Food Network Specials : Food Network Awards '' . Food Network . Retrieved July 26 , 2007 .   Jump up ^ Morabito , Greg ( March 15 , 2010 ) . `` Bobby Flay Set To Star In New Reality Show on NBC '' . Eater.com .   Jump up ^ `` Watch Bobby Flay on Jeopardy ! '' . Jeopardy.com . Sony Pictures Digital Inc . Archived from the original on March 21 , 2008 . Retrieved March 11 , 2008 .   Jump up ^ `` TV Land 's Must - Watch Irresistible Comedy `` Younger '' from Darren Star Renewed for Season Three `` . The Futon Critic . January 6 , 2016 . Retrieved January 22 , 2016 . Also guest starring over the course of the season is Bobby Flay   Jump up ^ Cuprisin , Tim ( January 6 , 2009 ) . `` Departing Channel 6 reporter Feldman made her mark covering health '' . Inside TV &amp; Radio . Journal Sentinel . Retrieved January 5 , 2009 .   Jump up ^ Hirsch , J.M. ( January 7 , 2009 ) . `` Bobby Flay taking a taste of radio '' . Associated Press . Retrieved January 5 , 2009 .   Jump up ^ `` Board of Directors '' . breederscup.com . Retrieved August 2 , 2014 .   Jump up ^ Paulick , Ray ( July 25 , 2014 ) . `` A Better Breeders ' Cup Board : Something Old , Something New '' . Paulickreport.com . Retrieved August 2 , 2014 .   Jump up ^ Hall , Trish ( May 8 , 1991 ) . `` Sharing a Life Of Chefs ' Hours And Pancakes '' . The New York Times . Retrieved July 26 , 2007 . Bobby Flay and Debra Ponzek , two well - known chefs in the New York food world , are getting married on Saturday ( May 11 , 1991 ) .   Jump up ^ Miller , Samantha ( July 13 , 1998 ) . `` Hot Hands '' . People . 49 ( 27 ) . Retrieved April 9 , 2005 .   Jump up ^ Bender , Kelli ( April 9 , 2015 ) . `` Bobby Flay and Wife Stephanie March Split '' . People . Retrieved June 2 , 2015 .   Jump up ^ `` Bobby Flay , Stephanie March divorce reportedly finalized '' . New York Post . July 17 , 2015 . Retrieved January 23 , 2016 -- via Fox News .   Jump up ^ `` Bobby Flay Celebrates 1 Year with Girlfriend - Actress Heléne Yorke '' . February 13 , 2017 . Retrieved May 24 , 2017 .   Jump up ^ `` 1993 James Beard Foundation Restaurant and Chef Awards '' . The James Beard Foundation . Archived from the original on October 13 , 2007 . Retrieved October 8 , 2007 .   Jump up ^ `` Cookbook Awards Past Winners '' . International Association of Culinary Professionals . Archived from the original on December 25 , 2008 . Retrieved October 8 , 2007 .   Jump up ^ `` 31st Annual Daytime Emmys -- Mayors Reception Press Release '' ( Press release ) . The National Television Academy . May 20 , 2004 . Archived from the original on October 13 , 2007 . Retrieved October 8 , 2007 .   Jump up ^ `` 32nd Annual Daytime Emmy Award Winners Release '' ( Press release ) . The National Television Academy . May 20 , 2005 . Archived from the original on March 17 , 2007 . Retrieved October 8 , 2007 .   Jump up ^ `` Winners for the 36th Annual Daytime Entertainment Creative Arts Emmy Award '' ( PDF ) ( Press release ) . The National Academy of Television Arts &amp; Science . August 29 , 2009 . Retrieved April 9 , 2015 .   Jump up ^ `` The Winners for the 41st Annual Daytime Emmy ® Awards '' ( PDF ) . National Academy of Television Arts &amp; Sciences . August 13 , 2014 . Archived from the original ( PDF ) on August 6 , 2016 . Retrieved August 13 , 2014 .   Jump up ^ `` The Winners for the 42nd Annual Daytime Emmy ® Awards '' ( PDF ) . National Academy of Television Arts &amp; Sciences . April 26 , 2015 . Retrieved April 26 , 2015 .   Jump up ^ `` 2005 James Beard Foundation / Viking Range Broadcast Media Awards '' . The James Beard Foundation . Archived from the original on November 12 , 2007 . Retrieved February 28 , 2008 .   Jump up ^ `` 2007 Who 's Who Nominees &amp; Winners '' . The James Beard Foundation . Archived from the original on August 27 , 2007 . Retrieved October 8 , 2007 .   Jump up ^ `` Bobby Flay Inducted '' . culinaryhalloffame.com . February 7 , 2013 . Retrieved April 10 , 2015 .   Jump up ^ Martin , Annie ( June 3 , 2015 ) . `` Bobby Flay receives Walk of Fame '' . UPI . Retrieved June 4 , 2015 .    External links ( edit )    Official web site   Bobby Flay on IMDb   Bobby Flay 's Twitter Profile   Bobby Flay at the Chef and Restaurant Database              Food Network Star     Seasons             5   6   7   8   9   10   11   12   13       Winners ( series )     Dan Smith &amp; Steve McDonagh   Party Line with the Hearty Boys     Guy Fieri   Guy 's Big Bite   Diners , Drive - Ins , and Dives   Guy Off the Hook   Minute to Win It   Rachael vs. Guy : Celebrity Cook - Off   Guy 's Grocery Games     Amy Finley   The Gourmet Next Door     Aaron McCargo , Jr .   Big Daddy 's House     Melissa d'Arabian   Ten Dollar Dinners     Aarti Sequeira   Aarti Party     Jeff Mauro   $24 in 24   The Kitchen   Kitchen Sink   Sandwich King     Justin Warner   Rebel Eats     Damaris Phillips   Kids BBQ Championship   Southern at Heart     Lenny McNab   Eddie Jackson   BBQ Blitz   Clash of the Grandmas   Kids BBQ Championship     Tregaye Fraser   Kitchen Sink     Jason Smith   Best Baker in America         Other contestants ( series )     Damiano Carrara   Halloween Baking Championship     Nikki Dinki   Junk Food Flip     Adam Gertler   Will Work for Food   Kid in a Candy Store     Kelsey Nixon   Kelsey 's Essentials   Kelsey 's Homemade     Jeffrey Saad   United Tastes of America         Selection committee      Current     Bobby Flay   Giada De Laurentiis       Former     Alton Brown   Gordon Elliott   Marc Summers          Spin - offs     Food Network Star Kids       Production     Food Network   CBS EYEtoo Productions                 The people of CBS News     CBS Evening News     Jeff Glor         CBS Weekend News     Reena Ninan Saturdays   Elaine Quijano Sundays       CBS This Morning      Weekday anchors     John Dickerson   Gayle King   Norah O'Donnell       Saturday anchors     Anthony Mason   Alex Wagner          Sunday Morning      Anchor     Jane Pauley       Correspondents     Serena Altschul   Rita Braver Senior Correspondent   Lee Cowan   Bill Geist   Nancy Giles Contributor   Conor Knighton   Ted Koppel   Mo Rocca   Tracy Smith   Ben Stein Contributor          60 Minutes     Sharyn Alfonsi   Steve Kroft Co-Editor   Lara Logan   Scott Pelley   Lesley Stahl Co-Editor   Anderson Cooper Contributing Correspondent   Bill Whitaker       48 Hours Mystery     Maureen Maher   Erin Moriarty   Troy Roberts   Richard Schlesinger   Susan Spencer   Peter Van Sant       Face the Nation     Margaret Brennan       CBS Morning News     Anne - Marie Green       Chief Correspondents     Nancy Cordes Chief Congressional Correspondent   Jan Crawford Chief Legal Correspondent / Political Correspondent   Major Garrett Chief White House Correspondent       Correspondents ( Journalist 's base city )     Jim Axelrod National ( New York )   Errol Barnett ( Washington )   John Blackstone ( San Francisco )   Margaret Brennan Foreign Affairs / White House ( Washington )   James Brown Special Correspondent   Lee Cowan National ( Los Angeles )   Don Dahler   Adriana Diaz ( Chicago )   Seth Doane Foreign ( Rome )   Peter Greenberg Travel Editor ( New York )   Julianna Goldman ( Washington )   Sanjay Gupta Medical Contributor   Steve Hartman On the Road   Wynton Marsalis Cultural   David Martin National Security ( Washington )   Michelle Miller ( New York )   Elizabeth Palmer Foreign ( London )   Debora Patta Foreign ( Johannesburg )   Jeff Pegues Justice / Homeland Security ( Washington )   Barry Petersen ( Denver )   Mark Phillips Senior Foreign ( London )   Chip Reid National ( Washington )   Bob Schieffer Political Contributor ( Washington )   Mark Strassmann ( Atlanta )   Ben Tracy Foreign ( Beijing )       CBSN     Don Dahler   Kristine Johnson   Michelle Miller       CBS Newspath     Nikki Batiste   Kenneth Craig   Weijia Jiang   Mola Lenghi   Danielle Nottingham   Laura Podesta   Roxana Saberi                 Iron Chef       Episodes   2012 revival episodes       U.S. versions     Iron Chef USA   Iron Chef America   Episodes   The Next Iron Chef   Iron Chef America : Supreme Cuisine     Iron Chef Gauntlet   Iron Chef Showdown       Other versions     Iron Chef Australia   Iron Chef Indonesia   Episodes     Iron Chef UK   Iron Chef Vietnam   The Next Iron Chef Vietnam                   Daytime Emmy Award for Outstanding Lifestyle / Culinary Show Host     Service Show Host ( 1994 -- 2006 , retired )     T. Berry Brazelton ( 1994 )   Martha Stewart ( 1995 )   Julia Child ( 1996 )   Martha Stewart ( 1997 </t>
  </si>
  <si>
    <t xml:space="preserve">where did bobby flay go to high school</t>
  </si>
  <si>
    <t xml:space="preserve"> Flay dropped out of high school at age 17 . He has said his first jobs in the restaurant industry were at a pizza parlor and Baskin - Robbins . He then took a position making salads at Joe Allen Restaurant in Manhattan 's Theater District , where his father was a partner . The proprietor , Joe Allen , was impressed by Flay 's natural ability and agreed to pay his partner 's son 's tuition at the French Culinary Institute . </t>
  </si>
  <si>
    <r>
      <rPr>
        <sz val="11"/>
        <color rgb="FF000000"/>
        <rFont val="Calibri"/>
        <family val="0"/>
        <charset val="1"/>
      </rPr>
      <t xml:space="preserve">Life in the Fast Lane - wikipedia  Life in the Fast Lane  Jump to : navigation , search    `` Life in the Fast Lane ''     Artwork for Spain release     Single by the Eagles     from the album Hotel California     B - side   `` The Last Resort ''     Released   May 3 , 1977     Format   Vinyl record     Recorded   1976     Genre   Rock     Length   4 : 46     Label   Asylum     Songwriter ( s )   Joe Walsh , Glenn Frey , Don Henley     Producer ( s )   Bill Szymczyk     the Eagles singles chronology        `` Hotel California '' ( 1977 )   `` Life in the Fast Lane '' ( 1977 )   `` Please Come Home for Christmas '' ( 1978 )           `` Hotel California '' ( 1977 )   `` Life in the Fast Lane '' ( 1977 )   `` Please Come Home for Christmas '' ( 1978 )        `` Life in the Fast Lane '' is a song written by Joe Walsh , Glenn Frey and Don Henley and recorded by the American rock band the Eagles on their 1976 studio album Hotel California . It was the third single released from this album , and peaked at No. 11 on the Billboard Hot 100 .     Contents  ( hide )   1 Content   2 Critical reception   3 Personnel   4 Covers and references   5 Charts   6 References   7 External links      Content   It tells the story of a couple that takes their excessive lifestyle to the edge . On In the Studio with Redbeard , Glenn Frey revealed that the title came to him one day when he was riding on the freeway with a drug dealer known as `` The Count '' . Frey asked the dealer to slow down and the response was , `` What do you mean ? It 's life in the fast lane ! '' In that same interview , Frey indicated that the song 's central riff was played by Walsh while the band was warming up in rehearsals and Walsh was told to `` keep that ; it 's a song . '' Don Henley recalled that the `` song actually sprang from the opening guitar riff . One day , at rehearsal , Joe ( Walsh ) just busted out that crazy riff and I said ' What the hell is that ? We 've got to figure out to make a song out of that . '' Henley and Frey then primarily wrote the lyrics .   Critical reception   In 2016 , the editors of Rolling Stone rated `` Life in the Fast Lane '' as the Eagles ' 8th greatest song .   Personnel    Don Henley : Lead vocals , drums   Glenn Frey : Clavinet , backing vocals   Joe Walsh : Lead guitar , Rhythm guitar   Don Felder : Lead guitar , Rhythm guitar   Randy Meisner : Bass guitar , backing vocals    Covers and references       This article contains a list of miscellaneous information . Please relocate any relevant information into other sections or articles . ( October 2017 )     Garth Brooks for the 2013 `` Classic Rock '' album in the `` Blame It All on My Roots : Five Decades of Influences '' compilation .   Eagles guitarist Joe Walsh plays the song on his solo tours .   In 2007 , Jill Johnson recorded the song on her album Music Row .   The track `` Livin ' It Up '' on Limp Bizkit 's album Chocolate Starfish and the Hot Dog Flavored Water samples the phrase life in the fast lane throughout . Frey , Henley , and Walsh are credited in the `` lyrics by '' portion of the liner notes .   Rascal Flatts and Carrie Underwood sang the song at the 2007 Grammy Awards .   The song was used as the soundtrack for the roller coaster The Eagles ' Life In The Fast Lane , opened at Hard Rock Park in May 2008 .   The country music group Williams Riley released their version of the song to country radio on August 23 , 2010 .   The super group Metal Allegiance released a version of the song with vocals by Alissa White - Gluz .   Charts     Chart ( 1977 )   Peak position     Canada Top Singles ( RPM )   12     Canada Adult Contemporary ( RPM )   41     US Billboard Hot 100   11     References    ^ Jump up to : Eagles : The Ultimate Guide . Rolling Stone . 2016 . p. 87 .   Jump up ^ `` Music Row '' ( in Swedish ) . Svensk mediedatabas. 2007 . Retrieved 24 May 2011 .   Jump up ^ Cherney , Mike ( May 13 , 2009 ) . `` Freestyle Music Park Fills Out Offerings '' . The Sun News . Archived from the original on August 16 , 2013 . Retrieved 2009 - 05 - 13 .   Jump up ^ Jones , Steve ( August 11 , 2014 ) . `` Freestyle rides headed from Myrtle Beach to Vietnam ? '' . myrtlebeachonline . Retrieved 2017 - 10 - 27 .   Jump up ^ `` Top RPM Singles : Issue 5238a . '' RPM . Library and Archives Canada .   Jump up ^ `` Top RPM Adult Contemporary : Issue 5240 . '' RPM . Library and Archives Canada .   Jump up ^ `` Eagles Chart History ( Hot 100 ) '' . Billboard .    External links    Lyrics of this song at MetroLyrics      ( hide )         Eagles       Glenn Frey   Don Henley   Bernie Leadon   Randy Meisner   Don Felder   Joe Walsh   Timothy B. Schmit   Deacon Frey   Vince Gill       Studio albums     Eagles   Desperado   On the Border   One of These Nights   Hotel California   The Long Run   Long Road Out of Eden       Live albums     Eagles Live   Hell Freezes Over   Farewell 1 Tour - Live from Melbourne       Compilation albums     Their Greatest Hits ( 1971 -- 1975 )   Eagles Greatest Hits , Vol. 2   The Very Best of the Eagles   Selected Works : 1972 -- 1999   The Very Best Of   Eagles       Singles     `` Take It Easy ''   `` Witchy Woman ''   `` Peaceful Easy Feeling ''   `` Tequila Sunrise ''   `` Outlaw Man ''   `` Already Gone ''   `` James Dean ''   `` Best of My Love ''   `` One of These Nights ''   `` Lyin ' Eyes ''   `` Take It to the Limit ''   `` New Kid in Town ''   `` Hotel California ''   `` Life in the Fast Lane ''   `` Please Come Home for Christmas ''   `` Heartache Tonight ''   `` The Long Run ''   `` I Ca n't Tell You Why ''   `` Seven Bridges Road ''   `` Get Over It ''   `` Love Will Keep Us Alive ''   `` Hole in the World ''   `` How Long ''   `` Busy Being Fabulous ''       Other songs     `` Desperado ''   `` Ol ' ' 55 ''   `` The Last Resort ''   `` In the City ''       Tours     Long Road Out of Eden Tour   History of the Eagles Tour       Related     Discography   Poco   Linda Ronstadt   Flying Burrito Brothers   Common Thread : The Songs of the Eagles   History of the Eagles   Heaven and Hell : My Life in the Eagles ( 1974 -- 2001 )         Book        Retrieved from `` https://en.wikipedia.org/w/index.php?title=Life_in_the_Fast_Lane&amp;oldid=814293608 '' Categories :   1976 songs   1977 singles   Eagles ( band ) songs   Jill Johnson songs   Songs written by Glenn Frey   Songs written by Don Henley   Songs written by Joe Walsh   Asylum Records singles   Song recordings produced by Bill Szymczyk   Hidden categories :   CS1 Swedish - language sources ( sv )   Wikipedia semi-protected pages   Articles with hAudio microformats   Articles with trivia sections from October 2017   All articles with trivia sections   Singlechart usages for Canadatopsingles   Singlechart usages for Canadaadultcontemporary   Singlechart usages for Billboardhot100   Singlechart called without song           Talk                           View source                 Contents                   About Wikipedia                                           Français   Italiano   </t>
    </r>
    <r>
      <rPr>
        <sz val="11"/>
        <color rgb="FF000000"/>
        <rFont val="Noto Sans CJK SC"/>
        <family val="2"/>
      </rPr>
      <t xml:space="preserve">日本 語   </t>
    </r>
    <r>
      <rPr>
        <sz val="11"/>
        <color rgb="FF000000"/>
        <rFont val="Calibri"/>
        <family val="0"/>
        <charset val="1"/>
      </rPr>
      <t xml:space="preserve">Norsk nynorsk   Português   Slovenščina   Svenska   Edit links   This page was last edited on 7 December 2017 , at 23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</si>
  <si>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sang the song life in the fast lane</t>
  </si>
  <si>
    <t xml:space="preserve"> `` Life in the Fast Lane '' is a song written by Joe Walsh , Glenn Frey and Don Henley and recorded by the American rock band the Eagles on their 1976 studio album Hotel California . It was the third single released from this album , and peaked at No. 11 on the Billboard Hot 100 . </t>
  </si>
  <si>
    <t xml:space="preserve">Atomic bombings of Hiroshima and Nagasaki - wikipedia  Atomic bombings of Hiroshima and Nagasaki  Jump to : navigation , search    Atomic bombings of Hiroshima and Nagasaki     Part of the Pacific War of World War II     Atomic bomb mushroom clouds over Hiroshima ( left ) and Nagasaki ( right )        Date   August 6 and August 9 , 1945     Location   Hiroshima and Nagasaki , Empire of Japan     Result   Allied victory        Belligerents     United States Manhattan Project : United Kingdom Canada   Japan     Commanders and leaders     William S. Parsons Paul W. Tibbets , Jr . Charles Sweeney Frederick Ashworth   Shunroku Hata     Units involved     Manhattan District : 50 U.S. , 2 British 509th Composite Group : 1,770 U.S.   Second General Army : Hiroshima : 40,000 ( 5 Anti-aircraft batteries ) Nagasaki : 9,000 ( 4 Anti-aircraft batteries )     Casualties and losses     20 British , Dutch , and American prisoners of war killed    Hiroshima :    20,000 soldiers killed   70,000 -- 126,000 civilians killed    Nagasaki :    39,000 -- 80,000 killed   Total : 129,000 -- 226,000 + killed               Pacific War     Central Pacific   Hawaii   Marshalls - Gilberts raids   Doolittle Raid   Coral Sea   Midway   RY   Solomons   Gilberts and Marshalls   Marianas and Palau   Volcano and Ryukyu   British raid on Truk    Southeast Asia    Indochina ( 1940 )   Indian Ocean ( 1940 -- 45 )   Philippines 1941 -- 42   Franco - Thai War   Thailand   Dutch East Indies   Malaya   Hong Kong   Burma ( 1941 -- 42 )   Singapore   Burma ( 1942 -- 43 )   Burma ( 1944 )   Burma ( 1944 -- 45 )   Indochina ( 1945 )   Malacca Strait   Jurist   Tiderace   Zipper   Strategic bombing ( 1944 -- 45 )    Southwest Pacific    Dutch East Indies 1941 -- 42   Portuguese Timor   Australia   New Guinea   Philippines 1944 -- 45   Borneo 1945    North America    Attack on Pearl Harbor   Ellwood   Operation K   Aleutian Islands   Estevan Point Lighthouse   Fort Stevens   Lookout Air Raids   Fire balloon   Project Hula   PX    Japan    Air raids   Mariana Islands   Volcano &amp; Ryukyu Is   Tokyo   Starvation   Naval bombardments   Yokosuka   Sagami Bay   Kure   Downfall   Hiroshima &amp; Nagasaki   Kurils   Karafuto     Japanese surrender    Manchuria    Kantokuen   Manchuria ( 1945 )   Mutanchiang   Sakhalin Island   Kuril Islands   Shumshu   Second Sino - Japanese War     During the final stage of World War II , the United States dropped nuclear weapons on the Japanese cities of Hiroshima and Nagasaki on August 6 and 9 , 1945 , respectively . The United States had dropped the bombs with the consent of the United Kingdom as outlined in the Quebec Agreement . The two bombings , which killed at least 129,000 people , remain the only use of nuclear weapons for warfare in history .   In the final year of the war , the Allies prepared for what was anticipated to be a very costly invasion of the Japanese mainland . This was preceded by a U.S. conventional and firebombing campaign that destroyed 67 Japanese cities . The war in Europe had concluded when Nazi Germany signed its instrument of surrender on May 8 , 1945 . The Japanese , facing the same fate , refused to accept the Allies ' demands for unconditional surrender and the Pacific War continued . The Allies called for the unconditional surrender of the Imperial Japanese armed forces in the Potsdam Declaration on July 26 , 1945 -- the alternative being `` prompt and utter destruction '' . The Japanese response to this ultimatum was to ignore it .   By August 1945 , the Allies ' Manhattan Project had produced two types of atomic bomb , and the 509th Composite Group of the United States Army Air Forces ( USAAF ) was equipped with the specialized Silverplate version of the Boeing B - 29 Superfortress that could deliver them from Tinian in the Mariana Islands . Orders for atomic bombs to be used on four Japanese cities were issued on July 25 . On August 6 , the U.S. dropped a uranium gun - type ( Little Boy ) bomb on Hiroshima , and American President Harry S. Truman called for Japan 's surrender , warning it to `` expect a rain of ruin from the air , the like of which has never been seen on this earth . '' Three days later , on August 9 , a plutonium implosion - type ( Fat Man ) bomb was dropped on Nagasaki . Within the first two to four months following the bombings , the acute effects of the atomic bombings had killed 90,000 -- 146,000 people in Hiroshima and 39,000 -- 80,000 in Nagasaki ; roughly half of the deaths in each city occurred on the first day . During the following months , large numbers died from the effect of burns , radiation sickness , and other injuries , compounded by illness and malnutrition . In both cities , most of the dead were civilians , although Hiroshima had a sizable military garrison .   Japan announced its surrender to the Allies on August 15 , six days after the bombing of Nagasaki and the Soviet Union 's declaration of war . On September 2 , the Japanese government signed the instrument of surrender , effectively ending World War II . The justification for the bombings of Hiroshima and Nagasaki is still debated to this day .     Contents  ( hide )   1 Background   1.1 Pacific War   1.2 Preparations to invade Japan   1.3 Air raids on Japan   1.4 Atomic bomb development     2 Preparations   2.1 Organization and training   2.2 Choice of targets   2.3 Proposed demonstration   2.4 Leaflets   2.5 Consultation with Britain and Canada   2.6 Potsdam Declaration   2.7 Bombs     3 Hiroshima   3.1 Hiroshima during World War II   3.2 Bombing of Hiroshima   3.3 Events on the ground   3.4 Japanese realization of the bombing     4 Events of August 7 -- 9   5 Nagasaki   5.1 Nagasaki during World War II   5.2 Bombing of Nagasaki   5.3 Events on the ground     6 Plans for more atomic attacks on Japan   7 Surrender of Japan and subsequent occupation   8 Depiction , public response , and censorship   9 Post-attack casualties   10 Hibakusha   10.1 Double survivors   10.2 Korean survivors     11 Debate over bombings   12 Notes   13 References   14 Further reading   15 External links      Background   Pacific War  Main article : Pacific War Situation of the Pacific War by August 1 , 1945 . Japan still had control of all of Manchuria , Korea , Taiwan and Indochina , a large part of China , including most of the main Chinese cities , and much of the Dutch East Indies .  In 1945 , the Pacific War between the Empire of Japan and the Allies entered its fourth year . The Japanese fought fiercely , ensuring that U.S. victory would come at an enormous cost . Of the 1.25 million battle casualties incurred by the United States in World War II , including both military personnel killed in action and wounded in action , nearly one million occurred in the twelve - month period from June 1944 to June 1945 . December 1944 saw American battle casualties hit an all - time monthly high of 88,000 as a result of the German Ardennes Offensive . In the Pacific , the Allies returned to the Philippines , recaptured Burma , and invaded Borneo . Offensives were undertaken to reduce the Japanese forces remaining in Bougainville , New Guinea and the Philippines . In April 1945 , American forces landed on Okinawa , where heavy fighting continued until June . Along the way , the ratio of Japanese to American casualties dropped from 5 : 1 in the Philippines to 2 : 1 on Okinawa .   Although some Japanese were taken prisoner , most fought until they were killed or committed suicide . Nearly 99 % of the 21,000 defenders of Iwo Jima were killed . Of the 117,000 Japanese troops defending Okinawa in April -- June 1945 , 94 % were killed . American military leaders used these figures to estimate high casualties among American soldiers in the planned invasion of Japan .   As the Allies advanced towards Japan , conditions became steadily worse for the Japanese people . Japan 's merchant fleet declined from 5,250,000 gross tons in 1941 to 1,560,000 tons in March 1945 , and 557,000 tons in August 1945 . Lack of raw materials forced the Japanese war economy into a steep decline after the middle of 1944 . The civilian economy , which had slowly deteriorated throughout the war , reached disastrous levels by the middle of 1945 . The loss of shipping also affected the fishing fleet , and the 1945 catch was only 22 % of that in 1941 . The 1945 rice harvest was the worst since 1909 , and hunger and malnutrition became widespread . U.S. industrial production was overwhelmingly superior to Japan 's . By 1943 , the U.S. produced almost 100,000 aircraft a year , compared to Japan 's production of 70,000 for the entire war . By the middle of 1944 , the U.S. had almost a hundred aircraft carriers in the Pacific , far more than Japan 's twenty - five for the entire war . In February 1945 , Prince Fumimaro Konoe advised the Emperor Hirohito that defeat was inevitable , and urged him to abdicate .   Preparations to invade Japan  Main article : Operation Downfall  Even before the surrender of Nazi Germany on May 8 , 1945 , plans were under way for the largest operation of the Pacific War , Operation Downfall , the invasion of Japan . The operation had two parts : Operation Olympic and Operation Coronet . Set to begin in October 1945 , Olympic involved a series of landings by the U.S. Sixth Army intended to capture the southern third of the southernmost main Japanese island , Kyūshū . Operation Olympic was to be followed in March 1946 by Operation Coronet , the capture of the Kantō Plain , near Tokyo on the main Japanese island of Honshū by the U.S. First , Eighth and Tenth Armies , as well as a Commonwealth Corps made up of Australian , British and Canadian divisions . The target date was chosen to allow for Olympic to complete its objectives , for troops to be redeployed from Europe , and the Japanese winter to pass .  U.S. Army poster prepares the public for the invasion of Japan after ending war on Germany and Italy  Japan 's geography made this invasion plan obvious to the Japanese ; they were able to predict the Allied invasion plans accurately and thus adjust their defensive plan , Operation Ketsugō , accordingly . The Japanese planned an all - out defense of Kyūshū , with little left in reserve for any subsequent defense operations . Four veteran divisions were withdrawn from the Kwantung Army in Manchuria in March 1945 to strengthen the forces in Japan , and 45 new divisions were activated between February and May 1945 . Most were immobile formations for coastal defense , but 16 were high quality mobile divisions . In all , there were 2.3 million Japanese Army troops prepared to defend the home islands , backed by a civilian militia of 28 million men and women . Casualty predictions varied widely , but were extremely high . The Vice Chief of the Imperial Japanese Navy General Staff , Vice Admiral Takijirō Ōnishi , predicted up to 20 million Japanese deaths .   A study from June 15 , 1945 , by the Joint War Plans Committee , who provided planning information to the Joint Chiefs of Staff , estimated that Olympic would result in between 130,000 and 220,000 U.S. casualties , of which U.S. dead would be in the range from 25,000 to 46,000 . Delivered on June 15 , 1945 , after insight gained from the Battle of Okinawa , the study noted Japan 's inadequate defenses due to the very effective sea blockade and the American firebombing campaign . The Chief of Staff of the United States Army , General of the Army George Marshall , and the Army Commander in Chief in the Pacific , General of the Army Douglas MacArthur , signed documents agreeing with the Joint War Plans Committee estimate .   The Americans were alarmed by the Japanese buildup , which was accurately tracked through Ultra intelligence . Secretary of War Henry L. Stimson was sufficiently concerned about high American estimates of probable casualties to commission his own study by Quincy Wright and William Shockley . Wright and Shockley spoke with Colonels James McCormack and Dean Rusk , and examined casualty forecasts by Michael E. DeBakey and Gilbert Beebe . Wright and Shockley estimated the invading Allies would suffer between 1.7 and 4 million casualties in such a scenario , of whom between 400,000 and 800,000 would be dead , while Japanese fatalities would have been around 5 to 10 million .   Marshall began contemplating the use of a weapon which was `` readily available and which assuredly can decrease the cost in American lives '' : poison gas . Quantities of phosgene , mustard gas , tear gas and cyanogen chloride were moved to Luzon from stockpiles in Australia and New Guinea in preparation for Operation Olympic , and MacArthur ensured that Chemical Warfare Service units were trained in their use . Consideration was also given to using biological weapons against Japan .   Air raids on Japan  Main article : Air raids on Japan A B - 29 over Osaka on June 1 , 1945  While the United States had developed plans for an air campaign against Japan prior to the Pacific War , the capture of Allied bases in the western Pacific in the first weeks of the conflict meant that this offensive did not begin until mid-1944 when the long - ranged Boeing B - 29 Superfortress became ready for use in combat . Operation Matterhorn involved India - based B - 29s staging through bases around Chengdu in China to make a series of raids on strategic targets in Japan . This effort failed to achieve the strategic objectives that its planners had intended , largely because of logistical problems , the bomber 's mechanical difficulties , the vulnerability of Chinese staging bases , and the extreme range required to reach key Japanese cities .   United States Army Air Forces ( USAAF ) Brigadier General Haywood S. Hansell determined that Guam , Tinian , and Saipan in the Mariana Islands would better serve as B - 29 bases , but they were in Japanese hands . Strategies were shifted to accommodate the air war , and the islands were captured between June and August 1944 . Air bases were developed , and B - 29 operations commenced from the Marianas in October 1944 . These bases were easily resupplied by cargo ships . The XXI Bomber Command began missions against Japan on November 18 , 1944 .   The early attempts to bomb Japan from the Marianas proved just as ineffective as the China - based B - 29s had been . Hansell continued the practice of conducting so - called high - altitude precision bombing , aimed at key industries and transportation networks , even after these tactics had not produced acceptable results . These efforts proved unsuccessful due to logistical difficulties with the remote location , technical problems with the new and advanced aircraft , unfavorable weather conditions , and enemy action .  The Operation Meetinghouse firebombing of Tokyo on the night of March 9 -- 10 , 1945 , was the single deadliest air raid in history ; with a greater area of fire damage and loss of life than either of the nuclear bombings of Hiroshima or Nagasaki .  Hansell 's successor , Major General Curtis LeMay , assumed command in January 1945 and initially continued to use the same precision bombing tactics , with equally unsatisfactory results . The attacks initially targeted key industrial facilities but much of the Japanese manufacturing process was carried out in small workshops and private homes . Under pressure from USAAF headquarters in Washington , LeMay changed tactics and decided that low - level incendiary raids against Japanese cities were the only way to destroy their production capabilities , shifting from precision bombing to area bombardment with incendiaries .   Like most strategic bombing during World War II , the aim of the USAAF offensive against Japan was to destroy the enemy 's war industries , kill or disable civilian employees of these industries , and undermine civilian morale . Civilians who took part in the war effort through such activities as building fortifications and manufacturing munitions and other war materials in factories and workshops were considered combatants in a legal sense and therefore liable to be attacked .   Over the next six months , the XXI Bomber Command under LeMay firebombed 67 Japanese cities . The firebombing of Tokyo , codenamed Operation Meetinghouse , on March 9 -- 10 killed an estimated 100,000 people and destroyed 16 square miles ( 41 km ) of the city and 267,000 buildings in a single night . It was the deadliest bombing raid of the war , at a cost of 20 B - 29s shot down by flak and fighters . By May , 75 % of bombs dropped were incendiaries designed to burn down Japan 's `` paper cities '' . By mid-June , Japan 's six largest cities had been devastated . The end of the fighting on Okinawa that month provided airfields even closer to the Japanese mainland , allowing the bombing campaign to be further escalated . Aircraft flying from Allied aircraft carriers and the Ryukyu Islands also regularly struck targets in Japan during 1945 in preparation for Operation Downfall . Firebombing switched to smaller cities , with populations ranging from 60,000 to 350,000 . According to Yuki Tanaka , the U.S. fire - bombed over a hundred Japanese towns and cities . These raids were also devastating .   The Japanese military was unable to stop the Allied attacks and the country 's civil defense preparations proved inadequate . Japanese fighters and antiaircraft guns had difficulty engaging bombers flying at high altitude . From April 1945 , the Japanese interceptors also had to face American fighter escorts based on Iwo Jima and Okinawa . That month , the Imperial Japanese Army Air Service and Imperial Japanese Navy Air Service stopped attempting to intercept the air raids in order to preserve fighter aircraft to counter the expected invasion . By mid-1945 the Japanese only occasionally scrambled aircraft to intercept individual B - 29s conducting reconnaissance sorties over the country , in order to conserve supplies of fuel . By July 1945 , the Japanese had stockpiled 1,156,000 US barrels ( 137,800,000 l ; 36,400,000 US gal ; 30,300,000 imp gal ) of avgas for the invasion of Japan . While the Japanese military decided to resume attacks on Allied bombers from late June , by this time there were too few operational fighters available for this change of tactics to hinder the Allied air raids .   Atomic bomb development  Main article : Manhattan Project  The discovery of nuclear fission by German chemists Otto Hahn and Fritz Strassmann in 1938 , and its theoretical explanation by Lise Meitner and Otto Frisch , made the development of an atomic bomb a theoretical possibility . Fears that a German atomic bomb project would develop atomic weapons first , especially among scientists who were refugees from Nazi Germany and other fascist countries , were expressed in the Einstein - Szilard letter . This prompted preliminary research in the United States in late 1939 . Progress was slow until the arrival of the British MAUD Committee report in late 1941 , which indicated that only 5 -- 10 kilograms of isotopically enriched uranium - 235 was needed for a bomb instead of tons of un-enriched uranium and a neutron moderator ( e.g. heavy water ) .   Working in collaboration with the United Kingdom and Canada , with their respective projects Tube Alloys and Chalk River Laboratories , the Manhattan Project , under the direction of Major General Leslie R. Groves , Jr. , of the U.S. Army Corps of Engineers , designed and built the first atomic bombs . Groves appointed J. Robert Oppenheimer to organize and head the project 's Los Alamos Laboratory in New Mexico , where bomb design work was carried out . Two types of bombs were eventually developed . Little Boy was a gun - type fission weapon that used uranium - 235 , a rare isotope of uranium separated at the Clinton Engineer Works at Oak Ridge , Tennessee . The other , known as a Fat Man device ( both types named by Robert Serber ) , was a more powerful and efficient , but more complicated , implosion - type nuclear weapon that used plutonium created in nuclear reactors at Hanford , Washington . A test implosion weapon , the gadget , was detonated at Trinity Site , on July 16 , 1945 , near Alamogordo , New Mexico .   There was a Japanese nuclear weapon program , but it lacked the human , mineral and financial resources of the Manhattan Project , and never made much progress towards developing an atomic bomb .   Preparations   Organization and training  Aircraft of the 509th Composite Group that took part in the Hiroshima bombing . Left to right : Big Stink , The Great Artiste , Enola Gay  The 509th Composite Group was constituted on December 9 , 1944 , and activated on December 17 , 1944 , at Wendover Army Air Field , Utah , commanded by Colonel Paul Tibbets . Tibbets was assigned to organize and command a combat group to develop the means of delivering an atomic weapon against targets in Germany and Japan . Because the flying squadrons of the group consisted of both bomber and transport aircraft , the group was designated as a `` composite '' rather than a `` bombardment '' unit .   Working with the Manhattan Project at Los Alamos , Tibbets selected Wendover for his training base over Great Bend , Kansas , and Mountain Home , Idaho , because of its remoteness . Each bombardier completed at least 50 practice drops of inert or conventional explosive pumpkin bombs and Tibbets declared his group combat - ready .  The `` Tinian Joint Chiefs '' : Captain William S. Parsons ( left ) , Rear Admiral William R. Purnell ( center ) , and Brigadier General Thomas F. Farrell ( right )  The 509th Composite Group had an authorized strength of 225 officers and 1,542 enlisted men , almost all of whom eventually deployed to Tinian . In addition to its authorized strength , the 509th had attached to it on Tinian 51 civilian and military personnel from Project Alberta , known as the 1st Technical Detachment . The 509th Composite Group 's 393d Bombardment Squadron was equipped with 15 Silverplate B - 29s . These aircraft were specially adapted to carry nuclear weapons , and were equipped with fuel - injected engines , Curtiss Electric reversible - pitch propellers , pneumatic actuators for rapid opening and closing of bomb bay doors and other improvements .   The ground support echelon of the 509th Composite Group moved by rail on April 26 , 1945 , to its port of embarkation at Seattle , Washington . On May 6 the support elements sailed on the SS Cape Victory for the Marianas , while group materiel was shipped on the SS Emile Berliner . The Cape Victory made brief port calls at Honolulu and Eniwetok but the passengers were not permitted to leave the dock area . An advance party of the air echelon , consisting of 29 officers and 61 enlisted men flew by C - 54 to North Field on Tinian , between May 15 and May 22 .   There were also two representatives from Washington , D.C. , Brigadier General Thomas Farrell , the deputy commander of the Manhattan Project , and Rear Admiral William R. Purnell of the Military Policy Committee , who were on hand to decide higher policy matters on the spot . Along with Captain William S. Parsons , the commander of Project Alberta , they became known as the `` Tinian Joint Chiefs '' .   Choice of targets  The mission runs of August 6 and 9 , with Hiroshima , Nagasaki , and Kokura ( the original target for August 9 ) displayed  In April 1945 , Marshall asked Groves to nominate specific targets for bombing for final approval by himself and Stimson . Groves formed a Target Committee , chaired by himself , that included Farrell , Major John A. Derry , Colonel William P. Fisher , Joyce C. Stearns and David M. Dennison from the USAAF ; and scientists John von Neumann , Robert R. Wilson and William Penney from the Manhattan Project . The Target Committee met in Washington on April 27 ; at Los Alamos on May 10 , where it was able to talk to the scientists and technicians there ; and finally in Washington on May 28 , where it was briefed by Tibbets and Commander Frederick Ashworth from Project Alberta , and the Manhattan Project 's scientific advisor , Richard C. Tolman .   The Target Committee nominated five targets : Kokura , the site of one of Japan 's largest munitions plants ; Hiroshima , an embarkation port and industrial center that was the site of a major military headquarters ; Yokohama , an urban center for aircraft manufacture , machine tools , docks , electrical equipment and oil refineries ; Niigata , a port with industrial facilities including steel and aluminum plants and an oil refinery ; and Kyoto , a major industrial center . The target selection was subject to the following criteria :    The target was larger than 3 mi ( 4.8 km ) in diameter and was an important target in a large city .   The blast would create effective damage .   The target was unlikely to be attacked by August 1945 .    These cities were largely untouched during the nightly bombing raids and the Army Air Forces agreed to leave them off the target list so accurate assessment of the weapon could be made . Hiroshima was described as `` an important army depot and port of embarkation in the middle of an urban industrial area . It is a good radar target and it is such a size that a large part of the city could be extensively damaged . There are adjacent hills which are likely to produce a focusing effect which would considerably increase the blast damage . Due to rivers it is not a good incendiary target . ''   The Target Committee stated that `` It was agreed that psychological factors in the target selection were of great importance . Two aspects of this are ( 1 ) obtaining the greatest psychological effect against Japan and ( 2 ) making the initial use sufficiently spectacular for the importance of the weapon to be internationally recognized when publicity on it is released . Kyoto had the advantage of being an important center for military industry , as well an intellectual center and hence a population better able to appreciate the significance of the weapon . The Emperor 's palace in Tokyo has a greater fame than any other target but is of least strategic value . ''   Edwin O. Reischauer , a Japan expert for the U.S. Army Intelligence Service , was incorrectly said to have prevented the bombing of Kyoto . In his autobiography , Reischauer specifically refuted this claim :   ... the only person deserving credit for saving Kyoto from destruction is Henry L. Stimson , the Secretary of War at the time , who had known and admired Kyoto ever since his honeymoon there several decades earlier .   On May 30 , Stimson asked Groves to remove Kyoto from the target list due to its historical , religious and cultural significance , but Groves pointed to its military and industrial significance . Stimson then approached President Harry S. Truman about the matter . Truman agreed with Stimson , and Kyoto was temporarily removed from the target list . Groves attempted to restore Kyoto to the target list in July , but Stimson remained adamant . On July 25 , Nagasaki was put on the target list in place of Kyoto .   Proposed demonstration   In early May 1945 , the Interim Committee was created by Stimson at the urging of leaders of the Manhattan Project and with the approval of Truman to advise on matters pertaining to nuclear energy . During the meetings on May 31 and June 1 , scientist Ernest Lawrence had suggested giving the Japanese a non-combat demonstration . Arthur Compton later recalled that :   It was evident that everyone would suspect trickery . If a bomb were exploded in Japan with previous notice , the Japanese air power was still adequate to give serious interference . An atomic bomb was an intricate device , still in the developmental stage . Its operation would be far from routine . If during the final adjustments of the bomb the Japanese defenders should attack , a faulty move might easily result in some kind of failure . Such an end to an advertised demonstration of power would be much worse than if the attempt had not been made . It was now evident that when the time came for the bombs to be used we should have only one of them available , followed afterwards by others at all - too - long intervals . We could not afford the chance that one of them might be a dud . If the test were made on some neutral territory , it was hard to believe that Japan 's determined and fanatical military men would be impressed . If such an open test were made first and failed to bring surrender , the chance would be gone to give the shock of surprise that proved so effective . On the contrary , it would make the Japanese ready to interfere with an atomic attack if they could . Though the possibility of a demonstration that would not destroy human lives was attractive , no one could suggest a way in which it could be made so convincing that it would be likely to stop the war .   The possibility of a demonstration was raised again in the Franck Report issued by physicist James Franck on June 11 and the Scientific Advisory Panel rejected his report on June 16 , saying that `` we can propose no technical demonstration likely to bring an end to the war ; we see no acceptable alternative to direct military use . '' Franck then took the report to Washington , D.C. , where the Interim Committee met on June 21 to re-examine its earlier conclusions ; but it reaffirmed that there was no alternative to the use of the bomb on a military target .   Like Compton , many U.S. officials and scientists argued that a demonstration would sacrifice the shock value of the atomic attack , and the Japanese could deny the atomic bomb was lethal , making the mission less likely to produce surrender . Allied prisoners of war might be moved to the demonstration site and be killed by the bomb . They also worried that the bomb might be a dud since the Trinity test was of a stationary device , not an air - dropped bomb . In addition , only two bombs would be available at the start of August , although more were in production , and they cost billions of dollars , so using one for a demonstration would be expensive .   Leaflets  Various leaflets were dropped on Japan , three versions showing the names of 11 or 12 Japanese cities targeted for destruction by firebombing . The other side contained text stating `` ... we can not promise that only these cities will be among those attacked ... ''  For several months , the U.S. had dropped more than 63 million leaflets across Japan warning civilians of air raids . Many Japanese cities suffered terrible damage from aerial bombings ; some were as much as 97 % destroyed . LeMay thought that leaflets would increase the psychological impact of bombing , and reduce the international stigma of area - bombing cities . Even with the warnings , Japanese opposition to the war remained ineffective . In general , the Japanese regarded the leaflet messages as truthful , with many Japanese choosing to leave major cities . The leaflets caused such concern amongst the Empire of Japan that they ordered the arrest of anyone caught in possession of a leaflet . Leaflet texts were prepared by recent Japanese prisoners of war because they were thought to be the best choice `` to appeal to their compatriots '' .   In preparation for dropping an atomic bomb on Hiroshima , the Oppenheimer - led Scientific Panel of the Interim Committee decided against a demonstration bomb , and against a special leaflet warning , in both cases because of the uncertainty of a successful detonation , and the wish to maximize shock in the leadership . No warning was given to Hiroshima that a new and much more destructive bomb was going to be dropped . Various sources give conflicting information about when the last leaflets were dropped on Hiroshima prior to the atomic bomb . Robert Jay Lifton writes that it was July 27 , and Theodore H. McNelly that it was July 3 . The USAAF history notes eleven cities were targeted with leaflets on July 27 , but Hiroshima was not one of them , and there were no leaflet sorties on July 30 . Leaflet sorties were undertaken on August 1 and August 4 . Hiroshima may have been leafleted in late July or early August , as survivor accounts talk about a delivery of leaflets a few days before the atomic bomb was dropped . Three versions were printed of a leaflet listing 11 or 12 cities targeted for firebombing ; a total of 33 cities listed . With the text of this leaflet reading in Japanese `` ... we can not promise that only these cities will be among those attacked ... '' Hiroshima is not listed .   Consultation with Britain and Canada  General Thomas Handy 's order to General Carl Spaatz authorizing the dropping of the atomic bombs  </t>
  </si>
  <si>
    <t xml:space="preserve">what kind of bomb did the us drop on japan</t>
  </si>
  <si>
    <t xml:space="preserve"> During the final stage of World War II , the United States dropped nuclear weapons on the Japanese cities of Hiroshima and Nagasaki on August 6 and 9 , 1945 , respectively . The United States had dropped the bombs with the consent of the United Kingdom as outlined in the Quebec Agreement . The two bombings , which killed at least 129,000 people , remain the only use of nuclear weapons for warfare in history . </t>
  </si>
  <si>
    <r>
      <rPr>
        <sz val="11"/>
        <color rgb="FF000000"/>
        <rFont val="Calibri"/>
        <family val="0"/>
        <charset val="1"/>
      </rPr>
      <t xml:space="preserve">Like a G6 - wikipedia  Like a G6  Jump to : navigation , search    `` Like a G6 ''         Single by Far East Movement featuring The Cataracs and Dev     from the album Free Wired     Released   April 13 , 2010 ( 2010 - 04 - 13 )     Format   Digital download     Recorded   2009     Genre     Dance - pop   hip house       Length   3 : 38     Label     Cherrytree   Interscope       Songwriter ( s )     Jae Choung   Virman Coquia   Kevin Nishimura   James Roh   Niles Holowell - Dhar   David Singer - Vine   Devin Star Tailes       Producer ( s )   The Cataracs     Far East Movement singles chronology        `` Girls on the Dancefloor '' ( 2010 )   `` Like a G6 '' ( 2010 )   `` Rocketeer '' ( 2010 )           `` Girls on the Dancefloor '' ( 2010 )   `` Like a G6 '' ( 2010 )   `` Rocketeer '' ( 2010 )            The Cataracs singles chronology        `` Club Love '' ( 2010 ) Club Love2010   `` Like a G6 '' ( 2010 ) Like a G62010   `` Bass Down Low '' ( 2010 ) Bass Down Low 2010            Dev singles chronology          `` Like a G6 '' ( 2010 ) Like a G62010   `` Bass Down Low '' ( 2010 ) Bass Down Low 2010            `` Like a G6 '' is a 2010 song written and performed by Far East Movement , The Cataracs , and Dev , with the latter two being credited as featured artists . It is the lead single from Far East Movement 's third studio album Free Wired , and production was handled by The Cataracs . For the chorus , Dev samples a verse from her own single `` Booty Bounce '' , which was also written and produced by the Cataracs .   `` Like a G6 '' peaked at number - one on the US Billboard Hot 100 for three non-consecutive weeks . The song also topped the charts in New Zealand and South Korea , and reached the top ten in Australia , Canada , Belgium , the Netherlands , Thailand , the United Kingdom , Sweden , Switzerland and Slovakia .   The song was the first single by Asian - American artists to hit number - one on the Billboard Hot 100 , and the first by any artists of Asian descent since Kyu Sakamoto 's 1963 single `` Sukiyaki '' .   Although the song is credited as `` Far East Movement , featuring The Cataracts and Dev '' , on iTunes all three artists are the lead artists .     Contents  ( hide )   1 Production   2 Reception   3 Music video   4 Track listing   5 Covers and parodies   6 Charts and certifications   6.1 Weekly charts   6.2 Certifications   6.3 Year - end charts     7 Release history   8 See also   9 References   10 External links      Production ( edit )   The `` G6 '' in the song `` Booty Bounce '' , which was sampled in `` Like a G6 '' , came about when the songs ' producers , the Cataracs , were looking for a rhyme for the line `` Sippin ' sizzurp in my ride , like Three 6 '' , a reference to the 2000 song `` Sippin ' on Some Syrup '' by rap group Three 6 Mafia . They settled on `` G6 '' , meant to be a reference to the private airplane model Gulfstream IV , referred to as a `` G4 '' . The G4 had been name - checked in songs such as Drake 's 2009 `` Forever '' . A G6 , they decided , was `` flyer than a G4 '' , according to Far East Movement member Kev Nish . The song has been incorrectly speculated to be about other things , including the Pontiac G6 and the Suunto G6 watch . When the song came out , the Gulfstream G650 model already existed , although the song 's writers were not aware of this at the time . Since then , the Gulfstream G600 has also been announced .   Reception ( edit )  `` Like a G6 '' samples its chorus from Dev 's `` Booty Bounce '' .  The song has sold 4 million paid downloads in the US , according to Nielsen SoundScan .   Gulfstream Aerospace has stated that they were `` thrilled '' about the product reference .   Music video ( edit )   The music video , which was directed by Matt Alonzo and edited by Thomas Uncles , premiered on YouTube and Vevo on June 2 , 2010 . The line `` sippin ' sizzurp '' and the word `` slizzered '' are censored on some channels . It follows a woman in a red dress ( Erica Ocampo ) picking up a friend from a restaurant and going to a liquor store , presumably in preparation for a party . A later scene shows the woman and her friends at the party , Colette Carr also make a cameo , Dev and the members of Far East Movement can also be seen in this party scene . The final scene shows the members of Far East Movement getting on a Gulfstream IV the next morning .   Track listing ( edit )    Digital single     `` Like a G6 '' ( featuring The Cataracs and Dev ) -- 3 : 38     CD single     `` Like a G6 '' ( featuring The Cataracs and Dev ) -- 3 : 38   `` Like a G6 '' ( Cahill Radio Edit ) -- 3 : 15     Promo CD     `` Like a G6 '' ( featuring The Cataracs and Dev ) -- 3 : 38   `` Like a G6 '' ( Instrumental ) -- 3 : 35   `` Like a G6 '' ( Acappella ) -- 3 : 38     Digital remix EP     `` Like a G6 '' ( RedOne Remix ) ( featuring Mohombi , The Cataracs , and Dev ) -- 4 : 41   `` Like a G6 '' ( Disco Fries Remix ) ( featuring The Cataracs and Dev ) -- 5 : 33   `` Like a G6 '' ( Big Syphe Remix ) ( featuring The Cataracs and Dev ) -- 4 : 58   `` Like a G6 '' ( DJ Solarz Remix ) ( featuring The Cataracs and Dev ) -- 5 : 05   `` Like a G6 '' ( Ruxpin Remix ) ( featuring The Cataracs and Dev ) -- 6 : 52   `` Like a G6 '' ( Guy Furious Remix ) ( featuring The Cataracs and Dev ) -- 4 : 00   `` Like a G6 '' ( Fantastadon Remix ) ( featuring The Cataracs and Dev ) -- 5 : 23   `` Like a G6 '' ( DJ Taraspaz Remix ) ( featuring The Cataracs and Dev ) -- 4 : 49     Trevor Simpson on Da Beat Remix single     `` Like a G6 '' ( Remix ) -- 4 : 55   `` Like a G6 '' ( Remix Club Edit ) -- 5 : 11     Eyes Remix     `` Like a G6 '' ( Eyes Remix ) -- 4 : 38     Bermudez - Chico Remix     `` Like a G6 '' ( Bermudez - Chico Remix ) ( featuring The Cataracs and Dev ) - 4 : 33    Covers and parodies ( edit )    Diddy -- Dirty Money covered `` Like a G6 '' as part of their set for BBC Radio 1 's Live Lounge , alongside `` Coming Home '' . The song then appeared on the sixth compilation of the Live Lounge .   Colette Carr did a cover of the song , with new lyrics on her debut mixtape Sex Sells Stay Tooned along with Cherry Cherry Boom Boom .   Richard Cheese covered `` Like a G6 '' on his 2011 album A Lounge Supreme .   Connor Anderson made a parody of the song called `` Roll a D6 '' .   `` Like Jesus '' was a parody produced by Totally Sketch .   American comedian , musician and Internet personality Nice Peter recorded a Harry Potter - themed parody of the song called `` Like It 's Quidditch '' .   Dierks Bentley references the song in his country music hit `` Drunk on a Plane '' , where he says their 737 will be rocking like a G6 .   Adam Buxton parodied the song in several different incarnations on the Adam and Joe radio show on BBC 6 Music .    Charts and certifications ( edit )      Weekly charts ( edit )     Chart ( 2010 -- 11 )   Peak position     Australia ( ARIA )       Austria ( Ö3 Austria Top 40 )   8     Belgium ( Ultratop 50 Flanders )       Belgium ( Ultratop 50 Wallonia )       Brazil ( Billboard Hot 100 )   8     Brazil ( Billboard Hot Pop Songs )       Canada ( Canadian Hot 100 )       Czech Republic ( Rádio Top 100 )   28     Denmark ( Tracklisten )   19     European Hot 100   17     Finland ( Suomen virallinen lista )   15     France ( SNEP )   14     Germany ( Official German Charts )   15     Ireland ( IRMA )   12     Netherlands ( Dutch Top 40 )       New Zealand ( Recorded Music NZ )       Poland ( Dance Top 50 )   18     Scotland ( Official Charts Company )   8     Slovakia ( Rádio Top 100 )   6     South Korea ( GAON )       Sweden ( Sverigetopplistan )   7     Switzerland ( Schweizer Hitparade )   10     UK R&amp;B ( Official Charts Company )       UK Singles ( Official Charts Company )   5     US Billboard Hot 100       US Dance Club Songs ( Billboard )       US Hot R&amp;B / Hip - Hop Songs ( Billboard )   84     US Hot Rap Songs ( Billboard )       US Mainstream Top 40 ( Billboard )       US Rhythmic ( Billboard )         Certifications ( edit )     Region   Certification   Certified units / Sales     Australia ( ARIA )   3 × Platinum   210,000     Belgium ( BEA )   Gold   15,000     New Zealand ( RMNZ )   Platinum   15,000     Sweden ( GLF )   Gold   10,000     Switzerland ( IFPI Switzerland )   Gold   15,000     United States ( RIAA )   4 × Platinum   4,000,000      sales figures based on certification alone shipments figures based on certification alone      Year - end charts ( edit )     Chart ( 2010 )   Position     Australia ( ARIA )   27     Canada ( Canadian Hot 100 )   35     Netherlands ( Mega Single Top 100 )   46     US Billboard Hot 100   37     Chart ( 2011 )   Position     US Billboard Hot 100   72        Release history ( edit )     Region   Date   Format   Label     United Kingdom   November 14 , 2010   Digital download     Cherrytree   Interscope       See also ( edit )    List of number - one singles in 2010 ( New Zealand )   List of Billboard Hot 100 number - one singles of 2010   List of number - one R&amp;B hits of 2010 ( UK )   List of songs recorded by Dev    References ( edit )    Jump up ^ Billy Johnson , Jr . ( November 10 , 2010 ) . `` Pop Rap Newcomer Dev ' Feels So Fly Like A G6 ′ '' . The New Now . Archived from the original on October 3 , 2012 .   ^ Jump up to : Jue , Teresa . `` Bruin Bash lineup looks to fulfill diverse musical tastes '' . The Daily Bruin . Retrieved March 11 , 2011 .   Jump up ^ `` Far East Movement Explains Meaning Behind ' Like A G6 ' '' . Yahoo , November 23 , 2010 .   ^ Jump up to : Alex Konrad ( October 8 , 2010 ) . `` Fly like a G6 ? '' . Fortune .   Jump up ^ Michael Menachem ( September 3 , 2010 ) . `` Far East Movement Featuring the Cataracs &amp; Dev , `` Like a G6 '' `` . Billboard . Retrieved 2010 - 11 - 17 .   Jump up ^ Grein , Paul ( January 9 , 2011 ) . `` Week Ending Jan. 9 , 2011 : Songs : Another Taboo Falls '' . Yahoo ! Music Blog . Yahoo ! Inc . Retrieved 2011 - 01 - 09 .   Jump up ^ `` Diddy Dirty Money in the Live Lounge '' . BBC . January 20 , 2011 .   Jump up ^ ie = UTF8&amp;qid = 1325009363&amp;sr = 8 - 1 `` BBC Radio 1 's Live Lounge - Volume 6 - Tracklist '' Check url = value ( help ) . Amazon . October 31 , 2011 .   Jump up ^ England , Dan ( May 10 , 2011 ) . `` Greeley filmmaker 's Dungeons &amp; Dragons shout - out sets the Internet on fire '' . Greeley Tribune . McClatchy - Tribune Business News . access - date = requires url = ( help )   Jump up ^ Goodman , William . `` '' Roll a D6 '' is sweet music video for fantasy gamers `` . CBS . Retrieved July 17 , 2011 .   Jump up ^ Ewalt , David M. `` D&amp;D Parody Song `` Roll A D6 '' Scores A Critical Hit `` . Forbes . Retrieved July 17 , 2011 .   Jump up ^ `` '' LIKE A G6 '' - Far East Movement - `` LIKE JESUS '' Parody `` . YouTube . December 7 , 2010 . Retrieved 2011 - 09 - 01 .   Jump up ^ `` The full ' Lizard in a Blizzard ' saga '' .   Jump up ^ `` ARIA Top 50 Singles Chart '' . Australian Recording Industry Association . March 20 , 2011 . Archived from the original on September 17 , 2010 . Retrieved March 20 , 2011 .   Jump up ^ `` Austriancharts.at -- Far * East Movement feat . Cataracs &amp; Dev -- Like a G6 '' ( in German ) . Ö3 Austria Top 40 .   Jump up ^ `` Ultratop.be -- Far * East Movement feat . Cataracs &amp; Dev -- Like a G6 '' ( in Dutch ) . Ultratop 50 . Retrieved 2010 - 11 - 09 .   Jump up ^ `` Ultratop.be -- Far * East Movement feat . Cataracs &amp; Dev -- Like a G6 '' ( in French ) . Ultratop 50 . Retrieved 2010 - 11 - 12 .   Jump up ^ `` Brasil Hot 100 Airplay '' . Billboard Brasil ( Brasil : bpp ) ( 2 ) : 86 . Fevereiro de 2011 .   Jump up ^ `` Brasil Hot Pop &amp; Popular Songs '' . Billboard Brasil ( Brasil : bpp ) ( 2 ) : 86 . Fevereiro de 2011 .   Jump up ^ `` Far East Movement -- Chart history '' Canadian Hot 100 for Far East Movement . Retrieved 2010 - 09 - 16 .   Jump up ^ `` ČNS IFPI '' ( in Czech ) . Hitparáda -- Radio Top 100 Oficiální . IFPI Czech Republic . Note : insert 201049 into search .   Jump up ^ `` Danishcharts.com -- Far * East Movement feat . Cataracs &amp; Dev -- Like a G6 '' . Tracklisten . Retrieved 2010 - 11 - 09 .   Jump up ^ https://web.archive.org/web/20101118121836/http://www.billboard.com/ . Archived from the original on November 18 , 2010 . Retrieved November 18 , 2010 . Missing or empty title = ( help )   Jump up ^ `` IFPI - Far East Movement / Cataracs / Dev : Like a G6 '' .   Jump up ^ `` Classement des ventes de titres téléchargés en France du 15 novembre au 21 novembre 2010 '' ( in French ) . Chartsinfrance.net . Archived from the original on December 4 , 2010 . Retrieved 2010 - 11 - 26 .   Jump up ^ `` Musicline.de -- Far East Movement Single - Chartverfolgung '' ( in German ) . Media Control Charts . PhonoNet GmbH . Retrieved 2011 - 05 - 29 .   Jump up ^ `` Chart Track : Week 47 , 2010 '' . Irish Singles Chart .   Jump up ^ `` Nederlandse Top 40 -- Far * East Movement feat . Cataracs &amp; Dev search results '' ( in Dutch ) Dutch Top 40 .   Jump up ^ `` Charts.org.nz -- Far * East Movement feat . Cataracs &amp; Dev -- Like a G6 '' . Top 40 Singles . Retrieved 2010 - 11 - 09 .   Jump up ^ `` Dance Chart : : Listy bestsellerów , wyróżnienia : : Związek Producentów Audio - Video '' ( in Polish ) . ZPAV . January 1 , 2011 . Retrieved 2011 - 10 - 14 .   Jump up ^ `` Official Scottish Singles Sales Chart Top 100 '' . Official Charts Company .   Jump up ^ `` SNS IFPI '' ( in Slovak ) . Hitparáda -- Radio Top 100 Oficiálna . IFPI Czech Republic . Note : insert 201047 into search .   Jump up ^ `` GAON Music Charts '' . Gaonchart.co.kr . Retrieved 2010 - 10 - 24 .   Jump up ^ `` Swedishcharts.com -- Far * East Movement feat . Cataracs &amp; Dev -- Like a G6 '' . Singles Top 100 . Retrieved 2010 - 11 - 09 .   Jump up ^ `` Swisscharts.com -- Far * East Movement feat . Cataracs &amp; Dev -- Like a G6 '' . Swiss Singles Chart . Retrieved 2010 - 11 - 09 .   Jump up ^ `` Official R&amp;B Singles Chart Top 40 '' . Official Charts Company .   Jump up ^ `` Official Singles Chart Top 100 '' . Official Charts Company .   Jump up ^ `` Far East Movement -- Chart history '' Billboard Hot 100 for Far East Movement . Retrieved 2010 - 10 - 24 .   Jump up ^ `` Far East Movement -- Chart history '' Billboard Hot Dance Club Songs for Far East Movement . Retrieved 2010 - 09 - 16 .   Jump up ^ `` Far East Movement -- Chart history '' Billboard Hot R&amp;B / Hip - Hop Songs for Far East Movement .   Jump up ^ `` Far East Movement -- Chart history '' Billboard Hot Rap Songs for Far East Movement . Retrieved 2010 - 09 - 16 .   Jump up ^ `` Far East Movement -- Chart history '' Billboard Pop Songs for Far East Movement . Retrieved 2010 - 09 - 16 .   Jump up ^ `` Far East Movement -- Chart history '' Billboard Rhythmic Songs for Far East Movement . Retrieved 2010 - 09 - 16 .   Jump up ^ `` ARIA Charts -- Accreditations -- 2011 Singles '' . Australian Recording Industry Association .   Jump up ^ `` Ultratop − Goud en Platina -- 2011 '' . Ultratop . Hung Medien .   Jump up ^ THE FIELD id ( chart number ) MUST BE PROVIDED for NEW ZEALAND CERTIFICATION .   Jump up ^ `` Guld - och Platinacertifikat − År 2010 '' ( PDF ) ( in Swedish ) . IFPI Sweden .   Jump up ^ `` The Official Swiss Charts and Music Community : Awards ( Far East Movement feat . The Cataracs and Dev ; ' Like a G6 ' ) '' . IFPI Switzerland . Hung Medien .   Jump up ^ `` American single certifications -- Far East Movement feat . The Cataracs and Dev -- Like a G6 '' . Recording Industry Association of America . If necessary , click Advanced , then click Format , then select Single , then click SEARCH   Jump up ^ `` ARIA Charts -- End Of Year Charts -- Top 100 Singles 2010 '' . Australian Recording Industry Association . Retrieved 2011 - 01 - 08 .   Jump up ^ `` Charts Year End : Canadian Hot 100 '' . Billboard . Nielsen Business Media , Inc . Retrieved 2010 - 05 - 02 .   Jump up ^ `` dutchcharts.nl - Dutch charts portal '' . dutchcharts.nl ( in Dutch ) . Hung Medien / hitparade.ch . Retrieved 2011 - 01 - 03 .   Jump up ^ `` Best of 2010 : Hot 100 Songs '' . Billboard . Prometheus Global Media . 2010 . Retrieved 2010 - 12 - 09 .   Jump up ^ `` Best of 2011 : Hot 100 Songs '' . Billboard . Prometheus Global Media . 2011 . Retrieved 2011 - 12 - 09 .   Jump up ^ `` Like a G6 ( feat . The Cataracs &amp; Dev ) - Single by Far East Movement - Download Like a G6 ( feat . The Cataracs &amp; Dev ) - Single on iTunes '' . Itunes.apple.com . November 12 , 2010 . Retrieved 2010 - 12 - 20 .    External links ( edit )    Lyrics of this song at MetroLyrics              Far East Movement     Discography   Kev Nish   Prohgress   J - Splif   DJ Virman       Free Wired     `` Like a G6 ''   `` Rocketeer ''   `` 2gether ''   `` If I Was You ( OMG ) ''       Dirty Bass     `` Live My Life ''   `` Dirty Bass ''   `` Turn Up the Love ''   `` Change Your Life ''       Featured singles     `` Lights Out ( Go Crazy ) ''   `` Get Up ( Rattle ) ''       Other singles     `` Jello ''   `` The Illest ''       Related articles     Cherrytree Records   Interscope Records                 The Cataracs     Studio albums     Technohop Vol. 1   Technohop Vol. 2   The 13th Grade   Songs We Sung in Showers       Extended plays     Lingerie   Gordo Taqueria   Loud Xmas   Loud Science       Singles     `` Club Love ''   `` Top of the World ''   `` Sunrise ''   `` All You ''   `` Alcohol ''   `` Missed U 2 ''       Featured singles     `` Like a G6 ''   `` Bass Down Low ''   `` Backseat ''       Related articles     Universal Records   Dev   Far East Movement                 Dev       Discography   Awards and nominations       Studio albums     The Night the Sun Came Up   I Only See You When I 'm Dreamin '       Extended plays     Bittersweet July   Bittersweet July , Pt. 2       Singles     `` Bass Down Low ''   `` In the Dark ''   `` Naked ''   `` Kiss It ''   `` Honey Dip ''   `` Parade ''   `` Lowkey ''   `` # 1 ''       Featured singles     `` Like a G6 ''   `` Backseat ''   `` Top of the World ''   `` She Makes Me Wanna ''   `` Hey Hey Hey ( Pop Another Bottle ) ''   `` Hotter Than Fire ''   `` Sunrise ''   `` Turn The World On ''   `` Danse ''   `` Hey Ricky ''   `` Electric Walk ''   `` We Rock It ''       Promotional singles     `` Fireball ''   `` Booty Bounce ''   `` Lightspeed ''   `` Take Her from You ''   `` Me ''       Associated acts     The Cataracs   Far East Movement       Related articles     Universal Republic                 Mohombi     Discography     Studio albums     MoveMeant ( 2011 )   Universe ( 2014 )       Singles     `` Bumpy Ride ''   `` Miss Me ''   `` Dirty Situation ''   `` Coconut Tree ''   `` Maraca ''   `` In Your Head ''   `` Movin ' ''   `` Infinity ''       Featured singles     `` Sexy ''   `` Suave ( Kiss Me ) ''   `` I Need Your Love ''   `` Baddest Girl in Town ''   `` Balans ''   `` Let Me Love You ''       Related articles     Avalon   Trey Songz      Retrieved from `` https://en.wikipedia.org/w/index.php?title=Like_a_G6&amp;oldid=798638543 '' Categories :   2010 singles   Far East Movement songs   Dev ( singer ) songs   Billboard Hot 100 number - one singles   Number - one singles in New Zealand   UK R&amp;B Singles Chart number - one singles   Song recordings produced by The Cataracs   Cherrytree Records singles   2009 songs   Songs about alcohol   Songs written by David Singer - Vine   Songs written by Niles Hollowell - Dhar   Songs written by Dev ( singer )   Hidden categories :   Pages with URL errors   Pages using citations with accessdate and no URL   Pages with citations lacking titles   Pages with citations having bare URLs   CS1 French - language sources ( fr )   CS1 Polish - language sources ( pl )   Cite certification used with missing parameters   CS1 Swedish - language sources ( sv )   CS1 Dutch - language sources ( nl )   Use mdy dates from June 2013   Music infoboxes with deprecated parameters   Articles with hAudio microformats   Singlechart usages for Austria   Singlechart usages for Flanders   Singlechart usages for Wallonia   Singlechart usages for Billboardcanadianhot100   Singlechart called without song   Singlechart usages for Czech Republic   Singlechart called without artist   Singlechart usages for Denmark   Singlechart usages for Germany   Singlechart usages for Ireland   Singlechart usages for Dutch40   Singlechart usages for New Zealand   Singlechart usages for Scotland   Singlechart usages for Slovakia   Singlechart usages for Sweden   Singlechart usages for Switzerland   Singlechart usages for UKrandb   Singlechart usages for UK   Singlechart making named ref   Singlechart usages for Billboardhot100   Singlechart usages for Billboarddanceclubplay   Singlechart usages for Billboardrandbhiphop   Singlechart usages for Billboardrapsongs   Singlechart usages for Billboardpopsongs   Singlechart usages for Billboardrhythmic   Certification Table Entry usages for Australia   Certification Table Entry usages for Belgium   Certification Table Entry usages for New Zealand   Certification Table Entry usages for Sweden   Certification Table Entry usages for Switzerland   Certification Table Entry usages for United States           Talk                                           Contents                   About Wikipedia                                           Български   Čeština   Deutsch   Español   Français   </t>
    </r>
    <r>
      <rPr>
        <sz val="11"/>
        <color rgb="FF000000"/>
        <rFont val="Noto Sans CJK SC"/>
        <family val="2"/>
      </rPr>
      <t xml:space="preserve">한국어   </t>
    </r>
    <r>
      <rPr>
        <sz val="11"/>
        <color rgb="FF000000"/>
        <rFont val="Calibri"/>
        <family val="0"/>
        <charset val="1"/>
      </rPr>
      <t xml:space="preserve">Italiano   Nederlands   Polski   Português   Русский   Simple English   Suomi   Svenska   Tagalog   ไทย   Türkçe   Tiếng Việt   Edit links   This page was last edited on 3 September 2017 , at 01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</si>
  <si>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girl in far east movement like a g6</t>
  </si>
  <si>
    <t xml:space="preserve"> `` Like a G6 '' is a 2010 song written and performed by Far East Movement , The Cataracs , and Dev , with the latter two being credited as featured artists . It is the lead single from Far East Movement 's third studio album Free Wired , and production was handled by The Cataracs . For the chorus , Dev samples a verse from her own single `` Booty Bounce '' , which was also written and produced by the Cataracs . </t>
  </si>
  <si>
    <t xml:space="preserve">List of Caribbean countries by population - wikipedia  List of Caribbean countries by population  Jump to : navigation , search      It has been suggested that this article be merged with List of Caribbean islands by area . ( Discuss ) Proposed since May 2017 .     This list of Caribbean countries and dependent territories is sorted by the mid-year normalized demographic projections . Inland and island countries in the Caribbean region , even if technically not in the Caribbean Sea itself , are included . Some lists include Bermuda , which is located about 1,000 miles from any Caribbean island , and Belize . For related lists , see Caribbean - related below .   Contents  ( hide )   1 Table   2 See also   2.1 Caribbean - related   2.2 Other   2.2. 1 Countries by population   2.2. 2 Island countries       3 Notes      Table ( edit )     Rank   Country ( or dependent territory )   Abbr .   July 1 , 2017 projection   % of pop .   Average relative annual growth ( % )   Average absolute annual growth   Estimated doubling time ( Years )   Official figure ( where available )   Date of last figure   Source       Cuba   CU   11,252,000   26.48   0.25   28,000   278   11,238,317   December 31 , 2014   Official estimate       Haiti   HT   10,981,229   25.49   0.98   97,000   71   9,980,243   2015   Official estimate       Dominican Republic   DO   10,766,998   23.87   2.31   248,000   30   10,911,819   2015   Official estimate       Puerto Rico ( US )   PR   3,508,000   8.26   - 1.13   - 40,000   -   3,548,397   July 1 , 2014   Official estimate       Jamaica   JM   2,729,000   6.42   0.26   7,000   270   2,723,246   December 31 , 2014   Official estimate     6   Trinidad and Tobago   TT   1,357,000   3.19   0.52   7,000   134   1,349,667   2015   Official estimate     7   Guadeloupe ( France )   GP   405,000   0.95   0.25   1,000   280   403,314   January 1 , 2012   Official estimate     8   Martinique ( France )   MQ   383,000   0.90   - 0.52   - 2,000   -   388,364   January 1 , 2012   Official estimate     9   Bahamas   BS   379,000   0.89   1.34   5,000   52   369,670   2015   Official estimate     10   Barbados   BB   283,000   0.67   0.35   1,000   196   277,821   May 1 , 2010   2010 census result     11   Saint Lucia   LC   172,000   0.40   0.58   1,000   119   166,526   May 10 , 2010   Preliminary 2010 census result     12   Curaçao ( Kingdom of the Netherlands )   CW   157,000   0.37   0.64   1,000   108   154,843   January 1 , 2014   Official estimate     13   Aruba ( Kingdom of the Netherlands )   AW   110,000   0.26   1.85   2,000   38   109,517   2015   Official estimate     14   Saint Vincent and the Grenadines   VC   110,000   0.26   0.00   0   -   109,434   2014   Official estimate     15   United States Virgin Islands ( US )   VI   105,000   0.25   0.00   0   -   106,405   April 1 , 2010   2010 census result     16   Grenada   GD   104,000   0.24   0.00   0   -   103,328   May 12 , 2011   Preliminary 2011 census result     17   Antigua and Barbuda   AG   89,000   0.21   1.14   1,000   61   85,567   May 27 , 2011   Final 2011 census result     18   Dominica   DM   71,000   0.17   0.00   0   -   71,293   May 14 , 2011   Preliminary 2011 census result     19   Cayman Islands ( UK )   KY   59,000   0.14   3.51   2,000   20   58,238   December 31 , 2014   Official estimate     20   Saint Kitts and Nevis   KN   46,000   0.11   0.00   0   -   46,204   May 15 , 2011   2011 census result     21   Sint Maarten ( Kingdom of the Netherlands )   SX   39,000   0.09   2.63   1,000   27   37,224   February 1 , 2014   Official estimate     22   Turks and Caicos Islands ( UK )   TC   37,000   0.09   5.71   2,000   12   31,618   January 25 , 2012   Preliminary 2012 census result     23   Saint Martin ( France )   MF   36,000   0.08   0.00   0   -   35,742   January 1 , 2012   Official estimate     24   British Virgin Islands ( UK )   VG   31,000   0.07   3.33   1,000   21   28,054   July 12 , 2010   2010 census result     25   Caribbean Netherlands ( Kingdom of the Netherlands )   AN   26,000   0.06   4.00   1,000   18   24,593   January 1 , 2015   Official estimate     26   Anguilla ( UK )   AI   14,000   0.03   0.00   0   -   13,037   May 11 , 2011   Final 2011 census result     27   Saint Barthélemy ( France )   BL   10,000   0.02   0.00   0   -   9,131   January 1 , 2012   Official estimate     28   Montserrat ( UK )   MS   5,000   0.01   0.00   0   -   4,922   May 12 , 2011   2011 census result       Total     42,491,000   100.00   0.86   364,000   81       CFTO to I tumultuous   See also ( edit )   Caribbean - related ( edit )    List of Caribbean islands by area   List of Caribbean islands by political affiliation   List of metropolitan areas in the West Indies   List of West Indian First - level Subdivisions    Other ( edit )  Countries by population ( edit )   List of countries by population   List of African countries by population   List of countries in the Americas by population   List of Arab countries by population   List of Asian countries by population   List of Eurasian countries by population   List of European countries by population   List of European Union member states by population   List of Latin American countries by population   List of member states of the Commonwealth of Nations by population   List of Middle East countries by population   List of North American countries by population   List of Oceanian countries by population   List of South American countries by population   List of countries by past and future population   List of countries by past population ( United Nations )   List of countries by population in 2000   List of countries by population in 2010   Island countries ( edit )   List of island countries   List of sovereign states and dependent territories in Oceania   List of sovereign states and dependent territories in the Indian Ocean    Notes ( edit )    Jump up ^ Calculated , when available , from the latest national censuses or most recent official estimates ( many of which are cited in their respective column ) , using the exponential formula shown on the List of countries by past and future population article . This is done to normalize the different populations to a unique date , so that they are really comparable .   Jump up ^ It corresponds to the following formula : projection / projection x100 - 100 .   Jump up ^ It corresponds to the calculation : projection * annual_growth / 100 .   Jump up ^ It corresponds to the formula : LN ( 2 ) / LN ( growth / 100 + 1 ) , which produces exactly the same result as LOG ( 2 ) / LOG ( growth / 100 + 1 ) .   Jump up ^ Commonwealth of the United States since July 26 , 1952 .              Caribbean articles     History      Timeline     Taíno -- Arawak   Spanish Caribbean ( 1492 -- 1898 )   Dutch Caribbean ( 1554 -- 1863 )   British Caribbean ( 1586 -- 1834 )   French Caribbean ( 1625 -- 1817 )   Baltic - German Caribbean ( 1654 - 1689 )   Danish Caribbean ( 1672 -- 1917 )   German Caribbean ( 1685 - 1693 )   Swedish Caribbean ( 1784 -- 1878 )       By topic     Afro - Caribbean   Territorial evolution          Geography         Regions     Antilles   Greater Antilles   Lesser Antilles   Leeward   Leeward Antilles   Windward       Caribbean Basin   Caribbean Lowlands   Caribbean Plate   Caribbean Sea   Caribbean South America   Southern Caribbean       By topic     Bioregion   Earthquakes   Extreme points   Islands   by area     Metropolitan areas   Mountains   Rivers   Ultras   sovereign states   dependent territories             Politics        African - Caribbean leftism   Caribbean Community   CARIFORUM   Organisation of Eastern Caribbean States   Sovereign states and dependent territories   Western Caribbean Zone          Economy        Airlines   Airports   Central banks and currencies   Citrus   Fishing   Stock exchanges   Eastern Caribbean Securities Exchange     Sugar   in Cuba   in the Danish West Indies     Telecommunications   Tourism          Culture        Afro - Caribbean   Art   Beer   Cuisine   Literature   Music   People   Sport   Stadiums   Television stations       Demographics        Immigration   Languages   Pre-Arawakan     Population   Diseases   Religion                 Portal      Retrieved from `` https://en.wikipedia.org/w/index.php?title=List_of_Caribbean_countries_by_population&amp;oldid=814459903 '' Categories :   Caribbean society   Countries in the Caribbean   Demographics of the Caribbean   Demographics of North America   Lists of countries by large sub or trans - continental region , by population   Lists of countries in the Americas   Lists of countries by population   Hidden categories :   Articles to be merged from May 2017   All articles to be merged           Talk                                           Contents                   About Wikipedia                                        Languages    বাংলা   Български   ქართული   Latviešu   پنجابی   Русский   Українська   اردو   Edit links   This page was last edited on 8 December 2017 , at 23 : 19 .         About Wikipedia                    </t>
  </si>
  <si>
    <t xml:space="preserve">what is the smallest country in the caribbean</t>
  </si>
  <si>
    <t xml:space="preserve">   Rank   Country ( or dependent territory )   Abbr .   July 1 , 2017 projection   % of pop .   Average relative annual growth ( % )   Average absolute annual growth   Estimated doubling time ( Years )   Official figure ( where available )   Date of last figure   Source       Cuba   CU   11,252,000   26.48   0.25   28,000   278   11,238,317   December 31 , 2014   Official estimate       Haiti   HT   10,981,229   25.49   0.98   97,000   71   9,980,243   2015   Official estimate       Dominican Republic   DO   10,766,998   23.87   2.31   248,000   30   10,911,819   2015   Official estimate       Puerto Rico ( US )   PR   3,508,000   8.26   - 1.13   - 40,000   -   3,548,397   July 1 , 2014   Official estimate       Jamaica   JM   2,729,000   6.42   0.26   7,000   270   2,723,246   December 31 , 2014   Official estimate     6   Trinidad and Tobago   TT   1,357,000   3.19   0.52   7,000   134   1,349,667   2015   Official estimate     7   Guadeloupe ( France )   GP   405,000   0.95   0.25   1,000   280   403,314   January 1 , 2012   Official estimate     8   Martinique ( France )   MQ   383,000   0.90   - 0.52   - 2,000   -   388,364   January 1 , 2012   Official estimate     9   Bahamas   BS   379,000   0.89   1.34   5,000   52   369,670   2015   Official estimate     10   Barbados   BB   283,000   0.67   0.35   1,000   196   277,821   May 1 , 2010   2010 census result     11   Saint Lucia   LC   172,000   0.40   0.58   1,000   119   166,526   May 10 , 2010   Preliminary 2010 census result     12   Curaçao ( Kingdom of the Netherlands )   CW   157,000   0.37   0.64   1,000   108   154,843   January 1 , 2014   Official estimate     13   Aruba ( Kingdom of the Netherlands )   AW   110,000   0.26   1.85   2,000   38   109,517   2015   Official estimate     14   Saint Vincent and the Grenadines   VC   110,000   0.26   0.00   0   -   109,434   2014   Official estimate     15   United States Virgin Islands ( US )   VI   105,000   0.25   0.00   0   -   106,405   April 1 , 2010   2010 census result     16   Grenada   GD   104,000   0.24   0.00   0   -   103,328   May 12 , 2011   Preliminary 2011 census result     17   Antigua and Barbuda   AG   89,000   0.21   1.14   1,000   61   85,567   May 27 , 2011   Final 2011 census result     18   Dominica   DM   71,000   0.17   0.00   0   -   71,293   May 14 , 2011   Preliminary 2011 census result     19   Cayman Islands ( UK )   KY   59,000   0.14   3.51   2,000   20   58,238   December 31 , 2014   Official estimate     20   Saint Kitts and Nevis   KN   46,000   0.11   0.00   0   -   46,204   May 15 , 2011   2011 census result     21   Sint Maarten ( Kingdom of the Netherlands )   SX   39,000   0.09   2.63   1,000   27   37,224   February 1 , 2014   Official estimate     22   Turks and Caicos Islands ( UK )   TC   37,000   0.09   5.71   2,000   12   31,618   January 25 , 2012   Preliminary 2012 census result     23   Saint Martin ( France )   MF   36,000   0.08   0.00   0   -   35,742   January 1 , 2012   Official estimate     24   British Virgin Islands ( UK )   VG   31,000   0.07   3.33   1,000   21   28,054   July 12 , 2010   2010 census result     25   Caribbean Netherlands ( Kingdom of the Netherlands )   AN   26,000   0.06   4.00   1,000   18   24,593   January 1 , 2015   Official estimate     26   Anguilla ( UK )   AI   14,000   0.03   0.00   0   -   13,037   May 11 , 2011   Final 2011 census result     27   Saint Barthélemy ( France )   BL   10,000   0.02   0.00   0   -   9,131   January 1 , 2012   Official estimate     28   Montserrat ( UK )   MS   5,000   0.01   0.00   0   -   4,922   May 12 , 2011   2011 census result       Total     42,491,000   100.00   0.86   364,000   81     </t>
  </si>
  <si>
    <t xml:space="preserve">Gil McKinney - Wikipedia  Gil McKinney       The topic of this article may not meet Wikipedia 's notability guideline for biographies . Please help to establish notability by citing reliable secondary sources that are independent of the topic and provide significant coverage of it beyond a mere trivial mention . If notability can not be established , the article is likely to be merged , redirected , or deleted . Find sources : `` Gil McKinney '' -- news newspapers books scholar JSTOR ( January 2014 ) ( Learn how and when to remove this template message )       Gil McKinney     McKinney at Chicon 2014       ( 1979 - 02 - 05 ) February 5 , 1979 ( age 39 ) Houston , Texas , United States     Years active   2003 -- present     Mark Gilbert McKinney , known professionally as Gil McKinney , ( born February 5 , 1979 ) is an American film and television actor . He is best known for playing Dr. Paul Grady on ER , Derek Bishop on Friday Night Lights , and Prince Eric in Once Upon a Time , and for being the voice and face ( via MotionScan ) of Jack Kelso in the video game L.A. Noire . Gil also appeared in Supernatural as Henry Winchester .   Contents    1 Filmography   1.1 Film   1.2 Television   1.3 Video Game     2 References   3 External links    Filmography ( edit )   Film ( edit )     Year   Title   Role     2003   Jeepers Creepers 2   Team member     2009   The Grudge 3   Max Morrison     2012   Hitchcock   Reporter # 2     2014   Behaving Badly   Officer Joe Tackett     Television ( edit )     Year   Title   Role   Notes     2007 -- 2009   ER   Dr. Paul Grady   23 episodes     2008   CSI : Crime Scene Investigation   Martin Davlin   1 episode     2010 -- 2011   Friday Night Lights   Derek Bishop   6 episodes       The Mentalist   Sean Meyers   1 episode     2011   Drop Dead Diva   Ben Logan   1 episode     2012   Grey 's Anatomy   Chris   1 episode     2012   Major Crimes   Tom Ross   1 episode ' Medical Causes '     2013 -- 2014   Supernatural   Henry Winchester   2 episodes     2013 -- 2017   Once Upon a Time   Prince Eric   4 episodes     Video Game ( edit )     Year   Title   Role   Notes     2011   L.A. Noire   Jack Kelso   Also motion capture     References ( edit )      Jump up ^ Prudom , Laura ( 30 November 2012 ) . `` ' Supernatural ' : Gil McKinney Cast In Important Season 8 Role '' . Huffington Post . Retrieved 25 January 2014 .   Jump up ^ Gelman , Vlada ( September 3 , 2013 ) . `` Once Upon a Time Exclusive : Supernatural Patriarch Cast as Ariel 's Prince '' . TV Line .   Jump up ^ `` ' Once Upon a Time ' Season 3 Cast -- Gil McKinney as Prince Eric TVLine '' . TVLine .   Jump up ^ `` ' Once Upon A Time ' : Gil McKinney Is Prince Eric -- Season 3 Spoiler - Hollywood Life '' . Hollywood Life .   Jump up ^ `` Once Upon a Time : Gil McKinney Becomes Part of Their World as Eric '' . Leaky News .   Jump up ^ `` ' Supernatural ' : Gil McKinney Cast In Important Season 8 Role ( EXCLUSIVE ) '' . The Huffington Post .   Jump up ^ `` Supernatural Casting News : Gil McKinney to Portray Grandpa Winchester '' . Dread Central .    External links ( edit )    Gil McKinney on IMDb   Retrieved from `` https://en.wikipedia.org/w/index.php?title=Gil_McKinney&amp;oldid=853869573 '' Categories :   1979 births   Living people   American male film actors   American male television actors   21st - century American male actors   Hidden categories :   Articles with topics of unclear notability from January 2014   All articles with topics of unclear notability   Biography articles with topics of unclear notability   Articles with hCards   All articles with unsourced statements   Articles with unsourced statements from January 2014           Talk                                           Contents                   About Wikipedia                                           Afrikaans     تۆرکجه   Español   فارسی   Français   Nederlands   Edit links   This page was last edited on 7 August 2018 , at 13 : 33 ( UTC ) .         About Wikipedia                    </t>
  </si>
  <si>
    <t xml:space="preserve">who plays eric on once upon a time</t>
  </si>
  <si>
    <t xml:space="preserve"> Mark Gilbert McKinney , known professionally as Gil McKinney , ( born February 5 , 1979 ) is an American film and television actor . He is best known for playing Dr. Paul Grady on ER , Derek Bishop on Friday Night Lights , and Prince Eric in Once Upon a Time , and for being the voice and face ( via MotionScan ) of Jack Kelso in the video game L.A. Noire . Gil also appeared in Supernatural as Henry Winchester . </t>
  </si>
  <si>
    <t xml:space="preserve">Rupert Grint - wikipedia  Rupert Grint  This is the latest accepted revision , reviewed on 11 September 2017 . Jump to : navigation , search    Rupert Grint     Rupert Grint in March 2012       Rupert Alexander Lloyd Grint ( 1988 - 08 - 24 ) 24 August 1988 ( age 29 ) Harlow , Essex , England     Occupation   Actor , producer     Years active   2000 -- present     Notable work   Harry Potter film series     Rupert Alexander Lloyd Grint ( born 24 August 1988 ) is an English actor and producer . He rose to prominence playing Ron Weasley , one of the three main characters in the Harry Potter film series . Grint was cast as Ron at the age of 11 , having previously acted only in school plays and at his local theatre group . From 2001 to 2011 , he starred in all eight Harry Potter films alongside Daniel Radcliffe playing as Harry Potter and Emma Watson playing as Hermione Granger .   Beginning in 2002 , Grint began to work outside of the Harry Potter franchise , playing a co-leading role in Thunderpants . He has had starring roles in Driving Lessons , a dramedy released in 2006 , and Cherrybomb , a drama film of limited release in 2010 . Grint co-starred with Bill Nighy and Emily Blunt in Wild Target , a comedy . His first film project following the end of the Harry Potter series was the 2012 anti-war film , Into the White , in which he has a supporting role . In 2013 , Grint 's new film CBGB was released and he was cast in CBS 's new show Super Clyde . Grint made his stage debut in Jez Butterworth 's Mojo in October 2013 at the Harold Pinter Theatre in London . In 2014 he voiced the character of Josh in Postman Pat : The Movie , and in 2017 , he starred in and was executive producer of the television series Snatch , based on the film of the same name .     Contents  ( hide )   1 Early life   2 Career   2.1 Harry Potter ( 2001 -- 11 )   2.2 Other work ( 2002 -- present )     3 Personal life   4 Filmography   4.1 Film   4.2 Television   4.3 Theatre   4.4 Music   4.5 Other roles     5 Awards and nominations   6 See also   7 References   8 External links      Early life ( edit )   Grint was born in Harlow , Essex , England , to Nigel Grint ( b . 1963 ) , a dealer in racing memorabilia , and Joanne Grint ( née Parsons ; b . 1967 ) . Grint is the eldest of five siblings , the others being James ( b . 1990 ) , Georgina ( b . 1993 ) , Samantha and Charlotte . He has stated that his earliest goal in life was to become an ice cream man . He attended Richard Hale School , in Hertford .   While in school , Grint took an avid interest in theatre . He started performing in school productions and joined the Top Hat Stage and Screen School , a local theatre group that cast him as a fish in Noah 's Ark and a donkey in another nativity play . He continued performing in school plays as he moved into secondary school . However , Grint had never acted professionally before the Harry Potter series .   At the age of 16 , he left school to focus on his acting career . `` I did n't really like school that much , '' he later commented .   Career ( edit )   Harry Potter ( 2001 -- 11 ) ( edit )  Grint outside at the 2007 premiere of Harry Potter and the Order of the Phoenix in Toronto , Ontario , Canada Handprints , footprints and wand prints of ( from left to right ) Watson , Radcliffe , Grint  Starting in 2000 , casting began for the film adaptation of Harry Potter and the Philosopher 's Stone , the best - selling novel written by author J.K. Rowling . Rowling personally insisted that the cast be British and assisted Susie Figgis and director Chris Columbus in casting the roles . Grint chose to audition for the role of protagonist Ron Weasley , one of Harry Potter 's best friends at Hogwarts , and was a fan of the book series . Having seen a Newsround report about the open casting , he sent in a video of himself rapping about how he wished to receive the role . His attempt was successful as the casting team asked for a meeting with him . On 8 August 2000 , Daniel Radcliffe , Emma Watson , and an 11 - year - old Grint were selected to play the roles of Harry , Hermione Granger , and Ron , respectively . Grint is the oldest member of the trio . The release of Harry Potter and the Philosopher 's Stone in 2001 was Grint 's debut screen performance . Breaking records for opening - day sales and opening - weekend takings , it was the highest - grossing film of that year . With a total of US $974 million in its theatrical run , Philosopher 's Stone stands as the second most commercially successful entry in the series . It was also critically well - received , scoring mainly positive reviews from critics . However , a number of critics found the adaption staying faithful to the book to be both its best and worst quality . Grint won a Satellite Award in the category of `` Outstanding New Talent '' , and a Young Artist Award for `` Most Promising Young Newcomer '' .   A year later , Grint again starred as Ron in Harry Potter and the Chamber of Secrets ( 2002 ) , the second installment of the series . The film opened to positive reviews and critics generally enjoyed the lead actors ' performances . Both Los Angeles Times and New York Magazine observed that Grint and his peers had matured between films , with the latter pointing out that Grint had become `` more proficient '' and said they missed `` the amateurish ardour '' the actor and Watson carried in Philosopher 's Stone . Harry Potter and the Prisoner of Azkaban ( 2004 ) was released on 31 May in the UK . The film sees all three of its lead characters hover on the brink of adolescence , `` and while they look braver and more capable than before , the dangers they face seem far more grave and their own vulnerability more intense . '' Academy Award - nominee Alfonso Cuarón took over direction for Prisoner of Azkaban which remains the lowest - grossing Harry Potter film with US $795 million in revenue . Nonetheless it was the second highest - grossing movie of 2004 behind Shrek 2 . Despite this it remains the second highest rated in the series in terms of critical reaction .  Grint signing autographs at the 2009 premiere of Harry Potter and the Half - Blood Prince  In 2005 , Grint reprised his role again for the fourth film in the series -- Harry Potter and the Goblet of Fire . The adaptation , unlike previous films , explored romantic elements and included more humour . In a 2005 interview with IGN , all three lead actors singled out the humour as being a reason for the film 's success . This project was directed by Mike Newell . According to the actor , the director was `` really loud and not afraid to swear at you , but he was really cool . '' Goblet of Fire stands as one of the best reviewed instalments within the series , and is noted for the maturity and sophistication of its characters , darker and more complex plotline , writing and performances of the lead actors . Harry Potter and the Order of the Phoenix , the fifth film in the Harry Potter franchise , was released to cinemas in 2007 . A huge financial success , Order of the Phoenix set a record worldwide opening - weekend gross of US $394 million , superseding Spider - Man 3 as the title holder . This entry was directed by a new filmmaker , David Yates , who would continue to direct all of the following movies . Grint said the laid back director was `` really good '' and helped keep the material fresh . As the fame of the actor and the series continued , Grint and fellow Harry Potter cast members left imprints of their hands , feet and wands in front of Grauman 's Chinese Theater in Hollywood .   On 15 July 2009 , the series 's sixth instalment , Harry Potter and the Half - Blood Prince , was released . It did considerably better financially than the previous film , again setting new box office records . In its total theatrical run , Half - Blood Prince totalled in US $933 million ticket sales . Also , Half - Blood Prince remains one of the most positively reviewed entries within the series among film critics , who praised the film 's `` emotionally satisfying '' story , direction , cinematography , visuals and music . Grint observed a change in Ron in this entry , pointing out that his once insecure , often overshadowed character started to become more secure and even began to show a dark side of himself . The actor found it fun to personify a more emotional Ron . Between 2009 and 2010 , his work received three nominations , including one win -- an Otto Award from the German magazine Bravo .  Radcliffe , Watson and Grint at the Deathly Hallows -- Part 2 premiere in London , July 2011  Despite the success of the past films , the future of the franchise was put into question as all three lead actors were unsure about signing on to continue their roles for the final two films . However , by March 2007 , Grint agreed to return for the last instalments . For financial and scripting reasons , the last book was divided into two films which were shot back to back , with filming concluding in June 2010 . After completing the final film he said : `` I mean it literally has been my childhood and suddenly it all came down to really just one random scene , with us jumping through a fireplace , and then it was over . ( ... ) But because you shoot out of sequence , it 's often just ' Turn left , cross the room , okay , that 's a wrap . ' And you 're done . ( ... ) Yeah , it 's very odd . Because suddenly it was all over , just like that . It was really emotional for all of us , realising that we 're never going to be doing this again .  Grint at the film premiere of Harry Potter and The Deathly Hallows -- Part 1 at the Alice Tully Center in New York City on 15 November 2010  Harry Potter and the Deathly Hallows -- Part 1 ( 2010 ) was released in November and made over US $950 million . It set several box office records and opened to mostly favourable reviews in the media . His portrayal of Ron again earned him critical praise . Reviewing the adaption in Slate , Dana Stevens called all three of the leads `` terrific . '' Despite giving Deathly Hallows -- Part 1 a negative rating , Joe Morgenstern of The Wall Street Journal publication stated `` Grint has grown up to be a skilful actor who knows the value of a slow burn '' . New York Post writer Lou Lumenick , however , observed that both Grint and Radcliffe had grown weary of playing the same characters and expressed it in their performances . Grint 's performance scored him nominations from the MTV Movie Awards and National Movie Awards for Best Fight and Performance of the Year in 2011 . Grint reprised his role for the eighth time , in Harry Potter and the Deathly Hallows -- Part 2 , the last Harry Potter instalment . This film picked - up from where the previous film left - off and included a lot of action , whereas the first part had focused more on character development . Rupert , along with the film , was critically acclaimed : Ann Hornaday of The Washington Post asked , `` Who could have predicted that Radcliffe , Grint and Watson would turn out to be good actors ? '' . The film broke several box office records , including biggest midnight release , biggest first - day opening , and biggest opening - weekend . Deathly Hallows -- Part 2 got up to the 4th highest - grossing film of all time , and is the second highest - grossing non-James Cameron film with more than US $1.3 billion worldwide ( behind The Avengers ) .   Harry Potter 's author J.K. Rowling gave a speech during the final , world premiere of Harry Potter and the Deathly Hallows -- Part 2 on 7 July 2011 in London , England . She announced that there are seven Harry Potter film series cast members , to whom she refers as `` The Big Seven , '' and she named Grint as one of the seven members , alongside Daniel Radcliffe , Emma Watson , Tom Felton , Matthew Lewis , Evanna Lynch and Bonnie Wright .   Other work ( 2002 -- present ) ( edit )   In 2002 , Grint starred in his first non-Harry Potter film , Thunderpants , which revolves around Patrick ( played by Bruce Cook ) whose remarkable capacity for flatulence scores him a job as an astronaut . In this film , Grint portrayed the co-lead role of Alan , an anosmic boy who is Patrick 's only friend . It was generally ignored by critics and audiences alike . Most of the critics that did take notice of Thunderpants did not respond well to it , with one writing : `` This film should be shown in prisons so that inmates have a good reason to never return . '' Another film he appeared in was Driving Lessons , a comedy - drama released in 2006 , where he starred opposite Julie Walters . The film was met with a mixed reception by critics , but his portrayal of an oppressed teenaged boy was generally praised . `` Grint , on the other hand , is a revelation '' , who `` displays an innate naturalness mixed with personal charisma that turn a potentially pathetic Christian freak into a humorous , thoroughly likable -- if more than a little awkward -- young man '' , wrote Alt Film Guide 's Andre Soares .   In July 2008 , it was announced that Grint would star in the drama film Cherrybomb with Robert Sheehan and Kimberley Nixon . Grint found shooting this film very different from the Harry Potter films since he had to adjust to doing a dozen scenes per day . Grint 's character -- Malachy , a worker at Belfast -- goes to great lengths to impress his boss 's daughter , with whom he is infatuated . This film , like his next project , would involve him playing violent roles . Despite premiering at the 2009 Berlin International Film Festival , the film was initially unable to find a distributor . An online campaign by Grint 's fans was credited with helping to secure a deal for distribution in the UK in 2010 .   Jonathan Lynn directed Grint in Wild Target , a 2010 comedy thriller film , which he starred in alongside Emily Blunt and Bill Nighy . A remake of the 1993 French film Cible Emouvante , Wild Target was made on a relatively small production budget of US $8 million . However , it was a commercial failure , only earning back US $3.4 million . It also garnered mostly negative reviews in the media , which criticised it for dishonouring the original film and wasting the comedic potential of its cast , but Grint also attracted some positive notice : `` It 's nice to see Rupert Grint perform well in a role other than that of Ron Weasley , and it 's clear that he 's got a career ahead of him . ''   In January 2011 , Grint made a cameo appearance in BBC popular comedy show Come Fly with Me starring comedy duo Matt Lucas and David Walliams ( Little Britain ) . In March 2011 , Grint was cast as the lead character in the small - budget anti-war Norwegian film Into the White , which was directed by Petter Næss . Principal photography started in April , and the project , which was shot on location , was released in 2012 . Into the White is based on a real incident that took place on 27 April 1940 , when German Luftwaffe pilot Horst Schopis 's bomber was shot down at Grotli by a Royal Navy Fleet Air Arm Blackburn Skua , which then crash - landed . The several German and British crew members found shelter by chance during a harsh winter there .  Grint at the US premiere of Harry Potter and the Deathly Hallows -- Part 2 in July 2011  In August 2011 , Grint did a photo shoot with his friend and Harry Potter co-star Tom Felton in Los Angeles for the autumn / winter collection of the fashion label Band of Outsiders . In September 2011 , it was announced that Grint would voice a character in the film adaptation of Postman Pat along with David Tennant , Stephen Mangan and Jim Broadbent ; the film was released in May 2014 . Grint also appears in the music video for Ed Sheeran 's song `` Lego House '' ; the video was released on 20 October 2011 .   In March 2012 , the `` Visit Britain '' TV ad was released , which features Grint alongside Julie Walters , Michelle Dockery and Stephen Fry . The TV ad promotes holidaying at home in the UK .   On 14 March 2012 , Variety reported that Grint had been cast alongside Chloë Grace Moretz in The Drummer , a biopic film about drummer Dennis Wilson of the Beach Boys . On the same day , The Hollywood Reporter confirmed this and announced filming was scheduled to begin on 15 June 2012 in California and Savannah , Georgia   On 25 July 2012 , Grint carried the 2012 London Olympic torch during the Olympic Torch Relay , which is part of 2012 Summer Olympic Games in London . In interviews , Rupert told the BBC News that it was an `` overwhelming '' experience that he hoped to remember forever , and told The Daily Telegraph `` It was amazing , it was really overwhelming . It 's just such an honour to be a part of this . I 'm really proud '' .   In October 2012 , Grint narrated We Are Aliens , a 25min 3D Planetarium Fulldome film about the possibility of other intelligent life in our Universe .   On 13 February 2013 , The Hollywood Reporter 's Live Feed announced that Grint would star in a television show on CBS called Super Clyde . `` Grint will play the title role of Clyde , the well - meaning and sweet yet slightly neurotic guy who never feels like he really fits in . The avid comic book reader considers himself a borderline agoraphobic with mild to severe anxiety issues who wishes he were a super hero himself . When Clyde inherits a $100,000 a month inheritance from his long - dead eccentric Uncle Bill , he decides that the cash will be his secret super power and will use it only for good and reward the good - hearted . ''   In July 2013 , it was confirmed that Grint will be making his stage debut in Jez Butterworth 's second run of his black comedy , Mojo , playing the role as a minor hood called Sweets who pops amphetamines like Smarties and does a sort of double act , full of comic menace . Grint will be starring alongside actors Brendan Coyle , Ben Whishaw and Daniel Mays . The play is based on real - life events and ran from 26 October 2013 until 8 February 2014 at the Harold Pinter Theatre in London . He won the WhatsOnStage Award for Best London Newcomer for his role in this play .   In September 2013 , The Hollywood Reporter confirmed that in an adaptation of Macbeth called Enemy of Man , Grint will be starring with Sean Bean , Charles Dance , Jason Flemyng , James D'Arcy , Neil Maskell and Joe Gilgun , directed by Vincent Regan . The filming production began in January 2014 in the United Kingdom .   In June 2014 , it was announced that Grint would make his Broadway debut as Frank Finger in the play It 's Only a Play at the Gerald Schoenfeld Theatre , appearing alongside Matthew Broderick , Nathan Lane , Stockard Channing , and Megan Mullally . Grint 's first performance was on 28 August 2014 and his last performance was on 4 January 2015 .   Personal life ( edit )   Grint is involved with charity , having donated items such as clothes to charity auctions , as well as participating in the Wacky Rally in 2010 with James and Oliver Phelps , which raised money for Britain 's Royal National Lifeboat Institution . He was one of more than forty participants to produce designs for Chrysalis Collection for Keech Hospice Care in London . His piece , a painted butterfly , was auctioned on eBay.com in March 2010 .   In May 2011 , along with other celebrities , Grint took part in the ad campaign for `` Make Mine Milk '' to promote daily milk drinking . His ads can be seen on thousands of bus sides and posters across the United Kingdom . Grint supports Little Star Award since 2011 in support of Cancer Research UK , joining Leona Lewis among others . `` I think that it 's wonderful that Cancer Research UK is helping to bring a little bit of magic to the children 's lives in this way , '' said Grint .   Grint is private about his personal life , but was confirmed to be in a relationship in October 2014 .   Filmography ( edit )   Film ( edit )   Key     Denotes films that have not yet been released       Year   Title   Role   Director ( s )       Harry Potter and the Philosopher 's Stone   Ron Weasley   Chris Columbus     2002   Harry Potter and the Chamber of Secrets     Thunderpants   Alan A. Allen   Peter Hewitt       Harry Potter and the Prisoner of Azkaban   Ron Weasley   Alfonso Cuarón     2005   Harry Potter and the Goblet of Fire   Mike Newell     2006   Driving Lessons   Ben Marshall   Jeremy Brock     2007   Harry Potter and the Order of the Phoenix   Ron Weasley   David Yates     2009   Harry Potter and the Half - Blood Prince       Cherrybomb   Malachy McKinney   Glenn Leyburn &amp; Lisa Barros D'Sa     Wild Target   Tony   Jonathan Lynn     Harry Potter and the Deathly Hallows -- Part 1   Ron Weasley   David Yates     2011   Harry Potter and the Deathly Hallows -- Part 2     2012   Cross of Honour   Gunner Robert Smith   Petter Næss     2013   The Necessary Death of Charlie Countryman   Karl   Fredrik Bond     CBGB   Cheetah Chrome   Randall Miller     The Unbeatables   Amadeo ( voice )   Juan José Campanella     2014   Postman Pat : The Movie   Josh ( voice )   Mike Disa     2015   Moonwalkers   Jonny   Antoine Bardou - Jacquet     Television ( edit )     Year   Title   Role   Notes     2005   Happy Birthday , Peter Pan   Peter Pan ( voice )   TV documentary special       Come Fly with Me   Himself   BBC One mockumentary television comedy series , one episode     2012   American Dad !   Liam ( voice )   `` Killer Vacation ''     2012   Top Gear   Himself   As the star in the reasonably priced car     2013   Super Clyde   Clyde   Pilot ( CBS Released Online )     2016   Tracey Ullman 's Show   Himself   1 episode     2016   The Artist   August `` Gustl '' Kubizek   Mini-Series ( Sky Arts )     2017   Sick Note   Daniel Glass   Series ( Sky Atlantic )     2017   Snatch   Charlie Cavendish   Series ( Sony Pictures Television )     2017   Urban Myths   August Kubizek ( Adolf 's Roommate )   `` Adolf the Artist '' ( Episode )     TBA   Imperial City   TBA ( main role )   Pre-production     Theatre ( edit )     Year   Title   Role   Notes     2013   Mojo   Sweets   Stage production at the Harold Pinter Theatre , London     2014   It 's Only a Play   Frank Finger   Stage production at the Gerald Schoenfeld Theatre , Broadway     Music ( edit )     Year   Title   Format   Notes     2011   `` Lego House ''   Music Video   Song by English singer - songwriter Ed Sheeran     2012   `` Over the Rainbow ''   Song   Into the White Soundtrack     2014   `` Struck by Lightning ''   Song   Postman Pat : The Movie Soundtrack     Other roles ( edit )     Year   Title   Role   Notes     2003   Baggy Trousers   Molesworth   Series , BBC Radio 4     2012   We Are Aliens   Narrator   The National Space Centre 's Show     Awards and nominations ( edit )     Year   Award     Film   Result     2002   Satellite Award   Outstanding New Talent   Harry Potter and the Philosopher 's Stone   Won     Young Artist Award   Most Promising Young Newcomer   Won     Best Ensemble in a Feature Film ( Shared with Emma Watson and Tom Felton )   Nominated     2006   2006 MTV Movie Awards   Best On - Screen Team ( shared with Daniel Radcliffe and Emma Watson )   Harry Potter and the Goblet of Fire   Nominated     2007   National Movie Award   Best Performance by a Male   Harry Potter and the Order of the Phoenix   Nominated     2009   Portrait Choice Award   Best Male Movie Performance   Harry Potter and the Half - Blood Prince   Nominated     2009 Scream Awards   Best Supporting Actor   Nominated     Best Ensemble   Won       BBC Radio 1 Teen Awards   Best British Actor   Nominated     Otto Award   Movie Star   Won     36th People 's Choice Awards   Favorite On - Screen Team   Nominated     2011   National Movie Awards   Performance of the Year   Harry Potter and the Deathly Hallows -- Part 1   Nominated     2011 MTV Movie Awards   Best Fight ( Shared with Daniel Radcliffe , Emma Watson , Arben Bajraktaraj and Rod Hunt )   Nominated     2011 Scream Awards   Best Supporting Actor   Nominated     BBC Radio 1 Teen Awards   Best British Actor   Harry Potter and the Deathly Hallows -- Part 2   Won     IGN Summer Movie Awards   Best Ensemble Cast   Nominated     San Diego Film Critics Society Award   Best Ensemble Performance   Won     Washington D.C. Area Film Critics Association Award   Best Ensemble   Nominated     2012   38th People 's Choice Awards   Favorite Movie Ensemble   Won     Favourite Film Star ( under 25 )   Nominated     2012 MTV Movie Awards   Best Kiss ( Shared With Emma Watson )   Nominated     Best Cast ( Shared with Daniel Radcliffe , Emma Watson and Tom Felton )   Won     2014   WhatsOnStage Awards   Best London Newcomer of the Year   Mojo   Won     See also ( edit )    List of Harry Potter cast members    References ( edit )    ^ Jump up to : `` Rupert Grint biography '' . biography.com . Retrieved 26 October 2013 .   Jump up ^ `` Ron Weasley ( Note : Click appropriate actor 's image , click `` Actor Bio '' ) `` . Warner Bros. Retrieved 8 June 2011 .   Jump up ^ Benedict , David . `` West End Review : ' Mojo ' '' .   ^ Jump up to : O'Sullivan , Michael ( 6 November 2006 ) . `` Rupert Grint : In the Driver 's Seat Now '' . The Washington Post . Retrieved 8 June 2011 .   ^ Jump up to : Whitty , Stephen . `` Rupert Grint interview : ' Potter ' star chats about famed role in blockbuster series '' . New Jersey On - Line . Retrieved 6 June 2011 .   Jump up ^ Hiscock , John ( 29 June 2007 ) . `` How Harry Potter and friends grew up '' . The Daily Telegraph . London : Telegraph Media Group Limited . Retrieved 6 June 2011 .   Jump up ^ Linder , Brian ( 30 March 2000 ) . `` Chris Columbus Talks Potter '' . IGN . Retrieved 6 June 2011 .   Jump up ^ Palmer , Martyn ( 3 November 2001 ) . `` When Danny Met Harry '' . The Times . UK : Times Newspapers . pp. 28 -- 30 ( Times Magazine supplement ) .   Jump up ^ `` Daniel Radcliffeyes , Rupert Grint and Emma Watson Bring Harry , Ron and Hermione to Life for Warner Bros. Pictures Harry Potter and the Sorcerer 's Stone '' . Warner Bros. 21 August 2000 . Archived from the original on 4 April 2007 . Retrieved 6 June 2011 .   Jump up ^ `` Rupert Grint : Teenage Ice Cream Man '' . CBS News . CBS Interactive Inc. 17 July 2007 . Retrieved 6 June 2011 .   Jump up ^ `` 2001 Worldwide Grosses '' . Box Office Mojo . Retrieved 6 June 2011 .   ^ Jump up to : `` Rupert Grint '' . The-Numbers.com . Nash Information Services , LLC . Retrieved 6 June 2011 .   ^ Jump up to : `` Rupert Grint '' . Rotten Tomatoes . Flixster . Retrieved 28 May 2011 .   ^ Jump up to : `` 2002 6th Annual SATELLITE TM Awards '' . Satellite Awards . Archived from the original on 10 May 2011 . Retrieved 5 June 2011 .   ^ Jump up to : `` Twenty - Third Annual Young Artist Awards 2002 '' . Young Artist Awards .   Jump up ^ Turan , Kenneth ( 15 November 2002 ) . `` Harry Potter and the Chamber of Secrets '' . Los Angeles Times . Archived from the original on 28 December 2005 . Retrieved 22 September 2007 .   Jump up ^ Rainer , Peter ( 16 January 2003 ) . `` Chamber Made '' . New York Magazine . New York Media LLC . Retrieved 6 June 2011 .   Jump up ^ A.O. Scott ( 3 June 2004 ) . `` Harry Potter and the Prisoner of Azkaban : Film review '' . The New York Times . Archived from the original on 25 May 2008 . Retrieved 23 September 2007 .   Jump up ^ Arthur , Nicole ( 4 June 2004 ) . `` Cuaron 's Magic Touch '' . The Washington Post . Retrieved 6 June 2011 .   Jump up ^ `` 2004 WORLDWIDE GROSSES '' . Box Office Mojo . Retrieved 6 June 2011 .   ^ Jump up to : `` Daniel Radcliffe , Emma Watson and Rupert Grint '' . IGN. 15 November 2005 . Retrieved 6 June 2011 .   ^ Jump up to : `` Interview with Rupert Grint '' . IGN. 26 June 2007 . Retrieved 6 June 2011 .   Jump up ^ `` Harry Potter and the Goblet of Fire ( 2005 ) '' . Rotten Tomatoes . Flixster . Retrieved 6 June 2011 .   Jump up ^ `` All Time worldwide opening records '' . Box Office Mojo . Retrieved 25 September 2007 .   Jump up ^ `` David Yates to Direct ' Harry Potter and the Order of the Phoenix ' '' . Box Office Mojo. 19 January 2005 . Retrieved 6 June 2011 .   Jump up ^ `` Hollywood Blvd Celebrates Potter 's ' Wands of Fame ' '' . KCBS - TV . CBS . 9 July 2007 . Archived from the original on 27 September 2007 . Retrieved 10 July 2007 .   Jump up ^ Rosenberg , Adam ( 15 July 2009 ) . `` ' Harry Potter and the Half - Blood Prince ' Breaks Midnight Records '' . MTV . Retrieved 28 May 2011 .   Jump up ^ Grey , Brandon ( 16 July 2009 ) . `` Sixth ' Harry Potter ' Posts Franchise - Best Opening Day '' . Box Office Mojo . Retrieved 28 May 2011 .   Jump up ^ Yamato , Jen . `` How Good is Harry Potter and the Half - Blood Prince ? '' . Rotten Tomatoes . Flixster . Retrieved 2 June 2011 .   Jump up ^ `` Harry Potter and the Half - Blood Prince '' . Metacritic . CBS Interactive Inc . Retrieved 2 June 2011 .   ^ Jump up to : `` BRAVO OTTO - Wahl 2010 ! '' ( in German ) . Bravo . Retrieved 5 June 2011 .   Jump up ^ `` Harry Potter Will Be Played by Daniel Radcliffe in Final Two Flicks '' . MTV . 2 March 2007 . Retrieved 28 May 2011 .   Jump up ^ Edidin , Peter ( 24 March 2007 ) . `` Gang 's all here '' . New York Times .   Jump up ^ Richards , Olly ( 14 March 2008 ) . `` Potter Producer Talks Deathly Hallows '' . Empire . Bauer Consumer Media . Retrieved 6 June 2011 .   Jump up ^ Ditzian , Eric ( 21 June 2010 ) . `` Daniel Radcliffe Recalls ' Weeping ' During Final ' Harry Potter ' Shoot '' . MTV . Retrieved 6 June 2011 .   Jump up ^ Subers , Ray ( 21 November 2010 ) . `` Around - the - World Roundup : ' Deathly Hallows ' Scores Top Non-Summer Opening Ever '' . Box Office Mojo . Retrieved 28 May 2011 .   Jump up ^ Stevens , Dana ( 18 November 2010 ) . `` Harry Casts a Spell '' . Slate . Retrieved 6 June 2011 .   Jump up ^ Morgenstern , Joe ( 18 November 2010 ) . `` ' Harry Potter ' and the Endless Ending '' . Wall Street Journal . Dow Jones &amp; Company , Inc . Retrieved 6 June 2011 .   Jump up ^ Lou Lumenick ( 18 November 2010 ) . `` Weary Potter '' . New York Post . Paul Carlucci . Retrieved 6 June 2011 .   ^ Jump up to : MTV Movie Award Staff ( 3 May 2011 ) . `` ' Eclipse , ' ' Inception ' Lead 2011 MTV Movie Awards Nominations '' . MTV . Retrieved 30 May 2011 .   ^ Jump up to : `` Nominees and Trailers '' . National Movie Awards .   Jump up ^ Nordyke , Kimberly ( 26 November 2010 ) . `` Daniel Radcliffe on the Differences Between ' Deathly Hallow ' Parts 1 and 2 '' . The Hollywood Reporter . Retrieved 6 June 2011 .   Jump up ^ Hornaday , Ann ( 13 July 2011 ) . `` Harry Potter and the Deathly Hallows -- Part 2 '' . The Washington Post . Retrieved 4 September 2011 .   ^ Jump up to : Gray , Brandon ( 16 July 2011 ) . `` ' Harry Potter ' Conjures Opening Day Record '' . Box Office Mojo . Retrieved 4 September 2011 .   Jump up ^ Gray , Brandon ( 18 July 2011 ) . `` Weekend Report : ' Harry ' Makes History '' . Box Office Mojo . Retrieved 4 September 2011 .   Jump up ^ `` All Time Worldwide Box Office Grosses '' . Box Office Mojo . Retrieved 4 September 2011 .   Jump up ^ tzekoulis ( 7 July 2011 ) . `` J.K. Rowling 's Emotional Speech at the Harry Potter and the Deathly Hallows Part 2 London Premiere '' . Retrieved 2 October 2016 -- via YouTube .   Jump up ^ Waldron - Mantgani , Ian ( 28 May 2002 ) . `` Review : Thunderpants '' . UK Critic .   Jump up ^ `` DRIVING LESSONS -- Rupert Grint , Julie Walters '' . Alt Film Guide . 28 September 2006 . Retrieved 8 June 2011 .   ^ Jump up to : Vineyard , Jennifer ( 29 September 2008 ) . `` Rupert Grint Gets Bloody for ' Cherrybomb ' -- Check Out Exclusive Photos ! '' . MTV . Retrieved 8 June 2011 .   Jump up ^ `` Fans secure film deal for Grint '' . BBC News . BBC . 5 October 2009 . Retrieved 8 June 2011 .   Jump up ^ Dawtrey , Adam ( 18 May 2008 ) . `` CinemaNX boards trio '' . Variety . Reed Business Information . Retrieved 7 June 2011 .   Jump up ^ `` Wild Target '' . Box Office Mojo . Retrieved 7 June 2011 .   Jump up ^ `` Wild Target ( 2009 ) '' . Rotten Tomatoes . Flixster . Retrieved 7 June 2011 .   Jump up ^ `` Wild Target review -- Best For Film -- Film reviews and movie news '' . Bestforfilm.com. 24 June 2010 . Retrieved 9 October 2011 .   Jump up ^ `` Rupert Grint Cameo Appearance In `` Come fly with me '' `` . Teen Stars World . Flixster . Retrieved 15 January 2011 .   Jump up ^ `` Rupert Grint to star in Comrade '' . Harry Potter Fans. 24 March 2011 . Retrieved 9 November 2011 .   ^ Jump up to : Jensen , Rossing ( 6 April 2011 ) . `` Rupert Grint starts shooting Norwegian WWII epic Comrade '' . Screen Daily . Retrieved 7 June 2011 .   Jump up ^ `` Harry Potter stars give modelling a whirl '' . Marie Claire . Retrieved 2016 - 03 - 18 .   Jump up ^ Kemp , Stuart ( 16 S</t>
  </si>
  <si>
    <t xml:space="preserve">who is the actor that plays ron weasley</t>
  </si>
  <si>
    <t xml:space="preserve"> Rupert Alexander Lloyd Grint ( born 24 August 1988 ) is an English actor and producer . He rose to prominence playing Ron Weasley , one of the three main characters in the Harry Potter film series . Grint was cast as Ron at the age of 11 , having previously acted only in school plays and at his local theatre group . From 2001 to 2011 , he starred in all eight Harry Potter films alongside Daniel Radcliffe playing as Harry Potter and Emma Watson playing as Hermione Granger . </t>
  </si>
  <si>
    <t xml:space="preserve">The pot calling the kettle black - wikipedia  The pot calling the kettle black  Jump to : navigation , search  `` The pot calling the kettle black '' is a proverbial idiom that seems to be of Spanish origin , versions of which began to appear in English in the first half of the 17th century . It is glossed in the original sources as being used of a person who is guilty of the very thing of which they accuse another and is thus an example of psychological projection .     Contents  ( hide )   1 Origin   2 Similar themes in antiquity   3 See also   4 References   5 External links      Origin ( edit )   The earliest appearance of the idiom is in Thomas Shelton 's 1620 translation of the Spanish novel Don Quixote . The protagonist is growing increasingly restive under the criticisms of his servant Sancho Panza , of which one is that `` You are like what is said that the frying - pan said to the kettle , ' Avant , black - browes ' . '' The Spanish text at this point reads : Dijo la sartén a la caldera , Quítate allá ojinegra ( Said the pan to the pot , get out of there black - eyes ) . It is identified as a proverb ( refrán ) in the text , functioning as a retort to the person who criticises another of the same defect that he plainly has . Among several variations , the one where the pan addresses the pot as culinegra ( black - arse ) makes clear that they are dirtied in common by contact with the cooking fire .   This version was also recorded in England soon afterwards as `` The pot calls the pan burnt - arse '' in John Clarke 's collection of proverbs , Paroemiologia Anglo - Latina ( 1639 ) . A nearer approach to the present wording is provided by William Penn in his collection Some Fruits of Solitude in Reflections and Maxims ( 1682 ) :    `` If thou hast not conquer 'd thy self in that which is thy own particular Weakness , thou hast no Title to Virtue , tho ' thou art free of other Men 's . For a Covetous Man to inveigh against Prodigality , an Atheist against Idolatry , a Tyrant against Rebellion , or a Lyer against Forgery , and a Drunkard against Intemperance , is for the Pot to call the Kettle black . ''    Apart from the final example in this passage , there is not a strict accord between the behaviour of the critic and the person censured .   An alternative modern interpretation , far removed from the original intention , argues that while the pot is sooty ( being placed on a fire ) , the kettle is shiny ( being placed on coals only ) ; hence , when the pot accuses the kettle of being black , it is the pot 's own sooty reflection that it sees : the pot accuses the kettle of a fault that only the pot has , rather than one that they share . The point is illustrated by a poem that appeared anonymously in an early issue of St. Nicholas Magazine from 1876 :   `` Oho ! '' said the pot to the kettle ; `` You are dirty and ugly and black ! Sure no one would think you were metal , Except when you 're given a crack . ''   `` Not so ! not so ! '' kettle said to the pot ; `` ' Tis your own dirty image you see ; For I am so clean -- without blemish or blot -- That your blackness is mirrored in me . ''   Similar themes in antiquity ( edit )  The fable of the Snake and the Crab in the 1470s Medici Manuscript   In ancient Greece , mention of ' the Snake and the Crab ' signified much the same , where the critic censures its own behaviour in another . The first instance of this is in a drinking song ( skolion ) dating from the late 6th or early 5th century BCE . The fable ascribed to Aesop concerns a mother crab and its young , where the mother tells the child to walk straight and is asked in return to demonstrate how that is done .   The same theme differently expressed occurs in the Aramaic version of the story of Ahiqar , dating from about 500 BCE . ' The bramble sent to the pomegranate tree saying , `` Wherefore the multitude of thy thorns to him that toucheth thy fruit ? '' The pomegranate tree answered and said to the bramble , `` Thou art all thorns to him that toucheth thee '' .   In Matthew 7 : 3 - 5 , it is criticism of a less significant failing by those who are worse that is the target of the Sermon on the Mount : `` Why do you look at the speck of sawdust in your brother 's eye and pay no attention to the plank in your own eye ? ''    See also ( edit )    Tu quoque    References ( edit )    Jump up ^ Phrase Finder   Jump up ^ Ch. 67   Jump up ^ Regino Etxabe , Diccionario de refranes comentado , Madrid 2012   Jump up ^ Julia Cresswell , Oxford Dictionary of Word Origins , 2010 , p. 339   Jump up ^ Lines 445 -- 6   Jump up ^ Morris Dictionary of Word and Phrase Origins , by William Morris , Mary Morris   Jump up ^ Brewer 's Dictionary of Phrase and Fable , 1870 , revised by Adrian Room ( Millennium Edition )   Jump up ^ St Nicholas Magazine 3.4 , February 1876 , p. 224   Jump up ^ Francisco Rodríguez Adrados , History of the Graeco - Latin fable I , Brill , Leiden NL 1999 , p. 146   Jump up ^ Folklore and Fable vol. XVII , New York 1909 , p. 30   Jump up ^ The Words of Ahiqar : Aramaic proverbs and precepts , Syriac Studies site    External links ( edit )    The dictionary definition of pot calling the kettle black at Wiktionary      ( hide )         Internet slang     Abuse     cyberbullying   cyberstalking   doxing   flaming   griefer   hacker   keylogger   malware   spyware     phishing   script kiddie   Stealth banning   spamming   troll         Chatspeak     emoticon   emoji   leet   owned   Pr0n   pwn   teh   w00t     fap   LOL   nsfw   padonkaffsky jargon   sexting       Imageboard     4chan   anonymous   - chan   CP   goatse.cx   lolcat   lulz   lurk   newbie   OP   pedobear   rickrolling   Rule 34   tripcode   weeaboo       Memes     advertising and products   animation and comics   challenges   email   film   gaming   images   music   politics   videos   miscellaneous       Usenet     eternal September   PKB   plonk           Portal   Wiktionary      Retrieved from `` https://en.wikipedia.org/w/index.php?title=The_pot_calling_the_kettle_black&amp;oldid=807198400 '' Categories :   English - language idioms   Hypocrisy   Internet slang   Metaphors referring to objects           Talk                                           Contents                   About Wikipedia                                           Wiktionary       Add links   This page was last edited on 26 October 2017 , at 14 : 49 .         About Wikipedia                    </t>
  </si>
  <si>
    <t xml:space="preserve">what does the expression the pot calling the kettle black mean</t>
  </si>
  <si>
    <t xml:space="preserve"> `` The pot calling the kettle black '' is a proverbial idiom that seems to be of Spanish origin , versions of which began to appear in English in the first half of the 17th century . It is glossed in the original sources as being used of a person who is guilty of the very thing of which they accuse another and is thus an example of psychological projection . </t>
  </si>
  <si>
    <t xml:space="preserve">Strickland ( Surname ) - wikipedia  Strickland ( Surname )  Jump to : navigation , search Strickland Coat of Arms  The English surname Strickland is derived from the place - name Stercaland , of Old Norse origins , which is found in Westmorland to the south of Penrith . It has been used as a family name at least since the late 12th century , when Walter of Castlecarrock married Christian of Leteham , an heiress to the landed estate that covered the area where the villages of Great Strickland and Little Strickland are now . After this marriage Walter became known as Walter of Strickland , spelt in various ways .   The coat of arms of the Strickland family of Gilsland is Sable three escalopes argent , meaning `` three silver scallops on a black field '' .     Contents  ( hide )   1 History   2 Queen Katherine   2.1 `` Strike - land '' myth     3 List of persons with the surname Strickland   4 See also   5 References      History ( edit )  Battle of Agincourt  The family of Castlecarrock was descended from the Norman family of Vaux , called in Latin Vallibus , which came originally from Falaise in Normandy . Hubert de Vaux became the first Norman lord of Gilsland in Cumberland ( now part of Cumbria ) , an estate around Brampton and Castle Carrock . Hubert 's son Eustace married one of the two sisters who were the co-heiresses of Robert son of Bueth , the last direct male descendant of a native chieftain , Gilles son of Bueth . Robert was the owner of Gilsland in the time of King Henry I .   Sir William de Strickland ( 1242 -- 1305 ) married Elizabeth d'Eyncourt , who was descended on her mother 's side from the Clan Dunbar , cadets of the Scottish kings , and from Uchtred , Earldorman of Northumberland and his third wife Aelfgifu , a daughter of Ethelred the Unready . It was by this marriage that Sizergh Castle became the Strickland family seat .   The name of Strickland first came to notice at the Battle of Agincourt in 1415 , when Thomas Strickland Esquire carried the Flag of St. George , dismounted , as he was still a knight in training . He had brought with him men - at - arms from his estate at Great Strickland in Westmorland and other troops from Kendal ( the Kendal Bowmen ) .   The family fought against the Scots during their incursions into the English Marches , and Sir Walter Strickland also fought for the House of York during the Wars of the Roses . The family was a major landowner in Westmorland and Lancashire , and the name appears linked to local landmarks ( Strickland Wood , Warton near Carnforth for example ) .   The family at Sizergh remained Roman Catholics after the Reformation . As the family grew , various branches appeared , one of which married into the Constable family of Yorkshire , another branch settled early on in Hertfordshire . With migration to the colonies and the growth of the British Empire , the name of Strickland has spread world wide .   The Kendal Parish Church ( Holy Trinity ) has a Strickland family chapel and both Kendal and Penrith have main roads called Stricklandgate ( The ' gate ' element is derived from the Old Norse ' gata ' , meaning street ) .   A settlement first appeared on the west side of present day Kendal not long after the 1066 Norman Invasion when a Motte and Bailey fortification was built , this became known as Kirkbie Strickland ( Kirkbie meaning church ) .   There are different spellings , but the family name Stickland is not connected , being Saxon and originating from Dorset .   Queen katherine ( edit )   Katherine Parr who married King Henry VIII was descended from the Strickland family via her ancestors Catherine de Strickland and Elizabeth Ros .   `` Strike - land '' myth ( edit )   The poet and historical writer Agnes Strickland ( 1796 - 1874 ) claimed that in 1066 a knight with William the Conqueror 's invasion fleet was the first Norman to come ashore in England and struck his sword into the beach , thus gaining the name of `` Strikeland '' , but no evidence supports this claim and it is considered fanciful .   List of persons with the Surname Strickland ( edit )    Agnes Strickland , British writer   Amzie Strickland , American TV and radio actress   Audra Strickland , American politician   Bill Strickland , American community leader ( Pittsburgh , Pennsylvania )   Catharine Parr Traill , born Catharine Strickland , early emigrant from England to Canada   Charles H. Strickland , Church of the Nazarene minister   Charles Strickland , Irish land agent and town planner   David Strickland , American actor   Donald Strickland , American football cornerback   Earl Strickland , American pool player   Erick Strickland , American basketball player   Gail Strickland , American film / television actress   Gerald Strickland , 1st Baron Strickland ( 24 May 1861 -- 22 August 1940 ) Prime Minister of Malta , Governor of the Leeward Islands , Governor of Tasmania , Governor of Western Australia and Governor of New South Wales .   Sir George Strickland , 7th Baronet ( 1782 -- 1874 ) , also known as Sir George Cholmley , an English Member of Parliament and lawyer   Hugh Edwin Strickland ( 1811 -- 1853 ) , British naturalist   Hunter Strickland , American baseball player   Jim Strickland ( disambiguation ) , several people   John Estmond Strickland ( Hong Kong ) , UK - born former Chairman of The Hong Kong and Shanghai Banking Corporation   Josh Strickland , American singer / actor   KaDee Strickland , American actress   Keith Strickland , American musician   Mabel Strickland , Anglo - Maltese journalist and politician   Margaret Strickland , writer   Mark Strickland , American basketball player   Michael Strickland ( disambiguation ) , several people   Peter Strickland ( British Army officer )   Randolph Strickland , American politician   Robert Strickland fought at the Battle of Edgehill for the Royalist side   Rod Strickland , basketball player   Roy C. Strickland , American politician / businessman   Shirley Strickland , Australian athlete   Stephanie Strickland , poet   Susanna Moodie ( Strickland ) , UK - born Canadian author   Ted Strickland , American politician   Terry A.D. Strickland , fugitive   Tom Strickland , American politician   Thomas Strickland ( cavalier ) , fought at the Battle of Edgehill for the Royalist side   Walter Strickland English politician and diplomat who held high office during the Protectorate   William Strickland ( disambiguation ) , several people    See also ( edit )    Strickland ( disambiguation )   Strickland - Constable baronets    References ( edit )    Jump up ^ `` STRICKLAND '' . Tudorplace .   Jump up ^ `` Surname Database : Strickland Last Name Origin '' . The Internet Surname Database .   Jump up ^ `` Archived copy '' . Archived from the original on 2008 - 05 - 13 . Retrieved 2008 - 09 - 18 .   Jump up ^ `` Surname Database : Stickland Last NameOrigin '' . The Internet Surname Database .   Jump up ^ `` PARR of Kendal '' .        This page lists people with the surname Strickland . If an internal link intending to refer to a specific person led you to this page , you may wish to change that link by adding the person 's given name ( s ) to the link .    Retrieved from `` https://en.wikipedia.org/w/index.php?title=Strickland_(surname)&amp;oldid=828271450 '' Categories :   Surnames   English toponymic surnames   Hidden categories :   All articles with unsourced statements   Articles with unsourced statements from October 2017   All set index articles           Talk                                           Contents                   About Wikipedia                                           Bân - lâm - gú   Edit links   This page was last edited on 1 March 2018 , at 15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</si>
  <si>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last name strickland come from</t>
  </si>
  <si>
    <t xml:space="preserve"> The English surname Strickland is derived from the place - name Stercaland , of Old Norse origins , which is found in Westmorland to the south of Penrith . It has been used as a family name at least since the late 12th century , when Walter of Castlecarrock married Christian of Leteham , an heiress to the landed estate that covered the area where the villages of Great Strickland and Little Strickland are now . After this marriage Walter became known as Walter of Strickland , spelt in various ways . </t>
  </si>
  <si>
    <t xml:space="preserve">Your Mama Do n't Dance - wikipedia  Your Mama Do n't Dance  Jump to : navigation , search    `` Your Mama Do n't Dance ''         Single by Loggins and Messina     from the album Loggins and Messina     B - side   `` Golden Ribbons ''     Released   November 1972     Format   45 - rpm record     Recorded   1972 at     Studio   Columbia Studios , Los Angeles     Genre   Rock     Length   2 : 48     Label   Columbia     Songwriter ( s )   Kenny Loggins , Jim Messina     Producer ( s )   Kenny Loggins , Jim Messina     `` Your Mama Do n't Dance '' is a hit 1972 song by the rock duo Loggins and Messina . Released on their self - titled album Loggins and Messina , it reached number four on the Billboard pop chart and number 19 on the Billboard Easy Listening Chart as a single in early 1973 .   This song , whose refrain and first verse is done in a blues format , deals with the 1950s and 1960s lifestyle concerning the generation gap , where the parents oppose the Rock and Roll Revolution , of the younger generation , which includes the rebelliousness against the old society that monitors curfews on dating , as well as being arrested for making love with a girl in the back seat of a car , during a drive - in movie , which happens during the bridge section of the song .   When released as a single , it was the duo 's biggest hit as well as their only Gold single .   `` Your Mama Do n't Dance '' was covered in 1973 by Australian band the Bootleg Family Band . It made the top 5 in Australia . `` Your Mama Do n't Dance '' was covered in 1985 by the rock band Y&amp;T , in 1988 by the rock band Poison , and it was the fourth single from their second album Open Up and Say ... Ahh ! . The Poison version released as a single in 1989 on Capitol Records reached number 10 on the Billboard Hot 100 and number 39 on the Mainstream rock charts and has since gone Gold in the US . The song also charted at number 21 on the Australian charts and number 13 on the UK Singles chart . The single 's B - side is `` Tearin ' Down the Walls '' .     Contents  ( hide )   1 Albums   2 Personnel   3 Chart performance   3.1 Weekly singles charts   3.2 Year - end charts   3.3 Poison version     4 References   5 External links      Albums ( edit )   `` Your Mama Do n't Dance '' is on the following albums :    Loggins and Messina   The Best of Friends    Kenny Loggins ' 1993 Solo Album :    Outside : From the Redwoods    The Poison version is available on :    Open Up and Say ... Ahh !   Swallow This Live ( live version )   Poison 's Greatest Hits : 1986 - 1996   Crack a Smile ... and More ! ( Unplugged )   The Best of Poison : 20 Years of Rock   Open Up and Say ... Ahh ! - 20th Anniversary Edition   Poison 'd    The Y&amp;T version is available on :    Down for the Count    Personnel ( edit )   Loggins &amp; Messina version    Kenny Loggins - vocals , electric guitar ( plus solo )   Jim Messina - vocals , electric guitar   Jon Clarke - baritone saxophone   Al Garth - alto saxophone   Larry Sims - bass , backing vocals   Merel Bregante - drums , backing vocals   Michael Omartian - piano   Milt Holland - congas , cowbells    Chart performance ( edit )   Weekly singles charts ( edit )      Loggins and Messina version :     Chart ( 1972 -- 73 )   Peak position     Canada RPM Top Singles   5     New Zealand ( Listener )   11     U.S. Billboard Hot 100       U.S. Billboard Hot Adult Contemporary Tracks   19       Year - end charts ( edit )     Chart ( 1973 )   Rank     Canada   58     U.S. Billboard Hot 100   53        Poison version ( edit )     `` Your Mama Do n't Dance ''         Single by Poison     from the album Open Up and Say ... Ahh !     B - side   `` Tearin ' Down the Walls ''     Released   February 1 , 1989     Format   CD single , 7 - inch single     Recorded       Genre   Glam metal     Length   2 : 59     Label   Enigma / Capitol     Songwriter ( s )   Kenny Loggins , Jim Messina     Producer ( s )   Tom Werman     Poison singles chronology        `` Every Rose Has Its Thorn '' ( 1988 )   `` Your Mama Do n't Dance '' ( 1989 )   `` Unskinny Bop '' ( 1990 )          Chart ( 1989 -- 90 )   Peak position     Australian ARIA Charts   21     UK Singles Chart   13     U.S. Billboard Hot 100   10     U.S. Billboard Hot Mainstream Rock Tracks   39     References ( edit )    Jump up ^ Whitburn , Joel ( 2004 ) . The Billboard Book of Top 40 Hits , 8th Edition ( Billboard Publications )   Jump up ^ Hyatt , Wesley ( 1999 ) . The Billboard Book of # 1 Adult Contemporary Hits ( Billboard Publications )   Jump up ^ `` Allmusic ( Poison charts and awards ) Billboard singles '' .   Jump up ^ `` Poison chart stats '' . Archived from the original on 2012 - 07 - 31 .   Jump up ^ `` Item Display - RPM - Library and Archives Canada '' . Collectionscanada.gc.ca . Retrieved 2016 - 10 - 08 .   Jump up ^ `` flavour of new zealand - search listener '' . Flavourofnz.co.nz . Retrieved 2016 - 10 - 08 .   Jump up ^ RPM Canada   Jump up ^ `` Top 100 Hits of 1973 / Top 100 Songs of 1973 '' . Musicoutfitters.com . Retrieved 2016 - 10 - 08 .   Jump up ^ Steve Huey . `` Open Up and Say ... Ahh ! - Poison Songs , Reviews , Credits '' . AllMusic . Retrieved 2016 - 10 - 08 .    External links ( edit )    Lyrics of this song              Loggins and Messina       Kenny Loggins   Jim Messina       Studio albums     Sittin ' In ( 1971 )   Loggins and Messina ( 1972 )   Full Sail ( 1973 )   Mother Lode ( 1974 )   So Fine ( 1975 )   Native Sons ( 1976 )       Live albums     On Stage ( 1974 )   Finale ( 1977 )   Live : Sittin ' In Again at the Santa Barbara Bowl ( 2005 )       Compilation albums     The Best of Friends ( 1976 )   The Best of Loggins &amp; Messina ( 1980 )   The Best : Sittin ' in Again ( 2005 )       Singles     `` Your Mama Do n't Dance '' ( 1972 )   `` Thinking of You '' ( 1973 )       Other songs     `` Danny 's Song ''   `` House at Pooh Corner ''   `` Listen to a Country Song ''   `` A Love Song ''         Commons                 Poison       Bret Michaels   Rikki Rockett   Bobby Dall   C.C. DeVille     Matt Smith   Richie Kotzen   Blues Saraceno       Studio albums     Look What the Cat Dragged In   Open Up and Say ... Ahh !   Flesh &amp; Blood   Native Tongue   Crack a Smile ... and More !   Power to the People   Hollyweird   Poison 'd !       Live albums     Swallow This Live   Great Big Hits Live ! Bootleg   Seven Days Live ( CD )   Live , Raw &amp; Uncut ( CD )       Compilations     Poison 's Greatest Hits : 1986 -- 1996   Poison -- Rock Champions   Best of Ballads &amp; Blues   The Best of Poison : 20 Years of Rock   Poison -- Box Set ( Collector 's Edition )   Double Dose : Ultimate Hits       Videos     Sight for Sore Ears   Flesh , Blood , &amp; Videotape   Swallow This Live : Flesh &amp; Blood World Tour   Seven Days Live   Poison Greatest Video Hits   Nothing but a Good Time ! Unauthorized   Poison Video Hits   The Best of Poison : 20 Years of Rock ( DVD )   Live , Raw &amp; Uncut ( DVD )       Singles     `` Cry Tough ''   `` Talk Dirty to Me ''   `` I Want Action ''   `` I Wo n't Forget You ''   `` Rock and Roll All Nite ''   `` Nothin ' but a Good Time ''   `` Fallen Angel ''   `` Every Rose Has Its Thorn ''   `` Your Mama Do n't Dance ''   `` Unskinny Bop ''   `` Something to Believe In ''   `` Ride the Wind ''   `` Life Goes On ''   `` ( Flesh &amp; Blood ) Sacrifice ''   `` So Tell Me Why ''   `` Stand ''   `` Until You Suffer Some ( Fire and Ice ) ''   `` Body Talk ''   `` Shut Up , Make Love ''   `` Be the One ''   `` Power to the People ''   `` The Last Song ''   `` Rockstar ''   `` Squeeze Box ''   `` Shooting Star ''   `` We 're an American Band ''   `` What I Like About You ''   `` SexyBack ''       Solo albums     A Letter from Death Row   Glitter 4 Your Soul   Songs of Life   Freedom of Sound   Rock My World   Custom Built   Jammin ' with Friends   True Grit       Related articles     Discography   Bret Michaels discography   Samantha 7   Devil City Angels   A Letter from Death Row ( film )   The Surreal Life   Rock of Love   Season 1         Celebrity Apprentice 3   Bret Michaels : Life as I Know It   Celebrity Apprentice : All - Stars      Retrieved from `` https://en.wikipedia.org/w/index.php?title=Your_Mama_Don%27t_Dance&amp;oldid=795490642 '' Categories :   1972 singles   1989 singles   Loggins and Messina songs   Poison ( American band ) songs   Songs written by Kenny Loggins   Song recordings produced by Tom Werman   1972 songs   Capitol Records singles   Songs written by Jim Messina ( musician )   Columbia Records singles   Enigma Records singles   Songs about dancing   Hidden categories :   Articles with hAudio microformats           Talk                                           Contents                   About Wikipedia                                           Español   Norsk nynorsk   Edit links   This page was last edited on 14 August 2017 , at 15 : 37 .         About Wikipedia                    </t>
  </si>
  <si>
    <t xml:space="preserve">who sang your mama don't dance and your daddy don't rock and roll</t>
  </si>
  <si>
    <t xml:space="preserve"> `` Your Mama Do n't Dance '' is a hit 1972 song by the rock duo Loggins and Messina . Released on their self - titled album Loggins and Messina , it reached number four on the Billboard pop chart and number 19 on the Billboard Easy Listening Chart as a single in early 1973 . </t>
  </si>
  <si>
    <t xml:space="preserve">State cessions - wikipedia  State cessions  Jump to : navigation , search      This article needs additional citations for verification . Please help improve this article by adding citations to reliable sources . Unsourced material may be challenged and removed . ( January 2014 ) ( Learn how and when to remove this template message )    A map of the United States showing land claims and cessions from 1782 to 1802 .  The state cessions are those areas of the United States that the separate states ceded to the federal government in the late 18th and early 19th centuries . The cession of these lands , which for the most part lay between the Appalachian Mountains and the Mississippi River , was key to establishing a harmonious union among the former British colonies .   The areas ceded comprise 236,825,600 acres ( 370,040.0 sq mi ) , or 10.4 percent of current United States territory , and make up all or part of 10 states . This does not include the areas later ceded by Texas to the federal government , which make up parts of five more states .     Contents  ( hide )   1 Background   2 The resolution of the claims   3 Details of the cessions   3.1 States with land claims   3.2 States without land claims     4 Texas   5 See also   6 References   7 Further reading   8 External links      Background ( edit )   Most of colonies British America were established in the 17th and early 18th century , when geographical knowledge of North America was incomplete . Many of these colonies were established by royal proclamation or charter that defined their boundaries as stretching `` from sea to sea '' ; others did not have western boundaries established at all . These colonies thus ended up with theoretical extents that overlapped each other , and conflicted with the claims and settlements established by other European powers . The British government 's Royal Proclamation of 1763 , while not resolving the disputes over the colonies ' trans - Appalachian claims , succeeded in slowing down the movement of people into the region and the making of new claims in it . Many , however , ignored the proclamation , and various frontier settlement enterprises , owing allegiance to disparate colonial governments , continued .   By the time of the American Revolution , the boundaries between the Thirteen Colonies that became the United States had been for the most part surveyed and agreed upon . Their land claims also corresponded in varying degrees to the actual reality on the ground in the west at the eve of the Revolution . Kentucky , for instance , was organized into a county of Virginia in 1776 , with Virginia serving as practical sovereign over the area until its admission into the Union as a separate state in 1792 . Massachusetts ' claims to land in modern - day Michigan and Wisconsin , by contrast , amounted to little more than lines drawn on a map .   The resolution of the claims ( edit )   The Treaty of Paris that ended the American Revolution established American sovereignty over the land between the Appalachians and the Mississippi ; the jobs of determining how that land should be governed , and how the conflicting claims to it by several of the states should be resolved , were one of the first major tasks facing the new nation .   The potential for trouble arising from these claims was twofold . One problem was obvious : in many cases more than one state laid claim to the same piece of territory , but clearly only one would be ultimately recognized as the sovereign . The other conflict also threatened the peace of the new union . Only seven of the thirteen states had western land claims , and the other , `` landless '' states were fearful of being overwhelmed by states that controlled vast stretches of the new frontier . Virginia in particular , which already encompassed 1 in 5 inhabitants of the new nation , laid claim to modern - day Kentucky , Indiana , and Illinois , and the smaller states feared that it would come to completely dominate the union .   In the end , most of the trans - Appalachian land claims were ceded to the Federal government between 1781 and 1787 ; New York , New Hampshire , and the hitherto unrecognized Vermont government resolved their squabbles by 1791 , and Kentucky was separated from Virginia and made into a new state in 1792 . The cessions were not entirely selfless -- in some cases the cessions were made in exchange for federal assumption of the states ' Revolutionary War debts -- but the states ' reasonably graceful cessions of their often - conflicting claims prevented early , perhaps catastrophic , rifts among the states of the young Republic , and assuaged the fears of the `` landless '' states enough to convince them to ratify the new United States Constitution . The cessions also set the stage for the settlement of the Upper Midwest and the expansion of the U.S. into the center of the North American continent , and also established the pattern by which land newly acquired by the United States would be organized into new states rather than attached to old ones .   Georgia held on to its claims over trans - Appalachian land for another decade , and this claim was complicated by the fact that much of the land was also disputed between the United States and Spain . When Georgia finally sold the land west of its current boundaries to the United States for cash in 1802 , the last phase of western cessions was complete .   Details of the cessions ( edit )   States with land claims ( edit )     State   Date ceded   Date accepted   Claims and cessions     01 ! Connecticut   000000001786 - 05 - 11 - 0000 May 11 , 1786   000000001786 - 05 - 28 - 0000 May 28 , 1786   Ceded swath between present north and south border - latitudes west to Mississippi River , across present - day Pennsylvania ( notably the Wyoming Valley disputed in the Pennamite -- Yankee War ) , Ohio , Indiana , and Illinois , except for a portion south of Lake Erie . Sovereignty over this `` Western Reserve '' was ceded to the federal government in 1800 .     02 ! Georgia   000000001802 - 04 - 24 - 0000 April 24 , 1802   000000001802 - 06 - 16 - 0000 June 16 , 1802   Ceded the `` Yazoo lands '' , between 35th parallel and 31st parallel of latitude west to Mississippi River , across present - day Alabama and Mississippi . Unique among the cessions , Georgia charged the federal government $1.25 million for this land , which it apparently paid .     03 ! Massachusetts   000000001784 - 11 - 13 - 0000 November 13 , 1784   000000001785 - 04 - 19 - 0000 April 19 , 1785   Ceded swath between present north and south border - latitudes west , across present - day New York , Michigan and Wisconsin , to which it was entitled by its interpretation of its original sea - to - sea grant from the British Crown .     04 ! New York   000000001780 - 02 - 19 - 0000 February 19 , 1780   000000001782 - 10 - 29 - 0000 October 29 , 1782   Ceded claims west of Lake Ontario , sold Erie Triangle to Pennsylvania .     05 ! North Carolina   000000001789 - 12 - 22 - 0000 December 22 , 1789   000000001790 - 02 - 25 - 0000 February 25 , 1790   Ceded its trans - Appalachian Washington District , a swath between present north and south border - latitudes west to Mississippi River , across present - day Tennessee .     06 ! South Carolina   000000001787 - 03 - 08 - 0000 March 8 , 1787   000000001787 - 08 - 09 - 0000 August 9 , 1787   Ceded swath , approximately 12 miles ( 19 km ) wide ( north -- south ) , west from its northwestern tip to Mississippi River , across extreme southwest North Carolina , northern Georgia , plus the southern edge of present - day Tennessee , along with the northern edge of present - day Alabama and Mississippi . In a separate agreement , South Carolina and Georgia adjusted their common boundary .  Note that the claim by South Carolina had been for land between the headwaters of the Savannah River and the southern boundary of North Carolina , and thence westward . In fact , however , later and more accurate surveying showed that the headwaters of the Savannah River actually extended into North Carolina . This meant that this strip of land for South Carolina had actually been illusory .      07 ! Virginia   000000001781 - 01 - 02 - 0000 January 2 , 1781   000000001777 - 03 - 01 - 0000 March 1 , 1777   Ceded its vast claim to the territory north of the Ohio River , which would subsequently become the Northwest Territory , but initially retained its remaining trans - Appalachian claim , the Kentucky County , south of the Ohio and east of the Mississippi River -- present - day Kentucky .     States without land claims ( edit )     State   Notes     Delaware   No claim land farther west . Its western border forms part of the Mason -- Dixon line .     Maryland   No claim land farther west . Its northern border forms part of the Mason -- Dixon line .     New Hampshire   Prior to the American Revolution , New Hampshire claimed territory west of Connecticut River , in present - day southern Vermont , territory that was also claimed by New York . The resulting `` New Hampshire Grants '' dispute led to the rise of the Green Mountain Boys , and the later establishment of the Vermont Republic . New Hampshire 's claim upon the land was extinguished in 1764 by royal order of George III , and in 1790 the State of New York ceded its land claim to Vermont for 30,000 Dollars .     New Jersey   No claim land farther west .     Pennsylvania   Original land grant from King Charles II of England to William Penn was for the land between the 42nd parallel and the 38th parallel in latitude , and extending west five degrees in longitude from the western boundary of New Jersey and northwestern boundary of Delaware . Its southern border forms part of the Mason -- Dixon line .  Pennsylvania claimed the portion of land along Lake Erie commonly known as the Erie Triangle , and after Massachusetts and New York each ceded its claim to it , the triangle was sold to Pennsylvania by the federal government in 1788 .      Rhode Island   No claim land farther west .     Texas ( edit )  Map of Texas , illustrating the area under de facto control of the Republic of Texas ( in yellow ) ; the full extent of the Texan claim ( yellow and green ) ; and the eventual permanent border of the State of Texas  Later in the 19th century , there was one more case of a state ceding some of its land to the federal government . Before the Republic of Texas joined the United States in 1845 , it claimed a good deal of land that had never been under the de facto control of the Texan government -- Texan attempts to exercise control of these territories as a sovereign state ( most famously , the Santa Fe expedition ) had ended in disaster . Thus , there was a border dispute between Texas , Mexico , and Native American tribes that the U.S. government inherited upon the annexation of Texas . This was one of the causes of the Mexican -- American War of 1846 -- 47 ( another being the western land greed of the U.S. coupled with the Mexican refusal to sell its territory to the U.S. ) . After the American victory in that war , the Mexican government recognized American sovereignty over the disputed Texan lands and also ceded / sold the land extending west to the Pacific Ocean . The Mexican government was paid $25,000,000 under the Treaty of Guadalupe Hidalgo of 1848 .   In addition , the maximalist land claims of the Republic of Texas did not set the northern and western borders of the State of Texas . Most , but not all , of its northern boundary had been set by a treaty between the United States and the Spanish Empire -- along the Red River . The joint resolution of the United States that admitted Texas to the Union gave Texas the right to divide itself up into no more than five states .   In an act of Congress , the Compromise of 1850 , Texas ceded its conflicting northern and western territorial claims to the U.S. in return for debt relief , removing its conflicting claims from the U.S. territorial gains of the Mexican -- American War . This ceded land eventually became portions of the states of Kansas ( 1861 ) , Colorado ( 1876 ) , Wyoming ( 1890 ) , Oklahoma ( 1907 ) , and New Mexico ( 1912 ) .   See also ( edit )    Ohio Country   Illinois Country   Historic regions of the United States   United States territorial acquisitions   Territorial evolution of the United States    References ( edit )    Jump up ^ Table 1.1 Acquisition of the Public Domain 1781 -- 1867   Jump up ^ Thomas Donaldson , The Public Domain , Its History with Statistics , p. 87 ( 1884 )   Jump up ^ Worthington C. Ford ; et al. , eds. ( 1904 -- 37 ) . Journals of the Continental Congress , 1774 -- 1789 . pp. Vol. 33 , pp. 466 -- 477 .   Jump up ^ Donaldson , ( 1884 ) , p. 41 -- 42    Further reading ( edit )    Paul Wallace Gates , History of Public Land Law Development , Chapter III State Cessions of Western Land Claims . Public Land Law Review Commission , ( 1968 ) , Washington D.C.    External links ( edit )    Map of state claims ( 1 )   Map of state claims ( 2 )   Map of state claims ( 3 )   Map of state claims ( 4 )   Map of state claims ( 5 )   Retrieved from `` https://en.wikipedia.org/w/index.php?title=State_cessions&amp;oldid=818441755 '' Categories :   History of United States expansionism   History of the Midwestern United States   Pre-statehood history of Texas   Hidden categories :   Articles needing additional references from January 2014   All articles needing additional references   Use mdy dates from April 2012           Talk                                           Contents                   About Wikipedia                                           Add links   This page was last edited on 3 January 2018 , at 15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</si>
  <si>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present-day kentucky was ceded by what state in 1792</t>
  </si>
  <si>
    <t xml:space="preserve"> In the end , most of the trans - Appalachian land claims were ceded to the Federal government between 1781 and 1787 ; New York , New Hampshire , and the hitherto unrecognized Vermont government resolved their squabbles by 1791 , and Kentucky was separated from Virginia and made into a new state in 1792 . The cessions were not entirely selfless -- in some cases the cessions were made in exchange for federal assumption of the states ' Revolutionary War debts -- but the states ' reasonably graceful cessions of their often - conflicting claims prevented early , perhaps catastrophic , rifts among the states of the young Republic , and assuaged the fears of the `` landless '' states enough to convince them to ratify the new United States Constitution . The cessions also set the stage for the settlement of the Upper Midwest and the expansion of the U.S. into the center of the North American continent , and also established the pattern by which land newly acquired by the United States would be organized into new states rather than attached to old ones . </t>
  </si>
  <si>
    <t xml:space="preserve">This is the house that Jack built - wikipedia  This is the house that Jack built  Jump to : navigation , search For other uses , see The House That Jack Built ( disambiguation ) .    `` This Is the House That Jack Built ''     Randolph Caldecott illustration from The complete collection of pictures &amp; songs , published 1887 ( digitally restored )     Nursery rhyme     Published   1755     `` This Is the House That Jack Built '' is a popular British nursery rhyme and cumulative tale . It has a Roud Folk Song Index number of 20584 . It is Aarne -- Thompson type 2035 .     Contents  ( hide )   1 Lyrics   2 Narrative technique   3 Origins   4 Syntactic structure   5 References in popular culture   5.1 In literature and journalism   5.2 In politics   5.3 In television and film   5.4 In popular music   5.5 In sports   5.6 Others     6 See also   7 References   8 External links      Lyrics ( edit )   This is perhaps the most common set of modern lyrics :    This is the house that Jack built .     This is the malt that lay in the house that Jack built .     This is the rat that ate the malt   That lay in the house that Jack built .     This is the cat that killed the rat   That ate the malt that lay in the house that Jack built .     This is the dog that worried the cat   That killed the rat that ate the malt   That lay in the house that Jack built .     This is the cow with the crumpled horn   That tossed the dog that worried the cat   That killed the rat that ate the malt   That lay in the house that Jack built .     This is the maiden all forlorn   That milked the cow with the crumpled horn   That tossed the dog that worried the cat   That killed the rat that ate the malt   That lay in the house that Jack built .     This is the man all tattered and torn   That kissed the maiden all forlorn   That milked the cow with the crumpled horn   That tossed the dog that worried the cat   That killed the rat that ate the malt   That lay in the house that Jack built .     This is the judge all shaven and shorn   That married the man all tattered and torn   That kissed the maiden all forlorn   That milked the cow with the crumpled horn   That tossed the dog that worried the cat   That killed the rat that ate the malt   That lay in the house that Jack built .     This is the rooster that crowed in the morn   That woke the judge all shaven and shorn   That married the man all tattered and torn   That kissed the maiden all forlorn   That milked the cow with the crumpled horn   That tossed the dog that worried the cat   That killed the rat that ate the malt   That lay in the house that Jack built .     This is the farmer sowing his corn   That kept the rooster that crowed in the morn   That woke the judge all shaven and shorn   That married the man all tattered and torn   That kissed the maiden all forlorn   That milked the cow with the crumpled horn   That tossed the dog that worried the cat   That killed the rat that ate the malt   That lay in the house that Jack built .     This is the horse and the hound and the horn   That belonged to the farmer sowing his corn   That kept the rooster that crowed in the morn   That woke the judge all shaven and shorn   That married the man all tattered and torn   That kissed the maiden all forlorn   That milked the cow with the crumpled horn   That tossed the dog that worried the cat   That killed the rat that ate the malt   That lay in the house that Jack built .    Some versions use `` cheese '' instead of `` malt '' , `` priest '' instead of `` judge '' , `` cock '' instead of `` rooster '' , the older past tense form `` crew '' instead of `` crowed '' , or `` chased '' in place of `` killed '' . Also in some versions the horse , the hound , and the horn are left out and the rhyme ends with the farmer .   Narrative technique ( edit )  This Is the House That Jack Built illustrated by Randolph Caldecott  It is a cumulative tale that does not tell the story of Jack 's house , or even of Jack who built the house , but instead shows how the house is indirectly linked to other things and people , and through this method tells the story of `` The man all tattered and torn '' , and the `` Maiden all forlorn '' , as well as other smaller events , showing how these are interlinked .   Origins ( edit )   It has been argued that the rhyme is derived from an Aramaic hymn Chad Gadya ( lit. , `` One Young Goat '' ) in Sepher Haggadah , first printed in 1590 ; but although this is an early cumulative tale that may have inspired the form , the lyrics bear little relationship . It was suggested by James Orchard Halliwell that the reference to the `` priest all shaven and shorn '' indicates that the English version is probably very old , presumably as far back as the mid-sixteenth century . There is a possible reference to the song in The Boston New Letter of 12 April 1739 and the line : `` This is the man all forlorn , &amp;c '' . However , it did not appear in print until it was included in Nurse Truelove 's New - Year 's - Gift , or the Book of Books for Children , printed in London in 1755 . It was printed in numerous collections in the late eighteenth and early nineteenth centuries . Randolph Caldecott produced an illustrated version in 1878 .   Cherrington Manor , a handsome timber - framed house in North East Shropshire , England , is reputed to be the actual house that Jack built . There is a former malt house in the grounds .   Syntactic structure ( edit )   Each sentence in the story is an example of an increasingly deeply nested relative clause . The last version , `` This is the horse ... '' , would be quite difficult to untangle if the previous ones were not present . See the Noun Phrase for more details about postmodification of the noun phrase in this manner .   References in popular Culture ( edit )  Illustration by Walter Crane      This section indiscriminately collects miscellaneous information . Please compress this material to remove any irrelevant or unimportant information . ( March 2017 )     The rhyme continues to be a popular choice for illustrated children 's books , with recent examples by Simms Taback and Quentin Blake showing how illustrators can introduce a fresh angle and humour into a familiar tale . The popularity of the rhyme can be seen in its use in a variety of other cultural contexts , including :   In literature and journalism ( edit )    Samuel Taylor Coleridge used it as the basis of a self - parody published in 1797 under the name Nehemiah Higginbotham . This was one of three sonnets , the other two parodying Charles Lamb and Charles Lloyd . Beginning `` And this reft house is that the which he built / Lamented Jack ! And here his malt he piled / Cautious in vain ! '' it piled together phrases from Coleridge 's serious work put to ludicrous use .   An adaptation by Frederick Winsor appeared in The Space Child 's Mother Goose ( 1958 ) as `` This is the theory Jack built . '' It commented on the progress of science by describing the creation , obfuscation , and eventual destruction of a flawed theory .   The poem `` The Responsibility '' by Peter Appleton parodies this rhyme to make a social comment about the manufacture of weapons .   The poem `` Château Jackson '' by Irish poet Louis MacNeice , in The Burning Perch collection , is a reinterpretation based on the same cumulative process . It starts with `` Where is the Jack that built the house '' .   The twelfth Torchwood novel is titled The House that Jack Built .   The news stories in 2006 about the shady dealings of lobbyist Jack Abramoff led to editorials about `` the house that Jack built '' .   There is a political version with Hillary Clinton in it .   Laurie Faria Stolarz referenced it in her book Blue is for Nightmares . One of the main characters receives an e-mail from an ex-boyfriend with a link to an animation of the poem .   Louisa May Alcott in her novel Little Women says the `` ' cow with a crumpled horn ' used to invite rash youths to come and be tossed . ''   In the graphic novel From Hell by Alan Moore , Inspector Frederick Abberline refers to his house as `` the house Jack built '' noting the role of Jack the Ripper in financing his home .   In The New Adventures of Sherlock Holmes , an adventure titled `` The House that Jack Built '' written by Edward Wellen . Holmes battles Moriarty within the mind of an `` idiot savant '' frequently visualizing these lyrics to navigate a mental labyrinth .   Mystery author Ed McBain published one of his `` Matthew Hope '' novels with the name The House that Jack Built in 1988 . Practically every character had a corresponding counterpart to one in the original poem -- an unpleasant heavyset older woman with a faulty hearing aid represented `` the cow with the crumpled horn , '' for example .   One of the rhymes remembered by Mr Charrington in George Orwell 's Nineteen Eighty - Four .   Mentioned in A Tale of Two Cities by Charles Dickens ( `` A Hand at Cards '' , Book the Third , Ch . VIII )   The House that Jack Built was chosen as the English title for the first book in the Lars Winkler crime series by Danish author Jakob Melander .   An unflattering 1819 caricature of the Prince Regent by George Cruikshank , illustrating `` The Political House that Jack Built '' .   `` The Atom that Bohr built '' was a poem written in the style of the original as part of the printed tribute , or ' festschrift ' to Niels Bohr on his 50th birthday ( 1935 ) called `` The Journal of Jocular Physics . ''    In politics ( edit )    One of the `` Political Miscellanies '' associated with the Rolliad , an eighteenth - century British satire , was `` This Is the House That George Built '' , referring to George Nugent Grenville , Marquess of Buckingham , who had briefly supported William Pitt the Younger into government before resigning from office . The parody is attributed to Joseph Richardson .   Thomas Jefferson , prior to serving as President , first used it to criticize the broad construction approach of the Necessary and Proper Clause of the U.S. Constitution with respect to a bill to grant a federal charter to a mining company . The term was used to suggest that the expansion of federal powers under these arguments would give the federal government infinite powers . `` Congress are authorized to defend the nation . Ships are necessary for defense ; copper is necessary for ships ; mines , necessary for copper ; a company necessary to work the mines ; and who can doubt this reasoning who has ever played at ' This is the House that Jack Built ' ? Under such a process of filiation of necessities the sweeping clause makes clean work . ''   A British Radical satire , published in 1819 in response to public outrage over the Peterloo Massacre , was `` The Political House That Jack Built , '' written by William Hone and illustrated by George Cruikshank .   In 1863 , David Claypoole Johnston published a cartoon `` The House that Jeff Built '' , a satirical denunciation of Jefferson Davis , slavery , and the Confederacy .   During The Great War , British Propaganda promoted the following version of the rhyme :     This is the house that Jack built .   This is the bomb that fell on the house that Jack built .   This is the Hun who dropped the bomb that fell on the house that Jack built .   This is the gun that killed the Hun who dropped the bomb that fell on the house that Jack built .    In television and Film ( edit )    A 1959 Warner Brothers cartoon is entitled The Mouse that Jack Built . It is a parody of The Jack Benny Show , whose stars supply the voices of mouse caricatures of themselves .   In 1966 an episode of The Avengers was titled `` The House That Jack Built '' .   A 1967 animated short The House That Jack Built was nominated for an Academy Award for Best Animated Short Film .   A 1976 Soyuzmultfilm cartoon The House That Jack Built nominated on International Short Film Festival Oberhausen at 1977   The climax of the first adventure of the British fantasy series Sapphire &amp; Steel hinged on the recitation of the rhyme .   A public information film from the 1970s -- 1980s about fire safety was entitled The House That Jack Built , and was presented as an animated book containing the story of how a house ( built by a man named Jack ) burnt down in the night due to an unguarded fire and open doors , which resulted in the deaths of Jack 's wife and newborn baby . The ending of the advert urges viewers to buy a smoke alarm and follow fire safety plans .   In episode 3.05 of the TV show Frasier , actor Kelsey Grammer as the character Frasier says : `` I cut myself because I was shaving without water . And why was there no water ? Because I had to move your chair which gouged the floor which made me call for Joe who found bad pipes which called for Cecil who ate the cat who killed the rat that lived in the house that Frasier built ! ''   In Lars von Trier 's The Element of Crime the prostitute Kim tells the poem to a child . Both are being kept in a cage at Frau Gerdas Whorehouse in Halbestadt .   The rhyme was referenced in the classic Doctor Who serial The Seeds of Doom by the Fourth Doctor and companion Sarah Jane Smith to mock the villains who were trying to force information out of them .    In popular Music ( edit )    In 1967 Alan Price had an international chart hit with his song `` The House that Jack Built '' . It reached # 4 in the UK , # 12 in Ireland , # 26 in the Netherlands and # 38 in Germany .   Aretha Franklin had a number - six pop and number - two R&amp;B hit single with `` The House That Jack Built '' ( not a version of the rhyme ) in 1968 .   English singer Tracie Young had a hit single with `` The House That Jack Built '' ( not a version of the rhyme ) in 1983 .   In 1987 the Australian band The Go - Betweens released the album Tallulah containing the song `` The House that Jack Kerouac built '' .   In 1987 a pioneering house music act under the name ' Jack N Chill ' released a single called `` The Jack That House Built '' , which has since been sampled and re-mixed into many other songs ( particularly in the house genre ) .   In 1987 near the end of the track `` Home '' by Roger Waters on his Radio K.A.O.S. CD , he makes a reference to it . It is done in similar fashion to the original prose - only mentioning Jack after a lengthy list of other references to the idea of Home .   In 1995 Clutch released the song `` The House that Peterbilt '' , a reference to the truck company .   In 1996 Metallica released the album Load containing a song called `` The House Jack Built '' .   The Capitol Steps created and performed a parody called `` The House That Jack Bribed '' , also referring to Jack Abramoff .   The lyrics of the song `` Alla Fiera Dell'Est '' ( `` At the Eastern Fair '' ) by Italian songwriter Angelo Branduardi , show a marked resemblance to ' The House that Jack Built '   In the Danish movie After the Wedding by Susanne Bier , volunteer worker Jacob teaches English to the children in an orphanage in India by using `` The House that Jack Built '' .   The second studio album by indie band , The Heavy is named The House That Dirt Built , a satirisation of ' The House That Jack Built ' .   The fourth song by A Day to Remember on their 2010 studio album , What Separates Me from You , is named `` This is the House That Doubt Built '' .   The fifth song by Jesca Hoop on her 2012 album The House That Jack Built , is named `` The House That Jack Built '' .    In sports ( edit )    The former stadium of the New York Yankees , Yankee Stadium , was nicknamed `` The house that Ruth built '' . Babe Ruth 's tremendous drawing power made the stadium possible .    Others ( edit )    The Nostalgia Critic used to quote the poem in his earlier videos .    See also ( edit )    Children 's literature portal     Cumulative song   Chad Gadya   The Twelve Days of Christmas ( song )   There Was an Old Lady Who Swallowed a Fly    References ( edit )    Jump up ^ D.L. Ashliman , The House That Jack Built : an English nursery rhyme of folktale type 2035   ^ Jump up to : I. Opie and P. Opie , The Oxford Dictionary of Nursery Rhymes ( Oxford University Press , 1951 , 2nd edn. , 1997 ) , pp. 229 - 32 .   Jump up ^ James Orchard Halliwell - Phillipps , Popular Rhymes and Nursery Tales : A Sequel to the Nursery Rhymes of England , p. 6 . Retrieved 6 October 2014 .   Jump up ^ English Translation of Hebrew source . Retrieved 6 October 2014 .   Jump up ^ William S. Baring - Gould and Ceil Baring - Gould , The Annotated Mother Goose ( New York , 1962 ) , p. 25 .   Jump up ^ Twinkletrax Children 's Songs .   Jump up ^ Taback , Simms ( 2004 ) . This is the house that Jack built ( null ed . ) . New York : Puffin Books . ISBN 978 - 0 - 14 - 240200 - 9 .   Jump up ^ Blake , John Yeoman ; illustrated by Quentin ( 1996 ) . The do - it - yourself house that Jack built ( null ed . ) . London : Puffin Books . ISBN 978 - 0 - 14 - 055323 - 9 .   Jump up ^ Peter Appleton , `` The Responsibility , '' in 20th Century Poetry and War .   Jump up ^ Reynolds , Paul ( 4 January 2006 ) . `` The hum you hear is from lobbyists '' . BBC News . Retrieved 2006 - 06 - 05 .   Jump up ^ Suspended in Language ( 2004 ) Jim Ottaviani and Leland Purvis . pub G.T. Labs   Jump up ^ `` Project Gutenberg '' .   Jump up ^ Marcus Wood , Radical Satire and Print Culture 1790 - 1822 , Oxford : Clarendon Press , 1994 , ISBN 0 - 19 - 811278 - 5   Jump up ^ ( 1 )   Jump up ^ `` Internet Movie Database '' . IMDb. 4 April 1959 . Retrieved 6 October 2014 .   Jump up ^ `` Internet Movie Database '' . IMDb. 5 March 1966 . Retrieved 15 May 2015 .   Jump up ^ Tunis , Ron ( 1967 ) . `` The House That Jack Built '' . National Film Board of Canada . Retrieved 2009 - 06 - 09 .   Jump up ^ `` Sapphire and Steel - The TV Series '' . h2g2 The Hitchhiker 's Guide to the Galaxy : Earth Edition . Retrieved 2016 - 08 - 26 .   Jump up ^ `` Episode 3.05 - Kisses Sweeter Than Wine '' . Frasier Online Episode Guide . Retrieved 2010 - 09 - 26 .   Jump up ^ Aretha Franklin , `` The House That Jack Built '' Chart Positions Retrieved 20 September 2013   Jump up ^ `` EMP Museum - Music + Sci - fi + Pop Culture '' .   Jump up ^ `` METALLICA - Encyclopedia Metallica - Song Info - The House That Jack Built : '' . Encycmet.com . Retrieved 2011 - 11 - 24 .   Jump up ^ http://adtr.com/releases/what_separates_me_from_you   Jump up ^ `` BBC - Music - Review of Jesca Hoop - The House That Jack Built '' . Retrieved 6 October 2014 .   Jump up ^ `` Yankee stadium history '' . New York Yankees . Retrieved 6 October 2014 .    External links ( edit )    The House That Jack Built ~ Photographs of Advertising from 1897 for Dr. J.C. Ayer &amp; Co   The House That Jack Built Resources on the Web   `` Lyrics , Origins and History of ' The House That Jack Built ' '' . Anthology of Kid 's Songs , Lullabies and Nursery Rhymes . TwinkleTrax Children 's Songs . 2011 . Retrieved 30 April 2011 .   Retrieved from `` https://en.wikipedia.org/w/index.php?title=This_Is_the_House_That_Jack_Built&amp;oldid=802754380 '' Categories :   Jack tales   English nursery rhymes   Roud Folk Song Index songs   Hidden categories :   Articles with trivia sections from March 2017   All articles with trivia sections   All articles with unsourced statements   Articles with unsourced statements from October 2016   Articles with unsourced statements from July 2011   Use dmy dates from July 2011           Talk                                           Contents                   About Wikipedia                                           فارسی   Русский   Edit links   This page was last edited on 28 September 2017 , at 07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</si>
  <si>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milked the cow with the crumpled horn</t>
  </si>
  <si>
    <t xml:space="preserve">  This is the maiden all forlorn   That milked the cow with the crumpled horn   That tossed the dog that worried the cat   That killed the rat that ate the malt   That lay in the house that Jack built .  </t>
  </si>
  <si>
    <t xml:space="preserve">Pakistani general election , 2018 - wikipedia  Pakistani general election , 2018     Pakistani general election , 2018          ← 2013   25 July 2018   Next →        ← outgoing members elected members →     All 342 seats in the National Assembly 172 seats needed for a majority     Opinion polls     Turnout   51.6 % ( 3.4 pp )            First party   Second party   Third party               Leader   Imran Khan   Shehbaz Sharif   Bilawal Bhutto Zardari     Party   PTI   PML ( N )   PPP     Leader since   25 April 1996   6 March 2018   30 December 2007     Leader 's seat   Mianwali - I   Lahore - X   Larkana - I     Last election   35 seats , 16.92 %   166 seats , 32.77 %   42 seats , 15.23 %     Seats won   149 / 342   82 / 342   54 / 342     Seat change   114   84   12     Popular vote   16,903,702   12,934,589   6,924,356     Percentage   31.82 %   24.35 %   13.03 %     Swing   14.90 pp   8.42 pp   2.29 pp               Prime Minister before election  Shahid Khaqan Abbasi PML ( N )    Elected Prime Minister  Imran Khan PTI         General elections were held in Pakistan on Wednesday 25 July , after the completion of a five - year term by the outgoing government . At the national level , elections were held in 270 constituencies , each electing one member to the National Assembly . At the provincial level , elections were held in each of the four provinces to elect Members of the Provincial Assemblies ( MPA ) .   As a result of the elections , the Pakistan Tehreek - e-Insaf ( PTI ) became the single largest party at the national level both in terms of popular vote and seats . At the provincial level , the PTI became the largest party in Punjab and remained the largest party in Khyber Pakhtunkhwa ( KP ) ; the Pakistan Peoples Party ( PPP ) remained the largest party in Sindh and the newly - formed Balochistan Awami Party ( BAP ) became the largest party in Balochistan .   Opinion polling had consistently shown leads for the Pakistan Muslim League ( N ) ( PML - N ) over the PTI . From a 11 - point lead , the PML - N 's lead began to diminish in the final weeks of the campaign , with some polls close to the election showing PTI with a lead . In the final result , the PTI made a net gain with 31.82 % of the vote ( its highest share of the vote since its foundation ) , whilst the PML - N made a net loss with 24.35 % . In the lead - up to the elections , there had been allegations by some international journalists and scholars about pre-poll rigging being conducted by the judiciary , the military and the intelligence agencies to sway the election results in favour of the PTI and against the PML - N. Almost all parties , excluding Pakistan Tehreek - e-Insaf , alleged large - scale vote rigging and administrative malpractices .   However , Election Commission of Pakistan ( ECP ) outrightly rejected such reports and stated that elections were conducted fair and free . A top electoral watchdog , Free and Fair Election Network ( Fafen ) , also said that the 2018 general elections in Pakistan have been `` more transparent in some aspects '' than the previous polls . The European Union Election Observation Mission said , in its preliminary report , that no rigging has been found during the election day in general , however , `` lack of equality of opportunity '' in the pre-election campaign , and there were systematic attempts to undermine the ruling party PML - N. The European Union assessed the conduct of polling on election day as `` transparent '' .   Contents    1 Background   1.1 2013 elections   1.2 Azadi March ( 2014 )   1.3 Panama Papers case ( 2016 )   1.4 Disqualification of Nawaz Sharif ( 2017 )     2 Electoral system   2.1 Electoral reforms     3 Contesting parties   4 Campaign   4.1 Major by - elections ( 2017 -- 2018 )   4.1. 1 Lahore by - election , September 2017   4.1. 2 Peshawar by - election , October 2017   4.1. 3 Lodhran by - election , 2018     4.2 Pakistan Muslim League -- N   4.3 Pakistan Tehreek - i - Insaf   4.4 Pakistan Peoples Party   4.5 Campaigning   4.5. 1 Nomination papers       5 Opinion polls   6 Conduct   6.1 Pre-election violence   6.2 Election day violence   6.3 Allegations of election meddling   6.3. 1 Pre-poll   6.3. 2 Election day       7 Results   7.1 National Assembly     8 Government formation   8.1 Election for Speakers of the National Assembly   8.2 Election for Prime Minister     9 Reactions   9.1 Domestic   9.2 Economic   9.3 International     10 See also   11 References    Background ( edit )   2013 elections ( edit )  Further information : Pakistani general election , 2013 § Results  Following the elections in 2013 , Pakistan Muslim League ( Nawaz ) , led by twice Prime Minister of Pakistan Nawaz Sharif , emerged as the largest party with 166 seats out of a total of 342 in the National Assembly . Although this was short of a majority , Sharif was able to form a government after several independents joined his party .   During the election campaign , Pakistan Tehreek - e-Insaf ( PTI ) , led by prominent cricketer turned politician Imran Khan , was widely expected to have huge success in the polls . The party fell short of these expectations , instead only taking 35 seats . It became the 3rd largest party in the National Assembly and formed a coalition government in the restive north - western province of Khyber Pakhtunkhwa .   Azadi March ( 2014 ) ( edit )  Further information : Azadi March  PTI had initially conceded the elections to PML ( N ) , although they asked for manual recounts to be carried out in several constituencies where rigging had been allegedly carried out . These calls were not answered by the government or the Supreme Court , despite a 2,100 page white paper by the party which allegedly contained evidence of vote - rigging in favour of the PML ( N ) . An ' Azadi March ' was started by Khan on 14 August 2014 which demanded the government to call a snap election . The sit - in in Islamabad continued for 126 days , until the 2014 Peshawar school massacre occurred , which forced Khan to end the protest for the sake of ' national unity ' . A judicial commission was formed by the government which would probe the allegations of vote - rigging : it found the election to have been largely conducted in a free and fair manner , while also stating that PTI 's request for a probe was not `` entirely unjustified '' .   Panama papers Case ( 2016 ) ( edit )  Further information : Panama Papers case  On 3 April 2016 the International Consortium of Investigative Journalists ( ICIJ ) made 11.5 million secret documents , later known as the Panama Papers , available to the public . The documents , sourced from Panamanian law firm Mossack Fonseca , among other revelations about other public figures in many other countries , included details of eight offshore companies with links to the family of Nawaz Sharif , the then - incumbent Prime Minister of Pakistan , and his brother Shehbaz Sharif , the incumbent Chief Minister of Punjab . According to the ICIJ , Sharif 's children Maryam Nawaz , Hassan Nawaz and Hussain Nawaz `` were owners or had the right to authorise transactions for several companies '' .   Sharif refused to resign and instead make an unsuccessful attempt to form a judicial commission . The opposition leader Khan filed a petition to the Supreme Court of Pakistan on 29 August seeking the disqualification of Sharif from the premiership and as a member of the National Assembly . Political leaders Sheikh Rasheed and Siraj - ul - Haq also supported this petition . Khan called , once again , for his supporters to put Islamabad in lockdown until Sharif resigned , although this was called off soon before it was meant to take place .   On 20 April 2017 , on a 3 - 2 verdict , the Supreme Court decided against the disqualification of Sharif , instead calling for a Joint Investigation Team ( JIT ) to be created which would probe these allegations further .   On 10 July 2017 , JIT submitted a 275 - page report in the apex court . The report requested NAB to file a reference against Sharif , his daughter Maryam , and his sons under section 9 of National Accountability Ordinance . Additionally , the report claimed that his daughter Maryam was guilty of falsifying documents , as she submitted a document from 2006 which used the Calibri font despite the font itself not being available for public use until 2007 .   Disqualification of Nawaz Sharif ( 2017 ) ( edit )   On 28 July 2017 , following the submittal of the JIT report , the Supreme Court unanimously decided that Sharif was dishonest , therefore not fulfilling the requirements of articles 62 and 63 of the constitution which require one who holds public office to be Sadiq and Ameen ( Urdu for Truthful and Virtuous ) . Hence , he was disqualified as Prime Minister and as a Member of the National Assembly . The court also ordered National Accountability Bureau to file a reference against Sharif , his family and his former Finance Minister Ishaq Dar on corruption charges .   Electoral system ( edit )   The 342 members of the National Assembly are elected by two methods in three categories ; 272 are elected in single - member constituencies by first - past - the - post voting ; 60 are reserved for females and 10 for religious minority groups ; both sets of reserved seats use proportional representation with a 5 % electoral threshold . This proportional number , however , is based on the number of seats won rather than votes cast . To win a simple majority , a party would have to take 137 seats .   The 2018 General Elections were held under new delimitation of constituencies as a result of 2017 Census of Pakistan . Parliament of Pakistan amended the Constitution , allowing a one - time exemption for redrawing constituency boundaries using 2017 provisional census results . As per the notification issued on 5 March 2018 , the Islamabad Capital Territory ( ICT ) now has three constituencies , Punjab 141 , Sindh 61 , Khyber Pakhtunkhwa 39 , Balochistan 16 and Federally Administered Tribal Areas ( FATA ) has 12 constituencies in the National Assembly . 106 million people were registered to vote for members of the National Assembly of Pakistan and four Provincial Assemblies .   Likewise for elections to provincial assemblies , Punjab has 297 constituencies , Sindh 130 , Khyber Pakhtunkhwa 99 and Balochistan 51 .   Electoral reforms ( edit )   In June 2017 the Economic Coordination Committee approved the procurement of new printing machines with a bridge loan of 864 million rupees . The government has also developed new software for the Election Commission of Pakistan and NADRA to ensure a `` free , fair , impartial , transparent and peaceful general election . '' The former Federal Law Minister Zahid Hamid elaborated that youth reaching the age of 18 will automatically be registered as voters when they apply for a CNIC from NADRA .   Contesting parties ( edit )     Party   Political Position   Leader   Seats won previously ( FPTP )       Pakistan Muslim League ( N )   Centre - right   Shehbaz Sharif   126       Pakistan Peoples Party   Centre - left   Bilawal Bhutto Zardari   33       Pakistan Tehreek - e-Insaf   Centre to Centre - right   Imran Khan   28       Muttahida Qaumi Movement - Pakistan   Left wing   Khalid Maqbool Siddiqui   19       Muttahida Majlis - e-Amal   Far right   Fazl - ur - Rehman   14       Pashtunkhwa Milli Awami Party   Left wing   Mahmood Khan Achakzai         Awami National Party   Left wing   Asfandyar Wali Khan         Pak Sarzameen Party   Left wing   Syed Mustafa Kamal   0       Tehreek Labbaik Pakistan   Far right   Khadim Hussain Rizvi   0       Balochistan Awami Party   Centre   Jam Kamal Khan   0       Grand Democratic Alliance   Big tent   Pir Pagaro   0       Balochistan National Party ( Mengal )   Left wing   Akhtar Mengal   0     Campaign ( edit )   Major by - elections ( 2017 -- 2018 ) ( edit )   Following the disqualification of Nawaz Sharif , several by - elections were held throughout Pakistan .  Lahore by - election , September 2017 ( edit )  The first of these was the by - election in Sharif 's former constituency , NA - 120 Lahore , which is located in the capital city of the Punjab province , a province where the PML ( N ) was the ruling party . It retained this seat , albeit with a much reduced majority due to gains by the PTI and minor Islamist parties .  Peshawar by - election , October 2017 ( edit )  The second of these was a by election in Peshawar , capital city of the Khyber Pakhtunkhwa province , where the Pakistan Tehreek - e-Insaf was the ruling party . NA - 4 once again voted for PTI , despite a reduced majority : once again mainly due to the rise of Islamist parties . These by - elections largely were largely seen as indicators that the ruling parties in both Khyber Pakhtunkhwa and Punjab were still electorally strong .  Lodhran by - election , 2018 ( edit )  On 15 December 2017 , Jahangir Khan Tareen , General Secretary of the PTI , was disqualified from holding public office . Hence , his NA - 154 Lodhran seat was vacated .   In a previous by - election in this constituency in 2015 , Tareen won this seat with a majority in excess of 35,000 votes . Therefore , this seat was seen as a stronghold for the PTI .   In what was seen as an upset result , Iqbal Shah of the PML ( N ) won this by - election with a majority over 25,000 votes against Jahangir Tareen 's son , Ali Tareen . Many saw this as a failure on the PTI 's behalf , and the result led to a drop in morale for PTI workers .   Pakistan Muslim League -- N ( edit )   Pakistan Muslim League -- N launched its election campaign on 25 June 2018 from Karachi . On 5 July 2018 , PMLN unvieled its election manifesto .   Pakistan Tehreek - i - Insaf ( edit )   Pakistan Tehreek - i - Insaf started its election campaign on 24 June 2018 from Mianwali . On 9 July 2018 , Imran Khan launched PTI 's election manifesto . On 23 July 2018 , PTI concluded its electioneering with rallies in Lahore .   Pakistan Peoples party ( edit )   On 28 June 2018 , PPP became the first political party to unviel its election manifesto . PPP kicked off its election campaign on 30 June 2018 , as Bilawal inaugurated their election office in Lyari , Karachi .   Campaigning ( edit )   The National Assembly and provincial assemblies of Pakistan dissolved as early as 28 May for Khyber Pakhtunkhwa and Sindh , and as late as 31 May for Punjab , Balochistan , and the National Assembly .   The assemblies dissolved during the holy month of Ramadan , a month where Muslims worldwide refrain from eating or drinking from sunrise to sundown . Hence , most major parties did not start campaigning until late June .  Nomination papers ( edit )  On 4 June , parties and individuals started filing nomination papers for the elections . This process continued until 8 June . After this , the returning officer in each constituency began scrutiny of the nominated candidates and decided whether or not to accept the nomination papers .   The scrutiny resulted in many high - profile politicians having their nomination papers rejected : Imran Khan ( chairman of PTI ) , Farooq Sattar ( chairman of Muttahida Qaumi Movement ( Pakistan ) ( MQM - P ) and Pervez Musharraf ( chairman of All Pakistan Muslim League and former President ) , had their nomination papers rejected . Both Sattar and Khan had their nomination papers later accepted .   Additionally , politicians Fawad Chaudhry ( Information Secretary of PTI ) and Shahid Khaqan Abbasi ( former Prime Minister ) were disqualified from contesting these elections by election tribunals due to the non declaration of assets in their nomination papers . This was controversial because election tribunals were seen as not having the jurisdiction to disqualify candidates , rather only to accept or reject their nomination papers . The Lahore High Court eventually overturned these judgements and allowed the respective candidates to contest their elections . Two major politicians of Tehreek - e-Insaf from Chakwal , Sardar Ghulam Abbas and Sardar Aftab Akbar Khan were disqualified to contest elections producing major problem in Chakwal district for the party .   Opinion polls ( edit )  Main article : Opinion polling for the Pakistani general election , 2018 Each coloured line specifies a political party and how strong their voting intention is nationwide for the National Assembly , based on a 3 - point moving average . Parties which poll below 10 % are not shown . Pakistan Muslim League ( N ) Pakistan Tehreek - e-Insaf Pakistan Peoples Party    Date   Pollster   Publisher   Sample   PML - N   PTI   PPP   MQM - P   MMA *   ANP   Others   Lead                   25 July 2018   Election 2018   ECP   53,123,733   24.35 %   31.82 %   13.01 %   1.38 %   4.81 %   1.53 %   22.98 %   7.47 %     12 July 2018   SDPI   Herald   6,004   25 %   29 %   20 %   N / A   3 %   1 %   20 %   4 %     4 July 2018   IPOR   GSP   3,735   32 %   29 %   13 %   2 %   3 %   1 %   20 %   3 %     6 June 2018   Gallup Pakistan   Geo / Jang   3,000   26 %   25 %   16 %   N / A   2 %   1 %   30 %   1 %     28 May 2018   Pulse Consultant   3,163   27 %   30 %   17 %   1 %   4 %   1 %   20 %   3 %     May 2018   Gallup Pakistan   Self   3,000   38 %   25 %   15 %   22 %   13 %     Mar 2018   Gallup Pakistan   WSJ   2,000   36 %   24 %   17 %   23 %   12 %     1 November 2017   Gallup Pakistan   Geo / Jang   3,000   34 %   26 %   15 %   2 %   2 %   2 %   19 %   8 %     25 October 2017   Pulse Consultant   3,243   36 %   23 %   15 %   2 %   1 %   1 %   22 %   13 %     24 October 2017   IPOR   GSP   4,540   38 %   27 %   17 %   3 %   1 %   1 %   14 %   11 %     11 May 2013   Election 2013   ECP   45,388,404   32.77 %   16.92 %   15.23 %   5.41 %   3.22 %   1.00 %   25.57 %   15.85 %     * Muttahida Majlis - e-Amal is an alliance of Islamist political parties , formed in 2002 and dissolved after the 2008 elections . The restoration of this alliance occurred in December 2017 . Polls conducted before the restoration show the sum for Jamiat Ulema - e-Islam ( F ) , the major political party in this alliance .   Conduct ( edit )   There were 272 national and 577 provincial assembly constituencies , contested by over 3,600 and 8,800 candidates respectively . A total of 811,491 staff were deployed for election duties as presiding officers , assistant presiding officers , and polling officers , in addition to 371,000 armed forces personnel who provided security duties alongside police and other law enforcement agencies . There were 85,317 polling stations set up , comprising over 242,000 polling booths .   Pre-election violence ( edit )    In the beginning of July , a bombing took place in Ramzak tehsil of North Waziristan at the office of Malik Aurangzeb Khan , PTI 's candidate for NA - 48 ( Tribal Area - IX ) leaving 10 people injured .   On 7 July , a bomb planted in a motorcycle was remotely exploded at an election campaign of Muttahida Majlis - e-Amal 's PK -- 89 candidate Shein Malik in the Takhti Khel area of the Bannu .   On 10 July , a suicide bombing attack claimed by Tehrik - i - Taliban Pakistan ( TTP ) on political rally of Awami National Party ( ANP ) in Yakatoot neighborhood of Peshawar left twenty people dead and sixty three others injured . Among the killed was ANP 's Khyber Pakhtunkhwa Assembly candidate , Haroon Bilour . Following Bilour 's death , elections for Constituency PK - 78 were postponed to an disclosed date by the Election Commission .   On 12 July , a spokesperson for former Member of National Assembly Alhaj Shah Jee Gul Afridi was killed and another citizen was injured after unidentified men opened fire at the spokesperson 's car in Peshawar . On the same day , the Balochistan Awami Party ( BAP ) 's office in Khuzdar came under gunfire before a bomb detonated injuring 2 people .   On 13 July , two separate bombings on election rallies in Mastung and Bannu left 154 people dead and injured more than 220 others . In Bannu , 4 citizens were killed and 10 were injured after a planted bomb exploded near the car of JUI - F candidate Akram Khan Durrani . In Mastung , a suicide bomber affiliated with Islamic State of Iraq and the Levant ( ISIL ) blew himself up at the election rally of Balochistan Awami Party 's candidate for the Balochistan Assembly , Nawabzada Siraj Raisani , killing him and 148 others people and injured over 186 .   On 22 July , PTI 's candidate for constituency PK - 99 Ikramullah Gandapur and his driver were killed after a suicide bomber blew himself near his car as he was headed towards a corner meeting in the outskirts of Dera Ismail Khan . The same day , unknown gunmen opened fires on the vehicle of Durrani in Bannu . No one was hurt during firing as the vehicle was bulletproof . This was second unsuccessful attempt to assassinate Durrani and third terrorist incident in the city in the span of two weeks .   On 24 July , four people were killed including three Pakistani Army soldiers in Kech District , Balochistan .    Election day violence ( edit )  Main article : Pakistani general election , 2018 violence   On 25 July , during polling in Quetta , a bomb went off which resulted in 31 people being killed and 35 injured .   In Swabi , a city in the northern province of Khyber Pakhtunkhwa , one person was killed and three injured after PTI supporters exchanged fire with those from the secularist Awami National Party ( ANP ) .   At least three other people were injured in a grenade attack outside a polling station in Larkana , in the southern province of Sindh .   In Khanewal , a man was shot dead and another one was injured in a political clash . Several more people were injured in 7 other incidents .    Allegations of election meddling ( edit )  Pre-poll ( edit )  There have been allegations by some international journalists and scholars , claiming that there was a plan between judiciary and military bodies to influence the outcome of the election . These allegations were also made by the outgoing PML - N following Nawaz Sharif 's disqualification for corruption . It was suggested that alleged goal of these attempts was to halt the party of Nawaz Sharif from coming into power and to bring the results in favor of PTI , so that Imran Khan -- who is alleged as close to the military -- can be installed as the prime minister . Khan has denied these allegations as a `` foreign conspiracy '' and `` against the facts '' , while the military also categorically rejected them . There have been claims of PML ( N ) 's campaign material being ripped apart by authorities while leaving alone material belonging to PTI . There have been suggestions that candidates belonging to PML ( N ) have been coerced by ISI to switch to those parties whose future government can be better controlled by military . On the last day of scrutiny of nomination papers , seven PML ( N ) candidates from Southern Punjab returned their tickets leaving no option for PML ( N ) to field replacement candidates , depriving them an opportunity to win those seats . There have also been reports of election engineering by army and intelligence agencies in Balochistan province in favor of Balochistan Awami Party .   Reports further suggested that there was evidence of collusion between the judiciary and military , in that two military officials were appointed to the Joint Investigation Team to investigate corruption allegations against former prime minister Nawaz Sharif , which were further strengthened by the circumstances of the Avenfield case verdict against the Sharifs . Justice Shaukat Aziz Siddiqui , an Islamabad High Court senior justice , released a statement on 22 July alleging that judges were pressured by ISI not to release Sharif before the election . However , he provided no evidence and was at the time facing corruption and misconduct charges pending at the Supreme Judicial Council , leading to rumours about the timing of his statement . Pakistan 's Chief Justice Saqib Nisar said he felt `` saddened '' at Siddiqui 's comments , and whilst criticising them , stated that `` as the head of judiciary , I assure you that we are not under any sort of pressure '' . There have been allegations that the micromanagement of political parties and the censorship of the newspapers , social media and TV channels is to further influence the election result . An official from the Human Rights Commission of Pakistan stated that `` The level of army interference and political engineering is unprecedented . '' Another institution , the National Accountability Bureau has been described as being used by military intelligence agencies , including ISI , to bring politicians in line by threatening to bring corruption cases against them . Due to interference by military and intelligence agencies , The Financial Times described these elections as `` the dirtiest in years '' .   Furthermore , the EU observer mission released their report after the election stating that there were `` systematic attempts to undermine the ruling party '' , `` lack of equality of opportunity '' , pressure on the media , far stronger efforts than usual to encourage switching parties and judicial conduct had all negatively influenced the vote .   Some of these allegations have also been made by certain political parties and figures more prominently by PML ( N ) . Among the politicians , Farhatullah Babar has been very vocal against the election meddling by military describing it as a `` creeping coup against civilian authority '' . Raza Rabbani also leveled same allegations including the Election Commission of Pakistan , National Accountability Bureau and security agencies as the culprit behind pre-poll rigging .  Election day ( edit )  Almost all political parties , with the exception of PTI , have alleged large scale election day rigging . The winning PTI have alleged rigging in some constituencies as well . Doubts were raised by unprecedented delays in the declaration of results . The fairness of the election was also criticized due to the Election Commission 's failure to provide Form 45s , official forms which include the tally of votes and are prepared in the presence of political agents of all the candidates . Party leaders alleged that their representatives were barred from polling stations before counting began and the Form 45s were prepared in their absence and behind closed doors . In some instances , the representatives were given results on plain paper instead of official forms . In another instance , the presiding officer signed blank forms , allowing the possibility of results being manipulated afterwards . Independent candidate Jibran Nasir also made similar allegations . There was also an incident of seven people being arrested for alleged vote rigging in Karachi . According to FAFEN observer Sarwar Bari , `` Only one polling agent of every party is allowed when Form 45 is given out by the polling staff , so we ca n't rule out the fact that it could be a misunderstanding . '' A few days after the election , in the NA - 241 ( Korangi Karachi - III ) constituency , ballots cast for candidates of PML ( N ) , PPP , and MQM - P were found in a garbage heap . A PTI candidate won the election in that constituency .   Chairman of winning party Imran Khan pledged that he will allow to open any constituency his opponents think are rigged , he said that opposition has full right into recounting or accountability over election process to ensure transparency .   The Free and Fair Election Network , an election watchdog , said the 2018 polls were `` more transparent '' in some aspects than the previous elections and that `` significant improvements in the quality of critical electoral processes '' inspired `` greater public confidence '' . According to former Indian Chief Election Commissioner S.Y. Quraishi , a member of the international observers group in Pakistan , the election system was transparent , free and fair , and the minor technical glitches which showed up later in the day were due to inexperience .   On 12 August 2018 , it was reported that 90 % of Form - 45s were not signed by any polling agent , which is a violation of Election Act 2017 . However , an ECP spokesperson clarified the discrepancy by stating that there was no designated space on the Form - 45s to obtain the signatures of polling agents . The signatures were instead done on tamper - evident bags that were used to transport the results . For the transparency reasons and to combat controversy surrounding form 45 , election commission of Pakistan published all form 45 publicly on their website .   Results ( edit )   National Assembly ( edit )         Party   Votes   %   Seats     General   Reserved   Total   + / --     Women   Minorities       Pakistan Tehreek - e-Insaf   16,903,702   31.82   116   28   5   149   + 114       Pakistan Muslim League ( N )   12,934,589   24.35   64   16     82   -- 84       Pakistan Peoples Party   6,924,356   13.03   43   9     54   + 12       Muttahida Majlis - e-Amal   2,573,939   4.85   12       15   -- 4       Tehreek - i - Labbaik Pakistan   2,234,316   4.21   0   0   0   0   New       Grand Democratic Alliance   1,260,147   2.37       0     -- 4       Awami National Party   815,998   1.54     0   0     -- 2       Muttahida Qaumi Movement   733,245   1.38   6     0   7   -- 17       Pakistan Muslim League ( Q )   517,408   0.97       0   5   + 3       Balochistan Awami Party   319,348   0.60       0   5   New       Balochistan National Party ( Mengal )   238,817   0.45       0     + 3       Allah - o - Akbar Tehreek   172,120   0.32   0   0   0   0         Sindh United Party   140,303   0.26   0   0   0   0         Pashtunkhwa Milli Awami Party   134,846   0.25   0   0   0   0   -- 4       Pak Sarzameen Party   126,128   0.24   0   0   0   0         Awami Muslim League   119,362   0.22     0   0     0       Pakistan Awami Raj   115,226   0.22   0   0   0   0         Pakistan Muslim League ( F )   72,553   0.14   0   0   0   0         Qaumi Watan Party   57,249   0.11   0   0   0   0         Pakistan Rah - e-Haq Party   55,859   0.11   0   0   0   0         Balochistan National Party ( Awami )   55,206   0.10   0   0   0   0         Tehreek - e-Labbaik Islam   55,155   0.10   0   0   0   0         All Pakistan Muslim League   36,566   0.07   0   0   0   0         Pakistan National Muslim League   35,415   0.07   0   0   0   0         Jamiat Ulama - e-Islam Nazryati   34,247   0.06   0   0   0   0         Pakistan Human Party   34,246   0.06   0   0   0   0         National Party   33,432   0.06   0   0   0   0         Mutahidda Qabail Party   28,469   0.05   0   0   0   0         Jamiat Ulama - e-Islam Pakistan ( S )   24,582   0.05   0   0   0   0         Jamhoori Wattan Party   23,274   0.04     0   0     + 1       Jamiat Ulama - e-Pakistan ( Noorani )   22,145   0.04   0   0   0   0         Mohajir Qaumi Movement Pakistan   21,521   0.04   0   0   0   0         Majlis Wahdat - e-Muslimeen   19,615   0.04   0   0   0   0         Awami Workers Party   17,935   0.03   0   0   0   0         Pakistan Justice and Democratic Party   12,637   0.02   0   0   0   0         Pakistan Kissan Ittehad ( Ch . Anwar )   12,255   0.02   0   0   0   0         Pakistan Peoples Party ( Shaheed Bhutto )   10,032   0.02   0   0   0   0         Hazara Democratic Party   7,942   0.01   0   0   0   0         Pakistan Tehreek - e-Insaf Nazriati   6,755   0.01   0   0   0   0         Pakistan Muslim Alliance   6,703   0.01   0   0   0   0         Pakistan Siraiki Party ( T )   6,523   0.01   0   0   0   0         Pakistan Sunni Tehreek   5,943   0.01   0   0   0   0         Sunni Ittehad Council   5,939   0.01   0   0   0   0         Tehreek Jawanan Pakistan   5,841   0.01   0   0   0   0         Pakistan Awami Inqelabi League   5,046   0.01   0   0   0   0         Roshan Pakistan League   4,267   0.01   0   0   0   0         Tehreek Tabdili Nizam Pakistan   4,161   0.01   0   0   0   0         Pakistan Tehreek - e-Insaf - Gulalai   4,146   0.01   0   0   0   0         Balochistan National Movement   3,971   0.01   0   0   0   0         Tabdeeli Pasand Party Pakistan   3,698   0.01   0   0   0   0         Amun Taraqqi Party   3,646   0.01   0   0   0   0         Jamote Qaumi Movement   3,269   0.01   0   0   0   0         Barabri Party Pakistan   2,702   0.01   0   0   0   0         Move On Pakistan   2,580   0.00   0   0   0   0         All Pakistan Muslim League ( Jinnah )   2,418   0.00   0   0   0   0         Pakistan Falah Party   2,167   0.00   0   0   0   0         Pasban Pakistan   2,154   0.00   0   0   0   0         Pakistan Awami League   1,780   0.00   0   0   0   0   </t>
  </si>
  <si>
    <t xml:space="preserve">how many seats required to make government in pakistan 2018</t>
  </si>
  <si>
    <t xml:space="preserve"> Pakistani general election , 2018          ← 2013   25 July 2018   Next →        ← outgoing members elected members →     All 342 seats in the National Assembly 172 seats needed for a majority     Opinion polls     Turnout   51.6 % ( 3.4 pp )            First party   Second party   Third party               Leader   Imran Khan   Shehbaz Sharif   Bilawal Bhutto Zardari     Party   PTI   PML ( N )   PPP     Leader since   25 April 1996   6 March 2018   30 December 2007     Leader 's seat   Mianwali - I   Lahore - X   Larkana - I     Last election   35 seats , 16.92 %   166 seats , 32.77 %   42 seats , 15.23 %     Seats won   149 / 342   82 / 342   54 / 342     Seat change   114   84   12     Popular vote   16,903,702   12,934,589   6,924,356     Percentage   31.82 %   24.35 %   13.03 %     Swing   14.90 pp   8.42 pp   2.29 pp               Prime Minister before election  Shahid Khaqan Abbasi PML ( N )    Elected Prime Minister  Imran Khan PTI       </t>
  </si>
  <si>
    <t xml:space="preserve">Jurassic World : Fallen Kingdom - wikipedia  Jurassic World : Fallen Kingdom    2018 American science fiction adventure film    Jurassic World : Fallen Kingdom     Theatrical release poster     Directed by   J.A. Bayona     Produced by     Frank Marshall   Patrick Crowley   Belén Atienza       Written by     Derek Connolly   Colin Trevorrow       Based on   Characters by Michael Crichton     Starring     Chris Pratt   Bryce Dallas Howard   Rafe Spall   Justice Smith   Daniella Pineda   James Cromwell   Toby Jones   Ted Levine   B.D. Wong   Isabella Sermon   Geraldine Chaplin   Jeff Goldblum       Music by   Michael Giacchino     Cinematography   Óscar Faura     Edited by   Bernat Vilaplana     Production companies     Universal Pictures   Amblin Entertainment   The Kennedy / Marshall Company   Legendary Pictures   Perfect World Pictures       Distributed by   Universal Pictures     Release date     May 21 , 2018 ( 2018 - 05 - 21 ) ( WiZink Center )   June 22 , 2018 ( 2018 - 06 - 22 ) ( United States )             Running time   128 minutes     Country   United States     Language   English     Budget   $170 -- 187 million     Box office   $1.135 billion     Jurassic World : Fallen Kingdom is a 2018 American science fiction adventure film and the sequel to Jurassic World ( 2015 ) . Directed by J.A. Bayona , it is the fifth installment of the Jurassic Park film series , as well as the second installment of a planned Jurassic World trilogy . Derek Connolly and Jurassic World director Colin Trevorrow both returned as writers , with Trevorrow and original Jurassic Park director Steven Spielberg acting as executive producers .   Set on the fictional Central American island of Isla Nublar , off the Pacific coast of Costa Rica , it follows Owen Grady and Claire Dearing as they rescue the remaining dinosaurs on the island before a volcanic eruption destroys it . Chris Pratt , Bryce Dallas Howard , B.D. Wong , and Jeff Goldblum reprise their roles from previous films in the series , with Rafe Spall , Justice Smith , Daniella Pineda , James Cromwell , Toby Jones , Ted Levine , Isabella Sermon , and Geraldine Chaplin joining the cast .   Filming took place from February to July 2017 in the United Kingdom and Hawaii . Produced and distributed by Universal Pictures , Fallen Kingdom premiered in Madrid on May 21 , 2018 , and was released in the United States on June 22 , 2018 . The film has grossed over $1.1 billion worldwide , making it the third Jurassic film to pass the mark , the third highest - grossing film of 2018 and the 18th highest - grossing film of all time . It received mixed reviews from critics , who praised Pratt 's performance , Bayona 's direction , its visuals , and the `` surprisingly dark moments '' , although many criticized the screenplay and felt the film added nothing new to the franchise , with some suggesting it had run its course . An untitled sequel is set to be released on June 11 , 2021 , with Trevorrow returning to direct .   Contents  ( hide )   1 Plot   2 Cast   3 Production   3.1 Development   3.2 Pre-production   3.3 Writing   3.4 Casting   3.5 Filming   3.6 Creatures on screen     4 Marketing   5 Release   6 Reception   6.1 Box office   6.1. 1 United States and Canada   6.1. 2 Outside North America     6.2 Critical response     7 Sequel   8 References   9 External links    Plot   Shortly after the events of Jurassic World , a small team of mercenaries arrives on the abandoned Isla Nublar to collect DNA from the remains of the Indominus rex at the bottom of the park 's lagoon . After successfully collecting a bone fragment , the team 's survivors barely escape the island following attacks by the Mosasaurus and Tyrannosaurus rex .   Three years later in 2018 , a U.S. Senate hearing in Washington , D.C. debates whether Isla Nublar 's dinosaurs should be saved from an impending volcanic eruption . Mathematician Dr. Ian Malcolm testifies that the dinosaurs should be allowed to perish to correct John Hammond 's mistake of cloning them . Meanwhile , Jurassic World 's former operations manager , Claire Dearing , has created the dinosaur Protection Group to save the animals . After the Senate rules against rescuing the dinosaurs , Hammond 's former partner , Benjamin Lockwood , summons Claire to his Northern California estate . Lockwood and his aide , Eli Mills , reveal a plan to relocate the dinosaurs to a new island sanctuary . Claire is needed to help reactivate the park 's dinosaur tracking system to locate the animals , particularly Blue , the last living Velociraptor . Although they are estranged , Claire recruits Jurassic World 's former Velociraptor trainer and Blue 's alpha , Owen Grady , to help capture her .   On Isla Nublar , Claire and former park technician Franklin Webb get the tracking system online . Owen , paleo - veterinarian Zia Rodriguez , and a mercenary team led by Ken Wheatley search for Blue . Upon finding her , the encounter escalates , resulting in a mercenary shooting Blue and Wheatley tranquilizing Owen . The mercenaries take Zia so she can treat Blue 's injury . Their ship departs for the U.S. mainland as the animals left behind die in the eruption . Claire , Franklin , and Owen sneak aboard in time and , finding Zia , assist her in transfusing Blue with Tyrannosaurus blood . The group now realize the captured dinosaurs were never being transported to a new island and are for another purpose .   Back at the estate , Lockwood 's orphaned pre-teen granddaughter Maisie overhears Mills and auctioneer Gunnar Eversol secretly planning to auction the captured dinosaurs on the black market . They will also unveil the Indoraptor , a new genetically - engineered dinosaur created by geneticist Dr. Henry Wu using Indominus rex and Velociraptor DNA . Wu wants Blue 's DNA to create an enhanced Indoraptor , unaware that Blue 's blood is contaminated . After Maisie informs Lockwood about the auction , he confronts Mills , who murders him . Maisie is later revealed to have been cloned from Lockwood 's deceased daughter and is the reason John Hammond , who opposed human cloning , ended their partnership .   The dinosaurs are transported to Lockwood 's estate and caged . Zia and Franklin evade capture , but Owen and Claire are apprehended and confined . Owen incites a Stygimoloch into breaking open their cell . They find Maisie who leads them to the auction where the Indoraptor is being sold despite Wu 's protests that it is a prototype . Owen disrupts the proceedings by luring the Stygimoloch into the room . In the ensuing chaos , Wheatley tranquilizes the Indoraptor to extract a tooth as a trophy , but it feigns sedation and escapes , killing him , Eversol , and others . The Indoraptor hunts Owen , Claire , and Maisie throughout the mansion . Zia releases Blue , who attacks the Indoraptor , causing it to fall through a glass roof to its death .   When a hydrogen cyanide gas leak threatens the caged animals , Maisie is unable to let them die and frees them despite Owen 's warning . Mills is killed and the Indominus bone destroyed by the Tyrannosaurus . Owen , Claire , Maisie , Zia , and Franklin safely get away , while Blue and the other dinosaurs escape .   In a new U.S. Senate hearing , Dr. Malcolm declares the beginning of a Neo-Jurassic Age where humans and dinosaurs must learn to coexist . The closing scenes show the freed dinosaurs roaming wilderness and outer urban areas .   Cast  Main article : List of Jurassic Park characters   Chris Pratt as Owen Grady : A Navy veteran and former Velociraptor trainer for Jurassic World .   Bryce Dallas Howard as Claire Dearing : Jurassic World 's former operations manager , now a dinosaur - rights activist , who has founded the Dinosaur Protection Group to save the surviving dinosaurs from Isla Nublar .   Rafe Spall as Eli Mills : Lockwood 's ambitious assistant who recruits Owen and Claire to rescue the dinosaurs . Speaking of his character 's actions over the course of the film , Spall noted that , `` Ambition is such a powerful emotion , you can get wrapped up in it and end up doing things in order to succeed . This character believes he is doing right . He has been entrusted with pushing Lockwood 's fortune into the future and making it survive after he dies . Mills feels he is simply doing what he was asked to do . ''   Justice Smith as Franklin Webb : A former IT technician for Jurassic World who is now the Dinosaur Protection Group 's systems analyst and hacker .   Daniella Pineda as Zia Rodriguez : A former Marine who is now the Dinosaur Protection Group 's paleoveterinarian .   James Cromwell as Sir Benjamin Lockwood : John Hammond 's former partner in developing the technology to clone dinosaurs .   Toby Jones as Gunnar Eversol : An auctioneer host at Lockwood Estate who sells the Isla Nublar dinosaurs for profit . In an interview , Jones likened his character to that of `` a rogue arms dealer ; he sees profits in selling these creatures as weapons . He is totally morally neutral about whatever he is selling . He is only interested in whether or not it will make him a profit . ''   Ted Levine as Ken Wheatley : A seasoned mercenary who commands the rescue operation on Isla Nublar .   B.D. Wong as Henry Wu : The former head geneticist of both Jurassic World and the original Jurassic Park . Speaking of his character 's actions , Wong stated : `` I do think he 's motivated by his love for science and his own ego , which is well supported by his massive achievements ... I think he turns a blind eye to the human suffering that comes as a result because he thinks he 's looking at some bigger picture . ''   Isabella Sermon as Maisie Lockwood : Lockwood 's juvenile granddaughter and legal ward following her parents ' deaths .   Geraldine Chaplin as Iris : The Lockwood Estate housekeeper , Maisie 's nanny , and protector of the Lockwood family 's secrets .   Jeff Goldblum as Ian Malcolm : An expert in chaos theory who once consulted for InGen 's Jurassic Park . In a podcast interview , Goldblum revealed of his role `` It 's small ... who knows , they may cut me out entirely ! But if I stay in , I 'll be a sprig of parsley or a little garnish , hopefully with some impact ! '' Director Bayona confirmed that Goldblum 's role is simply a cameo , stating , `` He does n't have a major role in the action but it 's definitely a very meaningful one in terms of the story . ''   Peter Jason as Senator Sherwood : A Senator who is among those who debate about saving the dinosaurs on Isla Nublar .    Production   Development   During early conversations on the 2015 film Jurassic World , executive producer Steven Spielberg told director Colin Trevorrow that he was interested in having several more films made . In April 2014 , Trevorrow announced that sequels had been discussed : `` We wanted to create something that would be a little bit less arbitrary and episodic , and something that could potentially arc into a series that would feel like a complete story . '' Trevorrow said Chris Pratt and Omar Sy might reprise their roles for the next few films and said he would direct the film if asked . Trevorrow later told Spielberg that he would only focus on directing one film in the series . In May 2015 , Trevorrow announced that he would not direct another film in the series : `` I would be involved in some way , but not as director . '' Trevorrow felt that different directors could bring different qualities to future films . Pratt had been signed for future films in the series , as was Ty Simpkins , who portrayed Gray in Jurassic World .   On June 3 , 2015 , Trevorrow stated that Jurassic World left many story possibilities open : `` I really like the idea that this group of geneticists are n't the only people who can make a dinosaur ( ... ) when you think of the differences between Apple and PC -- the minute something goes open - source , there are all kinds of entities and interests that may be able to utilize that technology . '' On June 8 , 2015 , Jurassic World producer Frank Marshall met with Trevorrow and Universal Pictures to discuss a sequel . Later that month , Trevorrow did not deny that the film could involve `` dinosaur soldiers '' and said the series is `` not always gon na be about a Jurassic Park '' , saying he felt that future films could explore the idea of dinosaurs and humans co-existing . Trevorrow also hinted that the next film may not involve the Jurassic World theme park and said he would be interested in seeing a Jurassic Park film made by one of several Spanish horror film directors , whose names he did not mention .   Pre-production   On July 23 , 2015 , Universal announced that a fifth film had been scheduled for a June 22 , 2018 , release date in the U.S. It was also announced that Trevorrow would write the script with his writing partner Derek Connolly , as they did for Jurassic World ; that the film would be produced by Frank Marshall ; and that Spielberg and Trevorrow would act as executive producers . Universal also said that Chris Pratt and Bryce Dallas Howard would reprise their roles from the previous film . At the time of the film 's announcement , Trevorrow said the series `` is n't always going to be limited to theme parks '' and confirmed that the film would not involve `` a bunch of dinosaurs chasing people on an island '' stating , `` That 'll get old real fast . '' Trevorrow also spoke of the film 's possible open - source storyline : `` It 's almost like InGen is Mac , but what if PC gets their hands on it ? What if there are 15 different entities around the world who can make a dinosaur ? ''   In August 2015 , Howard said that the script was being written , and it was announced that the film would be released in the UK two weeks early , on June 7 , 2018 . Later that year , B.D. Wong said he `` would be happy to return '' as Dr. Henry Wu , while Howard announced that filming would begin in 2017 . Howard also said she would be interested in seeing characters from earlier Jurassic Park films return for the fifth film , saying , `` I could see versions of the film where a lot of the characters come back . '' By October 2015 , director J.A. Bayona was being considered to direct the film , although he chose instead to direct the World War Z sequel , a project to which he had already signed on . In January 2016 , it was reported that Bayona could still be a candidate to direct the film after he dropped out of the World War Z sequel due to other commitments .   In March 2016 , London was being scouted as a possible filming location and setting for the film , and it was subsequently announced that filming would take place at a UK studio . On April 14 , 2016 , actor Jeff Goldblum said he had no plans to appear in the film as his character Ian Malcolm , although he said he was open to the possibility . On April 18 , 2016 , Bayona was announced as the film 's director , with Belén Atienza and Patrick Crowley joining Marshall as producers . Spielberg , Marshall , and Kathleen Kennedy had been impressed by Bayona 's 2012 film , The Impossible , and initially considered having him direct Jurassic World , but he declined as he felt there was not enough time for production . Trevorrow wanted Bayona to direct the film after seeing his 2007 horror film , The Orphanage . Before Bayona was hired , he met with Trevorrow and became enthused with the project after being shown the script 's second half , which would play out like a haunted house film . After Bayona was hired , Trevorrow said about the film , `` We 're moving it into new territory . J.A. Bayona is an incredible director and I know he 'll push the boundaries of what a ' Jurassic ' movie is . I think it 's important that we take risks . A franchise must evolve or perish . '' Trevorrow and Bayona worked closely throughout the film 's production . In June 2016 , actor Sam Neill was asked if he would return to the series as Dr. Alan Grant and responded , `` You never say never , but I think it 's moved on . It 's different times . ''   The film , under the working title of Ancient Futures , was in full pre-production as of July 2016 , with storyboards being designed . Andy Nicholson was hired as the film 's production designer and spent four weeks with Bayona in Barcelona , discussing reference pictures and background details , as well as Bayona 's ideas for the Lockwood mansion . Production was scheduled to begin in Hawaii in February 2017 . Wales was also confirmed as a filming location , including Brecon Beacons and Penbryn . Trevorrow stated that Hawaii would be used as a primary filming location , while U.K. shooting would be limited to studios , without the story taking place there . Trevorrow also said that the film would feature many dinosaurs that were not seen in previous films and denied that the film 's story would involve militarized dinosaurs , which would only be mentioned in the film .   For the film 's second half in which dinosaurs are transported by boat to the mainland , Ecuador and Peru had both been scouted as possible filming locations and settings , while Marshall thought that Cabo San Lucas would be ideal , but such locations ultimately did not work for the film 's story . Although the film was partially shot in England , Spielberg felt that the country was too far from the fictional Isla Nublar to be used as the in - film setting during the second half , as he and the producers did not want the film to focus too much time on a boat . Crowley stated , `` Rather than making it a movie about traveling on a boat , which is not very exciting , you needed to get to the place . ''   In September 2016 , Bayona confirmed that the film would be the second chapter in a planned Jurassic World trilogy . Later that year , Marshall said that Wong was `` probably going to come back , '' while Jurassic World composer Michael Giacchino confirmed that he would return to compose the fifth film . Óscar Faura was announced as the film 's cinematographer at the end of the year .   Writing   Although Spielberg was heavily involved in the development of ideas for Jurassic World , he had Trevorrow and Connolly devise their own ideas for the sequel , while retaining final approval on the project . In June 2015 , approximately two weeks after the theatrical release of Jurassic World , Trevorrow embarked on a road trip from Los Angeles back to his home state of Vermont . Connolly agreed to accompany Trevorrow on the trip so they could discuss a basic set of ideas that Trevorrow had for the film . During their eight - day trip , the writers began work on the script and devised the basic story . Trevorrow said the film 's story was inspired by a quote from Dr. Alan Grant in the first film : `` Dinosaurs and man , two species separated by 65 million years of evolution , have suddenly been thrown back into the mix together . How can we possibly have the slightest idea of what to expect ? '' Trevorrow also said that the story was heavily inspired by the idea that , `` A mistake made a long time ago just ca n't be undone . ''   The film is also based on concepts from Michael Crichton 's novel Jurassic Park ( 1990 ) and its sequel The Lost World ( 1995 ) , and includes dialogue from the first novel . Isla Nublar 's volcano was an idea that existed in the first novel , and the writers chose to incorporate the idea into the film 's plot . Trevorrow compared the destruction of Isla Nublar to `` the burning down of a church or a temple , '' stating , `` I honestly think it 's like killing off a character in a way , and if you 're going to do that , as long as you approach it with the proper respect and acknowledgement that you understand how indelible and permanent what you 're doing is , then hopefully people will have an emotional response but they wo n't hate you for it . '' The idea to include a `` silent partner '' of John Hammond was also inspired by the Jurassic Park novel . Although the character of Benjamin Lockwood was not featured in the novel , the book depicts the early years leading up to the cloning of dinosaurs , which made Trevorrow realize that there would have been many people involved in such a project , convincing him that someone like Lockwood would be among those people .   In his initial film treatment , Trevorrow had included story elements that Marshall and Crowley considered excessive for a single film , as the producers felt it was also important to include details about Owen and Claire 's lives after the events of Jurassic World . Although the original ending was the same as the final film , Trevorrow had wanted to include more details about the integration of dinosaurs into the world , before choosing to remove such details to keep the story focused . For the script 's structure , Trevorrow said he had been inspired by Spielberg 's 2015 film Bridge of Spies , in which two seemingly unrelated stories `` collide in the middle , and move on together . '' Trevorrow was also inspired by the 1975 film Three Days of the Condor , stating , `` It 's one of those places where you think you know what the score is , and then everything changes , and then suddenly you do n't know who to trust . '' Having directed Jurassic World , Trevorrow became familiar with how animatronics worked and wrote scenes into the sequel in a way that would allow for their use , as animatronics are incapable of certain actions such as running .   Regarding the idea of human cloning , Trevorrow stated that `` we 're so much closer to cloning humans than we are to cloning dinosaurs . It felt like far less of a leap to me than dinosaurs do . ( ... ) To have a character who has such deep love and has felt such loss and the inability to go on , I think is something we all feel . So the idea that you might be able to bring someone back in that way is emotionally grounded in a very universal idea . '' Trevorrow also stated that he was interested in `` the larger impact '' of genetic power , including its emotional impact and its potential human impact , while further stating `` we knew that we did n't want to continue to make movies about the dangers of messing with science . We want to tell a story about where we are now , which is that we have messed with science , we have fundamentally altered our world and now we 're dealing with the consequences . '' Trevorrow was nervous about how audiences would react to the story 's human cloning aspect , an idea that was supported by Spielberg , who was excited about the questions that such an idea could raise in the film 's sequel . Because of criticism regarding the death of Zara in the previous film , Trevorrow stated that for Jurassic World : Fallen Kingdom , `` We made sure that every death was earned . Everybody deserves their death in this movie , a lesson learned . In 2018 everyone earns it . Horrible people . ''   After Bayona was hired , he began reading all of Crichton 's novels -- including Jurassic Park and The Lost World -- for inspiration and `` to try to immerse myself in Crichton 's mind . '' Trevorrow and Connolly began working with Bayona in July 2016 , to perfect the script to the director 's liking . Trevorrow stated that the film would be more `` suspenseful and scary '' than its predecessor : `` It 's just the way it 's designed ; it 's the way the story plays out . I knew I wanted Bayona to direct it long before anyone ever heard that it was a possibility , so the whole thing was just built around his skillset . '' Trevorrow later described the film as `` The Impossible meets The Orphanage with dinosaurs . '' Bayona stated that with the first half of the film set on an island , `` you have what you expect from a Jurassic movie , '' while the second half `` moves to a totally different environment that feels more suspenseful , darker , claustrophobic , and even has this kind of gothic element , which I love . '' Bayona 's concept of gothic suspense for the film was influenced by Alfred Hitchcock films , and he compared the film to The Empire Strikes Back and Star Trek II : The Wrath of Khan , which were both considered darker than their predecessors .   Trevorrow said the film 's dinosaurs would be `` a parable of the treatment animals receive today : the abuse , medical experimentation , pets , having wild animals in zoos like prisons , the use the military has made of them , animals as weapons . '' The idea of weaponized dinosaurs came from Spielberg . Trevorrow said that with the film 's dinosaur auction , `` The worst instincts of mankind are revealed . The first film was very clearly about corporate greed . This is just about human greed . '' The film includes ideas previously featured in a rejected 2004 draft for Jurassic Park IV ( later Jurassic World ) , presented in the same structure : a return to Isla Nublar followed by a second half set in a large Gothic building on the mainland . The idea of a dinosaur auction was also present in the rejected draft , which Trevorrow had read while writing the first Jurassic World film .   Bayona had his own ideas incorporated into the script while essentially retaining the same original story devised by Trevorrow and Connolly . The film 's underwater opening sequence was already in Trevorrow and Connolly 's script , and Bayona asked Trevorrow to push for it to become a bigger scene with a larger set . Among Trevorrow 's ideas was to include Jeff Goldblum 's character of Ian Malcolm , who appeared in the franchise 's earlier films . Trevorrow and Goldblum discussed dialogue ideas for Malcolm , and Trevorrow stated that he used a lot of dialogue from Crichton 's Jurassic Park novel for the character . Marshall stated that Trevorrow wrote Malcolm as `` the ' Uh oh , danger , I told you so ' kind of character , '' and Trevorrow said about the character , `` I saw him as kind of Al Gore . He 's got a beard now , and he 's like , ' I told all of you this was going to be a disaster , and sure enough it is . ' '' Bayona and Trevorrow ultimately removed certain moments from the script that they felt would be better for the sequel , which was expected to depict dinosaurs having spread around the world .   Casting   In October 2016 , casting was underway for the role of a nine - year - old girl . Approximately 2,500 girls were interviewed for the role , which ultimately went to Isabella Sermon , marking her film debut . By November 2016 , Tom Holland -- who previously starred in The Impossible -- had discussed having a possible role in the film , but he did not believe he would be available for filming because of scheduling conflicts . Toby Jones , Rafe Spall , and Justice Smith were cast at the end of the year .   Daniella Pineda , Ted Levine and James Cromwell were cast in early 2017 , while Wong confirmed his return as Dr. Henry Wu . To maintain secrecy , the Ancient Futures title was used in the casting phase . During auditions , references to dinosaurs were replaced with animals such as lions and grizzly bears . To convince the studio that Pineda was right for the role of Zia , Bayona had her demonstrate that she could perform comedy and drama scenes , as well as improvisation . Pineda auditioned a total of seven times before receiving the role . She auditioned for Bayona , Atienza , and Crowley , and did not meet the cast until she arrived in England for filming .   In March 2017 , Bayona announced that Geraldine Chaplin , who had roles in each of his previous films , had joined the cast . The next month , it was announced that Jeff Goldblum would be reprising his role as Dr. Ian Malcolm from the first two films . Bayona considered Malcolm a `` great character ! '' while Marshall said , `` The world has changed a lot since Ian Malcolm went to Jurassic Park and we need his point of view now more than ever . He told us about chaos theory , he was right . ''   Filming   Filming began at Langley Business Centre in Slough , England , on February 23 , 2017 . Scenes shot at the business center included Claire 's Dinosaur Protection Group office , Owen training his baby raptors , and Owen and Claire attempting to retrieve blood from the sedated T. rex . A majority of filming in England took place at Pinewood Studios . Because of its large sound stages , Pinewood Studios was considered perfect for the film 's many interior scenes . After filming concluded in England , production moved to Hawaii , which was used as a primary filming location . Scenes shot in Hawaii were set on Isla Nublar , the fictional island featured in the first and fourth films . Scenes were also expected to be shot at Brecon Beacons National Park in Wales . The film was shot in CinemaScope , and is the first entry in the Jurassic Park series that is presented in a 2.40 : 1 aspect ratio . The film crew used Arri Alexa 65 cameras throughout the duration of filming . Several scenes were shot to reference various films including From Here to Eternity ( 1953 ) and Dracula ( 1979 ) , as well as Spielberg 's films Raiders of the Lost Ark ( 1981 ) and E.T. the Extra-Terrestrial ( 1982 ) . Spielberg was shown scenes from the film during production and he offered his opinions to Bayona .   During filming and in between takes , Bayona used an iPod to play different types of music on set to inspire the actors during certain scenes , as he had done for his previous films . Bayona also played sound effects from previous films in the series , including a T. rex roar that he sometimes used to get a natural reaction from the actors . In particular , Bayona played unexpected sounds and loud music to scare Smith for certain scenes , as his character is portrayed as easily frightened . Prior to being filmed , Bayona and Pratt discussed each scene involving the character of Owen , and many of Pratt 's ideas were added into the film . Speaking about Levine 's character , Bayona said , `` He came with this idea of creating this kind of military man . He just wanted to portray the most hateable character possible . ( ... ) And he was so creative on set , trying to give ideas , bringing story notes to make this character more and more hateable . '' The film includes several indirect references to U.S. president Donald Trump , including an idea from Trevorrow in which a news ticker states that the `` U.S. president '' has questioned the `` existence of dinosaurs in the first place . '' Jones was allowed to decide his character 's appearance , which included a wig similar to Trump 's hairstyle . An unscripted moment that was left in the film involves Levine 's character referring to Pineda 's character Zia as a `` nasty woman '' , a line that was previously made famous by Trump .   In April 2017 , scenes were filmed at East Berkshire College in Berkshire , England , and at Loch Long in Argyll and Bute , Scotland . Also that month , filming took place at Hartland Park -- formerly the Pyestock jet engine test site -- in Fleet , Hampshire , England , where the film 's opening sequence was shot . The scene was filmed through the night and involved helicopters , rain machines , and lightning simulators to depict a thunderstorm . Bayona described the opening scene as a `` massive action piece '' that resembled the prologues used in James Bond films . Scenes were filmed on sets at Hawley Common , also in Hampshire , where the exterior of Lockwood 's mansion was built , as well as a mainland loading dock where the dinosaurs are brought . The exterior of the ship that transports Isla Nublar 's dinosaurs to the mainland was created entirely through computer - generated effects by Industrial Light &amp; Magic ( ILM ) , which worked on the previous films . The ship 's interior was constructed by Nicholson and his team as a large set at Pinewood Studios , and after filming , the set was rebuilt to depict the large rooftop of the Lockwood Estate . The exterior of the Cragside country house in Northumberland , England , along with its coniferous surrounding , was used to depict the Lockwood Estate exterior . The film crew took plate shots of Cragside and used a computer to combine the shots with footage filmed on set to create the exterior of the Lockwood Estate . No actors were involved in the Cragside shoot .   Nicholson previsualized each of the sets that he and his team built to ensure they would be large enough for the intended scenes , stating , `` Someone can tell you a Velociraptor is X-feet long , but until you see it in the space , you ca n't appreciate what that means in terms of your set and the action that needs to take place within it . '' The interior of the multi-floor Lockwood Estate was built entirely on sound stages at Pinewood Studios . The estate set included Eli Mills ' office , D</t>
  </si>
  <si>
    <t xml:space="preserve">who are the actors in jurassic park fallen kingdom</t>
  </si>
  <si>
    <t xml:space="preserve">  Chris Pratt as Owen Grady : A Navy veteran and former Velociraptor trainer for Jurassic World .   Bryce Dallas Howard as Claire Dearing : Jurassic World 's former operations manager , now a dinosaur - rights activist , who has founded the Dinosaur Protection Group to save the surviving dinosaurs from Isla Nublar .   Rafe Spall as Eli Mills : Lockwood 's ambitious assistant who recruits Owen and Claire to rescue the dinosaurs . Speaking of his character 's actions over the course of the film , Spall noted that , `` Ambition is such a powerful emotion , you can get wrapped up in it and end up doing things in order to succeed . This character believes he is doing right . He has been entrusted with pushing Lockwood 's fortune into the future and making it survive after he dies . Mills feels he is simply doing what he was asked to do . ''   Justice Smith as Franklin Webb : A former IT technician for Jurassic World who is now the Dinosaur Protection Group 's systems analyst and hacker .   Daniella Pineda as Zia Rodriguez : A former Marine who is now the Dinosaur Protection Group 's paleoveterinarian .   James Cromwell as Sir Benjamin Lockwood : John Hammond 's former partner in developing the technology to clone dinosaurs .   Toby Jones as Gunnar Eversol : An auctioneer host at Lockwood Estate who sells the Isla Nublar dinosaurs for profit . In an interview , Jones likened his character to that of `` a rogue arms dealer ; he sees profits in selling these creatures as weapons . He is totally morally neutral about whatever he is selling . He is only interested in whether or not it will make him a profit . ''   Ted Levine as Ken Wheatley : A seasoned mercenary who commands the rescue operation on Isla Nublar .   B.D. Wong as Henry Wu : The former head geneticist of both Jurassic World and the original Jurassic Park . Speaking of his character 's actions , Wong stated : `` I do think he 's motivated by his love for science and his own ego , which is well supported by his massive achievements ... I think he turns a blind eye to the human suffering that comes as a result because he thinks he 's looking at some bigger picture . ''   Isabella Sermon as Maisie Lockwood : Lockwood 's juvenile granddaughter and legal ward following her parents ' deaths .   Geraldine Chaplin as Iris : The Lockwood Estate housekeeper , Maisie 's nanny , and protector of the Lockwood family 's secrets .   Jeff Goldblum as Ian Malcolm : An expert in chaos theory who once consulted for InGen 's Jurassic Park . In a podcast interview , Goldblum revealed of his role `` It 's small ... who knows , they may cut me out entirely ! But if I stay in , I 'll be a sprig of parsley or a little garnish , hopefully with some impact ! '' Director Bayona confirmed that Goldblum 's role is simply a cameo , stating , `` He does n't have a major role in the action but it 's definitely a very meaningful one in terms of the story . ''   Peter Jason as Senator Sherwood : A Senator who is among those who debate about saving the dinosaurs on Isla Nublar .  </t>
  </si>
  <si>
    <t xml:space="preserve">Chandni - Wikipedia  Chandni  Jump to : navigation , search    Chandni     Theatrical release poster     Directed by   Yash Chopra     Produced by   Yash Chopra T. Subbarami Reddy     Written by   Kamna Chandra Umesh Kalbagh Arun Kaul Sagar Sarhadi     Starring   Sridevi Rishi Kapoor Vinod Khanna Waheeda Rehman     Music by   Shiv - Hari     Cinematography   Manmohan Singh     Edited by   Keshav Naidu     Production company   Yash Raj Films     Distributed by   Yash Raj Films     Release date     14 September 1989 ( 1989 - 09 - 14 )               Running time   187 minutes     Country   India     Language   Hindi     Box office   ₹ 80.5 million ( equivalent to ₹ 610 million or US $9.4 million in 2017 )     Chandni ( Translation : Moonlight ) is a 1989 Indian romantic musical drama film , directed and produced by Yash Chopra in a screenplay written by Kamna Chandra , Arun Kaul , Sagar Sarhadi and Umesh Kalbagh . The film stars Sridevi in the titular role . Rishi Kapoor , Vinod Khanna and Waheeda Rehman are featured in supporting roles . The film focuses on Chandni , whose fiancé is paralysed in an accident and she 's forced to start afresh . Her boss falls in love with her and she agrees to marry him . She faces a dilemma when her fiancé returns to her life .   The eighties marked a professional setback in Chopra 's career , as several films he directed and produced in that period were critical and commercial failures . After a series of failed action movies , Chopra decided to return to his roots and make a romantic musical , a film with all the hallmarks of what has come to be known as the `` Yash Chopra style '' : heroine - oriented , romantic , emotional , depicting the lifestyle of the super elite , with melodic music used in songs picturised in foreign locations . The film marked the first collaboration between Chopra and Sridevi . Upon release , Chandni received widespread critical acclaim and was a major commercial success , grossing ₹ 80.5 million , becoming the fourth - highest - grossing film of 1989 . The huge success of the film and its soundtrack were instrumental in ending the era of violent action films in Indian Cinema and rejuvenating the romantic musical genre . The success of Chandni consolidated Sridevi 's position as the top female star of the era . Over the years , Chandni is hailed as one of the greatest Indian films of all time and one of Chopra 's finest movies .   At the 37th National Film Awards , the film received the National Film Award for Best Popular Film Providing Wholesome Entertainment . At the 35th Filmfare Awards , Chandni received 10 nominations including Best Film and winning Best Cinematography .     Contents  ( hide )   1 Plot   2 Cast   3 Music   4 Reception   5 Awards   6 References   7 External links      Plot ( edit )   Rohit ( Rishi Kapoor ) meets Chandni ( Sridevi ) at a wedding of a relative and falls instantly in love with her and pursues her relentlessly until she agrees to date him . Eventually , they are engaged to be married soon .   His family is against this marriage decision because of the vast difference in their social status , but that does not bother Rohit at all and he does not care .   One day , Rohit wants to surprise his beloved with something extra special - he calls Chandni and asks her to wait for him on the terrace of her house . As she 's waiting , the afternoon 's silence is broken by the roaring blades of a helicopter , from which a smiling Rohit appears to shower Chandni with lots of red rose petals from the copter . After five minutes of this delight , he disappears and she is surrounded by silence . When she reaches home downstairs , she has a bad feeling that something ominous has happened .   After she reaches inside her home , the phone rings and Chandni picks it up . She is informed by Rohit 's family that Rohit has been hospitalised . She immediately makes her way to the hospital ICU unit where Rohit is admitted in critical condition !   His family , who are all at the hospital , greet her with stony expressions and accuse her of being the cause for Rohit 's falling from the helicopter . Learning that he is paralyzed on his right side , his family continues to berate her .   Rohit soon realises that because of his physical disability he would never be able fulfil the role of a good husband . He decides to let Chandni go . Chandni heartbroken that Rohit no longer wants her in his life , moves to Bombay .   In Bombay , she starts working for a travel agency headed by Lalit ( Vinod Khanna ) , a handsome and charming widower . He soon falls in love with Chandni and asks her to marry him . After a few years of dating and wooing , she finally agrees to this and meets Lalit 's mother ( Waheeda Rehman ) , who is so delighted to have a super pretty daughter - in - law .   Like a twist of fate , Lalit meets Rohit on a business trip in Switzerland where Rohit is receiving treatment from the professional therapists and physicians . Rohit is able to stand now and no longer needs a wheelchair . Lalit and Rohit become fast friends and tell each other their love - stories , sing with the joy of love , not knowing they are singing about the same woman ( they are in love with the same woman ) .   Back in India , Rohit shows up one evening to meet his friend Lalit and Chandni opens the door . They are both delighted to see each other with tears in their eyes and to her amazement , he can now stand on both feet without stumbling and also does a little dance . They are both so keyed up with emotion and Rohit seizes this opportunity to propose to her . However , at this time Chandni has to tell him the truth , very much to his dismay , that -- she is committed to someone else called `` Lalit '' .   Obviously , Rohit becomes angry at her betrayal , but Chandni asks him what he would have done in her place ... to which he has no reply and so regretfully leaves . As Rohit and Lalit had become good friends in Switzerland , Lalit invites him to his wedding .   In all the subsequent ceremonies and meetings / parties , Rohit and Chandni pretend to be strangers to spare Lalit .   On the day of the wedding , Rohit drinks a bit too much in order to drive away the pain of the loss of a beloved one , and starts mumbling and then stumbles down a flight of stairs . Chandni immediately upon seeing this behaviour of his , can not contain herself any longer and screams / yearns for him to be saved . She comes so close to him , hugs him and starts crying , at which Lalit realises that she is the woman Rohit was always talking about , but hiding her identity .   Fortunately , Rohit is rushed to the hospital and the doctor says the condition is not too serious . Soon after , Rohit regains the pink of health and this time he proposes to Chandni again , to which she agrees after receiving a nod from her fiancé Lalit . Lalit and his mother share a brief sad moment as they watch Chandni and Rohit rekindle and reconcile . Then , they get married and live happily ever after .   Cast ( edit )    Sridevi as Chandni Mathur   Rishi Kapoor as Rohit Gupta   Vinod Khanna as Lalit Khanna   Waheeda Rehman as Mrs. Khanna ( Lalit 's mother )   Sushma Seth as Mrs. Gupta ( Rohit 's mother )   Mita Vasisht as Kiran ( Chandni 's friend )   Anant Mahadevan as Brij ( Kiran 's Husband )   Achala Sachdev   Beena Banerjee   Manohar Singh as Rohit 's father   Ram Gopal Bajaj as Shiv Prasad Mathur   Lalit Tiwari   Suhas Joshi   Renu Arya   Bharat Bhushan as Doctor   Anupam Kher as Ramesh ( Rohit 's Brother - In - Law )   Juhi Chawla as Devika ( cameo )    Music ( edit )   The music of Chandni was composed by Shiv Kumar Sharma and Hariprasad Chaurasia , known together as Shiv - Hari . The lyrics were provided by Anand Bakshi . In addition to the songs listed below , there was a recurring instrumental love melody , not part of a full song . That melody was further developed into the song `` Kabhi Main Kahoon '' for Chopra 's next movie Lamhe , also scored by Shiv - Hari .   The film 's soundtrack was a major success in India . It is believed that the soundtrack brought back the musical genre , with its songs and lyrics all being critically acclaimed . According to Yash Raj Films , the soundtrack went four times Platinum on the day of the premiere . By the 25th week , it went 25 times Platinum , a new standard in the music industry .     No .   Title   Singer ( s )   Length     1 .   `` Mere Haathon Mein ''   Lata Mangeshkar   05 : 34     2 .   `` Mehbooba ''   Lata Mangeshkar , Vinod Rathod   04 : 53     3 .   `` Main Sasural Nahi Jaaungi ''   Pamela Chopra   04 : 06     4 .   `` Mitwa ( Tere Mere Honton Pe ) ''   Lata Mangeshkar , Babla Mehta   04 : 31     5 .   `` Aa Meri Jaan ''   Lata Mangeshkar   04 : 21     6 .   `` Dance Music ''   Instrumental   03 : 16     7 .   `` Chandni O Meri Chandni ''   Sridevi , Jolly Mukherjee   04 : 32     8 .   `` Lagi Aaj Sawan Ki ''   Suresh Wadkar , Anupama Deshpande   03 : 25     9 .   `` Parbat Se Kaali ''   Asha Bhosle , Vinod Rathod   04 : 22     10 .   `` Tu Mujhe Suna ''   Nitin Mukesh , Suresh Wadkar   04 : 30     11 .   `` Mere Haathon Mein ''   Instrumental   05 : 47     Reception ( edit )   Chandni received highly positive reviews upon its release with critics highlighting the film 's impact in being instrumental in bringing an end to an era of violent action movies in Indian Cinema and rejuvenating the genre of romantic musical . According to iDiva , Chandni was `` more an event and less a movie . Even as its shooting rolled on the sets , the film was a constant subject of discussion in the press . '' Chandni emerged as one of the biggest blockbusters of 1989 with The Hindu stating that `` the film opened to full houses and distributors had to drastically increase the number of theatres . '' ' It was cited by Times of India as `` one of the most watched films of Indian Cinema . '' Hindustan Times featured the movie in its list of ' Yash Chopra 's Greatest Hits ' saying `` it was instrumental in ending the era of violence in Bollywood and bringing back the romance into Hindi films . ''   The film consolidated Sridevi 's position as the top female star of the era . Describing Sridevi 's performance in Chandni , Indiatimes wrote `` True to her screen - name , she was an epitome of radiance , warmth and vivacity . She effortlessly introduced us to the powerful streaks , her classic , angelic character was laden with . '' The scene where she confronts Rishi Kapoor was ranked by Rediff as one of the `` Ten Best Scenes from Yash Chopra Films . '' While Sridevi topped the Hindustan Times ' list of Yash Chopra 's `` Top 5 Heroines , '' CNN - IBN ranked her no . 1 on its list of `` Yash Chopra 's 10 Most Sensuous Heroines , '' saying that `` Yash Chopra immortalised Sridevi as the perfect Chandni . ''   The titular character became one of the most famous characters of Hindi cinema with India Today including it in its list of ' Yash Chopra 's Iconic Characters ' . CNN - IBN listed it among ' The Cult Characters Yash Chopra Created ' while NDTV featured it in its list of ' Yash Chopra 's Greatest Creations ' stating that the film established Sridevi `` as the nation 's sweetheart '' and `` reinforced her position as the reigning actress in Bollywood . ''   Sridevi 's iconic ' Chandni Look ' revolutionized fashion in North India and became synonymous with the actress , with Rediff stating `` A luminous Sridevi slips into every possible design in white for a major chunk of the romance and no one complains . '' Speaking about the look , Yash Chopra told film critic Rajeev Masand `` While making Chandni , I had a vision of who I wanted this girl to be . I told Sridevi that most of her costumes in the film would be in white . '' The Tribune wrote `` Leena Daru scored a winner again when she created the ' Chandni Look ' for Sridevi . Every street corner sold the salwar - kameez and dupatta that gave the heroine a refreshingly understated look , rarely seen on the Indian screen . '' while Mid Day reported `` Leena Daru dressed Bollywood 's beauties for several years . But it was her simple white churidar and kurta with the leheriya dupatta for Sridevi in the film Chandni that gave the Southern belle an angelic image and caused the Chandni Chowk stores to hit the jackpot with thousands of copies . '' BizAsia described the effect of the look saying `` Chopra never quite got over his Sridevi hangover and almost always chose to present his lead heroines in similar outfits ( Juhi Chawla in Darr ( 1993 ) , Madhuri Dixit in Dil To Pagal Hai ( 1997 ) ) , but none of them became half as iconic as Sridevi did after Chandni . '' The ' Chandni Look ' was also highlighted in the film 's famous Tandav dance sequence by Sridevi , where Rediff said `` the actress transformed into a mythical goddess in a white number . '' Sridevi 's chiffons became equally popular with Indian Express writing `` This movie made the chiffon sari a must - have in every Indian woman 's wardrobe . ''   The music of Chandni became a multi-Platinum success with Sridevi 's famous dance number `` Mere Hathon Mein Nau Nau Choodiyan Hain '' finding a place in the Rediff chart of ' Bollywood 's Top 25 Wedding Songs . ' The actress also lent her voice to the film 's popular title - track ' Chandni O Meri Chandni ' which featured among the ' Top 5 Songs ' of Yash Chopra by Hindustan Times . Talking about her role in Chandni , Sridevi said it was `` a lively and vibrant girl in the first half ( who ) becomes quiet and goes into a shell in the second half . I loved that transformation and when you have a director like Yash Chopra at the helm , you can be sure that he will make the best out of everything . ''   Awards ( edit )    37th National Film Awards     Best Popular Film Providing Wholesome Entertainment - Yash Chopra &amp; T. Subbarami Reddy     35th Filmfare Awards   Wins     Best Cinematography - Manmohan Singh    Nominations    Best Film - Yash Chopra &amp; T. Subbarami Reddy   Best Director - Yash Chopra   Best Actress - Sridevi   Best Actor - Rishi Kapoor   Best Supporting Actor - Vinod Khanna   Best Supporting Actress - Waheeda Rehman   Best Music - Shiv - Hari   Best Lyricist - Anand Bakshi - `` Lagi Aaj Sawan Ki ''   Best Male Singer - Suresh Wadkar - `` Lagi Aaj Sawan Ki ''    References ( edit )    Jump up ^ Yahoo . `` Best of Yash Chopra '' .   Jump up ^ Rediff . `` The Very Best of Yash Chopra '' .   Jump up ^ TOI . `` Top 10 Yash Chopra Films '' .   ^ Jump up to : iDiva . `` Sridevi - The Dancing Queen '' .   Jump up ^ Boxofficeindia.co.in . `` Worth Their Weight In Gold ! ( 80s ) '' .   Jump up ^ The Hindu . `` Yash , he can ! '' . Chennai , India .   Jump up ^ Times of India ( 23 October 2012 ) . `` Top 10 Yash Chopra Films '' . The Times Of India .   Jump up ^ Hindustan Times . `` Yash Chopra 's greatest hits '' .   Jump up ^ Indiatimes . `` Most Iconic Names in Yash Chopra Films ! '' . The Times Of India .   Jump up ^ Rediff . `` The Ten Best Film Scenes from Yash Chopra '' .   ^ Jump up to : Hindustan Times . `` Top 50 : Glorious moments from Yash Chopra 's oeuvre '' .   Jump up ^ CNN - IBN . `` Yash Chopra 's 10 Most Sensuous Heroines '' .   Jump up ^ India Today . `` Yash Chopra 's iconic characters '' .   Jump up ^ CNN - IBN . `` The cult characters Yash Chopra created '' .   Jump up ^ NDTV . `` Vijay , Chandni : Yash Chopra 's greatest creations '' .   Jump up ^ Mid Day . `` C for Chopra , C for chiffon '' .   Jump up ^ Rediff . `` Yash Chopra 's visions in white '' .   Jump up ^ RajeevMasand.com . `` Yash Chopra : `` I see movies today , and I realize that love has changed '' `` .   Jump up ^ The Tribune . `` Sunday Reading '' .   Jump up ^ Mid Day . `` Tinseltown Trendsetters '' .   Jump up ^ bizAsia . `` Yash Chopra classic flashback : ' Chandni ' ( 1989 ) '' . Archived from the original on 3 March 2016 .   Jump up ^ Rediff . `` Your Favourite Sridevi Avatar Onscreen ? '' .   Jump up ^ Indian Express . `` Yash Chopra : Timeline '' .   Jump up ^ Rediff . `` Bollywood 's Top 25 Wedding Songs '' .   Jump up ^ BusinessofCinema . `` Anybody Can Sing ! '' .   Jump up ^ Magnamags.com . `` I Felt Yashji Was Immortal : SRIDEVI '' .   Jump up ^ National - film - awards - 1990   Jump up ^ Filmfareawards Archived 8 July 2012 at Archive.is    External links ( edit )    Chandni on IMDb              National Film Award for Best Popular Film Providing Wholesome Entertainment     1974 -- 1980     Kora Kagaz ( 1974 )   Tapasya ( 1975 )   -- ( 1976 )   Swami ( 1977 )   Ganadevata ( 1978 )   Sankarabharanam ( 1979 )   -- ( 1980 )       1981 -- 2000     -- ( 1981 )   -- ( 1982 )   -- ( 1983 )   Kony ( 1984 )   -- ( 1985 )   Samsaram Adhu Minsaram ( 1986 )   Pushpaka Vimana ( 1987 )   Qayamat Se Qayamat Tak ( 1988 )   Chandni and Geethanjali ( 1989 )   Ghayal ( 1990 )   -- ( 1991 )   Sargam ( 1992 )   Darr and Manichitrathazhu ( 1993 )   Hum Aapke Hain Koun ... ! ( 1994 )   Dilwale Dulhania Le Jayenge ( 1995 )   Maachis ( 1996 )   Dil To Pagal Hai ( 1997 )   Kuch Kuch Hota Hai ( 1998 )   Sarfarosh ( 1999 )   Vaanathaippola ( 2000 )       2001 -- present     Lagaan ( Once Upon a Time in India ) ( 2001 )   Devdas ( 2002 )   Munna Bhai M.B.B.S. ( 2003 )   Autograph and Veer - Zaara ( 2004 )   Rang De Basanti ( 2005 )   Lage Raho Munna Bhai ( 2006 )   Chak De ! India ( 2007 )   Oye Lucky ! Lucky Oye ! ( 2008 )   3 Idiots ( 2009 )   Dabangg ( 2010 )   Azhagarsamiyin Kuthirai ( 2011 )   Vicky Donor and Ustad Hotel ( 2012 )   Bhaag Milkha Bhaag ( 2013 )   Mary Kom ( 2014 )   Bajrangi Bhaijaan ( 2015 )   Sathamanam Bhavati ( 2016 )   Baahubali 2 : The Conclusion ( 2017 )                 Yash Raj Films     About     Head Office   Y - Films       Yash Chopra     Daag : A Poem of Love ( 1973 )   Kabhie Kabhie ( 1976 )   Kaala Patthar ( 1979 )   Silsila ( 1981 )   Mashaal ( 1984 )   Faasle ( 1985 )   Vijay ( 1988 )   Chandni ( 1989 )   Lamhe ( 1991 )   Darr ( 1993 )   Dil To Pagal Hai ( 1997 )   Veer - Zaara ( 2004 )   Jab Tak Hai Jaan ( 2012 )       Aditya Chopra     Dilwale Dulhania Le Jayenge ( 1995 )   Mohabbatein ( 2000 )   Rab Ne Bana Di Jodi ( 2008 )   Befikre ( 2016 )       Kunal Kohli     Mujhse Dosti Karoge ( 2002 )   Hum Tum ( 2004 )   Fanaa ( 2006 )   Thoda Pyaar Thoda Magic ( 2008 )       Shaad Ali     Saathiya ( 2002 )   Bunty Aur Babli ( 2005 )   Jhoom Barabar Jhoom ( 2007 )   Kill Dil ( 2014 )       Siddharth Anand     Salaam Namaste ( 2005 )   Ta Ra Rum Pum ( 2007 )   Bachna Ae Haseeno ( 2008 )       Sanjay Gadhvi     Mere Yaar Ki Shaadi Hai ( 2002 )   Dhoom ( 2004 )   Dhoom 2 ( 2006 )       Shimit Amin     Chak De ! India ( 2007 )   Rocket Singh : Salesman of the Year ( 2009 )       Jugal Hansraj     Roadside Romeo ( 2008 )   Pyaar Impossible ! ( 2010 )       Kabir Khan     Kabul Express ( 2006 )   New York ( 2009 )   Ek Tha Tiger ( 2012 )       Pradeep Sarkar     Laaga Chunari Mein Daag ( 2007 )   Lafangey Parindey ( 2010 )   Mardaani ( 2014 )       Maneesh Sharma     Band Baaja Baaraat ( 2010 )   Ladies vs Ricky Bahl ( 2011 )   Shuddh Desi Romance ( 2013 )   Fan ( 2016 )       Vijay Krishna Acharya     Tashan ( 2008 )   Dhoom 3 ( 2013 )   Thugs of Hindostan ( 2018 )       Ramesh Talwar     Doosra Aadmi ( 1977 )   Sawaal ( 1982 )       Ali Abbas Zafar     Mere Brother Ki Dulhan ( 2011 )   Gunday ( 2014 )   Sultan ( 2016 )   Tiger Zinda Hai ( 2017 )       Habib Faisal     Ishaqzaade ( 2012 )   Daawat - e-Ishq ( 2014 )   Qaidi Band ( 2017 )       Dibakar Banerjee     Detective Byomkesh Bakshy ! ( 2015 )   Sandeep Aur Pinky Faraar ( 2018 )       Sharat Katariya     Dum Laga Ke Haisha ( 2015 )   Sui Dhaaga ( 2018 )       Other     Noorie ( 1979 )   Nakhuda ( 1981 )   Aaina ( 1993 )   Yeh Dillagi ( 1994 )   Neal ' n ' Nikki ( 2005 )   Aaja Nachle ( 2007 )   Dil Bole Hadippa ! ( 2009 )   Badmaash Company ( 2010 )   Aurangzeb ( 2013 )   Aaha Kalyanam ( 2014 )   Bewakoofiyaan ( 2014 )   Titli ( 2014 )   Meri Pyaari Bindu ( 2017 )   Hichki ( 2018 )       List of films released by Yash Raj Films    Retrieved from `` https://en.wikipedia.org/w/index.php?title=Chandni&amp;oldid=843445426 '' Categories :   1989 films   1980s Hindi - language films   Indian films   Films directed by Yash Chopra   Films scored by Shiv - Hari   Yash Raj Films films   Indian romance films   Indian musical films   Films set in Mumbai   Films set in Delhi   Films shot in Mumbai   Films shot in Delhi   Hindi - language films dubbed in Telugu   Best Popular Film Providing Wholesome Entertainment National Film Award winners   Hidden categories :   Webarchive template archiveis links   Use dmy dates from November 2015   Use Indian English from November 2015   All Wikipedia articles written in Indian English   All articles with unsourced statements   Articles with unsourced statements from May 2012   Articles with unsourced statements from December 2011   Track listings with input errors           Talk                                           Contents                   About Wikipedia                                           Deutsch   فارسی   हिन्दी   Italiano   मराठी   नेपाल भाषा   Polski   Русский   Suomi   Edit links   This page was last edited on 29 May 2018 , at 06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</si>
  <si>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the song chandni o meri chandni</t>
  </si>
  <si>
    <t xml:space="preserve">   No .   Title   Singer ( s )   Length     1 .   `` Mere Haathon Mein ''   Lata Mangeshkar   05 : 34     2 .   `` Mehbooba ''   Lata Mangeshkar , Vinod Rathod   04 : 53     3 .   `` Main Sasural Nahi Jaaungi ''   Pamela Chopra   04 : 06     4 .   `` Mitwa ( Tere Mere Honton Pe ) ''   Lata Mangeshkar , Babla Mehta   04 : 31     5 .   `` Aa Meri Jaan ''   Lata Mangeshkar   04 : 21     6 .   `` Dance Music ''   Instrumental   03 : 16     7 .   `` Chandni O Meri Chandni ''   Sridevi , Jolly Mukherjee   04 : 32     8 .   `` Lagi Aaj Sawan Ki ''   Suresh Wadkar , Anupama Deshpande   03 : 25     9 .   `` Parbat Se Kaali ''   Asha Bhosle , Vinod Rathod   04 : 22     10 .   `` Tu Mujhe Suna ''   Nitin Mukesh , Suresh Wadkar   04 : 30     11 .   `` Mere Haathon Mein ''   Instrumental   05 : 47   </t>
  </si>
  <si>
    <t xml:space="preserve">M Suryanarayan - wikipedia  M Suryanarayan       This article includes a list of references , but its sources remain unclear because it has insufficient inline citations . Please help to improve this article by introducing more precise citations . ( December 2017 ) ( Learn how and when to remove this template message )       M. Suryanarayan           1 February 1930 Madras Presidency , India       India     Nationality   Indian     Occupation   Indian cricketer     M. Suryanarayan ( 1930 -- 2010 ) was an Indian first - class cricketer who was born on February 1 , 1930 during Madras presidency . M. Suryanarayan is the first son of M. Baliah Naidu and the Grandson of Buchi Babu Naidu who is also known as the ' Father of South Indian Cricket ' the doyen of Madras Cricket . He was also a member of the First Ranji Trophy triumph team of Tamilnadu in 1954 - 1955 , which the Madras team won against Holkar . He was a right - handed batsman and a right - arm medium bowler . The Hindu describing his Cricket , once said : `` His batting resembles very closely that of his father - dashing and carefree - and his cover - drive , a joy to watch , has amazing impetus ... '' And it added that he had `` enriched Madras sport as his father had '' . His only younger brother M.M Kumar represented in the Ranji Trophy .  The First Ranji Trophy Triumph Team of Tamilnadu in 1954 - 1955    Contents  ( hide )   1 Career   2 Later life   3 References   4 External links      Career ( edit )   M. Suryanarayan was a stylish right - hand middle order batsman who played off and cover drives in particularly elegant fashion . A stalwart of Madras cricket in the forties and fifties , ` Suri ' as he was popularly known , played 11 matches for the state in the Ranji Trophy and earned selection for the Indian team for the fifth and final ` Test ' against the SJOC team at Lucknow in 1953 - 54 . Suryanarayan proved his mettle by scoring two unbeaten half - centuries against bowlers of the class of Frank Worrell , Fazal Mahmood , Amir Elahi , Khan Mohamed , Loxton , Peter Loader , and Jim McConnel . He Captained Madras and Mysore at the highest levels , besides scoring three centuries before lunch in first - class cricket in Madras and Bangalore . He won the All - India University Tennis Doubles title , Partnering Ramanathan Krishnan , and played in the qualifying rounds of the doubles tournament at Wimbledon . He also won several titles in Table tennis and golf in South Indian Competitions .  Tamilnadu Test Cricketers gathers in front of the historic MCC Pavilion  Later life ( edit )   M. Suryanarayan followed in his father 's footsteps in many ways . He was a natural at all ball games . M. Suryanarayan did a University of Madras Science degree from Presidency College , then moved into the British Indian world of commerce in Madras and Bangalore before going into business on his own . He also spent some years abroad promoting Indian handlooms on behalf of the Government of India . He published a book written by Suri &amp; Raja ( ed ) , Buchi Babu ( Father of Madras Cricket ) and his sporting clan , 1993 .   References ( edit )    Jump up ^ `` M Suryanarayan India Cricket Team Official Cricket Profiles PCB '' . Pcb.com.pk . Archived from the original on 2017 - 12 - 30 . Retrieved 2017 - 12 - 29 .   Jump up ^ `` M Suryanarayan '' . Cricinfo . Archived from the original on 2017 - 02 - 13 . Retrieved 2017 - 12 - 29 .   Jump up ^ `` The Buchi Babu clan -- masters of sport from cricket to golf '' . Wisdenindia.com. 2015 - 08 - 25 . Archived from the original on 2017 - 12 - 30 . Retrieved 2017 - 12 - 29 .    External links ( edit )    M. Suryanarayan at ESPNcricinfo   M. Suryanarayan at CricketArchive ( subscription required )   ^ C. Ramaswami , My reminiscences , The Sunday Standard ( undated ) , reproduced in Suri &amp; Raja ( ed ) , Buchi Babu ( Father of Madras Cricket ) and his sporting clan , 1993 .   V Ramnarayan , Mosquitos and other Jolly Rovers   `` CHAPTER - II : FORMATION OF TNCA '' ( PDF ) . Shodhganga.inflibnet.ac.in . Retrieved 29 December 2017 .   Retrieved from `` https://en.wikipedia.org/w/index.php?title=M._Suryanarayan&amp;oldid=826692373 '' Categories :   1930 births   2010 deaths   Hindus cricketers   Indian cricketers   India Test cricketers   Tamil Nadu cricketers   Tamil sportspeople   Hidden categories :   Articles lacking in - text citations from December 2017   All articles lacking in - text citations   Articles with hCards   Pages containing links to subscription - only content           Talk                                           Contents                   About Wikipedia                                           Add links   This page was last edited on 20 February 2018 , at 14 : 32 .         About Wikipedia                    </t>
  </si>
  <si>
    <t xml:space="preserve">who is known as the father of india cricketer</t>
  </si>
  <si>
    <t xml:space="preserve"> M. Suryanarayan ( 1930 -- 2010 ) was an Indian first - class cricketer who was born on February 1 , 1930 during Madras presidency . M. Suryanarayan is the first son of M. Baliah Naidu and the Grandson of Buchi Babu Naidu who is also known as the ' Father of South Indian Cricket ' the doyen of Madras Cricket . He was also a member of the First Ranji Trophy triumph team of Tamilnadu in 1954 - 1955 , which the Madras team won against Holkar . He was a right - handed batsman and a right - arm medium bowler . The Hindu describing his Cricket , once said : `` His batting resembles very closely that of his father - dashing and carefree - and his cover - drive , a joy to watch , has amazing impetus ... '' And it added that he had `` enriched Madras sport as his father had '' . His only younger brother M.M Kumar represented in the Ranji Trophy . </t>
  </si>
  <si>
    <r>
      <rPr>
        <sz val="11"/>
        <color rgb="FF000000"/>
        <rFont val="Calibri"/>
        <family val="0"/>
        <charset val="1"/>
      </rPr>
      <t xml:space="preserve">Lactase - wikipedia  Lactase  Jump to : navigation , search    Lactase     Lactase tetramer , E. Coli     Identifiers     EC number   3.2. 1.108     CAS number   9031 - 11 - 2     Databases     IntEnz   IntEnz view     BRENDA   BRENDA entry     ExPASy   NiceZyme view     KEGG   KEGG entry     MetaCyc   metabolic pathway     PRIAM   profile     PDB structures   RCSB PDB PDBe PDBsum     Gene Ontology   AmiGO / QuickGO        ( show ) Search     PMC   articles     PubMed   articles     NCBI   proteins          Glycosylceramidase ( Phlorizin hydrolase )     Identifiers     EC number   3.2. 1.62     CAS number   9033 - 10 - 7     Databases     IntEnz   IntEnz view     BRENDA   BRENDA entry     ExPASy   NiceZyme view     KEGG   KEGG entry     MetaCyc   metabolic pathway     PRIAM   profile     PDB structures   RCSB PDB PDBe PDBsum     Gene Ontology   AmiGO / QuickGO        ( show ) Search     PMC   articles     PubMed   articles     NCBI   proteins          Lactase     Identifiers     Symbol   LCT     Alt . symbols   LAC ; LPH ; LPH1     Entrez   3938     HUGO   6530     OMIM   603202     RefSeq   NM_002299     UniProt   P09848     Other data     EC number   3.2. 1.108     Locus   Chr. 2 q21     Lactase is an enzyme produced by many organisms . It is located in the brush border of the small intestine of humans and other mammals . Lactase is essential to the complete digestion of whole milk ; it breaks down lactose , a sugar which gives milk its sweetness . Lacking lactase , a person consuming dairy products may experience the symptoms of lactose intolerance . Lactase can be purchased as a food supplement , and is added to milk to produce `` lactose - free '' milk products .   Lactase ( also known as lactase - phlorizin hydrolase , or LPH ) , a part of the β - galactosidase family of enzymes , is a glycoside hydrolase involved in the hydrolysis of the disaccharide lactose into constituent galactose and glucose monomers . Lactase is present predominantly along the brush border membrane of the differentiated enterocytes lining the villi of the small intestine . In humans , lactase is encoded by the LCT gene .     Contents  ( hide )   1 Uses   1.1 Food use   1.2 Medical use   1.3 Industrial use     2 Mechanism   3 Structure and biosynthesis   4 Genetic expression and regulation   5 See also   6 References   7 External links      Uses ( edit )   Food use ( edit )   Lactase is an enzyme that some people are unable to produce in their small intestine . Without it they ca n't break down the natural lactose in milk , leaving them with diarrhea , gas and bloating when drinking regular milk . Lactase is added to Lactose Free Milk to neutralize lactose naturally found in milk , leaving it slightly sweet but digestible by everyone . Without lactase , lactose intolerant people pass the lactose undigested to the colon where bacteria break it down creating carbon dioxide and that leads to bloating and flatulence .   Medical use ( edit )   Lactase supplements are sometimes used to treat lactose intolerance .   Industrial use ( edit )   Lactase produced commercially can be extracted both from yeasts such as Kluyveromyces fragilis and Kluyveromyces lactis and from molds , such as Aspergillus niger and Aspergillus oryzae . Its primary commercial use , in supplements such as Lacteeze and Lactaid , is to break down lactose in milk to make it suitable for people with lactose intolerance , However , the U.S. Food and Drug Administration has not formally evaluated the effectiveness of these products .   Lactase is also used to screen for blue white colonies in the multiple cloning sites of various plasmid vectors in Escherichia coli or other bacteria .   Mechanism ( edit )   The optimum temperature for human lactase is about 37 ° C for its activity and has an optimum pH of 6 .   In metabolism , the β - glycosidic bond in D - lactose is hydrolyzed to form D - galactose and D - glucose , which can be absorbed through the intestinal walls and into the bloodstream . The overall reaction that lactase catalyzes is C H O + H O → C H O + C H O + heat .   The catalytic mechanism of D - lactose hydrolysis retains the substrate anomeric configuration in the products . While the details of the mechanism are uncertain , the stereochemical retention is achieved through a double displacement reaction . Studies of E. coli lactase have proposed that hydrolysis is initiated when a glutamate nucleophile on the enzyme attacks from the axial side of the galactosyl carbon in the β - glycosidic bond . The removal of the D - glucose leaving group may be facilitated by Mg - dependent acid catalysis . The enzyme is liberated from the α - galactosyl moiety upon equatorial nucleophilic attack by water , which produces D - galactose .   Substrate modification studies have demonstrated that the 3 ′ - OH and 2 ′ - OH moieties on the galactopyranose ring are essential for enzymatic recognition and hydrolysis . The 3 ′ - hydroxy group is involved in initial binding to the substrate while the 2 ′ - group is not necessary for recognition but needed in subsequent steps . This is demonstrated by the fact that a 2 - deoxy analog is an effective competitive inhibitor ( K = 10mM ) . Elimination of specific hydroxyl groups on the glucopyranose moiety does not completely eliminate catalysis .     Lactase also catalyzes the conversion of phlorizin to phloretin and glucose .   Structure and biosynthesis ( edit )   Preprolactase , the primary translation product , has a single polypeptide primary structure consisting of 1927 amino acids . It can be divided into five domains : ( i ) a 19 - amino - acid cleaved signal sequence ; ( ii ) a large prosequence domain that is not present in mature lactase ; ( iii ) the mature lactase segment ; ( iv ) a membrane - spanning hydrophobic anchor ; and ( v ) a short hydrophilic carboxyl terminus . The signal sequence is cleaved in the endoplasmic reticulum , and the resulting 215 - kDa pro-LPH is sent to the Golgi apparatus , where it is heavily glycosylated and proteolytically processed to its mature form . The prodomain has been shown to act as an intramolecular chaperone in the ER , preventing trypsin cleavage and allowing LPH to adopt the necessary 3 - D structure to be transported to the Golgi apparatus .  Schematic of processing and localization of human lactase translational product  Mature human lactase consists of a single 160 - kDa polypeptide chain that localizes to the brush border membrane of intestinal epithelial cells . It is oriented with the N - terminus outside the cell and the C - terminus in the cytosol . LPH contains two catalytic glutamic acid sites . In the human enzyme , the lactase activity has been connected to Glu - 1749 , while Glu - 1273 is the site of phlorizin hydrolase function .   Genetic expression and regulation ( edit )   Lactase is encoded by a single genetic locus on chromosome 2 . It is expressed exclusively by mammalian small intestine enterocytes and in very low levels in the colon during fetal development . Humans are born with high levels of lactase expression . In most of the world 's population , lactase transcription is down - regulated after weaning , resulting in diminished lactase expression in the small intestine , which causes the common symptoms of adult - type hypolactasia , or lactose intolerance .   Some population segments exhibit lactase persistence resulting from a mutation that is postulated to have occurred 5,000 -- 10,000 years ago , coinciding with the rise of cattle domestication . This mutation has allowed almost half of the world 's population to metabolize lactose without symptoms . Studies have linked the occurrence of lactase persistence to two different single - nucleotide polymorphisms about 14 and 22 kilobases upstream of the 5 ' - end of the LPH gene . Both mutations , C → T at position - 13910 and G → A at position - 22018 , have been independently linked to lactase persistence .   The lactase promoter is 150 base pairs long and is located just upstream of the site of transcription initiation . The sequence is highly conserved in mammals , suggesting that critical cis - transcriptional regulators are located nearby . Cdx - 2 , HNF - 1α , and GATA have been identified as transcription factors . Studies of hypolactasia onset have demonstrated that despite polymorphisms , little difference exists in lactase expression in infants , showing that the mutations become increasingly relevant during development . Developmentally regulated DNA - binding proteins may down - regulate transcription or destabilize mRNA transcripts , causing decreased LPH expression after weaning .   See also ( edit )    Molecular and Cellular Biology portal     MCM6   Lactase persistence    References ( edit )    Jump up ^ Järvelä I , Torniainen S , Kolho KL ( 2009 ) . `` Molecular genetics of human lactase deficiencies '' . Annals of Medicine . 41 ( 8 ) : 568 -- 75 . doi : 10.1080 / 07853890903121033 . PMID 19639477 .   ^ Jump up to : Skovbjerg H , Sjöström H , Norén O ( Mar 1981 ) . `` Purification and characterisation of amphiphilic lactase / phlorizin hydrolase from human small intestine '' . European Journal of Biochemistry / FEBS. 114 ( 3 ) : 653 -- 61 . doi : 10.1111 / j. 1432 - 1033.1981. tb05193. x . PMID 6786877 .   ^ Jump up to : Mantei N , Villa M , Enzler T , Wacker H , Boll W , James P , Hunziker W , Semenza G ( Sep 1988 ) . `` Complete primary structure of human and rabbit lactase - phlorizin hydrolase : implications for biosynthesis , membrane anchoring and evolution of the enzyme '' . The EMBO Journal . 7 ( 9 ) : 2705 -- 13 . PMC 457059 . PMID 2460343 .   Jump up ^ Harvey CB , Fox MF , Jeggo PA , Mantei N , Povey S , Swallow DM ( Jul 1993 ) . `` Regional localization of the lactase - phlorizin hydrolase gene , LCT , to chromosome 2q21 '' . Annals of Human Genetics . 57 ( Pt 3 ) : 179 -- 85 . doi : 10.1111 / j. 1469 - 1809.1993. tb01593. x . PMID 8257087 .   Jump up ^ `` Lactose Intolerance '' . Mayo Clinic . Mayo Clinic . Retrieved 13 March 2018 .   Jump up ^ `` Asked : How do dairies make lactose free milk ? '' . USA Today . 3 Sept 2014 . Retrieved 13 March 2018 . Check date values in : date = ( help )   Jump up ^ `` Lactose Intolerance '' . NIDDK . June 2014 . Retrieved 25 October 2016 .   Jump up ^ Seyis I , Aksoz N ( 2004 ) . `` Production of lactase by Trichoderma sp '' ( PDF ) . Food Technol Biotechnol. 42 : 121 -- 124 .   Jump up ^ `` Re : GRAS Notification for Acid Lactase from Aspergillus oryzae Expressed in Aspergillus niger '' . United States Food and Drug Administration .   Jump up ^ Holsinger VH ( 1992 ) . `` The Lactaid Story '' . Innovative Products for Food Industries . Rural Development Publications Collection . pp. 256 -- 8 .   Jump up ^ Tarantino , LM ( 2003 - 12 - 03 ) . `` Agency Response Letter GRAS Notice No . GRN 000132 '' . U.S. Food and Drug Administration . Archived from the original on 2011 - 03 - 26 . Retrieved 2009 - 09 - 21 .   Jump up ^ Hermida C , Corrales G , Cañada FJ , Aragón JJ , Fernández - Mayoralas A ( Jul 2007 ) . `` Optimizing the enzymatic synthesis of beta - D - galactopyranosyl - D - xyloses for their use in the evaluation of lactase activity in vivo '' . Bioorganic &amp; Medicinal Chemistry . 15 ( 14 ) : 4836 -- 40 . doi : 10.1016 / j. bmc. 2007.04. 067 . PMID 17512743 .   ^ Jump up to : Sinnott M ( November 1990 ) . `` Catalytic mechanisms of enzymic glycosyl transfer '' . Chem. Rev. 90 ( 7 ) : 1171 -- 1202 . doi : 10.1021 / cr00105a006 .   ^ Jump up to : Juers DH , Heightman TD , Vasella A , McCarter JD , Mackenzie L , Withers SG , Matthews BW ( Dec 2001 ) . `` A structural view of the action of Escherichia coli ( lacZ ) beta - galactosidase '' . Biochemistry . 40 ( 49 ) : 14781 -- 94 . doi : 10.1021 / bi011727i . PMID 11732897 .   ^ Jump up to : Fernandez P , Cañada FJ , Jiménez - Barbero J , Martín - Lomas M ( Jul 1995 ) . `` Substrate specificity of small - intestinal lactase : study of the steric effects and hydrogen bonds involved in enzyme - substrate interaction '' . Carbohydrate Research . 271 ( 1 ) : 31 -- 42 . doi : 10.1016 / 0008 - 6215 ( 95 ) 00034 - Q. PMID 7648581 .   Jump up ^ Naim HY , Sterchi EE , Lentze MJ ( Jan 1987 ) . `` Biosynthesis and maturation of lactase - phlorizin hydrolase in the human small intestinal epithelial cells '' . The Biochemical Journal . 241 ( 2 ) : 427 -- 34 . doi : 10.1042 / bj2410427 . PMC 1147578 . PMID 3109375 .   Jump up ^ Naim HY , Jacob R , Naim H , Sambrook JF , Gething MJ ( Oct 1994 ) . `` The pro region of human intestinal lactase - phlorizin hydrolase '' . The Journal of Biological Chemistry . 269 ( 43 ) : 26933 -- 43 . PMID 7523415 .   Jump up ^ Zecca L , Mesonero JE , Stutz A , Poirée JC , Giudicelli J , Cursio R , Gloor SM , Semenza G ( Sep 1998 ) . `` Intestinal lactase - phlorizin hydrolase ( LPH ) : the two catalytic sites ; the role of the pancreas in pro-LPH maturation '' . FEBS Letters. 435 ( 2 - 3 ) : 225 -- 8 . doi : 10.1016 / S0014 - 5793 ( 98 ) 01076 - X . PMID 9762914 .   ^ Jump up to : Troelsen JT , Mitchelmore C , Spodsberg N , Jensen AM , Norén O , Sjöström H ( Mar 1997 ) . `` Regulation of lactase - phlorizin hydrolase gene expression by the caudal - related homoeodomain protein Cdx - 2 '' . The Biochemical Journal . 322 ( Pt 3 ) ( Pt. 3 ) : 833 -- 8 . PMC 1218263 . PMID 9148757 .   Jump up ^ Reference , Genetics Home . `` LCT gene '' . Genetics Home Reference . Retrieved 3 April 2018 .   Jump up ^ Bersaglieri T , Sabeti PC , Patterson N , Vanderploeg T , Schaffner SF , Drake JA , Rhodes M , Reich DE , Hirschhorn JN ( Jun 2004 ) . `` Genetic signatures of strong recent positive selection at the lactase gene '' . American Journal of Human Genetics . 74 ( 6 ) : 1111 -- 20 . doi : 10.1086 / 421051 . PMC 1182075 . PMID 15114531 .   Jump up ^ Kuokkanen M , Enattah NS , Oksanen A , Savilahti E , Orpana A , Järvelä I ( May 2003 ) . `` Transcriptional regulation of the lactase - phlorizin hydrolase gene by polymorphisms associated with adult - type hypolactasia '' . Gut. 52 ( 5 ) : 647 -- 52 . doi : 10.1136 / gut. 52.5. 647 . PMC 1773659 . PMID 12692047 .   ^ Jump up to : Troelsen JT ( May 2005 ) . `` Adult - type hypolactasia and regulation of lactase expression '' . Biochimica et Biophysica Acta. 1723 ( 1 - 3 ) : 19 -- 32 . doi : 10.1016 / j. bbagen. 2005.02. 003 . PMID 15777735 .   ^ Jump up to : Wang Y , Harvey CB , Hollox EJ , Phillips AD , Poulter M , Clay P , Walker - Smith JA , Swallow DM ( Jun 1998 ) . `` The genetically programmed down - regulation of lactase in children '' . Gastroenterology. 114 ( 6 ) : 1230 -- 6 . doi : 10.1016 / S0016 - 5085 ( 98 ) 70429 - 9 . PMID 9609760 .    External links ( edit )       Wikimedia Commons has media related to Lactase .      The Lactase Protein   E. coli β - galactosidase : PDB : 1JYY ​   Gene Ontology for Lactase   Making of the Fittest : Got Lactase ? The Co-evolution of Genes and Culture   Lactase persistence shows indication of association with Obesity                Metabolism : carbohydrate metabolism   fructose and galactose enzymes       Fructose / Fructolysis     Hepatic fructokinase   Aldolase B   Triokinase       Sorbitol     Sorbitol dehydrogenase   Aldose reductase       Galactose / Galactolysis     Galactokinase   Galactose - 1 - phosphate uridylyltransferase / UDP - glucose 4 - epimerase   Aldose reductase       Lactose     Lactose synthase   Lactase       Mannose     Mannose phosphate isomerase                 Hydrolase : sugar hydrolases ( EC 3.2 )     3.2. 1 : Glycoside hydrolases      Disaccharidase     Sucrase / Sucrase - isomaltase / Invertase   Maltase   Trehalase   Lactase       Glucosidases     Cellulase   Alpha - glucosidase   Acid   Neutral AB   Neutral C     Beta - glucosidase   cytosolic     Debranching enzyme       Other     Amylase   Alpha - amylase     Chitinase   Lysozyme   Neuraminidase   NEU1   NEU2   NEU3   NEU4   Bacterial neuraminidase   Viral neuraminidase     Galactosidases   Alpha   Beta     alpha - Mannosidase   Glucuronidase   Hyaluronidase   Pullulanase   Glucosylceramidase   lysosomal   non-lysosomal     Galactosylceramidase   Alpha - N - acetylgalactosaminidase   NAGA     Alpha - N - acetylglucosaminidase   Fucosidase   Hexosaminidase   HEXA   HEXB     Iduronidase   Maltase - glucoamylase   Heparanase   HPSE2            3.2. 2 : Hydrolysing N - Glycosyl compounds     DNA glycosylases : Oxoguanine glycosylase                 Enzymes     Activity     Active site   Binding site   Catalytic triad   Oxyanion hole   Enzyme promiscuity   Catalytically perfect enzyme   Coenzyme   Cofactor   Enzyme catalysis       Regulation     Allosteric regulation   Cooperativity   Enzyme inhibitor       Classification     EC number   Enzyme superfamily   Enzyme family   List of enzymes       Kinetics     Enzyme kinetics   Eadie -- Hofstee diagram   Hanes -- Woolf plot   Lineweaver -- Burk plot   Michaelis -- Menten kinetics       Types     EC1 Oxidoreductases ( list )   EC2 Transferases ( list )   EC3 Hydrolases ( list )   EC4 Lyases ( list )   EC5 Isomerases ( list )   EC6 Ligases ( list )      Retrieved from `` https://en.wikipedia.org/w/index.php?title=Lactase&amp;oldid=834014454 '' Categories :   Genes on human chromosome 2   Food additives   Antiflatulents   EC 3.2. 1   Hidden categories :   CS1 errors : dates   Protein pages needing a picture   All articles with unsourced statements   Articles with unsourced statements from April 2010           Talk                                    Search        Contents                   About Wikipedia                                                   বাংলা   Català   Čeština   Dansk   Deutsch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Hrvatski   Ido   Íslenska   Italiano   עברית   Magyar   Nederlands   </t>
    </r>
    <r>
      <rPr>
        <sz val="11"/>
        <color rgb="FF000000"/>
        <rFont val="Noto Sans CJK SC"/>
        <family val="2"/>
      </rPr>
      <t xml:space="preserve">日本 語   </t>
    </r>
    <r>
      <rPr>
        <sz val="11"/>
        <color rgb="FF000000"/>
        <rFont val="Calibri"/>
        <family val="0"/>
        <charset val="1"/>
      </rPr>
      <t xml:space="preserve">Occitan   Oʻzbekcha / ўзбекча   Polski   Português   Русский   Simple English   Slovenčina   Slovenščina   Српски / srpski   Srpskohrvatski / српскохрватски   Suomi   Svenska   Tagalog   Українська   </t>
    </r>
    <r>
      <rPr>
        <sz val="11"/>
        <color rgb="FF000000"/>
        <rFont val="Noto Sans CJK SC"/>
        <family val="2"/>
      </rPr>
      <t xml:space="preserve">粵語   中文  </t>
    </r>
    <r>
      <rPr>
        <sz val="11"/>
        <color rgb="FF000000"/>
        <rFont val="Calibri"/>
        <family val="0"/>
        <charset val="1"/>
      </rPr>
      <t xml:space="preserve">29 more  Edit links   This page was last edited on 3 April 2018 , at 13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</si>
  <si>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lactase found in the human body</t>
  </si>
  <si>
    <t xml:space="preserve"> Lactase is an enzyme produced by many organisms . It is located in the brush border of the small intestine of humans and other mammals . Lactase is essential to the complete digestion of whole milk ; it breaks down lactose , a sugar which gives milk its sweetness . Lacking lactase , a person consuming dairy products may experience the symptoms of lactose intolerance . Lactase can be purchased as a food supplement , and is added to milk to produce `` lactose - free '' milk products . </t>
  </si>
  <si>
    <r>
      <rPr>
        <sz val="11"/>
        <color rgb="FF000000"/>
        <rFont val="Calibri"/>
        <family val="0"/>
        <charset val="1"/>
      </rPr>
      <t xml:space="preserve">Pyramid of Djoser - wikipedia  Pyramid of Djoser  Jump to : navigation , search    Pyramid of Djoser         Owner   Djoser     Location   Egypt     Coordinates   29 ° 52 ′ 16.56 '' N 31 ° 12 ′ 59.02 '' E ﻿ / ﻿ 29.8712667 ° N 31.2163944 ° E ﻿ / 29.8712667 ; 31.2163944 Coordinates : 29 ° 52 ′ 16.56 '' N 31 ° 12 ′ 59.02 '' E ﻿ / ﻿ 29.8712667 ° N 31.2163944 ° E ﻿ / 29.8712667 ; 31.2163944     Architect   Imhotep     Constructed   c. 2667 -- 2648 BC ( 3rd dynasty )     Type   Step pyramid     Material   Limestone     Height   62 metres ( 203 ft )     Base   125.27 metres ( 411 ft ) ( larger ) 109.12 metres ( 358 ft ) ( smaller )     Volume   330,400 cubic metres ( 11,667,966 cu ft )         UNESCO World Heritage Site     Criteria   Cultural : ( i ) , ( iii ) , ( vi )     Reference   86 - 002     Inscription   1979 ( 3rd Session )     ( edit on Wikidata )         Location of Pyramid of Djoser     Related media on Wikimedia Commons     ( edit on Wikidata )     The Pyramid of Djoser ( or Djeser and Zoser ) , or step pyramid ( kbhw - ntrw in Egyptian ) is an archeological remain in the Saqqara necropolis , Egypt , northwest of the city of Memphis . It was built during the 27th century BC for the burial of Pharaoh Djoser by his vizier , Imhotep . It is the central feature of a vast mortuary complex in an enormous courtyard surrounded by ceremonial structures and decoration .   This first Egyptian pyramid consisted of six mastabas ( of decreasing size ) built atop one another in what were clearly revisions and developments of the original plan . It is seven levels high and four - sided . The pyramid originally stood 62 metres ( 203 ft ) tall , with a base of 109 m × 125 m ( 358 ft × 410 ft ) and was clad in polished white limestone . The step pyramid ( or proto - pyramid ) is considered to be the earliest large - scale cut stone construction , although the pyramids at Caral in South America are contemporary and the nearby enclosure known as Gisr el - mudir would seem to predate the complex .  Perspective view , plan and elevation images Djoser 's Pyramid Complex taken from a 3d model    Contents  ( hide )   1 Djoser   2 Precedents   3 Overview   3.1 Enclosure wall   3.2 Great Trench   3.3 Roofed colonnade entrance   3.4 South Court   3.5 South Tomb   3.6 Step Pyramid     4 Pyramid substructure   4.1 Burial chamber   4.2 North Temple and Serdab Court   4.3 Heb - sed Court     5 References      Djoser ( edit )   Djoser was the first or second king of the 3rd Dynasty ( ca . 2667 to 2648 BC ) of the Egyptian Old Kingdom ( ca . 2686 to 2125 BC ) . He is believed to have ruled for 19 years or , if the 19 years were biennial taxation years , 38 years . He reigned long enough to allow the grandiose plan for his pyramid to be realized in his lifetime .   Djoser is best known for his innovative tomb , which dominates the Saqqara landscape . In this tomb he is referred to by his Horus name Netjeriykhet ; Djoser is a name given by New Kingdom visitors thousands of years later . Djoser 's step pyramid is astounding in its departure from previous architecture . It sets several important precedents , perhaps the most important of which is its status as the first monumental structure made of stone . The social implications of such a large and carefully sculpted stone structure are staggering . The process of building such a structure would be far more labor - intensive than previous monuments of mud - brick . This suggests that the state , and therefore the royal government had a new level of control of resources , both material and human . Also , from this point on , kings of the Old Kingdom are buried in the North , rather than at Abydos . Furthermore , although the plan of Djoser 's pyramid complex is different than later complexes , many elements persist and the step pyramid sets the stage for later pyramids of the 4th , 5th , and 6th Dynasties , including the great pyramids of Giza . Finally , another intriguing first is the identification of the architect Imhotep , who is credited with the design and construction of the complex .   Precedents ( edit )   Djoser 's Pyramid draws ideas from several precedents . The most relevant precedent is found at Saqqara mastaba 3038 . The substructure lay in a 4m deep rectangular pit , and had mudbrick walls rising to 6 m . Three sides were extended and built out to create eight shallow steps rising at an angle of 49 ° . This would have been an elongated step pyramid if the remaining side had not been left uncovered . In another parallel to Djoser 's complex , to complete this mastaba complex a niched enclosure wall was erected .  Comparison of approximate profiles of the Pyramid of Djoser with some notable pyramidal or near - pyramidal buildings . Dotted lines indicate original heights , where data are available . In its SVG file , hover over a pyramid to highlight and click for its article .  Overview ( edit )  Entry hall . Step Pyramid Complex , Saqqara . Temples of the festival complex .  Djoser 's Step Pyramid complex has several structures pivotal to its function in both life and the afterlife . Several are discussed below with attention paid to function and form . The pyramid was not simply a grave in ancient Egypt . Its purpose was to facilitate a successful afterlife for the king so that he could be eternally reborn . The symbolism of the step pyramid form , which did not survive the 3rd Dynasty , is unknown , but it has been suggested that it may be a monumental symbol of the crown , especially the royal mortuary cult , since seven small step pyramids ( not tombs ) were built in the provinces . Another well accepted theory is that it facilitated the king 's ascension to join the eternal North Star .   The main excavator of the Step Pyramid was Jean - Philippe Lauer , a French architect who reconstructed key portions of the complex . The complex covers 15ha and is about 2.5 times as large as the Old Kingdom town of Heirakonpolis . Several features of the complex differ from those of later Old Kingdom pyramids . The pyramid temple is situated at the north side of the pyramid , whereas in later pyramids it is on the east side . Also , the Djoser complex is built on a North - South axis whereas later complexes utilize an East - West axis . Furthermore , the Djoser complex has one niched enclosure wall , whereas later pyramids have two enclosure walls with the outside one being smooth and the inside one sometimes niched .   Enclosure wall ( edit )   The Djoser complex is surrounded by a wall of light Tura limestone 10.5 m high . The wall design recalls the appearance of 1st Dynasty tombs , with the distinctive paneled construction known as the palace façade , which imitates bound bundles of reeds . The overall structure imitates mudbrick . The wall is interrupted by 14 doors , however only one entrance , in the south corner of the east façade , is functional for the living . This arrangement resembles Early Dynastic funerary enclosures at Abydos in which the entrance was on the east side . The remaining doors are known as false doors , and were meant for the king 's use in the afterlife . They functioned as portals through which the king 's ka could pass between life and the afterlife . The functional door at the southeast end of the complex leads to a narrow passageway that connects to the roofed colonnade .   Great trench ( edit )   Outside the enclosure wall , Djoser 's complex is completely surrounded by a trench dug in the underlying rock . The trench measures 750 m long and 40 m wide and is a rectangle on a North - South axis . The walls of the trench were originally decorated with niches and its function seems to have been to make entry into the complex more difficult .   Roofed colonnade entrance ( edit )  Roofed colonnade corridor leading into the complex , with stone pillars carved to imitate bundled plant stems .  The roofed colonnade led from the enclosure wall to the south of the complex . A passageway with a limestone ceiling constructed to look as though it was made from whole tree trunks led to a massive stone imitation of two open doors . Beyond this portal was a hall with twenty pairs of limestone columns composed of drum shaped segments built to look like bundles of plant stems and reaching a height of 6.6 m . The columns were not free - standing , but were attached to the wall by masonry projections . Between the columns on both sides of the hall were small chambers , which some Egyptologists propose may have been for each of the provinces of Upper and Lower Egypt . At the end of the colonnade was the transverse hypostyle room with eight columns connected in pairs by blocks of limestone . This led to the South Court .   South court ( edit )   The South Court is a large court between the South Tomb and the pyramid . Within the court are curved stones thought to be territorial markers associated with the Heb - sed festival , an important ritual completed by Egyptian kings ( typically after 30 years on the throne ) to renew their powers . These would have allowed Djoser to claim control over all of Egypt , while its presence in the funerary complex would allow Djoser to continue to benefit from the ritual in the afterlife . At the southern end of the court was a platform approached by steps . It has been suggested that this was a platform for the double throne . This fits into the theory proposed by Barry Kemp , and generally accepted by many , that suggests the whole step pyramid complex symbolizes the royal palace enclosure and allows the king to eternally perform the rituals associated with kingship . At the very south of the South Court lay the South Tomb .   South Tomb ( edit )  Relief of Djoser facing the temple of Horus of Behedet ( modern Edfu ) in a blue faience chamber of the south tomb .  The South Tomb has been likened to the satellite pyramids of later Dynasties , and has been proposed to house the ka in the afterlife . Another proposal is that it may have held the canopic jar with the king 's organs , but this does not follow later trends where the canopic jar is found in the same place as the body . These proposals stem from the fact that the granite burial vault is much too small to have facilitated an actual burial .   The substructure of the South Tomb is entered through a tunnel - like corridor with a staircase that descends about 30m before opening up into the pink granite burial chamber . The staircase then continues west and leads to a gallery that imitates the blue chambers below the step pyramid .   Current evidence suggests that the South Tomb was finished before the pyramid . The symbolic king 's inner palace , decorated in blue faience , is much more complete than that of the pyramid . Three chambers of this substructure are decorated in blue faience to imitate reed - mat facades , just like the pyramid . One room is decorated with three finely niche reliefs of the king , one depicting him running the Heb - sed . Importantly , Egyptian builders chose to employ their most skilled artisans and depict their finest art in the darkest , most inaccessible place in the complex . This highlights the fact that this impressive craftsmanship was not meant for the benefit of the living but was meant to ensure the king had all the tools necessary for a successful afterlife .   Step pyramid ( edit )   The design of the Step Pyramid used royal cubits . The superstructure of the Step Pyramid is six steps / seven levels ( including rooftop ) and was built in six stages , as might be expected with an experimental structure . The pyramid began as a square mastaba ( this designation as a mastaba is contended for several reasons ) ( M1 ) which was gradually enlarged , first evenly on all four sides ( M2 ) and later just on the east side ( M3 ) . The mastaba was built up in two stages , first to form a four - stepped structure ( P1 ) and then to form a six - stepped structure ( P2 ) , which now had a rectangular base on an east -- west axis . The fact that the initial mastaba was square has led many to believe that the monument was never meant to be a mastaba , as no other known mastabas had ever been square . When the builders began to transform the mastaba into the four step pyramid , they made a major shift in construction . Like in the construction of the mastaba , they built a crude core of rough stones and then cased them in fine limestone with packing in between . The major difference is that in mastaba construction they laid horizontal courses , but for the pyramid layers , they built in accretion layers that leaned inwards , while using blocks that were both bigger and higher quality . Much of the rock for the pyramid was likely quarried from the construction of the great trench . It is widely accepted that ramps would have been used to raise heavy stone to construct the pyramid , and many plausible models have been suggested . Apparatuses like rollers in which the heavy stone could be placed and then rolled were employed in transport .   Pyramid substructure ( edit )   Under the step pyramid is a labyrinth of tunneled chambers and galleries that total nearly 6 km in length and connect to a central shaft 7 m square and 28 m deep . These spaces provide room for the king 's burial , the burial of family members , and the storage of goods and offerings . The entrance to the 28 m shaft was built on the north side of the pyramid , a trend that would remain throughout the Old Kingdom . The sides of the underground passages are limestone inlaid with blue faience tile to replicate reed matting . These `` palace façade '' walls are further decorated by panels decorated in low relief that show the king participating in the Heb - sed . Together these chambers constitute the funerary apartment that mimicked the palace and would serve as the living place of the royal ka . On the east side of the pyramid eleven shafts 32 m deep were constructed and annexed to horizontal tunnels for the royal harem ( The existence of this `` harem '' is debated ) . These were incorporated into the preexisting substructure as it expanded eastward . In the storerooms along here over 40,000 stone vessels were found , many of which predate Djoser . These would have served Djoser 's visceral needs in the afterlife . An extensive network of underground galleries was located to the north , west and south of the central burial chamber and crude horizontal magazines were carved into these .   Burial chamber ( edit )   The burial chamber was a vault constructed of four courses of well - dressed granite . It had one opening , which was sealed with a 3.5 ton block after the burial . No body was recovered as the tomb had been extensively robbed . Lauer believes that a burial chamber of alabaster existed before the one of granite . He found interesting evidence of limestone blocks with five pointed stars in low relief that were likely on the ceiling , indicating the first occurrence of what would become a tradition . The king sought to associate himself with the eternal North Stars that never set so as to ensure his rebirth and eternity .   North temple and serdab court ( edit )   The northern ( funerary / mortuary ) temple was on the north side of the pyramid and faced the north stars , which the king wished to join in eternity . This structure provided a place in which the daily rituals and offerings to the dead could be performed , and was the cult center for the king . To the east of the temple is the serdab , which is a small enclosed structure that housed the ka statue . The king 's ka inhabited the ka statue in order to benefit from daily ceremonies like the opening of the mouth , a ceremony that allowed him to breathe and eat , and the burning of incense . He witnessed these ceremonies through two small eye holes cut in the north wall of the serdab . This temple appeared on the north side of the pyramid throughout the Third Dynasty , as the king wished to go north to become one of the eternal stars in the North Sky that never set . In the Fourth Dynasty , when there was a religious shift to an emphasis on rebirth and eternity achieved through the sun , the temple was moved to the east side of the temple where the sun rises , so that through association the king may be reborn every day .   Heb - sed court ( edit )   The Heb - sed court is rectangular and parallel to the South Courtyard . It was meant to provide a space in which the king could perform the Heb - sed ritual in the afterlife . Flanking the east and west sides of the court are the remains of two groups of chapels , many of which are dummy buildings , of three different architectural styles . At the north and south ends there are three chapels with flat roves and no columns . The remaining chapels on the west side are decorated with fluted columns and capitals flanked by leaves . Each of the chapels has a sanctuary accessed by a roofless passage with walls that depict false doors and latches . Some of these buildings have niches for statues . Egyptologists believe that these buildings were related to the important double coronation of the king during the Heb - sed .   References ( edit )       Wikimedia Commons has media related to Pyramid of Djoser .      ^ Jump up to : Shaw , Ian , ed. ( 2000 ) . The Oxford History of Ancient Egypt . Oxford University Press . p. 480 . ISBN 0 - 19 - 815034 - 2 .   Jump up ^ Harry Adès A Traveller 's History of Egypt ( Chastleton Travel / Interlink , 2007 ) ISBN 1 - 905214 - 01 - 4 p48   Jump up ^ Lehner , Mark ( 1997 ) . The Complete Pyramids . New York : Thames and Hudson . p. 84 . ISBN 978 - 0 - 500 - 05084 - 2 .   ^ Jump up to : George Hart , Pharaohs and Pyramids , A Guide Through Old Kingdom Egypt ( London : The Herbert Press , 1991 ) , 57 - 68 .   ^ Jump up to : Kathryn A. Bard , An Introduction to the Archaeology of Ancient Egypt ( Oxford : Blackwell Publishing Ltd , 2008 ) , 128 - 33 .   ^ Jump up to : Lehner , Mark ( 1997 ) . The Complete Pyramids . New York : Thames and Hudson . pp. 80 -- 93 . ISBN 978 - 0 - 500 - 05084 - 2 .   ^ Jump up to : Martin Isler , Sticks , Stones , and Shadows : Building the Egyptian Pyramids ( Norman : University of Oklahoma Press , 2001 ) , 90 - 99 .   ^ Jump up to : Alberto Siliotti , Guide to the Pyramids of Egypt with forward by Zahi Hawass ( New York : Barnes and Noble Books , 1997 ) , 105 - 113 .   ^ Jump up to : A.J. Spencer , Early Egypt : The Rise of Civilization in the Nile Valley ( London : British Museum Press , 1993 ) , 98 - 110 .   ^ Jump up to : Gay Robins , The Art of Ancient Egypt ( Cambridge : Harvard University Press , 2000 ) , 40 - 45 .   ^ Jump up to : Miroslav Verner , The Pyramids ( New York : Grove Press , 1998 ) , 105 - 139 .   ^ Jump up to : Dick Parry , Engineering the Pyramids ( Phoenix : Sutton Publishing Limited , 2004 ) , 14   Jump up ^ Dieter Arnold , Building in Egypt , Pharaonic Stone Masonry ( Oxford : Oxford University Press , 1991 ) , 79 - 101 .      Records     Preceded by Tower of Jericho   World 's tallest structure c. 2650 BCE -- 2610 BCE 62 m   Succeeded by Meidum               Egyptian pyramids       List of Egyptian pyramids ( Lepsius )   Commons          Period      Dynasty     Pyramids             Old Kingdom ( 2686 -- 2181 BC )      III     Djoser   Buried   Layer   Lepsius I ( de )   Athribis   Elephantine   Edfu South   el - Kula ( de )   Naqada   Saujet el - Meitin ( de )   Sinki ( de )       IV     Seila ( de )   Meidum   Bent   Red   Khufu   Djedefre   Unfinished Northern Pyramid of Zawyet el'Aryan   Khafre   Menkaure   Khentkaus I ( de )   Mastabet el - Fara'un   G1 - a   G1 - b   G1 - c   G1 - d   Lepsius L ( de )       V     Userkaf   Neferhetepes ( de )   Sahure   Neferirkare   Khentkaus II   Neferefre   Unfinished   Niuserre ( de )   Lepsius XXIV   Double   Headless   Djedkare - Isesi   Unas       VI     Teti   Pepi I   Merenre   Pepi II   Sesheshet          1 Intermediate Period ( 2181 -- 2040 BC )        VII VIII       Ity   Neferkare Neby   Ibi   Khui       X     Merikare          Middle Kingdom ( 2040 -- 1650 BC )      XI     Reherishefnakht       XII     Amenemhat I   Senusret I   White   Senusret II ( de )   Senusret III   Black   Hawara   Neferuptah ( de )   Central Dahshur ( de )   South Mazghuna   North Mazghuna       XIII     Ameny Qemau   Khendjer   Southern South Saqqara   SAK S 3   SAK S 7 ( de )   South Dahshur A ( de )   South Dahshur B ( de )   DAS 46   DAS 49   DAS 50   DAS 51   DAS 53 ( de )   S 9   S 10   Merneferre Ay          Second Intermediate ( 1650 -- 1570 BC )      XVII     Sobekemsaf I   Sobekemsaf II   Sekhemre - Wepmaat Intef   Nubkheperre Intef   Senakhtenre Ahmose   Seqenenre Tao   Kamose            New Kingdom ( 1570 -- 1070 BC )      XVIII     Ahmose              Step pyramid   Construction techniques   Seked   Texts   Pyramidion   Pyramidology               VIAF : 244808418   GND : 7755488 - 7      Retrieved from `` https://en.wikipedia.org/w/index.php?title=Pyramid_of_Djoser&amp;oldid=808594059 '' Categories :   Buildings and structures completed in the 27th century BC   Former world 's tallest buildings   Saqqara   Pyramids of the Third Dynasty of Egypt   Djoser   Ancient Egyptian step pyramids   Hidden categories :   Pages using deprecated image syntax   Coordinates on Wikidata   Articles using infobox pyramid using locally defined parameters   Interlanguage link template link number   Wikipedia articles with VIAF identifiers   Wikipedia articles with GND identifiers           Talk                                           Contents                   About Wikipedia                                                 Afrikaans     Azərbaycanca   Беларуская   Български   Brezhoneg   Català   Cebuano   Čeština   Deutsch   Español   Euskara   فارسی   Français   Gaeilge   Galego   Հայերեն   Hrvatski   Bahasa Indonesia   Italiano   עברית   ქართული   Lietuvių   Magyar   Македонски   مصرى   Nederlands   </t>
    </r>
    <r>
      <rPr>
        <sz val="11"/>
        <color rgb="FF000000"/>
        <rFont val="Noto Sans CJK SC"/>
        <family val="2"/>
      </rPr>
      <t xml:space="preserve">日本 語   </t>
    </r>
    <r>
      <rPr>
        <sz val="11"/>
        <color rgb="FF000000"/>
        <rFont val="Calibri"/>
        <family val="0"/>
        <charset val="1"/>
      </rPr>
      <t xml:space="preserve">Norsk   Occitan   Polski   Português   Română   Русский   Slovenčina   Slovenščina   Српски / srpski   Srpskohrvatski / српскохрватски   Suomi   Svenska   Tagalog   Türkçe   Українська   </t>
    </r>
    <r>
      <rPr>
        <sz val="11"/>
        <color rgb="FF000000"/>
        <rFont val="Noto Sans CJK SC"/>
        <family val="2"/>
      </rPr>
      <t xml:space="preserve">中文   </t>
    </r>
    <r>
      <rPr>
        <sz val="11"/>
        <color rgb="FF000000"/>
        <rFont val="Calibri"/>
        <family val="0"/>
        <charset val="1"/>
      </rPr>
      <t xml:space="preserve">Edit links   This page was last edited on 3 November 2017 , at 21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</si>
  <si>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the first step pyramid built in egypt</t>
  </si>
  <si>
    <t xml:space="preserve"> The Pyramid of Djoser ( or Djeser and Zoser ) , or step pyramid ( kbhw - ntrw in Egyptian ) is an archeological remain in the Saqqara necropolis , Egypt , northwest of the city of Memphis . It was built during the 27th century BC for the burial of Pharaoh Djoser by his vizier , Imhotep . It is the central feature of a vast mortuary complex in an enormous courtyard surrounded by ceremonial structures and decoration . </t>
  </si>
  <si>
    <t xml:space="preserve">Missouri Compromise - wikipedia  Missouri Compromise  The United States in 1819 . The Missouri Compromise prohibited slavery in the unorganized territory of the Great Plains ( upper dark green ) and permitted it in Missouri ( yellow ) and the Arkansas Territory ( lower blue area ) .  Events leading to the American Civil War     Slavery   Northwest Ordinance   Kentucky and Virginia Resolutions   Battle of Negro Fort   Missouri Compromise   Tariff of 1828   Nat Turner 's slave rebellion   Nullification Crisis   The Amistad   Prigg v. Pennsylvania   Texas annexation   Mexican -- American War   Wilmot Proviso   Manifest destiny   Underground Railroad   Nashville Convention   Compromise of 1850   Fugitive Slave Act of 1850   Uncle Tom 's Cabin   Kansas -- Nebraska Act   Ostend Manifesto   Bleeding Kansas   Caning of Charles Sumner   Dred Scott v. Sandford   The Impending Crisis of the South   Brown 's raid on Harpers Ferry   1860 presidential election   Crittenden Compromise   Secession of Southern States   Star of the West   Corwin Amendment   Morrill Tariff   Battle of Fort Sumter                   The Missouri Compromise was the legislation that provided for the admission to the United States of Maine as a free state along with Missouri as a slave state , thus maintaining the balance of power between North and South in the United States Senate . As part of the compromise , slavery was prohibited north of the 36 ° 30 ′ parallel , excluding Missouri . The 16th United States Congress passed the legislation on May 9 , 1820 , and President James Monroe signed it on March 6 , 1820 .   Earlier , on February 4 , 1820 , Representative James Tallmadge Jr. , a Jeffersonian Republican from New York , submitted two amendments to Missouri 's request for statehood , which included restrictions on slavery . Southerners objected to any bill which imposed federal restrictions on slavery , believing that slavery was a state issue settled by the Constitution . However , with the Senate evenly split at the opening of the debates , both sections possessing 11 states , the admission of Missouri as a slave state would give the South an advantage . Northern critics including Federalists and Democratic - Republicans objected to the expansion of slavery into the Louisiana Purchase territory on the Constitutional inequalities of the three - fifths rule , which conferred Southern representation in the federal government , derived from a states ' slave population . Jeffersonian Republicans in the North ardently maintained that a strict interpretation of the Constitution required that Congress act to limit the spread of slavery on egalitarian grounds . `` ( Northern ) Republicans rooted their antislavery arguments , not on expediency , but in egalitarian morality '' ; and `` The Constitution , ( said northern Jeffersonians ) strictly interpreted , gave the sons of the founding generation the legal tools to hasten ( the ) removal ( of slavery ) , including the refusal to admit additional slave states . ''   When free - soil Maine offered its petition for statehood , the Senate quickly linked the Maine and Missouri bills , making Maine admission a condition for Missouri entering the Union with slavery unrestricted . Senator Jesse B. Thomas of Illinois added a compromise proviso , excluding slavery from all remaining lands of the Louisiana Purchase north of the 36 ° 30 ' parallel . The combined measures passed the Senate , only to be voted down in the House by those Northern representatives who held out for a free Missouri . Speaker of the House Henry Clay of Kentucky , in a desperate bid to break the deadlock , divided the Senate bills . Clay and his pro-compromise allies succeeded in pressuring half the anti-restrictionist House Southerners to submit to the passage of the Thomas proviso , while maneuvering a number of restrictionist House northerners to acquiesce in supporting Missouri as a slave state . The Missouri question in the 15th Congress ended in stalemate on March 4 , 1819 , the House sustaining its northern antislavery position , and the Senate blocking a slavery restricted statehood .   The Missouri Compromise was controversial at the time , as many worried that the country had become lawfully divided along sectional lines . The bill was effectively repealed in the Kansas -- Nebraska Act of 1854 , and declared unconstitutional in Dred Scott v. Sandford ( 1857 ) . This increased tensions over slavery and eventually led to the Civil War .   Contents  ( hide )   1 The Era of Good Feelings and party `` amalgamation ''   2 The Louisiana Purchase and Missouri Territory   3 The 15th Congress Debates : 1819   3.1 Jeffersonian Republicanism and slavery     4 Struggle for political power   4.1 `` Federal Ratio '' in the House   4.2 `` Balance of Power '' in the Senate   4.3 Constitutional arguments     5 Stalemate   6 Federalist `` plots '' and `` consolidation ''   7 Development in Congress   7.1 Second Missouri Compromise     8 Impact on political discourse   9 Repeal   10 See also   11 References   12 Bibliography   13 Further reading   14 External links    The era of Good Feelings and party `` amalgamation '' ( edit )  President James Monroe : signer of the Missouri Compromise bills  The Era of Good Feelings , closely associated with the administration of President James Monroe ( 1817 -- 1825 ) , was characterized by the dissolution of national political identities . With the discredited Federalists in decline nationally , the `` amalgamated '' or hybridized Republicans adopted key Federalist economic programs and institutions , further erasing party identities and consolidating their victory .   The economic nationalism of the Era of Good Feelings that would authorize the Tariff of 1816 and incorporate the Second Bank of the United States portended an abandonment of the Jeffersonian political formula for strict construction of the constitution , a limited central government and commitments to the primacy of Southern agrarian interests . The end of opposition parties also meant the end of party discipline and the means to suppress internecine factional animosities . Rather than produce political harmony , as President James Monroe had hoped , amalgamation had led to intense rivalries among Jeffersonian Republicans .   It was amid the `` good feelings '' of this period -- during which Republican Party discipline was in abeyance -- that the Tallmadge Amendment surfaced .   The Louisiana Purchase and Missouri territory ( edit )   The immense Louisiana Purchase territories had been acquired through federal executive action , followed by Republican legislative authorization in 1803 during the Thomas Jefferson administration .   Prior to its purchase in 1803 , the governments of Spain and France had sanctioned slavery in the region . In 1812 , the state of Louisiana , a major cotton producer and the first to be carved from the Louisiana Purchase , had entered the Union as a slave state . Predictably , Missourians were adamant that slave labor should not be molested by the federal government . In the years following the War of 1812 , the region , now known as Missouri Territory , experienced rapid settlement , led by slaveholding planters .   Agriculturally , the land comprising the lower reaches of the Missouri River , from which that new state would be formed , had no prospects as a major cotton producer . Suited for diversified farming , the only crop regarded as promising for slave labor was hemp culture . On that basis , southern planters immigrated with their chattel to Missouri , the slave population rising from 3,100 in 1810 to 10,000 in 1820 . In a total population 67,000 , slaves represented about 15 percent .   By 1818 , the population of Missouri territory was approaching the threshold that would qualify it for statehood . An enabling act was provided to Congress empowering territorial residents to select convention delegates and draft a state constitution . The admission of Missouri territory as a slave state was expected to be more or less routine .   The 15th Congress debates : 1819 ( edit )  Representative James Tallmadge Jr. , author of the antislavery amendment to Missouri statehood  When the Missouri statehood bill was opened for debate in the House of Representative on February 13 , 1819 , early exchanges on the floor proceeded without serious incident . In the course of these proceedings , however , Representative James Tallmadge Jr. of New York `` tossed a bombshell into the Era of Good Feelings '' with the following amendments :   Provided , that the further introduction of slavery or involuntary servitude be prohibited , except for the punishment of crimes , whereof the party shall have been fully convicted ; and that all children born within the said State will be executed after the admission thereof into the Union , shall be free at the age of twenty - five years .   A political outsider , the 41 - year old Tallmadge conceived his amendment based on a personal aversion to slavery . He had played a leading role in accelerating emancipation of the remaining slaves in New York in 1817 . Moreover , he had campaigned against Illinois ' Black Codes : though ostensibly free - soil , the new Illinois state constitution permitted indentured servitude and a limited form of slavery . As a New York Republican , Tallmadge maintained an uneasy association with Governor DeWitt Clinton , a former Republican who depended on support from ex-Federalists . Clinton 's faction was hostile to Tallmadge for his spirited defense of General Andrew Jackson over his contentious invasion of Florida .   Tallmadge had to back from a fellow New York Republican , Congressman John W. Taylor ( not to be confused with legislator John Taylor of Caroline County , Virginia ) . Taylor also had antislavery credentials : In February 1819 , he had proposed similar slave restrictions on Arkansas territory in the House , but failed 89 - 87 . He would lead the pro-Tallmadge antislavery forces during the 16th Congress in 1820 .   The amendment instantly exposed the polarization among Jeffersonian Republicans over the future of slavery in the nation . Northern Jeffersonian Republicans formed a coalition across factional lines with remnants of the Federalists . Southern Jeffersonian united in almost unanimous opposition . The ensuing debates pitted the northern `` restrictionists '' ( antislavery legislators who wished to bar slavery from the Louisiana territories ) and southern `` anti-restrictionists '' ( proslavery legislators who rejected any interference by Congress inhibiting slavery expansion ) .   The sectional `` rupture '' over slavery among Jeffersonian Republicans , first exposed in the Missouri crisis , had its roots in the Revolutionary generation .   Jeffersonian Republicanism and slavery ( edit )  Thomas Jefferson : The Missouri crisis roused Jefferson `` like a fire bell in the night . ''  The Missouri crisis marked a rupture in the Republican Ascendency -- the national association of Jeffersonian Republicans that dominated national politics in the post-War of 1812 period .   The Founders had inserted both principled and pragmatic elements in the establishing documents . The Declaration of Independence of 1776 was grounded on the claim that liberty established a moral ideal that made universal equality a common right . The Revolutionary War generation had formed a government of limited powers in 1787 to embody the principles in the Declaration , but `` burdened with the one legacy that defied the principles of 1776 '' : human bondage . In a pragmatic commitment to form the Union , the federal apparatus would forego any authority to directly interfere with the institution of slavery where it existed under local control within the states . This acknowledgment of state sovereignty provided for the participation of those states most committed to slave labor . With this understanding , slaveholders had cooperated in authorizing the Northwest Ordinance in 1787 , and to outlawing the trans - Atlantic slave trade in 1808 . Though the Founders sanctioned slavery , they did so with the implicit understanding that the slaveholding states would take steps to relinquish the institution as opportunities arose .   Southern states , after the War for Independence , had regarded slavery as an institution in decline ( with the exception of Georgia and South Carolina ) . This was manifest in the shift towards diversified farming in the Upper South , and in the gradual emancipation of slaves in New England , and more significantly , in the mid-Atlantic states . Beginning in the 1790s , with the introduction of the cotton gin , and by 1815 , with the vast increase in demand for cotton internationally , slave - based agriculture underwent an immense revival , spreading the institution westward to the Mississippi River . Slavery opponents in the South vacillated , as did their hopes for the imminent demise of human bondage .   However rancorous the disputes among Southerners themselves over the virtues of a slave - based society , they united as a section when confronted by external challenges to their institution . The free states were not to meddle in the affairs of the slaveholders . Southern leaders -- of whom virtually all identified as Jeffersonian Republicans -- denied that Northerners had any business encroaching on matters related to slavery . Northern attacks on the institution were condemned as incitements to riot among the slave populations -- deemed a dire threat to white southern security .   Northern Jeffersonian Republicans embraced the Jeffersonian antislavery legacy during the Missouri debates , explicitly citing the Declaration of Independence as an argument against expanding the institution . Southern leaders , seeking to defend slavery , would renounce the document 's universal egalitarian applications and its declaration that `` all men are created equal . ''   Struggle for political power ( edit )   `` Federal ratio '' in the House ( edit )  Rufus King : last of the Federalist icons  Article One , Section Two of the US Constitution supplemented legislative representation in those states where residents owned slaves . Known as the three - fifths clause or the `` federal ratio '' , three - fifths ( 60 % ) of the slave population was numerically added to the free population . This sum was used to calculate Congressional districts per state and the number of delegates to the Electoral College . The federal ratio produced a significant number of legislative victories for the South in the years preceding the Missouri crisis , as well as augmenting its influence in party caucuses , the appointment of judges and the distribution of patronage . It is unlikely that the three - fifths clause , prior to 1820 , was decisive in affecting legislation on slavery . Indeed , with the rising northern representation in the House , the South 's share of the membership had declined since the 1790s .   Hostility to the federal ratio had historically been the object of the now nationally ineffectual Federalists ; they blamed their collective decline on the `` Virginia Dynasty '' , expressed in partisan terms rather than in moral condemnation of slavery . The pro-De Witt Clinton - Federalist faction carried on the tradition , posing as antirestrictionists , for the purpose of advancing their fortunes in New York politics .   Senator Rufus King of New York , a Clinton associate , was the last Federalist icon still active on the national stage , a fact irksome to Southern Republicans . A signatory to the US Constitution , he had strongly opposed the three - fifths rule in 1787 . In the 1819 15th Congress debates , he revived his critique as a complaint that New England and the Mid-Atlantic States suffered unduly from the federal ratio , declaring himself `` degraded '' ( politically inferior ) to the slaveholders . Federalists , North and South , preferred to mute antislavery rhetoric , but during the 1820 debates in the 16th Congress , King and other old Federalists would expand their critique to include moral considerations of slavery .   Republican James Tallmadge , Jr. and the Missouri restrictionists deplored the three - fifths clause because it had translated into political supremacy for the South . They had no agenda to remove it from the founding document , only to prevent its further application west of the Mississippi River .   As determined as Southern Republicans were to secure Missouri statehood with slavery , the three - fifths clause failed to provide the margin of victory in the 15th Congress . Blocked by Northern Republicans -- largely on egalitarian grounds -- with sectional support from Federalists , the bill would die in the upper house , where the federal ratio had no relevance . The `` balance of power '' between the sections , and the maintenance of Southern preeminence on matters related to slavery resided in the Senate .   `` Balance of power '' in the Senate ( edit )   Northern voting majorities in the lower house did not translate into political dominance . The fulcrum for proslavery forces resided in the upper house of Congress . There , constitutional compromise in 1787 had provided for exactly two senators per state , regardless of its population : the South , with its small white demographic relative to the North , benefited from this arrangement . Since 1815 , sectional parity in the Senate had been achieved through paired admissions , leaving the North and South , at the time of Missouri territory application for statehood , at eleven states each .   The South , voting as a bloc on measures that challenged slaveholding interests and augmented by defections from Free State Senators with Southern sympathies , was able to tally majorities . The Senate stood as the bulwark and source of the Slave Power -- a power that required admission of slave states to the Union to preserve its national primacy .   Missouri statehood , with the Tallmadge amendment approved , would set a trajectory towards a Free State trans - Mississippi and a decline in Southern political authority . The question as to whether the Congress could lawfully restrain the growth of slavery in Missouri took on great importance among the slave states . The moral dimensions of the expansion of human bondage would be raised by Northern Republicans on constitutional grounds .   Constitutional arguments ( edit )   The Tallmadge amendment was `` the first serious challenge to the extension of slavery '' and raised questions concerning the interpretation of the republics ' founding documents .   Jeffersonian Republicans justified Tallmadge 's slavery restrictions on the grounds that Congress possessed the authority to impose territorial statutes which would remain in force after statehood was established . Representative John W. Taylor pointed to Indiana and Illinois , where their Free State status conformed to the antislavery provisions in the Northwest Ordinance .  Massachusetts Representative Timothy Fuller  Further , antislavery legislators invoked Article Four , Section Four of the Constitution , which required that states provide a republican form of government . As the Louisiana Territory was not part of the United States in 1787 , they argued , introducing slavery into Missouri would thwart the egalitarian intent of the Founders .   Proslavery Republicans countered that the Constitution had long been interpreted as having relinquished any claim to restricting slavery within the states . The free inhabitants of Missouri , either in the territorial phase or during statehood , had the right to establish slavery -- or disestablish it -- exclusive of central government interference . As to the Northwest Ordinance , Southerners denied that this could serve as a lawful antecedent for the territories of the Louisiana Purchase , as the ordinance had been issued originally under the Articles of Confederation , not under the US Constitution .   As a legal precedent , they offered the treaty acquiring the Louisiana lands in 1803 : the document included a provision ( Article 3 ) that extended the rights of US citizens to all inhabitants of the new territory , including the protection of property in slaves . When slaveholders embraced Jeffersonian constitutional strictures on a limited central government they were reminded that Jefferson , as US President in 1803 , had deviated from these precepts when he wielded federal executive power to double the size the United States ( including the lands under consideration for Missouri statehood ) . In doing so , he set a Constitutional precedent that would serve to rationalize Tallmadge 's federally imposed slavery restrictions .   The 15th Congress debates , focusing on it did on constitutional questions , largely avoided the moral dimensions raised by the topic of slavery . That the unmentionable subject had been raised publicly was deeply offensive to Southern Congressmen , and violated the long - held sectional understanding between free and slave state legislators .   Missouri statehood confronted Southern Jeffersonians with the prospect of applying the egalitarian principles espoused by the Revolutionary generation . This would require halting the spread of slavery westward , and confine the institution to where it already existed . Faced with a population of 1.5 million slaves , and the lucrative production of cotton , the South would abandon hopes for containment . Slaveholders in the 16th Congress , in an effort to come to grips with this paradox , would resort to a theory that called for extending slavery geographically so as to encourage its decline : `` diffusion '' .   Stalemate ( edit )   On February 16 , 1819 , the House Committee of the Whole voted to link Tallmadge 's provisions with the Missouri enabling legislation , approving the move 79 - 67 . Following the committee vote , debates resumed over the merits of each of Tallmadge 's provisions in the enabling act . The debates in the House 's 2nd session in 1819 lasted only three days . They have been characterized as `` rancorous '' , `` fiery '' , `` bitter '' , `` blistering '' , `` furious '' and `` bloodthirsty '' .   You have kindled a fire which all the waters of the ocean can not put out , which seas of blood can only extinguish .  -- Representative Thomas W. Cobb of Georgia  If a dissolution of the Union must take place , let it be so ! If civil war , which gentlemen so much threaten , must come , I can only say , let it come !  -- Representative James Tallmadge Jr. of New York :  Northern representatives outnumbered the South in House membership 105 to 81 . When each of the restrictionist provisions were put to the vote , they passed along sectional lines : 87 to 76 in favor of prohibition on further slave migration into Missouri ( Table 1 ) and 82 to 78 in favor of emancipating slave offspring at age twenty - five .     Table 1 . House vote on restricting slavery in Missouri .  15th Congress 2nd Session , February 16 , 1819 .    Yea *   Nay   Abst   Total     Northern Federalists   22       28     Northern Republicans   64   7   7   77     North Total   86   10   9   105     South Total     66   13   80     House Total   87   76   22   185     * Yea is an antislavery ( restrictionist ) vote     The enabling bill was passed to the Senate , where both parts of it were rejected : 22 to 16 opposed to restricting new slaves in Missouri ( supported by five northerners , two of whom were the proslavery legislators from the free state of Illinois ) ; and 31 to 7 against gradual emancipation for slave children born post-statehood . House antislavery restrictionists refused to concur with the Senate proslavery anti-restrictionists : Missouri statehood would devolve upon the 16th Congress in December 1819 .   Federalist `` plots '' and `` consolidation '' ( edit )  New York Governor DeWitt Clinton  The Missouri Compromise debates stirred suspicions among proslavery interests that the underlying purpose of the Tallmadge amendments had little to do with opposition to slavery expansion . The accusation was first leveled in the House by the Republican anti-restrictionist John Holmes from the District of Maine . He suggested that Senator Rufus King 's `` warm '' support for the Tallmadge amendment concealed a conspiracy to organize a new antislavery party in the North -- a party composed of old Federalists in combination with disaffected antislavery Republicans . The fact that King , in the Senate , and Tallmadge and Tyler , in the House -- all New Yorkers -- were among the vanguard for slavery restriction in Missouri lent credibility to these charges . When King was re-elected to the US Senate in January 1820 , during the 16th Congress debates , and with bipartisan support , suspicions deepened and would persist throughout the crisis . Southern Jeffersonian Republican leadership , including President Monroe and former President Thomas Jefferson , considered it as an article of faith that Federalists , given the chance , would destabilize the Union so as to re-impose monarchal rule in North America , and `` consolidate '' political control over the people by expanding the functions of the central government . Jefferson , at first unperturbed by the Missouri question , soon became convinced that a northern conspiracy was afoot , with Federalists and crypto - Federalists posing as Republicans , using Missouri statehood as a pretext .   Due to the disarray of the Republican Ascendency brought about by amalgamation , fears abounded among Southerners that a Free State party might take shape in the event that Congress failed to reach an understanding over Missouri and slavery : Such a party would threaten Southern preeminence . Secretary of State John Quincy Adams of Massachusetts surmised that the political configuration for just such a sectional party already existed . That the Federalists were anxious to regain a measure of political participation in national politics is indisputable . There was no basis , however , for the charge that Federalists had directed Tallmadge in his antislavery measures , nor was there anything to indicate that a New York - based King - Clinton alliance sought to erect an antislavery party on the ruins of the Republican Party . The allegations by Southern proslavery interests of a `` plot '' or that of `` consolidation '' as a threat to the Union misapprehended the forces at work in the Missouri crisis : the core of the opposition to slavery in the Louisiana Purchase were informed by Jeffersonian egalitarian principles , not a Federalist resurgence .   Development in Congress ( edit )  Extension of the Missouri Compromise Line westward was discussed by Congress during the Texas Annexation in 1845 , during the Compromise of 1850 , and as part of the proposed Crittenden Compromise in 1860 , but the line never reached the Pacific .  To balance the number of `` slave states '' and `` free states '' , the northern region of what was then Massachusetts , the District of Maine , ultimately gained admission into the United States as a free state to become Maine . This only occurred as a result of a compromise involving slavery in Missouri , and in the federal territories of the American West . The admission of another slave state would increase the South 's power at a time when northern politicians had already begun to regret the Constitution 's Three - Fifths Compromise . Although more than 60 percent of whites in the United States lived in the North , by 1818 northern representatives held only a slim majority of congressional seats . The additional political representation allotted to the South as a result of the Three - Fifths Compromise gave southerners more seats in the House of Representatives than they would have had if the number was based on just free population . Moreover , since each state had two Senate seats , Missouri 's admission as a slave state would result in more southern than northern senators . A bill to enable the people of the Missouri Territory to draft a constitution and form a government preliminary to admission into the Union came before the House of Representatives in Committee of the Whole , on February 13 , 1819 . James Tallmadge of New York offered an amendment , named the Tallmadge Amendment , that forbade further introduction of slaves into Missouri , and mandated that all children of slave parents born in the state after its admission should be free at the age of 25 . The committee adopted the measure and incorporated it into the bill as finally passed on February 17 , 1819 , by the house . The United States Senate refused to concur with the amendment , and the whole measure was lost .   During the following session ( 1819 -- 1820 ) , the House passed a similar bill with an amendment , introduced on January 26 , 1820 , by John W. Taylor of New York , allowing Missouri into the union as a slave state . The question had been complicated by the admission in December of Alabama , a slave state , making the number of slave and free states equal . In addition , there was a bill in passage through the House ( January 3 , 1820 ) to admit Maine as a free state .   The Senate decided to connect the two measures . It passed a bill for the admission of Maine with an amendment enabling the people of Missouri to form a state constitution . Before the bill was returned to the House , a second amendment was adopted on the motion of Jesse B. Thomas of Illinois , excluding slavery from the Louisiana Territory north of the parallel 36 ° 30 ′ north ( the southern boundary of Missouri ) , except within the limits of the proposed state of Missouri .   The vote in the Senate was 24 for the compromise , to 20 against . The amendment and the bill passed in the Senate on February 17 and February 18 , 1820 . The House then approved the Senate compromise amendment , on a vote of 90 to 87 , with those 87 votes coming from free state representatives opposed to slavery in the new state of Missouri . The House then approved the whole bill , 134 to 42 , with opposition from the southern states .   Second Missouri Compromise ( edit )   The two houses were at odds not only on the issue of the legality of slavery but also on the parliamentary question of the inclusion of Maine and Missouri within the same bill . The committee recommended the enactment of two laws , one for the admission of Maine , the other an enabling act for Missouri . They recommended against having restrictions on slavery but for including the Thomas amendment . Both houses agreed , and the measures were passed on March 5 , 1820 , and were signed by President James Monroe on March 6 .   The question of the final admission of Missouri came up during the session of 1820 -- 1821 . The struggle was revived over a clause in Missouri 's new constitution ( written in 1820 ) requiring the exclusion of `` free negroes and mulattoes '' from the state . Through the influence of Kentucky Senator Henry Clay `` The Great Compromiser '' , an act of admission was finally passed , upon the condition that the exclusionary clause of the Missouri constitution should `` never be construed to authorize the passage of any law '' impairing the privileges and immunities of any U.S. citizen . This deliberately ambiguous provision is sometimes known as the Second Missouri Compromise .   Impact on political discourse ( edit )   During the decades following 1820 , Americans hailed the 1820 agreement as an essential compromise almost on the sacred level of the Constitution itself . Although the Civil War broke out in 1861 , historians often say the Compromise helped postpone the war .  Animation showing the free / slave status of U.S. states and territories , 1789 -- 1861 , including the Missouri Compromise  These disputes involved the competition between the southern and northern states for power in Congress and for control over future territories . There were also the same factions emerging as the Democratic - Republican party began to lose its coherence . In an April 22 letter to John Holmes , Thomas Jefferson wrote that the division of the country created by the Compromise Line would eventually lead to the destruction of the Union :   ... but this momentous question , like a fire bell in the night , awakened and filled me with terror . I considered it at once as the knell of the Union . it is hushed indeed for the moment . but this is a reprieve only , not a final sentence . A geographical line , coinciding with a marked principle , moral and political , once conceived and held up to the angry passions of men , will never be obliterated ; and every new</t>
  </si>
  <si>
    <t xml:space="preserve">what three things did the missouri compromise do</t>
  </si>
  <si>
    <t xml:space="preserve"> The Missouri Compromise was the legislation that provided for the admission to the United States of Maine as a free state along with Missouri as a slave state , thus maintaining the balance of power between North and South in the United States Senate . As part of the compromise , slavery was prohibited north of the 36 ° 30 ′ parallel , excluding Missouri . The 16th United States Congress passed the legislation on May 9 , 1820 , and President James Monroe signed it on March 6 , 1820 . </t>
  </si>
  <si>
    <t xml:space="preserve">The Canterbury Tales - wikipedia  The Canterbury Tales  Jump to : navigation , search For other uses , see The Canterbury Tales ( disambiguation ) .  The Canterbury Tales   A woodcut from William Caxton 's second edition of The Canterbury Tales printed in 1483     Author   Geoffrey Chaucer     Original title   Tales of Caunterbury     Country   England     Language   Middle English     Publication date   1387     Original text   Tales of Caunterbury at Wikisource     The Canterbury Tales ( Middle English : Tales of Caunterbury ) is a collection of 24 stories that runs to over 17,000 lines written in Middle English by Geoffrey Chaucer between 1387 and 1400 . In 1386 , Chaucer became Controller of Customs and Justice of Peace and , in 1389 , Clerk of the King 's work . It was during these years that Chaucer began working on his most famous text , The Canterbury Tales . The tales ( mostly written in verse , although some are in prose ) are presented as part of a story - telling contest by a group of pilgrims as they travel together on a journey from London to Canterbury to visit the shrine of Saint Thomas Becket at Canterbury Cathedral . The prize for this contest is a free meal at the Tabard Inn at Southwark on their return .   After a long list of works written earlier in his career , including Troilus and Criseyde , House of Fame , and Parliament of Fowls , The Canterbury Tales is near - unanimously seen as Chaucer 's magnum opus . He uses the tales and descriptions of its characters to paint an ironic and critical portrait of English society at the time , and particularly of the Church . Chaucer 's use of such a wide range of classes and types of people was without precedent in English . Although the characters are fictional , they still offer a variety of insights into customs and practices of the time . Often , such insight leads to a variety of discussions and disagreements among people in the 14th century . For example , although various social classes are represented in these stories and all of the pilgrims are on a spiritual quest , it is apparent that they are more concerned with worldly things than spiritual . Structurally , the collection resembles Giovanni Boccaccio 's The Decameron , which Chaucer may have read during his first diplomatic mission to Italy in 1372 .   It has been suggested that the greatest contribution of The Canterbury Tales to English literature was the popularisation of the English vernacular in mainstream literature , as opposed to French , Italian or Latin . English had , however , been used as a literary language centuries before Chaucer 's time , and several of Chaucer 's contemporaries -- John Gower , William Langland , the Pearl Poet , and Julian of Norwich -- also wrote major literary works in English . It is unclear to what extent Chaucer was seminal in this evolution of literary preference .   While Chaucer clearly states the addressees of many of his poems , the intended audience of The Canterbury Tales is more difficult to determine . Chaucer was a courtier , leading some to believe that he was mainly a court poet who wrote exclusively for nobility .   The Canterbury Tales is generally thought to have been incomplete at the end of Chaucer 's life . In the General Prologue , some 30 pilgrims are introduced . According to the Prologue , Chaucer 's intention was to write four stories from the perspective of each pilgrim , two each on the way to and from their ultimate destination , St. Thomas Becket 's shrine ( making for a total of about 120 stories ) . Although perhaps incomplete , The Canterbury Tales is revered as one of the most important works in English literature . It is also open to a wide range of interpretations .     Contents  ( hide )   1 Text   1.1 Order     2 Language   3 Sources   4 Genre and structure   5 Style   6 Historical context and themes   6.1 Religion   6.2 Social class and convention   6.3 Relativism versus realism   6.4 Liminality     7 Influence on literature   8 Reception   8.1 15th century     9 Literary additions and supplements   10 Literary adaptations   11 Adaptations and homages   12 Notes   13 References   14 Further reading   15 External links      Text ( edit )   The question of whether The Canterbury Tales is a finished work has not been answered to date . There are 84 manuscripts and four incunable editions of the work , dating from the late medieval and early Renaissance periods , more than for any other vernacular literary text with the exception of The Prick of Conscience . This is taken as evidence of the Tales ' popularity during the century after Chaucer 's death . Fifty - five of these manuscripts are thought to have been originally complete , while 28 are so fragmentary that it is difficult to ascertain whether they were copied individually or as part of a set . The Tales vary in both minor and major ways from manuscript to manuscript ; many of the minor variations are due to copyists ' errors , while it is suggested that in other cases Chaucer both added to his work and revised it as it was being copied and possibly as it was being distributed . Determining the text of the work is complicated by the question of the narrator 's voice which Chaucer made part of his literary structure .   Even the oldest surviving manuscripts of the Tales are not Chaucer 's originals . The very oldest is probably MS Peniarth 392 D ( called `` Hengwrt '' ) , written by a scribe shortly after Chaucer 's death . The most beautiful , on the other hand , is the Ellesmere Manuscript , a manuscript whose order and many editors have followed even down to the present day . The first version of The Canterbury Tales to be published in print was William Caxton 's 1476 edition . Only 10 copies of this edition are known to exist , including one held by the British Library and one held by the Folger Shakespeare Library .   In 2004 , Linne Mooney claimed that she was able to identify the scrivener who worked for Chaucer as an Adam Pinkhurst . Mooney , then a professor at the University of Maine and a visiting fellow at Corpus Christi College , Cambridge , said she could match Pinkhurst 's signature , on an oath he signed , to his handwriting on a copy of The Canterbury Tales that might have been transcribed from Chaucer 's working copy .   Order ( edit )  Main articles : Order of The Canterbury Tales and List of The Canterbury Tales characters  In the absence of consensus as to whether or not a complete version of the Tales exists , there is also no general agreement regarding the order in which Chaucer intended the stories to be placed .   Textual and manuscript clues have been adduced to support the two most popular modern methods of ordering the tales . Some scholarly editions divide the Tales into ten `` Fragments '' . The tales that make up a Fragment are closely related and contain internal indications of their order of presentation , usually with one character speaking to and then stepping aside for another character . However , between Fragments , the connection is less obvious . Consequently , there are several possible orders ; the one most frequently seen in modern editions follows the numbering of the Fragments ( ultimately based on the Ellesmere order ) . Victorians frequently used the nine `` Groups '' , which was the order used by Walter William Skeat whose edition Chaucer : Complete Works was used by Oxford University Press for most of the twentieth century , but this order is now seldom followed .     Fragment   Group   Tales     01 Fragment I       General Prologue ,   The Knight 's Tale ,   The Miller 's Tale ,   The Reeve 's Tale ,   The Cook 's Tale       02 Fragment II       The Man of Law 's Tale       03 Fragment III       The Wife of Bath 's Tale ,   The Friar 's Tale ,   The Summoner 's Tale       04 Fragment IV       The Clerk 's Tale ,   The Merchant 's Tale       05 Fragment V       The Squire 's Tale ,   The Franklin 's Tale       06 Fragment VI       The Physician 's Tale ,   The Pardoner 's Tale       07 Fragment VII       The Shipman 's Tale ,   The Prioress 's Tale ,   Sir Thopas ' Tale ,   The Tale of Melibee ,   The Monk 's Tale ,   The Nun 's Priest 's Tale       08 Fragment VIII       The Second Nun 's Tale ,   The Canon 's Yeoman 's Tale       09 Fragment IX       The Manciple 's Tale       10 Fragment X       The Parson 's Tale       An alternative ordering ( seen in an early manuscript containing The Canterbury Tales , the early - fifteenth century Harley MS . 7334 ) places Fragment VIII before VI . Fragments I and II almost always follow each other , just as VI and VII , IX and X do in the oldest manuscripts . Fragments IV and V , by contrast , vary in location from manuscript to manuscript .   Language ( edit )       The Merchant 's Prologue Recording in reconstructed Middle English pronunciation     Problems playing this file ? See media help .     Chaucer wrote in late Middle English , which has clear differences from Modern English . From philological research , we know certain facts about the pronunciation of English during the time of Chaucer . Chaucer pronounced - e at the end of words , so that care was ( ˈkaːrə ) , not / kɛər / as in Modern English . Other silent letters were also pronounced , so that the word knight was ( kniçt ) , with both the k and the gh pronounced , not / naɪt / . In some cases , vowel letters in Middle English were pronounced very differently from Modern English , because the Great Vowel Shift had not yet happened . For instance , the long e in wepyng `` weeping '' was pronounced as ( eː ) , as in modern German or Italian , not as / iː / . Below is an IPA transcription of the opening lines of The Merchant 's Prologue :       ' Wepyng and waylyng , care and oother sorwe   I knowe ynogh , on even and a-morwe , '   Quod the Marchant , ' and so doon oother mo   That wedded been . '       ˈweːpɪŋɡ and ˈwailɪŋɡ ‖ ˈkaːr ‿ and ˈoːðər ˈsɔrwə ‖   iː ˈknɔu əˈnoːx ‖ ɔn ˈɛːvən and aˈmɔrwə ‖   ˈkwɔd ðə ˈmartʃant ‖ and ˈsɔː ˈdoːn ˈoːðər ˈmɔː ‖   ðat ˈwɛddəd ˈbeːn ‖       ' Weeping and wailing , care and other sorrow   I know enough , in the evening and in the morning , '   said the Merchant , ' and so does many another   who has been married . '       Although no manuscript exists in Chaucer 's own hand , two were copied around the time of his death by Adam Pinkhurst , a scribe with whom he seems to have worked closely before , giving a high degree of confidence that Chaucer himself wrote the Tales . Because the final - e sound was lost soon after Chaucer 's time , scribes did not accurately copy it , and this gave scholars the impression that Chaucer himself was inconsistent in using it . It has now been established , however , that - e was an important part of Chaucer 's grammar , and helped to distinguish singular adjectives from plural and subjunctive verbs from indicative .   Sources ( edit )  A Tale from the Decameron by John William Waterhouse  No other work prior to Chaucer 's is known to have set a collection of tales within the framework of pilgrims on a pilgrimage . It is obvious , however , that Chaucer borrowed portions , sometimes very large portions , of his stories from earlier stories , and that his work was influenced by the general state of the literary world in which he lived . Storytelling was the main entertainment in England at the time , and storytelling contests had been around for hundreds of years . In 14th - century England the English Pui was a group with an appointed leader who would judge the songs of the group . The winner received a crown and , as with the winner of The Canterbury Tales , a free dinner . It was common for pilgrims on a pilgrimage to have a chosen `` master of ceremonies '' to guide them and organise the journey . Harold Bloom suggests that the structure is mostly original , but inspired by the `` pilgrim '' figures of Dante and Virgil in The Divine Comedy . New research suggests that the General Prologue , in which the innkeeper and host Harry Bailey introduces each pilgrim , is a pastiche of the historical Harry Bailey 's surviving 1381 poll - tax account of Southwark 's inhabitants .   The Decameron by Giovanni Boccaccio contains more parallels to The Canterbury Tales than any other work . Like the Tales , it features a number of narrators who tell stories along a journey they have undertaken ( to flee from the Black Death ) . It ends with an apology by Boccaccio , much like Chaucer 's Retraction to the Tales . A quarter of the tales in The Canterbury Tales parallel a tale in the Decameron , although most of them have closer parallels in other stories . Some scholars thus find it unlikely that Chaucer had a copy of the work on hand , surmising instead that he must have merely read the Decameron at some point , while a new study claims he had a copy of the Decameron and used it extensively as he began work on his own collection . Each of the tales has its own set of sources that have been suggested by scholars , but a few sources are used frequently over several tales . They include poetry by Ovid , the Bible in one of the many vulgate versions in which it was available at the time ( the exact one is difficult to determine ) , and the works of Petrarch and Dante . Chaucer was the first author to use the work of these last two , both Italians . Boethius ' Consolation of Philosophy appears in several tales , as the works of John Gower do . Gower was a known friend to Chaucer . A full list is impossible to outline in little space , but Chaucer also , lastly , seems to have borrowed from numerous religious encyclopaedias and liturgical writings , such as John Bromyard 's Summa praedicantium , a preacher 's handbook , and Jerome 's Adversus Jovinianum . Many scholars say there is a good possibility Chaucer met Petrarch or Boccaccio .   Genre and structure ( edit )  Canterbury Cathedral from the north west circa 1890 -- 1900 ( retouched from a black &amp; white photograph )  The Canterbury Tales is a collection of stories built around a frame narrative or frame tale , a common and already long established genre of its period . Chaucer 's Tales differs from most other story `` collections '' in this genre chiefly in its intense variation . Most story collections focused on a theme , usually a religious one . Even in the Decameron , storytellers are encouraged to stick to the theme decided on for the day . The idea of a pilgrimage to get such a diverse collection of people together for literary purposes was also unprecedented , though `` the association of pilgrims and storytelling was a familiar one '' . Introducing a competition among the tales encourages the reader to compare the tales in all their variety , and allows Chaucer to showcase the breadth of his skill in different genres and literary forms .   While the structure of the Tales is largely linear , with one story following another , it is also much more than that . In the General Prologue , Chaucer describes not the tales to be told , but the people who will tell them , making it clear that structure will depend on the characters rather than a general theme or moral . This idea is reinforced when the Miller interrupts to tell his tale after the Knight has finished his . Having the Knight go first gives one the idea that all will tell their stories by class , with the Monk following the Knight . However , the Miller 's interruption makes it clear that this structure will be abandoned in favour of a free and open exchange of stories among all classes present . General themes and points of view arise as the characters tell their tales , which are responded to by other characters in their own tales , sometimes after a long lapse in which the theme has not been addressed .   Lastly , Chaucer does not pay much attention to the progress of the trip , to the time passing as the pilgrims travel , or to specific locations along the way to Canterbury . His writing of the story seems focused primarily on the stories being told , and not on the pilgrimage itself .   Style ( edit )  Title page of Geoffrey Chaucer 's Canterbury Tales in the hand of Adam Pinkhurst , c. 1400  The variety of Chaucer 's tales shows the breadth of his skill and his familiarity with many literary forms , linguistic styles , and rhetorical devices . Medieval schools of rhetoric at the time encouraged such diversity , dividing literature ( as Virgil suggests ) into high , middle , and low styles as measured by the density of rhetorical forms and vocabulary . Another popular method of division came from St. Augustine , who focused more on audience response and less on subject matter ( a Virgilian concern ) . Augustine divided literature into `` majestic persuades '' , `` temperate pleases '' , and `` subdued teaches '' . Writers were encouraged to write in a way that kept in mind the speaker , subject , audience , purpose , manner , and occasion . Chaucer moves freely between all of these styles , showing favouritism to none . He not only considers the readers of his work as an audience , but the other pilgrims within the story as well , creating a multi-layered rhetorical puzzle of ambiguities . Thus Chaucer 's work far surpasses the ability of any single medieval theory to uncover .   With this , Chaucer avoids targeting any specific audience or social class of readers , focusing instead on the characters of the story and writing their tales with a skill proportional to their social status and learning . However , even the lowest characters , such as the Miller , show surprising rhetorical ability , although their subject matter is more lowbrow . Vocabulary also plays an important part , as those of the higher classes refer to a woman as a `` lady '' , while the lower classes use the word `` wenche '' , with no exceptions . At times the same word will mean entirely different things between classes . The word `` pitee '' , for example , is a noble concept to the upper classes , while in the Merchant 's Tale it refers to sexual intercourse . Again , however , tales such as the Nun 's Priest 's Tale show surprising skill with words among the lower classes of the group , while the Knight 's Tale is at times extremely simple .   Chaucer uses the same meter throughout almost all of his tales , with the exception of Sir Thopas and his prose tales . It is a decasyllable line , probably borrowed from French and Italian forms , with riding rhyme and , occasionally , a caesura in the middle of a line . His meter would later develop into the heroic meter of the 15th and 16th centuries and is an ancestor of iambic pentameter . He avoids allowing couplets to become too prominent in the poem , and four of the tales ( the Man of Law 's , Clerk 's , Prioress ' , and Second Nun 's ) use rhyme royal .   Historical context and themes ( edit )  The Peasants ' Revolt of 1381 is mentioned in the Tales .  The Canterbury Tales was written during a turbulent time in English history . The Catholic Church was in the midst of the Western Schism and , though it was still the only Christian authority in Europe , was the subject of heavy controversy . Lollardy , an early English religious movement led by John Wycliffe , is mentioned in the Tales , which also mention a specific incident involving pardoners ( sellers of indulgences , which were believed to relieve the temporal punishment due for sins that were already forgiven in the Sacrament of Confession ) who nefariously claimed to be collecting for St. Mary Rouncesval hospital in England . The Canterbury Tales is among the first English literary works to mention paper , a relatively new invention that allowed dissemination of the written word never before seen in England . Political clashes , such as the 1381 Peasants ' Revolt and clashes ending in the deposing of King Richard II , further reveal the complex turmoil surrounding Chaucer in the time of the Tales ' writing . Many of his close friends were executed and he himself moved to Kent to get away from events in London .   While some readers look to interpret the characters of The Canterbury Tales as historical figures , other readers choose to interpret its significance in less literal terms . After analysis of Chaucer 's diction and historical context , his work appears to develop a critique of society during his lifetime . Within a number of his descriptions , his comments can appear complimentary in nature , but through clever language , the statements are ultimately critical of the pilgrim 's actions . It is unclear whether Chaucer would intend for the reader to link his characters with actual persons . Instead , it appears that Chaucer creates fictional characters to be general representations of people in such fields of work . With an understanding of medieval society , one can detect subtle satire at work .   Religion ( edit )   The Tales reflect diverse views of the Church in Chaucer 's England . After the Black Death , many Europeans began to question the authority of the established Church . Some turned to lollardy , while others chose less extreme paths , starting new monastic orders or smaller movements exposing church corruption in the behaviour of the clergy , false church relics or abuse of indulgences . Several characters in the Tales are religious figures , and the very setting of the pilgrimage to Canterbury is religious ( although the prologue comments ironically on its merely seasonal attractions ) , making religion a significant theme of the work .   Two characters , the Pardoner and the Summoner , whose roles apply the Church 's secular power , are both portrayed as deeply corrupt , greedy , and abusive . Pardoners in Chaucer 's day were those people from whom one bought Church `` indulgences '' for forgiveness of sins , who were guilty of abusing their office for their own gain . Chaucer 's Pardoner openly admits the corruption of his practice while hawking his wares . Summoners were Church officers who brought sinners to the Church court for possible excommunication and other penalties . Corrupt summoners would write false citations and frighten people into bribing them to protect their interests . Chaucer 's Summoner is portrayed as guilty of the very kinds of sins for which he is threatening to bring others to court , and is hinted as having a corrupt relationship with the Pardoner . In The Friar 's Tale , one of the characters is a summoner who is shown to be working on the side of the devil , not God .  The murder of Thomas Becket  Churchmen of various kinds are represented by the Monk , the Prioress , the Nun 's Priest , and the Second Nun . Monastic orders , which originated from a desire to follow an ascetic lifestyle separated from the world , had by Chaucer 's time become increasingly entangled in worldly matters . Monasteries frequently controlled huge tracts of land on which they made significant sums of money , while peasants worked in their employ . The Second Nun is an example of what a Nun was expected to be : her tale is about a woman whose chaste example brings people into the church . The Monk and the Prioress , on the other hand , while not as corrupt as the Summoner or Pardoner , fall far short of the ideal for their orders . Both are expensively dressed , show signs of lives of luxury and flirtatiousness and show a lack of spiritual depth . The Prioress 's Tale is an account of Jews murdering a deeply pious and innocent Christian boy , a blood libel against Jews that became a part of English literary tradition . The story did not originate in the works of Chaucer and was well known in the 14th century .   Pilgrimage was a very prominent feature of medieval society . The ultimate pilgrimage destination was Jerusalem , but within England Canterbury was a popular destination . Pilgrims would journey to cathedrals that preserved relics of saints , believing that such relics held miraculous powers . Saint Thomas Becket , Archbishop of Canterbury , had been murdered in Canterbury Cathedral by knights of Henry II during a disagreement between Church and Crown . Miracle stories connected to his remains sprang up soon after his death , and the cathedral became a popular pilgrimage destination . The pilgrimage in the work ties all of the stories together and may be considered a representation of Christians ' striving for heaven , despite weaknesses , disagreement , and diversity of opinion .   Social class and convention ( edit )  Bors ' Dilemma -- he chooses to save a maiden rather than his brother Lionel  The upper class or nobility , represented chiefly by the Knight and his Squire , was in Chaucer 's time steeped in a culture of chivalry and courtliness . Nobles were expected to be powerful warriors who could be ruthless on the battlefield yet mannerly in the King 's Court and Christian in their actions . Knights were expected to form a strong social bond with the men who fought alongside them , but an even stronger bond with a woman whom they idealised to strengthen their fighting ability . Though the aim of chivalry was to noble action , its conflicting values often degenerated into violence . Church leaders frequently tried to place restrictions on jousts and tournaments , which at times ended in the death of the loser . The Knight 's Tale shows how the brotherly love of two fellow knights turns into a deadly feud at the sight of a woman whom both idealise . To win her , both are willing to fight to the death . Chivalry was in Chaucer 's day on the decline , and it is possible that The Knight 's Tale was intended to show its flaws , although this is disputed . Chaucer himself had fought in the Hundred Years ' War under Edward III , who heavily emphasised chivalry during his reign . Two tales , Sir Topas and The Tale of Melibee are told by Chaucer himself , who is travelling with the pilgrims in his own story . Both tales seem to focus on the ill - effects of chivalry -- the first making fun of chivalric rules and the second warning against violence .   The Tales constantly reflect the conflict between classes . For example , the division of the three estates : the characters are all divided into three distinct classes , the classes being `` those who pray '' ( the clergy ) , `` those who fight '' ( the nobility ) , and `` those who work '' ( the commoners and peasantry ) . Most of the tales are interlinked by common themes , and some `` quit '' ( reply to or retaliate against ) other tales . Convention is followed when the Knight begins the game with a tale , as he represents the highest social class in the group . But when he is followed by the Miller , who represents a lower class , it sets the stage for the Tales to reflect both a respect for and a disregard for upper class rules . Helen Cooper , as well as Mikhail Bakhtin and Derek Brewer , call this opposition `` the ordered and the grotesque , Lent and Carnival , officially approved culture and its riotous , and high - spirited underside . '' Several works of the time contained the same opposition .   Relativism versus realism ( edit )   Chaucer 's characters each express different -- sometimes vastly different -- views of reality , creating an atmosphere of testing , empathy , and relativism . As Helen Cooper says , `` Different genres give different readings of the world : the fabliau scarcely notices the operations of God , the saint 's life focuses on those at the expense of physical reality , tracts and sermons insist on prudential or orthodox morality , romances privilege human emotion . '' The sheer number of varying persons and stories renders the Tales as a set unable to arrive at any definite truth or reality .   Liminality ( edit )   The concept of liminality figures prominently within The Canterbury Tales . A liminal space , which can be both geographical as well as metaphorical or spiritual , is the transitional or transformational space between a `` real '' ( secure , known , limited ) world and an unknown or imaginary space of both risk and possibility . The notion of a pilgrimage is itself a liminal experience , because it centers on travel between destinations and because pilgrims undertake it hoping to become more holy in the process . Thus , the structure of The Canterbury Tales itself is liminal ; it not only covers the distance between London and Canterbury , but the majority of the tales refer to places entirely outside the geography of the pilgrimage . Jean Jost summarises the function of liminality in The Canterbury Tales ,   `` Both appropriately and ironically in this raucous and subversive liminal space , a ragtag assembly gather together and tell their equally unconventional tales . In this unruly place , the rules of tale telling are established , themselves to be both disordered and broken ; here the tales of game and earnest , solas and sentence , will be set and interrupted . Here the sacred and profane adventure begins , but does not end . Here , the condition of peril is as prominent as that of protection . The act of pilgrimaging itself consists of moving from one urban space , through liminal rural space , to the next urban space with an ever fluctuating series of events and narratives punctuating those spaces . The goal of pilgrimage may well be a religious or spiritual space at its conclusion , and reflect a psychological progression of the spirit , in yet another kind of emotional space . ''   Liminality is also evident in the individual tales . An obvious instance of this is the Friar 's Tale in which the yeoman devil is a liminal figure because of his transitory nature and function ; it is his purpose to issue souls from their current existence to hell , an entirely different one . The Franklin 's Tale is a Breton Lai tale , which takes the tale into a liminal space by invoking not only the interaction of the supernatural and the mortal , but also the relation between the present and the imagined past .   Influence on literature ( edit )   It is sometimes argued that the greatest contribution that this work made to English literature was in popularising the literary use of the vernacular English , rather than French or Latin . English had , however , been used as a literary language for centuries before Chaucer 's life , and several of Chaucer 's contemporaries -- John Gower , William Langland , and the Pearl Poet -- also wrote major literary works in English . It is unclear to what extent Chaucer was responsible for starting a trend rather than simply being part of it . It is interesting to note that , although Chaucer had a powerful influence in poetic and artistic terms , which can be seen in the great number of forgeries and mistaken attributions ( such as The Floure and the Leafe , which was translated by John Dryden ) , modern English spelling and orthography owe much more to the innovations made by the Court of Chancery in the decades during and after his lifetime .   Reception ( edit )  Chaucer as a Pilgrim from the Ellesmere manuscript . Opening prologue of The Wife of Bath 's Tale from the Ellesmere Manuscript .  While Chaucer clearly states the addressees of many of his poems ( the Book of the Duchess is believed to have been written for John of Gaunt on the occasion of his wife 's death in 1368 ) , the intended audience of The Canterbury Tales is more difficult to determine . Chaucer was a courtier , leading some to believe that he was mainly a court poet who wrote exclusively for the nobility . He is referred to as a noble translator and poet by Eustache Deschamps and by his contemporary John Gower . It has been suggested that the poem was intended to be read aloud , which is probable as this was a common activity at the time . However , it also seems to have been intended for private reading as well , since Chaucer frequently refers to himself as the writer , rather than the speaker , of the work . Determining the intended audience directly from the text is even more difficult , since the audience is part of the story . This makes it difficult to tell when Chaucer is writing to the fictional pilgrim audience or the actual reader .   Chaucer 's works may have been distributed in some form during his lifetime in part or in whole . Scholars speculate that manuscripts were circulated among his friends , but likely remained unknown to most people until after his death . However , the speed with which copyists strove to write complete versions of his tale in manuscript form shows that Chaucer was a famous and respected poet in his own day . The Hengwrt and Ellesmere manuscripts are examples of the care taken to distribute the work . More manuscript copies of the poem exist than for any other poem of its day except The Prick of Conscien</t>
  </si>
  <si>
    <t xml:space="preserve">when were the canterbury tales written and in what language</t>
  </si>
  <si>
    <t xml:space="preserve"> The Canterbury Tales ( Middle English : Tales of Caunterbury ) is a collection of 24 stories that runs to over 17,000 lines written in Middle English by Geoffrey Chaucer between 1387 and 1400 . In 1386 , Chaucer became Controller of Customs and Justice of Peace and , in 1389 , Clerk of the King 's work . It was during these years that Chaucer began working on his most famous text , The Canterbury Tales . The tales ( mostly written in verse , although some are in prose ) are presented as part of a story - telling contest by a group of pilgrims as they travel together on a journey from London to Canterbury to visit the shrine of Saint Thomas Becket at Canterbury Cathedral . The prize for this contest is a free meal at the Tabard Inn at Southwark on their return . </t>
  </si>
  <si>
    <r>
      <rPr>
        <sz val="11"/>
        <color rgb="FF000000"/>
        <rFont val="Calibri"/>
        <family val="0"/>
        <charset val="1"/>
      </rPr>
      <t xml:space="preserve">Angela Carter - Wikipedia  Angela Carter       Angela Carter           Angela Olive Stalker ( 1940 - 05 - 07 ) 7 May 1940 Eastbourne , England       16 February 1992 ( 1992 - 02 - 16 ) ( aged 51 ) London , England     Occupation   Novelist , short story writer , journalist     Nationality   British     Alma mater   University of Bristol     Spouse   Paul Carter ( m . 1960 ; div. 1972 ) Mark Pearce ( m . 1977 )     Children       Website     www.angelacarter.co.uk     Angela Olive Carter - Pearce ( née Stalker ; 7 May 1940 -- 16 February 1992 ) , who published under the pen name Angela Carter , was an English novelist , short story writer and journalist , known for her feminist , magical realism , and picaresque works . She is best known for her book The Bloody Chamber , which was published in 1979 . In 2008 , The Times ranked Carter tenth in their list of `` The 50 greatest British writers since 1945 '' . In 2012 , Nights at the Circus was selected as the best ever winner of the James Tait Black Memorial Prize .   Contents    1 Biography   2 Works   2.1 Novels   2.2 Short fiction collections   2.3 Poetry collections   2.4 Dramatic works   2.5 Children 's books   2.6 Non-fiction   2.7 As editor   2.8 As translator   2.9 Film adaptations   2.10 Radio plays   2.11 Television     3 Works on Angela Carter   4 References   5 Further reading   6 External links    Biography ( edit )       This section needs additional citations for verification . Please help improve this article by adding citations to reliable sources . Unsourced material may be challenged and removed . ( May 2013 ) ( Learn how and when to remove this template message )     Born Angela Olive Stalker in Eastbourne , in 1940 , to Sophia Olive ( née Farthing ; 1905 -- 1969 ) and Hugh Alexander Stalker ( 1896 -- 1988 ) , Carter was evacuated as a child to live in Yorkshire with her maternal grandmother . As a teenager she battled against anorexia . After attending Streatham and Clapham High School , in south London , she began work as a journalist on The Croydon Advertiser , following in the footsteps of her father . Carter attended the University of Bristol where she studied English literature. . Up until her teenage years she was an obedient and ' chubby ' child until she went on diet , lost weight and changed her style of dress . This was perhaps why she became anorexic . She became a rude child who challenged authorities and was abusive to her mother , at this point she had few friends . She switched between extreme shyness and depression . This change did not however affect her performance in school . She decided against going to Oxford University and chose marriage instead which she felt would allow her to escape her parents .   She married twice , first in 1960 to Paul Carter , divorcing in 1972 . In 1969 , she used the proceeds of her Somerset Maugham Award to leave her husband and relocate for two years to Tokyo , where she claims in Nothing Sacred ( 1982 ) that she `` learnt what it is to be a woman and became radicalised '' . She wrote about her experiences there in articles for New Society and a collection of short stories , Fireworks : Nine Profane Pieces ( 1974 ) , and evidence of her experiences in Japan can also be seen in The Infernal Desire Machines of Doctor Hoffman ( 1972 ) .   She then explored the United States , Asia and Europe , helped by her fluency in French and German . She spent much of the late 1970s and 1980s as a writer in residence at universities , including the University of Sheffield , Brown University , the University of Adelaide , and the University of East Anglia . In 1977 , Carter married Mark Pearce , with whom she had one son . In 1979 , both The Bloody Chamber , and her influential essay , The Sadeian Woman and the Ideology of Pornography , appeared . In the essay , according to the writer Marina Warner , Carter `` deconstructs the arguments that underlie The Bloody Chamber . It 's about desire and its destruction , the self - immolation of women , how women collude and connive with their condition of enslavement . She was much more independent - minded than the traditional feminist of her time . ''   As well as being a prolific writer of fiction , Carter contributed many articles to The Guardian , The Independent and New Statesman , collected in Shaking a Leg . She adapted a number of her short stories for radio and wrote two original radio dramas on Richard Dadd and Ronald Firbank . Two of her fictions have been adapted for film : The Company of Wolves ( 1984 ) and The Magic Toyshop ( 1987 ) . She was actively involved in both adaptations ; her screenplays are published in the collected dramatic writings , The Curious Room , together with her radio scripts , a libretto for an opera of Virginia Woolf 's Orlando , an unproduced screenplay entitled The Christchurch Murders ( based on the same true story as Peter Jackson 's Heavenly Creatures ) and other works . These neglected works , as well as her controversial television documentary , The Holy Family Album , are discussed in Charlotte Crofts ' book , Anagrams of Desire ( 2003 ) . Her novel Nights at the Circus won the 1984 James Tait Black Memorial Prize for literature . Her last novel , Wise Children , is a surreal wild ride through British theatre and music hall traditions .   At the time of her death , Carter had started work on a sequel to Charlotte Brontë 's Jane Eyre based on the later life of Jane 's stepdaughter , Adèle Varens ; only a synopsis survives .   Angela Carter died aged 51 in 1992 at her home in London after developing lung cancer .   Works ( edit )   Novels ( edit )    Shadow Dance ( 1966 , also known as Honeybuzzard )   The Magic Toyshop ( 1967 )   Several Perceptions ( 1968 )   Heroes and Villains ( 1969 )   Love ( 1971 )   The Infernal Desire Machines of Doctor Hoffman ( 1972 , also known as The War of Dreams )   The Passion of New Eve ( 1977 )   Nights at the Circus ( 1984 )   Wise Children ( 1991 )    Short fiction collections ( edit )    Fireworks : Nine Profane Pieces ( 1974 ; also published as Fireworks : Nine Stories in Various Disguises and Fireworks )   The Bloody Chamber ( 1979 )   The Bridegroom ( 1983 ) ( Uncollected short story )   Black Venus ( 1985 ; published as Saints and Strangers in the United States )   American Ghosts and Old World Wonders ( 1993 )   Burning Your Boats ( 1995 )    Poetry collections ( edit )    Five Quiet Shouters ( 1966 )   Unicorn ( 1966 )   Unicorn : The Poetry of Angela Carter ( 2015 )    Dramatic works ( edit )    Come Unto These Yellow Sands : Four Radio Plays ( 1985 )   The Curious Room : Plays , Film Scripts and an Opera ( 1996 ) ( includes Carter 's screenplays for adaptations of The Company of Wolves and The Magic Toyshop ; also includes the contents of Come Unto These Golden Sands : Four Radio Plays )    Children 's books ( edit )    The Donkey Prince ( 1970 , illustrated by Eros Keith )   Miss Z , the Dark Young Lady ( 1970 , illustrated by Eros Keith )   Comic and Curious Cats ( 1979 , illustrated by Martin Leman )   Moonshadow ( 1982 ) illustrated by Justin Todd   Sea - Cat and Dragon King ( 2000 , illustrated by Eva Tatcheva )    Non-fiction ( edit )    The Sadeian Woman and the Ideology of Pornography ( 1979 )   Nothing Sacred : Selected Writings ( 1982 )   Expletives Deleted : Selected Writings ( 1992 )   Shaking a Leg : Collected Journalism and Writing ( 1997 )    She wrote two entries in `` A Hundred Things Japanese '' published in 1975 by the Japan Culture Institute . ISBN 0 - 87040 - 364 - 8 It says `` She has lived in Japan both from 1969 to 1971 and also during 1974 '' ( p. 202 ) .   As editor ( edit )    Wayward Girls and Wicked Women : An Anthology of Subversive Stories ( 1986 )   The Virago Book of Fairy Tales ( 1990 ) a.k.a. The Old Wives ' Fairy Tale Book   The Second Virago Book of Fairy Tales ( 1992 ) a.k.a. Strange Things Still Sometimes Happen : Fairy Tales From Around the World ( 1993 )   Angela Carter 's Book of Fairy Tales ( 2005 ) ( collects the two Virago Books above )    As translator ( edit )    The Fairy Tales of Charles Perrault ( 1977 )   Sleeping Beauty and Other Favourite Fairy Tales ( 1982 ) illustrated by Michael Foreman ( Perrault stories with two by Leprince de Beaumont )    Film adaptations ( edit )    The Company of Wolves ( 1984 ) adapted by Carter with Neil Jordan from her short story of the same name , `` Wolf - Alice '' and `` The Werewolf ''   The Magic Toyshop ( 1987 ) adapted by Carter from her novel of the same name , and directed by David Wheatley    Radio plays ( edit )    Vampirella ( 1976 ) written by Carter and directed by Glyn Dearman for BBC . Formed the basis for the short story `` The Lady of the House of Love '' .   Come Unto These Yellow Sands ( 1979 )   The Company of Wolves ( 1980 ) adapted by Carter from her short story of the same name , and directed by Glyn Dearman for BBC   Puss - in - Boots ( 1982 ) adapted by Carter from her short story and directed by Glyn Dearman for BBC   A Self - Made Man ( 1984 )    Television ( edit )    The Holy Family Album ( 1991 )   Omnibus : Angela Carter 's Curious Room ( 1992 )    Works on Angela Carter ( edit )      Dimovitz , Scott A. Angela Carter : Surrealist , Psychologist , Moral Pornographer . New York : Routledge , 2016 .   Dimovitz , Scott A. ' I Was the Subject of the Sentence Written on the Mirror : Angela Carter 's Short Fiction and the Unwriting of the Psychoanalytic Subject . ' Lit : Literature Interpretation Theory 21.1 ( 2010 ) : 1 - 19 .   Dimovitz , Scott A. ' Angela Carter 's Narrative Chiasmus : The Infernal Desire Machines of Doctor Hoffman and The Passion of New Eve . ' Genre XVII ( 2009 ) : 83 - 111 .   Dimovitz , Scott A. ' Cartesian Nuts : Rewriting the Platonic Androgyne in Angela Carter 's Japanese Surrealism ' . FEMSPEC : An Interdisciplinary Feminist Journal , 6 : 2 ( December 2005 ) : 15 -- 31 .   Dmytriieva , Valeriia V. ' Gender Alterations in English and French Modernist `` Bluebeard '' Fairytale ' . ' English Language and literature studies , 6 : 3 . ( 2016 ) : 16 -- 20 .   Enright , Anne ( 17 February 2011 ) . `` Diary '' . London Review of Books . 33 ( 4 ) : 38 -- 39 . Retrieved 11 February 2011 .   Gordon , Edmund The Invention of Angela Carter : A Biography London : Chatto &amp; Windus , 2016 .   Kérchy , Anna ( 2008 ) , Body - Texts in the Novels of Angela Carter . Writing from a Corporeagraphic Perspective . Lampeter : The Edwin Mellen Press   Milne , Andrew ( 2006 ) , The Bloody Chamber d'Angela Carter , Paris : Editions Le Manuscrit , Université   Milne , Andrew ( 2007 ) , Angela Carter 's The Bloody Chamber : A Reader 's Guide , Paris : Editions Le Manuscrit Université   Tonkin , Maggie . Angela Carter and Decadence : Critical Fictions / Fictional Critiques . Basingstoke : Palgrave Macmillan , 2012 .   Topping , Angela ( 2009 ) , Focus on The Bloody Chamber and Other Stories London : The Greenwich Exchange      References ( edit )    Jump up ^ The 50 greatest British writers since 1945 . 5 January 2008 . The Times . Retrieved on 2018 - 07 - 27 .   Jump up ^ Alison Flood ( 6 December 2012 ) . `` Angela Carter named best ever winner of James Tait Black award '' . The Guardian . Retrieved 6 December 2012 .   Jump up ^ http://www.angelacartersite.co.uk/ Retrieved 5 November 2015 .   ^ Jump up to : `` Angela Carter '' . 17 February 1992 . Retrieved 18 May 2018 -- via www.telegraph.co.uk .   Jump up ^ `` Angela Carter - Biography '' . The Guardian . 22 July 2008 . Retrieved 24 June 2014 .   Jump up ^ `` Angela Carter 's Feminism '' . www.newyorker.com .   Jump up ^ Hill , Rosemary ( 2016 - 10 - 22 ) . `` The Invention of Angela Carter : A Biography by Edmund Gordon -- review '' . The Guardian . ISSN 0261 - 3077 . Retrieved 2017 - 09 - 29 .   Jump up ^ https://www.theguardian.com/books/2016/oct/01/angela-carter-far-from-fairytale-edmund-gordon   Jump up ^ Marina Warner , speaking on Radio Three 's the Verb , February 2012   Jump up ^ `` Book Of A Lifetime : Shaking a Leg , By Angela Carter '' . The Independent . 2012 - 02 - 10 . Retrieved 2017 - 09 - 29 .   Jump up ^ https://www.theguardian.com/books/live/2017/feb/21/angela-carter-webchat-with-biographer-edmund-gordon-post-your-questions-now   Jump up ^ Clapp , Susannah ( 29 January 2006 ) . `` The greatest swinger in town '' . The Guardian . London . Retrieved 25 April 2010 .   Jump up ^ Sarah Waters ( 3 October 2009 ) . `` My hero : Angela Carter '' . The Guardian . Retrieved 24 June 2014 .   Jump up ^ Michael Dirda , `` The Unconventional Life of Angela Carter - prolific author , reluctant feminist , '' Washington Post , March 8 , 2017 .    Further reading ( edit )    Acocella , Joan ( March 13 , 2017 ) . `` Metamorphoses : how Angela Carter became feminism 's great mythologist '' . The Critics . Books . The New Yorker . 93 ( 4 ) : 71 -- 76 .   Wisker , Gina . `` At Home all was Blood and Feathers : The Werewolf in the Kitchen - Angela Carter and Horror '' . In Clive Bloom ( ed ) , Creepers : British Horror and Fantasy in the Twentieth Century . London and Boulder CO : Pluto Press , 1993 , pp. 161 -- 75 .    External links ( edit )       Wikiquote has quotations related to : Angela Carter      Official website of the Estate of Angela Carter   Angela Carter at British Council : Literature   BBC interview ( video , 25 June 1991 , 25 mins )   Petri Liukkonen . `` Angela Carter '' . Books and Writers   Angela Carter at the Internet Speculative Fiction Database   Angela Carter on IMDb   `` Angela Carter remembered '' Daily Telegraph 3 May 2010   A Conversation with Angela Carter by Anna Katsavos , The Review of Contemporary Fiction , Fall 1994 , Vol . 14.3   Angela Carter talks about her life and work to Elizabeth Jolley , British Library ( audio , 1988 , 53 mins )   Essay on Colette , Vol. 2 No. 19 2 October 1980 , London Review of Books by Angela Carter   Angela Carter 's radio work   Angela Carter at the British Library              Works by Angela Carter     Novels     Shadow Dance   The Magic Toyshop   Several Perceptions   Heroes and Villains   Love   The Infernal Desire Machines of Doctor Hoffman   The Passion of New Eve   Nights at the Circus   Wise Children       Short fiction     Fireworks : Nine Profane Pieces   The Bloody Chamber   The Bridegroom   Black Venus   American Ghosts and Old World Wonders   Burning Your Boats       Dramatic works     The Curious Room   The Holy Family Album       Children 's books     The Donkey Prince   Comic and Curious Cats       Non-fiction     The Sadeian Woman and the Ideology of Pornography       Film adaptations     The Company of Wolves   The Magic Toyshop       Related     Anagrams of Desire               BNE : XX1038650   BNF : cb118953566 ( data )   GND : 119058804   ISNI : 0000 0001 2127 2038   LCCN : n79088989   MusicBrainz : 06fc69eb - 5775 - 40ae - 999a - c1d4106dfc47   NDL : 00435420   NKC : jo2004213804   NLA : 35086688   SELIBR : 180311   SNAC : w61v7cj4   SUDOC : 02676945X   VIAF : 34454299        Jump up ^ Online version is titled `` Angela Carter 's feminist mythology '' .   Retrieved from `` https://en.wikipedia.org/w/index.php?title=Angela_Carter&amp;oldid=854464504 '' Categories :   1940 births   1992 deaths   20th - century English novelists   20th - century British women writers   Academics of the University of East Anglia   Academics of the University of Sheffield   Alumni of the University of Bristol   Deaths from cancer in England   Deaths from lung cancer   English women novelists   English short story writers   English socialists   English feminist writers   Women science fiction and fantasy writers   James Tait Black Memorial Prize recipients   John Llewellyn Rhys Prize winners   Magic realism writers   People from Eastbourne   Socialist feminists   British women short story writers   20th - century translators   20th - century British short story writers   Hidden categories :   Use British English from July 2012   Use dmy dates from May 2011   Articles needing additional references from May 2013   All articles needing additional references   All articles with unsourced statements   Articles with unsourced statements from May 2013   Official website different in Wikidata and Wikipedia   Wikipedia articles with BNE identifiers   Wikipedia articles with BNF identifiers   Wikipedia articles with GND identifiers   Wikipedia articles with ISNI identifiers   Wikipedia articles with LCCN identifiers   Wikipedia articles with MusicBrainz identifiers   Wikipedia articles with NDL identifiers   Wikipedia articles with NKC identifiers   Wikipedia articles with NLA identifiers   Wikipedia articles with SELIBR identifiers   Wikipedia articles with SNAC - ID identifiers   Wikipedia articles with SUDOC identifiers   Wikipedia articles with VIAF identifiers           Talk                                           Contents                   About Wikipedia                                           Wikiquote         Български   Català   Čeština   Deutsch   Español   Français   </t>
    </r>
    <r>
      <rPr>
        <sz val="11"/>
        <color rgb="FF000000"/>
        <rFont val="Noto Sans CJK SC"/>
        <family val="2"/>
      </rPr>
      <t xml:space="preserve">한국어   </t>
    </r>
    <r>
      <rPr>
        <sz val="11"/>
        <color rgb="FF000000"/>
        <rFont val="Calibri"/>
        <family val="0"/>
        <charset val="1"/>
      </rPr>
      <t xml:space="preserve">Italiano   עברית   Latina   Nederlands   </t>
    </r>
    <r>
      <rPr>
        <sz val="11"/>
        <color rgb="FF000000"/>
        <rFont val="Noto Sans CJK SC"/>
        <family val="2"/>
      </rPr>
      <t xml:space="preserve">日本 語   </t>
    </r>
    <r>
      <rPr>
        <sz val="11"/>
        <color rgb="FF000000"/>
        <rFont val="Calibri"/>
        <family val="0"/>
        <charset val="1"/>
      </rPr>
      <t xml:space="preserve">Norsk nynorsk   ਪੰਜਾਬੀ   Polski   Português   Русский   Srpskohrvatski / српскохрватски   Suomi   Svenska   Українська   </t>
    </r>
    <r>
      <rPr>
        <sz val="11"/>
        <color rgb="FF000000"/>
        <rFont val="Noto Sans CJK SC"/>
        <family val="2"/>
      </rPr>
      <t xml:space="preserve">中文  </t>
    </r>
    <r>
      <rPr>
        <sz val="11"/>
        <color rgb="FF000000"/>
        <rFont val="Calibri"/>
        <family val="0"/>
        <charset val="1"/>
      </rPr>
      <t xml:space="preserve">14 more  Edit links   This page was last edited on 11 August 2018 , at 15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</si>
  <si>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20th century english writer known for her feminist and magical works</t>
  </si>
  <si>
    <t xml:space="preserve"> Angela Olive Carter - Pearce ( née Stalker ; 7 May 1940 -- 16 February 1992 ) , who published under the pen name Angela Carter , was an English novelist , short story writer and journalist , known for her feminist , magical realism , and picaresque works . She is best known for her book The Bloody Chamber , which was published in 1979 . In 2008 , The Times ranked Carter tenth in their list of `` The 50 greatest British writers since 1945 '' . In 2012 , Nights at the Circus was selected as the best ever winner of the James Tait Black Memorial Prize . </t>
  </si>
  <si>
    <r>
      <rPr>
        <sz val="11"/>
        <color rgb="FF000000"/>
        <rFont val="Calibri"/>
        <family val="0"/>
        <charset val="1"/>
      </rPr>
      <t xml:space="preserve">North magnetic Pole - wikipedia  North magnetic Pole  Jump to : navigation , search `` Magnetic North '' redirects here . For other uses , see Magnetic North ( disambiguation ) . Location of the North Magnetic Pole and the North Geomagnetic Pole in 2017 .  The North Magnetic Pole is the point on the surface of Earth 's Northern Hemisphere at which the planet 's magnetic field points vertically downwards ( in other words , if a magnetic compass needle is allowed to rotate about a horizontal axis , it will point straight down ) . There is only one location where this occurs , near ( but distinct from ) the Geographic North Pole and the Geomagnetic North Pole .   The North Magnetic Pole moves over time due to magnetic changes in the Earth 's core . In 2001 , it was determined by the Geological Survey of Canada to lie west of Ellesmere Island in northern Canada at 81 ° 18 ′ N 110 ° 48 ′ W ﻿ / ﻿ 81.3 ° N 110.8 ° W ﻿ / 81.3 ; - 110.8 ﻿ ( Magnetic North Pole 2001 ) . It was situated at 83 ° 06 ′ N 117 ° 48 ′ W ﻿ / ﻿ 83.1 ° N 117.8 ° W ﻿ / 83.1 ; - 117.8 ﻿ ( Magnetic North Pole 2005 est ) in 2005 . In 2009 , while still situated within the Canadian Arctic territorial claim at 84 ° 54 ′ N 131 ° 00 ′ W ﻿ / ﻿ 84.9 ° N 131.0 ° W ﻿ / 84.9 ; - 131.0 ﻿ ( Magnetic North Pole 2009 ) , it was moving toward Russia at between 55 and 60 kilometres ( 34 and 37 mi ) per year . As of 2017 , the pole is projected to have moved beyond the Canadian Arctic territorial claim to 86 ° 30 ′ N 172 ° 36 ′ W ﻿ / ﻿ 86.5 ° N 172.6 ° W ﻿ / 86.5 ; - 172.6 ﻿ ( Magnetic North Pole 2017 est ) .   Its southern hemisphere counterpart is the South Magnetic Pole . Since the Earth 's magnetic field is not exactly symmetrical , the North and South Magnetic Poles are not antipodal , meaning that a straight line drawn from one to the other does not pass through the geometric centre of the Earth .   The Earth 's North and South Magnetic Poles are also known as Magnetic Dip Poles , with reference to the vertical `` dip '' of the magnetic field lines at those points .     Contents  ( hide )   1 Polarity   2 History   3 Expeditions and measurements   3.1 Early   3.2 Project Polaris   3.3 Modern ( post-1996 )     4 Magnetic north and magnetic declination   5 North Geomagnetic Pole   6 Geomagnetic reversal   7 See also   8 Notes and references   9 External links      Polarity ( edit )  See also : Magnet § Pole naming conventions  All magnets have two poles , where the lines of magnetic flux enter and emerge . By analogy with the Earth 's magnetic field , these are called the magnet 's `` north '' and `` south '' poles . The convention in early compasses was to call the end of the needle pointing to the Earth 's North Magnetic Pole the `` north pole '' ( or `` north - seeking pole '' ) and the other end the `` south pole '' ( the names are often abbreviated to `` N '' and `` S '' ) . Because opposite poles attract , this definition means that the Earth 's North Magnetic Pole is actually a magnetic south pole and the Earth 's South Magnetic Pole is a magnetic north pole .   The direction of magnetic field lines is defined such that the lines emerge from the magnet 's north pole and enter into the magnet 's south pole .   History ( edit )  Part of the Carta Marina of 1539 by Olaus Magnus , depicting the location of magnetic north vaguely conceived as `` Insula Magnetu ( m ) '' ( Latin for `` Island of Magnets '' ) off modern day Murmansk . The man holding the rune staffs is the Norse hero Starkad .  Early European navigators believed that compass needles were attracted to a `` magnetic island '' somewhere in the far north ( see Rupes Nigra ) , or to the Pole Star . The idea that the Earth itself acts as a giant magnet was first proposed in 1600 by the English physician and natural philosopher William Gilbert . He was also the first to define the North Magnetic Pole as the point where the Earth 's magnetic field points vertically downwards . This is the definition used nowadays , though it would be a few hundred years before the nature of the Earth 's magnetic field was understood properly .   Expeditions and measurements ( edit )  See also : Arctic exploration , Farthest North , and List of Arctic expeditions  Early ( edit )   The first expedition to reach the North Magnetic Pole was led by James Clark Ross , who found it at Cape Adelaide on the Boothia Peninsula on June 1 , 1831 . Roald Amundsen found the North Magnetic Pole in a slightly different location in 1903 . The third observation was by Canadian government scientists Paul Serson and Jack Clark , of the Dominion Astrophysical Observatory , who found the pole at Allen Lake on Prince of Wales Island in 1947 .   Project Polaris ( edit )   At the start of the Cold War , the United States Department of War recognized a need for a comprehensive survey of the North American Arctic and asked the United States Army to undertake the task . An assignment was made in 1946 for the newly formed Army 's Air Corps Strategic Air Command to explore the entire Arctic Ocean area . The exploration was conducted by the 46th ( later re-designated the 72nd ) Photo Reconnaissance Squadron and reported on as a classified Top Secret mission named Project Nanook . This project in turn was divided into many separate , but identically classified , projects , one of which was Project Polaris , which was a radar , photographic ( trimetrogon , or three - angle , cameras ) and visual study of the entire Canadian Archipelago . A Canadian officer observer was assigned to accompany each flight .   Directing Project Polaris was its navigation leader , 1st Lieutenant Frank O. Klein , a World War II combat veteran . Incidental to the project and taken up at his own initiative was a study of northern terrestrial magnetism . The study was prompted by the surprise that the fluxgate compass did not behave erratically as expected . It oscillated no more than 1 to 2 degrees over much of the region . With the cooperation of many of his squadron teammates in obtaining many hundreds of statistical readings , startling results were revealed :   The centre of the north magnetic dip pole was on Prince of Wales Island some 400 kilometres ( 250 mi ) NNW of the positions determined by Amundsen and Ross , and the dip pole occupied a larger elliptical area , with foci about 400 km ( 250 mi ) apart on Boothia Peninsula and Bathurst Island .   Klein called the two foci local poles , for their importance to navigation in emergencies when using a `` homing '' procedure . About 3 months after Klein 's findings were officially reported , a Canadian ground expedition was sent into the Archipelago to locate the position of the magnetic pole . R. Glenn Madill , Chief of Terrestrial Magnetism , Department of Mines and Resources , Canada , wrote to Lt. Klein on 21 July 1948 :   ... we agree on one point and that is the presence of what we can call the main magnetic pole on northwestern Prince of Wales Island . I have accepted as a purely preliminary value the position latitude 73 ° N and longitude 100 ° W. Your value of 73 ° 15'N and 99 ° 45'W is in excellent agreement , and I suggest that you use your value by all means .  -- R. Glenn Madill  ( The positions were less than 30 km ( 20 mi ) apart . )   Modern ( post-1996 ) ( edit )  The movement of Earth 's north magnetic pole across the Canadian arctic . Speed of the north magnetic pole according to the IGRF - 12 model .  The Canadian government has made several measurements since , which show that the North Magnetic Pole is moving continually northwestward . In 2001 , an expedition located the pole at 81 ° 18 ′ N 110 ° 48 ′ W ﻿ / ﻿ 81.3 ° N 110.8 ° W ﻿ / 81.3 ; - 110.8 ﻿ ( Magnetic North Pole 2001 location ) . In 2007 , the latest survey found the pole at 83 ° 57 ′ N 120 ° 43 ′ W ﻿ / ﻿ 83.95 ° N 120.72 ° W ﻿ / 83.95 ; - 120.72 ﻿ ( Magnetic North Pole 2007 location ) . During the 20th century it moved 1100 km , and since 1970 its rate of motion has accelerated from 9 km / year to approximately 52 km / year ( 2001 -- 2007 average ; see also Polar drift ) . Members of the 2007 expedition to locate the magnetic north pole wrote that such expeditions have become logistically difficult , as the pole moves farther away from inhabited locations . They expect that in the future , the magnetic pole position will be obtained from satellite data instead of ground surveys .   This general movement is in addition to a daily or diurnal variation in which the North Magnetic Pole describes a rough ellipse , with a maximum deviation of 80 km from its mean position . This effect is due to disturbances of the geomagnetic field by charged particles from the Sun .     North Magnetic Pole   ( 2001 ) 81 ° 18 ′ N 110 ° 48 ′ W ﻿ / ﻿ 81.3 ° N 110.8 ° W ﻿ / 81.3 ; - 110.8   ( 2004 est ) 82 ° 18 ′ N 113 ° 24 ′ W ﻿ / ﻿ 82.3 ° N 113.4 ° W ﻿ / 82.3 ; - 113.4   ( 2007 ) 83 ° 57 ′ N 120 ° 43 ′ W ﻿ / ﻿ 83.95 ° N 120.72 ° W ﻿ / 83.95 ; - 120.72     South Magnetic Pole   ( 1998 ) 64 ° 36 ′ S 138 ° 30 ′ E ﻿ / ﻿ 64.6 ° S 138.5 ° E ﻿ / - 64.6 ; 138.5   ( 2004 est ) 63 ° 30 ′ S 138 ° 00 ′ E ﻿ / ﻿ 63.5 ° S 138.0 ° E ﻿ / - 63.5 ; 138.0   ( 2007 ) 64 ° 29 ′ 49 '' S 137 ° 41 ′ 02 '' E ﻿ / ﻿ 64.497 ° S 137.684 ° E ﻿ / - 64.497 ; 137.684     The first team of novices to reach the Magnetic North Pole did so in 1996 , led by David Hempleman - Adams . It included the first British woman Sue Stockdale and first Swedish woman to reach the Pole . The team also successfully tracked the location of the Magnetic North Pole on behalf of the University of Ottawa , and certified its location by magnetometer and theodolite at 78 ° 35.7 ′ N 104 ° 11.9 ′ W ﻿ / ﻿ 78.5950 ° N 104.1983 ° W ﻿ / 78.5950 ; - 104.1983 ﻿ ( Magnetic North Pole 1996 ) .   The biennial Polar Race takes place between Resolute Bay in northern Canada and the 1996 - certified location of the North Magnetic Pole at 78 ° 35.7 ′ N 104 ° 11.9 ′ W ﻿ / ﻿ 78.5950 ° N 104.1983 ° W ﻿ / 78.5950 ; - 104.1983 ﻿ ( Magnetic North Pole 1996 ) . On 25 July 2007 , the Top Gear Polar Challenge Special was broadcast on BBC Two in the United Kingdom , in which Jeremy Clarkson and James May ( and their support and camera team ) became the first people in history to reach this location in a car .   Magnetic North and magnetic declination ( edit )       This section does not cite any sources . Please help improve this section by adding citations to reliable sources . Unsourced material may be challenged and removed . ( May 2017 ) ( Learn how and when to remove this template message )    Magnetic declination from true north in 2000 . Main article : Magnetic declination  The direction in which a compass needle points is known as magnetic north . In general , this is not exactly the direction of the North Magnetic Pole ( or of any other consistent location ) . Instead , the compass aligns itself to the local geomagnetic field , which varies in a complex manner over the Earth 's surface , as well as over time . The local angular difference between magnetic north and true north is called the magnetic declination . Most map coordinate systems are based on true north , and magnetic declination is often shown on map legends so that the direction of true north can be determined from north as indicated by a compass .   Magnetic declination has been measured in many countries , including the U.S. The line of zero declination ( the agonic line ) in North America runs from the North Magnetic Pole through Lake Superior and southward into the Gulf of Mexico . Along this line , true north is the same as magnetic north . West of the line of zero declination , a compass will give a reading that is east of true north . Conversely , east of the line of zero declination , a compass reading will be west of true north .   Magnetic declination is still very important for certain types of navigation that have traditionally made much use of magnetic compasses .   North Geomagnetic Pole ( edit )  Main article : Geomagnetic pole  As a first - order approximation , the Earth 's magnetic field can be modelled as a simple dipole ( like a bar magnet ) , tilted about 10 ° with respect to the Earth 's rotation axis ( which defines the Geographic North and Geographic South Poles ) and centred at the Earth 's centre . The North and South Geomagnetic Poles are the antipodal points where the axis of this theoretical dipole intersects the Earth 's surface . If the Earth 's magnetic field were a perfect dipole then the field lines would be vertical at the Geomagnetic Poles , and they would coincide with the Magnetic Poles . However , the approximation is imperfect , and so the Magnetic and Geomagnetic Poles lie some distance apart .   Like the North Magnetic Pole , the North Geomagnetic Pole attracts the north pole of a bar magnet and so is in a physical sense actually a magnetic south pole . It is the centre of the region of the magnetosphere in which the Aurora Borealis can be seen . As of 2005 it was located at approximately 79 ° 44 ′ N 71 ° 47 ′ W ﻿ / ﻿ 79.74 ° N 71.78 ° W ﻿ / 79.74 ; - 71.78 ﻿ ( Geomagnetic North Pole 2005 est ) , off the northwest coast of Greenland , but it is now drifting away from North America and toward Siberia .   Geomagnetic reversal ( edit )  Main article : Geomagnetic reversal  Over the life of the Earth , the orientation of Earth 's magnetic field has reversed many times , with magnetic north becoming magnetic south and vice versa -- an event known as a geomagnetic reversal . Evidence of geomagnetic reversals can be seen at mid-ocean ridges where tectonic plates move apart and the seabed is filled in with magma . As the magma seeps out of the mantle the magnetic particles contained within it are oriented in the direction of the magnetic field at the time the magma cools and solidifies .   See also ( edit )         Book : Geomagnetism        South Magnetic Pole   North Pole   Polar alignment    Notes and references ( edit )    Jump up ^ Merrill , Ronald T. ; McElhinny , Michael W. ; McFadden , Phillip L. ( 1996 ) . `` Chapter 8 '' . The magnetic field of the earth : paleomagnetism , the core , and the deep mantle . Academic Press . ISBN 978 - 0 - 12 - 491246 - 5 .   ^ Jump up to : World Data Center for Geomagnetism , Kyoto . `` Magnetic North , Geomagnetic and Magnetic Poles '' . Retrieved 2012 - 07 - 03 .   Jump up ^ North Magnetic Pole Moving East Due to Core Flux , National Geographic , December 24 , 2009   Jump up ^ `` The Magnetic North Pole '' . Ocean bottom magnetology laboratory . Woods Hole Oceanographic Institution . Retrieved 2017 - 02 - 06 .   Jump up ^ Serway , Raymond A. ; Chris Vuille ( 2006 ) . Essentials of college physics . USA : Cengage Learning . p. 493 . ISBN 0 - 495 - 10619 - 4 . Retrieved 2012 - 04 - 19 .   Jump up ^ Russell , Randy . `` Earth 's Magnetic Poles '' . Windows to the Universe . National Earth Science Teachers Association . Retrieved 2012 - 04 - 19 .   ^ Jump up to : Early Concept of the North Magnetic Pole , Natural Resources Canada , retrieved June 2007   Jump up ^ History of Expeditions to the North Magnetic Pole , Natural Resources Canada   ^ Jump up to : White , Ken ( 1994 ) . World in Peril : The Origin , Mission &amp; Scientific Findings of the 46th / 72nd Reconnaissance Squadron ( 2nd revised ed . ) . K.W. White &amp; Associates . ISBN 978 - 1883218102 .   Jump up ^ Wack , Fred John ( 1992 ) . The Secret Explorers : Saga of the 46th / 72nd Reconnaissance Squadrons . Seeger 's Print .   ^ Jump up to : L.R. Newitt , A. Chulliat , and J. - J. Orgeval , Location of the North Magnetic Pole in April 2007 , Earth Planets Space , 61 , 703 -- 710 , 2009   Jump up ^ Geomagnetism -- Daily Movement of the North Magnetic Pole , Natural Resources Canada   Jump up ^ `` Geomagnetism , North Magnetic Pole '' . Geological Survey of Canada . Natural Resources Canada . Archived from the original on 2010 - 03 - 26 . Retrieved 11 January 2009 .   Jump up ^ `` Poles and Directions '' . Australian Antarctic Division . 2011 . Retrieved 2017 - 02 - 06 .   Jump up ^ 1996 Certified Position of the Magnetic North Pole , Jock Wishart , Polar Race organiser   Jump up ^ `` Polar Challenge '' . Top Gear. 25 July 2007 . 0 : 22 minutes in . BBC Two . Retrieved 19 April 2012 .   ^ Jump up to : `` Geomagnetism Frequently Asked Questions '' . National Geophysical Data Center . Retrieved 19 April 2012 .   Jump up ^ Earth 's Inconstant Magnetic Field -- NASA Science    External links ( edit )     ( show ) Map all coordinates using OSM Map all coordinates using Google     Export all coordinates as KML     Export all coordinates as GPX     Map all microformatted coordinates     Place data as RDF      `` Wandering of the geomagnetic poles '' . Geomagnetism . National Geophysical Data Center . Retrieved 19 April 2012 .   `` Geomagnetism '' . Natural Resources Canada . April 1 , 2012 . Retrieved 19 April 2012 .   Map of pole 's wandering   `` North Magnetic Pole could be leaving Canada '' . CNN.com. 20 March 2002 . Retrieved 19 April 2012 .   `` Magnetic pole drifting fast '' . BBC News . 12 December 2005 . Retrieved 19 April 2012 .   Nemiroff , R. ; Bonnell , J. , eds. ( 25 November 2002 ) . `` The Earth 's magnetic field '' . Astronomy Picture of the Day . NASA . Retrieved 2012 - 04 - 19 .              Polar exploration        Arctic          Ocean   History   Expeditions   Research stations       Farthest North North Pole     Barentsz   Hudson   Marmaduke   Carolus   Parry   North Magnetic Pole   J. Ross   J.C. Ross   Abernethy   Kane   Hayes     Polaris   Polaris   C.F. Hall     British Arctic Expedition   HMS Alert   Nares   HMS Discovery   Stephenson   Markham     Lady Franklin Bay Expedition   Greely   Lockwood   Brainard     1st Fram expedition   Fram   Nansen   Johansen   Sverdrup     Jason   Amedeo     F. Cook   Peary   Sedov   Byrd   Airship Norge   Amundsen   Nobile   Wisting   Riiser - Larsen   Ellsworth     Airship Italia   Nautilus   Wilkins     ANT - 25   Chkalov   Baydukov   Belyakov     `` North Pole '' manned drifting ice stations   NP - 1   Papanin   Shirshov   E. Fyodorov   Krenkel     NP - 36   NP - 37   Sedov   Badygin   Wiese     USS Nautilus   USS Skate   Plaisted   Herbert   NS Arktika   Barneo   Arktika 2007   Mir submersibles   Sagalevich   Chilingarov         Iceland Greenland     Pytheas   Brendan   Papar   Vikings   Naddodd   Svavarsson   Arnarson   Norse colonization of the Americas   Ulfsson   Galti   Erik the Red   Christian IV 's expeditions   J. Hall   Cunningham   Lindenov   C. Richardson     Danish colonization   Egede     Scoresby   Jason   Nansen   Sverdrup     Peary   Rasmussen       Northwest Passage Northern Canada     Cabot   G. Corte - Real   M. Corte - Real   Frobisher   Gilbert   Davis   Hudson   Discovery   Bylot   Baffin     Munk   I. Fyodorov   Gvozdev   HMS Resolution   J. Cook     HMS Discovery   Clerke     Mackenzie   Kotzebue   J. Ross   HMS Griper   Parry     HMS Hecla   Lyon     HMS Fury   Hoppner     Crozier   J.C. Ross   Coppermine Expedition   Franklin   Back   Dease   Simpson   HMS Blossom   Beechey     Franklin 's lost expedition   HMS Erebus   HMS Terror     Collinson   Rae -- Richardson Expedition   Rae   J. Richardson     Austin   McClure Expedition   HMS Investigator   McClure   HMS Resolute   Kellett     Belcher   Kennedy   Bellot   Isabel   Inglefield     2nd Grinnell Expedition   USS Advance   Kane     Fox   McClintock     HMS Pandora   Young     Fram   Sverdrup     Gjøa   Amundsen     Rasmussen   Karluk   Stefansson   Bartlett     St. Roch   H. Larsen     Cowper       North East Passage Russian Arctic     Pomors   Koch boats   Willoughby   Chancellor   Barentsz   Mangazeya   Hudson   Poole   Siberian Cossacks   Perfilyev   Stadukhin   Dezhnev   Popov   Ivanov   Vagin   Permyakov   Great Northern Expedition   Bering   Chirikov   Malygin   Ovtsyn   Minin   V. Pronchishchev   M. Pronchishcheva   Chelyuskin   Kh . Laptev   D. Laptev     Chichagov   Lyakhov   Billings   Sannikov   Gedenschtrom   Wrangel   Matyushkin   Anjou   Litke   Lavrov   Pakhtusov   Tsivolko   Middendorff   Austro - Hungarian Expedition   Weyprecht   Payer     Vega Expedition   A.E. Nordenskiöld   Palander     USS Jeannette   De Long     Yermak   Makarov     Zarya   Toll   Kolomeitsev   Matisen   Kolchak     Sedov   Rusanov   Kuchin   Brusilov Expedition   Sv . Anna   Brusilov   Albanov   Konrad     Wiese   Nagórski   Taymyr / Vaygach   Vilkitsky     Maud   Amundsen     AARI   Samoylovich     Begichev   Urvantsev   Sadko   Ushakov     Glavsevmorput   Schmidt     Aviaarktika   Shevelev     Sibiryakov   Voronin     Chelyuskin   Krassin   Gakkel   Nuclear - powered icebreakers   NS Lenin   Arktika class                  Antarctic          Continent   History   Expeditions       Southern Ocean     Roché   Bouvet   Kerguelen   HMS Resolution   J. Cook     HMS Adventure   Furneaux     Smith   San Telmo   Vostok   Bellingshausen     Mirny   Lazarev     Bransfield   Palmer   Davis   Weddell   Morrell   Astrolabe   Dumont d'Urville     United States Exploring Expedition   USS Vincennes   Wilkes     USS Porpoise   Ringgold     Ross expedition   HMS Erebus ( J.C. Ross   Abernethy )   HMS Terror ( Crozier )     Cooper   Challenger expedition   HMS Challenger   Nares   Murray     Jason   C.A. Larsen         `` Heroic Age ''     Belgian Antarctic Expedition   Belgica   de Gerlache   Lecointe   Amundsen   Cook   Arctowski   Racoviță   Dobrowolski     Southern Cross   Southern Cross   Borchgrevink     Discovery   Discovery   Discovery Hut     Gauss   Gauss   Drygalski     Swedish Antarctic Expedition   Antarctic   O. Nordenskjöld   C.A. Larsen     Scottish Antarctic Expedition   Bruce   Scotia     Orcadas Base   Nimrod Expedition   Nimrod     French Antarctic Expeditions   Pourquoi - Pas   Charcot     Japanese Antarctic Expedition   Shirase     Amundsen 's South Pole expedition   Fram   Amundsen   Framheim   Polheim     Terra Nova   Terra Nova   Scott   Wilson   E.R. Evans   Crean   Lashly     Filchner   Australasian Antarctic Expedition   SY Aurora   Mawson     Far Eastern Party   Imperial Trans - Antarctic Expedition   Endurance   Ernest Shackleton   Wild     James Caird   Ross Sea party   Mackintosh     Shackleton -- Rowett Expedition   Quest         IPY IGY Modern research     Christensen   Byrd   BANZARE   BGLE   Rymill     New Swabia   Ritscher     Operation Tabarin   Marr     Operation Highjump   Captain Arturo Prat Base   British Antarctic Survey   Operation Windmill   Ketchum     Ronne Expedition   F. Ronne   E. Ronne   Schlossbach     Operation Deep Freeze   McMurdo Station   Commonwealth Trans - Antarctic Expedition   Hillary   V. Fuchs     Soviet Antarctic Expeditions   1st   Somov   Klenova   Mirny     2nd   Tryoshnikov     3rd   Tolstikov       Antarctic Treaty System   Transglobe Expedition   Fiennes   Burton     Lake Vostok   Kapitsa       Farthest South South Pole     HMS Resolution   J. Cook     HMS Adventure   Furneaux     Weddell   HMS Erebus   J.C. Ross     HMS Terror   Crozier     Southern Cross   Borchgrevink     Discovery   Barne     Nimrod   Shackleton   Wild   Marshall   Adams     South Magnetic Pole   Mawson   David   Mackay     Amundsen 's South Pole expedition   Fram   Amundsen   Bjaaland   Helmer   Hassel   Wisting   Polheim     Terra Nova   Scott   E. Evans   Oates   Wilson   Bowers     Byrd   Balchen   McKinley   Dufek   Amundsen -- Scott South Pole Station   Hillary   V. Fuchs   Pole of Cold   Vostok Station     Pole of inaccessibility   Pole of Inaccessibility Station   Tolstikov     Crary   A. Fuchs   Messner            Retrieved from `` https://en.wikipedia.org/w/index.php?title=North_Magnetic_Pole&amp;oldid=799593426 '' Categories :   Polar regions of the Earth   Geography of the Arctic   Geomagnetism   Geology of the Arctic   Geography of the Northwest Territories   Orientation ( geometry )   Hidden categories :   Wikipedia articles needing clarification from February 2014   All articles with unsourced statements   Articles with unsourced statements from April 2012   Articles needing additional references from May 2017   All articles needing additional references   Lists of coordinates   Geographic coordinate lists   Articles with Geo           Talk                                           Contents                   About Wikipedia                                             Azərbaycanca   Català   Čeština   Dansk   Deutsch   Ελληνικά   Español   Esperanto   فارسی   Français   Frysk   </t>
    </r>
    <r>
      <rPr>
        <sz val="11"/>
        <color rgb="FF000000"/>
        <rFont val="Noto Sans CJK SC"/>
        <family val="2"/>
      </rPr>
      <t xml:space="preserve">한국어   </t>
    </r>
    <r>
      <rPr>
        <sz val="11"/>
        <color rgb="FF000000"/>
        <rFont val="Calibri"/>
        <family val="0"/>
        <charset val="1"/>
      </rPr>
      <t xml:space="preserve">Interlingua   Íslenska   ქართული   Қазақша   </t>
    </r>
    <r>
      <rPr>
        <sz val="11"/>
        <color rgb="FF000000"/>
        <rFont val="Noto Sans CJK SC"/>
        <family val="2"/>
      </rPr>
      <t xml:space="preserve">日本 語   </t>
    </r>
    <r>
      <rPr>
        <sz val="11"/>
        <color rgb="FF000000"/>
        <rFont val="Calibri"/>
        <family val="0"/>
        <charset val="1"/>
      </rPr>
      <t xml:space="preserve">Norsk   Occitan   Polski   Português   Română   Русский   Simple English   Suomi   Svenska   தமிழ்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8 September 2017 , at 17 : 22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</si>
  <si>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will you find earth's magnetic north pole</t>
  </si>
  <si>
    <t xml:space="preserve"> The North Magnetic Pole moves over time due to magnetic changes in the Earth 's core . In 2001 , it was determined by the Geological Survey of Canada to lie west of Ellesmere Island in northern Canada at 81 ° 18 ′ N 110 ° 48 ′ W ﻿ / ﻿ 81.3 ° N 110.8 ° W ﻿ / 81.3 ; - 110.8 ﻿ ( Magnetic North Pole 2001 ) . It was situated at 83 ° 06 ′ N 117 ° 48 ′ W ﻿ / ﻿ 83.1 ° N 117.8 ° W ﻿ / 83.1 ; - 117.8 ﻿ ( Magnetic North Pole 2005 est ) in 2005 . In 2009 , while still situated within the Canadian Arctic territorial claim at 84 ° 54 ′ N 131 ° 00 ′ W ﻿ / ﻿ 84.9 ° N 131.0 ° W ﻿ / 84.9 ; - 131.0 ﻿ ( Magnetic North Pole 2009 ) , it was moving toward Russia at between 55 and 60 kilometres ( 34 and 37 mi ) per year . As of 2017 , the pole is projected to have moved beyond the Canadian Arctic territorial claim to 86 ° 30 ′ N 172 ° 36 ′ W ﻿ / ﻿ 86.5 ° N 172.6 ° W ﻿ / 86.5 ; - 172.6 ﻿ ( Magnetic North Pole 2017 est ) . </t>
  </si>
  <si>
    <r>
      <rPr>
        <sz val="11"/>
        <color rgb="FF000000"/>
        <rFont val="Calibri"/>
        <family val="0"/>
        <charset val="1"/>
      </rPr>
      <t xml:space="preserve">Visible spectrum - wikipedia  Visible spectrum  Jump to : navigation , search `` Color spectrum '' redirects here . For The Dear Hunter album , see The Color Spectrum . White light is dispersed by a prism into the colors of the visible spectrum .  The visible spectrum is the portion of the electromagnetic spectrum that is visible to the human eye . Electromagnetic radiation in this range of wavelengths is called visible light or simply light . A typical human eye will respond to wavelengths from about 390 to 700 nm . In terms of frequency , this corresponds to a band in the vicinity of 430 -- 770 THz .   The spectrum does not , however , contain all the colors that the human eyes and brain can distinguish . Unsaturated colors such as pink , or purple variations such as magenta , are absent , for example , because they can be made only by a mix of multiple wavelengths . Colors containing only one wavelength are also called pure colors or spectral colors .   Visible wavelengths pass through the `` optical window '' , the region of the electromagnetic spectrum that allows wavelengths to pass largely unattenuated through the Earth 's atmosphere . An example of this phenomenon is that clean air scatters blue light more than red wavelengths , and so the midday sky appears blue . The optical window is also referred to as the `` visible window '' because it overlaps the human visible response spectrum . The near infrared ( NIR ) window lies just out of the human vision , as well as the Medium Wavelength IR ( MWIR ) window , and the Long Wavelength or Far Infrared ( LWIR or FIR ) window , although other animals may experience them .     Contents  ( hide )   1 History   2 Animal color vision   3 Spectral colors   4 Spectroscopy   5 Color display spectrum   6 See also   7 References      History ( edit )  Newton 's color circle , from Opticks of 1704 , showing the colors he associated with musical notes . The spectral colors from red to violet are divided by the notes of the musical scale , starting at D . The circle completes a full octave , from D to D. Newton 's circle places red , at one end of the spectrum , next to violet , at the other . This reflects the fact that non-spectral purple colors are observed when red and violet light are mixed .  In the 13th century , Roger Bacon theorized that rainbows were produced by a similar process to the passage of light through glass or crystal .   In the 17th century , Isaac Newton discovered that prisms could disassemble and reassemble white light , and described the phenomenon in his book Opticks . He was the first to use the word spectrum ( Latin for `` appearance '' or `` apparition '' ) in this sense in print in 1671 in describing his experiments in optics . Newton observed that , when a narrow beam of sunlight strikes the face of a glass prism at an angle , some is reflected and some of the beam passes into and through the glass , emerging as different - colored bands . Newton hypothesized light to be made up of `` corpuscles '' ( particles ) of different colors , with the different colors of light moving at different speeds in transparent matter , red light moving more quickly than violet in glass . The result is that red light is bent ( refracted ) less sharply than violet as it passes through the prism , creating a spectrum of colors .  Newton 's observation of prismatic colors ( David Brewster 1855 )  Newton divided the spectrum into seven named colors : red , orange , yellow , green , blue , indigo , and violet . He chose seven colors out of a belief , derived from the ancient Greek sophists , of there being a connection between the colors , the musical notes , the known objects in the solar system , and the days of the week . The human eye is relatively insensitive to indigo 's frequencies , and some people who have otherwise - good vision can not distinguish indigo from blue and violet . For this reason , some later commentators , including Isaac Asimov , have suggested that indigo should not be regarded as a color in its own right but merely as a shade of blue or violet . However , the evidence indicates that what Newton meant by `` indigo '' and `` blue '' does not correspond to the modern meanings of those color words . Comparing Newton 's observation of prismatic colors to a color image of the visible light spectrum shows that `` indigo '' corresponds to what is today called blue , whereas `` blue '' corresponds to cyan .   In the 18th century , Goethe wrote about optical spectra in his Theory of Colours . Goethe used the word spectrum ( Spektrum ) to designate a ghostly optical afterimage , as did Schopenhauer in On Vision and Colors . Goethe argued that the continuous spectrum was a compound phenomenon . Where Newton narrowed the beam of light to isolate the phenomenon , Goethe observed that a wider aperture produces not a spectrum but rather reddish - yellow and blue - cyan edges with white between them . The spectrum appears only when these edges are close enough to overlap .   In the early 19th century , the concept of the visible spectrum became more definite , as light outside the visible range was discovered and characterized by William Herschel ( infrared ) and Johann Wilhelm Ritter ( ultraviolet ) , Thomas Young , Thomas Johann Seebeck , and others . Young was the first to measure the wavelengths of different colors of light , in 1802 .   The connection between the visible spectrum and color vision was explored by Thomas Young and Hermann von Helmholtz in the early 19th century . Their theory of color vision correctly proposed that the eye uses three distinct receptors to perceive color .   Animal color vision ( edit )  See also : Color vision § Physiology of color perception  Many species can see light within frequencies outside the human `` visible spectrum '' . Bees and many other insects can detect ultraviolet light , which helps them find nectar in flowers . Plant species that depend on insect pollination may owe reproductive success to their appearance in ultraviolet light rather than how colorful they appear to humans . Birds , too , can see into the ultraviolet ( 300 -- 400 nm ) , and some have sex - dependent markings on their plumage that are visible only in the ultraviolet range . Many animals that can see into the ultraviolet range , however , can not see red light or any other reddish wavelengths . Bees ' visible spectrum ends at about 590 nm , just before the orange wavelengths start . Birds , however , can see some red wavelengths , although not as far into the light spectrum as humans . The popular belief that the common goldfish is the only animal that can see both infrared and ultraviolet light is incorrect , because goldfish can not see infrared light . Similarly , dogs are often thought to be color blind but they have been shown to be sensitive to colors , though not as many as humans .   Spectral colors ( edit )         Color   Wavelength   Frequency   Photon energy     Violet   380 -- 450 nm   668 -- 789 THz   2.75 -- 3.26 eV     Blue   450 -- 495 nm   606 -- 668 THz   2.50 -- 2.75 eV     Green   495 -- 570 nm   526 -- 606 THz   2.17 -- 2.50 eV     Yellow   570 -- 590 nm   508 -- 526 THz   2.10 -- 2.17 eV     Orange   590 -- 620 nm   484 -- 508 THz   2.00 -- 2.10 eV     Red   620 -- 750 nm   400 -- 484 THz   1.65 -- 2.00 eV     Colors that can be produced by visible light of a narrow band of wavelengths ( monochromatic light ) are called pure spectral colors . The various color ranges indicated in the illustration are an approximation : The spectrum is continuous , with no clear boundaries between one color and the next .   Spectroscopy ( edit )  Rough plot of Earth 's atmospheric opacity to various wavelengths of electromagnetic radiation , including visible light  Spectroscopy is the study of objects based on the spectrum of color they emit , absorb or reflect . Spectroscopy is an important investigative tool in astronomy , where scientists use it to analyze the properties of distant objects . Typically , astronomical spectroscopy uses high - dispersion diffraction gratings to observe spectra at very high spectral resolutions . Helium was first detected by analysis of the spectrum of the sun . Chemical elements can be detected in astronomical objects by emission lines and absorption lines .   The shifting of spectral lines can be used to measure the Doppler shift ( red shift or blue shift ) of distant objects .   Color display spectrum ( edit )  Approximation of spectral colors on a display results in somewhat distorted chromaticity A rendering of the visible spectrum on a gray background produces non-spectral mixtures of pure spectrum with gray , which fit into the sRGB color space .  Color displays ( e.g. computer monitors and televisions ) can not reproduce all colors discernible by a human eye . Colors outside the color gamut of the device , such as most spectral colors , can only be approximated . For color - accurate reproduction , a spectrum can be projected onto a uniform gray field . The resulting mixed colors can have all their R , G , B coordinates non-negative , and so can be reproduced without distortion . This accurately simulates looking at a spectrum on a gray background .   See also ( edit )       Wikisource has original text related to this article : Definition of the Color Indigo         Wikimedia Commons has media related to Visible spectrum .      High - energy visible light   Electromagnetic absorption by water # Visible region , why water is blue    References ( edit )    Jump up ^ Cecie Starr ( 2005 ) . Biology : Concepts and Applications . Thomson Brooks / Cole . ISBN 0 - 534 - 46226 - X .   Jump up ^ Coffey , Peter ( 1912 ) . The Science of Logic : An Inquiry Into the Principles of Accurate Thought . Longmans .   Jump up ^ Isacoff , Stuart ( 16 January 2009 ) . Temperament : How Music Became a Battleground for the Great Minds of Western Civilization . Knopf Doubleday Publishing Group . pp. 12 -- 13 . ISBN 978 - 0 - 307 - 56051 - 3 . Retrieved 18 March 2014 .   Jump up ^ Asimov , Isaac ( 1975 ) . Eyes on the universe : a history of the telescope . Boston : Houghton Mifflin . p. 59 . ISBN 978 - 0 - 395 - 20716 - 1 .   Jump up ^ Evans , Ralph M. ( 1974 ) . The perception of color ( null ed . ) . New York : Wiley - Interscience . ISBN 978 - 0 - 471 - 24785 - 2 .   Jump up ^ McLaren , K. ( March 2007 ) . `` Newton 's indigo '' . Color Research &amp; Application. 10 ( 4 ) : 225 -- 229 . doi : 10.1002 / col. 5080100411 .   Jump up ^ Waldman , Gary ( 2002 ) . Introduction to light : the physics of light , vision , and color ( Dover ed . ) . Mineola : Dover Publications . p. 193 . ISBN 978 - 0 - 486 - 42118 - 6 .   Jump up ^ Mary Jo Nye ( editor ) ( 2003 ) . The Cambridge History of Science : The Modern Physical and Mathematical Sciences . 5 . Cambridge University Press . p. 278 . ISBN 978 - 0 - 521 - 57199 - 9 . CS1 maint : Extra text : authors list ( link )   Jump up ^ John C.D. Brand ( 1995 ) . Lines of light : the sources of dispersive spectroscopy , 1800 -- 1930 . CRC Press . pp. 30 -- 32 . ISBN 978 - 2 - 88449 - 163 - 1 .   Jump up ^ Cuthill , Innes C ( 1997 ) . `` Ultraviolet vision in birds '' . In Peter J.B. Slater . Advances in the Study of Behavior . 29 . Oxford , England : Academic Press . p. 161 . ISBN 978 - 0 - 12 - 004529 - 7 .   Jump up ^ Jamieson , Barrie G.M. ( 2007 ) . Reproductive Biology and Phylogeny of Birds . Charlottesville VA : University of Virginia . p. 128 . ISBN 1 - 57808 - 386 - 9 .   Jump up ^ Skorupski , Peter ; Chittka , Lars ( 10 August 2010 ) . `` Photoreceptor Spectral Sensitivity in the Bumblebee , Bombus impatiens ( Hymenoptera : Apidae ) '' . PLoS ONE . 5 ( 8 ) : e12049 . Bibcode : 2010PLoSO ... 512049S . doi : 10.1371 / journal. pone. 0012049 .   Jump up ^ Varela , F.J. ; Palacios , A.G. ; Goldsmith T.M. `` Color vision of birds '' in Ziegler &amp; Bischof ( 1993 ) 77 -- 94   Jump up ^ `` True or False ? `` The common goldfish is the only animal that can see both infra - red and ultra-violet light . '' -- Skeptive `` . Retrieved September 28 , 2013 .   Jump up ^ Neumeyer , Christa ( 2012 ) . `` Chapter 2 : Color Vision in Goldfish and Other Vertebrates '' . In Lazareva , Olga ; Shimizu , Toru ; Wasserman , Edward . How Animals See the World : Comparative Behavior , Biology , and Evolution of Vision . Oxford Scholarship Online . ISBN 978 - 0 - 19 - 533465 - 4 .   Jump up ^ `` Colour cues proved to be more informative for dogs than brightness '' . Retrieved November 29 , 2015 .   Jump up ^ Thomas J. Bruno , Paris D.N. Svoronos . CRC Handbook of Fundamental Spectroscopic Correlation Charts . CRC Press , 2005 .   Jump up ^ `` Reproducing Visible Spectra '' . RepairFAQ.org . Retrieved 2011 - 02 - 09 .              Electromagnetic spectrum     ← higher frequencies longer wavelengths →   Gamma rays   X-rays   Ultraviolet   Visible   Infrared   Terahertz radiation   Microwave   Radio       Visible ( optical )     Violet   Blue   Green   Yellow   Orange   Red       Microwaves     W band   V band   Q band   K band   K band   K band   X band   S band   C band   L band       Radio     EHF   SHF   UHF   VHF   HF   MF   LF   VLF   ULF   SLF   ELF       Wavelength types     Microwave   Shortwave   Medium wave   Longwave                 Physiology of vision       Gaze   Accommodation   Intraocular pressure   Visual field   Color vision   Color blindness   Achromatopsia     Opponent process   Monochromacy   Dichromacy   Trichromacy   Tetrachromacy   Pentachromacy                   Radiation ( physics and health )     Main articles      Non-ionizing radiation     Acoustic radiation force   Infrared   Light   Microwave   Radio waves   Ultraviolet       Ionizing radiation     Alpha particle   Background radiation   Beta particle   Cosmic ray   Gamma ray   Nuclear fission   Nuclear fusion   Radioactive decay   Nuclear reactors   Nuclear weapons   Particle accelerators   Radioactive materials   X-ray         Earth 's radiation balance   Electromagnetic radiation   Thermal radiation   Gravitational Radiation          Radiation and health     Acute radiation syndrome   Health physics   Dosimetry   Electromagnetic radiation and health   Laser safety   Lasers and aviation safety   Medical radiography   Mobile phone radiation and health   Radiation poisoning   Radiation Protection   Radiation therapy   Radioactivity in the life sciences   Radioactive contamination   Radiobiology   Biological dose units and quantities   Wireless electronic devices and health   Radiation Heat - transfer       Related articles     Half - life   Nuclear physics   Radioactive source   Radiation hardening   List of civilian radiation accidents   1996 Costa Rica accident   1987 Goiânia accident   1984 Moroccan accident   1990 Zaragoza accident       See also : the categories Radiation effects , Radioactivity , Radiobiology , and Radiation protection .               Color topics       Red   Orange   Yellow   Green   Cyan   Blue   Indigo   Violet   Purple   Magenta   Pink   Brown   White   Gray   Black       Color science      Color physics     Electromagnetic spectrum   Light   Rainbow   Visible     Spectral colors   Chromophore   Structural coloration   Animal coloration     On Vision and Colors   Metamerism   Spectral power distribution         Color perception     Color vision   Color blindness   Achromatopsia     test     Tetrachromacy   Color constancy   Color term     Color depth   Color photography   Spot color   Color printing   Web colors   Color mapping   Color code   Color management   Chrominance   False color     Chroma key   Color balance   Color cast   Color temperature   Eigengrau       Color psychology     Color symbolism   Color preferences   Lüscher color test   Kruithof curve   Political color   National colors   Chromophobia   Chromotherapy            Color philosophy      Color space     Color model   additive   subtractive     Color mixing   Primary color   Secondary color   Tertiary color ( intermediate )   Quaternary color   Quinary color   Aggressive color ( warm )   Receding color ( cool )     Pastel colors   Color gradient       Color scheme     Color tool   Monochromatic colors   Complementary colors   Analogous colors   Achromatic colors ( Neutral )   Polychromatic colors     Impossible colors   Light - on - dark   Tinctures in heraldry       Color theory     Chromaticity diagram   Color solid   Color wheel   Color triangle   Color analysis ( art )   Color realism ( art style )          Color terms      Basic terms     Blue   Green   Red   Yellow   Pink   Purple   Orange   Black   Gray   White   Brown       Cultural differences     Linguistic relativity and the color naming debate   Blue -- green distinction in language     Color history   Color in Chinese culture   Traditional colors of Japan   Human skin color         Color dimensions     Hue   Dichromatism     Colorfulness ( chroma and saturation )   Tints and shades   Lightness ( tone and value )   Grayscale          Color organizations     Pantone   Color Marketing Group   The Color Association of the United States   International Colour Authority   International Commission on Illumination ( CIE )   International Color Consortium   International Colour Association       Lists     List of colors : A -- F   List of colors : G -- M   List of colors : N -- Z   List of colors ( compact )   List of colors by shade   List of color palettes   List of color spaces   List of Crayola crayon colors   history   pencil colors   marker colors     Color chart   List of fictional colors   List of RAL colors   List of web colors       Related     Vision   Image processing   Multi-primary color display   Quattron     Qualia   Lighting   Local color ( visual art )           Portal   Index of color - related articles      Retrieved from `` https://en.wikipedia.org/w/index.php?title=Visible_spectrum&amp;oldid=825552985 '' Categories :   Color   Electromagnetic spectrum   Optical spectrum   Vision   Hidden categories :   CS1 maint : Extra text : authors list           Talk                                           Contents                   About Wikipedia                                                 Afrikaans     Asturianu   বাংলা   Bân - lâm - gú   Беларуская   Беларуская ( тарашкевіца ) ‎   Български   Brezhoneg   Català   Čeština   Dansk   Deutsch   Ελληνικά   Español   Esperanto   Euskara   فارسی   Fiji Hindi   Français   Gàidhlig   Galego   </t>
    </r>
    <r>
      <rPr>
        <sz val="11"/>
        <color rgb="FF000000"/>
        <rFont val="Noto Sans CJK SC"/>
        <family val="2"/>
      </rPr>
      <t xml:space="preserve">한국어   </t>
    </r>
    <r>
      <rPr>
        <sz val="11"/>
        <color rgb="FF000000"/>
        <rFont val="Calibri"/>
        <family val="0"/>
        <charset val="1"/>
      </rPr>
      <t xml:space="preserve">Հայերեն   हिन्दी   Hrvatski   Bahasa Indonesia   Italiano   עברית   ಕನ್ನಡ   Latina   Latviešu   Lëtzebuergesch   Lietuvių   Magyar   Монгол   Nederlands   नेपाल भाषा   </t>
    </r>
    <r>
      <rPr>
        <sz val="11"/>
        <color rgb="FF000000"/>
        <rFont val="Noto Sans CJK SC"/>
        <family val="2"/>
      </rPr>
      <t xml:space="preserve">日本 語   </t>
    </r>
    <r>
      <rPr>
        <sz val="11"/>
        <color rgb="FF000000"/>
        <rFont val="Calibri"/>
        <family val="0"/>
        <charset val="1"/>
      </rPr>
      <t xml:space="preserve">Norsk   Norsk nynorsk   ਪੰਜਾਬੀ   Patois   Polski   Português   Română   Русский   Scots   සිංහල   Simple English   Slovenščina   Srpskohrvatski / српскохрватски   Basa Sunda   Suomi   Svenska   தமிழ்   Татарча / tatarça   ไทย   ᏣᎳᎩ   Türkçe   Українська   اردو   Vèneto   Tiếng Việt   </t>
    </r>
    <r>
      <rPr>
        <sz val="11"/>
        <color rgb="FF000000"/>
        <rFont val="Noto Sans CJK SC"/>
        <family val="2"/>
      </rPr>
      <t xml:space="preserve">粵語   中文   </t>
    </r>
    <r>
      <rPr>
        <sz val="11"/>
        <color rgb="FF000000"/>
        <rFont val="Calibri"/>
        <family val="0"/>
        <charset val="1"/>
      </rPr>
      <t xml:space="preserve">Edit links   This page was last edited on 14 February 2018 , at 01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</si>
  <si>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wave length of green light</t>
  </si>
  <si>
    <t xml:space="preserve">       Color   Wavelength   Frequency   Photon energy     Violet   380 -- 450 nm   668 -- 789 THz   2.75 -- 3.26 eV     Blue   450 -- 495 nm   606 -- 668 THz   2.50 -- 2.75 eV     Green   495 -- 570 nm   526 -- 606 THz   2.17 -- 2.50 eV     Yellow   570 -- 590 nm   508 -- 526 THz   2.10 -- 2.17 eV     Orange   590 -- 620 nm   484 -- 508 THz   2.00 -- 2.10 eV     Red   620 -- 750 nm   400 -- 484 THz   1.65 -- 2.00 eV   </t>
  </si>
  <si>
    <t xml:space="preserve">List of Major League Baseball franchise postseason droughts - wikipedia  List of Major League Baseball franchise postseason droughts     Part of a series on the     Major League Baseball postseason     Tie Breakers     Tie Breaker Games     Wild Card     Wild Card Game     Division Series       ALDS   NLDS       League Championship Series       ALCS ( Winners list ) NLCS ( Winners list )       World Series       List of World Series champions   Commissioner 's Trophy       Teams       Appearances   Series   Streaks   Droughts                   Throughout the history of Major League Baseball ( MLB ) , franchises have had various postseason and World Series droughts .   All 16 of the original Major League franchises ( i.e. , those in place when the first World Series was played in 1903 ) have won the World Series , with the longest wait for a franchise 's first championship being for the Phillies ( 77 years , ending in 1980 ) . Since expansion began in 1961 , seven of the 14 expansion teams have never won the World Series . Further , one franchise ( the Indians ) has a current championship drought that pre-dates the expansion era . The three longest championship droughts in history were ended recently by the Red Sox ( 85 years , ending in 2004 ) , the White Sox ( 87 years , ending in 2005 ) , and the Cubs ( 107 years , ending in 2016 ) . Discounting the 33 years in which there was no MLB franchise in Washington , there have been 60 seasons played in Washington since their last World Series championship ( in 1924 ) .   Only two expansion franchises ( the Expos / Nationals and the Mariners ) have never won a pennant ( i.e. , the league championship , the two winners of which meet in the World Series ) . The two longest pennant droughts in history were recently ended by the Rangers ( 49 years , starting with the team 's foundation , ending in 2010 ) and the Cubs ( 70 years , ending in 2016 ) . The Expos / Nationals pennant drought includes 36 years in Montreal , which no longer hosts a team , and 13 years since the move to Washington ; discounting the 33 years in which there was no MLB franchise in Washington , there have been 51 seasons played in Washington since their last pennant ( in 1933 ) .   Every MLB franchise has at least been to the postseason , especially since expansion of the playoffs in 1994 made that feat easier . The Mariners have the longest active postseason drought at 16 years . Long postseason droughts were ended recently by the Nationals ( 30 years for the franchise , 45 seasons over 78 years for the city , ending in 2012 ) , the Pirates ( 20 years , ending in 2013 ) , the Royals ( 28 years , ending in 2014 ) , and the Blue Jays ( 21 years , ending in 2015 ) .   This list includes only the modern World Series between the American League ( AL ) and the National League ( NL ) , not the various 19th - century championship series . Those teams which have never achieved a particular accomplishment in their franchise history are listed by the date they entered the leagues .   Contents    1 World Series championship droughts   1.1 Longest current World Series championship droughts   1.2 Longest World Series championship droughts through history   1.3 World Series championship droughts by city / region   1.4 World Series in which neither team had previously won a championship   1.5 World Series in which both teams had ended pennant droughts of 20 - plus seasons   1.6 World Series in which neither franchise had won a championship in 30 - plus seasons     2 Major League pennant droughts   2.1 Longest current Major League pennant droughts   2.2 Longest Major League pennant droughts through history   2.3 Major League pennant droughts by city / region   2.4 World Series droughts by division     3 Postseason droughts   3.1 Longest current postseason droughts   3.2 Longest postseason droughts in the expanded - postseason era     4 See also   5 External links    World Series championship droughts ( edit )   Longest current World Series championship droughts ( edit )   No World Series was played in 1994 , and counts as a drought season for those franchises .     Seasons   Team   Last World Series championship won   Last World Series appearance     69   Cleveland Indians   1948   2016     57   Texas Rangers   Never ( franchise began 1961 )   2011     49   Milwaukee Brewers   Never ( franchise began 1969 )   1982     49   San Diego Padres   Never ( franchise began 1969 )   1998     49   Washington Nationals   Never ( franchise began 1969 )   Never     41   Seattle Mariners   Never ( franchise began 1977 )   Never     38   Pittsburgh Pirates   1979   1979     34   Baltimore Orioles         33   Detroit Tigers   1984   2012     31   New York Mets   1986   2015     29   Los Angeles Dodgers   1988   2017     28   Oakland Athletics   1989   1990     27   Cincinnati Reds   1990   1990     26   Minnesota Twins   1991   1991     25   Colorado Rockies   Never ( franchise began 1993 )   2007     24   Toronto Blue Jays   1993   1993     22   Atlanta Braves   1995   1999     20   Tampa Bay Rays   Never ( franchise began 1998 )   2008     16   Arizona Diamondbacks   2001   2001     15   Los Angeles Angels   2002   2002     14   Miami Marlins   2003   2003     12   Chicago White Sox   2005   2005     9   Philadelphia Phillies   2008   2009     8   New York Yankees   2009   2009     6   St. Louis Cardinals   2011   2013       Boston Red Sox   2013   2013       San Francisco Giants   2014   2014       Kansas City Royals   2015   2015       Chicago Cubs   2016   2016     *   Houston Astros   2017   2017     The asterisk ( * ) represents the current defending World Series Champion   Longest World Series championship droughts through history ( edit )   The first World Series was played in 1903 . No World Series was played in 1904 or 1994 . This list only shows droughts of 30 or more seasons . Active droughts are listed in bold type .     Seasons   Team   Previous Title   Next Title     107   Chicago Cubs   1908   2016     87   Chicago White Sox   1917   2005     85   Boston Red Sox   1918       77   Philadelphia Phillies   1903 *   1980     69   Cleveland Indians   1948   --     63   St. Louis Browns / Baltimore Orioles   1903 *   1966     62   Washington Senators / Minnesota Twins   1924       57   Washington Senators / Texas Rangers   1961 *   --     55   Houston Colt . 45s / Astros   1962 *   2017     55   New York / San Francisco Giants   1954       52   Brooklyn Dodgers   1903 *   1955     49   Seattle Pilots / Milwaukee Brewers   1969 *   --     49   San Diego Padres   1969 *   --     49   Montreal Expos / Washington Nationals   1969 *   --     42   Boston / Milwaukee Braves   1914   1957     41   Philadelphia / Kansas City / Oakland Athletics   1930   1972     41   Los Angeles - California - Anaheim Angels   1961 *   2002     41   Seattle Mariners   1977 *   --     38   Pittsburgh Pirates   1979   --     37   Milwaukee / Atlanta Braves   1957   1995     34   Pittsburgh Pirates   1925   1960     34   Cincinnati Reds   1940       34   Baltimore Orioles     --     33   Detroit Tigers   1984   --     32   Detroit Tigers   1903 *   1935     31   New York Mets   1986   --     * Year does not indicate a title won , but rather the team 's first year of existence or the first year of the modern World Series ( 1903 ) .   World Series championship droughts by city / region ( edit )   This list only includes cities / regions with current Major League Baseball franchises . Years during which a city / region did not field a Major League Baseball team are not counted .     Region   Drought ( seasons )   Last World Series title     Cleveland   69   Cleveland Indians , 1948     Washington , D.C.   60 *   Washington Senators ( original A.L. ) , 1924     Milwaukee   56 * *   Milwaukee Braves , 1957     San Diego   49 ‡   None     Dallas - Ft . Worth   46 ‡   None     Seattle   42 ‡ †   None     Pittsburgh   38   Pittsburgh Pirates , 1979     Baltimore   34   Baltimore Orioles , 1983     Detroit   33   Detroit Tigers , 1984     Cincinnati   27   Cincinnati Reds , 1990     Minneapolis -- Saint Paul   26   Minnesota Twins , 1991     Denver   25 ‡   None     Toronto   24   Toronto Blue Jays , 1993     Atlanta   22   Atlanta Braves , 1995     Tampa - St. Petersburg   20 ‡   None     Phoenix   16   Arizona Diamondbacks , 2001     Los Angeles   15   Anaheim Angels , 2002     Miami - Ft . Lauderdale   14   Florida Marlins , 2003     Philadelphia   9   Philadelphia Phillies , 2008     New York City   8   New York Yankees , 2009     St. Louis   6   St. Louis Cardinals , 2011     Boston     Boston Red Sox , 2013     San Francisco Bay Area     San Francisco Giants , 2014     Kansas City     Kansas City Royals , 2015     Chicago     Chicago Cubs , 2016     Houston   0   Houston Astros , 2017     * city without Major League Baseball franchise for 33 seasons ( 1972 -- 2004 )   * * city without Major League Baseball franchise for 4 seasons ( 1966 -- 1969 )   † city without Major League Baseball franchise for 7 seasons ( 1970 -- 1976 )   ‡ number does n't indicate a title won , but rather total seasons played .   World Series in which neither team had previously won a championship ( edit )   In these instances , the World Series matchup ensured that one team would win the first championship in its history .     Season   Won   Lost     1980   Philadelphia Phillies   Kansas City Royals     1920   Cleveland Indians   Brooklyn Dodgers     1909   Pittsburgh Pirates   Detroit Tigers     1907   Chicago Cubs   Detroit Tigers     1906 *   Chicago White Sox   Chicago Cubs     1905 *   New York Giants   Philadelphia Athletics     1903 *   Boston Americans   Pittsburgh Pirates     * In these cases , each team was making its first World Series appearance .   World Series in which both teams had ended pennant droughts of 20 - plus seasons ( edit )     Season   Won   Drought ( seasons )   Lost   Drought ( seasons )     2005   Chicago White Sox   45   Houston Astros   43     1948   Cleveland Indians   27   Boston Braves   33     World Series in which neither franchise had won a championship in 30 - plus seasons ( edit )   Teams that had never won the World Series are included , even if they were less than 30 seasons old at the time . Bold denotes team that won .     Season   American League   Drought ( seasons )   National League   Drought ( seasons )     2016   Cleveland Indians   67   Chicago Cubs   107       Texas Rangers   49 *   San Francisco Giants   55     2005   Chicago White Sox   87   Houston Astros   43 *     2002   Anaheim Angels   41 *   San Francisco Giants   47     1997   Cleveland Indians   48   Florida Marlins   4 *     1995   Cleveland Indians   46   Atlanta Braves   37     1992   Toronto Blue Jays   15 *   Atlanta Braves   34     1980   Kansas City Royals   11 *   Philadelphia Phillies   77 *       Boston Red Sox   56   Cincinnati Reds   34     1972   Oakland Athletics   40   Cincinnati Reds   31     1920   Cleveland Indians   17 *   Brooklyn Dodgers   17 *     1909   Detroit Tigers   6 *   Pittsburgh Pirates   6 *     1907   Detroit Tigers   4 *   Chicago Cubs   4 *     1906   Chicago White Sox   3 *   Chicago Cubs   3 *     1905   Philadelphia Athletics   2 *   New York Giants   2 *     1903   Boston Americans   0 *   Pittsburgh Pirates   0 *     Numbers marked with * indicates that the number is counted from either the franchise 's first year of existence or the first year of the modern World Series ( 1903 ) .   Major League pennant droughts ( edit )   Longest current Major League pennant droughts ( edit )   No pennants were won in 1994 due to the players ' strike that year .     Seasons   Team   Last pennant     49   Washington Nationals   Never ( franchise started in 1969 )     41   Seattle Mariners   Never ( franchise started in 1977 )     38   Pittsburgh Pirates   1979     35   Milwaukee Brewers   1982 ( never since joining NL in 1998 )     34   Baltimore Orioles       27   Cincinnati Reds   1990     27   Oakland Athletics   1990     26   Minnesota Twins   1991     24   Toronto Blue Jays   1993     19   San Diego Padres   1998     18   Atlanta Braves   1999     16   Arizona Diamondbacks   2001     15   Los Angeles Angels   2002     14   Miami Marlins   2003     12   Chicago White Sox   2005     10   Colorado Rockies   2007     9   Tampa Bay Rays   2008     8   New York Yankees   2009     8   Philadelphia Phillies   2009     6   Texas Rangers   2011     5   Detroit Tigers   2012       St. Louis Cardinals   2013       Boston Red Sox   2013       San Francisco Giants   2014       Kansas City Royals   2015       New York Mets   2015       Chicago Cubs   2016       Cleveland Indians   2016     0   Houston Astros   2017     0   Los Angeles Dodgers   2017     Longest Major League pennant droughts through history ( edit )   List begins with 1903 , about the time the current configuration of National League and American League stabilized and also the year of the first World Series . No pennants were won in 1994 due to the players strike that year . This list only shows droughts of 20 or more seasons . Active droughts are listed in bold type .     Seasons   Team   Prev . Pennant   Next Pennant     70   Chicago Cubs   1945   2016     49   Washington Senators / Texas Rangers   1961 *       49   Montreal Expos / Washington Nationals   1969 *   --     45   Chicago White Sox   1959   2005     43   Houston Colt . 45s / Astros   1962 *   2005     41   St. Louis Browns   1903 *   1944     41   Los Angeles - California - Anaheim Angels   1961 *   2002     41   Seattle Mariners   1977 *   --     40   Philadelphia / Kansas City / Oakland Athletics   1931   1972     40   Cleveland Indians   1954   1995     39   Chicago White Sox   1919   1959     38   Pittsburgh Pirates   1979   --     35   Milwaukee Brewers   1982   --     34   Philadelphia Phillies   1915   1950     34   Baltimore Orioles     --     33   Boston Braves   1914   1948     32   Pittsburgh Pirates   1927   1960     32   Milwaukee / Atlanta Braves   1958   1991     31   Washington Senators / Minnesota Twins   1933   1965     29   Philadelphia Phillies   1950   1980     28   Kansas City Royals   1985   2014     28   Los Angeles Dodgers   1988   2017     27   Boston Red Sox   1918   1946     27   Cleveland Indians   1920   1948     27   Oakland Athletics   1990   --     27   Cincinnati Reds   1990   --     26   San Francisco Giants   1962   1989     26   Minnesota Twins   1991   --     24   Detroit Tigers   1909   1934     24   Toronto Blue Jays   1993   --     23   St. Louis Cardinals   1903 *   1926     22   Detroit Tigers   1945   1968     21   St. Louis Browns / Baltimore Orioles   1944   1966     21   Minnesota Twins   1965       21   Detroit Tigers   1984   2006     21   Washington Senators   1903 *   1924     20   Brooklyn Dodgers   1920   1941     20   Cincinnati Reds   1940   1961     20   Boston Red Sox   1946   1967     * Year does not indicate a pennant , but rather the team 's first year of existence or the first year of the modern World Series ( 1903 ) .   Numbers reflect drought at start of current season .   Major League pennant droughts by city / region ( edit )   This list only includes cities / regions with current Major League Baseball franchises . Years during which a city / region did not field a Major League Baseball team are not counted .     Region   Drought ( seasons )   Last pennant     Washington , D.C.   51 *   Washington Senators ( original A.L. ) , 1933     Seattle   42 * * †   None     Pittsburgh   38   Pittsburgh Pirates , 1979     Milwaukee   35   Milwaukee Brewers , 1982 ( in A.L. )     Baltimore   34   Baltimore Orioles , 1983     Cincinnati   27   Cincinnati Reds , 1990     Minneapolis -- Saint Paul   26   Minnesota Twins , 1991     Toronto   24   Toronto Blue Jays , 1993     San Diego   19   San Diego Padres , 1998     Atlanta   18   Atlanta Braves , 1999     Phoenix   16   Arizona Diamondbacks , 2001     Miami - Ft . Lauderdale   14   Florida Marlins , 2003     Denver   10   Colorado Rockies , 2007     Tampa - St. Petersburg   9   Tampa Bay Rays , 2008     Philadelphia   8   Philadelphia Phillies , 2009     Dallas - Ft . Worth   6   Texas Rangers , 2011     Detroit   5   Detroit Tigers , 2012     St. Louis     St. Louis Cardinals , 2013     Boston     Boston Red Sox , 2013     San Francisco Bay Area     San Francisco Giants , 2014     Kansas City     Kansas City Royals , 2015     New York City     New York Mets , 2015     Cleveland     Cleveland Indians , 2016     Chicago     Chicago Cubs , 2016     Los Angeles   0   Los Angeles Dodgers , 2017     Houston   0   Houston Astros , 2017     * city without Major League Baseball franchise for 33 seasons ( 1972 -- 2004 )   * * city without Major League Baseball franchise for 7 seasons ( 1970 -- 1976 )   † number does n't indicate a title won , but rather total seasons played .   World Series droughts by division ( edit )     Division   Last World Series win   Seasons     NL East   2008 -- Phillies   9     AL East   2013 -- Redsox       NL West   2014 -- Giants       AL Central   2015 -- Royals       NL Central   2016 -- Cubs       AL West   2017 -- Astros   0     Postseason droughts ( edit )   Longest current postseason droughts ( edit )     Seasons   Team   Last appearance     16   Seattle Mariners *   2001 ALCS     14   Miami Marlins   2003 World Series     11   San Diego Padres   2006 NLDS     9   Chicago White Sox   2008 ALDS     6   Philadelphia Phillies   2011 NLDS     6   Milwaukee Brewers   2011 NLCS       Cincinnati Reds   2013 NL Wild Card       Atlanta Braves   2013 NLDS       Tampa Bay Rays   2013 ALDS       Oakland Athletics   2014 AL Wild Card       Detroit Tigers   2014 ALDS       Los Angeles Angels   2014 ALDS       Pittsburgh Pirates   2015 NL Wild Card       St. Louis Cardinals   2015 NLDS       Kansas City Royals   2015 World Series       Baltimore Orioles   2016 AL Wild Card       New York Mets   2016 NL Wild Card       San Francisco Giants   2016 NLDS       Texas Rangers   2016 ALDS       Toronto Blue Jays   2016 ALCS     0   Colorado Rockies   2017 NL Wild Card     0   Minnesota Twins   2017 AL Wild Card     0   Arizona Diamondbacks   2017 NLDS     0   Boston Red Sox   2017 ALDS     0   Cleveland Indians   2017 ALDS     0   Washington Nationals   2017 NLDS     0   Chicago Cubs   2017 NLCS     0   New York Yankees   2017 ALCS     0   Houston Astros   2017 World Series     0   Los Angeles Dodgers   2017 World Series     * Also longest active drought in North American sports   Longest postseason droughts in the expanded - postseason era ( edit )   After the postseason was expanded in 1995 to include eight teams ( further expanded in 2012 to ten teams ) , 18 of the 30 teams qualified within the first five years , and few teams went for long droughts without at least participating in the first round of the postseason . This list only shows droughts of 15 or more seasons that occurred primarily in the expanded - postseason era . Active droughts are listed in bold type .     Seasons   Team   Previous Postseason Appearance   Next Postseason Appearance     30   Montreal Expos / Washington Nationals   1981   2012     28   Kansas City Royals   1985   2014     25   Milwaukee Brewers   1982   2008     21   Toronto Blue Jays   1993   2015     20   Pittsburgh Pirates   1992   2013     18   Detroit Tigers     2006     16   Seattle Mariners   2001   --     15   Los Angeles Angels   1986   2002     See also ( edit )    Baseball portal     List of Major League Baseball franchise postseason streaks   List of Major League Baseball postseason series by franchise   List of Major League Baseball postseason teams   List of all - time Major League Baseball win - loss records   List of National Basketball Association franchise post-season droughts   List of National Football League franchise post-season droughts   List of National Hockey League franchise post-season droughts   List of Major League Soccer franchise post-season droughts    External links ( edit )             Major League Baseball ( 2018 )     American League      East     Baltimore Orioles   Boston Red Sox   New York Yankees   Tampa Bay Rays   Toronto Blue Jays       Central     Chicago White Sox   Cleveland Indians   Detroit Tigers   Kansas City Royals   Minnesota Twins       West     Houston Astros   Los Angeles Angels   Oakland Athletics   Seattle Mariners   Texas Rangers          National League      East     Atlanta Braves   Miami Marlins   New York Mets   Philadelphia Phillies   Washington Nationals       Central     Chicago Cubs   Cincinnati Reds   Milwaukee Brewers   Pittsburgh Pirates   St. Louis Cardinals       West     Arizona Diamondbacks   Colorado Rockies   Los Angeles Dodgers   San Diego Padres   San Francisco Giants             Schedule     Spring training   Opening Day   Jackie Robinson Day   Civil Rights Game   All - Star Game   Interleague play   International games   Players Weekend   World Baseball Classic       Postseason     World Series   Champions     AL   AL Champions   ALCS   ALDS     NL   NL Champions   NLCS   NLDS     Wild Card Game   Appearances   Streaks   Droughts   Series       Business     Draft   Rule 5     Players Association   Highest paid players   Luxury tax   Lockouts / strikes   Winter Meetings   Hot stove league   Transactions   Media   Logo   Radio   Television   MLB.com   MLB Advanced Media     Minor League Baseball   Authentication Program       Miscellaneous     Instant replay   Team uniforms   Stadiums   Mascots   Rivalries       History     History   AL     Seasons   Tie - breakers   Tie - breaking procedures     Records   Awards   Retired numbers   Hall of Fame       Steroid usage     Drug policy   suspensions     Mitchell Report   Juiced   Vindicated   Biogenesis baseball scandal   BALCO scandal   Game of Shadows   Barry Bonds perjury case       Timeline     Timeline of Major League Baseball   History of team nicknames     Dead - ball era   Live - ball era   Golden age of baseball   Defunct and relocated teams   Relocation of the 1950s -- 60s   Expansion   1961   1962   1969   1977   1993   1998           Commissioner : Rob Manfred   League Presidents   AL   NL                      World Series     Series not held in 1904 because the NL champions refused to participate , or in 1994 due to a players ' strike .     1900s -- 1910s     1903   1904   1905   1906   1907   1908   1909   1910   1911   1912   1913   1914   1915   1916   1917   1918   1919       1920s -- 1930s     1920   1921   1922   1923   1924   1925   1926   1927   1928   1929   1930   1931   1932   1933   1934   1935   1936   1937   1938   1939       1940s -- 1950s     1940   1941   1942   1943   1944   1945   1946   1947   1948   1949   1950   1951   1952   1953   1954   1955   1956   1957   1958   1959       1960s -- 1970s     1960   1961   1962   1963   1964   1965   1966   1967   1968   1969   1970   1971   1972   1973       1976   1977   1978   1979       1980s -- 1990s     1980   1981   1982     1984   1985   1986     1988   1989   1990   1991   1992   1993   1994   1995     1997   1998   1999       2000s -- 2010s     2000   2001   2002   2003     2005   2006   2007   2008   2009     2011   2012   2013   2014   2015   2016   2017   2018       Related     Pre-World Series champions   Dauvray Cup   Temple Cup   Chronicle - Telegraph Cup     World Series champions   Most Valuable Players   Starting pitchers   Babe Ruth Award   Commissioner 's Trophy   World Series ring   Appearances   Streaks   Droughts   Series ( by franchise )   Broadcasters   TV ratings   ALCS   NLCS   ALDS   NLDS   ALWC   NLWC   Game 7   1989 Loma Prieta earthquake         Book : World Series   Category : World Series      Retrieved from `` https://en.wikipedia.org/w/index.php?title=List_of_Major_League_Baseball_franchise_postseason_droughts&amp;oldid=853599769 '' Categories :   Major League Baseball playoffs and champions   Major League Baseball records   Playoff streaks   Hidden categories :   All articles with unsourced statements   Articles with unsourced statements from January 2018           Talk                                           Contents                   About Wikipedia                                           Add links   This page was last edited on 5 August 2018 , at 21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</si>
  <si>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baseball teams that have never been to the world series</t>
  </si>
  <si>
    <t xml:space="preserve">   Seasons   Team   Last pennant     49   Washington Nationals   Never ( franchise started in 1969 )     41   Seattle Mariners   Never ( franchise started in 1977 )     38   Pittsburgh Pirates   1979     35   Milwaukee Brewers   1982 ( never since joining NL in 1998 )     34   Baltimore Orioles       27   Cincinnati Reds   1990     27   Oakland Athletics   1990     26   Minnesota Twins   1991     24   Toronto Blue Jays   1993     19   San Diego Padres   1998     18   Atlanta Braves   1999     16   Arizona Diamondbacks   2001     15   Los Angeles Angels   2002     14   Miami Marlins   2003     12   Chicago White Sox   2005     10   Colorado Rockies   2007     9   Tampa Bay Rays   2008     8   New York Yankees   2009     8   Philadelphia Phillies   2009     6   Texas Rangers   2011     5   Detroit Tigers   2012       St. Louis Cardinals   2013       Boston Red Sox   2013       San Francisco Giants   2014       Kansas City Royals   2015       New York Mets   2015       Chicago Cubs   2016       Cleveland Indians   2016     0   Houston Astros   2017     0   Los Angeles Dodgers   2017   </t>
  </si>
  <si>
    <t xml:space="preserve">Better Call Saul - wikipedia  Better Call Saul  This article is about the television series . For the Breaking Bad episode , see Better Call Saul ( Breaking Bad ) . For the Homeland episode , see Better Call Saul ( Homeland ) .      Better Call Saul         Genre   Crime drama Black comedy Legal drama     Created by   Vince Gilligan Peter Gould     Starring   Bob Odenkirk Jonathan Banks Rhea Seehorn Patrick Fabian Michael Mando Michael McKean Giancarlo Esposito     Theme music composer   Little Barrie     Composer ( s )   Dave Porter     Country of origin   United States     Original language ( s )   English     No. of seasons       No. of episodes   30 ( list of episodes )     Production     Executive producer ( s )   Vince Gilligan Peter Gould Mark Johnson Melissa Bernstein Thomas Schnauz Gennifer Hutchison     Producer ( s )   Bob Odenkirk Nina Jack Diane Mercer Robin Sweet Gordon Smith Jonathan Glatzer     Location ( s )   Albuquerque , New Mexico     Cinematography   Arthur Albert     Running time   42 -- 56 minutes     Production company ( s )   High Bridge Productions Crystal Diner Productions Gran Via Productions Sony Pictures Television     Distributor   Sony Pictures Television     Release     Original network   AMC     Original release   February 8 , 2015 ( 2015 - 02 - 08 ) -- present     Chronology     Preceded by   Breaking Bad     Related shows   Talking Saul     External links     Website     Better Call Saul is an American television crime drama series created by Vince Gilligan and Peter Gould . It is a spin - off prequel of Gilligan 's prior series Breaking Bad . Set in the early 2000s , Better Call Saul follows the story of con - man turned small - time lawyer , James Morgan `` Jimmy '' McGill ( Bob Odenkirk ) , six years before the events of Breaking Bad , showing his transformation into the persona of Saul Goodman , as well as briefly explore his life some time after the events of Breaking Bad . The series also explores the situations of other Breaking Bad characters in the years prior . The show premiered on AMC on February 8 , 2015 and has since finished airing its third season ; the 10 - episode fourth season is scheduled to air starting August 6 , 2018 .   Like its predecessor , Better Call Saul has received critical acclaim , particularly for its acting , writing , and directing , with many critics calling it a worthy successor to Breaking Bad . It has garnered several nominations , including a Peabody Award , 23 Primetime Emmy Awards , seven Writers Guild of America Awards , five Critics ' Choice Television Awards , a Screen Actors Guild Award , and two Golden Globe Awards . The series premiere held the record for the highest - rated scripted series premiere in basic cable history at the time of its airing .   Contents  ( hide )   1 Premise   2 Production   2.1 Conception   2.2 Casting   2.3 Development history     3 Cast and characters   3.1 Main cast   3.2 Recurring cast   3.2. 1 Introduced in season 1   3.2. 2 Introduced in season 2   3.2. 3 Introduced in season 3   3.2. 4 Breaking Bad characters       4 Episodes   4.1 Season 1 ( 2015 )   4.2 Season 2 ( 2016 )   4.3 Season 3 ( 2017 )     5 Talking Saul   5.1 Season 1 ( 2016 )   5.2 Season 2 ( 2017 )     6 Broadcast   7 Reception   7.1 Critical response   7.1. 1 Season 1   7.1. 2 Season 2   7.1. 3 Season 3     7.2 Awards and accolades   7.3 Ratings     8 Home media   9 Comics   10 References   11 External links    Premise ( edit )   Better Call Saul follows the life of the character Saul Goodman some years prior to the events of Breaking Bad . Goodman , born as James `` Jimmy '' McGill , is a former con artist now trying to follow a more lawful career as an aspiring lawyer in Albuquerque , New Mexico . He seeks to become a partner in the law firm in which his older brother Charles `` Chuck '' McGill is a senior partner . However , Jimmy 's work is frequently overshadowed by Chuck 's past reputation , and he struggles to find a way to prove himself , even with the help of another associate in the firm , Kim Wexler , with whom he also becomes romantically involved . At the same time , Jimmy frequently takes care of Chuck , who claims to have electromagnetic hypersensitivity , a condition that makes him physically ill in the presence of anything with an electronic component and has caused him to take an extended leave from his firm and regular law work . Interspersed among Jimmy 's activities are the prior histories of other Breaking Bad characters , including Mike Ehrmantraut , a former police officer who becomes involved in illegal drug trafficking schemes , and drug kingpins Hector Salamanca and Gus Fring , who help distribute drugs illegally brought to the area from Mexico .   The series also provides brief glimpses of Saul 's fate after the events of Breaking Bad : he has taken on a new identity in Omaha , Nebraska as a Cinnabon manager and goes by the name Gene .   Production ( edit )   Conception ( edit )   In July 2012 , Breaking Bad creator Vince Gilligan hinted at a possible spin - off about Saul Goodman . In a July 2012 interview , Gilligan said he liked `` the idea of a lawyer show in which the main lawyer will do anything it takes to stay out of a court of law '' , including settling on the courthouse steps .   In April 2013 , the series was confirmed to be in development by Gilligan and Gould ; the latter wrote the Breaking Bad episode that introduced the character .   Casting ( edit )   Bob Odenkirk stars as lawyer Jimmy McGill ( known as Saul Goodman in Breaking Bad ) . In January 2014 , it was announced that Jonathan Banks would reprise his Breaking Bad role as Mike Ehrmantraut and be a series regular .   Among new cast members include Michael McKean as McGill 's elder brother Chuck , having previously guest - starred in an episode of Odenkirk 's Mr. Show and Gilligan 's X-Files episode `` Dreamland '' . The cast also includes Patrick Fabian as Howard Hamlin , Rhea Seehorn as Kimberly `` Kim '' Wexler , and Michael Mando as Ignacio `` Nacho '' Varga . In October 2014 , Kerry Condon was cast as Stacey Ehrmantraut , Mike 's daughter - in - law . In November 2014 , it was announced that Julie Ann Emery and Jeremy Shamos had been cast as Betsy and Craig Kettleman , described as `` the world 's squarest outlaws . ''   Going into Season 3 , it was announced that Giancarlo Esposito would return to play Gus Fring .   The showrunners have teased that `` familiar faces '' from Breaking Bad will make appearances during Season 4 . They will also cast an actor for the character `` Lalo '' , mentioned only by name in the episode `` Better Call Saul '' episode of Breaking Bad . Both Bryan Cranston and Aaron Paul said , as of Season 3 , they are both open to reappearing on the show as Walter White and Jesse Pinkman , respectively , if asked , believing that Gilligan would have a sufficiently good reason to bring them in . Paul had previously mentioned the possibility of a cameo during Season 1 but this fell through . Anna Gunn also mentioned a `` talk '' with Gilligan over possible guest appearances as Skyler White . Dean Norris , another Breaking Bad alumnus , stated he could not be part of the earlier seasons , partly due to his involvement in the CBS series Under the Dome . Gilligan said that by Season 3 that show had been on long enough that any reuse of Breaking Bad characters would be more than `` just a cameo or an Alfred Hitchcock walkthrough '' , and that their appearances would be necessary for the story .   Development history ( edit )   By July 2013 , the series had yet to be green - lighted . Netflix was one of many interested distributors , but ultimately a deal was made between AMC and Breaking Bad production company Sony Pictures Television . Gilligan and Gould serve as co-showrunners and Gilligan directed the pilot . Former Breaking Bad writers Thomas Schnauz and Gennifer Hutchison joined the writing staff , with Schnauz serving as co-executive producer and Hutchison as supervising producer . Also on the writing staff are Bradley Paul , and Gordon Smith , who was a writer 's assistant on Breaking Bad .   In developing the series , the producers considered making the show a half - hour comedy , but ultimately chose an hour - long format more typical of a drama . In October 2014 , Odenkirk called the show `` 85 percent drama , 15 percent comedy . '' During his appearance on Talking Bad , Odenkirk noted that Saul was one of the most popular characters on the show , speculating that the audience likes the character because he is the program 's least hypocritical figure , and is good at his job . Better Call Saul also employs Breaking Bad 's signature time jumps .   As filming began on June 2 , 2014 , Gilligan expressed some concern regarding the possible disappointment from the series ' turnout , in terms of audience reception .   The first teaser trailer debuted on AMC on August 10 , 2014 , and confirmed its premiere date of February 2015 . In November 2014 , AMC announced the series would have a two - night premiere ; the first episode aired on Sunday , February 8 , 2015 , at 10 : 00 pm ( ET ) , and then moved into its regular time slot the following night , airing Mondays at 10 : 00 pm . In May 2015 , Gilligan confirmed that more of the prominent characters from Breaking Bad would be making guest appearances in season 2 , but remained vague on which characters were likely to be seen .   In June 2014 , prior to the series ' launch , AMC had renewed the series for a second season of 13 episodes to premiere in early 2016 ; however , it was later reduced to 10 episodes . The second season premiered on February 15 , 2016 .   In March 2016 , AMC announced that Better Call Saul was renewed for a 10 - episode third season which premiered April 10 , 2017 . AMC renewed the series for a 10 - episode fourth season in June 2017 , and is scheduled to premiere on August 6 , 2018 .   Like its predecessor , Better Call Saul is set and filmed in Albuquerque , New Mexico .   Cast and characters ( edit )  Bob Odenkirk ( Jimmy McGill ) Jonathan Banks ( Mike Ehrmantraut ) Rhea Seehorn ( Kim Wexler ) Patrick Fabian ( Howard Hamlin ) Michael Mando ( Nacho Varga ) Michael McKean ( Chuck McGill ) Giancarlo Esposito ( Gus Fring )  Main cast ( edit )  Main article : List of Breaking Bad and Better Call Saul characters   Bob Odenkirk as James Morgan `` Jimmy '' McGill , a lawyer and a former scam artist , who becomes involved with the criminal world   Jonathan Banks as Mike Ehrmantraut , a former Philadelphia police officer working independently as a parking lot attendant , and later a private investigator , bodyguard and `` cleaner ''   Rhea Seehorn as Kimberly `` Kim '' Wexler , a lawyer formerly working at the Hamlin , Hamlin &amp; McGill ( HHM ) law firm , now running her own law firm , who is Jimmy 's close friend and love interest   Patrick Fabian as Howard Hamlin , a name partner at Hamlin , Hamlin &amp; McGill , first appearing as Jimmy 's nemesis , until it becomes clear that he acts under Charles McGill 's orders   Michael Mando as Ignacio `` Nacho '' Varga , an upholstery shop worker who is also an intelligent , ambitious member of Tuco Salamanca 's gang   Michael McKean as Charles L. `` Chuck '' McGill , Jr. , Jimmy 's elder brother and a named partner at HHM who is confined to his home by electromagnetic hypersensitivity , expressing disdain and hostility toward his brother whom he considers to be a disgrace to the law practice ( seasons 1 -- 3 )   Giancarlo Esposito as Gus Fring , a methamphetamine distributor who uses his fast food restaurant chain Los Pollos Hermanos as a front ( seasons 3 -- present )    Recurring cast ( edit )  Introduced in season 1 ( edit )   Kerry Condon as Stacey Ehrmantraut , Mike 's daughter - in - law and the mother of Kaylee Ehrmantraut   Faith Healey ( season 1 ) and Abigail Zoe Lewis ( season 2 ) as Kaylee Ehrmantraut , Mike 's granddaughter   Eileen Fogarty as Mrs. Nguyen , owner of a nail salon which houses Jimmy 's law office ( and home ) in its back room   Peter Diseth as Bill Oakley , a deputy district attorney   Joe DeRosa as Dr. Caldera , a veterinarian who serves as Mike Ehrmantraut 's liaison to the criminal underworld   Dennis Boutsikaris as Rick Schweikart , the attorney for Sandpiper Crossing   Mark Proksch as Daniel `` Pryce '' Wormald , a small - time drug dealer who hires Mike as security   Brandon K. Hampton as Ernesto , Chuck 's assistant who works at HHM   Josh Fadem and Julian Bonfiglio as Joey Dixon and Sound Guy , film students who help Jimmy film various projects   Jeremy Shamos and Julie Ann Emery as Craig and Betsy Kettleman , a county treasurer and his wife , accused of embezzlement   Steven Levine and Daniel Spenser Levine as Lars and Cal Lindholm , twin skateboarders and small - time scam artists   Míriam Colón as Abuelita , Tuco 's grandmother and Hector 's mother   Barry Shabaka Henley as Detective Sanders , a Philadelphia cop who was formerly partnered with Mike on the force   Mel Rodriguez as Marco Pasternak , Jimmy 's best friend and partner - in - crime in Cicero , Illinois   Clea DuVall as Dr. Cruz , a doctor who treats Chuck and suspects his condition is psychosomatic   Jean Effron as Irene Landry , an elderly client of Jimmy McGill overcharged by the Sandpiper Crossing   Introduced in season 2 ( edit )   Ed Begley , Jr. as Clifford Main , law partner of Davis &amp; Main   Omar Maskati as Omar , Jimmy 's assistant at Davis &amp; Main   Jessie Ennis as Erin Brill , a lawyer at Davis &amp; Main who is ordered to shadow Jimmy   Vincent Fuentes as Arturo , a criminal associate of Hector Salamanca   Rex Linn as Kevin Wachtell , chairman of Mesa Verde Bank and Trust and a client of HHM and Kim   Cara Pifko as Paige Novick , senior legal counsel for Mesa Verde Bank and Trust and a friend of Kim   Ann Cusack as Rebecca Bois , Chuck 's ex-wife   Manuel Uriza as Ximenez Lecerda , an associate of Hector Salamanca   Hayley Holmes as Drama Girl , a film student who helps Jimmy on various projects   Introduced in season 3 ( edit )   Bonnie Bartlett as Helen   Kimberly Hebert Gregory as ADA Kyra Hay   Tamara Tunie as Anita , a member of Mike and Stacey 's support group   Breaking Bad characters ( edit )   Raymond Cruz as Tuco Salamanca , a ruthless , psychotic drug distributor in the South Valley ( seasons 1 -- 2 )   Cesar García as No - Doze , Tuco 's henchman ( season 1 )   Jesús Payán Jr. as Gonzo , Tuco 's henchman ( season 1 )   Kyle Bornheimer as Ken ( `` Ken Wins '' ) , an arrogant , self - absorbed stockbroker ( season 2 )   Stoney Westmoreland as Officer Saxton , an Albuquerque Police Department officer ( season 2 )   Jim Beaver as Lawson , a local weapons dealer in Albuquerque ( season 2 )   Maximino Arciniega as Domingo `` Krazy - 8 '' Molina , one of Tuco 's distributors ( seasons 2 -- present )   Mark Margolis as Hector Salamanca , Tuco 's uncle and high - ranking member of the cartel ( seasons 2 -- present )   Debrianna Mansini as Fran , a waitress at Loyola 's Diner ( season 2 )   Daniel and Luis Moncada as Leonel and Marco Salamanca , Tuco 's cousins and Hector 's nephews who are hitmen for the cartel ( season 2 , 4 -- present )   Jennifer Hasty as Stephanie Doswell , a real estate agent ( season 2 )   Tina Parker as Francesca Liddy , Jimmy 's receptionist ( season 3 )   Jeremiah Bitsui as Victor , Gus ' henchman ( season 3 -- present )   Ray Campbell as Tyrus Kitt , a henchman on Gus Fring 's payroll ( season 3 -- present )   JB Blanc as Dr. Barry Goodman , a doctor on Gus Fring 's payroll ( season 3 )   Steven Bauer as Don Eladio Vuente , the head of the Juarez drug cartel ( season 3 )   Javier Grajeda as Juan Bolsa , a high - level member of the Juárez drug cartel ( season 3 )   Lavell Crawford as Huell Babineaux , a professional pickpocket hired by Jimmy ( season 3 )   Laura Fraser as Lydia Rodarte - Quayle , a Madrigal Electromotive executive and associate of Gus Fring ( season 3 -- present )    Episodes ( edit )  Main article : List of Better Call Saul episodes    Season   Episodes   Originally aired     First aired   Last aired         10   February 8 , 2015 ( 2015 - 02 - 08 )   April 6 , 2015 ( 2015 - 04 - 06 )         10   February 15 , 2016 ( 2016 - 02 - 15 )   April 18 , 2016 ( 2016 - 04 - 18 )         10   April 10 , 2017 ( 2017 - 04 - 10 )   June 19 , 2017 ( 2017 - 06 - 19 )         10   August 6 , 2018 ( 2018 - 08 - 06 )   October 8 , 2018 ( 2018 - 10 - 08 )     Season 1 ( 2015 ) ( edit )  Main article : Better Call Saul ( season 1 )  Jimmy , serving as a public defender , inadvertently becomes entangled in an embezzlement case involving the Kettleman family , currently being represented by Chuck 's firm Hamlin Hamlin &amp; McGill . Jimmy schemes to become the Kettleman 's lawyer , which causes Kim , the associate at HHM overseeing the case , to be demoted . Jimmy gains attention from the case , finding himself taking up several elder law cases , and discovers that Sandpiper Retirement Homes have been mishandling their residents ' funds , leading to a potential multi-million class action lawsuit . Jimmy tries to offer this suit to HHM and to hire him , but Chuck secretly blocks this . Jimmy discovers Chuck 's involvement and instead ends up turning the case over to HHM for counsel 's fees and requiring Howard Hamlin to take over caring for Chuck . Later , Jimmy learns that the Sandpiper case has gotten too big and HHM is portioning part of the work to a second firm , Davis &amp; Main , who want to hire Jimmy due to his knowledge of the case .   Season 2 ( 2016 ) ( edit )  Main article : Better Call Saul ( season 2 )  Jimmy is put in charge of outreach for the Sandpiper case , but there are very few responses from potential class members from traditional mailings . Jimmy does improper face - to - face solicitation to draw in class members , but Chuck points out this runs afoul of state law . Instead , Jimmy creates his own ad targeted to seniors and airs it without getting its approval by his senior partners . While the ad draws in many clients , Jimmy is reprimanded , and Kim , who was aware Jimmy was making the ad , is further shunned and demoted down to document review at HHM . To try to regain her position , Kim runs through her old contacts , and eventually is able to arrange a meeting between HHM and Mesa Verde , a large regional bank . Though HHM secures the deal , Howard denies Kim any of the credit . Jimmy , who has quit out of Davis &amp; Main , leads Kim to quit HHM and establish her own firm co-located with his as to share the overhead costs . She nearly resecures the Mesa Verde deal herself but Chuck interjects to block her . In revenge , Jimmy makes falsified copies of all the deal papers with an incorrect address , which , when HHM and Mesa Verde present to the government , are forced to put the deal on hold ; Chuck becomes paranoid and is convinced Jimmy fakes it , while Kim is able to come in and take back Mesa Verde for herself . When Jimmy next visits Chuck , Chuck feigns illness to bring Jimmy to confess falsifying the documents , which he records on tape .   Season 3 ( 2017 ) ( edit )  Main article : Better Call Saul ( season 3 )  Chuck plots for Jimmy to learn of the existence of the taped conversation through Kim . Jimmy breaks open Chuck 's door and breaks the tape , but Chuck has Howard and a private investigator hiding nearby to witness this , allowing him to issue a criminal offence against Jimmy , which can include having his license to practice law pulled . At the hearing , Jimmy creates a situation where Chuck 's electromagnetic hypersensitivity was tested , putting his sanity into question ; Jimmy is only blocked from practicing law for a year . To try to cover his part of the shared office , Jimmy turns to producing commercials for local businesses under the name `` Saul Goodman '' , but Kim still is forced to take on extra clients to fully cover expenses , leading to sleep deprivation and causing her to crash her car and break her arm . HHM 's insurance learns of Chuck 's condition from the trial and threatens to raise their rates as a result , and while Chuck tries to work with a doctor to avoid his hypersensitivity symptoms , Howard ultimately buys Chuck out of his share of HHM , terminating him from the firm . Jimmy tries to make amends , but Chuck refuses to listen , and his hypersensitivity symptoms return . After a fit of tearing out the wiring from his home , Chuck purposely knocks a gas lantern over and starts a fire .   Talking Saul ( edit )   Talking Saul is a live aftershow hosted by Chris Hardwick , which features guests discussing episodes of Better Call Saul . The show uses the same format as Talking Dead , Talking Bad , and other similar aftershows also hosted by Hardwick . AMC announced that Talking Saul would air after the second season Better Call Saul premiere on February 15 , 2016 , and again after the second - season finale on April 18 , 2016 . It returned following the season 3 premiere and finale .   Season 1 ( 2016 ) ( edit )   These episodes discuss season two of Better Call Saul .     No . overall   No. in season   Episode discussed   Guests   Original air date   US viewers ( millions )         `` Switch ''   Vince Gilligan , Peter Gould , Bob Odenkirk and Rhea Seehorn   February 15 , 2016 ( 2016 - 02 - 15 )   0.744         `` Klick ''   Jonathan Banks , Vince Gilligan and Peter Gould   April 18 , 2016 ( 2016 - 04 - 18 )   0.641     Season 2 ( 2017 ) ( edit )   These episodes discuss season three of Better Call Saul .     No . overall   No. in season   Episode discussed   Guests   Original air date   US viewers ( millions )         `` Mabel ''   Vince Gilligan , Peter Gould , Jonathan Banks and Rhea Seehorn   April 10 , 2017 ( 2017 - 04 - 10 )   0.545         `` Lantern ''   Peter Gould , Patrick Fabian and Michael Mando ; Michael McKean via satellite   June 19 , 2017 ( 2017 - 06 - 19 )   0.589     Broadcast ( edit )   In December 2013 , Netflix announced that the entire first season would be available for streaming in the U.S. after the airing of the first - season finale , and in Latin America and Europe each episode would be available a few days after the episode airs in the U.S. However , the first season was not released on Netflix in the U.S. until February 1 , 2016 .   Netflix is the exclusive video - on - demand provider for the series and makes the content available in all its territories , except for Australia and New Zealand . In Australia , Better Call Saul premiered on the streaming service Stan on February 9 , 2015 , acting as the service 's flagship program . In New Zealand , the show is exclusive to the New Zealand - based subscription video - on - demand service , Lightbox . The episodes were available for viewing within three days of broadcast in the U.S.   In the United Kingdom and Ireland , the series was acquired by Netflix on December 16 , 2013 , and the first episode premiered on February 9 , 2015 , with the second episode released the following day . Every subsequent episode was released each week thereafter . In India , the series is broadcast on Colors Infinity within 24 hours of the U.S. broadcast .   The series premiere drew in 4.4 million and 4 million in the 18 -- 49 and 25 -- 54 demographics , respectively , and received an overall viewership of 6.9 million . This was the record for the highest - rated scripted series premiere in basic cable history , until it was surpassed later the same year by another AMC series , Fear the Walking Dead .   Reception ( edit )   Critical response ( edit )   Better Call Saul has received a very favorable response from critics .     Season   Critical response     Rotten Tomatoes   Metacritic         98 % ( 59 reviews )   78 ( 43 reviews )         97 % ( 29 reviews )   85 ( 18 reviews )         97 % ( 35 reviews )   87 ( 18 reviews )    Season 1 ( edit ) Main article : Better Call Saul ( season 1 ) § Reception  On Rotten Tomatoes , the first season has a rating of 98 % , based on 59 reviews , with an average rating of 8.2 / 10 . The site 's critical consensus reads , `` Better Call Saul is a quirky , dark character study that manages to stand on its own without being overshadowed by the series that spawned it . '' On the review aggregator website Metacritic , the first season has a score of 78 out of 100 , based on 43 critics , indicating `` generally favorable reviews '' .  Season 2 ( edit ) Main article : Better Call Saul ( season 2 ) § Reception  On Rotten Tomatoes , the second season has a score of 97 % , based on 29 reviews , with an average rating of 8.7 / 10 . The site 's critical consensus reads , `` Better Call Saul continues to tighten its hold on viewers with a batch of episodes that inject a surge of dramatic energy while showcasing the charms of its talented lead . '' On the review aggregator website Metacritic , the second season has a score of 85 out of 100 , based on 18 critics , indicating `` universal acclaim '' .  Season 3 ( edit ) Main article : Better Call Saul ( season 3 ) § Reception  On Rotten Tomatoes , the third season has an approval rating of 97 % based on 35 reviews , with an average rating of 8.82 / 10 . The site 's critical consensus is , `` Better Call Saul shows no signs of slipping in season 3 , as the introduction of more familiar faces causes the inevitable transformation of its lead to pick up exciting speed . '' On the review aggregator website Metacritic , the season has a score of 87 out of 100 , based on 18 critics , indicating `` universal acclaim '' .   Awards and accolades ( edit )     Year   Ceremony   Category   Recipients   Result     2015   2015 American Film Institute Awards   Television Programs of the Year   Better Call Saul   Won     5th Critics ' Choice Television Awards   Best Actor in a Drama Series   Bob Odenkirk   Won     Best Supporting Actor in a Drama Series   Jonathan Banks   Won     31st TCA Awards   Outstanding New Program   Better Call Saul   Won     Individual Achievement in Drama   Bob Odenkirk   Nominated     67th Primetime Creative Arts Emmy Awards   Outstanding Single - Camera Picture Editing for a Drama Series   Kelley Dixon ( `` Five - O '' )   Nominated     Kelley Dixon and Chris McCaleb ( `` Marco '' )   Nominated     Outstanding Sound Mixing for a Comedy or Drama Series   Phillip W. Palmer , Larry Benjamin , Kevin Valentine ( `` Marco '' )   Nominated     67th Primetime Emmy Awards   Outstanding Drama Series   Better Call Saul   Nominated     Outstanding Lead Actor in a Drama Series   Bob Odenkirk   Nominated     Outstanding Supporting Actor in a Drama Series   Jonathan Banks   Nominated     Outstanding Writing for a Drama Series   Gordon Smith ( `` Five - O '' )   Nominated     2016   73rd Golden Globe Awards   Best Actor -- Television Series Drama   Bob Odenkirk   Nominated     22nd Screen Actors Guild Awards   Outstanding Performance by a Male Actor in a Drama Series   Bob Odenkirk   Nominated     68th Writers Guild of America Awards   Drama Series   Better Call Saul   Nominated     New Series   Better Call Saul   Nominated     Episodic Drama   Vince Gilligan and Peter Gould ( `` Uno '' )   Won     20th Satellite Awards   Best Drama Series   Better Call Saul   Won     Best Actor in a Drama Series   Bob Odenkirk   Nominated     Best Supporting Actor in a Series , Miniseries or TV Film   Jonathan Banks   Nominated     Best Supporting Actress in a Series , Miniseries or TV Film   Rhea Seehorn   Won     32nd TCA Awards   Outstanding Achievement in Drama   Better Call Saul   Nominated     Individual Achievement in Drama   Bob Odenkirk   Nominated     68th Primetime Creative Arts Emmy Awards   Outstanding Single - Camera Picture Editing for a Drama Series   Kelley Dixon ( `` Rebecca '' )   Nominated     Kelley Dixon and Chris McCaleb ( `` Nailed '' )   Nominated     Outstanding Sound Mixing for a Comedy or Drama Series   Phillip W. Palmer , Larry Benjamin , Kevin Valentine ( `` Klick '' )   Nominated     Outstanding Special Visual Effects in a Supporting Role   For the episode `` Fifi ''   Nominated     68th Primetime Emmy Awards   Outstanding Drama Series   Better Call Saul   Nominated     Outstanding Lead Actor in a Drama Series   Bob Odenkirk   Nominated     Outstanding Supporting Actor in a Drama Series   Jonathan Banks   Nominated     7th Critics ' Choice Television Awards   Best Drama Series   Better Call Saul   Nominated     Best Actor in a Drama Series   Bob Odenkirk   Won     Best Supporting Actor in a Drama Series   Michael McKean   Nominated     2016 American Film Institute Awards   Television Programs of the Year   Better Call Saul   Won     2017   74th Golden Globe Awards   Best Actor -- Television Series Drama   Bob Odenkirk   Nominated     21st Satellite Awards   Best Drama Series   Better Call Saul   Nominated     Best Actor in a Drama Series   Bob Odenkirk   Nominated     Best Supporting Actor in a Series , Miniseries or TV Film   Jonathan Banks   Nominated     Best Supporting Actress in a Series , Miniseries or TV Film   Rhea Seehorn   Won     53rd Cinema Audio Society Awards   Outstanding Achievement in Sound Mixing for Television Series -- One Hour   Phillip W. Palmer , Larry B. Benjamin , Kevin Valentine , Matt Hovland and David Michael Torres ( `` Klick '' )   Nominated     69th Writers Guild of America Awards   Drama Series   Better Call Saul   Nominated     Episodic Drama   Gordon Smith ( `` Gloves - Off '' )   Nominated     Heather Marion and Vince Gilligan ( `` Klick '' )   Nominated     Thomas Schnauz ( `` Switch '' )   Nominated     Location Managers Guild Awards   Outstanding Locations in a Contemporary TV Series   Christian Diaz de Bedoya   Nominated     33rd TCA Awards   Outstanding Achievement in Drama   Better Call Saul   Nominated     69th Primetime Creative Arts Emmy Awards   Outstanding Music Supervision   Thomas Golubić ( `` Sunk Costs '' )   Nominated     Outstanding Single - Camera Picture Editing for a Drama Series   Skip Macdonald ( `` Chicanery '' )   Nominated     Kelley Dixon and Skip Macdonald ( `` Witness '' )   Nominated     Outstanding Sound Mixing for a Comedy or Drama Series ( One Hour )   Phillip W. Palmer , Larry Benjamin , Kevin Valentine ( `` Witness '' )   Nominated     69th Primetime Emmy Awards   Outstanding Drama Series   Better Call Saul   Nominated     Outstanding Lead Actor in a Drama Series   Bob Odenkirk   Nominated     Outstanding Supporting Actor in a Drama Series   Jonathan Banks   Nominated     Outstanding Directing for a Drama Series   Vince Gilligan ( `` Witness '' )   Nominated     Outstanding Writing for a Drama Series   Gordon Smith ( `` Chicanery '' )   Nominated     2018   75th Golden Globe Awards   Best Actor -- Television Series Drama   Bob Odenkirk   Nominated     24th Screen Actors Guild Awards   Outstanding Performance by a Male Actor in a Drama Series   Bob Odenkirk   Nominated     70th Writers Guild of America Awards   Drama Series   Better Call Saul   Nominated     Episodic Drama   Gordon Smith ( `` Chicanery '' )   Won     Heather Marion ( `` Slip '' )   Nominated     22nd Satellite Awards   Best Supporting Actor in a Series , Miniseries or TV Film   Michael McKean   Won     54th Cinema Audio Society Awards   Outstanding Achievement in Sound Mixing for Television Series -- One Hour   Phillip W. Palmer , Larry B. Benjamin , Kevin Valentine , Matt Hovland and David Michael Torres ( `` Lantern '' )   Nominated     44th Saturn Awards   Best Action - Thriller Television Series   Better Call Saul   Won     Best Supporting Actor on Television   Michael McKean   Won     Best Supporting Actress on Television   Rhea Seehorn   Won     Ratings ( edit )     Season   Timeslot ( ET )   Episodes   First aired   Last aired   Avg . viewers ( millions )     Date   Viewers ( millions )   Date   Viewers ( millions )       Monday 10 : 00 pm   10   February 8 , 2015   6.88   April 6 , 2015   2.53   3.21       10   February 15 , 2016   2.57   April 18 , 2016   2.26   2.16       10   April 10 , 2017   1.81   June 19 , 2017   1.85   1.64    Better Call Saul : U.S. viewers per episode ( millions )    Season   Ep. 1   Ep. 2   Ep. 3   Ep. 4   Ep. 5   Ep. 6   Ep. 7   Ep. 8   Ep. 9   Ep. 10         6.88   3.42   3.23   2.87   2.71   2.57   2.67   2.87   2.38   2.53         2.57   2.23   2.20   2.20   1.99   2.11   2.03   1.93   2.06   2.26         1.81   1.46   1.52   1.56   1.76   1.72   1.65   1.63   1.47   1.85    Source : Nielsen Media Research  Home Media ( edit )   The first season was released on Blu - ray and DVD in region 1 on November 10 , 2015 . The set contains all 10 episodes , plus audio commentaries for every episode , uncensored episodes , deleted sc</t>
  </si>
  <si>
    <t xml:space="preserve">when does better call saul come out on netflix</t>
  </si>
  <si>
    <t xml:space="preserve"> In December 2013 , Netflix announced that the entire first season would be available for streaming in the U.S. after the airing of the first - season finale , and in Latin America and Europe each episode would be available a few days after the episode airs in the U.S. However , the first season was not released on Netflix in the U.S. until February 1 , 2016 . </t>
  </si>
  <si>
    <r>
      <rPr>
        <sz val="11"/>
        <color rgb="FF000000"/>
        <rFont val="Calibri"/>
        <family val="0"/>
        <charset val="1"/>
      </rPr>
      <t xml:space="preserve">Beijing dialect - wikipedia  Beijing dialect  Jump to : navigation , search    Beijing dialect     Pekingese     </t>
    </r>
    <r>
      <rPr>
        <sz val="11"/>
        <color rgb="FF000000"/>
        <rFont val="Noto Sans CJK SC"/>
        <family val="2"/>
      </rPr>
      <t xml:space="preserve">北京 話 </t>
    </r>
    <r>
      <rPr>
        <sz val="11"/>
        <color rgb="FF000000"/>
        <rFont val="Calibri"/>
        <family val="0"/>
        <charset val="1"/>
      </rPr>
      <t xml:space="preserve">Běijīnghuà     Region   Beijing urban districts     Language family   Sino - Tibetan   Chinese   Mandarin   Beijing Mandarin   Beijing dialect             Language codes     ISO 639 - 3   --     ISO 639 - 6   bjjg     Linguist List   cmn - bej     Glottolog   beij1234     Linguasphere   79 - AAA - bb     This article contains IPA phonetic symbols . Without proper rendering support , you may see question marks , boxes , or other symbols instead of Unicode characters . For an introductory guide on IPA symbols , see Help : IPA .         This article contains Chinese text . Without proper rendering support , you may see question marks , boxes , or other symbols instead of Chinese characters .     The Beijing dialect ( simplified Chinese : </t>
    </r>
    <r>
      <rPr>
        <sz val="11"/>
        <color rgb="FF000000"/>
        <rFont val="Noto Sans CJK SC"/>
        <family val="2"/>
      </rPr>
      <t xml:space="preserve">北京 话 </t>
    </r>
    <r>
      <rPr>
        <sz val="11"/>
        <color rgb="FF000000"/>
        <rFont val="Calibri"/>
        <family val="0"/>
        <charset val="1"/>
      </rPr>
      <t xml:space="preserve">; traditional Chinese : </t>
    </r>
    <r>
      <rPr>
        <sz val="11"/>
        <color rgb="FF000000"/>
        <rFont val="Noto Sans CJK SC"/>
        <family val="2"/>
      </rPr>
      <t xml:space="preserve">北京 話 </t>
    </r>
    <r>
      <rPr>
        <sz val="11"/>
        <color rgb="FF000000"/>
        <rFont val="Calibri"/>
        <family val="0"/>
        <charset val="1"/>
      </rPr>
      <t xml:space="preserve">; pinyin : Běijīnghuà ) , also known as Pekingese , is the prestige dialect of Mandarin spoken in the urban area of Beijing , China . It is the phonological basis of Standard Chinese , which is the official language in the People 's Republic of China and Republic of China and one of the official languages in Singapore .   Although the Beijing dialect and Standard Chinese are similar , various differences generally make clear to Chinese speakers whether an individual is a native of Beijing speaking the local Beijing variant or is an individual speaking Standard Chinese .     Contents  ( hide )   1 Beijing Mandarin   2 Mutual intelligibility with other Mandarin dialects   3 Phonology   3.1 Influence of Beijing dialect phonology on Manchu     4 Vocabulary   5 Grammar   6 See also   7 References   8 External links      Beijing Mandarin ( edit )   In the classification used by the Language Atlas of China , the Beijing dialect is included in a dialect group called Beijing Mandarin ( simplified Chinese : </t>
    </r>
    <r>
      <rPr>
        <sz val="11"/>
        <color rgb="FF000000"/>
        <rFont val="Noto Sans CJK SC"/>
        <family val="2"/>
      </rPr>
      <t xml:space="preserve">北京 官话 </t>
    </r>
    <r>
      <rPr>
        <sz val="11"/>
        <color rgb="FF000000"/>
        <rFont val="Calibri"/>
        <family val="0"/>
        <charset val="1"/>
      </rPr>
      <t xml:space="preserve">; traditional Chinese : </t>
    </r>
    <r>
      <rPr>
        <sz val="11"/>
        <color rgb="FF000000"/>
        <rFont val="Noto Sans CJK SC"/>
        <family val="2"/>
      </rPr>
      <t xml:space="preserve">北京 官 話 </t>
    </r>
    <r>
      <rPr>
        <sz val="11"/>
        <color rgb="FF000000"/>
        <rFont val="Calibri"/>
        <family val="0"/>
        <charset val="1"/>
      </rPr>
      <t xml:space="preserve">; pinyin : Běijīng Guānhuà ) , distinguished from other Mandarin subgroups by the tonal reflexes of syllables that had Middle Chinese stop codas ( the so - called entering tone category ) . In the Atlas , Beijing Mandarin is divided into four subgroups :    Jīngshī ( </t>
    </r>
    <r>
      <rPr>
        <sz val="11"/>
        <color rgb="FF000000"/>
        <rFont val="Noto Sans CJK SC"/>
        <family val="2"/>
      </rPr>
      <t xml:space="preserve">京师 </t>
    </r>
    <r>
      <rPr>
        <sz val="11"/>
        <color rgb="FF000000"/>
        <rFont val="Calibri"/>
        <family val="0"/>
        <charset val="1"/>
      </rPr>
      <t xml:space="preserve">) , covering the urban area of the capital .   Huái -- Chéng ( </t>
    </r>
    <r>
      <rPr>
        <sz val="11"/>
        <color rgb="FF000000"/>
        <rFont val="Noto Sans CJK SC"/>
        <family val="2"/>
      </rPr>
      <t xml:space="preserve">怀 承 </t>
    </r>
    <r>
      <rPr>
        <sz val="11"/>
        <color rgb="FF000000"/>
        <rFont val="Calibri"/>
        <family val="0"/>
        <charset val="1"/>
      </rPr>
      <t xml:space="preserve">) , on the southeast edge of Beijing around Langfang , Huairou District and other northern districts of the municipality , and the northern part of Hebei , including the city of Chengde .   Cháo -- Fēng ( </t>
    </r>
    <r>
      <rPr>
        <sz val="11"/>
        <color rgb="FF000000"/>
        <rFont val="Noto Sans CJK SC"/>
        <family val="2"/>
      </rPr>
      <t xml:space="preserve">朝 峰 </t>
    </r>
    <r>
      <rPr>
        <sz val="11"/>
        <color rgb="FF000000"/>
        <rFont val="Calibri"/>
        <family val="0"/>
        <charset val="1"/>
      </rPr>
      <t xml:space="preserve">) , spoken in a strip between the Huai -- Cheng dialects and the Northeast Mandarin area , and including the cities of Chaoyang and Chifeng .   Shí -- Kè ( </t>
    </r>
    <r>
      <rPr>
        <sz val="11"/>
        <color rgb="FF000000"/>
        <rFont val="Noto Sans CJK SC"/>
        <family val="2"/>
      </rPr>
      <t xml:space="preserve">石 克 </t>
    </r>
    <r>
      <rPr>
        <sz val="11"/>
        <color rgb="FF000000"/>
        <rFont val="Calibri"/>
        <family val="0"/>
        <charset val="1"/>
      </rPr>
      <t xml:space="preserve">) or northern Xinjiang , including the cities of Shihezi and Karamay .    In the second edition of the Atlas published in 2012 , the Shí -- Kè dialects are re-allocated to the Northern Xinjiang subgroup of Lanyin Mandarin , and the Jīngshī and Huái -- Chéng subgroups are demoted to clusters of a new Jīng -- Chéng ( </t>
    </r>
    <r>
      <rPr>
        <sz val="11"/>
        <color rgb="FF000000"/>
        <rFont val="Noto Sans CJK SC"/>
        <family val="2"/>
      </rPr>
      <t xml:space="preserve">京 承 </t>
    </r>
    <r>
      <rPr>
        <sz val="11"/>
        <color rgb="FF000000"/>
        <rFont val="Calibri"/>
        <family val="0"/>
        <charset val="1"/>
      </rPr>
      <t xml:space="preserve">) subgroup .   Mutual intelligibility with other Mandarin dialects ( edit )   Dungan language speakers like Iasyr Shivaza and others have reported that Chinese who speak Beijing dialect can understand Dungan , but Dungans could not understand the Beijing Mandarin .   Phonology ( edit )       This article contains IPA phonetic symbols . Without proper rendering support , you may see question marks , boxes , or other symbols instead of Unicode characters . For an introductory guide on IPA symbols , see Help : IPA .     In fundamental structure , the phonology of the Beijing dialect and Standard Chinese are almost identical . In part , this is because the pronunciation of Standard Chinese was based on Beijing pronunciation . ( See Standard Chinese for its phonology charts ; the same basic structure applies to the Beijing dialect . )   However , some striking differences exist . Most prominent is the proliferation of rhotic vowels . All rhotic vowels are the result of the use of the - </t>
    </r>
    <r>
      <rPr>
        <sz val="11"/>
        <color rgb="FF000000"/>
        <rFont val="Noto Sans CJK SC"/>
        <family val="2"/>
      </rPr>
      <t xml:space="preserve">儿 </t>
    </r>
    <r>
      <rPr>
        <sz val="11"/>
        <color rgb="FF000000"/>
        <rFont val="Calibri"/>
        <family val="0"/>
        <charset val="1"/>
      </rPr>
      <t xml:space="preserve">/ - ɚ / , a noun suffix , except for a few words pronounced ( ɐɚ̯ ) that do not have this suffix . In Standard Chinese , these also occur but much less often than they appear in Beijing dialect . This phenomenon is known as érhuà ( </t>
    </r>
    <r>
      <rPr>
        <sz val="11"/>
        <color rgb="FF000000"/>
        <rFont val="Noto Sans CJK SC"/>
        <family val="2"/>
      </rPr>
      <t xml:space="preserve">儿 化 </t>
    </r>
    <r>
      <rPr>
        <sz val="11"/>
        <color rgb="FF000000"/>
        <rFont val="Calibri"/>
        <family val="0"/>
        <charset val="1"/>
      </rPr>
      <t xml:space="preserve">) or rhotacization , as is considered one of the iconic characteristics of Beijing Mandarin .   When / w / occurs in syllable - initial position , many speakers use ( ʋ ) before vowels other than ( o ) as in </t>
    </r>
    <r>
      <rPr>
        <sz val="11"/>
        <color rgb="FF000000"/>
        <rFont val="Noto Sans CJK SC"/>
        <family val="2"/>
      </rPr>
      <t xml:space="preserve">我 </t>
    </r>
    <r>
      <rPr>
        <sz val="11"/>
        <color rgb="FF000000"/>
        <rFont val="Calibri"/>
        <family val="0"/>
        <charset val="1"/>
      </rPr>
      <t xml:space="preserve">wǒ , and ( u ) as in </t>
    </r>
    <r>
      <rPr>
        <sz val="11"/>
        <color rgb="FF000000"/>
        <rFont val="Noto Sans CJK SC"/>
        <family val="2"/>
      </rPr>
      <t xml:space="preserve">五 </t>
    </r>
    <r>
      <rPr>
        <sz val="11"/>
        <color rgb="FF000000"/>
        <rFont val="Calibri"/>
        <family val="0"/>
        <charset val="1"/>
      </rPr>
      <t xml:space="preserve">wu , e.g. </t>
    </r>
    <r>
      <rPr>
        <sz val="11"/>
        <color rgb="FF000000"/>
        <rFont val="Noto Sans CJK SC"/>
        <family val="2"/>
      </rPr>
      <t xml:space="preserve">尾巴 </t>
    </r>
    <r>
      <rPr>
        <sz val="11"/>
        <color rgb="FF000000"/>
        <rFont val="Calibri"/>
        <family val="0"/>
        <charset val="1"/>
      </rPr>
      <t xml:space="preserve">wěiba ( ʋei̯ ˨ pa ˦ ) .   Moreover , Beijing dialect has a few phonetic reductions that are usually considered too `` colloquial '' for use in Standard Chinese . For example , in fast speech , initial consonants go through lenition if they are in an unstressed syllable : pinyin ⟨ zh ch sh ⟩ / tʂ tʂh ʂ / become ⟨ r ⟩ / ɻ / , so </t>
    </r>
    <r>
      <rPr>
        <sz val="11"/>
        <color rgb="FF000000"/>
        <rFont val="Noto Sans CJK SC"/>
        <family val="2"/>
      </rPr>
      <t xml:space="preserve">不 知道 </t>
    </r>
    <r>
      <rPr>
        <sz val="11"/>
        <color rgb="FF000000"/>
        <rFont val="Calibri"/>
        <family val="0"/>
        <charset val="1"/>
      </rPr>
      <t xml:space="preserve">bùzhīdào `` do n't know '' can sound like bùrdào ; ⟨ jqx ⟩ / tɕ tɕh ɕ / become ⟨ y ⟩ / j / , so </t>
    </r>
    <r>
      <rPr>
        <sz val="11"/>
        <color rgb="FF000000"/>
        <rFont val="Noto Sans CJK SC"/>
        <family val="2"/>
      </rPr>
      <t xml:space="preserve">赶紧 去 </t>
    </r>
    <r>
      <rPr>
        <sz val="11"/>
        <color rgb="FF000000"/>
        <rFont val="Calibri"/>
        <family val="0"/>
        <charset val="1"/>
      </rPr>
      <t xml:space="preserve">gǎnjǐnqù `` go quickly '' can sound like gǎnyǐnqù ; pinyin ⟨ bdg ⟩ / ptk / go through voicing to become ( bd ɡ ) ; similar changes also occur on other consonants .   Some of these changes yield syllables that violate the syllable structure of Standard Chinese , such as </t>
    </r>
    <r>
      <rPr>
        <sz val="11"/>
        <color rgb="FF000000"/>
        <rFont val="Noto Sans CJK SC"/>
        <family val="2"/>
      </rPr>
      <t xml:space="preserve">大 柵欄 </t>
    </r>
    <r>
      <rPr>
        <sz val="11"/>
        <color rgb="FF000000"/>
        <rFont val="Calibri"/>
        <family val="0"/>
        <charset val="1"/>
      </rPr>
      <t xml:space="preserve">Dà Zhàlán Street , which locals pronounce as Dàshlàr .   The tones of Beijing dialect tend to be more exaggerated than Standard Chinese . In Standard Chinese , the four tones are high flat , high rising , low dipping , and falling ; in Beijing dialect , the first two tones are higher , the third one dips more prominently , and the fourth one falls more .   Influence of Beijing dialect phonology on Manchu ( edit )  Many of the Manchu words are now pronounced with some Chinese peculiarities of pronunciation , so k before i and e = ch ' , g before i and e = ch , h and s before i = hs , etc . H before a , o , u , ū , is the guttural Scotch or German ch . A Manchu Grammar : With Analysed Texts , Paul Georg von Möllendorff , p. 1 .  The Chinese Northern Mandarin dialect spoken in Beijing had a major impact on the phonology of the dialect of Manchu spoken in Beijing , and since Manchu phonology was transcribed into Chinese and European sources based on the sinified pronunciation of Manchus from Beijing , the original authentic Manchu pronunciation is unknown to scholars .   The Manchus that lived in Peking ( Beijing ) were influenced by the Chinese dialect spoken in the area to the point where pronouncing Manchu sounds was hard for them , and they pronounced Manchu according to Chinese phonetics , while in contrast , the Manchus of Aigun ( in Heilongjiang ) could both pronounce Manchu sounds properly and mimick the sinified pronunciation of Manchus in Peking ( Beijing ) , since they learned the Pekinese ( Beijing ) pronunciation from either studying in Peking or from officials sent to Aigun from Beijing , and they could tell them apart , using the Chinese influenced Pekinese pronunciation when demonstrating that they were better educated or their superior stature in society .   Vocabulary ( edit )   Beijing dialect typically uses many words that are considered slang , and therefore occur much less or not at all in Standard Chinese . Speakers not native to Beijing may have trouble understanding many or most of these . Many of such slang words employ the rhotic suffix `` - r '' , which is known as erhua . Examples include :    </t>
    </r>
    <r>
      <rPr>
        <sz val="11"/>
        <color rgb="FF000000"/>
        <rFont val="Noto Sans CJK SC"/>
        <family val="2"/>
      </rPr>
      <t xml:space="preserve">倍 儿 </t>
    </r>
    <r>
      <rPr>
        <sz val="11"/>
        <color rgb="FF000000"/>
        <rFont val="Calibri"/>
        <family val="0"/>
        <charset val="1"/>
      </rPr>
      <t xml:space="preserve">bèir -- very , especially ( referring to manner or attribute )   </t>
    </r>
    <r>
      <rPr>
        <sz val="11"/>
        <color rgb="FF000000"/>
        <rFont val="Noto Sans CJK SC"/>
        <family val="2"/>
      </rPr>
      <t xml:space="preserve">别 价 </t>
    </r>
    <r>
      <rPr>
        <sz val="11"/>
        <color rgb="FF000000"/>
        <rFont val="Calibri"/>
        <family val="0"/>
        <charset val="1"/>
      </rPr>
      <t xml:space="preserve">biéjie -- do not ; usually followed by </t>
    </r>
    <r>
      <rPr>
        <sz val="11"/>
        <color rgb="FF000000"/>
        <rFont val="Noto Sans CJK SC"/>
        <family val="2"/>
      </rPr>
      <t xml:space="preserve">呀 </t>
    </r>
    <r>
      <rPr>
        <sz val="11"/>
        <color rgb="FF000000"/>
        <rFont val="Calibri"/>
        <family val="0"/>
        <charset val="1"/>
      </rPr>
      <t xml:space="preserve">if used as an imperative ( usually used when rejecting a favor or politeness from close friends )   </t>
    </r>
    <r>
      <rPr>
        <sz val="11"/>
        <color rgb="FF000000"/>
        <rFont val="Noto Sans CJK SC"/>
        <family val="2"/>
      </rPr>
      <t xml:space="preserve">搓 火 儿 </t>
    </r>
    <r>
      <rPr>
        <sz val="11"/>
        <color rgb="FF000000"/>
        <rFont val="Calibri"/>
        <family val="0"/>
        <charset val="1"/>
      </rPr>
      <t xml:space="preserve">cuōhuǒr -- to be angry   </t>
    </r>
    <r>
      <rPr>
        <sz val="11"/>
        <color rgb="FF000000"/>
        <rFont val="Noto Sans CJK SC"/>
        <family val="2"/>
      </rPr>
      <t xml:space="preserve">颠 儿 了 </t>
    </r>
    <r>
      <rPr>
        <sz val="11"/>
        <color rgb="FF000000"/>
        <rFont val="Calibri"/>
        <family val="0"/>
        <charset val="1"/>
      </rPr>
      <t xml:space="preserve">diārle -- to leave ; to run away   </t>
    </r>
    <r>
      <rPr>
        <sz val="11"/>
        <color rgb="FF000000"/>
        <rFont val="Noto Sans CJK SC"/>
        <family val="2"/>
      </rPr>
      <t xml:space="preserve">二 把 刀 </t>
    </r>
    <r>
      <rPr>
        <sz val="11"/>
        <color rgb="FF000000"/>
        <rFont val="Calibri"/>
        <family val="0"/>
        <charset val="1"/>
      </rPr>
      <t xml:space="preserve">èrbǎdāo -- a person with limited abilities , klutz   </t>
    </r>
    <r>
      <rPr>
        <sz val="11"/>
        <color rgb="FF000000"/>
        <rFont val="Noto Sans CJK SC"/>
        <family val="2"/>
      </rPr>
      <t xml:space="preserve">撒丫子 </t>
    </r>
    <r>
      <rPr>
        <sz val="11"/>
        <color rgb="FF000000"/>
        <rFont val="Calibri"/>
        <family val="0"/>
        <charset val="1"/>
      </rPr>
      <t xml:space="preserve">sayazi -- to let go on feet , to go , leave .   </t>
    </r>
    <r>
      <rPr>
        <sz val="11"/>
        <color rgb="FF000000"/>
        <rFont val="Noto Sans CJK SC"/>
        <family val="2"/>
      </rPr>
      <t xml:space="preserve">怂 </t>
    </r>
    <r>
      <rPr>
        <sz val="11"/>
        <color rgb="FF000000"/>
        <rFont val="Calibri"/>
        <family val="0"/>
        <charset val="1"/>
      </rPr>
      <t xml:space="preserve">sóng / </t>
    </r>
    <r>
      <rPr>
        <sz val="11"/>
        <color rgb="FF000000"/>
        <rFont val="Noto Sans CJK SC"/>
        <family val="2"/>
      </rPr>
      <t xml:space="preserve">蔫 儿 </t>
    </r>
    <r>
      <rPr>
        <sz val="11"/>
        <color rgb="FF000000"/>
        <rFont val="Calibri"/>
        <family val="0"/>
        <charset val="1"/>
      </rPr>
      <t xml:space="preserve">niār -- no backbone , spiritless   </t>
    </r>
    <r>
      <rPr>
        <sz val="11"/>
        <color rgb="FF000000"/>
        <rFont val="Noto Sans CJK SC"/>
        <family val="2"/>
      </rPr>
      <t xml:space="preserve">消停 </t>
    </r>
    <r>
      <rPr>
        <sz val="11"/>
        <color rgb="FF000000"/>
        <rFont val="Calibri"/>
        <family val="0"/>
        <charset val="1"/>
      </rPr>
      <t xml:space="preserve">xiāoting -- to finally and thankfully become quiet and calm   </t>
    </r>
    <r>
      <rPr>
        <sz val="11"/>
        <color rgb="FF000000"/>
        <rFont val="Noto Sans CJK SC"/>
        <family val="2"/>
      </rPr>
      <t xml:space="preserve">辙 </t>
    </r>
    <r>
      <rPr>
        <sz val="11"/>
        <color rgb="FF000000"/>
        <rFont val="Calibri"/>
        <family val="0"/>
        <charset val="1"/>
      </rPr>
      <t xml:space="preserve">zhé -- way ( to do something ) ; equivalent to Standard Chinese </t>
    </r>
    <r>
      <rPr>
        <sz val="11"/>
        <color rgb="FF000000"/>
        <rFont val="Noto Sans CJK SC"/>
        <family val="2"/>
      </rPr>
      <t xml:space="preserve">办法   褶子 了 </t>
    </r>
    <r>
      <rPr>
        <sz val="11"/>
        <color rgb="FF000000"/>
        <rFont val="Calibri"/>
        <family val="0"/>
        <charset val="1"/>
      </rPr>
      <t xml:space="preserve">zhezile -- ruined ( especially things to do )   </t>
    </r>
    <r>
      <rPr>
        <sz val="11"/>
        <color rgb="FF000000"/>
        <rFont val="Noto Sans CJK SC"/>
        <family val="2"/>
      </rPr>
      <t xml:space="preserve">上 </t>
    </r>
    <r>
      <rPr>
        <sz val="11"/>
        <color rgb="FF000000"/>
        <rFont val="Calibri"/>
        <family val="0"/>
        <charset val="1"/>
      </rPr>
      <t xml:space="preserve">shang - often used in place of </t>
    </r>
    <r>
      <rPr>
        <sz val="11"/>
        <color rgb="FF000000"/>
        <rFont val="Noto Sans CJK SC"/>
        <family val="2"/>
      </rPr>
      <t xml:space="preserve">去 </t>
    </r>
    <r>
      <rPr>
        <sz val="11"/>
        <color rgb="FF000000"/>
        <rFont val="Calibri"/>
        <family val="0"/>
        <charset val="1"/>
      </rPr>
      <t xml:space="preserve">, meaning `` to go '' .   </t>
    </r>
    <r>
      <rPr>
        <sz val="11"/>
        <color rgb="FF000000"/>
        <rFont val="Noto Sans CJK SC"/>
        <family val="2"/>
      </rPr>
      <t xml:space="preserve">搁 </t>
    </r>
    <r>
      <rPr>
        <sz val="11"/>
        <color rgb="FF000000"/>
        <rFont val="Calibri"/>
        <family val="0"/>
        <charset val="1"/>
      </rPr>
      <t xml:space="preserve">ge - often used in place of </t>
    </r>
    <r>
      <rPr>
        <sz val="11"/>
        <color rgb="FF000000"/>
        <rFont val="Noto Sans CJK SC"/>
        <family val="2"/>
      </rPr>
      <t xml:space="preserve">放 </t>
    </r>
    <r>
      <rPr>
        <sz val="11"/>
        <color rgb="FF000000"/>
        <rFont val="Calibri"/>
        <family val="0"/>
        <charset val="1"/>
      </rPr>
      <t xml:space="preserve">, meaning `` to place '' .    Some Beijing phrases may be somewhat disseminated outside Beijing :    </t>
    </r>
    <r>
      <rPr>
        <sz val="11"/>
        <color rgb="FF000000"/>
        <rFont val="Noto Sans CJK SC"/>
        <family val="2"/>
      </rPr>
      <t xml:space="preserve">抠门 儿 </t>
    </r>
    <r>
      <rPr>
        <sz val="11"/>
        <color rgb="FF000000"/>
        <rFont val="Calibri"/>
        <family val="0"/>
        <charset val="1"/>
      </rPr>
      <t xml:space="preserve">kōumér -- stingy , miserly ( may be used even outside Beijing )   </t>
    </r>
    <r>
      <rPr>
        <sz val="11"/>
        <color rgb="FF000000"/>
        <rFont val="Noto Sans CJK SC"/>
        <family val="2"/>
      </rPr>
      <t xml:space="preserve">劳驾 </t>
    </r>
    <r>
      <rPr>
        <sz val="11"/>
        <color rgb="FF000000"/>
        <rFont val="Calibri"/>
        <family val="0"/>
        <charset val="1"/>
      </rPr>
      <t xml:space="preserve">láojia -- `` Excuse me '' ; heard often on public transportation , from Classical Chinese   </t>
    </r>
    <r>
      <rPr>
        <sz val="11"/>
        <color rgb="FF000000"/>
        <rFont val="Noto Sans CJK SC"/>
        <family val="2"/>
      </rPr>
      <t xml:space="preserve">溜达 </t>
    </r>
    <r>
      <rPr>
        <sz val="11"/>
        <color rgb="FF000000"/>
        <rFont val="Calibri"/>
        <family val="0"/>
        <charset val="1"/>
      </rPr>
      <t xml:space="preserve">liūda -- to stroll about ; equivalent to Standard Chinese </t>
    </r>
    <r>
      <rPr>
        <sz val="11"/>
        <color rgb="FF000000"/>
        <rFont val="Noto Sans CJK SC"/>
        <family val="2"/>
      </rPr>
      <t xml:space="preserve">逛街 </t>
    </r>
    <r>
      <rPr>
        <sz val="11"/>
        <color rgb="FF000000"/>
        <rFont val="Calibri"/>
        <family val="0"/>
        <charset val="1"/>
      </rPr>
      <t xml:space="preserve">or </t>
    </r>
    <r>
      <rPr>
        <sz val="11"/>
        <color rgb="FF000000"/>
        <rFont val="Noto Sans CJK SC"/>
        <family val="2"/>
      </rPr>
      <t xml:space="preserve">散步    </t>
    </r>
    <r>
      <rPr>
        <sz val="11"/>
        <color rgb="FF000000"/>
        <rFont val="Calibri"/>
        <family val="0"/>
        <charset val="1"/>
      </rPr>
      <t xml:space="preserve">Note that some of the slang are considered to be tuhua ( </t>
    </r>
    <r>
      <rPr>
        <sz val="11"/>
        <color rgb="FF000000"/>
        <rFont val="Noto Sans CJK SC"/>
        <family val="2"/>
      </rPr>
      <t xml:space="preserve">土话 </t>
    </r>
    <r>
      <rPr>
        <sz val="11"/>
        <color rgb="FF000000"/>
        <rFont val="Calibri"/>
        <family val="0"/>
        <charset val="1"/>
      </rPr>
      <t xml:space="preserve">) , or `` base '' or `` uneducated '' language , that are carryovers from an older generation and are no longer used amongst more educated speakers , for example :    </t>
    </r>
    <r>
      <rPr>
        <sz val="11"/>
        <color rgb="FF000000"/>
        <rFont val="Noto Sans CJK SC"/>
        <family val="2"/>
      </rPr>
      <t xml:space="preserve">起 小儿 </t>
    </r>
    <r>
      <rPr>
        <sz val="11"/>
        <color rgb="FF000000"/>
        <rFont val="Calibri"/>
        <family val="0"/>
        <charset val="1"/>
      </rPr>
      <t xml:space="preserve">qíxiǎor -- since a young age , similar to </t>
    </r>
    <r>
      <rPr>
        <sz val="11"/>
        <color rgb="FF000000"/>
        <rFont val="Noto Sans CJK SC"/>
        <family val="2"/>
      </rPr>
      <t xml:space="preserve">打 小儿 </t>
    </r>
    <r>
      <rPr>
        <sz val="11"/>
        <color rgb="FF000000"/>
        <rFont val="Calibri"/>
        <family val="0"/>
        <charset val="1"/>
      </rPr>
      <t xml:space="preserve">dǎxiǎor , which is more often used by the younger generation   </t>
    </r>
    <r>
      <rPr>
        <sz val="11"/>
        <color rgb="FF000000"/>
        <rFont val="Noto Sans CJK SC"/>
        <family val="2"/>
      </rPr>
      <t xml:space="preserve">晕 菜 </t>
    </r>
    <r>
      <rPr>
        <sz val="11"/>
        <color rgb="FF000000"/>
        <rFont val="Calibri"/>
        <family val="0"/>
        <charset val="1"/>
      </rPr>
      <t xml:space="preserve">yūncài -- to be disoriented , to be confused , to be bewildered    Others may be viewed as neologistic expressions used among younger speakers and in `` trendier '' circles :    </t>
    </r>
    <r>
      <rPr>
        <sz val="11"/>
        <color rgb="FF000000"/>
        <rFont val="Noto Sans CJK SC"/>
        <family val="2"/>
      </rPr>
      <t xml:space="preserve">爽 </t>
    </r>
    <r>
      <rPr>
        <sz val="11"/>
        <color rgb="FF000000"/>
        <rFont val="Calibri"/>
        <family val="0"/>
        <charset val="1"/>
      </rPr>
      <t xml:space="preserve">shuǎng -- cool ( in relation to a matter ) ; cf . </t>
    </r>
    <r>
      <rPr>
        <sz val="11"/>
        <color rgb="FF000000"/>
        <rFont val="Noto Sans CJK SC"/>
        <family val="2"/>
      </rPr>
      <t xml:space="preserve">酷 </t>
    </r>
    <r>
      <rPr>
        <sz val="11"/>
        <color rgb="FF000000"/>
        <rFont val="Calibri"/>
        <family val="0"/>
        <charset val="1"/>
      </rPr>
      <t xml:space="preserve">( kù ) ( describes a person )   </t>
    </r>
    <r>
      <rPr>
        <sz val="11"/>
        <color rgb="FF000000"/>
        <rFont val="Noto Sans CJK SC"/>
        <family val="2"/>
      </rPr>
      <t xml:space="preserve">套 瓷 儿 </t>
    </r>
    <r>
      <rPr>
        <sz val="11"/>
        <color rgb="FF000000"/>
        <rFont val="Calibri"/>
        <family val="0"/>
        <charset val="1"/>
      </rPr>
      <t xml:space="preserve">tàocír -- to toss into the hoop ; used of basketball   </t>
    </r>
    <r>
      <rPr>
        <sz val="11"/>
        <color rgb="FF000000"/>
        <rFont val="Noto Sans CJK SC"/>
        <family val="2"/>
      </rPr>
      <t xml:space="preserve">小 蜜 </t>
    </r>
    <r>
      <rPr>
        <sz val="11"/>
        <color rgb="FF000000"/>
        <rFont val="Calibri"/>
        <family val="0"/>
        <charset val="1"/>
      </rPr>
      <t xml:space="preserve">xiǎomì -- special female friend ( negative connotation )    Grammar ( edit )   The Beijing dialect has been studied by linguists including Joseph Edkins and Robert Morrison . There are important dissimilarities between Standard Mandarin and Beijing dialect Mandarin even as Beijing Mandarin 's phonology is held to be the same as Standard Mandarin 's . 2 Both southern and Mandarin features of syntax were mixed into Standard Mandarin while northern Mandarin is the main basis of Beijing Mandarin and this sets the syntax of Standard Mandarin and Beijing Mandarin apart .   The grammar of the Beijing dialect utilizes colloquial expressions differently from Standard Chinese . In general , Standard Chinese is influenced by Classical Chinese , which makes it more condensed and concise ; Beijing dialect can therefore seem more longwinded ( though note the generally faster speaking rate and phonetic reductions of colloquial Beijing speech ) .   An example :    Standard Chinese :   </t>
    </r>
    <r>
      <rPr>
        <sz val="11"/>
        <color rgb="FF000000"/>
        <rFont val="Noto Sans CJK SC"/>
        <family val="2"/>
      </rPr>
      <t xml:space="preserve">今天 会 下 雨 </t>
    </r>
    <r>
      <rPr>
        <sz val="11"/>
        <color rgb="FF000000"/>
        <rFont val="Calibri"/>
        <family val="0"/>
        <charset val="1"/>
      </rPr>
      <t xml:space="preserve">, </t>
    </r>
    <r>
      <rPr>
        <sz val="11"/>
        <color rgb="FF000000"/>
        <rFont val="Noto Sans CJK SC"/>
        <family val="2"/>
      </rPr>
      <t xml:space="preserve">所以 出门 的 时候 要 记得 带 雨伞 </t>
    </r>
    <r>
      <rPr>
        <sz val="11"/>
        <color rgb="FF000000"/>
        <rFont val="Calibri"/>
        <family val="0"/>
        <charset val="1"/>
      </rPr>
      <t xml:space="preserve">.   Jīntiān huì xiàyǔ , suǒyǐ chūmén de shíhou yào jìde dài yǔsan .   Translation : It is going to rain today , so remember to bring an umbrella when you go out .     Beijing dialect :   </t>
    </r>
    <r>
      <rPr>
        <sz val="11"/>
        <color rgb="FF000000"/>
        <rFont val="Noto Sans CJK SC"/>
        <family val="2"/>
      </rPr>
      <t xml:space="preserve">今 儿 得 下 雨 </t>
    </r>
    <r>
      <rPr>
        <sz val="11"/>
        <color rgb="FF000000"/>
        <rFont val="Calibri"/>
        <family val="0"/>
        <charset val="1"/>
      </rPr>
      <t xml:space="preserve">, ( </t>
    </r>
    <r>
      <rPr>
        <sz val="11"/>
        <color rgb="FF000000"/>
        <rFont val="Noto Sans CJK SC"/>
        <family val="2"/>
      </rPr>
      <t xml:space="preserve">所以 </t>
    </r>
    <r>
      <rPr>
        <sz val="11"/>
        <color rgb="FF000000"/>
        <rFont val="Calibri"/>
        <family val="0"/>
        <charset val="1"/>
      </rPr>
      <t xml:space="preserve">) </t>
    </r>
    <r>
      <rPr>
        <sz val="11"/>
        <color rgb="FF000000"/>
        <rFont val="Noto Sans CJK SC"/>
        <family val="2"/>
      </rPr>
      <t xml:space="preserve">出门 儿 时候 记 着 带 雨伞 </t>
    </r>
    <r>
      <rPr>
        <sz val="11"/>
        <color rgb="FF000000"/>
        <rFont val="Calibri"/>
        <family val="0"/>
        <charset val="1"/>
      </rPr>
      <t xml:space="preserve">!   Jīnr děi xiàyǔ , ( suǒyǐ ) chūménr shíhòu jìzhe dài yǔsan !     Under the influence of the Beijing dialect 's phonetic reductions :   Jīr děi xiàyǔ , ( suǒyǐ ) chūmér ríhòu jìr dài yǔsan !      See also ( edit )    China portal   Journalism portal     List of Chinese dialects    References ( edit )    Jump up ^ Hammarström , Harald ; Forkel , Robert ; Haspelmath , Martin , eds. ( 2017 ) . `` Beijing Mandarin '' . Glottolog 3.0 . Jena , Germany : Max Planck Institute for the Science of Human History .   Jump up ^ Beijing dialect . WordNet 3.0 , 2006 by Princeton University .   Jump up ^ Yan , Margaret Mian ( 2006 ) . Introduction to Chinese Dialectology . LINCOM Europa . p. 61 . ISBN 978 - 3 - 89586 - 629 - 6 .   Jump up ^ Kurpaska , Maria ( 2010 ) . Chinese Language ( s ) : A Look Through the Prism of `` The Great Dictionary of Modern Chinese Dialects '' . Walter de Gruyter . pp. 64 -- 65 . ISBN 978 - 3 - 11 - 021914 - 2 .   Jump up ^ Wurm , Stephen Adolphe ; Li , Rong ; Baumann , Theo ; Lee , Mei W. ( 1987 ) . Language Atlas of China . Longman . Maps B2 and B5 . ISBN 978 - 962 - 359 - 085 - 3 .   Jump up ^ Chinese Academy of Social Sciences ( 2012 ) . Zhōngguó yǔyán dìtú jí ( dì 2 bǎn ) : Hànyǔ fāngyán juǎn </t>
    </r>
    <r>
      <rPr>
        <sz val="11"/>
        <color rgb="FF000000"/>
        <rFont val="Noto Sans CJK SC"/>
        <family val="2"/>
      </rPr>
      <t xml:space="preserve">中国 语言 地图 集 </t>
    </r>
    <r>
      <rPr>
        <sz val="11"/>
        <color rgb="FF000000"/>
        <rFont val="Calibri"/>
        <family val="0"/>
        <charset val="1"/>
      </rPr>
      <t xml:space="preserve">( </t>
    </r>
    <r>
      <rPr>
        <sz val="11"/>
        <color rgb="FF000000"/>
        <rFont val="Noto Sans CJK SC"/>
        <family val="2"/>
      </rPr>
      <t xml:space="preserve">第 </t>
    </r>
    <r>
      <rPr>
        <sz val="11"/>
        <color rgb="FF000000"/>
        <rFont val="Calibri"/>
        <family val="0"/>
        <charset val="1"/>
      </rPr>
      <t xml:space="preserve">2 </t>
    </r>
    <r>
      <rPr>
        <sz val="11"/>
        <color rgb="FF000000"/>
        <rFont val="Noto Sans CJK SC"/>
        <family val="2"/>
      </rPr>
      <t xml:space="preserve">版 </t>
    </r>
    <r>
      <rPr>
        <sz val="11"/>
        <color rgb="FF000000"/>
        <rFont val="Calibri"/>
        <family val="0"/>
        <charset val="1"/>
      </rPr>
      <t xml:space="preserve">) : </t>
    </r>
    <r>
      <rPr>
        <sz val="11"/>
        <color rgb="FF000000"/>
        <rFont val="Noto Sans CJK SC"/>
        <family val="2"/>
      </rPr>
      <t xml:space="preserve">汉语 方言 卷 </t>
    </r>
    <r>
      <rPr>
        <sz val="11"/>
        <color rgb="FF000000"/>
        <rFont val="Calibri"/>
        <family val="0"/>
        <charset val="1"/>
      </rPr>
      <t xml:space="preserve">( Language Atlas of China ( 2nd edition ) : Chinese dialect volume ) . Beijing : The Commercial Press . p. 11 .   Jump up ^ Fu ren da xue ( Beijing , China ) ; S.V.D. Research Institute ; Society of the Divine Word ; Monumenta Serica Institute ( 1977 ) . Monumenta serica , Volume 33 . H. Vetch . p. 351 . Retrieved 2011 - 02 - 15 .   Jump up ^ Seth Wiener &amp; Ya - ting Shih . `` Divergent places of articulation : ( w ) and ( ʋ ) in modern spoken Mandarin '' ( PDF ) .   Jump up ^ Language Log   Jump up ^ Möllendorff , Paul Georg von ( 1892 ) . A Manchu Grammar : With Analysed Texts ( reprint ed . ) . Shanghai : Printed at the American Presbyterian mission Press . p. 1 . Archived from the original on Oct 26 , 2007 . Retrieved 1 April 2013 . ( 1 )   Jump up ^ Gorelova , Liliya M. , ed. ( 2002 ) . Manchu Grammar , Part 8 . Volume 7 of Handbook of Oriental Studies . Section 8 Uralic and Central Asian Studies . Brill . p. 77 . ISBN 9004123075 . Retrieved 25 August 2014 .   Jump up ^ Cahiers de linguistique : Asie orientale , Volumes 31 - 32 . Contributor Ecole des hautes études en sciences sociales . Centre de recherches linguistiques sur l'Asie orientale . Ecole des hautes études en sciences sociales , Centre de recherches linguistiques sur l'Asie orientale. 2002 . p. 208 . Retrieved 25 August 2014 .   Jump up ^ Shirokogoroff , S.M. ( 1934 ) ( August 1929 ) . `` Reading and Transliteration of Manchu Lit . '' . Archives polonaises d'etudes orientales , Volumes 8 - 10 . Contributors Polskie Towarzystwo Orientalistyczne , Polska Akademia Nauk . Komitet Nauk Orientalistycznych . Państwowe Wydawn . Naukowe . p. 122 . Retrieved 25 August 2014 .   Jump up ^ Missionary recorder : a repository of intelligence from eastern missions , and a medium of general information , Volume 1 . FOOCHOW : American M.E. Mission Press . 1867 . p. 40 . Retrieved 23 September 2011 .   Jump up ^ Chirkova , Katia ; Chen , Yiya . `` Běijīng Mandarin , the language of Běijīng '' . In Sybesma , Rint . Encyclopedia of Chinese Linguistics ( PDF ) . Leiden : Brill . p. 11 .    External links ( edit )    Balfour , Frederic Henry ( 1883 ) . Idiomatic Dialogues in the Peking Colloquial for the Use of Students . SHANGHAI , HANKOW ROAD : Printed at the `` North - China Herald '' office . Retrieved 24 April 2014 .   George Carter Stent ; Donald MacGillivray ( 1898 ) . A Chinese and English vocabulary in the Pekinese dialect ( 3rd ed . ) . American Presbyterian Mission Press . Retrieved 2011 - 05 - 15 . ( 2 )   Ireneus László Legeza ( 1968 ) . Guide to transliterated Chinese in the modern Peking dialect . Brill Archive . Retrieved 1 March 2012 .   Ireneus László Legeza ( 1968 ) . Guide to transliterated Chinese in the modern Peking dialect . Brill Archive . Retrieved 1 March 2012 .   Ireneus László Legeza ( 1968 ) . Guide to transliterated Chinese in the modern Peking dialect , Volume 1 . E.J. Brill . p. 438 . Retrieved 1 March 2012 . ( the University of Michigan ) ( Digitized May 14 , 2008 )   Ireneus László Legeza ( 1969 ) . Guide to transliterated Chinese in the modern Peking dialect , Volume 2 . E.J. Brill . Retrieved 1 March 2012 . ( the University of Michigan ) ( Digitized May 14 , 2008 )              Chinese language ( s )     Major subdivisions      Mandarin     Northeastern   Harbin   Shenyang     Beijing   Beijing   Karamay     Ji -- Lu   Tianjin   Jinan     Jiao -- Liao   Dalian   Qingdao   Weihai     Central Plains   Gangou   Guanzhong   Luoyang   Xuzhou   Dungan   Dongping     Lan -- Yin   Southwestern   Sichuanese   Kunming   Minjiang   Wuhan     Lower Yangtze   Nanjing         Wu     Taihu   Shanghainese   Suzhou   Wuxi   Changzhou   Hangzhou   Shaoxing   Ningbo   Jinxiang   Jiangyin   Shadi     Taizhou Wu   Taizhou     Oujiang   Wenzhou     Wuzhou   Jinhua     Chu -- Qu   Quzhou   Jiangshan   Qingtian     Xuanzhou       Gan     Chang -- Du   Yi -- Liu   Ying -- Yi   Da -- Tong       Xiang     New   Changsha     Old   Shuangfeng     Ji -- Xu   Yong -- Quan   Qiyang         Min      Eastern     Fuzhou   Fuqing   Fu'an   Manjiang       Southern     Hokkien   Quanzhou   Zhangzhou   Amoy   Taiwanese   Philippine Hokkien   Medan Hokkien   Penang Hokkien   Singaporean Hokkien   Southern Peninsular Malaysian Hokkien     Zhenan   Longyan   Teochew   Shantou   Haifeng     Zhongshan   Nanlang   Sanxiang         other     Northern   Jian'ou   Jianyang     Central   Pu -- Xian   Shao -- Jiang   Leizhou   Zhanjiang     Hainan          Hakka     Meixian   Wuhua   Tingzhou   Changting     Taiwanese Hakka   Sixian dialect   Raoping dialect         Yue     Yuehai   Cantonese   Xiguan   Jiujiang   Shiqi   Weitou   Dapeng     Gao -- Yang   Siyi   Taishan     Goulou   Wu -- Hua   Yong -- Xun   Luo -- Guang   Qin -- Lian       Proposed     Huizhou   Jin   Hohhot     Pinghua       Unclassified     Danzhou   Mai   Shaozhou Tuhua   Waxiang          Description of Mandarin Chinese     Chinese grammar   Chinese classifier   Chinese Idiom       Standardized forms     Standard Chinese ( Mandarin )   Sichuanese   Taiwanese   Philippine   Malaysian   Singaporean     Cantonese   Taiwanese Hokkien       Phonology     Historical   Old     Old National   Cantonese   Mandarin   Literary and colloquial readings       History     Old Chinese   Eastern Han   Middle Chinese   Old Mandarin   Middle Mandarin   Proto - Min   Ba -- Shu   Gan       Literary forms      Official     Classical   Adoption   in Vietnam     Vernacular       Other varieties     Written Cantonese   Written Dungan   Written Hokkien   Written Sichuanese          Scripts      Standard     Simplified   Traditional       Historical     Oracle bone   Bronze   Seal   Clerical   Semi-cursive   Cursive       Braille     Cantonese Braille   Mainland Chinese Braille   Taiwanese Braille   Two - Cell Chinese Braille       Other     Romanization   Pinyin   Wade -- Giles     Bopomofo   Xiao'erjing   Nüshu   Chinese punctuation   Taiwanese kana   Dungan Cyrillic          List of varieties of Chinese    Retrieved from `` https://en.wikipedia.org/w/index.php?title=Beijing_dialect&amp;oldid=797068237 '' Categories :   Mandarin Chinese   City colloquials   Culture in Beijing   Hidden categories :   Articles containing Chinese - language text   Dialects of languages with ISO 639 - 3 code   Dialects with Linguist List code   Languages without ISO 639 - 3 code but with Glottolog code   Languages without ISO 639 - 3 code but with Linguasphere code   Dialect articles with speakers set to ' unknown '   Articles containing simplified Chinese - language text   Articles containing traditional Chinese - language text           Talk                                           Contents                   About Wikipedia                                           Bân - lâm - gú   Deutsch   Español   Français   </t>
    </r>
    <r>
      <rPr>
        <sz val="11"/>
        <color rgb="FF000000"/>
        <rFont val="Noto Sans CJK SC"/>
        <family val="2"/>
      </rPr>
      <t xml:space="preserve">한국어   </t>
    </r>
    <r>
      <rPr>
        <sz val="11"/>
        <color rgb="FF000000"/>
        <rFont val="Calibri"/>
        <family val="0"/>
        <charset val="1"/>
      </rPr>
      <t xml:space="preserve">Italiano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Srpskohrvatski / српскохрватски   Українська   اردو   </t>
    </r>
    <r>
      <rPr>
        <sz val="11"/>
        <color rgb="FF000000"/>
        <rFont val="Noto Sans CJK SC"/>
        <family val="2"/>
      </rPr>
      <t xml:space="preserve">中文   </t>
    </r>
    <r>
      <rPr>
        <sz val="11"/>
        <color rgb="FF000000"/>
        <rFont val="Calibri"/>
        <family val="0"/>
        <charset val="1"/>
      </rPr>
      <t xml:space="preserve">Edit links   This page was last edited on 24 August 2017 , at 19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</si>
  <si>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kind of chinese do they speak in beijing</t>
  </si>
  <si>
    <r>
      <rPr>
        <sz val="11"/>
        <color rgb="FF000000"/>
        <rFont val="Calibri"/>
        <family val="0"/>
        <charset val="1"/>
      </rPr>
      <t xml:space="preserve"> The Beijing dialect ( simplified Chinese : </t>
    </r>
    <r>
      <rPr>
        <sz val="11"/>
        <color rgb="FF000000"/>
        <rFont val="Noto Sans CJK SC"/>
        <family val="2"/>
      </rPr>
      <t xml:space="preserve">北京 话 </t>
    </r>
    <r>
      <rPr>
        <sz val="11"/>
        <color rgb="FF000000"/>
        <rFont val="Calibri"/>
        <family val="0"/>
        <charset val="1"/>
      </rPr>
      <t xml:space="preserve">; traditional Chinese : </t>
    </r>
    <r>
      <rPr>
        <sz val="11"/>
        <color rgb="FF000000"/>
        <rFont val="Noto Sans CJK SC"/>
        <family val="2"/>
      </rPr>
      <t xml:space="preserve">北京 話 </t>
    </r>
    <r>
      <rPr>
        <sz val="11"/>
        <color rgb="FF000000"/>
        <rFont val="Calibri"/>
        <family val="0"/>
        <charset val="1"/>
      </rPr>
      <t xml:space="preserve">; pinyin : Běijīnghuà ) , also known as Pekingese , is the prestige dialect of Mandarin spoken in the urban area of Beijing , China . It is the phonological basis of Standard Chinese , which is the official language in the People 's Republic of China and Republic of China and one of the official languages in Singapore . </t>
    </r>
  </si>
  <si>
    <t xml:space="preserve">Physical training uniform - wikipedia  Physical training uniform  Jump to : navigation , search  A physical training uniform is a military uniform used during exercise , calisthenics , drills , and in some cases , very casual periods of time ( off - duty time during Initial Entry Training in the U.S. Army , for example ) . The United States Army , Marine Corps , Navy , Air Force , and Coast Guard require use of a physical training ( PT ) uniform during unit exercise ( including formation runs , calisthenics , and conditioning exercises ) . Some military units produce unique T - shirts with their unit insignia and motto , and for special events , this shirt is part of the uniform . Occasionally , exercise will be conducted in that branch 's utility uniforms , normally with the blouse removed and the undershirt exposed ( also known as `` boots and utes '' ) .     Contents  ( hide )   1 Physical Training Uniforms of the U.S. Armed Forces   1.1 U.S. Army   1.2 U.S. Marine Corps   1.3 U.S. Navy   1.4 U.S. Air Force   1.5 U.S. Coast Guard     2 References      Physical training uniforms of the U.S. armed forces ( edit )   U.S. Army ( edit )  Minnesota Army National Guardsmen wearing the Army 's former `` Improved Physical Fitness Uniform '' ( IPFU )  The Army Physical Fitness Uniform ( APFU ) consists of :    Shirts : Black long - sleeve and short - sleeve shirts with gold ARMY lettering on the front . A Physical Fitness Badge may be worn for soldiers who excel at the A.P.F.T ( 270 or higher , with a 90 in each event ) .   Shorts : Black with same gold ARMY lettering on the left leg . multipurpose : can be worn alone for swimming and exercise , worn with shirts or under the black trousers .   Pants : Black with Army Star logo on the left thigh .   Jacket : Black with gold chevron across chest and back and same Army Star logo on the left chest . The Physical Fitness Badge can be worn on this as well .   Socks : Commercial calf - length or ankle - length , plain white or black socks with no logos .   Shoes : Approved , well - fitting , comfortable running shoes . No five - toed shoes allowed .   Black micro fleece cap and black gloves : optional for inclement weather .   Army soldiers wearing special unit T - shirts  For unit runs , esprit de corps or special occasions , Commanders may have soldiers wear unique T - shirts with the distinctive unit insignia and unit colors .   U.S. Marine Corps ( edit )  Marines from the Wounded Warrior Regiment wearing the Marine Corps PT tracksuit  All items worn by Marines conducting PT as a group are subject to uniformity , at the commander 's discretion . The Marine Corps PTUs consist of :    Shirt : Plain olive - drab green short - sleeve T - shirt ( logos can be authorized . )   Shorts : Plain OD green shorts ( `` silky '' shorts are not authorized ; however , logos can be , like the shirts . )   Sweats : OD green with black USMC lettering and Marine 's logo on left chest of hoodless sweatshirt , and the same design on the left thigh of sweatpants .   Tracksuit : OD green with reflective piping , Marines logo in reflective trim on left chest and MARINES lettering in red with gold trim centered on back of jacket , and same logo on upper right thigh and USMC lettering in the same style on lower right leg of pants .   Shoes : appropriate civilian design , excessive bright coloring or designs are prohibited .   Socks : commercial calf - length or ankle - length , plain white or black socks with no logos .   Watch cap : fleece , coyote brown , black , or OD green ( replaced the black wool knit cap )   Hydration pack : green or coyote brown ( or subdued colors if personally owned packs are authorized )    U.S. Navy ( edit )  Navy sailors wearing the Navy PTU  The Navy PTU 's nylon moisture wicking and odor resistant Navy blue shorts come in six and eight inch lengths , providing standard appearance among different height sailors . It also has side pockets with a hidden ID card pocket inside the waistband , which is something that all of the branches ' PTUs have in common . As with the Army uniform , optional compression shorts may be worn under the PTU shorts provided they are black or navy blue in color .   The Navy PTUs consist of :    Shirts : Gold long - sleeve and short - sleeve shirts with small reflective NAVY lettering on the left chests and same lettering on the backs , only larger .   Shorts : Navy blue with same reflective NAVY lettering on the left leg .   Tracksuit : Styled similar to the Marines ' except black with same Navy lettering on the same areas as on shirts but in gold on jacket and differently - styled lettering on lower right leg of pants .   Sweats : Navy blue with same reflective Navy lettering on the same areas on sweatshirt with optional hood , and differently - styled reflective lettering on the side of left leg of sweatpants .   Shoes : Approved , well - fitting , comfortable running shoes .    U.S. Air Force ( edit )  Air Force airmen wearing the AFPTU  The Air Force Physical Training Uniform ( AFPTU ) consists of :    Shirts and Sweatshirt : Light - grey short - sleeve and long - sleeve shirts and hoodless sweatshirts with moisture wicking fabric with reflective Air Force logo and lettering on the left chests and logo centered on the backs .   Shorts : Air Force blue with silver reflective stripes on the sides and the same AF logo and lettering on the left leg .   Pants : AF blue with silver reflective piping on the lower legs .   Jacket : Styled similar to the Army 's except AF blue with silver reflective chevron outlined by white piping across chest and back and same AF logo and lettering on the left chest but embroidered . A latex hood is hidden in the collar and can be pulled out during inclement weather .   Shoes Athletic style shoes , with no color restrictions .   Socks : White and black socks , small logos are authorized .    U.S. Coast Guard ( edit )   The Coast Guard PTUs consist of :    Shirt : Grey short - sleeve shirt with Coast Guard logo and lettering in reflective trim and blue lining on the left chest and Coast Guard lettering in the same design centered on the back .   Shorts : Mesh - designed coast guard blue shorts with white Coast Guard lettering printed on the left leg .   Sweats : CG blue with COAST GUARD lettering in orange with white lining centered on front and 7 reflective stripes on the back of hoodless sweatshirt , and USCG lettering in the same design on both legs of sweatpants .   Swimming gear : Plain CG blue gender - standard swimsuits .   Shoes : Approved , well - fitting , comfortable running shoes .    References ( edit )    Jump up ^ AR 600 - 8 - 22 , Army Awards , para. 8 - 51   Jump up ^ AR 670 - 1 , para. 14 - 5 Insignia ( on the Physical Training Uniform )   Jump up ^ http://www.armytimes.com/story/military/careers/army/2015/11/06/army-approves-black-socks-pt-uniforms/75169688/   Jump up ^ `` Archived copy '' ( PDF ) . Archived from the original ( PDF ) on 2014 - 05 - 06 . Retrieved 2014 - 05 - 06 .   Jump up ^ http://www.military.com/daily-news/2017/05/24/navy-debuts-new-tracksuit-female-dress-coat-for-sailors.html   Jump up ^ http://www.navy.mil/viewGallery.asp?id=0&amp;page=9818&amp;r=4   ^ Jump up to : `` AIR FORCE INSTRUCTION 36 - 2903 '' ( PDF ) . United States Air Force . 17 January 2014 . Retrieved 22 January 2014 .   Jump up ^ https://shopcgx.com/uniforms/pt-gear/              Uniforms of the United States Army       Uniforms of the United States Armed Forces   Army   Marines   Navy   Air Force   Coast Guard         Uniforms      Combat     Army Combat Uniform ( ACU ) ( 2005 -- present )       Garrison     Army Service Uniform ( ASU ) ( 2008 -- present )       Formal     Army Mess Uniform       Exercise     Army Improved Physical Fitness Uniform ( IPFU ) ( 2000 -- 2017 )   Army Physical Fitness Uniform ( APFU ) ( 2014 -- present )       Special     Flight   MultiCam   Band   Cadet          Insignia     Branch insignia   I.D. Tag   Medals and ribbons   Tabs   Badges   Coat of Arms insignia   Shoulder patch ( Left ; Headquarters insignia ) ( Right ; Former wartime headquarters insignia )   Overseas Service Bar   Service stripe   Beret flash   Rank ( Officer ) ( Warrant Officer ) ( Non-Commissioned Officer ) ( Enlisted )       Headgear     Berets   Boonie hat   Patrol cap   Cavalry Stetson   Garrison cap   Campaign hat   Peaked cap       Footwear     Army Combat Boot   Mountain Combat Boot   Modular Boot System   Jungle boot   Desert Combat Boot   Jump boot   Tanker boot       Armor     Interceptor Body Armor   ( OTV   IOTV )   MICH Helmet   Modular Body Armor Vest ( MBAV )   Enhanced Combat Helmet ( ECH ) ( 2011 - present )   Retired : PASGT Vest ( 1983 - 2003 )   PASGT Helmet ( 1983 - 2004 )   Advanced Combat Helmet ( 2004 - present )   M1 helmet ( 1942 - 1983 )   M1C helmet ( WWII Era )   M1917 Helmet ( 1917 - 1942 ) ( WWI Era )   M - 69 Fragmentation Protective Body Armor ( Vietnam War Era )   M - 1952A Fragmentation Protective Body Armor ( Korean War Era )       Equipment carrier     Load - Bearing Vest ( LBV )   Modular Lightweight Load - carrying Equipment ( MOLLE )   Retired : Load - Bearing Equipment ( LBE )   Load - Carrying Equipment ( LCE )   Modern Load - Carrying Equipment ( MLCE )       Retired uniforms      Combat     OG - 107 ( 1952 -- 1989 )   Battle Dress Uniform ( BDU ) ( 1981 -- 2008 )   Desert Battle Dress Uniform ( DBDU ) ( 1981 -- 1992 )   Desert Camouflage Uniform ( DCU ) ( 1993 -- 2008 )       Garrison     Tan Service Uniform ( 1942 -- 1956 )   Green Service Uniform ( 1954 -- 2015 )       Formal     White Service Uniform ( 1902 -- 2014 )       Exercise     Physical Fitness Uniform ( PFU ) ( -- 2003 )         Retrieved from `` https://en.wikipedia.org/w/index.php?title=Physical_training_uniform&amp;oldid=823821405 '' Categories :   Military uniforms   History of fashion   Hidden categories :   All articles with unsourced statements   Articles with unsourced statements from December 2017           Talk                                           Contents                   About Wikipedia                                           Add links   This page was last edited on 3 February 2018 , at 17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</si>
  <si>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does pt stand for in the army</t>
  </si>
  <si>
    <t xml:space="preserve"> A physical training uniform is a military uniform used during exercise , calisthenics , drills , and in some cases , very casual periods of time ( off - duty time during Initial Entry Training in the U.S. Army , for example ) . The United States Army , Marine Corps , Navy , Air Force , and Coast Guard require use of a physical training ( PT ) uniform during unit exercise ( including formation runs , calisthenics , and conditioning exercises ) . Some military units produce unique T - shirts with their unit insignia and motto , and for special events , this shirt is part of the uniform . Occasionally , exercise will be conducted in that branch 's utility uniforms , normally with the blouse removed and the undershirt exposed ( also known as `` boots and utes '' ) . </t>
  </si>
  <si>
    <r>
      <rPr>
        <sz val="11"/>
        <color rgb="FF000000"/>
        <rFont val="Calibri"/>
        <family val="0"/>
        <charset val="1"/>
      </rPr>
      <t xml:space="preserve">Ray Park - wikipedia  Ray Park  Jump to : navigation , search    Ray Park     Park in June 2011       Raymond Park ( 1974 - 08 - 23 ) 23 August 1974 ( age 43 ) Glasgow , Scotland , UK     Nationality   British     Occupation   Actor , martial artist , author     Years active   1997 -- present     Website   raypark.com     Raymond `` Ray '' Park ( born 23 August 1974 ) is a Scottish actor , author and martial artist . He is best known for playing Darth Maul in Star Wars : Episode I -- The Phantom Menace , Toad in X-Men , Snake - Eyes in G.I. Joe : The Rise of Cobra and G.I. Joe : Retaliation , and Edgar on Heroes .     Contents  ( hide )   1 Early life   2 Career   3 Filmography   4 References   5 External links      Early life ( edit )   Ray Park was born in Glasgow , Scotland . At the age of seven , he moved with his family to London , England .   Park was introduced to martial arts by his father , who was a fan of Bruce Lee , and began training in the traditional Chinese Northern Shaolin Kung Fu when he was seven years old . He added kickboxing , taekwondo and wushu to his hobbies by age 14 . When he was 16 , Park won Great Britain 's Martial Arts National Championship for his class and then went to Malaysia to try to improve his skills . He went on to compete in martial arts tournaments around the world and won awards before turning his attention to acting in the late 1990s .   Career ( edit )   Park began working in films as a stunt double for the film Mortal Kombat : Annihilation , doing the stunts for both Robin Shou and James Remar. Park also did some cameos as monsters , including Baraka . All of these were non-speaking roles .   In 1999 , Park appeared in Star Wars : Episode I -- The Phantom Menace , as the Sith Lord Darth Maul . While the character had few lines , Park 's voice was dubbed over with that of actor Peter Serafinowicz . From his work on Star Wars , Park was cast in a cameo role in Fanboys as a Skywalker Ranch security guard who says , `` Time for you to get mauled , boy , '' as he pulls out two nightsticks .   In addition to this acting work , he has also been Christopher Walken 's fight stunt double for the film Sleepy Hollow. Park appeared in the scene where Walken 's character , the Headless Horseman , murders the Killian family and Brom Bones , among others .  Park posing with Vincent Pastore at the 2013 Wizard World New York Experience  Park had his first real speaking part in X-Men as Toad .   In December 2007 , Park was confirmed for the role of Snake - Eyes in G.I. Joe : The Rise of Cobra and G.I. Joe : Retaliation involving a variation of the international G.I. Joe force who fought the minions of Cobra in the comics .   He worked with comic book creator - turned - filmmaker Kevin VanHook in the film Slayer , starring in the dual roles of acrobatic twin vampires . This film also saw him appearing again with Sleepy Hollow co-star Casper Van Dien .   ComiCon 2007 saw the premiere of the teaser trailer for Descendants , another comic book adaptation based on an independent comic by writer Joey Andrade .   Park appeared as Edgar in the fourth season of the television series Heroes .   Park was also included in the motion capture team of the 2008 James Bond video game adaptation of Quantum of Solace .   In the comic book - styled film Hellbinders , he plays a soulless mercenary who , along with an elite assassin ( Johnny Yong Bosch ) and the last remaining member of the long dead Knights Templar , Esteban Cueto , must overcome their innate mistrust of each other and join forces to defeat Legion before it opens the gates of hell itself and overruns the entire world . Park narrated on 26 February 2010 the introduction of The FireBreather , a car from Classic Design Concepts in Detroit Autorama 2010 , which appears in Park 's supernatural thriller Jinn .   In 2011 , Park guest starred in the TV series Nikita as the London Guardian , Brendan .   Filmography ( edit )     Year   Title   Role   Notes       Mortal Kombat : Annihilation   Raptor # 3 / Tarkatan ( Baraka ) # 2   Also stunt double for Robin Shou and James Remar     1999   Star Wars : Episode I -- The Phantom Menace   Darth Maul   Nominated -- MTV Movie Award for Best Fight ( shared with Liam Neeson and Ewan McGregor ) Nominated -- MTV Movie Award for Best Villain     Sleepy Hollow   Headless Horseman ( apart from Christopher Walken scenes )       2000   X-Men   Toad / Mortimer Toynbee       2002   Ballistic : Ecks vs. Sever   A.J. Ross       2005   Potheads : The Movie   Mr. D       2006   Slayer   Acrobatic Vampire Twins       2007   What We Do Is Secret   Brendan Mullen       The Legend of Bruce Lee   Chuck Norris       2009   Fanboys   THX Security Guard # 2       G.I. Joe : The Rise of Cobra   Snake - Eyes       Heroes   Edgar   Season four , recurring role     Hellbinders   Max Lindermann       2009   Spartacus : Motion Comic   Arkadios   Narrator       The King of Fighters   Rugal Bernstein       2011   Nikita   London Guardian , Brendan   Episode : `` Into the Dark ''     2011   Supah Ninjas   Harry   Episode : `` Kickbutt ''     2013   G.I. Joe : Retaliation   Snake - Eyes       2014   Jinn   Gabriel       2015   Mortal Kombat X : Generations   Erron Black       2016   Mortal Kombat : Legacy   Erron Black       2018   Accident Man   Mac       TBA   R.A.M.   Damien Maxwell   Pre-production     TBA   Future Fighters   Henry `` Hank '' Liddell   Pre-production     References ( edit )    Jump up ^ Wetmore , Jr. , Kevin J. ( 10 August 2017 ) . The Empire Triumphant : Race , Religion and Rebellion in the Star Wars Films . McFarland &amp; Company . p. 127 . ISBN 9781476611716 .   Jump up ^ `` GI JOE -- YO JOE , The Snake Has Returned '' . Kung Fu Magazine . Retrieved 22 February 2010 .   Jump up ^ `` Interview : Ray Park on the Set of G.I. Joe '' . IESB . Retrieved 10 June 2010 .   Jump up ^ `` Ray Park : Unmasked on HEROES '' . Kung Fu Magazine . Retrieved 24 February 2010 .   Jump up ^ `` Biography '' . Official Ray Park Website . Retrieved November 29 , 2015 .   Jump up ^ The Ray Park Picture Pages . Superior Pics . Retrieved November 29 , 2015 .   Jump up ^ `` Ray Park and Martial Arts : Part 1 '' . Kung Fu Magazine . Retrieved 24 February 2010 .   Jump up ^ `` Ray Park and Martial Arts : Part 2 '' . Kung Fu Magazine . Retrieved 24 February 2010 .   Jump up ^ Butler , Blair ( July 26 , 2007 ) . `` g4tv. com - video17177 : ' The Descendants ' '' . G4TV .   Jump up ^ `` Ray Park to Breathe Fire in Jinn ; Meet Him This Friday in Michigan '' . Dread Central .    External links ( edit )       Wikimedia Commons has media related to Ray Park .      Star Wars portal   Scotland portal     Official website   Ray Park on IMDb   Ray Park at the TCM Movie Database   Ray Park at AllMovie            VIAF : 107431118   LCCN : no2010025880      Retrieved from `` https://en.wikipedia.org/w/index.php?title=Ray_Park&amp;oldid=824838689 '' Categories :   1974 births   Male actors from Glasgow   Male actors from London   British wushu practitioners   Living people   People from Govan   English people of Scottish descent   English male film actors   English stunt performers   20th - century English male actors   21st - century English male actors   Scottish male film actors   Scottish stunt performers   20th - century Scottish male actors   21st - century Scottish male actors   Hidden categories :   Use British English from January 2011   Use dmy dates from January 2011   Articles with hCards   All articles with unsourced statements   Articles with unsourced statements from June 2010   All articles lacking reliable references   Articles lacking reliable references from June 2010   Articles with unsourced statements from November 2015   Wikipedia articles with VIAF identifiers   Wikipedia articles with LCCN identifiers           Talk                                           Contents                   About Wikipedia                                                 تۆرکجه   Dansk   Deutsch   Español   فارسی   Français   Galego   </t>
    </r>
    <r>
      <rPr>
        <sz val="11"/>
        <color rgb="FF000000"/>
        <rFont val="Noto Sans CJK SC"/>
        <family val="2"/>
      </rPr>
      <t xml:space="preserve">한국어   </t>
    </r>
    <r>
      <rPr>
        <sz val="11"/>
        <color rgb="FF000000"/>
        <rFont val="Calibri"/>
        <family val="0"/>
        <charset val="1"/>
      </rPr>
      <t xml:space="preserve">Հայերեն   Italiano   Latina   Nederlands   </t>
    </r>
    <r>
      <rPr>
        <sz val="11"/>
        <color rgb="FF000000"/>
        <rFont val="Noto Sans CJK SC"/>
        <family val="2"/>
      </rPr>
      <t xml:space="preserve">日本 語   </t>
    </r>
    <r>
      <rPr>
        <sz val="11"/>
        <color rgb="FF000000"/>
        <rFont val="Calibri"/>
        <family val="0"/>
        <charset val="1"/>
      </rPr>
      <t xml:space="preserve">Norsk   Polski   Português   Русский   Suomi   Svenska   தமிழ்   Türkçe   Українська   </t>
    </r>
    <r>
      <rPr>
        <sz val="11"/>
        <color rgb="FF000000"/>
        <rFont val="Noto Sans CJK SC"/>
        <family val="2"/>
      </rPr>
      <t xml:space="preserve">中文   </t>
    </r>
    <r>
      <rPr>
        <sz val="11"/>
        <color rgb="FF000000"/>
        <rFont val="Calibri"/>
        <family val="0"/>
        <charset val="1"/>
      </rPr>
      <t xml:space="preserve">Edit links   This page was last edited on 9 February 2018 , at 20 : 26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</si>
  <si>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the role of snake eyes in gi joe</t>
  </si>
  <si>
    <t xml:space="preserve"> Raymond `` Ray '' Park ( born 23 August 1974 ) is a Scottish actor , author and martial artist . He is best known for playing Darth Maul in Star Wars : Episode I -- The Phantom Menace , Toad in X-Men , Snake - Eyes in G.I. Joe : The Rise of Cobra and G.I. Joe : Retaliation , and Edgar on Heroes . </t>
  </si>
  <si>
    <t xml:space="preserve">List of Grand Slam men 's singles champions - wikipedia  List of Grand Slam men 's singles champions  Jump to : navigation , search  This article details the list of men 's singles Grand Slam tournaments tennis champions . Some major changes have taken place in history and have affected the number of titles that have been won by various players . These have included the opening of the French national championships to international players in 1925 , the elimination of the challenge round in 1922 , and the admission of professional players in 1968 ( the start of the Open era ) .   Note : All of these tournaments have been listed since they began , rather than when they officially became majors . The Australian and US tournaments have only been officially regarded as majors by the ILTF ( now the ITF ) since 1924 ( though many regarded the US Championships as a major before then ) . The French Championships have only been a major since 1925 ( when it became open to all amateurs internationally ) . Before 1924 ( since 1912 / 1913 to 1923 ) there were 3 official majors : Wimbledon , the World Hard Court Championships ( played on clay ) and the World Covered Court Championships ( played on an indoor wood surface ) .  Roger Federer has won 20 Major singles titles -- the most by any man in history , including a record eight Wimbledon titles . Rod Laver is the only man in history to win all four Majors in the same calendar year `` The Grand Slam '' twice ( 1962 and 1969 ) Don Budge is the only male player in tennis history to have won six consecutive Grand Slam singles titles , from Wimbledon 1937 to U.S. Championships 1938 . Rafael Nadal has won 16 Major titles , including 10 French Open titles at Roland Garros , making him the only male player with ten titles at one particular Grand Slam event . Pete Sampras won 14 Major titles , 7 of them at Wimbledon. 14 Major titles was the world record at the time of his retirement in 2002 . Bill Tilden won 10 Major titles in the 1920s , becoming the first male player to achieve this feat . Ken Rosewall holds a record 15 Pro Slam titles , and a record 23 overall Major titles , counting both Amateur and Pro circuits . Roy Emerson was the first male player in history to win each Major title twice , and the only player to have won a career Grand Slam in both singles and doubles . Novak Djokovic is the first player to hold all four major titles on three different surfaces simultaneously . He is tied with Roy Emerson for 12 major titles and he shares the all - time record of 6 Australian titles . Andre Agassi was the first male player to complete the Career Grand Slam on three different surfaces , and the first male player in history to win the Career Golden Slam ( winning the four Grand Slams and the Olympic Gold Medal in singles ) .    Contents  ( hide )   1 Champions by year   2 Statistics   2.1 Grand Slam singles titles by decade   2.1. 1 1920s   2.1. 2 1930s   2.1. 3 1940s   2.1. 4 1950s   2.1. 5 1960s   2.1. 6 1970s   2.1. 7 1980s   2.1. 8 1990s   2.1. 9 2000s   2.1. 10 2010s     2.2 Most Grand Slam singles titles ( 5 or more )   2.3 Most singles titles by Grand Slam tournament   2.4 Grand Slam singles titles by country ( Open Era )   2.5 Most consecutive years with at least one Grand Slam title   2.6 Achieved a Career Grand Slam   2.7 Completed the Grand Slam   2.8 Winners of three Grand Slam singles tournaments in the same calendar year   2.9 Winners of two Grand Slam singles tournaments in the same calendar year   2.10 Winners of three or more consecutive Grand Slam singles titles   2.11 Winners of five or more singles titles at one Grand Slam tournament   2.12 Winners of four or more consecutive singles titles at one Grand Slam tournament   2.13 Winning a Grand Slam singles tournament without losing a set   2.13. 1 Chronological timeline ( by player )   2.13. 2 Occurrences by Grand Slam tournament       3 See also   4 Notes      Champions by year     Year   Australian Open   French Open   Wimbledon   US Open     1877   started in 1905   started in 1891   GBR : Spencer Gore   started in 1881     1878   tournament not created   tournament not created   Frank Hadow   tournament not created     1879   tournament not created   tournament not created   John Hartley ( 1 / 2 )   tournament not created     1880   tournament not created   tournament not created   John Hartley ( 2 / 2 )   tournament not created     1881   tournament not created   tournament not created   William Renshaw ( 1 / 7 )   USA : Richard Sears ( 1 / 7 )     1882   tournament not created   tournament not created   William Renshaw ( 2 / 7 )   Richard Sears ( 2 / 7 )     1883   tournament not created   tournament not created   William Renshaw ( 3 / 7 )   Richard Sears ( 3 / 7 )     1884   tournament not created   tournament not created   William Renshaw ( 4 / 7 )   Richard Sears ( 4 / 7 )     1885   tournament not created   tournament not created   William Renshaw ( 5 / 7 )   Richard Sears ( 5 / 7 )     1886   tournament not created   tournament not created   William Renshaw ( 6 / 7 )   Richard Sears ( 6 / 7 )     1887   tournament not created   tournament not created   Herbert Lawford   Richard Sears ( 7 / 7 )     1888   tournament not created   tournament not created   Ernest Renshaw   Henry Slocum ( 1 / 2 )     1889   tournament not created   tournament not created   William Renshaw ( 7 / 7 )   Henry Slocum ( 2 / 2 )     1890   tournament not created   tournament not created   Willoughby Hamilton   Oliver Campbell ( 1 / 3 )     1891   tournament not created   Briggs , H. H. Briggs *   Wilfred Baddeley ( 1 / 3 )   Oliver Campbell ( 2 / 3 )     1892   tournament not created   FRA : Schopfer , Jean Jean Schopfer *   Wilfred Baddeley ( 2 / 3 )   Oliver Campbell ( 3 / 3 )     1893   tournament not created   Riboulet , Laurent Laurent Riboulet *   Joshua Pim ( 1 / 2 )   Robert Wrenn ( 1 / 4 )     1894   tournament not created   Vacherot , André André Vacherot *   Joshua Pim ( 2 / 2 )   Robert Wrenn ( 2 / 4 )     1895   tournament not created   Vacherot , André André Vacherot *   Wilfred Baddeley ( 3 / 3 )   Fred Hovey     1896   tournament not created   Vacherot , André André Vacherot *   Harold Mahony   Robert Wrenn ( 3 / 4 )     1897   tournament not created   Aymé , Paul Paul Aymé *   Reginald Doherty ( 1 / 4 )   Robert Wrenn ( 4 / 4 )     1898   tournament not created   Aymé , Paul Paul Aymé *   Reginald Doherty ( 2 / 4 )   Malcolm Whitman ( 1 / 3 )     1899   tournament not created   Aymé , Paul Paul Aymé *   Reginald Doherty ( 3 / 4 )   Malcolm Whitman ( 2 / 3 )     1900   tournament not created   Aymé , Paul Paul Aymé *   Reginald Doherty ( 4 / 4 )   Malcolm Whitman ( 3 / 3 )     1901   tournament not created   Vacherot , André André Vacherot *   Arthur Gore ( 1 / 3 )   William Larned ( 1 / 7 )     1902   tournament not created   Vacherot , Michel Michel Vacherot *   Laurence Doherty ( 1 / 6 )   William Larned ( 2 / 7 )     1903   tournament not created   Decugis , Max Max Decugis *   Laurence Doherty ( 2 / 6 )   Laurence Doherty ( 3 / 6 )     1904   tournament not created   Decugis , Max Max Decugis *   Laurence Doherty ( 4 / 6 )   Holcombe Ward     1905   AUS : Rodney Heath ( 1 / 2 )   Germot , Maurice Maurice Germot *   Laurence Doherty ( 5 / 6 )   Beals Wright     1906   NZL : Anthony Wilding ( 1 / 6 )   Germot , Maurice Maurice Germot *   Laurence Doherty ( 6 / 6 )   William Clothier     1907   Horace Rice   Decugis , Max Max Decugis *   Norman Brookes ( 1 / 3 )   William Larned ( 3 / 7 )     1908   Fred Alexander   Decugis , Max Max Decugis *   Arthur Gore ( 2 / 3 )   William Larned ( 4 / 7 )     1909   Anthony Wilding ( 2 / 6 )   Decugis , Max Max Decugis *   Arthur Gore ( 3 / 3 )   William Larned ( 5 / 7 )     1910   Rodney Heath ( 2 / 2 )   Germot , Maurice Maurice Germot *   Anthony Wilding ( 3 / 6 )   William Larned ( 6 / 7 )     1911   Norman Brookes ( 2 / 3 )   Gobert , André André Gobert *   Anthony Wilding ( 4 / 6 )   William Larned ( 7 / 7 )     1912   James Cecil Parke   Decugis , Max Max Decugis *   Anthony Wilding ( 5 / 6 )   Maurice McLoughlin ( 1 / 2 )     1913   Ernie Parker   Decugis , Max Max Decugis *   Anthony Wilding ( 6 / 6 )   Maurice McLoughlin ( 2 / 2 )     1914   Arthur O'Hara Wood   Decugis , Max Max Decugis *   Norman Brookes ( 3 / 3 )   Richard Williams ( 1 / 2 )     1915   Francis Lowe   no competition   no competition   William Johnston ( 1 / 3 )     1916   no competition   no competition   no competition   Richard Williams ( 2 / 2 )     1917   no competition   no competition   no competition   Robert Lindley Murray ( 1 / 2 )     1918   no competition   no competition   no competition   Robert Lindley Murray ( 2 / 2 )     1919   Algernon Kingscote   no competition   Gerald Patterson ( 1 / 3 )   William Johnston ( 2 / 3 )     1920   Pat O'Hara Wood ( 1 / 2 )   Gobert , André André Gobert *   Bill Tilden ( 1 / 10 )   Bill Tilden ( 2 / 10 )     1921   Rhys Gemmell   Samazeuilh , Jean Jean Samazeuilh *   Bill Tilden ( 3 / 10 )   Bill Tilden ( 4 / 10 )     1922   James Anderson ( 1 / 3 )   Cochet , Henri Henri Cochet *   Gerald Patterson ( 2 / 3 )   Bill Tilden ( 5 / 10 )     1923   Pat O'Hara Wood ( 2 / 2 )   Blanchy , François François Blanchy *   William Johnston ( 3 / 3 )   Bill Tilden ( 6 / 10 )     1924   James Anderson ( 2 / 3 )   Borotra , Jean Jean Borotra *   Jean Borotra ( 1 / 4 )   Bill Tilden ( 7 / 10 )     1925   James Anderson ( 3 / 3 )   René Lacoste ( 1 / 7 ) * *   René Lacoste ( 2 / 7 )   Bill Tilden ( 8 / 10 )     1926   John Hawkes   Henri Cochet ( 1 / 7 )   Jean Borotra ( 2 / 4 )   René Lacoste ( 3 / 7 )     1927   Gerald Patterson ( 3 / 3 )   René Lacoste ( 4 / 7 )   Henri Cochet ( 2 / 7 )   René Lacoste ( 5 / 7 )     1928   Jean Borotra ( 3 / 4 )   Henri Cochet ( 3 / 7 )   René Lacoste ( 6 / 7 )   Henri Cochet ( 4 / 7 )     1929   John Gregory   René Lacoste ( 7 / 7 )   Henri Cochet ( 5 / 7 )   Bill Tilden ( 9 / 10 )     1930   Edgar Moon   Henri Cochet ( 6 / 7 )   Bill Tilden ( 10 / 10 )   John Doeg     1931   Jack Crawford ( 1 / 6 )   Jean Borotra ( 4 / 4 )   Sidney Wood   Ellsworth Vines ( 1 / 3 )     1932   Jack Crawford ( 2 / 6 )   Henri Cochet ( 7 / 7 )   Ellsworth Vines ( 2 / 3 )   Ellsworth Vines ( 3 / 3 )     1933   Jack Crawford ( 3 / 6 )   Jack Crawford ( 4 / 6 )   Jack Crawford ( 5 / 6 )   Fred Perry ( 1 / 8 )     1934   Fred Perry ( 2 / 8 )   GER : Gottfried von Cramm ( 1 / 2 )   Fred Perry ( 3 / 8 )   Fred Perry ( 4 / 8 )     1935   Jack Crawford ( 6 / 6 )   Fred Perry ( 5 / 8 )   Fred Perry ( 6 / 8 )   Wilmer Allison     1936   Adrian Quist ( 1 / 3 )   GER : Gottfried von Cramm ( 2 / 2 )   Fred Perry ( 7 / 8 )   Fred Perry ( 8 / 8 )     1937   Vivian McGrath   Henner Henkel   Don Budge ( 1 / 6 )   Don Budge ( 2 / 6 )     1938   Don Budge ( 3 / 6 )   Don Budge ( 4 / 6 )   Don Budge ( 5 / 6 )   Don Budge ( 6 / 6 )     1939   John Bromwich ( 1 / 2 )   Don McNeill ( 1 / 2 )   Bobby Riggs ( 1 / 3 )   Bobby Riggs ( 2 / 3 )     1940   Adrian Quist ( 2 / 3 )   no competition   no competition   Don McNeill ( 2 / 2 )     1941   no competition   held under German occupation   no competition   Bobby Riggs ( 3 / 3 )     1942   no competition   held under German occupation   no competition   Ted Schroeder ( 1 / 2 )     1943   no competition   held under German occupation   no competition   Joseph Hunt     1944   no competition   held under German occupation   no competition   Frank Parker ( 1 / 4 )     1945   no competition   Yvon Petra -- unrecognized winner   no competition   Frank Parker ( 2 / 4 )     1946   John Bromwich ( 2 / 2 )   Marcel Bernard   Yvon Petra   Jack Kramer ( 1 / 3 )     1947   Dinny Pails   HUN : József Asbóth   Jack Kramer ( 2 / 3 )   Jack Kramer ( 3 / 3 )     1948   Adrian Quist ( 3 / 3 )   Frank Parker ( 3 / 4 )   Bob Falkenburg   Pancho Gonzales ( 1 / 2 )     1949   Frank Sedgman ( 1 / 5 )   Frank Parker ( 4 / 4 )   Ted Schroeder ( 2 / 2 )   Pancho Gonzales ( 2 / 2 )     1950   Frank Sedgman ( 2 / 5 )   Budge Patty ( 1 / 2 )   Budge Patty ( 2 / 2 )   Arthur Larsen     1951   Richard Savitt ( 1 / 2 )   EGY : Jaroslav Drobný ( 1 / 3 )   Richard Savitt ( 2 / 2 )   Frank Sedgman ( 3 / 5 )     1952   Ken McGregor   Jaroslav Drobný ( 2 / 3 )   Frank Sedgman ( 4 / 5 )   Frank Sedgman ( 5 / 5 )     1953   Ken Rosewall ( 1 / 8 )   Ken Rosewall ( 2 / 8 )   Vic Seixas ( 1 / 2 )   Tony Trabert ( 1 / 5 )     1954   Mervyn Rose ( 1 / 2 )   Tony Trabert ( 2 / 5 )   EGY : Jaroslav Drobný ( 3 / 3 )   Vic Seixas ( 2 / 2 )     1955   Ken Rosewall ( 3 / 8 )   Tony Trabert ( 3 / 5 )   Tony Trabert ( 4 / 5 )   Tony Trabert ( 5 / 5 )     1956   Lew Hoad ( 1 / 4 )   Lew Hoad ( 2 / 4 )   Lew Hoad ( 3 / 4 )   Ken Rosewall ( 4 / 8 )     1957   Ashley Cooper ( 1 / 4 )   SWE : Sven Davidson   Lew Hoad ( 4 / 4 )   Malcolm Anderson     1958   Ashley Cooper ( 2 / 4 )   Mervyn Rose ( 2 / 2 )   Ashley Cooper ( 3 / 4 )   Ashley Cooper ( 4 / 4 )     1959   Alex Olmedo ( 1 / 2 )   ITA : Nicola Pietrangeli ( 1 / 2 )   Alex Olmedo ( 2 / 2 )   Neale Fraser ( 1 / 3 )     1960   Rod Laver ( 1 / 11 )   Nicola Pietrangeli ( 2 / 2 )   Neale Fraser ( 2 / 3 )   Neale Fraser ( 3 / 3 )     1961   Roy Emerson ( 1 / 12 )   ESP : Manuel Santana ( 1 / 4 )   Rod Laver ( 2 / 11 )   Roy Emerson ( 2 / 12 )     1962   Rod Laver ( 3 / 11 )   Rod Laver ( 4 / 11 )   Rod Laver ( 5 / 11 )   Rod Laver ( 6 / 11 )     1963   Roy Emerson ( 3 / 12 )   Roy Emerson ( 4 / 12 )   Chuck McKinley   MEX : Rafael Osuna     1964   Roy Emerson ( 5 / 12 )   Manuel Santana ( 2 / 4 )   Roy Emerson ( 6 / 12 )   Roy Emerson ( 7 / 12 )     1965   Roy Emerson ( 8 / 12 )   Fred Stolle ( 1 / 2 )   Roy Emerson ( 9 / 12 )   Manuel Santana ( 3 / 4 )     1966   Roy Emerson ( 10 / 12 )   Tony Roche   Manuel Santana ( 4 / 4 )   Fred Stolle ( 2 / 2 )     1967   Roy Emerson ( 11 / 12 )   Roy Emerson ( 12 / 12 )   John Newcombe ( 1 / 7 )   John Newcombe ( 2 / 7 )     1968   William Bowrey Amateur era tennis ends   Open era tennis begins Ken Rosewall ( 5 / 8 )   Rod Laver ( 7 / 11 )   Arthur Ashe ( 1 / 3 )     1969   Rod Laver ( 8 / 11 )   Rod Laver ( 9 / 11 )   Rod Laver ( 10 / 11 )   Rod Laver ( 11 / 11 )     1970   Arthur Ashe ( 2 / 3 )   TCH : Jan Kodeš ( 1 / 3 )   John Newcombe ( 3 / 7 )   Ken Rosewall ( 6 / 8 )     1971   Ken Rosewall ( 7 / 8 )   Jan Kodeš ( 2 / 3 )   John Newcombe ( 4 / 7 )   Stan Smith ( 1 / 2 )     1972   Ken Rosewall ( 8 / 8 )   Andrés Gimeno   Stan Smith ( 2 / 2 )   ROU : Ilie Năstase ( 1 / 2 )     1973   John Newcombe ( 5 / 7 )   Ilie Năstase ( 2 / 2 )   Jan Kodeš ( 3 / 3 )   John Newcombe ( 6 / 7 )       Jimmy Connors ( 1 / 8 )   Björn Borg ( 1 / 11 )   Jimmy Connors ( 2 / 8 )   Jimmy Connors ( 3 / 8 )       John Newcombe ( 7 / 7 )   Björn Borg ( 2 / 11 )   Arthur Ashe ( 3 / 3 )   Manuel Orantes     1976   Mark Edmondson   Adriano Panatta   Björn Borg ( 3 / 11 )   Jimmy Connors ( 4 / 8 )     1977   Roscoe Tanner   ARG : Guillermo Vilas ( 1 / 4 )   Björn Borg ( 4 / 11 )   Guillermo Vilas ( 2 / 4 )     Vitas Gerulaitis     1978   Guillermo Vilas ( 3 / 4 )   Björn Borg ( 5 / 11 )   Björn Borg ( 6 / 11 )   Jimmy Connors ( 5 / 8 )     1979   Guillermo Vilas ( 4 / 4 )   Björn Borg ( 7 / 11 )   Björn Borg ( 8 / 11 )   John McEnroe ( 1 / 7 )     1980   Brian Teacher   Björn Borg ( 9 / 11 )   Björn Borg ( 10 / 11 )   John McEnroe ( 2 / 7 )     1981   RSA : Johan Kriek ( 1 / 2 )   Björn Borg ( 11 / 11 )   John McEnroe ( 3 / 7 )   John McEnroe ( 4 / 7 )     1982   Johan Kriek ( 2 / 2 )   Mats Wilander ( 1 / 7 )   Jimmy Connors ( 6 / 8 )   Jimmy Connors ( 7 / 8 )       Mats Wilander ( 2 / 7 )   Yannick Noah   John McEnroe ( 5 / 7 )   Jimmy Connors ( 8 / 8 )     1984   Mats Wilander ( 3 / 7 )   Ivan Lendl ( 1 / 8 )   John McEnroe ( 6 / 7 )   John McEnroe ( 7 / 7 )     1985   Stefan Edberg ( 1 / 6 )   Mats Wilander ( 4 / 7 )   FRG : Boris Becker ( 1 / 6 )   Ivan Lendl ( 2 / 8 )     1986   no competition   Ivan Lendl ( 3 / 8 )   Boris Becker ( 2 / 6 )   Ivan Lendl ( 4 / 8 )       Stefan Edberg ( 2 / 6 )   Ivan Lendl ( 5 / 8 )   Pat Cash   Ivan Lendl ( 6 / 8 )     1988   Mats Wilander ( 5 / 7 )   Mats Wilander ( 6 / 7 )   Stefan Edberg ( 3 / 6 )   Mats Wilander ( 7 / 7 )     1989   Ivan Lendl ( 7 / 8 )   Michael Chang   Boris Becker ( 3 / 6 )   Boris Becker ( 4 / 6 )       Ivan Lendl ( 8 / 8 )   ECU : Andrés Gómez   Stefan Edberg ( 4 / 6 )   Pete Sampras ( 1 / 14 )     1991   GER : Boris Becker ( 5 / 6 )   Jim Courier ( 1 / 4 )   Michael Stich   Stefan Edberg ( 5 / 6 )     1992   Jim Courier ( 2 / 4 )   Jim Courier ( 3 / 4 )   Andre Agassi ( 1 / 8 )   Stefan Edberg ( 6 / 6 )     1993   Jim Courier ( 4 / 4 )   Sergi Bruguera ( 1 / 2 )   Pete Sampras ( 2 / 14 )   Pete Sampras ( 3 / 14 )     1994   Pete Sampras ( 4 / 14 )   Sergi Bruguera ( 2 / 2 )   Pete Sampras ( 5 / 14 )   Andre Agassi ( 2 / 8 )     1995   Andre Agassi ( 3 / 8 )   AUT : Thomas Muster   Pete Sampras ( 6 / 14 )   Pete Sampras ( 7 / 14 )       Boris Becker ( 6 / 6 )   RUS : Yevgeny Kafelnikov ( 1 / 2 )   NED : Richard Krajicek   Pete Sampras ( 8 / 14 )     1997   Pete Sampras ( 9 / 14 )   BRA : Gustavo Kuerten ( 1 / 3 )   Pete Sampras ( 10 / 14 )   Patrick Rafter ( 1 / 2 )     1998   CZE : Petr Korda   Carlos Moyá   Pete Sampras ( 11 / 14 )   Patrick Rafter ( 2 / 2 )     1999   Yevgeny Kafelnikov ( 2 / 2 )   Andre Agassi ( 4 / 8 )   Pete Sampras ( 12 / 14 )   Andre Agassi ( 5 / 8 )     2000   Andre Agassi ( 6 / 8 )   Gustavo Kuerten ( 2 / 3 )   Pete Sampras ( 13 / 14 )   Marat Safin ( 1 / 2 )       Andre Agassi ( 7 / 8 )   Gustavo Kuerten ( 3 / 3 )   CRO : Goran Ivanišević   Lleyton Hewitt ( 1 / 2 )     2002   Thomas Johansson   Albert Costa   Lleyton Hewitt ( 2 / 2 )   Pete Sampras ( 14 / 14 )     2003   Andre Agassi ( 8 / 8 )   Juan Carlos Ferrero   SUI : Roger Federer ( 1 / 20 )   Andy Roddick       Roger Federer ( 2 / 20 )   Gastón Gaudio   Roger Federer ( 3 / 20 )   Roger Federer ( 4 / 20 )     2005   Marat Safin ( 2 / 2 )   Rafael Nadal ( 1 / 16 )   Roger Federer ( 5 / 20 )   Roger Federer ( 6 / 20 )     2006   Roger Federer ( 7 / 20 )   Rafael Nadal ( 2 / 16 )   Roger Federer ( 8 / 20 )   Roger Federer ( 9 / 20 )     2007   Roger Federer ( 10 / 20 )   Rafael Nadal ( 3 / 16 )   Roger Federer ( 11 / 20 )   Roger Federer ( 12 / 20 )     2008   SRB : Novak Djokovic ( 1 / 12 )   Rafael Nadal ( 4 / 16 )   Rafael Nadal ( 5 / 16 )   Roger Federer ( 13 / 20 )     2009   Rafael Nadal ( 6 / 16 )   Roger Federer ( 14 / 20 )   Roger Federer ( 15 / 20 )   Juan Martín del Potro       Roger Federer ( 16 / 20 )   Rafael Nadal ( 7 / 16 )   Rafael Nadal ( 8 / 16 )   Rafael Nadal ( 9 / 16 )     2011   Novak Djokovic ( 2 / 12 )   Rafael Nadal ( 10 / 16 )   Novak Djokovic ( 3 / 12 )   Novak Djokovic ( 4 / 12 )     2012   Novak Djokovic ( 5 / 12 )   Rafael Nadal ( 11 / 16 )   Roger Federer ( 17 / 20 )   Andy Murray ( 1 / 3 )     2013   Novak Djokovic ( 6 / 12 )   Rafael Nadal ( 12 / 16 )   Andy Murray ( 2 / 3 )   Rafael Nadal ( 13 / 16 )     2014   Stan Wawrinka ( 1 / 3 )   Rafael Nadal ( 14 / 16 )   Novak Djokovic ( 7 / 12 )   Marin Čilić     2015   Novak Djokovic ( 8 / 12 )   Stan Wawrinka ( 2 / 3 )   Novak Djokovic ( 9 / 12 )   Novak Djokovic ( 10 / 12 )     2016   Novak Djokovic ( 11 / 12 )   Novak Djokovic ( 12 / 12 )   Andy Murray ( 3 / 3 )   Stan Wawrinka ( 3 / 3 )     2017   Roger Federer ( 18 / 20 )   Rafael Nadal ( 15 / 16 )   Roger Federer ( 19 / 20 )   Rafael Nadal ( 16 / 16 )     2018   Roger Federer ( 20 / 20 )             Legend     Player won all 4 Grand Slam tournaments in the same year     Player won 3 Grand Slam tournaments in the same year     Player won 2 Grand Slam tournaments in the same year     Italics -- open only to specific club members of the host country     * authorities differ on whether these events should count toward grand slam totals     * * The French Championships opened itself to international competitors and renamed as Championnats Internationaux de France ( de tennis ) .     * * * French Championships held between 1941 and 1945 are not recognized by the tournament organizer . See Tournoi de France     † Held in January 1920 , before the 1920 Australasian Championships     † † Held in August 1923 , after Wimbledon and before the US National Championships     † † † Renamed from Australasian Championships to Australian Championships     † † † † Australian Open held in December of the year it is listed under , after the US Open     Statistics   Grand Slam singles titles by decade     1920s    9   Tilden       7   Lacoste       5   Cochet       3   Anderson , Borotra       2   Patterson , Wood     1   Gemmell , Gregory , Hawkes , Johnston      1930s    8   Perry       6   Budge , Crawford       3   Vines       2   Cochet , von Cramm , Riggs       1   Allison , Borotra , Bromwich , Doeg , Henkel , McGrath , McNeill , Moon , Quist , Tilden , Wood          1940s    4   Parker       3   Kramer       2   Gonzales , Quist , Schroeder       1   Asbóth , Bernard , Bromwich , Falkenburg , Hunt , McNeill , Pails , Petra , Riggs , Sedgman      1950s    5   Trabert       4   Cooper , Hoad , Rosewall , Sedgman       3   Drobný       2   Olmedo , Patty , Rose , Savitt , Seixas       1   Anderson , Davidson , Fraser , Larsen , McGregor , Pietrangeli          1960s    12   Emerson       11   Laver       4   Santana       2   Fraser , Newcombe , Stolle       1   Ashe , Bowrey , McKinley , Osuna , Pietrangeli , Roche , Rosewall      1970s    8   Borg       5   Newcombe , Connors       4   Vilas       3   Rosewall , Kodeš       2   Smith , Năstase , Ashe       1   Edmondson , Gerulaitis , Gimeno , McEnroe , Orantes , Panatta , Tanner          1980s    7   Lendl , Wilander       6   McEnroe       4   Becker       3   Borg , Connors , Edberg       2   Kriek       1   Cash , Chang , Noah , Teacher      1990s    12   Sampras       5   Agassi       4   Courier       3   Edberg       2   Becker , Bruguera , Kafelnikov , Rafter       1   Gómez , Korda , Krajicek , Kuerten , Lendl , Moyá , Muster , Stich          2000s    15   Federer       6   Nadal       3   Agassi       2   Hewitt , Kuerten , Safin , Sampras       1   Costa , Djokovic , Ferrero , Gaudio , Ivanišević , Johansson , del Potro , Roddick      2010s    11   Djokovic       10   Nadal       5   Federer       3   Murray , Wawrinka         1   Čilić        Most Grand Slam singles titles ( 5 or more )      All - time     Rank   Player   Total   Years   Australian Open   French Open   Wimbledon   US Open       Roger Federer   20   2003 -- 2018   6     8   5       Rafael Nadal   16   2005 -- 2017     10           Pete Sampras   14   1990 -- 2002     0   7   5       Roy Emerson   12   1961 -- 1967   6           Novak Djokovic   12   2008 -- 2016   6           6   Rod Laver   11   1960 -- 1969             Björn Borg   11   1974 -- 1981   0   6   5   0     8   Bill Tilden   10   1920 -- 1930   0   0     7     9   Fred Perry   8   1933 -- 1936             Ken Rosewall   8   1953 -- 1972       0       Jimmy Connors   8   1974 -- 1983     0     5     Ivan Lendl   8   1984 -- 1990       0       Andre Agassi   8   1992 -- 2003             14   Richard Sears   7   1881 -- 1887   0   0   0   7     William Renshaw   7   1881 -- 1889   0   0   7   0     William Larned   7   1901 -- 1911   0   0   0   7     René Lacoste   7   1925 -- 1929   0           Henri Cochet   7   1926 -- 1932   0           John Newcombe   7   1967 -- 1975     0         John McEnroe   7   1979 -- 1984   0   0         Mats Wilander   7   1982 -- 1988       0       22   Laurence Doherty   6   1902 -- 1906   0   0   5       Tony Wilding   6   1906 -- 1913     0     0     Jack Crawford   6   1931 -- 1935         0     Don Budge   6   1937 -- 1938             Stefan Edberg   6   1985 -- 1992     0         Boris Becker   6   1985 -- 1996     0         28   Frank Sedgman   5   1949 -- 1952     0         Tony Trabert   5   1953 -- 1955   0              Open Era     Rank   Player   Total   Years   Australian Open   French Open   Wimbledon   US Open       Roger Federer   20   2003 -- 2018   6     8   5       Rafael Nadal   16   2005 -- 2017     10           Pete Sampras   14   1990 -- 2002     0   7   5       Novak Djokovic   12   2008 -- 2016   6           5   Björn Borg   11   1974 -- 1981   0   6   5   0     6   Jimmy Connors   8   1974 -- 1983     0     5     Ivan Lendl   8   1984 -- 1990       0       Andre Agassi   8   1992 -- 2003             9   John McEnroe   7   1979 -- 1984   0   0         Mats Wilander   7   1982 -- 1988       0       11   Stefan Edberg   6   1985 -- 1992     0         Boris Becker   6   1985 -- 1996     0         13   Rod Laver   5   1968 -- 1969             John Newcombe   5   1970 -- 1975     0         Most singles titles by Grand Slam tournament      All - time     Grand Slam   Wins   Player ( s )     Australian Open   6   Roy Emerson Novak Djokovic Roger Federer     French Open   10   Rafael Nadal     Wimbledon   8   Roger Federer     US Open   7   Richard Sears William Larned Bill Tilden       Open Era     Grand Slam   Wins   Player ( s )     Australian Open   6   Novak Djokovic Roger Federer     French Open   10   Rafael Nadal     Wimbledon   8   Roger Federer     US Open   5   Jimmy Connors Pete Sampras Roger Federer        Note : Bold indicates player still active .   Grand Slam singles titles by country ( Open Era )     51   United States       25   Sweden       23   Spain       23   Switzerland       20   Australia       12   Czechoslovakia ( one as Czech Republic )       12   Serbia         7   Germany ( also West Germany )       6   Argentina         4   Russia       3   Brazil , United Kingdom       2   Croatia , Romania , South Africa       1   Austria , Ecuador , France , Italy , Netherlands     Most consecutive years with at least one Grand Slam title     Years   Span   Player ( s )     10   2005 -- 2014   Rafael Nadal     8   1974 -- 1981   Björn Borg     8   1993 -- 2000   Pete Sampras     8   2003 -- 2010   Roger Federer     7   1881 -- 1887   Richard Sears     Note : * indicates ongoing streak , bold indicates player still active .   Achieved a Career Grand Slam   These players won all four majors . The year listed is the year the player first won each tournament ; the last one is marked in bold . The age listed is the age at the end of that last tournament , i.e. , the age at which the player completed his Career Grand Slam .     Player   Australian Open   French Open   Wimbledon   US Open   Age     Fred Perry   1934   1935   1934   1933   26 years , 15 days     Don Budge   1938   1938   1937   1937   22 years , 357 days     Rod Laver   1960   1962   1961   1962   24 years , 32 days     Roy Emerson   1961   1963   1964   1961   27 years , 244 days     Andre Agassi   1995   1999   1992   1994   29 years , 38 days     Roger Federer     2009   2003     27 years , 203 days     Rafael Nadal   2009   2005   2008     24 years , 101 days     Novak Djokovic   2008   2016   2011   2011   29 years , 14 days     Completed the Grand Slam   ( Winners of all four Grand Slam singles tournaments in the same calendar year )       Australian -- French -- Wimbledon -- U.S. :   1938 Don Budge   1962 Rod Laver   1969 Rod Laver ( 2 )         Winners of three Grand Slam singles tournaments in the same calendar year   Note : players with four titles are not included here .       Australian -- French -- Wimbledon :   1933 Jack Crawford   1956 Lew Hoad     Australian -- French -- U.S. :   1988 Mats Wilander         Australian -- Wimbledon -- U.S. :   1934 Fred Perry   1958 Ashley Cooper   1964 Roy Emerson   1974 Jimmy Connors   2004 Roger Federer   2006 Roger Federer ( 2 )   2007 Roger Federer ( 3 )   2011 Novak Djokovic   2015 Novak Djokovic ( 2 )         French -- Wimbledon -- U.S. :   1955 Tony Trabert   2010 Rafael Nadal         Winners of two Grand Slam singles tournaments in the same calendar year   Note : players with more than two titles are not included here .       Australian -- French :   1953 Ken Rosewall   1963 Roy Emerson   1967 Roy Emerson ( 2 )   1992 Jim Courier   2016 Novak Djokovic         Australian -- Wimbledon :   1951 Dick Savitt   1959 Alex Olmedo   1965 Roy Emerson   1994 Pete Sampras   1997 Pete Sampras ( 2 )   2017 Roger Federer         Australian -- U.S. :   1961 Roy Emerson   1973 John Newcombe               French -- Wimbledon :   1925 René Lacoste   1935 Fred Perry   1950 Budge Patty   1978 Björn Borg   1979 Björn Borg ( 2 )   1980 Björn Borg ( 3 )   2008 Rafael Nadal   2009 Roger Federer         French -- U.S. :   1927 René Lacoste   1928 Henri Cochet   1977 Guillermo Vilas   1986 Ivan Lendl   1987 Ivan Lendl ( 2 )   1999 Andre Agassi   2013 Rafael Nadal   2017 Rafael Nadal ( 2 )         Wimbledon -- U.S. :   1903 Laurence Doherty   1920 Bill Tilden   1921 Bill Tilden ( 2 )   1932 Ellsworth Vines   1936 Fred Perry   1937 Don Budge   1939 Bobby Riggs   1947 Jack Kramer   1952 Frank Sedgman   1960 Neale Fraser   1967 John Newcombe   1981 John McEnroe   1982 Jimmy Connors   1984 John McEnroe ( 2 )   1989 Boris Becker   1993 Pete Sampras   1995 Pete Sampras ( 2 )   2005 Roger Federer         Winners of three or more consecutive Grand Slam singles titles     Titles   Players   Years     6   Don Budge   1937 -- 38       Rod Laver   1962     Rod Laver   1969     Novak Djokovic   2015 -- 16       Jack Crawford   1933     Tony Trabert   1955     Lew Hoad   1956     Roy Emerson   1964 -- 65     Pete Sampras   1993 -- 94     Roger Federer   2005 -- 06     Roger Federer   2006 -- 07     Rafael Nadal       Novak Djokovic   2011 -- 12     Winners of five or more singles titles at one Grand Slam tournament     All - time    Titles   Player   Grand Slam     10   Rafael Nadal   French Open     8   Roger Federer   Wimbledon     7   Richard Sears   U.S. Championships     William Renshaw   Wimbledon Championships     William Larned   U.S. Championships     Bill Tilden   U.S. Championships     Pete Sampras   Wimbledon     6   Roy Emerson   Australian Championships     Björn Borg   French Open     Novak Djokovic   Australian Open     Roger Federer   Australian Open     5   Laurence Doherty   Wimbledon     Björn Borg   Wimbledon     Jimmy Connors   US Open     Pete Sampras   US Open     Roger Federer   US Open          Open Era    Titles   Player   Grand Slam     10   Rafael Nadal   French Open     8   Roger Federer   Wimbledon     7   Pete Sampras   Wimbledon     6   Björn Borg   French Open     Novak Djokovic   Australian Open     Roger Federer   Australian Open     5   Björn Borg   Wimbledon     Jimmy Connors   US Open     Pete Sampras   US Open     Roger Federer   US Open           Winners of four or more consecutive singles titles at one Grand Slam tournament     All - time    Titles   Player   Grand Slam   Years     7   Richard Sears   U.S. Championships   1881 -- 87     6   William Renshaw   Wimbledon   1881 -- 86     Bill Tilden   U.S. Championships   1920 -- 25     5   Laurence Doherty   Wimbledon   1902 -- 06     William Larned   U.S. Championships   1907 -- 11     Roy Emerson   Australian Championships   1963 -- 67     Björn Borg   Wimbledon   1976 -- 80     Roger Federer   Wimbledon   2003 -- 07     Roger Federer   US Open   2004 -- 08     Rafael Nadal   French Open   2010 -- 14       Reginald Doherty   Wimbledon   1897 -- 1900     Tony Wilding   Wimbledon   1910 -- 13     Björn Borg   French Open   1978 -- 81     Pete Sampras   Wimbledon   1997 -- 2000     Rafael Nadal   French Open   2005 -- 08          Open Era    Titles   Player   Grand Slam   Years     5   Björn Borg   Wimbledon   1976 -- 80     Roger Federer   Wimbledon   2003 -- 07     Roger Federer   US Open   2004 -- 08     Rafael Nadal   French Open   2010 -- 14       Björn Borg   French Open   1978 -- 81     Pete Sampras   Wimbledon   1997 -- 2000     Rafael Nadal   French Open   2005 -- 08           Bold = Active Streaks   Winning a Grand Slam singles tournament without losing a set  Chronological timeline ( by player )    Most in category *       Player   Times   Grand Slam Tournaments     Australian Open   French Open   Wimbledon   US Open     Richard Sears   3 *   --   --   --   1881 , 1882 , 1883 *     Laurence Doherty     --   --   --   1903     Holcombe Ward     --   --   --   1904     William Larned     --   --   --   1907     Tony Wilding     1909 *   --   --   --     Rodney Heath     1910 *   --   --   --     Pat O'Hara Wood     1923 *   --   --   --     Don Budge     1938 *   --   1938 *   --     John Bromwich     1939 *   --   --   --     Frank Parker     --   --   --   1945     Frank Sedgman     --   --   --   1952     Tony Trabert   3 *   --   --   1955 *   1953 , 1955     Neale Fraser     --   --   --   1960     Chuck McKinley     --   --   1963 *   --     Roy Emerson     1964 *   --   --   --     Ken Rosewall     1971 *   --   --   --     Ilie Nă</t>
  </si>
  <si>
    <t xml:space="preserve">who has won the most grand slam singles tennis titles</t>
  </si>
  <si>
    <t xml:space="preserve">   Rank   Player   Total   Years   Australian Open   French Open   Wimbledon   US Open       Roger Federer   20   2003 -- 2018   6     8   5       Rafael Nadal   16   2005 -- 2017     10           Pete Sampras   14   1990 -- 2002     0   7   5       Roy Emerson   12   1961 -- 1967   6           Novak Djokovic   12   2008 -- 2016   6           6   Rod Laver   11   1960 -- 1969             Björn Borg   11   1974 -- 1981   0   6   5   0     8   Bill Tilden   10   1920 -- 1930   0   0     7     9   Fred Perry   8   1933 -- 1936             Ken Rosewall   8   1953 -- 1972       0       Jimmy Connors   8   1974 -- 1983     0     5     Ivan Lendl   8   1984 -- 1990       0       Andre Agassi   8   1992 -- 2003             14   Richard Sears   7   1881 -- 1887   0   0   0   7     William Renshaw   7   1881 -- 1889   0   0   7   0     William Larned   7   1901 -- 1911   0   0   0   7     René Lacoste   7   1925 -- 1929   0           Henri Cochet   7   1926 -- 1932   0           John Newcombe   7   1967 -- 1975     0         John McEnroe   7   1979 -- 1984   0   0         Mats Wilander   7   1982 -- 1988       0       22   Laurence Doherty   6   1902 -- 1906   0   0   5       Tony Wilding   6   1906 -- 1913     0     0     Jack Crawford   6   1931 -- 1935         0     Don Budge   6   1937 -- 1938             Stefan Edberg   6   1985 -- 1992     0         Boris Becker   6   1985 -- 1996     0         28   Frank Sedgman   5   1949 -- 1952     0         Tony Trabert   5   1953 -- 1955   0         </t>
  </si>
  <si>
    <t xml:space="preserve">Halloween ( 1978 film ) - wikipedia  Halloween ( 1978 film )  For other uses , see Halloween ( disambiguation ) .      Halloween     Theatrical release poster     Directed by   John Carpenter     Produced by   Debra Hill     Written by     John Carpenter   Debra Hill       Starring     Donald Pleasence   Jamie Lee Curtis   P.J. Soles   Nancy Loomis       Music by   John Carpenter     Cinematography   Dean Cundey     Edited by     Tommy Wallace   Charles Bornstein       Production company   Falcon International Productions     Distributed by   Compass International Pictures     Release date     October 25 , 1978 ( 1978 - 10 - 25 )               Running time   91 minutes     Country   United States     Language   English     Budget   $300,000 -- 325,000     Box office   $70 million     Halloween is a 1978 American slasher film directed and scored by John Carpenter , co-written with producer Debra Hill , and starring Donald Pleasence and Jamie Lee Curtis in her film debut . The film tells the story of Michael Myers , who was committed to a sanitarium as a child for the murder of his older sister Judith Myers . Fifteen years later , he escapes to stalk and kill the people of the fictional town of Haddonfield , Illinois while being chased by his former psychiatrist , Samuel Loomis .   Halloween was produced on a budget of $300,000 and grossed $47 million at the box office in the United States and $23 million internationally for a total of $70 million worldwide , selling almost 30 million tickets in 1978 . It became one of the most profitable independent films . Primarily praised for its direction and musical score , many critics credit the film as the first in a long line of slasher films inspired by Alfred Hitchcock 's Psycho ( 1960 ) . In 2006 , the film was selected for preservation in the United States National Film Registry by the Library of Congress as being `` culturally , historically , or aesthetically significant '' .   Some critics have suggested that Halloween may encourage sadism and misogyny by audiences identifying with its villain . Others have suggested the film is a social critique of the immorality of youth and teenagers in 1970s America , with many of Myers ' victims being sexually promiscuous substance abusers , while the lone heroine is depicted as innocent and pure , hence her survival . Carpenter dismisses such analyses .   Contents    1 Plot   2 Cast   3 Production   3.1 Writing   3.2 Casting   3.3 Direction   3.4 Music     4 Release   4.1 Theatrical run   4.2 Television rights   4.3 Home video releases     5 Reception   5.1 Critical response   5.2 Themes and analysis   5.3 Awards     6 Influence   7 Sequels and remake   8 See also   9 References   10 External links    Plot ( edit )   In 1963 , on Halloween night in the Midwestern United States town of Haddonfield , Illinois , Michael Myers , dressed in a clown costume and mask , inexplicably stabs his older sister Judith to death with a kitchen knife in their home . He is subsequently hospitalized at Warren County 's Smith 's Grove Sanitarium . Fifteen years later , on October 30 , 1978 , Michael 's child psychiatrist , Dr. Sam Loomis , and his colleague , Marion Chambers , arrive at Smith 's Grove Sanitarium to take Michael to court . Michael escapes from the sanitarium , stealing Loomis ' car . Returning home to Haddonfield , Michael kills a mechanic for his uniform and steals a white mask , a couple of knives , and some rope from a local store .   The next day , on Halloween , Michael stalks high school student Laurie Strode after she and Tommy Doyle drop off a key at his former house , so her father can sell it . Throughout the day , Laurie notices Michael following her , but her friends Annie Brackett and Lynda Van der Klok dismiss her concerns . Loomis arrives in Haddonfield in search of Michael , knowing his intentions . After discovering that Judith Myers ' headstone has been stolen from the local cemetery , Loomis meets with Annie 's father , Sheriff Leigh Brackett . The two begin their search at Michael 's house , where Loomis tries to warn the skeptical sheriff about the danger Michael poses , explaining that Michael is pure evil and capable of further violence , despite years of catatonia . Sheriff Brackett patrols the streets while Loomis waits and watches the house , expecting Michael to return there .   Later that night , Laurie goes over to babysit Tommy , while Annie babysits Lindsey Wallace just across the street , unaware that Michael is watching them . When Annie 's boyfriend , Paul , calls her to come and pick him up , she takes Lindsey over to the Doyle house to spend the night with Laurie and Tommy . Annie is just about to leave in her car when Michael , who stowed away in the back seat , strangles her before slitting her throat , killing her .   Soon after , Lynda and her boyfriend Bob Simms arrive at the Wallace house . After having sex , Bob goes downstairs to get a beer for Lynda , but Michael stabs him with a knife which pins him to the wall , killing him . Michael then poses as Bob in a ghost costume and confronts Lynda , who teases him , having no effect . Lynda calls Laurie ; just as Laurie picks up , Michael strangles Lynda to death with the telephone cord . Meanwhile , Loomis discovers the stolen car and begins combing the streets .   Suspicious , Laurie goes over to the Wallace house . There , she finds the corpses of Annie , Bob , and Lynda in an upstairs bedroom , as well as Judith Myers ' headstone . Horrified , Laurie cowers in the hallway , when Michael suddenly appears and attacks her , slashing her arm . Barely escaping , Laurie races back to the Doyle house . Michael gets in and attacks her again , but Laurie manages to fend him off long enough for Tommy and Lindsey to escape . Laurie defends herself by stabbing him with a knitting needle , a metal hanger , and his own knife , but Michael re-animates and attacks Laurie . Loomis sees the two children fleeing the house , and goes to investigate , finding Michael and Laurie fighting upstairs . Loomis shoots Michael six times , knocking him off the balcony ; when Loomis goes to check Michael 's body , he finds it missing . Unsurprised , Loomis stares off into the night , while Laurie begins sobbing in terror . Places where Michael had previously been are shown as his breathing is heard , indicating he could be anywhere .   Cast ( edit )  See also : List of Halloween characters   Donald Pleasence as Dr. Sam Loomis   Jamie Lee Curtis as Laurie Strode   Nick Castle as Michael Myers / The Shape   Tony Moran as Michael Myers ( unmasked )   Will Sandin as Michael Myers ( age 6 )     P.J. Soles as Lynda Van Der Klok   Nancy Kyes as Annie Brackett   Charles Cyphers as Sheriff Leigh Brackett   Kyle Richards as Lindsey Wallace   Brian Andrews as Tommy Doyle   John Michael Graham as Bob Simms   Nancy Stephens as Marion Chambers   Arthur Malet as Graveyard Keeper   Mickey Yablans as Richie   Brent Le Page as Lonnie   Adam Hollander as Keith   Sandy Johnson as Judith Margaret Myers   David Kyle as Judith 's Boyfriend   Peter Griffith as Laurie 's Father   Robert Phalen as Dr. Terence Wynn    Production ( edit )   After viewing Carpenter 's film Assault on Precinct 13 ( 1976 ) at the Milan Film Festival , independent film producer Irwin Yablans and financier Moustapha Akkad sought out Carpenter to direct a film for them about a psychotic killer that stalked babysitters . In an interview with Fangoria magazine , Yablans stated , `` I was thinking what would make sense in the horror genre , and what I wanted to do was make a picture that had the same impact as The Exorcist . '' Carpenter and his then - girlfriend Debra Hill began drafting a story originally titled The Babysitter Murders , but , as Carpenter told Entertainment Weekly , Yablans suggested setting the movie on Halloween night and naming it Halloween instead .   Akkad agreed to put up $300,000 for the film 's budget , which was considered low at the time ( Carpenter 's previous film , Assault on Precinct 13 , had an estimated budget of $100,000 ) . Akkad worried over the tight , four - week schedule , low budget , and Carpenter 's limited experience as a filmmaker , but told Fangoria , `` Two things made me decide . One , Carpenter told me the story verbally and in a suspenseful way , almost frame for frame . Second , he told me he did n't want to take any fees , and that showed he had confidence in the project '' . Carpenter received $10,000 for directing , writing , and composing the music , retaining rights to 10 percent of the film 's profits .   Because of the low budget , wardrobe and props were often crafted from items on hand or that could be purchased inexpensively . Carpenter hired Tommy Lee Wallace as production designer , art director , location scout and co-editor . Wallace created the trademark mask worn by Michael Myers throughout the film from a Captain Kirk mask purchased for $1.98 . Carpenter recalled how Wallace `` widened the eye holes and spray - painted the flesh a bluish white . In the script it said Michael Myers 's mask had ' the pale features of a human face ' and it truly was spooky looking . I can only imagine the result if they had n't painted the mask white . Children would be checking their closet for William Shatner after Tommy got through with it . '' Hill adds that the `` idea was to make him almost humorless , faceless -- this sort of pale visage that could resemble a human or not . '' Many of the actors wore their own clothes , and Curtis ' wardrobe was purchased at J.C. Penney for around a hundred dollars .   The limited budget also dictated the filming location and time schedule . Halloween was filmed in 20 days in the spring of 1978 in South Pasadena , California , Garfield Elementary School in Alhambra , and the cemetery at Sierra Madre , California . An abandoned house owned by a church stood in as the Myers house . Two homes on Orange Grove Avenue ( near Sunset Boulevard ) in Hollywood were used for the film 's climax . The crew had difficulty finding pumpkins in the spring , and artificial fall leaves had to be reused for multiple scenes . Local families dressed their children in Halloween costumes for trick - or - treat scenes .   In August 2006 , Fangoria reported that Synapse Films had discovered boxes of negatives containing footage cut from the film . One was labeled `` 1981 '' suggesting that it was additional footage for the television version of the film . Synapse owner Don May , Jr. said , `` What we 've got is pretty much all the unused original camera negative from Carpenter 's original Halloween . Luckily , Billy ( Kirkus ) was able to find this material before it was destroyed . The story on how we got the negative is a long one , but we 'll save it for when we 're able to showcase the materials in some way . Kirkus should be commended for pretty much saving the Holy Grail of horror films . '' It was later reported , `` We just learned from Sean Clark , long time Halloween genius , that the footage found is just that : footage . There is no sound in any of the reels so far , since none of it was used in the final edit . ''   Writing ( edit )   It took approximately 10 days to write the script . Yablans and Akkad ceded most of the creative control to writers Carpenter and Hill ( whom Carpenter wanted as producer ) , but Yablans did offer several suggestions . According to a Fangoria interview with Hill , `` Yablans wanted the script written like a radio show , with ' boos ' every 10 minutes . '' Hill explained that the script took three weeks to write and much of the inspiration behind the plot came from Celtic traditions of Halloween such as the festival of Samhain . Although Samhain is not mentioned in the plot of the first film , Hill asserts that :   ... the idea was that you could n't kill evil , and that was how we came about the story . We went back to the old idea of Samhain , that Halloween was the night where all the souls are let out to wreak havoc on the living , and then came up with the story about the most evil kid who ever lived . And when John came up with this fable of a town with a dark secret of someone who once lived there , and now that evil has come back , that 's what made Halloween work .   Hill wrote most of the female characters ' dialogue , while Carpenter drafted Loomis ' speeches on the soullessness of Michael Myers . Many script details were drawn from Carpenter 's and Hill 's adolescence and early careers . The fictional town of Haddonfield , Illinois was derived from Haddonfield , New Jersey , where Hill grew up , and most of the street names were taken from Carpenter 's hometown of Bowling Green , Kentucky . Laurie Strode was the name of one of Carpenter 's old girlfriends and Michael Myers was the name of an English producer who had previously entered , with Yablans , Assault on Precinct 13 in various European film festivals . In Halloween , Carpenter pays homage to Alfred Hitchcock with two characters ' names : Tommy Doyle is named after Lt. Det . Thomas J. Doyle ( Wendell Corey ) from Rear Window ( 1954 ) , and Dr. Loomis ' name was taken from Sam Loomis ( John Gavin ) from Psycho , the boyfriend of Marion Crane ( Janet Leigh , who is the real - life mother of Jamie Lee Curtis ) . Sheriff Leigh Brackett shared the name of a Hollywood screenwriter .  `` I met this six year old child with this blank , pale , emotionless face , and the blackest eyes ; the devil 's eyes ( ... ) I realized what was living behind that boy 's eyes was purely and simply ... evil . ''  -- Loomis ' description of a young Michael was inspired by John Carpenter 's experience with a real life mental patient .   Carpenter 's inspiration for the `` evil '' that Michael would embody came when he was in college . While on a class trip at a mental institution in Kentucky , Carpenter visited `` the most serious , mentally ill patients '' . Among those patients was a young boy around twelve to thirteen years - old . The boy gave this `` schizophrenic stare '' , `` a real evil stare '' , which Carpenter found `` unsettling '' , `` creepy '' , and `` completely insane '' . Carpenter 's experience would inspire the characterization that Loomis would give of Michael to Sheriff Brackett in the film .   Casting ( edit )  Jamie Lee Curtis , in her feature film debut , plays Laurie Strode , the heroine of the film .  The cast of Halloween included veteran actor Donald Pleasence and then - unknown actress Jamie Lee Curtis . The low budget limited the number of big names that Carpenter could attract , and most of the actors received very little compensation for their roles . Pleasence was paid the highest amount at $20,000 , Curtis received $8,000 , and Nick Castle earned $25 a day . The role of Dr. Loomis was originally intended for Peter Cushing , who had recently appeared as Grand Moff Tarkin in Star Wars ( 1977 ) ; Cushing 's agent rejected Carpenter 's offer due to the low salary . Christopher Lee was also approached for the role ; he too turned it down , although the actor would later tell Carpenter and Hill that declining the role was the biggest mistake he made during his career . Yablans then suggested Pleasence , who agreed to star because his daughter Lucy , a guitarist , had enjoyed Assault on Precinct 13 for Carpenter 's score . American audiences were primarily acquainted with Pleasence due to his portrayal of the villain Ernst Stavro Blofeld in the James Bond film You Only Live Twice ( 1967 ) .   In an interview , Carpenter admits that `` Jamie Lee was n't the first choice for Laurie . I had no idea who she was . She was 19 and in a TV show at the time , but I did n't watch TV . '' He originally wanted to cast Anne Lockhart , the daughter of June Lockhart from Lassie , as Laurie Strode . However , Lockhart had commitments to several other film and television projects . Hill says of learning that Jamie Lee was the daughter of Psycho actress Janet Leigh , `` I knew casting Jamie Lee would be great publicity for the film because her mother was in Psycho . '' Halloween was Curtis ' feature film debut and launched her career as a `` scream queen '' horror star . Another relatively unknown actress , Nancy Kyes ( credited in the film as Nancy Loomis ) , was cast as Laurie 's friend Annie Brackett , daughter of Haddonfield sheriff Leigh Brackett ( Charles Cyphers ) . Kyes had previously starred in Assault on Precinct 13 ( as had Cyphers ) and happened to be dating Halloween 's art director Tommy Lee Wallace when filming began . Carpenter chose P.J. Soles to play Lynda Van Der Klok , another friend of Laurie 's , best remembered in the film for dialogue peppered with the word `` totally . '' Soles was an actress known for her supporting role in Carrie ( 1976 ) and her minor part in The Boy in the Plastic Bubble ( 1976 ) . According to one source , `` Carpenter realized she had captured the aura of a happy go lucky teenage girl in the 70s . ''   The role of `` The Shape '' -- as the masked Michael Myers character was billed in the end credits -- was played by Nick Castle , who befriended Carpenter while they attended the University of Southern California . After Halloween , Castle became a director , taking the helm of films such as The Last Starfighter ( 1984 ) , The Boy Who Could Fly ( 1986 ) , Dennis the Menace ( 1993 ) , and Major Payne ( 1995 ) .   Direction ( edit )   Historian Nicholas Rogers notes that film critics contend that Carpenter 's direction and camera work made Halloween a `` resounding success '' . Roger Ebert remarks , `` It 's easy to create violence on the screen , but it 's hard to do it well . Carpenter is uncannily skilled , for example , at the use of foregrounds in his compositions , and everyone who likes thrillers knows that foregrounds are crucial ... '' The opening title , featuring a jack - o ' - lantern placed against a black backdrop , sets the mood for the entire film . The camera slowly moves toward the jack - o ' - lantern 's left eye as the main title theme plays . After the camera fully closes in , the jack - o ' - lantern 's light dims and goes out . Film historian J.P. Telotte says that this scene `` clearly announces that ( the film 's ) primary concern will be with the way in which we see ourselves and others and the consequences that often attend our usual manner of perception '' . During the conception of the plot , Yablans instructed `` that the audience should n't see anything . It should be what they thought they saw that frightens them '' . Carpenter seemingly took Yablans ' advice literally , filming many of the scenes from Michael Myers 's point - of - view that allowed audience participation . Carpenter is not the first director to employ this method or use of a steadicam ; for instance , the first scene of Psycho offers a voyeuristic look at lovers in a seedy hotel . Telotte argues , `` As a result of this shift in perspective from a disembodied , narrative camera to an actual character 's eye ... we are forced into a deeper sense of participation in the ensuing action '' . Along with the 1974 Canadian horror film Black Christmas , Halloween made use of seeing events through the killer 's eyes .  This scene features Michael ( right ) , who pins Bob ( left ) to the door and observes his dying motions . Remaining relatively un-graphic , this scene displays the use of lighting to create its atmosphere rather than graphic blood and violence .  The first scene of the young Michael 's voyeurism is followed by the murder of Judith seen through the eye holes of Michael 's clown costume mask . According to one commentator , Carpenter 's `` frequent use of the unmounted first - person camera to represent the killer 's point of view ... invited ( viewers ) to adopt the murderer 's assaultive gaze and to hear his heavy breathing and plodding footsteps as he stalked his prey '' . Another technique that Carpenter adapted from Alfred Hitchcock 's Psycho ( 1960 ) was suspense with minimal blood and gore . Hill comments , `` We did n't want it to be gory . We wanted it to be like a jack - in - the box . '' Film analysts refer to this as the `` false startle '' or `` the old tap - on - the - shoulder routine '' in which the stalkers , murderers , or monsters `` lunge into our field of vision or creep up on a person . '' Carpenter worked with the cast to create the desired effect of terror and suspense . According to Curtis , Carpenter created a `` fear meter '' because the film was shot out - of - sequence and she was not sure what her character 's level of terror should be in certain scenes . `` Here 's about a 7 , here 's about a 6 , and the scene we 're going to shoot tonight is about a 91⁄2 '' , remembered Curtis . She had different facial expressions and scream volumes for each level on the meter .   Carpenter 's direction for Castle in his role as Myers was minimal . For example , when Castle asked what Myers ' motivation was for a particular scene , Carpenter replied that his motivation was to walk from one set marker to another . The documentary titled Halloween Un-masked , featured in the 22nd anniversary DVD of Halloween , John Carpenter states he also instructed Castle to tilt his head a couple of times as if he was observing the corpse , particularly in the scene when Myers impaled one of his victims against a wall .   Music ( edit )  Main article : Halloween ( soundtrack )  Another major reason for the success of Halloween is the moody musical score , particularly the main theme . Lacking a symphonic soundtrack , the film 's score consists of a piano melody played in a 10 / 8 or `` complex 5 / 4 '' meter composed and performed by director John Carpenter . It took Carpenter three days to compose the entire score for the film . Critic James Berardinelli calls the score `` relatively simple and unsophisticated '' , but admits that `` Halloween 's music is one of its strongest assets '' . Carpenter stated in an interview , `` I can play just about any keyboard , but I ca n't read or write a note . '' In the end credits , Carpenter bills himself as the `` Bowling Green Philharmonic Orchestra '' for performing the film 's score , but he did receive assistance from composer Dan Wyman , a music professor at San José State University .   Some songs can be heard in the film , one being an untitled song performed by Carpenter and a group of his friends who formed a band called The Coupe De Villes . The song is heard as Laurie steps into Annie 's car on her way to babysit Tommy Doyle . Another song , `` ( Do n't Fear ) The Reaper '' by classic rock band Blue Öyster Cult , appears in the film .   The soundtrack was first released in the United States in October 1983 , by Varèse Sarabande / MCA . It was subsequently released on Compact Disc in 1985 , re-released in 1990 , and again in 2000 . On the film 's 40th anniversary , coinciding with the release of Anthology : Movie Themes 1974 -- 1998 , a remix of the theme by Trent Reznor and Atticus Ross was released .   Release ( edit )  Ad , The Village Voice , Nov. 6 , 1978 : only known , published window for date of film 's New York City premiere ( `` Held over ... 2nd week '' )  Theatrical run ( edit )   Halloween premiered on October 25 , 1978 in Kansas City , Missouri ( at the AMC Midland / Empire ) and sometime afterward in Chicago , Illinois , and in New York City . It had its Los Angeles debut October 27 , 1978 . It opened in Pittsburgh , Pennsylvania , on November 22 , 1978 . The film grossed $47 million in the United States and an additional $23 million internationally , making the theatrical total $70 million .   On September 7 , 2012 , the official Halloween Movies Facebook page announced that the original Halloween would be theatrically re-released starting October 25 , 2013 in celebration of the film 's 35th anniversary in 2013 . A new documentary was screened before the film at all locations , entitled , You Ca n't Kill the Boogeyman : 35 Years of Halloween , written and directed by HalloweenMovies.com webmaster Justin Beahm .   Television rights ( edit )       This section needs additional citations for verification . Please help improve this article by adding citations to reliable sources . Unsourced material may be challenged and removed . ( November 2016 ) ( Learn how and when to remove this template message )     In 1980 , the television rights to Halloween were sold to the National Broadcasting Company ( NBC ) for $4 million . After a debate among Carpenter , Hill and NBC 's Standards and Practices over censoring of certain scenes , Halloween appeared on television for the first time in October 1981 . To fill the two - hour time slot , Carpenter filmed twelve minutes of additional material during the production of Halloween II . The newly filmed scenes include Dr. Loomis at a hospital board review of Michael Myers and Dr. Loomis talking to a then - 6 - year - old Michael at Smith 's Grove , telling him , `` You 've fooled them , have n't you , Michael ? But not me . '' Another extra scene features Dr. Loomis at Smith 's Grove examining Michael 's abandoned cell after his escape and seeing the word `` Sister '' scratched into the door . Finally , a scene was added in which Lynda comes over to Laurie 's house to borrow a silk blouse before Laurie leaves to babysit , just as Annie telephones asking to borrow the same blouse . The new scene had Laurie 's hair hidden by a towel , since Curtis was by then wearing a much shorter hairstyle than she had worn in 1978 .   Home Video Releases ( edit )   Since Halloween 's premiere , it has been released in several home video formats , including VHS , LaserDisc , DVD , UMD and Blu - ray . Early VHS versions were released by Media Home Entertainment and Blockbuster Video issued a commemorative edition in August 3 , 1995 . Anchor Bay Entertainment ( succeder in - interest to Media Home Entertainment and Video Treasures ) has released several restored editions of Halloween on VHS and DVD , including `` Halloween : Unmasked '' ; a documentary produced and directed by Mark Cerulli which featured an array of interviews with original Halloween cast and crew including Jamie Lee Curtis , Debra Hill , John Carpenter , Nick Castle and others . The most recent release of the film is the 2007 single - disc restored version , with improved picture and sound quality . Anchor Bay has also released an `` extended edition '' of Halloween that features the original theatrical release with the scenes that were shot for the broadcast TV version edited in at their proper places . In 2003 , the film was released on a two - disc `` 25th Anniversary edition '' with improved DiviMax picture and audio , along with an audio commentary by John Carpenter , Jamie Lee Curtis and Debra Hill , the A Cut Above The Rest documentary , On Location : 25 Years Later featurette , the trailer , TV spots , radio spots , poster and still gallery , and DVD - ROM content . In 2007 , the movie was released on Blu - ray as well , marking the film 's first ever Blu - ray release . The Blu - ray features a commentary track by Carpenter , Hill and Curtis , the trailer , TV spots , radio spots , fast film facts and the documentary Halloween : A Cut Above the Rest . In 2008 , a `` 30th Anniversary commemorative set '' was released , containing the film on DVD and Blu - ray along with the `` extended edition '' , disc one of the 25 Years of Terror documentary DVD and the sequels : Halloween 4 : The Return of Michael Myers and Halloween 5 : The Revenge of Michael Myers , including a replica Michael Myers mask . The DVD release was THX certified . The film has made $18,500,000 in home video rentals .   On June 6 , 2013 , it was announced that a second , 35th anniversary , Blu - ray release for Halloween is in the works and that John Carpenter and Jamie Lee Curtis have recorded a new commentary . On June 11 , it was announced that Dean Cundey is supervising a new high - definition transfer . On July 22 , the official cover art for the 35th anniversary Blu - ray release was revealed including the new special features such as the all - new high definition transfer by Cundey , the new commentary track by Carpenter and Curtis as well as a new 7.1 audio mix , the original mono audio mix , a new featurette with Curtis titled `` The Night She Came Home '' , an `` On - Location '' featurette , the trailer , television and radio spots and the additional scenes from the extended television version . The 35th - anniversary release earned a Saturn Award for Best Classic Film Release .   Reception ( edit )   Critical response ( edit )   Upon its initial release , Halloween performed well with little advertising -- relying mostly on word - of - mouth , but many critics seemed uninterested or dismissive of the film . Pauline Kael wrote a scathing review in The New Yorker suggesting that `` Carpenter does n't seem to have had any life outside the movies : one can trace almost every idea on the screen to directors such as Hitchcock and Brian De Palma and to the Val Lewton productions '' and claiming that `` Maybe when a horror film is stripped of everything but dumb scariness -- when it is n't ashamed to revive the stalest device of the genre ( the escaped lunatic ) -- it satisfies part of the audience in a more basic , childish way than sophisticated horror pictures do . '' The first glowing review by a prominent film critic came from Tom Allen of The Village Voice in November 1978 . Allen noted that the film was sociologically irrelevant but ceded that the Hitchcock - like technique was effective and `` the most honest way to make a good schlock film '' . Allen pointed out the stylistic similarities to Psycho and George A. Romero 's Night of the Living Dead ( 1968 ) . The following month , Voice lead critic Andrew Sarris wrote a follow - up feature on cult films , citing Allen 's appraisal of Halloween and saying in the lead sentence that the film `` bids fair to become the cult discovery of 1978 . Audiences have been heard screaming at its horrifying climaxes '' . Roger Ebert gave the film similar praise in his 1979 review in the Chicago Sun - Times and selected it as one of his top ten films of 1978 . Once - dismissive critics were impressed by Carpenter 's choice of camera angles and simple music , and surprised by the lack of blood and graphic violence . On review aggregate website Rotten Tomatoes , the film has an approval rating of 93 % based on 54 reviews , with an average rating of 8.5 / 10 . The site 's critical consensus reads , `` Scary , suspenseful , and viscerally thrilling , Halloween set the standard for modern horror films . ''   Many compared the film with the work of Alfred Hitchcock , although TV Guide calls comparisons made to Psycho `` silly and groundless '' and critics in the late 1980s and early 1990s blame the film for spawning the slasher subgenre , which they felt had rapidly descended into sadism and misogyny . Almost a decade after its premiere , Mick Martin and Marsha Porter critiqued the first - person camera shots that earlier film reviewers had praised and later slasher - film directors utilized for their own films ( for example , 1980 's Friday the 13th ) . Claiming it encouraged audience identification with the killer , Martin and Porter pointed to the way `` the camera moves in on the screaming , pleading , victim , ' looks down ' at the knife , and then plunges it into chest , ear , or eyeball . Now that 's sick . ''   Years after its debut , Halloween enjoys a reputation as a classic and is considered by many as one of the best films of 1978 .   Themes and analysis ( edit )   Many criticisms of Halloween and other slasher films come from postmodern academia . Some feminist critics , according to historian Nicholas Rogers , `` have seen the slasher movies since Halloween as debasing women in as decisive a manner as hard - core pornography . '' Critics such as John Kenneth Muir state that female characters such as Laurie Strode survive not because of `` any good planning '' or their own resourcefulness , but sheer luck . Although she manages to repel the killer several times , in the end , Strode is rescued in Halloween and Halloween II only when Dr. Loomis arrives to shoot Myers .   On the other hand , other feminist scholars such as Carol J. Clover argue that despite the violence against women , slasher films turned women into heroines . In many pre-Halloween horror films , women are depicted as helpless victims and are not safe until they are rescued by a strong masculine hero . Despite the fact that Loomis saves Strode , Clover asserts that Halloween initiates the role o</t>
  </si>
  <si>
    <t xml:space="preserve">who played young michael myers in halloween 1978</t>
  </si>
  <si>
    <t xml:space="preserve"> Nick Castle as Michael Myers / The Shape   Tony Moran as Michael Myers ( unmasked )   Will Sandin as Michael Myers ( age 6 )   </t>
  </si>
  <si>
    <t xml:space="preserve">Sunshine of Your Love - wikipedia  Sunshine of Your Love  Jump to : navigation , search For the Ella Fitzgerald album , see Sunshine of Your Love ( album ) .    `` Sunshine of Your Love ''     German single picture sleeve     Single by Cream     from the album Disraeli Gears     B - side   `` SWLABR ''     Released     November 1967 ( 1967 - 11 ) ( album )   December 1967 ( US single )   September 1968 ( UK single )       Recorded   April -- May 1967     Studio   Atlantic , New York City     Genre     Psychedelic rock   hard rock   blues rock       Length     4 : 08 ( album version )   3 : 03 ( US single edit )       Label     Reaction / Polydor ( UK )   Atco ( US )       Composer ( s )     Jack Bruce   Eric Clapton       Lyricist ( s )   Pete Brown     Producer ( s )   Felix Pappalardi     Cream US singles chronology        `` Spoonful '' ( 1967 )   `` Sunshine of Your Love '' ( 1967 )   `` Anyone for Tennis '' ( 1968 )            Cream UK singles chronology        `` Anyone for Tennis '' ( 1968 )   `` Sunshine of Your Love '' ( 1968 )   `` White Room '' ( 1969 )            `` Sunshine of Your Love '' is a 1967 song by the British rock band Cream . With elements of hard rock , psychedelia , and pop , it is one of Cream 's best known and most popular songs . Cream bassist and vocalist Jack Bruce based it on a distinctive bass riff , or repeated musical phrase , he developed after attending a Jimi Hendrix concert . Guitarist Eric Clapton and lyricist Pete Brown later contributed to the song . Recording engineer Tom Dowd suggested the rhythm arrangement in which drummer Ginger Baker plays a distinctive tom - tom drum rhythm , although Baker has claimed it was his idea .   The song was included on Cream 's second album Disraeli Gears in November 1967 , which was a best seller . Atco Records , the group 's American label , was initially unsure of the song 's potential . After recommendations by other label - affiliated artists , it released an edited single version in December 1967 . The song became Cream 's first and highest charting American single and one of the most popular singles of 1968 . In September 1968 , it became a modest chart hit after being released in the UK .   Cream performed `` Sunshine of Your Love '' regularly in concert and several live recordings have been issued , including on the Royal Albert Hall London May 2 - 3 - 5 - 6 , 2005 reunion album and video . Hendrix performed faster instrumental versions of the song , which he often dedicated to Cream . Several rock journals have placed the song on their greatest song lists , such as Rolling Stone , Q magazine , and VH1 . The Rock and Roll Hall of Fame included it on its list of the `` 500 Songs That Shaped Rock and Roll '' .     Contents  ( hide )   1 Composition   2 Recording   3 Releases and charts   4 Recognition and influence   5 Other recordings   6 Notes   7 External links      Composition ( edit )       Cream 's `` Sunshine of Your Love '' First 20 seconds of intro     Problems playing this file ? See media help .     In early 1967 , Cream were writing and rehearsing songs for their second album . Their December 1966 debut album , Fresh Cream , was a mix of updated blues numbers and pop - oriented rock songs . Inspired by recent developments in rock music , they began pursuing a more overtly psychedelic direction . `` Sunshine of Your Love '' began as a bass phrase or riff developed by Cream bassist Jack Bruce . Cream attended a concert on 29 January 1967 by the Jimi Hendrix Experience at the Saville Theatre in London . Cream guitarist Eric Clapton elaborated in a 1988 Rolling Stone magazine interview :   He ( Hendrix ) played this gig that was blinding . I do n't think Jack ( Bruce ) had really taken him in before ... and when he did see it that night , after the gig he went home and came up with the riff . It was strictly a dedication to Jimi . And then we wrote a song on top of it .   Music writers Covach and Boone describe the riff as blues - derived , which uses a minor blues pentatonic scale with an added flattened fifth note ( or common blues scale ) . The song follows a blues chord progression ( I -- IV -- I ) during the first eight bars . Brown had a difficult time writing lyrics that fit the riff . After an all - night session , Bruce played it on a standup bass while lyricist Pete Brown was staring out the window . Slowly , he started to write `` It 's getting near dawn and lights close their tired eyes '' , which is used in the first verse . Later , to break up the rhythm , Clapton wrote a refrain which also yielded the song 's title . It consists of eight - bar sections using three chords , when the key shifts to the V chord ( I = V ) :     I   ♭ III -- ♭ VII     ♭ III -- ♭ VII     ♭ III -- ♭ VII         A bootleg recording from the Ricky - Tick club in London before Cream recorded the song in the studio , shows `` Sunshine of Your Love '' with a beat common to rock for the period . Cream drummer Ginger Baker compared it to the uptempo `` Hey Now , Princess '' , another Bruce / Brown composition Cream recorded in March . He has said that he advised Bruce to slow it down and came up with the distinctive drum pattern which emphasises beats one and three ( typical rock drumming favours beats two and four and is known as the backbeat ) . However , Bruce and recording engineer Tom Dowd dispute Baker 's claim , which they say he only made much later . Dowd later explained   Where all the other songs that they ( Cream ) played were prepared , ( but ) this one song , they never found a pocket , they were never comfortable ... I said , ' You know , have you ever seen any American Westerns ( films that have ) the Indian beat , where the downbeat is the beat ? ' ... And when he ( Ginger ) started playing it that way , all of the parts came together and right away they were elated .   Recording ( edit )   Cream performed their first American concerts in New York City in 1967 . Robert Stigwood , the group 's manager , booked them for a Murray the K package show at the RKO Manhattan Theatre from 25 March to 2 April 1967 . When it was finished , Stigwood arranged for a recording session with Ahmet Ertegun at Atlantic Studios . Bruce and Brown had a number of new songs in various stages of development and entered the studio on 3 April . Initially , Ertegun assigned Dowd to work with the trio . Dowd had worked with many of the biggest jazz and rhythm and blues musicians in the 1950s and 1960s . However , Cream was his first exposure to extreme volume levels . The group arrived at Atlantic with their concert setup of multiple Marshall amplifiers ( each 100 watts ) . Dowd was surprised by the amount of equipment accompanying the trio : `` They recorded at ear - shattering level ... Everyone I 'd worked with before was using Fender Deluxes ( about 20 watts ) or Twins ( about 80 watts ) -- six - and seven - piece bands that did n't play as loud as this three piece did . ''   Ertegun brought in producer Felix Pappalardi , who he believed could work as a go - between with the group and Dowd . They began with `` Strange Brew '' , `` Tales of Brave Ulysses '' , and `` Sunshine of Your Love '' . Ertegun previewed the demos and was unhappy , expecting more blues - based material that was found on Fresh Cream . Jerry Wexler , Ertegun 's Atlantic Records partner , reportedly went as far as to call it `` psychedelic hogwash '' . However , Booker T. Jones ( producer and keyboardist of Booker T. &amp; the M.G. 's ) and Otis Redding ( both whose Stax recordings at the time were distributed by Atco parent Atlantic ) gave `` Sunshine of Your Love '' their wholehearted approval . Differences were smoothed over by the time Cream returned in May 1967 to finish recording the songs for Disraeli Gears .   With Pappalardi and Dowd , work continued on `` Sunshine of Your Love '' . For his guitar solo , Clapton used a sound known as the `` woman tone '' on his 1964 Gibson SG Standard . Author Mitch Gallagher describes it as a `` smooth , dark , singing , sustaining sound '' . It is one of the best - known examples of the woman tone and quotes the melody from the perennial pop standard `` Blue Moon '' . By using the song 's major pentatonic scale , Clapton provides a contrast with the riff 's blues scale . A writer for the Rock and Roll Hall of Fame describes this as `` creating a balance between the sun and the moon '' . Baker plays much of the song on the tom - toms , described as sounding African ( Schumacher ) and Native American ( Shapiro ) . Covach and Boone note he `` concentrates on the lower tom sounds and uses an articulation and sound reminiscent of the jazz drumming in the Woody Herman or Benny Goodman bands '' .   Releases and charts ( edit )   `` Sunshine of Your Love '' was included as the second track on Disraeli Gears , which was released in November 1967 by Reaction Records in the UK and Atco Records in the US . At first , Atco did not see the song as a single ( `` Strange Brew '' , backed with `` Tales of Brave Ulysses '' had been released as a single in June 1967 ) . However , in December 1967 , the label issued an edited version of the song as the second single from the album , backed with `` SWLABR '' ( the running time was trimmed from 4 : 08 to 3 : 03 ) . It entered Billboard magazine 's Hot 100 chart on 13 January 1968 , reaching number 36 during its initial 14 - week run . The record re-entered the chart on 6 July 1968 and reached number five on 31 August 1968 . In the UK , the single was not released until September 1968 , after Cream had announced their impending breakup . Polydor Records issued the UK single , which reached number 25 in the charts .     Top singles charts 1968   Peak position   Weeks on chart     Australia Go - Set Top 40   22   8     Canada RPM 100     11     Dutch Charts   17       UK Singles Chart   25   7     US Billboard Hot 100   5   26     US Cash Box Top Singles   6   24     The Recording Industry Association of America ( RIAA ) certified the single gold on 26 September 1968 , signifying sales in excess of 1,000,000 copies . In the US , it became one of the best selling singles of 1968 and one of the best - selling at the time for the Atlantic group of labels .     1968 Year - end Charts   Position     Canada RPM Top Singles   21     US Billboard Top 10 Singles   6     As one of Cream 's most popular songs , several of the group 's compilation albums include the full - length studio recording , such as Best of Cream , Heavy Cream , The Very Best of Cream , and the boxed set Those Were the Days .   Recognition and influence ( edit )   In 2004 , the song ranked number 65 on Rolling Stone magazine 's list of the `` 500 Greatest Songs of All Time '' . In March 2005 , Q magazine placed `` Sunshine of Your Love '' at number 19 on its list of the `` 100 Greatest Guitar Tracks Ever ! '' In 2009 , VH1 included it at number 44 on its list of the `` Top 100 Hard Rock Songs '' . The song is on the Rock and Roll Hall of Fame 's list of the `` 500 Songs That Shaped Rock and Roll '' .   Ertegun later admitted that , while his tastes ran more to Robert Johnson ( Clapton had recorded Johnson 's `` Ramblin ' on My Mind '' with John Mayall , `` Crossroads '' with the Powerhouse , and `` Four Until Late '' with Cream ) , Cream 's and Pappalardi 's vision resulted in songs which had a much larger impact on the rock audiences of the time . Covach and Boone have identified `` Sunshine of Your Love '' as foreshadowing future trends in rock :   ' Sunshine of Your Love ' , Cream 's best - known song , is a culmination of the British adaptation of blues into rock and also the direct precursor of Led Zeppelin and heavy metal , where this type of blues - based motivic riff and harmonic motions like A -- C -- G or E -- G -- A ( as in `` Whole Lotta Love '' ) serve as the basis for a seemingly endless number of songs .   Other recordings ( edit )   Several live recordings of `` Sunshine of Your Love '' have been issued on Cream albums . These include a 24 October 1967 recording by the BBC ( BBC Sessions ) , 9 March 1968 at the Winterland Ballroom ( Live Cream Volume II ) , and 26 November 1968 at the Royal Albert Hall ( Cream 's Farewell Concert ) . A recording from Cream 's reunion show on 3 May 2005 is included on Royal Albert Hall London May 2 - 3 - 5 - 6 , 2005 . During their post-Cream careers , Clapton and Bruce have recorded several live performances of the song .   A variety of musicians have recorded `` Sunshine of Your Love '' . After Cream announced their breakup , Hendrix often performed it in concert as a tribute to the group , apparently unaware that they had dedicated the song to him . He played it as an instrumental and sometimes as part of a medley . A performance by the Experience on 4 January 1969 is one of the best - known . During the live broadcast of A Happening for Lulu , a music variety show hosted by pop singer Lulu on BBC Television , the Experience suddenly broke with the programme . Hendrix announced , `` We 'd like to stop playing this rubbish ( '' Hey Joe `` ) and dedicate a song to the Cream , regardless of what kind of group they may be in -- dedicate this to Eric Clapton , Ginger Baker , and Jack Bruce '' . As their performance of `` Sunshine of Your Love '' ran into the time allotted for Lulu 's closing number , the show 's producer and staff were frantically signalling for the Experience to stop . However , they continued playing and the show ended on a fade . Hendrix later apologised to Lulu , who thought the performance made for a great television moment .   Notes ( edit )   Footnotes    ^ Jump up to : Although several music writers indicate a January 1968 or 1968 release , including Bobby Owsinski , Riley Haas , Chris Welch , and Bob Leszczak , the single entered the Cash Box Looking Ahead chart dated 30 December 1967 , precluding the possibility of a January 1968 release .   ^ Jump up to : Several Polydor Records singles issued outside of the US show running times close to the album track .   Jump up ^ Cream 's equipment was painted in psychedelic designs and colours by the Dutch design collective the Fool and was first used at the Murray the K shows . Clapton 's 1964 Gibson SG Standard ( also called `` the Fool '' ) , Bruce 's Fender Bass VI , and Baker 's drums were painted to match .   Jump up ^ Pappalardi was so upset with Atlantic 's reaction to Cream 's early recordings , when he joined Leslie West to form Mountain , he chose to work with another record label .    Citations    Jump up ^ Russo , Nicholas ( 2015 ) . ' Feels like we only go backwards ' : nostalgia and contemporary retro rock music ( Doctor of Philosophy thesis ) . School of the Arts , English and Media , University of Wollongong . Retrieved 14 September 2017 .   ^ Jump up to : Bambarger , Bradley ( 6 September 1997 ) . `` Polydor Gears Up for Its Cream Retrospective '' . Billboard . Vol. 109 no . 36 . p. 116 . ISSN 0006 - 2510 .   ^ Jump up to : `` VH1 Top 100 Hard Rock Songs '' . 1 January 2009 . Archived from the original on 2009 . Retrieved 7 February 2009 .   Jump up ^ Cash Box ( 30 December 1967 ) . `` Looking Ahead '' . Cash Box . 29 ( 23 ) : 18 .   Jump up ^ Erlewine , Stephen Thomas . Cream : Fresh Cream -- Review at AllMusic . Retrieved 8 February 2015 .   Jump up ^ Schumacher 2003 , pp. 86 -- 87 .   Jump up ^ Erlewine , Stephen Thomas . Cream : Disraeli Gears -- Review at AllMusic . Retrieved 8 February 2015 .   ^ Jump up to : Shapiro &amp; Glebbeek 1990 , p. 137 .   ^ Jump up to : Covach &amp; Boone 1997 , p. 84 .   ^ Jump up to : Schumacher 2003 , p. 89 .   ^ Jump up to : Shapiro 2009 , p. 97 .   ^ Jump up to : Covach &amp; Boone 1997 , pp. 84 -- 85 .   ^ Jump up to : Brewer 2005 , DVD .   Jump up ^ Birnbaum 2012 , pp. 127 -- 128 .   Jump up ^ Roberty 1993 , p. 41 .   ^ Jump up to : Shapiro 2009 , p. 98 .   ^ Jump up to : Schumacher 2003 , pp. 87 -- 88 .   ^ Jump up to : Schumacher 2003 , p. 88 .   ^ Jump up to : Oxman 2011 , pp. 62 -- 66 .   Jump up ^ Schumacher 2003 , pp. 88 -- 89 .   ^ Jump up to : Thompson 2012 , eBook .   Jump up ^ Shapiro 2009 , p. 99 .   ^ Jump up to : Gallagher 2012 , p. 278 .   Jump up ^ Adelt 2007 , p. 71 .   Jump up ^ Munro 2005 , p. 30 .   Jump up ^ Morrison , Shelby ( 1993 ) . `` Rare Performances : Cream in 1993 -- `` Sunshine of Your Love '' `` . The Story of Rock . Rock and Roll Hall of Fame . Retrieved 21 February 2015 .   Jump up ^ Welch 2011 , p. 106 .   ^ Jump up to : Roberty 1993 , p. 40 .   Jump up ^ Sunshine of Your Love ( Single label ) . The Cream ( sic ) . Atco Records . 1968 . OCLC 642983575 . 45 - 6544 .   ^ Jump up to : Whitburn 2015 , p. 137 .   ^ Jump up to : `` Cream -- Singles '' . Official Charts . Retrieved 8 February 2015 .   Jump up ^ `` Sunshine of Your Love '' at Discogs ( list of releases )   Jump up ^ `` Go - Set Australian charts -- 27 March 1968 '' . Poparchives.com.au . Retrieved 8 February 2015 .   Jump up ^ `` RPM 100 -- Week of August 26 , 1968 '' . Libraries and Archives Canada . Retrieved 8 February 2015 .   Jump up ^ `` Cream -- Sunshine of Your Love '' . dutchcharts.nl ( in Dutch ) . Retrieved 8 February 2015 .   ^ Jump up to : Unterberger , Richie . Cream : `` Sunshine of Your Love '' -- Review at AllMusic . Retrieved 8 February 2015 .   Jump up ^ Hoffmann 1983 , p. 135 .   Jump up ^ `` Gold &amp; Platinum Search -- Cream '' . RIAA . Retrieved 8 February 2015 .   Jump up ^ Schumacher 2003 , p. 90 .   Jump up ^ `` Top Singles of 1968 '' . Libraries and Archives Canada . Retrieved 8 February 2015 .   Jump up ^ Billboard ( 15 December 1984 ) . `` Top 10 Singles 1946 -- 1983 '' . Billboard. 96 ( 50 ) : 90TH - 45 . ISSN 0006 - 2510 .   Jump up ^ Rolling Stone ( December 9 , 2004 ) . `` The 500 Greatest Songs of All Time '' . Rolling Stone ( 963 ) . Retrieved 8 February 2015 .   Jump up ^ `` 100 Greatest Guitar Tracks Ever ! '' . Q. March 2005 . Archived from the original on 2013 . Retrieved 8 February 2015 .   Jump up ^ `` 500 Songs That Shaped Rock and Roll '' . Rock and Roll Hall of Fame . 1995 . Archived from the original on 2 May 2007 . Retrieved 8 February 2015 .   Jump up ^ Covach &amp; Boone 1997 , p. 85 .   Jump up ^ Shapiro &amp; Glebbeek 1990 , pp. 137 , 300 .   Jump up ^ Belmo &amp; Loveless 1998 , pp. 461 -- 465 .   ^ Jump up to : McDermott , Kramer &amp; Cox 2009 , p. 134 .   Jump up ^ Shapiro &amp; Glebbeek 1990 , pp. 326 -- 327 .   Jump up ^ Black 1999 , p. 173 .    References    Adelt , Ulrich ( 2007 ) . Black , White and Blue : Racial Politics of Blues Music in the 1960s . ProQuest . ISBN 978 - 0549341963 .   Belmo ; Loveless , Steve ( 1998 ) . Jimi Hendrix : Experience the Music . Burlington , Ontario : Collector 's Guide Publishing . ISBN 1 - 896522 - 45 - 9 .   Birnbaum , Larry ( 2012 ) . Before Elvis : The Prehistory of Rock ' n ' Roll . Lanham , Maryland : Scarecrow Press . ISBN 978 - 0 - 8108 - 8629 - 2 .   Black , Johnny ( 1999 ) . Jimi Hendrix : The Ultimate Experience . New York City : Thunder 's Mouth Press . ISBN 1 - 56025 - 240 - 5 .   Brewer , Jon ( Director ) ( 2005 ) . Cream : Their Fully Authorized Story ( DVD documentary ) . Chatsworth , California : Image Entertainment . OCLC 78626813 . ID324715DVD .   Covach , John ; Boone , Graeme M. ( 1997 ) . Understanding Rock : Essays in Musical Analysis : Essays in Musical Analysis . Oxford , England : Oxford University Press . ISBN 978 - 0195356625 .   Denisoff , R. Serge ( 1975 ) . Solid Gold : The Popular Record Industry . Piscataway , New Jersey : Transaction Publishers . ISBN 978 - 0878555864 .   Gallagher , Mitch ( 2012 ) . Guitar Tone : Pursuing the Ultimate Guitar Sound . Boston , Massachusetts : Cengage Learning . ISBN 978 - 1435456211 .   Hoffmann , Frank ( 1983 ) . The Cash Box Singles Charts , 1950 -- 1981 . Lanham , Maryland : The Scarecrow Press . ISBN 978 - 0810815957 .   McDermott , John ; Kramer , Eddie ; Cox , Billy ( 2009 ) . Ultimate Hendrix . New York City : Backbeat Books . ISBN 0 - 87930 - 938 - 5 .   Munro , Doug ( 2005 ) . Jazz Guitar : Organ Trio Blues. Van Nuys , California : Alfred Music . ISBN 978 - 0757937279 .   Oxman , J. Craig ( December 2011 ) . `` Clapton 's Fool : History 's Greatest Guitar ? '' . Vintage Guitar . Alan Greenwood . ISSN 1067 - 2605 . Retrieved 2 January 2012 .   Roberty , Mark ( 1993 ) . Slowhand : The Complete Life and Times of Eric Clapton . New York City : Crown Trade Paperbacks . ISBN 0 - 517 - 88118 - 7 .   Schumacher , Michael ( 2003 ) . Crossroads : The Life and Music of Eric Clapton . New York City : Citadel Press . ISBN 978 - 0806524665 .   Shapiro , Harry ; Glebbeek , Cesar ( 1990 ) . Jimi Hendrix : Electric Gypsy . New York City : St. Martin 's Press . ISBN 0 - 312 - 05861 - 6 .   Shapiro , Harry ( 2009 ) . Jack Bruce : Composing Himself : The Authorised Biography . Jawbone Publishing . ISBN 978 - 1906002268 .   Thompson , Dave ( 2012 ) . Cream : How Eric Clapton Took the World by Storm . New York City : Random House . ISBN 978 - 1448133710 .   Welch , Chris ( 2000 ) . Cream : The Legendary Sixties Supergroup . Backbeat Books . ISBN 978 - 1476851501 .   Welch , Chris ( 2011 ) . Clapton . Voyageur Press . ISBN 978 - 1610597715 .   Whitburn , Joel ( 2015 ) . Top Pop Singles 1955 -- 1996 . Menomomee Falls , Wisconsin : Record Research . ISBN 0 - 89820 - 123 - 3 .    External links ( edit )    Lyrics of this song at MetroLyrics              Cream       Ginger Baker   Jack Bruce   Eric Clapton       Studio albums     Fresh Cream   Disraeli Gears   Wheels of Fire   Goodbye       Live albums     Live Cream   Live Cream Volume II   BBC Sessions   Royal Albert Hall London May 2 - 3 - 5 - 6 , 2005       Compilations     Best of Cream   Heavy Cream   Strange Brew : The Very Best of Cream   The Very Best of Cream   Those Were the Days   Gold       Singles     `` Wrapping Paper ''   `` I Feel Free ''   `` Strange Brew '' / `` Tales of Brave Ulysses ''   `` Spoonful ''   `` Sunshine of Your Love '' / `` SWLABR ''   `` Anyone for Tennis ''   `` White Room ''   `` Crossroads ''   `` Badge ''   `` Lawdy Mama ''       Other songs     `` Four Until Late ''   `` Rollin ' and Tumblin ' ''   `` I 'm So Glad ''   `` Toad ''   `` We 're Going Wrong ''   `` Outside Woman Blues ''   `` Sitting on Top of the World ''   `` Born Under a Bad Sign ''   `` Steppin ' Out ''   `` Doing That Scrapyard Thing ''       Film     Cream 's Farewell Concert       Collaborators     Pete Brown   Felix Pappalardi   Martin Sharp   Gail Collins   Janet Godfrey   George Harrison   Mike Taylor   Robert Stigwood       Related articles     Discography   Songs   The Graham Bond Organisation   John Mayall &amp; the Bluesbreakers   Eric Clapton and the Powerhouse   Blind Faith   BBM         Book   Category                 Jimi Hendrix     Original 1966 -- 1970 releases are marked in bold .     Studio albums     Are You Experienced   Axis : Bold as Love   Electric Ladyland   The Cry of Love   Rainbow Bridge   War Heroes   Loose Ends   Crash Landing   Midnight Lightning   Nine to the Universe   Voodoo Soup   First Rays of the New Rising Sun   Valleys of Neptune   People , Hell and Angels   Both Sides of the Sky       Live albums     Band of Gypsys   Historic Performances Recorded at the Monterey International Pop Festival   Experience   Isle of Wight   Hendrix in the West   More Experience   The Jimi Hendrix Concerts   Jimi Plays Monterey   Johnny B. Goode   Band of Gypsys 2   Live at Winterland   Radio One   Stages   Live Isle of Wight ' 70   Woodstock   BBC Sessions   Live at the Fillmore East   Live at Woodstock   Blue Wild Angel : Live at the Isle of Wight   Live at Berkeley   Live at Monterey   Winterland   Miami Pop Festival   Freedom : Atlanta Pop Festival   Machine Gun : The Fillmore East First Show       Compilations     Smash Hits   Soundtrack Recordings from the Film Jimi Hendrix   Musique Originale du Film Jimi Plays Berkeley   Re-Experienced   The Essential Jimi Hendrix   The Essential Jimi Hendrix Volume Two   Stone Free   The Singles Album   Kiss the Sky   Live &amp; Unreleased : The Radio Show   Cornerstones : 1967 -- 1970   Lifelines : The Jimi Hendrix Story   Stages   The Ultimate Experience   Blues   South Saturn Delta   Experience Hendrix : The Best of Jimi Hendrix   The Jimi Hendrix Experience   Voodoo Child : The Jimi Hendrix Collection   The Singles Collection   Martin Scorsese Presents the Blues : Jimi Hendrix   West Coast Seattle Boy : The Jimi Hendrix Anthology   Fire : The Jimi Hendrix Collection       Official bootlegs     Live at the Oakland Coliseum   Live at Clark University   Morning Symphony Ideas   Live in Ottawa   Baggy 's Rehearsal Sessions   Paris 1967 / San Francisco 1968   Hear My Music   Live at the Isle of Fehmarn   Burning Desire   Live in Paris &amp; Ottawa 1968   Live at Woburn   Live in Cologne       Concert tours     The Jimi Hendrix Experience French Tour   The Cry of Love Tour       Films , books , tributes     Rainbow Bridge   Jimi Hendrix   Stone Free : A Tribute to Jimi Hendrix   Hendrix   Power of Soul : A Tribute to Jimi Hendrix   Room Full of Mirrors   An Illustrated Experience   Becoming Jimi Hendrix   Jimi : All Is by My Side       Related people and acts     Curtis Knight   Lonnie Youngblood   Jimmy James and the Blue Flames   The Jimi Hendrix Experience   Noel Redding   Mitch Mitchell   Chas Chandler   Eddie Kramer   Roger Mayer   Michael Jeffery   Billy Cox   Buddy Miles   Alan Douglas   Leon Hendrix   Kathy Etchingham   Monika Dannemann       Related articles     Original discography   Posthumous discography   List of songs   Videography   Canadian drug charges and trial   Electric Lady Studios   Black Gold   Death of Jimi Hendrix         Book   Category                 Rob Thomas     Discography     Studio albums     ... Something to Be   Cradlesong   The Great Unknown       Singles     `` Lonely No More ''   `` This Is How a Heart Breaks ''   `` Ever the Same ''   `` ... Something to Be ''   `` Streetcorner Symphony ''   `` Her Diamonds ''   `` Give Me the Meltdown ''   `` Someday ''   `` Mockingbird ''       Featured singles     `` Smooth ''   `` Sunshine of Your Love ''       Soundtrack singles     `` Little Wonders ''       Tours     Something to Be Tour   Cradlesong Tour   The Great Unknown Tour       Related articles     Matchbox Twenty   Tabitha 's Secret      Retrieved from `` https://en.wikipedia.org/w/index.php?title=Sunshine_of_Your_Love&amp;oldid=835842498 '' Categories :   1967 songs   1968 singles   Cream ( band ) songs   Songs written by Eric Clapton   Songs written by Jack Bruce   Song recordings produced by Felix Pappalardi   Atco Records singles   Polydor Records singles   Hidden categories :   CS1 Dutch - language sources ( nl )   Good articles   Use British English from April 2012   Use dmy dates from April 2012   Articles with hAudio microformats           Talk                                           Contents                   About Wikipedia                                           Deutsch   Español   Euskara   Français   Italiano   עברית   Norsk nynorsk   Português   Русский   Suomi   Svenska  4 more  Edit links   This page was last edited on 11 April 2018 , at 03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</si>
  <si>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lead vocals on sunshine of your love</t>
  </si>
  <si>
    <t xml:space="preserve"> `` Sunshine of Your Love '' is a 1967 song by the British rock band Cream . With elements of hard rock , psychedelia , and pop , it is one of Cream 's best known and most popular songs . Cream bassist and vocalist Jack Bruce based it on a distinctive bass riff , or repeated musical phrase , he developed after attending a Jimi Hendrix concert . Guitarist Eric Clapton and lyricist Pete Brown later contributed to the song . Recording engineer Tom Dowd suggested the rhythm arrangement in which drummer Ginger Baker plays a distinctive tom - tom drum rhythm , although Baker has claimed it was his idea . </t>
  </si>
  <si>
    <t xml:space="preserve">2017 -- 18 NBA season - wikipedia  2017 -- 18 NBA season  Jump to : navigation , search    2017 -- 18 NBA season     League   National Basketball Association     Sport   Basketball     Duration   October 17 , 2017 -- April 11 , 2018 April 14 -- May 28 , 2018 ( Playoffs ) May 31 -- June 17 , 2018 ( Finals )     Number of games   82     Number of teams   30     TV partner ( s )   ABC , TNT , ESPN , NBA TV     Draft     Top draft pick   Markelle Fultz     Picked by   Philadelphia 76ers     Regular season     Playoffs     Finals     NBA seasons     ← 2016 -- 17 2018 -- 19 →     The 2017 -- 18 NBA season is the 72nd season of the National Basketball Association ( NBA ) . The regular season began on October 17 , 2017 , earlier than previous seasons to reduce the number of `` back - to - back '' games teams are scheduled to play , with the 2017 runners - up Cleveland Cavaliers hosting a game against the Boston Celtics at Quicken Loans Arena in Cleveland , Ohio . Christmas games will be played on December 25 . The 2018 NBA All - Star Game will be played on February 18 , 2018 , at the Staples Center in Los Angeles , California . The regular season will end on April 11 , 2018 and the playoffs will begin on April 14 , 2018 .     Contents  ( hide )   1 Transactions   1.1 Retirement   1.2 Free agency   1.3 Coaching changes   1.3. 1 Off - season   1.3. 2 In - season       2 Preseason   2.1 International games     3 Regular season   3.1 By conference   3.2 International games     4 Statistics   4.1 Individual statistic leaders   4.2 Individual game highs   4.3 Team statistic leaders     5 Awards   5.1 Players of the Week   5.2 Players of the Month   5.3 Rookies of the Month   5.4 Coaches of the Month     6 Arenas   7 Media   8 Uniforms   8.1 Uniform sponsorships     9 Notable occurrences   10 See also   11 References   12 External links      Transactions ( edit )  Main article : List of 2017 -- 18 NBA season transactions  Retirement ( edit )    On July 17 , 2017 , Paul Pierce signed a ceremonial contract with the Boston Celtics and officially retired as a Celtic after playing 19 seasons and winning one championship with the Celtics .   On July 19 , 2017 , James Jones was announced to be the vice president of basketball operations for the Phoenix Suns , which signified his retirement after playing 14 seasons and winning two championships with the Miami Heat and one championship with the Cleveland Cavaliers .   On August 4 , 2017 , Jason Maxiell signed a ceremonial contract with the Detroit Pistons and officially retired after playing 14 seasons .   On August 15 , 2017 , Tayshaun Prince was announced to be assistant general manager for the Memphis Grizzlies , which signified his retirement after playing 15 seasons and winning one championship with the Detroit Pistons .   On September 2 , 2017 , Primož Brezec announced his retirement after 21 professional seasons . Brezec had played in Russia , Cyprus , Kuwait and his native country Slovenia since last playing in the NBA during the 2009 -- 10 NBA season .   On October 23 , 2017 Ron Artest was hired as player development coach for the South Bay Lakers , the Los Angeles Lakers ' NBA G League affiliate , thus ending his 18 - year playing career with the NBA . During his carer , he won one championship with the L.A. Lakers .    Free agency ( edit )   Free agency negotiations began on July 1 . Players began signing on July 6 , after the July moratorium ended .   Coaching changes ( edit )   Coaching changes   In - season     Team   Outgoing coach   Incoming coach     Phoenix Suns   Earl Watson   Jay Triano ( interim )    Off - season ( edit )  For the first time since the inauguration of the BAA , there would be no coaching changes entering the regular season . In fact , the 536 days from Dave Joerger being fired as coach of the Memphis Grizzlies to the day the Phoenix Suns fired Earl Watson as head coach would be the longest period in NBA history without any coaching changes occur .  In - season ( edit )   On October 22 , 2017 , the Phoenix Suns fired head coach Earl Watson and replaced him with the team 's associate coach Jay Triano as interim head coach for the rest of the season .    Preseason ( edit )   The preseason began on September 30 and ended on October 13 .   International games ( edit )   The Golden State Warriors and Minnesota Timberwolves played two preseason games in China , at Shenzhen on October 5 and Shanghai on October 8 . Minnesota won the first game 111 -- 97 , while Golden State emerged victorious in the second one , 142 -- 110 .   Regular season ( edit )   The regular season began on October 17 , 2017 . Christmas Day games will be played on December 25 , 2017 . The regular season will end on April 11 , 2018 .       Eastern Conference      Atlantic Division       PCT   GB   Home   Road   Div   GP     Boston Celtics   12     . 857   0.0   6 -- 1   6 -- 1   3 -- 0   14     New York Knicks   7   5   . 583   4.0   6 -- 2   1 -- 3   1 -- 1   12     Toronto Raptors   7   5   . 583   4.0   4 -- 1   3 -- 4   1 -- 1   12     Philadelphia 76ers   6   6   . 500   5.0   2 -- 2   4 -- 4   0 -- 2   12     Brooklyn Nets   5   8   . 385   6.5   3 -- 2   2 -- 6   0 -- 1   13         Central Division       PCT   GB   Home   Road   Div   GP     Detroit Pistons   10     . 769   0.0   7 -- 1   3 -- 2   2 -- 0   13     Milwaukee Bucks   6   6   . 500   3.5   3 -- 3   3 -- 3   0 -- 3   12     Cleveland Cavaliers   6   7   . 462   4.0   3 -- 4   3 -- 3   3 -- 1   13     Indiana Pacers   6   8   . 429   4.5   3 -- 3   3 -- 5   2 -- 1   14     Chicago Bulls     9   . 182   7.0   1 -- 4   1 -- 5   0 -- 2   11         Southeast Division       PCT   GB   Home   Road   Div   GP     Orlando Magic   8   5   . 615   0.0   4 -- 2   4 -- 3   1 -- 1   13     Washington Wizards   7   5   . 583   0.5   4 -- 3   3 -- 2   1 -- 0   12     Miami Heat   6   7   . 462   2.0   3 -- 3   3 -- 4   1 -- 1   13     Charlotte Hornets   5   7   . 417   2.5   4 -- 1   1 -- 6   2 -- 0   12     Atlanta Hawks     11   . 154   6.0   0 -- 4   2 -- 7   0 -- 3   13        Western Conference      Northwest Division       PCT   GB   Home   Road   Div   GP     Denver Nuggets   8   5   . 615   0.0   6 -- 2   2 -- 3   1 -- 1   13     Minnesota Timberwolves   7   5   . 583   0.5   4 -- 1   3 -- 4   3 -- 0   12     Portland Trail Blazers   6   6   . 500   1.5   4 -- 4   2 -- 2   1 -- 1   12     Oklahoma City Thunder   6   7   . 462   2.0   4 -- 2   2 -- 5   0 -- 5   13     Utah Jazz   6   7   . 462   2.0   6 -- 3   0 -- 4   3 -- 1   13         Pacific Division       PCT   GB   Home   Road   Div   GP     Golden State Warriors   10     . 769   0.0   5 -- 2   5 -- 1   1 -- 0   13     Los Angeles Clippers   5   7   . 417   4.5   3 -- 4   2 -- 3   2 -- 1   12     Los Angeles Lakers   5   8   . 385   5.0   4 -- 3   1 -- 5   1 -- 1   13     Phoenix Suns   5   9   . 357   5.5   3 -- 5   2 -- 4   1 -- 2   14     Sacramento Kings     9   . 250   6.5   2 -- 3   1 -- 6   0 -- 1   12         Southwest Division       PCT   GB   Home   Road   Div   GP     Houston Rockets   11     . 786   0.0   4 -- 2   7 -- 1   2 -- 2   14     San Antonio Spurs   8   5   . 615   2.5   6 -- 2   2 -- 3   0 -- 0   13     Memphis Grizzlies   7   5   . 583   3.0   4 -- 2   3 -- 3   4 -- 2   12     New Orleans Pelicans   7   6   . 538   3.5   2 -- 3   5 -- 3   1 -- 1   13     Dallas Mavericks     12   . 143   9.0   1 -- 6   1 -- 6   1 -- 3   14        By conference ( edit )        Eastern Conference     #   Team       PCT   GB   GP       Boston Celtics *   12     . 857   --   14       Detroit Pistons *   10     . 769   1.5   13       Orlando Magic *   8   5   . 615   3.5   13       New York Knicks   7   5   . 583   4.0   12     5   Toronto Raptors   7   5   . 583   4.0   12     6   Washington Wizards   7   5   . 583   4.0   12     7   Philadelphia 76ers   6   6   . 500   5.0   12     8   Milwaukee Bucks   6   6   . 500   5.0   12         9   Cleveland Cavaliers   6   7   . 462   5.5   13     10   Miami Heat   6   7   . 462   5.5   13     11   Indiana Pacers   6   8   . 429   6.0   14     12   Charlotte Hornets   5   7   . 417   6.0   12     13   Brooklyn Nets   5   8   . 385   6.5   13     14   Chicago Bulls     9   . 182   8.5   11     15   Atlanta Hawks     11   . 154   9.5   13         Western Conference     #   Team       PCT   GB   GP       Houston Rockets *   11     . 786   --   14       Golden State Warriors *   10     . 769   0.5   13       Denver Nuggets *   8   5   . 615   2.5   13       San Antonio Spurs   8   5   . 615   2.5   13     5   Memphis Grizzlies   7   5   . 583   3.0   12     6   Minnesota Timberwolves   7   5   . 583   3.0   12     7   New Orleans Pelicans   7   6   . 538   3.5   13     8   Portland Trail Blazers   6   6   . 500   4.0   12         9   Oklahoma City Thunder   6   7   . 462   4.5   13     10   Utah Jazz   6   7   . 462   4.5   13     11   Los Angeles Clippers   5   7   . 417   5.0   12     12   Los Angeles Lakers   5   8   . 385   5.5   13     13   Phoenix Suns   5   9   . 357   6.0   14     14   Sacramento Kings     9   . 250   7.0   12     15   Dallas Mavericks     12   . 143   9.0   14        Notes    * -- division leader    International games ( edit )   On August 9 , 2017 , the NBA announced that the Brooklyn Nets would play two regular season games at Mexico City Arena in Mexico City , Mexico . On December 7 , 2017 , the Nets would play against the Oklahoma City Thunder and on December 9 , 2017 , they would match up against the Miami Heat .   On August 10 , 2017 , the NBA announced that the Philadelphia 76ers would play the Boston Celtics at The O2 Arena in London , United Kingdom on January 11 , 2018 .   Statistics ( edit )   Individual statistic leaders ( edit )     Category   Player   Team   Statistic     Points per game   Giannis Antetokounmpo   Milwaukee Bucks   31.7     Rebounds per game   Andre Drummond   Detroit Pistons   15.6     Assists per game   James Harden   Houston Rockets   10.2     Steals per game   Paul George   Oklahoma City Thunder   2.54     Blocks per game   Rudy Gobert   Utah Jazz   2.50     Turnovers per game   DeMarcus Cousins   New Orleans Pelicans   5.2     Fouls per game   Ersan İlyasova   Atlanta Hawks   4.3     Minutes per game   LeBron James   Cleveland Cavaliers   38.3     FG %   Clint Capela   Houston Rockets   69.6 %     FT %   Rodney Hood   Utah Jazz   97.0 %     3FG %   Aaron Gordon   Orlando Magic   55.3 %     Efficiency per game   Giannis Antetokounmpo   Milwaukee Bucks   32.75     Double - doubles   DeMarcus Cousins   New Orleans Pelicans   12     Triple - doubles   Russell Westbrook   Oklahoma City Thunder       Individual game highs ( edit )     Category   Player   Team   Statistic     Points   LeBron James   Cleveland Cavaliers   57     Rebounds   DeAndre Jordan   Los Angeles Clippers   24     Assists   Russell Westbrook   Oklahoma City Thunder   16     Darren Collison   Indiana Pacers     Steals   5 players   6     Blocks   DeMarcus Cousins   New Orleans Pelicans   7     Kevin Durant   Golden State Warriors     Three Pointers   J.J. Redick   Philadelphia 76ers   8     Team statistic leaders ( edit )     Category   Team   Statistic     Points per game   Golden State Warriors   120.3     Rebounds per game   Portland Trail Blazers   48.3     Assists per game   Golden State Warriors   31.0     Steals per game   Oklahoma City Thunder   10.7     Blocks per game   Golden State Warriors   9.0     Turnovers per game   Philadelphia 76ers   17.8     Los Angeles Lakers     FG %   Golden State Warriors   52.1 %     FT %   Utah Jazz   83.0 %     3FG %   Golden State Warriors   41.5 %     + / −   Golden State Warriors   + 12.0     Awards ( edit )   Players of the Week ( edit )   The following players were named the Eastern and Western Conference Players of the Week .     Week   Eastern Conference   Western Conference   Ref .     01 October 17 -- 22   Antetokounmpo , Giannis Giannis Antetokounmpo ( Milwaukee Bucks ) ( 1 / 1 )   Harden , James James Harden ( Houston Rockets ) ( 1 / 2 )       02 October 23 -- 29   Oladipo , Victor Victor Oladipo ( Indiana Pacers ) ( 1 / 1 )   Cousins , DeMarcus DeMarcus Cousins ( New Orleans Pelicans ) ( 1 / 1 )       03 October 30 -- November 5   Porziņģis , Kristaps Kristaps Porziņģis ( New York Knicks ) ( 1 / 1 )   Harden , James James Harden ( Houston Rockets ) ( 2 / 2 )       04 November 6 -- 12   Harris , Tobias Tobias Harris ( Detroit Pistons ) ( 1 / 1 )   Jokić , Nikola Nikola Jokić ( Denver Nuggets ) ( 1 / 1 )       05 November 13 -- 19           Players of the Month ( edit )   The following players were named the Eastern and Western Conference Players of the Month .     Month   Eastern Conference   Western Conference   Ref .     01 October           Rookies of the Month ( edit )   The following players were named the Eastern and Western Conference Rookies of the Month .     Month   Eastern Conference   Western Conference   Ref .     01 October           Coaches of the Month ( edit )   The following coaches were named the Eastern and Western Conference Coaches of the Month .     Month   Eastern Conference   Western Conference   Ref .     01 October           Arenas ( edit )    This is the Detroit Pistons ' first season at Little Caesars Arena after playing at The Palace of Auburn Hills from 1988 to 2017 . The team played their first game there against the Charlotte Hornets on October 18 , 2017 . This also marks the first time the Pistons have regularly played in the city of Detroit since 1978 .   This is the Milwaukee Bucks ' final season at the BMO Harris Bradley Center , their home since 1988 . The team will play its final game there on April 9 against the Orlando Magic . The team is scheduled to move into the new Wisconsin Entertainment and Sports Center prior to the start of the 2018 -- 19 NBA season . The team played a `` Return to the MECCA '' game at the UW -- Milwaukee Panther Arena ( the former Milwaukee or `` MECCA '' Arena , their home from 1969 until 1989 ) on October 26 against the Boston Celtics as part of the team 's 50th season celebration .   The Washington Wizards home arena , the Verizon Center , was renamed Capital One Arena .   The Toronto Raptors owners Maple Leaf Sports &amp; Entertainment announce that their Air Canada Centre arena will be renamed Scotiabank Arena at the end of the 2017 -- 18 season .    Media ( edit )   This is the second season of the current nine - year contracts with ABC , ESPN , TNT , and NBA TV .   Uniforms ( edit )    Nike will be the official on - court apparel provider beginning with the 2017 -- 18 season . During this time , each team will be provided with four different jersey apparel that will be displayed throughout the seasons : the `` Association Edition '' , `` Icon Edition '' , `` Statement Edition '' ( tentatively called the Athlete 's Mindset ) , and `` Community Edition '' jerseys will replace the more typical home and road jersey ideas with alternatives also being included as well . In addition to those jerseys , eight teams will also be provided a `` Classic Edition '' jersey to commemorate some of their past designs throughout the season .   The Charlotte Hornets will use an Air Jordan - branded apparel , which is endorsed by their owner Michael Jordan and is owned by Nike .   The Cleveland Cavaliers debuted their new uniforms for the 2017 -- 18 season after unveiling the new logo on May 31 , 2017 .   The Detroit Pistons debuted their new uniforms for the 2017 -- 18 season after unveiling the new logo on May 17 , 2017 .   The Indiana Pacers debuted their new uniforms for the 2017 -- 18 season after unveiling new alternate logos and home floor along with their uniforms on July 28 , 2017 .   The Minnesota Timberwolves debuted their new uniforms for the 2017 -- 18 season after unveiling the new logo on April 11 , 2017 , and unveiling their new uniforms on August 10 , 2017 .   The Portland Trail Blazers debuted their new uniforms for the 2017 -- 18 season after unveiling the new logo on May 8 , 2017 , and unveiling their new uniforms on July 29 , 2017 .    Uniform sponsorships ( edit )   Advertisements begin to appear on league uniforms starting this season . As of November 13 , 2017 , nineteen teams have confirmed to sign uniform sponsorship deals :    Atlanta Hawks -- Sharecare   Boston Celtics -- General Electric   Brooklyn Nets -- Infor   Charlotte Hornets -- LendingTree   Cleveland Cavaliers -- Goodyear Tire and Rubber Company   Denver Nuggets -- Western Union   Detroit Pistons -- Flagstar Bank   Golden State Warriors -- Rakuten   Los Angeles Lakers -- Wish   Miami Heat -- Ultimate Software   Milwaukee Bucks -- Harley - Davidson   Minnesota Timberwolves -- Fitbit   New Orleans Pelicans -- Zatarain 's   New York Knicks -- Squarespace   Orlando Magic -- The Walt Disney Company   Philadelphia 76ers -- StubHub   Sacramento Kings -- Blue Diamond Growers   Toronto Raptors -- Sun Life Financial   Utah Jazz -- Qualtrics    Notable occurrences ( edit )    On July 6 , 2017 , the NBA unveiled an update to its logo , featuring new typography and a modified color scheme .   The regular season started eight days earlier than the previous season . This move by the NBA aims for fewer `` back - to - back '' games , even fewer than the previous season which had already reached an all - time low to help address teams that are `` resting '' their superstars .   The NBA decreased the maximum number of timeouts in a regulation game from 18 to 14 . The three team timeouts during the last two minutes of the game were also decreased to two per team in the last three minutes to improve the flow and pace of the game .   The trade deadline was moved from four days after the NBA All - Star Game to ten days before it , so teams can settle their rosters before the All - Star break .   Free - throw shooters will be assessed a delay - of - game violation if they venture outside of the three - point line in between attempts .   The NBA also added two - way contracted players , signifying an increasing partnership between the NBA and the newly branded NBA G League .   Referees can now assess dangerous closeouts of defenders to jump shooters with little space to land for a technical or a flagrant foul . Informally dubbed as the `` Zaza rule '' . Also , officials can now assess if a player is in a shooting motion when determining if a perimeter foul is a shooting or a common foul . The type of foul will be determined on the sequencing of the player 's movement if the foul happened before or after the player starts a shooting motion . Additionally , they can also assess an offensive foul if an offensive player intentionally lunged into the defender or locked arms to create contact , a rule informally dubbed as the `` Harden rule '' .   On September 28 , 2017 , the NBA board of governors approved the changes to draft lottery system to discourage teams from losing on purpose . Starting with the 2018 -- 19 NBA season , the teams with three worst records will have equal odds at the # 1 pick . In addition , the revised draft lottery will consist of selecting the top four teams instead of the usual three that occurred for over two decades . The approval for the change was nearly unanimous , with only the Oklahoma City Thunder voting against and the Dallas Mavericks abstaining from voting .   On October 3 , 2017 , the NBA and NBPA announced the changes to the NBA All - Star Game format . The vote leaders for each conferences will be assigned as team captains and will be able to select players from the rest of the starters and the reserves , regardless of the conference they play in , to form their own teams . The newly formed teams will also play for a charity of choice to help the games remain competitive . This marks the first time , the conferences will not play against each other since the inaugural All - Star game . Selection process will remain the same .   On October 17 , 2017 , during the season opener with the Cleveland Cavaliers against the Boston Celtics , Gordon Hayward landed awkwardly on his ankle with his behind after attempting an alley - oop off a pass from Kyrie Irving . He suffered a dislocated ankle and a fractured tibia five minutes into the game in his debut as a Celtic .   On October 18 , 2017 , Brooklyn Nets point guard Jeremy Lin fell to the ground hard after making a layup when playing the Indiana Pacers , causing him to miss the entire season . He suffered a ruptured patellar tendon of his right knee .   That same day , in the season opening game for the Portland Trail Blazers and Phoenix Suns , the Trail Blazers would defeat the Suns 124 - 76 in what would be the greatest deficit for a season - opening game in league history .   On October 19 , 2017 , Oklahoma City Thunder point guard Russell Westbrook recorded his 80th career triple - double .   On October 25 , 2017 , the Cleveland Cavaliers ' LeBron James , normally a frontcourt player , recorded his 56th career triple - double and 1st career triple - double as starting point guard .   That same day , Oklahoma City Thunder point guard Russell Westbrook recorded his 81st career triple - double .   On October 28 , 2017 , Oklahoma City Thunder point guard Russell Westbrook recorded his 82nd career triple - double , becoming the first player in NBA history to record a triple double against all 29 opposing teams .   On November 3 , 2017 , LeBron James scored 57 points for the night and his 29,000 th career point , becoming the youngest player , and just the seventh overall , to reach that mark ( 32 years , 309 days ) . LeBron James also passed both Kevin Garnett for 12th on the NBA 's all - time field goals list ( with 10,506 career field goals to his name ) and passed John Havlicek for 11th on the NBA 's all - time field goals list with 10,514 career field goals .   On November 7 , 2017 , Ben Simmons became the only player in NBA history with at least 170 points , 100 rebounds and 80 assists in his team 's first 10 games .   On November 7 , 2017 , the Sacramento Kings set a record for most points scored before a starter scored . The King 's bench scored the team 's first 29 points before Willie Cauley - Stein scored a free throw at 4 : 08 of the second quarter . The previous record was held by the Milwaukee Bucks at 23 points set on April 5 , 2011 against the Orlando Magic .    See also ( edit )    National Basketball Association portal    References ( edit )    ^ Jump up to : Wells , Adam . `` Adam Silver Says 2017 - 18 NBA Season Will Start on Oct. 17 '' . Bleacher Report . Retrieved 12 July 2017 .   ^ Jump up to : `` NBA Unveils Schedule For 2017 - 18 KIA Tip - Off And Christmas Day Games '' . NBA.com . August 10 , 2017 . Retrieved August 11 , 2017 .   Jump up ^ Hightower , Kyle . `` Paul Pierce signs with Boston Celtics , then retires '' . NBA.com . The Associated Press . Retrieved 20 July 2017 .   Jump up ^ Baum , Bob ( July 19 , 2017 ) . `` Suns Extend Ryan McDonough as General Manager , Name James Jones Vice President of Basketball Operations '' . NBA.com . Turner Sports Interactive . Retrieved July 19 , 2017 .   Jump up ^ `` Jason Maxiell officially retires from NBA as a Detroit Piston '' . freep.com . The Detroit Free Press . Retrieved 5 August 2017 .   Jump up ^ Tillery , Ronald ( August 15 , 2017 ) . `` Grizzlies hiring Tayshaun Prince for front office job '' . The Commercial Appeal . Retrieved September 12 , 2017 .   Jump up ^ `` Brezec retired and become a scout for the Cavs '' . Eurohoops . September 2 , 2017 . Retrieved September 12 , 2017 .   Jump up ^ `` An NBA first : Every coach who started last season is back '' . nbcsports.com. 22 September 2017 . Retrieved September 28 , 2017 .   Jump up ^ `` Suns Relieve Earl Watson of Head Coaching Duties '' . NBA.com . October 22 , 2017 . Retrieved October 22 , 2017 .   Jump up ^ `` Golden State Warriors , Minnesota Timberwolves get preseason games in China '' . NBA.com . March 20 , 2017 . Retrieved October 4 , 2017 .   Jump up ^ `` NBA To Play Two Regular - Season Games In Mexico City '' . NBA.com . August 9 , 2017 . Retrieved August 10 , 2017 .   Jump up ^ `` Philadelphia 76ers and Boston Celtics To Play Regular - Season NBA Game in London '' . NBA.com . August 10 , 2017 . Retrieved August 11 , 2017 .   Jump up ^ `` Giannis Antetokounmpo , James Harden Named NBA 's Players Of The Week '' . basketball.realgm.com . RealGM. 23 October 2017 . Retrieved 9 November 2017 .   Jump up ^ `` Victor Oladipo , DeMarcus Cousins Named NBA 's Players Of The Week '' . basketball.realgm.com . RealGM. 30 October 2017 . Retrieved 9 November 2017 .   Jump up ^ `` Kristaps Porzingis , James Harden Named Players Of The Week '' . basketball.realgm.com . RealGM. 6 November 2017 . Retrieved 9 November 2017 .   Jump up ^ `` Pistons to Move to Downtown Detroit '' . NBA.com . November 22 , 2016 . Retrieved November 24 , 2016 .   Jump up ^ `` '' Engine for future growth : '' Milwaukee Bucks , Design Team Release Vision for New Multi-Purpose Arena `` . WITI . Milwaukee . April 7 , 2015 . Retrieved April 8 , 2015 .   Jump up ^ Velasquez , Matt ( 29 August 2017 ) . `` Milwaukee Bucks ' Return to the MECCA ' game set for Oct. 26 vs. Celtics '' . Milwaukee Journal Sentinel . Retrieved 5 October 2017 .   Jump up ^ Steinberg , Dan ( August 9 , 2017 ) . `` Verizon Center to become Capital One Arena , starting now '' . Washington Post . Retrieved August 10 , 2017 .   Jump up ^ Johnston , Chris ( August 29 , 2017 ) . `` Air Canada Centre changing name to Scotiabank Arena next summer '' . Sportsnet.ca . Retrieved September 1 , 2017 .   Jump up ^ `` Nike to become uniform , apparel provider for NBA '' . NBA.com . Turner Sports Interactive , Inc . June 10 , 2015 . Retrieved April 15 , 2017 .   Jump up ^ `` Hornets Sports &amp; Entertainment Announces Plans to Switch Locations of Spectrum Center Box Office and Hornets Fan Shop '' . NBA.com. April 24 , 2017 . Retrieved April 27 , 2017 . The re-opening of the Hornets Fan Shop will coincide with the launch of the team 's new Jordan Brand uniforms as Nike becomes the NBA 's uniform provider beginning this season . The Hornets will be the only team in the NBA wearing Jordan Brand uniforms , and with the agreement taking effect , the Hornets Fan Shop will have even more of the popular Jordan Brand Hornets merchandise than it has had previously .   Jump up ^ `` Cavaliers Logo Suite Evolves to Modernize Look '' . NBA.com . May 31 , 2017 . Retrieved June 30 , 2017 .   Jump up ^ `` PISTONS NEW LOGO FOR 2017 -- 18 SEASON UNVELIED '' . NBA.com . Turner Sports Interactive , Inc . May 17 , 2017 . Retrieved May 17 , 2017 .   Jump up ^ `` After a day of teasing , the Pacers delivered a full redesign and fans are underwhelmed '' . Indianapolis Star . Retrieved 28 July 2017 .   Jump up ^ `` Previews of the Indiana Pacers ' New Uniforms , Court , and Logos '' . Indiana Sports Coverage . July 28 , 2017 . Retrieved July 28 , 2017 .   Jump up ^ `` TIMBERWOLVES NEW LOGO FOR 2017 -- 18 SEASON UNVEILED '' . NBA.com . Turner Sports Interactive , Inc . April 11 , 2017 . Retrieved April 15 , 2017 .   Jump up ^ Lukas , Paul . `` Nike 's new NBA looks keep on coming '' . ESPN . Retrieved 13 August 2017 .   Jump up ^ Holdahl , Casey ( May 8 , 2017 ) . `` Trail Blazers Update Pinwheel , Prepare For Jersey Changes '' . NBA.com . Retrieved June 30 , 2017 .   Jump up ^ `` Trail Blazers Uniforms '' . NBA.com . July 29 , 2017 . Retrieved July 31 , 2017 .   Jump up ^ `` Sharecare and Hawks Launch Jersey Patch Partnership And Innovative Health Movement '' . NBA.com . Turner Sports Interactive , Inc . August 17 , 2017 . Retrieved August 19 , 2017 .   Jump up ^ `` Celtics and GE announce multi-year partnership '' . NBA.com . Turner Sports Interactive , Inc . January 25 , 2017 . Retrieved June 21 , 2017 .   Jump up ^ `` Brooklyn Nets Form Wide - Ranging Partnership With Global Software Leader Infor '' . NBA.com . Turner Sports Interactive , Inc . February 8 , 2017 . Retrieved June 21 , 2017 .   Jump up ^ http://www.nba.com/hornets/press-releases/hornets-lendingtree-announce-new-multi-year-founding-level-partnership-highlighted   Jump up ^ `` Goodyear , Cavaliers Relationship Built on Shared Principles of Drive , Determination and Commitment to the Community '' . NBA.com . Turner Sports Interactive , Inc . May 15 , 2017 . Retrieved June 21 , 2017 .   Jump up ^ `` Denver Nuggets and Western Union Announce Multi-Year Sponsorship in the Mile High City '' . NBA.com . Turner Sports Interactive , Inc . August 1 , 2017 . Retrieved August 1 , 2017 .   Jump up ^ `` Detroit Pistons and Flagstar Bank Announce Historic Jersey Partnership Detroit Pistons '' . Detroit Pistons . Retrieved 26 July 2017 .   Jump up ^ Rohrbach , Ben . `` Warriors , tech company reach NBA 's richest jersey advertising deal -- by far '' . sports.yahoo.com . Retrieved September 12 , 2017 .   Jump up ^ `` Lakers sign jersey - patch deal with Wish '' . theScore.com . Retrieved September 21 , 2017 .   Jump up ^ Winderman , Ira . `` Weston - based Ultimate Software to sponsor Heat uniform patches '' . Sun-Sentinel.com . Retrieved September 21 , 2017 .   Jump up ^ `` MILWAUKEE BUCKS AND HARLEY - DAVIDSON ROLL FULL THROTTLE INTO NBA SEASON WITH JERSEY PATCH SPONSORSHIP '' . NBA.com . Turner Sports Interactive , Inc . August 10 , 2017 . Retrieved August 11 , 2017 .   Jump up ^ `` MINNESOTA TIMBERWOLVES AND FITBIT ANNOUNCE MULTI-YEAR PARTNERSHIP NAMING COMPANY `` OFFICIAL WEARABLE , '' `` OFFICIAL SLEEP TRACKER '' AND JERSEY PATCH SPONSOR `` . NBA.com . Turner Sports Interactive , Inc . June 20 , 2017 . Retrieved June 21 , 2017 .   Jump up ^ `` New Orleans Pelicans name Zatarain 's as jersey patch sponsor '' . nba.com . Retrieved October 25 , 2017 .   Jump up ^ `` Squarespace X Knicks Announce Signature Partnership '' . nba.com . Retrieved October 10 , 2017 .   Jump up ^ `` Magic , Disney Expanded Partnership Exciting for Both Brands '' . NBA.com . Turner Sports Interactive , Inc . June 20 , 2017 . Retrieved June 21 , 2017 .   Jump up ^ `` Sixers become first NBA team to get sponsor on jersey '' . NBA.com . Turner Sports Interactive , Inc . May 16 , 2016 . Retrieved June 21 , 2017 .   Jump up ^ `` Sacramento Kings , Blue Diamond Partner to Showcase California Growers and Inspire Health and Wellness '' . NBA.com . Turner Sports Interactive , Inc . October 10 , 2016 . Retrieved June 21 , 2017 .   Jump up ^ `` Toronto Raptors and Sun Life Financial Announce Ground - Breaking , Expanded Partnership '' . NBA.com . Turner Sports Interactive , Inc . July 6 , 2017 . Retrieved July 6 , 2017 .   Jump up ^ `` Utah Jazz and Qualtrics Partner To Revolutionize Fan Experience and Analytics and Accelerate Efforts to Eradicate Cancer '' . NBA.com . Turner Sports Interactive , Inc . February 13 , 2016 . Retrieved June 21 , 2017 .   Jump up ^ `` A first look at the NBA 's refreshed logo '' . NBA.com. 6 July 2017 . Retrieved 12 July 2017 .   Jump up ^ Feldman , Dan . `` NBA moves up trade deadline , reduces timeouts '' . sports.yahoo.com . Yahoo ! Sports . Retrieved 12 July 2017 .   Jump up ^ Ward - Henninger , Colin . `` NBA moves trade deadline to before All - Star Game , reduces amount of timeouts '' . CBSSports.com . CBS Sports . Retrieved 12 July 2017 .   Jump up ^ Brown , Maury . `` NBA Makes Sweeping Pace - Of - Play Changes ; MLB Likely Next '' . Forbes.com . Forbes . Retrieved 12 July 2017 .   Jump up ^ Dauster , Rob ( April 27 , 2017 ) . `` D - League salaries , two - way contracts increase NBA Draft early entries '' . CollegeBasketballTalk . Retrieved September 20 , 2017 .   Jump up ^ Mahoney , Brian . `` NBA referees can rule closeouts as flagrants or technical fouls '' . NBA.com . Retrieved September 22 , 2017 .   Jump up ^ Bushnell , Henry . `` The NBA is cracking down on dangerous Zaza-esque closeouts '' . sports.yahoo.com . Retrieved September 22 , 2017 .   Jump up ^ Boone , Kyle ( September 22 , 2017 ) . `` The NBA is finally cracking down on James Harden 's foul - drawing antics '' . CBSSports.com . Retrieved October 4 , 2017 .   Jump up ^ `` NBA implementing ' Zaza Pachulia , ' ' James Harden ' rules '' . NBCSports.com . September 21 , 2017 . Retrieved October 4 , 2017 .   Jump up ^ `` NBA Board Of Governors Approves Changes To Draft Lottery System '' . NBA.com . September 28 , 2017 . Retrieved September 29 , 2017 .   Jump up ^ Helin , Kurt ( September 28 , 2017 ) . `` NBA owners pass lottery reform , new rules on resting players '' . ProBasketballTalk . Retrieved September 29 , 2017 .   Jump up ^ `` No more East vs. West as NBA revamps All - Star Game format '' . NBA.com . Retrieved October 3 , 2017 .   Jump up ^ `` Boston Celtics ' Gordon Hayward suffers fractured ankle in season opener '' . NBA.com . Retr</t>
  </si>
  <si>
    <t xml:space="preserve">when does the nba regular season start in 2017</t>
  </si>
  <si>
    <t xml:space="preserve"> The 2017 -- 18 NBA season is the 72nd season of the National Basketball Association ( NBA ) . The regular season began on October 17 , 2017 , earlier than previous seasons to reduce the number of `` back - to - back '' games teams are scheduled to play , with the 2017 runners - up Cleveland Cavaliers hosting a game against the Boston Celtics at Quicken Loans Arena in Cleveland , Ohio . Christmas games will be played on December 25 . The 2018 NBA All - Star Game will be played on February 18 , 2018 , at the Staples Center in Los Angeles , California . The regular season will end on April 11 , 2018 and the playoffs will begin on April 14 , 2018 . </t>
  </si>
  <si>
    <t xml:space="preserve">International versions of Wheel of Fortune - wikipedia  International versions of Wheel of Fortune  Jump to : navigation , search      This article needs additional citations for verification . Please help improve this article by adding citations to reliable sources . Unsourced material may be challenged and removed . ( December 2016 ) ( Learn how and when to remove this template message )    Location of international versions of Wheel of Fortune  Wheel of Fortune is an American television game show created by Merv Griffin and first aired in 1975 , with a syndicated version airing since 1983 . Since its premiere , the program has been adapted into several international versions . The 1975 version premiered on Australian TV in 1981 and premiered in the UK in 1988 . It has also been adapted to numerous countries around the world .     Contents  ( hide )   1 International versions   2 See also   3 References   4 External links      International versions ( edit )  This list is incomplete ; you can help by expanding it .  Legend : Currently airing No longer airing     Region or Country   Local name   Hosts   Hostesses   Network   Dates     Argentina   Tiempo Límite ATP   Gerardo Sofovich     América TV   2001     Australia   Wheel of Fortune   Ernie Sigley ( 1981 -- 84 ) John Burgess ( 1984 -- 96 ) Tony Barber ( 1996 ) Rob Elliott ( 1997 -- 2003 ) Steve Oemcke ( 2004 -- 05 ) Larry Emdur ( 2006 )   Adriana Xenides ( 1981 -- 96 , 1997 -- 99 ) Kerrie Friend ( 1996 -- 97 ) Sophie Falkiner ( 1999 -- 2005 ) Laura Csortan ( 2006 )   Seven Network   July 21 , 1981 -- 2004 November 2005 -- July 28 , 2006     Million Dollar Wheel of Fortune   Tim Campbell   Kelly Landry   Nine Network   May 26 , 2008 -- June 27 , 2008     Belgium ( Flanders )   Rad van Fortuin ( nl )   Mike Verdrengh ( nl ) Walter Capiau ( nl ) Bart Kaëll Walter Grootaers ( nl ; fr ) Koen Wauters Luc Appermont Bart van den Bossche   Aurore Be Els Deborah Valerie &amp; Zoe   BRT VTM Canvas   1989 -- 97 2004 -- 06     Brazil   Roletrando ( pt ) Roda a Roda ( pt )   Silvio Santos Patricia Abravanel   Patricia Salvador Cláudia Barone   SBT   August 23 , 1981 -- September 26 , 1993 October 13 , 2003 -- present     Bulgaria   Колелото на късмета ( bg ) Koleloto na kasmeta   Rumen Lukanov   Jasmina Toshkova   Nova TV   January 18 , 2010     Canada ( Quebec )   La Roue chanceuse ( fr )   Donald Lautrec   Lyne Sarrazin   TQS   May 1 , 1989 -- 1992     Chile   La Rueda de la Fortuna ( es )   Rodolfo Torrealba     Canal 13   1978 -- 79     Colombia   La Rueda de La Fortuna   Mauro Urquijo Gonzalo Vivanco   Laura Tobon   Caracól TV RCN   1998 -- 99 2012 -- 13     Croatia   Kolo sreće   Oliver Mlakar ( 1993 -- 2002 ) Boris Mirković ( 2015 -- )   Maja Vracaric ( 1993 -- 2002 ) Iva Jerković ( 2015 -- )   HRT1 ( 1993 -- 2002 ) RTL Televizija ( 2015 -- )   1993 -- 2002 May 18 , 2015 -- present     Czech Republic   Kolotoč   Pavel Poulicek Dalibor Gondik Honza Musil   Adela Gondikova Radka Ruster   TV Nova   1997 -- 2002     Denmark   Lykkehjulet   Michael Meyer Heim ( 1988 ) Bengt Burg ( 1989 -- 96 , 1997 -- 2000 ) Keld Heick ( 1996 -- 97 ) Lars Herlow ( 2000 -- 01 )   Pia Dresner ( 1988 ) Carina Jensen ( 1989 -- 94 ) Maria Millet ( 1995 -- 2001 )   TV2   October 1 , 1988 -- 2001     Ecuador   La Rueda de la Fortuna   Pancho Cabanilla     Ecuavisa   2004 -- present     Egypt   دايرة الحياة Dayret Al Hayat   Kareem Kojak   Heba Sameer Goudah   Hayat 2   August 19 , 2012 -- 2013     Estonia   Õnneratas Suur lotokolmapäev   Emil Rutiku ( 1999 -- 2000 ) Mart Sander ( 2011 -- 12 ) Kristjan Jõekalda ( 2012 -- 13 )     TV3 ( 1999 -- 2000 ) Kanal 2 ( 2011 -- 13 )   1999 -- 2000 2011 -- 13     Finland   Onnenpyörä ( fi )   Jethro Rosted ( fi ) ( 2018 ) Kim Floor ( fi ; de ) ( 1993 ) Janne Porkka ( fi ) ( 1993 -- 2001 )   Tiina Vierto ( 1993 - 1995 ) Susan Sirén ( 1995 - 1998 ) Kati Jalojärvi ( 1998 - 1999 ) Saija Palin ( 1999 - 2001 )   MTV3   1993 -- 2001     France   La Roue de la fortune   Michel Robbe ( 1987 ) Christian Morin ( 1987 -- 92 ) Alexandre Debanne ( 1993 -- 94 ) Olivier Chiabodo ( 1995 -- 97 ) Christophe Dechavanne ( 2006 -- 12 ) Benjamin Castaldi ( January -- March 2012 )   Annie Pujol ( 1987 -- 94 ) Sandra Rossi ( 1995 ) Frederique Calvez ( 1995 -- 97 ) Victoria Silvstedt ( 2006 -- 12 ) Valerie Begue ( January -- March 2012 )   TF1   January 5 , 1987 -- April 1997 August 7 , 2006 -- March 23 , 2012     Georgia   იღბლიანი ბორბალი Igbliani Borbali   Duta Skhirtladze Vaniko Tarkhnishvili   Shorena Begashvili   Rustavi 2   March 3 , 2011 -- present     Germany   Glücksrad ( de )   Frederic Meisner ( de ) Peter Bond ( de )   Maren Gilzer ( de )   Sat. 1   November 7 , 1988 -- May 15 , 1998     Frederic Meisner ( 1998 -- 2001 ) Thomas Ohrner ( 2001 -- 2002 )   Sonya Kraus ( 1998 -- 2002 ) Katrin Wrobel ( de ) ( 2002 )   kabel eins   May 18 , 1998 -- October 31 , 2002     Frederic Meisner   Ramona Drews   9 Live   March 1 , 2004 -- March 5 , 2005     Jan Hahn ( de )   Isabel Edvardsson   RTLplus   October 17 , 2016 -- present     Kinder - Glücksrad   Petra Hausberg   no hostess   Sat. 1   May 10 , 1992 -- 1993     Glücksrad - Gala   Peter Bond and Frederic Meisner   Maren Gilzer and Gundis Zambo   1993 -- 96     Greece Cyprus   Ο τροχός της τύχης O trokós tis túkis   George Polychroniou Paul Chaikalis Danis Katranidis Yiannis Koutrakis Peter Polychronidis   Krista Niki Kartsona Julia Nova   ANT1 MEGA Star Channel   1990 -- 96 1997 -- 98 2015 -- present     Hungary   Szerencsekerék ( hu )   Tamás Gajdos ( hu ) Viktor Klausmann ( hu ) Vizy András Dóra Prokopp ( hu ) Andrea Szulák ( hu ; de )   Rácz Zsuzsi   MTV1 TV2 Story4TV   1993 -- 97 1997 -- 2001 2011 -- 12     India   Surf Wheel of Fortune   Mohan Kapoor     Zee TV   1995 -- 97     Indonesia   Roda Impian ( id ) Pilih atau Dia   Charles Bonar Sirait   Vicki ( 2001 -- 02 ) Ike ( 2002 )   SCTV antv Indosiar   August 6 , 2001 -- August 2 , 2002 2003 -- July 29 , 2005 January 2 , 2006 -- March 3 , 2006     Israel   גלגל המזל Galgal HaMazal ( he )   Erez Tal Gil Sassover ( he )   Efrat Rotem Meirav Levin Galit Burg ( he ) Ruth Gonzales ( he ) Ingrid Feldman ( he ) Tal Man ( he ) Sigal Shachmon Anat Elimelech   Channel 2   1994 -- 2000     Italy   La Ruota Della Fortuna   Mike Bongiorno ( 1985 , 1989 -- 2003 ) Casti ( 1987 -- 88 ) Enrico Papi ( 2007 -- 09 )   Raffaella De Riso ( 1987 -- 88 ) Michelle Klippenstein ( 1988 ) Ylenia Carrisi ( 1989 , 1992 ) Paola Barale ( 1989 -- 95 ) Roberta Capua ( 1995 ) Antonella Elia ( 1995 -- 96 ) Claudia Grego ( 1996 -- 97 ) Ana Laura Ribas ( 1997 ) Miriana Trevisan ( 1997 -- 2002 ) Nancy Comelli ( 2002 -- 03 ) Victoria Silvstedt ( 2007 -- 09 )   Canale 5 ( 1985 ) Odeon TV ( 1987 -- 88 ) Rete 4 ( 1989 -- 2003 ) Italia 1 ( 2007 -- 09 )   1985 September 1987 -- 1988 1989 -- 2003 2007 -- 09     Lithuania   Laimės Ratas         1990s     Macedonia   Тркало На Среќата Trkalo Na Srekata   Igor Dzambazov   Natali Grubovic   A1 Channel   2009 -- 11     Malaysia   Roda Impian   Halim Othman ( 1996 -- 2002 ) Hani Mohsin ( 2002 -- 06 ) Kieran ( 2009 )   Zalda Zainal Abby Abadi Spell Liza AF1 Irma Hasmie Fauziah Gous   Astro Ria TV3   1996 -- 2006 2009     Mexico   La rueda de la fortuna   Laura Flores   Anastasia   Canal de las Estrellas   1995 -- 97     Netherlands   Rad van Fortuin ( nl )   Hans van der Togt ( nl ) Carlo Boszhard Andre Hazes jr. ( 2016 )   Leontine Borsato ( nl ) Patricia Rietveld Cindy Pielstroom Stephanie Tency ( fy ; nl ) ( 2016 )   RTL 4 SBS 6   1989 -- 98 2009 August 22 , 2016 -- July 27 , 2017     New Zealand   Wheel of Fortune   Phillip Leishman Jason Gunn   Lana Coc - Kroft Sonia Gray   TV2 TV One   February 1991 -- 1996 April 14 , 2008 -- May 2 , 2009     Norway   Lykkehjulet ( no ; sv )   Ragnar Otnes ( no ) Knut Bjørnsen Vendela Kirsebom   Ulrika Nilsson Lise Nilsen   TV3   1990 -- 93 February 26 , 2007     Panama   La Rueda de la Fortuna   Rassiel Rodriguez Jorge Ortega   Nadage Herrera   Telemetro   2001 2011     Peru   La Ruleta de la Suerte   Christian Rivero   Gisela Valcarcel   Frecuencia Latina   2011 -- 12     Philippines   Wheel of Fortune   Rustom Padilla Kris Aquino   Victoria London Zara Aldana &amp; Jasmine Fitzgerald   ABC 5 ABS -- CBN   November 19 , 2001 -- October 2002 January 14 , 2008 -- July 25 , 2008     Poland   Koło Fortuny   Wojciech Pijanowski ( 1992 -- 95 ) Paweł Wawrzecki ( 1995 ) Stanisław Mikulski ( 1995 -- 98 ) Krzysztof Tyniec ( 2007 -- 09 ) Rafał Brzozowski ( 2017 -- present )   Magda Masny ( 1992 -- 98 ) Marta Lewandowska ( 2007 -- 09 ) Izabella Krzan ( 2017 -- present )   TVP2   October 2 , 1992 -- September 1 , 1998 October 29 , 2007 -- October 27 , 2009 September 11 , 2017 -- present     Portugal   A Roda da Sorte ( pt )   Herman José   Ruth &amp; Rita Candido Mota Vanessa Palma ( pt )   RTP1 SIC   1990 -- 94 2008     Romania   Roata Norocului   Doru Dumitrescu Mihai Calin ( 1997 -- 99 ) Liviu Varciu ( 2012 -- 13 ) ( Adrian Cristea ) Bursucu ( 2015 -- present )   Cristiana Ruduta Ana Maria Barnoschi   TVR1 Pro TV Kanal D   March 1997 December 1997 -- May 1999 June 20 , 2012 -- present     Russia   Поле чудес Pole Chudes   Vladislav Listyev ( 1990 -- 91 ) Leonid Yakubovich ( 1991 -- present ) Valdis Pelsh ( 25 December 2002 )   Rimma Agafoshina ( 1991 -- present )   VID 1TV   October 25 , 1990 -- present     Serbia   Kolo sreće   Milorad Mandić   Soraja Vučelić   Happy TV   December 2015 -- present     Singapore   Wheel of Fortune Singapore   Bernard Lim   Eunice Olsen   MediaCorp Channel 5   May 8 , 2002     Slovakia   Koleso šťastia   Jozef Pročko Tibor Hlista Roman Feder Laco Híveš Roman Pomajbo Peter Marcin Lukáš Adamec   Alžbeta Ferencová   STV VTV Markíza   1994 -- 97 July 25 , 2016 -- January 23 , 2017     Slovenia   Kolo sreče   Mito Trefalt   Damjana Golavšek   TV SLO1   1990s     Spain   La ruleta de la fortuna La ruleta de la suerte   Mayra Gómez Kemp Ramón García Irma Soriano Bigote Arrocet Mabel Lozano Belén Rueda Fernando Esteso Jesús Vázquez Andoni Ferreño Goyo González Carlos Lozano Jorge Hernandez   Diana Fernandez ( 1991 -- 97 ) Paloma Lopez ( 2006 -- 15 ) Laura Moure ( 2015 -- present )   Antena 3 Telecinco Antena 3   1990 -- 92 1993 -- 97 2006 -- present     Sweden   Lykkehjulet ( sv ; no ) Miljonlotteriet Lyckohjulet   Ragnar Otnes Hans Wiklund   Ulrika Nilsson Hannah Graaf   TV3 TV8   1990s     Turkey   Çarkıfelek   Ümit Güner Tarık Tarcan Halit Kıvanç Yıldo Mehmet Ali Erbil Ata Demirer Muazzez Ersoy Tuğba Özay Deniz Seki and Emel Müftüoğlu Arto Hamdi Alkan Petek Dinçöz İlker Ayrık     TRT TRT 2 Show Tv Cine5 Kanal D Eko Tv Super Kanal TGRT atv Kanal 1 FOX Türkiye Star TV TNT Türkiye Kanal D   1975 -- 92 1986 -- 92 1992 -- 96 , 2005 -- 06 1993 -- 96 1997 -- 2003 1997 -- 2000 2002 -- 03 2003 -- 04 2007 -- 08 2008 -- 09 2011 -- 12 2014 -- present     Çark 2000   Ataman Erkul     Kanal D   2000     United Kingdom   Wheel of Fortune   Nicky Campbell ( 1988 -- 96 ) Bradley Walsh ( 1997 ) John Leslie ( 1998 -- 2001 ) Paul Hendy ( 2001 )   Angela Ekaette ( 1988 ) Carol Smillie ( 1989 -- 94 ) Jenny Powell ( 1995 -- 2001 ) Terri Seymour ( 2001 )   ITV   July 19 , 1988 -- December 21 , 2001     United States Canada ( English )   Wheel of Fortune   Chuck Woolery ( 1975 -- 81 ) Pat Sajak ( 1981 -- 89 ) Rolf Benirschke ( 1989 ) Bob Goen ( 1989 -- 91 )   Susan Stafford ( 1975 -- 82 ) Vanna White ( 1982 -- 91 )   NBC ( 1975 -- 89 , 1991 ) CBS ( 1989 -- 91 )   January 6 , 1975 -- June 30 , 1989 July 17 , 1989 -- September 20 , 1991     Pat Sajak   Vanna White   syndication   September 19 , 1983 -- present     Wheel 2000   David Sidoni   Tanika Ray ( as `` Cyber Lucy '' )   CBS   September 13 , 1997 -- February 7 , 1998     Venezuela   La Estrella de la Fortuna   Orlando Urdaneta Corina Azopardo Luis Velazco Juan Manuel Montesinos   Maru Winklemann   Venevisión   1984 -- 89     Vietnam   Chiếc nón kỳ diệu ( vi )   Lại Văn Sâm ( first show in 2001 ) Trịnh Long Vũ ( 2001 -- 06 ) Tuấn Tú ( 2006 -- 13 ) Danh Tùng ( 2014 - 15 ) Bùi Đức Bảo ( 2015 -- 2016 )   Phạm Thu Hằng ( 2001 -- 03 ) Hương Giang ( 2003 -- 06 ) MaiKa ( 2007 -- 09 , similar to Wheel 2000 in the U.S. ) Hồng Nhung ( 2009 -- 2016 )   VTV3   March 31 , 2001 -- December 24 , 2016     See also ( edit )    List of television show franchises    References ( edit )    Jump up ^ http://vietnamnet.vn/vn/giai-tri/truyen-hinh/chiec-non-ky-dieu-chia-tay-khan-gia-sau-16-nam-phat-song-348335.html    External links ( edit )    Official site of the Singapore edition ( via internet Archive )      ( hide )         Wheel of Fortune     International versions     Australia   Denmark   France   Italy   Malaysia   New Zealand   Philippines   Poland   Russia   Spain   United Kingdom       Miscellaneous     Video games   Wheel 2000         Book        Retrieved from `` https://en.wikipedia.org/w/index.php?title=International_versions_of_Wheel_of_Fortune&amp;oldid=829584746 '' Categories :   Wheel of Fortune ( franchise )   Television franchises   Hidden categories :   Articles needing additional references from December 2016   All articles needing additional references   Incomplete lists from February 2014   Interlanguage link template link number           Talk                                           Contents                   About Wikipedia                                           Add links   This page was last edited on 9 March 2018 , at 15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</si>
  <si>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wheel of fortune's are there around the world</t>
  </si>
  <si>
    <t xml:space="preserve">   Region or Country   Local name   Hosts   Hostesses   Network   Dates     Argentina   Tiempo Límite ATP   Gerardo Sofovich     América TV   2001     Australia   Wheel of Fortune   Ernie Sigley ( 1981 -- 84 ) John Burgess ( 1984 -- 96 ) Tony Barber ( 1996 ) Rob Elliott ( 1997 -- 2003 ) Steve Oemcke ( 2004 -- 05 ) Larry Emdur ( 2006 )   Adriana Xenides ( 1981 -- 96 , 1997 -- 99 ) Kerrie Friend ( 1996 -- 97 ) Sophie Falkiner ( 1999 -- 2005 ) Laura Csortan ( 2006 )   Seven Network   July 21 , 1981 -- 2004 November 2005 -- July 28 , 2006     Million Dollar Wheel of Fortune   Tim Campbell   Kelly Landry   Nine Network   May 26 , 2008 -- June 27 , 2008     Belgium ( Flanders )   Rad van Fortuin ( nl )   Mike Verdrengh ( nl ) Walter Capiau ( nl ) Bart Kaëll Walter Grootaers ( nl ; fr ) Koen Wauters Luc Appermont Bart van den Bossche   Aurore Be Els Deborah Valerie &amp; Zoe   BRT VTM Canvas   1989 -- 97 2004 -- 06     Brazil   Roletrando ( pt ) Roda a Roda ( pt )   Silvio Santos Patricia Abravanel   Patricia Salvador Cláudia Barone   SBT   August 23 , 1981 -- September 26 , 1993 October 13 , 2003 -- present     Bulgaria   Колелото на късмета ( bg ) Koleloto na kasmeta   Rumen Lukanov   Jasmina Toshkova   Nova TV   January 18 , 2010     Canada ( Quebec )   La Roue chanceuse ( fr )   Donald Lautrec   Lyne Sarrazin   TQS   May 1 , 1989 -- 1992     Chile   La Rueda de la Fortuna ( es )   Rodolfo Torrealba     Canal 13   1978 -- 79     Colombia   La Rueda de La Fortuna   Mauro Urquijo Gonzalo Vivanco   Laura Tobon   Caracól TV RCN   1998 -- 99 2012 -- 13     Croatia   Kolo sreće   Oliver Mlakar ( 1993 -- 2002 ) Boris Mirković ( 2015 -- )   Maja Vracaric ( 1993 -- 2002 ) Iva Jerković ( 2015 -- )   HRT1 ( 1993 -- 2002 ) RTL Televizija ( 2015 -- )   1993 -- 2002 May 18 , 2015 -- present     Czech Republic   Kolotoč   Pavel Poulicek Dalibor Gondik Honza Musil   Adela Gondikova Radka Ruster   TV Nova   1997 -- 2002     Denmark   Lykkehjulet   Michael Meyer Heim ( 1988 ) Bengt Burg ( 1989 -- 96 , 1997 -- 2000 ) Keld Heick ( 1996 -- 97 ) Lars Herlow ( 2000 -- 01 )   Pia Dresner ( 1988 ) Carina Jensen ( 1989 -- 94 ) Maria Millet ( 1995 -- 2001 )   TV2   October 1 , 1988 -- 2001     Ecuador   La Rueda de la Fortuna   Pancho Cabanilla     Ecuavisa   2004 -- present     Egypt   دايرة الحياة Dayret Al Hayat   Kareem Kojak   Heba Sameer Goudah   Hayat 2   August 19 , 2012 -- 2013     Estonia   Õnneratas Suur lotokolmapäev   Emil Rutiku ( 1999 -- 2000 ) Mart Sander ( 2011 -- 12 ) Kristjan Jõekalda ( 2012 -- 13 )     TV3 ( 1999 -- 2000 ) Kanal 2 ( 2011 -- 13 )   1999 -- 2000 2011 -- 13     Finland   Onnenpyörä ( fi )   Jethro Rosted ( fi ) ( 2018 ) Kim Floor ( fi ; de ) ( 1993 ) Janne Porkka ( fi ) ( 1993 -- 2001 )   Tiina Vierto ( 1993 - 1995 ) Susan Sirén ( 1995 - 1998 ) Kati Jalojärvi ( 1998 - 1999 ) Saija Palin ( 1999 - 2001 )   MTV3   1993 -- 2001     France   La Roue de la fortune   Michel Robbe ( 1987 ) Christian Morin ( 1987 -- 92 ) Alexandre Debanne ( 1993 -- 94 ) Olivier Chiabodo ( 1995 -- 97 ) Christophe Dechavanne ( 2006 -- 12 ) Benjamin Castaldi ( January -- March 2012 )   Annie Pujol ( 1987 -- 94 ) Sandra Rossi ( 1995 ) Frederique Calvez ( 1995 -- 97 ) Victoria Silvstedt ( 2006 -- 12 ) Valerie Begue ( January -- March 2012 )   TF1   January 5 , 1987 -- April 1997 August 7 , 2006 -- March 23 , 2012     Georgia   იღბლიანი ბორბალი Igbliani Borbali   Duta Skhirtladze Vaniko Tarkhnishvili   Shorena Begashvili   Rustavi 2   March 3 , 2011 -- present     Germany   Glücksrad ( de )   Frederic Meisner ( de ) Peter Bond ( de )   Maren Gilzer ( de )   Sat. 1   November 7 , 1988 -- May 15 , 1998     Frederic Meisner ( 1998 -- 2001 ) Thomas Ohrner ( 2001 -- 2002 )   Sonya Kraus ( 1998 -- 2002 ) Katrin Wrobel ( de ) ( 2002 )   kabel eins   May 18 , 1998 -- October 31 , 2002     Frederic Meisner   Ramona Drews   9 Live   March 1 , 2004 -- March 5 , 2005     Jan Hahn ( de )   Isabel Edvardsson   RTLplus   October 17 , 2016 -- present     Kinder - Glücksrad   Petra Hausberg   no hostess   Sat. 1   May 10 , 1992 -- 1993     Glücksrad - Gala   Peter Bond and Frederic Meisner   Maren Gilzer and Gundis Zambo   1993 -- 96     Greece Cyprus   Ο τροχός της τύχης O trokós tis túkis   George Polychroniou Paul Chaikalis Danis Katranidis Yiannis Koutrakis Peter Polychronidis   Krista Niki Kartsona Julia Nova   ANT1 MEGA Star Channel   1990 -- 96 1997 -- 98 2015 -- present     Hungary   Szerencsekerék ( hu )   Tamás Gajdos ( hu ) Viktor Klausmann ( hu ) Vizy András Dóra Prokopp ( hu ) Andrea Szulák ( hu ; de )   Rácz Zsuzsi   MTV1 TV2 Story4TV   1993 -- 97 1997 -- 2001 2011 -- 12     India   Surf Wheel of Fortune   Mohan Kapoor     Zee TV   1995 -- 97     Indonesia   Roda Impian ( id ) Pilih atau Dia   Charles Bonar Sirait   Vicki ( 2001 -- 02 ) Ike ( 2002 )   SCTV antv Indosiar   August 6 , 2001 -- August 2 , 2002 2003 -- July 29 , 2005 January 2 , 2006 -- March 3 , 2006     Israel   גלגל המזל Galgal HaMazal ( he )   Erez Tal Gil Sassover ( he )   Efrat Rotem Meirav Levin Galit Burg ( he ) Ruth Gonzales ( he ) Ingrid Feldman ( he ) Tal Man ( he ) Sigal Shachmon Anat Elimelech   Channel 2   1994 -- 2000     Italy   La Ruota Della Fortuna   Mike Bongiorno ( 1985 , 1989 -- 2003 ) Casti ( 1987 -- 88 ) Enrico Papi ( 2007 -- 09 )   Raffaella De Riso ( 1987 -- 88 ) Michelle Klippenstein ( 1988 ) Ylenia Carrisi ( 1989 , 1992 ) Paola Barale ( 1989 -- 95 ) Roberta Capua ( 1995 ) Antonella Elia ( 1995 -- 96 ) Claudia Grego ( 1996 -- 97 ) Ana Laura Ribas ( 1997 ) Miriana Trevisan ( 1997 -- 2002 ) Nancy Comelli ( 2002 -- 03 ) Victoria Silvstedt ( 2007 -- 09 )   Canale 5 ( 1985 ) Odeon TV ( 1987 -- 88 ) Rete 4 ( 1989 -- 2003 ) Italia 1 ( 2007 -- 09 )   1985 September 1987 -- 1988 1989 -- 2003 2007 -- 09     Lithuania   Laimės Ratas         1990s     Macedonia   Тркало На Среќата Trkalo Na Srekata   Igor Dzambazov   Natali Grubovic   A1 Channel   2009 -- 11     Malaysia   Roda Impian   Halim Othman ( 1996 -- 2002 ) Hani Mohsin ( 2002 -- 06 ) Kieran ( 2009 )   Zalda Zainal Abby Abadi Spell Liza AF1 Irma Hasmie Fauziah Gous   Astro Ria TV3   1996 -- 2006 2009     Mexico   La rueda de la fortuna   Laura Flores   Anastasia   Canal de las Estrellas   1995 -- 97     Netherlands   Rad van Fortuin ( nl )   Hans van der Togt ( nl ) Carlo Boszhard Andre Hazes jr. ( 2016 )   Leontine Borsato ( nl ) Patricia Rietveld Cindy Pielstroom Stephanie Tency ( fy ; nl ) ( 2016 )   RTL 4 SBS 6   1989 -- 98 2009 August 22 , 2016 -- July 27 , 2017     New Zealand   Wheel of Fortune   Phillip Leishman Jason Gunn   Lana Coc - Kroft Sonia Gray   TV2 TV One   February 1991 -- 1996 April 14 , 2008 -- May 2 , 2009     Norway   Lykkehjulet ( no ; sv )   Ragnar Otnes ( no ) Knut Bjørnsen Vendela Kirsebom   Ulrika Nilsson Lise Nilsen   TV3   1990 -- 93 February 26 , 2007     Panama   La Rueda de la Fortuna   Rassiel Rodriguez Jorge Ortega   Nadage Herrera   Telemetro   2001 2011     Peru   La Ruleta de la Suerte   Christian Rivero   Gisela Valcarcel   Frecuencia Latina   2011 -- 12     Philippines   Wheel of Fortune   Rustom Padilla Kris Aquino   Victoria London Zara Aldana &amp; Jasmine Fitzgerald   ABC 5 ABS -- CBN   November 19 , 2001 -- October 2002 January 14 , 2008 -- July 25 , 2008     Poland   Koło Fortuny   Wojciech Pijanowski ( 1992 -- 95 ) Paweł Wawrzecki ( 1995 ) Stanisław Mikulski ( 1995 -- 98 ) Krzysztof Tyniec ( 2007 -- 09 ) Rafał Brzozowski ( 2017 -- present )   Magda Masny ( 1992 -- 98 ) Marta Lewandowska ( 2007 -- 09 ) Izabella Krzan ( 2017 -- present )   TVP2   October 2 , 1992 -- September 1 , 1998 October 29 , 2007 -- October 27 , 2009 September 11 , 2017 -- present     Portugal   A Roda da Sorte ( pt )   Herman José   Ruth &amp; Rita Candido Mota Vanessa Palma ( pt )   RTP1 SIC   1990 -- 94 2008     Romania   Roata Norocului   Doru Dumitrescu Mihai Calin ( 1997 -- 99 ) Liviu Varciu ( 2012 -- 13 ) ( Adrian Cristea ) Bursucu ( 2015 -- present )   Cristiana Ruduta Ana Maria Barnoschi   TVR1 Pro TV Kanal D   March 1997 December 1997 -- May 1999 June 20 , 2012 -- present     Russia   Поле чудес Pole Chudes   Vladislav Listyev ( 1990 -- 91 ) Leonid Yakubovich ( 1991 -- present ) Valdis Pelsh ( 25 December 2002 )   Rimma Agafoshina ( 1991 -- present )   VID 1TV   October 25 , 1990 -- present     Serbia   Kolo sreće   Milorad Mandić   Soraja Vučelić   Happy TV   December 2015 -- present     Singapore   Wheel of Fortune Singapore   Bernard Lim   Eunice Olsen   MediaCorp Channel 5   May 8 , 2002     Slovakia   Koleso šťastia   Jozef Pročko Tibor Hlista Roman Feder Laco Híveš Roman Pomajbo Peter Marcin Lukáš Adamec   Alžbeta Ferencová   STV VTV Markíza   1994 -- 97 July 25 , 2016 -- January 23 , 2017     Slovenia   Kolo sreče   Mito Trefalt   Damjana Golavšek   TV SLO1   1990s     Spain   La ruleta de la fortuna La ruleta de la suerte   Mayra Gómez Kemp Ramón García Irma Soriano Bigote Arrocet Mabel Lozano Belén Rueda Fernando Esteso Jesús Vázquez Andoni Ferreño Goyo González Carlos Lozano Jorge Hernandez   Diana Fernandez ( 1991 -- 97 ) Paloma Lopez ( 2006 -- 15 ) Laura Moure ( 2015 -- present )   Antena 3 Telecinco Antena 3   1990 -- 92 1993 -- 97 2006 -- present     Sweden   Lykkehjulet ( sv ; no ) Miljonlotteriet Lyckohjulet   Ragnar Otnes Hans Wiklund   Ulrika Nilsson Hannah Graaf   TV3 TV8   1990s     Turkey   Çarkıfelek   Ümit Güner Tarık Tarcan Halit Kıvanç Yıldo Mehmet Ali Erbil Ata Demirer Muazzez Ersoy Tuğba Özay Deniz Seki and Emel Müftüoğlu Arto Hamdi Alkan Petek Dinçöz İlker Ayrık     TRT TRT 2 Show Tv Cine5 Kanal D Eko Tv Super Kanal TGRT atv Kanal 1 FOX Türkiye Star TV TNT Türkiye Kanal D   1975 -- 92 1986 -- 92 1992 -- 96 , 2005 -- 06 1993 -- 96 1997 -- 2003 1997 -- 2000 2002 -- 03 2003 -- 04 2007 -- 08 2008 -- 09 2011 -- 12 2014 -- present     Çark 2000   Ataman Erkul     Kanal D   2000     United Kingdom   Wheel of Fortune   Nicky Campbell ( 1988 -- 96 ) Bradley Walsh ( 1997 ) John Leslie ( 1998 -- 2001 ) Paul Hendy ( 2001 )   Angela Ekaette ( 1988 ) Carol Smillie ( 1989 -- 94 ) Jenny Powell ( 1995 -- 2001 ) Terri Seymour ( 2001 )   ITV   July 19 , 1988 -- December 21 , 2001     United States Canada ( English )   Wheel of Fortune   Chuck Woolery ( 1975 -- 81 ) Pat Sajak ( 1981 -- 89 ) Rolf Benirschke ( 1989 ) Bob Goen ( 1989 -- 91 )   Susan Stafford ( 1975 -- 82 ) Vanna White ( 1982 -- 91 )   NBC ( 1975 -- 89 , 1991 ) CBS ( 1989 -- 91 )   January 6 , 1975 -- June 30 , 1989 July 17 , 1989 -- September 20 , 1991     Pat Sajak   Vanna White   syndication   September 19 , 1983 -- present     Wheel 2000   David Sidoni   Tanika Ray ( as `` Cyber Lucy '' )   CBS   September 13 , 1997 -- February 7 , 1998     Venezuela   La Estrella de la Fortuna   Orlando Urdaneta Corina Azopardo Luis Velazco Juan Manuel Montesinos   Maru Winklemann   Venevisión   1984 -- 89     Vietnam   Chiếc nón kỳ diệu ( vi )   Lại Văn Sâm ( first show in 2001 ) Trịnh Long Vũ ( 2001 -- 06 ) Tuấn Tú ( 2006 -- 13 ) Danh Tùng ( 2014 - 15 ) Bùi Đức Bảo ( 2015 -- 2016 )   Phạm Thu Hằng ( 2001 -- 03 ) Hương Giang ( 2003 -- 06 ) MaiKa ( 2007 -- 09 , similar to Wheel 2000 in the U.S. ) Hồng Nhung ( 2009 -- 2016 )   VTV3   March 31 , 2001 -- December 24 , 2016   </t>
  </si>
  <si>
    <t xml:space="preserve">Clostridium difficile infection - Wikipedia  Clostridium difficile infection  For the bacterium , see Clostridium difficile ( bacteria ) .      Clostridium difficile infection     Synonyms   C. difficile associated diarrhea ( CDAD ) , Clostridium difficile colitis         Pathological specimen showing pseudomembranous colitis     Specialty   Infectious disease     Symptoms   Diarrhea , fever , nausea , abdominal pain     Complications   Pseudomembranous colitis , toxic megacolon , perforation of the colon , sepsis     Causes   Clostridium difficile spread by the fecal - oral route     Risk factors   Antibiotics , proton pump inhibitors , hospitalization , other health problems , older age     Diagnostic method   Stool culture , testing for the bacteria 's DNA or toxins     Prevention   Hand washing , terminal room cleaning in hospital     Treatment   Metronidazole , vancomycin , fidaxomicin , fecal microbiota transplantation     Frequency   453,000 ( US 2011 )     Deaths   29,000 ( US )     Clostridium difficile infection ( CDI or C - dif ) is a symptomatic infection due to the spore - forming bacterium , Clostridium difficile . Symptoms include watery diarrhea , fever , nausea , and abdominal pain . It makes up about 20 % of cases of antibiotic - associated diarrhea . Complications may include pseudomembranous colitis , toxic megacolon , perforation of the colon , and sepsis .   Clostridium difficile infection is spread by bacterial spores found within feces . Surfaces may become contaminated with the spores with further spread occurring via the hands of healthcare workers . Risk factors for infection include antibiotic or proton pump inhibitors use , hospitalization , other health problems , and older age . Diagnosis is by stool culture or testing for the bacteria 's DNA or toxins . If a person tests positive but has no symptoms , the condition is known as C. difficile colonization rather than an infection .   Prevention is by hand washing , terminal room cleaning in hospital , and limiting antibiotic use . Discontinuation of antibiotics may result in resolution of symptoms within three days in about 20 % of those infected . Often the antibiotics metronidazole , vancomycin or fidaxomicin will cure the infection . Retesting after treatment , as long as the symptoms have resolved , is not recommended , as the person may remain colonized . Recurrences have been reported in up to 25 % of people . Some tentative evidence indicates fecal microbiota transplantation and probiotics may decrease the risk of recurrence .   C. difficile infections occur in all areas of the world . About 453,000 cases occurred in the United States in 2011 , resulting in 29,000 deaths . Rates of disease globally have increased between 2001 and 2016 . Women are more often affected than men . The bacterium was discovered in 1935 and found to be disease - causing in 1978 . In the United States , healthcare - associated infections increase the cost of care by US $1.5 billion each year .   Contents    1 Signs and symptoms   2 Cause   2.1 C. difficile   2.2 Risk factors   2.2. 1 Antibiotics   2.2. 2 Healthcare environment   2.2. 3 Acid suppression medication   2.2. 4 Elemental diet       3 Pathophysiology   4 Diagnosis   4.1 Cytotoxicity assay   4.2 Toxin ELISA   4.3 Other stool tests   4.4 PCR     5 Prevention   5.1 Antibiotics   5.2 Probiotics   5.3 Infection control     6 Treatment   6.1 Medications   6.2 Probiotics   6.3 Stool transplant   6.4 Surgery     7 Prognosis   8 Epidemiology   9 History   9.1 Notable outbreaks     10 Pronunciation   11 Research   12 Other animals   13 References   14 External links    Signs and symptoms ( edit )   Signs and symptoms of CDI range from mild diarrhea to severe life - threatening inflammation of the colon .   In adults , a clinical prediction rule found the best signs to be significant diarrhea ( `` new onset of more than three partially formed or watery stools per 24 - hour period '' ) , recent antibiotic exposure , abdominal pain , fever ( up to 40.5 ° C or 105 ° F ) , and a distinctive foul odor to the stool resembling horse manure . In a population of hospitalized patients , prior antibiotic treatment plus diarrhea or abdominal pain had a sensitivity of 86 % and a specificity of 45 % . In this study with a prevalence of positive cytotoxin assays of 14 % , the positive predictive value was 18 % and the negative predictive value was 94 % .   In children , the most prevalent symptom of a CDI is watery diarrhea with at least three bowel movements a day for two or more days , which may be accompanied by fever , loss of appetite , nausea , and / or abdominal pain . Those with a severe infection also may develop serious inflammation of the colon and have little or no diarrhea .   Cause ( edit )  Main article : Clostridium difficile ( bacteria ) How C. difficile spreads  Infection with C. difficile bacteria are responsible for C. difficile diarrhea .   C. difficile ( edit )  Individual , drumstick - shaped C. difficile bacilli seen through scanning electron microscopy C. difficile colonies on a blood agar plate  Clostridia are anaerobic motile bacteria , ubiquitous in nature , and especially prevalent in soil . Under the microscope , they appear as long , irregular ( often drumstick - or spindle - shaped ) cells with a bulge at their terminal ends . Under Gram staining , C. difficile cells are Gram - positive and show optimum growth on blood agar at human body temperatures in the absence of oxygen . When stressed , the bacteria produce spores that are able to tolerate extreme conditions that the active bacteria can not tolerate .   C. difficile may become established in the human colon ; it is present in 2 -- 5 % of the adult population .   Pathogenic C. difficile strains produce multiple toxins . The most well - characterized are enterotoxin ( Clostridium difficile toxin A ) and cytotoxin ( Clostridium difficile toxin B ) , both of which may produce diarrhea and inflammation in infected patients , although their relative contributions have been debated . Toxins A and B are glucosyltransferases that target and inactivate the Rho family of GTPases . Toxin B ( cytotoxin ) induces actin depolymerization by a mechanism correlated with a decrease in the ADP - ribosylation of the low molecular mass GTP - binding Rho proteins . Another toxin , binary toxin , also has been described , but its role in disease is not fully understood .   Antibiotic treatment of CDIs may be difficult , due both to antibiotic resistance and physiological factors of the bacteria ( spore formation , protective effects of the pseudomembrane ) . The emergence of a new and highly toxic strain of C. difficile that is resistant to fluoroquinolone antibiotics such as ciprofloxacin and levofloxacin , said to be causing geographically dispersed outbreaks in North America , was reported in 2005 . The U.S. Centers for Disease Control and Prevention in Atlanta warned of the emergence of an epidemic strain with increased virulence , antibiotic resistance , or both .   C. difficile is transmitted from person to person by the fecal - oral route . The organism forms heat - resistant spores that are not killed by alcohol - based hand cleansers or routine surface cleaning . Thus , these spores survive in clinical environments for long periods . Because of this , the bacteria may be cultured from almost any surface . Once spores are ingested , their acid - resistance allows them to pass through the stomach unscathed . Upon exposure to bile acids , they germinate and multiply into vegetative cells in the colon .   In 2005 , molecular analysis led to the identification of the C. difficile strain type characterized as group BI by restriction endonuclease analysis , as North American pulse - field - type NAP1 by pulsed - field gel electrophoresis and as ribotype 027 ; the differing terminology reflects the predominant techniques used for epidemiological typing . This strain is referred to as C. difficile BI / NAP1 / 027 .   Risk factors ( edit )  Antibiotics ( edit )  C. difficile colitis is associated most strongly with the use of these antibiotics : fluoroquinolones , cephalosporins , and clindamycin .   Some research suggests the routine use of antibiotics in the raising of livestock is contributing to outbreaks of bacterial infections such as C. difficile .  Healthcare environment ( edit )  People are most often infected in hospitals , nursing homes , or other medical institutions , although infection outside medical settings is increasing . Individuals can develop the infection if they touch objects or surfaces that are contaminated with feces and then touch their mouth or mucous membranes . Healthcare workers could possibly spread the bacteria to patients or contaminate surfaces through hand contact . The rate of C. difficile acquisition is estimated to be 13 % in patients with hospital stays of up to two weeks , and 50 % with stays longer than four weeks .   Long - term hospitalization or residence in a nursing home within the previous year are independent risk factors for increased colonization .  Acid suppression medication ( edit )  Increasing rates of community - acquired CDI are associated with the use of medication to suppress gastric acid production : H2 - receptor antagonists increased the risk 1.5-fold , and proton pump inhibitors by 1.7 with once - daily use and 2.4 with more than once - daily use .  Elemental diet ( edit )  As a result of suppression of healthy bacteria , via a loss of bacterial food source , prolonged use of an elemental diet elevates the risk of developing C. difficile infection .   Pathophysiology ( edit )   The use of systemic antibiotics , including any penicillin - based antibiotic such as ampicillin , cephalosporins , and clindamycin , causes the normal microbiota of the bowel to be altered . In particular , when the antibiotic kills off other competing bacteria in the intestine , any bacteria remaining will have less competition for space and nutrients . The net effect is to permit more extensive growth than normal of certain bacteria . C. difficile is one such type of bacterium . In addition to proliferating in the bowel , C. difficile also produces toxins . Without either toxin A or toxin B , C. difficile may colonize the gut , but is unlikely to cause pseudomembranous colitis . The colitis associated with severe infection is part of an inflammatory reaction , with the `` pseudomembrane '' formed by a viscous collection of inflammatory cells , fibrin , and necrotic cells .   Diagnosis ( edit )  Micrograph of a colonic pseudomembrane in C. difficile colitis , a type of pseudomembranous colitis , H&amp;E stain Endoscopic image of pseudomembranous colitis , with yellow pseudomembranes seen on the wall of the sigmoid colon Pseudomembranous colitis on computed tomography  Prior to the advent of tests to detect C. difficile toxins , the diagnosis most often was made by colonoscopy or sigmoidoscopy . The appearance of `` pseudomembranes '' on the mucosa of the colon or rectum is highly suggestive , but not diagnostic of the condition . The pseudomembranes are composed of an exudate made of inflammatory debris , white blood cells . Although colonoscopy and sigmoidoscopy are still employed , now stool testing for the presence of C. difficile toxins is frequently the first - line diagnostic approach . Usually , only two toxins are tested for -- toxin A and toxin B -- but the organism produces several others . This test is not 100 % accurate , with a considerable false - negative rate even with repeat testing .   Cytotoxicity assay ( edit )   C. difficile toxins have a cytopathic effect in cell culture , and neutralization of any effect observed with specific antisera is the practical gold standard for studies investigating new CDI diagnostic techniques . Toxigenic culture , in which organisms are cultured on selective media and tested for toxin production , remains the gold standard and is the most sensitive and specific test , although it is slow and labor - intensive .   Toxin ELISA ( edit )   Assessment of the A and B toxins by enzyme - linked immunosorbent assay ( ELISA ) for toxin A or B ( or both ) has a sensitivity of 63 -- 99 % and a specificity of 93 -- 100 % .   Previously , experts recommended sending as many as three stool samples to rule out disease if initial tests are negative , but evidence suggests repeated testing during the same episode of diarrhea is of limited value and should be discouraged . C. difficile toxin should clear from the stool of previously infected patients if treatment is effective . Many hospitals only test for the prevalent toxin A. Strains that express only the B toxin are now present in many hospitals , however , so testing for both toxins should occur . Not testing for both may contribute to a delay in obtaining laboratory results , which is often the cause of prolonged illness and poor outcomes .   Other stool tests ( edit )   Stool leukocyte measurements and stool lactoferrin levels also have been proposed as diagnostic tests , but may have limited diagnostic accuracy .   Pcr ( edit )   Testing of stool samples by real - time polymerase chain reaction is able to detect C. difficile about 93 % of the time and when positive is incorrectly positive about 3 % of the time . This is more accurate than cytotoxigenic culture or cell cytotoxicity assay . Other benefits are that the result can be achieved within three hours . Drawbacks include a higher cost and the fact that the test only looks for the gene for the toxin and not the toxin itself . The later means that if the test is used without confirmation , overdiagnosis may occur . Repeat testing may be misleading , and testing specimens more than once every seven days in people without new symptoms is highly unlikely to yield useful information .   Prevention ( edit )   Self containment by housing people in private rooms is important to prevent the spread of C. difficile between patients . Contact precautions are an important part of preventing the spread of C. difficile. C. difficile does not often occur in people who are not taking antibiotics so limiting use of antibiotics decreases the risk .   Antibiotics ( edit )   The most effective method for preventing CDI is proper antimicrobial prescribing . In the hospital setting , where CDI is most common , nearly all patients who develop CDI are exposed to antimicrobials . Although proper antimicrobial prescribing is highly recommended , about 50 % of antimicrobial use is considered inappropriate . This is consistent whether in the hospital , clinic , community , or academic setting . A decrease in CDI by limiting antibiotics or by limiting unnecessary antimicrobial prescriptions in general , both in an outbreak and nonoutbreak setting has been demonstrated to be most strongly associated with reduced CDI . Further , reactions to medication may be severe : CDI infections were the most common contributor to adverse drug events seen in U.S. hospitals in 2011 . In some regions of the UK , reduced used of fluoroquinolone antibiotics seems to lead to reduced rates of CDI .   Probiotics ( edit )   Some evidence indicates probiotics may be useful to prevent infection and recurrence . Treatment with Saccharomyces boulardii in those who are not immunocompromised with C. difficile also may be useful . Initially , in 2010 , the Infectious Diseases Society of America recommended against their use due to the risk of complications . Subsequent reviews , however , did not find an increase in adverse effects with treatment , and overall treatment appears safe .   Infection Control ( edit )   Rigorous infection protocols are required to minimize this risk of transmission . Infection control measures , such as wearing gloves and noncritical medical devices used for a single person with CDI , are effective at prevention . This works by limiting the spread of C. difficile in the hospital setting . In addition , washing with soap and water will eliminate the spores from contaminated hands , but alcohol - based hand rubs are ineffective . These precautions should remain in place among those in hospital for at least 2 days after the diarrhea has stopped .   Bleach wipes containing 0.55 % sodium hypochlorite have been shown to kill the spores and prevent transmission between patients . Installing lidded toilets and closing the lid prior to flushing also reduces the risk of contamination .   Those who have CDIs should be in rooms with other people with CDIs or by themselves when in hospital .   Common hospital disinfectants are ineffective against C. difficile spores , and may promote spore formation , but disinfectants containing a 10 : 1 ratio of water to bleach effectively kill the spores . Hydrogen peroxide vapor ( HPV ) systems used to sterilize a patient room after discharge have been shown to reduce infection rates and to reduce risk of infection to subsequent patients . The incidence of CDI was reduced by 53 % or 42 % through use of HPV . Ultraviolet cleaning devices and housekeeping staff especially dedicated to disinfecting the rooms of patients infected with C. difficile after discharge may be effective .   Treatment ( edit )   Carrying C. difficile without symptoms is common . Treatment in those without symptoms is controversial . In general , mild cases do not require specific treatment . Oral rehydration therapy is useful in treating dehydration associated with the diarrhea .   Medications ( edit )   Several different antibiotics are used for C. difficile , with the available agents being more or less equally effective .    Vancomycin or fidaxomicin are the typically recommended for mild , moderate , and severe infections . They are also the first - line treatment for pregnant women , especially since metronidazole may cause birth defects . Typical vancomycin is taken four times a day by mouth for 10 days . It may also be given rectally if the person develops an ileus .   Fidaxomicin has been found to be as effective as vancomycin in those with mild to moderate disease , and may be better in those with severe disease . It is tolerated as well as vancomycin , and may have a lower risk of recurrence . It may be used in those who have recurrent infections and have not responded to other antibiotics .   Metronidazole is an alternative treatment for non severe C. difficile infections . It may also be used intravenously together with vancomycin in those with very severe disease .    Medications used to slow or stop diarrhea , such as loperamide , have been thought to have the potential to worsen C. difficile disease , so are not generally recommended . Evidence to support worse outcomes with use however is poor . Cholestyramine , an ion exchange resin , is effective in binding both toxin A and B , slowing bowel motility , and helping prevent dehydration . Cholestyramine is recommended with vancomycin . A last - resort treatment in those who are immunosuppressed is intravenous immunoglobulin .   Probiotics ( edit )   Evidence to support the use of probiotics in the treatment of active disease is insufficient . Thus in this situation , they are recommended neither as an add - on to standard therapy nor for use alone .   Stool transplant ( edit )   Fecal bacteriotherapy , also known as a stool transplant , is roughly 85 % to 90 % effective in those for whom antibiotics have not worked . It involves infusion of the microbiota acquired from the feces of a healthy donor to reverse the bacterial imbalance responsible for the recurring nature of the infection . The procedure replenishes the normal colonic microbiota that had been wiped out by antibiotics , and re-establishes resistance to colonization by Clostridium difficile . Side effects , at least initially , are few .   Some evidence looks hopeful that fecal transplant can be delivered in the form of a pill . They are available in the United States , but are not FDA - approved as of 2015 .   Surgery ( edit )   In those with severe C. difficile colitis , colectomy may improve the outcomes . Specific criteria may be used to determine who will benefit most from surgery .   Prognosis ( edit )   After a first treatment with metronidazole or vancomycin , C. difficile recurs in about 20 % of people . This increases to 40 % and 60 % with subsequent recurrences .   Epidemiology ( edit )   C. difficile diarrhea is estimated to occur in eight of 100,000 people each year . Among those who are admitted to hospital , it occurs in between four and eight people per 1,000 . In 2011 , it resulted in about half a million infections and 29,000 deaths in the United States .   Due in part to the emergence of a fluoroquinolone - resistant strain , C. difficile - related deaths increased 400 % between 2000 and 2007 in the United States . According to the CDC , `` C. difficile has become the most common microbial cause of healthcare - associated infections in U.S. hospitals and costs up to $4.8 billion each year in excess health care costs for acute care facilities alone . ''   History ( edit )   Initially named Bacillus difficilis by Hall and O'Toole in 1935 because it was resistant to early attempts at isolation and grew very slowly in culture , it was renamed in 1970 .   Pseudomembranous colitis first was described as a complication of C. difficile infection in 1978 , when a toxin was isolated from patients suffering from pseudomembranous colitis and Koch 's postulates were met .   Notable outbreaks ( edit )    On 4 June 2003 , two outbreaks of a highly virulent strain of this bacterium were reported in Montreal , Quebec , and Calgary , Alberta . Sources put the death count to as low as 36 and as high as 89 , with around 1,400 cases in 2003 and within the first few months of 2004 . CDIs continued to be a problem in the Quebec healthcare system in late 2004 . As of March 2005 , it had spread into the Toronto area , hospitalizing 10 people . One died while the others were being discharged .   A similar outbreak took place at Stoke Mandeville Hospital in the United Kingdom between 2003 and 2005 . The local epidemiology of C. difficile may offer clues on how its spread may relate to the time a patient spends in hospital and / or a rehabilitation center . It also samples the ability of institutions to detect increased rates , and their capacity to respond with more aggressive hand - washing campaigns , quarantine methods , and the availability of yogurt containing live cultures to patients at risk for infection .   Both the Canadian and English outbreaks possibly were related to the seemingly more virulent strain NAP1 / 027 of the bacterium . Known as Quebec strain , it has been implicated in an epidemic at two Dutch hospitals ( Harderwijk and Amersfoort , both 2005 ) . A theory for explaining the increased virulence of 027 is that it is a hyperproducer of both toxins A and B and that certain antibiotics may stimulate the bacteria to hyperproduce .   On 1 October 2006 , C. difficile was said to have killed at least 49 people at hospitals in Leicester , England , over eight months , according to a National Health Service investigation . Another 29 similar cases were investigated by coroners . A UK Department of Health memo leaked shortly afterward revealed significant concern in government about the bacterium , described as being `` endemic throughout the health service ''   On 27 October 2006 , nine deaths were attributed to the bacterium in Quebec .   On 18 November 2006 , the bacterium was reported to have been responsible for 12 deaths in Quebec . This 12th reported death was only two days after the St. Hyacinthe 's Honoré Mercier announced the outbreak was under control . Thirty - one patients were diagnosed with CDIs . Cleaning crews took measures in an attempt to clear the outbreak .   C. difficile was mentioned on 6,480 death certificates in 2006 in UK .   On 27 February 2007 , a new outbreak was identified at Trillium Health Centre in Mississauga , Ontario , where 14 people were diagnosed with CDIs . The bacteria were of the same strain as the one in Quebec . Officials have not been able to determine whether C. difficile was responsible for deaths of four patients over the prior two months .   Between February and June 2007 , three patients at Loughlinstown Hospital in Dublin , Ireland , were found by the coroner to have died as a result of C. difficile infection . In an inquest , the Coroner 's Court found the hospital had no designated infection control team or consultant microbiologist on staff .   Between June 2007 and August 2008 , Northern Health and Social Care Trust Northern Ireland , Antrim Area , Braid Valley , Mid Ulster Hospitals were the subject of inquiry . During the inquiry , expert reviewers concluded that C. difficile was implicated in 31 of these deaths , as the underlying cause in 15 , and as a contributory cause in 16 . During that time , the review also noted 375 instances of CDIs in patients .   In October 2007 , Maidstone and Tunbridge Wells NHS Trust was heavily criticized by the Healthcare Commission regarding its handling of a major outbreak of C. difficile in its hospitals in Kent from April 2004 to September 2006 . In its report , the Commission estimated approximately 90 patients `` definitely or probably '' died as a result of the infection .   In November 2007 , the 027 strain spread into several hospitals in southern Finland , with 10 deaths out of 115 infected patients reported on 2007 - 12 - 14 .   In November 2009 , four deaths at Our Lady of Lourdes Hospital in Ireland have possible links to CDI . A further 12 patients tested positive for infection , and another 20 showed signs of infection .   From February 2009 to February 2010 , 199 patients at Herlev hospital in Denmark were suspected of being infected with the 027 strain . In the first half of 2009 , 29 died in hospitals in Copenhagen after they were infected with the bacterium .   In May 2010 , a total of 138 patients at four different hospitals in Denmark were infected with the 027 strain plus there were some isolated occurrences at other hospitals .   In May 2010 , 14 fatalities were related to the bacterium in the Australian state of Victoria . Two years later , the same strain of the bacterium was detected in New Zealand .   On 28 May 2011 , an outbreak in Ontario had been reported , with 26 fatalities as of 24 July 2011 .   In 2012 / 2013 , a total of 27 people at one hospital in the south of Sweden ( Ystad ) were infected with 10 deaths . Five died of the strain 017 .    Pronunciation ( edit )   The anglicized pronunciation / klɒsˈtrɪdiəm dɪˈfɪsɪliː / is common , though a restored pronunciation / dɪˈfɪkɪleɪ / is also used . The classical Latin pronunciation is reconstructed as ( klōsˈtrɪdiũ dɪfˈfɪkɪlɛ ) . Difficile commonly is mispronounced / diːfiˈsiːl / , as though it were French . The word is from the Greek kloster ( κλωστήρ ) , `` spindle '' , and Latin difficile , `` difficult , obstinate '' .   Research ( edit )    Efforts to generate a vaccine are ongoing as of 2015 , with promising initial results .   CDA - 1 and CDB - 1 ( also known as MDX - 066 / MDX - 1388 and MBL - CDA1 / MBL - CDB1 ) is an investigational , monoclonal antibody combination co-developed by Medarex and Massachusetts Biologic Laboratories ( MBL ) to target and neutralize C. difficile toxins A and B , for the treatment of CDI . Merck &amp; Co. , Inc. gained worldwide rights to develop and commercialize CDA - 1 and CDB - 1 through an exclusive license agreement signed in April 2009 . It is intended as an add - on therapy to one of the existing antibiotics to treat CDI .   Nitazoxanide is a synthetic nitrothiazolyl - salicylamide derivative indicated as an antiprotozoal agent ( FDA - approved for the treatment of infectious diarrhea caused by Cryptosporidium parvum and Giardia lamblia ) and also is currently being studied in C. difficile infections vs. vancomycin .   Rifaximin , is a clinical - stage semisynthetic , rifamycin - based , nonsystemic antibiotic for CDI . It is FDA - approved for the treatment of infectious diarrhea and is being developed by Salix Pharmaceuticals .   Other drugs for the treatment of CDI are under development and include rifalazil , tigecycline , ramoplanin , ridinilazole , and SQ641 .   Research has studied whether the vermiform appendix has any importance in , C. difficile . The appendix is thought to have a function of housing good gut flora . In a study conducted in 2011 , it was shown that when C. difficile bacteria were introduced into the gut , the appendix housed cells that increased the antibody response of the body . The B cells of the appendix migrate , mature , and increase the production of toxin A-specific IgA and IgG antibodies , leading to an increased probability of good gut flora surviving against the C. difficile bacteria .   Taking non-toxic types of C. difficile after an infection has promising results with respect to preventing future infections .   Bezlotoxumab , a human monoclonal antibody , was approved for the treatment of C. difficile by the FDA in 2016 . It is given by injection . The medication hopefully will become available in the first quarter of 2017 .   A study in 2017 linked severe disease to trehalose in the diet .    Other animals ( edit )    Colitis - X ( in horses )    References ( edit )    ^ Jump up to : `` Frequently Asked Questions about Clostridium difficile for Healthcare Providers '' . CDC. 6 March 2012 . Archived from the original on 2 September 2016 . Retrieved 5 September 2016 .   ^ Jump up to : Butler , M ; Olson , A ; Drekonja , D ; Shaukat , A ; Schwehr , N ; Shippee , N ; Wilt , TJ ( March 2016 ) . `` Early Diagnosis , Prevention , and Treatment of Clostridium difficile : Update '' . AHRQ Comparative Effectiveness Reviews. : vi , 1 . PMID 27148613 .   ^ Jump up to : Nelson , RL ; Suda , KJ ; Evans , CT ( 3 March 2017 ) . `` Antibiotic treatment for Clostridium difficile - associated diarrhoea in adults '' . The Cochrane Database of Systematic Reviews . 3 : CD004610 . doi : 10.1002 / 14651858. CD004610. pub5 . PMID 28257555 .   ^ Jump up to : Lessa , Fernanda C. ; Mu , Yi ; Bamberg , Wendy M. ; Beldavs , Zintars G. ; Dumyati , Ghinwa K. ; Dunn , John R. ; Farley , Monica M. ; Holzbauer , Stacy M. ; Meek , James I. ; Phipps , Erin C. ; Wilson , Lucy E. ; Winston , Lisa G. ; Cohen , Jessica A. ; Limbago , Brandi M. ; Fridkin , Scott K. ; Gerding , Dale N. ; McDonald , L. Clifford ( 26 February 2015 ) . `` Burden of Infection in the United States '' . New England Journal of Medicine . 372 ( 9 ) : 825 -- 834 . doi : 10.1056 / NEJMoa1408913 . PMID 25714160 .   Jump up ^ Long , Sarah S. ; Pickering , Larry K. ; Prober , Charles G. ( 2012 ) . Principles and Practice of Pediatric Infectious Diseases ( 4 ed . ) . Elsevier Health Sciences . p. 979 . ISBN 1455739855 . Archived from the original on 14 September 2016 .   ^ Jump up to : Lessa , FC ; Gould , CV ; McDonald , LC ( August 2012 ) . `` Current status of Clostridium difficile infection epidemiology '' . Clinical Infectious Diseases . 55 Suppl 2 : S65 -- 70 . doi : 10.1093 / cid / cis319 . PMC 3388017 . PMID 22752867 .   Jump up ^ Leffler , DA ; Lamont , JT ( 16 April 2015 ) . `` Clostridium difficile infection '' . The New England Journal of Medicine . 372 ( 16 ) : 1539 -- 48 . doi : 10.1056 / NEJMra1403772 . PMID 25875259 .   Jump up ^ Joshi NM , Macken L , Rampton D ( 2012 ) . `` Inpatient diarrhoea and Clostridium difficile infection '' . Clinical Medicine . 12 ( 6 ) : 583 -- 588 . doi : 10.7861 / clinmedicine. 12 - 6 - 583 .   Jump up ^ Bomers , Marije ( April 2015 ) . `` Rapid , Accurate , and On - Site Detection of C. difficile in Stool Samples '' . The American Journal of Gastroenterology. 110 ( 4 ) : 588 -- 594 . doi : 10.1038 / ajg. 2015.90 . PMID 25823766 .   Jump up ^ Katz DA , Lynch ME , Littenberg B ( May 1996 ) . `` Clinical prediction rules to optimize cytotoxin testing for Clostridium difficile in hospitalized patients with diarrhea '' . The American Journal of Medicine . 100 ( 5 ) : 487 -- 95 . doi : 10.1016 / S0002 - 9343 ( 95 ) 00016 - X . PMID 8644759 .   Jump up ^ Moreno MA , Furtner F , Rivara FP ( June 2013 ) . `` Clostridium difficile : A Cause of Diarrhea in Children '' . JAMA Pediatrics. 167 ( 6 ) : 592 . doi : 10.1001 / jamapediatrics. 2013.2551 . PMID 23733223 . Archived from the original on 30 January 2016 .   ^ Jump up to : Ryan KJ , Ray CG ( editors ) ( 2004 ) . Sherris Medical Microbiology ( 4th ed . ) . McGraw Hill . pp. 322 -- 4 . ISBN 0 - 8385 - 8529 - 9 . CS1 maint : Extra text : authors list ( link )   Jump up ^ Di Bella , Stefano ; Ascenzi , Paolo ; Siarakas , Steven ; Pe</t>
  </si>
  <si>
    <t xml:space="preserve">role of spores in the development of c. difficile disease</t>
  </si>
  <si>
    <t xml:space="preserve"> C. difficile is transmitted from person to person by the fecal - oral route . The organism forms heat - resistant spores that are not killed by alcohol - based hand cleansers or routine surface cleaning . Thus , these spores survive in clinical environments for long periods . Because of this , the bacteria may be cultured from almost any surface . Once spores are ingested , their acid - resistance allows them to pass through the stomach unscathed . Upon exposure to bile acids , they germinate and multiply into vegetative cells in the colon . </t>
  </si>
  <si>
    <t xml:space="preserve">Super Dancer - Wikipedia  Super Dancer  Jump to : navigation , search    Super Dancer     Dance Ka Kal     Genre   Dance Reality     Created by   Ashish Golwalkar , Ranjeet Thakur , Ujjwal Anand and Arvind Rao     Presented by   Rithvik Dhanjani Paritosh Tripathi     Judges   Shilpa Shetty Kundra Geeta Kapoor Anurag Basu     Country of origin   India     Original language ( s )   Hindi     No. of seasons   02     Production     Producer ( s )   Ranjeet Thakur Hemant Ruprell     Location ( s )   Mumbai , India     Camera setup   Multi-camera     Running time   45 minutes approx .     Production company ( s )   Frames Productions     Distributor   Sony Pictures Networks     Release     Original network   Sony Entertainment Television Sony Entertainment Television Asia     Picture format   576i ( SDTV ) 1080i ( HDTV )     Original release   10 September 2016 -- Present     External links     Website   www.setindia.com/in-hi/shows/super-dancer/3     Super Dancer is an Indian Hindi kids dance reality television series , which airs on Sony Entertainment Television and Sony Entertainment Television Asia. The winner of season 1 of this series is Ditya Bhande. The series is produced by Ranjeet Thakur and Hemant Ruprell for their production house Frames Productions . The show was won By Ditya Bhande and choreographer Ruel Dausan .   SUPER DANCER CHAPTER 2   Super dancer chapter 2 was officially aired on Sony entertainment television on September 30th , 2017 . Auditions were aired on September 30th and mega auditions were aired on 14 October 2017 . Super 12 contestants were selected on the 14th :   1 . Muskan Sharma   2 . Mishti Sinha   3 . Arushi Saxena   4 . Shagun Singh   5 . Ritik Diwaker   6 . Sayed Yassir Abbir Rehman   7 . Bishal Sharma   8 . Vivek Jogdande   9 . Chandresh Delwar   10 . Kunal Jyoti Rabha   11 . Akash Thapa   12 . Jyoti Ranjan   CHOREOGRAPHERS   1. Muskan Sharma &amp; Paul Marshal   2 . Mishti Sinha &amp; Omkar   3 . Arushi Saxena &amp; Nishant Bhat   4 . Shagun Singh &amp; Aishwarya   5 . Ritik Diwaker &amp; Pratik Utekar   6 . Sayed Yassir Abbir Rehman &amp; Sonali Kar   7 . Bishal Sharma &amp; Vaibhav Ghughe   8 . Vivek Jogdande &amp; Ruel Dausan   9 . Chandresh Delwar &amp; Khushboo   10 . Kunal Jyoti Rabha &amp; Palden Lama Mawroh   11 . Akash Thapa &amp; Vivek Chachere   12 . Jyoti Ranjan Sahoo &amp; Anuradha Iyengar   Super Dancer 2 Top 12 Contestants    Akash Thapa   Jyoti Ranjan Sahoo   Vivek Vilas   Kunal Jyoti   Misti Sinha   Muskan Sharma   Ritwik Diwakar   Shagun Singh   Bishal Sharma   Abir Rahaman   Arushi Saxena   Chandresh Delwar      Contents  ( hide )   1 Concept   2 Season 1   2.1 Participants   2.2 Power Card Entry     3 Season 2   3.1 Participants     4 References      Concept ( edit )   The show Super Dancer - Dance Ka Kal aims to find a kid prodigy who has the potential to be the future of dance . The kids are aged between 4 and 13 years of age . They are not only required to have 3Ds of dancing - Desire , Discipline and Determination - but also should be a keen learner , adaptable to all dance styles and circumstances and should be a passionate dancer with a unique personality . This show is an ideal opportunity for every kid to hone their talent and dancing skills .   After the initial auditions and mega auditions , 12 Super Dancers are selected to be competing for the title of Dance Ka Kal ( future of dance ) . They are each paired with one choreographer ( Super Guru ) who has a unique style similar to theirs . These Super Gurus train them , choreograph acts for them and also perform with them . The Super Dancers perform on Saturdays and along with their choreographers on Sunday . The performances are voted by the audience every week on the website or the SonyLiv App . On the basis of the number of votes , one kid is being eliminated every week .   Season 1 ( edit )   Participants ( edit )     Contestant   From   Choreographer   Notes     Ananya Choksi   Raipur   Amrita Maitra   Eliminated on 12 November 2016     Ashis Das   Guwahati   Lipsa Acharya   Eliminated on 19 November 2016     Dipali Borkar   Pune   Sonali Kar   Finalist     Ditya Sagar Bhande   Mumbai   Ruel Dausan   WINNER     Harsh Prajapati   Jaipur   Anuja   Eliminated on 16 October 2016     Lakshay Sinha   Malda   Biki Das   Eliminated     Laxman Kumbhar   Raipur   Paul Marshal   Eliminated on 23 October 2016 ; Power Card entry on 30 October 2016 Finalist     Mahi Soni   Chattarpur   Sneha Kapoor   Eliminated on 9 October 2016     Masoom Narzary   Guwahati   Palden Lama Mawroh   Finalist     Siddhanth Damedhar   Aurangabad   Shyam Yadav   Eliminated on 23 October 2016 ; Power Card entry on 30 October 2016 ; Eliminated on 26th November , 2016     Varsha Mishra   Agra   Nishant Bhat   Eliminated on 16 October 2016     Yogesh Sharma   Mathura   Vaibhav   Finalist     Power Card Entry ( edit )   Five contestants - Laxman Kumbhar , Siddhanth Damedhar ( both of whom were eliminated from the show earlier ) , Lakshay Sinha ( who could n't perform earlier in the competition due to his injury ) , Tiyash Saha &amp; Harsh Dhara ( both standby contestants ) were called back on 30 October 2016 to gain a Power Card Entry into the competition . The judges chose Laxman Kumbhar &amp; Siddhanth Damedhar and they Re-entered the competition .   Winner   Ditya Sagar Bhande from Mumbai won the first season of Super dancer . Her choreographer was Ruel Dausan .   Season 2 ( edit )   Participants ( edit )     Contestant   From   Choreographer   Notes     Bishal Sharma   Jorhat , Assam   Vaibhav Ghughe       Muskaan Sharma   Indore , Madhya Pradesh   Paul Marshal       Vivek Jogande     Ruel Dausan Varindani   Eliminated on 19th November 2017     Kunal Jyoti Rabha   Guwahati , Assam   Palden Lama Mawroh   Eliminated on 29th October 2017     Akash Thapa   Dehradun , Uttarakhand   Vivek Chachere       Abir Rahman   Kolkata , West Bengal   Sonali Kar   Eliminated on 12th November 2017     Shagun Singh   Bhilai , Chhattisgarh   Aishwarya Radhakrishnan       Arushi Saxena   Ludhiana , Punjab   Nishant Bhat       Jyoti Ranjan Sahu   Bhubaneswar , Odisha   Anuradha Iyengar   Eliminated on 19th November 2017     Misti Sinha   Ahmednagar , Maharashtra   Omkar Shinde  Palden Lama Mawroh    Eliminated on 12th November 2017  Returned on 26th November 2017      Chandresh Delwar   Indore , Madhya Pradesh   Khushboo Gupta   Eliminated on 29th October 2017     Ritik Diwakar   Kanpur , Uttar Pradesh   Pratik Ramesh Utekar       References ( edit )    Jump up ^ `` Sony 's four new shows from different genres '' . Indian Television . 14 May 2016 . Retrieved 16 May 2016 .   Jump up ^ Super Dancer 2 Top 12   Jump up ^ `` Super Dancer Official Site '' . superdancer.sonyliv.com . Retrieved 2016 - 09 - 23 .      ( hide )         Current broadcasts on Sony Entertainment Television India     Mystery     CID   Crime Patrol Dial 100   Crime Patrol Satark       Reality and comedy     The Drama Company   Super Dancer ( Season 2 )       Drama     Ek Deewaana Tha   Haasil   Rishta Likhenge Hum Naya   Yeh Un Dinon Ki Baat Hai       Mythology     Mere Sai   Vighnaharta Ganesha       List of former shows    Retrieved from `` https://en.wikipedia.org/w/index.php?title=Super_Dancer&amp;oldid=812375340 '' Categories :   2010s Indian television series   2016 Indian television series debuts   Hindi - language television programs   Indian dance television shows   Indian reality television series   Television shows set in Mumbai   Sony Entertainment Television series   Hidden categories :   Use Indian English from May 2016   All Wikipedia articles written in Indian English   Use dmy dates from May 2016   All articles lacking reliable references   Articles lacking reliable references from May 2016           Talk                                           Contents                   About Wikipedia                                           Add links   This page was last edited on 27 November 2017 , at 14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</si>
  <si>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winner of super dancer chapter 1</t>
  </si>
  <si>
    <t xml:space="preserve"> Super Dancer is an Indian Hindi kids dance reality television series , which airs on Sony Entertainment Television and Sony Entertainment Television Asia. The winner of season 1 of this series is Ditya Bhande. The series is produced by Ranjeet Thakur and Hemant Ruprell for their production house Frames Productions . The show was won By Ditya Bhande and choreographer Ruel Dausan . </t>
  </si>
  <si>
    <t xml:space="preserve">A Horse with No Name - wikipedia  A Horse with No Name  Jump to : navigation , search For the 2010 film , see A Horse with No Name ( film ) .    `` A Horse with No Name ''         Single by America     from the album America     B - side     `` Everyone I Meet Is from California ''   `` Sandman ''       Released   November 12 , 1971     Format   7 - inch single     Recorded   1971     Studio   Morgan Studios , London     Genre   Folk rock     Length   4 : 08     Label   Warner Bros .     Songwriter ( s )   Dewey Bunnell     Producer ( s )   Ian Samwell     America singles chronology          `` A Horse with No Name '' ( 1971 )   `` I Need You '' ( 1972 )            Audio sample       file   help           `` A Horse with No Name '' is a song written by Dewey Bunnell , and originally recorded by the folk rock band America . It was the band 's first and most successful single , released in late - 1971 in Europe and early - 1972 in the US , and topped the charts in several countries . It was certified gold by the Recording Industry Association of America .     Contents  ( hide )   1 Development   2 Composition   3 Reception   4 Personnel   5 In popular culture   5.1 Soundtrack appearances   5.2 Musical references   5.3 Other references to the song     6 Charts   7 References   8 External links      Development ( edit )   America 's self - titled debut album was released initially in Europe , without `` A Horse with No Name , '' and achieved only moderate success . Originally called `` Desert Song '' , `` Horse '' was written while the band was staying at the home studio of musician Arthur Brown , near Puddletown , Dorset . The first two demos were recorded there , by Jeff Dexter and Dennis Elliott , and were intended to capture the feel of the hot , dry desert that had been depicted at the studio from a Salvador Dalí painting , and the strange horse that had ridden out of an M.C. Escher picture . Writer Dewey Bunnell also says he remembered his childhood travels through the Arizona and New Mexico desert when his family lived at Vandenberg Air Force Base .   Trying to find a song that would be popular in both the United States and Europe , Warner Brothers was reluctant to release Beckley 's `` I Need You '' ballad as the first single from America . The label asked the band if it had any other material , then arranged for America to record four more songs at Morgan Studios , Willesden in London . `` A Horse with No Name '' was released as the featured song on a three - track single in the UK , Ireland , France , Italy and the Netherlands in late 1971 . On the release `` A Horse with No Name '' shared the A-side with `` Everyone I Meet Is from California '' ; `` Sandman '' featured on the B - side . However , its early - 1972 two - track US release did not include `` Sandman '' , with `` Everyone I Meet Is from California '' appearing on the B - side .   Composition ( edit )   `` A Horse with No Name '' was recorded in the key of E Dorian with acoustic guitars , bass guitar , drum kit , and bongo drums . The only other chord is a D , fretted on the low E and G strings , second fret . A 12 - string guitar plays an added F ♯ ( second fret , high E string ) on the back beat of the Em . A noted feature of the song is the driving bass line with a hammer - hook in each chorus . A `` waterfall '' - type solo completes the arrangement . Produced by Ian Samwell on the day of final recording at Morgan Studios , when at first the group thought it was too corny and took some convincing to actually play it . Gerry Beckley has explained in Acoustic Guitar magazine ( March 2007 ) that the correct tuning for the guitar is DEDGBD , low to high . The chord pattern that repeats throughout the entire song is : 202002 ( Em ) , then 020202 and 000202 . The tuning is unique to this song ; they did not use it on any other America song .   Reception ( edit )   Despite the song being banned by some U.S. radio stations because of supposed drug references to heroin use , the song ascended to number one on the U.S. Billboard Hot 100 , and the album quickly reached platinum status . The song charted earlier in the Netherlands ( reaching number 11 ) and the UK ( reaching number 3 , the band 's only Top 40 hit in the country ) than it did in the United States . The interpretation of the song as a drug reference comes from the fact that the word `` horse '' is a common slang term for heroin .   The song 's resemblance to some of Neil Young 's work aroused some controversy . `` I know that virtually everyone , on first hearing , assumed it was Neil '' , Bunnell says . `` I never fully shied away from the fact that I was inspired by him . I think it 's in the structure of the song as much as in the tone of his voice . It did hurt a little , because we got some pretty bad backlash . I 've always attributed it more to people protecting their own heroes more than attacking me . '' By coincidence , it was `` A Horse with No Name '' that replaced Young 's `` Heart of Gold '' at the number 1 spot on the U.S. pop chart .   The song has received criticism for its banal , oddly phrased lyrics , including `` The heat was hot '' ; `` There were plants , and birds , and rocks , and things '' ; and `` ' Cause there ai n't no one for to give you no pain . '' Penn Jillette asked the band about their lyrics , `` there were plants , and birds , and rocks , and things '' after a show in Atlantic City , where America opened for Penn &amp; Teller . According to Jillette , their explanation for the lyrics was that they were intoxicated with cannabis while writing it . In a 2012 interview , Beckley disputed Jillette 's story , saying , `` I do n't think Dew was stoned . ''   Personnel ( edit )   ( Per back cover of 1972 vinyl issue of America . )    America     Dewey Bunnell -- lead vocal , acoustic guitar   Gerry Beckley -- 12 - string acoustic guitar , backing vocal   Dan Peek -- bass , backing vocal     Session musicians     Ray Cooper -- percussion   Kim Haworth -- drums    In popular culture ( edit )       This section needs additional citations for verification . Please help improve this article by adding citations to reliable sources . Unsourced material may be challenged and removed . ( October 2015 ) ( Learn how and when to remove this template message )         This section indiscriminately collects miscellaneous information . Please compress this material to remove any irrelevant or unimportant information . ( May 2017 )     Soundtrack appearances ( edit )   The song was featured in Hideous Kinky , a British -- French 1998 film , during a trip on the Moroccan desert . In 2008 , it was used in a Kohls TV commercial for Vera Wang .   It can also be heard in Season 2 of Millennium , in the episode `` Owls '' . It can be heard on an episode of The Simpsons , `` The Haw - Hawed Couple '' . In another episode , `` A Star Is Born Again '' . Ned Flanders can be heard singing it , with alternative lyrics . The song is heard in the background of season 3 episode 16 of `` Parks and Recreation '' . It was featured in the video game Grand Theft Auto : San Andreas on the fictional classic rock radio station K - DST .   The song bookends the second episode of the third season of Breaking Bad , `` Caballo sin Nombre '' ( Spanish for `` Horse without Name '' ) , where the song plays on a car radio as Walter White drives through the desert in the beginning , before being pulled over for driving with a cracked windshield . At the end of the episode the song is sung by Walter in the shower . The song was also featured in the show Friends in Season 5 , Episode 22 , `` The One With Joey 's Big Break '' .   The song is also featured in the movies The Devil 's Daughter , The Trip , and Air America . The song is also featured on the soundtrack of the 2013 motion picture American Hustle directed by David O. Russell and 2016 movie The Nice Guys .   In 2014 , the song was featured in an advertisement for the Toyota Auris Hybrid .   In the season 4 episode of BoJack Horseman `` The Old Sugarman Place '' , the title character drives through the desert to Patrick Carney and Michelle Branch 's interpretation of the song . This version also appears on the soundtrack album of the series .   Musical references ( edit )   The song was one of many popular songs quoted and parodied on the album The Third Reich ' n Roll by The Residents .   The song `` Face '' by American rock band Aerosmith released in 2001 bears a strong resemblance towards `` A Horse With No Name '' .   Michael Jackson 's song `` A Place with No Name '' was released posthumously by TMZ as a 25 - second snippet on July 16 , 2009 . The snippet closely resembles `` A Horse with No Name '' . Jim Morey , both Jackson 's and America 's former band manager , has stated that `` America was honored that Michael chose to do their song and they hope it becomes available for all Michael 's fans to hear . '' The song was remastered and released in its entirety along with the original Michael Jackson recording on Jackson 's 2014 album , Xscape .   The manner in which American band Drive - by Truckers ' song `` The Fourth Night of My Drinking '' begins , nods to `` A Horse with No Name '' .   Other references to the song ( edit )   The song was covered by a band in the bar Robin Williams ' character hangs out at in the 1987 movie Good Morning Vietnam .   Also appeared in Air America from 1990 .   Plants and Birds and Rocks and Things was the title of the 1993 debut album by The Loud Family , and was quoted by songwriter Scott Miller in the first track , `` He Do the Police in Different Voices '' ( `` Maybe plants and birds and rocks and things can justify my day '' ) .   It also appeared sung by members of a hippie group , `` The People '' , in Series 3 of HBO 's Six Feet Under , in the episode : `` Tears , Bones and Desire '' as the women make mops .   In the episode `` Bill 's Autobiography '' on NewsRadio , Dave Foley 's character was found singing the song on an audiotape on which he records his thoughts .   In 1999 , the literary magazine Lamia Ink published a short play by American playwright Meron Langsner entitled The Name of the Horse , in which the problem of the horse 's name is explored . The play is also included in a collection of parodies entitled The Sacred Cow Slaughterhouse published by Indie Theatre Now .   In The Simpsons episode `` The Haw - Hawed Couple '' , Homer and Marge trick Bart and Lisa into thinking they 're busy arguing so they can have their time alone . They accidentally throw a piece of clothing at the tape recorder and `` A Horse With No Name '' plays .   In computer game NetHack , when the player character dismounts an unnamed horse , the game issues the message `` You 've been through the dungeon on a horse with no name '' , or , when hallucinating , `` It felt good to get out of the rain . ''   In the October 7 , 2015 episode of The Late Show with Stephen Colbert , Colbert , wearing a big and furry hat , proclaims that the titular horse 's name is `` Gary the horse '' .   In the Reno 911 season five episode `` Junior Runs for Office '' , after consuming an entire pan of hashish brownies , Junior panics upon learning that `` A Horse With No Name '' is not available in the jukebox of the bar that they are in .   Charts ( edit )     Chart ( 1972 )   Peak position     Australia ( Kent Music Report )       Canada ( RPM )       Finland ( Finnish Singles Chart )       Ireland ( IRMA )       Netherlands ( Dutch Top 40 )   11     UK Singles ( Official Charts Company )       US Billboard Easy Listening       US Billboard Hot 100       US Cash Box Singles Chart       US Record World Singles Chart       References ( edit )    Jump up ^ `` VH1 's 40 Most Softsational Soft - Rock Songs '' . Stereogum . SpinMedia . May 31 , 2007 . Retrieved July 31 , 2016 .   Jump up ^ `` A Horse with No Name '' USA chart history , Billboard.com . Retrieved September 6 , 2011 .   Jump up ^ RIAA . `` RIAA Gold &amp; Platinum Database '' . Retrieved September 25 , 2008 .   Jump up ^ http://www.dorsetlife.co.uk/2015/06/decadence-and-depravity-with-added-cheese/   Jump up ^ `` Highway Highlight ( from the box set booklet ) '' . Archived from the original on 2 June 2008 . Retrieved June 20 , 2008 .   Jump up ^ Rosen , Craig ( September 30 , 1996 ) . The Billboard book of number one albums : the inside story behind pop music 's blockbuster records . Billboard Books .   Jump up ^ Guitar Noise ( 1 )   Jump up ^ Guitar Coach Mag ( 2 )   Jump up ^ `` Liner notes , Highway Highlight '' . Archived from the original on 15 June 2006 . Retrieved June 11 , 2006 .   Jump up ^ `` America singles charts history '' . Official Charts . The Official Charts Company . Retrieved 18 February 2015 .   Jump up ^ America biography at Billboard   Jump up ^ John Mendelsohn ( 1972 ) . `` Rolling Stone Review '' . Archived from the original on October 2 , 2007 . Retrieved March 12 , 2006 .   Jump up ^ Jillette , Penn . ( 2012 ) . Gilbert Gottfried Again ! ( Episode 14 , 2012 / 05 / 21 ) . Penn 's Sunday School . Ace Broadcasting Network .   Jump up ^ `` Q&amp;A With America Singer Gerry Beckley '' . Patch.com . Dec 19 , 2012 .   Jump up ^ splendAd - Kohl 's - Simply Vera Spring 2008 commercial   Jump up ^ AMCTV ( 2010 ) . `` Walt Gets Arrested '' . Archived from the original on 1 April 2010 . Retrieved March 28 , 2010 .   Jump up ^ IMDB ( 1999 ) . `` The One with Joey 's Big Break '' . Retrieved November 10 , 2011 .   Jump up ^ `` Place with No Name sounds like Horse with No Name '' . news.com.au . July 17 , 2009 . Retrieved March 5 , 2010 .   Jump up ^ NetHack source code   Jump up ^ Billboard : 53 . October 7 , 1972 . CS1 maint : Untitled periodical ( link )   Jump up ^ Search for Irish peaks   Jump up ^ `` America -- Chart history '' Billboard Hot 100 for America .    External links ( edit )    Official America Homepage   Lyrics of this song at MetroLyrics      Preceded by `` Heart Of Gold '' by Neil Young   Billboard Hot 100 number - one single March 25 , 1972 ( three weeks )   Succeeded by `` The First Time Ever I Saw Your Face '' by Roberta Flack       ( hide )         America       Gerry Beckley   Dewey Bunnell     Dan Peek       Studio albums     America   Homecoming   Hat Trick   Holiday   Hearts   Hideaway   Harbor   Silent Letter   Alibi   View from the Ground   Your Move   Perspective   Hourglass   Human Nature   Holiday Harmony   Here &amp; Now   Back Pages   Lost &amp; Found       Compilations     History : America 's Greatest Hits   Encore : More Greatest Hits   Highway   The Complete Greatest Hits   Hits : 40th Anniversary Edition       Live albums     America Live   In Concert ( 1985 )   In Concert ( 1995 )   Horse with No Name   The Grand Cayman Concert   Live In Concert : Wildwood Springs       Soundtracks     The Last Unicorn       Singles     `` A Horse with No Name ''   `` I Need You ''   `` Ventura Highway ''   `` Muskrat Love ''   `` Tin Man ''   `` Lonely People ''   `` Sister Golden Hair ''   `` Daisy Jane ''   `` Woman Tonight ''   `` Today 's the Day ''   `` Amber Cascades ''   `` You Can Do Magic ''   `` Right Before Your Eyes ''   `` The Border ''       Related articles     Discography      Retrieved from `` https://en.wikipedia.org/w/index.php?title=A_Horse_with_No_Name&amp;oldid=806620034 '' Categories :   Songs about horses   1971 songs   1971 singles   1972 singles   Songs written by Dewey Bunnell   America ( band ) songs   Billboard Hot 100 number - one singles   Debut singles   Warner Bros. Records singles   Hidden categories :   CS1 maint : Untitled periodical   Articles with hAudio microformats   Articles needing additional references from October 2015   All articles needing additional references   Articles with trivia sections from May 2017   All articles with trivia sections   Singlechart usages for Billboardhot100   Singlechart called without song           Talk                                           Contents                   About Wikipedia                                           Español   Français   Italiano   Nederlands   Polski   Português   Sicilianu   Tiếng Việt   Edit links   This page was last edited on 23 October 2017 , at 04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</si>
  <si>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desert on a horse with no name</t>
  </si>
  <si>
    <t xml:space="preserve"> `` A Horse with No Name '' is a song written by Dewey Bunnell , and originally recorded by the folk rock band America . It was the band 's first and most successful single , released in late - 1971 in Europe and early - 1972 in the US , and topped the charts in several countries . It was certified gold by the Recording Industry Association of America . </t>
  </si>
  <si>
    <t xml:space="preserve">Bang the Drum all day - wikipedia  Bang the Drum all day  Jump to : navigation , search      This article needs additional citations for verification . Please help improve this article by adding citations to reliable sources . Unsourced material may be challenged and removed . ( September 2014 ) ( Learn how and when to remove this template message )       `` Bang the Drum All Day ''     U.S. release     Single by Todd Rundgren     from the album The Ever Popular Tortured Artist Effect     B - side   `` Chant '' ( US ) `` Drive '' ( UK )     Released   April 1983     Format   7 ''     Recorded   1982 at Utopia Sound Studios     Genre     Pop rock   ska       Length   3 : 32     Label   Bearsville     Songwriter ( s )   Todd Rundgren     Producer ( s )   Todd Rundgren     Todd Rundgren singles chronology        `` Feet Do n't Fail Me Now '' ( 1983 )   `` Bang the Drum All Day '' ( 1983 )   `` Loving You 's a Dirty Job but Somebody 's Gotta Do It '' ( 1986 )           `` Feet Do n't Fail Me Now '' ( 1983 )   `` Bang the Drum All Day '' ( 1983 )   `` Loving You 's a Dirty Job but Somebody 's Gotta Do It '' ( 1986 )        `` Bang the Drum All Day '' is a 1983 song by Todd Rundgren . The lyrics describe , in the first person , the singer 's drive to `` bang on the drum all day '' to the exclusion of everything else . All the instruments on this track are performed by Rundgren . The song has become popular as an anti-work anthem or anthem of celebration .   Rundgren would re-record the song live for subscribers to his Patronet service . The new version was retitled `` Bang the Ukulele Daily , '' referring to Rundgren 's decision to perform it in a Hawaiian style , accompanied only by a ukulele . `` Bang the Ukulele Daily '' was included on his album One Long Year .     Contents  ( hide )   1 In popular culture   2 Chart positions   3 References   4 External links      In popular culture ( edit )   The song is played in Lambeau Field after the Green Bay Packers score a touchdown . It was similarly used by the Cincinnati Bengals in the early 2000s and brought back in 2017 as well as by the Indianapolis Colts until being replaced by The Black Keys ' `` Gold on the Ceiling '' . The St. Louis Rams also used the song as touchdown celebration music during home games at the TWA Dome during their Super Bowl - winning 1999 season .   The song is used by conservative talk radio host Jim Quinn as his union heads - up theme . Boston conservative talk host Howie Carr also plays a snippet to poke fun at the Occupy Wall Street movement .   The song is referenced in the video game The Elder Scrolls III : Morrowind by the popular scamp merchant , Creeper . The song was featured in a 1997 commercial for Ericsson entitled `` Phone Boss Vacation '' , where a bunch of workers are shown dancing to the song , and turning the music off . Meanwhile , a woman is talking on the phone with a phone boss from a vacation .   That song is featured in the trailer of the 1998 DreamWorks animated Movie Antz , in The Prince of Egypt 1999 VHS opening , and the Shrek 2001 VHS opening .   The song is featured on the radio show The Morning Drive on Sirius XM NASCAR Radio , a morning talk show hosted by Mike Bagley and Pete Pistone . The song is used on Friday mornings to celebrate the upcoming weekend . Likewise for many years , classic hits station WKLH in Milwaukee played it every Friday at 5 p.m. to signal the end of the work week . WXLP in Moline IL plays the song every Friday as well during the Dwyer and Michael 's morning show .   The song is referenced by Michael Scott from The Office on the episode `` The Fight '' . The lyrics are changed to `` I do n't want to work , I just wan na bang on this mug all day '' .   The song was also featured in commercials for Carnival Cruise Line .   Chart positions ( edit )     Year   Chart   Position       UK Singles Chart   86       US Billboard Pop Singles   63       US Billboard Mainstream Rock   39     References ( edit )    Jump up ^ Wolfley , Bob . `` Musician Rundgren happy his song is a big bang in Lambeau '' . www.jsonline.com . Retrieved 2016 - 03 - 11 .   Jump up ^ LordExolios ( 2010 - 05 - 14 ) , I do n't want to work ... , retrieved 2016 - 03 - 11   Jump up ^ `` Bang the Drum All Day by Todd Rundgren Songfacts '' . www.songfacts.com . Retrieved 2016 - 03 - 11 .   Jump up ^ `` Chart Stats - Todd Rundgren '' . chartstats.com . Retrieved 2011 - 11 - 25 .   ^ Jump up to : `` allmusic ( ( ( Todd Rundgren &gt; Charts &amp; Awards &gt; Billboard Singles ) ) ) '' . Billboard . Retrieved 2011 - 12 - 17 .    External links ( edit )    Lyrics of this song at MetroLyrics              Todd Rundgren     Studio albums     Runt   Runt . The Ballad of Todd Rundgren   Something / Anything ?   A Wizard , a True Star   Todd   Initiation   Faithful   Hermit of Mink Hollow   Healing   The Ever Popular Tortured Artist Effect   A Cappella   Nearly Human   2nd Wind   No World Order   The Individualist   With a Twist ...   Up Against It !   One Long Year   Liars   Arena   Todd Rundgren 's Johnson   ( re ) Production   State   Global   White Knight      with Utopia     Todd Rundgren 's Utopia   Another Live   RA   Oops ! Wrong Planet   Adventures In Utopia   Deface the Music   Swing to the Right   Utopia   Oblivion   P.O.V.   Redux ' 92 : Live in Japan          Live albums     Another Live   Back to the Bars   Redux ' 92 : Live in Japan       Singles     `` We Gotta Get You a Woman ''   `` I Saw the Light ''   `` Hello It 's Me ''   `` Good Vibrations ''   `` Can We Still Be Friends ''   `` Bang the Drum All Day ''       Other songs     `` Dreams of Ordinary Men ''   `` Kissing with Confidence ''   `` Love Is the Answer ''   `` Shake a Fist ''   `` Western Girls ''       Album productions     Great Speckled Bird   Stage Fright   Straight Up   Halfnelson   New York Dolls   We 're an American Band   Shinin ' On   War Babies   Felix Cavaliere     Bat Out of Hell   Remote Control   TRB Two   Wave   Wasp   Bad for Good   Forever Now   Next Position Please   Love Bomb   What Is This ?   Skylarking   Dreams of Ordinary Men   Love Junk   Things Here Are Different   One Sided Story   The World 's Most Dangerous Party   Halfway Down the Sky   The New America   Separation Anxieties   Cause I Sez So       Related articles     Discography   Bebe Buell   Daryl Hall   Nazz   The New Cars   Liv Tyler   Steven Tyler                 Green Bay Packers       Founded in 1919   Based and headquartered in Green Bay , Wisconsin       Franchise     Franchise   Team history   Green Bay Packers , Inc .   Board of Directors         Records     Seasons   Coaches   Players   A -- D   E -- K   L -- R   S -- Z     Starting quarterbacks   Pro Football Hall of Famers   Retired numbers   First - round draft picks   Records   Pro Bowlers   Stadiums   Draft history       Stadiums     Hagemeister Park   Bellevue Park   City Stadium   Borchert Field   Wisconsin State Fair Park   Marquette Stadium   Milwaukee County Stadium   Lambeau Field       Training facilities     Don Hutson Center   Clarke Hinkle Field   Ray Nitschke Field   St. Norbert College ( training camp )   Rockwood Lodge ( former )       Culture     Cheesehead   Lambeau Leap   Hall of Fame   Packers Fan Hall of Fame   `` Bang the Drum All Day ''   Cheerleaders   Fight song   Lumberjack Band   Pigskin Champions   Vernon Biever   Hungry Five   George Whitney Calhoun   The Dope Sheet   Curly Lambeau   Vince Lombardi   Ron Wolf   Receiver Statue   Lombardi   Pitch Perfect 2   Packers Heritage Trail   Packers Pro Shop       Lore     Dolly Gray impostor   The Ice Bowl   The Snow Bowl   The Mud Bowl   4th and 26   Fail Mary   Miracle in Motown       Rivalries     Chicago Bears   Detroit Lions   Minnesota Vikings   Dallas Cowboys       Division championships ( 18 )     1936   1938   1939   1944   1967   1972   1995     1997   2002   2003     2007   2011   2012   2013   2014   2016       Conference championships ( 9 )     1960   1961   1962   1965   1966   1967     1997         League championships ( 13 )     1929   1930   1931   1936   1939   1944   1961   1962   1965   1966 ( I )   1967 ( II )   1996 ( XXXI )   2010 ( XLV )    does not include 1966 or 1967 NFL championships      Retired numbers         14   15   66   92       Media     Broadcasters   Radio : Packers Radio Network   WTMJ   WKTI - HD2   WIXX   WTAQ     Television ( pre-season &amp; official in - season team programming ) :   WGBA - TV   WTMJ - TV     Personnel :   Wayne Larrivee ( play - by - play )   Larry McCarren ( color / analysis )         Current league affiliations     League : National Football League ( 1921 -- present )   Conference : National Football Conference   Division : North Division       Seasons ( 99 )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1997   1998                           2011   2012   2013   2014   2015   2016   2017   2018       Championship seasons in bold    Retrieved from `` https://en.wikipedia.org/w/index.php?title=Bang_the_Drum_All_Day&amp;oldid=812402145 '' Categories :   1983 songs   Todd Rundgren songs   Green Bay Packers   Songs written by Todd Rundgren   Song recordings produced by Todd Rundgren   Hidden categories :   Articles needing additional references from September 2014   All articles needing additional references   Articles with hAudio microformats           Talk                                           Contents                   About Wikipedia                                           Add links   This page was last edited on 27 November 2017 , at 17 : 47 .         About Wikipedia                    </t>
  </si>
  <si>
    <t xml:space="preserve">i don't wanna work i just wanna bang on these drums all day</t>
  </si>
  <si>
    <t xml:space="preserve"> `` Bang the Drum All Day '' is a 1983 song by Todd Rundgren . The lyrics describe , in the first person , the singer 's drive to `` bang on the drum all day '' to the exclusion of everything else . All the instruments on this track are performed by Rundgren . The song has become popular as an anti-work anthem or anthem of celebration . </t>
  </si>
  <si>
    <t xml:space="preserve">Pitch Perfect 2 - wikipedia  Pitch Perfect 2  Jump to : navigation , search    Pitch Perfect 2     Theatrical release poster     Directed by   Elizabeth Banks     Produced by     Elizabeth Banks   Paul Brooks   Max Handelman       Written by   Kay Cannon     Based on     Pitch Perfect : The Quest for Collegiate a Cappella Glory by Mickey Rapkin   Characters by Kay Cannon       Starring     Anna Kendrick   Rebel Wilson   Hailee Steinfeld   Brittany Snow   Skylar Astin   Ben Platt   Adam DeVine   Katey Sagal   Anna Camp   Alexis Knapp   Hana Mae Lee   Ester Dean   Chrissie Fit   Kelley Jakle   Shelley Regner   John Michael Higgins   Elizabeth Banks       Music by   Mark Mothersbaugh     Cinematography   Jim Denault     Edited by   Craig Alpert     Production company   Gold Circle Films     Distributed by   Universal Pictures     Release date     April 20 , 2015 ( 2015 - 04 - 20 ) ( Las Vegas )   May 15 , 2015 ( 2015 - 05 - 15 ) ( United States )             Running time   115 minutes     Country   United States     Language   English     Budget   $29 million     Box office   $287.5 million     Pitch Perfect 2 is a 2015 American musical comedy film directed and co-produced by Elizabeth Banks and written by Kay Cannon . It is a sequel to the 2012 film Pitch Perfect and the second installment in the Pitch Perfect series . The film centers on the fictional Barden University and The Bellas , an all - female a cappella singing group . The film features an ensemble cast , including Anna Kendrick , Rebel Wilson , Hailee Steinfeld , Brittany Snow , Alexis Knapp , Hana Mae Lee , Ester Dean , Chrissie Fit , Kelley Jakle , and Shelley Regner as The Bellas . It was released on May 15 , 2015 by Universal Pictures .   The film grossed over $287 million and surpassed the total gross of the original film ( $115.4 million ) in five days , and also became the highest - grossing music comedy film of all - time , overtaking School of Rock ( $131.3 million ) . A sequel , Pitch Perfect 3 , is set to be released on December 22 , 2017 .     Contents  ( hide )   1 Plot   2 Cast   2.1 The Barden Bellas   2.2 Additional characters     3 Production   3.1 Casting   3.2 Filming     4 Music   5 Release   5.1 Marketing   5.2 Home media     6 Reception   6.1 Box office   6.2 Critical response   6.3 Accolades   6.3. 1 Billboard Music Awards   6.3. 2 Teen Choice Awards   6.3. 3 People 's Choice Awards   6.3. 4 Kids Choice Awards   6.3. 5 MTV Movie Awards       7 Sequel   8 References   9 External links      Plot ( edit )   Three years after winning the previous competition , the Barden Bellas are now led by Beca Mitchell and three - time super senior Chloe Beale . The Bellas have become ICCA champions each of these three years . However , the group becomes involved in a national scandal , dubbed Muffgate , when a wardrobe malfunction causes Fat Amy 's pants to rip in front of President Barack Obama , as well as showing her vagina to the public since she did not wear underwear , leading to the Bellas ' suspension from the ICCAs . Beca makes a deal to allow the Bellas to be reinstated should they win the World Championship of a cappella .   Freshman Emily Junk begins her college career , hoping to follow in her mother Katherine 's footsteps by being a Bella . At orientation , she watches an a cappella performance by the Treblemakers , now led by Beca 's boyfriend Jesse Swanson . Benjamin `` Benji '' Applebaum , Jesse 's best friend , overhears Emily , leading to a crush on her .   The Bellas learn that German a cappella group , Das Sound Machine , have replaced the Bellas on their victory tour . Additionally , Beca has started an internship at a recording studio , Residual Heat , something only Jesse knows .   Emily goes to the Bellas ' sorority house to audition for them because of their absence from the auditions . When she sings her unfinished song `` Flashlight , '' she succeeds in joining the Bellas .   At a car show where the ICCA winners are due to perform , the Bellas scout their replacements , German powerhouse `` Das Sound Machine '' ( DSM ) - led by intimidating duo Pieter Krämer and Kommissar , who take delight in mocking the all - girl group . Later , the Bellas are invited to an exclusive riff - off , but end up losing to DSM in the final round when a nervous Emily flubs an attempt to sing `` Flashlight , '' her original song not from the right category ( `` 90 's Hip - Hop Jamz '' ) .   The next day at the warmups , the Bellas ' chance of winning end in disaster when the performance makes John and Gail question the Bellas ' identity and sets Cynthia - Rose 's hair on fire by pyrotechnics . In order to regain harmony and sync , Chloe takes them to a retreat led by former leader Aubrey Posen . Beca starts a heated debate with Chloe over herself being the only one thinking about life beyond the Bellas and Chloe 's obsession with winning Worlds .   To prove to her boss that she can produce music well , Beca offers Emily to produce `` Flashlight '' at the studio . The group realizes that they will no longer be together and may go their separate ways after graduation , and regain harmony by singing `` Cups ( When I 'm Gone ) . '' At the studio , Emily and Beca present their song to Beca 's boss , in which he demonstrates envy for their talent and looks forward to producing with them .   The senior Bellas graduate and they all head off to Copenhagen for the World Finals , with Jesse and Benji to cheer them on . They perform a harmonized version of `` Flashlight '' with Aubrey , Katherine , and other past Bellas joining in . The Bellas win the championship and repair their damaged legacy . As the senior Bellas leave Barden , they give Emily a belated proper initiation with Fat Amy showing her how to do the last tradition : christening the house by sliding down the staircase .   In a mid-credits scene , Bumper performs on The Voice , he chooses Christina Aguilera as his coach and makes her uncomfortable when he gives her an oddly lengthy hug .   Cast ( edit )   The Barden Bellas ( edit )    Anna Kendrick as Beca Mitchell , the senior leader of the Bellas , known for creating the unique modern - day sound of the Bellas . She is an aspiring record producer and is now an intern at Residual Heat , a record label .   Brittany Snow as Chloe Beale , the three - time super senior with a Type A personality who is the co-leader of the Bellas .   Rebel Wilson as Patricia `` Fat Amy '' , a senior Bella from Australia and Bumper 's love interest .   Alexis Knapp as Stacie Conrad , a senior Bella known for being overly sexual .   Ester Dean as Cynthia - Rose Adams , a lesbian senior Bella known for her strong urban vocal skills .   Hana Mae Lee as Lilly Onakurama , a senior Bella known for her quiet speaking voice , odd remarks , and beat - boxing .   Hailee Steinfeld as Emily Junk , a freshman legacy Bella who is an aspiring songwriter , and Benji 's love interest . Her mother was also a Barden Bella .   Chrissie Fit as Florencia `` Flo '' Fuentes , a senior Bella who joined the group her sophomore year when she came to Barden University from Guatemala .   Kelley Jakle as Jessica , a senior Bella .   Shelley Regner as Ashley , a senior Bella .    Additional characters ( edit )    Skylar Astin as Jesse Swanson , the leader of the Treblemakers and Beca 's boyfriend .   Adam DeVine as Bumper Allen , Fat Amy 's love interest , former leader of the Treblemakers and current member of the Tone Hangers . After working for John Mayer , he returns to Barden University as a security guard .   Anna Camp as Aubrey Posen , former leader of the Bellas , now runs the Lodge of Fallen Leaves .   Ben Platt as Benjamin `` Benji '' Applebaum , a senior Treblemaker , Jesse 's best friend , and Emily 's love interest .   Birgitte Hjort Sørensen as Kommissar , Das Sound Machine 's leader .   Flula Borg as Pieter Krämer , Das Sound Machine 's ' second in command '   Katey Sagal as Katherine Junk , Emily 's mother and a former Bella .   John Michael Higgins as John Smith , an a cappella competition commentator .   Elizabeth Banks as Gail Abernathy - McKadden - Feinberger , an a cappella competition commentator .   Keegan - Michael Key as Sammy , Beca 's boss at Residual Heat , a rude but successful producer .   Shawn Carter Peterson as Dax , an intern at Residual Heat .   David Cross as the Riff - Off host .   Reggie Watts , John Hodgman , Jason Jones , and Joe Lo Truglio as Tone Hanger singers .   Pentatonix as Team Canada   Penn Masala as Team India    Green Bay Packers players Clay Matthews , David Bakhtiari , Don Barclay , Josh Sitton , and T.J. Lang play themselves in cameo appearances . Also appearing as themselves are Snoop Dogg , Natalie Morales , Jake Tapper , Joe Scarborough , Mika Brzezinski , Jimmy Kimmel , Rosie O'Donnell , Rosie Perez , Nicolle Wallace , Jordan Rodgers , Christina Aguilera , Adam Levine , Blake Shelton , and Pharrell Williams . Robin Roberts , C.J. Perry , and Kether Donohue appear as Legacy Bellas during the finale . Additionally , President Barack Obama and First Lady Michelle Obama briefly appear via archive footage .   Production ( edit )   In December 2012 , Skylar Astin revealed that he and Rebel Wilson had had meetings with Universal Studios about the potential sequel . In April 2013 , it was confirmed that a sequel would be released in 2015 . Elizabeth Banks directed the sequel , and Kay Cannon returned as screenwriter . Paul Brooks produced for Gold Circle Films , alongside Banks and Max Handelman . Deke Sharon returned as vocal producer , and has a brief cameo as a German reporter . As in the first movie , they ran a month of `` a cappella boot camp '' before filming .   Casting ( edit )   Anna Kendrick and Wilson returned to the cast early in 2014 to play the characters they originated in the first film . Brittany Snow reprised her character . On April 24 , Chrissie Fit was added to the cast . On May 1 , Hailee Steinfeld was added to the cast , playing a new member of the Barden Bellas . On May 5 , Adam DeVine was reported to return in the film . On May 14 , Katey Sagal was added to the cast , playing Steinfeld 's character 's mother . On May 29 , Flula Borg was added to the cast . He played the leader of a European a cappella group , Das Sound Machine , that competed with the Bellas . It was confirmed on June 18 , 2014 that Christopher Shepard was added to the cast . It was confirmed on June 19 , 2014 that Pentatonix would play the role of a rival group to the Barden Bellas . It was later confirmed that The Filharmonic from season 4 of The Sing Off would make a cameo appearance as a rival group from the Philippines . On August 24 , 2014 it was announced that Penn Masala , the all - male Hindi a cappella group from director Elizabeth Banks 's and producer Max Handelman 's alma mater The University of Pennsylvania , would be featured as a team from Southeast Asia . On June 25 , Birgitte Hjort Sørensen was confirmed added to the cast .   Filming ( edit )   On May 21 , 2014 , principal photography began at Louisiana State University ( LSU ) campus in Baton Rouge .   Music ( edit )   On December 3 , 2014 , Mark Mothersbaugh was hired to compose the music for the film . The official soundtrack was released on May 12 , 2015 . The special edition soundtrack was later released on August 8 , 2015 .   The original album debuted at number one on the Billboard 200 , earning 107,000 album - equivalent units ( 92,000 copies of traditional sales ) in the week ending May 17 , 2015 .     No .   Title   Music   Length     1 .   `` Universal Fanfare ''     Elizabeth Banks   John Michael Higgins     0 : 33     2 .   `` Kennedy Center Performance ( We Got the World / Timber / America The Beautiful / Wrecking Ball ) ''   The Barden Bellas   2 : 27     3 .   `` Lollipop ''   The Treblemakers   2 : 43     4 .   `` Car Show ( Uprising / Tsunami ) ''   Das Sound Machine   1 : 47     5 .   `` Winter Wonderland / Here Comes Santa Claus ''     Snoop Dogg   Anna Kendrick     3 : 04     6 .   `` Riff Off ( Thong Song / ( Shake , Shake , Shake ) Shake Your Booty / Low / Bootylicious / Baby Got Back / Live Like You Were Dying / Before He Cheats / A Thousand Miles / We Are Never Ever Getting Back Together / What 's Love Got to Do with It / This Is How We Do It / Doo Wop ( That Thing ) / Poison / Scenario / Insane in the Brain / Flashlight ) ''     Das Sound Machine   Tone Hangers   The Barden Bellas   Green Bay Packers   The Treblemakers     4 : 24     7 .   `` Jump ''     Das Sound Machine   Tone Hanger   The Treblemakers   Green Bay Packers     1 : 16     8 .   `` Convention Performance ( Promises / Problem ) ''   The Barden Bellas   1 : 41     9 .   `` Back to Basics ( Boogie Woogie Bugle Boy / You Ca n't Hurry Love / Lady Marmalade / MMMBop / My Lovin ' ( You 're Never Gonna Get It ) ) ''   The Barden Bellas   1 : 30     10 .   `` Cups ( '' When I 'm Gone `` ) ( Campfire Version ) ''   The Barden Bellas   0 : 45     11 .   `` We Belong ''     Rebel Wilson   Adam DeVine     3 : 34     12 .   `` Any Way You Want It ( World Championship Medley ) ''     Pentatonix   Filharmonic   The Cantasticos   The Singboks   Penn Masala     1 : 56     13 .   `` World Championship Finale 1 ( My Songs Know What You Did in the Dark ( Light Em Up ) / All I Do Is Win ) ''   Das Sound Machine   2 : 01     14 .   `` World Championship Finale 2 ( Run the World ( Girls ) / Where Them Girls At / Lady Marmalade / We Belong / Timber / Flashlight ) ''   The Barden Bellas   4 : 16     15 .   `` Crazy Youngsters ''   Ester Dean   3 : 39     16 .   `` Pitch Perfect 2 End Credit Medley ''   Mark Mothersbaugh   3 : 00     17 .   `` Flashlight ''   Jessie J   3 : 29     18 .   `` All of Me ( Bumper 's Audition ) ''   Adam DeVine   1 : 27     Total length :   43 : 32       ( show ) Special edition     No .   Title   Music   Length     1 .   `` Universal Fanfare ''     Elizabeth Banks   John Michael Higgins     0 : 33     2 .   `` Kennedy Center Performance ( We Got the World / Timber / America The Beautiful / Wrecking Ball ) ''   The Barden Bellas   2 : 27     3 .   `` Bang Bang ''     Jessie J   Ariana Grande   Nicki Minaj     3 : 19     4 .   `` Lollipop ''   The Treblemakers   2 : 43     5 .   `` Change Your Life ''   Iggy Azalea ( feat . T.I. )   3 : 41     6 .   `` Sunshine ''   Teddybears   3 : 20     7 .   `` Car Show ( Uprising / Tsunami ) ''   Das Sound Machine   1 : 47     8 .   `` A Different Beat ''   Little Mix   3 : 27     9 .   `` Winter Wonderland / Here Comes Santa Claus ''     Snoop Dogg   Anna Kendrick     3 : 04     10 .   `` Riff Off ( Thong Song / ( Shake , Shake , Shake ) Shake Your Booty / Low / Bootylicious / Baby Got Back / Live Like You Were Dying / Before He Cheats / A Thousand Miles / We Are Never Ever Getting Back Together / What 's Love Got to Do with It / This Is How We Do It / Doo Wop ( That Thing ) / Poison / Scenario / Insane in the Brain / Flashlight ) ''     Das Sound Machine   Tone Hangers   The Barden Bellas   Green Bay Packers   The Treblemakers     4 : 24     11 .   `` Jump ''     Das Sound Machine   Tone Hanger   The Treblemakers   Green Bay Packers     1 : 16     12 .   `` Convention Performance ( Promises / Problem ) ''   The Barden Bellas   1 : 41     13 .   `` Back to Basics ( Boogie Woogie Bugle Boy / You Ca n't Hurry Love / Lady Marmalade / MMMBop / My Lovin ' ( You 're Never Gonna Get It ) ) ''   The Barden Bellas   1 : 30     14 .   `` Cups ( '' When I 'm Gone `` ) ( Campfire Version ) ''   The Barden Bellas   0 : 45     15 .   `` We Belong ''     Rebel Wilson   Adam Devine     3 : 34     16 .   `` Any Way You Want It ( World Championship Medley ) ''     Pentatonix   Filharmonic   The Cantasticos   The Singboks   Penn Masala     1 : 56     17 .   `` World Championship Finale 1 ( My Songs Know What You Did in the Dark ( Light Em Up ) / All I Do Is Win ) ''   Das Sound Machine   2 : 01     18 .   `` World Championship Finale 2 ( Run the World ( Girls ) / Where Them Girls At / Lady Marmalade / We Belong / Timber / Flashlight ) ''   The Barden Bellas   4 : 16     19 .   `` Crazy Youngsters ''   Ester Dean   3 : 39     20 .   `` Heartbreak Dream ''   Betty Who   3 : 38     21 .   `` Pitch Perfect 2 End Credit Medley ''   Mark Mothersbaugh   3 : 00     22 .   `` Flashlight ''   Jessie J   3 : 29     23 .   `` All of Me ( Bumper 's Audition ) ''   Adam DeVine   1 : 27     24 .   `` Flashlight ( Sweet Life Mix ) ''   Hailee Steinfeld   2 : 58     25 .   `` Any Way You Want It ''   Pentatonix   2 : 30     26 .   `` Flashlight ( Rebel Mix ) ''   Jessie J   3 : 41     27 .   `` Jungle ''   The Barden Bellas   0 : 32     Total length :   70 : 38      Weekly charts      Chart ( 2015 )   Peak position     Australian Albums ( ARIA )       Austrian Albums ( Ö3 Austria )   11     Belgian Albums ( Ultratop Flanders )   144     Canadian Albums ( Billboard )       German Albums ( Offizielle Top 100 )   12     New Zealand Albums ( RMNZ )   8     Swiss Albums ( Schweizer Hitparade )   26     Taiwanese Albums ( Five Music )       US Digital Albums ( Billboard )       US Billboard 200       US Vinyl Albums ( Billboard )        Year - end charts      Chart ( 2015 )   Position     Australian Albums ( ARIA )   27     US Billboard 200   52     Release ( edit )   The film was released on May 7 , 2015 in Australia and New Zealand , and May 15 in the United States and Canada .   Marketing ( edit )   A still from the rehearsals for the film was revealed on May 16 , 2014 . The poster was released on November 18 , 2014 and the trailer came out the following day . A second trailer was aired during the Super Bowl on February 1 , 2015 .   Home Media ( edit )   Director Elizabeth Banks stated an additional performance by the Treblemakers was filmed specifically for the DVD release . Also included on the DVD will be deleted scenes . On May 20 , 2015 , it was announced that FX Networks had acquired U.S. television broadcasting rights to the film .   The Blu - ray and DVD editions of Pitch Perfect 2 were released on September 22 , 2015 in the U.S. with a Target - exclusive edition containing additional bonus features being released the same day .   Reception ( edit )   Box Office ( edit )   Pitch Perfect 2 grossed $184.2 million in North America and $103.2 million in other territories for a worldwide total of $287.5 million , against a budget of $29 million . In its first five days , the film surpassed the total gross of the original ( $115.4 million ) , and also overtook School of Rock ( $131.3 million ) for the highest grossing musical - comedy of all - time and the second greatest musical debut ever ( behind Beauty and the Beast 's $174.8 million in 2017 ) . Deadline.com calculated the net profit of the film to be $139.6 million , when factoring together all expenses and revenues for the film .   In the United States and Canada , Pitch Perfect 2 grossed $4.6 million from Thursday night showings and $27.8 million on its opening day , increasing the opening weekend projections from $40 million to $64 million . In its opening weekend , the film grossed $69.2 million , finishing first at the box office . The opening weekend gross was more than the entire North American total gross of the first film ( $65 million ) , is the third biggest PG - 13 comedy opening of all - time ( behind The Simpsons Movie 's $74 million in 2007 and Austin Powers in Goldmember 's $73 million in 2002 ) and the highest grossing opening ever for a musical .   Outside North America , the film opened at number one in Australia and New Zealand , earning $7.6 million and $1.2 million respectively . The film grossed $22.1 million in Australia , $27.3 million in the United Kingdom and $2.7 million in New Zealand .   Critical response ( edit )   Pitch Perfect 2 received positive reviews from critics . On Rotten Tomatoes , the film has an approval rating of 66 % based on 183 reviews , with an average rating of 6 / 10 . The site 's critical consensus reads , `` Pitch Perfect 2 sings in sweet comedic harmony , even if it does n't hit quite as many high notes as its predecessor . '' On Metacritic , the film holds score of 63 out of 100 , based on 39 critics , indicating `` generally favorable reviews '' . In CinemaScore polls conducted during the opening weekend , cinema audiences gave Pitch Perfect 2 an average grade of `` A -- '' on an A+ to F scale .   Accolades ( edit )       This section does not cite any sources . Please help improve this section by adding citations to reliable sources . Unsourced material may be challenged and removed . ( August 2016 ) ( Learn how and when to remove this template message )    Billboard Music Awards ( edit )   2016 Top Soundtrack ( won )   Teen Choice Awards ( edit )   2015 Choice Movie : Comedy ( won )   2015 Choice Movie Actor : Comedy ( Skylar Astin , won )   2015 Choice Movie Actress : Comedy ( Anna Kendrick , won )   2015 Choice Movie Actress : Comedy ( Rebel Wilson , nominated )   2015 Choice Movie : Chemistry ( Anna Kendrick and Brittany Snow , won )   2015 Choice Movie : Liplock ( Rebel Wilson and Adam DeVine , nominated )   2015 Choice Movie : Hissy Fit ( Anna Kendrick , won )   2015 Choice Movie : Scene Stealer ( Adam DeVine , nominated )   2015 Choice Movie : Scene Stealer ( Green Bay Packers , nominated )   2015 Choice Movie : Scene Stealer ( Hailee Steinfeld , nominated )   People 's Choice Awards ( edit )   Favorite Movie ( lost to Furious 7 )   Favorite Comedic Movie ( won )   Favorite Comedic Movie Actress ( Anna Kendrick , Rebel Wilson , both lost to Melissa McCarthy )   Kids Choice Awards ( edit )   Favorite Movie ( lost to Star Wars : The Force Awakens )   Favorite Movie Actress ( Anna Kendrick , Rebel Wilson , lost to Jennifer Lawrence )   MTV Movie Awards ( edit )   Best Female Performance ( Anna Kendrick , nominated )   Best Comedic Performance ( Rebel Wilson , nominated )   Best Kiss ( Rebel Wilson and Adam DeVine , won )   Best Ensemble Cast ( won )    Sequel ( edit )  Main article : Pitch Perfect 3  On April 11 , 2015 , a month before the release of the film , it was announced that Rebel Wilson would return for a third film , although she stated that she did not know if Anna Kendrick or any of the other cast members would also be reprising their roles . She added that she would be `` up for a Fat Amy spin - off , '' although nothing has been confirmed .   Director , star , and producer Elizabeth Banks acknowledged the possibility of a third film , saying , `` I will say , it would be disingenuous to say that no one 's talking about a Pitch Perfect 3 ; the possibility of it . We are really focused on getting as many butts in seats for this one . If fans embrace it , we are going to seriously think about what the continuing journey would look like , but we do n't know what that is yet '' .   On June 10 , 2015 , a third film was officially confirmed , with Kay Cannon returning to write the script . Several days later it was announced both Kendrick and Wilson would reprise their roles , and later Brittany Snow was also confirmed to return . Banks will also return to produce , but in June 2016 it was announced she would not be directing the film .   The film was originally slated for a July 21 , 2017 release , and was later pushed back to August 4 , 2017 before moving back to the July 21 slot . In May 2016 it was moved again , this time being pushed back to December 22 , 2017 .   As of January 2 , 2017 , Anna Kendrick , Rebel Wilson , Anna Camp , Brittany Snow , Ester Dean , Alexis Knapp , Hana Mae Lee , Kelley Jakle , Shelley Regner , Hailee Steinfeld , Chrissie Fit , and Elizabeth Banks have been confirmed to be reprising their roles .   References ( edit )    Jump up ^ `` PITCH PERFECT 2 ( 12A ) '' . British Board of Film Classification . April 20 , 2015 . Retrieved April 20 , 2015 .   Jump up ^ Brent Lang ( May 7 , 2015 ) . `` Box Office : ' Mad Max : Fury Road , ' ' Pitch Perfect 2 ′ Eye $40 Million Openings '' . Variety . ( Penske Media Corporation ) . Retrieved May 8 , 2015 .   ^ Jump up to : `` Pitch Perfect 2 ( 2015 ) '' . Box Office Mojo . Retrieved December 14 , 2015 .   ^ Jump up to : `` List of Top Grossing Music Comedy Films , 1984 - Present '' . Box Office Mojo . Retrieved December 13 , 2014 .   ^ Jump up to : Anita Busch . `` ' Pitch Perfect 3 ′ Gets Summer 2017 Bow ; Anna Kendrick , Rebel Wilson Back - Deadline '' . Deadline .   ^ Jump up to : `` ' Pitch Perfect 3 ' Pushed Back '' . Deadline . September 29 , 2015 . Retrieved October 11 , 2015 .   Jump up ^ Orange , B. Alan ( December 19 , 2012 ) . `` EXCLUSIVE : Pitch Perfect 2 in the Works ; Rebel Wilson to Return '' . MovieWeb.com . Retrieved May 16 , 2015 .   Jump up ^ Smith , Grady ( April 16 , 2013 ) . `` ' Pitch Perfect ' sequel coming in 2015 '' . Entertainment Weekly . Retrieved June 14 , 2013 .   ^ Jump up to : Kroll , Justin ( January 27 , 2014 ) . `` Elizabeth Banks to Direct ' Pitch Perfect 2 ' '' . Variety . PMC . Retrieved January 27 , 2014 .   Jump up ^ Profile , indystar.com , February 25 , 2015 ; accessed May 16 , 2015 .   Jump up ^ Pitch Perfect 2 -- Featurette : `` Aca - Bootcamp '' ( HD ) . YouTube . May 5 , 2015 .   Jump up ^ Highfill , Samantha ( February 6 , 2014 ) . `` Anna Kendrick , Rebel Wilson will return for ' Pitch Perfect 2 ' '' . Entertainment Weekly . Retrieved February 7 , 2014 .   Jump up ^ Bahr , Lindsaay ( February 14 , 2014 ) . `` Casting Net : Brittany Snow is back for ' Pitch Perfect 2 ' ; Plus , Jessica Alba , more '' . Entertainment Weekly . Retrieved February 15 , 2014 .   Jump up ^ `` Chrissie Fit Cast In ' Pitch Perfect 2 ′ '' . deadline.com. April 24 , 2014 . Retrieved April 25 , 2014 .   Jump up ^ `` Hailee Steinfeld Joining Pitch Perfect 2 '' . vulture.com . May 1 , 2014 . Retrieved May 1 , 2014 .   Jump up ^ Strecker , Erin ( May 5 , 2014 ) . `` Adam DeVine will return for ' Pitch Perfect 2 ' '' . ew.com . Retrieved May 7 , 2014 .   Jump up ^ Kroll , Justin ( May 14 , 2014 ) . `` Katey Sagal Joins Cast of ' Pitch Perfect 2 ′ '' . variety.com . Retrieved May 15 , 2014 .   Jump up ^ Yamato , Jen ( May 29 , 2014 ) . `` ' Pitch Perfect 2 ′ Adds German YouTuber Flula Borg '' . deadline.com . Retrieved May 30 , 2014 .   Jump up ^ Stack , Tim ( November 21 , 2014 ) . `` Game On , Pitches ! '' . EW.com . Entertainment Weekly &amp; Time Inc . Retrieved November 24 , 2014 .   Jump up ^ Banks , Elizabeth ( June 20 , 2014 ) . `` ' Pitch Perfect 2 ′ Extra : Christopher Shepard ! ! ! This is a mash up of Pitch Perfect 2 and The Hunger Games . Amazing crowd , THANK YOU '' . deadline.com . Retrieved June 20 , 2014 .   Jump up ^ Pentatonix to appear in Pitch Perfect 2 , insidemovies.ew.com ; accessed May 16 , 2015 .   Jump up ^ Rebecca Ford . `` ' Pitch Perfect 2 ' Adds ' The Sing - Off ' A Cappella Group The Filharmonic ( Exclusive ) '' . The Hollywood Reporter .   Jump up ^ Lim , Eunice ( August 24 , 2014 ) . `` The South Asian a cappella group is the only real collegiate performance group in the movie '' . The Daily Pennsylvanian . Retrieved May 8 , 2015 .   Jump up ^ Tauber , Michelle ; Price , Lydia ( May 13 , 2015 ) . `` Pitch Perfect 2 : All the Details Behind UPenn 's A Cappella Group Cameo '' . People.com . Retrieved May 18 , 2015 .   Jump up ^ Yamato , Jen ( June 25 , 2014 ) . `` ' Pitch Perfect 2 ′ Taps Danish Import Birgitte Hjort Sørensen '' . deadline.com . Retrieved June 26 , 2014 .   Jump up ^ Christine ( May 20 , 2014 ) . `` ' Pitch Perfect 2 ′ is filming at LSU tomorrow with lots of extras '' . onlocationvacations.com . Retrieved May 26 , 2014 .   Jump up ^ `` Mark Mothersbaugh to Score ' Pitch Perfect 2 ′ '' . filmmusicreporter.com . December 3 , 2014 . Retrieved December 14 , 2014 .   ^ Jump up to : `` iTunes -- Music -- Pitch Perfect 2 ( Original Motion Picture Soundtrack ) by Various Artists '' . iTunes .   ^ Jump up to : Pitch Perfect 2 : Special Edition ( Original Motion Picture Soundtrack ) , itunes.apple.com ; accessed January 2 , 2016 .   Jump up ^ Keith Claufield ( May 20 , 2015 ) . `` ' Pitch Perfect 2 ' Soundtrack Debuts at No. 1 on Billboard 200 Albums Chart '' . Billboard . ( Prometheus Global Media ) . Retrieved May 20 , 2015 .   Jump up ^ `` Spotify '' . spotify.com .   Jump up ^ `` Australiancharts.com -- Soundtrack -- Pitch Perfect 2 '' . Hung Medien . Retrieved May 16 , 2015 .   Jump up ^ `` Austriancharts.at -- Soundtrack -- Pitch Perfect 2 '' ( in German ) . Hung Medien . Retrieved May 30 , 2015 .   Jump up ^ `` Ultratop.be -- Soundtrack -- Pitch Perfect 2 '' ( in Dutch ) . Hung Medien . Retrieved May 24 , 2015 .   Jump up ^ `` Soundtrack Chart History ( Canadian Albums ) '' . Billboard . Retrieved May 30 , 2015 .   Jump up ^ `` Longplay - Chartverfolgung at Musicline '' ( in German ) . Musicline.de . Phononet GmbH . Retrieved May 24 , 2015 .   Jump up ^ `` Charts.org.nz -- Soundtrack -- Pitch Perfect 2 '' . Hung Medien . Retrieved May 30 , 2015 .   Jump up ^ `` Swisscharts.com -- Soundtrack -- Pitch Perfect 2 '' . Hung Medien . Retrieved May 24 , 2015 .   Jump up ^ `` Weekly Top 20 -- Five Music Chart 2015 / 5 / 15 - 2015 / 5 / 21 '' ( in Chinese ) . Five Music . Archived from the original on May 21 , 2015 . Retrieved May 21 , 2015 .   Jump up ^ `` Soundtrack Chart History ( Digital Albums ) '' . Billboard . Retrieved May 30 , 2015 .   Jump up ^ `` Soundtrack Chart History ( Billboard 200 ) '' . Billboard . Retrieved May 30 , 2015 .   Jump up ^ `` Soundtrack Chart History ( Vinyl Albums ) '' . Billboard . Retrieved May 30 , 2015 .   Jump up ^ `` ARIA Charts - End of Year Charts - Top 100 Albums 2015 '' . Australian Recording Industry Association . Retrieved January 6 , 2016 .   Jump up ^ `` TOP BILLBOARD 200 ALBUMS : YEAR END 2015 '' . Billboard . Retrieved December 10 , 2015 .   Jump up ^ `` IMDb Pitch Perfect 2 '' . Retrieved February 1 , 2015 .   Jump up ^ Anderton , Ethan ( May 16 , 2014 ) . `` First Look : Anna Kendrick &amp; Barden Bellas Back in ' Pitch Perfect 2 ' '' . firstshowing.net . Retrieved May 16 , 2014 .   Jump up ^ Super Bowl Official Trainer .   Jump up ^ Elizabeth Banks talks accessed May 17 , 2015   Jump up ^ Denise Petski . `` ' Pitch Perfect 2 ′ Heads To FX -- Network Lands Exclusive TV Rights -- Deadline '' . Deadline .   Jump up ^ `` Pitch Perfect 2 Blu - ray '' . Blu-ray.com . Retrieved July 8 , 2015 .   Jump up ^ `` Pitch Perfect 2 Target edition Blu - ray '' . Blu-ray.com . Retrieved July 8 , 2015 .   Jump up ^ Mike Fleming Jr ( March 22 , 2016 ) . `` No. 11 ' Pitch Perfect 2 ' -- 2015 Most Valuable Movie Blockbuster Tournament '' . Deadline.com . Retrieved March 23 , 2016 .   Jump up ^ Pitch Perfect 2 blows away Mad Max and heads for $64 million debut , thewrap.com ; accessed May 17 , 2015 .   Jump up ^ ' Pitch Perfect 2 ′ Makes $69.2 Million After Final Box Office Numbers Released , Variety ; accessed May 18 , 2015   Jump up ^ Box office report : Pitch Perfect 2 earns biggest movie musical opening ever , Entertainment Weekly ; accessed May 18 , 2015   Jump up ^ Nancy Tartaglione ( May 10 , 2015 ) . `` ' Pitch Perfect 2 ′ Sings , Soars Down Under ; ' Ultron ' Adds $68.3 M -- Intl Box Office '' . Deadline.com . ( Penske Media Corporation ) . Retrieved May 10 , 2015 .   Jump up ^ `` Pitch Perfect 2 '' . Rotten Tomatoes . Retrieved November 10 , 2015 .   Jump up ^ `` Pitch Perfect 2 '' . Metacritic . Retrieved May 17 , 2015 .   Jump up ^ `` Box Office : Pitch Perfect 2 Pitch - Slaps Mad Max : Fury Road '' . comingsoon.net . Retrieved May 19 , 2015 .   Jump up ^ `` ' Pitch Perfect 3 ' in the Works ; Rebel Wilson to Return '' . Collider.com . Complex Media . April 11 , 2015 . Retrieved May 17 , 2015 .   Jump up ^ Elizabeth Banks talks Pitch Perfect 3 accessed May 17 , 2015   Jump up ^ / Pitch Perfect 3 Announced Retrieved October 6 , 2015   Jump up ^ `` Brittany Snow Set to Return for ' Pitch Perfect 3 ′ '' . Variety . ( Penske Media Corporation ) . July 28 , 2015 . Retrieved August 7 , 2015 .   Jump up ^ D'Alessandro , Anthony ( May 31 , 2016 ) . `` Universal Changes ' Pitch Perfect 3 ' Release Date Again ; ' Girl Trip ' Moves In '' .   Jump up ^ `` Anna Camp Returning for ' Pitch Perfect 3 ' ( Exclusive ) '' .   Jump up ^ `` Instagram post by Ester Dean Jan 2 , 2017 at 11 : 15pm UTC '' . Instagram .    External links ( edit )    Pitch Perfect 2 on IMDb   Pitch Perfect 2 at Box Office Mojo   Pitch Perfect 2 at Rotten Tomatoes   Pitch Perfect 2 at Metacritic              Pitch Perfect     Films     Pitch Perfect ( 2012 )   Pitch Perfect 2 ( 2015 )   Pitch Perfect 3 ( 2017 )       Songs     Soundtrack   `` Cups ''                 Teen Choice Award for Choice Movie -- Comedy       There 's Something About Mary ( 1999 )   Austin Powers : The Spy</t>
  </si>
  <si>
    <t xml:space="preserve">who plays the record producer in pitch perfect 2</t>
  </si>
  <si>
    <t xml:space="preserve"> Anna Kendrick as Beca Mitchell , the senior leader of the Bellas , known for creating the unique modern - day sound of the Bellas . She is an aspiring record producer and is now an intern at Residual Heat , a record label . </t>
  </si>
  <si>
    <r>
      <rPr>
        <sz val="11"/>
        <color rgb="FF000000"/>
        <rFont val="Calibri"/>
        <family val="0"/>
        <charset val="1"/>
      </rPr>
      <t xml:space="preserve">What 's Wrong with Secretary Kim - wikipedia  What 's Wrong with Secretary Kim     What 's Wrong with Secretary Kim     Promotional poster     Also known as   Why Secretary Kim         Original title   </t>
    </r>
    <r>
      <rPr>
        <sz val="11"/>
        <color rgb="FF000000"/>
        <rFont val="Noto Sans CJK SC"/>
        <family val="2"/>
      </rPr>
      <t xml:space="preserve">김비서 가 왜 그럴까         </t>
    </r>
    <r>
      <rPr>
        <sz val="11"/>
        <color rgb="FF000000"/>
        <rFont val="Calibri"/>
        <family val="0"/>
        <charset val="1"/>
      </rPr>
      <t xml:space="preserve">Genre   Romance comedy     Based on   Why Secretary Kim by Jung Kyung - yoon     Developed by   Studio Dragon     Written by   Jung Eun - young     Directed by   Park Joon - hwa     Starring     Park Seo - joon   Park Min - young       Country of origin   South Korea     Original language ( s )   Korean     No. of episodes   16     Production     Executive producer ( s )     Jang Jeong - do   Moon Suk - hwan   Oh Kwang - hee       Producer ( s )   Lee Young - ok     Camera setup   Single - camera     Running time   60 - 70 minutes     Production company ( s )   Bon Factory Worldwide     Distributor   tvN     Release     Original network   tvN     Picture format   1080i ( HDTV )     Audio format   Dolby Digital     Original release   June 6 ( 2018 - 06 - 06 ) -- July 26 , 2018 ( 2018 - 07 - 26 )     External links     Website     What 's Wrong with Secretary Kim ( Hangul : </t>
    </r>
    <r>
      <rPr>
        <sz val="11"/>
        <color rgb="FF000000"/>
        <rFont val="Noto Sans CJK SC"/>
        <family val="2"/>
      </rPr>
      <t xml:space="preserve">김비서 가 왜 그럴까 </t>
    </r>
    <r>
      <rPr>
        <sz val="11"/>
        <color rgb="FF000000"/>
        <rFont val="Calibri"/>
        <family val="0"/>
        <charset val="1"/>
      </rPr>
      <t xml:space="preserve">; RR : Kimbiseoga wae geureolkka ) is a 2018 South Korean television series starring Park Seo - joon and Park Min - young . It is based on the web novel of the same title by Jung Kyung - yoon which was first published in 2013 , which was then serialized into a comic in 2015 . The series aired on tvN from June 6 to July 26 , 2018 on Wednesdays and Thursdays for 16 episodes .   Contents    1 Synopsis   2 Cast   2.1 Main   2.2 Recurring   2.2. 1 People around Lee Young - joon   2.2. 2 Mi - so 's Family   2.2. 3 Yoomyung Group     2.3 Others   2.4 Special appearance     3 Production   4 Original soundtrack   4.1 OST Part 1   4.2 OST Part 2   4.3 OST Part 3   4.4 OST Part 4   4.5 OST Part 5   4.6 OST Part 6   4.7 OST Part 7   4.8 OST Part 8     5 Ratings   6 International broadcast   7 References   8 External links    Synopsis ( edit )   Revolves around the narcissistic Vice Chairman of a major corporation , Lee Young - joon , and his highly capable secretary , Kim Mi - so . Misunderstandings arise when she announces that she will resign from her position , after working for Lee Young - joon for nine years .   Cast ( edit )   Main ( edit )    Park Seo - joon as Lee Young - joon   Moon Woo - jin as 9 - year - old Lee Young - joon       Vice Chairman of Yoomyung Group . He is handsome and capable , but his narcissism makes him difficult to work with . He later on develops strong feelings towards Mi - so after realizing that he might lose her .     Park Min - young as Kim Mi - so   Kim Ji - yoo as 5 - year - old Kim Mi - so       A highly skilled secretary who has worked with Young - joon for nine years . She soon reciprocates Young - joon 's feelings after realizing that he was a part of her childhood .    Recurring ( edit )  People around Lee Young - joon ( edit )   Lee Tae - hwan as Lee Sung - yeon / Morpheus   Bae Gang - yoo as young Lee Sung - yeon       Young - joon 's older brother and a famous author . He has a crush on Mi - so .     Kim Byeong - ok as Chairman Lee   Go Se - won as young Chairman Lee       Young - joon and Sung - yeon 's father . Chairman of Yoomyung Group .     Kim Hye - ok as Madame Choi   Lee Soo - kyung as young Madame Choi       Young - joon and Sung - yeon 's mother .   Mi - so 's Family ( edit )   Baek Eun - hye as Kim Pil - nam , Mi - so 's oldest sister   Heo Sun - mi as Kim Mal - hee , Mi - so 's second oldest sister   Jo Deok - hyun as Mi - so 's father   Yoomyung Group ( edit )   Kang Ki - young as Park Yoo - sik     Director of Yoomyung Group . Young - joon 's best friend . Provides Young - joon with much advice .     Hwang Chan - sung as Go Gwi - nam     Employee of Yoomyung Group . He is known for his handsome looks , elite education , being a workaholic , and extreme frugality .     Pyo Ye - jin as Kim Ji - a     A rookie secretary under Mi - so .     Kim Ye - won as Sul Ma - eum     Yoo - sik 's secretary , who has a clumsy personality .     Hwang Bo - ra as Bong Se - ra   Lee Yoo - joon as Jung Chi - in   Lee Jung - min as Lee Young - ok   Kim Jung - woon as Park Joon - hwan   Kang Hong - suk as Yang Cheol   Bae Hyun - sung as Intern Staff    Others ( edit )    Hong Ji - yoon as Oh Ji - ran   Choi Na - mu as woman at the Spanish Embassy party ( Ep. 1 )   Shin Joo - yeon as Kim Mi - so 's friend ( Ep. 1 )   Kim Hyun - joo as woman who Lee Sung - yeon gave a hat to at airplane ( Ep. 3 )   Lee Do - yeon as a reporter who interviewed Morpheus ( Ep. 4 )   Lee Chang as center director of the Art Center ( Ep. 4 )   Jung Soo - young as agency staff ( Ep. 9 )   Choi Hyun - woo as Magician ( Ep. 10 )    Special appearance ( edit )    Park Byung - eun as Park Byung - eun , the man who Kim Mi - so met in a blind date ( Ep. 3 )   Seo Hyo - rim as Choi Seo - jin , Park Yoo - sik 's ex-wife ( Ep. 9 , 11 , 12 &amp; 16 )   Lee Min - ki as young Mi - so 's father ( Ep. 10 )   Jung So - min as young Mi - so 's mother ( Ep. 10 )   Son Sung - yoon as kidnapper ( Ep. 11 &amp; 12 )   Jung Yu - mi as Jung Yu - mi , a friend of Lee Young - joon ( Ep. 14 )   Lee Byung - joon as wedding dress ' designer ( Ep. 16 )    Production ( edit )   Much of the visual styling of the series protagonists have referenced the comic version 's cues , including clothing designs and reenacting the comic cover for the drama 's promotional stills and images .   The first script reading was held on April 10 , 2018 at Studio Dragon in Sangam - dong , Seoul , South Korea .   The press conference for the drama was held on May 30 , 2018 at the Times Square in Seoul with the attendance of the main cast and crew .   Original soundtrack ( edit )     What 's Wrong with Secretary Kim OST     Soundtrack album by Various artists     Released   2018     Genre     K - pop   Soundtrack       Language     Korean   English       Label   Bon Factory Worldwide , kakao M     Producer   Moon Seok - hwan , Oh Kwang - hee     OST Part 1 ( edit )     Released on June 14 , 2018 ( 2018 - 06 - 14 )     No .   Title   Lyrics   Music   Artist   Length     1 .   `` Love Virus ''   ZigZag Note , Kim Myeong - shin   ZigZag Note , Kim Myeong - shin   Kihyun ( Monsta X ) , SeolA ( Cosmic Girls )   03 : 27     2 .   `` Love Virus ( Inst . ) ''     ZigZag Note , Kim Myeong - shin     03 : 27     Total length :   06 : 54     OST Part 2 ( edit )     Released on June 20 , 2018 ( 2018 - 06 - 20 )     No .   Title   Lyrics   Music   Artist   Length     1 .   `` It 's You ''   Good Choice , Yoda   Kim Se - jin , Midnight   Jeong Se - woon   03 : 39     2 .   `` It 's You ( Inst . ) ''     Kim Se - jin , Midnight     03 : 39     Total length :   07 : 18     OST Part 3 ( edit )     Released on June 21 , 2018 ( 2018 - 06 - 21 )     No .   Title   Lyrics   Music   Artist   Length     1 .   `` Wanna Be ''   ZigZag Note   ZigZag Note   GFriend   03 : 09     2 .   `` Wanna Be ( Inst . ) ''     ZigZag Note     03 : 09     Total length :   06 : 18     Ost part 4 ( edit )     Released on June 27 , 2018 ( 2018 - 06 - 27 )     No .   Title   Lyrics   Music   Artist   Length     1 .   `` Just A Little Bit More '' ( </t>
    </r>
    <r>
      <rPr>
        <sz val="11"/>
        <color rgb="FF000000"/>
        <rFont val="Noto Sans CJK SC"/>
        <family val="2"/>
      </rPr>
      <t xml:space="preserve">조금만 더 </t>
    </r>
    <r>
      <rPr>
        <sz val="11"/>
        <color rgb="FF000000"/>
        <rFont val="Calibri"/>
        <family val="0"/>
        <charset val="1"/>
      </rPr>
      <t xml:space="preserve">)   ZigZag Note , Kim Young - sung , Good Choice   ZigZag Note , Kim Young - sung   Jinho ( Pentagon ) , Rothy   03 : 25     2 .   `` Just A Little Bit More ( Inst . ) '' ( </t>
    </r>
    <r>
      <rPr>
        <sz val="11"/>
        <color rgb="FF000000"/>
        <rFont val="Noto Sans CJK SC"/>
        <family val="2"/>
      </rPr>
      <t xml:space="preserve">조금만 더 </t>
    </r>
    <r>
      <rPr>
        <sz val="11"/>
        <color rgb="FF000000"/>
        <rFont val="Calibri"/>
        <family val="0"/>
        <charset val="1"/>
      </rPr>
      <t xml:space="preserve">( Inst . ) )     ZigZag Note , Kim Young - sung     03 : 25     Total length :   06 : 50     Ost part 5 ( edit )     Released on June 28 , 2018 ( 2018 - 06 - 28 )     No .   Title   Lyrics   Music   Artist   Length     1 .   `` Because I Only See You '' ( </t>
    </r>
    <r>
      <rPr>
        <sz val="11"/>
        <color rgb="FF000000"/>
        <rFont val="Noto Sans CJK SC"/>
        <family val="2"/>
      </rPr>
      <t xml:space="preserve">그대 만 보여서 </t>
    </r>
    <r>
      <rPr>
        <sz val="11"/>
        <color rgb="FF000000"/>
        <rFont val="Calibri"/>
        <family val="0"/>
        <charset val="1"/>
      </rPr>
      <t xml:space="preserve">)   Good Choice , Red Socks   Red Socks   Kim Na - young   03 : 40     2 .   `` Because I Only See You ( Inst . ) '' ( </t>
    </r>
    <r>
      <rPr>
        <sz val="11"/>
        <color rgb="FF000000"/>
        <rFont val="Noto Sans CJK SC"/>
        <family val="2"/>
      </rPr>
      <t xml:space="preserve">그대 만 보여서 </t>
    </r>
    <r>
      <rPr>
        <sz val="11"/>
        <color rgb="FF000000"/>
        <rFont val="Calibri"/>
        <family val="0"/>
        <charset val="1"/>
      </rPr>
      <t xml:space="preserve">( Inst . ) )     Red Socks     03 : 40     Total length :   07 : 20     Ost part 6 ( edit )     Released on July 4 , 2018 ( 2018 - 07 - 04 )     No .   Title   Lyrics   Music   Artist   Length     1 .   `` Why Am I Like This '' ( </t>
    </r>
    <r>
      <rPr>
        <sz val="11"/>
        <color rgb="FF000000"/>
        <rFont val="Noto Sans CJK SC"/>
        <family val="2"/>
      </rPr>
      <t xml:space="preserve">왜 이럴까 </t>
    </r>
    <r>
      <rPr>
        <sz val="11"/>
        <color rgb="FF000000"/>
        <rFont val="Calibri"/>
        <family val="0"/>
        <charset val="1"/>
      </rPr>
      <t xml:space="preserve">)   Moon Sung - nam , Im Joo - yeon   Moon Sung - nam , Im Joo - yeon   Lee Da - yeon   02 : 40     2 .   `` Why Am I Like This ( Inst . ) '' ( </t>
    </r>
    <r>
      <rPr>
        <sz val="11"/>
        <color rgb="FF000000"/>
        <rFont val="Noto Sans CJK SC"/>
        <family val="2"/>
      </rPr>
      <t xml:space="preserve">왜 이럴까 </t>
    </r>
    <r>
      <rPr>
        <sz val="11"/>
        <color rgb="FF000000"/>
        <rFont val="Calibri"/>
        <family val="0"/>
        <charset val="1"/>
      </rPr>
      <t xml:space="preserve">( Inst . ) )     Moon Sung - nam , Im Joo - yeon     02 : 40     Total length :   05 : 20     OST Part 7 ( edit )     Released on July 5 , 2018 ( 2018 - 07 - 05 )     No .   Title   Lyrics   Music   Artist   Length     1 .   `` In The End '' ( </t>
    </r>
    <r>
      <rPr>
        <sz val="11"/>
        <color rgb="FF000000"/>
        <rFont val="Noto Sans CJK SC"/>
        <family val="2"/>
      </rPr>
      <t xml:space="preserve">토로 </t>
    </r>
    <r>
      <rPr>
        <sz val="11"/>
        <color rgb="FF000000"/>
        <rFont val="Calibri"/>
        <family val="0"/>
        <charset val="1"/>
      </rPr>
      <t xml:space="preserve">)   Kang Myeong - shin , ZigZag Note , Noh Eun - jong   ZigZag Note , Noh Eun - jong   Yun Ddan Ddan   04 : 25     2 .   `` In The End ( Inst . ) '' ( </t>
    </r>
    <r>
      <rPr>
        <sz val="11"/>
        <color rgb="FF000000"/>
        <rFont val="Noto Sans CJK SC"/>
        <family val="2"/>
      </rPr>
      <t xml:space="preserve">토로 </t>
    </r>
    <r>
      <rPr>
        <sz val="11"/>
        <color rgb="FF000000"/>
        <rFont val="Calibri"/>
        <family val="0"/>
        <charset val="1"/>
      </rPr>
      <t xml:space="preserve">( Inst . ) )     ZigZag Note , Noh Eun - jong     04 : 25     Total length :   08 : 50     Ost part 8 ( edit )     Released on July 12 , 2018 ( 2018 - 07 - 12 )     No .   Title   Lyrics   Music   Artist   Length     1 .   `` Words Being Said For The First Time '' ( </t>
    </r>
    <r>
      <rPr>
        <sz val="11"/>
        <color rgb="FF000000"/>
        <rFont val="Noto Sans CJK SC"/>
        <family val="2"/>
      </rPr>
      <t xml:space="preserve">처음 하는 말 </t>
    </r>
    <r>
      <rPr>
        <sz val="11"/>
        <color rgb="FF000000"/>
        <rFont val="Calibri"/>
        <family val="0"/>
        <charset val="1"/>
      </rPr>
      <t xml:space="preserve">)   Good Choice   Kim Se - jin , Midnight   Song Yuvin ( Myteen )   03 : 56     2 .   `` Words Being Said For The First Time ( Inst . ) '' ( </t>
    </r>
    <r>
      <rPr>
        <sz val="11"/>
        <color rgb="FF000000"/>
        <rFont val="Noto Sans CJK SC"/>
        <family val="2"/>
      </rPr>
      <t xml:space="preserve">처음 하는 말 </t>
    </r>
    <r>
      <rPr>
        <sz val="11"/>
        <color rgb="FF000000"/>
        <rFont val="Calibri"/>
        <family val="0"/>
        <charset val="1"/>
      </rPr>
      <t xml:space="preserve">( Inst . ) )     Kim Se - jin , Midnight     03 : 56     Total length :   07 : 52     Ratings ( edit )   In the table below , the blue numbers represent the lowest ratings and the red numbers represent the highest ratings .     Episode #   Original broadcast date   Average audience share     AGB Nielsen Ratings   TNmS Ratings     Nationwide   Seoul       June 6 , 2018   5.757 %   6.446 %   6.3 %       June 7 , 2018   5.403 %   5.529 %   5.6 %       June 13 , 2018   6.950 %   8.252 %   8.3 %       June 14 , 2018   6.379 %   6.945 %   6.3 %     5   June 20 , 2018   6.855 %   7.500 %   7.0 %     6   June 21 , 2018   7.687 %   8.554 %   7.7 %     7   June 27 , 2018   7.281 %   8.201 %   8.5 %     8   June 28 , 2018   8.120 %   9.326 %   8.3 %     9   July 4 , 2018   7.767 %   9.428 %   8.8 %     10   July 5 , 2018   8.403 %   9.545 %   9.2 %     11   July 11 , 2018   8.665 %   10.565 %   10.6 %     12   July 12 , 2018   8.393 %   10.052 %   9.7 %     13   July 18 , 2018   7.673 %   8.717 %   8.7 %     14   July 19 , 2018   8.100 %   9.506 %   9.2 %     15   July 25 , 2018   7.107 %   7.725 %   8.0 %     16   July 26 , 2018   8.602 %   10.001 %   9.8 %     Average   7.446 %   8.518 %   8.3 %      This drama airs on a cable channel / pay TV which normally has a relatively smaller audience compared to free - to - air TV / public broadcasters ( KBS , SBS , MBC and EBS ) .    International broadcast ( edit )    Sri Lanka : The drama is available to stream on - demand on Iflix . During its original run , each episode of the drama was available to stream 24 hours after its original South Korean broadcast with subtitles .   Malaysia , Singapore , Indonesia : The drama was broadcast on tvN Asia in Malaysia , Singapore and Indonesia with subtitles .   Philippines : The drama will be broadcast on ABS - CBN .    References ( edit )    Jump up ^ `` Park Seo - joon may become the boss in webtoon adaptation Why Secretary Kim '' . DramaBeans . December 18 , 2017 .   Jump up ^ `` Park Seo - jun , Park Min - young cast in drama '' . Korea JoongAng Daily . May 4 , 2018 .   Jump up ^ `` Park Seo - joon , Park Min - young to find out ' What 's Wrong with Secretary Kim ' '' . Kpop Herald . May 30 , 2018 .   Jump up ^ `` New tvN series promises tantalizing , hilarious office romance '' . Yonhap News Agency . May 30 , 2018 .   Jump up ^ `` Park Seo Jun to Star in a New Romantic Drama '' . SBS News . March 2 , 2018 .   Jump up ^ `` Park Seo - joon on why he chose ' What 's Wrong with Secretary Kim ' '' . Kpop Herald . May 30 , 2018 .   Jump up ^ `` </t>
    </r>
    <r>
      <rPr>
        <sz val="11"/>
        <color rgb="FF000000"/>
        <rFont val="Noto Sans CJK SC"/>
        <family val="2"/>
      </rPr>
      <t xml:space="preserve">누나 들 심장 에 불 지르고 있는 </t>
    </r>
    <r>
      <rPr>
        <sz val="11"/>
        <color rgb="FF000000"/>
        <rFont val="Calibri"/>
        <family val="0"/>
        <charset val="1"/>
      </rPr>
      <t xml:space="preserve">' </t>
    </r>
    <r>
      <rPr>
        <sz val="11"/>
        <color rgb="FF000000"/>
        <rFont val="Noto Sans CJK SC"/>
        <family val="2"/>
      </rPr>
      <t xml:space="preserve">박서준 아역 </t>
    </r>
    <r>
      <rPr>
        <sz val="11"/>
        <color rgb="FF000000"/>
        <rFont val="Calibri"/>
        <family val="0"/>
        <charset val="1"/>
      </rPr>
      <t xml:space="preserve">' </t>
    </r>
    <r>
      <rPr>
        <sz val="11"/>
        <color rgb="FF000000"/>
        <rFont val="Noto Sans CJK SC"/>
        <family val="2"/>
      </rPr>
      <t xml:space="preserve">문 우진 군 </t>
    </r>
    <r>
      <rPr>
        <sz val="11"/>
        <color rgb="FF000000"/>
        <rFont val="Calibri"/>
        <family val="0"/>
        <charset val="1"/>
      </rPr>
      <t xml:space="preserve">'' . Insight ( in Korean ) . Retrieved July 19 , 2018 .   Jump up ^ `` Park Min Young to Star in a Romance Drama with Park Seo Jun '' . SBS News . April 6 , 2018 .   Jump up ^ `` Park Min - young talks about starring in rom - com '' . Kpop Herald . May 30 , 2018 .   Jump up ^ `` Lee Tae - hwan to star in ' What 's Wrong With Secretary Kim ? ' '' . Kpop Herald . April 11 , 2018 .   ^ Jump up to : `` Kim Hye - ok and Kim Byung - ok in `` Why Secretary Kim '' as Married Couple `` . Hancinema . Star News . April 17 , 2018 .   ^ Jump up to : ``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이수경 </t>
    </r>
    <r>
      <rPr>
        <sz val="11"/>
        <color rgb="FF000000"/>
        <rFont val="Calibri"/>
        <family val="0"/>
        <charset val="1"/>
      </rPr>
      <t xml:space="preserve">- </t>
    </r>
    <r>
      <rPr>
        <sz val="11"/>
        <color rgb="FF000000"/>
        <rFont val="Noto Sans CJK SC"/>
        <family val="2"/>
      </rPr>
      <t xml:space="preserve">고세원 </t>
    </r>
    <r>
      <rPr>
        <sz val="11"/>
        <color rgb="FF000000"/>
        <rFont val="Calibri"/>
        <family val="0"/>
        <charset val="1"/>
      </rPr>
      <t xml:space="preserve">, </t>
    </r>
    <r>
      <rPr>
        <sz val="11"/>
        <color rgb="FF000000"/>
        <rFont val="Noto Sans CJK SC"/>
        <family val="2"/>
      </rPr>
      <t xml:space="preserve">박서준 어린 시절 부모 役 카메오 출연 </t>
    </r>
    <r>
      <rPr>
        <sz val="11"/>
        <color rgb="FF000000"/>
        <rFont val="Calibri"/>
        <family val="0"/>
        <charset val="1"/>
      </rPr>
      <t xml:space="preserve">! '' . iMBC ( in Korean ) . Retrieved June 27 , 2018 .   Jump up ^ `` ( </t>
    </r>
    <r>
      <rPr>
        <sz val="11"/>
        <color rgb="FF000000"/>
        <rFont val="Noto Sans CJK SC"/>
        <family val="2"/>
      </rPr>
      <t xml:space="preserve">인터뷰 </t>
    </r>
    <r>
      <rPr>
        <sz val="11"/>
        <color rgb="FF000000"/>
        <rFont val="Calibri"/>
        <family val="0"/>
        <charset val="1"/>
      </rPr>
      <t xml:space="preserve">) </t>
    </r>
    <r>
      <rPr>
        <sz val="11"/>
        <color rgb="FF000000"/>
        <rFont val="Noto Sans CJK SC"/>
        <family val="2"/>
      </rPr>
      <t xml:space="preserve">허순미 </t>
    </r>
    <r>
      <rPr>
        <sz val="11"/>
        <color rgb="FF000000"/>
        <rFont val="Calibri"/>
        <family val="0"/>
        <charset val="1"/>
      </rPr>
      <t xml:space="preserve">`` </t>
    </r>
    <r>
      <rPr>
        <sz val="11"/>
        <color rgb="FF000000"/>
        <rFont val="Noto Sans CJK SC"/>
        <family val="2"/>
      </rPr>
      <t xml:space="preserve">오디션 때 </t>
    </r>
    <r>
      <rPr>
        <sz val="11"/>
        <color rgb="FF000000"/>
        <rFont val="Calibri"/>
        <family val="0"/>
        <charset val="1"/>
      </rPr>
      <t xml:space="preserve">' </t>
    </r>
    <r>
      <rPr>
        <sz val="11"/>
        <color rgb="FF000000"/>
        <rFont val="Noto Sans CJK SC"/>
        <family val="2"/>
      </rPr>
      <t xml:space="preserve">발 연기 </t>
    </r>
    <r>
      <rPr>
        <sz val="11"/>
        <color rgb="FF000000"/>
        <rFont val="Calibri"/>
        <family val="0"/>
        <charset val="1"/>
      </rPr>
      <t xml:space="preserve">' </t>
    </r>
    <r>
      <rPr>
        <sz val="11"/>
        <color rgb="FF000000"/>
        <rFont val="Noto Sans CJK SC"/>
        <family val="2"/>
      </rPr>
      <t xml:space="preserve">했는데 합격 했죠 </t>
    </r>
    <r>
      <rPr>
        <sz val="11"/>
        <color rgb="FF000000"/>
        <rFont val="Calibri"/>
        <family val="0"/>
        <charset val="1"/>
      </rPr>
      <t xml:space="preserve">'' `` . Sports Donga ( in Korean ) . July 18 , 2018 .   ^ Jump up to : `` Kang Ki - young , Hwang Chan - sung , Pyo Ye - jin , and Kim Yewon Join `` Why Secretary Kim '' `` . Hancinema . Asia Today . April 11 , 2018 .   Jump up ^ `` </t>
    </r>
    <r>
      <rPr>
        <sz val="11"/>
        <color rgb="FF000000"/>
        <rFont val="Noto Sans CJK SC"/>
        <family val="2"/>
      </rPr>
      <t xml:space="preserve">황보라 </t>
    </r>
    <r>
      <rPr>
        <sz val="11"/>
        <color rgb="FF000000"/>
        <rFont val="Calibri"/>
        <family val="0"/>
        <charset val="1"/>
      </rPr>
      <t xml:space="preserve">,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출연 </t>
    </r>
    <r>
      <rPr>
        <sz val="11"/>
        <color rgb="FF000000"/>
        <rFont val="Calibri"/>
        <family val="0"/>
        <charset val="1"/>
      </rPr>
      <t xml:space="preserve">`` </t>
    </r>
    <r>
      <rPr>
        <sz val="11"/>
        <color rgb="FF000000"/>
        <rFont val="Noto Sans CJK SC"/>
        <family val="2"/>
      </rPr>
      <t xml:space="preserve">자칭 팜므 파탈 </t>
    </r>
    <r>
      <rPr>
        <sz val="11"/>
        <color rgb="FF000000"/>
        <rFont val="Calibri"/>
        <family val="0"/>
        <charset val="1"/>
      </rPr>
      <t xml:space="preserve">'' `` . TenAsia ( in Korean ) . April 18 , 2018 .   ^ Jump up to : ``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황보라 </t>
    </r>
    <r>
      <rPr>
        <sz val="11"/>
        <color rgb="FF000000"/>
        <rFont val="Calibri"/>
        <family val="0"/>
        <charset val="1"/>
      </rPr>
      <t xml:space="preserve">- </t>
    </r>
    <r>
      <rPr>
        <sz val="11"/>
        <color rgb="FF000000"/>
        <rFont val="Noto Sans CJK SC"/>
        <family val="2"/>
      </rPr>
      <t xml:space="preserve">강홍석 </t>
    </r>
    <r>
      <rPr>
        <sz val="11"/>
        <color rgb="FF000000"/>
        <rFont val="Calibri"/>
        <family val="0"/>
        <charset val="1"/>
      </rPr>
      <t xml:space="preserve">- </t>
    </r>
    <r>
      <rPr>
        <sz val="11"/>
        <color rgb="FF000000"/>
        <rFont val="Noto Sans CJK SC"/>
        <family val="2"/>
      </rPr>
      <t xml:space="preserve">이유준 </t>
    </r>
    <r>
      <rPr>
        <sz val="11"/>
        <color rgb="FF000000"/>
        <rFont val="Calibri"/>
        <family val="0"/>
        <charset val="1"/>
      </rPr>
      <t xml:space="preserve">, </t>
    </r>
    <r>
      <rPr>
        <sz val="11"/>
        <color rgb="FF000000"/>
        <rFont val="Noto Sans CJK SC"/>
        <family val="2"/>
      </rPr>
      <t xml:space="preserve">신 스틸러 군단 출격 </t>
    </r>
    <r>
      <rPr>
        <sz val="11"/>
        <color rgb="FF000000"/>
        <rFont val="Calibri"/>
        <family val="0"/>
        <charset val="1"/>
      </rPr>
      <t xml:space="preserve">'' . Seoul Economic Daily ( in Korean ) . April 18 , 2018 .   Jump up ^ `` ( </t>
    </r>
    <r>
      <rPr>
        <sz val="11"/>
        <color rgb="FF000000"/>
        <rFont val="Noto Sans CJK SC"/>
        <family val="2"/>
      </rPr>
      <t xml:space="preserve">공식 </t>
    </r>
    <r>
      <rPr>
        <sz val="11"/>
        <color rgb="FF000000"/>
        <rFont val="Calibri"/>
        <family val="0"/>
        <charset val="1"/>
      </rPr>
      <t xml:space="preserve">) </t>
    </r>
    <r>
      <rPr>
        <sz val="11"/>
        <color rgb="FF000000"/>
        <rFont val="Noto Sans CJK SC"/>
        <family val="2"/>
      </rPr>
      <t xml:space="preserve">홍지윤 </t>
    </r>
    <r>
      <rPr>
        <sz val="11"/>
        <color rgb="FF000000"/>
        <rFont val="Calibri"/>
        <family val="0"/>
        <charset val="1"/>
      </rPr>
      <t xml:space="preserve">,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캐스팅 </t>
    </r>
    <r>
      <rPr>
        <sz val="11"/>
        <color rgb="FF000000"/>
        <rFont val="Calibri"/>
        <family val="0"/>
        <charset val="1"/>
      </rPr>
      <t xml:space="preserve">... </t>
    </r>
    <r>
      <rPr>
        <sz val="11"/>
        <color rgb="FF000000"/>
        <rFont val="Noto Sans CJK SC"/>
        <family val="2"/>
      </rPr>
      <t xml:space="preserve">박서준 </t>
    </r>
    <r>
      <rPr>
        <sz val="11"/>
        <color rgb="FF000000"/>
        <rFont val="Calibri"/>
        <family val="0"/>
        <charset val="1"/>
      </rPr>
      <t xml:space="preserve">- </t>
    </r>
    <r>
      <rPr>
        <sz val="11"/>
        <color rgb="FF000000"/>
        <rFont val="Noto Sans CJK SC"/>
        <family val="2"/>
      </rPr>
      <t xml:space="preserve">박민영 과 호흡 </t>
    </r>
    <r>
      <rPr>
        <sz val="11"/>
        <color rgb="FF000000"/>
        <rFont val="Calibri"/>
        <family val="0"/>
        <charset val="1"/>
      </rPr>
      <t xml:space="preserve">'' . The Chosun Ilbo ( in Korean ) . May 31 , 2018 .   Jump up ^ `` </t>
    </r>
    <r>
      <rPr>
        <sz val="11"/>
        <color rgb="FF000000"/>
        <rFont val="Noto Sans CJK SC"/>
        <family val="2"/>
      </rPr>
      <t xml:space="preserve">박병 은 </t>
    </r>
    <r>
      <rPr>
        <sz val="11"/>
        <color rgb="FF000000"/>
        <rFont val="Calibri"/>
        <family val="0"/>
        <charset val="1"/>
      </rPr>
      <t xml:space="preserve">,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특별 출연 </t>
    </r>
    <r>
      <rPr>
        <sz val="11"/>
        <color rgb="FF000000"/>
        <rFont val="Calibri"/>
        <family val="0"/>
        <charset val="1"/>
      </rPr>
      <t xml:space="preserve">... 4 </t>
    </r>
    <r>
      <rPr>
        <sz val="11"/>
        <color rgb="FF000000"/>
        <rFont val="Noto Sans CJK SC"/>
        <family val="2"/>
      </rPr>
      <t xml:space="preserve">차원 소개팅 男 으로 </t>
    </r>
    <r>
      <rPr>
        <sz val="11"/>
        <color rgb="FF000000"/>
        <rFont val="Calibri"/>
        <family val="0"/>
        <charset val="1"/>
      </rPr>
      <t xml:space="preserve">'' . MK News ( in Korean ) . June 14 , 2018 .   Jump up ^ ``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측 </t>
    </r>
    <r>
      <rPr>
        <sz val="11"/>
        <color rgb="FF000000"/>
        <rFont val="Calibri"/>
        <family val="0"/>
        <charset val="1"/>
      </rPr>
      <t xml:space="preserve">`` </t>
    </r>
    <r>
      <rPr>
        <sz val="11"/>
        <color rgb="FF000000"/>
        <rFont val="Noto Sans CJK SC"/>
        <family val="2"/>
      </rPr>
      <t xml:space="preserve">서효림 </t>
    </r>
    <r>
      <rPr>
        <sz val="11"/>
        <color rgb="FF000000"/>
        <rFont val="Calibri"/>
        <family val="0"/>
        <charset val="1"/>
      </rPr>
      <t xml:space="preserve">, </t>
    </r>
    <r>
      <rPr>
        <sz val="11"/>
        <color rgb="FF000000"/>
        <rFont val="Noto Sans CJK SC"/>
        <family val="2"/>
      </rPr>
      <t xml:space="preserve">강기영 전 와이프 로 오늘 </t>
    </r>
    <r>
      <rPr>
        <sz val="11"/>
        <color rgb="FF000000"/>
        <rFont val="Calibri"/>
        <family val="0"/>
        <charset val="1"/>
      </rPr>
      <t xml:space="preserve">( 4 </t>
    </r>
    <r>
      <rPr>
        <sz val="11"/>
        <color rgb="FF000000"/>
        <rFont val="Noto Sans CJK SC"/>
        <family val="2"/>
      </rPr>
      <t xml:space="preserve">일 </t>
    </r>
    <r>
      <rPr>
        <sz val="11"/>
        <color rgb="FF000000"/>
        <rFont val="Calibri"/>
        <family val="0"/>
        <charset val="1"/>
      </rPr>
      <t xml:space="preserve">) </t>
    </r>
    <r>
      <rPr>
        <sz val="11"/>
        <color rgb="FF000000"/>
        <rFont val="Noto Sans CJK SC"/>
        <family val="2"/>
      </rPr>
      <t xml:space="preserve">첫 등장 </t>
    </r>
    <r>
      <rPr>
        <sz val="11"/>
        <color rgb="FF000000"/>
        <rFont val="Calibri"/>
        <family val="0"/>
        <charset val="1"/>
      </rPr>
      <t xml:space="preserve">'' ( </t>
    </r>
    <r>
      <rPr>
        <sz val="11"/>
        <color rgb="FF000000"/>
        <rFont val="Noto Sans CJK SC"/>
        <family val="2"/>
      </rPr>
      <t xml:space="preserve">공식 </t>
    </r>
    <r>
      <rPr>
        <sz val="11"/>
        <color rgb="FF000000"/>
        <rFont val="Calibri"/>
        <family val="0"/>
        <charset val="1"/>
      </rPr>
      <t xml:space="preserve">) `` . TV Report ( in Korean ) . Retrieved July 4 , 2018 .   ^ Jump up to : ``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측 </t>
    </r>
    <r>
      <rPr>
        <sz val="11"/>
        <color rgb="FF000000"/>
        <rFont val="Calibri"/>
        <family val="0"/>
        <charset val="1"/>
      </rPr>
      <t xml:space="preserve">`` </t>
    </r>
    <r>
      <rPr>
        <sz val="11"/>
        <color rgb="FF000000"/>
        <rFont val="Noto Sans CJK SC"/>
        <family val="2"/>
      </rPr>
      <t xml:space="preserve">이민기 </t>
    </r>
    <r>
      <rPr>
        <sz val="11"/>
        <color rgb="FF000000"/>
        <rFont val="Calibri"/>
        <family val="0"/>
        <charset val="1"/>
      </rPr>
      <t xml:space="preserve">- </t>
    </r>
    <r>
      <rPr>
        <sz val="11"/>
        <color rgb="FF000000"/>
        <rFont val="Noto Sans CJK SC"/>
        <family val="2"/>
      </rPr>
      <t xml:space="preserve">정소민 카메오 촬영 완료 </t>
    </r>
    <r>
      <rPr>
        <sz val="11"/>
        <color rgb="FF000000"/>
        <rFont val="Calibri"/>
        <family val="0"/>
        <charset val="1"/>
      </rPr>
      <t xml:space="preserve">'' </t>
    </r>
    <r>
      <rPr>
        <sz val="11"/>
        <color rgb="FF000000"/>
        <rFont val="Noto Sans CJK SC"/>
        <family val="2"/>
      </rPr>
      <t xml:space="preserve">박준화 </t>
    </r>
    <r>
      <rPr>
        <sz val="11"/>
        <color rgb="FF000000"/>
        <rFont val="Calibri"/>
        <family val="0"/>
        <charset val="1"/>
      </rPr>
      <t xml:space="preserve">PD </t>
    </r>
    <r>
      <rPr>
        <sz val="11"/>
        <color rgb="FF000000"/>
        <rFont val="Noto Sans CJK SC"/>
        <family val="2"/>
      </rPr>
      <t xml:space="preserve">와 의리 </t>
    </r>
    <r>
      <rPr>
        <sz val="11"/>
        <color rgb="FF000000"/>
        <rFont val="Calibri"/>
        <family val="0"/>
        <charset val="1"/>
      </rPr>
      <t xml:space="preserve">( </t>
    </r>
    <r>
      <rPr>
        <sz val="11"/>
        <color rgb="FF000000"/>
        <rFont val="Noto Sans CJK SC"/>
        <family val="2"/>
      </rPr>
      <t xml:space="preserve">공식 </t>
    </r>
    <r>
      <rPr>
        <sz val="11"/>
        <color rgb="FF000000"/>
        <rFont val="Calibri"/>
        <family val="0"/>
        <charset val="1"/>
      </rPr>
      <t xml:space="preserve">) `` . Newsen ( in Korean ) . June 29 , 2018 .   Jump up ^ `` ( </t>
    </r>
    <r>
      <rPr>
        <sz val="11"/>
        <color rgb="FF000000"/>
        <rFont val="Noto Sans CJK SC"/>
        <family val="2"/>
      </rPr>
      <t xml:space="preserve">공식 입장 </t>
    </r>
    <r>
      <rPr>
        <sz val="11"/>
        <color rgb="FF000000"/>
        <rFont val="Calibri"/>
        <family val="0"/>
        <charset val="1"/>
      </rPr>
      <t xml:space="preserve">) `` ' </t>
    </r>
    <r>
      <rPr>
        <sz val="11"/>
        <color rgb="FF000000"/>
        <rFont val="Noto Sans CJK SC"/>
        <family val="2"/>
      </rPr>
      <t xml:space="preserve">윤 식당 </t>
    </r>
    <r>
      <rPr>
        <sz val="11"/>
        <color rgb="FF000000"/>
        <rFont val="Calibri"/>
        <family val="0"/>
        <charset val="1"/>
      </rPr>
      <t xml:space="preserve">' </t>
    </r>
    <r>
      <rPr>
        <sz val="11"/>
        <color rgb="FF000000"/>
        <rFont val="Noto Sans CJK SC"/>
        <family val="2"/>
      </rPr>
      <t xml:space="preserve">박서준 과 재회 </t>
    </r>
    <r>
      <rPr>
        <sz val="11"/>
        <color rgb="FF000000"/>
        <rFont val="Calibri"/>
        <family val="0"/>
        <charset val="1"/>
      </rPr>
      <t xml:space="preserve">'' ... </t>
    </r>
    <r>
      <rPr>
        <sz val="11"/>
        <color rgb="FF000000"/>
        <rFont val="Noto Sans CJK SC"/>
        <family val="2"/>
      </rPr>
      <t xml:space="preserve">정유미 </t>
    </r>
    <r>
      <rPr>
        <sz val="11"/>
        <color rgb="FF000000"/>
        <rFont val="Calibri"/>
        <family val="0"/>
        <charset val="1"/>
      </rPr>
      <t xml:space="preserve">,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카메오 출연 </t>
    </r>
    <r>
      <rPr>
        <sz val="11"/>
        <color rgb="FF000000"/>
        <rFont val="Calibri"/>
        <family val="0"/>
        <charset val="1"/>
      </rPr>
      <t xml:space="preserve">`` . Xports News ( in Korean ) . July 12 , 2018 .   Jump up ^ `` </t>
    </r>
    <r>
      <rPr>
        <sz val="11"/>
        <color rgb="FF000000"/>
        <rFont val="Noto Sans CJK SC"/>
        <family val="2"/>
      </rPr>
      <t xml:space="preserve">박민영 </t>
    </r>
    <r>
      <rPr>
        <sz val="11"/>
        <color rgb="FF000000"/>
        <rFont val="Calibri"/>
        <family val="0"/>
        <charset val="1"/>
      </rPr>
      <t xml:space="preserve">x </t>
    </r>
    <r>
      <rPr>
        <sz val="11"/>
        <color rgb="FF000000"/>
        <rFont val="Noto Sans CJK SC"/>
        <family val="2"/>
      </rPr>
      <t xml:space="preserve">박서준 </t>
    </r>
    <r>
      <rPr>
        <sz val="11"/>
        <color rgb="FF000000"/>
        <rFont val="Calibri"/>
        <family val="0"/>
        <charset val="1"/>
      </rPr>
      <t xml:space="preserve">. </t>
    </r>
    <r>
      <rPr>
        <sz val="11"/>
        <color rgb="FF000000"/>
        <rFont val="Noto Sans CJK SC"/>
        <family val="2"/>
      </rPr>
      <t xml:space="preserve">웹툰 찢고 나왔다 </t>
    </r>
    <r>
      <rPr>
        <sz val="11"/>
        <color rgb="FF000000"/>
        <rFont val="Calibri"/>
        <family val="0"/>
        <charset val="1"/>
      </rPr>
      <t xml:space="preserve">...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스페셜 포스터 </t>
    </r>
    <r>
      <rPr>
        <sz val="11"/>
        <color rgb="FF000000"/>
        <rFont val="Calibri"/>
        <family val="0"/>
        <charset val="1"/>
      </rPr>
      <t xml:space="preserve">'' . Herald Corporation ( in Korean ) . May 29 , 2018 .   Jump up ^ ``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박서준 </t>
    </r>
    <r>
      <rPr>
        <sz val="11"/>
        <color rgb="FF000000"/>
        <rFont val="Calibri"/>
        <family val="0"/>
        <charset val="1"/>
      </rPr>
      <t xml:space="preserve">- </t>
    </r>
    <r>
      <rPr>
        <sz val="11"/>
        <color rgb="FF000000"/>
        <rFont val="Noto Sans CJK SC"/>
        <family val="2"/>
      </rPr>
      <t xml:space="preserve">박민영 </t>
    </r>
    <r>
      <rPr>
        <sz val="11"/>
        <color rgb="FF000000"/>
        <rFont val="Calibri"/>
        <family val="0"/>
        <charset val="1"/>
      </rPr>
      <t xml:space="preserve">- </t>
    </r>
    <r>
      <rPr>
        <sz val="11"/>
        <color rgb="FF000000"/>
        <rFont val="Noto Sans CJK SC"/>
        <family val="2"/>
      </rPr>
      <t xml:space="preserve">이태환 대본 리딩 현장 포착 </t>
    </r>
    <r>
      <rPr>
        <sz val="11"/>
        <color rgb="FF000000"/>
        <rFont val="Calibri"/>
        <family val="0"/>
        <charset val="1"/>
      </rPr>
      <t xml:space="preserve">! ' </t>
    </r>
    <r>
      <rPr>
        <sz val="11"/>
        <color rgb="FF000000"/>
        <rFont val="Noto Sans CJK SC"/>
        <family val="2"/>
      </rPr>
      <t xml:space="preserve">이 조합 퍼펙트 </t>
    </r>
    <r>
      <rPr>
        <sz val="11"/>
        <color rgb="FF000000"/>
        <rFont val="Calibri"/>
        <family val="0"/>
        <charset val="1"/>
      </rPr>
      <t xml:space="preserve">' '' . imbc ( in Korean ) . April 20 , 2018 .   Jump up ^ `` '' What 's Wrong With Secretary Kim '' holds press conference `` . Asia Today . May 30 , 2018 .   Jump up ^ Baek Ji - eun ( May 30 , 2018 ) .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박서준 </t>
    </r>
    <r>
      <rPr>
        <sz val="11"/>
        <color rgb="FF000000"/>
        <rFont val="Calibri"/>
        <family val="0"/>
        <charset val="1"/>
      </rPr>
      <t xml:space="preserve">`` </t>
    </r>
    <r>
      <rPr>
        <sz val="11"/>
        <color rgb="FF000000"/>
        <rFont val="Noto Sans CJK SC"/>
        <family val="2"/>
      </rPr>
      <t xml:space="preserve">박민영 </t>
    </r>
    <r>
      <rPr>
        <sz val="11"/>
        <color rgb="FF000000"/>
        <rFont val="Calibri"/>
        <family val="0"/>
        <charset val="1"/>
      </rPr>
      <t xml:space="preserve">' </t>
    </r>
    <r>
      <rPr>
        <sz val="11"/>
        <color rgb="FF000000"/>
        <rFont val="Noto Sans CJK SC"/>
        <family val="2"/>
      </rPr>
      <t xml:space="preserve">하이킥 </t>
    </r>
    <r>
      <rPr>
        <sz val="11"/>
        <color rgb="FF000000"/>
        <rFont val="Calibri"/>
        <family val="0"/>
        <charset val="1"/>
      </rPr>
      <t xml:space="preserve">' </t>
    </r>
    <r>
      <rPr>
        <sz val="11"/>
        <color rgb="FF000000"/>
        <rFont val="Noto Sans CJK SC"/>
        <family val="2"/>
      </rPr>
      <t xml:space="preserve">때 부터 팬 </t>
    </r>
    <r>
      <rPr>
        <sz val="11"/>
        <color rgb="FF000000"/>
        <rFont val="Calibri"/>
        <family val="0"/>
        <charset val="1"/>
      </rPr>
      <t xml:space="preserve">, </t>
    </r>
    <r>
      <rPr>
        <sz val="11"/>
        <color rgb="FF000000"/>
        <rFont val="Noto Sans CJK SC"/>
        <family val="2"/>
      </rPr>
      <t xml:space="preserve">케미 좋다 </t>
    </r>
    <r>
      <rPr>
        <sz val="11"/>
        <color rgb="FF000000"/>
        <rFont val="Calibri"/>
        <family val="0"/>
        <charset val="1"/>
      </rPr>
      <t xml:space="preserve">'' `` . Sports Chosun ( in Korean ) .   Jump up ^ `` ( </t>
    </r>
    <r>
      <rPr>
        <sz val="11"/>
        <color rgb="FF000000"/>
        <rFont val="Noto Sans CJK SC"/>
        <family val="2"/>
      </rPr>
      <t xml:space="preserve">현장 </t>
    </r>
    <r>
      <rPr>
        <sz val="11"/>
        <color rgb="FF000000"/>
        <rFont val="Calibri"/>
        <family val="0"/>
        <charset val="1"/>
      </rPr>
      <t xml:space="preserve">)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이태환 </t>
    </r>
    <r>
      <rPr>
        <sz val="11"/>
        <color rgb="FF000000"/>
        <rFont val="Calibri"/>
        <family val="0"/>
        <charset val="1"/>
      </rPr>
      <t xml:space="preserve">, `` </t>
    </r>
    <r>
      <rPr>
        <sz val="11"/>
        <color rgb="FF000000"/>
        <rFont val="Noto Sans CJK SC"/>
        <family val="2"/>
      </rPr>
      <t xml:space="preserve">실제 는 </t>
    </r>
    <r>
      <rPr>
        <sz val="11"/>
        <color rgb="FF000000"/>
        <rFont val="Calibri"/>
        <family val="0"/>
        <charset val="1"/>
      </rPr>
      <t xml:space="preserve">95 </t>
    </r>
    <r>
      <rPr>
        <sz val="11"/>
        <color rgb="FF000000"/>
        <rFont val="Noto Sans CJK SC"/>
        <family val="2"/>
      </rPr>
      <t xml:space="preserve">년생 </t>
    </r>
    <r>
      <rPr>
        <sz val="11"/>
        <color rgb="FF000000"/>
        <rFont val="Calibri"/>
        <family val="0"/>
        <charset val="1"/>
      </rPr>
      <t xml:space="preserve">, 30 </t>
    </r>
    <r>
      <rPr>
        <sz val="11"/>
        <color rgb="FF000000"/>
        <rFont val="Noto Sans CJK SC"/>
        <family val="2"/>
      </rPr>
      <t xml:space="preserve">대 역할 부담 없다면 거짓말 </t>
    </r>
    <r>
      <rPr>
        <sz val="11"/>
        <color rgb="FF000000"/>
        <rFont val="Calibri"/>
        <family val="0"/>
        <charset val="1"/>
      </rPr>
      <t xml:space="preserve">'' `` . SE Daily ( in Korean ) . May 30 , 2018 .   Jump up ^ `` AGB Daily Ratings : this links to current day - select the date from drop down menu '' . AGB Nielsen Media Research ( in Korean ) . Retrieved January 16 , 2018 .   Jump up ^ `` Watch ' What 's Wrong with Secretary Kim ' now on iflix '' . The Daily Mirror . June 15 , 2018 . Retrieved 17 July 2018 .   Jump up ^ `` WHAT 'S WRONG WITH SECRETARY KIM '' . tvN Asia . Retrieved July 17 , 2018 .   Jump up ^ https://twitter.com/KapamilyaNovela/status/1026438167958671361    External links ( edit )    Official website ( in Korean )   What 's Wrong with Secretary Kim at HanCinema   What 's Wrong with Secretary Kim webtoon at TappyToon      tvN : Wednesday - Thursday dramas     Previous program   What 's Wrong with Secretary Kim ( June 6 -- July 26 , 2018 )   Next program     My Mister ( March 21 -- May 17 , 2018 )   Familiar Wife ( August 1 , 2018 )               tvN 's Wednesday -- Thursday dramas     2000s     Hyena   Manny   Mermaid Story   Romance Hunter   The Great Catsby         2010 -- 2014     Twelve Men in a Year   Queen In - hyun 's Man   I Need Romance 2012   The 3rd Hospital   The Blue Tower   Fantasy Tower   The Blue Tower ZERO   The Blue Tower Return   She Is Wow   Let 's Eat   The Idle Mermaid       2017 -- 2018     Criminal Minds   Avengers Social Club   Prison Playbook   Mother   My Mister   What 's Wrong with Secretary Kim   Familiar Wife   Hundred Million Stars From the Sky   Boyfriend                 Works by Studio Dragon     As producer     Another Miss Oh   Dear My Friends   Squad 38   The Good Wife   On the Way to the Airport   Woman with a Suitcase   Entourage   Legend of the Blue Sea   Circle   My Golden Life   Bravo My Life   Drama Stage   Children of a Lesser God   The Guest   Hundred Million Stars From the Sky   Love Alarm       As creator / developer     Hey Ghost , Let 's Fight   Cinderella with Four Knights   The K2   Guardian : The Lonely and Great God   Voice   Introverted Boss   Tomorrow , With You   The Liar and His Lover   Tunnel   Chicago Typewriter   Duel   Stranger   The Bride of Habaek   Criminal Minds   Save Me   Live Up to Your Name   Argon   Black   Revolutionary Love   Because This is My First Life   Avengers Social Club   The Most Beautiful Goodbye   Bad Guys 2   A Korean Odyssey   Mother   Cross   Live   My Mister   Mistress   About Time   What 's Wrong with Secretary Kim   Life on Mars   Mr. Sunshine   Familiar Wife   Voice 2   Player   100 Days My Prince   Tale of Gyeryong Fairy   Boyfriend      Retrieved from `` https://en.wikipedia.org/w/index.php?title=What%27s_Wrong_with_Secretary_Kim&amp;oldid=854711108 '' Categories :   Korean - language television programs   TVN ( South Korea ) television dramas   2018 South Korean television series debuts   2010s South Korean television series   Television series by Studio Dragon   South Korean romantic comedy television series   Television programs based on South Korean novels   2018 South Korean television series endings   Hidden categories :   CS1 Korean - language sources ( ko )   Articles containing Korean - language text   Articles with hAudio microformats   Album infoboxes lacking a cover   Music infoboxes with deprecated parameters   Track listings with input errors   Articles with Korean - language external links   HanCinema drama ID not in Wikidata           Talk                                           Contents                   About Wikipedia                                           Español   </t>
    </r>
    <r>
      <rPr>
        <sz val="11"/>
        <color rgb="FF000000"/>
        <rFont val="Noto Sans CJK SC"/>
        <family val="2"/>
      </rPr>
      <t xml:space="preserve">한국어   </t>
    </r>
    <r>
      <rPr>
        <sz val="11"/>
        <color rgb="FF000000"/>
        <rFont val="Calibri"/>
        <family val="0"/>
        <charset val="1"/>
      </rPr>
      <t xml:space="preserve">Bahasa Indonesia   Tiếng Việt   </t>
    </r>
    <r>
      <rPr>
        <sz val="11"/>
        <color rgb="FF000000"/>
        <rFont val="Noto Sans CJK SC"/>
        <family val="2"/>
      </rPr>
      <t xml:space="preserve">吴语   中文   </t>
    </r>
    <r>
      <rPr>
        <sz val="11"/>
        <color rgb="FF000000"/>
        <rFont val="Calibri"/>
        <family val="0"/>
        <charset val="1"/>
      </rPr>
      <t xml:space="preserve">Edit links   This page was last edited on 13 August 2018 , at 07 : 45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</si>
  <si>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does episode 5 of what's wrong with secretary kim come out</t>
  </si>
  <si>
    <t xml:space="preserve">   Episode #   Original broadcast date   Average audience share     AGB Nielsen Ratings   TNmS Ratings     Nationwide   Seoul       June 6 , 2018   5.757 %   6.446 %   6.3 %       June 7 , 2018   5.403 %   5.529 %   5.6 %       June 13 , 2018   6.950 %   8.252 %   8.3 %       June 14 , 2018   6.379 %   6.945 %   6.3 %     5   June 20 , 2018   6.855 %   7.500 %   7.0 %     6   June 21 , 2018   7.687 %   8.554 %   7.7 %     7   June 27 , 2018   7.281 %   8.201 %   8.5 %     8   June 28 , 2018   8.120 %   9.326 %   8.3 %     9   July 4 , 2018   7.767 %   9.428 %   8.8 %     10   July 5 , 2018   8.403 %   9.545 %   9.2 %     11   July 11 , 2018   8.665 %   10.565 %   10.6 %     12   July 12 , 2018   8.393 %   10.052 %   9.7 %     13   July 18 , 2018   7.673 %   8.717 %   8.7 %     14   July 19 , 2018   8.100 %   9.506 %   9.2 %     15   July 25 , 2018   7.107 %   7.725 %   8.0 %     16   July 26 , 2018   8.602 %   10.001 %   9.8 %     Average   7.446 %   8.518 %   8.3 %   </t>
  </si>
  <si>
    <t xml:space="preserve">Władysław Sikorski - wikipedia  Władysław Sikorski  Jump to : navigation , search    General Władysław Sikorski             29th Prime Minister of Poland 1st Prime Minister of the Polish Government in Exile     In office 30 September 1939 -- 4 July 1943     President   Władysław Raczkiewicz     Preceded by   Felicjan Sławoj Składkowski ( in country )     Succeeded by   Stanisław Mikołajczyk     10th Prime Minister of Poland 9th Prime Minister of the Second Republic of Poland     In office 16 December 1922 -- 26 May 1923     President   Maciej Rataj ( interim ) , Stanisław Wojciechowski     Preceded by   Julian Nowak     Succeeded by   Wincenty Witos     General Inspector of the Armed Forces 3rd General Inspector of the Armed Forces     In office 7 November 1939 -- 4 July 1943     President   Władysław Raczkiewicz     Preceded by   Edward Śmigły - Rydz     Succeeded by   Kazimierz Sosnkowski         Personal details       Władysław Eugeniusz Sikorski ( 1881 - 05 - 20 ) 20 May 1881 Tuszów Narodowy , Austria - Hungary       4 July 1943 ( 1943 - 07 - 04 ) ( aged 62 ) Gibraltar     Political party   Independent     Spouse ( s )   Olga Helena Zubrzewska ( 1888 -- 1972 )     Children   Zofia Leśniowska ( 1912 -- 1943 )     Profession   Soldier , Statesman     Awards   Virtuti Militari     Signature       Military service     Allegiance   Second Polish Republic     Service / branch   Polish Legions Polish Army     Years of service   1914 -- 1928 1939 -- 1943     Rank   Lieutenant General     Commands   9th Infantry Division     Battles / wars    First World War Polish -- Soviet War    Battle of Warsaw   Battle of Lwów   Battle of Niemen   Second World War     Władysław Eugeniusz Sikorski ( Polish pronunciation : ( vwaˈdɨswaf ɕiˈkɔrskji ) ( listen ) ; 20 May 1881 -- 4 July 1943 ) was a Polish military and political leader .   Prior to the First World War , Sikorski established and participated in several underground organizations that promoted the cause of the independence of Poland from the Russian Empire . He fought with distinction in the Polish Legions during the First World War , and later in the newly created Polish Army during the Polish -- Soviet War of 1919 to 1921 . In that war he played a prominent role in the decisive Battle of Warsaw ( 1920 ) . In the early years of the Second Polish Republic , Sikorski held government posts , including serving as Prime Minister ( 1922 to 1923 ) and as Minister of Military Affairs ( 1923 to 1924 ) . Following Józef Piłsudski 's May Coup of 1926 and the installation of the Sanacja government , he fell out of favor with the new régime .   During the Second World War , Sikorski became Prime Minister of the Polish Government in Exile , Commander - in - Chief of the Polish Armed Forces , and a vigorous advocate of the Polish cause in the diplomatic sphere . He supported the reestablishment of diplomatic relations between Poland and the Soviet Union , which had been severed after the Soviet pact with Germany and the 1939 invasion of Poland -- however , Soviet leader Joseph Stalin broke off Soviet - Polish diplomatic relations in April 1943 following Sikorski 's request that the International Red Cross investigate the Katyń Forest massacre .   In July 1943 , a plane carrying Sikorski plunged into the sea immediately after takeoff from Gibraltar , killing all on board except the pilot . The exact circumstances of Sikorski 's death have been disputed and have given rise to a number of different theories surrounding the crash and his death . Sikorski had been the most prestigious leader of the Polish exiles , and his death was a severe setback for the Polish cause .     Contents  ( hide )   1 Early life and First World War   2 War with the Bolsheviks   2.1 Polish -- Ukrainian war   2.2 Polish -- Soviet war     3 In government and in opposition   4 Prime Minister in exile   5 Katyn revelation and death   6 Aftermath and remembrance   7 Controversy surrounding his death   8 Honours and awards   9 Works   10 See also   11 Notes   12 References   13 Further reading   13.1 Other sources     14 External links      Early life and first World War ( edit )   Sikorski was born in Tuszów Narodowy , Galicia , at the time part of the Austro - Hungarian Empire . He was the third child in his family ; his father was Tomasz Sikorski , a school teacher ; his mother was Emilia Habrowska . His grandfather , Tomasz Kopaszyna Sikorski , had fought and been wounded at the Battle of Olszynka Grochowska in the November Uprising , during which he received the Virtuti Militari medal .  Sikorski in his youth  Sikorski attended the gimnazjum in Rzeszów ( now Konarski 's High School in Rzeszów ) from 1893 to 1897 , then transferred for a year to a Rzeszów teachers ' college . In 1899 he attended the Lwów Franciszek Józef Gymnasium , and in 1902 he passed his final high school exam there . Starting that year , young Sikorski studied engineering at the Lwów Polytechnic , specializing in road and bridge construction , and graduated in 1908 with a diploma in hydraulic engineering . In 1906 Sikorski volunteered for a year 's service in the Austro - Hungarian army and attended the Austrian Military School , obtaining an officer 's diploma and becoming an army reserve second lieutenant ( podporucznik rezerwy ) . In 1909 he married Helena Zubczewska , whom he met while at the high school in Lwów . In 1912 they had a daughter , Zofia . After graduation he lived in Leżajsk and worked for the Galician administration 's hydraulic engineering department , working on the regulation of the San river , and later was involved in private enterprises related to construction , real estate and petroleum trade .   During his studies at the Polytechnic , Sikorski became involved in the People 's School Association ( Towarzystwo Szkoły Ludowej ) , an organization dedicated to spreading literacy among the rural populace . Around 1904 -- 1905 he was briefly involved with the endecja Association of the Polish Youth `` Zet '' , and then drifted towards paramilitary socialist organizations related to the Polish Socialist Party , which was intent on securing Polish independence . He made contact with the socialist movement around 1905 -- 1906 through the Union for the Resurrection of the Polish Nation ( Związek Odrodzenia Narodu Polskiego ) . In 1908 , in Lwów , Sikorski -- together with Józef Piłsudski , Marian Kukiel , Walery Sławek , Kazimierz Sosnkowski , Witold Jodko - Narkiewicz and Henryk Minkiewicz -- organized the secret Union for Active Struggle ( Związek Walki Czynnej ) , with the aim of bringing about an uprising against the Russian Empire , one of Poland 's three partitioners . In 1910 , likewise in Lwów , Sikorski helped to organize a Riflemen 's Association ( the Związek Strzelecki ) , became the president of its Lwów chapter , and became responsible for the military arm within the Commission of Confederated Independence Parties ( Komisja Skonfederowanych Stronnictwo Niepodległościowych , KSSN ) . Having a military education , he lectured other activists on military tactics .   Upon the outbreak of the First World War in July 1914 , Sikorski was mobilized , but through KSSN influence he was allowed to participate in the organizing of the Polish military units , rather than being delegated to other duties by the Austro - Hungarian military command . In the first few weeks of the war he became the chief of the Military Department in the Supreme National Committee ( Naczelny Komitet Narodowy , NKN ) and remained in this post until 1916 . He was a commissioner in charge of the recruitment to the Polish Legions in Kraków , choosing this role over the opportunity to serve in the Legions as a frontline commander . On 30 September 1914 he was promoted to podpułkownik ( lieutenant colonel ) , and soon after that he became the commander of a Legions officer school ( Szkoła Podchorążych ) . The Legions -- the army created by Józef Piłsudski to liberate Poland from Russian and , ultimately , Austro - Hungarian and German rule -- initially fought in alliance with Austria - Hungary against Russia . From August 1915 there was growing tension between Sikorski , who advocated cooperation with Austria - Hungary , and Piłsudski , who felt that Austria - Hungary and Germany had betrayed the trust of the Polish people . In 1916 Piłsudski actively campaigned to have the Military Department of NKN disbanded . In July that year , Sikorski was promoted to pułkownik ( colonel ) . Following the Act of 5th November ( 1916 ) , Sikorski became involved with the Legions ' alternatives , the Polish Auxiliary Corps and Polnische Wehrmacht . In June 1917 Piłsudski refused Austro - Hungarian orders to swear loyalty to the Habsburg Emperor ( the `` oath crisis '' ) and was interned at the fortress of Magdeburg , while Sikorski abandoned Polnische Wehrmacht and returned to the Austro - Hungarian Army . In 1918 , however , following the February Treaty of Brest - Litovsk and the battle of Rarańcza , Sikorski chose belatedly to side with Piłsudski , announcing solidarity with his actions , protesting against planned separation of Chełm Land from the planned Polish state , and thus soon joined Piłsudski in internment ( he would be held in Dulfalva ( Dulovo ) ) . Nonetheless , this was not enough to smooth the differences between him and Piłsudski , and these two major Polish leaders would drift farther apart in the continuing years .   War with the bolsheviks ( edit )   Polish -- Ukrainian War ( edit )  Sikorski in 1918  In 1918 the Russian , Austro - Hungarian and German empires collapsed , and Poland once again became independent , but the borders of the Second Polish Republic were not fully determined and unstable . In the east they would be formed in the escalating conflicts among Polish , Ukrainian , Lithuanian and Soviet forces in what culminated in the Polish -- Soviet War ( 1919 -- 1921 ) . Winston Churchill commented : `` The war of giants has ended , the wars of the pygmies began . '' Bolshevik leaders saw Poland as a bridge that the communist revolution will have to force to bring communism to the West , and Poland 's very existence would soon be at stake .   Polish -- Soviet War ( edit )   After his release from internment , from 1 May 1918 Sikorski worked for the Regency Council , organizing the new Polish Army . He was soon at the frontlines again , this time in the Polish -- Ukrainian War , where troops under his command secured and defended Przemyśl in October -- November 1918 .   Polish independence came in November 1918 with the formation of the Second Republic of Poland . In the course of the Polish -- Ukrainian War , and in the opening phase of the Polish -- Soviet War , Sikorski , now a high - ranking officer of the Polish Army was involved in further operations in the Galicia region . In January 1919 he commanded troops defending Gródek Jagielloński ; in March that year he commanded an infantry division , advancing to Stawczany and Zbrucz . From 1 August 1918 Sikorski commanded the Polesie Group , and the Polish 9th Infantry Division . In order to curtail excesses of the forces under his command , he oversaw trials of 36 officers . His forces took Mozyr and Kalenkowicze in March 1920 , and he would command the Polesie Group during Poland 's Kiev offensive in April 1920 , advancing to Dniepr river and Chernobyl region . On April 1 that year he was promoted to brigade general .   As the Polish -- Soviet War grew in intensity , in late April 1920 the Red Army of Russia 's new Soviet regime pushed back Polish forces and invaded Poland . Subsequently , Sikorski successfully defended Mozyr and Kalenkowicze until 29 June , but later failed to hold the Brest fortress , although he defended it long enough to allow the Polish forces in the region to retreat in an orderly manner . On 6 August he was named the commander of the newly formed Polish 5th Army , which was tasked with holding the front to the north of Modlin , between Narew and Wkra rivers . He distinguished himself commanding the 5th Army on the Lower Vistula front during the Battle of Warsaw . At that time Soviet forces , expecting an easy final victory , were surprised and crippled by the Polish counter-attack . During that battle ( sometimes referred to as `` the Miracle at the Vistula '' ) Sikorski stopped the Bolshevik advance north of Warsaw and gave Piłsudski , the Polish commander - in - chief , the time he needed for his counter-offensive ; beginning with the 15 August his forces successfully engaged the Soviet 5th and 15th Armies . After the Battle of Warsaw , from 30 August , Sikorski commanded the 3rd Army . His forces took Pińsk , and fought during the latter stages of the Battle of Lwów and the Battle of Zamość , and then after Battle of Niemen advanced with his forces toward Latvia and deep into Belarus . The Poles defeated the Soviets , and the Polish -- Soviet Treaty of Riga ( March 1921 ) gave Poland substantial areas of Belarus and Ukraine 's ( Kresy ) . Sikorski 's fame was enhanced as he became known to the Polish public as one of the heroes of the Polish -- Soviet War . He also kept publishing military science articles during the war itself . For his valorous achievements Sikorski was promoted to divisional general on 28 February 1921 , and was awarded Poland 's highest military decoration , the order of Virtuti Militari , on 15 March that year .   In government and in opposition ( edit )  Sikorski in 1923 Sikorski with Marshal of France Ferdinand Foch ( 1923 )  Despite their differences , Piłsudski praised Sikorski in his reports , recommending him for Chief of the General Staff and Minister of War positions ; only generals Kazimierz Sosnkowski and Edward Rydz - Śmigły received better evaluations from him . Sikorski was popular among many soldiers , and in politics , particularly appealing to Polish conservatives and liberals . On 1 April 1921 Sikorski replaced general Tadeusz Jordan - Rozwadowski as the chief of the Polish General Staff . Between 1922 and 1925 he held a number of high government offices . Based on his analysis , the Polish Council of Ministers adopted new foreign policy that would remain roughly unchanged until the late 1930s ( preserving the status quo in Europe , and treating Germany and Russia as equal sources of potential threat ) . On 12 December 1922 he issued a general order , stressing the need for the military to stay out of politics . After the assassination of President of Poland Gabriel Narutowicz on 16 December 1922 , the Marshal of the Sejm ( Sejm being the Polish parliament ) , Maciej Rataj , appointed Sikorski prime minister . From December 18 , 1922 , to May 26 , 1923 , Sikorski served as Prime Minister and also as Minister of Internal Affairs , and was even considered as possible President . During his brief tenure as prime minister , he became popular with the Polish public and carried out essential reforms in addition to guiding the country 's foreign policy in a direction that gained the approval and cooperation of the League of Nations and tightened Polish - French cooperation . He obtained recognition of Poland 's eastern frontiers from the UK , France and the United States during the Conference of Ambassadors on 15 March 1923 He aided Treasury Minister Władysław Grabski 's reforms aiming at curtailing inflation and reforming the currency , and supported ethnic minorities . His government nonetheless lost support in the Sejm and resigned on 26 May 1923 .   From 30 September 1923 to 1924 he held the post of Chief Inspector of Infantry ( Generalny Inspektor Piechoty ) . From 17 February 1924 to 1925 , under Prime Minister Grabski , he was Minister of Military Affairs and guided the modernization of the Polish military ; he also created the Korpus Ochrony Pogranicza . He worked actively to promote the cause of the Polish - French military alliance . His proposal to increase the powers of the Minister of Military Affairs while reducing those of the Chief Inspector of the Armed Forces met with sharp disapproval from Piłsudski , who at that time was gathering many opponents of the current government . From 1925 to 1928 Sikorski commanded Military Corps District ( Okręg Korpusu ) VI in Lwów .   A democrat and supporter of the Sejm , Sikorski declared his opposition to Józef Piłsudski 's May coup d'état in 1926 ; however he remained in Lwów , refused to dispatch his forces , and played no significant role in the short struggle surrounding the coup . In 1928 he was relieved by Piłsudski of his command , and while he remained on active service , he received no other posting . That year also saw the publication of his book on the Polish -- Soviet War , Nad Wisłą i Wkrą . Studium do polsko -- radzieckiej wojny 1920 roku ( At the Vistula and the Wkra Rivers : a Contribution to the Study of the Polish -- Soviet War of 1920 ) . He would spend the following years studying military theory , publishing works on military theory , history and foreign policy . His most famous work was his 1934 book Przyszła wojna -- jej możliwości i charakter oraz związane z nimi zagadnienia obrony kraju ( lit . War in the Future : Its Capacities and Character and Associated Questions of National Defense , published in English in as Modern warfare . Its character , its problems in 1943 ) , in which he predicted the return of the maneuver warfare . He wrote several other books and many articles , foreseeing , among other things , the rapid militarization of Germany .   In due course , soon after he was relieved of his command , and as a semi-dictatorial Sanacja regime was established , Sikorski joined the anti-Piłsudski opposition . Sikorski largely withdrew from politics , spending much of his time in Paris , France , and working with the French Ecole Superieure de Guerre ( war college ) . Even after the death of Piłsudski in 1935 , he was still marginalized , politically and militarily , by Piłsudski 's successors . In February next year , together with several prominent Polish politicians ( Wincenty Witos , Ignacy Paderewski , and General Józef Haller ) he joined the Front Morges , an anti-Sanacja political grouping .   Prime Minister in exile ( edit )  Sikorski ( left ) with Polish General Marian Kukiel , Clementine and Winston Churchill , and Polish ambassador Count Edward Raczyński  In the days before Poland was invaded by Germany in September 1939 , and during the invasion itself , Sikorski 's request for a military command continued to be denied by the Polish Commander in Chief , Marshal Edward Rydz - Śmigły . Sikorski escaped through Romania to Paris , where on 28 September he joined Władysław Raczkiewicz and Stanisław Mikołajczyk in a Polish government - in - exile , taking command of the newly formed Polish Armed Forces in France . Two days later , on September 30 , president Raczkiewicz called him to serve as the first Polish prime minister in exile . On 7 November he became Commander in Chief and General Inspector of the Armed Forces ( Naczelny Wódz i Generalny Inspektor Sił Zbrojnych ) , following Rydz - Śmigły 's resignation . Sikorski would also hold the position of the Polish Minister of Military Affairs , thus uniting in his person all control over the Polish military in war time .   During his years as prime minister in exile , Sikorski personified the hopes and dreams of millions of Poles , as reflected in the saying , `` When the sun is higher , Sikorski is nearer '' ( Polish : `` Gdy słoneczko wyżej , to Sikorski bliżej '' ) . At the same time , from early on he had to work to reconcile the pro - and anti-Piłsudski's factions .   His government was recognized by the western Allies . Nonetheless Sikorski 's government struggled to get its point of view heard by France and the United Kingdom . The western Allies refused to recognize the Soviet Union as an aggressor , despite the Soviet invasion of Poland on 17 September 1939 . Furthermore , he struggled to secure resources needed to recreate the Polish Army in exile .   Poland , even with its territories occupied , still commanded substantial armed forces : the Polish Navy had sailed to Britain , and many thousands of Polish troops had escaped via Romania and Hungary or across the Baltic Sea . Those routes would be used until the end of the war by both interned soldiers and volunteers from Poland , who jocularly called themselves `` Sikorski 's tourists '' and embarked on their dangerous journeys , braving death or imprisonment in concentration camps if caught by the Germans or their allies . With the steady flow of recruits , the new Polish Army was soon reassembled in France and in French - mandated Syria . In addition to that , Poland had a large resistance movement , and Sikorski 's policies included founding of the Związek Walki Zbrojnej ( Union of Armed Struggle ) , later transformed into Armia Krajowa ( Home Army ) , and creation of the Government Delegation for Poland position , to supervise the Polish Underground State in occupied Poland .   In 1940 the Polish Highland Brigade took part in the Battle of Narvik ( Norway ) , and two Polish divisions participated in the defense of France , while a Polish motorized brigade and two infantry divisions were in process of forming . A Polish Independent Carpathian Brigade was created in French - mandated Syria . The Polish Air Force in France had 86 aircraft with one and a half of the squadrons fully operational , and the remaining two and a half in various stages of training . Although many Polish personnel had died in the fighting or had been interned in Switzerland following the fall of France , General Sikorski refused French Marshal Philippe Pétain 's proposal of a Polish capitulation to Germany . On June 19 , 1940 , Sikorski met with British Prime Minister Winston Churchill and promised that Polish forces would fight alongside the British until final victory . Sikorski and his government moved to London and were able to evacuate many Polish troops to Britain . After the signing of a Polish - British Military Agreement on August 5 , 1940 , they proceeded to build up and train the Polish Armed Forces in the West . Experienced Polish pilots took part in the Battle of Britain , where the Polish 303 Fighter Squadron achieved the highest number of kills of any Allied squadron . Sikorski 's Polish forces would form one of the most significant Allied contingents .  Sikorski ( left ) with Andrew McNaughton , Winston Churchill and Charles de Gaulle Władysław Anders and Sikorski with Joseph Stalin ( 1941 )  The Fall of France weakened Sikorski 's position , and his proposal to consider building a new Polish army in the Soviet - occupied territories led to much criticism from within the Polish community in exile . On 19 July Raczkiewicz dismissed him from his position as the Prime Minister , replacing him with August Zaleski , however within days pressure from Sikorski 's sympathizers , including the British government , made Raczkiewicz reconsider his decision , and Sikorski was reinstated as the Prime Minister on 25 July .   One of Sikorski 's political goals was the creation of a Central and Eastern European federation , starting with the Polish - Czechoslovakian confederation . He saw such an organization as necessary if smaller states were to stand up to traditional German and Russian imperialism . That concept , although ultimately futile , gained some traction around that time , as Sikorski and Edvard Beneš from the Czechoslovak government - in - exile , signed an agreement declaring the intent to pursue closer cooperation on 10 November that year . On 24 December 1940 Sikorski was promoted to generał broni . In March 1941 he visited the United States ; he would visit USA again in March and December 1942 .   Following the German invasion of the Soviet Union ( `` Operation Barbarossa '' ) in June 1941 , Sikorski opened negotiations with the Soviet ambassador to London , Ivan Maisky , to re-establish diplomatic relations between Poland and the Soviet Union , which had been broken off after the Soviet invasion of Poland in September 1939 . In December that year , Sikorski went to Moscow with a diplomatic mission . The Polish Government reached an agreement with the Soviet Union ( the Sikorski - Maisky Pact of 17 August 1941 ) , confirmed by Joseph Stalin in December of that year . Stalin agreed to invalidate the September 1939 Soviet - German partition of Poland , declare the Russo - German Molotov - Ribbentrop Pact of August 1939 null and void , and release tens of thousands of Polish prisoners - of - war held in Soviet camps . Pursuant to an agreement between the Polish government - in - exile and Stalin , the Soviets granted `` amnesty '' to many Polish citizens , from whom a new army ( the Polish II Corps ) was formed under General Władysław Anders and later evacuated to the Middle East , where Britain faced a dire shortage of military forces . The whereabouts of thousands more Polish officers , however , would remain unknown for two more years , and this would weigh heavily on both Polish -- Soviet relations and on Sikorski 's fate .   Initially , Sikorski supported the Polish -- Soviet rapprochement , which reignited criticism of his person from some Polish factions . Nonetheless , Sikorski soon realized that the Soviet Union had plans for Polish territories , which would be unacceptable to Polish public . The Soviets began their diplomatic offensive after their first major military victory in the Battle of Moscow , and intensified this policy after the battle of Stalingrad , showing less and less regard for their deals with Poland . In January 1942 British diplomat Stafford Cripps informed General Sikorski that while Stalin planned to extend Polish borders to the west , by giving Poland Germany 's East Prussia , he also wanted to considerably push Poland 's eastern frontier westwards , along the lines of the Versailles concept of the Curzon Line , and acquire Lwów and Wilno , if not both . Sikorksi 's stance on eastern borders was not inflexible ; he noted in some documents that some concessions might be acceptable , however , giving up both Lwów and Wilno was not .   Katyn revelation and death ( edit )  Main articles : Katyn massacre and 1943 B - 24 crash in Gibraltar  In 1943 the fragile relations between the Soviet Union and the Polish government - in - exile finally reached their breaking point when , on April 13 , the Germans announced via the Katyn Commission the discovery of the bodies of 20,000 Polish officers who had been murdered by the Soviets and buried in Katyn Forest , near Smolensk , Russia . Stalin claimed that the atrocity had been carried out by the Germans , while Nazi propaganda orchestrated by Joseph Goebbels successfully exploited the Katyn massacre to drive a wedge between Poland , the Western Allies and the Soviet Union . The Soviet Union , and subsequently Russia , did not acknowledge responsibility for this and similar massacres of Polish officers until the 1990s .   When Sikorski refused to accept the Soviet explanation and requested an investigation by the International Red Cross on April 16 , the Soviets accused the government - in - exile of cooperating with Nazi Germany and broke off diplomatic relations on April 25 .   Beginning in late May 1943 , Sikorski began visiting Polish forces stationed in the Middle East . In addition to inspecting the forces and raising morale , Sikorski was also occupied with political matters ; around that time , a conflict was growing between him and General Władysław Anders , as Sikorski was still open to some normalization of Polish -- Soviet relations , to which Anders was vehemently opposed . On 4 July 1943 , while Sikorski was returning from an inspection of Polish forces deployed in the Middle East , he was killed , together with his daughter , his Chief of Staff , Tadeusz Klimecki , and seven others , when his plane , a Liberator II , serial AL523 , crashed into the sea 16 seconds after takeoff from Gibraltar Airport at 23 : 07 hours . The crash was attributed to cargo on the plane shifting to the back upon takeoff . Only the pilot , Eduard Prchal ( 1911 -- 1984 ) , survived the crash . Sikorski was subsequently buried in a brick - lined grave at the Polish War Cemetery in Newark - on - Trent , England on 16 July that year . Winston Churchill delivered a eulogy at his funeral . On 14 September 1993 , his remains were exhumed and transferred via Polish Air Force TU - 154M , and escorted by RAF 56 Sqn Tornado F3 jets , to the royal crypts at Wawel Castle in Kraków , Poland .   Aftermath and Remembrance ( edit )  Biuletyn Informacyjny from July 15 , 1943 informing about the death of general Władysław Sikorski and ordering a national day of mourning  Immediately after the crash , a Polish officer who had witnessed the event from the airstrip began sobbing quietly and repeating : `` This is the end of Poland . This is the end of Poland . '' ( `` To Polska stracona ! '' ) General Sikorski 's death marked a turning point for Polish influence amongst the Anglo - American allies . No Pole after him would have much sway with the Allied politicians . Sikorski had been the most prestigious leader of the Polish exiles and his death was a severe setback for the Polish cause . After the Soviets had broken off diplomatic relations with Sikorski 's government in April 1943 , in May and June Stalin had recalled several Soviet ambassadors for `` consultations '' : Maxim Litvinov from Washington , Fyodor Gusev from Montreal , and Ivan Maisky from London . While Churchill had been publicly supportive of Sikorski 's government , reminding Stalin of his pact with Nazi Germany in 1939 and their joint attack on Poland , in secret consultations with Roosevelt he admitted that some concessions would have to be made by Poland to appease the powerful Soviets . The Polish -- Soviet crisis was beginning to threaten cooperation between the western Allies and the Soviet Union at a time when the Poles ' importance to the western Allies , essential in the first years of the war , was beginning to fade with the entry into the conflict of the military and industrial giants , the Soviet Union and the United States .   The Allies had no intention of allowing Sikorski 's successor , Stanisław Mikołajczyk , to threaten the alliance with the Soviets . No representative of the Polish government was invited to the Tehran Conference ( 28 November -- 1 December 1943 ) or the Yalta Conference ( 4 -- 11 February 1945 ) , the two crucial events in which the Western Allies and the Soviet Union discussed the shape of the post-war world and decided on the fate of Poland . Only four months after Sikorski 's death , in November 1943 , at Tehran , Churchill and Roosevelt agreed with Stalin that the whole of Poland east of the Curzon Line would be ceded to the Soviets . In Teheran , neither Churchill nor Roosevelt objected to Stalin 's suggestion that the Polish government in exile in London was not representing Polish interests ; as historian Anita Prażmowska noted , `` this spelled the end of that government 's tenuous influence and raison d'être . '' After the Teheran Conference , Stalin decided to create his own puppet government for Poland , and a Committee of National Liberation ( PKWN ) was proclaimed in the summer of 1944 . The Committee was recognized by the Soviet Government as the only legitimate authority in Poland , while Mikołajczyk 's Government in London , was termed by the Soviets an `` illegal and self - styled authority . '' Mikołajczyk would serve in the Prime Minister 's role until 24 November 1944 , when , realizing the increasing powerlessness of the government in exile , he resigned and was succeeded by Tomasz Arciszewski , `` whose obscurity '' , in the words of historian Mieczysław B. Biskupski , `` signaled the arrival of the government in exile at total inconsequentiality . '' Stalin soon began a campaign for recognition by the Western Allies of a Soviet - backed Polish government led by Wanda Wasilewska , a dedicated communist with a seat in the Supreme Soviet , with General Zygmunt Berling , commander of the 1st Polish Army in Russia , as commander - in - chief of all Polish armed forces . By the time of the Potsdam conference in 1945 , Poland has been relegated to the Soviet sphere of influence ; an abandonment of the Polish government in exile that has led to the rise of the Western betrayal concept .   A number of poems dedicated to Sikorski were written by Polish authors during the war . In its aftermath , in the People 's Republic of Poland , Sikorski 's historic role , like that of all the adherents of the London go</t>
  </si>
  <si>
    <t xml:space="preserve">who was the leader of poland in ww2</t>
  </si>
  <si>
    <t xml:space="preserve"> During the Second World War , Sikorski became Prime Minister of the Polish Government in Exile , Commander - in - Chief of the Polish Armed Forces , and a vigorous advocate of the Polish cause in the diplomatic sphere . He supported the reestablishment of diplomatic relations between Poland and the Soviet Union , which had been severed after the Soviet pact with Germany and the 1939 invasion of Poland -- however , Soviet leader Joseph Stalin broke off Soviet - Polish diplomatic relations in April 1943 following Sikorski 's request that the International Red Cross investigate the Katyń Forest massacre . </t>
  </si>
  <si>
    <t xml:space="preserve">Jurassic World : Fallen Kingdom - wikipedia  Jurassic World : Fallen Kingdom    2018 American science fiction adventure film    Jurassic World : Fallen Kingdom     Theatrical release poster     Directed by   J.A. Bayona     Produced by     Frank Marshall   Patrick Crowley   Belén Atienza       Written by     Derek Connolly   Colin Trevorrow       Based on   Characters by Michael Crichton     Starring     Chris Pratt   Bryce Dallas Howard   Rafe Spall   Justice Smith   Daniella Pineda   James Cromwell   Toby Jones   Ted Levine   B.D. Wong   Isabella Sermon   Geraldine Chaplin   Jeff Goldblum       Music by   Michael Giacchino     Cinematography   Óscar Faura     Edited by   Bernat Vilaplana     Production companies     Universal Pictures   Amblin Entertainment   The Kennedy / Marshall Company   Legendary Pictures   Perfect World Pictures       Distributed by   Universal Pictures     Release date     May 21 , 2018 ( 2018 - 05 - 21 ) ( WiZink Center )   June 22 , 2018 ( 2018 - 06 - 22 ) ( United States )             Running time   128 minutes     Country   United States     Language   English     Budget   $170 -- 187 million     Box office   $1.276 billion     Jurassic World : Fallen Kingdom is a 2018 American science fiction adventure film and the sequel to Jurassic World ( 2015 ) . Directed by J.A. Bayona , it is the fifth installment of the Jurassic Park film series , as well as the second installment of a planned Jurassic World trilogy . Derek Connolly and Jurassic World director Colin Trevorrow both returned as writers , with Trevorrow and original Jurassic Park director Steven Spielberg acting as executive producers .   Set on the fictional Central American island of Isla Nublar , off the Pacific coast of Costa Rica , it follows Owen Grady and Claire Dearing as they rescue the remaining dinosaurs on the island before a volcanic eruption destroys it . Chris Pratt , Bryce Dallas Howard , B.D. Wong , and Jeff Goldblum reprise their roles from previous films in the series , with Rafe Spall , Justice Smith , Daniella Pineda , James Cromwell , Toby Jones , Ted Levine , Isabella Sermon , and Geraldine Chaplin joining the cast .   Filming took place from February to July 2017 in the United Kingdom and Hawaii . Produced and distributed by Universal Pictures , Fallen Kingdom premiered in Madrid on May 21 , 2018 , and was released internationally in early June 2018 and in the United States on June 22 , 2018 . The film has grossed over $1.2 billion worldwide , making it the third Jurassic film to pass the mark , the third highest - grossing film of 2018 and the 13th highest - grossing film of all time . It received mixed reviews from critics , who praised Pratt 's performance , Bayona 's direction , the visuals , and the `` surprisingly dark moments '' , although many criticized the screenplay and lack of innovation , with some suggesting the series has run its course . An untitled sequel is set to be released on June 11 , 2021 , with Trevorrow returning to direct .   Contents    1 Plot   2 Cast   3 Production   3.1 Development   3.2 Pre-production   3.3 Writing   3.4 Casting   3.5 Filming   3.6 Creatures on screen     4 Marketing   5 Release   5.1 Home media     6 Reception   6.1 Box office   6.1. 1 United States and Canada   6.1. 2 Outside North America     6.2 Critical response     7 Sequel   8 References   9 External links    Plot   Shortly after the events of Jurassic World , a small team of mercenaries arrives on the abandoned Isla Nublar to collect DNA from the remains of the Indominus rex at the bottom of the park 's lagoon . After successfully collecting a bone fragment , the team 's survivors barely escape the island following attacks by the Mosasaurus and Tyrannosaurus rex .   Three years later in 2018 , a U.S. Senate hearing in Washington , D.C. debates whether Isla Nublar 's dinosaurs should be saved from an impending volcanic eruption . Mathematician Dr. Ian Malcolm testifies that the dinosaurs should be allowed to perish to correct John Hammond 's mistake of cloning them . Meanwhile , Jurassic World 's former operations manager Claire Dearing has established the Dinosaur Protection Group to save the animals . After the Senate rules against rescuing the dinosaurs , Hammond 's former partner , Benjamin Lockwood , summons Claire to his Northern California estate . Lockwood and his aide , Eli Mills , reveal a plan to relocate the dinosaurs to a new island sanctuary . Claire is needed to help reactivate the park 's dinosaur tracking system to locate the animals , particularly Blue , the last living Velociraptor . Although they are estranged , Claire recruits Jurassic World 's former Velociraptor trainer and Blue 's alpha , Owen Grady , to help capture her .   On Isla Nublar , Claire and former park technician Franklin Webb get the tracking system online . Owen , paleo - veterinarian Zia Rodriguez , and a mercenary team led by Ken Wheatley search for Blue . Upon finding her , the encounter escalates , resulting in a mercenary shooting Blue and Wheatley tranquilizing Owen . The mercenaries take Zia so she can treat Blue 's injury . Their ship departs for the U.S. mainland as the animals left behind die in the eruption . Claire , Franklin , and Owen sneak aboard in time and assist Zia in transfusing Blue with Tyrannosaurus blood . The group now realize the captured dinosaurs were never being transported to a new island and are for another purpose .   Back at the estate , Lockwood 's orphaned pre-teen granddaughter Maisie overhears Mills and auctioneer Gunnar Eversol secretly planning to auction the captured dinosaurs on the black market . They will also unveil the Indoraptor , a new genetically - engineered dinosaur created by geneticist Dr. Henry Wu using Indominus rex and Velociraptor DNA . Wu wants Blue 's DNA to create an enhanced Indoraptor , unaware that Blue 's blood is contaminated . After Maisie informs Lockwood about the auction , he confronts Mills , who murders him . Maisie is later revealed to have been cloned from Lockwood 's deceased daughter and is the reason John Hammond , who opposed human cloning , ended their partnership .   The dinosaurs are transported to Lockwood 's estate and caged . Zia and Franklin evade capture , but Owen and Claire are apprehended and confined . Owen incites a Stygimoloch into breaking open their cell . They find Maisie who leads them to the auction where the Indoraptor is being sold despite Wu 's protests that it is a prototype . Owen disrupts the proceedings by luring the Stygimoloch into the room . In the ensuing chaos , Wheatley tranquilizes the Indoraptor to extract a tooth as a trophy , but it feigns sedation and escapes , killing him , Eversol , and others . The Indoraptor hunts Owen , Claire , and Maisie throughout the mansion . Zia releases Blue , who attacks the Indoraptor , causing it to fall through a glass roof to its death .   When a hydrogen cyanide gas leak threatens the caged animals , Maisie is unable to let them die and frees them despite Owen 's warning . Mills is killed and the Indominus bone destroyed by the Tyrannosaurus . Owen , Claire , Maisie , Zia , and Franklin safely get away , while Blue and the other dinosaurs escape .   In a new U.S. Senate hearing , Dr. Malcolm declares the beginning of a Neo-Jurassic Age where humans and dinosaurs must learn to coexist . The closing scenes show the freed dinosaurs roaming wilderness and outer urban areas .   Cast  Main article : List of Jurassic Park characters   Chris Pratt as Owen Grady : A Navy veteran and former Velociraptor handler for Jurassic World .   Bryce Dallas Howard as Claire Dearing : Jurassic World 's former operations manager , now a dinosaur - rights activist , who has founded the Dinosaur Protection Group at San Francisco to save the surviving dinosaurs from Isla Nublar .   Rafe Spall as Eli Mills : Lockwood 's ambitious assistant who recruits Owen and Claire to rescue the dinosaurs . Speaking of his character 's actions over the course of the film , Spall noted that , `` Ambition is such a powerful emotion , you can get wrapped up in it and end up doing things in order to succeed . This character believes he is doing right . He has been entrusted with pushing Lockwood 's fortune into the future and making it survive after he dies . Mills feels he is simply doing what he was asked to do . ''   Justice Smith as Franklin Webb : A former IT technician for Jurassic World who is now the Dinosaur Protection Group 's systems analyst and hacker .   Daniella Pineda as Zia Rodriguez : A former Marine who is now the Dinosaur Protection Group 's paleoveterinarian .   James Cromwell as Sir Benjamin Lockwood : John Hammond 's former partner in developing the technology to clone dinosaurs .   Toby Jones as Gunnar Eversol : An auctioneer host at Lockwood Estate who sells the Isla Nublar dinosaurs for profit . In an interview , Jones likened his character to that of `` a rogue arms dealer ; he sees profits in selling these creatures as weapons . He is totally morally neutral about whatever he is selling . He is only interested in whether or not it will make him a profit . ''   Ted Levine as Ken Wheatley : A seasoned mercenary who commands the rescue operation on Isla Nublar .   B.D. Wong as Henry Wu : The former head geneticist of both Jurassic World and the original Jurassic Park . Speaking of his character 's actions , Wong stated : `` I do think he 's motivated by his love for science and his own ego , which is well supported by his massive achievements ... I think he turns a blind eye to the human suffering that comes as a result because he thinks he 's looking at some bigger picture . ''   Isabella Sermon as Maisie Lockwood : Lockwood 's juvenile granddaughter and legal ward following her parents ' deaths .   Geraldine Chaplin as Iris : The Lockwood Estate housekeeper , Maisie 's nanny , and protector of the Lockwood family 's secrets .   Jeff Goldblum as Ian Malcolm : An expert in chaos theory who once consulted for InGen 's Jurassic Park . In a podcast interview , Goldblum revealed of his role `` It 's small ... who knows , they may cut me out entirely ! But if I stay in , I 'll be a sprig of parsley or a little garnish , hopefully with some impact ! '' Director Bayona confirmed that Goldblum 's role is simply a cameo , stating , `` He does n't have a major role in the action but it 's definitely a very meaningful one in terms of the story . ''   Peter Jason as Senator Sherwood : A Senator who is among those who debate about saving the dinosaurs on Isla Nublar .    Production   Development   During early conversations on the 2015 film Jurassic World , executive producer Steven Spielberg told director Colin Trevorrow that he was interested in having several more films made . In April 2014 , Trevorrow announced that sequels had been discussed : `` We wanted to create something that would be a little bit less arbitrary and episodic , and something that could potentially arc into a series that would feel like a complete story . '' Trevorrow said Chris Pratt and Omar Sy might reprise their roles for the next few films and said he would direct the film if asked . Trevorrow later told Spielberg that he would only focus on directing one film in the series . In May 2015 , Trevorrow announced that he would not direct another film in the series : `` I would be involved in some way , but not as director . '' Trevorrow felt that different directors could bring different qualities to future films . Pratt had been signed for future films in the series , as was Ty Simpkins , who portrayed Gray in Jurassic World .   On June 3 , 2015 , Trevorrow stated that Jurassic World left many story possibilities open : `` I really like the idea that this group of geneticists are n't the only people who can make a dinosaur ( ... ) when you think of the differences between Apple and PC -- the minute something goes open - source , there are all kinds of entities and interests that may be able to utilize that technology . '' On June 8 , 2015 , Jurassic World producer Frank Marshall met with Trevorrow and Universal Pictures to discuss a sequel . Later that month , Trevorrow did not deny that the film could involve `` dinosaur soldiers '' and said the series is `` not always gon na be about a Jurassic Park '' , saying he felt that future films could explore the idea of dinosaurs and humans co-existing . Trevorrow also hinted that the next film may not involve the Jurassic World theme park and said he would be interested in seeing a Jurassic Park film made by one of several Spanish horror film directors , whose names he did not mention .   Pre-production   On July 23 , 2015 , Universal announced that a fifth film had been scheduled for a June 22 , 2018 , release date in the U.S. It was also announced that Trevorrow would write the script with his writing partner Derek Connolly , as they did for Jurassic World ; that the film would be produced by Frank Marshall ; and that Spielberg and Trevorrow would act as executive producers . Universal also said that Chris Pratt and Bryce Dallas Howard would reprise their roles from the previous film . At the time of the film 's announcement , Trevorrow said the series `` is n't always going to be limited to theme parks '' and confirmed that the film would not involve `` a bunch of dinosaurs chasing people on an island '' stating , `` That 'll get old real fast . '' Trevorrow also spoke of the film 's possible open - source storyline : `` It 's almost like InGen is Mac , but what if PC gets their hands on it ? What if there are 15 different entities around the world who can make a dinosaur ? ''   In August 2015 , Howard said that the script was being written , and it was announced that the film would be released in the UK two weeks early , on June 7 , 2018 . Later that year , B.D. Wong said he `` would be happy to return '' as Dr. Henry Wu , while Howard announced that filming would begin in 2017 . Howard also said she would be interested in seeing characters from earlier Jurassic Park films return for the fifth film , saying , `` I could see versions of the film where a lot of the characters come back . '' By October 2015 , director J.A. Bayona was being considered to direct the film , although he chose instead to direct the World War Z sequel , a project to which he had already signed on . In January 2016 , it was reported that Bayona could still be a candidate to direct the film after he dropped out of the World War Z sequel due to other commitments .   In March 2016 , London was being scouted as a possible filming location and setting for the film , and it was subsequently announced that filming would take place at a UK studio . On April 14 , 2016 , actor Jeff Goldblum said he had no plans to appear in the film as his character Ian Malcolm , although he said he was open to the possibility . On April 18 , 2016 , Bayona was announced as the film 's director , with Belén Atienza and Patrick Crowley joining Marshall as producers . Spielberg , Marshall , and Kathleen Kennedy had been impressed by Bayona 's 2012 film , The Impossible , and initially considered having him direct Jurassic World , but he declined as he felt there was not enough time for production . Trevorrow wanted Bayona to direct the film after seeing his 2007 horror film , The Orphanage . Before Bayona was hired , he met with Trevorrow and became enthused with the project after being shown the script 's second half , which would play out like a haunted house film . After Bayona was hired , Trevorrow said about the film , `` We 're moving it into new territory . J.A. Bayona is an incredible director and I know he 'll push the boundaries of what a ' Jurassic ' movie is . I think it 's important that we take risks . A franchise must evolve or perish . '' Trevorrow and Bayona worked closely throughout the film 's production . In June 2016 , actor Sam Neill was asked if he would return to the series as Dr. Alan Grant and responded , `` You never say never , but I think it 's moved on . It 's different times . ''   The film , under the working title of Ancient Futures , was in full pre-production as of July 2016 , with storyboards being designed . Andy Nicholson was hired as the film 's production designer and spent four weeks with Bayona in Barcelona , discussing reference pictures and background details , as well as Bayona 's ideas for the Lockwood mansion . Production was scheduled to begin in Hawaii in February 2017 . Wales was also confirmed as a filming location , including Brecon Beacons and Penbryn . Trevorrow stated that Hawaii would be used as a primary filming location , while U.K. shooting would be limited to studios , without the story taking place there . Trevorrow also said that the film would feature many dinosaurs that were not seen in previous films and denied that the film 's story would involve militarized dinosaurs , which would only be mentioned in the film .   For the film 's second half in which dinosaurs are transported by boat to the mainland , Ecuador and Peru had both been scouted as possible filming locations and settings , while Marshall thought that Cabo San Lucas would be ideal , but such locations ultimately did not work for the film 's story . Although the film was partially shot in England , Spielberg felt that the country was too far from the fictional Isla Nublar to be used as the in - film setting during the second half , as he and the producers did not want the film to focus too much time on a boat . Crowley stated , `` Rather than making it a movie about traveling on a boat , which is not very exciting , you needed to get to the place . ''   In September 2016 , Bayona confirmed that the film would be the second chapter in a planned Jurassic World trilogy . Later that year , Marshall said that Wong was `` probably going to come back , '' while Jurassic World composer Michael Giacchino confirmed that he would return to compose the fifth film . Óscar Faura was announced as the film 's cinematographer at the end of the year .   Writing   Although Spielberg was heavily involved in the development of ideas for Jurassic World , he had Trevorrow and Connolly devise their own ideas for the sequel , while retaining final approval on the project . In June 2015 , approximately two weeks after the theatrical release of Jurassic World , Trevorrow embarked on a road trip from Los Angeles back to his home state of Vermont . Connolly agreed to accompany Trevorrow on the trip so they could discuss a basic set of ideas that Trevorrow had for the film . During their eight - day trip , the writers began work on the script and devised the basic story . Trevorrow said the film 's story was inspired by a quote from Dr. Alan Grant in the first film : `` Dinosaurs and man , two species separated by 65 million years of evolution , have suddenly been thrown back into the mix together . How can we possibly have the slightest idea of what to expect ? '' Trevorrow also said that the story was heavily inspired by the idea that , `` A mistake made a long time ago just ca n't be undone . ''   The film is also based on concepts from Michael Crichton 's novel Jurassic Park ( 1990 ) and its sequel The Lost World ( 1995 ) , and includes dialogue from the first novel . Isla Nublar 's volcano was an idea that existed in the first novel , and the writers chose to incorporate the idea into the film 's plot . Trevorrow compared the destruction of Isla Nublar to `` the burning down of a church or a temple , '' stating , `` I honestly think it 's like killing off a character in a way , and if you 're going to do that , as long as you approach it with the proper respect and acknowledgement that you understand how indelible and permanent what you 're doing is , then hopefully people will have an emotional response but they wo n't hate you for it . '' The idea to include a `` silent partner '' of John Hammond was also inspired by the Jurassic Park novel . Although the character of Benjamin Lockwood was not featured in the novel , the book depicts the early years leading up to the cloning of dinosaurs , which made Trevorrow realize that there would have been many people involved in such a project , convincing him that someone like Lockwood would be among those people .   In his initial film treatment , Trevorrow had included story elements that Marshall and Crowley considered excessive for a single film , as the producers felt it was also important to include details about Owen and Claire 's lives after the events of Jurassic World . Although the original ending was the same as the final film , Trevorrow had wanted to include more details about the integration of dinosaurs into the world , before choosing to remove such details to keep the story focused . For the script 's structure , Trevorrow said he had been inspired by Spielberg 's 2015 film Bridge of Spies , in which two seemingly unrelated stories `` collide in the middle , and move on together . '' Trevorrow was also inspired by the 1975 film Three Days of the Condor , stating , `` It 's one of those places where you think you know what the score is , and then everything changes , and then suddenly you do n't know who to trust . '' Having directed Jurassic World , Trevorrow became familiar with how animatronics worked and wrote scenes into the sequel in a way that would allow for their use , as animatronics are incapable of certain actions such as running .   Regarding the idea of human cloning , Trevorrow stated that `` we 're so much closer to cloning humans than we are to cloning dinosaurs . It felt like far less of a leap to me than dinosaurs do . ( ... ) To have a character who has such deep love and has felt such loss and the inability to go on , I think is something we all feel . So the idea that you might be able to bring someone back in that way is emotionally grounded in a very universal idea . '' Trevorrow also stated that he was interested in `` the larger impact '' of genetic power , including its emotional impact and its potential human impact , while further stating `` we knew that we did n't want to continue to make movies about the dangers of messing with science . We want to tell a story about where we are now , which is that we have messed with science , we have fundamentally altered our world and now we 're dealing with the consequences . '' Trevorrow was nervous about how audiences would react to the story 's human cloning aspect , an idea that was supported by Spielberg , who was excited about the questions that such an idea could raise in the film 's sequel . Because of criticism regarding the death of Zara in the previous film , Trevorrow stated that for Jurassic World : Fallen Kingdom , `` We made sure that every death was earned . Everybody deserves their death in this movie , a lesson learned . In 2018 everyone earns it . Horrible people . ''   After Bayona was hired , he began reading all of Crichton 's novels -- including Jurassic Park and The Lost World -- for inspiration and `` to try to immerse myself in Crichton 's mind . '' Trevorrow and Connolly began working with Bayona in July 2016 , to perfect the script to the director 's liking . Trevorrow stated that the film would be more `` suspenseful and scary '' than its predecessor : `` It 's just the way it 's designed ; it 's the way the story plays out . I knew I wanted Bayona to direct it long before anyone ever heard that it was a possibility , so the whole thing was just built around his skillset . '' Trevorrow later described the film as `` The Impossible meets The Orphanage with dinosaurs . '' Bayona stated that with the first half of the film set on an island , `` you have what you expect from a Jurassic movie , '' while the second half `` moves to a totally different environment that feels more suspenseful , darker , claustrophobic , and even has this kind of gothic element , which I love . '' Bayona 's concept of gothic suspense for the film was influenced by Alfred Hitchcock films , and he compared the film to The Empire Strikes Back and Star Trek II : The Wrath of Khan , which were both considered darker than their predecessors .   Trevorrow said the film 's dinosaurs would be `` a parable of the treatment animals receive today : the abuse , medical experimentation , pets , having wild animals in zoos like prisons , the use the military has made of them , animals as weapons . '' The idea of weaponized dinosaurs came from Spielberg . Trevorrow said that with the film 's dinosaur auction , `` The worst instincts of mankind are revealed . The first film was very clearly about corporate greed . This is just about human greed . '' The film includes ideas previously featured in a rejected 2004 draft for Jurassic Park IV ( later Jurassic World ) , presented in the same structure : a return to Isla Nublar followed by a second half set in a large Gothic building on the mainland . The idea of a dinosaur auction was also present in the rejected draft , which Trevorrow had read while writing the first Jurassic World film .   Bayona had his own ideas incorporated into the script while essentially retaining the same original story devised by Trevorrow and Connolly . The film 's underwater opening sequence was already in Trevorrow and Connolly 's script , and Bayona asked Trevorrow to push for it to become a bigger scene with a larger set . Among Trevorrow 's ideas was to include Jeff Goldblum 's character of Ian Malcolm , who appeared in the franchise 's earlier films . Trevorrow and Goldblum discussed dialogue ideas for Malcolm , and Trevorrow stated that he used a lot of dialogue from Crichton 's Jurassic Park novel for the character . Marshall stated that Trevorrow wrote Malcolm as `` the ' Uh oh , danger , I told you so ' kind of character , '' and Trevorrow said about the character , `` I saw him as kind of Al Gore . He 's got a beard now , and he 's like , ' I told all of you this was going to be a disaster , and sure enough it is . ' '' Bayona and Trevorrow ultimately removed certain moments from the script that they felt would be better for the sequel , which was expected to depict dinosaurs having spread around the world .   Casting   In October 2016 , casting was underway for the role of a nine - year - old girl . Approximately 2,500 girls were interviewed for the role , which ultimately went to Isabella Sermon , marking her film debut . By November 2016 , Tom Holland -- who previously starred in The Impossible -- had discussed having a possible role in the film , but he did not believe he would be available for filming because of scheduling conflicts . Toby Jones , Rafe Spall , and Justice Smith were cast at the end of the year .   Daniella Pineda , Ted Levine and James Cromwell were cast in early 2017 , while Wong confirmed his return as Dr. Henry Wu . To maintain secrecy , the Ancient Futures title was used in the casting phase . During auditions , references to dinosaurs were replaced with animals such as lions and grizzly bears . To convince the studio that Pineda was right for the role of Zia , Bayona had her demonstrate that she could perform comedy and drama scenes , as well as improvisation . Pineda auditioned a total of seven times before receiving the role . She auditioned for Bayona , Atienza , and Crowley , and did not meet the cast until she arrived in England for filming .   In March 2017 , Bayona announced that Geraldine Chaplin , who had roles in each of his previous films , had joined the cast . The next month , it was announced that Jeff Goldblum would be reprising his role as Dr. Ian Malcolm from the first two films . Bayona considered Malcolm a `` great character ! '' while Marshall said , `` The world has changed a lot since Ian Malcolm went to Jurassic Park and we need his point of view now more than ever . He told us about chaos theory , he was right . ''   Filming   Filming began at Langley Business Centre in Slough , England , on February 23 , 2017 . Scenes shot at the business center included Claire 's Dinosaur Protection Group office , Owen training his baby raptors , and Owen and Claire attempting to retrieve blood from the sedated T. rex . A majority of filming in England took place at Pinewood Studios . Because of its large sound stages , Pinewood Studios was considered perfect for the film 's many interior scenes . After filming concluded in England , production moved to Hawaii , which was used as a primary filming location . Scenes shot in Hawaii were set on Isla Nublar , the fictional island featured in the first and fourth films . Scenes were also expected to be shot at Brecon Beacons National Park in Wales . The film was shot in CinemaScope , and is the first entry in the Jurassic Park series that is presented in a 2.40 : 1 aspect ratio . The film crew used Arri Alexa 65 cameras throughout the duration of filming . Several scenes were shot to reference various films including From Here to Eternity ( 1953 ) and Dracula ( 1979 ) , as well as Spielberg 's films Raiders of the Lost Ark ( 1981 ) and E.T. the Extra-Terrestrial ( 1982 ) . Spielberg was shown scenes from the film during production and he offered his opinions to Bayona .   During filming and in between takes , Bayona used an iPod to play different types of music on set to inspire the actors during certain scenes , as he had done for his previous films . Bayona also played sound effects from previous films in the series , including a T. rex roar that he sometimes used to get a natural reaction from the actors . In particular , Bayona played unexpected sounds and loud music to scare Smith for certain scenes , as his character is portrayed as easily frightened . Prior to being filmed , Bayona and Pratt discussed each scene involving the character of Owen , and many of Pratt 's ideas were added into the film . Speaking about Levine 's character , Bayona said , `` He came with this idea of creating this kind of military man . He just wanted to portray the most hateable character possible . ( ... ) And he was so creative on set , trying to give ideas , bringing story notes to make this character more and more hateable . '' The film includes several indirect references to U.S. president Donald Trump , including an idea from Trevorrow in which a news ticker states that the `` U.S. president '' has questioned the `` existence of dinosaurs in the first place . '' Jones was allowed to decide his character 's appearance , which included a wig similar to Trump 's hairstyle . An unscripted moment that was left in the film involves Levine 's character referring to Pineda 's character Zia as a `` nasty woman '' , a line that was previously made famous by Trump .   In April 2017 , scenes were filmed at East Berkshire College in Berkshire , England , and at Loch Long in Argyll and Bute , Scotland . Also that month , filming took place at Hartland Park -- formerly the Pyestock jet engine test site -- in Fleet , Hampshire , England , where the film 's opening sequence was shot . The scene was filmed through the night and involved helicopters , rain machines , and lightning simulators to depict a thunderstorm . Bayona described the opening scene as a `` massive action piece '' that resembled the prologues used in James Bond films . Scenes were filmed on sets at Hawley Common , also in Hampshire , where the exterior of Lockwood 's mansion was built , as well as a mainland loading dock where the dinosaurs are brought . The exterior of the ship that transports Isla Nublar 's dinosaurs to the mainland was created entirely through computer - generated effects by Industrial Light &amp; Magic ( ILM ) , which worked on the previous films . The ship 's interior was constructed by Nicholson and his team as a large set at Pinewood Studios , and after filming , the set was rebuilt to depict the large rooftop of the Lockwood Estate . The exterior of the Cragside country house in Northumberland , England , along with its coniferous surrounding , was used to depict the Lockwood Estate exterior . The film crew took plate shots of Cragside and used a computer to combine the shots with footage filmed on set to create the exterior of the Lockwood Estate . No actors were involved in the Cragside shoot .   Nicholson previsualized each of the sets that he and his team built to ensure they would be large enough for the intended scenes , stating , `` Someone can tell you a Velociraptor is X-feet long , but until you see it in the space , you ca n't appreciate what that means in terms of your set and the action that needs to take place within it . '' The interior of the multi-floor Lockwood Estate was built entirely on sound stages at Pinewood Studios . The estate set inc</t>
  </si>
  <si>
    <t xml:space="preserve">when does jurassic world falling kingdom come out</t>
  </si>
  <si>
    <t xml:space="preserve"> Filming took place from February to July 2017 in the United Kingdom and Hawaii . Produced and distributed by Universal Pictures , Fallen Kingdom premiered in Madrid on May 21 , 2018 , and was released internationally in early June 2018 and in the United States on June 22 , 2018 . The film has grossed over $1.2 billion worldwide , making it the third Jurassic film to pass the mark , the third highest - grossing film of 2018 and the 13th highest - grossing film of all time . It received mixed reviews from critics , who praised Pratt 's performance , Bayona 's direction , the visuals , and the `` surprisingly dark moments '' , although many criticized the screenplay and lack of innovation , with some suggesting the series has run its course . An untitled sequel is set to be released on June 11 , 2021 , with Trevorrow returning to direct . </t>
  </si>
  <si>
    <t xml:space="preserve">Missouri Tigers - wikipedia  Missouri Tigers  Jump to : navigation , search    Missouri Tigers         University   University of Missouri     Conference   SEC ( primary ) MAC ( wrestling )     NCAA   Division I / FBS     Athletic director   Jim Sterk     Location   Columbia , Missouri     Varsity teams   18     Football stadium   Faurot Field ( `` The Zou '' ) at Memorial Stadium     Basketball arena   Mizzou Arena     Baseball stadium   Taylor Stadium     Other arenas   Hearnes Center     Mascot   Truman the Tiger     Nickname   Tigers     Fight song   Fight , Tiger     Colors   Old Gold and Black     Website   www.mutigers.com        SEC logo in Missouri 's colors  The Missouri Tigers athletics programs include the extramural and intramural sports teams of the University of Missouri , located in Columbia , Missouri , United States . The name comes from a band of armed guards called the Fighting Tigers of Columbia who , in 1864 , protected Columbia from guerrillas during the Civil War .  From left to right , Tigers Hearnes Center , Mizzou Arena and Faurot Field .  The University of Missouri ( often referred to as Mizzou or MU ) is the flagship institution of the University of Missouri System . Mizzou is a member of the Southeastern Conference ( SEC ) and is the only NCAA Football Bowl Subdivision program in Missouri . Its wrestling program , the only one sponsored by an SEC member school , competes in the Mid-American Conference .   Prior to joining the SEC in 2012 , Missouri was a charter member of the Big 12 Conference , which was created with the merger of the former Big Eight Conference and four schools from the former Southwest Conference ( one of these schools , Texas A&amp;M , joined the SEC with Missouri in 2012 ) , and which began athletic competition in the 1996 -- 97 academic year . Missouri competed in the Missouri Valley Intercollegiate Athletic Association starting in 1907 , which officially changed its name to the Big Eight Conference in 1964 .     Contents  ( hide )   1 Sports sponsored   1.1 Baseball   1.2 Basketball   1.2. 1 Men 's basketball   1.2. 2 Women 's basketball     1.3 Football   1.4 Softball   1.5 Wrestling     2 Notable non-varsity sports   2.1 Rugby   2.2 Racquetball     3 Rivalries   3.1 University of Arkansas   3.2 University of South Carolina   3.3 University of Kansas   3.4 University of Nebraska   3.5 University of Illinois   3.6 University of Oklahoma   3.7 Iowa State University     4 Traditions   4.1 Homecoming   4.2 Big MO   4.3 Harpo 's goal post tradition   4.4 Alma mater     5 Championships   5.1 NCAA team championships   5.2 Conference championships   5.2. 1 Western Interstate University Football Association   5.2. 2 Missouri Valley   5.2. 3 Big Six   5.2. 4 Big Seven   5.2. 5 Big Eight   5.2. 6 Big 12   5.2. 7 Mid-American   5.2. 8 SEC       6 Notable athletes   7 Tiger media   8 See also   9 References   10 External links      Sports sponsored ( edit )     Men 's sports   Women 's sports     Baseball   Basketball     Basketball   Cross country     Cross country   Golf     Football   Gymnastics     Golf   Soccer     Swimming &amp; diving   Softball     Track &amp; field   Swimming &amp; diving     Wrestling   Tennis       Track &amp; field       Volleyball     † -- Track and field includes both indoor and outdoor .     Baseball ( edit )  Main article : Missouri Tigers baseball Ian Kinsler  The first Missouri Tigers baseball team was in 1868 . The first recorded season was in 1891 , when the Tigers went 2 -- 2 . The Tigers won the National Championship in 1954 . The presence of former Missouri Tiger baseball players in professional baseball continues to grow each year .   Former MU head coach Tim Jamieson has seen 40 players in his 13 - year tenure sign pro contracts . Notable Tiger baseball alumni include Tim Laudner , who played for the 1987 World Champion Minnesota Twins , and Phil Bradley , who played for several teams in 1980s and early 1990s , and current Major Leaguer Ian Kinsler . In 2006 , pitcher Max Scherzer was selected in the first round with the 11th overall pick by the Arizona Diamondbacks . Scherzer went on to win the Al Cy Young Award with the Detroit Tigers in 2013 . In 2008 , pitcher Aaron Crow was picked 9th overall by the Washington Nationals .   Basketball ( edit )  Men 's basketball ( edit ) Main article : Missouri Tigers men 's basketball  The men 's basketball program has produced several NBA players , including Anthony Peeler , Doug Smith , Jon Sundvold , Steve Stipanovich , Kareem Rush , Keyon Dooling , Linas Kleiza , Thomas Gardner , Jordan Clarkson and DeMarre Carroll . The Tigers were regularly a national power under Norm Stewart , whose tenure spanned four decades but which failed to include a Final Four appearance despite numerous conference championships . The team advanced to the Elite Eight under Quin Snyder in 2002 , but inconsistent performance and various improprieties in his leadership of the program caused him to be fired in the midst of an abysmal 2006 season . He was replaced with then - UAB head coach Mike Anderson . In 2009 the team lost in the Elite Eight to the Connecticut Huskies . Then , after a first - round exit from the NCAA tournament in 2011 , Anderson took the head coaching position with the University of Arkansas . The head coaching vacancy was filled in early April 2011 with Frank Haith , the former Miami ( Florida ) head coach who left after the 2013 season to go Tulsa . In 2014 , Kim Anderson became the new head basketball coach . The program is now led by Cuonzo Martin .   The 1920 -- 21 and 1921 -- 22 teams were retroactively named national champions by the Premo - Porretta Power Poll .  Women 's basketball ( edit ) Main article : Missouri Tigers women 's basketball  The current head coach of the women 's basketball program is Robin Pingeton , formerly of Illinois State . She was hired in April 2010 to replace Cindy Stein , who resigned under pressure from boosters and media after the 2009 -- 10 season .   Football ( edit )  Chase Daniel takes a snap in the first quarter of the 2007 Mizzou vs. Nebraska football game . Main article : Missouri Tigers football See also : Missouri Tigers football under Gary Pinkel  The university 's first football team was formed in 1890 by the sophomore class of the `` Academic School '' ( now the College of Arts and Science ) . They challenged a team of Engineering students in April of that year upon encouragement of Dr. A.L. McRea , a university professor . Interest in the sport quickly grew among the students , professors , and administrators , and a Foot Ball Association was formed at a meeting on October 10 , 1890 . The first intercollegiate game for the university took place on Thanksgiving Day , 1890 , when Missouri played Washington University before a crowd of 3,000 in St. Louis , Missouri . The Washington University team , which had already been playing for several years , easily defeated the University of Missouri team by a score of 28 -- 0 . Missouri has compiled a 15 -- 16 record in bowl games , including a 41 - 31 victory over Oklahoma State in the 2014 Cotton Bowl and a 33 - 17 win over Minnesota in the 2015 Citrus Bowl . It has finished in the final Associated Press poll Top Ten eight times since the poll began in 1936 , and has had two top - five finishes since 2007 .   Softball ( edit )  Main article : Missouri Tigers softball  Missouri softball began play in 1975 . Missouri has appeared in seven Women 's College World Series , in 1981 , 1983 , 1991 , 1994 , 2009 , 2010 and 2011 .   Wrestling ( edit )   Hearnes Center is home to the Missouri Tigers ' nationally ranked wrestling program . For 16 years Brian Smith has been the university 's head wrestling coach . Since 1998 , Smith has received honors for his coaching accomplishments at the University of Missouri : Dan Gable Coach of the Year ( 2007 ) , NWCA President ( 2010 - 12 ) , Big 12 Coach of the Year ( 2012 ) .   Ben Askren , Tyron Woodley , and Michael Chandler are among the few from the university 's wrestling program to make the transition to Mixed Martial Arts . Askren is a 4 - time All - American wrestler ( 2004 - 2007 ) , 2 - time NCAA Division I Collegiate National Runner - up ( 2004 , 2005 ) , 2 - time NCAA Division I Collegiate National Champion ( 2006 , 2007 ) , 2 - time Dan Hodge Trophy Collegiate Wrestler of the Year ( 2006 , 2007 ) , and competed in the 2008 Olympics . He has been inducted into the University of Missouri Intercollegiate Athletics Hall of Fame ( 2012 ) . Askren is the former Bellator Welterweight Champion and current One Welterweight Champion . Chandler is a former Tiger wrestler earning All - American honors in 2009 ( 5th place 157 lbs . ) who is the former Bellator Lightweight Champion . Woodley is the current UFC Welterweight champion and former Strikeforce Welterweight title challenger .   Notable non-varsity sports ( edit )   Rugby ( edit )   The University of Missouri Men 's Rugby Club plays Division 1 - AA college rugby in the Heart of America conference against traditional rivals such as Kansas and Kansas State . Mizzou has been led since 2010 by head coach J.P. Victor . Missouri rugby finished the 2011 -- 2012 season ranked 17th . As the winner of the Heart of America conference , Missouri qualified for the playoffs of the 2012 men 's collegiate DI - AA championships , reaching the round of 16 before losing to Wisconsin . Mizzou defeated Kansas 24 -- 7 to finish third at the 2012 Heart of America 7s tournament . Mizzou was again successful during the 2013 -- 2014 season , reaching the D1 - AA national playoffs , where they defeated Middle Tennessee 46 -- 10 in the round of 16 before losing in the quarterfinals to Bowling Green .   Racquetball ( edit )   The University of Missouri Club Racquetball team has had success recently . The women 's team won back - to - back Division 1 titles in 2015 and 2016 at the USA Racquetball Intercollegiate Championships . The overall team placed 2nd and 3rd respectively in those years . The team 's president is Dan Witt .   Rivalries ( edit )   University of Arkansas ( edit )   Missouri 's newest rivalry after joining the SEC is with the Arkansas Razorbacks , known as the Battle Line Rivalry . Both the Razorbacks and Tigers have played five times before playing annually in the same conference which started in 2014 . Arkansas was one of the founding members of the Southwest Conference along with the Texas Longhorns . The Razorbacks left the Southwest Conference to join the SEC , which triggered the Southwest and the Big Eight Conferences to merged to form the Big 12 in 1996 . Arkansas is placed in the West Division of the SEC while Missouri is placed in the East and with the SEC current football scheduling format a team from the West and the East divisions must play annually . To keep traditional rivalries ongoing in the SEC , the conference dropped Arkansas 's cross-division annual match up with South Carolina to replace the Gamecocks with the Tigers due to the proximity of the two universities . Missouri currently leads the football series 5 -- 3 .   University of South Carolina ( edit )   Also known as Battle for Columbia due to the two universities in the city of Columbia in their respective states . Both the Tigers and the Gamecocks play for Missouri 's newest Trophy game , the Mayors ' Cup . The trophy was created in 2012 when Missouri joined the conference . Both teams are in the East division of the SEC and will play annually along with the other five members of the division . The series is currently tied at 4 -- 4 , while the trophy series South Carolina leads 4 - 2 .   University of Kansas ( edit )  Main article : Border War ( Kansas -- Missouri rivalry )  Historically , the Tigers ' biggest rival was the Kansas Jayhawks , with whom they competed in the annual Border War . This was one of the most intense rivalries in college sports , going back to a time of actual armed conflict between pro-slavery residents from Missouri and anti-slavery residents of the Kansas Territory , known as Bleeding Kansas . The series ended for the foreseeable future once Mizzou moved to the SEC .   The Kansas -- Missouri football series is the second - oldest and second-most - played rivalry in college football history . ( See : The Rivalry ( Lehigh -- Lafayette ) ) The teams first matched up in football on October 31 , 1891 . Missouri claims to lead the all - time series , 57 -- 54 -- 9 , since it counts the forfeit of Kansas ' 1960 victory as a win . Missouri claims the 1911 football game in Columbia , Missouri as the world 's first Homecoming . An important meeting between the Tigers and Jayhawks occurred on November 24 , 2007 when the two teams played for the Big 12 North Championship and a shot at playing for the Big 12 Championship and a possible National Championship . The Tigers defeated the Jayhawks 36 -- 28 . The Tigers season later resulted in a trip to the Cotton Bowl Classic , where they defeated Arkansas 38 -- 7 .   University of Nebraska ( edit )  Main article : Missouri -- Nebraska football rivalry  The Missouri - Nebraska football series was another historic rivalry alongside the MU -- KU series , although it ended with Nebraska 's departure for the Big Ten Conference . The Missouri -- Nebraska series was the second oldest rivalry in the Big 12 , dating back to 1892 . The two teams met 104 times , with Nebraska leading the series 65 -- 36 -- 3 . The large lead was the result of a 24 - year Nebraska winning streak from 1979 to 2002 . The teams split the eight games played from 2003 to 2010 . The rivalry saw renewed interest following the Flea Kicker . The two teams played for the Victory Bell trophy , which was first awarded in 1927 .   University of Illinois ( edit )  Main articles : Braggin ' Rights and Illinois -- Missouri football rivalry  There is also a relatively new basketball rivalry with the Illinois Fighting Illini of the Big Ten Conference referred to as Braggin ' Rights . The Braggin ' Rights game debuted in 1980 and has been played every year since 1983 . Missouri trails the series 20 -- 11 . The start of football season also often matches the two schools in the `` Arch Rivalry '' game , most recently played at the Edward Jones Dome . Mizzou leads the football series with an all - time record of 14 -- 7 since 1896 . In addition , the Missouri and Illinois baseball teams have recently begun a baseball rivalry , meeting at Busch Stadium since 2005 ( though the schools did not meet in 2009 or 2011 ) . Missouri leads the series 5 - 1 since 2005 .   University of Oklahoma ( edit )  Main article : Missouri -- Oklahoma football rivalry  The Tiger -- Sooner Peace Pipe is a rivalry trophy presented to the winner of the Missouri vs. Oklahoma game .   The trophy is a ceremony of smoking the old pipe . The trophy was inaugurated in 1929 by Chester M. Brewer , Mizzou 's director of athletics , and by members of Mystical Seven , a University of Missouri honorary group . The peace pipe was donated by a Mr. R.L. Hill , an `` M '' man and former president of the Missouri student body . Ceremony takes place during halves , with Mystical Seven representing Missouri , and a similar organization representing Oklahoma . Missouri won the first game , 13 -- 0 .   During Mizzou 's tenure in the Big 12 , the conference 's divisional play structure meant that the Tigers and the Sooners only faced off two out every four years . Therefore , only scheduled games between the two teams count for the exchange of the Peace Pipe . The most recent Big 12 Championship games featuring Mizzou and Oklahoma would not have triggered a transfer of the Peace Pipe ( if Missouri had won on either occasion . )   Oklahoma leads the all - time series with a record of 65 -- 23 -- 5 .   In 2010 , Mizzou , ranked no . 11 in the BCS standings , defeated no . 1 ranked Oklahoma , 36 -- 27 .   Oklahoma leads the series since the trophy tradition started with a record of 56 -- 14 -- 4 .   Iowa State University ( edit )  Main article : Iowa State -- Missouri football rivalry  The Telephone Trophy started during a 1959 Game featuring Iowa State and Missouri when the field phones were tested prior to the game , it was found that both teams could hear each other . The problem was solved by game time , but not without considerable worry on the part of the coaches . The Northwestern Bell Telephone Co. of Ames had a trophy made and presented it to Iowa State to be awarded each year to the team winning the game . An odd sidelight to the whole affair was that the same thing happened to Missouri later in the year in a game played at Columbia . Missouri won the first game , 14 -- 0 .   The series is 58 -- 34 -- 9 in favor of Missouri .   Missouri leads the series since the trophy tradition started with a record of 30 -- 18 -- 3 .   Traditions ( edit )   Homecoming ( edit )   The University of Missouri claims to be the originator of the tradition of homecoming . Before , games against the University of Kansas were played in Kansas City . However , a change in conference regulations required intercollegiate football games to be played on campus starting in 1911 . Fearing that game attendance would be low , the new Missouri coach , C.L. Brewer , appealed with great success for the `` Old Grads '' to `` Come Back Home '' to boost attendance and help dedicate MU 's new football field . The fans responded , swelling the crowd at Rollins Field in Columbia to more than ten thousand . MU , Trivial Pursuit , and Jeopardy ! all verify that this game in 1911 was one of the first homecoming games .   The 2010 edition of the University of Missouri Homecoming also included the first ever visit by ESPN College GameDay . 18,000 fans attended College GameDay at the Francis Quadrangle on Saturday , October 23 , 2010 . The turnout broke the previous record of 15,800 fans set at the University of Nebraska in 2001 .   Big MO ( edit )   Big MO is a 6 - foot , 150 - pound bass drum featured at Mizzou football games . Big MO 's handlers are actually University of Missouri alumni rather than student members of Marching Mizzou . Big MO is used to lead fans in the traditional MIZ - ZOU cheer . The drum has been a Mizzou football tradition since 1981 , when it was acquired by a Mizzou athletic booster club known as the St. Louis Quarterback Club . The club donated $5,000 to purchase the drum , which was built by Ludwig Drums in Chicago . The drum , originally painted red with gold flakes , was brought back from Chicago strapped in the back of a pickup truck . When it arrived in Columbia , the drum was repainted black and presented to the university a week before the first 1981 football game at an event known as the Tiger Fall Rally . Responsibility for Big MO was transferred to the Mizzou chapters of Kappa Kappa Psi and Tau Beta Sigma in 1993 . Only student and alumni members of the two organizations are eligible to be on the Big MO crew . Big MO is the third largest bass drum in the United States , behind Big Bertha at the University of Texas and the Purdue Big Bass Drum .   In April 2011 , the Mizzou chapters of Kappa Kappa Psi and Tau Beta Sigma kicked off a fundraising campaign to replace Big MO , which deteriorated over several decades of use . The current Big MO weighs 800 - plus - pounds and has a 9 - foot diameter and a 54 - inch width , making it the largest collegiate bass drum as well as largest bass drum in the United States . The new drum was built by Neil Boumpani of Boumpani Music Company , a custom drum maker in Barnesville , Georgia . The new record - setting Big MO debuted when Mizzou entered play in the Southeastern Conference in 2012 .   Harpo 's goal post tradition ( edit )   Since 1971 , there has been no doubt about the destination of the goal posts any time they have been torn down following a home football game . 1971 marked the first year in which the goal posts ended up at Harpo 's Bar and Grill at 29 S. Tenth Street in Columbia . Although no concrete reasoning is known behind the tradition , it is suggested that Harpo 's became the destination because of its popularity among alumni returning to Columbia on game days and because the restaurant is one of the few places that had remained under consistent ownership without any name changes , so alumni and students all easily identify with the establishment . Following the 2005 season , removable goal posts were installed , which are lowered at the close of each home game .   In 2010 the goal post tradition was revived following the victory against BCS # 1 ranked Oklahoma . Thousands of fans began to swarm the field before the final play had even ended . Although there were event staff and highway patrol encircling the field , security was unable to prevent fans from storming the field and removing the north end zone goal post from the stadium .   Alma Mater ( edit )   The Alma Mater for the University of Missouri is Old Missouri . It was written in 1895 and is sung to the tune of Annie Lisle and has two verses . Before and after athletic events , sometimes only the first verse is used . The first and second verses are more commonly sung at student orientation and at commencement / graduation ceremonies . Both verses are followed by the chorus .   Championships ( edit )   NCAA team championships ( edit )   Missouri has won 2 NCAA team national championships .    Men 's ( 2 )   Baseball ( 1 ) : 1954   Indoor Track &amp; Field ( 1 ) : 1965     see also   SEC NCAA team championships   List of NCAA schools with the most NCAA Division I championships      Conference championships ( edit )  Western Interstate University Football Association ( edit ) Main article : Western Interstate University Football Association   Football     1893   1894   1895   Missouri Valley ( edit ) Main article : Missouri Valley Conference      Basketball     1918   1920   1921   1922     Football     1909   1913   1919   1924   1925   1927       Track and field     1911   1912   1913   1915   1916   1917   1918   1920   1925      Big Six ( edit ) Main article : Big Eight Conference      Baseball     1930   1931   1937   1938   1941   1942     Basketball     1930   1939   1940     Cross country     1929       Football     1939   1941   1942   1945     Track and field     1938   1943   1947      Big Seven ( edit ) Main article : Big Seven Conference   Baseball     1952     Track and field     1948   1949   1951   Big Eight ( edit ) Main article : Big Eight Conference      Baseball     1958   1962   1963   1964   1965   1976   1980   1996 ( Regular Season )     Cross country     1967     1980 ( Women 's )     Football     1960   1969       Basketball     1976   1978 ( Tournament )   1980   1981   1982 ( Regular Season and Tournament )     1987 ( Regular Season and Tournament )   1989 ( Tournament )     1993 ( Tournament )        Big 12 ( edit ) Main article : Big 12 Conference      Baseball     2012 ( Tournament )     Basketball     2009 ( Tournament )   2012 ( Tournament )     Soccer     2008 ( Tournament )   2009       Softball     1997 ( Regular Season and Tournament )   2009 ( Tournament )   2011     Wrestling     2012      Mid-American ( edit ) Main article : Mid-American Conference      Wrestling     2013 ( Tournament )   2014 ( Tournament )   2015 ( Regular Season and Tournament )   2016 ( Regular Season and Tournament )   2017 ( Tournament )      SEC ( edit ) Main article : SEC Conference      Volleyball     2013   2016       Notable athletes ( edit )  See also : University of Missouri Intercollegiate Athletics Hall of Fame   Danario Alexander , wide receiver who led the nation in receiving yards and TDs his senior season , currently plays for the San Diego Chargers   John Anderson , former high jumper , now an anchor on ESPN SportsCenter   Ben Askren , Missouri 's first individual wrestling national champion ( 2 - Time ) , 2x Hodge Trophy Award Winner ( College wrestler of the year ) , 2007 ESPY - nominated Best College Male Athlete , 2008 Freestyle Wrestling Olympian , former Bellator MMA Welterweight Champion , Current One Championship Welterweight Champion   Phil Bradley , standout football and baseball player who became an All - Star outfielder for the Seattle Mariners   John Brown , standout basketball player who played professionally for the Chicago Bulls   Christian Cantwell , former thrower on track team , current world - class shot putter , 2004 and 2008 IAAF World Indoor Champion , 2008 Summer Olympic Games silver medalist   Lloyd Carr , former football player and former head coach at the University of Michigan   Michael Chandler , 2009 NCAA Wrestling All - American ( 5th place 157 lbs . ) , current Mixed Martial Artist , current Bellator Lightweight Champion   J'den Cox , 3 time NCAA National wrestling champion and 4 time All - American between 2014 -- 17 , bronze medalist at 2016 Rio Olympics   Aaron Crow , pitcher for the Kansas City Royals   Chase Daniel , former Missouri quarterback was a Heisman finalist in 2007 , Daniel led the Tigers to two Big 12 North Division titles and Cotton Bowl and Alamo Bowl Championships , was a member of the New Orleans Saints Super Bowl Championship team in 2009 , currently with the New Orleans Saints   Justin Gage , record setting wide receiver at Mizzou , formerly played for the Chicago Bears and Tennessee Titans   Tony Galbreath , former NFL running back with the New Orleans Saints , Minnesota Vikings , and New York Giants , where he was a part of the 1986 Super Bowl XXI Championship team   Brad Imes , former Missouri offensive tackle , current professional mixed martial artists competing in the UFC , WEC , and most recently King of the Cage   John Kelly , low amateur at the 2007 Masters Tournament   Ian Kinsler , current player for the Detroit Tigers , an AL All Star in 2008   Linas Kleiza , former NBA player for the Toronto Raptors , now plays in Turkey   Jim Leavitt , former football player and former coach at the University of South Florida   Robin Lingle , 1,000 yards ( 910 m ) Big Eight indoor record - holder , 1965 national champion   Jeremy Maclin , wide receiver for the Baltimore Ravens   Bill McCartney , former head football coach at University of Colorado   William Moore , Pro Bowl safety who is a free agent   Anthony Peeler , former NBA player from 1992 -- 2005   Shane Ray , linebacker for the Denver Broncos , played for Denver in 2016 Super Bowl 50 Championship   Kareem Rush , currently playing for the Los Angeles D - Fenders of the NBA D - League   Michael Sam , first openly gay player to be drafted in the NFL Draft   Max Scherzer , Cy Young Award - winning pitcher for the Washington Nationals   Aldon Smith , former All - Pro linebacker for the San Francisco 49ers , currently plays for the Oakland Raiders   Brad Smith , NCAA record - holder as a dual - threat quarterback , now a wide receiver / kick returner for the Philadelphia Eagles   Doug Smith , former NBA player from 1991 -- 1996   Justin Smith , 4x Pro Bowler defensive end for the San Francisco 49ers   Gene Snitsky , former Missouri football player , now WWE wrestler   Sean Weatherspoon , former 1st round draft pick and current player for the Atlanta Falcons   Roger Wehrli , Pro Football Hall of Fame 2007 inductee   Kellen Winslow , former Missouri football player now in College and Pro Hall of Fame   Tyron Woodley , former 2x Missouri wrestling All - American , current UFC welterweight champion    Tiger media ( edit )   The Tiger Radio Network is anchored by KMBZ in Kansas City , KTGR AM / KCMQ FM in Columbia and Jefferson City , and KTRS in St Louis . Mike Kelly is the commentator for both sports , with Howard Richards and Chris Gervino serving as analysts for football and Gary Link filling in for basketball . In addition , the school owns and operates its own NBC affiliate , KOMU - TV , in Columbia . The station is run by MU faculty members and is staffed by professionals and students . It 's the only college - owned and operated network affiliate in the country .   For indoor sports , Mizzou operates the Missouri Sports Network , a syndication package that airs on FSN Midwest and / or Metro Sports . It mainly broadcasts volleyball and basketball . Dan McLaughlin handles play - by - play for all sports , and is joined by a rotating group of color commentators , most notably Tigers coaching legend Norm Stewart for men 's basketball games .   See also ( edit )    `` Fifth Down '' ( The infamous `` 5th '' down during the 1990 Colorado - Missouri football game )   Marching Mizzou   List of college athletic programs in Missouri    References ( edit )    Jump up ^ `` Official MU Colors '' . Identity Standards -- University of Missouri . University of Missouri . April 27 , 2015 . Retrieved October 24 , 2015 .   Jump up ^ `` Archived version of University of Missouri , Official Athletic Site of the Mizzou Tigers Traditions '' . Mutigers.cstv.com . October 11 , 2006 . Archived from the original on February 20 , 2009 . Retrieved September 26 , 2016 . CS1 maint : BOT : original - url status unknown ( link )   Jump up ^ `` About Mizzou University of Missouri '' . Missouri.edu . December 16 , 2010 . Retrieved January 23 , 2011 .   Jump up ^ ESPN , ed. ( 2009 ) . ESPN College Basketball Encyclopedia : The Complete History of the Men 's Game . New York , NY : ESPN Books . p. 535 . ISBN 978 - 0 - 345 - 51392 - 2 .   Jump up ^ Plummer , William ; Floyd , Larry C. ( 2013 ) . A Series Of Their Own : History Of The Women 's College World Series . Oklahoma City , Oklahoma , United States : Turnkey Communications Inc . ISBN 978 - 0 - 9893007 - 0 - 4 .   Jump up ^ `` Mizzouri Tiger Wrestling '' . University of Missouri . Retrieved 2014 - 01 - 01 .   Jump up ^ USA Rugby , College Conferences , http://www.usarugby.org/#cc%3D%5BApplication%5D%5C%5CStructure%5C%5CContent%5C%5CBrand%20Resource%20Center%5C%5CContent%5C%5CHome%5C%5C21D9415F-129C-3D1E-45B7-71078B463B81%5C%5C23181D59-131F-BE4F-E441-2B48F8B651A9%7B%7BTab%3AView%7D%7D   Jump up ^ Rugby Mag , Men 's DI - AA College Top 25 , April 9 , 2012 , http://www.rugbymag.com/men-di-college/4098-mens-di-aa-college-top-25-april-9-2012.html   Jump up ^ Rugby Mag , Men 's DI - AA Elite Eight Update , April 29 , 2012 , http://www.rugbymag.com/men's-di-college/4335-mens-di-aa-sweet-16-update.html   Jump up ^ Rugby Mag , September 2012 Scores , Sep. 23 , 2012 , http://www.rugbymag.com/news/scores/5671-september-2012-scores.html   Jump up ^ 2013 - 14 Men 's DI - AA College National Championship . Retrieved October 9 , 2014 .   Jump up ^ Butterfield , Kevin ( November 23 , 2007 ) . `` A Rivalry Born in Bloodshed Becomes Pivotal to the B.C.S '' . NYTimes . Retrieved January 23 , 2011 .   Jump up ^ `` ( 1 ) '' . mutigers.com -- All - Time Big 12 Opponents .   Jump up ^ `` `` Archived copy '' . Archived from the original on 2008 - 05 - 15 . Retrieved 2008 - 09 - 05 . `` . `` Big12sports.com '' .   ^ Jump up to : Chrös Mcdougall And Blaine Grider . `` Tradition 's beginnings mysterious '' . Columbia Missourian . Archived from the original on December 9 , 2012 . Retrieved January 23 , 2011 .   Jump up ^ Ubben , David . `` Record turnout for ' College GameDay ' -- Big 12 Blog -- ESPN '' . Espn.go.com . Retrieved January 23 , 2011 .   Jump up ^ `` The Maneater -- Blogs -- On Campus -- PHOTO : Crowd of 18,000 sets ESPN GameDay record ( Oct. 23 , 2010 ) '' . Themaneater.com . October 23 , 2010 . Retrieved January 23 , 2011 .   Jump up ^ Mike DeArmond ( October 23 , 2010 ) . `` Official Now : ESPN Says Mizzou Sets GameDay Record Campus Corner '' . Campuscorner.kansascity.com . Archived from the original on October 26 , 2010 . Retrieved January 23 , 2011 .   Jump up ^ Ralph , Kaylen ( 2011 - 10 - 13 ) . `` A conversation with Big MO 's handlers '' . Vox Magazine . Archived from the original on 2013 - 02 - 05 . Retrieved 2015 - 08 - 05 .   Jump up ^ ( 2 )   Jump up ^ JOE KOVAC JR . The Telegraph of Macon ( 2012 - 02 - 04 ) . `` Mizzou band can make a sonic boom : Sports '' . Stltoday.com . Retrieved 2015 - 08 - 05 .   Jump up ^ ( 3 )   Jump up ^ `` MU raising money to replace Big MO '' . News Tribune . 2011 - 04 - 24 . Archived from the original on 2012 - 02 - 10 . Retrieved 2015 - 08 - 05 .   Jump up ^ `` What the Fudge ? : Harpo 's goal post tradition '' . The Maneater . November 1 , 2002 . Retrieved January 23 , 2011 .   Jump up ^ Faurot Field , COLUMBIA , MO ( October 23 , 2010 ) . `` Oklahoma Sooners vs. Missouri Tigers -- Recap -- October 23 , 2010 -- ESPN '' . Espn.go.com . Retrieved January 23 , 2011 . CS1 maint : Multiple names : authors list ( link )   Jump up ^ http://fs.ncaa.org/Docs/stats/champs_records_book/Overall.pdf    External links ( edit )    Official website     </t>
  </si>
  <si>
    <t xml:space="preserve">where did the missouri tigers get their name</t>
  </si>
  <si>
    <t xml:space="preserve"> The Missouri Tigers athletics programs include the extramural and intramural sports teams of the University of Missouri , located in Columbia , Missouri , United States . The name comes from a band of armed guards called the Fighting Tigers of Columbia who , in 1864 , protected Columbia from guerrillas during the Civil War . </t>
  </si>
  <si>
    <t xml:space="preserve">Sarek - wikipedia  Sarek  Jump to : navigation , search For other uses , see Sarek ( disambiguation ) .    Sarek     Star Trek character     Mark Lenard as Sarek and Jane Wyatt as Amanda Grayson with Leonard Nimoy as their son , Mr. Spock     Portrayed by   Mark Lenard Jonathan Simpson Ben Cross James Frain     Information     Family   Skon ( father )     Children   Spock Sybok Michael Burnham ( adopted daughter )     Species   Vulcan     Affiliation   United Federation of Planets     Posting   Vulcan ambassador to the Federation     Rank   Ambassador     Sarek / ˈsærɛk / is a fictional character in the Star Trek media franchise . He is a Vulcan astrophysicist , the Vulcan ambassador to the United Federation of Planets , and father of Spock . The character was originated by Mark Lenard in the 1967 episode `` Journey to Babel '' ( Lenard previously portrayed a Romulan Commander in another episode of the original series , 1966 's `` Balance of Terror '' ) . Lenard later voiced Sarek in the animated series , and appeared in Star Trek movies and the series Star Trek : The Next Generation .   Actor Jonathan Simpson played a younger Sarek in a brief scene in Star Trek V : The Final Frontier , with voice - over provided by Lenard . Ben Cross portrayed Sarek in the 2009 motion picture Star Trek . James Frain plays Sarek in the new TV series Star Trek : Discovery .   The character appears in the original Star Trek series , the animated series , four Star Trek movies , two episodes of Star Trek : The Next Generation , and numerous Star Trek novels and comics .     Contents  ( hide )   1 Character biography   1.1 Star Trek : The Original Series   1.2 Animated series   1.3 TOS films   1.4 Star Trek : The Next Generation   1.5 Star Trek ( 2009 )   1.6 Star Trek : Discovery     2 Family Relationships   3 Appearances   4 References   5 External links      Character biography ( edit )   Star Trek : the original series ( edit )   Sarek was born in 2165 . He is the son of Skon of Vulcan and the grandson of Solkar ( the first Vulcan ambassador to Earth ) . Sarek was married twice , and had two sons . Prior to his first marriage , he had a relationship with the Vulcan priestess , T'Rea , which produced Sarek 's first son Sybok , a character not developed until the fifth feature film in the late 1980s . Sarek later married Amanda Grayson , a native of the planet Earth . After Amanda 's death , Sarek married Perrin , also human , who survived his death . Sarek and Perrin had no children .   Sarek 's second son , Spock , entered Starfleet Academy . Sarek opposed the decision , and the two were estranged for 18 years . Following an Enterprise mission where Spock helped save Sarek 's life , father and son are reconciled in the episode `` Journey to Babel '' , with Mark Lenard portraying the first appearance of Sarek .   Animated series ( edit )   Mark Lenard voiced Sarek in the Star Trek : The Animated Series episode `` Yesteryear '' . In this episode Spock must travel back in time to his childhood , and keep his younger self from dying and being replaced by an Andorian as First Officer of the Enterprise . Spock , posing as a relative , meets a younger version of Sarek .   Tos films ( edit )   Mark Lenard portrayed Sarek in movies based on the original Star Trek . In Star Trek III : The Search for Spock , Sarek asks Kirk to bring Spock 's body back along with his katra , or living essence , to Vulcan . Sarek later confronts Kirk at his apartment , thinking that Spock placed his katra into Kirk 's mind ( since Kirk was the last person to be with the dying Spock ) , and asking Kirk why he did not return Spock to Vulcan . Unknown to either Sarek or Kirk , Spock had actually placed his katra in the mind of his friend Leonard McCoy for safekeeping . Kirk later discovers this through the security tapes during the last moments of Spock 's life in his fight to save the Enterprise from Khan and promised Sarek to bring both men to Vulcan . The Genesis Device regenerates Spock 's body and restores his life ; Kirk and his crew manage to get Spock off the planet and return him to his home planet of Vulcan . There , Sarek asks the priestess T'Lar to perform a fal - tor - pan , reuniting Spock 's mind and body . Sarek thanks Kirk for the rescue of Spock , which took place at the expense of the destruction of the Enterprise and the death of Kirk 's son . Kirk admitted if he did not try to save Spock , he would have faced a deeper guilt in his soul .   Star Trek IV : The Voyage Home begins with Kirk , Spock , and the rest of the Enterprise crew still in exile on Vulcan . Sarek travels to Earth to speak on behalf of Kirk ( who is facing charges from the Klingon Empire ) , and is subsequently trapped on the planet when Earth is threatened by destruction by an alien probe . After Kirk and his crew return and save Earth , and are largely exonerated at their subsequent trial , Sarek has a private audience with his son . Sarek states that he is pleased with Spock , and admits that he was wrong in opposing Spock 's induction into Starfleet , praising his comrades as people of good character .   Actor Jonathan Simpson briefly played a younger Sarek during Star Trek V : The Final Frontier , with a voice - over provided by Lenard . The scene is in reference to Spock 's birth and Sarek remarking he is `` so human . ''   Mark Lenard 's final filmed appearance in the role of Sarek was in Star Trek VI : The Undiscovered Country . This film was recorded after , but released before , his last broadcast appearance in The Next Generation . It takes place in the time period of the original series , in the year 2293 . Sarek is once again shown as a diplomat participating in the Khitomer Conference , the first diplomatic meeting between the Klingons and the Federation .   Star Trek : the Next Generation ( edit )   Lenard made two final appearances as the character in Star Trek : The Next Generation . In the first , in an episode named after him , Sarek suffers from Bendii Syndrome , an incurable and terminal neurological degenerative illness that makes him lose control of his emotions . Having established a mind - meld with Captain Jean - Luc Picard , Sarek is able to continue with an important diplomatic mission , but his emotions are expressed privately through Picard , among them his deep love for Amanda , Spock , and his current human wife Perrin . His death from Bendii Syndrome occurs in the first part of the TNG episode `` Unification '' .   Star Trek ( 2009 ) ( edit )   Sarek , played by Ben Cross , appears in the 2009 Star Trek . Though respectful of Spock 's ability to make his own choices , Sarek clearly encourages him to maintain his logical Vulcan nature . Sarek maintains that he married Amanda because it was logical to do so , since as the Vulcan ambassador , it would of course fall upon Sarek to observe human behavior . Later , Sarek is on the board of the Vulcan Science Academy , and is disappointed to learn that his son has turned down admission in favor of joining Starfleet .   When the vengeful Romulan captain , Nero , makes clear his intention to destroy Vulcan , Spock arrives to transport Sarek , Amanda , and the rest of the Vulcan council to safety ; however , Amanda is lost in the attempt . When Cadet Kirk provokes Spock to force him to relinquish command , it is only Sarek 's stern `` Spock ! '' that calms the enraged half - Vulcan . When Spock leaves the bridge , Sarek is clearly displeased by the events and follows him . Sarek advises Spock that if he feels anger ( at Vulcan 's destruction and Amanda 's death ) , then he should not try to hide it . Sarek also admits to his son : `` You once asked me why I married your mother ... I married her because I loved her . '' Sarek affirms to his son that not all Vulcans are as emotionless as they appear to be ; even Sarek is painfully grieved over the loss of his beloved wife . At this moment , father and son have reconciled as they grieve together over the losses of their world and loved ones , before Spock leaves to stop Nero from destroying Earth and to avenge his mother 's untimely death .   Star Trek : Discovery ( edit )   On January 18 , 2017 it was announced that actor James Frain will assume the role of Sarek for the new Trek series Star Trek : Discovery . Mia Kirshner appeared as his wife Amanda in episode 6 .   Family relationships ( edit )   Spock 's ongoing conflict between emotion and logic is countered by his parents , Sarek and human Amanda Grayson , a seemingly loving and devoted couple . The character of Sarek and his relationship with Spock and Amanda have been explored in depth in amateur fiction , several authorized novels , and in the animated episode `` Yesteryear '' . Movies and episodes of Star Trek : The Next Generation have also added to background on these relationships . Spock and Sarek 's relationship is formal and respectful , but strained . Captain Jean - Luc Picard , who mind melded with Sarek before he died , also mind melds with Spock in order to share Sarek 's thoughts and feelings about his son . Little is known about Sarek 's relationship with his oldest son Sybok , but presumably it was a difficult one since Sybok rejected Vulcan ways and was banished from the planet .   Appearances ( edit )   Sarek appears in the following episodes and films :    Star Trek : The Original Series     `` Journey to Babel ''     Star Trek : The Animated Series     `` Yesteryear ''     Star Trek films     Star Trek III : The Search for Spock   Star Trek IV : The Voyage Home   Star Trek V : The Final Frontier   Star Trek VI : The Undiscovered Country   Star Trek     Star Trek : The Next Generation     `` Sarek ''   `` Unification , Part I ''     Star Trek : Discovery     `` The Vulcan Hello ''   `` Battle at the Binary Stars ''   `` Lethe ''    References ( edit )    Jump up ^ Okuda , Michael ; Denise Okuda ( 1996 ) . Star Trek Chronology : The History of the Future . Pocket Books . ISBN 0 - 671 - 53610 - 9 .   Jump up ^ According to Star Trek III : The Search for Spock , identifying him as `` Sarek , son of Skon , son of Solkar '' .   Jump up ^ `` James Frain Joins Discovery As Sarek '' . Startrek.com. 2017 - 01 - 18 . Retrieved 2017 - 01 - 18 .    External links ( edit )    Sarek at Memory Alpha ( a Star Trek wiki )   Amanda Grayson at Memory Alpha ( a Star Trek wiki )   Sybok at Memory Alpha ( a Star Trek wiki )   Perrin at Memory Alpha ( a Star Trek wiki )   Startrek.com article on Sarek      ( hide )         Star Trek recurring characters     Multiple series     Reginald Barclay   Boothby   Chekote   Zefram Cochrane   Arne Darvin   Evek   Amanda Grayson   Gowron   Maggie Hubbell   Kang   Alynna Nechayev   Khan Noonien Singh   Koloth   Kor   Kurn   Morn   Keiko O'Brien   Molly O'Brien   Christopher Pike   Q   Janice Rand   Alexander Rozhenko   Sarek   T'Pau   Lwaxana Troi   Vash   Dr. Zimmerman   Number One         The Original Series and   The Animated Series       Christine Chapel   Cyrano Jones   Kyle   Leslie   Harry Mudd       The Next Generation     Jack Crusher   Guinan   Mr. Homn   Lore   Lursa and B'Etor   Miles O'Brien   Nurse Ogawa   Ro Laren   Sela   Noonien Soong   Spot   Tomalak   The Traveler       Deep Space Nine        Kimara Cretak   Joran Dax   Michael Eddington   Vic Fontaine   Martok   M'Pella   Kirayoshi O'Brien   William Ross   Joseph Sisko   Luther Sloan   Kasidy Yates         Bajorans : Vedek Bareil   Leeta   Kai Opaka   Shakaar Edon   Winn Adami   Tora Ziyal         Cardassians : Damar   Dukat   Elim Garak   Mila   Enabran Tain         Ferengi : Brunt   Ishka   Nog   Rom   Zek         The Dominion : Female Changeling   Weyoun          Voyager        Borg Queen   Chaotica   Jal Culluh   Owen Paris   Satan 's robot   Seska   Deanna Troi   Naomi Wildman         Borg children : Azan   Icheb   Mezoti   Rebi         Voyager crew : Ayala   Michael Jonas   Lon Suder   Vorik   Samantha Wildman          Enterprise        Daniels   Maxwell Forrest   Major Hayes   Erika Hernandez   Koss   Michael Rostov   Porthos   Thy'lek Shran   Silik   Soval   Sphere Builders   Thalen   Commander Williams         Xindi council : Amman'sor   Degra   Dolim   Jannar          Feature films     Fleet Admiral Cartwright   David Marcus   Saavik       Category : Star Trek    Retrieved from `` https://en.wikipedia.org/w/index.php?title=Sarek&amp;oldid=815651445 '' Categories :   Fictional ambassadors   Fictional astrophysicists   Fictional diplomats   Star Trek : The Original Series characters   Star Trek : The Animated Series characters   Star Trek : The Next Generation characters   Star Trek ( film franchise ) characters   Vulcans   Fictional characters introduced in 1967   Star Trek : Discovery characters   Hidden categories :   Pages using deprecated image syntax   Articles using Infobox character with multiple unlabeled fields           Talk                                           Contents                   About Wikipedia                                           Català   Čeština   Français   Italiano   עברית   Português   Svenska   Edit links   This page was last edited on 16 December 2017 , at 04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</si>
  <si>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spock's dad on star trek</t>
  </si>
  <si>
    <t xml:space="preserve"> Sarek / ˈsærɛk / is a fictional character in the Star Trek media franchise . He is a Vulcan astrophysicist , the Vulcan ambassador to the United Federation of Planets , and father of Spock . The character was originated by Mark Lenard in the 1967 episode `` Journey to Babel '' ( Lenard previously portrayed a Romulan Commander in another episode of the original series , 1966 's `` Balance of Terror '' ) . Lenard later voiced Sarek in the animated series , and appeared in Star Trek movies and the series Star Trek : The Next Generation . </t>
  </si>
  <si>
    <r>
      <rPr>
        <sz val="11"/>
        <color rgb="FF000000"/>
        <rFont val="Calibri"/>
        <family val="0"/>
        <charset val="1"/>
      </rPr>
      <t xml:space="preserve">Fourth Anglo - Mysore war - Wikipedia  Fourth Anglo - Mysore war  Jump to : navigation , search       Fourth Anglo -- Mysore War     Part of the Anglo - Mysore wars     A map of the war theater        Date   1798 -- 4 May 1799     Location   Indian subcontinent     Result    Decisive Anglo - Hyderabadi victory    Subjugation of Mysore          Belligerents     Mysore Nawab of the Carnatic Mughal Empire    East India Company Hyderabad Deccan Maratha Empire  Travancore     Commanders and leaders     Tipu Sultan † Mir Golam Hussain Mohomed Hulleen Mir Miran Umdat Ul - Umra Mir Sadiq Ghulam Muhammad Khan   General George Harris Ali Khan Major General David Baird James Stuart                   Fourth Anglo - Mysore War       Seedaseer   Mallavelly   Sultanpet Tope   Seringapatam                 Anglo - Mysore wars       First   Second   Third   Fourth          The Fourth Anglo -- Mysore War was a conflict in South India between the Kingdom of Mysore against the British East India Company and the Hyderabad Deccan in the 1799 .   This was the final conflict of the four Anglo -- Mysore Wars . The British captured the capital of Mysore . The ruler Tipu Sultan was killed in the battle . Britain took indirect control of Mysore , restoring the Wodeyar Dynasty to the Mysore throne ( with a British commissioner to advise him on all issues ) . Tipu Sultan 's young heir , Fateh Ali , was sent into exile . The Kingdom of Mysore became a princely state in a subsidiary alliance with British India and ceded Coimbatore , Dakshina Kannada and Uttara Kannada to the British .   The war , specifically the Battle of Mallavelly and the Siege of Seringapatam , with many of the key protagonists , is covered in the historical novel Sharpe 's Tiger .     Contents  ( hide )   1 Background   2 Course of Events   3 Mysorean rockets   4 Gallery   5 References   6 Further reading      Background ( edit )   Napoleon 's landing in Egypt in 1798 was intended to further the capture of the British possessions in India , and the Kingdom of Mysore was a key to that next step , as the ruler of Mysore , Tipu Sultan , sought France as an ally and his letter to Napoleon resulted in the following reply , `` You have already been informed of my arrival on the borders of the Red Sea , with an innumerable and invincible army , full of the desire of releasing and relieving you from the iron yoke of England . '' Additionally , General Malarctic , French Governor of Mauritius , issued the Malarctic Proclamation seeking volunteers to assist Tipu . Horatio Nelson crushed any help from Napoleon after the Battle of the Nile . However , Lord Wellesley had already set in motion a response to prevent any alliance between Tipu Sultan and France .   Course of events ( edit )   Three armies -- one from Bombay and two British ( one of which contained a division that was commanded by Colonel Arthur Wellesley , the future 1st Duke of Wellington ) , marched into Mysore in 1799 and besieged the capital , Srirangapatnam , after some engagements with Tipu . On 8 March , a forward force managed to hold off an advance by Tipu at the Battle of Seedaseer . On 4 May , in the Battle of Seringapatam , broke through the defending walls . Tipu Sultan , rushing to the breach , was shot and killed .   Today , the spot where Tipu 's body was discovered under the eastern gate has been fenced off by the Archaeological Survey of India , and a plaque erected . The gate itself was later demolished during the 19th century to lay a wide road .   One notable military advance championed by Tipu Sultan was the use of mass attacks with iron - cased rocket brigades in the army . The effect of the Mysorean rockets on the British during the Third and Fourth Mysore Wars was sufficiently impressive to inspire William Congreve to develop the Congreve rockets .   Many members of the British East India Company believed that Umdat Ul - Umra , the Nawab of Carnatic , secretly provided assistance to Tipu Sultan during the Fourth Anglo -- Mysore War ; and they immediately sought his deposition after the end of the conflict .   Mysorean rockets ( edit )  Further information : Mysorean rockets  During the war , rockets were again used on several occasions . One of these involved Colonel Arthur Wellesley , later famous as the First Duke of Wellington . Wellesley was defeated by Tipu 's Diwan , Purnaiya , at the Battle of Sultanpet Tope . Quoting Forrest ,   At this point ( near the village of Sultanpet , Figure 5 ) there was a large tope , or grove , which gave shelter to Tipu 's rocketmen and had obviously to be cleaned out before the siege could be pressed closer to Srirangapattana island . The commander chosen for this operation was Col. Wellesley , but advancing towards the tope after dark on the 5 April 1799 , he was set upon with rockets and musket - fires , lost his way and , as Beatson politely puts it , had to `` postpone the attack '' until a more favourable opportunity should offer .   The following day , Wellesley launched a fresh attack with a larger force , and took the whole position without losing a single man . On 22 April 1799 , twelve days before the main battle , rocketeers worked their way around to the rear of the British encampment , then ' threw a great number of rockets at the same instant ' to signal the beginning of an assault by 6,000 Indian infantry and a corps of Frenchmen , all directed by Mir Golam Hussain and Mohomed Hulleen Mir Miran . The rockets had a range of about 1,000 yards . Some burst in the air like shells . Others , called ground rockets , would rise again on striking the ground and bound along in a serpentine motion until their force was spent . According to one British observer , a young English officer named Bayly : `` So pestered were we with the rocket boys that there was no moving without danger from the destructive missiles ... '' . He continued :   The rockets and musketry from 20,000 of the enemy were incessant . No hail could be thicker . Every illumination of blue lights was accompanied by a shower of rockets , some of which entered the head of the column , passing through to the rear , causing death , wounds , and dreadful lacerations from the long bamboos of twenty or thirty feet , which are invariably attached to them .   During the conclusive British attack on Srirangapattana on 2 May 1799 , a British shot struck a magazine of rockets within Tipu Sultan 's fort , causing it to explode and send a towering cloud of black smoke with cascades of exploding white light rising up from the battlements . On the afternoon of 4 May when the final attack on the fort was led by Baird , he was again met by `` furious musket and rocket fire '' , but this did not help much ; in about an hour 's time the fort was taken ; perhaps within another hour Tipu had been shot ( the precise time of his death is not known ) , and the war was effectively over .   Gallery ( edit )    Fall of Tippu Sultan ( 1799 )    Tipu Sultan 's forces during the Siege of Srirangapatna .     The Last Effort of Tippu Sahib at Seringapatam ( Corner , 1840 , p. 334 )     The Last Effort and Fall of Tipu Sultan by Henry Singleton , c. 1800     British troops examine the body of Tipu Sultan     David Baird , a British officer , discovering the body of Tipu Sultan .     British Marker showing the location where Tipu 's body was found .       Preceded by Third Anglo - Mysore War   Anglo - Mysore Wars   Succeeded by None     Preceded by Third Anglo -- Mysore War   Indo - British conflicts   Succeeded by Second Anglo - Maratha War     References ( edit )    Jump up ^ George Childs Kohn ( 31 October 2013 ) . Dictionary of Wars . Routledge . pp. 322 -- 323 . ISBN 978 - 1 - 135 - 95494 - 9 .   Jump up ^ Naravane , M.S. ( 2014 ) . Battles of the Honorourable East India Company . A.P.H. Publishing Corporation . pp. 178 -- 181 . ISBN 9788131300343 .   Jump up ^ Forrest D ( 1970 ) Tiger of Mysore , Chatto &amp; Windus , London   Jump up ^ Holmes , Richard ( 2003 ) . Wellington : The Iron Duke . Harper Collins . p. 58 . ISBN 0 - 00 - 713750 - 8 .   Jump up ^ Narasimha , Roddam . `` Rockets in Mysore and Britain , 1750 - 1850 A.D. '' ( PDF ) . National Aerospace Laboratories . nal.res.in .   Jump up ^ Corner , Julia ( 1840 ) . The History of China &amp; India , Pictorial &amp; Descriptive ( PDF ) . London : Dean &amp; Co. , Threadneedle St. , . p. 334 . Retrieved 23 March 2015 .    Further reading ( edit )    Bonghi , Ruggero ( 1869 ) , `` Chapter - XIX : Lord Wellesley 's administration -- Fourth and last Mysore war , 1798 , 1799 '' , in Marshman , John Clark , The History of India from the Earliest Period to the Close of Lord Dalhousie 's , 2 , Longmans , Green , Reader &amp; Dyer , pp. 71 -- 102   Carter , Thomas ( 1861 ) , `` The Mysore War and the Siege of Seringapatam '' , India , China , etc , Medals of the British Army : And how They Were Won , 3 , Groombridge and sons , pp. 2 -- 6   Mill , James ; Wilson , Horace Hayman ( 1858 ) , `` Chapter - VIII '' , The History of British occupied India , 6 ( 5 ed . ) , J. Madden , pp. 50 -- 121              Colonial conflicts involving the English / British Empire     17th century     Virginia ( 1609 -- 46 )   Swally ( 1612 )   Ormuz ( 1622 )   Saint Kitts ( 1626 )   Quebec ( 1628 )   Pequot War ( 1634 -- 38 )   Acadia ( 1654 -- 67 )   Anglo - Spanish War ( 1654 -- 60 )   Jamaica ( 1655 -- 1739 )   King Philip 's War ( 1675 -- 78 )   King William 's War ( 1688 -- 97 )   Ghana ( 1694 -- 1700 )       18th century     Queen Anne 's War ( 1702 -- 13 )   Tuscarora War ( 1711 -- 15 )   Yamasee War ( 1715 -- 17 )   Father Rale 's War / Dummer 's War ( 1722 -- 25 )   War of Jenkins ' Ear ( 1740 -- 42 )   King George 's War ( 1744 -- 48 )   Carnatic Wars ( 1746 -- 63 )   Nova Scotia ( 1749 -- 55 )   French and Indian War ( 1754 -- 63 )   Seven Years ' War ( 1756 -- 63 )   Anglo -- Cherokee War ( 1758 -- 61 )   Jamaica ( 1762 )   Anglo - Spanish War ( 1762 -- 63 )   Pontiac 's War ( 1763 -- 66 )   Lord Dunmore 's War ( 1774 )   American Revolutionary War ( 1775 -- 83 )   First Anglo -- Maratha War ( 1775 -- 82 )   Second Anglo -- Mysore War ( 1779 -- 84 )   Gold Coast ( 1781 -- 82 )   Sumatra ( 1782 -- 84 )   Australian Frontier Wars ( 1788 -- 1934 )   Nootka Sound ( 1789 )   Third Anglo -- Mysore War ( 1789 -- 92 )   Cotiote ( Wayanad ) War ( 1793 -- 1806 )   Cape Colony ( 1795 )   Jamaica ( 1795 -- 96 )   Ceylon ( 1795 )   Kandyan Wars ( 1796 -- 1818 )   Malta ( 1798 -- 1800 )   Fourth Anglo -- Mysore War ( 1798 -- 99 )   Dwyer 's Guerrilla Campaign ( 1799 -- 1803 )       19th century     Newfoundland ( 1800 )   Castle Hill convict rebellion   Second Anglo -- Maratha War ( 1803 -- 05 )   Suriname ( 1804 )   Guiana ( 1804 )   Cape Colony ( 1806 )   Río de la Plata ( 1806 -- 07 )   Egypt ( 1807 )   Malta ( 1807 )   Reunion ( 1809 )   Seychelles ( 1809 )   Mauritius ( 1810 )   Java ( 1810 -- 11 )   Xhosa Wars ( 1811 -- 79 )   Martinique ( 1809 )   Guadeloupe ( 1810 )   USA ( 1812 -- 15 )   Nepal ( 1814 -- 16 )   Guadeloupe ( 1815 )   Cape Colony ( 1815 )   Third Anglo - Maratha War ( 1817 -- 18 )   Guiana ( 1823 )   Anglo - Ashanti wars ( 1824 -- 1901 )   First Anglo - Burmese War ( 1824 -- 26 )   Black War ( Van Diemen 's Land , 1828 -- 32 )   Jamaica ( 1831 -- 32 )   Malacca ( 1831 -- 33 )   Lower Canada ( 1837 -- 38 )   Upper Canada ( 1837 -- 38 )   Egyptian -- Ottoman War ( 1839 -- 41 )   First Anglo - Afghan War ( 1839 -- 42 )   First Opium War ( 1839 -- 42 )   New Zealand Wars ( 1845 -- 72 )   First Anglo -- Sikh War ( 1845 -- 46 )   Río de la Plata ( 1845 -- 50 )   Ceylon ( 1848 )   Second Anglo -- Sikh War ( 1848 -- 49 )   Second Anglo -- Burmese War ( 1852 )   Eureka Rebellion ( 1852 )   Anglo -- Persian War ( 1856 -- 57 )   Second Opium War ( 1856 -- 60 )   Indian Rebellion ( 1857 -- 59 )   Ambela Campaign ( 1863 -- 64 )   Bhutan War ( 1864 -- 65 )   Fenian Rebellion in Canada ( 1866 -- 71 )   Abyssinia ( 1868 )   Manitoba ( 1870 )   Perak ( 1875 -- 76 )   Anglo -- Zulu War ( 1879 )   Second Anglo - Afghan War ( 1879 -- 80 )   Basutoland ( 1880 -- 81 )   First Boer War ( 1880 -- 81 )   Mahdist War ( 1881 -- 99 )   Anglo - Egyptian War ( 1882 )   Saskatchewan ( 1885 )   Central Africa ( 1886 -- 89 )   Third Anglo - Burmese War ( 1885 )   Mashonaland ( 1890 )   Hunza - Nagar Campaign ( 1891 )   Anglo - Manipur War ( 1891 )   Matabeleland ( 1893 -- 94 )   North Borneo ( 1894 -- 1905 )   Chitral Expedition ( 1895 )   Jameson Raid South Africa ( 1896 )   Anglo -- Zanzibar War ( 1896 )   Matabeleland ( 1896 -- 97 )   Benin Expedition ( 1897 )   Siege of Malakand ( 1897 )   First Mohmand Campaign ( 1897 -- 98 )   Tirah Campaign ( 1897 -- 98 )   Six - Day War ( 1899 )   Boxer Rebellion ( 1898 -- 1901 )   Second Boer War ( 1899 -- 1902 )       20th century     Somaliland ( 1900 -- 20 )   West Africa ( 1901 -- 02 )   Tibet expedition ( 1903 -- 04 )   Bambatha Rebellion ( 1906 )   Nyasaland ( 1915 )   Nigeria ( 1915 )   Nigeria ( 1918 )   Third Anglo - Afghan War ( 1919 )   Waziristan campaign ( 1919 -- 20 )   Iraq ( 1920 )   Malabar Rebellion ( 1921 )   Kurdistan ( 1922 -- 24 )   Transjordan ( 1923 )   Pink 's War ( 1925 )   Ikhwan Revolt ( 1927 -- 30 )   Barzani revolt ( 1931 -- 32 )   Second Mohmand Campaign ( 1935 )   Palestine ( 1936 -- 39 )   Waziristan campaign ( 1936 -- 39 )   Ethiopia ( 1943 )   Indochina ( 1945 -- 46 )   Indonesia ( 1945 )   Sarawak ( 1946 -- 50 )   Malayan Emergency ( 1948 -- 60 )   Mau Mau Uprising Kenya ( 1952 -- 60 )   Oman ( 1954 -- 59 )   Cyprus Emergency ( 1955 -- 59 )   Suez Crisis ( 1956 )   Oman ( 1962 -- 76 )   Brunei ( 1962 )   Sarawak ( 1962 -- 90 )   Malaysia ( 1962 -- 66 )   Aden ( 1963 -- 67 )   Falklands ( 1982 )      Retrieved from `` https://en.wikipedia.org/w/index.php?title=Fourth_Anglo-Mysore_War&amp;oldid=796448533 '' Categories :   Wars involving the Kingdom of Mysore   Conflicts in 1798   Conflicts in 1799   History of Karnataka   Wars involving British India   Wars involving Great Britain   1798 in India   1799 in India   Hidden categories :   Use dmy dates from June 2017   Use Indian English from June 2017   All Wikipedia articles written in Indian English           Talk                                           Contents                   About Wikipedia                                           Български   Català   Deutsch   Español   Bahasa Indonesia   Italiano   ಕನ್ನಡ   ქართული   मराठी   Nederlands   </t>
    </r>
    <r>
      <rPr>
        <sz val="11"/>
        <color rgb="FF000000"/>
        <rFont val="Noto Sans CJK SC"/>
        <family val="2"/>
      </rPr>
      <t xml:space="preserve">日本 語   </t>
    </r>
    <r>
      <rPr>
        <sz val="11"/>
        <color rgb="FF000000"/>
        <rFont val="Calibri"/>
        <family val="0"/>
        <charset val="1"/>
      </rPr>
      <t xml:space="preserve">Português   Русский   اردو   Edit links   This page was last edited on 20 August 2017 , at 22 : 27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</si>
  <si>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was defeated and killed in the fourth mysore war at srirangapatna</t>
  </si>
  <si>
    <t xml:space="preserve"> This was the final conflict of the four Anglo -- Mysore Wars . The British captured the capital of Mysore . The ruler Tipu Sultan was killed in the battle . Britain took indirect control of Mysore , restoring the Wodeyar Dynasty to the Mysore throne ( with a British commissioner to advise him on all issues ) . Tipu Sultan 's young heir , Fateh Ali , was sent into exile . The Kingdom of Mysore became a princely state in a subsidiary alliance with British India and ceded Coimbatore , Dakshina Kannada and Uttara Kannada to the British . </t>
  </si>
  <si>
    <t xml:space="preserve">Saina Nehwal - wikipedia  Saina Nehwal  Jump to : navigation , search    Saina Nehwal     Nehwal in 2011         Birth name   Saina Nehwal     Country   India       ( 1990 - 03 - 17 ) 17 March 1990 ( age 27 ) Hisar , Haryana     Residence   Hyderabad , India     Height   1.65 m ( 5 ft 5 in )     Weight   67 kg ( 148 lb )     Handedness   Right - handed     Coach   Pullela Gopichand     Women 's singles     Career title ( s )   21     Highest ranking   1 ( 2 April 2015 )     Current ranking   10 ( 7 Dec 2017 )     Medal record ( show )        Women 's badminton     Representing India     Olympic Games       2012 London   Women 's singles     World Championships       2015 Jakarta   Women 's Singles       2017 Glasgow   Women 's Singles     Asian Championships       2010 New Delhi   Women 's singles       2016 Wuhan   Women 's singles     Uber Cup       2014 New Delhi   Team       2016 Kunshan   Team     Asian Games       2014 Incheon   Women 's team     Commonwealth Games       2010 New Delhi   Women 's singles       2010 New Delhi   Mixed Team       2006 Melbourne   Mixed Team     World Junior Championships       2008 Pune   Girls ' singles       2006 Incheon   Girls ' singles     Commonwealth Youth Games       2008 Pune   Girls ' singles       2004 Bendigo   Mixed team        BWF profile     Updated on 26 August 2017 .     Saina Nehwal ( pronunciation ( help info ) ; born 17 March 1990 ) is an Indian professional badminton singles player . Nehwal , the former world no . 1 has won over twenty one international titles , which include ten Superseries titles . Although she reached to the world no . 2 ranking in 2009 , it was only in 2015 that she was able to attain the world no . 1 ranking , thereby becoming the only female player from India and overall the second Indian player -- after Prakash Padukone -- to achieve this feat . She has represented India three times in the Olympics , winning bronze medal in her second appearance .   Nehwal has achieved several milestones in badminton for India . She is the only Indian to have won at least a medal in every BWF major individual event , namely the Olympics , the BWF World Championships , and the BWF World Junior Championships . She is the first Indian badminton player to have won an Olympic medal , along with being the only Indian to have won the BWF World Junior Championships or to have reached to the final of the BWF World Championships . In 2006 , Nehwal became the first Indian female and the youngest Asian to win a 4 - star tournament . She also has the distinction of being the first Indian to win a Super Series title . In the 2014 Uber Cup , she captained the Indian team and remained undefeated , helping India to win bronze medal . It was India 's first medal in any BWF major team event . She is a role model to many young badminton players .   Considered one of the most successful Indian sportspersons , she is credited for increasing the popularity of badminton in India . In 2016 , the Government of India ( GoI ) conferred the Padma Bhushan -- India 's third highest civilian award -- on her . Previously , the nation 's top two sporting honours , namely the Rajiv Gandhi Khel Ratna and the Arjuna Award , were also conferred on her by the GoI .     Contents  ( hide )   1 Personal life   2 Achievements   2.1 2006 -- 2009     2.3 2011   2.4 2012 -- 2013   2.5 2014   2.6 2015   2.7 2016   2.8 2017     3 Honours   4 International titles and runners - up   4.1 Individual titles ( 21 )   4.2 Individual runners - up ( 8 )   4.3 Individual Junior titles ( 3 )   4.4 Individual Junior runners - up ( 1 )   4.5 National titles and runners - up   4.5. 1 National Junior / Senior titles ( 12 )   4.5. 2 National Junior / Senior runners - up ( 1 )     4.6 Singles performance timeline   4.7 Record against top ranked players   4.8 Summer Olympics   4.8. 1 2008 Summer Olympics   4.8. 2 2012 Summer Olympics   4.8. 3 2016 Summer Olympics       5 Awards   6 Endorsements   7 See also   8 References   9 External links      Personal life ( edit )   Saina Nehwal , the second daughter of Harvir Singh Nehwal and Usha Rani Nehwal , was born in Hindu Jat family in Hisar . Her father worked in CCS HAU . She completed her first few years of schooling at Campus School CCS HAU , Hisar . The family later shifted to Hyderabad . Nehwal also has a brown belt in Karate . Saina did her Xll from St. Ann 's College Mehdipatnam Hyderabad .   Achievements ( edit )   2006 -- 2009 ( edit )   In 2006 , Saina became the under - 19 national champion and created history by winning the prestigious Asian Satellite Badminton tournament ( India Chapter ) twice , becoming the first player to do so . In May 2006 , the 16 - year - old Saina became the first Indian woman and the youngest player from Asia to win a 4 - star tournament -- the Philippines Open . Entering the tournament as the 86th seed , Saina went on to stun several top seeded players including the then world number four Xu Huaiwen before defeating Julia Wong Pei Xian of Malaysia for the title . The same year Saina was also the runner up at the 2006 BWF World Junior Championships , where she lost a hard fought match against top seed Chinese Wang Yihan . She did one better in the 2008 by becoming the first Indian to win the World Junior Badminton Championships by defeating ninth seeded Japanese Sayaka Sato 21 -- 9 , 21 -- 18 .   She became the first Indian woman to reach the quarter finals at the Olympic Games when she upset world number five and fourth seed Wang Chen of Hong Kong in a three - game thriller . In the quarter - finals Saina lost a nail biting 3 - gamer to world number 16 Maria Kristin Yulianti . In September 2008 , she won the Yonex Chinese Taipei Open 2008 beating Lydia Cheah Li Ya of Malaysia 21 -- 8 21 -- 19 . Maria Yulianti had earlier lost her quarter - final match to Pia Bernadet , Saina 's semi-final opponent , thus denying Saina a rematch . Saina was named `` The Most Promising Player '' in 2008 . She reached the world super series semifinals in the month of December 2008 .   In June 2009 , she became the first Indian to win a BWF Super Series title , the most prominent badminton series of the world by winning the Indonesia Open . She beat Chinese Wang Lin in the final 12 -- 21 , 21 -- 18 , 21 -- 9 . Saina on winning the tournament said , `` I had been longing to win a super series tournament since my quarter final appearance at the Olympics '' . Saina is on the par with the likes of Prakash Padukone and her mentor Pullela Gopichand who both won the all England championships which are of similar status to the super series . In August 2009 , she reached to the quarterfinals of the World Championships , losing to the second seed Wang Lin .     Saina successfully led the Indian Women Team to the Quarter - finals stage of the 2010 Uber Cup finals . Saina became the first Indian Woman to reach the semi finals of 2010 All - England Super Series before losing to eventual champion Tine Rasmussen . Top seeded Saina reached the semifinals of Yonex Sunrise Badminton Asia Championships 2010 losing out to unseeded eventual champion Li Xuerui of China . Saina 's Coach Gopichand advised her not exert too much pressure on herself due to the overwhelming home crowd support . Saina wins the 2010 India Open Grand Prix Gold , beating Wong Mew Choo of Malaysia in the final and thus justifying her billing as top seed in the tournament . She won a prize money of $8,280 for winning this BWF Grand Prix Gold tournament . Nehwal , again seeded no. 1 in the Singapore Open Super Series 2010 , entered the finals defeating World champion Lu Lan of China . Saina won the second Super Series title of her career by beating qualifier Tai Tzu - Ying of Chinese Taipei in the final of the Singapore Open 21 -- 18 , 21 -- 15 . But the fact that she won the tournament in the absence of all the top 5 ranked players takes a little sheen away from her path breaking victory . Saina won a prize money of $15,000 for winning this BWF Super Series tournament . Saina reached a career high of world no . 3 in the women 's singles badminton world rankings on 24 June 2010 . Saina defended her Indonesia Open super series title in three tough games against Sayaka Sato of Japan , 21 -- 19 , 13 -- 21 , 21 -- 11. This is her third super series title and her third successive title following wins at Indian open , Singapore Super series . She again won the top prize money of $18,750 for winning this BWF Super Series tournament . On 15 July 2010 , with 64791.26 points Saina Nehwal reached a career high world ranking of No. 2 only behind Wang Yihan of China . 2nd seed Saina , a tournament favourite , crashed out of the 2010 BWF World Championships in Paris after losing to 4th ranked Chinese Wang Shixian in straight sets 8 -- 21 , 14 -- 21 . She although equalled her tournament best performance , as she was also a losing quarter - finalist in the last edition held in Hyderabad . She subsequently dropped a spot to be No. 3 in the world rankings .   Top seed Saina , won the gold medal in the Women 's Singles badminton event in the 2010 Commonwealth Games held in New Delhi . She beat Wong Mew Choo of Malaysia 19 -- 21 23 -- 21 21 -- 13 . After her win Saina said , `` when I was a match - point down , it was like a shock . It was a big match and winning it means a lot to me . Even many years from now , those present here will always remember how Saina won the gold . It is a proud feeling '' . In the BWF Super Series ranking for the year 2010 ( which only considers the performances of players in the elite world super series tournaments ) , as on 27 September 2010 , Saina has dropped to No. 7 from a high of No. 1 after giving a miss to 2010 China Masters Super Series and 2010 Japan Super Series due to her preparation for the 2010 Commonwealth Games . As on 5 Dec 2010 , for the first time in the year Saina Nehwal dropped out of the top 10 best performers in the 2010 BWF Super Series rankings .   Saina Nehwal confirmed her participation for the 2010 Hong Kong Super series to held from 7 to 12 Dec 2010 and is also the penultimate super series tournament of the year . This would be Saina 's first super series tournament after a gap of more than 5 months since her win in the 2010 Indonesia Super Series in June 2010 . On 12 December 2010 , Saina Nehwal defeated Wang Shixian 15 -- 21 , 21 -- 16 , 21 -- 17 in the final of the 2010 Hong Kong Super Series to win her fourth career Super Series title .   2011 ( edit )   Fourth - seed Saina Nehwal crashed out of the 2011 Korea Open Super Series Premier on 27 January 2011 in the second round . She was defeated by the Japanese Sayaka Sato in a tight three - set match with score 17 -- 21 , 21 -- 19 and 21 -- 11 . Fifth - seed Saina was disappointed when she was defeated by Eriko Hirose of Japan at 2011 All England Super Series Premier on 11 March 2011 . She was defeated in straight sets with a score of 21 -- 11 and 22 -- 20 . It was her second early exit of the year after being defeated in Korean Premium Super Series earlier in January . One week later , on 17 March 2011 , she met Eriko Hirose again ( in the second round of the Wilson Badminton Swiss Open ) , but managed to win this time in three games 21 -- 15 , 17 -- 21 and 21 -- 11 -- on her birthday . 2nd seed Saina Nehwal beat Ji Hyun Sung of South Korea 21 -- 13 , 21 -- 14 to win the Swiss Open Grand Prix Gold badminton title on 20 March 2011 . Saina posed an early exit from the Indian Open Super Series in Delhi . She disappointed the home crowd being defeated by Ai Goto of Japan in straight games , 21 -- 17 and 21 -- 19 .   Saina Nehwal faltered after a good start as she lost to the then world number three Wang Xin of China in the finals to finish runner - up in the 2011 Malaysian Open Grand Prix Gold tournament on 8 May 2011 . Saina Nehwal participated in the 2011 BWF Double Star Sudirman Cup Mixed team event , she won her first match against Tzu Ying Tai of Chinese Taipei which was a tough three setter 21 -- 10 , 12 -- 21 21 -- 17 , but India lost the tie 3 -- 2 . She was then shocked in her second match by current Junior World Champion and 16 - year - old teen sensation Ratchanok Inthanon of Thailand losing in straight sets 21 -- 14 , 22 -- 20 , but India managed to beat Thailand 3 -- 2 in the tie to book a spot in the quarterfinals of the Elite mixed team event for the first time in the history of the tournament . In the quarterfinals against the mighty Chinese , Saina put up her best performance and beat the then World number two Xin Wang in straight sets 21 -- 15 , 21 -- 11 , but still the Chinese managed to move into the semi finals with a 3 -- 1 win over India . Saina lost to Li Xuerui of China in the quarterfinals of the Thailand Open GP Gold .   Defending Champion Saina lost to Cheng Shao - chieh of Chinese Taipei in the second round of Singapore Open Super Series . Saina , in her attempt to record a third straight win at the Indonesia Open Super Series Premier , reached the finals where she lost to Wang Yihan of China to finish as runner - up , on 26 June . Nehwal crashed out of World Championship 2011 as she lost 15 -- 21 , 10 -- 21 to World Number 3 Wang Xin of China in a lop - sided women 's singles match . Saina , who reached the quarterfinals in the last two editions of the event , had to be content with yet another last - eight finish . She lost in the quarter finals of 2011 China Masters Super Series against World No. 1 Wang Yihan of China in straight games , 8 -- 21 , 12 -- 21 . Saina lost in the semi finals of 2011 Japan Super Series against Juliane Schenk of Germany in straight games 19 -- 21 , 10 -- 21 . In the 2011 Denmark Super Series Premier , she lost to 17 - year - old teen Tai Tzu - ying of Taiwan in straight games 19 -- 21 , 13 -- 21 in the second round . Saina repeated her second - round exit in the 2011 French Super Series as she lost to World No. 16 Li Xuerui of China in straight games 18 -- 21 , 29 -- 30 . Saina lost in quarter finals of 2011 Hong Kong Super Series against World No. 7 Tine Baun of Denmark in straight games 16 -- 21 , 15 -- 21 .   Saina was defeated in the first round of 2011 China Open Super Series Premier by World No. 8 Bae Youn - joo of South Korea 21 -- 15 , 22 -- 24 , 15 -- 21 . During the season ending tournament in December , Saina Nehwal created history by becoming the first Indian singles player to reach the final of BWF Super Series Masters Finals after defeating World No. 5 Tine Baun of Denmark to cruise 21 -- 17 , 21 -- 18 in the semifinals of the 2011 BWF Super Series Masters Finals in Liuzhou ( China ) . She went on to lose the final 21 -- 18 , 13 -- 21 , 13 -- 21 against the World No. 1 Chinese Wang Yihan in a contest lasting over an hour .   2012 -- 2013 ( edit )   Saina successfully did her Swiss Open Title by defeating World No 2 Wang Shixian of China 21 -- 19 21 -- 16 on 18 March 2012 , a day after she turned 22 years old . On 10 June 2012 , Saina defeated Thailand 's Ratchanok Inthanon 19 -- 21 21 -- 15 21 -- 10 , to lift the Thailand Open Grand Prix Gold title .   On 17 June 2012 , Saina Nehwal won the Indonesia Open Super Series by defeating World No. 3 Li Xuerui of China 13 -- 21 , 22 -- 20 21 -- 19 . It was her 3rd Indonesia Open title . On 4 August 2012 , she won the bronze medal at the London Olympics when China 's Wang Xin retired from the match after an injury with the match at 18 -- 21 , 0 -- 1 . On 21 October 2012 , she won the Denmark Open Super Series Premier after defeating Wang Yihan 21 -- 12 12 -- 7 in the semifinal . Yihan got retired hurt in this match after losing first set and trailing in second set . In the final Saina defeated Juliane Schenk of Germany in two straight sets to lift her first Denmark open trophy .   2014 ( edit )   On 26 January 2014 Saina defeated World Championship bronze medalist P.V. Sindhu 21 -- 14 , 21 -- 17 to win the Women 's Singles of India Open Grand Prix Gold Tournament . On March , 2014 World No. 4 Saina Nehwal , who had a win - loss record of 4 -- 2 against the Chinese ace Wang Shixian , crashed out of the 2014 All England Super Series Premier after losing her quarter - final match . Saina took revenge of All England loss by defeating Wang Shixian in semifinals of 2014 Australian Super Series . In final on June 29 , 2014 Saina defeated Spain 's Carolina Marin 21 -- 18 , 21 -- 11 to win Women 's Singles of 2014 Australian Super Series . The win helped her to reach the ranking of World no . 7 , climbing two spots .   She became the 1st Indian woman to win the China Open Super Series Premier by beating Japan 's Akane Yamaguchi 21 -- 12 , 22 -- 20 in the final .   2015 ( edit )   Defending Champion Saina Nehwal won the 2015 India Open Grand Prix Gold by defeating Spain 's Carolina Marin in the Final . She became the first Indian woman shuttler to reach the finals of All England Open Badminton Championships , but lost to Carolina in the final . On 29 March 2015 , Saina won her maiden women 's singles title at the India Open BWF Super Series beating Ratchanok Intanon of Thailand . This assured her of becoming World number 1 when the latest BWF rankings were released on April 2 . Thus , she became the first Indian women 's player to be World No. 1 in badminton . On 16th Aug 2015 , Saina went down fighting to Carolina Marin again , in the Final of World Badminton Championships held in Jakarta , settling for the Silver . defending champion Saina Nehwal fought hard before going down to Li Xuerei in the final of china open   2016 ( edit )   Saina dealt with injuries in the starting of 2016 but she eventually recovered . She , the defending champion lost to the reigning Olympic Champion Li Xuerui in a hard fought match at the India Open in the semifinals . She registered semifinal finishes at the India Open and Malaysia Open . She reached the semifinals of the Badminton Asia Championships after defeating the third seed Wang Shixian ( 21 -- 16 21 -- 19 ) in the quarterfinals , but lost to Wang Yihan in the semifinals . She settled for bronze , her second in the Asian Championships after 2010 . In June 2016 , she competed at the Indonesia Open Superseries Premier , she reached the quarterfinals where she lost to the top seed Carolina Marin with the score of 22 -- 24 , 11 -- 21 .   At the Australian Super Series , after registering victories in straight games against unseeded players , Saina reached to the quarterfinals , where she won a hard - fought match against the second seed Ratchanok Intanon by 28 -- 26 , 21 -- 16 . After registering victory in the semifinals against the world no . 2 Wang Yihan by 21 -- 8 , 21 -- 12 , she won her first title of the year after defeating China 's Sun Yu in the final by 11 -- 21 , 21 -- 14 , 21 -- 19 .   Making her third appearance at the Olympics , Nehwal , the fifth seed , won her opening match against the unseeded Lohaynny Vicente in straight games . However , she lost her second match against the world no . 61 Marija Ulitina by 18 -- 21 , 19 -- 21 , thereby making exit at the group stage . Her coach cited the week - old knee injury for her below par performance at the event .   2017 ( edit )   Saina entered 2017 with maiden Malaysia open Grand prix Gold title . In August she was seeded 12th in World Badminton Champioships at Glasgow . Nehwal again dug deep into her reservoir to eke out a 21 - 19 18 - 21 21 - 15 win over world No. 31 Kristy Gilmour of Scotland in the quarterfinal . However she lost in the semifinal in tight 3 setter to eventual winner Nozomi Okhuhara of Japan thus bagging bronze medal . This is Saina 's second consecutive medal at World Badminton Championship and a record breaking 7th consecutive quarterfinal . She then won the 82nd national badminton championship by beating P.V. Sindhu in the final .   Honours ( edit )    Rajiv Gandhi Khel Ratna Award for Badminton   Arjuna Award for Badminton   Padma Bhushan for Badminton    International titles and runners - up ( edit )   Individual titles ( 21 ) ( edit )     S. No .   Year   Tournament   Opponent in final   Score       2006   Philippines Open   Julia Wong Pei Xian   21 -- 15 , 22 -- 20       2008   Chinese Taipei Open   Lydia Cheah   12 -- 21 , 21 -- 18 , 21 -- 9       2009   India Grand Prix   Aditi Mutatkar   21 -- 17 , 21 -- 13       2009   Indonesia Open   Wang Lin   12 -- 21 , 21 -- 18 , 21 -- 9     5     India Open   Wong Mew Choo   20 -- 22 , 21 -- 14 , 21 -- 12     6     Singapore Open   Tai Tzu - ying   21 -- 18 , 21 -- 15     7     Indonesia Open   Sayaka Sato   21 -- 19 , 13 -- 21 , 21 -- 11     8     Commonwealth Games   Wong Mew Choo   21 - 19 , 21 - 23 , 13 - 21     9     Hong Kong Open   Wang Shixian   15 -- 21 , 21 -- 16 , 21 -- 17     10   2011   Swiss Open   Sung Ji - hyun   21 -- 13 , 21 -- 14     11   2012   Swiss Open   Wang Shixian   21 -- 19 , 21 -- 16     12   2012   Thailand Open   Ratchanok Inthanon   19 -- 21 , 21 -- 15 , 21 -- 10     13   2012   Indonesia Open   Li Xuerui   13 -- 21 , 22 -- 20 , 21 -- 19     14   2012   Denmark Open   Juliane Schenk   21 -- 17 , 21 -- 8     15   2014   India Grand Prix Gold   P.V. Sindhu   21 -- 14 , 21 -- 17     16   2014   Australian Open   Carolina Marín   21 -- 18 , 21 -- 11     17   2014   China Open   Akane Yamaguchi   21 -- 12 , 22 -- 20     18   2015   Syed Modi International   Carolina Marín   19 -- 21 , 25 -- 23 , 21 -- 16     19   2015   India Open   Ratchanok Intanon   21 -- 16 , 21 -- 14     20   2016   Australian Open   Sun Yu   11 -- 21 , 21 -- 14 , 21 -- 19     21   2017   Malaysia Masters   Pornpawee Chochuwong   22 - 20 , 22 - 20     Individual runners - up ( 8 ) ( edit )     S. No .   Year   Tournament   Opponent in final   Score       2007   India International Challenge   Kanako Yonekura   13 -- 21 , 18 -- 21       2011   Malaysia Masters   Wang Xin   21 -- 13 , 8 -- 21 , 14 -- 21       2011   Indonesia Open   Wang Yihan   21 -- 12 , 21 -- 23 , 14 -- 21       2011   Super Series Masters Finals   Wang Yihan   21 -- 18 , 13 -- 21 , 13 -- 21     5   2012   French Open   Minatsu Mitani   19 -- 21 , 11 -- 21     6   2015   All England   Carolina Marín   21 -- 16 , 14 -- 21 , 7 -- 21     7   2015   World Championships   Carolina Marín   16 -- 21 , 19 -- 21     8   2015   China Open   Li Xuerui   12 -- 21 , 15 -- 21      BWF Event   Multi-sport event   Super Series Premier / Finals   Super Series   Grand Prix Gold   Grand Prix   International Challenge    Individual Junior titles ( 3 ) ( edit )     S. No .   Year   Tournament   Opponent in final   Score       2003   Czech Junior International ( de )   Yana Vorotnykova   11 -- 3 , 11 -- 6       2008   Commonwealth Youth Games   N. Sikki Reddy   23 -- 21 , 22 -- 20       2008   World Junior Championships   Sayaka Sato   21 -- 9 , 21 -- 18      BWF Event    Individual Junior runners - up ( 1 ) ( edit )     S. No .   Year   Tournament   Opponent in final   Score       2006   World Junior Championships   Wang Yihan   13 -- 21 , 9 -- 21      BWF Event    National titles and runners - up ( edit )  National Junior / Senior titles ( 12 ) ( edit )    S. No .   Year   Tournament   Age group   Format   Partner   Opponent ( s ) in final   Score   Ref .       2002   Sub-Junior National Badminton Championship   Under 13   Singles   N / A   Parsa Naqvi   11 -- 0 , 11 -- 4         2002   Sub-Junior National Badminton Championship   Under 13   Doubles   Pizza Bharali   Mudra Dhainje / Fernaz Jasdanwala   11 -- 5 , 11 -- 4         2002   Sub-Junior National Badminton Championship   Under 16   Doubles   Aparna Balan   Manisha Eswarappa / Y.K. Subrata   11 -- 2 , 11 -- 3         2003   Sub-Junior National Badminton Championship   Under 16   Singles   N / A   Anjali Kalita   11 -- 3 , 11 -- 13 , 11 -- 2       5   2003   Sub-Junior National Badminton Championship   Under 16   Doubles   Jyotshna P   G.M. Nischitha / Madhuri Vijay   15 -- 6 , 15 -- 7       6     Junior National badminton championships   Under 19   Singles   N / A   Ridhi Pajwani   11 -- 2 , 11 -- 4       7     Junior National badminton championships   Under 19   Doubles   Aparna Balan   T. Soumya / Ashwini Chowdary   15 -- 6 , 15 -- 10       8   2005   Junior National badminton championships   Under 19   Singles   N / A   Aditi Mutatkar   11 -- 5 , 13 -- 10       9   2005   Junior National badminton championships   Under 19   Doubles   Aparna Balan   V. Ruth Misha / Saumya Padhye   15 -- 2 , 15 -- 4       10   2007   Senior National Badminton Championships   Senior   Singles   N / A   Aditi Mutatkar   21 -- 19 , 21 -- 16       11   2007   National Games   Senior   Singles   N / A   Aditi Mutatkar   24 -- 22 , 21 -- 15       12   2008   Senior National Badminton Championships   Senior   Singles   N / A   Trupti Murgunde   21 -- 11 , 21 -- 10       13   2017   Senior National Badminton Championships   Senior   Singles   N / A   P.V. Sindhu   21 -- 17 , 27 -- 25      National Junior / senior runners - up ( 1 ) ( edit )    S. No .   Year   Tournament   Age group   Format   Partner   Opponent ( s ) in final   Score   Ref .       2006   Senior National Badminton Championships   Senior   Singles   N / A   Aparna Popat   11 -- 13 , 3 -- 11       Career overview        Singles   Played   Wins   Losses   Balance     Total *   477   339   138   + 201     Current year ( 2016 ) *   24   17   8   + 10         Doubles   Played   Wins   Losses   Balance     Total *   33   9   24   − 15     Current year ( 2016 ) *   0   0   0   0         * Statistics were last updated on 4 June 2016 .         Event   2008   2012   2016     Summer Olympics   QF   03 ! Bronze   Group Stage       Event   2006       Commonwealth Games   03 ! Bronze   01 ! Gold       Event     2008     Commonwealth Youth Games   02 ! Silver   01 ! Gold         Singles Titles     Type   No. of titles     Super Series Premier       Super Series   6     Grand Prix Gold   8     Grand Prix       Others       Total   23        Singles performance timeline ( edit )    Key          SF   QF   # R   RR   Q #     SF - B       NH   N / A       Tournament     2005   2006   2007   2008   2009     2011   2012   2013   2014   2015   2016   2017   SR   Best     BWF events     BWF World Junior Championships   2R   NH         N / A     1 / 3   W ( ' 08 )     BWF World Championships   NH     1R   3R   NH   QF   QF   QF   NH   QF   QF     NH     0 / 8   F ( ' 15 )     Olympics   N / A   NH   QF   NH     NH   RR     0 / 3   SF ( ' 12 )     BWF Super Series     All England Super Series Premier   N / A   2R   1R   1R   SF   QF   QF   SF   QF     QF     0 / 10   F ( ' 15 )     India Open Super Series   NH   N / A   1R   2R   2R   QF     SF     1 / 6   W ( ' 15 )     Malaysia Super Series Premier   N / A   Absent   QF   QF     SF   SF   2R   SF   SF     0 / 7   SF ( ' 12 , ' 13 , ' 15 , ' 16 )     Singapore Open Super Series   N / A     SF   QF     2R     QF   1R   Absent     1 / 6   W ( ' 10 )     Indonesia Super Series Premier   N / A     2R           SF   QF   QF   QF     3 / 9   W ( ' 09 , ' 10 , ' 12 )     Australian Open Super Series   N / A     QF       2 / 3   W ( ' 14 , ' 16 )     Japan Open Super Series   N / A     1R   1R     SF   Absent   2R       0 / 4   SF ( ' 11 )     Korea Open Super Series   N / A   Absent   2R     2R   QF   QF   Absent       0 / 4   QF ( ' 12 , ' 13 )     Denmark Super Series Premier   N / A   1R     QF     2R     QF   QF   2R       1 / 7   W ( ' 12 )     French Open Super Series   N / A   Absent   QF     2R     2R   QF   QF       0 / 6   F ( ' 12 )     China Open Super Series Premier   N / A   1R   1R   2R     1R     2R       1R     1 / 7   W ( ' 14 )     Hong Kong Open Super Series   N / A   1R   QF   1R     QF   2R   2R   QF     QF     1 / 8   W ( ' 10 )     Swiss Open Super Series   N / A   1R   2R   QF     N / A     0 / 3   QF ( ' 09 )     China Masters Super Series   NH   N / A     SF   Absent   QF   Absent   N / A     0 / 2   SF ( ' 08 )     BWF Super Series Masters Finals   NH   SF   SF       SF   RR   SF   RR       0 / 7   F ( ' 11 )     BWF Grand Prix Gold and Grand Prix     Malaysia Open Grand Prix Gold   NH   QF       Absent     1 / 3   W ( ' 17 )     Syed Modi Grand Prix Gold   N / A   NH     Absent   1R   NH           3 / 4   W ( ' 09 , ' 14 , ' 15 )     Swiss Open Grand Prix Gold   N / A       SF   QF     SF     2 / 5   W ( ' 11 , ' 12 )     Chinese Taipei Grand Prix Gold   N / A       Absent       1 / 1   W ( ' 08 )     Thailand Open Grand Prix Gold   N / A   1R   QF     NH   QF     QF   NH         1 / 5   W ( ' 12 )     India Open Grand Prix Gold   NH   2R   QF     N / A     1 / 3   W ( ' 10 )     Macau Open Grand Prix Gold   Absent   QF     0 / 1   QF ( ' 16 )     Other Events     Commonwealth Games   NH   3R   NH     NH     NH     1 / 2   W ( ' 10 )     Asian Games   NH   2R   NH   QF   NH   QF   NH     0 / 3   QF ( ' 10 , ' 14 )     Asian Championships   Absent   2R   2R   1R   1R       2R   Absent   QF       0 / 8   SF ( ' 10 , ' 16 )     Philippines Open   NH     1R   NH     NH     1 / 2   W ( ' 06 )     India Satellite         NH     2 / 2   W ( ' 05 , ' 06 )     Year - end Ranking             8         8       10     Record against top ranked players ( edit )   Record against Super Series finalists , World Championships semifinalists and Olympic quarterfinalists ( as of 12 June 2016 ) :     Opponent   Record   Opponent   Record   Opponent   Record     Carolina Marin   5 -- 4   Wang Yihan   5 -- 11   Wang Xin   3 -- 4     Jiang Yanjiao   0 -- 5   Lu Lan   4 -- 1   Wang Lin   2 -- 4     Li Xuerui   2 -- 12   Xie Xingfang   0 -- 2   Wang Shixian   7 -- 7     Tine Baun   5 -- 4   Juliane Schenk   8 -- 4   Cheng Shao - Chieh   3 -- 1     Tai Tzu - ying   5 -- 8   Bae Yeon - ju   9 -- 4   Sung Ji - hyun   9 -- 2     Eriko Hirose   4 -- 5   Nozomi Okuhara   6 -- 2   Minatsu Mitani   6 -- 4     Petya Nedelcheva   6 -- 2   Pi Hongyan   1 -- 5   Yip Pui Yin   6 -- 2     Zhou Mi   1 -- 3   Wang Chen   1 -- 3   Wong Mew Choo   5 -- 2     Porntip Buranaprasertsuk   8 -- 1   Ratchanok Inthanon   8 -- 5   Lindaweni Fanetri   3 -- 1     Maria Kristin Yulianti   0 -- 1   Zhang Ning   0 -- 1   Zhu Lin   2 -- 2     Lianne Tan   1 -- 0   Ella Diehl   5 -- 0   Sayaka Sato   5 -- 1     P.V. Sindhu   1 -- 1   Sun Yu   6 -- 2   Larisa Griga   1 -- 0        Summer Olympics ( edit )  2008 Summer Olympics ( edit )    Stage   Opponent   Result   Games   Points     First Round   Diehl ( RUS )   Won   2 -- 0   21 -- 9 , 21 -- 8     Second Round   Griga ( UKR )   Won   2 -- 0   21 -- 18 , 21 -- 10     Third Round   Wang Chen ( HKG )   Won   2 -- 1   21 -- 19 , 11 -- 21 , 21 -- 11     Quarter - finals   Yulianti ( INA )   Lost   1 -- 2   28 -- 26 , 14 -- 21 , 15 -- 21    2012 Summer Olympics ( edit )    Stage   Opponent   Result   Games   Points     Group Stage   Jaquet ( SUI )   Won   2 -- 0   21 -- 9 , 21 -- 4     Group Stage   L Tan ( BEL )   Won   2 -- 0   21 -- 4 , 21 -- 14     Octo - finals   Yao Jie ( NED )   Won   2 -- 0   21 -- 14 , 21 -- 16     Quarter - finals   Tine Baun ( DEN )   Won   2 -- 0   21 -- 15 , 22 -- 20     Semi-finals   Wang Yihan ( CHN )   Lost   0 -- 2   13 -- 21 , 13 -- 21     Bronze Medal Match   Wang Xin ( CHN )   Won   0 -- 1   18 -- 21 , 0 -- 1 retired    2016 Summer Olympics ( edit )    Stage   Opponent   Result   Games   Points     Group Stage   Vicente ( BRA )   won   2 -- 0   21 -- 17 , 21 -- 17     Group Stage   Ulitina ( UKR )   lost   0 -- 2   18 -- 21 , 19 -- 21     Awards ( edit )    Most Promising Player of the Year ( 2008 ) award by Badminton World Federation   Arjuna Award ( 2009 )   Padma Shri ( 2010 )   Rajiv Gandhi Khel Ratna ( 2009 -- 2010 )   Padma Bhushan ( 2016 )     For the Bronze medal at the 2012 London Olympics     ₹ 10 million ( US $160,000 ) cash award from the Haryana Government .   ₹ 5 million ( US $78,000 ) cash award from the Rajasthan Government .   ₹ 5 million ( US $78,000 ) cash award from the Andhra Pradesh Government .   ₹ 1 million ( US $16,000 ) cash award from the Badminton Association of India .   Honorary Doctorate Degree by Mangalayatan University   Honorary Doctorate Degree by SRM University    Endorsements ( edit )   In 2002 , sports brand Yonex offered to sponsor Saina 's kit . As her status and rankings improved , the sponsorships increased . In 2004 , BPCL ( Bharat Petroleum Corporation Limited ) signed the rising star . She is one of the athletes supported by Olympic Gold Quest . She is the brand ambassador of Sahara India Pariwar . Saina endorses Herbalife , Top Ramen Noodles , Fortune Cooking Oil , NECC , Indian Overseas Bank , Vaseline , Sahara and Yonex . Most recently Saina Nehwal was announced as the brand ambassador for Honor , the Huawei smartphone sub-brand .   She had signed an endorsement deal worth Rs. 400 million with th</t>
  </si>
  <si>
    <t xml:space="preserve">who was the first indian who win world junior badminton championship</t>
  </si>
  <si>
    <t xml:space="preserve"> Nehwal has achieved several milestones in badminton for India . She is the only Indian to have won at least a medal in every BWF major individual event , namely the Olympics , the BWF World Championships , and the BWF World Junior Championships . She is the first Indian badminton player to have won an Olympic medal , along with being the only Indian to have won the BWF World Junior Championships or to have reached to the final of the BWF World Championships . In 2006 , Nehwal became the first Indian female and the youngest Asian to win a 4 - star tournament . She also has the distinction of being the first Indian to win a Super Series title . In the 2014 Uber Cup , she captained the Indian team and remained undefeated , helping India to win bronze medal . It was India 's first medal in any BWF major team event . She is a role model to many young badminton players . </t>
  </si>
  <si>
    <t xml:space="preserve">National Museum of Natural History - wikipedia  National Museum of Natural History  This article is about the museum in Washington , D.C. . For the museum in New York City , see American Museum of Natural History . For national museums in other countries , see National Museum of Natural History ( disambiguation ) .  National Museum of Natural History   Main facade     Location within Washington , D.C.     Established   1910 ; 108 years ago ( 1910 )     Location   National Mall in Washington , D.C. , United States     Coordinates   38 ° 53 ′ 29 '' N 77 ° 01 ′ 33 '' W ﻿ / ﻿ 38.8913 ° N 77.0259 ° W ﻿ / 38.8913 ; - 77.0259 Coordinates : 38 ° 53 ′ 29 '' N 77 ° 01 ′ 33 '' W ﻿ / ﻿ 38.8913 ° N 77.0259 ° W ﻿ / 38.8913 ; - 77.0259     Type   Natural History     Visitors   6 million ( 2017 )     Director   Kirk Johnson     Public transit access   Smithsonian or Federal Triangle     Website   www.mnh.si.edu     The National Museum of Natural History is a natural - history museum administered by the Smithsonian Institution , located on the National Mall in Washington , D.C. , United States . It has free admission and is open 364 days a year . In 2016 , with 7.1 million visitors , it was the fourth most visited museum in the world and the most visited natural - history museum in the world . Opened in 1910 , the museum on the National Mall was one of the first Smithsonian buildings constructed exclusively to hold the national collections and research facilities . The main building has an overall area of 1,500,000 square feet ( 140,000 m ) with 325,000 square feet ( 30,200 m ) of exhibition and public space and houses over 1,000 employees .   The museum 's collections contain over 126 million specimens of plants , animals , fossils , minerals , rocks , meteorites , human remains , and human cultural artifacts . In 2016 it was the second most visited of all of the Smithsonian museums . It is also home to about 185 professional natural - history scientists -- the largest group of scientists dedicated to the study of natural and cultural history in the world .     Contents  ( hide )   1 History   1.1 1846 -- 1911   1.2 1981 -- 2003   1.3 2003 -- 2007   1.4 2007 -- 2012     2 Research and collections   3 Exhibitions   3.1 Hall of Geology , Gems , and Minerals   3.2 Hall of Human Origins   3.3 Dinosaurs / Hall of Paleobiology   3.4 Hall of Mammals   3.5 Insect Zoo   3.6 Ocean Hall   3.7 African Voices   3.8 Butterflies + Plants : Partners In Evolution   3.9 Western Cultures Hall   3.10 Korea Gallery   3.11 Teleology : Hall of Bones   3.12 Q ? rius     4 Other   5 Gallery   6 In popular culture   7 References   8 Bibliography   9 External links      History ( edit )   1846 -- 1911 ( edit )   The United States National Museum was founded in 1846 as part of the Smithsonian Institution . The museum was initially housed in the Smithsonian Institution Building , which is better known today as the Smithsonian Castle . A formal exhibit hall opened in 1858 . The growing collection led to the construction of a new building , the National Museum Building ( known today as the Arts and Industries Building ) . Covering a then - enormous 2.25 acres ( 9,100 m ) , it was built in just 15 months at a cost of $310,000 . It opened in March 1881 .   Congress authorized construction of a new building on June 28 , 1902 . On January 29 , 1903 , a special committee composed of members of Congress and representatives from the Smithsonian 's board of regents published a report asking Congress to fund a much larger structure than originally planned . The regents began considering sites for the new building in March , and by April 12 settled on a site on the north side of B Street NW between 9th and 12th Streets . The D.C. architectural firm of Hornblower &amp; Marshall was chosen to design the structure . Testing of the soil for the foundations was set for July 1903 , with construction expected to take three years .  Model T Ford parked in front of the National Museum in 1926  The Natural History Building ( as the National Museum of Natural History was originally known ) opened its doors to the public on March 17 , 1910 , in order to provide the Smithsonian Institution with more space for collections and research . The building was not fully completed until June 1911 . The structure cost $3.5 million ( about $85 million in inflation - adjusted 2012 ) dollars . The Neoclassical style building was the first structure constructed on the north side of the National Mall as part of the 1901 McMillan Commission plan . In addition to the Smithsonian 's natural history collection , it also housed the American history , art , and cultural collections .   1981 -- 2003 ( edit )   Between 1981 and 2003 , the National Museum of Natural History had 11 permanent and acting directors . There were six directors alone between 1990 and 2002 . Turnover was high as the museum 's directors were disenchanted by low levels of funding and the Smithsonian 's inability to clearly define the museum 's mission . Robert W. Fri was named the museum 's director in 1996 . One of the largest donations in Smithsonian history was made during Fri 's tenure . Kenneth E. Behring donated $20 million in 1997 to modernize the museum . Fri resigned in 2001 after disagreeing with Smithsonian leadership over the reorganization of the museum 's scientific research programs .   J. Dennis O'Connor , Provost of the Smithsonian Institution ( where he oversaw all science and research programs ) was named acting director of the museum on July 25 , 2001 . Eight months later , O'Conner resigned to become the vice president of research and dean of the graduate school at the University of Maryland . Douglas Erwin , a paleontologist at the National Museum of Natural History , was appointed interim director in June 2002 .  The museum as seen from the National Mall  2003 -- 2007 ( edit )   In January 2003 , the Smithsonian announced that Cristián Samper , a Colombian with an M.Sc. and Ph. D. from Harvard University , would become the museum 's permanent director on March 31 , 2003 . Samper ( who holds dual citizenship with Colombia and the United States ) founded the Alexander von Humboldt Biological Resources Research Institute and ran the Smithsonian Tropical Research Institute after 2001 . Smithsonian officials said Samper 's administrative experience proved critical in his appointment . Under Samper 's direction , the museum opened the $100 million Behring Hall of Mammals in November 2003 , received $60 million in 2004 for the Sant Hall of Oceans , and received a $1 million gift from Tiffany &amp; Co. for the purchase of precious gems for the National Gem Collection .  Aerial view , 2008  On March 25 , 2007 , Lawrence M. Small , Secretary of the Smithsonian Institution and the organization 's highest - ranking appointed official , resigned abruptly after public reports of lavish spending .   2007 -- 2012 ( edit )   On March 27 , 2007 Samper was appointed Acting Secretary of the Smithsonian . Paul G. Risser , former chancellor of the University of Oklahoma , was named Acting Director of the Museum of Natural History on March 29 .   Samper 's tenure at the museum was not without controversy . In May 2007 , Robert Sullivan , the former associate director in charge of exhibitions at the National Museum of Natural History , charged that Samper and Smithsonian Undersecretary for Science David Evans ( Samper 's supervisor ) ordered `` last minute '' changes in the exhibit `` Arctic : A Friend Acting Strangely '' to tone down the role of human beings in the discussion of global warming , and to make global warming seem more uncertain than originally depicted . Samper denied that he knew of any scientific objections to the changes , and said that no political pressure had been applied to the Smithsonian to make the changes . In November 2007 , The Washington Post reported that an interagency group of scientists from the Department of the Interior , NASA , National Oceanic and Atmospheric Administration ( NOAA ) , and National Science Foundation believed that , despite Samper 's denial , the museum `` acted to avoid criticism from congressional appropriators and global - warming skeptics in the Bush administration '' . The changes were discussed as early as mid-August 2005 , and Dr. Waleed Abdalati , manager of NASA 's Cryospheric Sciences Program , noted at the time that `` There was some discussion of the political sensitivities of the exhibit . '' Although the exhibit was due to open in October 2005 , the Post reported that Samper ordered a six - month delay to allow for even further changes . The newspaper also reported that it had obtained a memo drafted by Samper shortly after October 15 , 2005 , in which Samper said the museum should not `` replicate '' work by the Intergovernmental Panel on Climate Change . A few weeks later , a NOAA climate researcher advised a superior that the delay was due to `` the debate within the administration and the science community over the existence and cause of global warming '' . During the delay , Samper asked high - level officials in other government agencies and departments to review the script for the exhibit , ordered his museum staff to make additionals changes , and rearranged the sequence of the exhibit panels so that the discussion of climate change was not immediately encountered by museum visitors . Shortly before the exhibit opened in April 2006 , officials at NOAA and the United States Department of Commerce expressed to their superiors their opinion that the exhibit had been changed to accommodate political concerns . In an interview with The Washington Post in November 2007 , Samper said he felt the exhibit displayed a scientific certainty that did not exist , and expressed his belief that the museum should present evidence on both sides and let the public make up its own mind .  Inside the rotunda  The controversy became more heated after the press reported that Samper gave permission for the museum to accept a $5 million donation from American Petroleum Institute that would support the museum 's soon - to - be-opened Hall of Oceans . Two members of the Smithsonian Institution 's Board of Regents ( which had final say on accepting the donation ) questioned whether the donation was a conflict of interest . Before the board could consider the donation , the donor withdrew the offer .   Risser resigned as acting director of the museum on January 22 , 2008 , in order to return to his position at the University of Oklahoma . No new acting director was named at that time . Six weeks later , the Smithsonian regents chose Georgia Tech president G. Wayne Clough as the new Secretary . Samper stepped down to return to his position as Director of the National Museum of Natural History .   The remainder of Samper 's tenure at the museum proved less controversial . In June 2008 , the Victoria and Roger Sant family donated $15 million to endow the new Ocean Hall at the museum . The museum celebrated the 50th anniversary of its acquisition of the Hope Diamond in August 2009 by giving the gemstone its own exhibit and a new setting . In March 2010 , the museum opened its $21 million human evolution hall .   In January 2012 , Samper said he was stepping down from the National Museum of Natural History to become president and chief executive officer of the Wildlife Conservation Society . Two months later , the museum announced it had received a $35 million gift to renovate its dinosaur hall , and a month later the Sant family donated another $10 million to endow the director 's position . On July 25 , 2012 Kirk Johnson , vice president of research and collections at the Denver Museum of Nature and Science , was named Samper 's successor effective October 29 , 2012 . Johnson oversees a museum with 460 employees and a $68 million budget .   Research and collections ( edit )   The Smithsonian gives an approximate number for artifacts and specimens of 127.3 million . More specifically , the collections include 30 million insects , 4.5 million plants preserved in the Museum 's herbarium , and 7 million fish stored in liquid - filled jars . Of the 2 million cultural artifacts , 400,000 are photographs housed in the National Anthropological Archives . Through an off - site active loan and exchange program , the museum 's collections can be accessed . As a result , 3.5 million specimens are out on loan every year . The rest of the collections not on display are stored in the non-public research areas of the museum and at the Museum Support Center , located in Suitland , MD . Other facilities include a marine science center in Ft . Pierce , Florida and field stations in Belize , Alaska , and Kenya .   Research in the museum is divided into seven departments : anthropology , botany , entomology , invertebrate zoology , mineral sciences , paleobiology , vertebrate zoology .   One collection of nearly a million specimens of birds , reptiles , and mammals kept at the museum has been maintained by the Biological Survey unit of the U.S. Geological Survey . This division had started in 1885 as an economic ornithology unit of the Agriculture Department . Clarence Birdseye and Clinton Hart Merriam had worked in this organization . As of February 2018 , the unit 's funding is planned to be cut , and it is not clear what would happen to the collection .   Exhibitions ( edit )   Hall of Geology , gems , and minerals ( edit )  The Star of Asia , a large , 330 - carat cabochon - cut star sapphire in the U.S. National Gem Collection The Hope Diamond  The National Gem and Mineral Collection is one of the most significant collections of its kind in the world . The collection includes some of the most famous pieces of gems and minerals including the Hope Diamond and the Star of Asia Sapphire , one of the largest sapphires in the world . There are currently over 15,000 individual gems in the collection , as well as 350,000 minerals and 300,000 samples of rock and ore specimens . Additionally , the Smithsonian 's National Gem and Mineral Collection houses approximately 35,000 meteorites , which is considered to be one of the most comprehensive collections of its kind in the world .   The collection is displayed in the Janet Annenberg Hooker Hall of Geology , Gems and Minerals , one of the many galleries in the Museum of Natural History . Some of the most important donors , besides Hooker , are Washington A. Roebling , the man who built the Brooklyn Bridge , who gave 16,000 specimens to the collection ; Frederick A. Canfield , who donated 9,000 specimens to the collection ; and Dr. Isaac Lea , who donated the basis of the museum 's collection of 1312 gems and minerals .   Hall of Human Origins ( edit )  Rick Potts , head of Smithsonian Human Origins project  The David H. Koch Hall of Human Origins opened on March 17 , 2010 , marking the museum 's 100th anniversary . The hall is named for David H. Koch , who contributed $15 million to the $20.7 million exhibit .   The Hall is `` dedicated to the discovery and understanding of human origins , '' and occupies 15,000 square feet ( 1,400 m ) of exhibit space . Specimens include 75 replica skulls , an interactive human family tree that follows six million years of evolution , and a Changing the World gallery that focuses on issues surrounding climate change and humans ' impact on the world . The Hall 's core concept idea is `` What Does It Mean To Be Human '' , and focuses on milestones of Human Evolution such as Walking Upright , Bigger Brains , and Creating a World of Symbols . Also covered is the Smithsonian 's significant research on the geological and climate changes which occurred in East Africa during significant periods of Human Evolution . The exhibit highlights an actual fossil Neanderthal and replicas created by famed paleoartist , John Gurche . The exhibit has been criticized for downplaying the significance of human - caused global warming .   The exhibit also provides a complementary web site , which provides diaries and podcasts directly from related fields of research . The Companion Book , What Does It Mean To Be Human was written by Richard ( Rick ) Potts , the Curator , and Christopher Sloan . The exhibit was designed by Reich + Petch .   Dinosaurs / Hall of paleobiology ( edit )  Skeleton of Brontotherium The revised skeleton of Triceratops Play media A FossiLab volunteer uses lab equipment to sift through collected sediments for bone particles at the Smithsonian National Museum of Natural History .  The museum has over 570,000 catalogued reptiles from around the world . The National Collection of Amphibians and Reptiles has increased 300 percent since 1970 to over 570,000 specimen records in 2008 . The Hall of Dinosaurs has fossilized skeletons and cast models , including Tyrannosaurus rex cast facing a Triceratops cast . The Triceratops exhibit shows the first accurate dinosaur skeleton in virtual motion , achieved through the use of scanning and digital technology . '' The collection consists of 46 `` complete and important specimens '' of dinosaurs .   In May 2012 , billionaire David H. Koch donated $35 million toward the cost of a $45 million upgrade to the 30 - year - old , 25,000 square feet ( 2,300 m ) dinosaur hall . The hall is anticipated to close in the spring of 2014 and reopen in 2019 .   In June 2013 , the Smithsonian obtained a 50 - year lease on a T. rex fossil skeleton owned by the United States Army Corps of Engineers . It is the first T. rex skeleton to be displayed at the museum , which until now has only had the cast of a skull . The specimen , known as the `` Wankel '' or `` Devil '' rex , was found on Corps - owned land in the Charles M. Russell National Wildlife Refuge in Montana in 1988 . It has since been on display at the Museum of the Rockies in Bozeman , Montana ( which helped excavate the fossil ) . The `` Wankel rex '' ( whose skeleton is 85 percent complete ) was to be unveiled at the Museum of Natural History on National Fossil Day , October 16 , 2013 , and was supposed to be on display until the dinosaur hall exhibit closes for renovation in the spring of 2014 . The 35 - foot ( 11 m ) long skeleton will be the centerpiece of the dinosaur hall when it re-opens in 2019 . The Museum of the Rockies ( which did not own the skeleton but was the repository for it ) has about a dozen T. rex specimens , including one which is eighty percent complete . Only about six museums in the United States have a T. rex skeleton . The Museum of the Rockies is a Smithsonian affiliate museum , and had long promised to find a T. rex for the Smithsonian to display .   Due to the 2013 federal government shutdown , the fossil did not arrive in Washington , D.C. Smithsonian officials said it remained in storage in Montana , and would not arrive at the Smithsonian until late spring 2014 . Packed up in 16 crates , the T. rex , named `` Nation 's T. rex '' by the Smithsonian , traveled from the Museum of the Rockies and arrived at the National Museum of Natural History on April 15 , 2014 . The T. rex has been displayed in the Rex Room , while specialists performed a conservation assessment and the Smithsonian Digitization Program scanned each bone , to create a 3 - D model for research . The Nation 's T. rex will be the centerpiece of the new fossil hall , opening in 2019 .   Hall of Mammals ( edit )   The Behring Hall of Mammals was designed by Reich + Petch . The mammal specimens are presented as works of modern art within minimal environmentals . Visitors discover mammal 's evolutionary adaptions to hugely diverse contexts , and ultimately discover that they too are mammals .   The museum has the largest collection of vertebrate specimens in the world , nearly twice the size of the next largest mammal collections , including historically important collections from the nineteenth and early twentieth centuries . Its collection was initiated by C. Hart Merriam and the U.S. Department of Agriculture ( later the Department of the Interior ) , which expanded it in the 1890s - 1930s .   Insect zoo ( edit )   The O. Orkin Insect Zoo features live insects and exhibits about insects and entomologists . Different habitats have been created to show the type of insects that live in different environments and how they have adapted to a freshwater pond , house , mangrove swamp , desert , and rain forest . The zoo is sponsored by Orkin , a pest control company .   Ocean Hall ( edit )  Ocean Hall  The Sant Ocean Hall opened on September 27 , 2008 , and is the largest renovation of the museum since it opened in 1910 . The hall includes 674 marine specimens and models drawn from the over 80 million specimens in the museum 's total collection , the largest in the world . The hall is named for the Roger Sant family , who donated $15 million to endow the new hall and other related programs .   The collection includes : a coelenterate - long North Atlantic Right Whale , a 1,500 - gallon aquarium , one female giant squid displayed in the center of the hall and a male displayed off to the side , an adult coelenterate , and a Basilosaurus .   The museum also provides the Smithsonian Ocean Portal , a complementary web site which provides regularly updated , original content from the museum 's research , collections , and Sant Ocean Hall as well as content provided by more than 20 collaborating organizations , including Archive , Census of Marine Life , Consortium for Ocean Leadership , Encyclopedia of Life , INDUCT , Monterrey Bay Aquarium , Monterrey Bay Aquarium Research Institute , National Geographic , NOAA , New England Aquarium , Ocean Conservancy , Oceania , Pew Charitable Trusts , Sea Web , Save Our Seas , Scrips Institution of Oceanography , Woods Hole Oceanographic Institution , World Heritage Marine Programmer .   African voices ( edit )   This exhibit and associated website `` examines the diversity , dynamism , and global influence of Africa 's peoples and cultures over time in the realms of family , work , community , and the natural environment . ''   Butterflies + plants : partners in Evolution ( edit )   Featuring a live butterfly pavilion allows `` visitors to observe the many ways in which butterflies and other animals have evolved , adapted , and diversified together with their plant partners over tens of millions of years . '' The exhibit was designed by Reich + Petch .   Western cultures Hall ( edit )   `` This hall explores some examples from various cultures in the western world including northern Iraq , ancient Egypt , Greece and Rome and the recent discovery of the Iceman , a Copper Age mummy found in an Italian glacier . '' This exhibit closed September 26 , 2010 .   Korea gallery ( edit )   The Korea Gallery is a special showcase to celebrate Korean traditions and examine its unique influence and complex role in the world today .   The exhibit expresses the continuity of the past by highlighting enduring features of Korean culture that have influence and resonance today . The exhibit uses the Smithsonian ceramics collection as well as a rich selection of photographs , ritual objects and traditional Korean carpentry to communicate and connect to both the local Korean community and an international audience . Traditional art forms , such as ceramics and calligraphy , along with mythological figures , language , large feature photographs and illustrations speak to a range of shared historical memories that connect Koreans at home and abroad .   Personal stories of modern Koreans , as told in their own voices , provide a context to discuss some of the many issues that face the divided country today . Korea 's incredible transformation from ' The Hermit Kingdom ' to a world power is traced through its impact on the arts , the economy and popular culture . The exhibit was designed by Reich + Petch .   Teleology : Hall of Bones ( edit )   This exhibit displays a `` variety of vertebrate skeletons grouped by their evolutionary relationships . ''   Q ? rius ( edit )   Opened since 2013 , this exhibit is the museum 's interactive and educational area . Using , microscopes and touch screens , the area hosts various interactive activities and puzzles visitors can experience and contains a `` collection zone '' that houses over 6000 different specimens and artifacts visitors are able personally handle . The area also hosts various events such as allowing visitors to meet and discuss with Smithsonian scientists and hosting school groups .   Other ( edit )   The Discovery Room , a family - and student - friendly hands - on activity room on the first floor .   In the lower level , there is a bird exhibit , Urban Bird Habitat Garden , with all the migratory and native birds to Washington D.C.   The Global Volcanism Program is housed in the department of Mineral Sciences .   The museum frequently hosts sleepovers through the Smithsonian Associates for children ages 8 -- 12 .   Gallery ( edit )     Hall of Dinosaurs     Hall of Mammals     Hall of Mammals     In popular culture ( edit )    In Fallout 3 , a derelict exhibit at the museum serves as the entrance to Underworld , a civilization established by ghouls .   In the 2008 film Get Smart , the fictional spy organization CONTROL is located underneath the National Museum of Natural History .   The giant squid from the National Museum of Natural History inspired the octopus that comes to life in 20th Century Fox 's film Night at the Museum : Battle of the Smithsonian .   The exteriors of the Museum were used as a model for the `` Leyendecker Museum '' in the Sierra On - Line 1991 adventure game The Dagger of Amon Ra .    References ( edit )    Jump up ^ `` Visitor Statistics '' . Smithsonian Newsdesk . Archived from the original on 9 February 2018 . Retrieved 23 March 2018 .   ^ Jump up to : `` The World 's most popular museums '' , CNN.com , 22 June 2017 .   ^ Jump up to : `` Research &amp; Collections '' . National Museum of Natural History . Archived from the original on 15 April 2012 . Retrieved 12 April 2012 .   Jump up ^ D'Angelis , p. 35 .   Jump up ^ Evelyn , Dickson , and Ackerman , p. 107 .   Jump up ^ `` Plans for Museum Building . '' Washington Post . July 6 , 1902 .   ^ Jump up to : `` New Building for Museum . '' Washington Post . January 30 , 1903 .   Jump up ^ `` Site of New National Museum . '' Washington Post . March 7 , 1903 .   ^ Jump up to : `` New Museum Plans . '' Washington Post . April 13 , 1903 .   Jump up ^ `` Museum Building Design . '' Washington Post . May 24 , 1903 .   Jump up ^ `` This Day in Smithsonian History - March '' . Siarchives.si.edu . Archived from the original on 2010 - 06 - 08 . Retrieved 2010 - 04 - 18 .   Jump up ^ `` Museum History '' . National Museum of Natural History . 2008 . Archived from the original on 2009 - 07 - 26 . Retrieved 2009 - 11 - 15 .   Jump up ^ Bache , Rene . `` America 's $3,500,000 National Museum , Just Completed , Most Remarkable Structure of Its Kind in the World . '' Washington Post . March 6 , 1910 .   ^ Jump up to : Trescott , Jacqueline . `` Smithsonian Taps Biologist For Natural History Museum . '' Washington Post . January 30 , 2003 .   Jump up ^ `` Smithsonian Selects Fri for Natural History Post . '' Orlando Sentinel . March 21 , 1996 .   ^ Jump up to : Olson , Elizabeth . `` A Biologist Will Lead Smithsonian Museum . '' New York Times . January 30 , 2003 .   Jump up ^ `` Washington : New Museum Director . '' New York Times . July 26 , 2001 .   Jump up ^ Wiltz , Teresa . `` Smithsonian Losing a Sixth Key Director . '' Washington Post . April 4 , 2002 .   Jump up ^ `` Interim Chief Named At Natural History . '' Washington Post . June 6 , 2002 .   ^ Jump up to : `` Biologist Named to Head Smithsonian Natural History Museum . '' Associated Press . January 29 , 2003 .   Jump up ^ Epstein , Edward . `` East Bay Developer Pumps Millions Into Smithsonian Project . '' San Francisco Chronicle . November 15 , 2003 .   Jump up ^ Trescott , Jacqueline . `` Museum to Get $60 Million Exhibit . '' Washington Post . September 16 , 2004 .   Jump up ^ `` Tiffany Makes $1.1 Million Gift to Smithsonian Museum . '' Associated Press . June 7 , 2006 .   Jump up ^ Zongker , Brett . `` Smithsonian 's Top Official Resigns . '' Associated Press . March 26 , 2007 .   Jump up ^ Pogrebin , Robin . `` Smithsonian Scrambles to Regain Its Footing . '' New York Times . April 4 , 2007 .   Jump up ^ `` Acting Director Named at Smithsonian 's Natural History Museum . '' Associated Press . March 30 , 2007 .   ^ Jump up to : Grimaldi , James V. and Trescott , Jacqueline . `` Scientists Fault Climate Exhibit Changes . '' Washington Post . November 16 , 2007 .   Jump up ^ Zongker , Brett . `` Smithsonian Toned Down Exhibit on Arctic . '' Associated Press . May 21 , 2007 .   Jump up ^ Pogrebin , Robin . `` Gift to Smithsonian Is Rescinded . '' New York Times . November 17 , 2007 .   Jump up ^ `` Head of Smithsonian 's Natural History Museum Returning to OU . '' Associated Press . January 23 , 2008 .   Jump up ^ `` GIT President to Head Smithsonian . '' United Press International . March 15 , 2008 .   Jump up ^ `` Couple Gives $15 M for Smithsonian Ocean Hall . '' Associated Press . June 26 , 2008 .   Jump up ^ Schmid , Randolph E. `` Hope Diamond to Get New Setting for Anniversary . '' Associated Press . August 19 , 2009 .   Jump up ^ Zongker , Brett . `` Smithsonian Opens $21 M Human Evolution Hall . '' Associated Press . March 17 , 2010 ; Brotherton , Elizabeth . `` Natural History Details Origin of Our Species . '' Roll Call . March 22 , 2010 .   Jump up ^ Zongker , Brett . `` Head of Smithsonian Natural History Museum Resigns . '' Associated Press . January 23 , 2012 .   Jump up ^ Trescott , Jacqueline . `` Natural History Museum Gets $35 Million Gift . '' Washington Post . May 4 , 2012 ; `` Koch Gives Smithsonian $35 M for New Dinosaur Hall . '' Associated Press . May 3 , 2012 .   Jump up ^ Trescott , Jaqcqueline . `` Sants Give $10 Million to Natural History Museum . '' Washington Post . June 27 , 2012 .   Jump up ^ Parker , Lonnae O'Neal . `` Smithsonian Names New Director of Natural History Museum . '' Washington Post . July 26 , 2012 ; Zongker , Brett . `` Smithsonian Picks Paleontologist to Lead DC Museum . '' Associated Press . July 26 , 2012 .   Jump up ^ Kamen , Al . `` Meet the Smithsonian 's Fossil Guy . '' Washington Post . August 20 , 2013 . Archived July 19 , 2017 , at the Wayback Machine . Accessed 2013 - 08 - 20 .   ^ Jump up to : `` NMNH Fact Sheet '' . Smithsonian Institution . Archived from the original on 1 September 2012 . Retrieved 27 July 2012 .   ^ Jump up to : `` About the Museum '' . National Museum of Natural History . Archived from the original on 15 August 2012 . Retrieved 31 July 2012 .   Jump up ^ `` Museum Support Center Library '' . Smithsonian Libraries . Archived from the original on 2 July 2012 . Retrieved 2 August 2012 .   Jump up ^ Juliet Eilperin . Trump has long vowed to slash government Archived 2018 - 03 - 11 at the Wayback Machine ... Washington Post . 26 Feb 2018   ^ Jump up to : Hevesi , Dennis ( 2008 - 04 - 06 ) . `` George Switzer , 92 , Dies ; Started a Gem Treasury '' . New York Times . Archived from the original on 2013 - 12 - 20 . Retrieved 2008 - 04 - 09 .   Jump up ^ Klein , Julia M. ( May 11 , 2010 ) . `` Our Species Rediscovers Its Cousin '' . Wall Street Journal .   Jump up ^ `` Smithsonian Opens Human Evolution Hall '' . CBS News . March 17 , 2010 . Archived from the original on 22 October 2014 . Retrieved 17 October 2014 .   Jump up ^ O'Sullivan , Michael ( March 19 , 2010 ) . `` Smithsonian 's Natural History Museum opens its Hall of Human Origins '' . The Washington Post . Archived from the original on 25 October 2014 . Retrieved 17 October 2014 .   Jump up ^ Rothstein , Edward ( March 18 , 2010 ) . `` Searching the Bones of Our Shared Past '' . Archived from the original on 27 October 2014 . Retrieved 17 October 2014 .   Jump up ^ `` Polluter - Funded Evolution &amp; Climate Exhibit at the Smithsonian '' . National Wildlife Federation . Archived from the original on 2014 - 05 - 06 .   Jump up ^ Mayer , Jane ( August 30 , 2010 ) . `` Covert Operations : The billionaire brothers who are waging a war against Obama '' . The New Yorker . Archived from the original on October 7 , 2012 . Retrieved March 20 , 2015 .   Jump up ^ `` New Exhibition Hall Devoted to Human Origins Opens at National Museum of Natural History '' . National Museum of Natural History . March 2010 . Retrieved 2010 - 03 - 16 .   Jump up ^ `` Vertebrate Zoology : Division of Amphibians &amp; Reptiles '' . National Museum of Natural History . 2008 . Archived from the original on 2008 - 1</t>
  </si>
  <si>
    <t xml:space="preserve">when was the national museum of natural history built</t>
  </si>
  <si>
    <t xml:space="preserve"> The National Museum of Natural History is a natural - history museum administered by the Smithsonian Institution , located on the National Mall in Washington , D.C. , United States . It has free admission and is open 364 days a year . In 2016 , with 7.1 million visitors , it was the fourth most visited museum in the world and the most visited natural - history museum in the world . Opened in 1910 , the museum on the National Mall was one of the first Smithsonian buildings constructed exclusively to hold the national collections and research facilities . The main building has an overall area of 1,500,000 square feet ( 140,000 m ) with 325,000 square feet ( 30,200 m ) of exhibition and public space and houses over 1,000 employees . </t>
  </si>
  <si>
    <t xml:space="preserve">South Carolina gubernatorial election , 2018 - wikipedia  South Carolina gubernatorial election , 2018  Jump to : navigation , search  South Carolina gubernatorial election , 2018          ← 2014   November 6 , 2018   2022 →                   Party   Republican   Democratic           Incumbent Governor  Henry McMaster Republican               Elections in South Carolina         Federal government ( show )    Presidential elections       1788 - 89   1792   1796   1800   1804   1808   1812   1816   1820   1824   1828   1832   1836   1840   1844   1848   1852   1856   1860   1868   1872   1876   1880   1884   1888   1892   1896   1900   1904   1908   1912   1916   1920   1924   1928   1932   1936   1940   1944   1948   1952   1956   1960   1964   1968   1972   1976   1980   1984   1988   1992     2000     2008   2012   2016       Presidential primaries       Democratic     2008     Republican   2000   2008   2012         United States Senate elections       1896   1902   1908   1912   1914   1918   1920   1924   1926   1930   1932   1936   1938   1942   1944   1948   1950   1954   1956   1960   1962   1966   1968   1972     1978   1980   1984   1986   1990   1992     1998   2002     2008     2014   2016       United States House elections       1788   1870   1872   1874   1876   1878   1880   1882   1884   1886   1888   1890   1892   1894   1896   1898   1900   1902   1904   1906   1908   1910   1912   1914   1916   1918   1920   1922   1924   1926   1928   1930   1932   1934   1936   1938   1940   1942   1944   1946   1948   1950   1952   1954   1956   1958   1960   1962   1964   1966   1968   1970   1972     1976   1978   1980   1982   1984   1986   1988   1990   1992   1994     1998   2000   2002     2006   2008     2012   2014   2016       Special elections       Senate , 1897   7th district , 1901   4th district , 1915   Senate , 1918   6th district , 1919   7th district , 1919   Senate , 1941   4th district , 1953   1st district , 1971   2nd district , 2001   1st district , 2013   Senate , 2014   5th district , 2017   Others          State offices ( show )    General elections       2006     2014       Gubernatorial elections       1865   1868   1870   1872   1874   1876   1878   1880   1882   1884   1886   1888   1890   1892   1894   1896   1898   1900   1902   1904   1906   1908   1910   1912   1914   1916   1918   1920   1922   1924   1926   1930   1934   1938   1942   1946   1950   1954   1958   1962   1966   1970     1978   1982   1986   1990   1994   1998   2002   2006     2014       State Senate elections       2008       State House elections       2008          Ballot measures ( show )      2006   Amendment 1     2008     2012   2014                      The 2018 South Carolina gubernatorial election will take place on November 6 , 2018 , to elect the Governor of South Carolina . Incumbent Republican Governor Henry McMaster is currently running for election to a full term .     Contents  ( hide )   1 Republican primary   1.1 Candidates   1.1. 1 Declared   1.1. 2 Potential   1.1. 3 Declined     1.2 Endorsements   1.3 Polling     2 Democratic primary   2.1 Candidates   2.1. 1 Declared   2.1. 2 Potential   2.1. 3 Declined     2.2 Endorsements     3 General election   3.1 Predictions     4 See also   5 References   6 External links      Republican primary ( edit )   Candidates ( edit )  Declared ( edit )   Kevin Bryant , incumbent Lieutenant Governor   Yancey McGill , former Democratic Lieutenant Governor and former Democratic State Senator   Henry McMaster , incumbent Governor   Catherine Templeton , former Director of the South Carolina Department of Health and Environmental Control and former Director of the Department of Labor , Licensing and Regulation   Potential ( edit )   Jeff Duncan , U.S. Representative   Kirkman Finlay , state representative   Curtis Loftis , state treasurer   Tommy Pope , State Representative and candidate for SC - 05 in 2017   Mark Sanford , U.S. Representative and former Governor   Bill Stern , real estate developer and former South Carolina Ports Authority Chairman   Declined ( edit )   Tom Davis , state senator   Mikee Johnson , businessman and former Chairman of the South Carolina Chamber of Commerce ( endorsed Catherine Templeton )   Joe Taylor , former South Carolina Secretary of Commerce   Billy Wilkins , former Chief Judge of the United States Court of Appeals for the Fourth Circuit   Tim Scott , U.S. Senator   Alan Wilson , Attorney General ( running for re-election )    Endorsements ( edit )     ( show ) Henry McMaster       Donald Trump , President of the United States       Polling ( edit )     Poll source   Date ( s )  administered    Sample  size    Margin  of error    Kevin Bryant   Henry McMaster   Yancey McGill   Catherine Templeton   Other   Undecided     South Carolina Public Affairs   October 10 -- 11 , 2017   633   ± 4 %   5 %   33 %   5 %   7 %   --   50 %     Democratic primary ( edit )   Candidates ( edit )  Declared ( edit )   Phil Cheney , former Anderson City Councilman , candidate for SC - 03 in 2006 and write - in candidate for SC - 05 in 2017   Phil Noble , business and technology consultant and candidate for Lieutenant Governor in 1994   James Smith , State Representative   Potential ( edit )   Justin Bamberg , State Representative   Steve Benjamin , Mayor of Columbia   Elizabeth Colbert Busch , Director of Business Development at Clemson University 's Restoration Institute and nominee for SC - 01 in 2013   Terrence Culbreath , Mayor of Johnston   Brad Hutto , state senator and nominee for the U.S. Senate in 2014   Marlon Kimpson , state senator   Gerald Malloy , state senator   Thomas McElveen , state senator   Russell Ott , state representative   David Pascoe , Solicitor for South Carolina 's 1st Circuit   Mandy Powers Norrell , state representative   John Scott , State Senator   Bakari Sellers , former state representative and nominee for lieutenant governor in 2014   Vincent Sheheen , state senator and nominee in 2010 and 2014   Marguerite Willis , attorney   Stephen Wukela , Mayor of Florence   Declined ( edit )   Inez Tenenbaum , former State Superintendent of Education , former Chair of the Consumer Product Safety Commission and nominee for the U.S. Senate in 2004    Endorsements ( edit )     ( show ) James Smith       Joe Biden , former Vice President of the United States   Jim Hodges , former Governor of South Carolina   Steve Benjamin , current Mayor of Columbia       General election ( edit )   Predictions ( edit )     Source   Ranking   As of     The Cook Political Report   104 ! Solid R   August 7 , 2017     Rothenberg Political Report   104 ! Solid R   November 10 , 2017     Sabato 's Crystal Ball   104 ! Safe R   November 14 , 2017     See also ( edit )    South Carolina elections , 2018    References ( edit )    Jump up ^ Brown , Andy ( July 28 , 2017 ) . `` ' I am the right ' : South Carolina Lt. Gov. Kevin Bryant joins 2018 governor 's race '' . The Post and Courier . Retrieved September 5 , 2017 .   Jump up ^ Shain , Andrew ( March 21 , 2016 ) . `` EXCLUSIVE : Former Lt. Gov. McGill running for governor as a Republican '' . The State . Retrieved May 25 , 2016 .   ^ Jump up to : Jackson , Gavin ( September 4 , 2016 ) . `` 2018 governor 's race starts to loom large after November . So who 's going to run ? '' . The Post and Courier . Retrieved September 5 , 2016 .   Jump up ^ Kinnard , Meg ( August 25 , 2016 ) . `` McMaster is ' hoping to be in ' next South Carolina gov 's race '' . The Herald . Retrieved September 5 , 2016 .   Jump up ^ Duncan , Emma ; Kropf , Schuyler ( November 19 , 2016 ) . `` Catherine Templeton running for governor '' . The Post and Courier . Retrieved November 28 , 2016 .   ^ Jump up to : Brack , Andy ( July 17 , 2015 ) . `` Possible candidates already eyeing governor 's mansion '' . Statehouse Report . Retrieved May 25 , 2016 .   Jump up ^ `` 2018 SC Governor 's Race : Status Check '' . FITS News . March 9 , 2016 . Retrieved May 25 , 2016 .   Jump up ^ Marchant , Bristow ( November 15 , 2014 ) . `` State Rep. Pope of York already thinking about 2018 gubernatorial election '' . The Herald . Retrieved May 25 , 2016 .   Jump up ^ Shain , Andrew ( April 30 , 2016 ) . `` Developer considering Trump - like run for SC governor '' . The State . Retrieved May 25 , 2016 .   Jump up ^ Shain , Andy ( September 6 , 2017 ) . `` Sen. Tom Davis opts out of running for South Carolina governor in 2018 '' . The Post and Courier . Retrieved September 7 , 2017 .   Jump up ^ `` Governor 2018 : Mikee Johnson Is Out '' . FITS News . March 18 , 2016 . Retrieved May 25 , 2016 .   Jump up ^ `` Joe Taylor Mulls 2018 Gubernatorial Bid '' . FITS News . September 8 , 2016 . Retrieved September 21 , 2016 .   Jump up ^ `` Catherine Templeton Backed By Joe Taylor '' . FITS News . September 29 , 2017 . Retrieved September 29 , 2017 .   Jump up ^ Dykes , David ( August 26 , 2016 ) . `` Billy Wilkins considering run for governor in ' 18 '' . Greenville Journal . Retrieved September 5 , 2016 .   Jump up ^ Dykes , David ( November 14 , 2016 ) . `` Wilkins wo n't run for governor in 2018 '' . Upstate Business Journal . Retrieved November 28 , 2016 .   Jump up ^ http://www.postandcourier.com/news/tim-scott-trey-gowdy-could-team-up-for-governor-lt/article_3db2dfa8-a84c-11e6-89a3-6bacb2ef32cd.html   Jump up ^ Dumain , Emma ; Kropf , Schuyler ( December 5 , 2016 ) . `` Sen. Tim Scott leaning toward not running for South Carolina governor '' . The Post and Courier . Retrieved December 12 , 2016 . CS1 maint : Multiple names : authors list ( link )   Jump up ^ edumain@postandcourier.com , Emma Dumain . `` South Carolina 2018 governor 's race : Sen. Tim Scott out , Catherine Templeton in '' . Post and Courier . Retrieved 2017 - 04 - 04 .   Jump up ^ Kropf , Schuyler ( October 7 , 2017 ) . `` Palmetto Politics : All of South Carolina 's Republicans in Washington took gun lobby money last year '' . The Post and Courier . Retrieved October 9 , 2017 .   Jump up ^ `` President Trump endorsing Governor McMaster for re-election in 2018 '' . Live 5 News . WCSC - TV . 9 October 2017 . Retrieved 14 October 2017 .   Jump up ^ `` SC - Gov : South Carolina Public Affairs ( October 2017 ) '' . Scribd . Retrieved 2017 - 11 - 15 .   Jump up ^ Benson , Adam ( September 18 , 2017 ) . `` Gubernatorial hopeful wants Nicholson as running mate , forgets to tell him '' . Index - Journal . Retrieved October 11 , 2017 .   Jump up ^ Kropf , Schuyler ( 10 October 2017 ) . `` Charleston consultant Phil Noble joins Democratic Race for Governor '' . Charleston Post Courier . Retrieved 10 October 2017 .   Jump up ^ Shain , Andy ( 5 October 2017 ) . `` Rep. James Smith becomes first Democrat to enter 2018 South Carolina governor 's race '' . Charleston Post Courier . Retrieved 5 October 2017 .   Jump up ^ Majchrowicz , Michael ( August 20 , 2017 ) . `` Rep. Justin Bamberg ' exploring ' possible run in 2018 South Carolina governor race '' . The Post and Courier . Retrieved August 21 , 2017 .   Jump up ^ Marchant , Bristow ( August 25 , 2017 ) . `` If Richland 's Rep. Smith runs for SC governor , Lowcountry Democrat will support him '' . The State . Retrieved September 5 , 2017 .   ^ Jump up to : Self , Jamie ( September 20 , 2016 ) . `` Democrats running for SC governor ? It 's anyone 's guess '' . The State . Retrieved September 21 , 2016 .   ^ Jump up to : Jones , Tyler ( September 13 , 2016 ) . `` 2018 SC Governor 's Race - 8 Democrats to Watch '' . Speak Strategic . Retrieved September 21 , 2016 .   Jump up ^ `` # SC2018 : John Scott Making Calls '' . FITS News . August 28 , 2017 . Retrieved September 5 , 2017 .   Jump up ^ Kropf , Schuyler ; Shain , Andy ( September 2 , 2017 ) . `` Palmetto Politics : Merrill 's exit sets up battle of Daniel Island '' . The Post and Courier . Retrieved September 5 , 2017 .   Jump up ^ Shain , Andy ( October 8 , 2017 ) . `` Joe Biden on why he 's involved in S.C. 's governor 's race , Trump 's global problems , Thurmond 's take on D.C. today '' . The Post and Courier . Retrieved October 9 , 2017 .   Jump up ^ Kropf , Schuyler ( 12 October 2017 ) . `` Former Democratic Gov. Jim Hodges backs James Smith for South Carolina governor in 2018 '' . Post and Courier . Retrieved 14 October 2017 .   Jump up ^ Trainor , Chris ( November 13 , 2017 ) . `` Mayor Steve Benjamin Endorses James Smith for Governor '' . The Free Times . Retrieved November 13 , 2017 .   Jump up ^ `` 2018 Governor Race ratings The Cook Political Report '' . The Cook Political Report . Retrieved 2017 - 11 - 15 .   Jump up ^ `` Gubernatorial Ratings Inside Elections '' . insideelections.com . Retrieved 2017 - 11 - 15 .   Jump up ^ `` Larry J. Sabato 's Crystal Ball '' 2018 Governor `` . www.centerforpolitics.org . Retrieved 2017 - 11 - 15 .    External links ( edit )    Kevin Bryant ( R ) for Governor   Yancey McGill ( R ) for Governor   Henry McMaster ( R ) for Governor   Catherine Templeton ( R ) for Governor   James Smith ( D ) for Governor   Phil Noble ( D ) for Governor              ( 2017 ← ) 2018 United States elections ( → 2019 )     U.S. Senate     Arizona   California   Connecticut   Delaware   Florida   Hawaii   Indiana   Maine   Maryland   Massachusetts   Michigan   Minnesota   Mississippi   Missouri   Montana   Nebraska   Nevada   New Jersey   New Mexico   New York   North Dakota   Ohio   Pennsylvania   Rhode Island   Tennessee   Texas   Utah   Vermont   Virginia   Washington   West Virginia   Wisconsin   Wyoming       U.S. House     Alabama   Alaska   American Samoa   Arizona   Arkansas   California   Colorado   Connecticut   Delaware   District of Columbia   Florida   Georgia   Guam   Hawaii   Idaho   Illinois   Indiana   Iowa   Kansas   Kentucky   Louisiana   Maine   Maryland   Massachusetts   Michigan   Minnesota   Mississippi   Missouri   Montana   Nebraska   Nevada   New Hampshire   New Jersey   New Mexico   New York   North Carolina   North Dakota   Northern Mariana Islands   Ohio   12th ( special )     Oklahoma   Oregon   Pennsylvania   18th ( special )     Puerto Rico   Rhode Island   South Carolina   South Dakota   Tennessee   Texas   Utah   Vermont   Virginia   U.S. Virgin Islands   Washington   West Virginia   Wisconsin   Wyoming       Governors     Alabama   Alaska   Arizona   Arkansas   California   Colorado   Connecticut   Florida   Georgia   Guam   Hawaii   Idaho   Illinois   Iowa   Kansas   Maine   Maryland   Massachusetts   Michigan   Minnesota   Nebraska   Nevada   New Hampshire   New Mexico   New York   Northern Mariana Islands   Ohio   Oklahoma   Oregon   Pennsylvania   Rhode Island   South Carolina   South Dakota   Tennessee   Texas   U.S. Virgin Islands   Vermont   Wisconsin   Wyoming       Mayoral     Louisville   Newark   Oakland   Phoenix   San Jose   Shreveport   Washington , D.C.       States / Territories     Alabama   Alaska   American Samoa   Arizona   Arkansas   California   Colorado   Connecticut   Delaware   Florida   Georgia   Guam   Hawaii   Idaho   Illinois   Indiana   Iowa   Kansas   Kentucky   Louisiana   Maine   Maryland   Massachusetts   Michigan   Minnesota   Mississippi   Missouri   Montana   Nebraska   Nevada   New Hampshire   New Jersey   New Mexico   New York   North Carolina   North Dakota   Ohio   Oklahoma   Oregon   Pennsylvania   Puerto Rico   Rhode Island   South Carolina   South Dakota   Tennessee   Texas   U.S. Virgin Islands   Utah   Vermont   Virginia   Washington   West Virginia   Wisconsin   Wyoming      Retrieved from `` https://en.wikipedia.org/w/index.php?title=South_Carolina_gubernatorial_election,_2018&amp;oldid=811971477 '' Categories :   South Carolina gubernatorial elections   United States gubernatorial elections , 2018   South Carolina elections , 2018   Hidden categories :   CS1 maint : Multiple names : authors list           Talk                                           Contents                   About Wikipedia                                           Add links   This page was last edited on 25 November 2017 , at 03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</si>
  <si>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running for governor of south carolina 2018</t>
  </si>
  <si>
    <t xml:space="preserve">  Kevin Bryant , incumbent Lieutenant Governor   Yancey McGill , former Democratic Lieutenant Governor and former Democratic State Senator   Henry McMaster , incumbent Governor   Catherine Templeton , former Director of the South Carolina Department of Health and Environmental Control and former Director of the Department of Labor , Licensing and Regulation  </t>
  </si>
  <si>
    <t xml:space="preserve">Fall Out Boy - wikipedia  Fall Out Boy  Jump to : navigation , search This article is about the rock band . For other uses , see Fallout Boy .    Fall Out Boy     Fall Out Boy performing at Rock im Park 2014 . From left to right : Joe Trohman , Patrick Stump , Andy Hurley and Pete Wentz .     Background information     Origin   Wilmette , Illinois , U.S.     Genres     Pop punk   pop rock   emo pop   emo       Years active     2001 -- 2009   2013 -- present       Labels     Uprising   Fueled by Ramen   Island   DCD2   PAX AM       Associated acts     Arma Angelus   Racetraitor   The Damned Things       Website   falloutboy.com         Members     Patrick Stump   Joe Trohman   Pete Wentz   Andy Hurley           Past members     Ben Rose   Mike Pareskuwicz   T.J. Kunasch   Brandon Hamm       Fall Out Boy is an American rock band formed in Wilmette , Illinois , a suburb of Chicago , in 2001 . The band consists of lead vocalist and rhythm guitarist Patrick Stump , bassist Pete Wentz , lead guitarist Joe Trohman , and drummer Andy Hurley . The band originated from Chicago 's hardcore punk scene , with which all members were involved at one point . The group was formed by Wentz and Trohman as a pop punk side project of the members ' respective hardcore bands , and Stump joined shortly thereafter . The group went through a succession of drummers before landing Hurley and recording the group 's debut album , Take This to Your Grave ( 2003 ) . The album became an underground success and helped the band gain a dedicated fanbase through heavy touring , as well as some moderate commercial success . Take This to Your Grave has commonly been cited as an influential blueprint for pop punk music in the 2000s .   With Wentz as the band 's lyricist and Stump as the primary composer , the band 's 2005 major - label breakthrough , From Under the Cork Tree , produced two hit singles , `` Sugar , We 're Goin Down '' and `` Dance , Dance , '' and went double platinum , transforming the group into superstars and making Wentz a celebrity and tabloid fixture . Fall Out Boy received a Best New Artist nomination at the 2006 Grammy Awards . The band 's 2007 follow - up , Infinity on High , landed at number one on the Billboard 200 with 260,000 first week sales . It produced two worldwide hit singles , `` This Ai n't a Scene , It 's an Arms Race '' and `` Thnks fr th Mmrs . '' Folie à Deux , the band 's fourth album , created a mixed response from fans and commercially undersold expectations . Following the release of Believers Never Die -- Greatest Hits , the band took a hiatus from 2009 to 2012 to `` decompress , '' exploring various side projects . The band regrouped and recorded Save Rock and Roll ( 2013 ) , which gave the band its second career number one and produced the top 20 single `` My Songs Know What You Did in the Dark ( Light Em Up ) . '' The group 's sixth studio album , American Beauty / American Psycho ( 2015 ) , released worldwide on Island Records , was preceded by the top 10 hit `` Centuries '' and also spawned the single `` Uma Thurman '' which peaked at 22 on Hot 100 . The album peaked at No. 1 , making it the band 's third No. 1 album and the group 's fifth consecutive top 10 album .     Contents  ( hide )   1 History   1.1 2001 -- 2002 : Early years   1.2 2003 -- 2004 : Early success and Take This to Your Grave   1.3 2005 -- 2006 : From Under the Cork Tree   1.4 2007 : Infinity on High   1.5 2008 -- 2009 : Folie à Deux   1.6 2010 -- 2012 : Hiatus and solo careers   1.7 2013 -- 2014 : Reformation and Save Rock and Roll   1.8 2014 -- 2016 : American Beauty / American Psycho   1.9 2017 -- present : Mania     2 Musical style and influences   3 Legacy   4 Band members   4.1 Timeline     5 Discography   6 Awards and nominations   7 References   7.1 Footnotes   7.2 Bibliography     8 External links      History   2001 -- 2002 : early years   Fall Out Boy was formed in 2001 in the Chicago suburb of Wilmette , Illinois by friends Pete Wentz and Joe Trohman . Wentz was a `` visible fixture '' of the relatively small Chicago hardcore punk scene of the late 1990s , performing in various groups such as Birthright , Extinction and First Born , as well the metalcore band Arma Angelus and the more political Racetraitor , `` a band that managed to land the covers of Maximumrocknroll and Heartattack fanzines before releasing a single note of music . '' Wentz was growing dissatisfied with the changing mores of the community , which he viewed as a transition from political activism to an emphasis on moshing and breakdowns . With enthusiasm in Arma Angelus waning , he created a pop punk side project with Trohman as an `` easy and escapist '' project . Trohman met Patrick Stump , then a drummer for grindcore band Xgrinding processX and a host of other bands that `` never really managed , '' at a Borders bookstore in Wilmette . While discussing Neurosis with a friend , Stump interrupted the conversation to correct their classification of the band in a conversation that soon shifted to the new band . Stump , viewing it as an opportunity to try out with `` local hardcore celebrity '' Wentz , directed Trohman to his MP3.com page , which contained sung - through acoustic recordings . Stump intended to try out as a drummer , but Trohman urged him to bring out his acoustic guitar ; he impressed the duo with songs from Saves the Day 's Through Being Cool . While Wentz wanted Racetraitor bandmate Andy Hurley in the group as drummer , Hurley appeared uninterested and too busy .   The band 's first public performance came in a cafeteria at DePaul University alongside Stilwell and another group that performed Black Sabbath in its entirety . The band 's only performance with guitarist John Flamandan and original drummer Ben Rose was in retrospect described as `` goofy '' and `` bad , '' but Trohman made an active effort to make the band work , picking up members for practice . Wentz and Stump argued over band names ; the former favored verbose , tongue - in - cheek names while the latter desired to reference Tom Waits in name . After creating a short list of names that included `` Fall Out Boy , '' a fictional character from The Simpsons and Bongo Comics , friends voted on the name . The band 's second performance , at a southern Illinois university with The Killing Tree , began with Wentz introducing the band under a name Stump recalled as `` very long . '' According to Stump , an audience member yelled out , `` Fuck that , no , you 're Fall Out Boy ! , '' and the band were credited later in the show under that name by Killing Tree frontman Tim McIlrath . As the group looked up to McIlrath , and Trohman and Stump were `` die - hard '' Simpsons fans , the name stuck . The group 's first cassette tape demo was recorded in Rose 's basement , but the band later set off for Wisconsin to record a proper demo with 7 Angels 7 Plagues drummer Jared Logan , whom Wentz knew through connections in the hardcore scene .   Several more members passed through the group , including drummer Mike Pareskuwicz of Subsist and guitarist T.J. `` Racine '' Kunasch . While Stump at this point felt uninterested in the group , Wentz was , according to Uprising Records owner Sean Muttaqi , viewing the group as `` the thing that would make him famous . He had a clear vision . '' Wentz was `` singularly focused on taking things to the next level , '' and threw the band into promotion via early social media . Muttaqi got word of the demo and wanted to release half of it as a split extended play with Hurley 's band Project Rocket , which the band viewed as competition . Uprising desired to release an album with the emerging band , which to that point had only written three songs . With the help of Logan , the group attempted to put together a collection of songs in two days , and recorded them as Fall Out Boy 's Evening Out with Your Girlfriend . The rushed recording experience and underdeveloped songs left the band dissatisfied . When the band set off to Smart Studios in Madison , Wisconsin to record three songs for a possible split 7 - inch with 504 Plan , engineer Sean O'Keefe suggested the band record the trio with Hurley . Hurley was also recording an EP with his new group the Kill Pill in Chicago the same day , but raced to Madison to lay down drums for Fall Out Boy . `` It was still a fill - in thing but when Andy sat in , it just felt different . It was one of those `` a-ha '' moments , '' recalled Wentz .   2003 -- 2004 : early success and Take This to Your Grave   The band booked a two - week tour with Spitalfield , but Pareskuwicz was unable to get time off from work and Kunasch was kicked out of the band as the group `` had all gotten sick of him . '' Kunasch was temporarily replaced by friend Brandon Hamm on guitar , alongside drummer Chris Envy from the recently disbanded Showoff , but both quit prior to the kickoff of the tour . The band invited Hurley instead to fill - in once more , while Stump borrowed one of Trohman 's guitars for the trek . While most shows were cancelled , the band played any show possible : `` Let 's just get on whatever show we can . You can pay us in pizza , '' remembered Wentz . As the tour concluded , the general consensus was that Hurley would be the band 's new drummer , and the band began to shop around the three songs from the group 's unreleased split as a demo to record labels . The band members set their sights on pop punk labels , and attempted with considerable effort to join Drive - Thru Records . A showcase for label co-founders went largely mediocre , and the band were offered to sign to side label Rushmore , an offer that the members of the band declined . They got particularly far in discussions with The Militia Group and Victory Records , and Bob McLynn of Crush Management became the band 's first manager . The band re-entered the studio with O'Keefe to record several more tracks to create label interest . Wentz felt `` in the backseat '' in writing the songs and temporarily questioned his place in the group , but Stump argued in his favor : `` No ! That 's not fair ! Do n't leave me with this band ! Do n't make me kind of like this band and then leave it ! That 's bullshit ! ''   The band 's early tour vehicle was a `` tiny V6 that was running on three cylinders , and it was not getting enough air , so it would drive really slowly , '' recalled Wentz . `` We had to turn on the hot air to reach the speed limit , so we had the heat on all the time in 120 degree weather . It was so hot it melted the plastic molding around the windows . When it rained , we 'd get all wet . '' John Janick of Fueled by Ramen had heard an early version of a song online and cold - called the band members at their apartment , first reaching Stump and later talking to Wentz for an hour . Rob Stevenson from Island Records eventually offered the band a `` first - ever incubator sort of deal , '' in which they gave the band money to sign with Fueled by Ramen for the group 's one - off debut , knowing they could `` upstream '' the band to radio on the sophomore record . Fueled by Ramen , at the time the smallest of independent labels clamoring to sign the band , would effectively release the group 's debut album and help build the band 's ever - expanding fanbase before the group moved to Island . The band again partnered with O'Keefe at Smart Studios , bringing together the three songs from the demo and recording an additional seven songs in nine days . The band , according to Stump , did n't `` sleep anywhere that we could shower ( ... ) There was a girl that Andy 's girlfriend at the time went to school with who let us sleep on her floor , but we 'd be there for maybe four hours at a time . It was crazy . '' As the band progressed and the members ' roles became more defined , Wentz took lyrics extremely seriously in contrast to Stump , who had been the group 's primary lyricist up to that point . Arguments during the recording sessions led to what `` most reductively boils down to Wentz writing the lyrics and Stump writing the melodies . ''   The band 's debut album , Take This to Your Grave , was issued by Fueled by Ramen in May 2003 . Previously , one of the band 's earliest recordings , Evening Out with Your Girlfriend , had not seen release until shortly before Grave in March 2003 , when the band had gained considerable momentum . `` Our record was something being rushed out to help generate some interest , but that interest was building before we could even get the record out , '' said Sean Muttaqi . The band actively tried to stop Uprising from releasing the recordings ( as the band 's relationship with Muttaqi had grown sour ) , as the band viewed it as a `` giant piece of garbage '' recorded before Hurley 's involvement that the band members ceased to consider the debut album of the group . Gradually , the band 's fanbase grew in size as the label pushed for the album 's mainstream success . According to Wentz , shows began to end in a near - riot and the group were banned from several venues because the entire crowd would end up onstage . The band gained positive reviews for subsequent gigs at South by Southwest ( SXSW ) and various tour appearances . The band joined the Warped Tour for five dates in the summer of 2004 , and on one date the band had only performed three songs when the stage collapsed due to the large crowd . The band appeared on the cover of the August 2004 edition of Alternative Press , and listening stations at Hot Topic partially helped the album move 2,000 - 3,000 copies per week by Christmas 2004 , at which point the label considered the band `` tipping '' into mainstream success .   2005 -- 2006 : from Under the Cork Tree  Fall Out Boy performing in 2006  The band had been flooded with `` hyperbolic praise , '' and deemed `` the next big thing '' by multiple media outlets . Before recording the follow - up to its debut , the band released the acoustic EP / DVD My Heart Will Always Be the B - Side to My Tongue . The EP was the band 's first charting on the Billboard 200 at number 153 . From Under the Cork Tree was recorded in Burbank , California , and served as the first time the band had stayed in California for an extended period of time . The group lived in corporate housing during the making of the album . In contrast to Take This to Your Grave 's rushed recording schedule , Fall Out Boy took a much more gradual pace while working on From Under the Cork Tree . It was the first Fall Out Boy record in which Stump created all the music and Wentz wrote all the lyrics , continuing the approach they took for some songs on Grave . Stump felt that this process was much more `` smooth '' as every member was able to focus on his individual strengths . He explained : `` We have n't had any of those moments when I play the music and he 'll say , ' I do n't like that , ' and he 'll read me lyrics and I 'll say , ' I do n't like those lyrics . ' It 's very natural and fun . '' Despite this , the band had great difficulty creating its desired sound for the album , constantly scrapping new material . Two weeks before recording sessions began , the group abandoned ten songs and wrote eight more , including the album 's first single , `` Sugar , We 're Goin Down . ''   The band suffered a setback , however , when Wentz had an emotional breakdown in February 2005 , culminating in an unsuccessful suicide attempt . He had withdrawn from the rest of the group , with his condition only apparent through his lyrics , and had also become obsessed with the recent Indian tsunami and his own self - doubt . `` It is particularly overwhelming when you are on the cusp of doing something very big and thinking that it will be a big flop , '' he said later . Wentz swallowed a handful of Ativan anxiety pills ( he described the act as `` hypermedicating '' ) in the Chicago Best Buy parking lot . After being rushed to the hospital and having his stomach pumped , Wentz moved back home to Wilmette to live with his parents .   From Under the Cork Tree debuted and peaked at number nine on the Billboard 200 upon its May 2005 release . It was spearheaded by the band 's breakthrough single , `` Sugar , We 're Goin ' Down , '' reached number eight in the US Billboard Hot 100 in September 2005 , and in the UK chart in February 2006 , crossing over from Alternative to Pop radio . `` Dance , Dance , '' the album 's second single , also was a top ten hit in the United States and was certified 3x Platinum in 2014 . The record 's success led to stardom among teenagers in North America , and the band 's first arena tour had the group playing to 10,000 people per night . Rolling Stone wrote that the band 's `` anthems , '' distributed and marketed through their MySpace , connected with `` skinny - jeans - wearing teen girls . '' In support of From Under the Cork Tree , the band toured exhaustively with international tours , TRL visits , late - night television appearances and music award shows . The band performed at music festivals in 2005 and 2006 , including the third Nintendo Fusion Tour in the fall of 2005 , joining The Starting Line , Motion City Soundtrack , Boys Night Out , and Panic ! at the Disco on a 31 city tour . The album earned the band a Grammy nomination for Best New Artist , and has sold over 2.7 million copies in the United States , becoming the group 's best - selling album . `` Sugar , We 're Goin Down '' also won the band an MTV Music Video Award .   2007 : Infinity on High  Pete Wentz ( shown in May 2007 ) became the band 's spokesman and a tabloid fixture in the mid-2000s .  In the wake of the band 's multiplatinum success , the `` especially extroverted '' Wentz became the most publicly visible member of the band . He confided to the press his suicide attempt and nude photos of the bassist appeared on the Internet in 2006 . He gained additional exposure through his clothing line , his Decaydance record label ( an imprint of Fueled by Ramen ) , and eventually a celebrity relationship with pop singer Ashlee Simpson , which made the two tabloid fixtures in the United States . Due to its increased success from the group 's MTV Video Music Award , the group headlined the Black Clouds and Underdogs Tour , a pop punk event that featured The All - American Rejects , Well - Known Secret , Hawthorne Heights , and From First to Last . The tour also featured The Hush Sound for half of the tour and October Fall for half . The band played to 53 dates in the US , Canada , and the UK .   After taking a two - month - long break following the band 's Black Clouds and Underdogs tour in promotion of the band 's 2005 album From Under the Cork Tree , Fall Out Boy returned to the studio to begin work on a follow - up effort . The band began writing songs for the new album while touring , and intended to quickly make a new album in order to keep momentum in the wake of its breakthrough success . In early 2007 , the group released its third studio album , Infinity on High , which was the band 's second release on major label Island . The album marked a departure in Fall Out Boy 's sound in which the band implemented a diverse array of musical styles including funk , R&amp;B , and flamenco . As reported by Billboard , Fall Out Boy `` drifts further from its hardcore punk roots to write increasingly accessible pop tunes , '' a slight departure from the group 's previous more pop punk sound predominant on their 2003 effort , Take This to Your Grave .  Fall Out Boy on NBC 's The Today Show in Rockefeller Center  Infinity 's first week was a major success and was the band 's biggest selling week , selling 260,000 copies to debut at No. 1 on the US Billboard 200 and inside the top five worldwide . This charting was first started with lead single `` The Carpal Tunnel of Love '' , with minor success on the Billboard charts . This success was bolstered by the further - successful second single `` This Ai n't a Scene , It 's an Arms Race '' , which reached No. 2 in both the US and UK as well as the top five in many other countries . On the band 's decision to pick the song as a single , Wentz commented `` There may be other songs on the record that would be bigger radio hits , but this one had the right message . '' `` Thnks fr th Mmrs '' , the third single , peaked just outside the top 10 at No. 11 on the strength of sales and popular radio play , and went on to sell over two million copies in the US . It found its greatest success in Australia where it charted at No. 3 . In 2007 , Fall Out Boy placed at No. 9 in the Top Selling Digital Artists chart with 4,423,000 digital tracks sold , according to Nielsen SoundScan . The album itself has sold over two million copies worldwide and subsequently was certified Platinum in the United States .   Fall Out Boy then headlined the 2007 Honda Civic Tour to promote the album . Though the tour was initially postponed due to personal issues , it would take place with + 44 , Cobra Starship , The Academy Is ... and Paul Wall as supporting acts . The band also headlined the Young Wild Things Tour , an international arena tour featuring Gym Class Heroes , Plain White T 's and Cute Is What We Aim For . Inspired by Maurice Sendak 's 1963 children 's book Where the Wild Things Are , the concert tour and included sets designed by artist Rob Dobi containing images from the book . The band 's `` hugely successful '' amphitheater tour to promote Infinity led to the release of the 2008 live album Live in Phoenix , consisting of live material recorded during a June 22 , 2007 , concert at Phoenix 's Cricket Wireless Pavilion , a date of the Honda Civic Tour . The disc also a studio cover of Michael Jackson 's `` Beat It '' , with guitarist John Mayer guesting for a guitar solo . The track was released as a single and became a mainstay on the iTunes top ten .   2008 -- 2009 : Folie a Deux   The band members decided to keep publicity down during the recording of their fourth album , as the group was taken aback by such press surrounding Infinity on High . Sessions proved to be difficult for the band as Wentz started taking LSD when Zach Blair lead guitarist for Rise Against made him try it at a party in April 2008 . The goal in Wentz using LSD was to hope it would influence his songwriting , but it just made him distracted from writing songs , which annoyed Stump , so he stopped using LSD in August 2008 . Wentz later said he had taken LSD over 50 times . Stump called the making of the album `` painful '' , noting that he and Wentz quarreled over many issues , revealing `` I threw something across the room over a major - to - minor progression . '' On previous albums , Trohman felt he and Hurley did not have enough musical freedom and that Stump and Wentz exerted too much control over the group : `` I felt , ' Man , this is n't my band anymore . ' It 's no one 's fault , and I do n't want to make it seem that way . It was more of a complex I developed based off of stuff I was reading . It 's hard to hear , ' Joe and Andy are just along for the ride . ' '' To amend the situation , Trohman sat down with Stump to communicate his concerns , which led to more collaboration on Folie à Deux . `` It made me feel like I owned the songs a lot more . It made me really excited about contributing to Fall Out Boy and made me find my role in the band , '' Trohman recalled .   As the release of the new album approached , the band and its management found that they would have to navigate changes in the music industry , facing declining record sales , the lack of a proper outlet for exhibition of music videos , and the burgeoning US economic crisis . To promote the album , Wentz launched a viral campaign in August 2008 , inspired by George Orwell 's novel Nineteen Eighty - Four ( 1949 ) , and the autocratic , overbearing Big Brother organization . Folie à Deux , released in December 2008 , did not perform as well commercially as its predecessor , Infinity on High . It debuted at number eight on the US Billboard 200 chart with first week sales of 150,000 copies during a highly competitive week with other big debuts , becoming Fall Out Boy 's third consecutive top ten album . This is in contrast to the band 's more successful previous effort which shifted 260,000 copies in its opening week to debut at number one the chart . Folie spent two weeks within the top 20 out of its 22 chart weeks . It also entered Billboard 's Rock Albums and Alternative Albums charts at number three . Within two months of its release , Folie à Deux was certified Gold in the United States by the Recording Industry Association of America ( RIAA ) , denoting shipments of 500,000 copies . The lead single , `` I Do n't Care '' , reached a peak at number twenty - one on the Billboard Hot 100 , and was certified Platinum by the RIAA for shipments of one million copies .   To promote the album , Fall Out Boy embarked on the Believers Never Die Tour Part Deux , which included dates in the United States and Canada . The constant touring schedule became difficult for the band due to conflicting fan opinion regarding Folie à Deux : concertgoers would `` boo the band for performing numbers from the record in concert '' , leading Stump to describe touring in support of Folie as like `` being the last act at the vaudeville show : We were rotten vegetable targets in Clandestine hoods . '' `` Some of us were miserable onstage , '' said guitarist Joe Trohman . `` Others were just drunk . '' A greatest hits compilation , Believers Never Die -- Greatest Hits , followed in the fall , and following these events , the band decided to take a break . The band 's decision stemmed from disillusionment with the music industry and Stump recalled that `` We found ourselves running on fumes a little bit -- creatively and probably as people , too . '' Stump realized the band was desperate to take a break ; he sat the group down and explained that a hiatus was in order if the band wanted to continue in the future . All involved felt the dynamic of the group had changed as personalities developed .   Rumors and misquotes led to confusion as to what such a break truly meant ; Wentz preferred to not refer to the break as a `` hiatus , '' instead explaining that the band was just `` decompressing . '' Fall Out Boy played its last show at Madison Square Garden on October 4 , 2009 . Near the end , Blink - 182 's Mark Hoppus shaved Wentz 's head in a move Rolling Stone would later describe as a `` symbolic cleansing of the past , but also the beginning of a very dark chapter for the band . ''   2010 -- 2012 : hiatus and solo careers   By the time the break began , Stump was the heaviest he had ever been and loathed the band 's image as an `` emo '' band . Coming home from tour , drummer Andy Hurley `` went through the darkest depression ( I 've ) ever felt . I looked at my calendar and it was just empty . '' Wentz , who had been abusing Xanax and Klonopin , was divorced by his wife Ashlee Simpson and returned to therapy . `` I 'd basically gone from being the guy in Fall Out Boy to being the guy who , like , hangs out all day , '' Wentz recalled . Previously known as the `` overexposed , despised '' leader of the band , Wentz `` simply grew up , '' sharing custody of his son and embracing maturity : `` There was a jump - cut in my life . I started thinking -- like , being old would be cool . ''   During the hiatus , the band members each pursued individual musical interests , which were met with `` varying degrees of failure . '' Stump was the only member of the quartet to take on a solo project while Fall Out Boy was on hiatus , recording debut album Soul Punk entirely on his own : he wrote , produced , and played every instrument for all tracks on the record . In addition , he married his longtime girlfriend and lost over sixty pounds through portion control and exercise . Stump blew through most of his savings putting together a large band to tour behind Soul Punk , but ticket sales were sparse and the album stalled commercially . During a particularly dark moment in February 2012 , Stump poured his heart out in a 1500 - word blog entry called `` We Liked You Better Fat : Confessions of a Pariah . '' In the post , Stump lamented the harsh reception of the record and his status as a `` has - been '' at 27 . Stump revealed that fans harassed him on his solo tour , hurling insults such as `` We liked you better fat , '' and noted that `` Whatever notoriety Fall Out Boy used to have prevents me from having the ability to start over from the bottom again . '' Aside from Soul Punk and personal developments , Stump moonlighted as a professional songwriter / producer , co-writing tracks with Bruno Mars and All Time Low , and pursued acting .   Wentz formed electronic duo Black Cards with vocalist Bebe Rexha in July 2010 . The project released one single before album delays led to Rexha 's departure in 2011 . Black Cards added Spencer Peterson to complete the Use Your Disillusion EP in 2012 . Wentz also completed writing a novel , Gray , that he had been working on for six years outside the band , and began hosting the reality tattoo competition show Best Ink . Hurley ventured farther into rock during the hiatus , drumming with multiple bands over the three - year period . He continued to manage his record label , Fuck City , and drummed for bands Burning Empires and Enabler . He also formed heavy metal outfit The Damned Things with Trohman , Scott Ian and Rob Caggiano of Anthrax , and Keith Buckley of Every Time I Die . Despite this , the members all remained cordial to one another ; Wentz was Stump 's best man at his wedding . The hiatus was , all things considered , beneficial for the group and its members , according to Hurley . `` The hiatus helped them all kind of figure themselves out , '' he explained in 2013 . `` Especially Joe and Patrick , who were so young . And Pete is a million times better . ''   2013 -- 2014 : reformation and Save Rock and Roll   Stump and Wentz met up for the first time in several years in early 2012 for a writing session . Wentz reached out to Stump after he penned his letter , as he too felt he was in a dark place and needed a creative outlet . He was at first reluctant to approach Stump , likening the phone call to reconnecting with a lover after years of acrimony . `` I know what you need -- you need your band , '' Wentz told Stump . `` I think it 's kind of weird that we have n't really seen each other this year . We paid for each other 's houses and you do n't know my kid , '' Wentz remarked . The result , `` three or four '' new songs , were shelved with near immediacy , with the two concluding that `` it just was n't right and did n't feel right . '' Several months later , the two reconvened and wrote tracks that they felt truly represented the band in a modern form . The band decided that if a comeback was in order , it must represent the band in its current form : `` We did n't want to come back just to bask in the glory days and , like , and collect a few checks and pretend ... and do our best 2003 impersonation , '' said Stump . Afterwards , the quartet held an all - day secret meeting at their manager 's home in New York City where they discussed ideas and the mechanics of getting together to record . Trohman was the last to be contacted , through a three - hour phone call from Stump . As Trohman was arguably the most excited to begin other projects , he had a list of stipulations for rejoining the band . `` If I 'm not coming back to this band writing music ( ... ) then I do n't want to , '' he remarked . Stump supported Trohman 's ambition saying Trohman `` needed to be writing more . ''   The band members ' main goal was to reinvent the group 's sound from scratch , creating what Trohman called a `` reimagining of the band , '' which focuses more on pop . Sessions were not without difficulties , as the band struggled initially to produce new material . Walker had doubts about the band 's volatility , feeling the record would not get made following `` meltdown after meltdown . '' The entire album was recorded in secrecy from the music industry , critics , and fans of the band . While specifically denying that the group 's announcement was a reunion because `` ( the group had ) never broke ( n ) up '' , the band announced a reunion tour and details of Save Rock and Roll on February 4 , 2013 . The quartet 's announcement included a photo of the group that had been taken earlier that morning of the band members huddled around a bonfire tossing copies of their back catalog into flames at the original location of Comiskey Pa</t>
  </si>
  <si>
    <t xml:space="preserve">who is the lead singer for fall out boy</t>
  </si>
  <si>
    <t xml:space="preserve"> Fall Out Boy is an American rock band formed in Wilmette , Illinois , a suburb of Chicago , in 2001 . The band consists of lead vocalist and rhythm guitarist Patrick Stump , bassist Pete Wentz , lead guitarist Joe Trohman , and drummer Andy Hurley . The band originated from Chicago 's hardcore punk scene , with which all members were involved at one point . The group was formed by Wentz and Trohman as a pop punk side project of the members ' respective hardcore bands , and Stump joined shortly thereafter . The group went through a succession of drummers before landing Hurley and recording the group 's debut album , Take This to Your Grave ( 2003 ) . The album became an underground success and helped the band gain a dedicated fanbase through heavy touring , as well as some moderate commercial success . Take This to Your Grave has commonly been cited as an influential blueprint for pop punk music in the 2000s . </t>
  </si>
  <si>
    <t xml:space="preserve">16th Street Baptist Church bombing - wikipedia  16th Street Baptist Church bombing  Jump to : navigation , search    16th Street Baptist Church bombing     Part of the Civil Rights Movement     The four girls killed in the bombing ( Clockwise from top left , Addie Mae Collins , Cynthia Wesley , Carole Robertson and Carol Denise McNair )     Location   Birmingham , Alabama     Coordinates   33 ° 31 ′ 0 '' N 86 ° 48 ′ 54 '' W ﻿ / ﻿ 33.51667 ° N 86.81500 ° W ﻿ / 33.51667 ; - 86.81500 Coordinates : 33 ° 31 ′ 0 '' N 86 ° 48 ′ 54 '' W ﻿ / ﻿ 33.51667 ° N 86.81500 ° W ﻿ / 33.51667 ; - 86.81500     Date   September 15 , 1963 10 : 22 a.m. ( UTC - 5 )     Target   16th Street Baptist Church     Attack type   Church bombing , terrorism , hate crime , mass murder     Deaths       Non-fatal injuries   22     Perpetrators   Thomas Blanton ( convicted ) Robert Chambliss ( convicted ) Bobby Cherry ( convicted ) Herman Cash ( alleged )     Motive   Racism Racial segregation               Civil Rights Movement in Alabama       Montgomery bus boycott   Stand in the Schoolhouse Door   Birmingham campaign   Birmingham riot of 1963   16th Street Baptist Church bombing   Bloody Tuesday   Selma to Montgomery marches       The 16th Street Baptist Church bombing was an act of white supremacist terrorism which occurred at the African - American 16th Street Baptist Church in Birmingham , Alabama , on Sunday , September 15 , 1963 , when four members of the Ku Klux Klan planted at least 15 sticks of dynamite attached to a timing device beneath the steps located on the east side of the church .   Described by Martin Luther King Jr. as `` one of the most vicious and tragic crimes ever perpetrated against humanity '' , the explosion at the church killed four girls and injured 22 others .   Although the FBI had concluded in 1965 that the 16th Street Baptist Church bombing had been committed by four known Ku Klux Klansmen and segregationists -- Thomas Edwin Blanton Jr. , Herman Frank Cash , Robert Edward Chambliss , and Bobby Frank Cherry -- no prosecutions ensued until 1977 , when Robert Chambliss was tried and convicted of the first degree murder of one of the victims , 11 - year - old Carol Denise McNair . Thomas Edwin Blanton Jr. and Bobby Cherry were each convicted of four counts of murder and sentenced to life imprisonment in 2001 and 2002 respectively , whereas Herman Cash , who died in 1994 , was never charged with his alleged involvement in the bombing .   The 16th Street Baptist Church bombing marked a turning point in the United States during the Civil Rights Movement and contributed to support for passage of the Civil Rights Act of 1964 .     Contents  ( hide )   1 Background   1.1 Birmingham Campaign and the 16th Street Baptist Church     2 Bombing   3 Reactions and condemnation   3.1 Funerals     4 Initial investigation   4.1 FBI closure of case     5 Resulting legislation   6 Formal reopening of investigation   6.1 Prosecution of Robert Chambliss     7 Later prosecutions   7.1 Thomas Edwin Blanton   7.2 Bobby Frank Cherry     8 Possible fifth conspirator   9 Aftermath   10 Media and memorials   10.1 Music   10.2 Film   10.3 Television   10.4 Books ( non-fiction )   10.5 Books ( fiction )   10.6 In sculpture and symbolism     11 See also   12 References   13 Cited works and further reading   14 External links      Background ( edit )   In the years leading up to the 16th Street Baptist Church bombing , Birmingham had earned a national reputation as a tense , violent and racially segregated city , in which even tentative racial integration of any form was met with violent resistance . Martin Luther King described Birmingham as `` probably the most thoroughly segregated city in the United States '' .   The city had no black police officers or firefighters , and few of the city 's black residents were registered to vote . Bombings at black institutions were a regular occurrence : Birmingham had seen at least 21 separate explosions at black properties and churches in the eight years before 1963 , although none of these explosions had resulted in fatalities . These attacks had earned the city the nickname `` Bombingham '' .  The 16th Street Baptist Church in 2005 . The steps beneath which the bomb was planted can be seen in the foreground  Birmingham campaign and the 16th Street Baptist Church ( edit )  Main article : Birmingham campaign  The three - story 16th Street Baptist Church had become a rallying point for civil rights activities through the spring of 1963 , and became the location where students who were arrested during the 1963 Birmingham campaign 's Children 's Crusade had been organized and trained by Southern Christian Leadership Conference ( SCLC ) Director of Direct Action , James Bevel . The church was also used as a meeting - place for other civil rights leaders such as Martin Luther King Jr. , Ralph David Abernathy , and Fred Shuttlesworth . Tensions further escalated when the Southern Christian Leadership Conference and the Congress on Racial Equality became involved in a campaign to register African - Americans to vote in Birmingham .   On May 2 , more than 1,000 students , some reportedly as young as eight , opted to leave school and gather at the 16th Street Baptist Church . Demonstrators present were given instructions to march to downtown Birmingham and discuss with the mayor their concerns about racial segregation in Birmingham , then to integrate buildings and businesses currently segregated . Although this march was met with fierce resistance and criticism , and saw up to 600 arrests on the first day alone , the Birmingham campaign and its Children 's Crusade continued until May 5 . These demonstrations led to an agreement , on May 8 , between the city 's business leaders and the Southern Christian Leadership Conference , to integrate public facilities , including schools , in the city within 90 days . ( The first three schools in Birmingham to become integrated would do so on September 4 . )   These demonstrations , and the concessions from city leaders to the majority of demonstrators ' demands , were met with fierce resistance in Birmingham . In the weeks following the September 4 integration of public schools , three further bombs had been detonated in Birmingham . Other acts of violence followed the settlement , and several staunch Ku Klux Klansmen were known to have expressed frustration at what they saw as a lack of effective resistance to integration .   The 16th Street Baptist Church was a known and popular rallying point for civil rights activists , and had become an obvious target .   Bombing ( edit )   In the early morning of Sunday , September 15 , 1963 , four members of the United Klans of America -- Thomas Edwin Blanton Jr. , Herman Frank Cash , Robert Edward Chambliss , and Bobby Frank Cherry -- planted a minimum of 15 sticks of dynamite with a time delay under the steps of the church , close to the basement .   At approximately 10 : 22 a.m. , an anonymous man phoned the 16th Street Baptist Church . The call was answered by the acting Sunday School secretary : a 14 - year - old girl named Carolyn Maull . To Maull , the anonymous caller simply said the words , `` Three minutes '' , before terminating the call . Less than one minute later , the bomb exploded as five children were present within the basement assembly , changing into their choir robes in preparation for a sermon entitled `` A Love That Forgives '' . According to one survivor , the explosion shook the entire building and propelled the girls ' bodies through the air `` like rag dolls '' .   The explosion blew a hole measuring seven feet in diameter in the church 's rear wall , and a crater five feet wide and two feet deep in the ladies ' basement lounge , destroying the rear steps to the church and blowing one passing motorist out of his car . Several other cars parked near the site of the blast were destroyed , and windows of properties located more than two blocks from the church were also damaged . All but one of the church 's stained - glass windows were destroyed in the explosion . The sole stained - glass window largely undamaged in the explosion depicted Christ leading a group of young children .   Hundreds of individuals , some of them lightly wounded , converged on the church to search the debris for survivors as police erected barricades around the church and several outraged men scuffled with police . An estimated 2,000 black people , many of them hysterical , converged on the scene in the hours following the explosion as the church 's pastor , the Reverend John Cross Jr. , attempted to placate the crowd by loudly reciting the 23rd Psalm through a bullhorn . One individual who converged on the scene to help search for survivors , Charles Vann , later recollected that he had observed a solitary white man whom he recognized as Robert Edward Chambliss ( a known member of the Ku Klux Klan ) standing alone and motionless at a barricade . According to Vann 's later testimony , Chambliss was standing `` looking down toward the church , like a firebug watching his fire '' .   Four girls , Addie Mae Collins ( age 14 , born April 18 , 1949 ) , Carol Denise McNair ( age 11 , born November 17 , 1951 ) , Carole Robertson ( age 14 , born April 24 , 1949 ) , and Cynthia Wesley ( age 14 , born April 30 , 1949 ) , were killed in the attack . The explosion was so intense that one of the girls ' bodies was decapitated and so badly mutilated in the explosion that her body could only be identified through her clothing and a ring , whereas another victim had been killed by a piece of mortar embedded in her skull . All four girls were pronounced dead on arrival at the Hillman Emergency Clinic . The then - pastor of the church , the Reverend John Cross , would recollect in 2001 that the girls ' bodies were subsequently found `` stacked on top of each other , clung together '' .   More than 20 additional people were injured in the explosion , one of whom was Addie Mae 's younger sister , 12 - year - old Sarah Collins , who had 21 pieces of glass embedded in her face and was blinded in one eye . In her later recollections of the bombing , Collins would recall that in the moments immediately before the explosion , she had observed her sister , Addie , tying her dress sash . Another sister of Addie Mae Collins , 16 - year - old Junie Collins , would later recall that shortly before the explosion , she had been sitting in the basement of the church reading the Bible and had observed Addie Mae Collins tying the dress sash of Carol Denise McNair before she had herself returned upstairs to the ground floor of the church .   Reactions and condemnation ( edit )   As violence escalated in Birmingham in the hours following the bombing , police urged parents of black and white youths to keep their children indoors , as the Governor of Alabama , George Wallace , ordered an additional 300 state police to assist in quelling unrest . Birmingham City Council convened an emergency meeting to propose safety measures for the city , although proposals for a curfew were rejected . Within 24 hours of the bombing , a minimum of five businesses and properties had been firebombed and numerous cars -- most of which were driven by whites -- had been stoned by rioting youths .   In response to the church bombing , described by the Mayor of Birmingham , Albert Boutwell , as `` just sickening '' , the Attorney General dispatched 25 FBI agents , including explosives experts , to Birmingham to conduct a thorough forensic investigation .  Congress of Racial Equality and members of the All Souls Church march in memory of the 16th Street Baptist Church bombing victims on September 22 , 1963  Although reports of the bombing and the loss of four children 's lives were glorified by white supremacists , who in many instances chose to celebrate the loss as `` four less niggers '' , as news of the church bombing and the fact that four young girls had been killed in the explosion reached the national and international press , many felt that they had not taken the civil rights struggle seriously enough . The day following the bombing , a young white lawyer named Charles Morgan Jr. addressed a meeting of businessmen , condemning the acquiescence of white people in Birmingham towards the oppression of blacks . In this speech , Morgan addressed his audience with a speech in which he lamented : `` Who did it ( the bombing ) ? We all did it ! The ' who ' is every little individual who talks about the ' niggers ' and spreads the seeds of his hate to his neighbor and his son ... What 's it like living in Birmingham ? No one ever really has known and no one will until this city becomes part of the United States . '' A Milwaukee Sentinel editorial opined , `` For the rest of the nation , the Birmingham church bombing should serve to goad the conscience . The deaths ... in a sense , are on the hands of each of us . ''   Two more black youths , Johnny Robinson and Virgil Ware , were shot to death in Birmingham within seven hours of the Sunday morning bombing . Robinson , aged 16 , was shot in the back by a policeman as he fled down an alley , after ignoring police orders to halt . The police were reportedly responding to black youths throwing rocks at cars driven by white people . Robinson died before reaching the hospital . Ware , aged 13 , was shot in the cheek and chest with a revolver in a residential suburb 15 miles north of the city . A 16 - year - old white youth named Larry Sims fired the gun ( given to him by another youth named Michael Farley ) at Ware , who was sitting on the handlebars of a bicycle ridden by his brother . Sims and Farley had been riding home from an anti-integration rally which had denounced the church bombing . When he spotted Ware and his brother , Sims fired twice , reportedly with his eyes closed . ( Sims and Farley were later convicted of second - degree manslaughter , although the judge suspended their sentences and imposed two years ' probation upon each youth . )   Some civil rights activists blamed George Wallace , the Governor of Alabama and an outspoken segregationist , for creating the climate that had led to the killings . One week before the bombing , Wallace granted an interview with a The New York Times journalist in which he said he believed Alabama needed a `` few first - class funerals '' to stop racial integration .   The city of Birmingham initially offered a $52,000 reward for the arrest of the bombers . Governor George Wallace himself offered an additional $5,000 on behalf of the state of Alabama . Although this donation was accepted , Martin Luther King Jr. is known to have informed Wallace via telegram of his belief that `` the blood of four little children ... is on your hands . Your irresponsible and misguided actions have created in Birmingham and Alabama the atmosphere that has induced continued violence and now murder . ''   Funerals ( edit )   Carole Rosamond Robertson was laid to rest in a private family funeral held on September 17 , 1963 . Reportedly , Carole 's mother , Alpha , had expressly requested her daughter be buried separately from the other victims due to her distress at a remark Martin Luther King had made in which he ( King ) said the mindset that had allowed the murder of the four girls was the `` apathy and complacency '' of black people in Alabama .   The service for Carole Rosamond Robertson was held at St. John 's African Methodist Episcopal Church . In attendance were 1,600 people . At this service , the Reverend C.E. Thomas addressed the congregation , informing them : `` The greatest tribute you can pay to Carole is to be calm , be lovely , be kind , be innocent . '' Carole Robertson was buried in a blue casket at Shadow Lawn Cemetery .   On September 18 , the funeral of the three other girls killed in the bombing was held at the Sixth Avenue Baptist Church . Although no city officials attended this service , present at the girls ' funerals were an estimated 800 clergymen of all races . Also present was Martin Luther King Jr . In a speech conducted before the burial of the girls , King addressed an estimated 3,300 mourners -- including numerous white people -- with a speech which included : `` This tragic day may cause the white side to come to terms with its conscience . In spite of the darkness of this hour , we must not become bitter ... We must not lose faith in our white brothers . Life is hard . At times as hard as crucible steel , but , today , you do not walk alone . ''   As the girls ' coffins were led to their graves , King ordered that those present remain solemn and forbid any singing , shouting or demonstrations . These instructions were relayed to the crowd present by a single youth with a bullhorn . At the time of the funerals , two of those critically injured in the bombing were still hospitalized , as was a 16 - year - old white teenager named Dennis Robertson , who had been hit on the head with a brick thrown by a black youth as Robertson cycled home from his job .   Initial investigation ( edit )   Initially , investigators theorized that a bomb thrown from a passing car had caused the explosion at the 16th Street Baptist church ; however , by September 20 , the FBI was able to confirm that the explosion had been caused by a device which had been purposely planted beneath the steps to the church , close to the women 's lounge , where a section of wire and remnants of red plastic which could have been part of a timing device were discovered . ( The plastic remnants were later lost by investigators . )   Within days of the bombing , investigators began to focus their attention upon a Ku Klux Klan splinter group known as the `` Cahaba Boys '' . The Cahaba Boys had formed earlier in 1963 due to a mutual feeling the Ku Klux Klan was becoming restrained and impotent in response to concessions granted to blacks aimed at ending racial segregation , and had previously been linked to several bomb attacks at black - owned businesses and the homes of black community leaders throughout the spring and summer of 1963 . Although the Cahaba Boys consisted of fewer than 30 active members , this splinter group included Thomas Blanton Jr. , Herman Cash , Robert Chambliss , and Bobby Cherry .   Investigators also gathered numerous witness statements attesting to a group of white men in a turquoise 1957 Chevrolet who had been seen near the church in the early hours of the morning of September 15 . These witness statements specifically indicated that a white man had exited the car and walked towards the steps of the church . ( The physical description of the individual who had exited the car varied , and could have matched either Bobby Cherry or Robert Chambliss . )   Chambliss was questioned by the FBI on September 26 . On September 29 , Chambliss was indicted solely upon charges of illegally purchasing and transporting dynamite on September 4 , 1963 . He and two acquaintances , John Hall and Charles Cagle , were each convicted upon a charge of illegally possessing and transporting dynamite on October 8 -- each receiving a $100 fine and a suspended 180 - day jail sentence . At the time , no federal charges were filed against Chambliss or any of his fellow conspirators in relation to the bombing .   FBI closure of case ( edit )   The FBI did encounter difficulties in their initial investigation into the bombing . One later report stated : `` By 1965 , we had ( four ) serious suspects -- namely Thomas Blanton Jr. , Herman Frank Cash , Robert Chambliss , and Bobby Frank Cherry , all Klan members -- but witnesses were reluctant to talk and physical evidence was lacking . Also , at that time , information from our surveillance was not admissible in court . As a result , no federal charges were filed in the ' 60s . ''   On May 13 , 1965 , local investigators and the FBI formally named Blanton , Cash , Chambliss , and Cherry as the perpetrators of the bombing , with Robert Chambliss the likely ringleader of the four . This information was relayed to the Director of the FBI , J. Edgar Hoover ; however , no prosecutions of the four suspects ensued , reportedly on the basis of mistrust between local and federal investigators . Later the same year , J. Edgar Hoover formally blocked any impending prosecutions against the suspects , and refused to disclose any evidence his agents had obtained with state or federal prosecutors .   In 1968 , the FBI formally closed their investigation into the bombing without filing charges against any of their named suspects . The files were sealed by order of J. Edgar Hoover .   Resulting legislation ( edit )  President Lyndon Johnson signs into effect the Civil Rights Act of 1964 . July 2 , 1964  The Birmingham campaign , the March on Washington , the bombing of the 16th Street Baptist church , and the later assassination of John F. Kennedy -- an ardent supporter of the civil rights cause who had proposed a Civil Rights Act of 1963 on national television -- increased worldwide awareness of and sympathy towards the civil rights cause .   Following the assassination of John F. Kennedy on November 22 , 1963 , newly - inaugurated President Lyndon Johnson continued to press for the passage of the civil rights bill sought by his predecessor .   On July 2 , 1964 , President Lyndon Johnson signed into effect the Civil Rights Act of 1964 . In attendance were various leaders of the Civil Rights Movement including Martin Luther King Jr . This resulting legislation outlawed any discrimination based on race , color , religion , gender , or national origin ; thus ensuring full , equal rights of African - Americans before the law .   Formal reopening of investigation ( edit )   Officially , the 16th Street Baptist Church bombing remained unsolved until William Baxley was elected Attorney General of Alabama in January 1971 . Baxley had been a student at the University of Alabama when he heard about the bombing in 1963 , and later recollected : `` I wanted to do something , but I did n't know what . ''   Within one week of being sworn into office , Baxley had researched original police files into the bombing , discovering that most of the original police documents were lackluster and inefficient . Nonetheless , Baxley formally reopened the case into the 16th Street Baptist Church bombing in 1971 . Baxley was able to corroborate with and build trust with key witnesses , some of whom had been reluctant to testify in the first trial . Other witnesses obtained were able to identify Chambliss as the individual who had placed the bomb beneath the church . Baxley also gathered evidence proving Chambliss had purchased dynamite from a store in Jefferson County less than two weeks before the bomb was planted , upon the pretext the dynamite was to be used to clear land the Ku Klux Klan had purchased near Highway 101 . In addition , he also obtained testimony from witnesses who were able to place Robert Chambliss and his car in the vicinity of the church on the day of the bombing . This testimony and evidence was used to formally construct a case against Robert Chambliss .   Baxley then requested access to the original FBI files on the case and discovered that evidence accumulated by the FBI against the named suspects between 1963 and 1965 had not been revealed to the prosecutors in Birmingham . Although he met with initial resistance from the FBI , Baxley was formally presented with some of the evidence which had been compiled by the FBI in 1976 , after he publicly threatened to expose the Department of Justice for withholding evidence which could result in the prosecution of the perpetrators of the bombing .   Prosecution of Robert Chambliss ( edit )   On November 14 , 1977 , Robert Chambliss , then aged 73 , stood trial in Birmingham 's Jefferson County Courthouse . Chambliss was initially indicted on September 24 , 1977 , charged with four counts of murder relating to each victim of the 1963 church bombing ; however , at an initial court hearing scheduled October 18 , Judge Wallace Gibson ruled that the defendant would be tried upon one count of murder -- that of Carol Denise McNair -- and that the remaining three counts of murder would remain , but that he would not be charged in relation to these three deaths .   Before his trial , Chambliss remained free upon a $200,000 bond raised by family and supporters and posted October 18 .   Chambliss pleaded not guilty to the charges , insisting that although he had indeed purchased a case of dynamite less than two weeks before the bombing , he had given the dynamite to a known Klan member named Gary Thomas Rowe Jr .   To discredit Chambliss 's claims that Rowe had committed the bombing , prosecuting attorney William Baxley introduced two law enforcement officers to testify as to Chambliss 's inconsistent claims of innocence . The first of these witnesses was a retired Birmingham police officer named Tom Cook , who testified on November 15 as to a conversation he had had with Chambliss in 1975 . Cook testified that Chambliss had acknowledged his guilt regarding his 1963 arrest for possession of dynamite , but that he ( Chambliss ) was insistent he had given the dynamite to Rowe prior to the bombing . Following the testimony of Tom Cook , Baxley then introduced a police sergeant named Ernie Cantrell , who testified that Chambliss had visited his headquarters in 1976 , where he had attempted to affix the blame for the 16th Street Baptist Church bombing upon an altogether different member of the Ku Klux Klan . Cantrell also stated that Chambliss had boasted of his knowledge of how to construct a `` drip - method bomb '' using a fishing float and leaking bucket of water . ( Upon cross examination by defense attorney Art Hanes Jr. , Cantrell did concede that Chambliss had emphatically denied actually bombing the church . )   One of the key witnesses to testify on behalf of the prosecution was the Reverend Elizabeth Cobbs -- Chambliss 's own niece . Reverend Cobbs stated that her uncle had repeatedly informed her he had been engaged in what he referred to as a `` one - man battle '' against blacks since the 1940s . Moreover , Cobbs testified on November 16 that , on the day before the bombing , Chambliss had informed her he had in his possession enough dynamite to `` flatten half of Birmingham '' . Cobbs also testified that , approximately one week after the bombing , she had observed Chambliss watching a news article relating to the four girls killed in the bombing . According to Cobbs , Chambliss had informed her : `` It ( the bomb ) was n't meant to hurt anybody ... it did n't go off when it was supposed to . '' Another witness to testify was a man named William Jackson , who testified as to his joining the Ku Klux Klan in 1963 and his becoming acquainted with Chambliss shortly thereafter . Jackson testified that Chambliss had expressed frustration as to his ( Chambliss 's ) belief that the Klan was `` dragging its feet '' on the issue of racial integration , and of his eagerness to form a more virulent splinter group .   In his closing argument before the jury on November 17 , Baxley acknowledged that Chambliss was not the sole perpetrator in the bombing , before informing the jury of his regret that the state was unable to request the death penalty in this case , owing to the fact the death penalty in Alabama which had been in effect in 1963 had been repealed , and that the current death penalty within the state was only applicable in relation to crimes committed after its reinstatement . Noting that the day of the closing argument fell upon what would have been Carol Denise McNair 's 26th birthday , and that she would have likely been a mother by this date , Baxley harked towards the testimony earlier delivered by Carol 's father , Chris McNair , and requested that the jury return a verdict of guilty .   In his rebuttal closing argument , defense attorney Art Hanes Jr. attacked the evidence presented by the prosecution as being purely circumstantial , adding that similar circumstantial evidence had earlier seen Chambliss acquitted of the church bombing in 1963 . Hanes also harked towards the testimony of several of the 12 witnesses the defense had called to testify as to Chambliss 's whereabouts on the day of the bombing , including a policeman and a neighbor who had each testified as to Chambliss being at the home of a man named Clarence Dill on the day of the bombing .   Following the closing arguments , the jury retired to begin their deliberations , which lasted for over six hours and continued into the following day . On November 18 , 1977 , Robert Chambliss was found guilty of the murder of Carol Denise McNair and sentenced to life imprisonment for her murder . At his sentencing , Chambliss stood before the judge and stated : `` Judge , your honor , all I can say is God knows I have never killed anybody , never have bombed anything in my life ... I did n't bomb that church . ''   The same afternoon Chambliss was convicted , William Baxley issued a subpoena to Thomas Blanton to appear in court in relation to the 16th Street Baptist Church bombing . Although Baxley knew he had insufficient evidence to charge Blanton at this stage , this subpoena was issued in the hope of frightening Blanton into confessing his involvement and negotiating a deal to turn state evidence against his co-conspirators . Blanton , however , simply hired a lawyer and refused to answer any questions .   Chambliss did appeal his conviction , citing that much of the evidence presented at his trial -- including testimony relating to his activities within the Ku Klux Klan -- was circumstantial ; that the 14 - year delay between the crime and his eventual trial violated his constitutional right to a speedy trial ; and that this delay was a tactic used by the prosecution to gain an advantage over his own defense attorneys . This appeal was dismissed on May 22 , 1979 .   Robert Chambliss died in the Lloyd Noland Hospital and Health Center on October 29 , 1985 , at the age of 81 . In the years since his incarceration , Chambliss had been confined to a solitary cell to protect him from attacks by fellow inmates . He had repeatedly proclaimed his innocence -- repeatedly insisting Gary Thomas Rowe Jr. was the actual perpetrator .   Later prosecutions ( edit )   Ten years after Chambliss had died , the FBI discreetly reopened their investigation into the bombing , resulting in the unsealing of 9,000 pieces of evidence previously gathered by the FBI in the 1960s ( many of these documents relating to the 16th Street Baptist Church Bombing had been unavailable to William Baxley in the 1970s ) . In May 2000 , the FBI publicly announced their findings that the 16th Street Baptist Church bombing had been committed by four members of the Ku Klux Klan splinter group known as the Cahaba Boys . The four individuals named in the FBI report were Blanton , Cash , Chambliss , and Cherry . At the time of the announcement , Herman Cash was deceased ; however , Thomas Blanton and Bobby Cherry were still alive . Both were arrested .   On May 16 , 2000 , a grand jury in Alabama indicted Thomas Edwin Blanton and Bobby Frank Cherry with eight counts each of first - degree murder in relation to the 16th Street Baptist Church bombing . Both named individuals were charged with four counts of first - degree murder , and four counts of universal malice . The following day , both men surrendered to police .   The prosecution had originally intended to try both defendants together ; however , the trial of Bobby Cherry was delayed due to the findings of a court - ordered psychiatric evaluation , which had concluded that vascular dementia had impaired his mind , therefore making Cherry mentally incompetent to stand trial or assist in his own defense .   On April 10 , 2001 , Judge James Garrett indefinitely postponed Cherry 's trial , pending further medical analysis . In January 2002 , Judge Garrett ruled Cherry mentally competent to stand trial and set an initial trial date for April 29 .   Thomas Edwin Blanton ( edit )   Thomas Edwin Blanton Jr. was brought to trial in Birmingham , Alabama , before Judge James Garrett on April 24 , 2001 . Blanton pleaded not guilty to the charges , and opted not to testify on his own behalf throughout the trial .   In his opening statement to the jurors , defense attorney John Robbins acknowledged his client 's affiliation with the Ku Klux Klan and his views on racial segregation , but warned the jury : `` Just because you do n't like him , that does n't make him responsible for the bombing . ''   The prosecution called a total o</t>
  </si>
  <si>
    <t xml:space="preserve">who died in the 16th street baptist church bombing</t>
  </si>
  <si>
    <t xml:space="preserve"> Four girls , Addie Mae Collins ( age 14 , born April 18 , 1949 ) , Carol Denise McNair ( age 11 , born November 17 , 1951 ) , Carole Robertson ( age 14 , born April 24 , 1949 ) , and Cynthia Wesley ( age 14 , born April 30 , 1949 ) , were killed in the attack . The explosion was so intense that one of the girls ' bodies was decapitated and so badly mutilated in the explosion that her body could only be identified through her clothing and a ring , whereas another victim had been killed by a piece of mortar embedded in her skull . All four girls were pronounced dead on arrival at the Hillman Emergency Clinic . The then - pastor of the church , the Reverend John Cross , would recollect in 2001 that the girls ' bodies were subsequently found `` stacked on top of each other , clung together '' . </t>
  </si>
  <si>
    <t xml:space="preserve">I 'm in Love with a Monster - wikipedia  I 'm in Love with a Monster  Jump to : navigation , search    `` I 'm in Love with a Monster ''         Single by Fifth Harmony     from the album Hotel Transylvania 2 and Reflection ( Japanese Deluxe Edition )     Released   August 14 , 2015 ( 2015 - 08 - 14 )     Format   Digital download     Recorded   2015     Genre   Jazz Fusion     Length   3 : 31     Label     Epic   Syco       Songwriter ( s )     Harmony Samuels   Carmen Reece   Sarah Mancuso   Edgar Etienne   Ericka Coulter       Producer ( s )     Samuels       Fifth Harmony singles chronology        `` Worth It '' ( 2015 )   `` I 'm in Love with a Monster '' ( 2015 )   `` Work from Home '' ( 2016 )           `` Worth It '' ( 2015 )   `` I 'm in Love with a Monster '' ( 2015 )   `` Work from Home '' ( 2016 )            Music video     `` I 'm in Love with a Monster '' on YouTube         `` I 'm in Love with a Monster '' is a song recorded by American girl group Fifth Harmony for the computer animated fantasy - comedy film , Hotel Transylvania 2 . It was written by Harmony Samuels , Carmen Reece , Sarah Mancuso , Edgar Etienne and Ericka Coulter with production handled by Samuels . It was released to digital retailers on August 14 , 2015 through Epic Records and Syco Music and serviced to contemporary hit radio in the United States four days later on August 18 . `` I 'm in Love with a Monster '' is a pop song that blends elements of R&amp;B , soul , rock and hip hop with `` jazzy '' rhythms along with heavy and funky beats . Critics drew comparisons to the musical style of girl groups such as The Supremes .   Lyrically , the track is about someone who is in love with a mischievous person , using `` monster '' as a hyperbole to describe their personality . The song failed to chart in domestic and international charts but did enter the Belgium charts , peaking at number 23 . Its music video premiered at the Sony billboard in Times Square on August 27 , 2015 and features the group dancing in front and inside a hotel with actors dressed as monsters , in reference to the song 's addition in the movie . Each member played a character for this video . Live performances for this track included The Late Late Show , hosted by James Corden and a special radio performance at On Air with Ryan Seacrest .   The song was released to digital retailers as a single , and was later featured on the Japanese deluxe edition of the group 's debut studio album , Reflection .     Contents  ( hide )   1 Recording and release   2 Composition   3 Critical reception   4 Music video   4.1 Synopsis and reception     5 Track listing   6 Charts   7 Release history   8 References   9 External links      Recording and Release ( edit )   An announcement of the artist involved in the track for Hotel Transylvania 2 was first made public by Lia Vollack , president of Worldwide Music for Sony Pictures Animation , on June 16 , 2015 . When making the announcement at the press release , Vollack commented that there were `` few groups out there '' that could match the `` incredibly fun feel '' and the `` animated vision '' that Genndy Tartakovsky brought to the movie and stated that Fifth Harmony `` knocked it out of the park . '' According to Vollack , the track was exactly what `` we were hoping for . '' A preview of `` I 'm in Love with a Monster '' was featured in a trailer for the movie which was released on June 17 , 2015 . The song was released for digital download on August 14 . and serviced to contemporary hit radio four days later on August 18 .   `` I 'm in Love with a Monster '' was written by Harmony Samuels , Carmen Reece , Sarah Mancuso , Edgar Etienne and Ericka Coulter . Samuels also produced the track , as well as being responsible for trombones , drums , percussion , bass and vocal production . When speaking on working with group , Samuels , who previously worked on the Reflection track `` Body Rock '' stated that the girls knew how to `` work among themselves '' and made the production process `` very easy '' . In other interviews , he called the group `` mature '' and that after several years recording music , they are `` starting to explore their individualities '' , which was a goal producing this track .   Composition ( edit )       `` I 'm in Love with a Monster '' A 19 - second sample of `` I 'm in Love with a Monster '' , which features musical elements of the 1960s music , such as funk and soul music .     Problems playing this file ? See media help .     `` I 'm in Love with a Monster '' is a funk - influenced pop song performed in a moderately fast tempo . According to the sheet music published at Musicnotes.com by Sony Music Publishing , `` I 'm in Love with a Monster '' written in the key of C# minor and is set in a 4 4 time signature . The song has been viewed as reminiscent of 1960s music , with Jeff Benjamin of Fuse describing the tune as a `` throwback - inspired funk jam - thumper '' . The song utilizes `` deep heavy beats , trombones and drums over an almost creepy base . '' The lyrics of `` I 'm in Love with a Monster '' revolve around a person who is in love with a mischievous person , using `` monster '' as a hyperbole to describe its personality . Carolyn Menyes from website `` Music Times '' commented that the song `` takes on loving an unconventional type of guy , who is , well , a monster . He 's the type who will but you thorns and leather before roses and lace . ''   Critical reception ( edit )  Critics drew comparisons to 1960 's all - female group The Supremes .  `` I 'm in Love with a Monster '' received mostly positive responses , with several critics noting a similarity between the musical style of 1960 's all - female group The Supremes . Robbie Daw , from Idolator pointed out the resemblance to 1960s girl groups , such as the Supremes , and said , `` Fifth Harmony 's vocal ability shine brightly . '' In a positive review , Joseph Earp of Renowned for Sound said that the song is a `` testament '' to the group 's `` myriad of skills '' in which it does not feel like a `` movie cash in '' . He elaborates by stating that this was `` as rich and deep '' as anything the group has ever released . Earp gave the song a four and a half out of five stars rating .   Writing for Fuse , Jeff Benjamin compared the `` booming tuba '' to the 1960s track , `` Big Spender '' and called the chorus `` slick '' and `` repetitive '' . Phillip Picardi of Teen Vogue wrote that the song is `` catchy and upbeat , with a nod to the ' 60s '' , from a cross between early Pussycat Dolls and The Supremes `` . Picardi finishes his review by stating that despite the group 's previous songs like `` Boss '' and `` Worth It '' , which hold momentum , this song is `` still gold . '' Conversely , Chris DeVille of Stereogum was critical of the song saying that it was a `` dumb soundtrack song ( sic ) for kids movies '' and stated that the track did not compare with the singles from Reflection .   Music video ( edit )   The music video debuted on New York City 's Time Square Plaza on August 27 , 2015 . It later premiered on Vevo the same day . Members of the girl group each reprise the role of a different character , but a `` fun , gothic style '' and Halloween - themed decor is common throughout the video . In an exclusive behind the scenes interview with Entertainment Tonight , the group revealed that Camila played Margaret , Lauren played Scarlett , Dinah played Cathy , Normani played Suga and Ally played Mary Jane . Scenes from Hotel Transylvania 2 are spliced with scenes of Fifth Harmony exploring a haunted hotel accompanied by a variety of monsters .   Synopsis and reception ( edit )  The members of Fifth Harmony dressed in 1940s style attire , dancing in front of a hotel in reminisence of a Halloween theme .  The video begins with a static television screen showing the group 's name before interchanging clips from the Hotel Transylvania 2 movie and individual takes of the girls inside a hotel . The setting is Halloween themed with skulls , candles and dim lighting through out the area . All girls then stand in front of a hotel , with different colored suitcases and each wearing coats while dancing . Lauren then sings as she holds a rotary dial telephone in her hand . The scene intensifies as rapid shots of the girls appear on screen . Synchronized choreography is performed by all the girls , in front of the hotel . Interchanged scenes consist of movie clips and Normani and Dinah behaving in a seductive way as the monsters make their way towards the halls .   Each group then stands in a hallway , singing and moving to a camera before walking as Lauren holds a candle lantern in her hand as an ominous purple light beams in the background before turning blue . All of them are seen wearing large sunglasses . In different takes , the group dances mimicking a zombie . The monsters then make their way to the rooms , where some initially attempt to fight them but eventually interact with them , by taking pictures , dancing and seducing them . Towards the end of the video , one of the monsters snaps his finger , putting Ally to sleep . The girls begin to act more aggressive , laughing maniacally , with the video zooming out to the show the initial static screen . Zach Dionne of Fuse described the styling of Fifth Harmony 's costumes as `` Stepford Wives - gone - Addams Family '' and also commented that the video was reminiscent of the TRL era when many music videos often included scenes from movies .   Track listing ( edit )    Digital download      No .   Title   Length     1 .   `` I 'm in Love with a Monster ''   3 : 31     Charts ( edit )     Chart ( 2015 )   Peak position     Belgium ( Ultratip Flanders )   23     Release history ( edit )     Country   Date   Format   Label   Ref     United States   August 14 , 2015 ( 2015 - 08 - 14 )   Digital download   Syco       August 18 , 2015 ( 2015 - 08 - 18 )   Contemporary hit radio       References ( edit )    ^ Jump up to : Sony Pictures Animation ( 16 June 2015 ) . `` Pop Sensation Fifth Harmony Checks In To ' Hotel Transylvania 2 ' With Their New Song `` I 'm In Love With A Monster '' `` . prnewswire.com . Retrieved 11 September 2015 .   ^ Jump up to : `` FMQB : Radio Industry News , Music Industry Updates , Nielsen Ratings , Music News and more ! '' . fmqb.com . Archived from the original on August 20 , 2015 . Retrieved 11 September 2015 .   ^ Jump up to : `` See Fifth Harmony I 'm in Love With a Monster video from Hotel Transylvania 2 - EW.com '' . Entertainment Weekly . Retrieved 11 September 2015 .   Jump up ^ Carley , Brennan . `` Fifth Harmony Vamped Up ' I 'm In Love With a Monster ' on ' Late Late Show ' '' . Spin . Retrieved June 20 , 2017 .   Jump up ^ On Air With Ryan Seacreat ( September 23 , 2015 ) . `` Fifth Harmony `` I 'm In Love With a Monster '' ( Acoustic ) `` . YouTube . Retrieved June 18 , 2017 .   Jump up ^ Movies News Desk . `` Fifth Harmony Checks Into ' Hotel Transylvania 2 ' With New Song ' I 'm In Love With A Monster ' '' . broadwayworld.com . Retrieved 11 September 2015 .   Jump up ^ Hotel Transylvania 2 - Official Trailer ( HD ) - See it 9 / 25 ! . YouTube . 17 June 2015 . Retrieved 11 September 2015 .   Jump up ^ Menyes , Carolyn . `` Fifth Harmony Release Spooky ' I 'm in Love with a Monster ' from ' Hotel Transylvania 2 ' '' . Music Times . Retrieved June 24 , 2017 .   ^ Jump up to : `` iTunes - Music - I 'm In Love With a Monster - Single by Fifth Harmony '' . iTunes Store ( US ) . August 14 , 2015 . Retrieved August 15 , 2015 .   Jump up ^ `` Producer Harmony Samuels Talks Working With Fifth Harmony '' . YouTube / Entertainment Scoop . Retrieved June 25 , 2017 .   Jump up ^ `` Harmony Samuels talks about Fifth Harmony ! '' . YouTube . Retrieved June 25 , 2017 .   ^ Jump up to : Benjamin , Jeff ( August 4 , 2015 ) . `` Fifth Harmony 's New Song `` I 'm in Love With a Monster '' Is Spooky Good `` . Fuse . Retrieved August 16 , 2015 .   Jump up ^ `` Fifth Harmony -- I 'm in Love with a Monster ( music sheet ) '' . Sony Music Publishing . Musicnotes.com .   Jump up ^ Garibaldi , Christina ( August 14 , 2015 ) . `` Fifth Harmony Have Found Love ... In The Form Of A Monster '' . MTV News . Retrieved August 16 , 2015 .   Jump up ^ `` Fifth Harmony Release Spooky ' I 'm in Love with a Monster ' from ' Hotel Transylvania 2 ' '' . Music Times . August 14 , 2015 . Retrieved June 21 , 2017 .   Jump up ^ Daw , Robbie ( August 14 , 2015 ) . `` Fifth Harmony 's ' I 'm In Love With A Monster ' : Listen To The ' Hotel Transylvania 2 ' Soundtrack Song '' . Idolator . Retrieved August 16 , 2015 .   Jump up ^ Earp , Joseph . `` Single Review : Fifth Harmony - ' I 'm In Love With A Monster ' '' . Renowned for Sound . Retrieved June 20 , 2017 .   Jump up ^ Picardi , Phillip ( August 14 , 2015 ) . `` Fifth Harmony I 'm In Love With a Monster Single '' . Teen Vogue . Retrieved August 16 , 2015 .   Jump up ^ DeVille , Chris . `` The Week In Pop : Bro - Country Is Temporary , But Luke Bryan Is Forever '' . Stereogum . Retrieved June 20 , 2017 .   Jump up ^ `` Fifth Harmony Releases ' I 'm in Love With a Monster ' Music Video ( Watch ) '' . Latin Post . Retrieved 11 September 2015 .   Jump up ^ `` Fifth Harmony debut sexy ' I 'm In Love With A Monster ' video : Pressparty '' . Pressparty . Retrieved 11 September 2015 .   ^ Jump up to : `` EXCLUSIVE : Fifth Harmony Behind the Scenes of ' I 'm in Love With a Monster ' Music Video '' . Entertainment Tonight . Retrieved 11 September 2015 .   Jump up ^ Carley , Brennan . `` Fifth Harmony Go ' 40s - Glam in Their Vampy ' I 'm In Love With a Monster ' Video '' . Spin . Retrieved June 20 , 2017 .   Jump up ^ `` Fifth Harmony 's `` I 'm in Love With a Monster '' Video Is a Fancy Fright `` . Fuse . Retrieved 11 September 2015 .   Jump up ^ `` Ultratop.be -- Fifth Harmony -- I 'm in Love with a Monster '' ( in Dutch ) . Ultratip . Retrieved October 10 , 2015 .    External links ( edit )    `` I 'm in Love with a Monster '' on YouTube   `` I 'm in Love with a Monster '' audio on YouTube      ( hide )         Fifth Harmony       Ally Brooke   Dinah Jane   Lauren Jauregui   Normani Kordei     Camila Cabello       Studio albums     Reflection   7 / 27   Fifth Harmony       EPs     Better Together       Singles     `` Miss Movin ' On ''   `` Boss ''   `` Sledgehammer ''   `` Worth It ''   `` I 'm in Love with a Monster ''   `` Work from Home ''   `` All in My Head ( Flex ) ''   `` That 's My Girl ''   `` Down ''   `` He Like That ''   `` Por Favor ''       Promotional singles     `` Me &amp; My Girls ''   `` The Life ''   `` Write on Me ''   `` Angel ''       Concert tours     The Worst Kept Secret Tour   The Reflection Tour   The 7 / 27 Tour   PSA Tour       Related articles     Discography   Songs recorded   Awards and nominations              Retrieved from `` https://en.wikipedia.org/w/index.php?title=I%27m_in_Love_with_a_Monster&amp;oldid=816802551 '' Categories :   Fifth Harmony songs   2015 songs   2015 singles   Hotel Transylvania   Songs written for films   Syco Music singles   Songs written by Harmony Samuels   Songs written by Carmen Reece   Hidden categories :   Articles with hAudio microformats   Singlechart usages for Flanders Tip           Talk                                           Contents                   About Wikipedia                                           Español   Français   Italiano   Português   Edit links   This page was last edited on 23 December 2017 , at 20 : 14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</si>
  <si>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i'm in love with a monster in hotel transylvania</t>
  </si>
  <si>
    <t xml:space="preserve"> `` I 'm in Love with a Monster '' is a song recorded by American girl group Fifth Harmony for the computer animated fantasy - comedy film , Hotel Transylvania 2 . It was written by Harmony Samuels , Carmen Reece , Sarah Mancuso , Edgar Etienne and Ericka Coulter with production handled by Samuels . It was released to digital retailers on August 14 , 2015 through Epic Records and Syco Music and serviced to contemporary hit radio in the United States four days later on August 18 . `` I 'm in Love with a Monster '' is a pop song that blends elements of R&amp;B , soul , rock and hip hop with `` jazzy '' rhythms along with heavy and funky beats . Critics drew comparisons to the musical style of girl groups such as The Supremes . </t>
  </si>
  <si>
    <t xml:space="preserve">The Last of Us - wikipedia  The Last of Us  Jump to : navigation , search    The Last of Us         Developer ( s )   Naughty Dog     Publisher ( s )   Sony Computer Entertainment     Director ( s )     Bruce Straley   Neil Druckmann       Producer ( s )   Naughty Dog     Designer ( s )   Jacob Minkoff     Programmer ( s )     Travis McIntosh   Jason Gregory       Artist ( s )     Erick Pangilinan   Nate Wells       Writer ( s )   Neil Druckmann     Composer ( s )   Gustavo Santaolalla     Platform ( s )   PlayStation 3     Release     WW : June 14 , 2013       Genre ( s )   Action - adventure , survival horror     Mode ( s )   Single - player , multiplayer     The Last of Us is an action - adventure survival horror video game developed by Naughty Dog and published by Sony Computer Entertainment . It was released for the PlayStation 3 worldwide on June 14 , 2013 . Players control Joel , a smuggler tasked with escorting a teenage girl named Ellie across a post-apocalyptic United States . The Last of Us is played from a third - person perspective ; players use firearms and improvised weapons , and can use stealth to defend against hostile humans and cannibalistic creatures infected by a mutated strain of the Cordyceps fungus . In the game 's online multiplayer mode , up to eight players engage in cooperative and competitive gameplay .   Development of The Last of Us began in 2009 , soon after the release of Naughty Dog 's previous game , Uncharted 2 : Among Thieves . The relationship between Joel and Ellie became the central focus of the game , with all other elements developed around it . Actors Troy Baker and Ashley Johnson portrayed Joel and Ellie respectively through voice and motion capture , and assisted creative director Neil Druckmann with the development of the characters and story . The original score was composed and performed by Gustavo Santaolalla .   Following its announcement in December 2011 , The Last of Us was widely anticipated . Upon release , it received universal acclaim , with praise directed at its narrative , gameplay , visual and sound design , characterization , and depiction of female characters . The Last of Us became one of the best - selling games on the PlayStation 3 , selling over 1.3 million units in its first week and over eight million units within fourteen months . It won year - end accolades , including multiple Game of the Year awards from several gaming publications , critics , and game award ceremonies , making it one of the most awarded games in history , and is considered to be one of the greatest video games of all time .   After the game 's release , Naughty Dog released several downloadable content additions ; The Last of Us : Left Behind adds a single - player campaign following Ellie and her best friend Riley . An enhanced edition of the original game , The Last of Us Remastered , was released for the PlayStation 4 in July 2014 . A sequel , The Last of Us Part II , was announced in December 2016 .     Contents  ( hide )   1 Gameplay   1.1 Multiplayer     2 Plot   3 Development   3.1 Additional content   3.2 The Last of Us Remastered     4 Reception   4.1 Critical response   4.2 Sales   4.3 Awards     5 Adaptations   6 Sequel   7 References   7.1 Notes   7.2 Footnotes     8 External links      Gameplay ( edit )   The Last of Us is an action - adventure survival horror game played from a third - person perspective . Players traverse post-apocalyptic environments such as towns , buildings , forest and sewers to advance the story . Players use firearms , improvised weapons , and stealth to defend against hostile humans and cannibalistic creatures infected by a mutated strain of the Cordyceps fungus . For most of the game , players control Joel , a man tasked with escorting a young girl , Ellie , across the United States ; Ellie and other companions are controlled by the artificial intelligence . Players also control Ellie throughout the game 's winter segment .   In combat , players can use long - range weapons , such as rifles , shotguns , and bows , and short - range weapons such as handguns and short - barreled shotgun . Players can scavenge limited - use melee weapons , such as pipes and baseball bats , and throw bottles and bricks to distract , stun , or attack enemies . Players can upgrade weapons at workbenches using collected items . Equipment such as health kits and Molotov cocktails can be found or crafted using collected items . Attributes such as the health meter and crafting speed can be upgraded by collecting pills and medicinal plants . Health can be recharged through the use of health kits. .  Listen Mode allows players to discover the position of enemies and characters by displaying their outline through walls , achieved through a heightened sense of hearing and spatial awareness .  Though players can attack enemies directly , they can also use stealth to attack undetected or sneak by them . `` Listen Mode '' allows players to locate enemies through a heightened sense of hearing and spatial awareness , indicated as outlines visible through walls and objects . In the dynamic cover system , players crouch behind obstacles to gain a tactical advantage during combat . The game features periods without combat , often involving conversation between the characters . Players solve simple puzzles , such as using floating pallets to move Ellie , who is unable to swim , across bodies of water , and using ladders or dumpsters to reach higher areas . Story collectibles , such as notes , maps and comics , can be scavenged and viewed in the backpack menu .   The game features an artificial intelligence system by which hostile human enemies react to combat . If enemies discover the player , they may take cover or call for assistance , and can take advantage of players when they are distracted , out of ammunition , or in a fight . Player companions , such as Ellie , can assist in combat by throwing objects at threats to stun them , announcing the location of unseen enemies , or using a knife and pistol to attack enemies .   Multiplayer ( edit )   The online multiplayer allows up to eight players to engage in competitive gameplay in recreations of multiple single - player settings . The game features three multiplayer game types : Supply Raid and Survivors are both team deathmatches , with the latter excluding the ability to respawn ; Interrogation features teams investigating the location of the enemy team 's lockbox , and the first to capture such lockbox wins . In every mode , players select a faction -- Hunters ( a group of hostile survivors ) or Fireflies ( a revolutionary militia group ) -- and keep their clan alive by collecting supplies during matches . Each match is equal to one day ; by surviving twelve `` weeks '' , players have completed a journey and can re-select their Faction . Killing enemies , reviving allies , and crafting items earn the player parts that can be converted to supplies ; parts can also be scavenged from enemies ' bodies . Players are able to carry more equipment by earning points as their clan 's supplies grow . Players can connect the game to their Facebook account , which alters clan members ' names and faces to match the players ' Facebook friends . Players have the ability to customize their characters with hats , helmets , masks , and emblems .   Plot ( edit )  See also : List of The Last of Us characters  In September 2013 , an outbreak of a mutant Cordyceps fungus ravages the United States , transforming its human hosts into cannibalistic monsters known as infected . In the suburbs of Austin , Texas , Joel ( Troy Baker ) flees the chaos with his brother Tommy ( Jeffrey Pierce ) and daughter Sarah ( Hana Hayes ) . As they flee , Sarah is shot by a soldier and dies in Joel 's arms . In the twenty years that follow , most of civilization is destroyed by the infection . Survivors live in heavily policed quarantine zones , independent settlements , and nomadic groups . Joel works as a smuggler with his partner Tess ( Annie Wersching ) in the quarantine zone in the North End of Boston , Massachusetts . They hunt down Robert ( Robin Atkin Downes ) , a black - market dealer , to recover a stolen weapons cache . Before Tess kills him , Robert reveals that he traded the cache with the Fireflies , a rebel militia opposing the quarantine zone authorities .   The leader of the Fireflies , Marlene ( Merle Dandridge ) , promises to double their cache in return for smuggling a teenage girl , Ellie ( Ashley Johnson ) , to Fireflies hiding in the Massachusetts State House outside the quarantine zone . Joel , Tess , and Ellie sneak out in the night , but after an encounter with a patrol , they discover Ellie is infected . Full infection normally occurs in under two days , but Ellie claims she was infected three weeks ago and that her immunity may lead to a cure . The trio make their way to their destination through hordes of the infected , but find that the Fireflies there have been killed . Tess reveals she has been bitten by an infected ; believing in Ellie 's importance , Tess sacrifices herself against pursuing soldiers so Joel and Ellie can escape . Joel decides to find Tommy , a former Firefly , in the hope that he can locate the remaining Fireflies . With the help of Bill ( W. Earl Brown ) , a smuggler who owes Joel a favor , they acquire a working vehicle . Driving into Pittsburgh , Pennsylvania , Joel and Ellie are ambushed by bandits and their car is wrecked . They ally with two brothers , Henry ( Brandon Scott ) and Sam ( Nadji Jeter ) ; after they escape the city , Sam is bitten by an infected , but hides it from the group . As his infection takes hold , Sam attacks Ellie , but Henry shoots him dead and commits suicide out of grief .   In the fall , Joel and Ellie finally find Tommy in Jackson , Wyoming , where he has assembled a fortified settlement near a hydroelectric dam with his wife Maria ( Ashley Scott ) . Joel contemplates leaving Ellie with Tommy , but after she confronts him about Sarah , he decides to let her stay with him . Tommy directs them to a Fireflies enclave at the University of Eastern Colorado . They find the university abandoned , but learn that the Fireflies have moved to a hospital in Salt Lake City , Utah . Afterward , Joel is severely wounded by bandits , who are killed by Ellie .   During the winter , Ellie and Joel shelter in the mountains . Joel is on the brink of death and relies on Ellie to care for him . Hunting for food , Ellie encounters David ( Nolan North ) and James ( Reuben Langdon ) , scavengers willing to trade medicine for food ; David turns hostile after revealing the university bandits were part of his group . Ellie manages to lead David 's group away from Joel , but is eventually captured ; David intends to recruit her into his cannibal group . Refusing the offer , she escapes after killing James , but David corners her in a burning restaurant . Meanwhile , Joel recovers from his wounds and sets out to find Ellie . He reaches Ellie as she kills David and breaks down crying ; Joel comforts her before they flee .   In the spring , Joel and Ellie arrive in Salt Lake City and are captured by a Firefly patrol . In the hospital , Marlene tells Joel that Ellie is being prepared for surgery : in hope of producing a vaccine for the infection , the Fireflies must remove the infected portion of Ellie 's brain , which will kill her . Unwilling to let Ellie die , Joel battles his way to the operating room and carries the unconscious Ellie to the parking garage . He is confronted by Marlene , whom he shoots and kills to prevent the Fireflies from pursuing them . On the drive out of the city , Joel claims that the Fireflies had found many other immune people but were unable to create a cure , and that they have stopped trying . On the outskirts of Tommy 's settlement , Ellie reveals that she was not alone when she was infected and expresses her survivor guilt . At her insistence , Joel swears his story about the Fireflies is true .   Development ( edit )  Main article : Development of The Last of Us Bruce Straley ( left ) and Neil Druckmann ( right ) were appointed to lead development on The Last of Us , as game director and creative director , respectively .  Naughty Dog began developing The Last of Us in 2009 , following the release of Uncharted 2 : Among Thieves . For the first time in the company 's history , Naughty Dog split into two teams ; while one team developed Uncharted 3 : Drake 's Deception ( 2011 ) , the other began work on The Last of Us . Director Bruce Straley and creative director Neil Druckmann led the team responsible for developing The Last of Us .   Druckmann views The Last of Us as a coming of age story , in which Ellie adapts to survival after spending time with Joel , as well as an exploration of how willing a father is to save his child . A major motif of the game is that `` life goes on '' ; this is presented in a scene in which Joel and Ellie discover a herd of giraffes , which concept artist John Sweeney explained was designed to `` reignite ( Ellie 's ) lust for life '' , after her suffering following her encounter with David . The Infected , a core concept of the game , were inspired by a segment of the BBC nature documentary Planet Earth ( 2006 ) , which featured the Cordyceps fungi . Though the fungi mainly infect insects , taking control of their motor functions and forcing them to help cultivate the fungus , the game explores the concept of the fungus evolving and infecting humans , and the direct results of an outbreak of this infection .   The relationship between Joel and Ellie was the central focus of the game ; all other elements were developed around it . Troy Baker and Ashley Johnson were cast as Joel and Ellie , respectively , and provided voice and motion capture performances . Baker and Johnson contributed to the development of the characters ; for example , Baker convinced Druckmann that Joel would care for Tess due to his loneliness , and Johnson convinced Druckmann that Ellie should be stronger and more defensive . Ellie 's physical appearance was also redesigned throughout development to make her look more similar to Johnson . The game 's other characters also underwent changes . The character Tess was originally intended to be the main antagonist of The Last of Us , but the team found it difficult to believe her motives . The sexuality of the character Bill was originally left vague in the script , but later altered to further reflect his homosexuality .  Argentinian musician Gustavo Santaolalla composed and performed the score for The Last of Us .  The Last of Us features an original score composed primarily by Gustavo Santaolalla , along with compositions by Andrew Buresh , Anthony Caruso , and Jonathan Mayer . Known for his minimalist compositions , Santaolalla was contacted early in development . He used various instruments to compose the score , including some that he was unfamiliar with , giving a sense of danger and innocence . This minimalist approach was also taken with the game 's sound and art design . The sound of the Infected was one of the first tasks during development ; the team experimented with the sound in order to achieve the best work possible . To achieve the sound of the Clicker , they hired voice actress Misty Lee , who provided a sound that audio lead Phillip Kovats described as originating in the `` back of the throat '' . The art department took various pieces of work as inspiration , such as Robert Polidori 's photographs following Hurricane Katrina , which were used as a reference point when designing the flooded areas of Pittsburgh . The art department were forced to negotiate for things that they wished to include , due to the strong differing opinions of the team during development . Ultimately , the team settled on a balance between simplicity and detail ; while Straley and Druckmann preferred the former , the art team preferred the latter . The game 's opening credits were produced by Sony 's San Diego Studio .   The team created new engines to satisfy their needs for the game . The artificial intelligence was created to coordinate with players ; the addition of Ellie as artificial intelligence was a major contributor to the engine . The lighting engine was also re-created to incorporate soft light , in which the sunlight seeps in through spaces and reflects off surfaces . The gameplay introduced difficulty to the team , as they felt that every mechanic required thorough analysis . The game 's user interface design also underwent various iterations throughout development .   The Last of Us was announced on December 10 , 2011 , at the Spike Video Game Awards , alongside its debut trailer and an official press release acknowledging some of the game 's features . The announcement ignited widespread anticipation within the gaming industry , which journalists owed to Naughty Dog 's reputation . The game missed its original projected release date of May 7 , 2013 , and was pushed to June 14 , 2013 worldwide for further polishing . To promote pre-order sales , Naughty Dog collaborated with several retailers to provide special editions of the game with extra content .   Additional content ( edit )   Downloadable content ( DLC ) for the game was released following its launch . The game 's Season Pass includes access to all DLC , as well as some additional abilities , and the documentary Grounded : Making The Last of Us ; the documentary was released online in February 2014 . Two DLC packs were included with some of the game 's special editions and were available upon release . The Sights and Sounds Pack included the soundtrack , a dynamic theme for the PlayStation 3 home screen , and two avatars . The Survival Pack featured bonus skins for the player following the completion of the campaign , and in - game money , as well as bonus experience points and early access to customizable items for the game 's multiplayer . Abandoned Territories Map Pack , released on October 15 , 2013 , added four new multiplayer maps , based on locations in the game 's story . Nightmare Bundle , released on November 5 , 2013 , added a collection of ten head items , nine of which are available to purchase separately .   The Last of Us : Left Behind adds a single - player campaign which serves as a prequel to the main storyline , featuring Ellie and her friend Riley . It was released on February 14 , 2014 as DLC and on May 12 , 2015 as a standalone expansion pack . A third bundle was released on May 6 , 2014 , featuring five separate DLC : Grounded added a new difficulty to the main game and Left Behind ; Reclaimed Territories Map Pack added new multiplayer maps ; Professional Survival Skills Bundle and Situational Survival Skills Bundle added eight new multiplayer skills ; and Survivalist Weapon Bundle added four new weapons . The Grit and Gear Bundle , which added new headgear items , masks and gestures , was released on August 5 , 2014 . A Game of the Year Edition containing all downloadable content was released in Europe on November 11 , 2014 .   The Last of Us Remastered ( edit )  Main article : The Last of Us Remastered  On April 9 , 2014 , Sony announced The Last of Us Remastered , an enhanced version of the game for the PlayStation 4 . It was released on July 29 , 2014 in North America . Remastered features improved graphics and rendering upgrades , including increased draw distance , an upgraded combat mechanic , and higher frame rate . Other enhancements include advanced audio options , an audio commentary , and a Photo Mode . It includes the previously released downloadable content , including Left Behind and some multiplayer maps . The development team aimed to create a `` true '' remaster , maintaining the `` core experience '' and major story and gameplay elements .   Reception ( edit )   Critical response ( edit )     Reception        Aggregate score     Aggregator   Score     Metacritic   95 / 100     Review scores     Publication   Score     CVG   10 / 10     Edge   10 / 10     Eurogamer   10 / 10     Game Informer   9.5 / 10     GameSpot   8 / 10     IGN   10 / 10     Joystiq       OPM ( UK )   10 / 10     Polygon   7.5 / 10        The Last of Us received critical acclaim . Metacritic calculated an average score of 95 out of 100 , indicating `` universal acclaim '' , based on 98 reviews . It is the fifth - highest rated PlayStation 3 game on Metacritic . Reviewers praised the character development , story and subtext , visual and sound design , and depiction of female and LGBT characters . The game is considered one of the most significant titles of the seventh generation of video games , and has been included among the greatest video games of all time . Colin Moriarty of IGN called The Last of Us `` a masterpiece '' and `` PlayStation 3 's best exclusive '' , and Edge considered it `` the most riveting , emotionally resonant story - driven epic '' of the console generation . Oli Welsh of Eurogamer wrote that it is `` a beacon of hope '' for the survival horror genre ; Andy Kelly of Computer and Video Games declared it `` Naughty Dog 's finest moment '' .   Kelly of Computer and Video Games found the story memorable , and IGN 's Moriarty named it one of the game 's standout features . PlayStation Official Magazine 's David Meikleham wrote that the pacing contributed to the improvement of the story , stating that there is `` a real sense of time elapsed and journey traveled along every step of the way '' , and Destructoid 's Jim Sterling lauded the game 's suspenseful moments . Richard Mitchell of Joystiq found that the narrative improved the character relationships .   The characters -- particularly the relationship between Joel and Ellie -- received acclaim . Matt Helgeson of Game Informer wrote that the relationship felt identifiable , naming it `` poignant '' and `` well - drawn '' . Eurogamer 's Welsh wrote that the characters were developed with `` real patience and skill '' , appreciating their emotional value , and Joystiq 's Mitchell found the relationship `` genuine '' and emotional . PlayStation Official Magazine 's Meikleham named Joel and Ellie the best characters of any PlayStation 3 game , while IGN 's Moriarty identified it as a highlight of the game . Kelly of Computer and Video Games named the characters `` richly painted '' , feeling invested in their stories . Philip Kollar of Polygon felt that Ellie was believable , making it easier to develop a connection to her , and that the relationship between the characters was assisted by the game 's optional conversations . The character performances also received praise , with Edge and Eurogamer 's Welsh noting that the script improved as a result .   Many reviewers found the game 's combat a refreshing difference from other games . Game Informer 's Helgeson appreciated the vulnerability during fights , while Kelly of Computer and Video Games enjoyed the variety in approaching the combat . IGN 's Moriarty felt that the crafting system assisted the combat , and that the latter contributed to the narrative 's emotional value , adding that enemies feel `` human '' . Joystiq 's Mitchell reiterated similar comments , stating that the combat `` piles death upon death on Joel 's hands '' . Welsh of Eurogamer found the suspenseful and threatening encounters added positively to the gameplay . Tom Mc Shea of GameSpot wrote that the artificial intelligence negatively affected the combat , with enemies often ignoring players ' companions . Polygon 's Kollar felt that the combat was unfair , especially when fighting the Infected .  An artistic design of a location in the post-apocalyptic United States . Reviewers praised the design and layouts of the locations . The game 's visual features , both artistic and graphic , were also well received .  The game 's visual features were commended by many reviewers . The art design was lauded as `` outstanding '' by Computer and Video Games ' Kelly , and `` jaw - dropping '' by Eurogamer 's Welsh . In contrast , Mc Shea of GameSpot identified the visual representation of the post-apocalyptic world was `` mundane '' , having been portrayed various times previously . The game 's graphics have been frequently named by critics as the best for a PlayStation 3 game , with Helgeson of Game Informer naming them `` unmatched in console gaming '' and Moriarty of IGN stating that they contribute to the realism . Destructoid 's Sterling wrote that game was visually impressive but that technical issues , such as some `` muddy and basic '' textures found early in the game , left a negative impact on the visuals .   The world and environments of the game drew acclaim from many reviewers . Kelly of Computer and Video Games stated that the environments are `` large , detailed , and littered with secrets '' , adding that The Last of Us `` masks '' its linearity successfully . Edge repeated similar remarks , writing that the level design serves the story appropriately . Helgeson of Game Informer wrote that the world `` effectively and gorgeously ( conveys ) the loneliness '' of the story . IGN 's Moriarty appreciated the added design elements placed around the game world , such as the hidden notes and letters .   Reviewers praised the use of sound in The Last of Us . Eurogamer 's Welsh felt that the sound design was significantly better than in other games , while Game Informer 's Helgeson dubbed it `` amazing '' . Mc Shea of GameSpot stated that the audio added to the effect of the gameplay , particularly when hiding from enemies . Kelly of Computer and Video Games found that the environmental audio positively impacted gameplay , and that Gustavo Santaolalla 's score was `` sparse and delicate '' . Both Game Informer 's Helgeson and Destructoid 's Sterling called the score `` haunting '' , with the latter finding that it complements the gameplay .   The graphic depiction of violence in The Last of Us generated substantial commentary from critics . Engadget writer Ben Gilbert found the game 's persistent focus on combat was `` a necessary evil to lead the game 's fragile protagonist duo to safety '' , as opposed to being used as a method to achieve objectives . Kotaku 's Kirk Hamilton wrote that the violence was `` heavy , consequential and necessary '' , as opposed to gratuitous . USGamer 's Anthony John Agnello wrote that the game consistently reinforces the negativity associated with violence , intentionally making players feel uncomfortable while in violent combat . He stated that the deaths within the game were not unnecessary or unjustified , making the story more powerful . Kelly of Computer and Video Games stated that , despite the `` incredibly brutal '' combat , the violence never felt gratuitous . Eurogamer 's Welsh echoed similar remarks , stating that the violence is not `` desensitized or mindless '' . Matt Helgeson of Game Informer observed that the game 's violence leads to players questioning the morality of their choices . Joystiq 's Mitchell wrote that the violence is `` designed to be uncomfortable '' , stating that it contributes to Joel 's character . Prior to the release of the game , Keith Stuart of The Guardian wrote that the acceptability of the violence would depend on its context within the game .   Many critics discussed the game 's depiction of female characters . Jason Killingsworth of Edge praised its lack of sexualized female characters , writing that it `` offers a refreshing antidote to the sexism and regressive gender attitudes of most blockbuster videogames '' . Eurogamer 's Ellie Gibson praised Ellie as `` sometimes strong , sometimes vulnerable , but never a cliché '' . She felt that Ellie is initially established as a `` damsel in distress '' , but that this concept is subverted . GameSpot 's Carolyn Petit praised the female characters as morally conflicted and sympathetic , but wrote that gender in video games should be evaluated `` based on their actual merits , not in relation to other games '' . Chris Suellentrop of The New York Times acknowledged that Ellie was a likable and `` sometimes powerful '' character , but argued that The Last of Us is `` actually the story of Joel '' , stating that it 's `` another video game by men , for men and about men '' . The Last of Us was also praised for its depiction of LGBT characters . Sam Einhorn of GayGamer.net felt that the revelation of Bill 's sexuality `` added to his character ... without really tokenizing him '' . American organization GLAAD named Bill one of the `` most intriguing new LGBT characters of 2013 '' , calling him `` deeply flawed but wholly unique '' . A kiss between two female characters in Left Behind was met with positive reactions .   Sales ( edit )   Within seven days of its release , The Last of Us sold over 1.3 million units , becoming the biggest video game launch of 2013 at the time . Three weeks after its release , the game sold over 3.4 million units , and was deemed the biggest launch of an original game since 2011 's L.A. Noire and the fastest - selling PlayStation 3 game of 2013 at the time . The game became the best - selling digital release on PlayStation Store for PlayStation 3 , though numerical sales figures were not disclosed ; this record was later beaten by Grand Theft Auto V . The Last of Us ultimately became the tenth best - selling game of 2013 . By August 2014 , the game had sold eight million copies : seven million on PlayStation 3 and one million on PlayStation 4 . It is the third best - selling PlayStation 3 game of all time . In the United Kingdom , the game remained atop the charts for six consecutive weeks , matching records set by multi-platform titles . Within 48 hours of its release , The Last of Us generated more than the £ 3 million earned by Man of Steel in the same period . The game also topped the charts in the United States , France , Ireland , Italy , the Netherlands , Sweden , Finland , Norway , Denmark , Spain , and Japan .   Awards ( edit )  Main article : List of accolades received by The Last of Us  The Last of Us is one of the most awarded games of all time , winning over 240 Game of the Year awards . Prior to its release , it received numerous awards for its previews at E3 . It was review aggregators Metacritic and GameRankings ' second - highest rated for the year 2013 , behind Grand Theft Auto V . The game appeared on several year - end lists of the best games of 2013 , receiving wins from the 41st Annie Awards , The A.V. Club , the British Academy Video Games Awards , Canada.com , Daily Mirror , The Daily Telegraph , Destructoid , the 17th Annual DICE Awards , The Escapist , GamesRadar , GameTrailers , the 14th Annual Developers Choice Awards , Game Revolution , Giant Bomb , Good Game , Hardcore Gamer , IGN , IGN Australia , International Business Times , Kotaku , National Academy of Video Game Trade Reviewers , VG247 , VideoGamer.com . It was also named the Best PlayStation Game by GameSpot , GameTrailers , Hardcore Gamer , and IGN . Naughty Dog won Studio of the Year and Best Developer from The Daily Telegraph , Edge , the Golden Joystick Awards , Hardcore Gamer , and the 2013 Spike VGX .   Baker and Johnson received multiple nominations for their performances ; Baker won awards from Hardcore Gamer and the 2013 Spike VGX , while Johnson won awards at the British Academy Video Games Awards , DICE Awards , VGX 2013 , and from The Daily Telegraph . The game 's story also received awards at the British Academy Video Games Awards , the DICE Awards , the Game Developers Choice Awards , the Golden Joystick Awards , and the Writers Guild of America Awards , and from GameTrailers , Giant Bomb , Hardcore Gamer , and IGN . The sound design and music received awards at the DICE Awards , the Inside Gaming Awards , and from IGN . The game 's graphical and artistic design also won awards from Destructoid , the DICE Awards , the Golden Joystick Awards , and IGN .   The Last of Us was awarded Outstanding Innovation in Gaming at the DICE Awards , and Best Third Person Shooter from GameTrailers . The game received Best New IP from Hardcore Gamer , Best Newcomer at the Golden Joystick Awards , and Best Debut from Giant Bomb . It received Best Overall Sound , Best PlayStation 3 Multiplayer , and Best Action - Adventure Game on PlayStation 3 , and overall at IGN 's Best of 2013 Awards . It also won Best Action - Adventure Game at the British Academy Video Games Awards , and The Escapist , as well as Best Action Game from Hardcore Gamer and Adventure Game of the Year at the DICE Awards .   Adaptations ( edit )   A four - issue comic book miniseries , titled </t>
  </si>
  <si>
    <t xml:space="preserve">what are the zombies called in the last of us</t>
  </si>
  <si>
    <t xml:space="preserve"> In September 2013 , an outbreak of a mutant Cordyceps fungus ravages the United States , transforming its human hosts into cannibalistic monsters known as infected . In the suburbs of Austin , Texas , Joel ( Troy Baker ) flees the chaos with his brother Tommy ( Jeffrey Pierce ) and daughter Sarah ( Hana Hayes ) . As they flee , Sarah is shot by a soldier and dies in Joel 's arms . In the twenty years that follow , most of civilization is destroyed by the infection . Survivors live in heavily policed quarantine zones , independent settlements , and nomadic groups . Joel works as a smuggler with his partner Tess ( Annie Wersching ) in the quarantine zone in the North End of Boston , Massachusetts . They hunt down Robert ( Robin Atkin Downes ) , a black - market dealer , to recover a stolen weapons cache . Before Tess kills him , Robert reveals that he traded the cache with the Fireflies , a rebel militia opposing the quarantine zone authorities . </t>
  </si>
  <si>
    <t xml:space="preserve">GoPro - wikipedia  GoPro  Jump to : navigation , search  GoPro , Inc .       Formerly called   Woodman Labs , Inc .     Type   Public     Traded as   NASDAQ : GPRO     Industry     Technology   Videography   Consumer electronics       Founded   2002 ; 15 years ago ( 2002 )     Founder   Nick Woodman     Headquarters   San Mateo , California , U.S.     Area served   Worldwide     Key people     Nick Woodman ( CEO )       Products     Action camera   Video editing software   Mobile app       Revenue   US $ 1.62 billion ( 2015 )     Operating income   US $ 54.75 million ( 2015 )     Profit   US $ 36.13 million ( 2015 )     Total assets   US $ 1.10 billion ( 2015 )     Number of employees   1,483 ( 2016 )     Subsidiaries     CineForm   Replay   Splice       Website   www.gopro.com     GoPro , Inc. ( marketed as GoPro and sometimes stylised as GoPRO ) is an American technology company founded in 2002 by Nick Woodman . It manufactures eponymous action cameras and develops its own mobile apps and video - editing software .   Founded as Woodman Labs , Inc , the company eventually focused on the connected sports genre , developing its line of action cameras and , later , video editing software . It also developed a quadcopter drone , Karma , released in October 2016 .   In October 2016 , before the release of `` Karma '' quadcopter drone , GoPro released the GoPro `` HERO 5 '' and `` HERO 5 Session ''     Contents  ( hide )   1 History   1.1 Corporate actions   1.2 IPO     2 Product lines   2.1 HERO cameras   2.2 GoPro KARMA &amp; GoPro KARMA Grip   2.3 Accessories   2.4 Video editing     3 Content company   4 HD HERO cameras   5 Products   5.1 HERO cameras   5.1. 1 35mm   5.1. 2 Digital   5.1. 3 Digital 3   5.1. 4 Digital 5   5.1. 5 Digital Wide   5.1. 6 HD   5.1. 6.1 960   5.1. 6.2 LED   5.1. 6.3 Specifications     5.1. 7 HERO2   5.1. 8 HERO3   5.1. 8.1 HERO3+     5.1. 9 HERO4   5.1. 9.1 HERO + LCD   5.1. 9.2 HERO+     5.1. 10 HERO5   5.1. 11 HERO6     5.2 GoPro KARMA Drone   5.3 GoPro Omni     6 See also   7 References   8 External links      History ( edit )   The company was founded by Nick Woodman in 2002 . He was motivated by a tramp in 2002 surfing trip to Australia in which he was hoping to capture quality action photos , but could not because amateur photographers could not get close enough or buy quality equipment at reasonable prices . His desire for a camera system that could capture the professional angles inspired the ' GoPro ' name .   Woodman raised a portion of his initial capital by selling bead and shell belts for under US $20 from his VW van and , later , fashionable camera straps . He also received over $230,000 from his parents to invest in the business .   In 2004 , the company sold its first camera system , which used 35 mm film . Digital still and video cameras were later introduced . As of 2014 , a fixed - lens HD video camera with a wide 170 - degree lens was available ; two or more can be paired to create 360 video .   On June 4 , 2014 , the company announced the appointment of former Microsoft executive Tony Bates as President reporting directly to Woodman .   In January 2016 , GoPro partnered with Periscope for live streaming .   After growing the number of employees by more than 500 in 2015 , the company responded to weak sales in the fourth quarter by cutting about 7 % of its workforce ( 100 workers ) in January 2016 .   At its peak , a share of GoPro was valued at $86 , but on September 27 , 2016 , only $16.79 .   In November 2016 , the company announced it was laying off an additional 200 employees in an effort to reduce costs . The company also announced that President Tony Bates would be stepping down at the end of 2016 . 270 more employees were laid off in March 2017 .   Corporate actions ( edit )   On March 30 , 2011 , GoPro acquired CineForm . The acquisition included the CineForm 444 video codec used in the film Slumdog Millionaire . The company claimed that the codec `` makes HD and 3D editing faster and more convenient without sacrificing image quality '' . It was incorporated in the company 's 3D Hero System shortly after the acquisition .   In March 2013 , GoPro issued a DMCA takedown notice to website DigitalRev.com , which had posted a review of its product , citing trademark use as a breach of copyright . This notice was retracted 10 days later , citing `` erroneous enforcement '' .   On February 29 , 2016 , GoPro spent $105 million and acquired two start - ups , namely , Stupeflix and Vemory , for their video editing tools Replay and Splice .   IPO ( edit )   On February 7 , 2014 , GoPro submitted a confidential filing for an initial public offering ( IPO ) with the Securities and Exchange Commission ( SEC ) .   On May 19 , 2014 , GoPro filed its S - 1 with the SEC without specifying the number of shares or their price . The company stated that they hoped to raise at least $100 million through the sale of shares , using the money to pay off debt in full ( $111 million as of March 31 , 2014 ) and `` to acquire or invest in complementary businesses , technologies or assets '' . They said that they planned to list on the NASDAQ stock exchange using the symbol ' GPRO . '   The expected price range was $21 to $24 a share ; on June 25 , 2014 , GoPro sold 17.8 million shares to initial investors at $24 per share ( totaling $427.2 M ) . At the IPO price the company was valued at $2.95 billion . 1.5 percent of those shares were allotted to LOYAL3 , a technology platform that allows small investors to participate .   One reason for GoPro 's decision to go public was the potential to become a media company to generate additional revenue from the content its cameras create .   Product lines ( edit )   HERO cameras ( edit )   Woodman worked on his first camera for two years after founding the company , eventually introducing the GoPro 35mm HERO in September 2004 at San Diego 's Action Sports Retailer trade show . In its first year GoPro sold $150,000 worth of products . In 2006 the company introduced its first Digital HERO , with 10 second video capability , and generated $800,000 in revenue . The following year GoPro sales quadrupled to $3.4 million .   In 2014 , the company was selling the HERO3+ in editions of different colors . It was capable of filming in 16 : 9 aspect ratio , supporting 4K UHD video and 12 MP still photographs . The HERO4 was introduced on 24 September 2014 .   At 28 September Gopro released new Hero 6 . It has new , better stabilisation , than Hero 5 and it can capture 4K in 60 FPS . Hero 6 Black costs about $500 .   GoPro Karma &amp; GoPro Karma grip ( edit )  GoPro drone Karma  The GoPro Karma is GoPro 's consumer drone .   In 2014 , GoPro entered into discussions with DJI for a private label model built with the GoPro branding . After the failure of these negotiations , GoPro entered into an agreement with 3D Robotics ( 3DR ) for a similar partnership based on 3DR 's flight controllers . 3DR failed to meet their agreed upon timelines . As a result , GoPro took full control of the development process in mid-2015 .   Scheduled to be released early 2016 , the GoPro Karma project was delayed several times before the GoPro Karma was announced with an introduction date of October 23 , 2016 . The Karma was released along with newer models of the HERO5 and Session cameras and features a removable handheld stabilizer ( gimbal ) integrated into the design . After a few customers complained about power failure during operation , GoPro recalled Karma drones and gave customers full refunds .   In February 2017 , GoPro re-launched the Karma Drone .   Accessories ( edit )   GoPro produces various mounting accessories for its cameras including a 3 - way mount , suction cup , chest harness , jaws - type flexible clamp , dog harness , surfing mount , etc .   Video editing ( edit )   The company developed GoPro Studio , simple video editing software to edit camera footage . It was reported that GoPro intended to also become a content provider , also with a new app for the HERO5 called GoPro Quik to share , and edit videos easier .   Content company ( edit )   In April 2014 , GoPro was listed by Adweek as one of the `` Top 10 Best Brand Channels on YouTube '' based on a combination of views , shares , comments and overall engagement . Content is uploaded daily , an additional source of revenue for the company .   As part of its transformation to a media company in 2014 , GoPro created additional channels with GoPro content on YouTube , Virgin America , and Xbox Live . This was extended to the PlayStation Network in 2015 .   HD HERO cameras ( edit )   As of October 2014 , GoPro sells three fixed - lens cameras , two without viewfinders and one including a touchscreen viewfinder . A 2 - bit LCD on the front of the camera allows access to its menu system , which is controlled by the front and top shutter buttons . The HERO4 Black have dimensions of 41 mm × 59 mm × 30 mm and weighs 88 grams ( 152 grams with housing ) . Still images from 6 to 12 megapixels can be captured . The cameras are sold with a clear polycarbonate HD Housing with a glass lens that is rated shockproof and waterproof to 131 feet ( 40 m ) , with a quick - release buckle on the top and threads at the bottom to attach to all of the GoPro mounts . The housing has metal buttons that connect to the camera 's controls and has a `` skeleton '' backdoor option to allow audio recording when the camera is used with a mount but without the need to be watertight or shockproof .   Products ( edit )   HERO cameras ( edit )  35mm ( edit )  The 35mm camera ( model # 001 ) became available on April 13 , 2005 . It had dimensions of 2.5 by 3 inches ( 64 by 76 mm ) and weighed 0.45 pounds ( 200 g ) . It included the camera , a clear case with quick release , a camera strap and ski glove adapter lash . It could pivot `` on the fly '' and be functional to a depth in water of about 15 feet ( 5 m ) . It was described as a `` reusable wrist camera '' and included a roll of 24 exposure Kodak 400 film .  Digital ( edit )  The Digital HERO released in 2006 ( Model : SQ907 mini-cam ) had a 640 × 460 camera and shot VGA definition 320X240 ( 10 fps ) video for a maximum of 10 seconds . The Digital HERO1 had 32 MB internal memory without SD slot .  Digital 3 ( edit )  The Digital HERO3 released in 2007 had a 3 - megapixel camera and shot standard definition 512 × 384 video . It was rated up to 30 m ( 98.4 feet ) in depth .  Digital 5 ( edit )  The Digital HERO5 was first introduced on December 5 , 2006 . It had a 5 megapixel still photo sensor and supported standard definition ( 512 × 384 ) video capture . It ran on two AAA batteries , had 16 MB of internal memory and could function with a 2 GB SD card . Its housing was rated to 100 ft / 30 meters depth . Its dimensions were 2.6 × 1.75 × 1.25 inches ( 66 × 44 × 32 mm ) . The camera is not designed to work with the newer HD HERO line of housings , although the standard screw mounts are indeed compatible .  Digital Wide ( edit )      This section is empty . You can help by adding to it . ( January 2016 )    HD ( edit ) 960 ( edit )  HD HERO 960 - shoots a maximum of 960p video and is not compatible with GoPro 's electronic accessories although the camera is compatible with all GoPro mounts . It was first listed on August 6 , 2010 .  Led ( edit )  The HD HERO Naked , released with a range of accessories , shoots a maximum of 1080p video on its 5 MP sensor . The Naked camera line forms the basis for other bundles , which are differentiated by the types of mounts they have ( HD Helmet HERO , HD Motorsports HERO , HD Surf HERO ) . It was first listed on January 25 , 2010 .  Specifications ( edit )   Sensor size : 1 / 2.5 - inch ( 5.75 mm × 4.28 mm )   Pixel size : 2.2 μm   Image formats :        Mode   Size   fps   FOV     R1   848 × 480   60   170 °     R2   1280 × 720   30   170 °     R3   1280 × 720   60   170 °     R4   1280 × 960   30   170 °     R5   1920 × 1080   30   127 °     Photo   2592 × 1944   0   170 °      HERO2 ( edit )  The HERO2 was launched on October 24 , 2011 . It has an 11 MP image sensor , improved low - light capability and records at up to 120 fps . It was sold with three different accessory packages as the Outdoor , Motorsports , and Surf Editions .  HERO3 ( edit )  In late 2012 , GoPro announced the HERO3 line of cameras . These cameras came in three editions : black , silver and white .   All three versions of the HERO3 come in a 30 % smaller and 25 % lighter package , with WiFi built in . The change of the physical dimensions of the cameras compared to the previous generations ( HERO1 and HERO2 were physically identical ) means that some accessories for HD HERO Original and HERO2 are not compatible with HERO3 , so GoPro made new versions of those accessories specifically for HERO3 ( and mostly for HERO3+ , see below ) . Those new versions of accessories are usually not compatible with older Hero camera generations . However , a lot of other accessories are compatible with all HD Hero camera generations .   The HERO3 Silver and Black cameras have significantly less battery endurance than the HD HERO Original and HERO2 . For example , in 720p resolution with 25 / 30 fps , while HD HERO Original and HERO2 have a stated battery runtime of 3 hours , HERO3 Silver Edition has a stated battery runtime of 2 hours , and HERO3 Black Edition has a stated battery runtime of 1.5 hours ( the Black Edition 's `` most economical '' setting is 1080p / 30 fps , so this also partially contributes to its poor battery runtime ) .   The Black Edition has a new 12 MP sensor that can capture 4K UHD digital video at 15 fps , 2.7 K video at 30 fps , 1440p at 48 fps , 1080p at 60 fps , 960p at 100 fps , 720p at 120 fps and WVGA at 240 fps . The Black edition also includes the WiFi Remote . The Black Edition can not record at 25 / 30 fps in 720p and WVGA resolutions ; it can only record at very fast frame rates in those resolutions . This is a deliberate firmware limitation , as the manufacturer does not expect that this high - end camera model will be used at these lower resolutions and frame rates .   The Silver Edition uses the same 11 MP sensor as the HERO2 , and the White edition uses the same 5 MP sensor as the HD HERO Original .  HERO3+ ( edit ) Play media A timelapse recording one frame every 10 seconds with a GoPro HERO3 camera mounted on a bicycle helmet during a bike ride in Chicago . Note how the wide angle lens allows for the rider to capture wide images .  In October 2013 , GoPro released the HERO3+ , available in Black and Silver Editions , replacing the HERO3 generation . The HERO3 White Edition remains as GoPro 's low - end device .   The HERO3+ camera models claim dramatically improved low light performance and have a waterproof enclosure which is 20 % lighter and 15 % smaller than the HERO3 's , according to the GoPro website . The HERO3+ camera housing is 20 % smaller than the HERO3 . The cameras are claimed to have improved image sharpness ( close focus down to 7 '' vs about 3 ft on the HERO3 , at the expense of distant focus which is slightly less sharp with HERO3+ ) , and better audio functionality with wind noise reduction . Battery life is claimed to be 30 % longer than for the HERO3 model ( both through better efficiency and a higher - capacity battery of the same dimensions ) .   The Black Edition has video modes of 1440p48 , 1080p60 , 960p100 and 720p120 as well as 4K15 and 2.7 K30 and can shoot 12 MP stills at up to 30 fps . The HERO3+ Black Edition also offers an optional function in firmware ( called `` SuperView '' ) which increases the field of view . It has additional functions , including dynamic low light situation adjustment , higher - quality recording modes ( higher bitrates , no white balance applied , etc . ) etc . The Black Edition continues to include a Wifi Remote . It does not have the ability to record 25 / 30 fps in 720p and WVGA modes ( it can only record at very fast frame rates in those lower resolutions ) . This is an intentional firmware limitation . The battery runtime of HERO3+ Black Edition is significantly longer than HERO3 Black Edition but 30 -- 50 % lower than the battery runtime of the older HERO2 and HERO1 .   The Silver Edition has video modes of 1080p60 and 720p120 and can shoot 10 MP stills at up to 10 fps . In contrast to the Black Edition , the Silver Edition can record at 25 / 30 fps ( or higher ) in all supported resolutions . HERO3+ Silver Edition also has about 25 % - 50 % longer battery runtime during recording than HERO3+ Black Edition ( they both use the same batteries ) . The difference in runtime depends on the resolution / fps combination , and whether WiFi and GoPro mobile application are used during recording . The difference in runtime increases as the fps is lowered and the additional functions are deactivated on both cameras . The battery runtime of HERO3+ Silver Edition is similar to the battery runtime of HERO2 and HERO1 .   The HERO3 HD camera was awarded the 2013 Technology &amp; Engineering Emmy Award for its contribution to television .  HERO4 ( edit ) GoPro Hero 4 Silver Edition  In September 2014 , GoPro announced the HERO4 , available in Black Edition and Silver Edition , which replace their respective HERO3+ generation predecessors . The HERO Session , a budget camera , was also announced .   The HERO4 Black Edition still has a 12 megapixel ( MP ) CMOS and a f / 2.8 fixed maximum aperture and focus free . It adds Bluetooth connectivity , Highlight tag , Protune Available for photo and a new processor claimed by GoPro to be twice as fast as that of the HERO3+ Black Edition , doubling the frame rates in most resolutions . The HERO4 Black Edition can record 4K UHD video ( 3840 × 2160 ) at a frame rate of 24 , 25 and 30 fps . In Superview mode , 4k is only possible at 25 fps . Many other rates and resolutions are available . The HERO4 Black Edition still shoots stills at a maximum of 12 MP with a maximum burst rate of 30 fps . With Wi - Fi disabled at 4k / 30 , GoPro claims the HERO4 Black Edition battery life to be 65 minutes , increasing to a maximum of 1h 50 ' at 720p / 240 . The HERO4 Black battery is in a different form factor than its predecessors . Initial side - by - side comparisons of HERO3+ and HERO4 Black edition video results suggest that the newer model has more detail at long range and similar performance at close range .   The HERO4 Silver Edition is basically a HERO3 Black Edition with the addition of a micro speaker , built - in touchscreen display , Protune for photo and highlight tag ( the first GoPro with this ) , a lower clocked Cortex - A9 and missing the Black Edition 's integrated analog - to - digital converter which supports a wider variety of professional low - sensitivity external microphones . The video modes supported by the HERO4 Silver Edition are similar to those of the HERO3+ Black , due to the higher processing speed and thermal requirements of encoding 4K video ( 3840 × 2160 ) , but it supports Wi - Fi , Bluetooth and contains the same Ambarella Inc . A9 system on a chip ( SoC ) as in the HERO4 Black .   The HERO Session , released July 6 , 2015 , is 50 % smaller and 40 % lighter compared to other versions of the GoPro HERO4 camera .   The HERO4 models maintain the H. 264 video codec of previous versions and MP4 file formats . GoPro claims the mono microphone in both the Black and Silver Editions has twice the dynamic range of that in the HERO3+ , and that the HERO4 Black and Silver Editions have improved low - light performance .     Model   HERO Session   Hero4 Silver   Hero4 Black     Sensor Size   1 / 3.2 ''   1 / 2.3 ''   1 / 2.3 ''     Aperture   f / 2.8   f / 2.8   f / 2.8       38 x 38 x 38 mm   41 x 59 x 30 mm   41 x 59 x 30 mm     Weight   74 g   83 g ( 147 g with case )   88 g ( 152 g with case )     Still Image Resolution   8 MP   12 MP   12 MP     Video Modes   1440p30 1080p60 720p100 480p120   4k15 2.7 k30 1080p60 720p120 480p240   4k30 2.7 k60 1440p80 1080p120 720p240 480p240     Photo burst   10 fps   10 fps   30 fps     Connectivity   WiFi , Bluetooth   WiFi , Bluetooth   WiFi , Bluetooth     Water Resistance   10 m   40 m ( with case )   40 m ( with case )     Touchscreen   no   1.5 inches ( 38 mm ) 320x240   optional extra    HERO + LCD ( edit )  In June 2015 , the company started to sell the GoPro HERO + LCD , which provides video recording at 1080p at 60 fps / and 8 megapixel photos . GoPro HERO + LCD has a touchscreen to preview the shot to frame the scene and letting the user navigate the menu . A new feature in the camera was instant camera editing . GoPro HERO + LCD is waterproof , because it is built directly into a waterproof case ( waterproof to 131 feet ( 40 m ) ) . The device also includes a feature HiLight Tagging and built - in video editing function , which allows the user to put a label on the main points while shooting video or in the process of view , which makes it possible to quickly find desired footage later . It also has built - in Wi - Fi and Bluetooth , and user - friendly modes like QuikCapture , SuperView and Auto Low Light .  HERO+ ( edit )  In October 2015 , GoPro released its third entry level camera : GoPro HERO+ . This camera is the same as the previous HERO + LCD with its 1080p 60 fps / 720p 60 fps video resolution , 8 MP / 5 fps burst photo resolution , built - in Wi - Fi and Bluetooth , waterproof up to 40 m and other modes like Superview , Auto Low Light , QuikCapture and Timelapse mode which automatically captures photos at set time intervals from 0.5 to 60 seconds . However , it does not have an LCD built - in touchscreen display and it is slightly lighter than HERO + LCD . The HERO+ weighs 123 g whereas the HERO + LCD weighs 127 g . The housing also remained the same .  HERO5 ( edit )  HERO5 Black and HERO5 Session were introduced in September 2016 . They are waterproof up to 10 m , support 4k video recording up to 30 fps , automatic upload of footage to cloud and voice controls .     Model   HERO5 Session   HERO5 Black     Video Modes   4k60 , 4k30 , 1440p60 , 1080p90   4k30 , 1440p80 , 1080p120     Still Image Resolution   10 MP   12 MP     Photo burst   30 fps   30 fps     Connectivity   WiFi , Bluetooth   WiFi , Bluetooth     Water Resistance   10 m   10 m     Wired Connectors   USB - C   USB - C , micro HDMI     Battery   built - in 1000 mAh , Li - Ion   replaceable 1220 mAh , Li - Ion     Screen   none   touchscreen , 51 mm     Location Capture   none   GPS    HERO6 ( edit )  The HERO6 Black was introduced on September 28 , 2017 . The camera is waterproof up to 10 m , supports 4k HEVC video recording at up to 60 fps and 1080p at up to 240 fps , automatic upload of footage to cloud , voice controls and 5 Ghz Wi - Fi . It will be the first GoPro with its own custom system on a chip ( SoC ) the GP1 .     Model   HERO6 Black     Video Modes   4k60 , 2.7 k120 , 1080p240     Video Formats   H. 264 / MPEG - 4_AVC , H. 265 ( HEVC )     Still Image Resolution   12 MP     Photo burst   30 fps     Connectivity   5Ghz / 2.4 Ghz Wi - Fi , Bluetooth     Water Resistance   10 m     Wired Connectors   USB - C , micro HDMI     Battery   replaceable 1220 mAh , Li - Ion     Screen   touchscreen , 51 mm , pinch zoom     Location Capture   GPS     GoPro Karma Drone ( edit )  GoPro drone Karma  Karma Drone became available October 23 , 2016 . The drone is compatible with the HERO5 and HERO4 Black and Silver . The Drone has 20 minutes of battery life . The stabilizer can be taken out and attached to a Karma stick . The Karma stick has greater than 1 - hour battery life .   On November 8 , 2016 , Go Pro announced the recall of the Karma Drone following reports of loss of electrical power on the drone during operation . On February 1 , 2017 , the company announced that the Karma Drone will return to stores with a redesigned battery latch .   GoPro omni ( edit )   A camera rig that synchronizes six GoPro HERO4 Black cameras allowing users to stitch and make virtual reality 360 ° videos .   See also ( edit )    Unmanned aerial vehicle ( UAV )    References ( edit )    ^ Jump up to : `` GoPro Announces Fourth Quarter and Full Year 2015 Results '' . San Mateo , California : GoPro . February 3 , 2016 . Archived from the original on April 3 , 2016 . Retrieved April 6 , 2016 .   Jump up ^ `` FORM S - 1 REGISTRATION STATEMENT - GOPRO , INC '' . U.S. Securities and Exchange Commission . Retrieved 21 May 2014 .   Jump up ^ `` Form S - 1 '' . www.sec.gov . Retrieved 2017 - 03 - 25 .   Jump up ^ Mac , Ryan ( 4 Mar 2013 ) . `` The Mad Billionaire Behind GoPro : The World 's Hottest Camera Company '' . Forbes . access - date = requires url = ( help )   ^ Jump up to : `` GoPro with Founder / Inventor Nick Woodman '' . Malakye.com. 5 Jan 2010 . Archived from the original on 2011 - 10 - 07 . Retrieved 27 Jul 2011 .   Jump up ^ Burrows , Peter . `` GoPro 's Incredible Small , Durable Camcorder '' . BusinessWeek . Retrieved 27 Jul 2011 .   Jump up ^ `` Five Startup Lessons From GoPro Founder And Billionaire Nick Woodman '' . 13 Mar 2013 . Retrieved 16 Mar 2015 .   Jump up ^ Brian Solomon . `` Nick Woodman with his father Dean - In Photos : The Early Years of GoPro and Founder Nicholas Woodman '' . Forbes . Retrieved 16 August 2015 .   Jump up ^ `` How Family Ties Helped Nick Woodman Make GoPro Click '' . 20 Jun 2013 . Retrieved 16 Mar 2015 .   Jump up ^ Williams , Owen ( 5 Apr 2014 ) . `` This 360 video shot with 6 GoPro cameras will blow your mind '' . The Next Web . Retrieved 23 Jul 2014 .   Jump up ^ GoPro ( 4 Jun 2014 ) . `` GoPro Appoints Tony Bates as President And Member of the Board of Directors '' . Archived from the original on 4 June 2014 . Retrieved 4 Jun 2014 .   Jump up ^ Katie Roof ( 26 January 2016 ) . `` GoPro Integrates With Periscope '' . Retrieved 26 January 2016 .   Jump up ^ `` GoPro Cutting About 100 Jobs After Weak 4Q Sales '' . February 2016 .   Jump up ^ `` What is the Reason behind the Decline in the Shares of GoPro ? '' . Retrieved April 2 , 2017 .   Jump up ^ Warren , Tom ( 2016 - 11 - 30 ) . `` GoPro cuts 15 percent of jobs to restructure struggling camera business '' . The Verge . Retrieved 2016 - 12 - 01 .   Jump up ^ Heater , Brian . `` GoPro will cut 270 more jobs '' . Techcrunch . Retrieved 17 August 2017 .   Jump up ^ GoPro ( 2011 - 03 - 30 ) . `` GoPro ® , Leading Activity Image Capture Company , Acquires Award Winning Video Compression Software Company , CineForm ® , Inc '' . Archived from the original on 2011 - 04 - 05 . Retrieved 2011 - 08 - 01 .   Jump up ^ Reale , Tony ( 2011 - 03 - 30 ) . `` GoPro , sports camera manufacturer , acquires CineForm , video compression software company '' . NextWaveDV.com . Retrieved 2011 - 08 - 01 .   Jump up ^ `` GOPRO HERO3 vs SONY HDR - AS15 - Which Action Camera should you get ? '' . DigitalRev.com. 2013 - 01 - 21 . Retrieved 2015 - 02 - 20 .   Jump up ^ `` GoPro does n't like their HERO3 compared to Sony 's AS15 ? '' . DigitalRev.com. 2013 - 03 - 19 . Retrieved 2015 - 02 - 20 .   Jump up ^ Leonard , Andrew ( 2013 - 03 - 20 ) . `` A lesson from GoPro : Do n't mess with Reddit '' . Salon.com . Retrieved 2015 - 02 - 20 .   Jump up ^ `` GoPro Shells Out $105 Million For Two Video Editing Startups To Address Its Biggest Problem '' . Forbes . Retrieved 2016 - 03 - 02 .   Jump up ^ Roettgers , Janko . `` GoPro Acquires Stupeflix , Vemory to Build Better Video Editing Software '' . Variety . Retrieved 2016 - 03 - 02 .   Jump up ^ Demos , Tells ; Sherr , Ian ( 7 Feb 2014 ) . `` GoPro Files for IPO Confidentially '' . Wall Street Journal . access - date = requires url = ( help )   ^ Jump up to : Leslie Picker ( 26 Jun 2014 ) . `` GoPro Raises $427 Million , Pricing IPO at Top of Marketed Range '' . Bloomberg . Retrieved 26 Jun 2014 .   Jump up ^ `` FORM S - 1 REGISTRATION STATEMENT : GOPRO Inc . '' United States Securities and Exchange Commission , May 19 , 2014   Jump up ^ Krantz , Matt ( 25 Feb 2014 ) . `` GoPro IPO prices at $24 , set to trade Thursday '' . USA Today Money . access - date = requires url = ( help )   Jump up ^ `` Loyal3 '' .   Jump up ^ Calvey , Mark ( 2014 - 07 - 03 ) . `` GoPro 's IPO access for small investors sparks familiar lament '' . San Francisco Business Times . access - date = requires url = ( help )   ^ Jump up to : Picker , Leslie ( 25 Jun 2014 ) . `` GoPro Touts Media Ahead of IPO for Higher Value Than Cameras '' . Bloomberg . Retrieved 22 Jul 2014 .   ^ Jump up to : Graser , Marc ( 5 May 2014 ) . `` GoPro Sees Future as ' Content Company ' '' . Variety . Retrieved 22 Jul 2014 .   ^ Jump up to : `` The Early Years of GoPro and Founder Nicholas Woodman '' . Forbes . access - date = requires url = ( help )   Jump up ^ `` GoPro HERO 3 + review ( Black Edition ) : your action videos never looked so good '' . Engadget . Retrieved 16 Oct 2013 .   Jump up ^ `` GoPro Introduces HERO4 : The Most Powerful GoPro Lineup , Ever '' . GoPro . Retrieved 16 August 2015 .   Jump up ^ Howley , Daniel ( 8 November 2016 ) . `` Go Pro recalls 2,500 drones '' . Yahoo Tech . Retrieved 8 November 2016 .   Jump up ^ `` GoPro Re-Launching Its Recalled Karma Drone , But It May Be Too Late '' . Fast Company . 2017 - 02 - 01 . Retrieved 2017 - 02 - 02 .   Jump up ^ Jennings , Ali ( 26 Dec 2013 ) . `` Top 10 GoPro Accessories '' . TechRadar . Retrieved 22 Jul 2014 .   Jump up ^ Rose , Brent ( 9 Sep 2013 ) . `` GoPro Studio 2.0 Hands - On : Easier , Awesomer Videos ( UPDATE ) '' . Gizmodo . Missing or empty url = ( help ) ; access - date = requires url = ( help )   Jump up ^ Sloane , Garett ( 22 Apr 2014 ) . `` The 10 Best Brand Channels on YouTube Go Pro No. 1 , followed by Six Pack Shortcuts '' . AdWeek . access - date = requires url = ( help )   Jump up ^ Lev - Ram , Michal ( 20 May 2014 ) . `` What 's next for GoPro ? Content '' . Fortune . access - date = requires url = ( help )   Jump up ^ Andrew Tarantola . GoPro 's streaming channel finally lands on PlayStation , engadget.com , 22 December 2015 .   Jump up ^ `` HERO camera - The perfect entry - level GoPro '' . gopro.com . GoPro .   Jump up ^ `` GoPro Digital HERO 3 Sports Wrist Camera Specs - Digital Camcorders - CNET Reviews '' . Reviews.cnet.com . Retrieved 2013 - 07 - 10 .   Jump up ^ `` GoPro launches budget version of its HD HERO actioncam '' . www.gizmag.com . Retrieved 2016 - 06 - 24 .   ^ Jump up to : `` The Series of GoPro cameras over the Years . - The Greatest Generation Society '' . 2014 - 11 - 30 . Retrieved 2016 - 06 - 24 .   Jump up ^ `` GoPro 3D HERO System - World 's Smallest 1080p 3D camera '' . Gopro.com . Retrieved 2011 - 08 - 01 .   Jump up ^ GoPro Product Comparison , gopro.com   Jump up ^ `` HERO3 Cameras More Powerful in Every Way Most Advanced GoPro '' . Gopro.com . Retrieved 2013 - 07 - 10 .   Jump up ^ O'Kane , Sean ( 2016 - 06 - 02 ) . `` The future of GoPro depends on software '' . The Verge . Retrieved 2016 - 06 - 24 .   ^ Jump up to : `` HERO3 Camera Battery - life '' . Retrieved 16 August 2015 .   Jump up ^ `` GoPro Hero 3 Black Edition : Seconda solo a se stessa '' . InsideHardware.it ( in Italian ) . 2013 - 10 - 25 . Retrieved 2015 - 09 - 28 .   Jump up ^ `` Clash of the Heroes : GoPro HERO4 Black vs. GoPro Hero4 Silver '' . Retrieved June 14 , 2015 .   ^ Jump up to : `` HERO3+ Camera Battery - life '' . Retrieved 16 August 2015 .   Jump up ^ HERO3+ Black Edition , gopro.com   Jump up ^ HERO3+ Silver Edition , gopro.com   Jump up ^ Nick Kelley . `` GoPro Wins an Emmy '' , Outside , January 15 , 2014   Jump up ^ James Trew . `` GoPro 's Hero4 cameras offer 30 fps 4K shooting or touchscreen controls '' . Retrieved September 29 , 2014 .   Jump up ^ `` GoPro HERO4 Black Edition Technical Specifications '' . Retrieved May 8 , 2015 .   Jump up ^ `` GoPro Hero4 Silver Edition Technical Specifications '' . Retrieved October 6 , 2014 .   Jump up ^ `` GoPro External Microphone Recommendations '' . gopro.com .   Jump up ^ `` GoPro Hero4 Black Edition Teardown ( teardown.com ) '' . youtube.com . ,   Jump up ^ `` Gentry Thomas Disassembled GoPro Hero 4 Silver '' . googleusercontent.com .   Jump up ^ `` Ambarella A9 SoC '' ( PDF ) . ambarella.com . Archived from the original ( PDF ) on 2015 - 04 - 05 .   Jump up ^ `` Wearable of the Week : GoPro Hero4 Session '' . humavox.com .   Jump up ^ https://www.dpreview.com/articles/9489190812/gopro-hero4-session-review   Jump up ^ https://www.cnet.com/uk/products/gopro-hero4-silver/specs/   Jump up ^ https://www.cnet.com/uk/products/gopro-hero4-black/specs/   Jump up ^ `` New in line of GoPro touch screen - HERO+ LCD '' . goprouk.org . Retrieved June 14 , 2015 .   Jump up ^ https://gopro.com/news/The-</t>
  </si>
  <si>
    <t xml:space="preserve">when did the first go pro come out</t>
  </si>
  <si>
    <t xml:space="preserve"> In 2004 , the company sold its first camera system , which used 35 mm film . Digital still and video cameras were later introduced . As of 2014 , a fixed - lens HD video camera with a wide 170 - degree lens was available ; two or more can be paired to create 360 video . </t>
  </si>
  <si>
    <t xml:space="preserve">Argentina at the FIFA World Cup - wikipedia  Argentina at the FIFA World Cup   This is a record of Argentina 's results at the FIFA World Cup . Argentina is one of the most successful national football teams in the world , having won 2 World Cups in 1978 and 1986 . Argentina has been runners up three times in the 1930 , 1990 and 2014 . The team was present in all but four of the World Cups , being behind only Brazil , Italy and Germany in number of appearances . Argentina has also won the Copa América 14 times , one less than Uruguay . Moreover , Argentina has also won the Confederations Cup and the gold medal at the Olympic football tournament in 2004 and 2008 . Prior to that occasion Argentina had obtained two silver medals in the 1928 and 1996 editions . On other levels of international competition Argentina has won the FIFA U-20 World Cup a record six times . The FIFA U-17 World Cup is the only FIFA international competition yet to be obtained .     Contents  ( hide )   1 World Cup Record   2 Record Players   3 Top Goalscorers   4 Goalscoring By Tournament   5 Awards   5.1 Team   5.2 Individual     6 Referees   7 External links      World Cup record ( edit )        Year   Round   Position   GP     D *     GS   GA     1930   Second     5     0     18   9     1934   First round   9     0   0           1938   Did not Enter     1950   Did Not Enter     1954   Did not Enter     1958   Group Stage   13       0     5   10     1962   Group Stage   10                 1966   Quarter - finals   5                 1970   Did not qualify       Second Group Stage   8   6         9   12     1978   Champions     7   5       15       1982   Second Group Stage   11   5     0     8   7     1986   Champions     7   6     0   14   5     1990   Runners - up     7         5       1994   Round of 16   10       0     8   6     1998   Quarter - finals   6   5         10       2002   Group stage   18                 2006   Quarter - finals   6   5       0   11         Quarter - finals   5   5     0     10   6     2014   Runners - up     7   5   1 *     8       2018   Qualified     2022   To Be Determined     Total   2 titles   16 / 20   77   42   14   21   131   84      * Denotes draws include knockout matches decided on penalty kicks .   * * Gold background color indicates that the tournament was won . Red border color indicates tournament was held on home soil .    Record players ( edit )   Diego Maradona has captained the team in 16 matches , a record in FIFA World Cup history . His total of 21 matches is only beaten by three other players .     No .   Name   Matches   World Cups       Diego Maradona   21   1982 , 1986 , 1990 and 1994       Mario Kempes   18   1974 , 1978 and 1982       Javier Mascherano   17   2006 , 2010 , 2014 and 2018       Oscar Ruggeri   16   1986 , 1990 and 1994     Lionel Messi   16   2006 , 2010 , 2014 and 2018     6   Jorge Burruchaga   14   1986 and 1990     7   Ubaldo Fillol   13   1974 , 1978 and 1982     8   Ten players   12     Current as of 16 June 2018 after the match v Iceland   Top Goalscorers ( edit )     Rank   Name   Goals   World Cups       Gabriel Batistuta   10   1994 ( 4 ) , 1998 ( 5 ) and 2002 ( 1 )       Guillermo Stábile   8   1930     Diego Maradona   8   1982 ( 2 ) , 1986 ( 5 ) and 1994 ( 1 )       Mario Kempes   6   1978     5   Lionel Messi   5   2006 ( 1 ) and 2014 ( 4 )     Gonzalo Higuaín   5   2010 ( 4 ) and 2014 ( 1 )     7   Seven players       Current as of 16 June 2018 after the match v Iceland   Goalscoring By Tournament ( edit )     World Cup   Goalscorer ( s )     1930   Guillermo Stábile ( 8 ) , Carlos Peucelle ( 3 ) , Luis Monti ( 2 ) , Adolfo Zumelzú ( 2 ) , Mario Evaristo , Alejandro Scopelli , Francisco Varallo     1934   Ernesto Belis , Alberto Galateo     1958   Omar Oreste Corbatta ( 3 ) , Ludovico Avio , Norberto Menéndez     1962   Héctor Facundo , José Sanfilippo     1966   Luis Artime ( 3 ) , Ermindo Onega       René Houseman ( 3 ) , Héctor Yazalde ( 2 ) , Rubén Ayala , Carlos Babington , Miguel Ángel Brindisi , Ramón Heredia     1978   Mario Kempes ( 6 ) , Leopoldo Luque ( 4 ) , Daniel Bertoni ( 2 ) , René Houseman , Daniel Passarella , Alberto Tarantini     1982   Daniel Bertoni ( 2 ) , Diego Maradona ( 2 ) , Daniel Passarella ( 2 ) , Osvaldo Ardiles , Ramón Díaz     1986   Diego Maradona ( 5 ) , Jorge Valdano ( 4 ) , Jorge Burruchaga ( 2 ) , José Luis Brown , Pedro Pasculli , Oscar Ruggeri     1990   Claudio Caniggia ( 2 ) , Jorge Burruchaga , Pedro Monzón , Pedro Troglio     1994   Gabriel Batistuta ( 4 ) , Claudio Caniggia ( 2 ) , Abel Balbo , Diego Maradona     1998   Gabriel Batistuta ( 5 ) , Ariel Ortega ( 2 ) , Claudio López , Mauricio Pineda , Javier Zanetti     2002   Gabriel Batistuta , Hernán Crespo     2006   Hernán Crespo ( 3 ) , Maxi Rodríguez ( 3 ) , Roberto Ayala , Esteban Cambiasso , Lionel Messi , Javier Saviola , Carlos Tevez       Gonzalo Higuaín ( 4 ) , Carlos Tevez ( 2 ) , Martin Demichelis , Gabriel Heinze , Martin Palermo , Own Goal     2014   Lionel Messi ( 4 ) , Ángel Di María , Gonzalo Higuaín , Marcos Rojo , Own Goal     2018   Sergio Agüero     Awards ( edit )   Team ( edit )    World Champions 1978   World Champions 1986   2nd Place 1930   2nd Place 1990   2nd Place 2014   Fair Play Award 1978    Individual ( edit )    Golden Ball 1978 : Mario Kempes   Golden Ball 1986 : Diego Maradona   Golden Ball 2014 : Lionel Messi   Silver Ball 1930 : Guillermo Stábile   Bronze Ball 1990 : Diego Maradona     Golden Boot 1930 : Guillermo Stábile   Golden Boot 1978 : Mario Kempes   Silver Boot 1986 : Diego Maradona   Silver Boot 1998 : Gabriel Batistuta   Silver Boot 2006 : Hernán Crespo     Golden Glove 1978 : Ubaldo Fillol   Golden Glove 1990 : Sergio Goycochea ( shared )     Man of the Match award 2014 : Lionel Messi     José Pékerman won the FIFA Fair Play Trophy as a coach with Colombia in 2014 .    Referees ( edit )   As a major CONMEBOL member , Argentina has been represented by match officials in nearly every tournament . In 2006 , Horacio Elizondo refereed the final between France and Italy , where he sent off Zinedine Zidane after a headbutt to an opponent .   External links ( edit )    Official website , at the Asociación del Fútbol Argentino 's website   FIFA Official Ranking of all Participants at Finals 1930 -- 2002 . FIFA Match Results for all Stages 1930 -- 2002              Argentina national football team squads                Argentina squad -- 1930 FIFA World Cup runners - up       GK Bossio   GK Botasso   FW Cherro   MF Chividini   FW Demaría   DF Della Torre   MF J. Evaristo   FW M. Evaristo   FW Ferreira ( c )   MF Monti   DF Muttis   MF Orlandini   DF Paternoster   FW Perinetti   FW Peucelle   DF Piaggio   FW Scopelli   FW Spadaro   FW Stábile   MF Suárez   FW Varallo   MF Zumelzú   Coach : Olazar &amp; Tramutola                   Argentina squad -- 1934 FIFA World Cup       MF Albarracín   DF Astudillo   DF Belis   DF Chimento   FW Devincenzi   GK Freschi   FW Galateo   GK Grippa   FW Irañeta   FW Izzeta   MF López   MF Lorenzo   MF Nehin   DF Pedevilla   FW Pérez   FW Rúa   MF Urbieta Sosa   FW Wilde   Coach : Pascucci                   Argentina squad -- 1958 FIFA World Cup       1 Carrizo   2 Dellacha ( c )   3 Vairo   4 Lombardo   5 Rossi   6 Varacka   7 Corbatta   8 Prado   9 Menéndez   10 Rojas   11 Labruna   12 Musimessi   13 Pérez   14 Edwards   15 Acevedo   16 Mouriño   17 Ramos Delgado   18 Boggio   19 Avio   20 Infante   21 Sanfilippo   22 Cruz   Coach : Stábile                   Argentina squad -- 1962 FIFA World Cup       1 Roma   2 Ramos Delgado   3 Marzolini   4 Sainz   5 Sacchi   6 Páez   7 Facundo   8 Pando   9 Pagani   10 Sanfilippo   11 Belén   12 Domínguez   13 Rossi   14 Mariotti   15 Navarro ( c )   16 Rattín   17 Albrecht   18 Cap   19 Sosa   20 Oleniak   21 Abeledo   22 González   Coach : Lorenzo                   Argentina squad -- 1966 FIFA World Cup       1 Roma   2 Irusta   3 Gatti   4 Perfumo   5 Varacka   6 Calics   7 Marzolini   8 Ferreiro   9 Simeone   10 Rattín ( c )   11 Pastoriza   12 Albrecht   13 López   14 Chaldú   15 Solari   16 González   17 Sarnari   18 Rojas   19 Artime   20 Onega   21 Más   22 Tarabini   Coach : Lorenzo                   Argentina squad -- 1974 FIFA World Cup       1 Carnevali   2 Ayala   3 Babington   4 Balbuena   5 Bargas   6 Brindisi   7 Carrascosa   8 Chazarreta   9 Glaria   10 Heredia   11 Houseman   12 Fillol   13 Kempes   14 Perfumo ( c )   15 Poy   16 Sá   17 Squeo   18 Telch   19 Togneri   20 Wolff   21 Santoro   22 Yazalde   Coach : Cap                   Argentina squad -- 1978 FIFA World Cup winners ( 1st title )       1 Alonso   2 Ardiles   3 Baley   4 Bertoni   5 Fillol   6 Gallego   7 L. Galván   8 R. Galván   9 Houseman   10 Kempes   11 Killer   12 Larrosa   13 La Volpe   14 Luque   15 Olguín   16 Ortiz   17 Oviedo   18 Pagnanini   19 Passarella ( c )   20 Tarantini   21 Valencia   22 Villa   Coach : Menotti                   Argentina squad -- 1982 FIFA World Cup       1 Ardiles   2 Baley   3 Barbas   4 Bertoni   5 Calderón   6 Díaz   7 Fillol   8 Galván   9 Gallego   10 Maradona   11 Kempes   12 Hernández   13 Olarticoechea   14 Olguín   15 Passarella ( c )   16 Pumpido   17 Santamaría   18 Tarantini   19 Trossero   20 Valdano   21 Valencia   22 Van Tuyne   Coach : Menotti                   Argentina squad -- 1986 FIFA World Cup winners ( 2nd title )       1 Almirón   2 Batista   3 Bochini   4 Borghi   5 Brown   6 Passarella   7 Burruchaga   8 Clausen   9 Cuciuffo   10 Maradona ( c )   11 Valdano   12 Enrique   13 Garré   14 Giusti   15 Islas   16 Olarticoechea   17 Pasculli   18 Pumpido   19 Ruggeri   20 Tapia   21 Trobbiani   22 Zelada   Coach : Bilardo                   Argentina squad -- 1990 FIFA World Cup runners - up       1 Pumpido ( Comizzo )   2 Batista   3 Balbo   4 Basualdo   5 Bauza   6 Calderón   7 Burruchaga   8 Caniggia   9 Dezotti   10 Maradona ( c )   11 Fabbri   12 Goycochea   13 Lorenzo   14 Giusti   15 Monzón   16 Olarticoechea   17 Sensini   18 Serrizuela   19 Ruggeri   20 Simón   21 Troglio   22 Cancelarich   Coach : Bilardo                   Argentina squad -- 1994 FIFA World Cup       1 Goycochea   2 Vázquez   3 Chamot   4 Sensini   5 Redondo   6 Ruggeri   7 Caniggia   8 Basualdo   9 Batistuta   10 Maradona ( c )   11 Medina Bello   12 Islas   13 Cáceres   14 Simeone   15 Borelli   16 Díaz   17 Ortega   18 Pérez   19 Balbo   20 Rodríguez   21 Mancuso   22 Scoponi   Coach : Basile                   Argentina squad -- 1998 FIFA World Cup       1 Roa   2 Ayala   3 Chamot   4 Pineda   5 Almeyda   6 Sensini   7 C. López   8 Simeone ( c )   9 Batistuta   10 Ortega   11 Verón   12 Burgos   13 Paz   14 Vivas   15 Astrada   16 Berti   17 Cavallero   18 Balbo   19 Crespo   20 Gallardo   21 Delgado   22 Zanetti   Coach : Passarella                   Argentina squad -- 2002 FIFA World Cup       1 Burgos   2 Ayala   3 Sorín   4 Pochettino   5 Almeyda   6 Samuel   7 C. López   8 Zanetti   9 Batistuta   10 Ortega   11 Verón ( c )   12 Cavallero   13 Placente   14 Simeone   15 Husaín   16 Aimar   17 G. López   18 K. González   19 Crespo   20 Gallardo   21 Caniggia   22 Chamot   23 Bonano   Coach : Bielsa                   Argentina squad -- 2006 FIFA World Cup       1 Abbondanzieri   2 Ayala   3 Sorín ( c )   4 Coloccini   5 Cambiasso   6 Heinze   7 Saviola   8 Mascherano   9 Crespo   10 Riquelme   11 Tevez   12 Franco   13 Scaloni   14 Palacio   15 Milito   16 Aimar   17 Cufré   18 Rodríguez   19 Messi   20 Cruz   21 Burdisso   22 González   23 Ustari   Coach : Pékerman                   Argentina squad -- 2010 FIFA World Cup       1 Pozo   2 Demichelis   3 C. Rodríguez   4 Burdisso   5 Bolatti   6 Heinze   7 Di María   8 Verón   9 Higuaín   10 Messi   11 Tevez   12 Garcé   13 Samuel   14 Mascherano ( c )   15 Otamendi   16 Agüero   17 Gutiérrez   18 Palermo   19 Milito   20 M. Rodríguez   21 Andújar   22 Romero   23 Pastore   Coach : Maradona                   Argentina squad -- 2014 FIFA World Cup runners - up       1 Romero   2 Garay   3 Campagnaro   4 Zabaleta   5 Gago   6 Biglia   7 Di María   8 Pérez   9 Higuaín   10 Messi ( c )   11 M. Rodríguez   12 Orión   13 A. Fernández   14 Mascherano   15 Demichelis   16 Rojo   17 F. Fernández   18 Palacio   19 Álvarez   20 Agüero   21 Andújar   22 Lavezzi   23 Basanta   Coach : Sabella                      Countries at the FIFA World Cup       Team appearances   Teams with no appearances   All - time table       AFC     Australia   China   Indonesia   Iran   Iraq   Japan   Kuwait   North Korea   Saudi Arabia   South Korea   United Arab Emirates       CAF     Algeria   Angola   Cameroon   DR Congo   Egypt   Ghana   Ivory Coast   Morocco   Nigeria   Senegal   South Africa   Togo   Tunisia       CONCACAF     Canada   Costa Rica   Cuba   El Salvador   Haiti   Honduras   Jamaica   Mexico   Panama   Trinidad and Tobago   United States       CONMEBOL     Argentina   Bolivia   Brazil   Chile   Colombia   Ecuador   Paraguay   Peru   Uruguay       OFC     New Zealand       UEFA     Austria   Belgium   Bosnia and Herzegovina   Bulgaria   Croatia   Czech Republic   Denmark   East Germany   England   France   Germany   Greece   Hungary   Iceland   Israel   Italy   Netherlands   Northern Ireland   Norway   Poland   Portugal   Republic of Ireland   Romania   Russia   Scotland   Serbia   Slovakia   Slovenia   Spain   Sweden   Switzerland   Turkey   Ukraine   Wales       Considered a successor team by FIFA , or have competed under another name ( s ) . Have been member of multiple confederations . Team and national federation no longer exist .       Retrieved from `` https://en.wikipedia.org/w/index.php?title=Argentina_at_the_FIFA_World_Cup&amp;oldid=846414245 '' Categories :   Argentina at the FIFA World Cup   Argentina national football team   Countries at the FIFA World Cup           Talk                                           Contents                   About Wikipedia                                                 Deutsch   Edit links   This page was last edited on 18 June 2018 , at 16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</si>
  <si>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last time argentina won the world cup</t>
  </si>
  <si>
    <t xml:space="preserve">   Year   Round   Position   GP     D *     GS   GA     1930   Second     5     0     18   9     1934   First round   9     0   0           1938   Did not Enter     1950   Did Not Enter     1954   Did not Enter     1958   Group Stage   13       0     5   10     1962   Group Stage   10                 1966   Quarter - finals   5                 1970   Did not qualify       Second Group Stage   8   6         9   12     1978   Champions     7   5       15       1982   Second Group Stage   11   5     0     8   7     1986   Champions     7   6     0   14   5     1990   Runners - up     7         5       1994   Round of 16   10       0     8   6     1998   Quarter - finals   6   5         10       2002   Group stage   18                 2006   Quarter - finals   6   5       0   11         Quarter - finals   5   5     0     10   6     2014   Runners - up     7   5   1 *     8       2018   Qualified     2022   To Be Determined     Total   2 titles   16 / 20   77   42   14   21   131   84   </t>
  </si>
  <si>
    <t xml:space="preserve">Little Giants - Wikipedia  Little Giants  For other uses , see Little Giant ( disambiguation ) .      Little Giants     Theatrical release poster     Directed by   Duwayne Dunham     Produced by   Arne Schmidt     Written by   James Ferguson Robert Shallcross     Starring     Rick Moranis   Ed O'Neill   John Madden       Music by   John Debney     Cinematography   Janusz Kamiński     Edited by   Donn Cambern     Production company   Amblin Entertainment Warner Bros. Family Entertainment     Distributed by   Warner Bros. Pictures     Release date     October 21 , 1994 ( 1994 - 10 - 21 )               Running time   106 minutes     Language   English     Budget   $20 million     Box office   $19.3 million     Little Giants is a 1994 American family sports comedy film , starring Rick Moranis and Ed O'Neill as brothers in a small Ohio town , coaching rival Pee - Wee Football teams .   Contents    1 Plot   2 Cast   3 Production   4 Reception   4.1 Box office     5 Cultural references   6 Home media   7 References   8 External links    Plot ( edit )       This section 's plot summary may be too long or excessively detailed . Please help improve it by removing unnecessary details and making it more concise . ( February 2013 ) ( Learn how and when to remove this template message )     Danny O'Shea ( Rick Moranis ) has always lived in the shadow of his older brother , Kevin ( Ed O'Neill ) , a Heisman Trophy winner and a local football hero . They live in their hometown of Urbania , Ohio . Kevin coaches the local `` Pee - Wee Cowboys '' football team . Despite being the best player , Danny 's tomboy daughter , Becky ( Shawna Waldron ) , nicknamed Icebox , is cut during try outs because she is a girl . Also cut are her less - talented friends , Rashid Hanon ( who ca n't catch anything ) , Tad Simpson ( who ca n't run ) , and Rudy Zolteck ( who 's overweight and quite flatulent ) . After being ridiculed by the other players who made the team , she convinces her dad to coach a new pee - wee team of their own .   At first , Danny is reluctant to do so , but later accepts in an attempt to show Urbania that Kevin is not invincible , and that there is another O'Shea in town capable of winning . Kevin mockingly reminds him of the `` one town , one team '' rule and with the help of the locals , they decide to have a playoff game to determine the lone team that will represent Urbania . Among Becky , Hanon , Tad , Rudy , and Nubie ( an intelligent boy who becomes assistant coach ) , Danny also gathers other children that have never been given a chance and dubs the team the `` Little Giants . '' One such player is Junior Floyd ( Devon Sawa ) , a strong - armed quarterback who turns out to be the son of Danny 's childhood crush , Patty Floyd ( Susanna Thompson ) . Becky slowly develops a crush on him and struggles with her newfound feelings as a girl .   Two old - timers , Orville ( Harry Fleer ) and Wilbur ( Dabbs Greer ) , encourage the rivalry between Danny and Kevin by reporting to them that a new star player , Spike Hammersmith ( Sam Horrigan ) , has just moved to Urbania . Danny succeeds at recruiting him by tricking his overzealous father , Mike ( Brian Haley ) , that he is the famous `` Coach O'Shea '' , but this is a problem as Spike proves to be rude , arrogant , and refuses to play on a team with a girl . The deception is later discovered and he switches over to Kevin 's more well - structured team . Kevin also encourages his daughter , Debbie ( Courtney Peldon ) , to be a cheerleader and later convinces Becky that a quarterback will want to date a cheerleader , not a teammate . Believing it is her best chance to win over Junior , she decides to quit the team and pursue cheerleading .   Just as Danny 's team start to lose hope , a bus arrives carrying NFL stars John Madden , Emmitt Smith , Bruce Smith , Tim Brown , and Steve Emtman . They teach and inspire the young players into believing they can win .   On the day of the game , Kevin goads Danny into making an impulsive bet : If Danny wins , he gets Kevin 's Chevrolet dealership ; if Kevin wins , he gets Danny 's gas station . Facing a 21 - point halftime deficit , the Giants are lifted when Danny asks them to individually recall a time when they had a proud accomplishment and reassures them that all it takes is `` one time '' to beat the Cowboys . With this , they begin to make a big comeback with a series of outstanding and unexpected plays . Realizing that Junior is the main threat to them , Spike , under orders from Mike , injures him by spearing him with his helmet after the whistle , which even Kevin considers disgraceful , unsportsmanlike conduct . Witnessing from the sidelines , an enraged Becky drops her pompoms and suits up for the game , to which Kevin knows she will be a threat . She immediately makes an impact when she forces a fumble after a jarring hit on Spike . Other Giants make touchdowns in tandem with overcoming personal problems , such as Hanon 's fear of dropping passes and making a reception , or another one running towards the end zone in excitement when he sees his little - seen dad has rushed back from a business trip to watch him play . In the game 's closing seconds with the score tied at 21 all , the Giants make a goal line stand when Becky stops Spike . With time remaining for one final play , their offense steps back onto the field and uses a trick play Nubie calls `` The Annexation of Puerto Rico , '' inspired by one of Madden 's plays at Super Bowl XI . Kevin shouts out its actual name as it occurs , shouting `` Fumblerooski , Fumblerooski ! '' The play includes three different ball carriers , utilizing the hook and lateral from Zolteck , to Junior , and finally to Berman , who scores the Giants ' 99 yard game - winning touchdown .   Afterwards , Danny suggests that rather than having the Giants solely represent Urbania , they should merge with the Cowboys , and both he and Kevin can coach the team . Danny and Patty rekindle their childhood romance . He also decides not to hold Kevin to the prior bet , on the stipulation that the town water tower be changed from `` Home of Kevin O'Shea '' to `` Home of The O'Shea Brothers , '' reflecting a much earlier promise that Kevin made to Danny from their childhood .   Cast ( edit )    Rick Moranis - Danny O'Shea   Justin Jon Ross as Young Danny     Ed O'Neill - Kevin O'Shea   Travis Robertson as Young Kevin     Shawna Waldron - Becky `` Icebox '' O'Shea   Susanna Thompson - Patty Floyd   Janna Michaels as Young Patty     Devon Sawa - Junior Floyd   Brian Haley - Mike Hammersmith   Sam Horrigan - Spike Hammersmith   Joe Bays - Coach Harold Butz   Austin Kottke as Young Butz     Frank Carl Fisher Jr . - Patterson   Mary Ellen Trainor - Karen O'Shea   Courtney Peldon - Debbie O'Shea   Alexa Vega - Priscilla O'Shea   Danny Pritchett - Tad Simpson   Todd Bosley - Jake Berman   Mark Holton - Mr. Zolteck   Matthew McCurley - Nubie   Joey Simmirin - Sean Murphy   Jon Paul Steuer - Johnny `` Viper '' Vennaro   Troy Simmons - Rashid `` Hot Hands '' Hanon   Marcus Toji - Marcus `` The Toe ''   Pat Crawford Brown - Louise    Production ( edit )   The film was inspired by a 1992 McDonald 's Super Bowl commercial developed by Jim Ferguson and Bob Shallcross . According to the Baltimore Sun , after seeing the commercial , Steven Spielberg contacted them and said , `` I want that commercial made into a movie . I want my ' Home Alone . ' ''   Reception ( edit )   The film received mixed reviews . Stephen Holden remarked , in The New York Times , that `` anyone who was ever rejected or picked last for a team can relate to the concept behind `` Little Giants , '' a slickly contrived family movie about an inept junior football team that succeeds in spite of spectacular liabilities ( ... ) In typical Hollywood fashion , `` Little Giants '' raises issues about competition , machismo and sexism in American sports , then blithely skirts them in confrontations that let everyone have his cake and eat it too ( ... ) `` Little Giants , '' which was directed by Duwayne Dunham , devotes much of its energy to such comic antics as balls getting stuck into face masks , and wispy little kids practicing looking intimidating . '' The Washington Post stated that `` if `` Little Giants '' were in a beauty pageant it might win votes for Miss Congeniality , but it definitely would n't take the crown . '' Conversely , the Los Angeles Times suggested that the film was `` smarter than many of its ilk . Clearly a great deal of care and thought has gone into making special a picture that could so easily have been routine family fare . '' Little Giants currently holds a 40 % rating on Rotten Tomatoes .   Box Office ( edit )   The film had a budget of $20 million and failed to recoup it , with a total of $19.3 million in box office returns .   Cultural references ( edit )   In a 2010 NCAA football game , Michigan State defeated Notre Dame on a fake field goal touchdown pass in overtime to end the game . Head coach Mark Dantonio said the play was called `` Little Giants '' .   The uniforms worn by the Cowboys in the film were the same ones worn by the Dallas Cowboys during the 1994 season as part of the NFL 's 75th anniversary . From 2004 to 2007 , the New York Giants ' alternate jerseys were red with white numerals , similar to the jerseys worn by the Little Giants in the movie .   The Annexation of Puerto Rico play was actually used during the December 18 , 2011 , game between the Carolina Panthers and the Houston Texans .   Home media ( edit )   On February 7 , 1995 , Warner Home Video released Little Giants on VHS and LaserDisc . The VHS tape includes a Merrie Melodies cartoon , One Froggy Evening , celebrating the 40th anniversary of Michigan J. Frog . On July 8 , 2003 , the film was released on DVD . However , it 's currently out of print . On March 29 , 2011 , the film was re-released in a four pack : 4 Film Favorites : Kids Sports ( Little Big League , Surf Ninjas and Hometown Legend ) .   References ( edit )    Jump up ^ Judy Brennan ( August 21 , 1994 ) . `` PEEWEES ' PLAYHOUSE : New Quarterback Takes ' Little Giants ' Toward Goal - Los Angeles Times '' . Articles.latimes.com . Retrieved July 16 , 2012 .   Jump up ^ `` ' Little Giants ' a big hit not to be written off '' . Baltimore Sun . 1994 - 10 - 21 .   Jump up ^ `` 8 Things Even Football Fans Do n't Know About The Super Bowl '' . Huffington Post . 2015 - 01 - 30 .   Jump up ^ Holden , Stephen ( 1994 - 10 - 14 ) . `` Little Giants ( 1994 ) FILM REVIEW ; Extra Points For Trying '' . Movies.nytimes.com . Retrieved 2012 - 07 - 16 .   Jump up ^ `` ' Little Giants ' ( PG ) '' . Washingtonpost.com. 1994 - 10 - 17 . Retrieved 2012 - 07 - 16 .   Jump up ^ Thomas , Kevin ( 1994 - 10 - 14 ) . `` MOVIE REVIEW : ' Giants ' : A Comedy Worthy of Cheers - Los Angeles Times '' . Articles.latimes.com . Retrieved 2012 - 07 - 16 .   Jump up ^ ROBERT W. WELKOS ( 1994 - 10 - 18 ) . `` Weekend Box Office : ' Fiction ' Outdraws ' The Specialist ' - Los Angeles Times '' . Articles.latimes.com . Retrieved 2012 - 07 - 16 .   Jump up ^ ROBERT W. WELKOS ( 1994 - 10 - 25 ) . `` Weekend Box Office : ' Pulp Fiction ' Stays in No. 1 - Los Angeles Times '' . Articles.latimes.com . Retrieved 2012 - 07 - 16 .   Jump up ^ ELAINE DUTKA ( 1988 - 01 - 26 ) . `` Weekend Box Office : ' Stargate ' Has MGM Starry - Eyed - Los Angeles Times '' . Articles.latimes.com . Retrieved 2012 - 07 - 16 .   Jump up ^ ROBERT W. WELKOS ( 1994 - 11 - 08 ) . `` Weekend Box Office : ' Stargate ' a Back - to - Back Champ - Los Angeles Times '' . Articles.latimes.com . Retrieved 2012 - 07 - 16 .   Jump up ^ Peter Tirrell ( October 29 , 2010 ) . `` 2010 Notre Dame at MSU `` Little Giants '' fake field goal called by George Blaha `` . Retrieved April 6 , 2017 -- via YouTube .   Jump up ^ `` Panthers used play from ' Little Giants ' for TD '' . ESPN.go.com . Retrieved April 6 , 2017 .    External links ( edit )       Wikiquote has quotations related to : Little Giants      Little Giants on IMDb   Little Giants at Rotten Tomatoes   Little Giants at Box Office Mojo              Films directed by Duwayne Dunham       Homeward Bound : The Incredible Journey ( 1993 )   Little Giants ( 1994 )   Halloweentown ( 1998 )   The Thirteenth Year ( 1999 )   Ready to Run ( 2000 )   Double Teamed ( 2002 )   Right on Track ( 2003 )   Tiger Cruise ( 2004 )   Now You See It ... ( 2005 )                 New York Giants       Founded in 1925   Based and headquartered in East Rutherford , New Jersey       Franchise     Franchise   Seasons   Coaches   Players   First - round draft picks   Quarterbacks       History     1925 -- 1978   1979 -- 1993   1994 -- present   Financial history       Stadiums     Polo Grounds   Yankee Stadium   Yale Bowl   Shea Stadium   Giants Stadium   MetLife Stadium       Culture     Cleveland Bulldogs   The Duke   Crunch Bunch   Gatorade shower   Big Blue Wrecking Crew   I 'm going to Disney World !   Little Giants   `` New York Groove ''   `` We Fly High ''   `` The Masseuse '' ( Seinfeld episode )   Big Fan   Bob Sheppard   Jim Hall   Yankee Stadium Legacy   License Plate Guy   `` Everybody Hates Big Bird '' ( Everybody Hates Chris episode )       Lore     Sneakers Game   The Greatest Game Ever Played   The Fumble   Wide Right   2007 game vs. New England Patriots   Helmet Catch   The Comeback       Rivalries     Dallas Cowboys   Philadelphia Eagles   Washington Redskins   San Francisco 49ers   New York Jets       Key personnel     Owners : John Mara , Steve Tisch   General Manager : Dave Gettleman   Head Coach : Pat Shurmur       Division championships ( 16 )     1933   1934   1935   1938   1939   1941   1941   1944   1946   1986   1989   1990   1997   2000   2005   2008   2011       Conference championships ( 11 )     1956   1958   1959   1961   1962   1963   1986   1990   2000   2007   2011       League championships ( 8 )     1927   1934   1938   1956   1986 ( XXI )   1990 ( XXV )   2007 ( XLII )   2011 ( XLVI )       Retired numbers         7   11   14   14   16   32   40   42   50   56       Ring of Honor     Jessie Armstead   Carl Banks   Tiki Barber   Mark Bavaro   Al Blozis   Rosey Brown   Harry Carson   Charlie Conerly   Frank Gifford   Pete Gogolak   Mel Hein   Jim Lee Howell   Sam Huff   Dave Jennings   Tuffy Leemans   Dick Lynch   Jack Mara   Tim Mara   Wellington Mara   George Martin   Joe Morrison   Charlie Conerly   Steve Owen   Bill Parcells   Andy Robustelli   Phil Simms   Michael Strahan   Ken Strong   Lawrence Taylor   Bob Tisch   Y.A. Tittle   Amani Toomer   Emlen Tunnell   Brad Van Pelt   Alex Webster   George Young   Tom Coughlin   Michael Strahan   Justin Tuck   Ernie Accorsi       Media     Broadcasters   Radio network   Bob Papa   Carl Banks   Howard Cross       Current league affiliations     League : National Football League   Conference : National Football Conference   Division : East Division       Seasons ( 93 )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1989   1990   1991             1997   1998                   2007   2008   2009     2011   2012   2013   2014   2015   2016   2017       Championship seasons in bold    Retrieved from `` https://en.wikipedia.org/w/index.php?title=Little_Giants&amp;oldid=864529047 '' Categories :   1994 films   English - language films   Amblin Entertainment films   American football films   American children 's comedy films   American sports comedy films   American films   Warner Bros. films   Films directed by Duwayne Dunham   Films shot in Ohio   Films set in Ohio   Films scored by John Debney   Hidden categories :   Use American English from April 2017   All Wikipedia articles written in American English   Use mdy dates from April 2017   Wikipedia articles with plot summary needing attention from February 2013   All Wikipedia articles with plot summary needing attention           Talk                                           Contents                   About Wikipedia                                           Deutsch   Galego   Italiano   עברית   Русский   Edit links   This page was last edited on 17 October 2018 , at 20 : 16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</si>
  <si>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were the pro football players in little giants</t>
  </si>
  <si>
    <t xml:space="preserve"> Just as Danny 's team start to lose hope , a bus arrives carrying NFL stars John Madden , Emmitt Smith , Bruce Smith , Tim Brown , and Steve Emtman . They teach and inspire the young players into believing they can win . </t>
  </si>
  <si>
    <r>
      <rPr>
        <sz val="11"/>
        <color rgb="FF000000"/>
        <rFont val="Calibri"/>
        <family val="0"/>
        <charset val="1"/>
      </rPr>
      <t xml:space="preserve">South African Reserve Bank - wikipedia  South African Reserve Bank     South African Reserve Bank   10 other official names : ( show )   Suid - Afrikaanse Reserwebank ( Afrikaans )   lBulungelo - mali eliKhulu leSewula Afrika ( Southern Ndebele )   iBhanki enguVimba yoMzantsi Afrika ( Xhosa )   iBhange - ngodla laseNingizimu Afrika ( Zulu )   liBhangi lesiLulu leNingizimu Afrika ( Swazi )   Panka ya Resefe ya Afrika Borwa ( Northern Sotho )   Banka ya Sesiu ya Afrika Borwa ( Sotho )   Banka - kgolo ya Aforika Borwa ( Tswana )   Banginkulu ya Afrika - Dzonga ( Tsonga )   Bannga ya Vhukati ya Afurika Tshipembe ( Venda )           Headquarters   Pretoria     Coordinates   ( − 25.745420 , 28.19602 )     Established   30 June 1921 ( 1921 - 06 - 30 )     Ownership   Privately owned     Governor   Lesetja Kganyago     Central bank of   South Africa     Currency   ZAR ( ISO 4217 )     Bank rate   6.5 %     Preceded by   Bank of England     Succeeded by   Ricardo Olivier and Company     Website   resbank.co.za       Public finance         Policies ( show )   Agricultural   Economic   Energy   Industrial   Investment   Social   Trade   Fiscal   Monetary   Policy mix       Fiscal policy ( show )   Budget   policy     Debt   external   internal     Deficit / surplus   Finance ministry   Fiscal union   Revenue   Spending   deficit     Tax       Monetary policy ( show )   Bank reserves   requirements     Discount window   Gold reserves   Interest rate   Monetary authority   central bank   currency board     Monetary base   Monetary ( currency ) union   Money supply       Trade policy ( show )   Balance of trade   Free trade   Gains from trade   Non-tariff barrier   Protectionism   Tariff   Trade bloc   Trade creation   Trade diversion   Trade / commerce ministry         Revenue   Spending   ( show )   Non-tax revenue   Tax revenue   Discretionary spending   Mandatory spending       Optimum ( show )   Balanced budget   Economic growth   Price stability       Reform ( show )   Fiscal adjustment   Monetary reform                   The South African Reserve Bank ( SARB ) ( Afrikaans : Suid - Afrikaanse Reserwebank ) is the central bank of South Africa . It was established in 1921 after Parliament passed an act , the `` Currency and Bank Act of 10 August 1920 '' , as a direct result of the abnormal monetary and financial conditions which World War I had brought . The SARB was only the fourth central bank established outside the United Kingdom and Europe , the others being the United States , Japan and Java . The earliest suggestions for the establishment of the Central Bank in South Africa date back to 1879 . A select committee , consisting of ten members of Parliament was established on 31 March 1920 to examine the benefits to the national interest of the establishing of the central bank .   Following on the recommendations of the committee , the South African Reserve Bank opened for business on 30 June 1921 , making it the oldest central bank in Africa . The first banknotes were issued to the public by the Bank on 19 April 1922 .   Unlike the Bank of England , which provided the model for establishing the SARB , the SARB is privately owned .   Contents    1 Functions of the South African Reserve Bank   2 Organisational structure   2.1 Board of directors   2.2 Ownership     3 List of Governors of the South African Reserve Bank   4 See also   5 References   6 External links    Functions of the South African Reserve Bank ( edit )    Formulating and implementing monetary policy ;   Issuing banknotes and coin ;   Supervising the banking system ;   Ensuring the effective functioning of the national payment system ( NPS ) ;   Managing official gold and foreign - exchange reserves ;   Acting as banker to the government ; But not owned by South African Government .   Administering the country 's remaining exchange controls ; and   Acting as lender of last resort in exceptional circumstances .    Organisational structure ( edit )   Board of directors ( edit )   SARB has a board of directors consisting of a Governor Lesetja Kganyago three Deputy Governors , and eleven Directors . The Governor , and Deputy governors are appointed for five - year terms by the President of South Africa in consultation with the Minister of Finance . Four of the directors are also appointed by the President for terms of three years . The remaining seven directors are appointed by the Shareholders of the Bank , also for a three - year term .   Ownership ( edit )   The Reserve Bank is privately owned , with 2 million issued shares . The only limitation on shareholding is that no single shareholder may own more than 10,000 shares individually . Currently there are 696 shareholders , as of the shareholders index report of 31 August 2018 , owning shares in the South African Reserve Bank .   Shareholders are entitled a dividend of not more than 10 South African cents per share per annum ( the total maximum dividend is therefore 200,000 South African Rand or a maximum of 1,000 South African Rand for any individual shareholder ) , with the remaining profits being paid to the South African government .   List of Governors of the South African Reserve Bank ( edit )    William Henry Clegg -- December 1920 -- December 1931   Johannes Postmus -- January 1932 -- June 1945   Michiel Hendrik de Kock -- July 1945 -- June 1962   Gerhard Rissik -- July 1962 -- June 1967   Theunis Willem de Jongh -- July 1967 -- December 1980   Gerhard de Kock -- January 1981 -- August 1989   Chris Stals -- August 1989 -- August 1999   Tito Mboweni -- August 1999 -- November 2009   Gill Marcus -- November 2009 -- November 2014   Lesetja Kganyago -- November 2014 -- present    See also ( edit )    Economics portal   South Africa portal     South African pound   South African rand   BankservAfrica   Bitcoin    References ( edit )    ^ Jump up to : `` South Africa Reserve Bank -- Reserve Bank Shares '' .   Jump up ^ `` South African Reserve Bank -- Ownership '' .   Jump up ^ `` South Africa Reserve Bank -- Board of Directors '' .    External links ( edit )    Official website              Central banks     Global     Bank for International Settlements   Basel Committee on Banking Supervision   Financial Stability Board       Policies     Capital requirement   Contractionary monetary policy   Expansionary monetary policy   Basel II   Basel III   Basel 4       Implementation     Capital control   Discount rate   Interest rates   Money creation   Open market operation   Sovereign wealth fund       Bretton Woods system     International Monetary Fund   World Bank Group   International Bank for Reconstruction and Development   International Centre for Settlement of Investment Disputes   International Development Association   International Finance Corporation   Multilateral Investment Guarantee Agency         Lists     List of central banks   Central banks and currencies of Africa   Central banks and currencies of Asia - Pacific   Central banks and currencies of the Caribbean   Central banks and currencies of Europe   Central banks and currencies of Central America and South America                 Banks of South Africa     Central bank     South African Reserve Bank       The `` big four '' commercial banks     Absa   First National Bank ( FNB )   Nedbank   Standard Bank       Other     African Bank   Bidvest Bank   Capitec Bank   FirstRand Bank   Grindrod Bank   Imperial Bank South Africa   Investec   VBS Mutual Bank   Sasfin Bank   Teba Bank Limited   Postbank   Development Bank of Southern Africa   Land and Agricultural Development Bank of South Africa         Defunct     20Twenty   African Banking Corporation   Allied Bank   Colesberg Bank   NBS   Permanent Bank   Saambou   Trustbank   United Bank   Volkskas                 National Key Points in South Africa     Water supply sites     Zwartkopjies   Zuikerbosch   Vereeniging   Mapleton   Barrage   Palmiet   Eikenhof   Vaal Dam   Mokolo Dam Pump Station       Electricity generation and transmission sites     Grassridge Transmission Station   Perseus Transmission Station   Lethabo Power Station   Hydra Transmission Station   Apollo Transmission Station   Minerva Transmission Station   Grootvlei Power Station   Impala Transmission Station   Klaarwater Distribution Station   Pegasus Transmission Station   Drakensberg Power Station   Durban South Distribution Station   Durban North Distribution Station   Athene Transmission Station   Lotus Park Distribution station   Camden Power Station   Hendrina Power Station   Kriel Power Station   Arnot Power Station   Sol Transmission Station   Matla Power Station   Duvha Power Station   Tutuka Power Station   Kendal Power Station   Komati Power Station   Majuba Power Station   Matimba Power Station   Muldersvlei Transmission Station   Acasia Transmission Station   Droeriver Transmission Station   Koeberg Nuclear Power Station   Gourikwa Power Station   Ankerlig Power Station   Centlec       Crude oil , fuel depot and processing sites     OilTanking Grindrod Calulo   Natref Refinery   Bethlehem Pump Station   Coalbrook Pump Station   Sasol Pump Station   Kroonstad Pump Station   Magdala TPL Depot   Wilge TPL Depot   Shell Depot Alrode   Chevron Alrode   Sasol Depot Alrode   Total Depot Alrode   Alrode   Chevron Texaco   Airport e-Natis Facility   Tarlton Distribution Depot   Klerksdorp Depot   Langlaagte Depot   Meyerton Depot   Rustenburg Depot   Sasol Secunda   Jericho Pump Station   Rieftontein Pump Station   Grootfontein Pump Station   Vygeboom Pump Station   Bosloop Water Pump Station   Nooitgedact Pump Station   Transnet Pipeline Witbank Depot   Khutala Pump Station   Zaaihoek Pump Station   Chevron Refinery   PetroSA Voorbaai   PetroSA GTL Refinery   FA Production Platform   ORCA       Presidential residential sites     Nelson Mandela Qunu Village residence   Mahlamba Ndlopfu Presidential Residence   Sefako Makgatho Presidential Residence   President of South Africa Residence Nkandla   JL Dube House   Presidential Residence ( Genadendal )       Government sites     Eastern Cape Provincial Legislature   Free State Legislature   Northern Cape Provincial Legislature   Pretoria Union Buildings   North West Provincial Legislature   KwaZulu - Natal Legislature   Government Building Nelspruit   Limpopo Legislature   Houses of Parliament , Cape Town   120 Plein Street , Cape Town   Western Cape Provincial Parliament   SARB Port Elizabeth   SARB East London   SARB Bloemfontein   SARB Port Elizabeth   SARB Pretoria   SARB Johannesburg   South African Bank Note Company       Space , science and technology sites     Square Kilometre Array   Onderstepoort Biological Products   SSA Communication Centre   CSIR Wind Tunnel   Denel Land Systems   Denel Dynamics   Main Telephone Exchange ( PPR )   ArcelorMittal   African Explosives   Denel Aviation   BAE Systems Land Systems South Africa   Hartebeeshoek Earth Station   NECSA   South African National Space Agency   Rheinmetall Denel Munition South Africa       Airports     O.R. Tambo International Airport   King Shaka International Airport   Cape Town International Airport       Coordinates : 25 ° 44 ′ 43 '' S 28 ° 11 ′ 46 '' E ﻿ / ﻿ 25.74528 ° S 28.19611 ° E ﻿ / - 25.74528 ; 28.19611  Retrieved from `` https://en.wikipedia.org/w/index.php?title=South_African_Reserve_Bank&amp;oldid=864770930 '' Categories :   Banks of South Africa   Central banks   1921 establishments in South Africa   Banks established in 1921   Financial regulatory authorities of South Africa   Hidden categories :   EngvarB from May 2018   Use dmy dates from May 2018   Articles containing Afrikaans - language text   Articles containing Southern Ndebele - language text   Articles containing Xhosa - language text   Articles containing Zulu - language text   Articles containing Swazi - language text   Articles containing Northern Sotho - language text   Articles containing Sotho - language text   Articles containing Tswana - language text   Articles containing Tsonga - language text   Articles containing Venda - language text   Coordinates not on Wikidata           Talk                                           Contents                   About Wikipedia                                           Afrikaans   Asturianu   Deutsch   Español   Français   Magyar   </t>
    </r>
    <r>
      <rPr>
        <sz val="11"/>
        <color rgb="FF000000"/>
        <rFont val="Noto Sans CJK SC"/>
        <family val="2"/>
      </rPr>
      <t xml:space="preserve">日本 語   </t>
    </r>
    <r>
      <rPr>
        <sz val="11"/>
        <color rgb="FF000000"/>
        <rFont val="Calibri"/>
        <family val="0"/>
        <charset val="1"/>
      </rPr>
      <t xml:space="preserve">Norsk   Polski   Português   Русский   Українська  5 more  Edit links   This page was last edited on 19 October 2018 , at 10 : 38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</si>
  <si>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owns the reserve bank in south africa</t>
  </si>
  <si>
    <t xml:space="preserve"> The Reserve Bank is privately owned , with 2 million issued shares . The only limitation on shareholding is that no single shareholder may own more than 10,000 shares individually . Currently there are 696 shareholders , as of the shareholders index report of 31 August 2018 , owning shares in the South African Reserve Bank . </t>
  </si>
  <si>
    <r>
      <rPr>
        <sz val="11"/>
        <color rgb="FF000000"/>
        <rFont val="Calibri"/>
        <family val="0"/>
        <charset val="1"/>
      </rPr>
      <t xml:space="preserve">Development of the gonads - wikipedia  Development of the gonads  Jump to : navigation , search    Development of the gonads     Identifiers     Anatomical terminology ( edit on Wikidata )     The development of the gonads is part of the prenatal development of the reproductive system and ultimately forms the testes in males and the ovaries in females . The gonads initially develop from the mesothelial layer of the peritoneum .   The ovary is differentiated into a central part , the medulla , covered by a surface layer , the germinal epithelium . The immature ova originate from cells from the dorsal endoderm of the yolk sac . Once they have reached the gonadal ridge they are called oogonia . Development proceeds and the oogonia become fully surrounded by a layer of connective tissue cells ( pre-granulosa cells ) In this way , the rudiments of the ovarian follicles are formed .   In the testis , a network of tubules fuse to create the seminiferous tubules . Via the rete testis , the seminiferous tubules become connected with outgrowths from the mesonephros , which form the efferent ducts of the testis . The descent of the testes consists of the opening of a connection from the testis to its final location at the anterior abdominal wall , followed by the development of the gubernaculum , which subsequently pulls and translocates the testis down into the developing scrotum . Ultimately , the passageway closes behind the testis . A failure in this process causes an indirect inguinal hernia .   Germ cells migrate from near the allantois and colonize the primordial gonads . In the female , the germ cells colonise the cortex and become oogonia . In the male , the germ cells colonise the seminiferous cords of the medulla , becoming spermatogonia .     Contents  ( hide )   1 Before differentiation   2 Ovary   2.1 Origin of ova   2.2 Origin of granulosa cells   2.3 Descent of the ovaries   2.3. 1 Pathology       3 Testis   3.1 Descent of the testes   3.1. 1 Opening of connection   3.1. 2 Development of gubernaculum   3.1. 3 Translocation   3.1. 4 Closing of connection   3.1. 4.1 Pathology         4 See also   5 References      Before differentiation ( edit )   The first appearance of the gonad is essentially the same in the two sexes , and consists in a thickening of the mesothelial layer of the peritoneum . The thick plate of epithelium extends deeply , pushing before it the mesoderm and forming a distinct projection . This is termed the gonadal ridge . The gonadal ridge , in turn , develops into a gonad . This is a testis in the male and an ovary in the female .   At first , the mesonephros and gonadal ridge are continuous , but as the embryo grows the gonadal ridge gradually becomes pinched off from the mesonephros . However , some cells of mesonephric origin join the gonadal ridge . Furthermore , the gonadal ridge still remains connected to the remnant of that body by a fold of peritoneum , namely the mesorchium or mesovarium . About the seventh week the distinction of sex in the gonadal ridge begins to be perceptible .   Ovary ( edit )   The ovary is thus formed mainly from the genital ridge and partly from the mesonephros . Later the mass is differentiated into a central part , the medulla of ovary , covered by a surface layer , the germinal epithelium . Between the cells of the germinal epithelium a number of larger cells , the immature ova , are found . The immature ova , in turn , are carried into the stroma beneath by bud - like ingrowths ( genital cords of the germinal epithelium ) . The surface germinal epithelium ultimately forms the permanent epithelial covering of this organ . Furthermore , it soon loses its connection with the central mass . Instead , the tunica albuginea of the ovaries develops between them .   Origin of ova ( edit )   During early embryonic development , cells from the dorsal endoderm of the yolk sac migrate along the hindgut to the gonadal ridge . These primordial germ cells ( PGCs ) multiply by mitosis and once they have reached the gonadal ridge they are called oogonia ( diploid stem cells of the ovary ) .   Once oogonia enter this area they attempt to associate with the other somatic cells , derived from both the peritoneum and mesonephros . Development proceeds and the oogonia become fully surrounded by a layer of connective tissue cells ( pre-granulosa cells ) in an irregular manner . In this way , the rudiments of the ovarian follicles are formed .   Origin of granulosa cells ( edit )   The embryological origin of granulosa cells remains controversial . In the 1970s , evidence emerged that the first cells to make contact with the oogonia were of mesonephric origin . It was suggested that mesonephric cells already closely associated with the oogonia proliferated throughout development to form the granulosa cell layer .   Recently this hypothesis has been challenged with some thorough histology . Sawyer et al. hypothesized that in sheep most of the granulosa cells develop from cells of the mesothelium ( i.e. , epithelial cells from the presumptive surface epithelium of the ovary ) .   Descent of the ovaries ( edit )   Just as in the male , there is a gubernaculum in the female , which effects a considerable change in the position of the ovary , though not so extensive a change as in that of the testis . The gubernaculum in the female lies in contact with the fundus of the uterus and adheres to this organ , and thus the ovary can only descend as far as to this level . The part of the gubernaculum between the ovary and the uterus ultimately becomes the proper ovarian ligament , while the part between the uterus and the labium majus forms the round ligament of the uterus . A pouch of peritoneum analogous to the processus vaginalis in the male accompanies it along the inguinal canal : it is called the canal of Nuck .  Pathology ( edit )  In rare cases , the gubernaculum may fail to contract adhesions to the uterus , and then the ovary descends through the inguinal canal into the labium majus ; under these circumstances , its position resembles that of the testis .   Testis ( edit )   The testis is developed in much the same way as the ovary , originating from mesothelium as well as mesonephros . Like the ovary , in its earliest stages it consists of a central mass covered by a surface epithelium . In the central mass a series of cords appear , and the periphery of the mass is converted into the tunica albuginea , thus excluding the surface epithelium from any part in the formation of the tissue of the testis . The cords of the central mass run together toward the future hilum and form a network which ultimately becomes the rete testis . On the other hand , the seminiferous tubules are developed from the cords distal to the hilum , and between them connective - tissue septa extend . Via the rete testis , the seminiferous tubules become connected with outgrowths from the mesonephros , which form the efferent ducts of the testis .   Descent of the testes ( edit )   The descent of the testes consists of the opening of a connection from the testis to its final location at the anterior abdominal wall , followed by the development of the gubernaculum , which subsequently pulls and translocates the testis down into the developing scrotum . Ultimately , the passageway closes behind the testis .  Opening of connection ( edit )  At an early period of fetal life the testes are placed at the back part of abdominal cavity , behind the peritoneum , and each is attached by a peritoneal fold , the mesorchium , to the mesonephros . From the front of the mesonephros a fold of peritoneum termed the inguinal fold grows forward to meet and fuse with a peritoneal fold , the inguinal crest , which grows backward from the antero - lateral abdominal wall . The testis thus acquires an indirect connection with the anterior abdominal wall . At the same time , a portion of the peritoneal cavity lateral to these fused folds is marked off as the future saccus vaginalis .  Development of gubernaculum ( edit )  Also , in the inguinal crest a structure , the gubernaculum testis , makes its appearance . This is at first a slender band , extending from that part of the skin of the groin which afterward forms the scrotum through the inguinal canal to the body and epididymis of the testis . As development advances , the peritoneum enclosing the gubernaculum forms two folds , one above the testis and the other below it . The one above the testis is the plica vascularis , and contains the upper part of the gubernaculum , and ultimately also the internal spermatic vessels ; the one below , the plica gubernatrix , contains the lower part of the gubernaculum .   The gubernaculum grows into a thick cord . It ends below at the abdominal inguinal ring in a tube of peritoneum , the saccus vaginalis , which protrudes itself down the inguinal canal . By the fifth month the lower part of the gubernaculum still is a thick cord , while the upper part has disappeared . The lower part now consists of a central core of smooth muscle fibers , surrounded by a firm layer of striated muscle elements , connected , behind the peritoneum , with the abdominal wall .  Translocation ( edit )  As the testes develops , the main portion of the lower end of the gubernaculum is carried , following the skin to which it is attached , to the bottom of this pouch . Other bands are carried to the medial side of the thigh and to the perineum . The tube of peritoneum constituting the saccus vaginalis projects itself downward into the inguinal canal , and emerges at the external inguinal ring , pushing before it a part of the obliquus internus and the aponeurosis of the obliquus externus , which form respectively the cremaster muscle and the external spermatic fascia . The saccus vaginalis forms a gradually elongating pouch , which eventually reaches the bottom of the scrotum , and behind this pouch the testis is drawn by the growth of the body of the fetus , for the gubernaculum does not grow proportionately with the growth of other parts , and therefore the testis , being attached by the gubernaculum to the bottom of the scrotum , is prevented from rising as the body grows , and is instead drawn first into the inguinal canal and eventually into the scrotum . It seems certain also that the gubernacular cord becomes shortened as development proceeds , and this assists in causing the testis to reach the bottom of the scrotum .  Closing of connection ( edit ) Diagram of an indirect , scrotal inguinal hernia ( median view from the left ) .  By the end of the eighth month the testis has reached the scrotum , preceded by the saccus vaginalis , which communicates by its upper extremity with the peritoneal cavity . Just before birth the upper part of the saccus vaginalis , at the internal inguinal ring , usually becomes closed , and this obliteration extends gradually downward to within a short distance of the testis . The process of peritoneum surrounding the testis is now entirely cut off from the general peritoneal cavity and constitutes the tunica vaginalis .  Pathology ( edit )  If the internal inguinal ring does not close properly , then there is a risk that other contents of the abdominal cavity protrudes through the passageway and cause indirect inguinal hernia .   See also ( edit )    Sexual differentiation in humans    References ( edit )    Jump up ^ Satoh M ( 1991 ) . `` Histogenesis and organogenesis of the gonad in human embryos '' . J Anat. 177 : 85 -- 107 . PMC 1260417 . PMID 1769902 .   Jump up ^ Upadhyay S , Zamboni L ( 1982 ) . `` Preliminary observations on the role of the mesonephros in the development of the adrenal cortex '' . Anat Rec. 202 ( 1 ) : 105 -- 111 . doi : 10.1002 / ar. 1092020112 . PMID 7059014 .   Jump up ^ Zamboni , L. , Bezard , J. , and Mauleon , P. ( 1979 ) . The role of the mesonephros in the development of the sheep fetal ovary . Annales de Biologie Animal Biochimie et Biophysique 19 , 1153 - 78 .   Jump up ^ Sawyer H , Smith P , Heath D , Juengel J , Wakefield S , McNatty K ( 2002 ) . `` Formation of ovarian follicles during fetal development in sheep '' . Biol Reprod. 66 ( 4 ) : 1134 -- 50 . doi : 10.1095 / biolreprod66. 4.1134 . PMID 11906935 .      ( hide )         Sex determination and differentiation     Overview     Sexual differentiation   humans     Development of the reproductive system   gonads     Mesonephric duct   Paramesonephric duct       Genetic basis     Sex - determination system   XY   X0   ZW   Temperature - dependent   Haplodiploidy     Sex chromosome   X chromosome   Y chromosome     Testis - determining factor       See also     Hermaphrodite   Intersex   Disorders of sex development                 Development of the reproductive system     Precursors     Mesoderm   intermediate   lateral plate     Endoderm   Cloaca   Urogenital sinus     Ectoderm   Cloacal membrane         Internal     Development of the gonads   Gonadal ridge     Pronephric duct   Mesonephric duct   Paramesonephric duct   Vaginal plate     Definitive urogenital sinus       External     Genital tubercle   Labioscrotal swelling   Primordial phallus     Gubernaculum   Peritoneum   Vaginal process   Canal of Nuck         See also     List of related male and female reproductive organs   Prenatal development   Embryogenesis                 Development of the reproductive system     Precursors     Mesoderm   intermediate   lateral plate     Endoderm   Cloaca   Urogenital sinus     Ectoderm   Cloacal membrane         Internal     Development of the gonads   Gonadal ridge     Pronephric duct   Mesonephric duct   Paramesonephric duct   Vaginal plate     Definitive urogenital sinus       External     Genital tubercle   Labioscrotal swelling   Primordial phallus     Gubernaculum   Peritoneum   Vaginal process   Canal of Nuck         See also     List of related male and female reproductive organs   Prenatal development   Embryogenesis      Retrieved from `` https://en.wikipedia.org/w/index.php?title=Development_of_the_gonads&amp;oldid=841038897 '' Categories :   Embryology of urogenital system   Hidden categories :   Pages with unresolved properties   Articles which use infobox templates with no data rows           Talk                                           Contents                   About Wikipedia                                           </t>
    </r>
    <r>
      <rPr>
        <sz val="11"/>
        <color rgb="FF000000"/>
        <rFont val="Noto Sans CJK SC"/>
        <family val="2"/>
      </rPr>
      <t xml:space="preserve">中文   </t>
    </r>
    <r>
      <rPr>
        <sz val="11"/>
        <color rgb="FF000000"/>
        <rFont val="Calibri"/>
        <family val="0"/>
        <charset val="1"/>
      </rPr>
      <t xml:space="preserve">Edit links   This page was last edited on 13 May 2018 , at 17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</si>
  <si>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 the testes develop in the embryo</t>
  </si>
  <si>
    <t xml:space="preserve"> The development of the gonads is part of the prenatal development of the reproductive system and ultimately forms the testes in males and the ovaries in females . The gonads initially develop from the mesothelial layer of the peritoneum . </t>
  </si>
  <si>
    <r>
      <rPr>
        <sz val="11"/>
        <color rgb="FF000000"/>
        <rFont val="Calibri"/>
        <family val="0"/>
        <charset val="1"/>
      </rPr>
      <t xml:space="preserve">Annihilation ( film ) - wikipedia  Annihilation ( film )     Annihilation     Theatrical release poster     Directed by   Alex Garland     Produced by     Scott Rudin   Andrew Macdonald   Allon Reich   Eli Bush       Screenplay by   Alex Garland     Based on   Annihilation by Jeff VanderMeer     Starring     Natalie Portman   Jennifer Jason Leigh   Gina Rodriguez   Tessa Thompson   Tuva Novotny   Oscar Isaac       Music by     Ben Salisbury   Geoff Barrow       Cinematography   Rob Hardy     Edited by   Barney Pilling     Production company     Skydance Media   DNA Films   Scott Rudin Productions       Distributed by     Paramount Pictures ( North America and China )   Netflix ( International )       Release date     February 13 , 2018 ( 2018 - 02 - 13 ) ( Regency Village Theater )   February 23 , 2018 ( 2018 - 02 - 23 ) ( United States )   March 12 , 2018 ( 2018 - 03 - 12 ) ( United Kingdom )           Running time   115 minutes     Country     United Kingdom   United States       Language   English     Budget   $40 -- 55 million     Box office   $43.1 million     Annihilation is a 2018 science fiction horror film written and directed by Alex Garland , based on the novel of the same name by Jeff VanderMeer . It stars Natalie Portman , Jennifer Jason Leigh , Gina Rodriguez , Tessa Thompson , Tuva Novotny and Oscar Isaac . The story follows a group of military scientists who enter `` The Shimmer '' , a mysterious quarantined zone of mutating landscapes and transforming creatures .   The film was released theatrically in Canada and the United States by Paramount Pictures on February 23 , 2018 and in China on April 13 , 2018 . Across all three countries , it grossed $43 million against a production budget between $40 -- 55 million . It was released digitally ( by Netflix ) in a number of other countries on March 12 , 2018 . The film received praise for its visuals , acting , direction and thought - provoking story . According to Jonathan Pile of Empire magazine , the film addresses `` depression , grief and the human propensity for self - destruction '' .   Contents    1 Plot   2 Cast   3 Production   3.1 Development   3.2 Filming     4 Release   4.1 Home media     5 Reception   5.1 Box office   5.2 Critical response     6 References   7 External links    Plot ( edit )   At `` Area X '' , a government facility on the southern coast of the US , Lena , a cellular - biology professor and former soldier , is in quarantine . She undergoes a debriefing about a four month expedition into an anomalous iridescent electromagnetic field called `` the Shimmer '' from which she and her husband Kane are the only survivors .   In flashback , Lena 's husband , an Army Special Forces soldier , appears in their home after having gone missing on a mission nearly a year ago . He remembers nothing of that time and suddenly becomes very ill . A government security force intercepts Kane 's ambulance and transports him and Lena to Area X , near where the Shimmer had begun to spread three years earlier . A psychologist , Dr. Ventress , explains that military teams , including Kane 's , have ventured into the Shimmer to attempt to reach the lighthouse where the phenomenon first appeared . Kane is the only person to have ever returned from an expedition . Lena volunteers to join Ventress on a research expedition consisting of two scientists , Josie and Cassie , and a paramedic , Anya .   Guidance technology fails , the expedition members realize they are unable to remember extended stretches of time , and a mutated alligator attacks Josie . The team rescues her and learns that the alligator shows signs of being hybridized with a shark . At an abandoned military base , the team discovers evidence of Kane 's expedition along with a memory card left for them . A video on it shows Kane cutting open the stomach of a fellow expedition member while he was still alive , revealing that his intestines have begun to wriggle in a worm - like manner . That night , the base 's perimeter fence is torn open , prompting everyone to investigate . Suddenly , a mutated bear drags Cassie away ; the following morning , the team finds one of her boots . Lena searches further , alone , and she discovers Cassie 's mutilated corpse . Lena returns to the team and reports that Cassie has died .   As the team continues toward the lighthouse at the center of the Shimmer , they find a decayed settlement with human - shaped plants outside it . Josie says she thinks the Shimmer is acting on organisms in the manner of a prism , distorting and refracting DNA in the same way that a prism refracts light . The expedition members realize they are slowly changing as well . That night , Anya descends into a psychotic state , attacking and restraining the other team members . As she is threatening them , Anya hears what sounds like Cassie crying for help outside and investigates . The bear that killed Cassie enters the house , its roar imitating Cassie 's dying screams . It kills Anya and attacks Lena before Josie can shoot it dead .   Ventress leaves Lena and Josie to complete the journey while she still can . Josie muses that she does n't want to go on and begins to grow flowers from her body . She walks away from Lena and disappears among the human - shaped plants . Lena reaches the lighthouse and goes inside , finding an incinerated corpse , a video - camera and a hole in the floor . Footage on the camera shows Kane ranting about the Shimmer 's effects on him . He urges the cameraman to find Lena , then commits suicide with a white - phosphorus grenade , after which a doppelgänger of his walks into view .   Lena descends into the hole in the floor and finds Ventress , who has also begun to mutate . Ventress tells Lena the forces at work will eventually encompass `` everything '' , before disintegrating into a fiery nebulous structure that absorbs a drop of blood from Lena 's face and creates a humanoid being . Lena attacks it , and attempts to escape the lighthouse but the being stops her , mirroring her movements and knocking her out . The struggle resumes when Lena awakens , the being gradually transforming into an identical copy of her . Lena exploits its behavior to place a phosphorus grenade in its hands and activates it before fleeing . The being is set ablaze , flames engulf the lighthouse , the various constructs in the area collapse , and the Shimmer dissipates to nothing .   Lena 's debriefing concludes , and she reunites with Kane , who has recovered rapidly with the Shimmer having ceased to exist . She asks him if he is the `` real '' Kane , to which he replies , `` I do n't think so . '' He asks her if she is Lena , but she does not answer him . The two embrace , and their irises shimmer and change color .   Cast ( edit )    Natalie Portman as Lena   Kristen McGarrity as Lena 's double     Jennifer Jason Leigh as Dr. Ventress   Gina Rodriguez as Anya Thorensen   Tessa Thompson as Josie Radek   Tuva Novotny as Cassie `` Cass '' Sheppard   Oscar Isaac as Kane   Benedict Wong as Lomax   Sonoya Mizuno as Katie   Mizuno also portrays a humanoid     David Gyasi as Daniel   Sammy Hayman as Mayer   Josh Danford as Shelley   John Schwab as Paramedic    Production ( edit )   Development ( edit )   In March 2013 , it was announced that Paramount Pictures and Scott Rudin Productions had acquired the film rights to Annihilation , the first novel in Jeff VanderMeer 's Southern Reach Trilogy , and that the film would be produced by Scott Rudin and Eli Bush . Alex Garland was hired to adapt and direct the film the next year . Garland revealed to Creative Screenwriting that his adaptation was necessarily based on only the first novel in the trilogy :   At the point I started working on Annihilation , there was only one of the three books . I knew that it was planned as a trilogy by the author , but there was only the manuscript for the first book . I really did n't think too much about the trilogy side of it .   Garland 's film is `` an adaptation which was a memory of the book '' , rather than book - referenced screenwriting , with the intention of capturing the `` dreamlike nature '' and tone of his experience reading VanderMeer 's novel . Rather than trying to directly adapt the book Garland deliberately took the story in his own direction , with VanderMeer 's permission . Garland did not read the other two books when they arrived , as he was concerned he would need to revise his script . Others informed him of the elements of the books , and he expressed surprise at some of the correlations .   Prior to its release , the film drew criticism for the casting of Natalie Portman and Jennifer Jason Leigh as characters who are , in the later books , described as Asian and of half Native American descent , respectively . Garland stated that none of the five female characters ' ethnicity is mentioned in the first book , which was the only one of the trilogy he had read , and that the script was complete before the second book was published . He cast the characters based on his reaction only to the actors he had met in the casting process , or actors he had worked with before .   Filming ( edit )   Principal photography was underway by April 2016 , when actor David Gyasi was added to the cast . Location filming by Lighthouse Pictures Ltd occurred starting in late April in South Forest , Windsor Great Park . Some test shooting had already been done in St. Marks , Florida , but the vegetation in the area turned out to be too dense to give any depth perception on screen . On May 9 , 2016 , cinematographer Rob Hardy began sharing pictures from the set of the film . On July 13 and 14 , filming took place at Holkham Pines in North Norfolk . Shooting was completed that month .   The visual effect team was made up of many of Garland 's collaborators from his previous film , Ex Machina , including VFX Supervisor Andrew Whitehurst , lead VFX house Double Negative and Milk VFX , plus special makeup effects by Tristan Versluis .   Release ( edit )   The film was released theatrically in the United States on February 23 , 2018 , by Paramount Pictures , and digitally in other markets on March 12 , 2018 , by Netflix .   Due to a poorly received test screening , David Ellison , a financier and producer at Paramount , became concerned that the film was `` too intellectual '' and `` too complicated '' , and demanded changes to make it appeal to a wider audience , including making Portman 's character more sympathetic , and changing the ending . Producer Scott Rudin sided with the director , who did not want to alter the film . Rudin , who had final cut privilege , defended the film and refused to take notes from Ellison .   On December 7 , 2017 , it was announced that due to the clashes between Rudin and Ellison , and the shift in Paramount 's leadership , a deal was struck allowing Netflix to distribute the film internationally . According to this deal , Paramount will handle the American , Canadian and Chinese release , while Netflix will begin streaming the film in other territories 17 days later .   Garland expressed his disappointment with the decision to allow digital distribution , by saying :   We made the film for cinema . I 've got no problem with the small screen at all . The best genre piece I 've seen in a long time was The Handmaid 's Tale , so I think there 's incredible potential within that context , but if you 're doing that -- you make it for that ( exhibition format ) and you think of it in those terms . Look ... it is what it is . The film is getting a theatrical release in the States , which I 'm really pleased about . One of the big pluses of Netflix is that it goes out to a lot of people and you do n't have that strange opening weekend thing where you 're wondering if anyone is going to turn up and then if they do n't , it vanishes from cinema screens in two weeks . So it 's got pluses and minuses , but from my point of view and the collective of the people who made it -- ( it was made ) to be seen on a big screen .   Home Media ( edit )   Annihilation was released on Digital HD on May 22 , 2018 , and on Ultra HD Blu - ray , Blu - ray and DVD on May 29 , 2018 .   Reception ( edit )   Box Office ( edit )   As of May 12 , 2018 , Annihilation has grossed $32.7 million in the United States and Canada and $10.3 million in China , for a worldwide total of $43 million , against a net production budget of $40 million .   In North America , Annihilation was released in alongside Game Night and Every Day , and was projected to gross $10 -- 12 million from 2,012 theaters in its opening weekend . The film made $3.9 million on its first day ( including $900,000 from Thursday night previews at 1,850 theaters ) . It ended up making $11 million over the weekend , finishing fourth , behind Black Panther , Game Night , and Peter Rabbit . In its second weekend the film dropped 49 % to $5.9 million , falling to 6th place .   Critical response ( edit )   On review aggregator Rotten Tomatoes , the film has an approval rating of 87 % , based on 237 reviews , and an average rating of 7.7 / 10 . The website 's critical consensus reads , `` Annihilation backs up its sci - fi visual wonders and visceral genre thrills with an impressively ambitious -- and surprisingly strange -- exploration of challenging themes that should leave audiences pondering long after the end credits roll . '' On Metacritic , the film has a weighted average score of 79 out of 100 , based on reviews from 49 critics , indicating `` generally favorable reviews '' . Audiences polled by CinemaScore gave the film an average grade of `` C '' on an A+ to F scale , while PostTrak reported filmgoers gave it a 71 % overall positive score .   Richard Roeper of the Chicago Sun - Times gave the film 4 out of 4 stars , praising it for taking risks , and saying : `` Kudos to Garland and the cast , but bravo to Scott Rudin as well . Apparently you knew a masterpiece when you saw it , and you made sure we were able to see it as well . '' Writing for Rolling Stone , Peter Travers complimented the cast and Garland 's writing and direction , giving the film 3.5 stars out of 4 and saying , `` Garland need make no apologies for Annihilation . It 's a bracing brainteaser with the courage of its own ambiguity . You work out the answers in your own head , in your own time , in your own dreams , where the best sci - fi puzzles leave things . '' Conversely , The Economist described the film as `` tightrope - walking the fine line between open - ended , mind - expanding mystery and lethargic , pretentious twaddle '' , but praised its final half hour .   Nerdist Industries ' Kyle Anderson called Annihilation `` a movie that deserves several viewings , and your brain 's whole attention '' . Anderson commented that the film has little to do with the novel that it was based on , and is similar to H.P. Lovecraft 's 1927 short story `` The Colour Out of Space '' , about a meteor that lands in a swamp and unleashes a plague . Chris McCoy of the Memphis Flyer also found the film reminiscent of `` The Colour Out of Space '' as well as the novel Roadside Picnic ( 1971 ) and its film adaptation , Stalker ( 1979 ) .   References ( edit )    Jump up ^ `` ANNIHILATION ( 15 ) '' . British Board of Film Classification . February 12 , 2018 . Retrieved April 2 , 2018 .   Jump up ^ `` Annihilation ( 2018 ) '' . Box Office Mojo . Retrieved April 15 , 2018 .   ^ Jump up to : D'Alessandro , Anthony ( February 25 , 2018 ) . `` ' Black Panther ' Breaks More Records : $108 M Second Weekend Is Second - Best Ever As Marvel Movie Heads For $400 M '' . Deadline Hollywood . Penske Business Media . Retrieved February 25 , 2018 .   ^ Jump up to : Kit , Borys ( December 7 , 2017 ) . `` ' Annihilation ' : Behind - the - Scenes of a Producer Clash and That Netflix Deal ( Exclusive ) '' . The Hollywood Reporter . Prometheus Global Media . Retrieved February 9 , 2018 ... the production budget , which is in the $55 million range ...   ^ Jump up to : `` Annihilation ( 2018 ) '' . The Numbers . Retrieved August 20 , 2018 .   ^ Jump up to : Fuller , Becky ( February 22 , 2018 ) . `` Why Annihilation Is Going Straight To Netflix Internationally '' . Screen Rant . Retrieved February 22 , 2018 .   Jump up ^ Pile , Jonathan ( March 12 , 2018 ) . `` Annihilation Review '' . Empire . Retrieved April 13 , 2018 .   ^ Jump up to : Fleming , Mike Jr . ( March 26 , 2013 ) . `` Paramount , Scott Rudin Land ' Annihilation ' , First Installment Of Southern Reach Trilogy '' . Deadline Hollywood . Penske Business Media . Retrieved May 9 , 2015 .   Jump up ^ McNary , Dave ( October 31 , 2014 ) . `` ' Annihilation ' Movie Gains Momentum at Paramount with Alex Garland ( Exclusive ) '' . Variety . Penske Business Media . Retrieved May 9 , 2015 .   Jump up ^ McKittrick , Christopher ( January 6 , 2016 ) . `` Alex Garland on Screenwriting '' . Creative Screenwriting . Retrieved January 6 , 2016 .   Jump up ^ `` ' Annihilation ' director Alex Garland chats with CNET about the upcoming film '' . CNET . February 8 , 2018 . Event occurs at 32m15s - 33m30s . Retrieved March 18 , 2018 -- via YouTube .   Jump up ^ `` ANNIHILATION ( 2018 ) - Alex Garland Behind the Scenes Interview '' . The Media Hub . YouTube . February 10 , 2018 . Retrieved March 18 , 2018 .   Jump up ^ `` Alex Garland ' Annihilation ' - Talks at Google '' . Talks at Google . February 22 , 2018 . Event occurs at 03m30 . Retrieved March 18 , 2018 -- via YouTube . In this ( adaptation ) instance it was like an adaptation of the atmosphere .   ^ Jump up to : Sharf , Zack ( February 15 , 2018 ) . `` Alex Garland on ' Annihilation ' Whitewashing : ' There Was Nothing Cynical or Conspiratorial ' in Casting the Film '' . IndieWire . Penske Business Media . Retrieved April 18 , 2018 .   Jump up ^ Han , Karen ( February 20 , 2018 ) . `` ' Annihilation ' and Hollywood 's Erasure of Asians '' . The Daily Beast . The Daily Beast Company . Retrieved February 20 , 2018 .   Jump up ^ Watklns , Gwynne ( February 14 , 2018 ) . `` Natalie Portman Takes On ' Annihilation ' Whitewashing Accusations '' . Huffington Post . Oath . Retrieved April 18 , 2018 .   Jump up ^ Lutes , Alicia ( December 13 , 2017 ) . `` How Alex Garland Dreamed Up an Even Crazier ANNIHILATION '' . Nerdist . Nerdist Industries . Retrieved April 18 , 2018 .   Jump up ^ Kroll , Justin ( April 29 , 2016 ) . `` ' Containment ' Star Joins Natalie Portman in ' Annihilation ' ( EXCLUSIVE ) '' . Variety . Penske Business Media . Retrieved May 17 , 2016 .   Jump up ^ Williams , Phillip ( April 26 , 2016 ) . `` Construction of location set in Pond , ' Annihilation ' '' . Geograph Britain and Ireland . Archived from the original on February 9 , 2018 . Retrieved May 17 , 2016 .   Jump up ^ Williams , Phillip ( April 26 , 2016 ) . `` Track sign during filming '' . Geograph Britain and Ireland . Archived from the original on February 9 , 2018 . Retrieved May 17 , 2016 .   Jump up ^ Bancroft , Colette ( May 17 , 2017 ) . `` For Florida author Jeff VanderMeer , giant flying bears are all in a day 's work '' . Tampa Bay Times . Archived from the original on February 9 , 2018 . Retrieved February 9 , 2018 .   Jump up ^ Nordine , Michael ( July 7 , 2016 ) . `` Alex Garland 's ' Annihilation ' : Cast and Crew Share Striking Behind - the - Scenes Images from the Sci - Fi Thriller '' . IndieWire . Penske Business Media . Retrieved April 18 , 2018 .   Jump up ^ Pochin , Courtney ( July 7 , 2016 ) . `` ' Annihilation ' : New Natalie Portman film to be shot at Holkham '' . Eastern Daily Press . Archant Community Media . Retrieved July 14 , 2016 .   Jump up ^ Martin , Kevin H. ( April 3 , 2018 ) . `` An Altered Realm of Being ( and Beings ) Haunt ANNIHILATION '' . VFX Voice . Visual Effects Society . Retrieved April 3 , 2018 .   Jump up ^ Hipes , Patrick ( August 3 , 2017 ) . `` Alex Garland 's ' Annihilation ' Gets 2018 Release Date '' . Deadline Hollywood . Penske Business Media . Retrieved August 4 , 2017 .   Jump up ^ Cook , Tommy ( December 13 , 2017 ) . `` Alex Garland on Annihilation , That Netflix Deal , and More '' . Collider . Complex Media . Retrieved January 24 , 2018 .   Jump up ^ Wakeman , Gregory ( February 20 , 2018 ) . `` How ' Annihilation ' director Alex Garland feels about the film being released on Netflix '' . Metro . Metro Media . Retrieved April 18 , 2018 .   Jump up ^ `` Annihilation ( 2018 ) '' . DVDs Release Dates . Retrieved April 18 , 2018 .   Jump up ^ Squires , John ( April 17 , 2018 ) . `` Experience ' Annihilation ' on Digital , DVD and Blu - ray This May '' . Bloody Disgusting . Retrieved April 17 , 2018 .   Jump up ^ D'Alessandro , Anthony ( February 21 , 2018 ) . `` ' Black Panther ' Posts Record $21 M Pre-Summer Tuesday ; Second Weekend To Reap $104 M - $109 M '' . Deadline Hollywood . Penske Business Media . Retrieved February 21 , 2018 .   Jump up ^ D'Alessandro , Anthony ( March 4 , 2018 ) . `` ' Black Panther ' Busts Past Half Billion ; ' Red Sparrow ' Flies Low With $17 M -- Sunday AM B.O. Update '' . Deadline Hollywood . Penske Business Media . Retrieved April 2 , 2018 .   Jump up ^ `` Annihilation ( 2018 ) '' . Rotten Tomatoes . Fandango Media . Retrieved August 27 , 2018 .   Jump up ^ `` Annihilation Reviews '' . Metacritic . CBS Interactive . Retrieved March 13 , 2018 .   Jump up ^ Roeper , Richard ( February 21 , 2018 ) . `` Annihilation ' : Innovations abound as Natalie Portman ventures into the unknown '' . Chicago Sun Times . Retrieved February 22 , 2018 .   Jump up ^ Travers , Peter ( February 21 , 2018 ) . `` ' Annihilation ' Review : Director Alex Garland Transcends Sci - Fi Pulp '' . Rolling Stone . Retrieved February 22 , 2018 .   Jump up ^ N.B. ( March 12 , 2018 ) . `` Is Netflix the new straight - to - video ? `` Annihilation '' is the third in a series of mediocre science - fiction releases `` . The Economist . Retrieved March 12 , 2018 .   Jump up ^ Anderson , Kyle ( February 21 , 2018 ) . `` Annihilation is a Scary , Cosmic Trip ( Review ) '' . Nerdist . Nerdist Industries . Retrieved March 10 , 2018 .   ^ Jump up to : McCoy , Chris ( March 2 , 2018 ) . `` Annihilation '' . Memphis Flyer . Contemporary Media . Retrieved March 10 , 2018 .    External links ( edit )    Official website   Annihilation on IMDb   Annihilation at AllMovie              Works by Alex Garland     Novels     The Beach ( 1996 )   The Tesseract ( 1998 )   The Coma ( 2004 )       Films     Ex Machina ( 2015 )   Annihilation ( 2018 )       Screenplays     28 Days Later ( 2002 )   Sunshine ( 2007 )   Never Let Me Go ( 2010 )   Dredd ( 2012 )       Video games     Enslaved : Odyssey to the West ( 2010 )                 Films produced by Scott Rudin       Revenge of the Stepford Wives   I 'm Dancing as Fast as I Can   Reckless   Mrs. Soffel   Pacific Heights   Regarding Henry   Little Man Tate   The Addams Family   White Sands   Life with Mikey   The Firm   Searching for Bobby Fischer   Addams Family Values   Sister Act 2 : Back in the Habit   Nobody 's Fool   Clueless   Sabrina   Mother   The First Wives Club   Ransom   Marvin 's Room   In &amp; Out   Twilight   The Truman Show   A Civil Action   Bringing Out the Dead   Sleepy Hollow   Angela 's Ashes   Wonder Boys   Rules of Engagement   Shaft   Zoolander   The Royal Tenenbaums   Iris   Orange County   Changing Lanes   The Hours   Marci X   School of Rock   The Stepford Wives   The Manchurian Candidate   The Village   I Heart Huckabees   Team America : World Police   The Life Aquatic with Steve Zissou   Freedomland   Failure to Launch   Notes on a Scandal   No Country for Old Men   The Darjeeling Limited   Margot at the Wedding   Stop - Loss   Doubt   Revolutionary Road   Fantastic Mr. Fox   It 's Complicated   Greenberg   The Social Network   True Grit   Margaret   The Girl with the Dragon Tattoo   Extremely Loud &amp; Incredibly Close   Moonrise Kingdom   The Dictator   Frances Ha   Captain Phillips   Inside Llewyn Davis   The Grand Budapest Hotel   Rosewater   Top Five   While We 're Young   Aloha   Steve Jobs   Zoolander 2   Fences   The Meyerowitz Stories   Lady Bird   Eighth Grade   Annihilation   Isle of Dogs   The Legacy of a Whitetail Deer Hunter   Game Over , Man !   22 July   Mid90s   The Girl in the Spider 's Web   Late Night   Untitled Pippa Bianco project   The Woman in the Window      Retrieved from `` https://en.wikipedia.org/w/index.php?title=Annihilation_(film)&amp;oldid=857058902 '' Categories :   2018 films   English - language films   2018 horror films   2010s science fiction films   2010s horror thriller films   Alien invasions in films   American films   American science fiction horror films   American horror thriller films   British films   British science fiction films   British horror films   British horror thriller films   Horror adventure films   Science fiction adventure films   Body horror films   Films shot in London   Screenplays by Alex Garland   Paramount Pictures films   Films based on American horror novels   Films based on science fiction novels   Impact event films   Motion capture in film   Nonlinear narrative films   Adultery in films   Hidden categories :   Articles containing potentially dated statements from May 2018   All articles containing potentially dated statements           Talk                                           Contents                   About Wikipedia                                             Català   Deutsch   Ελληνικά   Español   فارسی   Français   Galego   </t>
    </r>
    <r>
      <rPr>
        <sz val="11"/>
        <color rgb="FF000000"/>
        <rFont val="Noto Sans CJK SC"/>
        <family val="2"/>
      </rPr>
      <t xml:space="preserve">한국어   </t>
    </r>
    <r>
      <rPr>
        <sz val="11"/>
        <color rgb="FF000000"/>
        <rFont val="Calibri"/>
        <family val="0"/>
        <charset val="1"/>
      </rPr>
      <t xml:space="preserve">Հայերեն   Bahasa Indonesia   Italiano   Nederlands   </t>
    </r>
    <r>
      <rPr>
        <sz val="11"/>
        <color rgb="FF000000"/>
        <rFont val="Noto Sans CJK SC"/>
        <family val="2"/>
      </rPr>
      <t xml:space="preserve">日本 語   </t>
    </r>
    <r>
      <rPr>
        <sz val="11"/>
        <color rgb="FF000000"/>
        <rFont val="Calibri"/>
        <family val="0"/>
        <charset val="1"/>
      </rPr>
      <t xml:space="preserve">Norsk   Polski   Português   Русский   Suomi   ไทย   Українська   Tiếng Việt   </t>
    </r>
    <r>
      <rPr>
        <sz val="11"/>
        <color rgb="FF000000"/>
        <rFont val="Noto Sans CJK SC"/>
        <family val="2"/>
      </rPr>
      <t xml:space="preserve">粵語   中文  </t>
    </r>
    <r>
      <rPr>
        <sz val="11"/>
        <color rgb="FF000000"/>
        <rFont val="Calibri"/>
        <family val="0"/>
        <charset val="1"/>
      </rPr>
      <t xml:space="preserve">15 more  Edit links   This page was last edited on 29 August 2018 , at 08 : 35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</si>
  <si>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is the annihilation movie just the first book</t>
  </si>
  <si>
    <t xml:space="preserve"> In March 2013 , it was announced that Paramount Pictures and Scott Rudin Productions had acquired the film rights to Annihilation , the first novel in Jeff VanderMeer 's Southern Reach Trilogy , and that the film would be produced by Scott Rudin and Eli Bush . Alex Garland was hired to adapt and direct the film the next year . Garland revealed to Creative Screenwriting that his adaptation was necessarily based on only the first novel in the trilogy : </t>
  </si>
  <si>
    <r>
      <rPr>
        <sz val="11"/>
        <color rgb="FF000000"/>
        <rFont val="Calibri"/>
        <family val="0"/>
        <charset val="1"/>
      </rPr>
      <t xml:space="preserve">Sorry to Bother You ( film ) - wikipedia  Sorry to Bother You ( film )     Sorry to Bother You     Theatrical release poster     Directed by   Boots Riley     Produced by     Nina Yang Bongiovi   Kelly Williams   Jonathan Duffy   Charles D. King   George Rush   Forest Whitaker       Written by   Boots Riley     Starring     Lakeith Stanfield   Tessa Thompson   Jermaine Fowler   Omari Hardwick   Terry Crews   Patton Oswalt   David Cross   Danny Glover   Steven Yeun   Armie Hammer       Music by     Tune - Yards   The Coup       Cinematography   Doug Emmett     Edited by   Terel Gibson     Production companies     Significant Productions   MNM Creative   MACRO   Cinereach   The Space Program       Distributed by     Annapurna Pictures ( United States )   Walt Disney Studios Motion Pictures ( International )       Release date     January 20 , 2018 ( 2018 - 01 - 20 ) ( Sundance )   July 6 , 2018 ( 2018 - 07 - 06 ) ( United States )             Running time   111 minutes     Country   United States     Language   English     Budget   $3.2 million     Box office   $16.6 million     Sorry to Bother You is a 2018 American absurdist dark comedy film written and directed by Boots Riley , in his directorial debut . It stars Lakeith Stanfield , Tessa Thompson , Jermaine Fowler , Omari Hardwick , Terry Crews , Patton Oswalt , David Cross , Danny Glover , Steven Yeun , and Armie Hammer . Set in Oakland , California , the film follows a young African - American telemarketer who adopts a white accent in order to thrive at his job . Once he does , he rapidly gets swept up into a conspiracy , and must choose between making money at the expense of humanity and joining with his activist friends to organize labor .   Principal photography began in June 2017 in Oakland . Sorry to Bother You premiered at the Sundance Film Festival on January 20 , 2018 , and was theatrically released in the United States on July 6 , 2018 , by Annapurna Pictures . The film received largely positive reviews from critics , who praised the cast and concept , as well as Riley 's script and direction .   Contents    1 Plot   2 Cast   3 Production   3.1 Filming   3.2 Music     4 Themes   4.1 Communism   4.2 False consciousness     5 Release   6 Reception   6.1 Box office   6.2 Critical response     7 See also   8 References   9 Further reading   10 External links    Plot ( edit )   In an alternative present - day version of Oakland , ads for a company called WorryFree offer a life free from paying bills and with free food and lodging , but at the cost of a lifetime work contract , a practice deemed legal and not equivalent to slavery . A radical group called `` The Left Eye '' oppose WorryFree by holding protests and vandalizing their advertisements .   Cassius `` Cash '' Green lives in his uncle Sergio 's garage with his girlfriend , Detroit , and the only job he can find is working as a telemarketer on the lower levels of the RegalView company . Cash has trouble selling to customers until an older coworker , Langston , teaches him to use his `` white voice '' -- one that conveys a tone of confident , carefree affluence -- to sell . Cash discovers he has a special talent for selling with his white voice , and his manager suggests Cash will soon be promoted to the elusive and mysterious position of `` Power Caller . '' Although little is known about their work , Langston tells Cash that Power Callers sell different products than entry - level workers like himself , Detroit , and their friend Sal .   Cash 's coworker , Squeeze , organizes a union to lobby for raises among the telemarketing staff . However , despite disrupting work as part of the union , Cash is still promoted to Power Caller . In the luxurious Power Caller suite , where Cash is instructed to only use his white voice , he learns that RegalView sells weaponry and human labor from WorryFree to other companies and governments .   Although Cash is initially uncomfortable with the work , he quickly overcomes his uncertainty when he learns what he will be paid . He is able to afford a new car and apartment , and to pay off Sergio 's house . He also stops participating in the union , claiming he still supports them from the sidelines , and his relationship with Detroit starts to deteriorate as a result . He continues to work while his friends picket RegalView outside .   After more sales , Cash is invited to a party with Steve Lift , the CEO of WorryFree . After the party , Lift has a one - on - one meeting with Cash and offers him a powdered substance to snort . Cash snorts it .   Looking for the bathroom , Cash goes into the wrong door and finds a half - horse , half - human hybrid begging for help . Cash drops his phone and runs into Lift , who tries to calm him down by explaining how WorryFree are planning to make their workers stronger and more obedient by transforming them into half - horse , half - human hybrids , referred to as `` equisapiens . '' The transformation takes place when a human snorts a gene - modifying powder similar to cocaine .   Lift explains he wants Cash to become an equisapien and act as a false revolutionary figure among them to keep them in line with WorryFree 's goals , offering Cash $100 million for five years . When the five years are up , Lift says Cash will be able to take a `` defusing powder '' and return to his normal self .   After leaving in a panic , Cash becomes worried he was tricked into snorting the gene powder and visits Detroit , who tells him she received a video message from his missing phone , which turns out to be a cry for help from the equisapiens and Lift threatening to turn them into glue . To make the video viral , Cash goes on a reality show called `` I Got the S # * @ Kicked Out of Me ! '' , enduring a variety of physical punishments in order to get the video played at the end .   The plan backfires ; Lift 's plot is hailed as a ground - breaking scientific advancement , and WorryFree 's stock reaches an all - time high . Cash apologizes to Squeeze , Sal , and Detroit . The union decides to make one last stand in the picket line , now joined by Cash .   The next day , Cash copies the code he saw in the equisapiens video to break into Lift 's home before heading to the picket line where the callers and police get into a riot . Cash is knocked out by an officer just after he blows a whistle into a phone . Later that night , Cash wakes up in a police wagon and witnesses the equisapiens that he called with the whistle fighting back against the police , easily overpowering the police with their superior strength . They then free him , Squeeze , Sal , and Detroit , and run off to keep fighting .   With everything seemingly returning back to normal , Cash suddenly grows massive nostrils on his face signaling his transformation into an Equisapien . Later a fully transformed Cash leads a mob of Equisapiens to Lift 's house . Cash calls over the intercom and says `` Sorry to bother you , '' before leading the mob to break down the door and attack Lift .   Cast ( edit )    Lakeith Stanfield as Cassius `` Cash '' Green   David Cross as Cash 's `` white voice ''   Mahari Crown as Fake Cash     Tessa Thompson as Detroit , Cash 's girlfriend   Lily James as Detroit 's white voice     Jermaine Fowler as Salvador   Omari Hardwick as Mr. _______   Patton Oswalt as Mr. _______ 's white voice     Terry Crews as Sergio Green , Cash 's uncle   Danny Glover as Langston   Steven Yeun as Squeeze   Armie Hammer as Steve Lift   Kate Berlant as Diana DeBauchery   Michael X . Sommers as Johnny   Robert Longstreet as Anderson   Forest Whitaker as First Equisapien / Demarius   Rosario Dawson as Voice in Elevator   Tom Woodruff Jr. as Equisapien    Production ( edit )  Riley speaks at a Martin Luther King Jr . Day rally in Emeryville , California , January 2016 .  Boots Riley describes the film as `` an absurdist dark comedy with aspects of magical realism and science fiction inspired by the world of telemarketing '' . The screenplay for Sorry to Bother You was inspired by his own time working as a telemarketer and telefundraiser in California , and his need to put on a different voice to find success . Riley finished the screenplay in 2012 , and with no means to produce it , recorded an album of the same title with his band The Coup , inspired by the story . The screenplay was originally published in full as part of McSweeney 's issue 48 in 2014 .   In June 2017 , it was announced that production would go forward on Sorry to Bother You , directed by Riley , and that Lakeith Stanfield , Tessa Thompson and Steven Yeun had been cast in the film . Nina Yang Bongiovi , Forest Whitaker , Jonathan Duffy , Kelly Williams , Charles D. King and George Rush served as producers on the film , under their Significant Productions , MACRO , and Cinereach banners , respectively . The same month , Armie Hammer , Jermaine Fowler , Omari Hardwick and Terry Crews also joined the cast . In July 2017 , Danny Glover , David Cross and Patton Oswalt joined the cast of the film , with Kate Berlant , Robert Longstreet and Michael Sommers being added later the same month .   Filming ( edit )   Principal photography began on June 22 , 2017 , in Oakland , California and concluded on July 30 , 2017 .   While it has been rumored that Danny Glover 's `` white voice '' was performed by Steve Buscemi , Riley reported that it was actually done by the film 's sound engineer . Following its premiere at Sundance , producer Megan Ellison gave Riley $200,000 for reshoots and an additional scene .   Music ( edit )   The film score was composed and performed by Tune - Yards . Riley and The Coup recorded an original soundtrack for the film as well , slated to be released later in 2018 . The first single , `` OYAHYTT '' , featuring Lakeith Stanfield , was released July 13 , 2018 .   Themes ( edit )   Communism ( edit )   Boots has maintained that the film offers a radical class analysis of capitalism , rather than a specific analysis of America under President Trump , clarifying that he wrote the initial screenplay during the Obama administration , and that the target was never any specific elected official or movement , but rather a broader look at `` the puppetmasters behind the puppets . '' While the majority of the final script remained the same , minimal changes were made prior to shooting in order to avoid the film appearing to be a critique of Trump specifically , including removing a line where a character says `` Worry Free is making America great again , '' written before Trump would use the line in his 2016 presidential campaign .   False consciousness ( edit )   The title of the film has a double meaning , referencing both the phrase 's use by telemarketers and its general usage when telling a person something you know they might not like to hear , such as the Communist themes present in the film . According to Boots , `` ... the other side of it is , is that often when you 're telling someone something that is different from how they view things , different from how they view the world , it feels like an annoyance or a bother . And that 's where that comes from . '' The theme of the strike was used to reflect the need to `` organize people in the workplace '' and for workers to recognize their power .   When asked on his choice to cast Armie Hammer as Steve Lift , Boots stated that Armie was a `` lovable dude , '' whose casting reflects the current state of `` new capitalism , '' where the reality of working conditions are hidden , referencing lines such as `` I 'm not your boss , I 'm your friend . ''   Release ( edit )   The film had its world premiere at the Sundance Film Festival on January 20 , 2018 . Shortly after , Annapurna Pictures acquired distribution rights . It also screened at South by Southwest on March 12 , 2018 . The film was initially scheduled to be released on June 29 , 2018 , but was pushed back a week to July 6 , 2018 , where it began with a limited release before expanding wider on July 13 .   Reception ( edit )   Box office ( edit )   Sorry to Bother You grossed $727,266 from 16 theaters in its limited opening weekend , for an average of $45,452 , the fourth - best average of 2018 . It finished 16th at the weekend box office . It had its wide release , in 805 theaters , on July 13 , alongside the openings of Skyscraper and Hotel Transylvania 3 : Summer Vacation , and was forecast to gross around $3.5 million over the weekend . The film made more on its first day of wide release ( $1.5 million ) than it had in its full week of limited ( $1.1 million ) . It went on to gross $4.3 million over the weekend , an increase of 485 % , finishing 7th at the box office . The film was added to another 245 theaters in its third week of release and made $2.8 million , finishing 10th .   Critical response ( edit )   On review aggregator website Rotten Tomatoes , the film holds an approval rating of 94 % based on 162 reviews , with a weighted average of 7.8 / 10 . The website 's critical consensus reads , `` Fearlessly ambitious , scathingly funny , and thoroughly original , Sorry to Bother You loudly heralds the arrival of a fresh filmmaking talent in writer - director Boots Riley . '' On Metacritic , which assigns a normalized rating to reviews , the film has a weighted average score of 81 out of 100 , based on 47 critics , indicating `` universal acclaim '' . Audiences polled by PostTrak gave the film an 84 % overall positive score and a 72 % `` definite recommend '' .   Josiah Hughes from Exclaim ! gave the film a rating of 9 / 10 , saying `` Sorry to Bother You belongs to a rich tradition of satires , falling in line with everything from Putney Swope to Pootie Tang to Idiocracy to UHF . Bright , loud , audacious and endlessly fun , Sorry to Bother You is one giant , beautiful middle finger of a debut . ''   Conversely , some critics chided the film for not passing the Bechdel test ( a metric determining whether a film features at least two women who talk to each other about something other than a man ) , and compared Thompson 's character Detroit to a Manic Pixie Dream Girl . Riley responded to the criticism by conceding that while the film did not pass the Bechdel test , Detroit had her own agency . `` I will put Detroit up against most of the movies that do pass the Bechdel test and will confidently say that most of them will not have a character close to as radical or feminist as she is . ''   See also ( edit )    List of black films of the 2010s    References ( edit )    Jump up ^ `` Sorry to Bother You '' . Sundance Film Festival . The Sundance Institute . Retrieved December 13 , 2017 .   Jump up ^ Phillips , Michael ( July 10 , 2018 ) . `` Boots Riley goes from ' musician with a script ' to potential hitmaker with ' Sorry to Bother You ' '' . Chicago Tribune . Retrieved July 21 , 2018 .   Jump up ^ `` Sorry to Bother You ( 2018 ) '' . Box Office Mojo . IMDb . Retrieved August 26 , 2018 .   Jump up ^ Gross , Terry ( July 2 , 2018 ) . `` Boots Riley Mines His Experiences as a Telemarketer in ' Sorry to Bother You ' '' . Fresh Air . National Public Radio . Retrieved July 3 , 2018 .   Jump up ^ Riley , Boots ( 2014 ) . `` Sorry to Bother You '' . McSweeney 's Issue 48 . McSweeney 's Quarterly Concern . San Francisco : McSweeney 's . ISBN 9781940450087 .   Jump up ^ Busch , Anita ( June 15 , 2017 ) . `` Tessa Thompson , Lakeith Stanfield , Steven Yeun To Star In ' Sorry To Bother You ' '' . Deadline Hollywood . Penske Media Corporation . Retrieved June 27 , 2017 .   Jump up ^ Busch , Anita ( June 21 , 2017 ) . `` Armie Hammer Joins Feature Drama ' Sorry To Bother You ' '' . Deadline Hollywood . Penske Media Corporation . Retrieved June 27 , 2017 .   Jump up ^ N'Duka , Amanda ( June 22 , 2017 ) . `` ' Superior Donuts ' Star Jermaine Fowler Cast In ' Sorry To Bother You ' '' . Deadline Hollywood . Penske Media Corporation . Retrieved June 27 , 2017 .   Jump up ^ Busch , Anita ( June 27 , 2017 ) . `` ' Power ' Star Omari Hardwick &amp; Terry Crews Join Boots Riley 's ' Sorry To Bother You ' '' . Deadline Hollywood . Penske Media Corporation . Retrieved June 27 , 2017 .   Jump up ^ Busch , Anita ( July 26 , 2017 ) . `` Danny Glover , David Cross And Patton Oswalt Join ' Sorry To Bother You ' '' . Deadline Hollywood . Penske Media Corporation . Retrieved July 26 , 2017 .   Jump up ^ Riley , Boots ( July 26 , 2017 ) . `` Boom All this amazing talent coming together to make Sorry To Bother You fly . You 've never seen a movie like this . The cast is : Lakeith Stanfield , Tessa Thompson , Armie Hammer , Steven Yeun , Omari Hardwick , Danny Glover , Patton Oswalt , David Cross , Jermaine Fowler , Terry Crews , Kate Berlant , Robert Longstreet , and Michael Sommers '' . Instagram . Retrieved July 26 , 2017 .   Jump up ^ Democracy Now ! ( 2018 - 07 - 17 ) , Boots Riley on How His Hit Movie `` Sorry to Bother You '' Slams Capitalism &amp; Offers Solutions , retrieved 2018 - 07 - 26   Jump up ^ Democracy Now ! ( 2018 - 07 - 17 ) , Boots Riley on How His Hit Movie `` Sorry to Bother You '' Slams Capitalism &amp; Offers Solutions , retrieved 2018 - 07 - 26   Jump up ^ `` Boots Riley on Twitter '' . Twitter . Retrieved 2018 - 07 - 26 .   Jump up ^ IMDb ( 2018 - 07 - 05 ) , IMDb Show Interview with ' Sorry to Bother You ' Director Boots Riley and Star Lakeith Stanfield , retrieved 2018 - 07 - 26   Jump up ^ Boots Riley On Why You HAVE To Watch ' Sorry To Bother You ' , &amp; Using Your ' White Voice ' , retrieved 2018 - 07 - 26   Jump up ^ Morrison , Patt . `` Boots Riley on power , organizing and who really runs the country . ( Hint : It 's not Trump ) '' . latimes.com . Retrieved 2018 - 07 - 26 .   Jump up ^ `` Boots Riley on How His Hit Movie `` Sorry to Bother You '' Slams Capitalism &amp; Offers Solutions `` . Democracy Now ! . Retrieved 2018 - 07 - 26 .   Jump up ^ `` Boots Riley of The Coup ... on Communism , Corporatism , hip - hop , and the need to beat down scabs '' . Mark Maynard . Retrieved 2018 - 07 - 26 .   Jump up ^ Democracy Now ! ( 2018 - 07 - 17 ) , Boots Riley on How His Hit Movie `` Sorry to Bother You '' Slams Capitalism &amp; Offers Solutions , retrieved 2018 - 07 - 26   Jump up ^ `` 2018 Sundance Film Festival : Feature Films Announced '' . Sundance Film Festival . The Sundance Institute . November 29 , 2017 . Retrieved November 29 , 2017 .   Jump up ^ `` Sundance Program Schedule '' ( PDF ) . Sundance Film Festival . The Sundance Institute . Retrieved December 14 , 2017 .   Jump up ^ Lang , Brent ( January 25 , 2018 ) . `` Sundance : Annapurna Buys ' Sorry to Bother You ' '' . Variety . Penske Media Corporation . Retrieved January 25 , 2018 .   Jump up ^ `` Sorry to Bother You '' . SXSW Schedule . South by Southwest . Retrieved February 14 , 2018 .   Jump up ^ D'Alessandro , Anthony ( February 9 , 2018 ) . `` Annapurna Dates Films By Adam McKay , Babak Anvari &amp; Sundance Acquisition ' Sorry To Bother You ' '' . Deadline Hollywood . Penske Media Corporation . Retrieved February 9 , 2018 .   Jump up ^ Riley , Boots ( @ BootsRiley ) ( March 9 , 2018 ) . `` New release dates for Sorry To Bother You are as follows : July 6th in select cities . July 27th in every damn city in the United States . Stay tuned for international release schedule '' ( Tweet ) . Retrieved March 9 , 2018 -- via Twitter .   ^ Jump up to : D'Alessandro , Anthony ( July 8 , 2018 ) . `` ' Ant - Man And The Wasp ' Shrinks A Tick To $76 M+ Opening , But Still 34 % Bigger Than Original -- Early Sunday Read '' . Deadline Hollywood . Penske Business Media . Retrieved July 8 , 2018 .   Jump up ^ D'Alessandro , Anthony ( July 11 , 2018 ) . `` ' Hotel Transylvania 3 ' &amp; Dwayne Johnson 's ' Skyscraper ' Vie For Prime Box Office Real Estate '' . Deadline Hollywood . Penske Business Media . Retrieved July 11 , 2018 .   Jump up ^ D'Alessandro , Anthony ( July 15 , 2018 ) . `` Why Dwayne Johnson Pic ' Skyscraper ' Went Up In Flames At The B.O. With $25 M + '' . Deadline Hollywood . Penske Business Media . Retrieved July 15 , 2018 .   Jump up ^ D'Alessandro , Anthony ( July 22 , 2018 ) . `` Shocker : ' Mamma Mia 2 ' Meets B.O. Waterloo As ' Equalizer 2 ' Is The No. 1 Winner That Takes It All With $35 M + '' . Deadline Hollywood . Penske Business Media . Retrieved July 22 , 2018 .   Jump up ^ `` Sorry to Bother You ( 2018 ) '' . Rotten Tomatoes . Fandango Media . Retrieved July 19 , 2018 .   Jump up ^ `` Sorry to Bother You Reviews '' . Metacritic . CBS Interactive . Retrieved July 5 , 2018 .   Jump up ^ Hughes , Josiah ( January 22 , 2018 ) . `` Sorry to Bother You '' . Exclaim ! . Retrieved July 11 , 2018 .   ^ Jump up to : `` Boots Riley Defends Tessa Thompson 's Sorry to Bother You Character : ' Detroit Is Not a Prize ' '' . Vulture. 2018 - 08 - 09 . Retrieved 2018 - 08 - 11 .    Further reading ( edit )    Weiner , Jonah ( May 22 , 2018 ) . `` How Boots Riley Infiltrated Hollywood '' . The New York Times Magazine . The New York Times Company .    External links ( edit )    Sorry to Bother You on IMDb   Retrieved from `` https://en.wikipedia.org/w/index.php?title=Sorry_to_Bother_You_(film)&amp;oldid=856829193 '' Categories :   2018 films   English - language films   American films   American comedy films   American fantasy films   American science fiction films   American satirical films   American black comedy films   American fantasy - comedy films   American comedy science fiction films   Directorial debut films   Films about horses   Films about the labor movement   Films about shapeshifting   Films set in Oakland , California   Films shot in California   Annapurna Pictures films   African - American films   Media portrayals of the working class           Talk                                           Contents                   About Wikipedia                                           Deutsch   Español   Français   </t>
    </r>
    <r>
      <rPr>
        <sz val="11"/>
        <color rgb="FF000000"/>
        <rFont val="Noto Sans CJK SC"/>
        <family val="2"/>
      </rPr>
      <t xml:space="preserve">한국어   </t>
    </r>
    <r>
      <rPr>
        <sz val="11"/>
        <color rgb="FF000000"/>
        <rFont val="Calibri"/>
        <family val="0"/>
        <charset val="1"/>
      </rPr>
      <t xml:space="preserve">Italiano   Nederlands   </t>
    </r>
    <r>
      <rPr>
        <sz val="11"/>
        <color rgb="FF000000"/>
        <rFont val="Noto Sans CJK SC"/>
        <family val="2"/>
      </rPr>
      <t xml:space="preserve">日本 語   </t>
    </r>
    <r>
      <rPr>
        <sz val="11"/>
        <color rgb="FF000000"/>
        <rFont val="Calibri"/>
        <family val="0"/>
        <charset val="1"/>
      </rPr>
      <t xml:space="preserve">Português   Edit links   This page was last edited on 27 August 2018 , at 19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</si>
  <si>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does the voices in sorry to bother you</t>
  </si>
  <si>
    <t xml:space="preserve">  Lakeith Stanfield as Cassius `` Cash '' Green   David Cross as Cash 's `` white voice ''   Mahari Crown as Fake Cash     Tessa Thompson as Detroit , Cash 's girlfriend   Lily James as Detroit 's white voice     Jermaine Fowler as Salvador   Omari Hardwick as Mr. _______   Patton Oswalt as Mr. _______ 's white voice     Terry Crews as Sergio Green , Cash 's uncle   Danny Glover as Langston   Steven Yeun as Squeeze   Armie Hammer as Steve Lift   Kate Berlant as Diana DeBauchery   Michael X . Sommers as Johnny   Robert Longstreet as Anderson   Forest Whitaker as First Equisapien / Demarius   Rosario Dawson as Voice in Elevator   Tom Woodruff Jr. as Equisapien  </t>
  </si>
  <si>
    <t xml:space="preserve">Jewellery - wikipedia  Jewellery  Jump to : navigation , search This article is about decorative wear . For the Korean band , see Jewelry ( band ) . Amber pendants Diamond temptation design  Jewellery ( British English ) or jewelry ( American English ) consists of small decorative items worn for personal adornment , such as brooches , rings , necklaces , earrings , pendants and bracelets . Jewellery may be attached to the body or the clothes , and the term is restricted to durable ornaments , excluding flowers for example . For many centuries metal , often combined with gemstones , has been the normal material for jewellery , but other materials such as shells and other plant materials may be used . It is one of the oldest type of archaeological artefact -- with 100,000 - year - old beads made from Nassarius shells thought to be the oldest known jewellery . The basic forms of jewellery vary between cultures but are often extremely long - lived ; in European cultures the most common forms of jewellery listed above have persisted since ancient times , while other forms such as adornments for the nose or ankle , important in other cultures , are much less common .  The Daria - i - Noor ( meaning : Sea of Light ) Diamond from the collection of the national jewels of Iran at Central Bank of Islamic Republic of Iran  Jewellery may be made from a wide range of materials . Gemstones and similar materials such as amber and coral , precious metals , beads , and shells have been widely used , and enamel has often been important . In most cultures jewellery can be understood as a status symbol , for its material properties , its patterns , or for meaningful symbols . Jewellery has been made to adorn nearly every body part , from hairpins to toe rings , and even genital jewellery . The patterns of wearing jewellery between the sexes , and by children and older people can vary greatly between cultures , but adult women have been the most consistent wearers of jewellery ; in modern European culture the amount worn by adult males is relatively low compared with other cultures and other periods in European culture .   The word jewellery itself is derived from the word jewel , which was anglicised from the Old French `` jouel '' , and beyond that , to the Latin word `` jocale '' , meaning plaything . In British English , Indian English , New Zealand English , Hiberno - English , Australian English , and South African English it is spelled jewellery , while the spelling is jewelry in American English . Both are used in Canadian English , though jewelry prevails by a two to one margin . In French and a few other European languages the equivalent term , joaillerie there , may also cover decorated metalwork in precious metal such as objets d'art and church items , not just objects worn on the person .   Contents  ( hide )   1 Form and function   2 Materials and methods   2.1 Diamonds   2.2 Other gemstones   2.3 Metal finishes     3 Impact on society   4 History   4.1 Prehistory   4.1. 1 Egypt     4.2 Europe and the Middle East   4.2. 1 Mesopotamia   4.2. 2 Greece   4.2. 3 Rome   4.2. 4 Middle Ages   4.2. 5 Renaissance   4.2. 6 Romanticism   4.2. 7 18th Century / Romanticism / Renaissance   4.2. 8 Art Nouveau   4.2. 9 Art Deco     4.3 Asia   4.3. 1 China   4.3. 2 Indian subcontinent     4.4 North and South America   4.5 Native American   4.6 Pacific     5 Modern   6 Masonic   7 Body modification   8 Jewellery market   9 See also   10 References   11 Further reading   12 External links    Form and function ( edit )  Kenyan man wearing tribal beads  Humans have used jewellery for a number of different reasons :    functional , generally to fix clothing or hair in place , or to tell the time ( in the case of watches )   as a marker of social status and personal status , as with a wedding ring   as a signifier of some form of affiliation , whether ethnic , religious or social   to provide talismanic protection ( in the form of amulets )   as an artistic display   as a carrier or symbol of personal meaning -- such as love , mourning , or even luck    Most cultures at some point have had a practice of keeping large amounts of wealth stored in the form of jewellery . Numerous cultures store wedding dowries in the form of jewellery or make jewellery as a means to store or display coins . Alternatively , jewellery has been used as a currency or trade good ; an example being the use of slave beads .   Many items of jewellery , such as brooches and buckles , originated as purely functional items , but evolved into decorative items as their functional requirement diminished .   Jewellery can also symbolise group membership ( as in the case , of the Christian crucifix or the Jewish Star of David ) or status ( as in the case of chains of office , or the Western practice of married people wearing wedding rings ) .   Wearing of amulets and devotional medals to provide protection or ward off evil is common in some cultures . These may take the form of symbols ( such as the ankh ) , stones , plants , animals , body parts ( such as the Khamsa ) , or glyphs ( such as stylised versions of the Throne Verse in Islamic art ) .   Materials and methods ( edit )   In creating jewellery , gemstones , coins , or other precious items are often used , and they are typically set into precious metals . Alloys of nearly every metal known have been encountered in jewellery . Bronze , for example , was common in Roman times . Modern fine jewellery usually includes gold , white gold , platinum , palladium , titanium , or silver . Most contemporary gold jewellery is made of an alloy of gold , the purity of which is stated in karats , indicated by a number followed by the letter K. American gold jewellery must be of at least 10K purity ( 41.7 % pure gold ) , ( though in the UK the number is 9K ( 37.5 % pure gold ) and is typically found up to 18K ( 75 % pure gold ) . Higher purity levels are less common with alloys at 22 K ( 91.6 % pure gold ) , and 24 K ( 99.9 % pure gold ) being considered too soft for jewellery use in America and Europe . These high purity alloys , however , are widely used across Asia , the Middle East and Africa . Platinum alloys range from 900 ( 90 % pure ) to 950 ( 95.0 % pure ) . The silver used in jewellery is usually sterling silver , or 92.5 % fine silver . In costume jewellery , stainless steel findings are sometimes used .  Bead embroidery design .  Other commonly used materials include glass , such as fused - glass or enamel ; wood , often carved or turned ; shells and other natural animal substances such as bone and ivory ; natural clay ; polymer clay ; Hemp and other twines have been used as well to create jewellery that has more of a natural feel . However , any inclusion of lead or lead solder will give an English Assay office ( the building which gives English jewellery its stamp of approval , the Hallmark ) the right to destroy the piece , however it is very rare for the assay office to do so .   Beads are frequently used in jewellery . These may be made of glass , gemstones , metal , wood , shells , clay and polymer clay . Beaded jewellery commonly encompasses necklaces , bracelets , earrings , belts and rings . Beads may be large or small ; the smallest type of beads used are known as seed beads , these are the beads used for the `` woven '' style of beaded jewellery . Another use of seed beads is an embroidery technique where seed beads are sewn onto fabric backings to create broad collar neck pieces and beaded bracelets . Bead embroidery , a popular type of handwork during the Victorian era , is enjoying a renaissance in modern jewellery making . Beading , or beadwork , is also very popular in many African and indigenous North American cultures .   Silversmiths , goldsmiths , and lapidaries methods include forging , casting , soldering or welding , cutting , carving and `` cold - joining '' ( using adhesives , staples and rivets to assemble parts ) .   Diamonds ( edit )  Diamonds Main article : Diamond  Diamonds were first mined in India . Pliny may have mentioned them , although there is some debate as to the exact nature of the stone he referred to as Adamas ; In 2005 , Australia , Botswana , Russia and Canada ranked among the primary sources of gemstone diamond production . There are negative consequences of the diamond trade in certain areas . Diamonds mined during the recent civil wars in Angola , Ivory Coast , Sierra Leone , and other nations have been labelled as blood diamonds when they are mined in a war zone and sold to finance an insurgency .   The British crown jewels contain the Cullinan Diamond , part of the largest gem - quality rough diamond ever found ( 1905 ) , at 3,106.75 carats ( 621.35 g ) .   Now popular in engagement rings , this usage dates back to the marriage of Maximilian I to Mary of Burgundy in 1477 .   Other gemstones ( edit )  Main article : Gemstone  Many precious and semiprecious stones are used for jewellery . Among them are :    Amber   Amber , an ancient organic gemstone , is composed of tree resin that has hardened over time . The stone must be at least one million years old to be classified as amber , and some amber can be up to 120 million years old .   Amethyst   Amethyst has historically been the most prized gemstone in the quartz family . It is treasured for its purple hue , which can range in tone from light to dark .   Spanish emerald and gold pendant at Victoria and Albert Museum .   Emerald   Emeralds are one of the three main precious gemstones ( along with rubies and sapphires ) and are known for their fine green to bluish green colour . They have been treasured throughout history , and some historians report that the Egyptians mined emerald as early as 3500 BC .   Jade   Jade is most commonly associated with the colour green but can come in a number of other colours as well . Jade is closely linked to Asian culture , history , and tradition , and is sometimes referred to as the stone of heaven .   Jasper   Jasper is a gemstone of the chalcedony family that comes in a variety of colours . Often , jasper will feature unique and interesting patterns within the coloured stone . Picture jasper is a type of jasper known for the colours ( often beiges and browns ) and swirls in the stone 's pattern .   Quartz   Quartz refers to a family of crystalline gemstones of various colours and sizes . Among the well - known types of quartz are rose quartz ( which has a delicate pink colour ) , and smoky quartz ( which comes in a variety of shades of translucent brown ) . A number of other gemstones , such as Amethyst and Citrine , are also part of the quartz family . Rutilated quartz is a popular type of quartz containing needle - like inclusions .   Ruby   Rubies are known for their intense red colour and are among the most highly valued precious gemstones . Rubies have been treasured for millennia . In Sanskrit , the word for ruby is ratnaraj , meaning king of precious stones .   Sapphire   The most popular form of sapphire is blue sapphire , which is known for its medium to deep blue colour and strong saturation . Fancy sapphires of various colours are also available . In the United States , blue sapphire tends to be the most popular and most affordable of the three major precious gemstones ( emerald , ruby , and sapphire ) .   Turquoise   Turquoise is found in only a few places on earth , and the world 's largest turquoise producing region is the southwest United States . Turquoise is prized for its attractive colour , most often an intense medium blue or a greenish blue , and its ancient heritage . Turquoise is used in a great variety of jewellery styles . It is perhaps most closely associated with southwest and Native American jewellery , but it is also used in many sleek , modern styles . Some turquoise contains a matrix of dark brown markings , which provides an interesting contrast to the gemstone 's bright blue colour .    Some gemstones ( like pearls , coral , and amber ) are classified as organic , meaning that they are produced by living organisms . Others are inorganic , meaning that they are generally composed of and arise from minerals .   Some gems , for example , amethyst , have become less valued as methods of extracting and importing them have progressed . Some man - made gems can serve in place of natural gems , such as cubic zirconia , which can be used in place of diamond .   Metal finishes ( edit )  An example of gold plated jewellery  For platinum , gold , and silver jewellery , there are many techniques to create finishes . The most common are high - polish , satin / matte , brushed , and hammered . High - polished jewellery is the most common and gives the metal a highly reflective , shiny look . Satin , or matte finish reduces the shine and reflection of the jewellery , and this is commonly used to accentuate gemstones such as diamonds . Brushed finishes give the jewellery a textured look and are created by brushing a material ( similar to sandpaper ) against the metal , leaving `` brush strokes '' . Hammered finishes are typically created by using a rounded steel hammer and hammering the jewellery to give it a wavy texture .   Some jewellery is plated to give it a shiny , reflective look or to achieve a desired colour . Sterling silver jewellery may be plated with a thin layer of 0.999 fine silver ( a process known as flashing ) or may be plated with rhodium or gold . Base metal costume jewellery may also be plated with silver , gold , or rhodium for a more attractive finish .   Impact on society ( edit )   Jewellery has been used to denote status . In ancient Rome , only certain ranks could wear rings ; later , sumptuary laws dictated who could wear what type of jewellery . This was also based on rank of the citizens of that time . Cultural dictates have also played a significant role . For example , the wearing of earrings by Western men was considered effeminate in the 19th century and early 20th century . More recently , the display of body jewellery , such as piercings , has become a mark of acceptance or seen as a badge of courage within some groups but is completely rejected in others . Likewise , hip hop culture has popularised the slang term bling - bling , which refers to ostentatious display of jewellery by men or women .   Conversely , the jewellery industry in the early 20th century launched a campaign to popularise wedding rings for men , which caught on , as well as engagement rings for men , which did not , going so far as to create a false history and claim that the practice had medieval roots . By the mid-1940s , 85 % of weddings in the U.S. featured a double - ring ceremony , up from 15 % in the 1920s . Religion has also played a role in societies influence . Islam , for instance , considers the wearing of gold by men as a social taboo , and many religions have edicts against excessive display . In Christianity , the New Testament gives injunctions against the wearing of gold , in the writings of the apostles Paul and Peter . In Revelation 17 , `` the great whore '' or false religious system , is depicted as being `` decked with gold and precious stones and pearls , having a golden cup in her hand . '' ( Rev. 17 : 4 ) For Muslims it is considered haraam for a man to wear gold .   History ( edit )   The history of jewellery is long and goes back many years , with many different uses among different cultures . It has endured for thousands of years and has provided various insights into how ancient cultures worked .   Prehistory ( edit )   The first signs of jewellery came from the people in Africa . Perforated beads suggesting shell jewellery made from sea snail shells have been found dating to 75,000 years ago at Blombos Cave . In Kenya , at Enkapune Ya Muto , beads made from perforated ostrich egg shells have been dated to more than 40,000 years ago . In Russia , a stone bracelet and marble ring are attributed to a similar age .   Later , the European early modern humans had crude necklaces and bracelets of bone , teeth , berries , and stone hung on pieces of string or animal sinew , or pieces of carved bone used to secure clothing together . In some cases , jewellery had shell or mother - of - pearl pieces . A decorated engraved pendant dating to around 11,000 BC , and thought to be the oldest Mesolithic art in Britain , was found at the site of Star Carr in North Yorkshire in 2015 . In southern Russia , carved bracelets made of mammoth tusk have been found . The Venus of Hohle Fels features a perforation at the top , showing that it was intended to be worn as a pendant .   Around seven - thousand years ago , the first sign of copper jewellery was seen . In October 2012 the Museum of Ancient History in Lower Austria revealed that they had found a grave of a female jewellery worker -- forcing archaeologists to take a fresh look at prehistoric gender roles after it appeared to be that of a female fine metal worker -- a profession that was previously thought to have been carried out exclusively by men .  Egypt ( edit ) Amulet pendant ( 1254 BC ) made from gold , lapis lazuli , turquoise and carnelian , 14 cm wide . An Egyptian 18th dynasty pharaonic era princess ' crown .  The first signs of established jewellery making in Ancient Egypt was around 3,000 -- 5,000 years ago . The Egyptians preferred the luxury , rarity , and workability of gold over other metals . In Predynastic Egypt jewellery soon began to symbolise political and religious power in the community . Although it was worn by wealthy Egyptians in life , it was also worn by them in death , with jewellery commonly placed among grave goods .   In conjunction with gold jewellery , Egyptians used coloured glass , along with semi-precious gems . The colour of the jewellery had significance . Green , for example , symbolised fertility . Lapis lazuli and silver had to be imported from beyond the country 's borders .   Egyptian designs were most common in Phoenician jewellery . Also , ancient Turkish designs found in Persian jewellery suggest that trade between the Middle East and Europe was not uncommon . Women wore elaborate gold and silver pieces that were used in ceremonies .   Europe and the Middle East ( edit )  Mesopotamia ( edit ) Pair of Gold Hair Ornaments , Mesopotamian , circa 2000 BC ( Isin - larsa period ) . Decorated with granulation and cloisonné . Walters Art Museum collections .  By approximately 5,000 years ago , jewellery - making had become a significant craft in the cities of Mesopotamia . The most significant archaeological evidence comes from the Royal Cemetery of Ur , where hundreds of burials dating 2900 -- 2300 BC were unearthed ; tombs such as that of Puabi contained a multitude of artefacts in gold , silver , and semi-precious stones , such as lapis lazuli crowns embellished with gold figurines , close - fitting collar necklaces , and jewel - headed pins . In Assyria , men and women both wore extensive amounts of jewellery , including amulets , ankle bracelets , heavy multi-strand necklaces , and cylinder seals .   Jewellery in Mesopotamia tended to be manufactured from thin metal leaf and was set with large numbers of brightly coloured stones ( chiefly agate , lapis , carnelian , and jasper ) . Favoured shapes included leaves , spirals , cones , and bunches of grapes . Jewellers created works both for human use and for adorning statues and idols . They employed a wide variety of sophisticated metalworking techniques , such as cloisonné , engraving , fine granulation , and filigree .   Extensive and meticulously maintained records pertaining to the trade and manufacture of jewellery have also been unearthed throughout Mesopotamian archaeological sites . One record in the Mari royal archives , for example , gives the composition of various items of jewellery :    1 necklace of flat speckled chalcedony beads including : 34 flat speckled chalcedony bead , ( and ) 35 gold fluted beads , in groups of five .   1 necklace of flat speckled chalcedony beads including : 39 flat speckled chalcedony beads , ( with ) 41 fluted beads in a group that make up the hanging device .   1 necklace with rounded lapis lazuli beads including : 28 rounded lapis lazuli beads , ( and ) 29 fluted beads for its clasp .   Greece ( edit ) Gold earring from Mycenae , 16th century BC . Gold Wreath  The Greeks started using gold and gems in jewellery in 1600 BC , although beads shaped as shells and animals were produced widely in earlier times . Around 1500 BC , the main techniques of working gold in Greece included casting , twisting bars , and making wire . Many of these sophisticated techniques were popular in the Mycenaean period , but unfortunately this skill was lost at the end of the Bronze Age . The forms and shapes of jewellery in ancient Greece such as the armring ( 13th century BC ) , brooch ( 10th century BC ) and pins ( 7th century BC ) , have varied widely since the Bronze Age as well . Other forms of jewellery include wreaths , earrings , necklace and bracelets . A good example of the high quality that gold working techniques could achieve in Greece is the ' Gold Olive Wreath ' ( 4th century BC ) , which is modeled on the type of wreath given as a prize for winners in athletic competitions like the Olympic Games . Jewellery dating from 600 to 475 BC is not well represented in the archaeological record , but after the Persian wars the quantity of jewellery again became more plentiful . One particularly popular type of design at this time was a bracelet decorated with snake and animal - heads Because these bracelets used considerably more metal , many examples were made from bronze . By 300 BC , the Greeks had mastered making coloured jewellery and using amethysts , pearl , and emeralds . Also , the first signs of cameos appeared , with the Greeks creating them from Indian Sardonyx , a striped brown pink and cream agate stone . Greek jewellery was often simpler than in other cultures , with simple designs and workmanship . However , as time progressed , the designs grew in complexity and different materials were soon used .  Pendant with naked woman , made from electrum , Rhodes , around 630 -- 620 BC .  Jewellery in Greece was hardly worn and was mostly used for public appearances or on special occasions . It was frequently given as a gift and was predominantly worn by women to show their wealth , social status , and beauty . The jewellery was often supposed to give the wearer protection from the `` Evil Eye '' or endowed the owner with supernatural powers , while others had a religious symbolism . Older pieces of jewellery that have been found were dedicated to the Gods .  Ancient Greek jewellery from 300 BC .  They worked two styles of pieces : cast pieces and pieces hammered out of sheet metal . Fewer pieces of cast jewellery have been recovered . It was made by casting the metal onto two stone or clay moulds . The two halves were then joined together , and wax , followed by molten metal , was placed in the centre . This technique had been practised since the late Bronze Age . The more common form of jewellery was the hammered sheet type . Sheets of metal would be hammered to thickness and then soldered together . The inside of the two sheets would be filled with wax or another liquid to preserve the metal work . Different techniques , such as using a stamp or engraving , were then used to create motifs on the jewellery . Jewels may then be added to hollows or glass poured into special cavities on the surface . The Greeks took much of their designs from outer origins , such as Asia , when Alexander the Great conquered part of it . In earlier designs , other European influences can also be detected . When Roman rule came to Greece , no change in jewellery designs was detected . However , by 27 BC , Greek designs were heavily influenced by the Roman culture . That is not to say that indigenous design did not thrive . Numerous polychrome butterfly pendants on silver foxtail chains , dating from the 1st century , have been found near Olbia , with only one example ever found anywhere else .  These Hellenistic bracelets from the 1st century BC show the influence of Eastern cultures . Walters Art Museum , Baltimore . Hexagonal gold pendant with double solidus of Constantine the Great , one of a set of four that date from 321 AD ( British Museum ) Rome ( edit ) Roman Amethyst intaglio engraved gem , c. 212 AD ; later regarded as of St. Peter .  Although jewellery work was abundantly diverse in earlier times , especially among the barbarian tribes such as the Celts , when the Romans conquered most of Europe , jewellery was changed as smaller factions developed the Roman designs . The most common artefact of early Rome was the brooch , which was used to secure clothing together . The Romans used a diverse range of materials for their jewellery from their extensive resources across the continent . Although they used gold , they sometimes used bronze or bone , and in earlier times , glass beads &amp; pearl . As early as 2,000 years ago , they imported Sri Lankan sapphires and Indian diamonds and used emeralds and amber in their jewellery . In Roman - ruled England , fossilised wood called jet from Northern England was often carved into pieces of jewellery . The early Italians worked in crude gold and created clasps , necklaces , earrings , and bracelets . They also produced larger pendants that could be filled with perfume .   Like the Greeks , often the purpose of Roman jewellery was to ward off the `` Evil Eye '' given by other people . Although women wore a vast array of jewellery , men often only wore a finger ring . Although they were expected to wear at least one ring , some Roman men wore a ring on every finger , while others wore none . Roman men and women wore rings with an engraved gem on it that was used with wax to seal documents , a practice that continued into medieval times when kings and noblemen used the same method . After the fall of the Roman Empire , the jewellery designs were absorbed by neighbouring countries and tribes .  Middle Ages ( edit ) Merovingian fibulae , Bibliothèque nationale de France . 6th century bronze eagle - shaped Visigothic cloisonné fibula from Guadalajara , Spain , using glass - paste fillings in imitation of garnets .  Post-Roman Europe continued to develop jewellery making skills . The Celts and Merovingians in particular are noted for their jewellery , which in terms of quality matched or exceeded that of Byzantium . Clothing fasteners , amulets , and , to a lesser extent , signet rings , are the most common artefacts known to us . A particularly striking Celtic example is the Tara Brooch . The Torc was common throughout Europe as a symbol of status and power . By the 8th century , jewelled weaponry was common for men , while other jewellery ( with the exception of signet rings ) seemed to become the domain of women . Grave goods found in a 6th -- 7th century burial near Chalon - sur - Saône are illustrative . A young girl was buried with : 2 silver fibulae , a necklace ( with coins ) , bracelet , gold earrings , a pair of hair - pins , comb , and buckle . The Celts specialised in continuous patterns and designs , while Merovingian designs are best known for stylised animal figures . They were not the only groups known for high quality work . Note the Visigoth work shown here , and the numerous decorative objects found at the Anglo - Saxon Ship burial at Sutton Hoo Suffolk , England are a particularly well - known example . On the continent , cloisonné and garnet were perhaps the quintessential method and gemstone of the period .  Byzantine wedding ring .  The Eastern successor of the Roman Empire , the Byzantine Empire , continued many of the methods of the Romans , though religious themes came to predominate . Unlike the Romans , the Franks , and the Celts , however , Byzantium used light - weight gold leaf rather than solid gold , and more emphasis was placed on stones and gems . As in the West , Byzantine jewellery was worn by wealthier females , with male jewellery apparently restricted to signet rings . Woman 's jewellery had some peculiarities like kolts that decorated headband . Like other contemporary cultures , jewellery was commonly buried with its owner .  Renaissance ( edit ) Sardonyx cameo .  The Renaissance and exploration both had significant impacts on the development of jewellery in Europe . By the 17th century , increasing exploration and trade led to increased availability of a wide variety of gemstones as well as exposure to the art of other cultures . Whereas prior to this the working of gold and precious metal had been at the forefront of jewellery , this period saw increasing dominance of gemstones and their settings . An example of this is the Cheapside Hoard , the stock of a jeweller hidden in London during the Commonwealth period and not found again until 1912 . It contained Colombian emerald , topaz , amazonite from Brazil , spinel , iolite , and chrysoberyl from Sri Lanka , ruby from India , Afghan lapis lazuli , Persian turquoise , Red Sea peridot , as well as Bohemian and Hungarian opal , garnet , and amethyst . Large stones were frequently set in box - bezels on enamelled rings . Notable among merchants of the period was Jean - Baptiste Tavernier , who brought the precursor stone of the Hope Diamond to France in the 1660s .   When Napoleon Bonaparte was crowned as Emperor of the French in 1804 , he revived the style and grandeur of jewellery and fashion in France . Under Napoleon 's rule , jewellers introduced parures , suites of matching jewellery , such as a diamond tiara , diamond earrings , diamond rings , a diamond brooch , and a diamond necklace . Both of Napoleon 's wives had beautiful sets such as these and wore them regularly . Another fashion trend resurrected by Napoleon was the cameo . Soon after his cameo decorated crown was seen , cameos were highly sought . The period also saw the early stages of costume jewellery , with fish scale covered glass beads in place of pearls or conch shell cameos instead of stone cameos . New terms were coined to differentiate the arts : jewellers who worked in cheaper materials were called bijoutiers , while jewellers who worked with expensive materials were called joailliers , a practice which continues to this day .  Romanticism ( edit ) Mourning jewellery in the form of a jet brooch , 19th century .  Starting in the late 18th century , Romanticism had a profound impact on the development of western jewellery . Perhaps the most significant influences were the public 's fascination with the treasures being discovered through the birth of modern archaeology and a fascination with Medieval and Renaissance art . Changing social conditions and the onset of the Industrial Revolution also led to growth of a middle class that wanted and could afford jewellery . As a result , the use of industrial processes , cheaper alloys , and stone substitutes led to the development of paste or costume jewellery . Distinguished goldsmiths continued to flourish , however , as wealthier patrons sought to ensure that what they wore still stood apart from the jewellery of the masses , not only through use of precious metals and stones but also though superior artistic and technical work . One such artist was the French goldsmith François - Désiré Froment - Meurice . A category unique to this period and quite appropriate to the philosophy of romanticism was mourning jewellery . It originated in England , where Queen Victoria was often seen wearing jet jewellery after the death of Prince Albert , and it allowed the wearer to continue wearing jewellery while expressing a state of mourning at the death of a loved one .   In the United States , this period saw the founding in 1837 of Tiffany &amp; Co. by Charles Lewis Tiffany . Tiffany 's put the United States on the world map in terms of jewellery and gained fame creating dazzling commissions for people such as the wife of Abraham Lincoln . Later , it would gain popular notoriety as the setting of the film Breakfast at Tiffany 's . In France , Pierre Cartier founded Cartier SA in 1847 , while 1884 saw the founding of Bulgari in Italy . The modern production studio had been born and was a step away from the former dominance of individual craftsmen and patronage .   This period also saw the first major collaboration between East and West . Collaboration in Pforzheim between German and Japanese artists led to Shakudō plaques set into Filigree frames being created by the Stoeffler firm in 1885 ) . Perhaps the grand finalé -- and an appropriate transition to the following period -- were t</t>
  </si>
  <si>
    <t xml:space="preserve">when was the first piece of jewelry made</t>
  </si>
  <si>
    <t xml:space="preserve"> Jewellery ( British English ) or jewelry ( American English ) consists of small decorative items worn for personal adornment , such as brooches , rings , necklaces , earrings , pendants and bracelets . Jewellery may be attached to the body or the clothes , and the term is restricted to durable ornaments , excluding flowers for example . For many centuries metal , often combined with gemstones , has been the normal material for jewellery , but other materials such as shells and other plant materials may be used . It is one of the oldest type of archaeological artefact -- with 100,000 - year - old beads made from Nassarius shells thought to be the oldest known jewellery . The basic forms of jewellery vary between cultures but are often extremely long - lived ; in European cultures the most common forms of jewellery listed above have persisted since ancient times , while other forms such as adornments for the nose or ankle , important in other cultures , are much less common . </t>
  </si>
  <si>
    <r>
      <rPr>
        <sz val="11"/>
        <color rgb="FF000000"/>
        <rFont val="Calibri"/>
        <family val="0"/>
        <charset val="1"/>
      </rPr>
      <t xml:space="preserve">Toner ( skin care ) - wikipedia  Toner ( skin care )  Jump to : navigation , search This article is about toner as used in skin care . For toner as used in photocopiers and laser printers , see Toner .      This article does not cite any sources . Please help improve this article by adding citations to reliable sources . Unsourced material may be challenged and removed . ( June 2008 ) ( Learn how and when to remove this template message )     In cosmetics , skin toner or simply toner refers to a lotion or wash designed to cleanse the skin and shrink the appearance of pores , usually used on the face . Toners can be applied to the skin in different ways :    On damp cotton wool . ( This is the most frequently used method . )   Spraying onto the face .   By applying a tonic gauze facial mask -- a piece of gauze is covered with toner and left on the face for a few minutes .    Users often apply moisturiser after toner has dried .     Contents  ( hide )   1 Types of toners   1.1 Skin bracers or fresheners   1.2 Skin tonics   1.3 Astringents        Types of toners ( edit )   Skin bracers or fresheners ( edit )   These are the mildest form of toners ; they contain water and a humectant such as glycerine , and little if any alcohol ( 0 -- 10 % ) . Humectants help to keep the moisture in the upper layers of the epidermis by preventing it from evaporating . A popular example of this is rosewater .   These toners are the gentlest to the skin , and are most suitable for use on dry , dehydrated , sensitive and normal skins . It may give a burning sensation to sensitive skin .   Skin tonics ( edit )   These are slightly stronger and contain a small quantity of alcohol ( up to 20 % ) , water and a humectant ingredient . Orange flower water is an example of a skin tonic . Skin tonics are suitable for use on normal , combination , and oily skin .   Astringents ( edit )   These are the strongest form of toner and contain a high proportion of alcohol ( 20 -- 60 % ) , antiseptic ingredients , water , and a humectant ingredient . These can be irritating and damaging to the skin as they can remove excess protective lipids as well as denature proteins in the skin when a high percentage of alcohol is used .             Cosmetics     Face     Anti-aging cream   BB cream   Botulinum toxin ( Botox )   Concealer   Cotton pad   Cleanser   Facial   Facial toning   Foundation   Moisturizer   Permanent makeup   Primer   Powder   Rouge   Skin whitening   Toner   Veil   Venetian ceruse       Lips     Lipstick   Balm   Gloss   Liner   Plumper   Stain       Eyes     Blepharoplasty   Circle contact lens   Eyelash extensions   Eyelid glue   Eye liner   Eye shadow   Kohl   Mascara       Hair     Conditioner   Hair coloring and bleaching   Removal   chemical   electric   laser   IPL   plucking   shaving   threading   waxing     Shampoo   Styling products   gel   mousse   pomade   spray   wax         Nails     Artificial nails   Buffing   Manicure   Nail polish   Pedicure       Body     Body powder   Cold cream   Lotion   Cosmetic surgery   Peeling   Skin whitening       Related topics     Cosmetic electrotherapy   Cosmetic ingredients   Cosmetics advertising   Cosmetology   History of cosmetics   Cosmetic industry          Major cosmetic brands       Ahava   Almay   AmorePacific   Anna Sui   Artistry   Aveda   Avon   Bath &amp; Body Works   Benefit   Biotherm   Bobbi Brown   Bonne Bell   Brihans Natural Products   Bumble and bumble   Burt 's Bees   Cargo   Carol 's Daughter   Clarins   Clinique   Coty   CoverGirl   Creme 21   Cutex   Daigaku Honyaku Center   Elizabeth Arden , Inc .   Estée Lauder   Eyes Lips Face   Etude House   Faberge   Farmec   Garnier   Guerlain   Hard Candy   Helena Rubinstein   Kao Corporation   Kevyn Aucoin   Kiehl 's   Lancôme   Laneige   Laura Mercier   Laura Mercier Cosmetics   Lise Watier   L'Oréal   L'occitane   Love Cosmetics   Lush   MAC Cosmetics   Mary Kay   Max Factor   Maybelline   Missha   Molton Brown   NARS   Natura   Natural Wonder   Nature Republic   Neal 's Yard Remedies   Neutrogena   Nexxus   Nivea   O Boticário   OPI   Oriflame   Origins   Paula Begoun   Pond 's   Red Earth   Revlon   Richard Hudnut   Rimmel   Sephora   Shiseido   Shu Uemura   SimplySiti   SK - II   SkinCeuticals   Skin Food   Stila   The Body Shop   The Face Shop   ULTA Beauty   Ultima II   Urban Decay   Vaseline   Vichy   Victoria 's Secret   Wella   Yves Rocher            Categories   Companies   People   History      Retrieved from `` https://en.wikipedia.org/w/index.php?title=Toner_(skin_care)&amp;oldid=821507720 '' Categories :   Skin care   Hidden categories :   Articles lacking sources from June 2008   All articles lacking sources           Talk                                           Contents                   About Wikipedia                                           Deutsch   Español   Français   Suomi   Tiếng Việt   </t>
    </r>
    <r>
      <rPr>
        <sz val="11"/>
        <color rgb="FF000000"/>
        <rFont val="Noto Sans CJK SC"/>
        <family val="2"/>
      </rPr>
      <t xml:space="preserve">中文   </t>
    </r>
    <r>
      <rPr>
        <sz val="11"/>
        <color rgb="FF000000"/>
        <rFont val="Calibri"/>
        <family val="0"/>
        <charset val="1"/>
      </rPr>
      <t xml:space="preserve">Edit links   This page was last edited on 20 January 2018 , at 22 : 30 .         About Wikipedia                    </t>
    </r>
  </si>
  <si>
    <t xml:space="preserve">what is toner used for on the face</t>
  </si>
  <si>
    <t xml:space="preserve"> In cosmetics , skin toner or simply toner refers to a lotion or wash designed to cleanse the skin and shrink the appearance of pores , usually used on the face . Toners can be applied to the skin in different ways : </t>
  </si>
  <si>
    <t xml:space="preserve">Flapper - Wikipedia  Flapper  Jump to : navigation , search This article is about 1920s women . For other uses , see Flapper ( disambiguation ) . Actress Louise Brooks ( 1927 ) A flapper onboard ship ( 1929 ) An advertisement for the 1920 silent film comedy The Flapper , with Olive Thomas , before the look of the flapper had started to come together .  Flappers were a generation of young Western women in the 1920s who wore short skirts , bobbed their hair , listened to jazz , and flaunted their disdain for what was then considered acceptable behavior . Flappers were seen as brash for wearing excessive makeup , drinking , treating sex in a casual manner , smoking , driving automobiles , and otherwise flouting social and sexual norms . Flappers had their origins in the liberal period of the Roaring Twenties , the social , political turbulence and increased transatlantic cultural exchange that followed the end of World War I , as well as the export of American jazz culture to Europe .     Contents  ( hide )   1 Etymology   2 Influences   3 Evolution of the image   3.1 The Gibson Girl   3.2 Magazines     4 Behavior   4.1 US banks and `` flapper '' employees     5 Image of youth   5.1 Overturning of Victorian roles   5.2 Petting parties   5.3 Slang     6 Appearance   6.1 Apparel   6.1. 1 Lingerie     6.2 Hair and accessories   6.3 Cosmetics     7 Semiotics of the flapper   8 End of the flapper era   9 See also   10 References   11 External links      Etymology ( edit )   The slang word `` flapper '' , describing a young woman , is sometimes supposed to refer to a young bird flapping its wings while learning to fly . However , it may derive from an earlier use in northern England to mean `` teenage girl '' , referring to one whose hair is not yet put up and whose plaited pigtail `` flapped '' on her back ; or from an older word meaning `` prostitute '' . The slang word `` flap '' was used for a young prostitute as early as 1631 . By the 1890s , the word `` flapper '' was emerging in England as popular slang both for a very young prostitute , and in a more general -- and less derogatory sense -- of any lively mid-teenage girl .  Violet Romer in a flapper dress c. 1915  The word appeared in print as early as 1903 in the United Kingdom and 1904 in the United States , when novelist Desmond Coke used it in his college story of Oxford life , Sandford of Merton : `` There 's a stunning flapper '' . In 1907 English actor George Graves explained it to Americans as theatrical slang for acrobatic young female stage performers . The flapper was also known as a dancer , who danced liked a bird - flapping her arms while doing the Charleston dance move . This move became quite a competitive dance during this era .   By 1908 , newspapers as serious as The Times used it , although with careful explanation : `` A ' flapper ' , we may explain , is a young lady who has not yet been promoted to long frocks and the wearing of her hair ' up ' '' . In April 1908 , the fashion section of London 's The Globe and Traveler contained a sketch entitled `` The Dress of the Young Girl '' with the following explanation :   Americans , and those fortunate English folk whose money and status permit them to go in freely for slang terms ... call the subject of these lines the ' flapper . ' The appropriateness of this term does not move me to such whole - hearted admiration of the amazing powers of enriching our language which the Americans modestly acknowledge they possess ... , ( and ) in fact , would scarcely merit the honour of a moment of my attention , but for the fact that I seek in vain for any other expression that is understood to signify that important young person , the maiden of some sixteen years .   The sketch is of a girl in a frock with a long skirt , `` which has the waistline quite high and semi-Empire , ... quite untrimmed , its plainness being relieved by a sash knotted carelessly around the skirt . ''   By November 1910 , the word was popular enough for A.E. James to begin a series of stories in the London Magazine featuring the misadventures of a pretty fifteen - year - old girl and titled `` Her Majesty the Flapper '' . By 1911 , a newspaper review indicates the mischievous and flirtatious `` flapper '' was an established stage - type .  Clara Bow in 1921 , before she became a star  By 1912 , the London theatrical impresario John Tiller , defining the word in an interview he gave to the New York Times , described a `` flapper '' as belonging to a slightly older age group , a girl who has `` just come out '' . Tiller 's use of the phrase `` come out '' means `` to make a formal entry into ' society ' on reaching womanhood '' . In polite society at the time , a teenage girl who had not `` come out '' would still be classed as a child . She would be expected to keep a low profile on social occasions and ought not to be the object of male attention . Although the word was still largely understood as referring to high - spirited teenagers gradually in Britain it was being extended to describe any impetuous immature woman . By late 1914 , the British magazine Vanity Fair was reporting that the Flapper was beginning to disappear in England , being replaced by the so - called `` Little Creatures . ''   Nevertheless , the use of the word increased during World War I , perhaps due to the visible emergence of young women into the workforce to supply the place of absent men ; a Times article on the problem of finding jobs for women made unemployed by the return of the male workforce is headed `` The Flapper 's Future '' . Under this influence , the meaning of the term changed somewhat , to apply to `` independent , pleasure - seeking , khaki - crazy young women '' .   In his lecture in February 1920 on Britain 's surplus of young women caused by the loss of young men in war , Dr. R. Murray - Leslie criticized `` the social butterfly type ... the frivolous , scantily - clad , jazzing flapper , irresponsible and undisciplined , to whom a dance , a new hat , or a man with a car , were of more importance than the fate of nations '' . In May of that year , Selznick Pictures released The Flapper a silent comedy film starring Olive Thomas . It was the first film in the United States to portray the `` flapper '' lifestyle . By that time , the term had taken on the full meaning of the flapper generation style and attitudes .   The use of the term coincided with a fashion among teenage girls in the United States in the early 1920s for wearing unbuckled galoshes , and a widespread false etymology held that they were called `` flappers '' because they flapped when they walked , as they wore their overshoes or galoshes unfastened , showing that they defied convention in a manner similar to the 21st century fad for untied shoelaces . Another suggestion to the origin of the term , in relation to fashion , comes from a 1920s fashion trend in which young women left their overcoat unbuttoned to allow it to flap back and forth as they walked , appearing more independent and freed from the tight , Victorian Era style clothing .   By the mid-1930s in Britain , although still occasionally used , the word `` flapper '' had become associated with the past . In 1936 a Times journalist grouped it with terms such as `` blotto '' as out - dated slang : `` ( blotto ) evokes a distant echo of glad rags and flappers ... It recalls a past which is not yet ' period ' . ''  `` In all countries , the First World War weakened old orthodoxies and authorities , and , when it was over , neither government nor church nor school nor family had the power to regulate the lives of human beings as it had once done . One result of this was a profound change in manners and morals that made a freer and less restrained society . Women benefited from this as much as anyone else . Time - worn prescriptions concerning what was or was not proper behavior for them no longer possessed much credibility , and taboos about unaccompanied appearances in public places , or the use of liquor or tobacco , or even pre-marital sexual relationships had lost their force ... ( W ) omen were no longer as vulnerable to the tyranny of society as the had been ( before ) . '' -- Historian Gordon A. Craig  Influences ( edit )   One cause of the change in young women 's behavior was World War I which ended in November 1918 . The death of large numbers of young men in the war , and the Spanish flu epidemic which struck in 1918 killing between 20 -- 40 million people , inspired in young people a feeling that life is short and could end at any moment . Therefore , young women wanted to spend their youth enjoying their life and freedom rather than just staying at home and waiting for a man to marry them .   Political changes were another cause of the flapper culture . World War I reduced the grip of the class system on both sides of the Atlantic , encouraging different classes to mingle and share their sense of freedom . Women finally won the right to vote in the United States on August 26 , 1920 . Women wanted to be men 's social equals and were faced with the difficult realization of the larger goals of feminism : individuality , full political participation , economic independence , and ' sex rights ' . They wanted to be treated like men and go smoking and drinking . In addition , many women had more opportunities in the workplace and had even taken traditionally male jobs such as doctors , lawyers , engineers and pilots . The rise of consumerism also promoted the ideals of `` fulfilment and freedom '' , which encouraged women to think independently about their garments , careers , social activities .  Actress Alice Joyce , 1926  Society changed quickly after World War I . For example , customs , technology , and manufacturing all moved quickly into the 20th century after the interruption of the war . The rise of the automobile was an important factor in flapper culture , as cars meant a woman could come and go as she pleased , travel to speakeasies and other entertainment venues , and use the large vehicles of the day for their popular activity , petting parties . Also , the economic boom allowed more people the time and money to play golf and tennis and to take vacations , which required clothing adapted to these activities ; the flapper 's slender silhouette was very suitable for movement .   Evolution of the image ( edit )   The first appearance of the word and image in the United States came from the popular 1920 Frances Marion film , The Flapper , starring Olive Thomas . Thomas starred in a similar role in 1917 , though it was not until The Flapper that the term was used . In her final movies , she was seen as the flapper image . Other actresses , such as Clara Bow , Louise Brooks , Colleen Moore and Joan Crawford would soon build their careers on the same image , achieving great popularity .   In the United States , popular contempt for Prohibition was a factor in the rise of the flapper . With legal saloons and cabarets closed , back alley speakeasies became prolific and popular . This discrepancy between the law - abiding , religion - based temperance movement and the actual ubiquitous consumption of alcohol led to widespread disdain for authority . Flapper independence was also a response to the Gibson girls of the 1890s . Although that pre-war look does not resemble the flapper style , their independence may have led to the flapper wise - cracking tenacity 30 years later .  Studebaker 1920 - model automobile  Writers in the United States such as F. Scott Fitzgerald and Anita Loos and illustrators such as Russell Patterson , John Held , Jr. , Ethel Hays and Faith Burrows popularized the flapper look and lifestyle through their works , and flappers came to be seen as attractive , reckless , and independent . Among those who criticized the flapper craze was writer - critic Dorothy Parker , who penned `` Flappers : A Hate Song '' to poke fun at the fad . The secretary of labor denounced the `` flippancy of the cigarette smoking , cocktail - drinking flapper '' . A Harvard psychologist reported that flappers had `` the lowest degree of intelligence '' and constituted `` a hopeless problem for educators '' .   Another writer , Lynne Frame , said in her book that a large number of scientists and health professionals have analyzed and reviewed the degree of femininity of flappers ' appearance and behavior , given the `` boyishness '' of the flapper look and behavior . Some gynecologists gave the opinion that women were less `` marriageable '' if they were less `` feminine '' , as the husband would be unhappy in his marriage . In Frame 's book , she also wrote that the appearance of flappers , like the short hair and short dress , distracted attention from feminine curves to the legs and body . These attributes were not only a fashion trend but also the expression of a blurring of gender roles .   The Gibson girl ( edit )   The Gibson Girl was one of the origins of the flapper . The invention of Charles Dana Gibson , the Gibson Girl changed the fashion , patterns , and lifestyles of the 1920s ; these were much more progressive than the traditions of women 's styles in the past . Before the Gibson Girl movement , women 's voices as a group were infrequently heard . While some may see the Gibson Girl as just a fashion statement , it was much more broadly influential than that . `` She depicted the modern woman , known popularly as the ' new woman ' , at a time when more women gained independence , began to work outside the home , and sought the right to vote and other rights . '' Gibson 's illustrations showed feminist women of all kinds who worried more about themselves than about pleasing the men in their lives . It was the first time a woman could actually concentrate on her own dreams and goals . The Gibson Girl also exemplified the importance of intelligence and learning rather than catering to men 's needs .   According to Kate Chopin , `` The Gibson Girl influenced society in the early 1900s much like Barbie influenced society of the late 1900s . The Gibson Girl crossed many societal lines opening the way for women to participate in things they had never done before . She , like Barbie , portrayed women as strong individuals who could play sports while maintaining perfectly coiffed hair and dress . She was criticized by many , much like Barbie , for creating an unrealistic ideal of what women should look like : perfect proportions and long flowing hair . Despite the criticism she was a trend setter , a model for women in both dress and action , just like Barbie . ''  The Flapper Magazine inner page  The fashion of the Gibson Girl allowed them a much more active lifestyle then previously , in both work and recreation . `` Skirts were long and flared , and dresses were tailored with high necks and close - fitting sleeves . The style was considered masculine , and this was sometimes emphasized by wearing a necktie . Though women still wore the restrictive undergarments known as corsets , a new health corset came into style that was said to be better for the spine than earlier corsets . An S - shaped figure became trendy , with a large bust and large hips , separated by a tiny , corseted waist . These styles , worn with confidence and poise by modern women ... She might be pictured at a desk in a tailored shirtwaist or at a tennis party in an informal sports dress . She wore her long hair upswept in an elaborate mass of curls , perhaps topped by a simple straw hat . Though she was capable and independent , the Gibson girl was always beautiful and elegant . '' According to the Library of Congress , `` Gibson 's meticulous depiction of their hats accentuates the Gibson Girls ' stylish attire and visually reinforces the impression of height , leading the eye to the mountains ... Gibson shows off the classic Gibson Girl as a figure who embraced outdoor physical activities . ''   The Gibson Girl was uniquely American compared to European standards of style . She was an ideal : youthful , feminist , strong and a truly modern woman . Gibson emphasized that any women can be represented as a Gibson Girl , both those in the middle and the upper class . Minnie Clark , known as `` the original Gibson Girl '' , was a model for Gibson and could portray any type of women needed for his illustration . Gibson drew with characteristic grace women all of races and classes so that any woman could feel that they , too , could be a graceful Gibson Girl .   Magazines ( edit )   In 1922 , a small - circulation magazine -- The Flapper , located in Chicago -- celebrated the flapper 's appeal . On the opening page of its first issue , it proudly declared flappers ' break with traditional values . Also , flappers defended them by contrasting themselves with earlier generations of women whom they called `` clinging vines '' . They mocked the confining fashions and demure passivity of older women and reveled in their own freedom . They did not even acknowledge that the previous generation of female activists had made the flappers ' freedom possible .   In the 1920s , new magazines appealed to young German women with a sensuous image and advertisements for the appropriate clothes and accessories they would want to purchase . The glossy pages of Die Dame and Das Blatt der Hausfrau displayed the `` Girl '' -- the flapper . She was young and fashionable , financially independent , and was an eager consumer of the latest fashions . The magazines kept her up to date on fashion , arts , sports , and modern technology such as automobiles and telephones .   Behavior ( edit )   Even though many young women in the 1920s saw flappers as the symbol of a brighter future , some also questioned the flappers ' more extreme behavior . Therefore , in 1923 , the magazine began asking for true stories from its readers for a new column called `` Confessions of a Flapper '' . Some of these were lighthearted stories of girls getting the better of those who underestimated them , but others described girls betraying their own standards of behavior in order to live up to the image of flappers . There were several examples , a newlywed confessed to having cheated on her husband , a college student described being told by a boyfriend that she was not `` the marrying kind '' because of the sexual liberties she had permitted him , and a minister 's daughter recounted the humiliation of being caught in the lie of pretending she was older and more sophisticated than she was . Many readers thought that flappers had gone too far in their quest for adventure . One 23 - year - old `` ex-vamp '' declared : `` In my opinion , the average flappers from 15 to 19 were brainless , inconsiderate of others , and easy to get into serious trouble . ''  Betty Boop , an animated cartoon character invented in 1930 by Max Fleischer as a caricature of a flapper , became an icon of the 1920s  So , among the readers of The Flapper , parts of them were celebrated for flappers ' spirit and appropriation of male privilege , while parts of them acknowledged the dangers of emulating flappers too faithfully , with some even confessing to violating their own codes of ethics so as to live up to all the hype .   Us banks and `` flapper '' employees ( edit )   According to a report in 1922 , some banks across the United States started to regulate the dress and deportment of young female employees who were considered to be `` flappers '' . It began with a complaint of a mother in New Jersey who felt dissatisfied because her son did business only with a young female employee , whom she considered illegally attractive . The incident was duly reported to the officials of the bank , and rules adopted regarding requirements in dress for female employees . Those rules included that the dress should not have a pattern , it should be bought from a specific store , it must be worn in either black , blue or brown , its sleeves must not be shortened above the elbow , and its hem must not be worn higher than twelve inches from the ground . After that , the anti-flapper code soon spread to the Federal Reserve , where female employees were firmly told that there was no time for them to beautify themselves during office hours .   Image of youth ( edit )   The flapper stands as one of the most enduring images of youth and new women in the twentieth century , and is viewed by Americans as something of a cultural heroine nowadays . However , back in the 1920s , many Americans regarded flappers as threatening to conventional society , representing a new moral order . Although most of them were the daughters of the middle class , they flouted middle - class values . They shrugged off their chaperones , danced suggestively , and openly flirted with boys . `` Flappers prized style over substance , novelty over tradition , and pleasure over virtue . '' Ruth Gillettes , a 1920s singer , had a song called `` Oh Say ! Can I See You Tonight ? '' which expresses the new behavior of girls in the 1920s . Before the 1920s , for a woman to call a man to suggest a date would be impossible . But in the 1920s , many girls seemed to play a leading role in relationships , actively asking boys out or even coming to their homes .   Flappers ' behavior was considered outlandish at the time and redefined women 's roles . In the English media they were stereotyped as pleasure - loving , reckless and prone to defy convention by initiating sexual relationships . Some have suggested that the flapper concept as a stage of life particular to young women was imported to England from Germany , where it originated `` as a sexual reaction against the over-fed , under - exercised monumental woman , and as a compromise between pederasty and normal sex '' . In Germany teenage girls were called `` Backfisch '' , which meant a young fish not yet big enough to be sold in the market . Although the concept of `` Backfisch '' was known in England by the late 1880s , the term was understood to mean a very demure social type unlike the flapper , who was typically rebellious and defiant of convention . The evolving image of flappers was of independent young women who went by night to jazz clubs such as those in Harlem , which were viewed as erotic and dangerous , where they danced provocatively , smoked cigarettes and dated freely , perhaps indiscriminately . They were active , sporting , rode bicycles , drove cars , and openly drank alcohol , a defiant act in the American period of Prohibition . With time came the development of dance styles such as the Charleston , the Shimmy , the Bunny Hug , and the Black Bottom , which were considered shocking , but were a symbolic badge of the flapper 's rejection of traditional standards .  Billie Dove on `` Not for Old Fogies '' , The Flapper ( cover ) , November 1922 Ellen Bernard Thompson Pyle `` The Flapper '' Saturday Evening Post ( February 4 , 1922 )  Overturning of Victorian roles ( edit )   Flappers also began working outside the home and challenging women 's traditional societal roles and the monolithic historical idea of women being powerless throughout social history .   They were considered a significant challenge to traditional Victorian gender roles , devotion to plain - living , hard work and religion . Increasingly , women discarded old , rigid ideas about roles and embraced consumerism and personal choice , and were often described in terms of representing a `` culture war '' of old versus new . Flappers also advocated voting and women 's rights .   In this manner , flappers were a result of larger social changes -- women were able to vote in the United States in 1920 , and religious society had been rocked by the Scopes trial .   For all the concern about women stepping out of their traditional roles , however , many flappers were not engaged in politics . In fact , older suffragettes , who fought for the right for women to vote , viewed flappers as vapid and in some ways unworthy of the enfranchisement they had worked so hard to win . Dorothy Dunbar Bromley , a noted liberal writer at the time , summed up this dichotomy by describing flappers as `` truly modern '' , `` New Style '' feminists who `` admit that a full life calls for marriage and children '' and also `` are moved by an inescapable inner compulsion to be individuals in their own right '' .   Petting parties ( edit )   Petting became more common than in the Victorian era . `` Petting parties '' , where petting ( `` making out '' or foreplay ) was the main attraction , became popular . In youthful imagination , it gave the lie to the old clichés of `` the only man '' and `` the only girl '' . This was typical on college campuses , where young people `` spent a great deal of unsupervised time in mixed company '' .   Carolyn Van Wyck wrote a column for Photoplay , an upmarket magazine that featured articles on pop culture , advice on fashion , and even articles on helping readers channel their inner celebrity . In March 1926 an anonymous young woman wrote in describing petting as a problem , explaining `` The boys all seem to do it and do n't seem to come back if you do n't do it also . We girls are at our wits ' end to know what to do ... I 'm sure that I do n't want to marry anyone who is too slow to want to pet . But I want to discover what is right . Please help me . '' Van Wyck sympathized with the problem the writer faced and added , `` It seems to me much better to be known as a flat tire and keep romance in one 's mind than to be called a hot date and have fear in one 's heart . ''   In the 1950s , Life magazine depicted petting parties as `` that famed and shocking institution of the ' 20s '' , and commenting on the ' Kinsey Report ' , said that they have been `` very much with us ever since '' . In the Kinsey Report of 1950 , there was an indicated increase in premarital intercourse for the generation of the 1920s . Kinsey found that of women born before 1900 , 14 percent acknowledged premarital sex before the age of 25 , while those born after 1900 were two and a half times more likely ( 36 percent ) to have premarital intercourse and experience an orgasm .   Slang ( edit )   Flappers were associated with the use of a number of slang words , including `` junk '' , `` necker '' , `` heavy petting '' , and `` necking parties '' , although these words existed before the 1920s . Flappers also used the word `` jazz '' in the sense of anything exciting or fun . Their language sometimes reflected their feelings about dating , marriage and drinking habits : `` I have to see a man about a dog '' at this period often meant going to buy whiskey ; and a `` handcuff '' or `` manacle '' was an engagement or wedding ring . Also reflective of their preoccupations were phrases to express approval , such as `` That 's so Jake '' , ( okay ) ; `` That 's the bee 's knees '' , ( a superb person ) ; `` Cake - eater , '' ( a ladies ' man ) ; and the popular : `` the cat 's meow , '' ( anything wonderful ) .  Actress Norma Talmadge  There were two more slangs that reflected flapper 's behaviors or lifestyles , which were `` treating '' and `` charity girls '' . `` Treating '' was a culture or habit mainly for the working - class flappers . Although they earned money from work , they still wanted to earn some more for them to live . Women were willingly invited to dance , for drinks , for entrances up to jewelry and clothing . For the `` return service '' , women granted any kind of erotic or sexual interaction from flirting to sexual intercourse . However , this practice was easily mistaken for prostitution . So , some people would call them `` charity girls '' to differentiate them from prostitutes as the girls claimed that they did not accept money in their sexual encounters with men .   Appearance ( edit )   In addition to their irreverent behavior , flappers were known for their style , which largely emerged as a result of French fashions , especially those pioneered by Coco Chanel , the effect on dress of the rapid spread of American jazz , and the popularization of dancing that accompanied it . Called garçonne in French ( `` boy '' with a feminine suffix ) , flapper style made girls look young and boyish : short hair , flattened breasts , and straight waists accentuated it . By at least 1913 , the association between slim adolescence and a certain characteristic look became fixed in the public 's mind . Lillian Nordica , commenting on New York fashions that year , referred to   a thin little flapper of a girl donning a skirt in which she can hardly take a step , extinguishing all but her little white teeth with a dumpy bucket of a hat , and tripping down Fifth Avenue .   At this early date , it seems that the style associated with a flapper already included the boyish physique and close - fitting hat , but a hobble skirt rather than one with a high hemline .   Although the appearance typically associated now with flappers ( straight waists , short hair and a hemline above the knee ) did not fully emerge until about 1926 , there was an early association in the public mind between unconventional appearance , outrageous behavior , and the word `` flapper '' . A report in The Times of a 1915 Christmas entertainment for troops stationed in France described a soldier in drag burlesquing feminine flirtatiousness while wearing `` short skirts , a hat of Parisian type and flapper - like hair '' .   Despite the scandal flappers generated , their look became fashionable in a toned - down form among respectable older women . Significantly , the flappers removed the corset from female fashion , raised skirt and gown hemlines , and popularized short hair for women . Among actresses closely identified with the style were Tallulah Bankhead , Olive Borden , Clara Bow , Louise Brooks , Joan Crawford , Bebe Daniels , Billie Dove , Leatrice Joy , Helen Kane , Laura La Plante , Dorothy Mackaill , Colleen Moore , Norma Shearer , Norma Talmadge , Olive Thomas , and Alice White .   Beginning in the early 1920s , flappers began appearing in newspaper comic strips ; Blondie Boopadoop and Fritzi Ritz -- later depicted more domestically , as the wife of Dagwood Bumstead and aunt of Nancy , respectively -- were introduced as flappers .  `` Where there 's smoke there 's fire '' by Russell Patterson , showing a fashionably dressed flapper in the 1920s .  Apparel ( edit )  Main article : 1920s in fashion  Flapper dresses were straight and loose , leaving the arms bare ( sometimes no straps at all ) and dropping the waistline to the hips . Silk or rayon stockings were held up by garters . Skirts rose to just below the knee by 1927 , allowing flashes of leg to be seen when a girl danced or walked through a breeze , although the way they danced made any long loose skirt flap up to show their legs . To enhance the view , some flappers applied rouge to their knees . Popular dress styles included the Robe de style . High heels also came into vogue at the time , reaching 2 -- 3 inches ( 5 -- 8 cm ) high . Favored shoe styles were Mary Janes and T - straps in classic black , gold , silver , or nude shades .  Lingerie ( edit )  Flappers did away with corsets and pantaloons in favor of `` step - in '' panties . Without the old restrictive corsets , flappers wore simple bust bodices to restrain their chest when dancing . They also wore new , softer and suppler corsets that reached to their hips , smoothing the whole frame , giving women a straight up and down appearance , as opposed to the old corsets which slenderized the waist and accented the hips and bust .   The lack of curves of a corset promoted a boyish look . Adding an even more boyish look , the Symington Side Lacer was invented and became a popular essential as an everyday bra . This type of bra was made to pull in the back to flatten the chest . Other women envied flappers for their flat chests and bought the Symington Side Lacer to enhance the same look ; large breasts were commonly regarded as a trait of unsophistication . Hence , flat chests became appealing to women , although flappers were the most common to wear such bras .   Hair and accessories ( edit )  French actress Polaire in 1899  Boyish cuts were in vogue and released the weight of the tradition of women being required to grow their hair long , through popular cuts such as the bob cut , Eton crop , and shingle bob . Finger waving was used as a means of styling . Hats were still required wear and popular styles included the newsboy cap and cloche hat .   Jewelry usually consisted of art deco pieces , especially many layers of beaded necklaces . Pins , rings , and brooches came into style . Hor</t>
  </si>
  <si>
    <t xml:space="preserve">what were some characteristics of flappers (the modern woman of the 20s)</t>
  </si>
  <si>
    <t xml:space="preserve"> Flappers were a generation of young Western women in the 1920s who wore short skirts , bobbed their hair , listened to jazz , and flaunted their disdain for what was then considered acceptable behavior . Flappers were seen as brash for wearing excessive makeup , drinking , treating sex in a casual manner , smoking , driving automobiles , and otherwise flouting social and sexual norms . Flappers had their origins in the liberal period of the Roaring Twenties , the social , political turbulence and increased transatlantic cultural exchange that followed the end of World War I , as well as the export of American jazz culture to Europe . </t>
  </si>
  <si>
    <t xml:space="preserve">Walking Tall ( 1973 film ) - wikipedia  Walking Tall ( 1973 film )  Jump to : navigation , search For the 2004 remake , see Walking Tall ( 2004 film ) .    Walking Tall     Theatrical release poster     Directed by   Phil Karlson     Produced by   Mort Briskin     Written by   Mort Briskin Stephen Downing John Michael Hayes ( uncredited )     Starring   Joe Don Baker Elizabeth Hartman     Music by   Walter Scharf     Cinematography   Jack A. Marta     Edited by   Harry W. Gerstad     Production company   Bing Crosby Productions     Distributed by   Cinerama Releasing Corporation     Release date     February 22 , 1973 ( 1973 - 02 - 22 )               Running time   125 minutes     Country   United States     Language   English     Budget   $500,000     Box office   $23 million     Walking Tall is a 1973 American action semi-biopic film of Sheriff Buford Pusser , a professional wrestler - turned - lawman in McNairy County , Tennessee . It starred Joe Don Baker as Pusser . The film was directed by Phil Karlson . Based on Pusser 's life , it was a combination of very loosely based fact and Hollywood revisionism . It has since become a well known cult classic with two direct sequels of its own , a TV movie , a brief TV series and a remake that had its own two sequels .   Two actresses associated with this film went on to commit suicide : Brenda Benet , who was married to Bill Bixby from 1971 - 1979 , took her life in April 1982 ; Elizabeth Hartman jumped from the 5th floor of a Pittsburgh apartment building in June 1987 .     Contents  ( hide )   1 Plot   2 Cast   3 Sequels   4 Remake   5 Reception   6 See also   7 References   8 External links      Plot ( edit )   Buford Pusser ( Joe Don Baker ) , at his wife Pauline 's ( Elizabeth Hartman ) behest , retires from the professional wrestling ring and moves back to Tennessee to start a logging business with his father , Carl Pusser ( Noah Beery , Jr . ) .   With a friend , he visits a gambling and prostitution establishment , the Lucky Spot , and is beaten up after catching the house cheating at craps . Pusser is seriously injured with a knife and receives over 200 stitches . He complains to the sheriff but is ignored , and soon becomes aware of the rampant corruption in McNairy County . Later , working at his father 's lumber mill , Pusser makes a club out of a tree branch . Late one night , Pusser waits until after the Lucky Spot is closed and beats up the same thugs that left him for dead . The next day , Pusser is arrested and represents himself at trial . At one point , he rips off his shirt and shows the jury his scars . He informs them that `` If you let them do this to me and get away with it , then you 're giving them the eternal right to do the same damn thing to any one of you ! '' The jury finds Pusser not guilty , and he decides to clean up the county and runs for sheriff . Pusser wins , and becomes famous for being incorruptible , intolerant of crime , and for his array of four - foot hickory clubs which he uses to great effect in dispatching criminals and destroying their clandestine gambling dens and illegal distilleries .   Some residents praise Pusser as an honest cop in a crooked town ; others denounce him as a bully willing to break some laws to uphold others . Pusser is attacked several times , and finally he and Pauline are ambushed in their car . Pauline is killed and Pusser is seriously injured . He is admitted to the hospital after being shot and while still in a neck and face cast , attends his wife 's funeral . Afterward he rams a sheriff cruiser through the front doors of the Lucky Spot , killing two of his would - be assassins .   As he leaves with two deputies , the townspeople arrive and begin throwing the gambling tables out into the parking lot . They light a bonfire as an overwhelmed Pusser wipes tears from his eyes .   Cast ( edit )    Joe Don Baker as Buford Pusser   Elizabeth Hartman as Pauline Pusser   Lurene Tuttle as Helen Pusser   Noah Beery , Jr. as Carl Pusser   Dawn Lyn as Dwana Pusser   Leif Garrett as Mike Pusser   Felton Perry as Obra Eaker   Logan Ramsey as John Witter   Rosemary Murphy as Callie Hacker   Gene Evans as Sheriff Al Thurman   Bruce Glover as Grady Coker   Kenneth Tobey as Augie Mccullah   Don Keefer as Dr. Lamar Stivers   Douglas Fowley as Judge Clarke   Pepper Martin as Zolan Dicks   Ted Jordan as Virgil Button   Red West as Sheriff Tanner   Brenda Benet ( Brenda Benét ) as Luan Paxton   Arch Johnson as Buel Jaggers   Russell Thorson as Ferrin Meaks   Gil Perkins as 1st Bouncer   Carey Loftin as Dice Player   Warner Venetz as Stickman   Gene LeBell as 2nd Bouncer   Del Monroe as Otie Doss    Sequels ( edit )   The original Walking Tall was a hit , but the sequels , Walking Tall Part 2 ( September 28 , 1975 ) , and Walking Tall : Final Chapter ( August 10 , 1977 ) , both starring Bo Svenson , were far less profitable . On December 9 , 1978 , CBS aired A Real American Hero , with Brian Dennehy as Buford Pusser .   Remake ( edit )  Main article : A Real American Hero ( TV film )  In 1978 , CBS aired a television movie titled A Real American Hero : Buford Pusser , starring Brian Dennehy as the title character . The film is set in 1967 and focused on the real - life sheriff Buford Pusser who goes after a criminal who has killed young people with his illegal moonshine .  Main article : Walking Tall ( 2004 film )  In 2004 , a remake starring professional wrestler Dwayne `` The Rock '' Johnson was made . Although it utilized many elements from Pusser 's life and the original Walking Tall , many things were changed . Johnson 's character 's name was now Chris Vaughn , the sheriff is trying to stop the selling of illegal drugs instead of illegal moonshine , and the film 's setting became semi-rural Kitsap County , Washington , although it was filmed in Squamish , B.C. , Canada . Two sequels to the remake were produced , and released in 2007 : Walking Tall : The Payback and Walking Tall : Lone Justice , both made in Dallas , Texas and released directly to DVD . These sequels starred Kevin Sorbo as Nick Prescott , the son of the town 's sheriff who takes the law into his own hands when his father is killed in a suspicious car accident .   Reception ( edit )   The film holds a 75 % `` Fresh '' rating on the review aggregate website Rotten Tomatoes .   Walking Tall was a box office smash . Produced on a budget of $500,000 , the film grossed $23 million domestically , earning an estimated $8.5 million in North American theatrical rentals in 1973 .   The film is recognized by American Film Institute in these lists :    2003 : AFI 's 100 Years ... 100 Heroes &amp; Villains :   Buford Pusser -- Nominated Hero      See also ( edit )    List of American films of 1973   Vigilante film    References ( edit )    ^ Jump up to : `` Walking Tall , Worldwide Box Office '' . Worldwide Box Office . Retrieved January 17 , 2012 .   Jump up ^ Vincent Canby ( 1974 - 02 - 09 ) . `` ' Walking Tall ' : Film Depicts Violence in a Small Town '' . The New York Times . Retrieved 2012 - 01 - 25 .   Jump up ^ http://www.tcm.com/tcmdb/title/24319/Walking-Tall/trivia.html   Jump up ^ `` ' Walking Tall ' '' . Retrieved 2013 - 07 - 02 .   Jump up ^ `` Big Rental Films of 1973 '' , Variety , 9 January 1974 , pg 19 .   Jump up ^ `` AFI 's 100 Years ... 100 Heroes &amp; Villains Nominees '' ( PDF ) . Retrieved 2016 - 08 - 06 .    External links ( edit )    Walking Tall on IMDb   Walking Tall at AllMovie   Walking Tall at the TCM Movie Database   Walking Tall at the American Film Institute Catalog   Walking Tall at Rotten Tomatoes              Walking Tall     Originals     Walking Tall ( 1973 )   Walking Tall Part 2 ( 1975 )   Walking Tall : Final Chapter ( 1977 )       Remakes     Walking Tall ( 2004 )   Walking Tall : The Payback ( 2007 )   Walking Tall : Lone Justice ( 2007 )       Television productions     A Real American Hero ( 1978 )   Walking Tall ( 1981 )       Related topics     Buford Pusser                 Films directed by Phil Karlson       A Wave , a WAC and a Marine ( 1944 )   G.I. Honeymoon ( 1945 )   There Goes Kelly ( 1945 )   The Shanghai Cobra ( 1945 )   Live Wires ( 1946 )   Swing Parade of 1946 ( 1946 )   Dark Alibi ( 1946 )   Behind the Mask ( 1946 )   Bowery Bombshell ( 1946 )   Wife Wanted ( 1946 )   Black Gold ( 1947 )   Louisiana ( 1947 )   Ladies of the Chorus ( 1948 )   Rocky ( 1948 )   Above All Laws ( 1948 )   Fury ( 1948 )   The Big Cat ( 1949 )   Down Memory Lane ( 1949 )   The Iroquois Trail ( 1950 )   Lorna Doone ( 1951 )   The Texas Rangers ( 1951 )   Mask of the Avenger ( 1951 )   Scandal Sheet ( 1952 )   The Brigand ( 1952 )   Kansas City Confidential ( 1952 )   99 River Street ( 1953 )   They Rode West ( 1954 )   Tight Spot ( 1955 )   Hell 's Island ( 1955 )   5 Against the House ( 1955 )   The Phenix City Story ( 1955 )   The Brothers Rico ( 1957 )   Gunman 's Walk ( 1958 )   Hell to Eternity ( 1960 )   Key Witness ( 1960 )   The Secret Ways ( 1961 )   The Young Doctors ( 1961 )   Kid Galahad ( 1962 )   The Scarface Mob ( 1962 )   Rampage ( 1963 )   The Silencers ( 1966 )   A Time for Killing ( 1967 )   The Wrecking Crew ( 1968 )   Hornets ' Nest ( 1970 )   Ben ( 1972 )   Walking Tall ( 1973 )   Framed ( 1975 )      Retrieved from `` https://en.wikipedia.org/w/index.php?title=Walking_Tall_(1973_film)&amp;oldid=809443581 '' Categories :   1973 films   English - language films   1970s action thriller films   1970s biographical films   American action thriller films   American biographical films   American films   Films set in Tennessee   Films shot in Tennessee   McNairy County , Tennessee   Television programs based on films   Walking Tall ( films )   Films directed by Phil Karlson   Hidden categories :   Use mdy dates from June 2012           Talk                                           Contents                   About Wikipedia                                           Deutsch   Español   Français   Italiano   Nederlands   Polski   Simple English   Srpskohrvatski / српскохрватски   Suomi   Türkçe   Edit links   This page was last edited on 9 November 2017 , at 03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</si>
  <si>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original actor in walking tall</t>
  </si>
  <si>
    <t xml:space="preserve"> Walking Tall is a 1973 American action semi-biopic film of Sheriff Buford Pusser , a professional wrestler - turned - lawman in McNairy County , Tennessee . It starred Joe Don Baker as Pusser . The film was directed by Phil Karlson . Based on Pusser 's life , it was a combination of very loosely based fact and Hollywood revisionism . It has since become a well known cult classic with two direct sequels of its own , a TV movie , a brief TV series and a remake that had its own two sequels . </t>
  </si>
  <si>
    <t xml:space="preserve">List of most - followed Twitter accounts - wikipedia  List of most - followed Twitter accounts  Jump to : navigation , search Katy Perry is the most followed user on Twitter , with over 105 million followers as of November 6 , 2017 .  This list contains the top 50 accounts with the most followers on the social media platform Twitter . As of November 6 , 2017 , the most followed account is Katy Perry , with over 105 million followers . Her account was also the first to exceed 100 million followers .   Top accounts ( edit )   The following table lists the top 50 most followed accounts on Twitter , with each total rounded to the nearest million followers , as well as the profession of each user and country of origin .     Rank   Account name   Owner   Followers ( millions )   Profession   Country     1 .   @ katyperry   Katy Perry   106   Musician   United States     2 .   @ justinbieber   Justin Bieber   103   Canada     3 .   @ BarackObama   Barack Obama   96   Former U.S. President   United States     4 .   @ taylorswift13   Taylor Swift   86   Musician     5 .   @ rihanna   Rihanna   81   Barbados     6 .   @ TheEllenShow   Ellen DeGeneres   75   Comedian   United States     7 .   @ ladygaga   Lady Gaga   73   Musician     8 .   @ YouTube   YouTube   70   Social media platform     9 .   @ jtimberlake   Justin Timberlake   63   Musician and actor     10 .   @ Cristiano   Cristiano Ronaldo   63   Footballer   Portugal     11 .   @ twitter   Twitter   62   Social media platform   United States     12 .   @ KimKardashian   Kim Kardashian West   57   Reality TV personality     13 .   @ britneyspears   Britney Spears   56   Musician     14 .   @ ArianaGrande   Ariana Grande   55     15 .   @ selenagomez   Selena Gomez   54   Musician and actress     16 .   @ cnnbrk   CNN Breaking News   53   News     17 .   @ ddlovato   Demi Lovato   51   Musician and actress     18 .   @ jimmyfallon   Jimmy Fallon   49   Comedian     19 .   @ shakira   Shakira   49   Musician   Colombia     20 .   @ JLo   Jennifer Lopez   44   Musician and actress   United States     21 .   @ realDonaldTrump   Donald Trump   42   U.S. President and Reality TV personality     22 .   @ BillGates   Bill Gates   40   Businessman     23 .   @ nytimes   The New York Times   40   Newspaper     24 .   @ Oprah   Oprah Winfrey   39   Businesswoman     25 .   @ instagram   Instagram   39   Social media platform     26 .   @ KingJames   LeBron James   39   Basketball player     27 .   @ CNN   CNN   38   Television channel     28 .   @ MileyCyrus   Miley Cyrus   37   Musician and actress     29 .   @ BrunoMars   Bruno Mars   36   Musician     30 .   @ Drake   Drake   36   Rapper   Canada     31 .   @ narendramodi   Narendra Modi   36   Prime Minister of India   India     32 .   @ NiallOfficial   Niall Horan   36   Musician   Ireland     33 .   @ BBCBreaking   BBC Breaking News   35   News   United Kingdom     34 .   @ SportsCenter   SportsCenter   35   Television channel   United States     35 .   @ KevinHart4real   Kevin Hart   35   Comedian     36 .   @ neymarjr   Neymar   34   Footballer   Brazil     37 .   @ espn   ESPN   34   Television channel   United States     38 .   @ wizkhalifa   Wiz Khalifa   32   Rapper     39 .   @ LilTunechi   Lil Wayne   32   Rapper     40 .   @ onedirection   One Direction   32   Band   United Kingdom / Ireland     41 .   @ Harry_Styles   Harry Styles   31   Musician   United Kingdom     42 .   @ Pink   P ! nk   31   United States     43 .   @ SrBachchan   Amitabh Bachchan   31   Actor   India     44 .   @ iamsrk   Shah Rukh Khan   30     45 .   @ Louis_Tomlinson   Louis Tomlinson   30   Musician   United Kingdom     46 .   @ LiamPayne   Liam Payne   29     47 .   @ aliciakeys   Alicia Keys   29   United States     48 .   @ Adele   Adele   29   United Kingdom     49 .   @ KAKA   Kaká   29   Footballer   Brazil     50 .   @ ActuallyNPH   Neil Patrick Harris   28   Actor   United States     As of November 1 , 2017     See also ( edit )    List of most - retweeted tweets   List of most - liked tweets   List of most - followed Instagram accounts   List of most - subscribed YouTube channels   List of most - viewed YouTube videos   List of most - streamed songs on Spotify    References ( edit )    Jump up ^ `` Twitter : Most Followers '' . Friend or Follow . Retrieved October 29 , 2017 .   Jump up ^ Cirisano , Tatiana ( June 16 , 2017 ) . `` Katy Perry Becomes First to Hit 100 Million Twitter Followers '' . The Hollywood Reporter . Retrieved October 30 , 2017 .   Jump up ^ `` @ katyperry '' . Twitter . Retrieved October 11 , 2017 .   Jump up ^ `` @ justinbieber '' . Twitter . Retrieved October 11 , 2017 .   Jump up ^ `` @ BarackObama '' . Twitter . Retrieved October 11 , 2017 .   Jump up ^ `` @ taylorswift13 '' . Twitter . Retrieved October 11 , 2017 .   Jump up ^ `` @ rihanna '' . Twitter . Retrieved October 11 , 2017 .   Jump up ^ `` @ TheEllenShow '' . Twitter . Retrieved October 11 , 2017 .   Jump up ^ `` @ ladygaga '' . Twitter . Retrieved October 11 , 2017 .   Jump up ^ `` @ YouTube '' . Twitter . Retrieved October 11 , 2017 .   Jump up ^ `` @ jtimberlake '' . Twitter . Retrieved October 11 , 2017 .   Jump up ^ `` @ Cristiano '' . Twitter . Retrieved October 11 , 2017 .   Jump up ^ `` @ twitter '' . Twitter . Retrieved October 11 , 2017 .   Jump up ^ `` @ KimKardashian '' . Twitter . Retrieved October 11 , 2017 .   Jump up ^ `` @ britneyspears '' . Twitter . Retrieved October 11 , 2017 .   Jump up ^ `` @ ArianaGrande '' . Twitter . Retrieved October 11 , 2017 .   Jump up ^ `` @ selenagomez '' . Twitter . Retrieved October 11 , 2017 .   Jump up ^ `` @ cnnbrk '' . Twitter . Retrieved October 11 , 2017 .   Jump up ^ `` @ ddlovato '' . Twitter . Retrieved October 11 , 2017 .   Jump up ^ `` @ jimmyfallon '' . Twitter . Retrieved October 11 , 2017 .   Jump up ^ `` @ shakira '' . Twitter . Retrieved October 11 , 2017 .   Jump up ^ `` @ JLo '' . Twitter . Retrieved October 11 , 2017 .   Jump up ^ `` @ realDonaldTrump '' . Twitter . Retrieved October 11 , 2017 .   Jump up ^ `` @ BillGates '' . Twitter . Retrieved October 11 , 2017 .   Jump up ^ `` @ nytimes '' . Twitter . Retrieved October 11 , 2017 .   Jump up ^ `` @ Oprah '' . Twitter . Retrieved October 11 , 2017 .   Jump up ^ `` @ instagram '' . Twitter . Retrieved October 11 , 2017 .   Jump up ^ `` @ KingJames '' . Twitter . Retrieved October 11 , 2017 .   Jump up ^ `` @ CNN '' . Twitter . Retrieved October 11 , 2017 .   Jump up ^ `` @ MileyCyrus '' . Twitter . Retrieved October 11 , 2017 .   Jump up ^ `` @ BrunoMars '' . Twitter . Retrieved October 11 , 2017 .   Jump up ^ `` @ Drake '' . Twitter . Retrieved October 11 , 2017 .   Jump up ^ `` @ narendramodi '' . Twitter . Retrieved October 11 , 2017 .   Jump up ^ `` @ NiallOfficial '' . Twitter . Retrieved October 11 , 2017 .   Jump up ^ `` @ BBCBreaking '' . Twitter . Retrieved October 11 , 2017 .   Jump up ^ `` @ SportsCenter '' . Twitter . Retrieved October 11 , 2017 .   Jump up ^ `` @ KevinHart4real '' . Twitter . Retrieved October 11 , 2017 .   Jump up ^ `` @ neymarjr '' . Twitter . Retrieved October 11 , 2017 .   Jump up ^ `` @ ESPN '' . Twitter . Retrieved October 11 , 2017 .   Jump up ^ `` @ wizkhalifa '' . Twitter . Retrieved October 11 , 2017 .   Jump up ^ `` @ LilTunechi '' . Twitter . Retrieved October 11 , 2017 .   Jump up ^ `` @ onedirection '' . Twitter . Retrieved October 11 , 2017 .   Jump up ^ `` @ Harry_Styles '' . Twitter . Retrieved October 11 , 2017 .   Jump up ^ `` @ Pink '' . Twitter . Retrieved October 11 , 2017 .   Jump up ^ `` @ SrBachchan '' . Twitter . Retrieved October 11 , 2017 .   Jump up ^ `` @ iamsrk '' . Twitter . Retrieved October 11 , 2017 .   Jump up ^ `` @ Louis_Tomlinson '' . Twitter . Retrieved October 11 , 2017 .   Jump up ^ `` @ Louis_Tomlinson '' . Twitter . Retrieved October 11 , 2017 .   Jump up ^ `` @ aliciakeys '' . Twitter . Retrieved October 11 , 2017 .   Jump up ^ `` @ Adele '' . Twitter . Retrieved October 11 , 2017 .   Jump up ^ `` @ KAKA '' . Twitter . Retrieved October 11 , 2017 .   Jump up ^ `` @ ActuallyNPH '' . Twitter . Retrieved October 11 , 2017 .              Twitter     Clients     Services and applications   Favstar   Gnip   Hootsuite   Pwytter   Seesmic   SimplyTweet   Tween   Tweetbot   TweetDeck   Tweetie   Twimight   Twitdom   TwitPic   Twitterrific       Executives     Jack Dorsey ( CEO )   Anthony Noto ( COO + CFO )       Board     Omid Kordestani ( Executive Chairman )   Jack Dorsey ( CEO )   Peter Chernin   Peter Currie   Peter Fenton   Evan Williams   Marjorie Scardino       Software     FlockDB   MySQL   Periscope   Starling   Vine       Mergers and acquisitions     BackType   Bluefin Labs   Dasient   Gnip   Mitro   Namo Media   Posterous   Summify   Trendrr   TweetDeck   Tweetie   Vine   Whisper Systems       Lists     Most - followed accounts   Most - retweeted tweets   Most - liked tweets       Other     Black Twitter   Censorship   List of people suspended from Twitter     Shorty Awards   Twitter bomb   Twitter usage   by public figures     Topsy Labs      Retrieved from `` https://en.wikipedia.org/w/index.php?title=List_of_most-followed_Twitter_accounts&amp;oldid=809029921 '' Categories :   21st century - related lists   Lists of Internet - related superlatives   Twitter people   Twitter - related lists           Talk                                                             About Wikipedia                                           Հայերեն   हिन्दी   اردو   Edit links   This page was last edited on 6 November 2017 , at 18 : 38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</si>
  <si>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has the most followers on twitter in india</t>
  </si>
  <si>
    <t xml:space="preserve">   Rank   Account name   Owner   Followers ( millions )   Profession   Country     1 .   @ katyperry   Katy Perry   106   Musician   United States     2 .   @ justinbieber   Justin Bieber   103   Canada     3 .   @ BarackObama   Barack Obama   96   Former U.S. President   United States     4 .   @ taylorswift13   Taylor Swift   86   Musician     5 .   @ rihanna   Rihanna   81   Barbados     6 .   @ TheEllenShow   Ellen DeGeneres   75   Comedian   United States     7 .   @ ladygaga   Lady Gaga   73   Musician     8 .   @ YouTube   YouTube   70   Social media platform     9 .   @ jtimberlake   Justin Timberlake   63   Musician and actor     10 .   @ Cristiano   Cristiano Ronaldo   63   Footballer   Portugal     11 .   @ twitter   Twitter   62   Social media platform   United States     12 .   @ KimKardashian   Kim Kardashian West   57   Reality TV personality     13 .   @ britneyspears   Britney Spears   56   Musician     14 .   @ ArianaGrande   Ariana Grande   55     15 .   @ selenagomez   Selena Gomez   54   Musician and actress     16 .   @ cnnbrk   CNN Breaking News   53   News     17 .   @ ddlovato   Demi Lovato   51   Musician and actress     18 .   @ jimmyfallon   Jimmy Fallon   49   Comedian     19 .   @ shakira   Shakira   49   Musician   Colombia     20 .   @ JLo   Jennifer Lopez   44   Musician and actress   United States     21 .   @ realDonaldTrump   Donald Trump   42   U.S. President and Reality TV personality     22 .   @ BillGates   Bill Gates   40   Businessman     23 .   @ nytimes   The New York Times   40   Newspaper     24 .   @ Oprah   Oprah Winfrey   39   Businesswoman     25 .   @ instagram   Instagram   39   Social media platform     26 .   @ KingJames   LeBron James   39   Basketball player     27 .   @ CNN   CNN   38   Television channel     28 .   @ MileyCyrus   Miley Cyrus   37   Musician and actress     29 .   @ BrunoMars   Bruno Mars   36   Musician     30 .   @ Drake   Drake   36   Rapper   Canada     31 .   @ narendramodi   Narendra Modi   36   Prime Minister of India   India     32 .   @ NiallOfficial   Niall Horan   36   Musician   Ireland     33 .   @ BBCBreaking   BBC Breaking News   35   News   United Kingdom     34 .   @ SportsCenter   SportsCenter   35   Television channel   United States     35 .   @ KevinHart4real   Kevin Hart   35   Comedian     36 .   @ neymarjr   Neymar   34   Footballer   Brazil     37 .   @ espn   ESPN   34   Television channel   United States     38 .   @ wizkhalifa   Wiz Khalifa   32   Rapper     39 .   @ LilTunechi   Lil Wayne   32   Rapper     40 .   @ onedirection   One Direction   32   Band   United Kingdom / Ireland     41 .   @ Harry_Styles   Harry Styles   31   Musician   United Kingdom     42 .   @ Pink   P ! nk   31   United States     43 .   @ SrBachchan   Amitabh Bachchan   31   Actor   India     44 .   @ iamsrk   Shah Rukh Khan   30     45 .   @ Louis_Tomlinson   Louis Tomlinson   30   Musician   United Kingdom     46 .   @ LiamPayne   Liam Payne   29     47 .   @ aliciakeys   Alicia Keys   29   United States     48 .   @ Adele   Adele   29   United Kingdom     49 .   @ KAKA   Kaká   29   Footballer   Brazil     50 .   @ ActuallyNPH   Neil Patrick Harris   28   Actor   United States     As of November 1 , 2017   </t>
  </si>
  <si>
    <t xml:space="preserve">A Kiss to Build a Dream on - Wikipedia  A Kiss to Build a Dream on   `` A Kiss to Build a Dream On '' is a song composed by Bert Kalmar , Harry Ruby and Oscar Hammerstein II in 1935 . It was recorded by Louis Armstrong in 1951 . It was also performed by Armstrong as well as by Mickey Rooney with William Demarest , by Sally Forrest , and by Kay Brown ( virtually the entire cast performed part or all of the song ) in the 1951 film `` The Strip , '' and was a sort of recurring theme in the film . The song was nominated for the Academy Award for Best Original Song in 1951 but lost out to `` In the Cool , Cool , Cool of the Evening '' . Another popular recording was made by one of the movie 's guest - stars , Monica Lewis , and in early 1952 , the version by Hugo Winterhalter and his Orchestra , with vocalist Johnny Parker , made it to the Pop 20 chart in the United States .   Sung by Richard Chamberlain , the song gained considerable exposure due to its being on the ' B ' side of his 1962 hit : `` Theme from Dr. Kildare ( Three Stars Will Shine Tonight ) '' .   Rod Stewart covered the song in his 2004 album , Stardust : the Great American Songbook 3 .   Deana Martin recorded A Kiss to Build a Dream On in 2009 . The song was released on her album , Volare , in 2009 by Big Fish Records .   Bing Crosby recorded it for his album `` Songs I Wish I Had Sung ( The First Time Around ) ''   In fiction ( edit )    An instrumental version is heard in the background in the 1950 film Mister 880 at the 21 : 39 mark .   The version of Hugo Winterhalter and his Orchestra is played twice in the flashbacks scenes of Mexican 1965 short film Tajimara , the first story included in the feature film Los Bienamados .   The song was featured in the soundtrack of the 1993 film Sleepless In Seattle and the 1951 film The Strip .   It was played as a background track during Yuri and Ava 's party in the 2005 film Lord of War .   It was featured in the introductory sequence of the 1998 video game Fallout 2 .   It was featured in episode 2 of the 2014 TV series Grantchester .   The Bollywood picture Parineeta has a song based on the original tune called Kaisi Paheli Zindagani .   It was featured as Jenny 's favorite song in The Cry of the Owl .    Notes ( edit )    ^ Jump up to : The Guitarguy . `` A Kiss to Build a Dream On '' . theguitarguy.com . Retrieved October 20 , 2009 .   Jump up ^ `` Soundtracks for The Cry of the Owl ( 2009 ) '' . IMDB.com . Retrieved January 29 , 2010 .          This 1930s song article is a stub . You can help Wikipedia by expanding it .            Retrieved from `` https://en.wikipedia.org/w/index.php?title=A_Kiss_to_Build_a_Dream_On&amp;oldid=848098390 '' Categories :   Jazz songs   Louis Armstrong songs   Songs with lyrics by Bert Kalmar   Songs with music by Harry Ruby   1935 songs   Songs with lyrics by Oscar Hammerstein II   Songs about dreams   1930s song stubs   Hidden categories :   All articles with unsourced statements   Articles with unsourced statements from December 2010   All stub articles           Talk                                                             About Wikipedia                                           Deutsch   Edit links   This page was last edited on 29 June 2018 , at 19 : 36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</si>
  <si>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a kiss to build a dream on</t>
  </si>
  <si>
    <t xml:space="preserve"> `` A Kiss to Build a Dream On '' is a song composed by Bert Kalmar , Harry Ruby and Oscar Hammerstein II in 1935 . It was recorded by Louis Armstrong in 1951 . It was also performed by Armstrong as well as by Mickey Rooney with William Demarest , by Sally Forrest , and by Kay Brown ( virtually the entire cast performed part or all of the song ) in the 1951 film `` The Strip , '' and was a sort of recurring theme in the film . The song was nominated for the Academy Award for Best Original Song in 1951 but lost out to `` In the Cool , Cool , Cool of the Evening '' . Another popular recording was made by one of the movie 's guest - stars , Monica Lewis , and in early 1952 , the version by Hugo Winterhalter and his Orchestra , with vocalist Johnny Parker , made it to the Pop 20 chart in the United States . </t>
  </si>
  <si>
    <t xml:space="preserve">Land of Make Believe ( amusement park ) - wikipedia  Land of Make Believe ( amusement park )  Jump to : navigation , search For the defunct theme park formerly located in Upper Jay , New York , see Land of Makebelieve .  Land of Make Believe       Location   Hope , New Jersey , USA     Coordinates   40 ° 54.122 ′ N 74 ° 57.542 ′ W ﻿ / ﻿ 40.902033 ° N 74.959033 ° W ﻿ / 40.902033 ; - 74.959033 Coordinates : 40 ° 54.122 ′ N 74 ° 57.542 ′ W ﻿ / ﻿ 40.902033 ° N 74.959033 ° W ﻿ / 40.902033 ; - 74.959033     Opened   1954 ( 1954 )     Operating season   May -- September     Area   30 acres ( 12 ha )     Rides     Total   33     Roller coasters       Water rides   9     Website   www.lomb.com     The Land of Make Believe is a family amusement park catering mostly to children under 8 years of age . Opened in 1954 , it is in Hope Township , New Jersey , United States , on County Route 611 , two miles from exit 12 off of Interstate 80 . It centers itself around `` Safe and wholesome recreation '' , with entertaining rides and attractions that are enjoyed mostly by children under 8 but also has some attractions for people of all ages but not so extreme that it scares off young children mixed in .   Some of its most prominent attractions are the civil war train ( which loops around most of the park ) , the Buccaneer Pirate &amp; Wading Pool , and the Black Hole waterslide . The Land of Make Believe has many of the standard amusement park rides like a junior sized roller coaster , and a Tilt - A-Whirl as well as more specialized attractions like a hay ride and a petting zoo . Some more of the water attractions include the Pirates Plunge , Blackbeard 's Pirate Fort , The Sidewinder , Blackbeard 's Action River Ride , and three waterslides .  Train at Land of Make Believe  Initially , the park featured only attractions for small children , adding some water attractions for children in the late 1980s . Beginning in the first decade of the 2000s , the park has begun to add rides that adults can enjoy but yet are not too extreme for children . These included standard intermediate adult flat rides found in carnivals and amusement parks as well as larger waterslides found in major waterparks .     Contents  ( hide )   1 Rides and attractions   2 Former rides and attractions   3 Water rides and attractions   4 References   5 External links      Rides and attractions ( edit )     Name   Description   Thrill Type   Notes     Jump Around Frog     Low   Riders must be under 36 in ( 91 cm ) to ride .     Rockin ' Tug     Moderate   Manufactured by Zamperella     Tornado     Ranging from Moderate to High   Manufactured by Wisdom Industries     T - Rex     Ranging from Moderate to High       Free Fallin '     High   This ride was formerly `` The Frogger ''     Samba Balloon Ride     Moderate   Manufactured by Zamperella     Ferris Wheel     Low       Grand Carousel     Low       Civil War Locomotive and Train Ride   A C.P. Huntington miniature train that represents a steam locomotive in the 1800s during the Civil War .   Low       Thriller   The park 's only roller coaster that opened in 1994 .   High   Riders must be between 33 -- 36 in ( 84 -- 91 cm ) and accompanied by an adult .     Tilt - A-Whirl     High   Manufactured by Sellner Manufacturing Company     Indian River     Low       Red Baron   A ride where riders ride in miniature airplanes that represented planes used in World War I .   Moderate       Dixie Car   A simple ride featuring miniature police cars and race cars . Riders can control the sounds .   Low       Magic Dragon     Low       Carnival Midway   Located by the front entrance . This midway has a lot of boardwalk carnival games to choose from that include great prizes .   N / A   N / A     Captain Ricky   The park 's official mascot . He is a bear who wears a pilot 's uniform .   N / A   N / A     Middle Earth Theater   A Medieval themed - show where guests can participate by dressing up into different costumes and being the stars of the show .   N / A   On rainy days , a puppet show is given .     Santa 's Barn   An enchanted Christmas forest which is Santa Claus ' summer home . Guests can tell Santa what they want for Christmas ahead of time and get free cookie cutters . There is also a pizza place ( Mama Santa 's Pizza ) , gift shop , and ice cream parlor ( Rudolph 's Ice Cream ) inside .   N / A   N / A     Arcade   The park also houses an arcade filled with video games where guests can win tickets to redeem for prizes .   N / A   N / A     Haunted House &amp; Cemetery   A haunted house full of scary things inside of it . Next to the haunted house is a cemetery .   N / A   N / A     Hay Ride   An authentic old - fashioned hay ride pulled by a tractor .   Low       World War II Airplane Cockpit   Guests can view and play with the controls in a replica World War II Airplane   N / A   N / A     Jenny Jump House   A historic house complete with an audio history about the legend of Jenny Jump .   N / A   N / A     Old MacDonald 's Farm   A petting zoo complete with live farm animals .   N / A   N / A     Colonel Corn , Famous Talking Scarecrow   Guests can interact with a scarecrow that talks .   N / A   N / A     Maze and Candy Cane Forest   A forest that is full of giant - sized candy canes and a maze that is located next to it . Both are located directly across from Santa 's Barn .   N / A   N / A     Family Picnic Grove   An area full of picnic tables where guests eat .   N / A   N / A     Land of Make Believe Mining Company     N / A   N / A     Pirate 's Cove   The park 's waterpark that is pirate themed .   Water rides ranging from low to high   N / A     Cookie House   The park 's gift shop .   N / A   N / A     Former rides and attractions ( edit )     Name   Description   Notes     Obstacle Course   A play obstacle course that featured cargo nets and a ball pit .   N / A     Frogger     This moderate ride was replaced by Free Fallin ' .     Little Dipper   A former roller coaster in the park .       Worm Ride         Water rides and attractions ( edit )     Name   Description   Thrill Type   Notes     Pirate 's Plunge and Pirate 's Cannonball   Pirate 's Plunge is a water ride where guests are taken down a slide , then down a huge plunge hole . Pirate 's Cannonball , on the other hand , is a water slide ride .   High   Tubes are required for Pirate 's Plunge , but not for Pirate 's Cannonball     Wading Pool   The wading pool is equipped with a pirate ship and small slides .   N / A   N / A     Blackbeard 's Action River Ride   A popular lazy river tube rafting ride .   Low   N / A     Pirate 's Escape   Guests are put inside a launch tube and then slide down   High   N / A     Sidewinder   Guests slide down a waterspray halfpipe .   High   This is the first Sidewinder water ride in the entire state of New Jersey .     The Black Hole   A tunnel like water slide .   High   Recommended for guests 8 and up .     Water Slides   Other water slides in the park include a blue waterslide and two white waterslides .   High       Blackbeard 's Pirate Fort   Another part of the waterpark that has a water play area and a water bucket .   N / A   N / A     References ( edit )    Jump up ^ `` Land of Make Believe - About Us '' . Retrieved 2013 - 05 - 19 .    External links ( edit )    Official site   Land of Make Believe at the Roller Coaster DataBase   Retrieved from `` https://en.wikipedia.org/w/index.php?title=Land_of_Make_Believe_(amusement_park)&amp;oldid=782734801 '' Categories :   1954 establishments in New Jersey   Amusement parks in New Jersey   Buildings and structures in Warren County , New Jersey   Hope Township , New Jersey   Tourist attractions in Warren County , New Jersey   Amusement parks opened in 1954   Hidden categories :   Pages using deprecated image syntax   Coordinates on Wikidata           Talk                                           Contents                   About Wikipedia                                           Add links   This page was last edited on 28 May 2017 , at 21 : 24 .         About Wikipedia                  </t>
  </si>
  <si>
    <t xml:space="preserve">the land of make believe hope new jersey</t>
  </si>
  <si>
    <t xml:space="preserve"> The Land of Make Believe is a family amusement park catering mostly to children under 8 years of age . Opened in 1954 , it is in Hope Township , New Jersey , United States , on County Route 611 , two miles from exit 12 off of Interstate 80 . It centers itself around `` Safe and wholesome recreation '' , with entertaining rides and attractions that are enjoyed mostly by children under 8 but also has some attractions for people of all ages but not so extreme that it scares off young children mixed in . </t>
  </si>
  <si>
    <t xml:space="preserve">Real Time with Bill Maher ( season 16 ) - wikipedia  Real Time with Bill Maher ( season 16 )     Real Time with Bill Maher ( season 16 )     Amazon Video purchase image     Country of origin   United States     Release     Original network   HBO     Original release   January 19 , 2018 ( 2018 - 01 - 19 )     Season chronology     ← Previous Season 15     List of Real Time with Bill Maher episodes     This is a list of episodes from the sixteenth season of Real Time with Bill Maher .   Contents    1 Episodes   1.1 Special ( 2018 )     2 References   3 External links    Episodes ( edit )  See also : List of Real Time with Bill Maher episodes    No . overall   No. in season   Guests   Original air date   U.S. viewers ( millions )     446     Larry Wilmore , Michael Wolff , Andrew Sullivan , Saru Jayaraman   January 19 , 2018 ( 2018 - 01 - 19 )   1.89     447     Roger McNamee , Rick Wilson , Ro Khanna , Michelle Goldberg , Zooey Deschanel   January 26 , 2018 ( 2018 - 01 - 26 )   1.85     448     Anthony Scaramucci , Donna Brazile , Richard Haass , David Frum   February 2 , 2018 ( 2018 - 02 - 02 )   1.91     449     Bari Weiss , Adam Schiff , April Ryan , Richard Painter , Johann Hari   February 9 , 2018 ( 2018 - 02 - 09 )   1.88     450   5   Salman Rushdie , Vicente Fox , Anna Deavere Smith , Fran Lebowitz   February 16 , 2018 ( 2018 - 02 - 16 )   1.84     451   6   Eric Holder , Jon Meacham , Amy Chua , David Hogg , Cameron Kasky   March 2 , 2018 ( 2018 - 03 - 02 )   1.91     452   7   Kathy Griffin , Ana Navarro , Erick Erickson , Bari Weiss , Trae Crowder   March 9 , 2018 ( 2018 - 03 - 09 )   1.97     453   8   Beto O'Rourke , Billy Bush , Andrew Ross Sorkin , Pete Dominick , Nayyera Haq   March 16 , 2018 ( 2018 - 03 - 16 )   1.86     454   9   Chris Hayes , Mitch Landrieu , Gina McCarthy , Mona Charen , Malcolm Nance   March 23 , 2018 ( 2018 - 03 - 23 )   1.80     455   10   Geraldo Rivera , Heather McGhee , Max Boot , Eliot Spitzer , Louie Anderson   April 6 , 2018 ( 2018 - 04 - 06 )   1.84     456   11   Brian Schatz , Andy Cohen , Jason Kander , Maya Wiley , Jonathan Chait   April 13 , 2018 ( 2018 - 04 - 13 )   1.56     457   12   Michael Avenatti , Frank Bruni , Alex Wagner , Jordan Peterson , Jay Inslee   April 20 , 2018 ( 2018 - 04 - 20 )   1.75     458   13   Ronan Farrow , Ross Douthat , Ian Bremmer , Ana Marie Cox , John Podhoretz   April 27 , 2018 ( 2018 - 04 - 27 )   1.68     459   14   Jon Meacham , Michael Hayden , Matt Welch , Sally Kohn , Michael Tubbs   May 4 , 2018 ( 2018 - 05 - 04 )   1.50     460   15   Ethan Hawke , Robert Reich , Killer Mike , Duncan D. Hunter   May 11 , 2018 ( 2018 - 05 - 11 )   1.52     461   16   Dan Savage , Bari Weiss , Evan McMullin , Dambisa Moyo , Clint Watts   May 18 , 2018 ( 2018 - 05 - 18 )   1.80     462   17   Bernie Sanders , Charlamagne tha God , Paul Begala , Bret Stephens , Natasha Bertrand   June 1 , 2018 ( 2018 - 06 - 01 )   1.77     463   18   Fareed Zakaria , John Heilemann , Michael Eric Dyson , Linda Chavez , Shermichael Singleton   June 8 , 2018 ( 2018 - 06 - 08 )   1.46     464   19   George Will , Karen Bass , Billy Eichner , Margaret Hoover , Michael Weiss   June 15 , 2018 ( 2018 - 06 - 15 )   1.68     465   20   Michael Smerconish , Michael Pollan , Neera Tanden , Colion Noir , Josh Barro   June 22 , 2018 ( 2018 - 06 - 22 )   1.57     466   21   Michael Moore , Bradley Whitford , Jennifer Rubin , Lawrence Wilkerson , Ben Shapiro   June 29 , 2018 ( 2018 - 06 - 29 )   1.67     467   22   Nancy MacLean , Steve Schmidt , Charles Blow , Malcolm Nance , Kristen Soltis Anderson   August 3 , 2018 ( 2018 - 08 - 03 )   1.44     468   23   D.L. Hughley , Lawrence O'Donnell , Seth Moulton , Steven Pinker , Christina Bellantoni   August 10 , 2018 ( 2018 - 08 - 10 )   1.59     469   24   Preet Bharara , Jennifer Granholm , Charlie Sykes , Jonathan Swan , Adam Conover   August 17 , 2018 ( 2018 - 08 - 17 )   1.69     470   25   John Brennan , David Corn , Rick Wilson , Saru Jayaraman , Kara Swisher   August 24 , 2018 ( 2018 - 08 - 24 )   1.66     471   26   Jim Carrey , David Axelrod , Charlie Dent , Michelle Goldberg , Jack Bryan   September 7 , 2018 ( 2018 - 09 - 07 )   1.68     472   27   John Kerry , Steve Ballmer , S.E. Cupp , Mark Leibovich , Richard Clarke   September 14 , 2018 ( 2018 - 09 - 14 )   1.74     473   28   Michael Moore , Thom Hartmann , P.J. O'Rourke , Catherine Rampell , Steve Hilton   September 21 , 2018 ( 2018 - 09 - 21 )   1.70     474   29   Steve Bannon , Neil deGrasse Tyson , Evelyn Farkas , Max Brooks , April Ryan   September 28 , 2018 ( 2018 - 09 - 28 )   1.76     475   30   Doris Kearns Goodwin , Soledad O'Brien , David Jolly , Andrew Sullivan , Jeff Bridges   October 5 , 2018 ( 2018 - 10 - 05 )   1.73     476   31   Omarosa Manigault Newman , Eddie Glaude , Steve Kornacki , Reihan Salam , Rebecca Traister   October 12 , 2018 ( 2018 - 10 - 12 )   1.74     477   32   Stormy Daniels , Anthony Scaramucci , Betsy Woodruff , Max Boot , Jonathan Haidt   October 26 , 2018 ( 2018 - 10 - 26 )   TBD     478   33   Barbra Streisand , Chelsea Handler , Jim VandeHei , Anthony Romero   November 2 , 2018 ( 2018 - 11 - 02 )   TBD     479   34     November 9 , 2018 ( 2018 - 11 - 09 )   TBD     480   35     November 16 , 2018 ( 2018 - 11 - 16 )   TBD     Special ( 2018 ) ( edit )     No .   Title   Original air date   U.S. viewers ( millions )     --   `` Anniversary Special ''   October 19 , 2018 ( 2018 - 10 - 19 )   1.51     References ( edit )    Jump up ^ `` Schedule Search Results for `` Real Time '' `` . HBO . Retrieved September 22 , 2018 .   Jump up ^ Metcalf , Mitch ( January 22 , 2018 ) . `` SHOWBUZZDAILY 's Top 150 Friday Cable Originals &amp; Network Finals : 1.19. 2018 '' . Showbuzz Daily . Retrieved January 25 , 2018 .   Jump up ^ Metcalf , Mitch ( January 29 , 2018 ) . `` SHOWBUZZDAILY 's Top 150 Friday Cable Originals &amp; Network Finals : 1.26. 2018 '' . ShowBuzz Daily . Retrieved February 24 , 2018 .   Jump up ^ Metcalf , Mitch ( February 5 , 2018 ) . `` SHOWBUZZDAILY 's Top 150 Friday Cable Originals &amp; Network Finals : 2.2. 2018 '' . ShowBuzz Daily . Retrieved February 24 , 2018 .   Jump up ^ Metcalf , Mitch ( February 12 , 2018 ) . `` SHOWBUZZDAILY 's Top 150 Friday Cable Originals &amp; Network Finals : 2.9. 2018 '' . ShowBuzz Daily . Retrieved February 24 , 2018 .   Jump up ^ Metcalf , Mitch ( February 20 , 2018 ) . `` SHOWBUZZDAILY 's Top 150 Friday Cable Originals &amp; Network Finals : 2.16. 2018 '' . ShowBuzz Daily . Retrieved February 24 , 2018 .   Jump up ^ Metcalf , Mitch ( March 5 , 2018 ) . `` SHOWBUZZDAILY 's Top 150 Friday Cable Originals &amp; Network Finals : 3.2. 2018 '' . ShowBuzz Daily . Retrieved October 5 , 2018 .   Jump up ^ Metcalf , Mitch ( March 12 , 2018 ) . `` SHOWBUZZDAILY 's Top 150 Friday Cable Originals &amp; Network Finals : 3.9. 2018 '' . ShowBuzz Daily . Retrieved October 5 , 2018 .   Jump up ^ Metcalf , Mitch ( March 19 , 2018 ) . `` SHOWBUZZDAILY 's Top 150 Friday Cable Originals &amp; Network Finals : 3.16. 2018 '' . ShowBuzz Daily . Retrieved October 5 , 2018 .   Jump up ^ Metcalf , Mitch ( March 26 , 2018 ) . `` SHOWBUZZDAILY 's Top 150 Friday Cable Originals &amp; Network Finals : 3.23. 2018 '' . ShowBuzz Daily . Retrieved October 5 , 2018 .   Jump up ^ Metcalf , Mitch ( April 9 , 2018 ) . `` SHOWBUZZDAILY 's Top 150 Friday Cable Originals &amp; Network Finals : 4.6. 2018 '' . ShowBuzz Daily . Retrieved October 5 , 2018 .   Jump up ^ Metcalf , Mitch ( April 16 , 2018 ) . `` SHOWBUZZDAILY 's Top 150 Friday Cable Originals &amp; Network Finals : 4.13. 2018 '' . ShowBuzz Daily . Retrieved October 5 , 2018 .   Jump up ^ Metcalf , Mitch ( April 23 , 2018 ) . `` SHOWBUZZDAILY 's Top 150 Friday Cable Originals &amp; Network Finals : 4.20. 2018 '' . ShowBuzz Daily . Retrieved October 5 , 2018 .   Jump up ^ Metcalf , Mitch ( April 30 , 2018 ) . `` SHOWBUZZDAILY 's Top 150 Friday Cable Originals &amp; Network Finals : 4.27. 2018 '' . ShowBuzz Daily . Retrieved October 5 , 2018 .   Jump up ^ Metcalf , Mitch ( May 7 , 2018 ) . `` SHOWBUZZDAILY 's Top 150 Friday Cable Originals &amp; Network Finals : 5.4. 2018 '' . ShowBuzz Daily . Retrieved October 1 , 2018 .   Jump up ^ Metcalf , Mitch ( May 14 , 2018 ) . `` SHOWBUZZDAILY 's Top 150 Friday Cable Originals &amp; Network Finals : 5.11. 2018 '' . ShowBuzz Daily . Retrieved October 1 , 2018 .   Jump up ^ Metcalf , Mitch ( May 21 , 2018 ) . `` SHOWBUZZDAILY 's Top 150 Friday Cable Originals &amp; Network Finals : 5.18. 2018 '' . ShowBuzz Daily . Retrieved October 1 , 2018 .   Jump up ^ Metcalf , Mitch ( June 4 , 2018 ) . `` SHOWBUZZDAILY 's Top 150 Friday Cable Originals &amp; Network Finals : 6.1. 2018 '' . ShowBuzz Daily . Retrieved October 1 , 2018 .   Jump up ^ Metcalf , Mitch ( June 11 , 2018 ) . `` SHOWBUZZDAILY 's Top 150 Friday Cable Originals &amp; Network Finals : 6.8. 2018 '' . ShowBuzz Daily . Retrieved October 1 , 2018 .   Jump up ^ Metcalf , Mitch ( June 18 , 2018 ) . `` SHOWBUZZDAILY 's Top 150 Friday Cable Originals &amp; Network Finals : 6.15. 2018 '' . ShowBuzz Daily . Retrieved October 1 , 2018 .   Jump up ^ Metcalf , Mitch ( June 25 , 2018 ) . `` SHOWBUZZDAILY 's Top 150 Friday Cable Originals &amp; Network Finals : 6.22. 2018 '' . ShowBuzz Daily . Retrieved October 1 , 2018 .   Jump up ^ Metcalf , Mitch ( July 2 , 2018 ) . `` SHOWBUZZDAILY 's Top 150 Friday Cable Originals &amp; Network Finals : 6.29. 2018 '' . ShowBuzz Daily . Retrieved October 1 , 2018 .   Jump up ^ Metcalf , Mitch ( August 6 , 2018 ) . `` SHOWBUZZDAILY 's Top 150 Friday Cable Originals &amp; Network Finals : 8.3. 2018 '' . ShowBuzz Daily . Retrieved October 1 , 2018 .   Jump up ^ Metcalf , Mitch ( August 13 , 2018 ) . `` SHOWBUZZDAILY 's Top 150 Friday Cable Originals &amp; Network Finals : 8.10. 2018 '' . ShowBuzz Daily . Retrieved October 1 , 2018 .   Jump up ^ Metcalf , Mitch ( August 20 , 2018 ) . `` SHOWBUZZDAILY 's Top 150 Friday Cable Originals &amp; Network Finals : 8.17. 2018 '' . ShowBuzz Daily . Retrieved October 1 , 2018 .   Jump up ^ Metcalf , Mitch ( August 27 , 2018 ) . `` SHOWBUZZDAILY 's Top 150 Friday Cable Originals &amp; Network Finals : 8.24. 2018 '' . ShowBuzz Daily . Retrieved October 1 , 2018 .   Jump up ^ Metcalf , Mitch ( September 10 , 2018 ) . `` SHOWBUZZDAILY 's Top 150 Friday Cable Originals &amp; Network Finals : 9.7. 2018 '' . ShowBuzz Daily . Retrieved October 1 , 2018 .   Jump up ^ Metcalf , Mitch ( September 17 , 2018 ) . `` SHOWBUZZDAILY 's Top 150 Friday Cable Originals &amp; Network Finals : 9.14. 2018 '' . ShowBuzz Daily . Retrieved October 1 , 2018 .   Jump up ^ Metcalf , Mitch ( September 24 , 2018 ) . `` SHOWBUZZDAILY 's Top 150 Friday Cable Originals &amp; Network Finals : 9.21. 2018 '' . ShowBuzz Daily . Retrieved October 1 , 2018 .   Jump up ^ Metcalf , Mitch ( October 1 , 2018 ) . `` SHOWBUZZDAILY 's Top 150 Friday Cable Originals &amp; Network Finals : 9.28. 2018 '' . ShowBuzz Daily . Retrieved October 5 , 2018 .   Jump up ^ Welch , Alex ( October 9 , 2018 ) . `` Friday cable ratings : MLB playoffs win the night , ' Real Time with Bill Maher ' ticks back down '' . TV By The Numbers . Retrieved October 9 , 2018 .   Jump up ^ Welch , Alex ( October 16 , 2018 ) . `` Friday cable ratings : ' Gold Rush ' premieres down , ' Real Time with Bill Maher ' holds steady '' . TV By The Numbers . Retrieved October 16 , 2018 .   Jump up ^ `` Real Time With Bill Maher : Anniversary Special '' . HBO . Retrieved September 22 , 2018 .   Jump up ^ Welch , Alex ( October 22 , 2018 ) . `` Friday cable ratings : MLB Playoffs lead the night , ' Gold Rush ' holds steady '' . TV By The Numbers . Retrieved October 26 , 2018 .    External links ( edit )    HBO.com Episode List   HBO.com Real Time with Bill Maher Free ( audio - only ) episodes and Overtime podcast   TV.com Episode Guide   List of Real Time with Bill Maher episodes on IMDb              Real Time with Bill Maher seasons               5   6   7   8   9   10   11   12   13   14   15   16      Retrieved from `` https://en.wikipedia.org/w/index.php?title=Real_Time_with_Bill_Maher_(season_16)&amp;oldid=865928238 '' Categories :   Real Time with Bill Maher seasons   2018 American television seasons           Talk                                           Contents                   About Wikipedia                                           Add links   This page was last edited on 27 October 2018 , at 03 : 02 ( UTC ) .         About Wikipedia                    </t>
  </si>
  <si>
    <t xml:space="preserve">when does real time with bill maher come back</t>
  </si>
  <si>
    <t xml:space="preserve">   No . overall   No. in season   Guests   Original air date   U.S. viewers ( millions )     446     Larry Wilmore , Michael Wolff , Andrew Sullivan , Saru Jayaraman   January 19 , 2018 ( 2018 - 01 - 19 )   1.89     447     Roger McNamee , Rick Wilson , Ro Khanna , Michelle Goldberg , Zooey Deschanel   January 26 , 2018 ( 2018 - 01 - 26 )   1.85     448     Anthony Scaramucci , Donna Brazile , Richard Haass , David Frum   February 2 , 2018 ( 2018 - 02 - 02 )   1.91     449     Bari Weiss , Adam Schiff , April Ryan , Richard Painter , Johann Hari   February 9 , 2018 ( 2018 - 02 - 09 )   1.88     450   5   Salman Rushdie , Vicente Fox , Anna Deavere Smith , Fran Lebowitz   February 16 , 2018 ( 2018 - 02 - 16 )   1.84     451   6   Eric Holder , Jon Meacham , Amy Chua , David Hogg , Cameron Kasky   March 2 , 2018 ( 2018 - 03 - 02 )   1.91     452   7   Kathy Griffin , Ana Navarro , Erick Erickson , Bari Weiss , Trae Crowder   March 9 , 2018 ( 2018 - 03 - 09 )   1.97     453   8   Beto O'Rourke , Billy Bush , Andrew Ross Sorkin , Pete Dominick , Nayyera Haq   March 16 , 2018 ( 2018 - 03 - 16 )   1.86     454   9   Chris Hayes , Mitch Landrieu , Gina McCarthy , Mona Charen , Malcolm Nance   March 23 , 2018 ( 2018 - 03 - 23 )   1.80     455   10   Geraldo Rivera , Heather McGhee , Max Boot , Eliot Spitzer , Louie Anderson   April 6 , 2018 ( 2018 - 04 - 06 )   1.84     456   11   Brian Schatz , Andy Cohen , Jason Kander , Maya Wiley , Jonathan Chait   April 13 , 2018 ( 2018 - 04 - 13 )   1.56     457   12   Michael Avenatti , Frank Bruni , Alex Wagner , Jordan Peterson , Jay Inslee   April 20 , 2018 ( 2018 - 04 - 20 )   1.75     458   13   Ronan Farrow , Ross Douthat , Ian Bremmer , Ana Marie Cox , John Podhoretz   April 27 , 2018 ( 2018 - 04 - 27 )   1.68     459   14   Jon Meacham , Michael Hayden , Matt Welch , Sally Kohn , Michael Tubbs   May 4 , 2018 ( 2018 - 05 - 04 )   1.50     460   15   Ethan Hawke , Robert Reich , Killer Mike , Duncan D. Hunter   May 11 , 2018 ( 2018 - 05 - 11 )   1.52     461   16   Dan Savage , Bari Weiss , Evan McMullin , Dambisa Moyo , Clint Watts   May 18 , 2018 ( 2018 - 05 - 18 )   1.80     462   17   Bernie Sanders , Charlamagne tha God , Paul Begala , Bret Stephens , Natasha Bertrand   June 1 , 2018 ( 2018 - 06 - 01 )   1.77     463   18   Fareed Zakaria , John Heilemann , Michael Eric Dyson , Linda Chavez , Shermichael Singleton   June 8 , 2018 ( 2018 - 06 - 08 )   1.46     464   19   George Will , Karen Bass , Billy Eichner , Margaret Hoover , Michael Weiss   June 15 , 2018 ( 2018 - 06 - 15 )   1.68     465   20   Michael Smerconish , Michael Pollan , Neera Tanden , Colion Noir , Josh Barro   June 22 , 2018 ( 2018 - 06 - 22 )   1.57     466   21   Michael Moore , Bradley Whitford , Jennifer Rubin , Lawrence Wilkerson , Ben Shapiro   June 29 , 2018 ( 2018 - 06 - 29 )   1.67     467   22   Nancy MacLean , Steve Schmidt , Charles Blow , Malcolm Nance , Kristen Soltis Anderson   August 3 , 2018 ( 2018 - 08 - 03 )   1.44     468   23   D.L. Hughley , Lawrence O'Donnell , Seth Moulton , Steven Pinker , Christina Bellantoni   August 10 , 2018 ( 2018 - 08 - 10 )   1.59     469   24   Preet Bharara , Jennifer Granholm , Charlie Sykes , Jonathan Swan , Adam Conover   August 17 , 2018 ( 2018 - 08 - 17 )   1.69     470   25   John Brennan , David Corn , Rick Wilson , Saru Jayaraman , Kara Swisher   August 24 , 2018 ( 2018 - 08 - 24 )   1.66     471   26   Jim Carrey , David Axelrod , Charlie Dent , Michelle Goldberg , Jack Bryan   September 7 , 2018 ( 2018 - 09 - 07 )   1.68     472   27   John Kerry , Steve Ballmer , S.E. Cupp , Mark Leibovich , Richard Clarke   September 14 , 2018 ( 2018 - 09 - 14 )   1.74     473   28   Michael Moore , Thom Hartmann , P.J. O'Rourke , Catherine Rampell , Steve Hilton   September 21 , 2018 ( 2018 - 09 - 21 )   1.70     474   29   Steve Bannon , Neil deGrasse Tyson , Evelyn Farkas , Max Brooks , April Ryan   September 28 , 2018 ( 2018 - 09 - 28 )   1.76     475   30   Doris Kearns Goodwin , Soledad O'Brien , David Jolly , Andrew Sullivan , Jeff Bridges   October 5 , 2018 ( 2018 - 10 - 05 )   1.73     476   31   Omarosa Manigault Newman , Eddie Glaude , Steve Kornacki , Reihan Salam , Rebecca Traister   October 12 , 2018 ( 2018 - 10 - 12 )   1.74     477   32   Stormy Daniels , Anthony Scaramucci , Betsy Woodruff , Max Boot , Jonathan Haidt   October 26 , 2018 ( 2018 - 10 - 26 )   TBD     478   33   Barbra Streisand , Chelsea Handler , Jim VandeHei , Anthony Romero   November 2 , 2018 ( 2018 - 11 - 02 )   TBD     479   34     November 9 , 2018 ( 2018 - 11 - 09 )   TBD     480   35     November 16 , 2018 ( 2018 - 11 - 16 )   TBD   </t>
  </si>
  <si>
    <t xml:space="preserve">List of presidents of the United States by time in office - wikipedia  List of presidents of the United States by time in office      Franklin Delano Roosevelt Longest presidency 4,422 days 1933 -- 1945      William Henry Harrison Shortest presidency 31 days 1841     This is a list of Presidents of the United States by time in office . The basis of the list is the difference between dates ; if counted by number of calendar days all the figures would be one greater , with the exception of Grover Cleveland , who would receive two days .   Since 1789 , there have been 44 people sworn into office as President of the United States , and 45 presidencies , as Grover Cleveland served two non-consecutive terms and is counted chronologically as both the 22nd and 24th president . Of the individuals elected president , four ( William Henry Harrison , Zachary Taylor , Warren G. Harding , and Franklin D. Roosevelt ) died of natural causes while in office , four ( Abraham Lincoln , James A. Garfield , William McKinley , and John F. Kennedy ) were assassinated , and one ( Richard Nixon ) resigned .   William Henry Harrison spent the shortest time in office , and Franklin D. Roosevelt spent the longest . He is the only president to have served more than two terms . Following ratification of the 22nd Amendment in 1951 , presidents -- beginning with Dwight D. Eisenhower -- have been ineligible for election to a third term or for election to a second full term after serving more than two years of a term to which some other person was elected president . The amendment contained a grandfather clause that explicitly exempted the incumbent president -- then Harry S. Truman -- from the new term limitations .   Contents    1 Presidents by time in office   1.1 Notes     2 References   3 External links    Presidents by time in office ( edit )     Rank   President   Length in days   Order of presidency   Number of terms       Franklin D. Roosevelt   7003442200000000000 ♠ 4,422   32nd March 4 , 1933 -- April 12 , 1945   Three full terms ; died 2 months and 23 days into fourth term     tie   Thomas Jefferson   7003292200000000000 ♠ 2,922   3rd March 4 , 1801 -- March 4 , 1809   Two full terms     James Madison   7003292200000000000 ♠ 2,922   4th March 4 , 1809 -- March 4 , 1817   Two full terms     James Monroe   7003292200000000000 ♠ 2,922   5th March 4 , 1817 -- March 4 , 1825   Two full terms     Andrew Jackson   7003292200000000000 ♠ 2,922   7th March 4 , 1829 -- March 4 , 1837   Two full terms     Ulysses S. Grant   7003292200000000000 ♠ 2,922   18th March 4 , 1869 -- March 4 , 1877   Two full terms     Grover Cleveland   2,922   22nd March 4 , 1885 -- March 4 , 1889   Two full terms ( non-consecutive )     24th March 4 , 1893 -- March 4 , 1897     Woodrow Wilson   7003292200000000000 ♠ 2,922   28th March 4 , 1913 -- March 4 , 1921   Two full terms     Dwight D. Eisenhower   7003292200000000000 ♠ 2,922   34th January 20 , 1953 -- January 20 , 1961   Two full terms     Ronald Reagan   7003292200000000000 ♠ 2,922   40th January 20 , 1981 -- January 20 , 1989   Two full terms     Bill Clinton   7003292200000000000 ♠ 2,922   42nd January 20 , 1993 -- January 20 , 2001   Two full terms     George W. Bush   7003292200000000000 ♠ 2,922   43rd January 20 , 2001 -- January 20 , 2009   Two full terms     Barack Obama   7003292200000000000 ♠ 2,922   44th January 20 , 2009 -- January 20 , 2017   Two full terms     14   George Washington   7003286500000000000 ♠ 2,865   1st April 30 , 1789 -- March 4 , 1797   Two full terms     15   Harry S. Truman   7003284000000000000 ♠ 2,840   33rd April 12 , 1945 -- January 20 , 1953   One partial term ( 3 years , 9 months , and 8 days ) , followed by one full term     16   Theodore Roosevelt   7003272800000000000 ♠ 2,728   26th September 14 , 1901 -- March 4 , 1909   One partial term ( 3 years , 5 months , and 18 days ) , followed by one full term     17   Calvin Coolidge   7003204100000000000 ♠ 2,041   30th August 2 , 1923 -- March 4 , 1929   One partial term ( 1 year , 7 months , and 2 days ) , followed by one full term     18   Richard Nixon   7003202700000000000 ♠ 2,027   37th January 20 , 1969 -- August 9 , 1974   One full term ; resigned 1 year , 6 months , and 20 days into second term     19   Lyndon B. Johnson   7003188600000000000 ♠ 1,886   36th November 22 , 1963 -- January 20 , 1969   One partial term ( 1 year , 1 month , and 29 days ) , followed by one full term     20   William McKinley   7003165400000000000 ♠ 1,654   25th March 4 , 1897 -- September 14 , 1901   One full term ; assassinated 6 months and 2 days into second term , dying 8 days later , 6 months and 10 days into that term     21   Abraham Lincoln   7003150300000000000 ♠ 1,503   16th March 4 , 1861 -- April 15 , 1865   One full term ; assassinated 1 month and 10 days into second term , dying 1 day later , 1 month and 11 days into that term     22 tie   John Quincy Adams   7003146100000000000 ♠ 1,461   6th March 4 , 1825 -- March 4 , 1829   One full term     Martin Van Buren   7003146100000000000 ♠ 1,461   8th March 4 , 1837 -- March 4 , 1841   One full term     James K. Polk   7003146100000000000 ♠ 1,461   11th March 4 , 1845 -- March 4 , 1849   One full term     Franklin Pierce   7003146100000000000 ♠ 1,461   14th March 4 , 1853 -- March 4 , 1857   One full term     James Buchanan   7003146100000000000 ♠ 1,461   15th March 4 , 1857 -- March 4 , 1861   One full term     Rutherford B. Hayes   7003146100000000000 ♠ 1,461   19th March 4 , 1877 -- March 4 , 1881   One full term     Benjamin Harrison   7003146100000000000 ♠ 1,461   23rd March 4 , 1889 -- March 4 , 1893   One full term     William Howard Taft   7003146100000000000 ♠ 1,461   27th March 4 , 1909 -- March 4 , 1913   One full term     Herbert Hoover   7003146100000000000 ♠ 1,461   31st March 4 , 1929 -- March 4 , 1933   One full term     Jimmy Carter   7003146100000000000 ♠ 1,461   39th January 20 , 1977 -- January 20 , 1981   One full term     George H.W. Bush   7003146100000000000 ♠ 1,461   41st January 20 , 1989 -- January 20 , 1993   One full term     33   John Adams   7003146000000000000 ♠ 1,460   2nd March 4 , 1797 -- March 4 , 1801   One full term     34   John Tyler   7003143000000000000 ♠ 1,430   10th April 4 , 1841 -- March 4 , 1845   One partial term ( 3 years and 11 months )     35   Andrew Johnson   7003141900000000000 ♠ 1,419   17th April 15 , 1865 -- March 4 , 1869   One partial term ( 3 years , 10 months , and 17 days )     36   Chester A. Arthur   7003126200000000000 ♠ 1,262   21st September 19 , 1881 -- March 4 , 1885   One partial term ( 3 years , 5 months , and 13 days )     37   John F. Kennedy   7003103600000000000 ♠ 1,036   35th January 20 , 1961 -- November 22 , 1963   Assassinated 2 years , 10 months , and 2 days into term     38   Millard Fillmore   7002969000000000000 ♠ 969   13th July 9 , 1850 -- March 4 , 1853   One partial term ( 2 years , 7 months , and 23 days )     39   Gerald Ford   7002895000000000000 ♠ 895   38th August 9 , 1974 -- January 20 , 1977   One partial term ( 2 years , 5 months , and 11 days )     40   Warren G. Harding   7002881000000000000 ♠ 881   29th March 4 , 1921 -- August 2 , 1923   Died 2 years , 4 months , and 29 days into term     41   Donald Trump   7002568000000000000 ♠ 568   45th January 20 , 2017 -- Incumbent   Serving first term     42   Zachary Taylor   7002492000000000000 ♠ 492   12th March 4 , 1849 -- July 9 , 1850   Died 1 year , 4 months , and 5 days into term     43   James A. Garfield   7002199000000000000 ♠ 199   20th March 4 , 1881 -- September 19 , 1881   Assassinated 3 months and 28 days into term , dying 79 days later , 6 months and 15 days into term     44   William Henry Harrison   7001310000000000000 ♠ 31   9th March 4 , 1841 -- April 4 , 1841   Died 31 days into term     Notes ( edit )    Jump up ^ The 20th Amendment ( ratified in 1933 ) moved Inauguration Day from March 4 to January 20 . The 1937 presidential inauguration was the first to take place on the new date . As a result , Franklin D. Roosevelt 's first term in office ( 1933 -- 1937 ) was only 7003141800000000000 ♠ 1,418 days long , 1 month and 12 days shorter than a normal term .   ^ Jump up to : Died in office   Jump up ^ Did not seek re-election in 1876 . He sought a non-consecutive third term in 1880 , but was defeated for renomination at the Republican National Convention .   Jump up ^ Each of Grover Cleveland 's two non-consecutive terms in office was 1,461 days long .   ^ Jump up to : Incumbent president who sought a second term but was defeated in a quadrennial presidential election .   ^ Jump up to : Of years evenly divisible by 100 , only those evenly divisible by 400 are leap years . The years 1800 and 1900 are divisible by 100 , but not by 400 . Thus , John Adams 's term and McKinley 's first term did not include a 366 - day leap year , so those terms were one day shorter than a normal full term . The year 2000 is divisible by 400 and so did include one , thus Clinton 's second term was not shorter than his first .   Jump up ^ Due to logistical delays , Washington 's first inauguration was held 1 month and 26 days after the scheduled start of operations of the new government under the Constitution . As a result , his first term was only 7003140400000000000 ♠ 1,404 days long , and was the shortest term for a U.S. president who neither died in office nor resigned .   ^ Jump up to : Succeeded to presidency .   Jump up ^ Did not seek re-election in 1908 . In 1912 , he ran for a non-consecutive second full term , this time on the Progressive Party ticket , but was defeated .   Jump up ^ Resigned from office   Jump up ^ Subsequently sought a non-consecutive second term , first in 1844 , but was defeated for renomination at the Democratic National Convention , and then again in 1848 ( this time on the Free Soil Party ticket ) , but was defeated .   Jump up ^ The only incumbent president who had never been elected to national office , he sought election to a full term in 1976 , but was defeated .   Jump up ^ As of August 11 , 2018 .    References ( edit )    Jump up ^ Cleaves , Freeman ( 1939 ) . Old Tippecanoe : William Henry Harrison and His Time . C. Scribner 's Sons . p. 152 .   Jump up ^ Ingersoll , Jared . `` Death of the President '' . University of Virginia 's Miller Center of Public Affairs . Archived from the original on October 8 , 2010 . Retrieved November 2 , 2010 .   Jump up ^ Russell , Francis ( 1962 ) . The Shadow of Blooming Grove -- Warren G. Harding in His Times . Easton Press . p. 591 . ISBN 0070543380 .   ^ Jump up to : Martin , Paul `` Lincoln 's Missing Bodyguard '' , Smithsonian Magazine , April 8 , 2010 , Retrieved November 15 , 2010   Jump up ^ Donald ( 1996 ) , p. 597 .   Jump up ^ `` Big Ben Parker and President McKinley 's Assassination '' . Math.buffalo.edu . Retrieved August 8 , 2011 .   Jump up ^ `` Nixon Resigns '' . The Washington Post . Retrieved December 31 , 2008 .    External links ( edit )       Wikimedia Commons has media related to President of the United States .      Millercenter.org , American President : A Reference Resource   Whitehouse.gov , The Presidents              Lists related to the Presidents and Vice Presidents of the United States       List of Presidents   List of Vice Presidents       Presidents     Age   Autobiographies   Burial places   Death   Historical rankings   Lifespan timeline   Number living   Time in office   Portraits       Professional careers     Approval rating   Assassination attempts and plots   Campaign slogans   Control of Congress   Doctrines   Inaugurations   International trips   Judicial appointments   Libraries   Military rank   Military service   Other offices held   Pardons   Previous experience   Vetoes       Personal life     Coats of arms   Deaths in office   Education   Facial hair   Firsts   Freemasons   Multilingualism   Net worth   Nicknames   Pets   Home state   Religious affiliation   Residences   Slave owners       Vice Presidents     Age   Burial places   Coats of arms   Education   Number living   Other offices held   Place of primary affiliation   Religious affiliation   Tie - breaking votes   Time in office       Succession     Acting President   Designated survivor   Line of succession       Elections     Electoral College margin   Popular vote margin   Summary   Winner lost popular vote       Candidates     Democrat   Republican   Third party   Green   Libertarian   Progressive   National Republican / Whig   African American   Female   Received at least one electoral vote   Number of votes received   Height   Unsuccessful major party candidates   Lost their home state       Families     First Families   First Ladies   Second Ladies   Children       Namesakes , honors     Memorial sites   U.S. postage stamp appearances   Educational institution names   Currency appearances   U.S. county names   U.S. Senate vice presidential bust collection       In fiction     Presidents   actors     Vice Presidents   actors     Candidates   Line of succession         U.S. Government Portal   Biography Portal   Presidents of the United States      Retrieved from `` https://en.wikipedia.org/w/index.php?title=List_of_Presidents_of_the_United_States_by_time_in_office&amp;oldid=853696869 '' Categories :   Lists of people by time in office   Lists relating to the United States presidency           Talk                                           Contents                   About Wikipedia                                           Italiano   Português   Română   Edit links   This page was last edited on 6 August 2018 , at 12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</si>
  <si>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last president to not get reelected</t>
  </si>
  <si>
    <t xml:space="preserve">   Rank   President   Length in days   Order of presidency   Number of terms       Franklin D. Roosevelt   7003442200000000000 ♠ 4,422   32nd March 4 , 1933 -- April 12 , 1945   Three full terms ; died 2 months and 23 days into fourth term     tie   Thomas Jefferson   7003292200000000000 ♠ 2,922   3rd March 4 , 1801 -- March 4 , 1809   Two full terms     James Madison   7003292200000000000 ♠ 2,922   4th March 4 , 1809 -- March 4 , 1817   Two full terms     James Monroe   7003292200000000000 ♠ 2,922   5th March 4 , 1817 -- March 4 , 1825   Two full terms     Andrew Jackson   7003292200000000000 ♠ 2,922   7th March 4 , 1829 -- March 4 , 1837   Two full terms     Ulysses S. Grant   7003292200000000000 ♠ 2,922   18th March 4 , 1869 -- March 4 , 1877   Two full terms     Grover Cleveland   2,922   22nd March 4 , 1885 -- March 4 , 1889   Two full terms ( non-consecutive )     24th March 4 , 1893 -- March 4 , 1897     Woodrow Wilson   7003292200000000000 ♠ 2,922   28th March 4 , 1913 -- March 4 , 1921   Two full terms     Dwight D. Eisenhower   7003292200000000000 ♠ 2,922   34th January 20 , 1953 -- January 20 , 1961   Two full terms     Ronald Reagan   7003292200000000000 ♠ 2,922   40th January 20 , 1981 -- January 20 , 1989   Two full terms     Bill Clinton   7003292200000000000 ♠ 2,922   42nd January 20 , 1993 -- January 20 , 2001   Two full terms     George W. Bush   7003292200000000000 ♠ 2,922   43rd January 20 , 2001 -- January 20 , 2009   Two full terms     Barack Obama   7003292200000000000 ♠ 2,922   44th January 20 , 2009 -- January 20 , 2017   Two full terms     14   George Washington   7003286500000000000 ♠ 2,865   1st April 30 , 1789 -- March 4 , 1797   Two full terms     15   Harry S. Truman   7003284000000000000 ♠ 2,840   33rd April 12 , 1945 -- January 20 , 1953   One partial term ( 3 years , 9 months , and 8 days ) , followed by one full term     16   Theodore Roosevelt   7003272800000000000 ♠ 2,728   26th September 14 , 1901 -- March 4 , 1909   One partial term ( 3 years , 5 months , and 18 days ) , followed by one full term     17   Calvin Coolidge   7003204100000000000 ♠ 2,041   30th August 2 , 1923 -- March 4 , 1929   One partial term ( 1 year , 7 months , and 2 days ) , followed by one full term     18   Richard Nixon   7003202700000000000 ♠ 2,027   37th January 20 , 1969 -- August 9 , 1974   One full term ; resigned 1 year , 6 months , and 20 days into second term     19   Lyndon B. Johnson   7003188600000000000 ♠ 1,886   36th November 22 , 1963 -- January 20 , 1969   One partial term ( 1 year , 1 month , and 29 days ) , followed by one full term     20   William McKinley   7003165400000000000 ♠ 1,654   25th March 4 , 1897 -- September 14 , 1901   One full term ; assassinated 6 months and 2 days into second term , dying 8 days later , 6 months and 10 days into that term     21   Abraham Lincoln   7003150300000000000 ♠ 1,503   16th March 4 , 1861 -- April 15 , 1865   One full term ; assassinated 1 month and 10 days into second term , dying 1 day later , 1 month and 11 days into that term     22 tie   John Quincy Adams   7003146100000000000 ♠ 1,461   6th March 4 , 1825 -- March 4 , 1829   One full term     Martin Van Buren   7003146100000000000 ♠ 1,461   8th March 4 , 1837 -- March 4 , 1841   One full term     James K. Polk   7003146100000000000 ♠ 1,461   11th March 4 , 1845 -- March 4 , 1849   One full term     Franklin Pierce   7003146100000000000 ♠ 1,461   14th March 4 , 1853 -- March 4 , 1857   One full term     James Buchanan   7003146100000000000 ♠ 1,461   15th March 4 , 1857 -- March 4 , 1861   One full term     Rutherford B. Hayes   7003146100000000000 ♠ 1,461   19th March 4 , 1877 -- March 4 , 1881   One full term     Benjamin Harrison   7003146100000000000 ♠ 1,461   23rd March 4 , 1889 -- March 4 , 1893   One full term     William Howard Taft   7003146100000000000 ♠ 1,461   27th March 4 , 1909 -- March 4 , 1913   One full term     Herbert Hoover   7003146100000000000 ♠ 1,461   31st March 4 , 1929 -- March 4 , 1933   One full term     Jimmy Carter   7003146100000000000 ♠ 1,461   39th January 20 , 1977 -- January 20 , 1981   One full term     George H.W. Bush   7003146100000000000 ♠ 1,461   41st January 20 , 1989 -- January 20 , 1993   One full term     33   John Adams   7003146000000000000 ♠ 1,460   2nd March 4 , 1797 -- March 4 , 1801   One full term     34   John Tyler   7003143000000000000 ♠ 1,430   10th April 4 , 1841 -- March 4 , 1845   One partial term ( 3 years and 11 months )     35   Andrew Johnson   7003141900000000000 ♠ 1,419   17th April 15 , 1865 -- March 4 , 1869   One partial term ( 3 years , 10 months , and 17 days )     36   Chester A. Arthur   7003126200000000000 ♠ 1,262   21st September 19 , 1881 -- March 4 , 1885   One partial term ( 3 years , 5 months , and 13 days )     37   John F. Kennedy   7003103600000000000 ♠ 1,036   35th January 20 , 1961 -- November 22 , 1963   Assassinated 2 years , 10 months , and 2 days into term     38   Millard Fillmore   7002969000000000000 ♠ 969   13th July 9 , 1850 -- March 4 , 1853   One partial term ( 2 years , 7 months , and 23 days )     39   Gerald Ford   7002895000000000000 ♠ 895   38th August 9 , 1974 -- January 20 , 1977   One partial term ( 2 years , 5 months , and 11 days )     40   Warren G. Harding   7002881000000000000 ♠ 881   29th March 4 , 1921 -- August 2 , 1923   Died 2 years , 4 months , and 29 days into term     41   Donald Trump   7002568000000000000 ♠ 568   45th January 20 , 2017 -- Incumbent   Serving first term     42   Zachary Taylor   7002492000000000000 ♠ 492   12th March 4 , 1849 -- July 9 , 1850   Died 1 year , 4 months , and 5 days into term     43   James A. Garfield   7002199000000000000 ♠ 199   20th March 4 , 1881 -- September 19 , 1881   Assassinated 3 months and 28 days into term , dying 79 days later , 6 months and 15 days into term     44   William Henry Harrison   7001310000000000000 ♠ 31   9th March 4 , 1841 -- April 4 , 1841   Died 31 days into term   </t>
  </si>
  <si>
    <r>
      <rPr>
        <sz val="11"/>
        <color rgb="FF000000"/>
        <rFont val="Calibri"/>
        <family val="0"/>
        <charset val="1"/>
      </rPr>
      <t xml:space="preserve">Johnnycake - wikipedia  Johnnycake  Jump to : navigation , search For the community in McDowell County , West Virginia , see Johnnycake , West Virginia . For the episode of The Sopranos , see Johnny Cakes ( The Sopranos ) .  Johnnycake   A Johnnycake in a cast iron fry pan     Alternative names   Jonnycake , shawnee cake , hoecake , johnny cake , journey cake , and johnny bread     Place of origin   United States     Main ingredients   Cornmeal     Cookbook : Johnnycake Media : Johnnycake     Johnnycake ( also called journey cake , shawnee cake or johnny bread ) is a cornmeal flatbread . An early American staple food , it is prepared on the Atlantic coast from Newfoundland to Jamaica . The food originates from the native inhabitants of North America . It is still eaten in the West Indies , Dominican Republic , Saint Croix , Bahamas , Colombia , and Bermuda as well as in the United States and Canada .   The modern johnnycake is found in the cuisine of New England , and often claimed as originating in Rhode Island . A modern johnnycake is fried cornmeal gruel , which is made from yellow or white cornmeal mixed with salt and hot water or milk , and sometimes sweetened . In the Southern United States , the word used is hoecake , although this can also refer to cornbread fried in a pan .     Contents  ( hide )   1 Etymology   1.1 Johnnycake   1.2 Hoecake     2 Origin   3 Preparation   4 Variations   4.1 Australia   4.2 Dominican Republic   4.3 Puerto Rico   4.4 Jamaica   4.5 United States     5 See also   6 References   7 Further reading      Etymology ( edit )  Kenyon Corn Meal Company , a gristmill in Usquepaug , Rhode Island . The building shown was built in 1886 , and company history dates from the early 1700s or earlier .  Johnnycake ( edit )   The earliest attestation of the term `` johnny cake '' is from 1739 ( in South Carolina ) ; the spelling `` journey cake '' is only attested from 1775 on the Gulf Coast , but may be the earlier form .   The word is likely based on the word `` Jonakin , '' recorded in New England in 1765 , itself derived from the word `` jannock , '' recorded in Northern England in the sixteenth century . According to Edward Ellis Morris , the term was the name given `` ... by the ( American ) negroes to a cake made of Indian corn ( maize ) . ''   Another suggested derivation is that it comes from Shawnee cake although some writers disagree .   Hoecake ( edit )   According to the Oxford English Dictionary , the term hoecake first occurs in 1745 , and the term is used by American writers such as Joel Barlow and Washington Irving . The origin of the name is the method of preparation : they were cooked on a type of iron pan called a hoe . There is conflicting evidence regarding the common belief that they were cooked on the blades of gardening hoes . A hoecake can be made either out of cornbread batter or leftover biscuit dough . A cornbread hoecake is thicker than a cornbread pancake .   Origin ( edit )   Native Americans were using ground corn for cooking long before European explorers arrived in the New World . The johnnycake originates with the native inhabitants of Northern America ; the Algonquians of the Atlantic seaboard are credited with teaching Europeans how to make the food .   Southern Native American culture ( Cherokee , Chickasaw , Choctaw , Creek ) is the cornerstone of Southern cuisine . From this culture came one of the main staples of the Southern diet : corn ( maize ) . Corn was used to make all kinds of dishes from the familiar cornbread and grits to liquors such as whiskey and moonshine , which were important trade items . Cornbread was popular during the American Civil War because it was very cheap and could be made in many different sizes and forms . It could be fashioned into high - rising , fluffy loaves or simply fried for a fast meal .   To a far greater degree than anyone realizes , several of the most important food dishes that the Southeastern Indians live on today is the `` soul food '' eaten by both black and white Southerners . Hominy , for example , is still eaten ... Sofkee live on as grits ... cornbread ( is ) used by Southern cooks ... Indian fritters ... variously known as `` hoe cake '' , ... or `` Johnny cake . '' ... Indian boiled cornbread is present in Southern cuisine as `` corn meal dumplings '' , ... and as `` hush puppies '' , ... Southerners cook their beans and field peas by boiling them , as did the Indians ... like the Indians they cure their meat and smoke it over hickory coals .   Preparation ( edit )  Johnnycakes on a plate  Johnnycakes are an unleavened cornbread made of cornmeal ( but see the Australian version below ) , salt , and water . Early cooks set thick corn dough on a wooden board or barrel stave , which they leaned on a piece of wood or a rock in front of an open fire to bake . Hoecake was traditionally cooked on a hoe : `` Hoe - Cake : A cake of Indian meal , baked before the fire . In the interior parts of the country , where kitchen utensils do not abound , they are baked on a hoe ; hence the name . ''   In the American south during the 18th century versions were made with rice or hominy flour and perhaps cassava . A 1905 cookbook includes a recipe for `` Alabama Johnny Cake '' made with rice and ' meal ' .   The difference between johnnycake and hoecake originally lay in the method of preparation , though today both are often cooked on a griddle or in a skillet . Some recipes call for baking johnnycakes in an oven , similar to corn pones , which are still baked in the oven as they were traditionally .   Johnnycakes may also be made using leavening , with or without other ingredients more commonly associated with American pancakes , such as eggs or solid fats like butter . Like pancakes , they are often served with maple syrup , honey , or other sweet toppings .   According to the manuscript of America Eats , a WPA guide to American food culture in the beginning decades of the twentieth century , Rhode Island `` jonny cakes '' were made in the 1930s as follows :   In preparation , ( white corn ) meal may or may not be scalded with hot water or hot milk in accordance to preference . After mixing meal with water or milk it is dropped on a smoking hot spider ( pan ) set atop a stove into cakes about 3 `` x3 '' x1 / 2 '' in size . The secret of cooking jonny cakes is to watch them closely and keep them supplied with enough sausage or bacon fat so they will become crisp , and not burn . Cook slowly for half an hour , turn occasionally , and when done serve with plenty of butter .   Variations ( edit )   Australia ( edit )   In Australia , `` Johnnycake '' refers to a quick bread made with flour rather than cornmeal ; the cakes are baked in the hot ashes of a fire or fried in fat on a skillet .   Dominican Republic ( edit )  Dominican style Yaniqueques  Yaniqueques or yanikeke are a Dominican Republic version of the jonnycake , supposedly brought over in the 19th century by the Cocolos , or English - speaking migrants ( possibly of Afro - Caribbean descent ) . These cakes are made with flour , baking powder , butter and water ; however , they are typically deep - fried . They are a popular beach snack , especially in Boca Chica .   Puerto Rico ( edit )   Both flour and cornmeal johnnycakes are popular beach food in Puerto Rico . They came to Puerto Rico from different parts of the Caribbean , notably of Dominican and Jamaican descent . They are deep - fried as most johnnycakes are and stuffed with seafood or as a sweet snack similar to funnel cake sprinkled with sugar and cinnamon . The recipe is similar to that found in other regions ; flour or cornmeal with butter and baking soda are standard , but sometimes coconut milk is used instead of water .   Jamaica ( edit )   Johnnycake is a traditional staple across the island . Some people call these fried dumplings whilst others say fried Johnnycakes . Recipe incorporates flour , sugar , salt , baking powder , margarine or butter and water or milk . Once kneaded , the dough is fried in cooking oil .   United States ( edit )   The modern jonnycake is a staple in the cuisine of New England and New Englanders claim it originated in Rhode Island . A modern jonnycake is fried gruel made from yellow or white cornmeal that is mixed with salt and hot water or milk , and sometimes sweetened . In the Southern United States , the same food is referred to as hoecake .   See also ( edit )    Food portal     Cornbread   Corn cookie   Corn fritters   Hushpuppy   List of maize dishes   Mush ( cornmeal )    References ( edit )    Jump up ^ Kurlansky , Mark ( 2009 ) . The food of a younger land : a portrait of American food ; Before the national highway system , before chain restaurants , and before frozen food , when the nation 's food was seasonal , regional , and traditional : from the lost WPA files . Penguin . p. 86 . ISBN 9781594488658 .   Jump up ^ Porter , Darwin ; Danforth Prince ( 2009 ) . Frommer 's Bermuda 2010 . Frommer 's . p. 41 . ISBN 9780470470626 . Retrieved 14 March 2010 .   ^ Jump up to : New England Country Store Cookbook by Peter W. Smith ( iUniverse 2003 )   Jump up ^ Kurlansky , Mark ( 2009 ) . The food of a younger land : a portrait of American food , before the national highway system , before chain restaurants , and before frozen food , when the nation 's food was seasonal , regional , and traditional : From the lost WPA files . Penguin . p. 86 . ISBN 9781594488658 . Retrieved 14 March 2010 .   Jump up ^ Meehan , Mary Beth ( 2 August 2006 ) . `` Jonnycakes from the Kenyon Corn Meal Company '' . Boston Globe . Retrieved 2008 - 11 - 06 .   Jump up ^ `` Johnny - cake '' . Oxford English Dictionary . 1989 .   Jump up ^ Harper , Douglas . `` johnny - cake '' . Online Etymology Dictionary . Retrieved 2012 - 05 - 31 .   Jump up ^ Hess , Karen ( 1998 ) . The Carolina Rice Kitchen : The African Connection . University of South Carolina Press . p. 125 . ISBN 978 - 1 - 57003 - 208 - 0 .   ^ Jump up to : Morris , Edward Ellis ( 1898 ) . Austral English : A Dictionary of Australasian Words , Phrases , and Usages , with Those Aboriginal - Australian and Maori Words which Have Become Incorporated in the Language and the Commoner Scientific Words that Have Had Their Origin in Australasia . Macmillan . p. 223 .   Jump up ^ Randolph , Mary ( 1824 ) . The Virginia House - wife . Univ of South Carolina Press . p. 277 . ISBN 978 - 0 - 87249 - 423 - 7 .   Jump up ^ Stavely , Keith W.F. ; Fitzgerald , Kathleen ( 2004 ) . America 's Founding Food : The Story of New England Cooking . Univ of North Carolina Press . p. 34 . ISBN 978 - 0 - 8078 - 2894 - 6 .   Jump up ^ `` Hoecake '' . Oxford English Dictionary . 1989 .   Jump up ^ `` How the Hoe Cake ( Most Likely ) Got Its Name '' ( PDF ) . Historic London Town and Gardens . Retrieved 2013 - 07 - 28 .   Jump up ^ Starr , Kathy ( 1989 ) . The Soul of Southern Cooking . University Press of Mississippi . p. 141 . ISBN 9780878054152 . Retrieved 12 June 2016 .   Jump up ^ Keane , Augustus Henry ( 1908 ) . The world 's peoples : a popular account of their bodily &amp; mental characters , beliefs , traditions , political and social institutions . G.P. Putnam 's sons . p. 256 . Retrieved 16 March 2010 .   Jump up ^ Dragonwagon , Crescent ( 2007 ) . The Cornbread Gospels . Workman Publishing . ISBN 0 - 7611 - 1916 - 7 .   Jump up ^ Hudson , Charles ( 1976 ) . `` A Conquered People '' . The Southeastern Indians . The University of Tennessee Press . pp. 498 -- 499 . ISBN 0 - 87049 - 248 - 9 .   Jump up ^ `` Johnny cake boards made for this purpose , were about ten inches wide , fifteen inches long , and rounded at the top . After one side baked brown , the turned the johnnycake over to treat the other side the same way . If no suitable board was handy , the cook might take the metal blade of a hoe , and clean it and grease it with bear 's oil . The dough baked on this metal surface was called a hoe - cake . Vogel , William Frederick ( 1954 ) . Home Life in Early Indiana ( PDF ) . p. 9 . Retrieved 15 March 2010 .   Jump up ^ Bartlett , John Russell ( 1860 ) . Dictionary of Americanisms : A Glossary of Words and Phrases Usually Regarded as Peculiar to the United States ( 3rd ed . ) . Little Brown . p. 197 . Retrieved 15 March 2010 .   Jump up ^ Weir , Robert M. ; Karen Hess ( 1998 ) . The Carolina Rice Kitchen : The African Connection . U of South Carolina P. p. 127 . ISBN 9781570032080 . Retrieved 12 May 2012 .   Jump up ^ Wilcox , Estelle Woods ( 1905 ) . The Original Buckeye Cook Book and Practical Housekeeping . Reilly &amp; Britton Company . p. 31 .   Jump up ^ Dojny , Brooke ; Scott Dorrance ( 2006 ) . Dishing Up Maine : 165 Recipes That Capture Authentic Down East Flavors . Storey Publishing . p. 211 . ISBN 9781580178419 . Retrieved 15 March 2010 .   Jump up ^ Hundley , Social Relations in Our Southern States , p. 87 - 88 : `` Corn - dodger , corn - pone , and hoe - cake are different only in the baking . The meal is prepared for each precisely in the same way . Take as much meal as you want , some salt , and enough pure water to knead the mass . Mix it well , let it stand for fifteen or twenty minutes , not longer , as this will be long enough to saturate perfectly every particle of meal ; bake on the griddle for hoe - cake , and in the skillet or oven for dodger or pone . The griddle or oven must be made hot enough to bake , but not to burn , but with a quick heat . The lid must be heated also before putting it on the skillet or oven , and that heat must be kept up with coals of fire placed on it , as there must be around and under the oven . The griddle must be well supplied with live coals under it . The hoe - cake must be put on thin , not more than or quite as thick as your forefinger ; when brown , it must be turned and both sides baked to a rich brown color . There must be no burning -- baking is the idea . Yet the baking must be done with a quick lively heat , the quicker the better . ''   Jump up ^ Mark Kurklansky , `` The Food of a Younger Land , '' Penguin Books , 2009   Jump up ^ González , Clara R. ; Ilana Benady ; Jill Wyatt ( 2007 ) . Traditional Dominican Cookery . Lulu . p. 32 . ISBN 9789945045017 .   Jump up ^ Benady , Ilana ( 2005 ) . Aunt Clara 's Dominican Cookbook . Lulu . pp. 12 , 25 . ISBN 9781411663251 . Retrieved 16 March 2010 .   Jump up ^ Cambeira , Alan ( 1997 ) . Quisqueya la bella : the Dominican Republic in historical and cultural perspective . M.E. Sharpe . p. 226 . ISBN 9781563249365 . Retrieved 16 March 2010 .   Jump up ^ Adventure Guide to the Dominican Republic . Harry S. Pariser. 1994 . p. 236 . ISBN 9781556506291 . Retrieved 16 March 2010 .   Jump up ^ Donaldson , Enid . The Real Taste of Jamaica .   Jump up ^ Kurlansky , Mark ( 2009 ) . The food of a younger land : a portrait of American food , before the national highway system , before chain restaurants , and before frozen food , when the nation 's food was seasonal , regional , and traditional : From the lost WPA files . Penguin . p. 86 . ISBN 9781594488658 . Retrieved 14 March 2010 .    Further reading ( edit )       Wikimedia Commons has media related to Johnnycakes .      Beaulieu , Linda , The Providence and Rhode Island Cookbook , Guilford , CT : Globe Pequot Press , 2006 , ISBN 0762731370 .   Bartlett , John Russell . Dictionary of Americanisms : A Glossary of Words and Phrases Usually Regarded as Peculiar to the United States , fourth edition . Boston : Little , Brown , and Co. ( 1889   Hundley , Daniel R. , Esq . Social Relations in Our Southern States . New York : Henry B. Price ( 1860 ) .   Vogel , William Frederick . `` Home Life in Early Indiana '' . Indiana Magazine of History 10 : 2 ( June 1914 ) 1 - 29 . Indiana : Indiana University .              Pancakes       List of pancakes       Types     Æbleskiver   Apam balik   Appam   Baghrir   Bánh cuốn   Bánh xèo   Bannock   Benne dose   Bing   Blini   Blodplättar   Borlengo   Boûkète   Boxty   Buchimgae   Bindae - tteok   Kimchi - buchimgae   Memil - buchimgae   Pajeon     Buckwheat pancake   Blini   Kaletez   Memil - buchimgae     Cachapa   Chalbori - ppang   Chataamari   Cholermus   Crempog   Crêpe   Crumpet   David Eyre 's   Dosa   Dutch baby   Egg waffle   Farinata   Flädle   Fläskpannkaka   Funkaso   Galette   Gundel   Gyabrag   Hirayachi   Hortobágyi palacsinta   Hotteok   Injera   Johnnycake   Kaiserschmarrn   Kalathappam   Khanom bueang   Kouign - amann   Lahoh   Laobing   Malpua   Memela   Memil - buchimgae   Milcao   Mofletta   Msemen   Murtabak   Neer dosa   Oatcake   Okonomiyaki   Oladyi   Palatschinke   Pannekoek   Pannukakku   Pathiri   Pesarattu   Ploye   Poffertjes   Ponganalu   Potato   Quarkkäulchen   Racuchy   Roti prata   Serabi   Spring   Suncake   Syrniki   Thalipeeth   Tlacoyo   Touton   Uttapam       Brands     Arrowhead Mills   Aunt Jemima   Bisquick   Bob 's Red Mill   Boulder Brands   Bruce 's   Cherrybrook Kitchen   Connoisseur 's Bakery   Crispy Pancakes   Dr. Oetker   Hungry Jack   Jack &amp; Jason 's Pancakes &amp; Waffles   Jiffy mix   King Arthur Flour   Mrs. Butterworth 's   Ralcorp   Streit 's       See also     Biscuit   Pancake art   Pancake breakfast   Pancake machine   Pancake pen   Syrup         Book     Commons   Cookbook   Food portal                 American breads     American breads     Adobe bread   Amish friendship bread   Anadama bread   Banana bread   Bannock   Beaten biscuit   Biscuit   Bulkie roll   Cornbread   Cuban bread   Frybread   Graham bread   Hot water corn bread   Hushpuppy   Johnnycake   Muffin   Muffuletta   Parker House roll   Pepperoni roll   Popover   Pullman loaf   Salt - rising bread   Sloosh   Texas toast       Misc .     Biscuit   History of California bread   List of American breads         Recipes on WikiBooks   Category : American breads   Food portal   The United States Portal      Retrieved from `` https://en.wikipedia.org/w/index.php?title=Johnnycake&amp;oldid=816813974 '' Categories :   Dominican Republic cuisine   Maize dishes   New England cuisine   Pancakes   Puerto Rican cuisine   Rhode Island cuisine   Soul food           Talk                                           Contents                   About Wikipedia                                                 Français   </t>
    </r>
    <r>
      <rPr>
        <sz val="11"/>
        <color rgb="FF000000"/>
        <rFont val="Noto Sans CJK SC"/>
        <family val="2"/>
      </rPr>
      <t xml:space="preserve">한국어   </t>
    </r>
    <r>
      <rPr>
        <sz val="11"/>
        <color rgb="FF000000"/>
        <rFont val="Calibri"/>
        <family val="0"/>
        <charset val="1"/>
      </rPr>
      <t xml:space="preserve">Italiano   Edit links   This page was last edited on 23 December 2017 , at 21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</si>
  <si>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term hoe cakes come from</t>
  </si>
  <si>
    <t xml:space="preserve"> According to the Oxford English Dictionary , the term hoecake first occurs in 1745 , and the term is used by American writers such as Joel Barlow and Washington Irving . The origin of the name is the method of preparation : they were cooked on a type of iron pan called a hoe . There is conflicting evidence regarding the common belief that they were cooked on the blades of gardening hoes . A hoecake can be made either out of cornbread batter or leftover biscuit dough . A cornbread hoecake is thicker than a cornbread pancake . </t>
  </si>
  <si>
    <t xml:space="preserve">DANCING with the Stars ( U.S. season 24 ) - wikipedia  DANCING with the Stars ( U.S. season 24 )  Jump to : navigation , search    Dancing with the Stars ( season 24 )     Promotional poster featuring pro dancers Witney Carson and Valentin Chmerkovskiy     Country of origin   United States     No. of episodes   11     Release     Original network   ABC     Original release   March 20 ( 2017 - 03 - 20 ) -- May 23 , 2017 ( 2017 - 05 - 23 )     Additional information     Celebrity winner   Rashad Jennings     Professional winner   Emma Slater     Season chronology     ← Previous Season 23 Next → Season 25     Season twenty - four of Dancing with the Stars premiered on March 20 , 2017 , on the ABC network .   On May 23 , 2017 , NFL runningback Rashad Jennings and Emma Slater , were declared the winners , marking Slater 's first win . Former MLB catcher David Ross and Lindsay Arnold finished second , while Fifth Harmony singer Normani Kordei and Val Chmerkovskiy finished third .     Contents  ( hide )   1 Cast   1.1 Couples   1.2 Hosts and judges     2 Scoring charts   2.1 Average score chart   2.2 Highest and lowest scoring performances   2.3 Couples ' highest and lowest scoring dances     3 Weekly scores   3.1 Week 1 : First Dances / 400th Episode Week   3.2 Week 2   3.3 Week 3 : Vegas Night   3.4 Week 4 : Most Memorable Year Night   3.5 Week 5 : Disney Night   3.6 Week 6 : Boy Bands vs. Girl Groups Night   3.7 Week 7 : A Night at the Movies   3.8 Week 8 : Quarterfinals   3.9 Week 9 : Semifinals   3.10 Week 10 : Finals     4 Dance chart   5 Ratings   5.1 U.S. Nielsen ratings     6 References   7 External links      Cast ( edit )   Couples ( edit )   On February 21 , 2017 , Maksim Chmerkovskiy and Peta Murgatroyd were announced to be the first two professionals returning this season . This marks the return of Murgatroyd following her taking off the twenty - third season due to her pregnancy . In the following days , Lindsay Arnold , Sharna Burgess , Witney Carson , Artem Chigvintsev , Valentin Chmerkovskiy , Sasha Farber , Gleb Savchenko , and Emma Slater were all confirmed to be returning as professional dancers . Also , Kym Herjavec ( who last competed in season 20 ) and Keo Motsepe ( who last competed in season 22 ) were confirmed to be returning as professional dancers . Pros from the previous season not returning included Cheryl Burke , Allison Holker , Derek Hough , and Jenna Johnson .   The full list of celebrities and pros was announced on March 1 , 2017 , on Good Morning America .     Celebrity   Notability ( known for )   Professional partner   Status   Ref .     Chris Kattan   Actor &amp; comedian   Witney Carson   Eliminated 1st on March 27 , 2017       Charo   Actress , comedienne &amp; singer   Keo Motsepe   Eliminated 2nd on April 3 , 2017       Mr. T   Actor &amp; former wrestler   Kym Herjavec   Eliminated 3rd on April 10 , 2017       Erika Jayne   Singer &amp; reality television star   Gleb Savchenko   Eliminated 4th on April 17 , 2017       Heather Morris   Glee actress &amp; dancer   Maksim Chmerkovskiy Alan Bersten ( weeks 2 - 5 )   Eliminated 5th on April 24 , 2017       Nancy Kerrigan   Former Olympic figure skater   Artem Chigvintsev   Eliminated 6th on May 1 , 2017       Nick Viall   The Bachelor star   Peta Murgatroyd     Bonner Bolton   Model &amp; bull rider   Sharna Burgess   Eliminated 8th on May 8 , 2017       Simone Biles   Olympic artistic gymnast   Sasha Farber   Eliminated 9th on May 15 , 2017       Normani Kordei   Fifth Harmony singer   Valentin Chmerkovskiy   Third place on May 23 , 2017       David Ross   Former MLB catcher   Lindsay Arnold   Runner - up on May 23 , 2017     Rashad Jennings   NFL running back   Emma Slater   Winner on May 23 , 2017     Hosts and judges ( edit )   Tom Bergeron and Erin Andrews returned as hosts , and Carrie Ann Inaba , Len Goodman , Julianne Hough , and Bruno Tonioli returned as judges . On April 24 , former contestant Nick Carter joined the panel as a guest judge , filling in for Hough who was on tour . On May 1 , choreographer Mandy Moore also filled in for Hough as a guest judge .   Scoring charts ( edit )     Couple   Place           5   6   7   8   9   10     Night 1   Night 2     Rashad &amp; Emma     31   32   28   39   32   37 + 33 = 70   37 + 2 = 39   36 + 39 = 75   38 + 39 = 77   40 + 40 = 80   + 39 = 119     David &amp; Lindsay     28   27   31   31   29   29 + 33 = 62   32   36 + 29 = 65   34 + 36 = 70   33 + 40 = 73   + 36 = 109     Normani &amp; Val     27   32   34   32   39   38 + 34 = 72   40 + 3 = 43   40 + 39 = 79   36 + 40 = 76   38 + 40 = 78   + 40 = 118     Simone &amp; Sasha     32   29   32   36   38   35 + 34 = 69   37 + 2 = 39   36 + 36 = 72   40 + 40 = 80       Bonner &amp; Sharna   5   22   29   24   32   30   30 + 33 = 63   29 + 2 = 31   30 + 28 = 58       Nancy &amp; Artem   6   28   28   33   33   36   33 + 34 = 67   36       Nick &amp; Peta   24   25   26   30   34   28 + 33 = 61   34       Heather &amp; Maks   8   28   30   33   35   34   40 + 34 = 74       Erika &amp; Gleb   9   24   28   26   30   32       Mr. T &amp; Kym   10   20   22   24   28       Charo &amp; Keo   11   21   25   24       Chris &amp; Witney   12   17   22        Red numbers indicate the lowest score for each week   Green numbers indicate the highest score for each week   the couple eliminated that week   the returning couple that was the last to be called safe   the couple earned immunity , and could not be eliminated   the winning couple   the runner - up couple   the third - place couple    Average score chart ( edit )   This table only counts dances scored on a 40 - point scale . ( The points awarded in Week 7 for winning either immunity or the dance - offs are not included in these totals . )     Rank by average   Place   Couple   Total points   Number of dances   Average         Normani &amp; Val   549   15   36.6         Rashad &amp; Emma   540   36.0         Simone &amp; Sasha   425   12   35.4       8   Heather &amp; Maks   234   7   33.4     5   6   Nancy &amp; Artem   261   8   32.6     6     David &amp; Lindsay   484   15   32.3     7   6   Nick &amp; Peta   234   8   29.3     8   5   Bonner &amp; Sharna   287   10   28.7     9   9   Erika &amp; Gleb   140   5   28.0     10   10   Mr. T &amp; Kym   94     23.5     11   11   Charo &amp; Keo   70     23.3     12   12   Chris &amp; Witney   39     19.5     Highest and lowest scoring performances ( edit )   The best and worst performances in each dance according to the judges ' 40 - point scale are as follows :     Dance   Highest scored dancer ( s )   Highest score   Lowest scored dancer ( s )   Lowest score     Quickstep   Rashad Jennings   39   Normani Kordei   27     Viennese Waltz   Rashad Jennings   40   Nancy Kerrigan Heather Morris   28     Cha - cha - cha   Heather Morris   35   Chris Kattan   17     Salsa   Normani Kordei   38   Charo   21     Tango   Rashad Jennings   37   Nick Viall   26     Foxtrot   Simone Biles   36   Mr. T Charo   24     Paso doble   Normani Kordei   39   Mr. T   22     Jive   Simone Biles   40   Erika Jayne   26     Jazz   Normani Kordei   40   Chris Kattan   22     Charleston   Simone Biles   37   Bonner Bolton   24     Samba   Simone Biles   35   Rashad Jennings   28     Rumba   Heather Morris Simone Biles   40   Nick Viall Bonner Bolton   30     Waltz   David Ross   36   Mr. T   28     Contemporary   Normani Kordei   40   Simone Biles   38     Argentine tango   Normani Kordei   40   David Ross   29     Team dance   Simone Biles Nancy Kerrigan Normani Kordei Heather Morris   34   Bonner Bolton Rashad Jennings David Ross Nick Viall   33     Freestyle   David Ross Normani Kordei Rashad Jennings   40   __   __     Fusion dance   Normani Kordei   40   David Ross   36     Couples ' highest and lowest scoring Dances ( edit )   Scores are based upon a potential 40 - point maximum .     Couple   Highest scoring dance ( s )   Lowest scoring dance ( s )     Rashad &amp; Emma   Viennese Waltz &amp; Freestyle ( 40 )   Samba ( 28 )     David &amp; Lindsay   Freestyle ( 40 )   Cha - cha - cha ( 27 )     Normani &amp; Val   Argentine tango , Contemporary , Jazz , Freestyle &amp; Argentine tango / Foxtrot fusion ( 40 )   Quickstep ( 27 )     Simone &amp; Sasha   Jive &amp; Rumba ( 40 )   Cha - cha - cha ( 29 )     Bonner &amp; Sharna   Foxtrot ( 32 )   Cha - cha - cha ( 22 )     Nancy &amp; Artem   Jazz &amp; Tango ( 36 )   Viennese Waltz &amp; Cha - cha - cha ( 28 )     Nick &amp; Peta   Jazz &amp; Argentine tango ( 34 )   Cha - cha - cha ( 24 )     Heather &amp; Maks   Rumba ( 40 )   Viennese Waltz ( 28 )     Erika &amp; Gleb   Viennese Waltz ( 32 )   Salsa ( 24 )     Mr. T &amp; Kym   Waltz ( 28 )   Cha - cha - cha ( 20 )     Charo &amp; Keo   Paso doble ( 25 )   Salsa ( 21 )     Chris &amp; Witney   Jazz ( 22 )   Cha - cha - cha ( 17 )     Weekly scores ( edit )   Individual judges ' scores in the charts below ( given in parentheses ) are listed in this order from left to right : Carrie Ann Inaba , Len Goodman , Julianne Hough , Bruno Tonioli .   Week 1 : first Dances / 400th Episode week ( edit )   The couples danced the cha - cha - cha , quickstep , salsa , tango , or Viennese Waltz .   At the end , the show paid tribute to season 11 contestant , Florence Henderson who died three days after last season 's finale .    Running order      Couple   Scores   Dance   Music     Normani &amp; Val   27 ( 7 , 6 , 7 , 7 )   Quickstep   `` Good Time Good Life '' -- Erin Bowman     Nancy &amp; Artem   28 ( 7 , 7 , 7 , 7 )   Viennese Waltz   `` She 's Always a Woman '' -- Billy Joel     Chris &amp; Witney   17 ( 5 , 4 , 4 , 4 )   Cha - cha - cha   `` What Is Love '' -- Haddaway     Bonner &amp; Sharna   22 ( 6 , 5 , 5 , 6 )   Cha - cha - cha   `` Move '' -- Luke Bryan     Charo &amp; Keo   21 ( 6 , 5 , 5 , 5 )   Salsa   `` Cuban Pete '' -- Mambo Compañeros     Nick &amp; Peta   24 ( 6 , 6 , 6 , 6 )   Cha - cha - cha   `` Let Me Love You '' -- DJ Snake feat . Justin Bieber     Heather &amp; Maks   28 ( 7 , 7 , 7 , 7 )   Viennese Waltz   `` Make Something Beautiful '' -- Ben Rector     David &amp; Lindsay   28 ( 7 , 7 , 7 , 7 )   Quickstep   `` Go , Cubs , Go '' -- Steve Goodman     Erika &amp; Gleb   24 ( 6 , 6 , 6 , 6 )   Salsa   `` XXPEN $ IVE '' -- Erika Jayne     Rashad &amp; Emma   31 ( 8 , 7 , 8 , 8 )   Cha - cha - cha   `` 24K Magic '' -- Bruno Mars     Mr. T &amp; Kym   20 ( 5 , 5 , 5 , 5 )   Cha - cha - cha   `` The A-Team theme '' -- Mike Post , Pete Carpenter &amp; The Daniel Caine Orchestra     Simone &amp; Sasha   32 ( 8 , 8 , 8 , 8 )   Tango   `` Untouchable '' -- Tritonal &amp; Cash Cash feat . JHart     Week 2 ( edit )   The couples danced one unlearned dance . Foxtrot , jazz , jive , and paso doble are introduced .   Due to a calf muscle injury , Maksim Chmerkovskiy was unable to perform , so Heather Morris danced with troupe member Alan Bersten instead .    Running order      Couple   Scores   Dance   Music   Result     Nancy &amp; Artem   28 ( 7 , 7 , 7 , 7 )   Cha - cha - cha   `` No Rights No Wrongs '' -- Jess Glynne   Safe     Erika &amp; Gleb   28 ( 7 , 7 , 7 , 7 )   Foxtrot   `` Bad Intentions '' -- Niykee Heaton   Safe     Charo &amp; Keo   25 ( 6 , 6 , 7 , 6 )   Paso doble   `` España cañí '' -- Charo   Last to be called safe     Nick &amp; Peta   25 ( 7 , 5 , 7 , 6 )   Foxtrot   `` Love Me Now '' -- John Legend   Safe     Heather &amp; Alan   30 ( 8 , 6 , 8 , 8 )   Jive   `` Grown '' -- Little Mix   Safe     Bonner &amp; Sharna   29 ( 8 , 6 , 8 , 7 )   Viennese Waltz   `` Unlove You '' -- Jennifer Nettles   Safe     Simone &amp; Sasha   29 ( 7 , 7 , 7 , 8 )   Cha - cha - cha   `` Burnin ' Up '' -- Jessie J feat . 2 Chainz   Safe     Chris &amp; Witney   22 ( 6 , 5 , 6 , 5 )   Jazz   `` Hey Ya ! '' -- OutKast   Eliminated     Normani &amp; Val   32 ( 8 , 8 , 8 , 8 )   Cha - cha - cha   `` Give Me Your Love '' -- Sigala feat . John Newman &amp; Nile Rodgers   Safe     Rashad &amp; Emma   32 ( 8 , 8 , 8 , 8 )   Viennese Waltz   `` Suffer '' -- Charlie Puth   Safe     Mr. T &amp; Kym   22 ( 6 , 5 , 6 , 5 )   Paso doble   `` Eye of the Tiger '' -- Survivor   Safe     David &amp; Lindsay   27 ( 7 , 6 , 7 , 7 )   Cha - cha - cha   `` Bust a Move '' -- Young MC   Safe     Week 3 : Vegas Night ( edit )   The couples danced one unlearned dance that paid tribute to the sights and sounds of Las Vegas . Charleston and samba are introduced .   For the second consecutive week , Heather Morris danced with Alan Bersten again on account of Maksim Chmerkovskiy 's injury .    Running order      Couple   Scores   Dance   Music   Result     Nick &amp; Peta   26 ( 7 , 6 , 7 , 6 )   Tango   `` Poker Face '' -- Lady Gaga   Last to be called safe     Mr. T &amp; Kym   24 ( 6 , 6 , 6 , 6 )   Foxtrot   `` Ai n't That a Kick in the Head ? '' -- Robbie Williams   Safe     Bonner &amp; Sharna   24 ( 6 , 6 , 6 , 6 )   Charleston   `` A Little Party Never Killed Nobody '' -- Fergie , Q - Tip &amp; GoonRock   Safe     Heather &amp; Alan   33 ( 9 , 8 , 8 , 8 )   Tango   `` Toxic '' -- Britney Spears   Safe     Charo &amp; Keo   24 ( 6 , 6 , 6 , 6 )   Foxtrot   `` Chapel of Love '' -- The Dixie Cups   Eliminated     Simone &amp; Sasha   32 ( 7 , 8 , 9 , 8 )   Quickstep   `` Viva Las Vegas '' -- Elvis Presley   Safe     Nancy &amp; Artem   33 ( 8 , 9 , 8 , 8 )   Samba   `` Shake Your Bon - Bon '' -- Ricky Martin   Safe     David &amp; Lindsay   31 ( 8 , 7 , 8 , 8 )   Jazz   `` Candy Shop '' -- 50 Cent feat . Olivia   Safe     Erika &amp; Gleb   26 ( 6 , 7 , 7 , 6 )   Jive   `` Take Me to Heaven '' -- Alan Menken &amp; Glenn Slater   Safe     Rashad &amp; Emma   28 ( 7 , 7 , 7 , 7 )   Samba   `` Swalla '' -- Jason Derulo feat . Nicki Minaj &amp; Ty Dolla Sign   Safe     Normani &amp; Val   34 ( 8 , 8 , 9 , 9 )   Foxtrot   `` Big Spender '' -- Shirley Bassey   Safe     Week 4 : most Memorable Year Night ( edit )   The couples danced one unlearned dance to celebrate the most memorable year of their lives . Contemporary , rumba , and waltz are introduced .   For the third consecutive week , Heather Morris danced with Alan Bersten again on account of Maksim Chmerkovskiy 's injury .    Running order      Couple   Scores   Dance   Music   Result     Normani &amp; Val   32 ( 8 , 7 , 8 , 9 )   Rumba   `` Impossible '' -- Fifth Harmony   Safe     Nick &amp; Peta   30 ( 8 , 7 , 8 , 7 )   Rumba   `` Shape of You '' -- Ed Sheeran   Safe     Nancy &amp; Artem   33 ( 8 , 9 , 8 , 8 )   Foxtrot   `` My Wish '' -- Rascal Flatts   Safe     Mr. T &amp; Kym   28 ( 7 , 7 , 7 , 7 )   Waltz   `` Amazing Grace '' -- Ray Chew   Eliminated     Heather &amp; Alan   35 ( 8 , 9 , 9 , 9 )   Cha - cha - cha   `` Shut Up and Dance '' -- Walk the Moon   Safe     David &amp; Lindsay   31 ( 7 , 8 , 8 , 8 )   Viennese Waltz   `` Forever Young '' -- Youth Group   Safe     Rashad &amp; Emma   39 ( 10 , 9 , 10 , 10 )   Contemporary   `` Unconditionally '' -- Katy Perry   Safe     Erika &amp; Gleb   30 ( 8 , 7 , 7 , 8 )   Cha - cha - cha   `` Express Yourself '' -- Madonna   Last to be called safe     Simone &amp; Sasha   36 ( 9 , 9 , 9 , 9 )   Viennese Waltz   `` Good Good Father '' -- Chris Tomlin   Safe     Bonner &amp; Sharna   32 ( 8 , 8 , 8 , 8 )   Foxtrot   `` Feeling Good '' -- Michael Bublé   Safe     Week 5 : Disney Night ( edit )   The couples performed one unlearned dance to a song from a Disney film .   For the fourth and final consecutive week , Heather Morris danced with Alan Bersten on account of Maksim Chmerkovskiy 's injury .   Season 9 winner Donny Osmond sang `` I 'll Make a Man Out of You '' live while Normani Kordei and Valentin Chmerkovskiy danced .   Auli'i Cravalho sang `` How Far I 'll Go '' live while Simone Biles and Sasha Farber danced .    Running order      Couple   Scores   Dance   Music   Disney film   Result     Rashad &amp; Emma   32 ( 7 , 8 , 9 , 8 )   Foxtrot   `` Evermore '' -- Josh Groban   Beauty and the Beast   Safe     Nick &amp; Peta   34 ( 9 , 8 , 9 , 8 )   Jazz   `` I 've Got No Strings '' -- Dickie Jones   Pinocchio   Last to be called safe     Erika &amp; Gleb   32 ( 8 , 8 , 8 , 8 )   Viennese Waltz   `` Unforgettable '' -- Sia   Finding Dory   Eliminated     Heather &amp; Alan   34 ( 8 , 8 , 9 , 9 )   Jazz   `` For the First Time in Forever '' -- Kristen Bell &amp; Idina Menzel   Frozen   Safe     Bonner &amp; Sharna   30 ( 7 , 8 , 8 , 7 )   Tango   `` When Can I See You Again ? '' -- Owl City   Wreck - It Ralph   Safe     Normani &amp; Val   39 ( 10 , 9 , 10 , 10 )   Paso doble   `` I 'll Make a Man Out of You '' -- Donny Osmond   Mulan   Safe     David &amp; Lindsay   29 ( 7 , 7 , 8 , 7 )   Jive   `` Ride '' -- ZZ Ward   Cars 3   Safe     Nancy &amp; Artem   36 ( 9 , 9 , 9 , 9 )   Jazz   `` That 's How You Know '' -- Amy Adams   Enchanted   Safe     Simone &amp; Sasha   38 ( 9 , 9 , 10 , 10 )   Contemporary   `` How Far I 'll Go '' -- Auli'i Cravalho   Moana   Safe     Week 6 : Boy Bands vs. Girl Groups Night ( edit )   Individual judges ' scores in the chart below ( given in parentheses ) are listed in this order from left to right : Carrie Ann Inaba , Nick Carter , Len Goodman , Bruno Tonioli .   The couples danced one unlearned dance and a team dance to songs from some of the most popular boy bands and girl groups throughout history . Argentine tango was performed for the first time in the season .   Maksim Chmerkovskiy returned to dance with Heather Morris after a four - week recovery period , but they were ultimately eliminated that night after receiving a perfect score .   Before the show began , the show paid tribute to Happy Days actress Erin Moran , who died two days earlier .    Running order      Couple   Scores   Dance   Music   Result     Simone &amp; Sasha   35 ( 9 , 8 , 9 , 9 )   Samba   `` Survivor '' -- Destiny 's Child   Safe     Bonner &amp; Sharna   30 ( 8 , 8 , 7 , 7 )   Rumba   `` I Want It That Way '' -- Backstreet Boys   Safe     Nancy &amp; Artem   33 ( 9 , 8 , 8 , 8 )   Paso doble   `` Free Your Mind '' -- En Vogue   Last to be called safe     Nick &amp; Peta   28 ( 7 , 7 , 7 , 7 )   Jive   `` Fun , Fun , Fun '' -- The Beach Boys   Safe     Normani &amp; Val   38 ( 10 , 10 , 8 , 10 )   Salsa   `` When I Grow Up '' -- The Pussycat Dolls   Safe     David &amp; Lindsay   29 ( 7 , 8 , 7 , 7 )   Argentine tango   `` I Want You Back '' -- NSYNC   Safe     Rashad &amp; Emma   37 ( 9 , 10 , 9 , 9 )   Tango   `` Reach Out I 'll Be There '' -- The Four Tops   Safe     Heather &amp; Maks   40 ( 10 , 10 , 10 , 10 )   Rumba   `` Waterfalls '' -- TLC   Eliminated     Bonner &amp; Sharna Rashad &amp; Emma David &amp; Lindsay Nick &amp; Peta   33 ( 8 , 9 , 8 , 8 )   Freestyle ( Team Boy Band )   `` Dancing Machine '' -- The Jackson 5 `` You Got It ( The Right Stuff ) '' -- New Kids on the Block `` Best Song Ever '' -- One Direction     Simone &amp; Sasha Nancy &amp; Artem Normani &amp; Val Heather &amp; Maks   34 ( 8 , 9 , 8 , 9 )   Freestyle ( Team Girl Group )   `` My Boyfriend 's Back '' -- The Chiffons `` No Scrubs '' -- TLC `` Boss '' -- Fifth Harmony     Week 7 : a Night at the Movies ( edit )   Individual judges ' scores in the chart below ( given in parentheses ) are listed in this order from left to right : Carrie Ann Inaba , Len Goodman , Mandy Moore , Bruno Tonioli .   The couples performed one unlearned dance , capturing the spirit of a specific movie genre . The couple with the highest score earned an immunity from elimination , while the rest of the couples participated in dance - offs for extra points .   The night also featured a performance from the cast of the upcoming Disney Channel Original Movie , Descendants 2 .    Running order      Couple   Scores   Dance   Music   Movie genre   Result     Bonner &amp; Sharna   29 ( 7 , 7 , 8 , 7 )   Paso doble   `` Hoedown '' -- Aaron Copland   Western   Safe     Nancy &amp; Artem   36 ( 9 , 9 , 9 , 9 )   Tango   `` Oh , Pretty Woman '' -- Roy Orbison   Romance   Eliminated     Simone &amp; Sasha   37 ( 10 , 9 , 9 , 9 )   Charleston   `` Charleston '' -- Bob Wilson &amp; His Varsity Rhythm Boys   Silent   Safe     Nick &amp; Peta   34 ( 8 , 8 , 9 , 9 )   Argentine tango   `` Dangerous '' -- David Guetta feat . Sam Martin   Action   Eliminated     Rashad &amp; Emma   37 ( 9 , 9 , 10 , 9 )   Paso doble   `` O Fortuna '' -- Carl Orff   Horror   Safe     David &amp; Lindsay   32 ( 8 , 8 , 8 , 8 )   Salsa   `` Universal Mind Control '' -- Common feat . Pharrell Williams   Sci - fi   Last to be called safe     Normani &amp; Val   40 ( 10 , 10 , 10 , 10 )   Argentine tango   `` Quizás , Quizás , Quizás '' -- Andrea Bocelli feat . Jennifer Lopez   Foreign   Safe ( Immunity )     For each dance - off , the couple with the highest remaining score picked the opponent against whom they wanted to dance ; the chosen opponent was allowed to pick the dance style ( cha - cha - cha , jive or rumba ) . The winner of each dance - off earned two points . The general public helped to determine the winner of each dance - off via the show 's official website .   Dance - offs   Couple   Judges ' votes   Public vote   Dance   Music   Result     Simone &amp; Sasha   Simone , Simone , Simone , Simone   Simone ( 63 % )   Cha - cha - cha   `` Crave '' -- Pharrell Williams   Winner ( 2 pts )     Nancy &amp; Artem   Loser     Rashad &amp; Emma   Rashad , Rashad , Rashad , Rashad   Rashad ( 54 % )   Jive   `` Gimme Some Lovin ' '' -- The Spencer Davis Group   Winner ( 2 pts )     David &amp; Lindsay   Loser     Bonner &amp; Sharna   Bonner , Bonner , Bonner , Nick   Bonner ( 62 % )   Rumba   `` I Will Always Love You '' -- Whitney Houston   Winner ( 2 pts )     Nick &amp; Peta   Loser     Week 8 : Quarterfinals ( edit )   The couples performed an unlearned dance designed by the pros for their celebrity partners , with a song chosen by the pro to complement their celebrity partner 's personality . Each couple also performed a trio dance involving an eliminated pro or a member of the troupe . Unlike in prior seasons , where the couples chose their trio partners , this season the trio partners were assigned by the judges .   Julianne Hough returned to the judging panel after a two - week hiatus .    Running order      Couple ( Trio Dance Partner )   Scores   Dance   Music   Result     Rashad &amp; Emma ( Witney Carson )   36 ( 9 , 9 , 9 , 9 )   Jive   `` Shake a Tail Feather '' -- The Blues Brothers   Last to be called safe     39 ( 10 , 9 , 10 , 10 )   Argentine tango   `` Dreams '' -- Bastille feat . Gabrielle Aplin     Normani &amp; Val ( Alan Bersten )   40 ( 10 , 10 , 10 , 10 )   Contemporary   `` Freedom '' -- Anthony Hamilton &amp; Elayna Boynton   Safe     39 ( 10 , 9 , 10 , 10 )   Jive   `` Feeling Alive '' -- Earl St. Clair     Bonner &amp; Sharna ( Britt Stewart )   30 ( 8 , 7 , 8 , 7 )   Argentine tango   `` Believer '' -- Imagine Dragons   Eliminated     28 ( 7 , 7 , 7 , 7 )   Jazz   `` That 's What I Like '' -- Bruno Mars     Simone &amp; Sasha ( Brittany Cherry )   36 ( 9 , 9 , 9 , 9 )   Foxtrot   `` What Makes You Beautiful '' -- One Direction   Safe     36 ( 9 , 9 , 9 , 9 )   Paso doble   `` Do n't Let Me Down '' -- The Chainsmokers feat . Daya     David &amp; Lindsay ( Hayley Erbert )   36 ( 9 , 9 , 9 , 9 )   Waltz   `` Humble and Kind '' -- Tim McGraw   Safe     29 ( 7 , 7 , 8 , 7 )   Paso doble   `` Gangsta 's Paradise '' -- 2WEI     Week 9 : Semifinals ( edit )   The couples performed a dance coached by one of the four judges , as well as an unlearned dance .    Running order      Couple ( Judge )   Scores   Dance   Music   Result     Normani &amp; Val ( Len Goodman )   36 ( 9 , 9 , 9 , 9 )   Viennese Waltz   `` Desperado '' -- Rihanna   Safe     40 ( 10 , 10 , 10 , 10 )   Jazz   `` What a Wonderful World '' -- Ray Chew     David &amp; Lindsay ( Julianne Hough )   34 ( 9 , 8 , 9 , 8 )   Foxtrot   `` You Make Me Feel So Young '' -- Michael Bublé   Last to be called safe     36 ( 9 , 9 , 9 , 9 )   Tango   `` Castle on the Hill '' -- Ed Sheeran     Simone &amp; Sasha ( Carrie Ann Inaba )   40 ( 10 , 10 , 10 , 10 )   Jive   `` Faith '' -- Stevie Wonder feat . Ariana Grande   Eliminated     40 ( 10 , 10 , 10 , 10 )   Rumba   `` Skyscraper '' -- Demi Lovato     Rashad &amp; Emma ( Bruno Tonioli )   38 ( 9 , 9 , 10 , 10 )   Rumba   `` Say You Wo n't Let Go '' -- James Arthur   Safe     39 ( 10 , 9 , 10 , 10 )   Quickstep   `` Yes I Can '' -- Sammy Davis Jr .     Week 10 : finals ( edit )   On the first night , the couples performed a redemption dance and a freestyle .   On the second night , the couples danced a fusion dance that fused two previously learned dance styles .    Running order ( Night 1 )      Couple   Scores   Dance   Music     David &amp; Lindsay   33 ( 8 , 8 , 9 , 8 )   Viennese Waltz   `` Let 's Hurt Tonight '' -- OneRepublic     40 ( 10 , 10 , 10 , 10 )   Freestyle   `` It Takes Two '' -- Rob Base and DJ E-Z Rock `` Take Me Out to the Ball Game '' -- Ronnie Neuman     Normani &amp; Val   38 ( 10 , 9 , 9 , 10 )   Quickstep   `` Check It Out '' -- Oh the Larceny     40 ( 10 , 10 , 10 , 10 )   Freestyle   `` What the World Needs Now Is Love '' -- Andra Day     Rashad &amp; Emma   40 ( 10 , 10 , 10 , 10 )   Viennese Waltz   `` Dark Times '' -- The Weeknd feat . Ed Sheeran     40 ( 10 , 10 , 10 , 10 )   Freestyle   `` Uptown Funk '' -- Mark Ronson feat . Bruno Mars `` Let 's Go '' -- Trick Daddy feat . Deuce Poppi , Tre + 6 &amp; Unda Presha      Running order ( Night 2 )      Couple   Scores   Dance   Music   Result     David &amp; Lindsay   36 ( 9 , 9 , 9 , 9 )   Foxtrot Salsa   `` Living '' -- Bakermat feat . Alex Clare   Runner - up     Normani &amp; Val   40 ( 10 , 10 , 10 , 10 )   Argentine tango Foxtrot   `` There 's Nothing Holdin ' Me Back '' -- Shawn Mendes   Third place     Rashad &amp; Emma   39 ( 10 , 9 , 10 , 10 )   Cha - cha - cha Tango   `` I Do n't Like It , I Love It '' -- Flo Rida feat . Robin Thicke &amp; Verdine White   Winner     Dance chart ( edit )   The celebrities and professional partners will dance one of these routines for each corresponding week :    Week 1 : Cha - cha - cha , quickstep , salsa , tango , or Viennese Waltz ( First Dances / 400th Episode Week )   Week 2 : One unlearned dance   Week 3 : One unlearned dance ( Vegas Night )   Week 4 : One unlearned dance ( Most Memorable Year Night )   Week 5 : One unlearned dance ( Disney Night )   Week 6 : One unlearned dance and team dances ( Boy Bands vs. Girl Groups Night )   Week 7 : One unlearned dance and dance - offs ( A Night at the Movies )   Week 8 : One unlearned dance and trio dances ( Quarterfinals )   Week 9 : Judges ' challenge and one unlearned dance ( Semifinals )   Week 10 ( Night 1 ) : Redemption dance and freestyle   Week 10 ( Night 2 ) : 24 - hour fusion challenge      Couple   Week 1   Week 2   Week 3   Week 4   Week 5   Week 6   Week 7   Week 8   Week 9   Week 10     Rashad &amp; Emma   Cha - cha - cha   Viennese Waltz   Samba   Contemporary   Foxtrot   Tango   Freestyle ( Team Boy Band )   Paso doble   Jive   Jive   Argentine tango   Rumba   Quickstep   Viennese Waltz   Freestyle   Cha - cha - cha   Cha - cha - cha Tango     David &amp; Lindsay   Quickstep   Cha - cha - cha   Jazz   Viennese Waltz   Jive   Argentine tango   Freestyle ( Team Boy Band )   Salsa   Jive   Waltz   Paso doble   Foxtrot   Tango   Viennese Waltz   Freestyle   Jazz   Foxtrot Salsa     Normani &amp; Val   Quickstep   Cha - cha - cha   Foxtrot   Rumba   Paso doble   Salsa   Freestyle ( Team Girl Group )   Argentine tango   Immunity   Contemporary   Jive   Viennese Waltz   Jazz   Quickstep   Freestyle   Salsa   Argentine tango Foxtrot     Simone &amp; Sasha   Tango   Cha - cha - cha   Quickstep   Viennese Waltz   Contemporary   Samba   Freestyle ( Team Girl Group )   Charleston   Cha - cha - cha   Foxtrot   Paso doble   Jive   Rumba     Contemporary     Bonner &amp; Sharna   Cha - cha - cha   Viennese Waltz   Charleston   Foxtrot   Tango   Rumba   Freestyle ( Team Boy Band )   Paso doble   Rumba   Argentine tango   Jazz     Cha - cha - cha     Nancy &amp; Artem   Viennese Waltz   Cha - cha - cha   Samba   Foxtrot   Jazz   Paso doble   Freestyle ( Team Girl Group )   Tango   Cha - cha - cha     Samba     Nick &amp; Peta   Cha - cha - cha   Foxtrot   Tango   Rumba   Jazz   Jive   Freestyle ( Team Boy Band )   Argentine tango   Rumba     Rumba     Heather &amp; Maks   Viennese Waltz   Jive   Tango   Cha - cha - cha   Jazz   Rumba   Freestyle ( Team Girl Group )     Rumba     Erika &amp; Gleb   Salsa   Foxtrot   Jive   Cha - cha - cha   Viennese Waltz       Mr. T &amp; Kym   Cha - cha - cha   Paso doble   Foxtrot   Waltz       Charo &amp; Keo   Salsa   Paso doble   Foxtrot       Chris &amp; Witney   Cha - cha - cha   Jazz        Highest scoring dance   Lowest scoring dance   Earned Immunity   Gained bonus points for winning this dance - off   Gained no bonus points for losing this dance - off   Danced , but not scored    Ratings ( edit )   U.S. Nielsen ratings ( edit )     Episode   Air date   Rating / Share ( 18 -- 49 )   Viewers ( millions )   18 -- 49 rank ( Weekly )   DVR 18 -- 49   DVR Viewers ( millions )   Total 18 -- 49   Total Viewers       `` Week 1 : Premiere ''   March 20 , 2017   2.1   7   12.09   6 ( tied )   N / A   2.18   N / A   14.27       `` Week 2 ''   March 27 , 2017   1.7   6   11.12   11 ( tied )   N / A   N / A   N / A   N / A       `` Week 3 : Vegas Night ''   April 3 , 2017   1.5   5   10.47   13 ( tied )   N / A   N / A   N / A   N / A       `` Week 4 : Most Memorable Year Night ''   April 10 , 2017   1.6   6   10.31   6 ( tied )   N / A   1.85   N / A   12.16     5   `` Week 5 : Disney Night ''   April 17 , 2017   1.8   6   11.18   2 ( tied )   N / A   1.95   N / A   13.15     6   `` Week 6 : Boy Bands vs. Girl Groups Night ''   April 24 , 2017   1.6   6   10.35   7   N / A   N / A   N / A   N / A     7   `` Week 7 : A Night at the Movies Night ''   May 1 , 2017   1.6   6   10.31   8 ( tied )   N / A   N / A   N / A   N / A     8   `` Week 8 : Quarterfinals ''   May 8 , 2017   1.5   6   9.95   10 ( tied )   N / A   N / A   N / A   N / A     9   `` Week 9 : Semifinals ''   May 15 , 2017   1.5   5   10.07   7 ( tied )   N / A   N / A   N / A   N / A     10   `` Week 10 : The Finals ''   May 22 , 2017   1.8   7   10.54   5 ( tied )   N / A   N / A   N / A   N / A     11   `` Week 10 : Season Finale ''   May 23 , 2017   1.4   5   8.91   7   N / A   N / A   N / A   N / A     References ( edit )    Jump up ^ `` Breaking News - ABC 's Number One Hit Reality Show , `` Dancing with the Stars , '' Returns with an All - New Season on Monday , March 20 - TheFutonCritic.com `` . thefutoncritic.com . Retrieved 1 March 2017 .   Jump up ^ Wagmeister , Elizabeth ( 3 March 2016 ) . `` ABC Renews 15 Shows Including ' Quantico , ' ' The Bachelor ' &amp; Comedy Slate '' . variety.com . Retrieved 1 March 2017 .   Jump up ^ News , A.B.C. ( 21 February 2017 ) . `` ' Dancing ' stars Maksim Chmerkovskiy and Peta Murgatroyd to return to the show '' . go.com . Retrieved 1 March 2017 .   Jump up ^ `` Fifth Harmony 's Normani Kordei Joins Dancing with the Stars -- Plus Find Out Which Pros Are Returning '' . people.com. 24 February 2017 . Retrieved 1 March 2017 .   Jump up ^ `` Dancing with the Stars 2017 Cast Announcement for Season 24 Is Coming ! - Dancing with the Stars '' . go.com . Retrieved 1 March 2017 .   Jump up ^ `` EXCLUSIVE : Kym Johnson Returning for ' DWTS ' Season 24 , Celebrity Pairings Revealed '' . etonline.com . Retrieved 1 March 2017 .   ^ Jump up to : Kubicek , John ( March 27 , 2017 ) . `` ' Dancing with the Stars ' Recap : Second Dances and the First Elimination '' . BuddyTV . Retrieved March 27 , 2017 .   ^ Jump up to : Kubicek , John ( April 3 , 2017 ) . `` ' Dancing with the Stars ' Recap : Vegas Night for the Top 11 '' . BuddyTV . Retrieved April 3 , 2017 .   ^ Jump up to : Kubicek , John ( April 10 , 2017 ) . `` ' Dancing with the Stars ' Recap : The Emotional Memorable Year Dances '' . BuddyTV . Retrieved April 10 , 2017 .   ^ Jump up to : Kubicek , John ( April 17 , 2017 ) . `` ' Dancing with the Stars ' Recap : The Magical World of Disney Night '' . BuddyTV . Retrieved April 17 , 2017 .   ^ Jump up to : Kubicek , John ( April 24 , 2017 ) . `` ' Dancing with the Stars ' Recap : Boy Bands vs. Girl Groups '' . BuddyTV . Retrieved April 24 , 2017 .   ^ Jump up to : Kubicek , John ( May 1 , 2017 ) . `` ' Dancing with the Stars ' Recap : One Couple Gets Immunity and Two Go Home '' . BuddyTV . Retrieved May 1 , 2017 .   ^ Jump up to : Kubicek , John ( May 8 , 2017 ) . `` ' Dancing with the Stars ' Recap : The Final 5 Take on the Trio Dances '' . BuddyTV . Retrieved May 8 , 2017 .   ^ Jump up to : Kubicek , John ( May 15 , 2017 ) . `` ' Dancing with the Stars ' Recap : The Final 4 in the Semifinals '' . BuddyTV . Retrieved May 15 , 2017 .   Jump up ^ Surette , Tim ( May 23 , 2017 ) . `` Dancing with the Stars Finale : Who Was Crowned the Winner ? '' . TV Guide . Retrieved May 23 , 2017 .   Jump up ^ `` About Dancing with the Stars '' . abc.go.com . Retrieved March 1 , 2017 .   ^ Jump up to : `` Scoop : DANCING WITH THE STARS on ABC - Monday , April 24 , 2017 '' . BroadwayWorld.com. April 20 , 2017 . Retrieved April 20 , 2017 .   ^ Jump up to : `` Scoop : DANCING WITH THE STARS on ABC - Monday , May 1 , 2017 '' . BroadwayWorld.com. April 27 , 2017 . Retrieved April 27 , 2017 .   Jump up ^ Kubicek , John ( March </t>
  </si>
  <si>
    <t xml:space="preserve">last season of dancing with the stars cast</t>
  </si>
  <si>
    <t xml:space="preserve">   Celebrity   Notability ( known for )   Professional partner   Status   Ref .     Chris Kattan   Actor &amp; comedian   Witney Carson   Eliminated 1st on March 27 , 2017       Charo   Actress , comedienne &amp; singer   Keo Motsepe   Eliminated 2nd on April 3 , 2017       Mr. T   Actor &amp; former wrestler   Kym Herjavec   Eliminated 3rd on April 10 , 2017       Erika Jayne   Singer &amp; reality television star   Gleb Savchenko   Eliminated 4th on April 17 , 2017       Heather Morris   Glee actress &amp; dancer   Maksim Chmerkovskiy Alan Bersten ( weeks 2 - 5 )   Eliminated 5th on April 24 , 2017       Nancy Kerrigan   Former Olympic figure skater   Artem Chigvintsev   Eliminated 6th on May 1 , 2017       Nick Viall   The Bachelor star   Peta Murgatroyd     Bonner Bolton   Model &amp; bull rider   Sharna Burgess   Eliminated 8th on May 8 , 2017       Simone Biles   Olympic artistic gymnast   Sasha Farber   Eliminated 9th on May 15 , 2017       Normani Kordei   Fifth Harmony singer   Valentin Chmerkovskiy   Third place on May 23 , 2017       David Ross   Former MLB catcher   Lindsay Arnold   Runner - up on May 23 , 2017     Rashad Jennings   NFL running back   Emma Slater   Winner on May 23 , 2017   </t>
  </si>
  <si>
    <r>
      <rPr>
        <sz val="11"/>
        <color rgb="FF000000"/>
        <rFont val="Calibri"/>
        <family val="0"/>
        <charset val="1"/>
      </rPr>
      <t xml:space="preserve">Parable of the wise and the foolish Builders - wikipedia  Parable of the wise and the foolish Builders  This parable compares building one 's life on the teachings and example of Jesus to a flood - resistant building founded on solid rock .  The Parable of the Wise and the Foolish Builders , ( also known as the House on the Rock ) , is a parable of Jesus appearing in the Gospel of Matthew ( 7 : 24 -- 27 ) and Luke ( 6 : 46 -- 49 ) .   The parable illustrates the importance of building one 's life on obedience to the teachings and example of Jesus .     Contents  ( hide )   1 Narrative   2 Interpretation   3 Hymns   4 See also   5 References   6 Further reading      Narrative ( edit )   In the Gospel of Matthew , the Parable appears as part of the Sermon on the Mount as follows :   Everyone therefore who hears these words of mine , and does them , I will liken him to a wise man , who built his house on a rock . The rain came down , the floods came , and the winds blew , and beat on that house ; and it did n't fall , for it was founded on the rock . Everyone who hears these words of mine , and does n't do them will be like a foolish man , who built his house on the sand . The rain came down , the floods came , and the winds blew , and beat on that house ; and it fell -- and great was its fall .  -- Matthew 7 : 24 -- 27 , World English Bible  Interpretation ( edit )   This parable emphasises the need to put Jesus ' teachings into practice , and speaks of `` two sorts of people whose hearts are revealed in their actions . ''   Matthew 's version of the parable has a `` more complex narrative structure '' than Luke 's , mentioning rain and winds as well as floods . These forces are usually interpreted ethically , as trials of life that can be resisted by a life founded on Christian doctrine , but can also be interpreted eschatologically .   The usual interpretation goes back to John Chrysostom ( c. 347 -- 407 ) , who wrote in his Homily 24 on Matthew :   By `` rain '' here , and `` floods , '' and `` winds , '' He is expressing metaphorically the calamities and afflictions that befall men ; such as false accusations , plots , bereavements , deaths , loss of friends , vexations from strangers , all the ills in our life that any one could mention . `` But to none of these , '' says He , `` does such a soul give way ; and the cause is , it is founded on the rock . '' He calls the steadfastness of His doctrine a rock ; because in truth His commands are stronger than any rock , setting one above all the waves of human affairs . For he who keeps these things strictly , will not have the advantage of men only when they are vexing him , but even of the very devils plotting against him . And that it is not vain boasting so to speak , Job is our witness , who received all the assaults of the devil , and stood unmoveable ; and the apostles too are our witnesses , for that when the waves of the whole world were beating against them , when both nations and princes , both their own people and strangers , both the evil spirits , and the devil , and every engine was set in motion , they stood firmer than a rock , and dispersed it all .   Hymns ( edit )   This parable has formed the theme for many hymns , such as Built on the Rock ( N.F.S. Grundtvig , 1837 ) and My Hope Is Built on Nothing Less ( Edward Mote , c. 1834 ) , which begins :   My hope is built on nothing less Than Jesus ' blood and righteousness . I dare not trust the sweetest frame , But wholly trust in Jesus ' Name . On Christ the solid Rock I stand , All other ground is sinking sand ; All other ground is sinking sand .   See also ( edit )    Life of Jesus in the New Testament   Ministry of Jesus    References ( edit )    Jump up ^ Joel B. Green , The Gospel of Luke , Eerdmans , 1997 , ISBN 0 - 8028 - 2315 - 7 , pp. 277,281 .   ^ Jump up to : Richard N. Longenecker , The Challenge of Jesus ' Parables , Eerdmans , 2000 , ISBN 0 - 8028 - 4638 - 6 , pp. 287 -- 289 .   Jump up ^ Chrysostom 's Homily 24 on Matthew at NewAdvent.org .    Further reading ( edit )    Blomberg , C.L. ( 2012 ) . Interpreting the Parables . InterVarsity Press . ISBN 978 - 0 - 8308 - 6677 - 9 .   Gowler , D.B. ( 2017 ) . The Parables after Jesus : Their Imaginative Receptions across Two Millennia . Baker Publishing Group . ISBN 978 - 1 - 4934 - 0666 - 1 .   Jones , Peter Rhea ( 2012 ) . `` On Rock or Sand ? The Two Foundations ( Matthew 7 : 24 -- 27 , Luke 6 : 46 -- 49 ) '' . Review &amp; Expositor . SAGE Publications . 109 ( 2 ) : 233 -- 249 . doi : 10.1177 / 003463731210900208 . ISSN 0034 - 6373 .   Ottenheijm , Eric . `` Learning And Practising : Uses Of An Early Jewish Discourse In Matthew ( 7 : 24 -- 27 ) And Rabbinic Literature '' . Interaction between Judaism and Christianity in History , Religion , Art and Literature . Brill . pp. 45 -- 64 . doi : 10.1163 / ej. 9789004171503. i - 626.15 . ISBN 978 - 90 - 04 - 17150 - 3 .   Taylor , Jerry ( 2008 ) . `` Two Houses in a Storm ( Matthew 7.24 - 29 ) '' . Leaven. 16 ( 4 ) .              Jesus     Historicity     Chronology of Jesus   Genealogy of Jesus   Historical Jesus   Quest for the historical Jesus   portraits   sources   Josephus on Jesus   Tacitus mention   Mara bar Serapion letter     Historicity   Gospels   race and appearance         Life events     Birth   Nativity   Mary   Joseph   Flight into Egypt     Childhood   Unknown years   Baptism   Temptation   Apostles   selecting   Great Commission     Ministry   Sermon on the Mount   Plain     Prayers   Lord 's Prayer     Parables   Miracles   Transfiguration   Homelessness   Last Supper   Passion   arrest   trial     Crucifixion   sayings on the cross     Tomb   Resurrection   Ascension       New Testament     Gospels   Matthew   Mark   Luke     Gospel harmony   Oral gospel traditions     Life of Jesus in the New Testament   Historical background of the New Testament   New Testament places associated with Jesus   Names and titles of Jesus in the New Testament       Culture     Language of Jesus   Bibliography   Films       Christianity     Christ   Christianity   Christology   Depictions of Jesus   art     Jesus in Christianity   pre-existence   incarnation     Relics associated with Jesus   Scholastic Lutheran Christology   Second Coming   Session of Christ       Other views     Brothers of Jesus   Holy Family   Jesuism   Jesus in comparative mythology   Christ myth theory   Jesus in Islam   Ahmadiyya     Jesus in Scientology   Judaism 's view of Jesus   in the Talmud     Master Jesus   Religious perspectives on Jesus   Criticism                 Parables of Jesus     Canonical Gospels     Barren Fig Tree   Budding Fig Tree   Counting the cost   Drawing in the Net   Faithful Servant   Friend at Night   Good Samaritan   Good Shepherd   Great Banquet   Growing Seed   Hidden Treasure   Lamp   Leaven   Lost Coin   Lost Sheep   Master and Servant   Mustard Seed   New Wine into Old Wineskins   Pearl   Pharisee and the Publican   Prodigal Son   Rich Fool   Rich man and Lazarus   Scribe   Sheep and Goats   Sower   Strong Man   Talents or minas   Tares   Ten Virgins   True Vine   Tree and its Fruits   Two Debtors   Two Sons   Unjust Judge   Unjust Steward   Unforgiving Servant   Wedding Feast   Wicked Husbandmen   Wise and Foolish Builders   Workers in the Vineyard       Non-canonical / disputed     Assassin   Empty Jar      Retrieved from `` https://en.wikipedia.org/w/index.php?title=Parable_of_the_Wise_and_the_Foolish_Builders&amp;oldid=848541395 '' Categories :   Parables of Jesus   Sermon on the Mount   Gospel of Matthew           Talk                                           Contents                   About Wikipedia                                           Català   Deutsch   Español   Français   गोंयची कोंकणी / Gõychi Konknni   Hrvatski   Bahasa Indonesia   Português   Српски / srpski   Srpskohrvatski / српскохрватски   தமிழ்   Tiếng Việt   </t>
    </r>
    <r>
      <rPr>
        <sz val="11"/>
        <color rgb="FF000000"/>
        <rFont val="Noto Sans CJK SC"/>
        <family val="2"/>
      </rPr>
      <t xml:space="preserve">粵語   中文  </t>
    </r>
    <r>
      <rPr>
        <sz val="11"/>
        <color rgb="FF000000"/>
        <rFont val="Calibri"/>
        <family val="0"/>
        <charset val="1"/>
      </rPr>
      <t xml:space="preserve">5 more  Edit links   This page was last edited on 2 July 2018 , at 16 : 03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</si>
  <si>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bible story about building your house on the rock</t>
  </si>
  <si>
    <t xml:space="preserve"> The Parable of the Wise and the Foolish Builders , ( also known as the House on the Rock ) , is a parable of Jesus appearing in the Gospel of Matthew ( 7 : 24 -- 27 ) and Luke ( 6 : 46 -- 49 ) . </t>
  </si>
  <si>
    <t xml:space="preserve">List of Odd Mom Out episodes - wikipedia  List of Odd Mom Out episodes  Jump to : navigation , search  Odd Mom Out is an American comedy television series that premiered on June 8 , 2015 , on Bravo . Based on the novel Momzillas , Odd Mom Out was created by and stars Jill Kargman as a fictionalized version of herself named Jill Weber , who is forced to navigate the wealthy mommy clique that resides in New York 's prestigious Upper East Side neighborhood . Andy Buckley , KK Glick , Sean Kleier , Joanna Cassidy , and Abby Elliott also co-star in the series .   On September 22 , 2016 , the network renewed Odd Mom Out for a 10 - episode third season shortly after the second season concluded .   As of September 13 , 2017 , a total of 30 episodes of Odd Mom Out have aired .     Contents  ( hide )   1 Series overview   2 Episodes   2.1 Season 1 ( 2015 )   2.2 Season 2 ( 2016 )   2.3 Season 3 ( 2017 )     3 References   4 External links      Series overview ( edit )     Season   Episodes   Originally aired     First aired   Last aired         10   June 8 , 2015 ( 2015 - 06 - 08 )   August 3 , 2015 ( 2015 - 08 - 03 )         10   June 20 , 2016 ( 2016 - 06 - 20 )   August 29 , 2016 ( 2016 - 08 - 29 )         10   July 12 , 2017 ( 2017 - 07 - 12 )   September 13 , 2017 ( 2017 - 09 - 13 )     Episodes ( edit )   Season 1 ( 2015 ) ( edit )     No . overall   No. in season   Title   Directed by   Written by   Original air date   U.S. viewers ( millions )         `` Wheels Up ''   Andy Fleming   Jill Kargman and Julie Rottenberg &amp; Elisa Zuritsky   June 8 , 2015 ( 2015 - 06 - 08 )   0.86     Andy , Jill 's husband , gets intimidated by his brother 's success . Jill tries to find the best school for their children . Brooke , Jill 's sister - in - law , asks her to come to her charity event .         `` Vons Have More Fun ''   Andy Fleming   Julie Rottenberg &amp; Elisa Zuritsky   June 8 , 2015 ( 2015 - 06 - 08 )   0.60     Jill and Andy learn about their ancestors . Jill 's best friend , Vanessa , finds a boyfriend . Jill is pressured by Brooke and Candace to take an advantage of having royal antecedents .         `` Dying To Get In ''   Andy Fleming   Jill Kargman   June 15 , 2015 ( 2015 - 06 - 15 )   0.59     Jill gets frustrated about finding the right kindergarten for her children . Andy 's mother wants the family to go for an interview to get in a very special and prestigious cemetery .         `` Omakase ''   John Fortenberry   Will Graham   June 22 , 2015 ( 2015 - 06 - 22 )   0.67     Jill invites a new friend to a trendy restaurant , they run into Brooke and Lex .     5   5   `` Brooklandia ''   Jeff Melman   Julie Rottenberg &amp; Elisa Zuritsky   June 29 , 2015 ( 2015 - 06 - 29 )   0.64     Jill falls in love with down - to - earth moms in attendance at a friends backyard party in Brooklyn .     6   6   `` Midwife Crisis ''   Jeff Melman   Julie Rottenberg &amp; Elisa Zuritsky   July 6 , 2015 ( 2015 - 07 - 06 )   0.74     Jill must rely on her wits when Brooke goes into labor but can not make it into her chosen hospital .     7   7   `` Sip ' N See ''   Michael LaHaie   Julie Kraut   July 13 , 2015 ( 2015 - 07 - 13 )   0.60     Jill reluctantly throws a `` sip ' n ' see '' party to give everyone a chance to meet Brooke 's baby .     8   8   `` Staffing Up ''   John Fortenberry   Steve Rubinshteyn   July 20 , 2015 ( 2015 - 07 - 20 )   0.64     Brooke and Jill go to a children 's museum to observe nannies in their natural habitat .     9   9   `` The Truth Fairy ''   Tamra Davis   Angie Day   July 27 , 2015 ( 2015 - 07 - 27 )   0.59     Jill starts hanging out with the momzillas and her and Vanessa become distant . While they try to find who is telling the children crazy things about the world .     10   10   `` Wheels Down ''   Tamra Davis   Jill Kargman and Julie Rottenberg &amp; Elisa Zuritsky   August 3 , 2015 ( 2015 - 08 - 03 )   0.67     Everything comes to a head at Brooke 's NACHO ball .     Season 2 ( 2016 ) ( edit )     No . overall   No. in season   Title   Directed by   Written by   Original air date   U.S. viewers ( millions )     11     `` The High Road ''   Alex Reid   Jill Kargman and Julie Rottenberg &amp; Elisa Zuritsky   June 20 , 2016 ( 2016 - 06 - 20 )   0.66     Jill dips her toe back in the work world by visiting the fashion magazine where she used to work . But her excitement at being welcomed back with open arms is short - lived .     12     `` Fasting and Furious ''   Alex Reid   Julie Rottenberg &amp; Elisa Zuritsky   June 27 , 2016 ( 2016 - 06 - 27 )   0.57     It 's Yom Kippur and Jill 's parents ( Blythe Danner , Dan Hedaya ) come to town - to atone , and to take care of a matter of life and death .     13     `` Hamming It Up ''   Alex Reid   Julie Kraut   July 11 , 2016 ( 2016 - 07 - 11 )   0.59     Jill and Vanessa - tired of being the last people on Earth not to have seen Hamilton - go on a desperate quest to get tickets in time for Lin Manuel Miranda 's last performance . Several of the Broadway show 's cast members appear in cameo roles .     14     `` Crushed ''   Peter Lauer   Will Graham   July 11 , 2016 ( 2016 - 07 - 11 )   0.50     Jill is pushed to get a drivers license . Brooke celebrates the opening of her store .     15   5   `` The O.D.D. Couple ''   Peter Lauer   Jill Kargman and Julie Rottenberg &amp; Elisa Zuritsky   July 18 , 2016 ( 2016 - 07 - 18 )   0.73     A therapist ( Meredith Vieira ) diagnoses Miles with an attention disorder , forcing Jill and Andy to take sides . Brooke wrestles with her resurfacing feelings for Lex .     16   6   `` Knock of Shame ''   Peter Lauer   Max Werner   July 25 , 2016 ( 2016 - 07 - 25 )   0.56     Jill and Andy meet their dream neighbors ( Drew Barrymore , John Hodgman ) , but are immediately disillusioned with them . Brooke and Lex are trapped in the Waldorf during a blizzard .     17   7   `` Hanoi Jill ''   Alex Reid   Angie Day   August 1 , 2016 ( 2016 - 08 - 01 )   0.66     In order to celebrate Brooke and Lex reuniting , Andy and Jill are invited to brunch at Candace 's . Andy and Jill are caught up in the doorman strike .     18   8   `` 40 Is the New 70 ''   Michael LaHaie   Julie Rottenberg &amp; Elisa Zuritsky   August 15 , 2016 ( 2016 - 08 - 15 )   0.65     Jill , Andy , and Vanessa feel the sting of aging . Brooke and Lex invite Jill and Andy to an enlightening `` Dinner in the Dark '' .     19   9   `` The Hamptons ''   Gail Lerner   Jill Kargman and Julie Rottenberg &amp; Elisa Zuritsky   August 22 , 2016 ( 2016 - 08 - 22 )   0.69     During a traffic jam on the way to the Hamptons , Jill has a nasty run - in with Joy Green ( Molly Ringwald ) , Brooke 's idol and author of `` The Joy Manifesto '' . Candace 's white party takes a sharp turn for Brooke .     20   10   `` Ode to Joy ''   Gail Lerner   Jill Kargman and Julie Rottenberg &amp; Elisa Zuritsky   August 29 , 2016 ( 2016 - 08 - 29 )   0.78     Jill struggles with telling Brooke that Joy Green is a monster . A sudden disaster shakes the family to its very core .      Notes     ^ Jump up to : `` Episodes two and three of season two were released online on June 20 , 2016 , the same day of the season two premiere .    Season 3 ( 2017 ) ( edit )     No . overall   No. in season   Title   Directed by   Written by   Original air date   U.S. viewers ( millions )     21     `` Frisky Business ''   Peter Lauer   Jill Kargman &amp; Lara Spotts   July 12 , 2017 ( 2017 - 07 - 12 )   0.57     Jill and Andy are worried that Hazel has grown up overnight when they visit her at sleepaway camp . The residents of the Upper East Side deal with their new financial situations .     22     `` Candle in the Windbag ''   Alex Reid   Jill Kargman &amp; Lara Spotts   July 19 , 2017 ( 2017 - 07 - 19 )   0.58     Since Candace moved in with the Webers , Jill has been driven to her wit 's end . Vanessa tries to spice up her long distance relationship with Graham .     23     `` M.F.A. in B.S. ''   Alex Reid   Ally Musika   July 26 , 2017 ( 2017 - 07 - 26 )   0.62     Jill adjusts to the new art scene at her show . Lex struggles to find out who he is after losing his job .     24     `` Children in the Corn Pudding ''   Alex Reid   Lindsey Stoddard   August 2 , 2017 ( 2017 - 08 - 02 )   0.59     After spending a Thanksgiving in the suburbs with Brooke 's sisters Barrett ( Christine Taylor ) and Berkley ( Meredith Hagner ) , Jill realizes why Brooke is the way she is . Vanessa must tend to her building after accidentally revealing that she 's a doctor .     25   5   `` Jury Doody ''   Michael LaHaie   Jill Kargman &amp; Lara Spotts   August 9 , 2017 ( 2017 - 08 - 09 )   0.53     Jill is riddled with guilt after Candace returns from jury duty and tells the family the lurid details of her cruise ship murder trial .     26   6   `` Dadderall ''   Michael LaHaie   Ally Musika   August 16 , 2017 ( 2017 - 08 - 16 )   0.54     27   7   `` Weber M.D. ''   Alex Reid   Jill Kargman &amp; Lara Spotts   August 23 , 2017 ( 2017 - 08 - 23 )   0.46     28   8   `` Star Grazing ''   Peter Lauer   Ally Musika   August 30 , 2017 ( 2017 - 08 - 30 )   0.42     29   9   `` Homo Erectus ''   Peter Lauer   Lindsey Stoddart   September 6 , 2017 ( 2017 - 09 - 06 )   0.40     30   10   `` Blood Bath ''   Peter Lauer   Jill Kargman &amp; Lara Spotts   September 13 , 2017 ( 2017 - 09 - 13 )   N / A     References ( edit )    Jump up ^ `` Shows A-Z - odd mom out on bravo '' . The Futon Critic . Retrieved September 30 , 2016 .   Jump up ^ Pedersen , Erik ( September 22 , 2016 ) . `` ' Odd Mom Out ' Gets Season 3 Renewal At Bravo '' . Deadline . Retrieved September 23 , 2016 .   Jump up ^ `` Odd Mom Out Episode 1 : `` Wheels Up '' `` . Bravo Media . NBCUniversal . Retrieved June 4 , 2015 .   Jump up ^ Bibel , Sara ( June 9 , 2015 ) . `` Monday Cable Ratings : ' Love &amp; Hip Hop Atlanta ' &amp; Stanley Cup Final Win Night , ' WWE Raw ' , ' Devious Maids ' , ' The Fosters ' &amp; More '' . TV by the Numbers . Tribune Digital Ventures . Retrieved June 10 , 2015 .   Jump up ^ `` Odd Mom Out Episode 2 : `` Vons Have More Fun '' `` . Bravo Media . NBCUniversal . Retrieved June 4 , 2015 .   Jump up ^ `` SHOWBUZZDAILY 's Top 100 Monday Cable Originals ( &amp; Network Update ) : 6.8. 2015 '' . ShowBuzzDaily . June 9 , 2015 . Retrieved August 5 , 2015 .   Jump up ^ `` SHOWBUZZDAILY 's Top 100 Monday Cable Originals ( &amp; Network Update ) : 6.15. 2015 '' . ShowBuzzDaily . June 16 , 2015 . Retrieved August 5 , 2015 .   Jump up ^ `` SHOWBUZZDAILY 's Top 100 Monday Cable Originals ( &amp; Network Update ) : 6.22. 2015 '' . ShowBuzzDaily . June 23 , 2015 . Retrieved August 5 , 2015 .   Jump up ^ `` SHOWBUZZDAILY 's Top 100 Monday Cable Originals ( &amp; Network Update ) : 6.29. 2015 '' . ShowBuzzDaily . June 30 , 2015 . Retrieved August 5 , 2015 .   Jump up ^ Bibel , Sara ( July 8 , 2015 ) . `` Monday Cable Ratings : ' Love &amp; Hip Hop Atlanta ' Wins Night , Shark Week , ' WWE Raw ' , ' Teen Wolf ' , ' The Fosters ' &amp; More '' . TV by the Numbers . Tribune Digital Ventures . Retrieved August 5 , 2015 .   Jump up ^ `` SHOWBUZZDAILY 's Top 100 Monday Cable Originals ( &amp; Network Update ) : 7.13. 2015 '' . ShowBuzzDaily . July 14 , 2015 . Retrieved August 5 , 2015 .   Jump up ^ Bibel , Sara ( July 21 , 2015 ) . `` Monday Cable Ratings : ' Love &amp; Hip Hop Atlanta ' Wins Night , ' WWE Raw ' , ' Major Crimes ' , ' Teen Wolf ' , ' The Fosters ' , ' Tut ' &amp; More '' . TV by the Numbers . Tribune Digital Ventures . Retrieved August 5 , 2015 .   Jump up ^ `` SHOWBUZZDAILY 's Top 100 Monday Cable Originals ( &amp; Network Update ) : 7.27. 2015 '' . ShowBuzzDaily . July 28 , 2015 . Retrieved August 5 , 2015 .   Jump up ^ Bibel , Sara ( August 4 , 2015 ) . `` Monday Cable Ratings : ' Love &amp; Hip Hop Atlanta ' Wins Night , ' WWE Raw ' , ' Major Crimes ' , ' Teen Wolf ' , ' The Fosters ' , ' UnReal ' &amp; More '' . TV by the Numbers . Tribune Digital Ventures . Retrieved August 5 , 2015 .   Jump up ^ `` UPDATED : SHOWBUZZDAILY 's Top 150 Monday Cable Originals &amp; Network Finals : 6.20. 2016 '' . ShowBuzzDaily . June 21 , 2016 . Retrieved June 23 , 2016 .   Jump up ^ `` UPDATED : SHOWBUZZDAILY 's Top 150 Monday Cable Originals &amp; Network Finals : 6.27. 2016 '' . ShowBuzzDaily . June 28 , 2016 . Retrieved June 28 , 2016 .   Jump up ^ http://www.bravotv.com/odd-mom-out/season-2/episode-3/videos/hamilton-hameos-on-odd-mom-out   ^ Jump up to : `` UPDATED : SHOWBUZZDAILY 's Top 150 Monday Cable Originals &amp; Network Finals : 7.11. 2016 '' . ShowBuzzDaily . July 12 , 2016 . Retrieved July 20 , 2016 .   Jump up ^ `` UPDATED : SHOWBUZZDAILY 's Top 150 Monday Cable Originals &amp; Network Finals : 7.18. 2016 '' . ShowBuzzDaily . July 19 , 2016 . Retrieved July 20 , 2016 .   Jump up ^ `` UPDATED : SHOWBUZZDAILY 's Top 150 Monday Cable Originals &amp; Network Finals : 7.25. 2016 '' . ShowBuzzDaily . July 26 , 2016 . Retrieved July 30 , 2016 .   Jump up ^ `` UPDATED : SHOWBUZZDAILY 's Top 150 Monday Cable Originals &amp; Network Finals : 8.1. 2016 '' . ShowBuzzDaily . August 2 , 2016 . Retrieved August 8 , 2016 .   Jump up ^ `` UPDATED : SHOWBUZZDAILY 's Top 150 Monday Cable Originals &amp; Network Finals : 8.15. 2016 '' . ShowBuzzDaily . August 16 , 2016 . Retrieved August 17 , 2016 .   Jump up ^ `` UPDATED : SHOWBUZZDAILY 's Top 150 Monday Cable Originals &amp; Network Finals : 8.22. 2016 '' . ShowBuzzDaily . August 23 , 2016 . Retrieved August 24 , 2016 .   Jump up ^ `` UPDATED : SHOWBUZZDAILY 's Top 150 Monday Cable Originals &amp; Network Finals : 8.29. 2016 '' . ShowBuzzDaily . August 30 , 2016 . Retrieved August 30 , 2016 .   Jump up ^ Metcalf , Mitch ( July 13 , 2017 ) . `` Updated : ShowBuzzDaily 's Top 150 Wednesday Cable Originals &amp; Network Finals : 7.12. 2017 '' . Showbuzz Daily . Retrieved July 13 , 2017 .   Jump up ^ Metcalf , Mitch ( July 20 , 2017 ) . `` Updated : ShowBuzzDaily 's Top 150 Wednesday Cable Originals &amp; Network Finals : 7.19. 2017 '' . Showbuzz Daily . Retrieved July 20 , 2017 .   Jump up ^ Metcalf , Mitch ( July 27 , 2017 ) . `` Updated : ShowBuzzDaily 's Top 150 Wednesday Cable Originals &amp; Network Finals : 7.26. 2017 '' . Showbuzz Daily . Retrieved July 27 , 2017 .   Jump up ^ Metcalf , Mitch ( August 3 , 2017 ) . `` Updated : ShowBuzzDaily 's Top 150 Wednesday Cable Originals &amp; Network Finals : 8.2. 2017 '' . Showbuzz Daily . Retrieved August 3 , 2017 .   Jump up ^ Metcalf , Mitch ( August 10 , 2017 ) . `` Updated : ShowBuzzDaily 's Top 150 Wednesday Cable Originals &amp; Network Finals : 8.9. 2017 '' . Showbuzz Daily . Retrieved August 10 , 2017 .   Jump up ^ Metcalf , Mitch ( August 17 , 2017 ) . `` Updated : ShowBuzzDaily 's Top 150 Wednesday Cable Originals &amp; Network Finals : 8.16. 2017 '' . Showbuzz Daily . Retrieved August 17 , 2017 .   Jump up ^ Metcalf , Mitch ( August 24 , 2017 ) . `` SHOWBUZZDAILY 's Top 150 Wednesday Cable Originals &amp; Network Finals : 8.23. 2017 '' . Showbuzz Daily . Retrieved August 24 , 2017 .   Jump up ^ Metcalf , Mitch ( August 31 , 2017 ) . `` Updated : ShowBuzzDaily 's Top 150 Wednesday Cable Originals &amp; Network Finals : 8.30. 2017 '' . Showbuzz Daily . Retrieved August 31 , 2017 .   Jump up ^ Metcalf , Mitch ( September 7 , 2017 ) . `` Updated : ShowBuzzDaily 's Top 150 Wednesday Cable Originals &amp; Network Finals : 9.6. 2017 '' . Showbuzz Daily . Retrieved September 7 , 2017 .    External links ( edit )    Official website   List of Odd Mom Out episodes on IMDb   List of Odd Mom Out episodes at TV Guide   Retrieved from `` https://en.wikipedia.org/w/index.php?title=List_of_Odd_Mom_Out_episodes&amp;oldid=800989158 '' Categories :   Lists of American sitcom television series episodes   Hidden categories :   Articles containing potentially dated statements from September 2017   All articles containing potentially dated statements   Official website not in Wikidata           Talk                                           Contents                   About Wikipedia                                           Add links   This page was last edited on 17 September 2017 , at 00 : 23 .         About Wikipedia                    </t>
  </si>
  <si>
    <t xml:space="preserve">how many episodes season 3 odd mom out</t>
  </si>
  <si>
    <t xml:space="preserve">   Season   Episodes   Originally aired     First aired   Last aired         10   June 8 , 2015 ( 2015 - 06 - 08 )   August 3 , 2015 ( 2015 - 08 - 03 )         10   June 20 , 2016 ( 2016 - 06 - 20 )   August 29 , 2016 ( 2016 - 08 - 29 )         10   July 12 , 2017 ( 2017 - 07 - 12 )   September 13 , 2017 ( 2017 - 09 - 13 )   </t>
  </si>
  <si>
    <r>
      <rPr>
        <sz val="11"/>
        <color rgb="FF000000"/>
        <rFont val="Calibri"/>
        <family val="0"/>
        <charset val="1"/>
      </rPr>
      <t xml:space="preserve">Book of Ruth - wikipedia  Book of Ruth  This article is about the ancient Hebrew religious text . For the 20th - century English language novel , see The Book of Ruth ( novel ) . For the 1960 film , see The Story of Ruth . For the 2009 film , see The Book of Ruth : Journey of Faith .          Tanakh ( Judaism )        Torah ( Instruction ) ( show )    Genesis   Bereishit     Exodus   Shemot     Leviticus   Wayiqra     Numbers   Bemidbar     Deuteronomy   Devarim        Nevi'im ( Prophets ) ( show )    Former        Joshua   Yehoshua     Judges   Shofetim     Samuel   Shemuel     Kings   Melakhim        Latter        Isaiah   Yeshayahu     Jeremiah   Yirmeyahu     Ezekiel   Yekhezqel        Minor       Hosea   Joel   Amos   Obadiah   Jonah   Micah   Nahum   Habakkuk   Zephaniah   Haggai   Zechariah   Malachi          Ketuvim ( Writings ) ( hide )    Poetic        Psalms   Tehillim     Proverbs   Mishlei     Job   Iyov        Five Megillot ( Scrolls )        Song of Songs   Shir Hashirim     Ruth   Rut     Lamentations   Eikhah     Ecclesiastes   Qoheleth     Esther   Ester        Historical        Daniel   Daniyyel     Ezra -- Nehemiah   Ezra     Chronicles   Divre Hayyamim              Old Testament ( Christianity )        Pentateuch ( show )   Genesis   Exodus   Leviticus   Numbers   Deuteronomy       Historical ( hide )   Joshua   Judges   Ruth   1 and 2 Samuel   1 and 2 Kings   1 and 2 Chronicles   Ezra   Nehemiah   Esther       Wisdom ( show )   Job   Psalms   Proverbs   Ecclesiastes   Song of Songs       Prophetic ( show )    Major prophets       Isaiah   Jeremiah   Lamentations   Ezekiel   Daniel       Minor prophets       Hosea   Joel   Amos   Obadiah   Jonah   Micah   Nahum   Habakkuk   Zephaniah   Haggai   Zechariah   Malachi          Deuterocanonical ( show )      Tobit   Judith   Additions to Esther   1 Maccabees   2 Maccabees   Wisdom of Solomon   Sirach   Baruch / Letter of Jeremiah   Additions to Daniel       Orthodox only       1 Esdras   2 Esdras   Prayer of Manasseh   Psalm 151   3 Maccabees   4 Maccabees   Odes       Orthodox Tewahedo       1 Enoch   Jubilees   1 , 2 , and 3 Meqabyan   Paralipomena of Baruch   Broader canon             Bible portal                 The Book of Ruth ( Hebrew : מגילת רות ‎ , Ashkenazi pronunciation : ( məˈɡɪləs rus ) , Megilath Ruth , `` the Scroll of Ruth '' , one of the Five Megillot ) is included in the third division , or the Writings ( Ketuvim ) , of the Hebrew Bible ; in most Christian canons it is treated as a history book and placed between Judges and 1 Samuel , as it is set `` in the days when the judges judged '' , although the Syriac Christian tradition places it later , between Ecclesiastes and the Song of Songs . It is named after its central figure , Ruth the Moabitess , the great - grandmother of David .   The book tells of Ruth 's accepting the God of the Israelites as her God and the Israelite people as her own . In Ruth 1 : 16 -- 17 , Ruth tells Naomi , her Israelite mother - in - law , `` Where you go I will go , and where you stay I will stay . Your people will be my people and your God my God . Where you die I will die , and there I will be buried . May the Lord deal with me , be it ever so severely , if even death separates you and me . '' The book is held in esteem by Jews who fall under the category of Jews - by - choice , as is evidenced by the considerable presence of Boaz in rabbinic literature . The Book of Ruth also functions liturgically , as it is read during the Jewish holiday of Shavuot ( `` Weeks '' ) .   Contents    1 Structure   2 Summary   3 Composition   4 Themes and background   4.1 Levirate marriage and the `` redeemers ''   4.2 Mixed marriage   4.3 Contemporary interpretations     5 Genealogy : the descent of David from Ruth   6 See also   7 Notes   8 References   9 Bibliography   10 External links    Structure ( edit )   The book is structured in four chapters :   Act 1 : Prologue and Problem : Death and Emptiness ( 1 : 1 -- 22 )    Scene 1 : Setting the scene ( 1 : 1 -- 5 )   Scene 2 : Naomi returns home ( 1 : 6 -- 18 )   Scene 3 : Arrival of Naomi and Ruth in Bethlehem ( 1 : 19 -- 22 )    Act 2 : Ruth Meets Boaz , Naomi 's Relative , on the Harvest Field ( 2 : 1 -- 23 )    Scene 1 : Ruth in the field of Boaz ( 2 : 1 -- 17 )   Scene 2 : Ruth reports to Naomi ( 2 : 18 -- 23 )    Act 3 : Naomi Sends Ruth to Boaz on the Threshing Floor ( 3 : 1 -- 18 )    Scene 1 : Naomi Reveals Her Plan ( 3 : 1 -- 5 )   Scene 2 : Ruth at the threshing - floor of Boaz ( 3 : 6 -- 15 )   Scene 3 : Ruth reports to Naomi ( 3 : 16 -- 18 )    Act 4 : Resolution and Epilogue : Life and Fullness ( 4 : 1 -- 22 )    Scene 1 : Boaz with the men at the gate ( 4 : 1 -- 12 )   Scene 2 : A son is born to Ruth ( 4 : 13 -- 17 )    Genealogical appendix ( 4 : 18 -- 22 )   Summary ( edit )  Naomi entreating Ruth and Orpah to return to the land of Moab by William Blake , 1795  During the time of the Judges when there was a famine , an Israelite family from Bethlehem -- Elimelech , his wife Naomi , and their sons Mahlon and Chilion -- emigrated to the nearby country of Moab . Elimelech died , and the sons married two Moabite women : Mahlon married Ruth and Chilion married Orpah .   After about ten years , the two sons of Naomi also died in Moab ( 1 : 4 ) . Naomi decided to return to Bethlehem . She told her daughters - in - law to return to their own mothers and remarry . Orpah reluctantly left ; however , Ruth said , `` Intreat me not to leave thee , ( or ) to return from following after thee : for whither thou goest , I will go ; and where thou lodgest , I will lodge : thy people ( shall be ) my people , and thy God my God : Where thou diest , will I die , and there will I be buried : the LORD do so to me , and more also , ( if aught ) but death part thee and me . '' ( Ruth 1 : 16 -- 17 KJV )   The two women returned to Bethlehem at the beginning of the barley harvest , and in order to support her mother - in - law and herself , Ruth went to the fields to glean . As it happened , the field she went to belonged to a man named Boaz , who was kind to her because he had heard of her loyalty to her mother - in - law . Ruth told Naomi of Boaz 's kindness , and she gleaned in his field through the remainder of barley and wheat harvest .   Boaz was a close relative of Naomi 's husband 's family . He was therefore obliged by the Levirate law to marry Mahlon 's widow , Ruth , in order to carry on his family 's inheritance . Naomi sent Ruth to the threshing floor at night and told her to go where he slept , and `` uncover his feet , and lay thee down ; and he will tell thee what thou shalt do '' ( 3 : 4 ) . Ruth did so . Boaz asked her who she was , and she replied : `` I ( am ) Ruth thine handmaid : spread therefore thy skirt over thine handmaid ; for thou ( art ) a near kinsman . '' ( 3 : 9 ) Boaz blessed her and agreed to do all that is required , and he noted that , `` all the city of my people doth know that thou ( art ) a virtuous woman . '' ( 3 : 11 ) He then acknowledged that he was a close relative , but that there was one who was closer , and she remained in submission at his feet until she returned into the city in the morning .   Early that day , Boaz went to the city gate to meet with the other male relative before the town elders . The relative is not named : Boaz addresses him as ploni almoni , literally `` so and so '' . The unnamed relative is unwilling to jeopardize the inheritance of his own estate by marrying Ruth , and so relinquished his right of redemption , thus allowing Boaz to marry Ruth . They transferred the property and redeemed it , ratified by the nearer kinsman taking off his shoe and handing it over to Boaz . Ruth 4 : 7 notes for later generations that :    This was the custom in former times in Israel concerning redeeming and exchanging , to confirm anything : one man took off his sandal and gave it to the other , and this was a confirmation in Israel .    Boaz and Ruth were then married and have a son . The women of the city celebrate Naomi 's joy , for Naomi found a redeemer for her family name , and Naomi takes the child and places it in her bosom .   The child is named Obed , who we discover is `` the father of Jesse , the father of David '' ( Ruth 4 : 13 -- 17 ) , that is , the grandfather of King David .   The book concludes with an appendix which traces the Davidic genealogy all the way back from Perez , `` whom Tamar bore to Judah '' , through to Obed , down to David .   Composition ( edit )   The book does not name its author . It is traditionally ascribed to the prophet Samuel , but Ruth 's identity as a non-Israelite and the stress on the need for an inclusive attitude towards foreigners suggests an origin in the fifth century BCE , when intermarriage had become controversial ( as seen in Ezra 9 : 1 and Nehemiah 13 : 1 ) . A substantial number of scholars therefore date it to the Persian period ( 6th -- 4th centuries BC ) . The genealogy that concludes the book is believed to be a post-exilic Priestly addition , as it adds nothing to the plot ; nevertheless , it is carefully crafted and integrates the book into the history of Israel running from Genesis to Kings .   Themes and Background ( edit )  Julius Schnorr von Carolsfeld : `` Ruth in Boaz 's Field '' , 1828  Levirate marriage and the `` redeemers '' ( edit )   The Book of Ruth illustrates the difficulty of trying to use laws given in books such as Deuteronomy as evidence of actual practice . Naomi plans to provide security for herself and Ruth by arranging a Levirate marriage with Boaz . Her plan is overtly sexual : Ruth is to go to the threshing floor ( a place associated with sexual activity ) , wait until Boaz has finished eating and drinking ( a possible allusion to the story of Lot and his daughters , ancestors through incest of the Moabites ) , and to lie at his uncovered `` feet '' ( a euphemism for genitals ) .   Since there was no heir to inherit Elimelech 's land , custom required a close relative ( usually the dead man 's brother ) to marry the widow of the deceased in order to continue his family line ( Deuteronomy 25 : 5 -- 10 ) . This relative was called the go'el , the `` kinsman - redeemer '' . As Boaz is not Elimelech 's brother , nor is Ruth his widow , scholars refer to the arrangement here as `` Levirate - like '' . A complication arises in the story : another man is a closer relative to Elimelech than Boaz and has first claim on Ruth . It is resolved through the custom that required land to stay in the family : a family could mortgage land to ward off poverty , but the law required a kinsman to purchase it back into the family ( Leviticus 25 : 25ff ) . Boaz meets the near kinsman at the city gate ( the place where contracts are settled ) ; the kinsman first says he will purchase Elimelech 's ( now Naomi 's ) land , but , upon hearing he must also take Ruth as his wife , withdraws his offer . Boaz thus becomes Ruth and Naomi 's `` kinsman - redeemer . ''   Mixed marriage ( edit )   The book can be read as a political parable relating to issues around the time of Ezra and Nehemiah ( the 4th century BCE ) . The fictional nature of the story is established from the start through the names of the participants : the husband and father is Elimelech , meaning `` My God is King '' , and his wife is Naomi , `` Pleasing '' , but after the deaths of her sons Mahlon , `` Sickness '' , and Chilion , `` Wasting '' , she asks to be called Mara , `` Bitter '' . The reference to Moab raises questions , since in the rest of the biblical literature it is associated with hostility to Israel , sexual perversity , and idolatry , and Deuteronomy 23 : 3 -- 6 excluded an Ammonite or a Moabite from `` the congregation of the LORD ; even to their tenth generation '' . Despite this , Ruth the Moabitess married a Judahite and even after his death still regarded herself a member of his family ; she then married another Judahite and bore him a son who became an ancestor of David . Contrary to the message of Ezra - Nehemiah , where marriages between Jewish men and non-Jewish women were broken up , Ruth teaches that foreigners who convert to Judaism can become good Jews , foreign wives can become exemplary followers of Jewish law , and there is no reason to exclude them or their offspring from the community .   Contemporary interpretations ( edit )   Scholars have increasingly explored Ruth in ways which allow it to address contemporary issues . Feminists , for example , have recast the story as one of the dignity of labour and female self - sufficiency , and even as a model for lesbian relations , while others have seen in it a celebration of the relationship between strong and resourceful women . Others have criticised it for its underlying , and potentially exploitative , acceptance of a system of patriarchy in which a woman 's worth can only be measured through marriage and child - bearing . Others again have seen it as a book that champions outcast and oppressed peoples .   Genealogy : the descent of David from Ruth ( edit )                                                                                                                                               Elimelech     Naomi                                                                                                                   Boaz         Ruth         Mahlon         Orpah         Chilion                                                                                                 Obed                                                                                                                       Jesse                                                                                                                       David                                                   See also ( edit )    Goel    Notes ( edit )    Jump up ^ For `` feet '' as a euphemism for genitals see , for example , Amy - Jill Levine , `` Ruth , '' in Newsom and Ringe ( eds . ) , The Women 's Bible Commentary , pp. 78 - 84 . The usual interpretation , as given here , is that Ruth is told to uncover Boaz 's genitals , but see Kirsten Nielsen , `` Other Writings , '' in McKenzie and Graham ( eds . ) , The Hebrew Bible Today , pp. 175 - 176 , where it is argued that Ruth is to uncover herself .    References ( edit )    Jump up ^ Coogan 2008 , p. 8 .   Jump up ^ Ruth 1 : 1   Jump up ^ New International Version   Jump up ^ Atteridge 2006 , p. 383 .   ^ Jump up to : West 2003 , p. 209 .   Jump up ^ Hubbard 1988 , p. 23 .   Jump up ^ Leith 2007 , p. 391 .   ^ Jump up to : Grabbe 2004 , p. 105 .   Jump up ^ West 2003 , p. 211 .   Jump up ^ West 2003 , p. 210 .   ^ Jump up to : Allen 1996 , p. 521 - 522 .   ^ Jump up to : Grabbe 2004 , p. 312 .   Jump up ^ Irwin 2008 , p. 699 .    Bibliography ( edit )    Allen , Leslie C. ( 1996 ) . `` Ruth '' . In LaSor , William Sanford ; Hubbard , David Allan ; Bush , Frederic William ; et al. Old Testament Survey : The Message , Form , and Background of the Old Testament . Eerdmans . ISBN 9780802837882 .   Atteridge , Harold W. ( 2006 ) . The HarperCollins Study Bible . HarperCollins .   Coogan , Michael D. ( 2008 ) . A Brief Introduction to the Old Testament : The Hebrew Bible in Its Context . Oxford University Press . ISBN 9780195332728 .   Grabbe , Lester L. ( 2004 ) . The History of the Jews and Judaism in the Second Temple Period , Volume 1 : Yehud , the Persian Province of Judah . Continuum . pp. 105 &amp; 312 . ISBN 9780567089984 .   Hubbard , Robert L. Jr. ( 1988 ) . The Book of Ruth . Eerdmans . ISBN 9780802825261 .   Irwin , B.P. ( 2008 ) . `` Ruth 4 : Person '' . In Longman , Tremper ; Enns , Peter . Dictionary of the Old Testament : Wisdom , Poetry &amp; Writings . InterVarsity Press . ISBN 9780830817832 .   Leith , Mary Joan Winn ( 2007 ) . `` Ruth '' . In Coogan , Michael D. ; Brettler , Marc Zvi ; Newsom , Carol Ann ; et al . The New Oxford Annotated Bible with the Apocryphal / Deuterocanonical Books : New Revised Standard Version . Oxford University Press . ISBN 9780195288803 .   West , Gerald ( 2003 ) . `` Ruth '' . In Dunn , James D.G. ; Rogerson , John William . Eerdmans Commentary on the Bible . Eerdmans . ISBN 9780802837110 .    External links ( edit )       Wikisource has original text related to this article : Ruth ( Bible )         Wikimedia Commons has media related to Book of Ruth .      Jewish translations and study guides     Ruth at Mechon Mamre -- ( Jewish Publication Society of America Version )   Jewish Virtual Library   Jewish Encyclopedia   Ruth -- English translation ( with Rashi commentary )     Christian translations and study guides     The Kinsman Redeemer   Online Bible -- GospelHall.org   Biblegateway   Bible Study on Cross-Cultural Love -- InterVarsity website   Book of Ruth public domain audiobook at LibriVox Various versions     Encyclopedic entries     Catholic Encyclopedia      Book of Ruth History books     Preceded by Song of Songs   Hebrew Bible   Succeeded by Lamentations     Preceded by Judges   Christian Old Testament   Succeeded by 1 -- 2 Samuel               Book of Ruth     Bible     Ruth 1             Place     Bethlehem , Judah   Moab       People     Amminadab   Boaz   David   Elimelech   Hezron   Jesse   Judah   Chilion   Leah   Mahlon   Nahshon   Naomi   Obed   Orpah   Perez   Rachel   Ram   Ruth   Salmon   Tamar       Term     Goel   Judges   Levirate marriage ( Yibbum )       Sources     Hebrew Bible   Septuagint   Latin Vulgate   Wycliffe Version   King James Version   American Standard Version   World English Version       ← Book of Judges ( chapter 21 ) Books of Samuel ( chapter 1 ) →               Books of the Bible     Principal divisions      Hebrew Bible / Old Testament Protocanon     Genesis   Exodus   Leviticus   Numbers   Deuteronomy   Joshua   Judges   Ruth   1 -- 2 Samuel   1 -- 2 Kings   1 -- 2 Chronicles   Ezra   Nehemiah   Esther   Job   Psalms   Proverbs   Ecclesiastes   Song   Isaiah   Jeremiah   Lamentations   Ezekiel   Daniel   Hosea   Joel   Amos   Obadiah   Jonah   Micah   Nahum   Habakkuk   Zephaniah   Haggai   Zechariah   Malachi       Deuterocanon and Apocrypha        Catholic   Orthodox       Tobit   Judith   Additions to Esther   1 Maccabees   2 Maccabees   Wisdom   Sirach   Baruch / Letter of Jeremiah   Additions to Daniel   Susanna   Song of the Three Children   Bel and the Dragon         Orthodox only     1 Esdras   2 Esdras   Prayer of Manasseh   Psalm 151   3 Maccabees   4 Maccabees   Odes       Tewahedo Orthodox     Enoch   Jubilees   1 , 2 , and 3 Meqabyan   Paralipomena of Baruch   Broader canon       Syriac     Letter of Baruch   Psalms 152 -- 155          New Testament     Matthew   Mark   Luke     Acts   Romans   1 Corinthians   2 Corinthians   Galatians   Ephesians   Philippians   Colossians   1 Thessalonians   2 Thessalonians   1 Timothy   2 Timothy   Titus   Philemon   Hebrews   James   1 Peter   2 Peter   1 John   2 John   3 John   Jude   Revelation          Subdivisions     Chapters and verses   Pentateuch   Wisdom   Major prophets / Minor prophets   Gospels   Synoptic     Epistles   Pauline   Johannine   Pastoral   Catholic     Apocalyptic literature       Development     Old Testament canon   New Testament canon   Antilegomena   Jewish canon   Christian canon       Manuscripts     Dead Sea Scrolls   Samaritan Pentateuch   Septuagint   Targum   Diatessaron   Muratorian fragment   Peshitta   Vetus Latina   Masoretic Text   New Testament manuscript categories   New Testament papyri   New Testament uncials       See also     Biblical canon   Luther 's canon   Authorship   English Bible translations   Other books referenced in the Bible   Pseudepigrapha   list     New Testament apocrypha   Studies   Synod of Hippo   Textual criticism           Portal   WikiProject   Book             GND : 4076907 - 0      Retrieved from `` https://en.wikipedia.org/w/index.php?title=Book_of_Ruth&amp;oldid=853173969 '' Categories :   6th - century BC books   5th - century BC books   4th - century BC books   Book of Ruth   Ketuvim   Moab   Shavuot   Hidden categories :   Use mdy dates from November 2011   Articles containing Hebrew - language text   Articles with LibriVox links   Wikipedia articles with GND identifiers           Talk                                           Contents                   About Wikipedia                                             Wikisource       Afrikaans     Aragonés   Bân - lâm - gú   Беларуская   Boarisch   Brezhoneg   Català   Cebuano   Čeština   Dansk   Deutsch   Eesti   Español   Esperanto   Euskara   فارسی   Føroyskt   Français   Frysk   Gaeilge   Gàidhlig   Galego   गोंयची कोंकणी / Gõychi Konknni   </t>
    </r>
    <r>
      <rPr>
        <sz val="11"/>
        <color rgb="FF000000"/>
        <rFont val="Noto Sans CJK SC"/>
        <family val="2"/>
      </rPr>
      <t xml:space="preserve">客家 語 </t>
    </r>
    <r>
      <rPr>
        <sz val="11"/>
        <color rgb="FF000000"/>
        <rFont val="Calibri"/>
        <family val="0"/>
        <charset val="1"/>
      </rPr>
      <t xml:space="preserve">/ Hak - kâ - ngî   </t>
    </r>
    <r>
      <rPr>
        <sz val="11"/>
        <color rgb="FF000000"/>
        <rFont val="Noto Sans CJK SC"/>
        <family val="2"/>
      </rPr>
      <t xml:space="preserve">한국어   </t>
    </r>
    <r>
      <rPr>
        <sz val="11"/>
        <color rgb="FF000000"/>
        <rFont val="Calibri"/>
        <family val="0"/>
        <charset val="1"/>
      </rPr>
      <t xml:space="preserve">Հայերեն   Hrvatski   Bahasa Indonesia   IsiZulu   Italiano   עברית   Basa Jawa   ქართული   Kinyarwanda   Kiswahili   Latina   Latviešu   Lietuvių   Magyar   Malagasy   മലയാളം   Mìng - dĕ̤ng - ngṳ̄   Nederlands   </t>
    </r>
    <r>
      <rPr>
        <sz val="11"/>
        <color rgb="FF000000"/>
        <rFont val="Noto Sans CJK SC"/>
        <family val="2"/>
      </rPr>
      <t xml:space="preserve">日本 語   </t>
    </r>
    <r>
      <rPr>
        <sz val="11"/>
        <color rgb="FF000000"/>
        <rFont val="Calibri"/>
        <family val="0"/>
        <charset val="1"/>
      </rPr>
      <t xml:space="preserve">Norsk   Norsk nynorsk   Polski   Português   Română   Runa Simi   Русский   Gagana Samoa   Sicilianu   Simple English   Slovenčina   Српски / srpski   Srpskohrvatski / српскохрватски   Suomi   Svenska   Tagalog   தமிழ்   ไทย   Türkçe   Українська   اردو   Vepsän kel '   Tiếng Việt   Winaray   ייִדיש   Yorùbá   </t>
    </r>
    <r>
      <rPr>
        <sz val="11"/>
        <color rgb="FF000000"/>
        <rFont val="Noto Sans CJK SC"/>
        <family val="2"/>
      </rPr>
      <t xml:space="preserve">粵語   </t>
    </r>
    <r>
      <rPr>
        <sz val="11"/>
        <color rgb="FF000000"/>
        <rFont val="Calibri"/>
        <family val="0"/>
        <charset val="1"/>
      </rPr>
      <t xml:space="preserve">Zeêuws   </t>
    </r>
    <r>
      <rPr>
        <sz val="11"/>
        <color rgb="FF000000"/>
        <rFont val="Noto Sans CJK SC"/>
        <family val="2"/>
      </rPr>
      <t xml:space="preserve">中文   </t>
    </r>
    <r>
      <rPr>
        <sz val="11"/>
        <color rgb="FF000000"/>
        <rFont val="Calibri"/>
        <family val="0"/>
        <charset val="1"/>
      </rPr>
      <t xml:space="preserve">Lingua Franca Nova  66 more  Edit links   This page was last edited on 2 August 2018 , at 22 : 36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</si>
  <si>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many chapters in ruth in the bible</t>
  </si>
  <si>
    <t xml:space="preserve"> The book is structured in four chapters : </t>
  </si>
  <si>
    <t xml:space="preserve">List of festivals in Pakistan - wikipedia  List of festivals in Pakistan  This is the latest accepted revision , reviewed on 8 August 2017 . Jump to : navigation , search    Part of a series on the     Culture of Pakistan         History ( show )   Pakistan Movement       People ( show )   People   List of Pakistanis   Pakistani name       Languages ( show )   Urdu   Pakistani English   Provincial languages       Traditions     Mythology and folklore ( show )   folklore       Cuisine     Festivals ( show )   Public holidays       Religion ( show )   Islam   Mosques   Ahmadiyya   Shia   Sufism     Christianity   Hinduism   Sikhism   Bahá'í       Art ( show )   Architecture   Sculpture       Literature ( show )   Poetry       Music and performing arts ( show )   Music       Media ( show )   Radio   Television   Cinema       Sport     Monuments ( show )   World Heritage Sites       Symbols ( show )   Flag   Coat of arms           Pakistan portal                   This is the list of festivals in Pakistan .     Contents  ( hide )   1 By region   2 Islamic   3 Public holidays in Pakistan   4 Festivals in Pakistan   5 Literary festivals in Pakistan   6 Film festivals in Pakistan   7 Music festivals in Pakistan   8 Local events   9 Fairs   10 See also   11 References      By region ( edit )    Festivals in Lahore   Festivals in Multan   Punjabi festivals ( Pakistan )    Islamic ( edit )     Day   Month   Festival         Muharram   New Islamic Year   First day of the Islamic calendar     12   Rabi ' al - awwal   Eid - e-Milād - un-Nabī   Birthday of the Prophet Muhammad     27   Rajab   Miraj - un-Nabi   Muhammad 's night journey     27   Ramadan   Laylat al - Qadr   The night when first verses of Quran were received by Muhammad     30 / 31   Ramadan   Chaand Raat   The last night of Ramadan celebrated on 29th or 30th depending on when the new moon is sighted       Shawal   Eid ul Fitr   The celebration at the end of the fasting month ( Ramadan )     10   Dhu al - Hijjah   Eid al - Adha   The celebration of Abraham 's sacrifice     Public holidays in Pakistan ( edit )    Public holidays in Pakistan    Festivals in Pakistan ( edit )  Main page : Category : Festivals in Pakistan      This section needs expansion with : Category : Festivals in Pakistan . You can help by adding to it . ( November 2015 )      Chaand Raat   Iqbal Day   Quaid - e-Azam Day   Pakistan Flower Show   Yom - e Bab ul - Islam    Literary festivals in Pakistan ( edit )  See also : Category : Literary festivals in Pakistan   Islamabad Literature Festival   Karachi Literature Festival   Lahore Literary Festival    Film festivals in Pakistan ( edit )  See also : Category : Film festivals in Pakistan   Cinéaste One Student Film Festival   Indus Telefilm Festival   Kara Film Festival    Music festivals in Pakistan ( edit )  See also : Category : Music festivals in Pakistan   All Pakistan Music Conference   Dosti Music Project    Local events ( edit )     Day   Month   Festival       23 - 26   February   Pakistan Flower Show   Flower Show at Karachi       February -- March   Jashn - e-Baharaan   The celebrations with the start of Spring season     23   March   Pakistan Day   Republic Day and to commemorate the Lahore Resolution     28   May   Youm - e-Takbir   Celebrated in commemoration of the first Nuclear test     14   August   Independence Day       6   September   Defence Day   Celebrated in memory of those who were killed in the Indo - Pak war of 1965     7   September   Air Force Day   Celebrated to commend the role of Pakistan Air Force in the 1965 war with India     8   September   Navy Day   Celebrated to commend the role of Pakistan Navy in the 1965 war with India     9   November   Iqbal Day   Birthday of Muhammad Iqbal     25   December   Quaid - e-Azam Day   Birthday of Muhammad Ali Jinnah     Fairs ( edit )    Mela Chiraghan , this fair is famous in Pakistan .   Kalam summer festival    See also ( edit )    Public holidays in Pakistan   Culture of Pakistan    References ( edit )  Retrieved from `` https://en.wikipedia.org/w/index.php?title=List_of_festivals_in_Pakistan&amp;oldid=794461191 '' Categories :   Fairs in Pakistan   Festivals in Pakistan   Film festivals in Pakistan   Lists of festivals by country   Lists of festivals in Asia   Lists of festivals in Pakistan   Music festivals in Pakistan   Pakistan - related lists   Hidden categories :   Wikipedia pending changes protected pages ( level 1 )   Use dmy dates from February 2012   Articles to be expanded from November 2015   All articles to be expanded   Articles using small message boxes           Talk                                           Contents                   About Wikipedia                                        Languages    Add links   This page was last edited on 8 August 2017 , at 05 : 10 .         About Wikipedia                    </t>
  </si>
  <si>
    <t xml:space="preserve">are there any major holidays or festivals in islam</t>
  </si>
  <si>
    <t xml:space="preserve">   Day   Month   Festival         Muharram   New Islamic Year   First day of the Islamic calendar     12   Rabi ' al - awwal   Eid - e-Milād - un-Nabī   Birthday of the Prophet Muhammad     27   Rajab   Miraj - un-Nabi   Muhammad 's night journey     27   Ramadan   Laylat al - Qadr   The night when first verses of Quran were received by Muhammad     30 / 31   Ramadan   Chaand Raat   The last night of Ramadan celebrated on 29th or 30th depending on when the new moon is sighted       Shawal   Eid ul Fitr   The celebration at the end of the fasting month ( Ramadan )     10   Dhu al - Hijjah   Eid al - Adha   The celebration of Abraham 's sacrifice   </t>
  </si>
  <si>
    <r>
      <rPr>
        <sz val="11"/>
        <color rgb="FF000000"/>
        <rFont val="Calibri"/>
        <family val="0"/>
        <charset val="1"/>
      </rPr>
      <t xml:space="preserve">Tres leches cake - wikipedia  Tres leches cake  Jump to : navigation , search      This article needs additional citations for verification . Please help improve this article by adding citations to reliable sources . Unsourced material may be challenged and removed . ( March 2013 ) ( Learn how and when to remove this template message )     Tres leches cake   A decorated slice of tres leches cake     Alternative names   Torta de tres leches , pan tres leches , bizcocho de tres leches     Type   Sponge cake ( or butter cake )     Main ingredients   Cake base ; evaporated milk , condensed milk , heavy cream     Cookbook : Tres leches cake Media : Tres leches cake     A tres leches cake ( Spanish : pastel de tres leches , torta de tres leches or bizcocho de tres leches ) , also known as pan tres leches ( `` three milks bread '' ) , is a sponge cake -- in some recipes , a butter cake -- soaked in three kinds of milk : evaporated milk , condensed milk , and heavy cream .   When butter is not used , the Tres Leches is a very light cake , with many air bubbles . This distinct texture is why it does not have a soggy consistency , despite being soaked in a mixture of three types of milk .   Popularity and origins ( edit )   The idea for creating came from matican . a cake soaked in a liquid is likely of Medieval European origin , as similar cakes , such as British Trifle and rum cake , and tiramisu from Italy , use this method . Recipes for soaked - cake desserts were seen in Mexico as early as the 19th century , likely a result of the large cross-cultural transfer which took place between Europe and the Americas . Recipes appeared on Nestlé condensed milk can labels in the 1940s , which may explain the cake 's widely disseminated popularity throughout Latin America as the company had created subsidiaries in Argentina , Chile , Cuba , Colombia , Mexico and Venezuela in the 1930s . The cake is popular in Central and South America , North America and many parts of the Caribbean , Canary Islands , as well as in Albania , the Republic of Macedonia and some other parts of Europe . In recent years its popularity has increased in Turkey under the name of Trileçe .   Variations ( edit )   A variety of tres leches known as trileçe has recently become popular in Turkey . One theory is that the popularity of Brazilian soap operas in Albania led local chefs to reverse - engineer the dessert , which then spread to Turkey . The Albanian / Turkish version is sometimes made literally with three milks : cow 's , goat 's and water buffalo 's , though more commonly a mixture of cow 's milk and cream is used .   Notes ( edit )    ^ Jump up to : Pack , MM ( 13 February 2004 ) . `` Got Milk ? On the trail of pastel de tres leches '' . Austin Chronicle . Retrieved 19 January 2014 .   Jump up ^ Nestlé S.A. http://www.company-histories.com/Nestle-SA-Company-History.html Retrieved 19 February 2014   Jump up ^ Higuera McMahon , Jacqueline ( 8 August 2007 ) . `` Tres Leches cake goes one better '' . SFGate . Retrieved 19 January 2014 .   ^ Jump up to : `` Trileçe kazan dünya kepçe '' . Hürriyet. 1 March 2015 . Retrieved 13 April 2015 .   Jump up ^ Dan Nosowitz / ( November 12 , 2015 ) . `` How a South American Soap Opera Created a Turkish Dessert Craze '' . Atlas Obscura . Retrieved November 13 , 2015 .              Cake     List of cakes     Butter cakes     Devil 's food cake   Gooey butter cake   Pound cake         Cheesecakes     Fiadone   Ostkaka       Chocolate cakes     Batik cake   Black Forest cake   Blackout cake   Chantilly cake   Chocolate brownie   Flourless chocolate cake   Fudge cake   Garash cake   German chocolate cake   Hedgehog slice   Joffre cake   Kladdkaka   Molten chocolate cake   Sachertorte   Torta caprese       Fruitcakes     Apple cake   Avocado cake   Banana cake   Bánh chuối     Black bun   Bolo rei   Cherry cake   Clementine cake   Dundee cake   Fig cake   Genoa cake   Jewish apple cake   Panforte   Plum cake   Raisin cake       Layer cakes     Angel cake   Buckwheat gateau   Crema de Fruta   Dobos torte   Esterházy torte   Hot milk cake   Maria Luisa cake   Mille - feuille   Cremeschnitte   Napoleonka   Šampita   Tompouce     Princess cake   Prinzregententorte   Rainbow cake   Sarawak cake   Smith Island Cake   Spekkoek   Torte   Vínarterta       Spit cakes     Baumkuchen   Kürtőskalács ( Chimney cake )   Šakotis   Spettekaka   Trdelník       Sponge cakes     Bánh bò   Battenberg cake   Boston cream pie   Bundt cake   Castella   Charlotte   Donauwelle   Frankfurter Kranz   French Fancy   Frog cake   Génoise   Gugelhupf   Lady Baltimore cake   Ladyfinger   Lamington   Madeira cake   Madeleine   Mantecadas   Marble cake   Misérable cake   Opera cake   Pandan cake   Paper wrapped cake   Red velvet cake   Rum cake   Shortcake   Spice cake   Swiss roll   Tres leches cake   Upside - down cake   Walnut and coffee cake       Foam cakes and meringue     Angel food cake   Chiffon cake   Dacquoise   Kiev cake   Pavlova   Sans rival   Spanische Windtorte   Zuger Kirschtorte       Yeast cakes     Babka   Banana bread   Banbury cake   Cacavellu   Campanile   Canestru   Chorley cake   Date and walnut loaf   Flies ' graveyard   Inuliata   Pandoro   Rum baba   Streuselkuchen   Sweetheart cake   Welsh cake       Special occasions     Birthday cake   Buccellato   Bûche de Noël   Christmas cake   Doberge cake   Groom 's cake   Halloween cake   King cake   Rosca de reyes     Kransekake   Lekach   Marry girl cake   Mooncake   Pan de Pascua   Pop out cake   Simnel cake   Soul cake   Stack cake   Stollen   Strenna   Wedding cake       Other     Beer cake   Better than sex cake   Biscuit   Bizcocho   Bulla cake   Cake balls   Cake pop   Carrot cake   Coconut cake   Coffee cake   Croquembouche   Cupcake   Cupcone   Gingerbread   house   man     Heavy cake   Ice cream cake   Kuih   Lolly cake   Muffin   Ontbijtkoek   Pain d'épices   Pancake   Parkin   Petit four   Punschkrapfen   Ruske kape   Teacake   Tiramisu         Category                 Mexican cuisine     List of Mexican dishes     Soups and stews     Birria   Caldo de pollo   Caldo de queso   Caldo de siete mares   Caldo tlalpeño   Caldo Xóchitl   Chileatole   Clemole   Cocido   Lime soup   Mancha manteles   Menudo   Mole de olla   Pinole   Pozole   Sopa de fideo   Sopa de nopal   Tortilla soup   Crema de nuez           Rice dishes     Arroz a la tumbada   Arroz blanco   Arroz negro   Arroz poblano   Arroz rojo   Morisqueta       Egg dishes     Huevos a la mexicana   Huevos al albañil   Huevos divorciados   Huevos motuleños   Huevos rancheros   Machacado con huevo       Vegetable dishes     Calabacitas con elote   Chile relleno   Chiles en escabeche   Chiles en nogada   Chipotle   Elote   Esquites   Frijoles charros   Frijoles negros   Frijoles Puercos   Guasanas   Nopal asado   Pepita   Rajas con crema   Refried beans   Romeritos       Poultry dishes     Arroz con pollo   Chicken feet   Escabeche oriental   Mole poblano   Pollo motuleño   Tinga de pollo   Tlatonile       Pork dishes     Adobada   Calabacitas con puerco   Carne de chango   Carnitas   Chicharrón en salsa   Chileajo de cerdo   Chilorio   Chorizo   Cochinita pibil   Cueritos   Poc Chuc       Beef dishes     Alambre   Aporreadillo   Albóndigas al chipotle   Beef brain   Beef tongue   Cabeza   Carne a la tampiqueña   Carne asada   Carne seca   Criadillas   Machaca   Milanesa   Pachola   Picadillo   Puntas   Salpicón   Tinga de res       Seafood dishes     Aguachile   Cahuamanta   Camarones al ajillo   Ceviche   Huachinango a la Veracruzana   Mixmole de pescado   Mojarra frita   Pan de cazón   Pescadito   Pescado al ajillo   Pescado a la talla   Pescado zarandeado   Pulpo a la campechana       Other protein dishes     Al pastor   Barbacoa   Cabrito   Chahuis   Chapulines   Discada   Entomatada   Escamoles   Jumiles   Maguey worm   Mixiote   Moronga   Pastel azteca   Relleno negro   Tripas       Cheese dishes     Chicharrón de queso   Queso en salsa   Queso flameado       Antojitos of corn dough     Cazuelita   Chalupa   Chilaquiles   Chimichanga   Chochoyote   Corn tortilla   Corunda   Doblada   Duros   Empalme   Enchilada   Gordita   Guajolota   Huarache   Molote   Nachos   Panucho   Papadzules   Piedra   Quesadilla   Salbute   Sope or Memela   Taco   Tamale   Taquito   Tlacoyo   Tlayuda   Tostada   Totopo       Antojitos of wheat dough     Burrito   Cemita   Empalme   Enchilada   Gringas   Guajolota   Mollete   Nachos   Pambazo   Paste   Quesadilla   Sincronizada   Taco   Taquito   Torta   Wheat tortilla       Sauces and condiments     Adobo   Mole negro   Mole blanco   Mole poblano   Mole sauce   Mole verde   Recado rojo   Salsa   Salsa roja cocida   Salsa roja cruda   Salsa verde cocida   Salsa verde cruda   Caldillo rojo   Caldillo verde   Salsa pasilla   Salsa guajillo       Desserts and sweets     Alegría   Arroz con leche   Bionico   Cajeta   Capirotada   Chongos zamoranos   Churros   Cocadas   Coyotas   Flan   Fried ice cream   Mango con chile   Mazapán   Nicuatole   Panela   Qurabiya   Tres leches cake       Salads     Caesar salad   Curtido   Ensalada de nopalitos   Guacamole   Pico de gallo       Breads     Bolillo   Buñuelo   Cemita   Cochinito de Piloncillo   Cocol   Concha   Pan de muerto   Pan dulce   Rosca   de reyes         Beverages     Agave nectar   Agua de jamaica   Beer   Café de olla   Chamoyada   Champurrado   Curado   Horchata   Mangonada   Margarita   Mexican tea culture   Pópo   Pozol       Related topics     Aztec cuisine   Baja Med   Comal   Cuisine of Chiapas   Cuisine of Veracruz   Escuela de Gastronomía Mexicana   Oaxacan cuisine   Taco stand   Tex - Mex         Category   Commons   Cookbook   Food portal   WikiProject      Retrieved from `` https://en.wikipedia.org/w/index.php?title=Tres_leches_cake&amp;oldid=843246650 '' Categories :   Cakes   Costa Rican cuisine   Cuban cuisine   Albanian cuisine   Latin American cuisine   Mexican cuisine   Mexican desserts   Nicaraguan cuisine   Puerto Rican cuisine   Venezuelan cuisine   Hidden categories :   Articles needing additional references from March 2013   All articles needing additional references           Talk                                                             About Wikipedia                                                 Deutsch   Español   Euskara   Français   Հայերեն   Македонски   </t>
    </r>
    <r>
      <rPr>
        <sz val="11"/>
        <color rgb="FF000000"/>
        <rFont val="Noto Sans CJK SC"/>
        <family val="2"/>
      </rPr>
      <t xml:space="preserve">日本 語   </t>
    </r>
    <r>
      <rPr>
        <sz val="11"/>
        <color rgb="FF000000"/>
        <rFont val="Calibri"/>
        <family val="0"/>
        <charset val="1"/>
      </rPr>
      <t xml:space="preserve">Русский   Shqip   Türkçe   </t>
    </r>
    <r>
      <rPr>
        <sz val="11"/>
        <color rgb="FF000000"/>
        <rFont val="Noto Sans CJK SC"/>
        <family val="2"/>
      </rPr>
      <t xml:space="preserve">中文  </t>
    </r>
    <r>
      <rPr>
        <sz val="11"/>
        <color rgb="FF000000"/>
        <rFont val="Calibri"/>
        <family val="0"/>
        <charset val="1"/>
      </rPr>
      <t xml:space="preserve">4 more  Edit links   This page was last edited on 27 May 2018 , at 21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</si>
  <si>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are the 3 milks in tres leches cake</t>
  </si>
  <si>
    <t xml:space="preserve"> A tres leches cake ( Spanish : pastel de tres leches , torta de tres leches or bizcocho de tres leches ) , also known as pan tres leches ( `` three milks bread '' ) , is a sponge cake -- in some recipes , a butter cake -- soaked in three kinds of milk : evaporated milk , condensed milk , and heavy cream . </t>
  </si>
  <si>
    <t xml:space="preserve">That 'll be the Day ( film ) - wikipedia  That 'll be the Day ( film )     That 'll Be the Day     DVD cover by Arnaldo Putzu     Directed by   Claude Whatham     Produced by   Sanford Lieberson David Puttnam     Written by   Ray Connolly     Starring   David Essex Rosemary Leach Ringo Starr Keith Moon Billy Fury Deborah Watling     Distributed by   Anglo - EMI Film Distribution     Release date     12 April 1973 ( 1973 - 04 - 12 ) ( United Kingdom )             29 October 1973 ( 1973 - 10 - 29 ) ( United States )               Running time   91 minutes     Country   United Kingdom     Language   English     Budget   £ 288,000     That 'll Be the Day is a 1973 British drama film directed by Claude Whatham , written by Ray Connolly , and starring David Essex , Rosemary Leach and Ringo Starr . It is set in the late 1950s / early 1960s and was partially filmed on the Isle of Wight .   Contents    1 Plot summary   2 Characters   3 Cast   4 Reception and reputation   4.1 Box office   4.2 Critical reception     5 Soundtrack   5.1 Chart positions     6 Award nominations   7 Spin - off   8 References   9 External links    Plot summary ( edit )   Jim MacLaine ( David Essex ) was abandoned by his father when he was young . Later , as a suburban school dropout , Jim leaves home and drifts through a succession of dead - end jobs until he finds an outlet for his frustration in rock ' n ' roll . Tossing away the chance of a university education much to the consternation of his mother , alienated MacLaine becomes a lowly deckchair attendant before streetwise friend Mike ( Ringo Starr ) gets him a job firstly as a barman and then with the fun fair . The initially shy MacLaine quickly becomes a heartless fairground Romeo leaving a trail of broken hearts in his wake . Eventually MacLaine returns home to run the family store and marry his girlfriend , but despite the birth of a son , restless Jim feels the lure of rock ' n ' roll again .   Characters ( edit )   The Liverpool days of the Quarrymen / the Beatles and Rory Storm &amp; the Hurricanes were said to be the inspiration for the fictional group called `` Stray Cats '' in the film .   Many of the characters were played by musicians who had lived through the era portrayed in the film including Ringo Starr of the Hurricanes and the Beatles , Billy Fury , Keith Moon of the Who and John Hawken of the Nashville Teens .   The film was produced by David Puttnam and is loosely based on the Harry Nilsson song `` 1941 '' .   Cast ( edit )    David Essex ... Jim Maclaine   Ringo Starr ... Mike   Rosemary Leach ... Mary Maclaine   James Booth ... Mr. Maclaine   Billy Fury ... Stormy Tempest   Rosalind Ayres ... Jeanette Sutcliffe   Keith Moon ... J.D. Clover   Robert Lindsay ... Terry Sutcliffe   Deborah Watling ... Sandra   Brenda Bruce ... Doreen   Beth Morris ... Jean   Daphne Oxenford ... Mrs. Sutcliffe   Kim Braden ... Charlotte   Johnny Shannon ... Jack   Karl Howman ... Johnny   Sue Holderness ... Shirley   Érin Geraghty ... Joan   Sacha Puttnam ... Young Jim Maclaine   Peter Turner ... Teddy Boy    Reception and reputation ( edit )   Box office ( edit )   The film was a hit at the box office ( by 1985 it had earned an estimated profit of £ 406,000 ) , leading to a sequel , Stardust , ( 1974 ) .   Nat Cohen , who invested in the film , said it made more than 50 % its cost .   Critical reception ( edit )   According to Anne Billson in the Time Out Film Guide , the film was a `` hugely overrated dip into the rock ' n ' roll nostalgia bucket , ... '' also commenting `` Youth culture my eye : they 're all at least a decade too old . But good tunes , and worth catching for Billy Fury 's gold lamé act . ''   Soundtrack ( edit )    Buddy Holly and the Crickets - `` That 'll Be the Day ''   Billy Fury - `` A Thousand Stars ''   Billy Fury - `` Long Live Rock ''   Billy Fury - `` Get Yourself Together ''   Billy Fury - `` That 's Alright Mama ''   Billy Fury - `` What Did I Say ''   Wishful Thinking - `` It 'll Be Me ''   Dion and the Belmonts - `` Runaround Sue ''   The Everly Brothers - `` Bye Bye Love ''   The Everly Brothers - `` Devoted To You ''   The Everly Brothers - `` Till I Kissed You ''   The Everly Brothers - `` Wake Up Little Suzy ''   The Platters - `` Smoke Gets In Your Eyes ''   Big Bopper - `` Chantilly Lace ''   Jerry Lee Lewis - `` Great Balls of Fire ''   Little Richard - `` Tutti Frutti ''   Danny and the Juniors - `` At the Hop ''   Frankie Lymon - `` Why Do Fools Fall In Love ''   Johnny Tillotson - `` Poetry In Motion ''   Jimmie Rodgers - `` Honeycomb ''   Larry Williams - `` Bony Moronie ''   Del Shannon - `` Runaway ''   Ritchie Valens - `` Donna ''   Eugene Wallace - `` Slow Down ''   Jerry Lee Lewis - `` Great Balls of Fire ''   Brian Hyland - `` Sealed With a Kiss ''   Bobby Vee - `` Take Good Care of My Baby ''   Del Shannon - `` Hats Off to Larry ''   Bobby Darin - `` Dream Lover ''   The Paris Sisters - `` I Love How You Love Me ''   The Poni - Tails - `` Born Too Late ''   Johnny and the Hurricanes - `` Red River Rock ''   The Monotones - `` The Book of Love ''   Bill Justis - `` Raunchy ''   Johnny Preston - `` Running Bear ''   The Diamonds - `` Little Darlin ' ''   Ray Sharpe - `` Linda Lu ''   Lloyd Price - `` ( You 've Got ) Personality ''   Buddy Holly and the Crickets - `` Well All Right ''   Dante and the Evergreens - `` Alley Oop ''   Viv Stanshall - `` Real Leather Jacket ''   Stormy Tempest ( Viv Stanshall ) - `` What in the World ''   Wolverine Cubs Jazz Band - `` Weary Blues '' ( featured in the film but not on Soundtrack recording )    Chart positions ( edit )     Chart   Year   Peak position     UK Albums Chart   1973         Preceded by Pure Gold by Various artists   UK Albums Chart number - one album 30 June 1973 - 18 August 1973   Succeeded by We Can Make It by Peters and Lee     Award nominations ( edit )   BAFTA Best Supporting Actress : Rosemary Leach .   BAFTA Most Promising Newcomer to Leading Film Roles : David Essex .   Spin - off ( edit )   An independent Radio Drama recording project was completed in 2008 entitled That 'll be the Stardust ! which continues the story of Jimmy Maclaine jr . ( son of Jim Maclaine ) . ( Also see external link below ) .   References ( edit )    ^ Jump up to : Alexander Walker , National Heroes : British Cinema in the Seventies and Eighties , Harrap , 1985 p 79   Jump up ^ Ooh , you are awful , film men tell Tories . David Blundy . The Sunday Times ( London , England ) , Sunday , 16 December 1973 ; pg. 5 ; Issue 7853 . ( 939 words )   Jump up ^ The TimeOut Film Guide , 3rd edition , 1993 , p. 706   Jump up ^ `` Number 1 Albums -- 1970s '' . The Official Charts Company . Archived from the original on 9 February 2008 . Retrieved 14 June 2011 .    External links ( edit )    That 'll Be the Day on IMDb   That 'll be the Stardust ! Radio Drama   Retrieved from `` https://en.wikipedia.org/w/index.php?title=That%27ll_Be_the_Day_(film)&amp;oldid=862813066 '' Categories :   1973 films   English - language films   British drama films   1970s drama films   Films about music and musicians   Films set in the 1950s   Rock music films   Films set in the 1960s   Films produced by David Puttnam   Films produced by Sanford Lieberson   Hidden categories :   All articles with unsourced statements   Articles with unsourced statements from March 2018           Talk                                           Contents                   About Wikipedia                                           Wikiquote       Français   Srpskohrvatski / српскохрватски   Edit links   This page was last edited on 6 October 2018 , at 21 : 10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</si>
  <si>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was the film that'll be the day filmed</t>
  </si>
  <si>
    <t xml:space="preserve"> That 'll Be the Day is a 1973 British drama film directed by Claude Whatham , written by Ray Connolly , and starring David Essex , Rosemary Leach and Ringo Starr . It is set in the late 1950s / early 1960s and was partially filmed on the Isle of Wight . </t>
  </si>
  <si>
    <t xml:space="preserve">Lake Nyos disaster - wikipedia  Lake Nyos disaster  Jump to : navigation , search Lake Nyos as it appeared eight days after the eruption  On 21 August 1986 , a limnic eruption at Lake Nyos in northwestern Cameroon killed 1,746 people and 3,500 livestock .   The eruption triggered the sudden release of about 100,000 -- 300,000 tons ( 1.6 m tons , according to some sources ) of carbon dioxide ( CO ) . The gas cloud initially rose at nearly 100 kilometres per hour ( 62 mph ) and then , being heavier than air , descended onto nearby villages , displacing all the air and suffocating people and livestock within 25 kilometres ( 16 mi ) of the lake .   A degassing system has since been installed at the lake , with the aim of reducing the concentration of CO in deep waters and therefore the risk of further eruptions .     Contents  ( hide )   1 Eruption and gas cloud   2 Effects on survivors   3 Aftermath   4 In popular culture   5 References   6 External links      Eruption and gas cloud ( edit )   It is not known what triggered the catastrophic outgassing . Most geologists suspect a landslide , but some believe that a small volcanic eruption may have occurred on the bed of the lake . A third possibility is that cool rainwater falling on one side of the lake triggered the overturn . Others still believe there was a small earthquake , but as witnesses did not report feeling any tremors on the morning of the disaster , this hypothesis is unlikely . Whatever the cause , the event resulted in the supersaturated deep water rapidly mixing with the upper layers of the lake , where the reduced pressure allowed the stored CO to effervesce out of solution .   It is believed that about 1.2 cubic kilometres ( 0.29 cu mi ) of gas was released . The normally blue waters of the lake turned a deep red after the outgassing , due to iron - rich water from the deep rising to the surface and being oxidised by the air . The level of the lake dropped by about a meter and trees near the lake were knocked down .   Scientists concluded from evidence that a 100 m ( 330 ft ) column of water and foam formed at the surface of the lake , spawning a wave of at least 25 metres ( 82 ft ) that swept the shore on one side .   Carbon dioxide , being about 1.5 times as dense as air , caused the cloud to `` hug '' the ground and move down the valleys , where there were various villages . The mass was about 50 meters ( 160 ft ) thick , and travelled downward at 20 -- 50 kilometres per hour ( 12 -- 31 mph ) . For roughly 23 kilometres ( 14 mi ) , the gas cloud was concentrated enough to suffocate many people in their sleep in the villages of Nyos , Kam , Cha , and Subum . About 4,000 inhabitants fled the area , and many of these developed respiratory problems , lesions , and paralysis as a result of the gas cloud .   Effects on survivors ( edit )  Cattle suffocated by carbon dioxide from Lake Nyos  One survivor , Joseph Nkwain from Subum , described himself when he awoke after the gases had struck :   `` I could not speak . I became unconscious . I could not open my mouth because then I smelled something terrible ... I heard my daughter snoring in a terrible way , very abnormal ... When crossing to my daughter 's bed ... I collapsed and fell . I was there till nine o'clock in the ( Friday ) morning ... until a friend of mine came and knocked at my door ... I was surprised to see that my trousers were red , had some stains like honey . I saw some ... starchy mess on my body . My arms had some wounds ... I did n't really know how I got these wounds ... I opened the door ... I wanted to speak , my breath would not come out ... My daughter was already dead ... I went into my daughter 's bed , thinking that she was still sleeping . I slept till it was 4 : 30 p.m. in the afternoon ... on Friday . ( Then ) I managed to go over to my neighbors ' houses . They were all dead ... I decided to leave ... ( because ) most of my family was in Wum ... I got my motorcycle ... A friend whose father had died left with me ( for ) Wum ... As I rode ... through Nyos I did n't see any sign of any living thing ... ( When I got to Wum ) , I was unable to walk , even to talk ... my body was completely weak . ''   Following the eruption , many survivors were treated at the main hospital in Yaoundé , the country 's capital . It was believed that many of the victims had been poisoned by a mixture of gases that included hydrogen and sulfur . Poisoning by these gases would lead to burning pains in the eyes and nose , coughing and signs of asphyxiation similar to being strangled .   Aftermath ( edit )   The scale of the disaster led to much study on how a recurrence could be prevented . Several researchers proposed the installation of degassing columns from rafts in the middle of the lake . The principle is to slowly vent the CO by lifting heavily saturated water from the bottom of the lake through a pipe , initially by using a pump , but only until the release of gas inside the pipe naturally lifts the column of effervescing water , making the process self - sustaining .   Starting from 1995 , feasibility studies were successfully conducted , and the first permanent degassing tube was installed at Lake Nyos in 2001 . Two additional pipes were installed in 2011   Following the Lake Nyos disaster , scientists investigated other African lakes to see if a similar phenomenon could happen elsewhere . Lake Kivu in the Democratic Republic of Congo , 2,000 times larger than Lake Nyos , was also found to be supersaturated , and geologists found evidence that outgassing events around the lake happened about every thousand years .   In popular culture ( edit )   A Greek novel by Basileios Drolias focusing on the lake Nyos disaster and the degassing of the lake was published in 2016 .   References ( edit )    Jump up ^ `` Can We Bury Global Warming ? ( 2005 ) '' . Scientific American . 293 : 49 -- 55 . July 2018 . doi : 10.1038 / scientificamerican0705 - 49 . Retrieved December 14 , 2012 .   Jump up ^ Mathew Fomine , Forka Leypey ( 2011 ) . `` The Strange Lake Nyos CO2 Gas Disaster '' . Australasian Journal of Disaster and Trauma Studies . Massey University . 2011 - 1 . ISSN 1174 - 4707 . Retrieved February 4 , 2016 .   ^ Jump up to : `` Lake Nyos ( 1986 ) '' . San Diego State University . March 31 , 2006 . Retrieved December 19 , 2008 .   Jump up ^ Smolowe , Jill ( September 8 , 1986 ) . `` Cameroon the Lake of Death '' . TIME. 128 ( 10 ) : 34 -- 37 . Archived from the original on February 27 , 2009 . Retrieved December 9 , 2013 .   Jump up ^ Cotel , Aline J ( March 1999 ) . `` A Trigger Mechanism for the Lake Nyos Disaster '' . Journal of Volcanology and Geothermal Research . 88 ( 4 ) : 343 -- 347 . doi : 10.1016 / s0377 - 0273 ( 99 ) 00017 - 7 .   Jump up ^ Rouwet , Dmitri ; Tanyileke , Greg ; Costa , Antonio ( July 12 , 2016 ) . `` Cameroon 's Lake Nyos Gas Burst : 30 Years Later '' . Eos. 97 . doi : 10.1029 / 2016eo055627 .   ^ Jump up to : BBC contributors ( August 21 , 1986 ) . `` 21 August : 1986 : Hundreds gassed in Cameroon lake disaster '' . BBC . Retrieved December 19 , 2008 .   Jump up ^ Rice , A ( April 2000 ) . `` Rollover in Volcanic Crater Lakes : A Possible Cause for Lake Nyos Type Disasters '' . Journal of Volcanology and Geothermal Research . 97 ( 1 - 4 ) : 233 -- 239 . doi : 10.1016 / s0377 - 0273 ( 99 ) 00179 - 1 .   Jump up ^ Aka , FestusTongwa ( 2015 ) . `` Depth of Melt Segregation Below the Nyos Maar - Diatreme Volcano ( Cameroon , West Africa ) : Major - Trace Element Evidence and Their Bearing on the Origin of CO2 in Lake Nyos '' . Volcanic Lakes . Springer Berlin Heidelberg . pp. 467 -- 488 . ISBN 9783642368325 .   Jump up ^ Kusakabe , Minoru ; Ohsumi , Takashi ; Aramaki , Shigeo ( November 1989 ) . `` The Lake Nyos Gas Disaster : Chemical and Isotopic Evidence in Waters and Dissolved Gases from Three Cameroonian Crater Lakes , Nyos , Monoun and Wum '' . Journal of Volcanology and Geothermal Research . 39 ( 2 - 3 ) : 167 -- 185 . doi : 10.1016 / 0377 - 0273 ( 89 ) 90056 - 5 .   Jump up ^ `` The Strangest Disaster of the 20th Century '' . Neatorama . May 21 , 2007 . Retrieved June 20 , 2010 .   Jump up ^ David Brown ( February 1 , 2000 ) . `` Scientists hope to quiet Cameroon 's killer lakes '' . The Washington Post . Retrieved December 19 , 2008 .   Jump up ^ Lake Nyos disaster , Cameroon , 1986 : the medical effects of large scale emission of carbon dioxide ? , BMJ , Volume 298 , May 27 , 1989 , ( 1 )   Jump up ^ A. Scarth . USGS , 1999 .   Jump up ^ Kling , G.W. ; Evans , W.C. ; Tanyileke , G. ; Kusakabe , M. ; Ohba , T. ; Yoshida , Y. ; Hell , J.V. ( 2005 ) . `` Degassing Lakes Nyos and Monoun : Defusing certain disaster '' . Proceedings of the National Academy of Sciences . 102 ( 40 ) : 14185 . doi : 10.1073 / pnas. 0502274102 . PMC 1242283 . PMID 16186504 .   Jump up ^ Halbwachs , Michel ; Sabroux , Jean - Christophe ( 20 April 2001 ) . `` Removing CO2 from Lake Nyos in Cameroon '' . Science . 292 ( 5516 ) : 438 -- 438 . doi : 10.1126 / science. 292.5516. 438a . ISSN 0036 - 8075 .   Jump up ^ Schmid , Martin ; Halbwachs , Michel ; Wüest , Alfred ( 1 June 2006 ) . `` Simulation of CO2 Concentrations , Temperature , and Stratification in Lake Nyos for Different Degassing Scenarios '' . Geochemistry , Geophysics , Geosystems. 7 ( 6 ) . doi : 10.1029 / 2005GC001164 . ISSN 1525 - 2027 .   Jump up ^ Degassing Lake Nyos project http://pagesperso-orange.fr/mhalb/nyos/nyos.htm   Jump up ^ Degassing the `` Killer Lakes '' Expedition 2001   Jump up ^ `` Science Actualités -- Ressources -- Cité des sciences et de l'industrie -- Expositions , conférences , cinémas , activités culturelles et sorties touristiques pour les enfants , les parents , les familles -- Paris '' . Universcience.fr . Archived from the original on January 3 , 2012 . Retrieved October 17 , 2012 .   Jump up ^ Drolias , Basileios ( 2016 ) . `` Nyos '' . Kedros . Missing or empty url = ( help )    External links ( edit )    Google Earth view of the area around Lake Nyos     Retrieved from `` https://en.wikipedia.org/w/index.php?title=Lake_Nyos_disaster&amp;oldid=835201902 '' Categories :   1986 natural disasters   1986 in Cameroon   History of Cameroon   Natural disasters in Cameroon   Volcanic events   Gas explosions   August 1986 events   Hidden categories :   Pages using web citations with no URL   Cameroon articles missing geocoordinate data   All articles needing coordinates           Talk                                           Contents                   About Wikipedia                                           Polski   Edit links   This page was last edited on 7 April 2018 , at 05 : 58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</si>
  <si>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animals died in the lake nyos tragedy</t>
  </si>
  <si>
    <t xml:space="preserve"> On 21 August 1986 , a limnic eruption at Lake Nyos in northwestern Cameroon killed 1,746 people and 3,500 livestock . </t>
  </si>
  <si>
    <t xml:space="preserve">Timber ( Pitbull song ) - wikipedia  Timber ( Pitbull song )       `` Timber ''         Single by Pitbull featuring Kesha     from the album Meltdown     Released   October 7 , 2013 ( 2013 - 10 - 07 )     Format     CD single   digital download       Genre     Dance - pop   EDM   folktronica       Length   3 : 24     Label     Polo Grounds   RCA   Mr. 305       Songwriter ( s )     Kesha Sebert   Armando C. Pérez   Lukasz Gottwald   Aaron Davis Arnold   Priscilla Hamilton   Jamie Sanderson   Breyan Stanley Isaac   Henry Walter   Pebe Sebert   Lee Oskar   Keri Oskar   Greg Errico   Steve Arrington   Charles Carter   Waung Hankerson   Roger Parker       Producer ( s )     Dr. Luke   Cirkut   Sermstyle       Pitbull singles chronology        `` FCK '' ( 2013 )   `` Timber '' ( 2013 )   `` I 'm a Freak '' ( 2014 )             `` FCK '' ( 2013 )   `` Timber '' ( 2013 )   `` I 'm a Freak '' ( 2014 )            Kesha singles chronology        `` Crazy Kids '' ( 2013 ) Crazy Kids 2013   `` Timber '' ( 2013 ) Timber2013   `` True Colors '' ( 2016 ) True Colors 2016            `` Timber '' is a song by American rapper Pitbull featuring American recording artist Kesha . The song was released on October 7 , 2013 , as the lead single from Pitbull 's extended play ( EP ) Meltdown . The song was produced by Dr. Luke , Cirkut , and Sermstyle , with additional production by Nick Seeley . The song interpolates Lee Oskar 's 1978 single `` San Francisco Bay '' and features harmonica player Paul Harrington , who plays through the entire song and was told to emulate Oskar .   The song peaked at No. 1 on the Billboard Hot 100 for three consecutive weeks and also topped the charts in many other countries , including Canada ( where it stood at No. 1 for eight consecutive weeks ) , Denmark , Germany , the Netherlands , and the United Kingdom . According to the IFPI , the song sold 12.6 million units worldwide in 2014 , including single - track downloads and track - equivalent streams , becoming the sixth best - selling song of that year .   Contents    1 Background and composition   2 Chart performance   3 Music video   4 Controversy   5 Track listing   6 Credits and personnel   7 Charts   7.1 Weekly charts   7.2 Year - end charts   7.3 All - time charts     8 Certifications   9 Release history   10 See also   11 References   12 External links    Background and composition ( edit )   Kesha had previously featured Pitbull on remixes of her songs `` Tik Tok '' and `` Crazy Kids '' , and Pitbull has featured Kesha on a 2009 song , `` Girls '' . In an interview in December 2013 , Pitbull said that Rihanna was originally meant to be the featured artist on `` Timber '' , but she had already been asked to be the featured artist on Shakira 's `` Ca n't Remember to Forget You '' and did not have time to record `` Timber '' .   `` Timber '' is a dance - pop , EDM and folktronica song with elements of country . According to the sheet music published at Musicnotes.com by Kobalt Music Publishing , the song is set in common time with a moderately fast tempo of 130 beats per minute . The song is written in the key of G ♯ minor and follows a chord sequence of G ♯ m -- B -- F ♯ -- E. Kesha 's vocals span from G ♯ to D ♯ .   Chart performance ( edit )   `` Timber '' made its first chart appearance on October 7 , 2013 , in the Republic of Ireland , where it debuted at number 67 on the Irish Singles Chart . The following week , the song climbed to number 19 . In Austria , `` Timber '' debuted at number 69 on the Austrian Singles Chart on October 18 , 2013 and eventually crowned the chart at number 1 . In Germany , the song debuted at number 90 on October 18 , 2013 on the German Singles Chart and later peaked at number one .   Timber debuted on the Billboard Hot 100 on October 26 , 2013 at number 49 , and it topped the chart on January 18 , 2014 , giving Kesha her third number - one single after `` Tik Tok '' and `` We R Who We R '' as well as earning Pitbull his second number - one single , after 2011 's `` Give Me Everything '' . Before topping the Hot 100 , it had been stuck at number 2 for 4 weeks , behind `` The Monster '' by Eminem featuring Rihanna . `` Timber '' is Kesha 's eleventh top 10 song on the Hot 100 chart . `` Timber '' peaked at number 1 on the US Hot Digital Songs , and is Pitbull 's first song to do so . `` Timber '' also peaked at number 1 on the US Rap Songs chart . It is the first # 1 single of 2014 in the US , and stood at number one for three consecutive weeks . It has spent four consecutive weeks at the number two , three consecutive weeks at the number one , then again at number two for one week . It reached its 4 million sales mark in the US in May 2014 . As of March 2016 , the song has sold 4.7 million copies in the US .   In Canada , the song debuted at number seventeen on the Canadian Hot 100 as the week 's highest debut and climbed steadily to number one , where it has stood for eight consecutive weeks .   In the United Kingdom , `` Timber '' debuted at the top of the UK Singles Chart on January 5 , 2014 ― for the week ending date January 11 , 2014 ― shifting 139,000 copies in its first week . This gave both artists their third chart - topping songs in Britain . By the end of 2014 , the song had sold 744,000 copies in the UK .   In South Korea , `` Timber '' debuted at number sixteen on Gaon International Chart , but it debuted at number 13 on Gaon Download International Chart with 6,522 downloads . In its second week it reached number 2 on the International Chart . On the download chart , it jumped to number 3 , selling another 15,276 copies . `` Timber '' sold 68,321 copies during 2013 in South Korea . During January 2014 , the single sold another 16,515 copies , and during February sold 15,482 digital units . During March 2014 , another 13,975 units were sold in South Korea .   Music Video ( edit )   Kesha filmed her scenes on November 5 , 2013 while Pitbull filmed his scenes one week later on November 12 , 2013 . The video also features a cameo by Italian model Raffaella Modugno and The Bloody Jug Band , an Orlando - based Americana Group , who perform on stage as the bar 's house band . The beach scenes were filmed in Exuma islands , Bahamas .   The music video has over 1 billion views on YouTube as of January 2018 .   Controversy ( edit )   On June 25 , 2014 , it was reported that songwriters Lee Oskar , Keri Oskar , and Greg Errico had filed a copyright infringement lawsuit against the makers of `` Timber '' , which features a harmonica melody that Oskar claims is `` identical '' to the melody used in his 1978 song `` San Francisco Bay '' . The songwriters are seeking $3 million USD in damages . The lawsuit alleges that while Sony Music may have obtained permission to use the sample , which is credited in the album notes for Meltdown , from a license holder , the label failed to obtain permission from the songwriters themselves .   Track listing ( edit )      Digital download       `` Timber '' ( featuring Kesha ) -- 3 : 24       CD single       `` Timber '' ( featuring Kesha ) -- 3 : 24   `` Outta Nowhere '' ( featuring Danny Mercer ) -- 3 : 26    Credits and personnel ( edit )    Recording     Engineered in Tokyo , Japan , and at APG Studios , Hollywood , California ; Conway Recording Studios , Hollywood , California ; Luke 's in the Boo , Malibu , California ; Jungle City Studios , New York City , New York , and Blackbird Recording Studios , Nashville , Tennessee     Personnel        Armando C. Pérez -- songwriter , vocals   Kesha Sebert -- songwriter , vocals   Dr. Luke -- songwriter , producer , instruments , programming   Priscilla Hamilton -- songwriter   Jamie Sanderson -- songwriter   Breyan Stanley Isaac -- songwriter   Cirkut -- songwriter , producer , instruments , programming   Aaron `` AD '' Arnold -- songwriter   Pebe Sebert -- songwriter   Lee Oskar -- songwriter   Keri Oskar -- songwriter   Greg Errico -- songwriter   Sermstyle -- producer         Nick Seeley -- additional production   Al Burna -- engineer   Rachel Findlen -- engineer   Clint Gibbs -- engineer   Benny Steele - engineer   Ryan Gladieux -- engineer   Juan P. Negrete -- engineer   Alan Da Fonseca -- engineer   Ernesto Olivera -- engineer   Eric Eylands -- assistant engineer   Paul Harrington -- harmonica   Serban Ghenea -- mixer   John Hanes -- engineer for mix         Credits adapted from the liner notes on BMI .   Charts ( edit )      Weekly charts ( edit )     Chart ( 2013 -- 14 )   Peak position     Australia ( ARIA )       Austria ( Ö3 Austria Top 40 )       Belgium ( Ultratop 50 Flanders )       Belgium Dance ( Ultratop Flanders )       Belgium ( Ultratop 50 Wallonia )   6     Belgium Dance ( Ultratop Wallonia )       Brazil ( Billboard Brasil Hot 100 )   29     Brazil Hot Pop Songs   6     Bulgaria ( IFPI )       Canada ( Canadian Hot 100 )       Czech Republic ( Rádio Top 100 )       Czech Republic ( Singles Digitál Top 100 )       Denmark ( Tracklisten )       Europe ( Euro Digital Songs )       Finland ( Suomen virallinen lista )       France ( SNEP )   8     Germany ( Official German Charts )       Hungary ( Dance Top 40 )       Hungary ( Rádiós Top 40 )       Hungary ( Single Top 40 )   6     Ireland ( IRMA )       Israel ( Media Forest )       Italy ( FIMI )   7     Japan ( Japan Hot 100 )   16     Netherlands ( Dutch Top 40 )       Netherlands ( Single Top 100 )       Netherlands ( Mega Top 50 )       New Zealand ( Recorded Music NZ )       Norway ( VG - lista )       Poland ( Polish Airplay Top 100 )       Poland ( Dance Top 50 )       Russia ( Tophit Weekly General Airplay )   17     Scotland ( Official Charts Company )       Slovakia ( Rádio Top 100 )       Slovakia ( Singles Digitál Top 100 )       Slovenia ( SloTop50 )       South Africa ( EMA )       South Korea ( GAON )       Spain ( PROMUSICAE )   5     Sweden ( Sverigetopplistan )       Switzerland ( Schweizer Hitparade )       UK Singles ( Official Charts Company )       UK R&amp;B ( Official Charts Company )       US Billboard Hot 100       US Adult Top 40 ( Billboard )   11     US Dance Club Songs ( Billboard )       US Hot Rap Songs ( Billboard )       US Latin Airplay ( Billboard )   23     US Latin Pop Songs ( Billboard )   9     US Mainstream Top 40 ( Billboard )       US Rhythmic ( Billboard )       Venezuela Pop Rock General ( Record Report )           Year - end charts ( edit )     Chart ( 2013 )   Position     Australia ( ARIA )   31     Germany ( Media Control AG )   40     New Zealand ( Recorded Music NZ )   43       Chart ( 2014 )   Position     Australia ( ARIA )   61     Canada ( Canadian Hot 100 )       Denmark ( Tracklisten )   17     Germany ( Official German Charts )   19     Italy ( FIMI )   12     Ireland ( IRMA )   7     New Zealand ( Recorded Music NZ )   23     Slovenia ( SloTop50 )   8     UK Singles ( Official Charts Company )   9     US Billboard Hot 100   11     Venezuela Pop / Rock General ( Record Report )       All - time charts ( edit )     Chart   Position     Australia ( ARIA )   166     Norway ( VG - lista )   68     Sweden ( Sverigetopplistan )   41     Switzerland ( Schweizer Hitparade )   271          Certifications ( edit )     Region   Certification   Certified units / Sales     Australia ( ARIA )   5 × Platinum   350,000     Austria ( IFPI Austria )   Platinum   30,000     Belgium ( BEA )   Gold   15,000     Canada ( Music Canada )   7 × Platinum   560,000     Denmark ( IFPI Denmark )   Gold   30,000     France ( SNEP )   Gold   75,000     Germany ( BVMI )   3 × Gold   600,000     Italy ( FIMI )   3 × Platinum   150,000     Japan ( RIAJ )   Gold   100,000     Mexico ( AMPROFON )   Platinum + Gold   90,000     New Zealand ( RMNZ )   2 × Platinum   30,000     Norway ( IFPI Norway )   15 × Platinum   150,000     Sweden ( GLF )   Platinum   40,000     Switzerland ( IFPI Switzerland )   Platinum   30,000     United Kingdom ( BPI )   2 × Platinum   1,200,000     United States ( RIAA )   6 × Platinum   4,700,000     Venezuela ( APFV )   Platinum   30,000 ^     Streaming     Denmark ( IFPI Denmark )   3 × Platinum   7,800,000     Spain ( PROMUSICAE )   Platinum   8,000,000     Summaries     Worldwide ( IFPI )   None   9,600,000      sales figures based on certification alone shipments figures based on certification alone sales + streaming figures based on certification alone      Release history ( edit )     Country   Date   Format   Label ( s )     United States   October 7 , 2013   Digital download   Polo Grounds , RCA Records , Mr. 305     October 15 , 2013   Contemporary hit radio     Italy   October 7 , 2013   Digital download     October 11 , 2013   Contemporary hit radio     Germany   October 7 , 2013   Digital download     Spain     Canada     France     Australia     Germany   November 15 , 2013   CD single     United Kingdom   December 29 , 2013   Digital download     See also ( edit )    List of Billboard Hot 100 number - one singles of 2014   List of number - one dance singles of 2014 ( U.S. )   List of number - one dance singles of 2014 ( Australia )   List of number - one singles of 2014 ( South Africa )    References ( edit )    Jump up ^ BMI Repertoire Search . BMI.com . Retrieved 21 December 2013 .   Jump up ^ Steffen Hung . `` Pitbull feat . Ke $ ha -- Timber '' . australian-charts.com . Retrieved December 2 , 2013 .   Jump up ^ `` Ryan Seacrest '' . KIIS FM . Archived from the original on November 21 , 2013 . Retrieved August 16 , 2015 .   Jump up ^ Corcoran , Michael ( December 5 , 2013 ) , `` Local harmonica man Paul Harrington is the unlikely star of Pitbull and Ke $ ha 's `` Timber '' `` , GuideLive , Dallas Morning News , retrieved 8 December 2013   Jump up ^ `` IFPI publishes Digital Music Report 2015 '' . International Federation of the Phonographic Industry . 14 April 2015 . p. 12 . Retrieved 15 April 2015 .   Jump up ^ EXCLUSIVE Pitpull backstage iHeartRadio Jingle Ball 2013 interview on YouTube   Jump up ^ Lamb , Bill . `` Pitbull - `` Timber '' featuring Ke $ ha `` . About.com . IAC / InterActiveCorp . Archived from the original on November 13 , 2013 . Retrieved January 20 , 2014 .   Jump up ^ `` Hear Pitbull 's New Single : A Hoedown , With Ke $ ha -- Vulture '' . Vulture . Retrieved November 19 , 2015 .   Jump up ^ Trust , Gary ( 2013 - 11 - 27 ) . `` Lorde 's ' Royals ' Rules Hot 100 For Ninth Week '' . Billboard . Retrieved 2013 - 11 - 27 .   Jump up ^ `` Musicnotes.com : Unsupported Browser or Operating System '' . musicnotes.com .   Jump up ^ `` GFK Chart - Track '' . Chart-track.co.uk . Retrieved December 2 , 2013 .   Jump up ^ Trust , Gary ( January 8 , 2014 ) . `` Pitbull , Ke $ ha Take ' Timber ' to Top of Hot 100 '' . Billboard . Retrieved 15 May 2014 .   Jump up ^ Paul Grein ( January 8 , 2013 ) . `` Chart Watch : Pitbull &amp; Kesha &amp; Eminem &amp; RiRi '' . Yahoo Music .   Jump up ^ Grein , Paul . `` Chart Watch : Iggy Azalea 's Amazing Feat '' . Yahoo !. Retrieved 15 May 2014 .   ^ Jump up to : Trust , Gary ( March 6 , 2016 ) . `` Ask Billboard : Rihanna 's Record Streak of Seven Studio Albums With Hot 100 No. 1s '' . Billboard . Retrieved March 6 , 2016 .   Jump up ^ `` Timber ! Pitbull and Ke $ ha topple Pharrell from Number 1 '' . Official Charts Company . January 5 , 2014 .   Jump up ^ `` GAON DOWNLOAD CHART gaon music chart '' . Gaonchart.co.kr . Retrieved December 2 , 2013 .   Jump up ^ `` GAON DOWNLOAD CHART gaon music chart '' . Gaonchart.co.kr . Retrieved December 2 , 2013 .   Jump up ^ `` GAON DOWNLOAD CHART gaon music chart '' . Gaonchart.co.kr . Retrieved December 2 , 2013 .   Jump up ^ `` GAON DOWNLOAD CHART gaon music chart '' . Gaonchart.co.kr . Retrieved December 2 , 2013 .   Jump up ^ `` GAON DOWNLOAD CHART gaon music chart '' . Gaonchart.co.kr . Retrieved December 2 , 2013 .   Jump up ^ `` GAON DOWNLOAD CHART gaon music chart '' . Gaonchart.co.kr . Retrieved December 2 , 2013 .   Jump up ^ `` Pitbull , Ke $ ha ' Timber ' Video Released ! Watch Racy Video Post AMAs To See Dancers In Daisy Duke Shorts ( VIDEO ) - International Design Times '' . Idesigntimes.com . Archived from the original on February 22 , 2014 . Retrieved May 5 , 2014 .   Jump up ^ `` Most Viewed Videos of All Time ( Over 340 million views ) '' . YouTube . Retrieved February 3 , 2017 .   ^ Jump up to : `` Pitbull and Ke $ ha in multi-million dollar Timber lawsuit over ' identical ' harmonica riff from the 70s '' . The Independent .   ^ Jump up to : `` iTunes - Music - Timber ( feat . Ke $ ha ) - Single by Pitbull '' . apple.com .   ^ Jump up to : `` Pitbull feat . Ke $ ha - Timber - Sony Music Entertainment Germany GmbH '' . sonymusic.de . Archived from the original on December 3 , 2013 .   ^ Jump up to : Timber ( liner notes ) . Pitbull featuring Kesha . Polo Grounds , RCA Records , Mr. 305 . 2013 . 88843 01574 2 .   Jump up ^ `` Australian-charts.com -- Pitbull feat . Ke $ ha -- Timber '' . ARIA Top 50 Singles .   Jump up ^ `` Austriancharts.at -- Pitbull feat . Ke $ ha -- Timber '' ( in German ) . Ö3 Austria Top 40 .   Jump up ^ `` Ultratop.be -- Pitbull feat . Ke $ ha -- Timber '' ( in Dutch ) . Ultratop 50 .   Jump up ^ `` Ultratop.be -- Pitbull feat . Ke $ ha -- Timber '' ( in Dutch ) . Ultratop Dance .   Jump up ^ `` Ultratop.be -- Pitbull feat . Ke $ ha -- Timber '' ( in French ) . Ultratop 50 .   Jump up ^ `` Ultratop.be -- Pitbull feat . Ke $ ha -- Timber '' ( in French ) . Ultratop Dance .   ^ Jump up to : `` Hot 100 Billboard Brasil - weekly '' . Billboard Brasil . June 2014 . Archived from the original on January 6 , 2015 . Retrieved July 12 , 2014 .   Jump up ^ `` 09.12. 2013 - 15.12. 2013 - Airplay Top 5 '' ( in Bulgarian ) . Bulgarian Association of the Music Producers . Archived from the original on 14 January 2014 .   Jump up ^ `` Pitbull Chart History ( Canadian Hot 100 ) '' . Billboard . Retrieved October 17 , 2013 .   Jump up ^ `` ČNS IFPI '' ( in Czech ) . Hitparáda -- Radio Top 100 Oficiální . IFPI Czech Republic . Note : insert ( ( ( year ) ) ) ( ( ( week ) ) ) into search .   Jump up ^ `` ČNS IFPI '' ( in Czech ) . Hitparáda -- Digital Top 100 Oficiální . IFPI Czech Republic . Note : insert 201419 into search . Retrieved July 3 , 2014 .   Jump up ^ `` Danishcharts.com -- Pitbull feat . Ke $ ha -- Timber '' . Tracklisten .   Jump up ^ `` Euro Digital Songs : January 18 , 2014 '' . Billboard . Retrieved January 14 , 2014 .   Jump up ^ `` Pitbull feat . Ke $ ha : Timber '' ( in Finnish ) . Musiikkituottajat -- IFPI Finland .   Jump up ^ `` Lescharts.com -- Pitbull feat . Ke $ ha -- Timber '' ( in French ) . Les classement single . Retrieved September 21 , 2013 .   Jump up ^ `` Offiziellecharts.de -- Pitbull feat . Ke $ ha -- Timber '' . GfK Entertainment Charts .   Jump up ^ `` Archívum -- Slágerlisták -- MAHASZ '' ( in Hungarian ) . Dance Top 40 lista . Magyar Hanglemezkiadók Szövetsége .   Jump up ^ `` Archívum -- Slágerlisták -- MAHASZ '' ( in Hungarian ) . Rádiós Top 40 játszási lista . Magyar Hanglemezkiadók Szövetsége .   Jump up ^ `` Archívum -- Slágerlisták -- MAHASZ '' ( in Hungarian ) . Single ( track ) Top 40 lista . Magyar Hanglemezkiadók Szövetsége .   Jump up ^ `` Chart Track : Week 02 , 2014 '' . Irish Singles Chart .   Jump up ^ `` Pitbull feat , Kesha -- Timber Media Forest '' . Israeli Airplay Chart . Media Forest . Retrieved October 26 , 2015 .   Jump up ^ `` Top Digital Download - Classifica settimanale WK 3 ( dal 13 - 01 - 2014 al 19 - 01 - 2014 ) '' . FIMI . January 19 , 2014 . Archived from the original on February 1 , 2014 . Retrieved January 23 , 2014 .   Jump up ^ `` Pitbull Chart History ( Japan Hot 100 ) '' . Billboard .   Jump up ^ `` Nederlandse Top 40 -- Pitbull feat . Ke $ ha '' ( in Dutch ) . Dutch Top 40 .   Jump up ^ `` Dutchcharts.nl -- Pitbull feat . Ke $ ha -- Timber '' ( in Dutch ) . Single Top 100 .   Jump up ^ 3fm Mega Top 50 : 21 / 12 / 2013 ( in Dutch ) . dutchcharts.nl . Retrieved 21 December 2013 .   Jump up ^ `` Charts.nz -- Pitbull feat . Ke $ ha -- Timber '' . Top 40 Singles .   Jump up ^ `` Norwegiancharts.com -- Pitbull feat . Ke $ ha -- Timber '' . VG - lista .   Jump up ^ `` Listy bestsellerów , wyróżnienia : : Związek Producentów Audio - Video '' . Polish Airplay Top 100 . Retrieved December 2 , 2013 .   Jump up ^ `` Listy bestsellerów , wyróżnienia : : Związek Producentów Audio - Video '' . Polish Dance Top 50 . Retrieved March 14 , 2014 .   Jump up ^ `` Weekly General Airplay TopHit100 December 16 - 22 , 2013 '' . TopHit.ru . Archived from the original on 14 January 2014 .   Jump up ^ `` Official Scottish Singles Sales Chart Top 100 '' . Official Charts Company .   Jump up ^ `` SNS IFPI '' ( in Slovak ) . Hitparáda -- Radio Top 100 Oficiálna . IFPI Czech Republic . Note : insert 201402 into search . Retrieved January 14 , 2014 .   Jump up ^ `` SNS IFPI '' ( in Slovak ) . Hitparáda -- Singles Digital Top 100 Oficiálna . IFPI Czech Republic . Note : insert 201429 into search . Retrieved July 21 , 2014 .   Jump up ^ `` SloTop50 : Slovenian official singles weekly chart '' . SloTop50 . Retrieved 5 June 2015 .   Jump up ^ `` EMA Top 10 Airplay : Week Ending 2014 - 01 - 14 '' . Entertainment Monitoring Africa . Retrieved September 16 , 2015 .   Jump up ^ `` South Korea Gaon International Chart ( Gaon Chart '' . Gaon Chart . Retrieved October 26 , 2013 .   Jump up ^ `` Spanishcharts.com -- Pitbull feat . Ke $ ha -- Timber '' Canciones Top 50 .   Jump up ^ `` Swedishcharts.com -- Pitbull feat . Ke $ ha -- Timber '' . Singles Top 100 .   Jump up ^ `` Swisscharts.com -- Pitbull feat . Ke $ ha -- Timber '' . Swiss Singles Chart .   Jump up ^ `` Official Singles Chart Top 100 '' . Official Charts Company .   Jump up ^ `` Official R&amp;B Singles Chart Top 40 '' . Official Charts Company .   Jump up ^ `` Pitbull Chart History ( Hot 100 ) '' . Billboard . Retrieved October 17 , 2013 .   Jump up ^ `` Pitbull Chart History ( Adult Pop Songs ) '' . Billboard . Retrieved March 22 , 2014 .   Jump up ^ `` Pitbull Chart History ( Dance Club Songs ) '' . Billboard . Retrieved January 3 , 2014 .   Jump up ^ `` Pitbull Chart History ( Hot Rap Songs ) '' . Billboard . Retrieved October 17 , 2013 .   Jump up ^ `` Pitbull Chart History ( Latin Airplay ) '' . Billboard . Retrieved February 8 , 2014 .   Jump up ^ `` Pitbull Chart History ( Latin Pop Songs ) '' . Billboard . Retrieved February 8 , 2014 .   Jump up ^ `` Pitbull Chart History ( Pop Songs ) '' . Billboard . Retrieved November 14 , 2013 .   Jump up ^ `` Pitbull Chart History ( Rhythmic ) '' . Billboard . Retrieved February 8 , 2014 .   Jump up ^ `` Top 100 '' . Record Report ( in Spanish ) . R.R. Digital C.A. 2014 - 01 - 25 . Archived from the original on 2014 - 01 - 23 . Retrieved 2013 - 10 - 23 .   Jump up ^ `` End Of Year Charts -- Top 100 Singles 2013 '' . Australian Recording Industry Association . Archived from the original on January 7 , 2014 . Retrieved January 1 , 2015 .   Jump up ^ `` Top 100 Singles Jahrescharts 2013 '' ( in German ) . VIVA . Viacom International Media Networks . Retrieved 12 January 2014 .   Jump up ^ `` Top Selling Singles of 2013 '' . Recorded Music NZ . Retrieved January 1 , 2015 .   Jump up ^ `` ARIA Top 100 Singles 2014 '' . ARIA Charts . Australian Recording Industry Association . Retrieved 14 February 2015 .   Jump up ^ `` 2014 Year End Charts -- Top Canadian Hot 100 '' . Billboard . Retrieved January 1 , 2015 .   Jump up ^ `` WebCite query result '' . webcitation.org . Archived from the original on January 8 , 2015 .   Jump up ^ `` Top 100 Single - Jahrescharts '' . GfK Entertainment ( in German ) . offiziellecharts.de . Retrieved 10 August 2015 .   Jump up ^ `` FIMI - Classifiche Annuali 2014 `` TOP OF THE MUSIC '' FIMI - GfK : un anno di musica italiana '' ( in Italian ) . Federazione Industria Musicale Italiana . Retrieved 19 January 2015 .   Jump up ^ `` IRMA - Best of Singles '' . IRMA Charts . Irish Record Music Association . Retrieved December 30 , 2014 .   Jump up ^ `` Top Selling Singles of 2014 '' . Recorded Music NZ . Retrieved January 1 , 2015 .   Jump up ^ `` SloTop50 : Slovenian official year end singles chart '' . slotop50.si . Retrieved 5 June 2015 .   Jump up ^ `` The Official Top 100 Biggest Songs of 2014 revealed '' . Official Charts Company . December 31 , 2014 . Retrieved December 31 , 2014 .   Jump up ^ `` Hot 100 Songs -- Year End 2014 '' . Billboard . Retrieved January 1 , 2015 .   Jump up ^ `` Resumen Anual 2014 '' . Record Report ( in Spanish ) . December 16 , 2014 . Retrieved December 18 , 2014 .   Jump up ^ `` Best of All Time - Singles '' . Hung Medien . Retrieved August 15 , 2016 .   Jump up ^ `` Best of All Time - Singles '' . Hung Medien . Retrieved August 14 , 2016 .   Jump up ^ `` Best of All Time - Singles '' . Hung Medien . Retrieved August 14 , 2016 .   Jump up ^ `` Ewige Bestenliste - Singles '' . Hitparade ( in German ) . Hung Medien . Retrieved 14 August 2016 .   Jump up ^ `` ARIA Charts -- Accreditations -- 2014 Singles '' . Australian Recording Industry Association .   Jump up ^ `` Austrian single certifications -- Pitbull ( Ft . Ke $ ha ) -- Timber '' ( in German ) . IFPI Austria . Enter Pitbull ( Ft . Ke $ ha ) in the field Interpret . Enter Timber in the field Titel . Select single in the field Format . Click Suchen   Jump up ^ `` Ultratop − Goud en Platina -- singles 2014 '' . Ultratop . Hung Medien .   Jump up ^ `` Canadian single certifications -- Pitbull -- Timber '' . Music Canada .   ^ Jump up to : `` Danish single certifications -- Pitbull -- Timber '' . IFPI Denmark . Click on næste to go to page if certification from official website   Jump up ^ `` French single certifications -- Pitbull -- Timber '' ( in French ) . Syndicat National de l'Édition Phonographique . Retrieved April 9 , 2018 .   Jump up ^ `` Gold - / Platin - Datenbank ( Pitbull feat . Kesha ; ' Timber ' ) '' ( in German ) . Bundesverband Musikindustrie .   Jump up ^ `` Italian single certifications -- Pitbull -- Timber '' ( in Italian ) . Federazione Industria Musicale Italiana .   Jump up ^ `` July 2014 Report '' ( in Japanese ) . Recording Industry Association of Japan . Retrieved May 8 , 2015 .   Jump up ^ `` Certificaciones '' ( in Spanish ) . Asociación Mexicana de Productores de Fonogramas y Videogramas . Retrieved June 2 , 2014 . Type Pitbull feat . Ke $ ha in the box under the ARTISTA column heading and Timber in the box under TÍTULO   Jump up ^ `` New Zealand single certifications -- Pitbull ( Ft . Ke $ ha ) -- Timber '' . Recorded Music NZ .   Jump up ^ `` IFPI '' . ifpi.no .   Jump up ^ `` Guld - och Platinacertifikat '' ( in Swedish ) . IFPI Sweden . Type Pitbull ( Ft . Ke $ ha ) in the top right search bar . Click on `` Sok '' and select Timber and see certification .   Jump up ^ `` The Official Swiss Charts and Music Community : Awards ( Pitbull ( Ft . Ke $ ha ) ; ' Timber ' ) '' . IFPI Switzerland . Hung Medien .   Jump up ^ `` British single certifications -- Pitbull ( Ft . Ke $ ha ) -- Timber '' . British Phonographic Industry . October 21 , 2016 . Retrieved October 26 , 2016 . Select singles in the Format field . Select Platinum in the Certification field . Enter Timber in the search field and then press Enter .   Jump up ^ `` American single certifications -- Pitbull feat Ke $ ha -- Timber '' . Recording Industry Association of America . If necessary , click Advanced , then click Format , then select Single , then click SEARCH   Jump up ^ `` Venezuela : Disco De oro - Timber '' ( To access certification . ) ( in Spanish ) . Venezuela . Retrieved 2014 - 01 - 24 .   Jump up ^ `` Top 100 Streaming - Semana 26 : Del 23.06. 2014 Al 29.06. 2014 '' ( in Spanish ) . PROMUSICAE . Retrieved July 7 , 2014 .   Jump up ^ `` IFPI publishes Digital Music Report 2015 '' . International Federation of the Phonographic Industry . April 14 , 2015 . Retrieved June 5 , 2015 .   Jump up ^ `` Top 40 / M Future Releases - Mainstream Hit Songs Being Released and Their Release Dates ... '' allaccess.com .   Jump up ^ `` iTunes - Musica - Timber ( feat . Ke $ ha ) - Single di Pitbull '' . iTunes . Retrieved August 16 , 2015 .   Jump up ^ `` PITBULL - Timber ( Sony ) - Radio Date 11 / 10 / 2013 '' . radioairplay.fm . Archived from the original on April 20 , 2014 .   Jump up ^ `` iTunes - Musik -- `` Timber ( feat . Ke $ ha ) - Single '' von Pitbull `` . iTunes . Retrieved August 16 , 2015 .   Jump up ^ `` iTunes - Música - Timber ( feat . Ke $ ha ) - Single de Pitbull '' . iTunes . Retrieved August 16 , 2015 .   Jump up ^ `` iTunes - Music - Timber ( feat . Ke $ ha ) - Single by Pitbull '' . iTunes . Retrieved August 16 , 2015 .   Jump up ^ `` iTunes - Musique - Timber ( feat . Ke $ ha ) - Single par Pitbull '' . iTunes . Retrieved August 16 , 2015 .   Jump up ^ `` iTunes - Music - Timber ( feat . Ke $ ha ) - Single by Pitbull '' . iTunes . Retrieved August 16 , 2015 .   Jump up ^ `` Pitbull ft . Ke $ ha : ' Timber ' review : ' Wonderfully trashy ' '' . Digital Spy .    External links ( edit )    `` Timber '' ( Video ) on YouTube   Timber on Spotify   Lyrics of this song at MetroLyrics              Pitbull songs       Discography       M.I.A.M.I.     `` Culo ''   `` That 's Nasty ''   `` Back Up ''   `` Toma ''   `` Dammit Man ''       Money Is Still a Major Issue     `` Everybody Get Up ''       El Mariel     `` Bojangles ''   `` Ay Chico ( Lengua Afuera ) ''   `` Dime ''   `` Be Quiet ''       The Boatlift     `` Secret Admirer ''   `` The Anthem ''   `` Go Girl ''   `` Sticky Icky ''       Rebelution     `` Krazy ''   `` I Know You Want Me ( Calle Ocho ) ''   `` Hotel Room Service ''   `` Shut It Down ''       Armando     `` Watagatapitusberry ''   `` Maldito Alcohol ''   `` Bon , Bon ''   `` Tu Cuerpo ''   `` Vida 23 ''       Planet Pit     `` Hey Baby ( Drop It to the Floor ) ''   `` Give Me Everything ''   `` Rain Over Me ''   `` International Love ''   `` Pause ''   `` Shake Señora ''       Global Warming     `` Back in Time ''   `` Get It Started ''   `` Do n't Stop the Party ''   `` Feel This Moment ''   `` Echa Pa'lla ( Manos Pa'rriba ) ''   `` Everybody Fucks ''   `` Outta Nowhere ''       Meltdown     `` Timber ''       Globalization     `` Wild Wild Love ''   `` We Are One ( Ole Ola ) ''   `` Fireball ''   `` Time of Our Lives ''   `` Fun ''   `` Drive You Crazy ''       Dale     `` Baddest Girl in Town ''       Climate Change     `` Messin ' Around ''   `` Greenlight ''       Collaborations     `` Shake ''   `` Holla at Me ''   `` Born - N - Raised ''   `` Crazy ''   `` Move Shake Drop ''   `` Swing ''   `` Feel It ''   `` Shooting Star ( Party Rock Mix ) ''   `` Now I 'm That Bitch ''   `` Outta Control ''   `` Ni Rosas Ni Juguetes ''   `` Fresh Out the Oven ''   `` Now You See It ( Shake That Ass ) ''   `` Egoísta ''   `` Armada Latina ''   `` All Night Long ''   `` I Like It ''   `` DJ Got Us Fallin ' in Love ''   `` On the Floor ''   `` Rabiosa ''   `` Boomerang ''   `` Suave ( Kiss Me ) ''   `` Throw Your Hands Up ( Dancar Kuduro ) ''   `` Pass at Me ''   `` I Like How It Feels ''   `` Bailando Por El Mundo ''   `` U Know It Ai n't Love ''   `` We Run the Night ''   `` Rock the Boat ''   `` Name of Love ''   `` Dance Again ''   `` There She Goes ''   `` I 'm All Yours ''   `` Beat on My Drum ''   `` Sexy People ( The Fiat Song ) ''   `` Crazy Kids ''   `` Live It Up ''   `` Exotic ''   `` Ca n't Believe It ''   `` Sopa de Caracol ''   `` I 'm a Freak ''   `` I Love You ... Te Quiero ''   `` Booty ''   `` Mmm Yeah ''   `` Ca n't Get Enough ''   `` Drink to That All Night '' ( remix )   `` Do n't Tell ' Em '' ( remix )   `` Turn Down for What '' ( remix )   `` Good Time ''   `` Mr. Put It Down ''   `` Back It Up ''   `` Shake That ''   `` Hey Ma ''   `` Por Favor ''       Other songs     `` Nuestro Himno ''   `` Pearly Gates ''   `` I Like ( The Remix ) ''                 Kesha       Discography   Videography   Songs   Awards and nominations       Studio albums     Animal   Warrior   Rainbow       Compilation albums     I Am the Dance Commander + I Command You to Dance : The Remix Album       Extended plays     Cannibal   Deconstructed       Singles     `` Tik Tok ''   `` Blah Blah Blah ''   `` Your Love Is My Drug ''   `` Take It Off ''   `` We R Who We R ''   `` Blow ''   `` Die Young ''   `` C'Mon ''   `` Crazy Kids ''   `` True Colors ''   `` Praying ''   `` Learn to Let Go ''   `` Woman ''       Featured singles     `` Right Round ''   `` Dirty Picture ''   `` My First Kiss ''   `` Timber ''   `` Good Old Days ''       Promotional singles     `` Sleazy ''   `` Hymn ''   `` This Is Me ''       Other songs     `` Stephen ''   `` Dinosaur ''   `` Old Flames Ca n't Hold a Candle to You ''       Concert tours     Get Sleazy Tour   North American Tour 2013   Warrior Tour </t>
  </si>
  <si>
    <t xml:space="preserve">who is the girl dancing with pitbull in timber</t>
  </si>
  <si>
    <t xml:space="preserve"> Kesha filmed her scenes on November 5 , 2013 while Pitbull filmed his scenes one week later on November 12 , 2013 . The video also features a cameo by Italian model Raffaella Modugno and The Bloody Jug Band , an Orlando - based Americana Group , who perform on stage as the bar 's house band . The beach scenes were filmed in Exuma islands , Bahamas . </t>
  </si>
  <si>
    <t xml:space="preserve">College Football national championships in NCAA Division I FBS - wikipedia  College Football national championships in NCAA Division I FBS       National championships in NCAA Division I FBS     National championship trophies     AP ( since 1936 )   Grantland Rice ( 1954 -- 2013 )   MacArthur ( since 1959 )   AFCA ( since 1986 )   College Football Playoff ( since 2014 )       Longest continuous selector   Associated Press ( 1936 -- present )     First season awarded   1869     Last completed season   2017     A national championship in the highest level of college football in the United States , currently the NCAA Division I Football Bowl Subdivision ( FBS ) , is a designation awarded annually by various organizations to their selection of the best college football team . Division I FBS football is the only National Collegiate Athletic Association ( NCAA ) sport for which the NCAA does not sanction a yearly championship event . As such , it is sometimes unofficially referred to as a `` mythical national championship '' .   Due to the lack of an official NCAA title , determining the nation 's top college football team has often engendered controversy . A championship team is independently declared by multiple individuals and organizations , often referred to as `` selectors '' . These choices are not always unanimous . In 1969 even the President of the United States Richard Nixon declared a national champion by announcing , ahead of the season - ending game between # 1 Texas and # 2 Arkansas , that the winner of that game would receive a plaque from the President himself , commemorating that team as the year 's national champion . Texas went on to win that game , 15 -- 14 .   While the NCAA has never officially endorsed a championship team , it has documented the choices of some selectors in its official NCAA Football Bowl Subdivision Records publication . In addition , various analysts have independently published their own choices for each season . These opinions can often diverge with others as well as individual schools ' claims to national titles , which may or may not correlate to the selections published elsewhere . Currently , two of the most widely recognized national champion selectors are the Associated Press , which conducts a poll of sportswriters , and the Coaches Poll , a survey of active members of the American Football Coaches Association .   Since 1992 , various consortia of major bowl games have aimed to invite the top two teams at the end of the regular season ( as determined by internal rankings , or aggregates of the major polls and other statistics ) to compete in what is intended to be the de facto national championship game . The current iteration of this practice , the College Football Playoff , selects four teams to participate in national semi-finals hosted by two of six partner bowl games , with their winners advancing to the College Football Playoff National Championship .   Contents    1 History   2 National championships in the official NCAA Football Bowl Subdivision records   2.1 Major selectors   2.1. 1 Math   2.1. 2 Poll   2.1. 3 Research   2.1. 4 Hybrid   2.1. 5 Playoff     2.2 Yearly national championship selections from major selectors   2.3 Total championship selections from major selectors by school     3 National championship claims by school   4 College Football Data Warehouse recognized national champions ( 1869 -- 2009 )   5 Poll era ( 1936 -- present )   5.1 AP Poll   5.2 Coaches Poll   5.3 Poll era national championships by school ( 1936 -- present )     6 BCS championships   6.1 BCS National Championships by school ( 1998 -- 2013 )     7 College Football Playoff championships   7.1 CFP National Championships by school ( 2014 -- present )     8 See also   9 Notes   10 References    History  The Sun was among the first to publish a year - end college football ranking , in 1901 .  The concept of a national championship in college football dates to the early years of the sport in the late 19th century , and the earliest contemporaneous polls can be traced to Caspar Whitney , Charles Patterson , and The Sun in 1901 . Therefore , the concept of polls and national champions predated mathematical ranking systems , but it was Frank Dickinson 's math system that was one of the first to be widely popularized . His system named 10 -- 0 Stanford the national champion of 1926 , prior to their tie with Alabama in the Rose Bowl . A curious Knute Rockne , then coach of Notre Dame , had Dickinson backdate two seasons , which produced Notre Dame as the 1924 national champion and Dartmouth in 1925 .   A number of other mathematical systems were born in the 1920s and 1930s and were the only organized methods selecting national champions until the Associated Press began polling sportswriters in 1936 to obtain rankings . Alan J. Gould , the creator of the AP Poll , named Minnesota , Princeton , and SMU co-champions in 1935 , and polled writers the following year , which resulted in a national championship for Minnesota . The AP 's main competition , United Press , created the first Coaches Poll in 1950 . For that year and the next three , the AP and UP agreed on the national champion . The first `` split '' championship occurred in 1954 , when the writers selected Ohio State and the coaches chose UCLA . The two polls also disagreed in 1957 , 1965 , 1970 , 1973 , 1974 , 1978 , 1990 , 1991 , 1997 , and 2003 . The Coaches Poll would stay with United Press ( UP ) when they merged with International News Service ( INS ) to form United Press International ( UPI ) but was acquired by USA Today and CNN in 1991 . The poll was in the hands of USA Today and ESPN from 1997 to 2005 before moving to sole ownership by USA Today . Beginning in 2014 , Amway became a joint sponsor with USA Today .   Though some of the math systems selected champions after the bowl games , both of the major polls released their rankings after the end of the regular season until the AP polled writers after the bowls in 1965 , resulting in what was perceived at the time as a better championship selection ( Alabama ) than UPI 's ( Michigan State ) . After 1965 , the AP again voted before the bowls for two years , before permanently returning to a post-bowl vote in 1968 . The coaches did not conduct a vote after the bowls until 1974 , in the wake of awarding their 1973 championship to Alabama , who lost to the AP champion , undefeated Notre Dame , in the Sugar Bowl . The AP and Coaches polls remain the major rankings to this day .   The Bowl Championship Series , famous for its use of math , was the successor of the Bowl Alliance ( 1995 -- 1997 ) , which was itself the successor of the Bowl Coalition ( 1992 -- 1994 ) . Besides the many adjustments it underwent during its tenure , including a large overhaul following the 2004 season that included the replacement of the AP Poll with the Harris poll , the BCS remained a mixture of math and human polls since its inception in 1998 , with the goal of matching the best two teams in the nation in a national championship bowl game which rotated yearly between the Sugar , Fiesta , Rose , and Orange Bowls from 1998 to 2005 , and later a standalone game titled the BCS National Championship Game ( 2006 to 2013 ) . The winner of the BCS Championship Game was awarded the national championship of the Coaches Poll thus winning the AFCA National Championship Trophy . The BCS winner also received the MacArthur Bowl from the National Football Foundation . Neither the AP Poll , nor other current selectors , had contractual obligations to select the BCS champion as their national champion . The BCS resulted in a number of controversies , most notably after the 2003 season , when the BCS championship game did not include eventual AP champion USC , the only time the two championships have diverged since the advent of the BCS . After many seasons of controversy , the BCS was replaced with the College Football Playoff , a Plus - One system aimed at reducing the controversy involved in which teams get to play in a championship game through use of a tournament .   National championships in the official NCAA Football Bowl Subdivision Records       This section 's factual accuracy is disputed . Relevant discussion may be found on Talk : College football national championships in NCAA Division I FBS . Please help to ensure that disputed statements are reliably sourced . ( September 2018 ) ( Learn how and when to remove this template message )     The NCAA maintains an official records book of historical statistics and records for football . In the records book , with consultation from various college football historians , it has created and maintains a list of `` major selectors '' of national championships throughout the history of college football along with their championship picks for each season .   Major selectors   A variety of selectors have named national champions throughout the years . They generally can be divided into four categories : those determined by mathematical formula , human polls , historical research , and recently , playoffs . The selectors below are listed in the official NCAA Football Bowl Subdivision Records as having been deemed to be `` major selectors '' for which the criteria is that the poll or selector be `` national in scope either through distribution in newspaper , television , radio and / or computer online '' . The former selectors , deemed instrumental in the sport of college football , and selectors that were included for the calculation of the BCS standing , are listed together .  Math  The mathematical system is the oldest systematic selector of college football national champions . Many of the math selectors were created during the `` championship rush '' of the 1920s and 1930s , beginning with Frank Dickinson 's system , or during the dawn of the computer age in the 1990s . Selectors are listed below with years selected retroactively in italics .     Selector   Name   Seasons     A&amp;H   Anderson &amp; Hester   1997 -- present     AS   Alderson System   1994 -- 1998     B ( QPRS )   Berryman ( QPRS )   1920 -- 1989 , 1990 -- 2011     BR   Billingsley Report   1869 -- 1870 , 1872 -- 1969 , 1970 -- present     BS   Boand System   1919 -- 1929 , 1930 -- 1960     CCR   Congrove Computer Rankings   1993 -- present     CM   Colley Matrix   1992 -- present     CW   Caspar Whitney   1905 -- 1907     DeS   DeVold System   1939 -- 1944 , 1945 -- 2006     DiS   Dickinson System   1924 -- 1925 , 1926 -- 1940     DuS   Dunkel System   1929 -- present     ERS   Eck Ratings System   1987 -- 2005     HS   Houlgate System   1885 , 1887 -- 1905 , 1907 -- 1926 , 1927 -- 1949       Litkenhous   1934 -- 1972 , 1974 , 1978 , 1981 -- 1984     MCFR   Massey College Football Ratings   1995 -- present     MGR   Matthews Grid Ratings   1966 -- 1972 , 1974 -- 2006     NYT   New York Times   1979 -- 2004     PS   Poling System   1924 -- 1934 , 1935 -- 1955 , 1957 -- 1984     R ( FACT )   Rothman ( FACT )   1968 -- 2006     SR   Sagarin Ratings   1919 -- 1977 , 1978 -- present       Wolfe   2001 -- present     WS   Williamson System   1931 , 1932 -- 1963     The Billingsley Report also provides an alternate selection that uses margin - of - victory in its calculation . The NCAA Football Bowl Subdivision Records book notes both selections in years where they disagree .  Poll  The poll has been the dominant national champion selector since the inception of the AP Poll in 1936 . It is notable that the NFF merged its poll with UPI from 1991 to 1992 , with USA Today from 1993 to 1996 , and with the FWAA from 2014 forward . Selectors are listed below with years selected retroactively in italics .   For many years , the national champion of various polls were selected prior to the bowl games . The national champion was selected before bowl games as follows : AP ( 1936 -- 1964 and 1966 -- 1967 ) , Coaches Poll ( 1950 -- 1973 ) , FWAA ( 1954 ) , and NFF ( 1959 -- 1970 ) . In all other latter - day polls , champions were selected after bowl games .   During the BCS era , the winner of the BCS Championship Game was automatically awarded the national championship of the Coaches Poll and the National Football Foundation .     Selector   Name   Seasons     AP   Associated Press   1936 -- present     Coaches BRC UP UPI USAT / CNN USAT / ESPN USAT USAT / AMWAY   American Football Coaches Association AFCA Blue Ribbon Commission United Press United Press International USA Today / CNN USA Today / ESPN USA Today USA Today / Amway   1922 -- present 1922 -- 1949 1950 -- 1957 1958 -- 1990 1991 -- 1996 1997 -- 2004 2005 -- 2013 2014 -- present     CFRA   College Football Researchers Association   1919 -- 1935 , 1936 -- 1981 , 1982 -- 1992 , 2010 -- present     FN   Football News   1958 -- 2002     FWAA   Football Writers Association of America   1954 -- 2013     FWAA / NFF   FWAA - NFF Grantland Rice Super 16   2014 -- present     HAF   Helms Athletic Foundation   1883 -- 1935 , 1936 -- 1940 , 1941 -- 1982     INS   International News Service   1952 -- 1957     NCF   National Championship Foundation   1869 -- 1870 , 1872 -- 1935 , 1936 -- 1979 , 1980 -- 2000     NFF   National Football Foundation   1959 -- 1990 , 1997 -- 2013     SN   Sporting News   1975 -- 2006     UPI   United Press International   1993 -- 1995     UPI / NFF   United Press International / National Football Foundation   1991 -- 1992     USAT   USA Today   1982     USAT / CNN   USA Today / CNN   1983 -- 1990     USAT / NFF   USA Today / National Football Foundation   1993 -- 1996     At the request of several schools , the AFCA established a `` Blue Ribbon Commission '' in 2016 to begin retroactively selecting Coaches ' Trophy winners from 1922 through 1949 .   Served as the Coaches Poll during the designated years , but also conducted their own poll at different times .   The Football Writers Association of America merged its poll with that of the National Football Foundation members beginning in 2014 ; as a result , the Grantland Trophy was retired and the FWAA / NFF national champion now receives the MacArthur Bowl .   USA Today took over , from the UPI , the poll of the National Football Foundation 's members in 1993 , and its winner was designated by the NFF as its national champion and received the MacArthur Bowl . The poll was conducted by USA Today through the 1996 season , although national championship selections in the NCAA Football Bowl Subdivision Records do not distinguish the NFF from the USAT / NFF poll in 1995 and 1996 . Not to be confused with the USA Today / CNN Coaches Poll , which USA Today conducted separately .   UPI conducted the Coaches Poll through the 1990 season , which was subsequently taken over by CNN / USA Today . UPI then conducted a poll of National Football Foundation members in 1991 and 1992 , the winner of which was designated by the NFF as its national champion and received the MacArthur Bowl .   UPI conducted its own poll from 1993 to 1995 , after the National Football Foundation Poll was taken over by USA Today .   USA Today conducted its own poll of college football sportswriters in 1982 , then joined with CNN to do their own joint poll until they took over the Coaches Poll starting with the 1991 season .  Research  College football historian Parke H. Davis is the only selector considered by the NCAA to have primarily used research in his selections . Davis did all of his work in 1933 , naming retroactive national champions for most of the years from 1869 to 1932 while naming Michigan and Princeton ( his alma mater ) co-champions at the end of the 1933 season .     Selector   Name   Seasons     PD   Parke H. Davis   1869 -- 1870 , 1872 -- 1909 , 1911 -- 1916 , 1919 -- 1932 , 1933    Hybrid Main article : Bowl Championship Series  The Bowl Championship Series used a mathematical system that combined polls ( Coaches and AP / Harris ) and multiple computer rankings ( including some individual selectors listed above ) to determine a season ending matchup between its top two ranked teams in the BCS Championship Game . The champion of that game was contractually awarded the Coaches Poll and National Football Foundation championships .     Selector   Name   Seasons     BCS   Bowl Championship Series   1998 -- 2013    Playoff Main article : College Football Playoff  Unlike all selectors prior to 2014 , the College Football Playoff does not use math , polls or research to select the participants . Rather , a 13 - member committee selects and seeds the teams . The playoff system marked the first time any championship selector arranged a bracket competition to determine whom it would declare to be its champion .     Selector   Name   Seasons     CFP   College Football Playoff   2014 -- present     Yearly national championship selections from major selectors   Below is a list of the national champions of college football from 1869 to present ( with the exception of 1871 , in which no games were played ) deemed to be chosen by `` major selectors '' as listed in the official NCAA Football Bowl Subdivision Records . Many teams did not have coaches as late as 1899 . `` Consensus '' selectors in the official NCAA Football Bowl Subdivision Records correspond to the period from 1950 to present which began with the introduction of the two poll system upon the appearance of the Coaches Poll in 1950 . Selectors used to determine teams listed as `` Consensus National Champions '' in the NCAA Football Bowl Subdivision Records include the AP Poll , Coaches Poll , Football Writers Association of America , and the National Football Foundation / College Football Hall of Fame .   The first contemporaneous poll to include teams across the country and selection of a national champions can be traced to Caspar Whitney in 1901 . The last retroactive selection was made by Clyde Berryman in 1989 ( Notre Dame ) . The tie was removed from college football in 1995 and the last consensus champion with a tie in its record was Georgia Tech in 1990 . The 1947 Michigan Wolverines are often credited with a national championship on the basis of a `` free poll '' conducted by an AP sportswriter after the 1948 Rose Bowl , though that poll was unofficial and it is not recognized in the official NCAA Football Bowl Subdivision Records .   Note that the Harris Interactive Poll ( 2005 -- 2013 ) was contracted by the BCS to help formulate its standings , and although its final ranking which occurs prior to the bowl games is listed in the official NCAA Football Bowl Subdivision Records , it does not conduct a final poll or award or name a national champion on its own .   As designated by the official NCAA Football Bowl Subdivision Records , the table below shows :    Teams listed in italics indicate retroactively - applied championships .   Teams listed in bold reflect the NCAA 's designation as `` Consensus National Champions '' by virtue of their selection from 1950 onward by one or more selectors from Associated Press , United Press / UPI , Football Writers Association of America , National Football Foundation / College Football Hall of Fame , and USA Today .    A letter next to any season , team , record , coach or selector indicates a footnote that appears at the bottom of the table .     Season   Champion ( s )   Record   Coach   Selector ( s )   Source     1869   Princeton   1 -- 1     BR , NCF , PD       Rutgers   1 -- 1     PD       1870   Princeton   1 -- 0     BR , NCF , PD       1871   None   No games played       1872   Princeton   1 -- 0     BR , NCF , PD       Yale   1 -- 0     PD       1873   Princeton   2 -- 0     BR , NCF , PD       1874   Harvard   1 -- 1     PD       Princeton   2 -- 0     BR , PD       Yale   3 -- 0     NCF , PD       1875   Columbia   3 -- 1 -- 1     PD       Harvard   4 -- 0     NCF , PD       Princeton   2 -- 0     BR , PD       1876   Yale   3 -- 0     BR , NCF , PD       1877   Princeton   2 -- 0 -- 1     BR , PD       Yale   3 -- 0 -- 1     NCF , PD       1878   Princeton   6 -- 0     BR , NCF , PD       1879   Princeton   4 -- 0 -- 1     BR , NCF , PD       Yale   3 -- 0 -- 2     PD       1880   Princeton   4 -- 0 -- 1     NCF , PD       Yale   4 -- 0 -- 1     BR , NCF , PD       1881   Princeton   7 -- 0 -- 2     BR , PD       Yale   5 -- 0 -- 1     NCF , PD       1882   Yale   8 -- 0     BR , NCF , PD       1883   Yale   9 -- 0     BR , HAF , NCF , PD       1884   Princeton   9 -- 0 -- 1     BR , PD       Yale   8 -- 0 -- 1     HAF , NCF , PD       1885   Princeton   9 -- 0     BR , HAF , HS , NCF , PD       1886   Princeton   7 -- 0 -- 1     BR , PD       Yale   9 -- 0 -- 1     HAF , NCF , PD       1887   Yale   9 -- 0     BR , HAF , HS , NCF , PD       1888   Yale   13 -- 0   Walter Camp   BR , HAF , HS , NCF , PD       1889   Princeton   10 -- 0     BR , HAF , HS , NCF , PD       1890   Harvard   11 -- 0   George C. Adams , George A. Stewart   BR , HAF , HS , NCF , PD       1891   Yale   13 -- 0   Walter Camp   BR , HAF , HS , NCF , PD       1892   Yale   13 -- 0   Walter Camp   BR , HAF , HS , NCF , PD       1893   Princeton   11 -- 0     BR , HAF , HS , NCF       Yale   10 -- 1   William Rhodes   PD       1894   Penn   12 -- 0   George Washington Woodruff   PD       Princeton   8 -- 2     HS       Yale   16 -- 0   William Rhodes   BR , HAF , NCF , PD       1895   Penn   14 -- 0   George Washington Woodruff   BR , HAF , HS , NCF , PD       Yale   13 -- 0 -- 2   John A. Hartwell   PD       1896   Lafayette   11 -- 0 -- 1   Parke H. Davis   NCF , PD       Princeton   10 -- 0 -- 1   Franklin Morse   BR , HAF , HS , NCF , PD       1897   Penn   15 -- 0   George Washington Woodruff   BR , HAF , HS , NCF , PD       Yale   9 -- 0 -- 2   Frank Butterworth   PD       1898   Harvard   11 -- 0   William Forbes   BR , HAF , HS , NCF       Princeton   11 -- 0 -- 1     PD       1899   Harvard   10 -- 0 -- 1   Benjamin Dibblee   HAF , HS , NCF       Princeton   12 -- 1     BR , PD       1900   Yale   12 -- 0   Malcolm McBride   BR , HAF , HS , NCF , PD       1901   Harvard   12 -- 0   Bill Reid   BR       Michigan   11 -- 0   Fielding H. Yost   HAF , HS , NCF       Yale   11 -- 1 -- 1   George S. Stillman   PD       1902   Michigan   11 -- 0   Fielding H. Yost   BR , HAF , HS , NCF , PD       Yale   11 -- 0 -- 1   Joseph R. Swan   PD       1903   Michigan   11 -- 0 -- 1   Fielding H. Yost   NCF       Princeton   11 -- 0   Art Hillebrand   BR , HAF , HS , NCF , PD       1904   Michigan   10 -- 0   Fielding H. Yost   NCF       Minnesota   13 -- 0   Henry Williams   BR       Penn   12 -- 0   Carl S. Williams   HAF , HS , NCF , PD       1905   Chicago   10 -- 0   Amos Alonzo Stagg   BR , HAF , HS , NCF       Yale   10 -- 0   Jack Owsley   CW , PD       1906   Princeton   9 -- 0 -- 1   William Roper   HAF , NCF       Yale   9 -- 0 -- 1   Foster Rockwell   BR , CW , PD       1907   Yale   9 -- 0 -- 1   William F. Knox   BR , CW , HAF , HS , NCF , PD       1908   Harvard   9 -- 0 -- 1   Percy Haughton   BR       LSU   10 -- 0   Edgar Wingard   NCF       Penn   11 -- 0 -- 1   Sol Metzger   HAF , HS , NCF , PD       1909   Yale   10 -- 0   Howard Jones   BR , HAF , HS , NCF , PD       1910   Harvard   8 -- 0 -- 1   Percy Haughton   BR , HAF , HS , NCF       Pittsburgh   9 -- 0   Joseph Thompson   NCF       1911   Minnesota   6 -- 0 -- 1   Henry L. Williams   BR       Penn State   8 -- 0 -- 1   Bill Hollenback   NCF       Princeton   8 -- 0 -- 2   William Roper   BR , HAF , HS , NCF , PD       1912   Harvard   9 -- 0   Percy Haughton   BR , HAF , HS , NCF , PD       Penn State   8 -- 0   Bill Hollenback   NCF       1913   Auburn   8 -- 0   Mike Donahue   BR       Chicago   7 -- 0   Amos Alonzo Stagg   BR , PD       Harvard   9 -- 0   Percy Haughton   HAF , HS , NCF , PD       1914   Army   9 -- 0   Charles Daly   HAF , HS , NCF , PD       Illinois   7 -- 0   Robert Zuppke   BR , PD       Texas   8 -- 0   Dave Allerdice   BR       1915   Cornell   9 -- 0   Albert Sharpe   HAF , HS , NCF , PD       Minnesota   6 -- 0 -- 1   Henry L. Williams   BR       Oklahoma   10 -- 0   Bennie Owen   BR       Pittsburgh   8 -- 0   Glenn `` Pop '' Warner   PD       1916   Army   9 -- 0   Charles Daly   PD       Georgia Tech   8 -- 0 - 1   John Heisman   BR       Pittsburgh   8 -- 0   Glenn `` Pop '' Warner   BR , HAF , HS , NCF , PD       1917   Georgia Tech   9 -- 0   John Heisman   BR , HAF , HS , NCF       1918   Michigan   5 -- 0   Fielding H. Yost   BR , NCF       Pittsburgh   4 -- 1   Glenn `` Pop '' Warner   HAF , HS , NCF       1919   Centre   9 -- 0   Charley Moran   SR       Harvard   9 -- 0 -- 1   Bob Fisher   CFRA , HAF , HS , NCF , PD       Illinois   6 -- 1   Robert Zuppke   BR , BS , CFRA , PD , SR       Notre Dame   9 -- 0   Knute Rockne   NCF , PD       Texas A&amp;M   10 -- 0   Dana X . Bible   BR , NCF       1920   California   9 -- 0   Andy Smith   CFRA , HAF , HS , NCF , SR       Georgia   8 -- 0 -- 1   Herman Stegeman   B ( QPRS )       Harvard   8 -- 0 -- 1   Bob Fisher   BS       Notre Dame   9 -- 0   Knute Rockne   BR , PD       Princeton   6 -- 0 -- 1   William Roper   BS , PD       1921   California   9 -- 0 -- 1   Andy Smith   BR , BS , CFRA , SR       Cornell   8 -- 0   Gil Dobie   HAF , HS , NCF , PD       Iowa   7 -- 0   Howard Jones   BR , PD       Lafayette   9 -- 0   Jock Sutherland   BS , PD       Vanderbilt   7 -- 0 -- 1   Dan McGugin   B ( QPRS )       Washington &amp; Jefferson   10 -- 0 -- 1   Greasy Neale   BS       1922   California   9 -- 0   Andy Smith   BR , HS , NCF , SR       Cornell   8 -- 0   Gil Dobie   HAF , PD       Iowa   7 -- 0   Howard Jones   BR       Princeton   8 -- 0   William Roper   BS , CFRA , NCF , PD , SR       Vanderbilt   8 -- 0 -- 1   Dan McGugin   B ( QPRS )       1923   California   9 -- 0 -- 1   Andy Smith   HS       Cornell   8 -- 0   Gil Dobie   SR       Illinois   8 -- 0   Robert Zuppke   BS , CFRA , HAF , NCF , PD , SR , B ( QPRS )       Michigan   8 -- 0   Fielding H. Yost   BR , NCF       Yale   8 -- 0   Tad Jones   B ( QPRS )       1924   Notre Dame   10 -- 0   Knute Rockne   BR , BS , CFRA , DiS , HAF , HS , NCF , PS , SR , B ( QPRS )       Penn   9 -- 1 -- 1   Lou Young   PD       1925   Alabama   10 -- 0   Wallace Wade   BR , BS , CFRA , HAF , HS , NCF , PS , SR , B ( QPRS )       Dartmouth   8 -- 0   Jesse Hawley   DiS , PD       Michigan   7 -- 1   Fielding H. Yost   SR       1926   Alabama   9 -- 0 -- 1   Wallace Wade   BR , CFRA , HAF , NCF , PS , B ( QPRS )       Lafayette   9 -- 0   Herb McCracken   PD       Michigan   7 -- 1   Fielding H. Yost   SR       Navy   9 -- 0 -- 1   Bill Ingram   BS , HS       Stanford   10 -- 0 -- 1   Glenn `` Pop '' Warner   DiS , HAF , NCF , SR       1927   Georgia   9 -- 1   George Cecil Woodruff   BS , PS , B ( QPRS )       Illinois   7 -- 0 -- 1   Robert Zuppke   BR , DiS , HAF , NCF , PD       Notre Dame   7 -- 1 -- 1   Knute Rockne   HS       Texas A&amp;M   8 -- 0 -- 1   Dana X . Bible   SR       Yale   7 -- 1   Thomas Jones   CFRA       1928   Detroit   9 -- 0   Gus Dorais   PD       Georgia Tech   10 -- 0   William Alexander   BR , BS , CFRA , HAF , HS , NCF , PD , PS , SR , B ( QPRS )       USC   9 -- 0 -- 1   Howard Jones   DiS , SR       1929   Notre Dame   9 -- 0   Knute Rockne   BR , BS , CFRA , DiS , DuS , HAF , NCF , PS , SR       Pittsburgh   9 -- 1   Jock Sutherland   PD       USC   10 -- 2   Howard Jones   HS , SR , B ( QPRS )       1930   Alabama   10 -- 0   Wallace Wade   CFRA , PD , SR , B ( QPRS )       Notre Dame   10 -- 0   Knute Rockne   BR , BS , DiS , DuS , HAF , HS , NCF , PD , PS       1931   Pittsburgh   8 -- 1   Jock Sutherland   PD       Purdue   9 -- 1   Noble Kizer   PD       USC   10 -- 1   Howard Jones   BR , BS , CFRA , DiS , DuS , HAF , HS , NCF , PS , SR , WS , B ( QPRS )       1932   Colgate   9 -- 0   Andrew Kerr   PD       Michigan   8 -- 0   Harry Kipke   DiS , PD , SR       USC   10 -- 0   Howard Jones   BR , BS , CFRA , DuS , HAF , HS , NCF , PD , PS , SR , WS , B ( QPRS )       1933   Michigan   7 -- 0 -- 1   Harry Kipke   BR , BS , CFRA , DiS , HAF , HS , NCF , PD , PS , SR , B ( QPRS )       Ohio State   7 -- 1   Sam Willaman   DuS       Princeton   9 -- 0   Fritz Crisler   PD       USC   10 -- 1 -- 1   Howard Jones   WS       1934   Alabama   10 -- 0   Frank Thomas   DuS , HS , PS , WS , B ( QPRS )       Minnesota   8 -- 0   Bernie Bierman   BR , BS , CFRA , DiS , HAF , L , NCF , SR       1935   LSU   9 -- 2   Bernie Moore   WS       Minnesota   8 -- 0   Bernie Bierman   BR , BS , CFRA , HAF , L , NCF , PS       Princeton   9 -- 0   Fritz Crisler   DuS       SMU   12 -- 1   Matty Bell   DiS , HS , SR , B ( QPRS )       TCU   12 -- 1   Dutch Meyer   WS       1936   Duke   9 -- 1   Wallace Wade   B ( QPRS )       LSU   9 -- 1 -- 1   Bernie Moore   SR , WS       Minnesota   7 -- 1   Bernie Bierman   AP , BR , DiS , DuS , HAF , L , NCF , PS       Pittsburgh   8 -- 1 -- 1   Jock Sutherland   BS , CFRA , HS       1937   California   10 -- 0 -- 1   Stub Allison   DuS , HAF       Pittsburgh   9 -- 0 -- 1   Jock Sutherland   AP , BR , BS , CFRA , DiS , HS , L , NCF , PS , SR , WS , B ( QPRS )       1938   Notre Dame   8 -- 1   Elmer Layden   DiS       TCU   11 -- 0   Dutch Meyer   AP , HAF , NCF , WS       Tennessee   11 -- 0   Robert Neyland   BR , BS , CFRA , DuS , HS , L , PS , SR , B ( QPRS )       1939   Cornell   8 -- 0   Carl Snavely   L , SR       Texas A&amp;M   11 -- 0   Homer Norton   AP , BR , BS , CFRA , DeS , DuS , HAF , HS , NCF , PS , SR , WS , B ( QPRS )       USC   8 -- 0 -- 2   Howard Jones   DiS       1940   Minnesota   8 -- 0   Bernie Bierman   AP , B ( QPRS ) , BS , CFRA , DeS , DiS , HS , L , NCF , SR       Stanford   10 -- 0   Clark Shaughnessy   BR , HAF , PS       Tennessee   10 -- 1   Robert Neyland   DuS , WS       1941   Alabama   9 -- 2   Frank Thomas   HS       Minnesota   8 -- 0   Bernie Bierman   AP , BR , BS , CFRA , DeS , DuS , HAF , L , NCF , PS , SR       Texas   8 -- 1 -- 1   Dana X . Bible   B ( QPRS ) , WS       1942   Georgia   11 -- 1   Wally Butts   B ( QPRS ) , BR , DeS , HS , L , PS , SR , WS       Ohio State   9 -- 1   Paul Brown   AP , BS , DuS , CFRA , NCF       Wisconsin   8 -- 1 -- 1   Harry Stuhldreher   HAF       1943   Notre Dame   9 -- 1   Frank Leahy   AP , B ( QPRS ) , BR , BS , CFRA , DeS , DuS , HAF , HS , L , NCF , PS , SR , WS       1944   Army   9 -- 0   Earl Blaik   AP , B ( QPRS ) , BR , BS , CFRA , DeS , DuS , HAF , HS , L , NCF , PS , SR , WS       Ohio State   9 -- 0   Carroll Widdoes   NCF , SR       1945   Alabama   10 -- 0   Frank Thomas   NCF       Army   9 -- 0   Earl Blaik   AP , B ( QPRS ) , BR , BS , CFRA , DeS , DuS , HAF , HS , L , NCF , PS , SR , WS       Oklahoma A&amp;M   9 -- 0   Jim Lookabaugh   BRC       1946   Army   9 -- 0 -- 1   Earl Blaik   BR , BS , CFRA , HAF , HS , PS       Georgia   11 -- 0   Wally Butts   WS       Notre Dame   8 -- 0 -- 1   Frank Leahy   AP , B ( QPRS ) , BS , DeS , DuS , HAF , L , NCF , PS , SR       1947   Michigan   10 -- 0   Fritz Crisler   B ( QPRS ) , BR , BS , CFRA , DeS , DuS , HAF , HS , L , NCF , PS , SR       Notre Dame   9 -- 0   Frank Leahy   AP , HAF , WS       1948   Michigan   9 -- 0   Bennie Oosterbaan   AP , B ( QPRS ) , BR , BS , CFRA , DeS , DuS , HAF , HS , L , NCF , PS , SR , WS       1949   Notre Dame   10 -- 0   Frank Leahy   AP , B ( QPRS ) , BR , BS , DeS , DuS , HAF , HS , L , NCF , PS , SR , WS       Oklahoma   11 -- 0   Bud Wilkinson   CFRA       1950   Kentucky   11 -- 1   Paul `` Bear '' Bryant   SR       Oklahoma   10 -- 1   Bud Wilkinson   AP , B ( QPRS ) , HAF , L , UP , WS       Princeton   9 -- 0   Charley Caldwell   BS , PS       Tennessee   11 -- 1   Robert Neyland   BR , CFRA , DeS , DuS , NCF , SR       1951   Georgia Tech   11 -- 0 -- 1   Bobby Dodd   B ( QPRS ) , BS       Illinois   9 -- 0 -- 1   Ray Eliot   BS       Maryland   10 -- 0   Jim Tatum   CFRA , DeS , DuS , NCF , SR       Michigan State   9 -- 0   Biggie Munn   BR , HAF , PS       Tennessee   10 -- 1   Robert Neyland   AP , L , UP , WS       1952   Georgia Tech   12 -- 0   Bobby Dodd   B ( QPRS ) , BR , INS , PS , SR       Michigan State   9 -- 0   Biggie Munn   AP , BS , CFRA , DeS , DuS , HAF , L , NCF , SR , UP , WS       1953   Maryland   10 -- 1   Jim Tatum   AP , INS , UP       Notre Dame   9 -- 0 -- 1   Frank Leahy   BR , BS , DeS , DuS , HAF , L , NCF , PS , SR , WS       Oklahoma   9 -- 1 -- 1   Bud Wilkinson   B ( QPRS ) , CFRA       1954   Ohio State   10 -- 0   Woody Hayes   AP , B ( QPRS ) , BR , BS , CFRA , DeS , HAF , INS , NCF , PS , SR , WS       UCLA   9 -- 0   Henry Sanders   CFRA , DuS , FWAA , HAF , L , NCF , UP       1955   Michigan State   9 -- 1   Duffy Daugherty   BS       Oklahoma   11 -- 0   Bud Wilkinson   AP ,</t>
  </si>
  <si>
    <t xml:space="preserve">who has won national championships in college football</t>
  </si>
  <si>
    <t xml:space="preserve">   School   Claimed national championships   Seasons   Source     Princeton   28   1869 , 1870 , 1872 , 1873 , 1874 , 1875 , 1877 , 1878 , 1879 , 1880 , 1881 , 1884 , 1885 , 1886 , 1889 , 1893 , 1894 , 1896 , 1898 , 1899 , 1903 , 1906 , 1911 , 1920 , 1922 , 1933 , 1935 , 1950       Yale   27   1872 , 1874 , 1876 , 1877 , 1879 , 1880 , 1881 , 1882 , 1883 , 1884 , 1886 , 1887 , 1888 , 1891 , 1892 , 1893 , 1894 , 1895 , 1897 , 1900 , 1901 , 1902 , 1905 , 1906 , 1907 , 1909 , 1927       Alabama   17   1925 , 1926 , 1930 , 1934 , 1941 , 1961 , 1964 , 1965 , 1973 , 1978 , 1979 , 1992 , 2009 , 2011 , 2012 , 2015 , 2017       Michigan   11   1901 , 1902 , 1903 , 1904 , 1918 , 1923 , 1932 , 1933 , 1947 , 1948 , 1997       Notre Dame   11   1924 , 1929 , 1930 , 1943 , 1946 , 1947 , 1949 , 1966 , 1973 , 1977 , 1988       USC   11   1928 , 1931 , 1932 , 1939 , 1962 , 1967 , 1972 , 1974 , 1978 , 2003 , 2004       Pittsburgh   9   1915 , 1916 , 1918 , 1929 , 1931 , 1934 , 1936 , 1937 , 1976       Ohio State   8   1942 , 1954 , 1957 , 1961 , 1968 , 1970 , 2002 , 2014       Harvard   7   1890 , 1898 , 1899 , 1910 , 1912 , 1913 , 1919       Minnesota   7   1904 , 1934 , 1935 , 1936 , 1940 , 1941 , 1960       Oklahoma   7   1950 , 1955 , 1956 , 1974 , 1975 , 1985 , 2000       Penn   7   1894 , 1895 , 1897 , 1904 , 1907 , 1908 , 1924       Michigan State   6   1951 , 1952 , 1955 , 1957 , 1965 , 1966       Tennessee   6   1938 , 1940 , 1950 , 1951 , 1967 , 1998       California   5   1920 , 1921 , 1922 , 1923 , 1937       Cornell   5   1915 , 1921 , 1922 , 1923 , 1939       Illinois   5   1914 , 1919 , 1923 , 1927 , 1951       Miami ( FL )   5   1983 , 1987 , 1989 , 1991 , 2001       Nebraska   5   1970 , 1971 , 1994 , 1995 , 1997       Georgia Tech     1917 , 1928 , 1952 , 1990       Iowa     1921 , 1956 , 1958 , 1960       Texas     1963 , 1969 , 1970 , 2005       Washington     1960 , 1984 , 1990 , 1991       Army     1944 , 1945 , 1946       Florida     1996 , 2006 , 2008       Florida State     1993 , 1999 , 2013       Lafayette     1896 , 1921 , 1926       LSU     1958 , 2003 , 2007       Ole Miss     1959 , 1960 , 1962       SMU     1935 , 1981 , 1982       Texas A&amp;M     1919 , 1927 , 1939       Auburn     1957 , 2010       Chicago     1905 , 1913       Clemson     1981 , 2016       Georgia     1942 , 1980       Penn State     1982 , 1986       TCU     1935 , 1938       Stanford     1926 , 1940       Arkansas     1964       Boston College     1940       BYU     1984       Centre     1921       Colorado     1990       Dartmouth     1925       Kentucky     1950       Maryland     1953       Navy     1926       Oklahoma State     1945       Rutgers     1869       Syracuse     1959       UCF     2017       UCLA     1954     </t>
  </si>
  <si>
    <r>
      <rPr>
        <sz val="11"/>
        <color rgb="FF000000"/>
        <rFont val="Calibri"/>
        <family val="0"/>
        <charset val="1"/>
      </rPr>
      <t xml:space="preserve">We Need to Talk About Kevin ( film ) - wikipedia  We Need to Talk About Kevin ( film )  Jump to : navigation , search    We Need to Talk About Kevin     Theatrical release poster     Directed by   Lynne Ramsay     Produced by     Jennifer Fox   Luc Roeg   Bob Salerno       Screenplay by     Lynne Ramsay   Rory Stewart Kinnear       Based on   We Need to Talk About Kevin by Lionel Shriver     Starring     Tilda Swinton   John C. Reilly   Ezra Miller       Music by   Jonny Greenwood     Cinematography   Seamus McGarvey     Edited by   Joe Bini     Production companies     BBC Films   UK Film Council   Footprint Investment   Piccadilly Pictures   Lipsync Productions   Independent   Artina Films   Rockinghorse Films       Distributed by   Oscilloscope Laboratories     Release date     12 May 2011 ( 2011 - 05 - 12 ) ( Cannes )   21 October 2011 ( 2011 - 10 - 21 ) ( United Kingdom )             Running time   112 minutes     Country     United Kingdom   United States       Language   English     Budget   $7 million     Box office   $10.8 million     We Need to Talk About Kevin is a 2011 British - American psychological thriller drama film directed by Lynne Ramsay , and adapted from Lionel Shriver 's novel of the same title . A long process of development and financing began in 2005 , with filming commencing in April 2010 .   Tilda Swinton stars as the mother of Kevin , struggling to come to terms with her son and the horrors he has committed . The film premiered at the 2011 Cannes Film Festival and was released in the United Kingdom on 21 October 2011 .   Swinton was nominated for the Golden Globe Award , Screen Actors Guild , and the BAFTA for Best Actress in a Leading Role . It was given positive reviews by both critics and audiences alike .     Contents  ( hide )   1 Plot   2 Cast   3 Development   4 Release   5 Reception   5.1 Critical response   5.2 Awards and nominations     6 References   7 External links      Plot ( edit )   Teenager Kevin Khatchadourian is in prison after committing a massacre at his high school . His mother , Eva , once a successful travel writer , lives alone in a rundown house and works in a travel agency near the prison , where she visits Kevin . She looks back at her memories of him growing up as she tries to cope with the hostility of her neighbors .   Kevin is detached and difficult from childhood . He appears to loathe and deliberately antagonize Eva , and she has trouble bonding with him . As a baby , he cries incessantly , but only around her ; as a child , he resists toilet training , rebuffs Eva 's attempts at affection , and shows no interest in anything . He behaves like a happy , loving son when his father Franklin is watching . Eva 's frustration drives her to throw Kevin against the wall , breaking his arm . Kevin tells Franklin he fell , using the incident to blackmail Eva into doing what he wants .   Franklin dismisses Eva 's concerns and makes excuses for Kevin 's behavior . When Kevin is confined to bed with a fever , Eva reads him a book about Robin Hood ; when Robin competes in Prince John 's archery contest , Kevin shows Eva affection for the first time . Franklin gives him a bow and arrow and teaches him archery .   Eva and Franklin have a second child , Celia , who is lively and cheerful . However , Kevin is disdainful and jealous . A few years later , Celia 's pet guinea pig is killed and she is blinded in one eye by caustic cleaning fluid . Eva is suspicious , but Franklin insists that Kevin is not to blame . Eva 's suspicion ruins their marriage and she and Franklin divorce . Eva comes to fear her son , as she sees growing evidence of Kevin 's sadism .   As a teenager , Kevin locks several students in the school gymnasium and murders them with his bow . When Eva arrives home , she finds Kevin has murdered Franklin and Celia . On the second anniversary of the massacre , Eva visits Kevin in prison . Eva asks him why he committed the murders . Kevin , who is about to be transferred to an adult prison , responds that he used to think he knew but is no longer sure . Eva hugs Kevin and walks away sadly .   Cast ( edit )    Tilda Swinton as Eva Khatchadourian   John C. Reilly as Franklin Plaskett   Ezra Miller as Kevin Khatchadourian   Jasper Newell as young Kevin   Rocky Duer as infant Kevin     Ashley Gerasimovich as Celia Khatchadourian   Siobhan Fallon Hogan as Wanda   Alex Manette as Colin    Development ( edit )   In 2005 BBC Films acquired the rights to adapt the book as a film . Executive producers Paula Jalfon and Christine Langan took it through the development stage , and were joined by executive producer Steven Soderbergh .   Lynne Ramsay , who became available after her involvement in the film adaptation of The Lovely Bones came to an end , signed on to direct , and was working on a script with In the Bedroom writer Robert Festinger by 2006 . Shriver was offered a consultative role in the production process but declined , stating she had `` had it up to ( her ) eyeballs with that book , '' though she did express concern for how the film would capture Eva 's role as the unreliable narrator . Production had not begun by 2007 , though BBC Films renewed the adaptation rights early in the year . In an interview with The Herald in September 2007 , Shriver stated that she had not been in contact with Ramsay about the film for over two years . Ramsay 's spokesperson told the newspaper that a new script draft was being prepared and , at the time the interview was published , had not been submitted to the producers . Michael Clayton producer Jennifer Fox joined the production team in 2008 ; the film was expected to begin shooting that year . The script appeared on the 2008 Brit List , a film - industry - compiled list of the best unproduced screenplays in British film . Ramsay 's partner Rory Stewart Kinnear also contributed to the final shooting script .   Christine Langan told the London Evening Standard in February 2010 that the long delay in production had been caused by BBC Films having difficulty funding the high budget ; Ramsay rewrote the script so the film could be made for a lower cost . The UK Film Council awarded £ 18,510 to the production from its development fund in the same month . Financial backing was also provided by Footprint Investments LLP , Caemhan Partnership LLP and Lipsync Productions , and production is in association with Artina Films and Forward Films .   Filming commenced on 19 April 2010 on location in Stamford , Connecticut , and concluded on 28 May 2010 . A key filming location was J.M. Wright Technical High School in Stamford . Jonny Greenwood of the band Radiohead composed the film 's score .   Release ( edit )   In October 2009 , IFC Films picked up the rights to international sales , and made pre-sales at the American Film Market . Artificial Eye distributed the film in the UK from 21 October 2011 . Oscilloscope Laboratories distributed the film theatrically in North America in the winter of 2011 .   The film premiered In Competition at the 2011 Cannes Film Festival , where it was met with praise from film critics .   We Need to Talk About Kevin opened in a limited release in North America in a single theater and grossed $24,587 , ranking 53rd at the box office . The film ended up earning $1,738,692 in America , and $5,754,934 internationally , for a total of $7,493,626 .   We Need to Talk About Kevin was released on Blu - ray and DVD on 29 May 2012 .   Reception ( edit )   Critical response ( edit )   We Need to Talk About Kevin received positive reviews . The film currently holds an approval rating of 76 % on Rotten Tomatoes ; the site 's consensus reads , `` We Need to Talk About Kevin is a masterful blend of drama and horror , with fantastic performances across the board ( Tilda Swinton especially , delivering one of her very best ) . '' On Metacritic , the film received a score of 68 out of 100 based on 37 critics , indicating `` generally favorable reviews . ''   Chicago Sun - Times critic Roger Ebert gave it 4 out of 4 stars and said , `` As a portrait of a deteriorating state of mind , We Need to Talk About Kevin is a masterful film . ''   British film critic Mark Kermode of BBC Radio 5 Live named We Need to Talk About Kevin as the Best Film of 2011 .   Richard Brody , in The New Yorker , wrote that it `` masquerades as a psychological puzzle but is essentially a horror film full of decorous sensationalism . '' He opined that the film exploited but did not explore the fascination that `` bad seed '' children exert .   Jake Martin , a Jesuit priest and movie critic , wrote in his review in Busted Halo that the film is not `` yet another installment in the pantheon of post-modern films intent upon assaulting the human desire to give meaning to the world . '' Instead , he says , `` We Need to Talk About Kevin in fact needs to be talked about , as what it is attempting to do by marrying the darkest , most nihilistic components of contemporary cinema with a redemptive message is groundbreaking . ''   Tilda Swinton was nominated for a number of acting awards , including a Golden Globe Award , Screen Actors Guild and BAFTA for Best Actress in a leading role . Her acting also received praise by film critic David Thomson in a review of the film for The New Republic .   Awards and nominations ( edit )     Award   Date of ceremony     Nominee ( s )   Result     Austin Film Critics Association     Best Actress   Tilda Swinton   Won     AACTA International Award   27 January 2012   Best Actress   Nominated     Best Direction   Lynne Ramsay     Best Film   Jennifer Fox , Luc Roeg , Bob Salerno     Best Screenplay   Lynne Ramsay , Rory Stewart Kinnear     BAFTA Award   12 February 2012   Best Director   Lynne Ramsay     Best Actress in a Leading Role   Tilda Swinton     Outstanding British Film   Jennifer Fox , Rory Stewart Kinnear , Lynne Ramsay , Luc Roeg , Robert Salerno     Bodil Award   16 March 2013   Best American Film   Lynne Ramsay     British Independent Film Award   4 December 2011   Best Director   Won     Best Actress   Tilda Swinton   Nominated     Best British Independent Film       Best Screenplay   Lynne Ramsay , Rory Stewart Kinnear     Best Supporting Actor   Ezra Miller     Best Technical Achievement ( for cinematography )   Seamus McGarvey     Cannes Film Festival   11 -- 22 May 2011   Palme d'Or   Lynne Ramsay     Critics ' Choice Movie Awards   12 January 2012   Best Actress   Tilda Swinton     Best Young Actor / Actress   Ezra Miller     Dallas - Fort Worth Film Critics Association   16 December 2011   Russell Smith Award   Lynne Ramsay   Won     Best Actress   Tilda Swinton   Nominated     European Film Award   3 December 2011   Best Actress   Won     Evening Standard British Film Award     Best Film   Lynne Ramsay     Best Actress   Tilda Swinton   Nominated     Best Technical Achievement ( for sound design )   Paul Davies     Flanders International Film Festival Ghent     Canvas Audience Award   Lynne Ramsay   Won     Grand Prix for Best Film   Nominated     Golden Globe Award   15 January 2012   Best Actress in a Motion Picture , Drama   Tilda Swinton     Irish Film &amp; Television Awards   11 February 2012   Best Director of Photography ( Film / TV Drama )   Seamus McGarvey   Won     Best International Actress   Tilda Swinton   Nominated     London Film Critics ' Circle   19 January 2012   British Film of the Year     Won     Actress of the Year   Tilda Swinton   Nominated     British Actress of the Year     Director of the Year   Lynne Ramsay     Technical Achievement ( for sound design )   Paul Davies     London Film Festival     Best Film   Lynne Ramsay   Won     National Board of Review of Motion Pictures     Best Actress   Tilda Swinton     Top Ten Independent Films       Online Film Critics Society Award   2 January 2012   Best Actress   Tilda Swinton     Best Editing   Joe Bini   Nominated     Best Adapted Screenplay   Lynne Ramsay , Rory Stewart Kinnear     Rembrandt Award     Best International Actress   Tilda Swinton     San Diego Film Critics Society   14 December 2011   Best Actress     San Francisco Film Critics Circle     Best Actress   Won     Screen Actors Guild Award   29 January 2012   Outstanding Performance by a Female Actor in a Leading Role   Nominated     Southeastern Film Critics Association   18 December 2011   Best Actress     Tallinn Black Nights Film Festival     Jury Prize : Best Director   Lynne Ramsay   Won     Washington D.C. Area Film Critics Association   5 December 2011   Best Actress   Tilda Swinton   Nominated     Writers ' Guild of Great Britain     Best Film Screenplay   Lynne Ramsay , Rory Stewart Kinnear   Won     References ( edit )    Jump up ^ `` We Need to Talk About Kevin ( 15 ) '' . British Board of Film Classification . 21 July 2011 . Retrieved 22 October 2016 .   Jump up ^ `` We Need to talk About Kevin running time , production dates , budget '' . MovieInsider.com . Retrieved 9 November 2011 .   Jump up ^ `` We Need to Talk About Kevin '' . The Numbers .   ^ Jump up to : Miller , Phil ( 14 September 2007 ) . `` Why does this author need to talk about filming Kevin ? '' . The Herald .   Jump up ^ McClintock , Paula ( 23 April 2010 ) . `` Ramsay rounds out ' Kevin ' cast '' . Variety . Reed Business Information . Retrieved 23 April 2010 .   Jump up ^ Arendt , Paul ( 6 June 2006 ) . `` Ramsay needs to shoot a film about Kevin '' . The Guardian . London : Guardian News &amp; Media . p. 21 ( G2 supplement ) .   Jump up ^ Kemp , Stuart ( 18 May 2008 ) . `` BBC Films has diverse slate '' . The Hollywood Reporter . Nielsen Business Media . Retrieved 18 May 2008 .   Jump up ^ Thomas , Archie ( 3 October 2008 ) . `` Brit List brings scripts to light '' . Variety . Reed Business Information .   Jump up ^ Burgeson , John ( 30 March 2010 ) . `` In Stratford , sweet love drowns out sour weather '' . CT Post . Hearst Newspapers .   Jump up ^ Curtis , Nick ( 19 February 2010 ) . `` The women behind the British film industry '' . London Evening Standard . ES London . p. 27 .   Jump up ^ `` Awards Database : We Need to Talk About Kevin '' . UK Film Council . Retrieved 25 February 2010 .   Jump up ^ Staff ( 23 April 2010 ) . `` '' We Need to talk About Kevin '' starts filming this week `` . HollywoodNews.com . Retrieved 24 April 2010 .   Jump up ^ Dawtrey , Adam ( 22 April 2010 ) . `` The welcome return of Lynne Ramsay '' . London : guardian.co.uk ( Guardian News &amp; Media ) . Retrieved 22 April 2010 .   Jump up ^ Dundas Wood , Mark ( 28 May 2010 ) . `` New York Production Listings '' . BackStage.com . Retrieved 30 May 2010 .   Jump up ^ O'Connell , A.J. ( 1 August 2010 ) . `` Hollywood East : On location in Connecticut '' . The Hour . The Hour Publishing Co . Retrieved 3 August 2010 .   Jump up ^ Kemp , Stuart ( 14 February 2011 ) . `` Radiohead 's Johny Greenwood to Score ' We Need to Talk About Kevin ' ( Berlin ) '' . The Hollywood Reporter . Retrieved 14 February 2011 .   Jump up ^ Kay , Jeremy ( 22 October 2009 ) . `` Independent boards We Need To Talk About Kevin for AFM '' . ScreenDaily.com ( Emap Media ) . Retrieved 22 October 2009 .   Jump up ^ `` We Need to Talk About Kevin : world exclusive trailer - video '' ( includes video clip ) . The Guardian . London . 12 August 2011 . Retrieved 12 August 2011 .   Jump up ^ `` Cannes Showstopper ' We Need to Talk About Kevin ' Picked up By Oscilloscope / Film '' . Slashfilm.com. 2011 - 05 - 24 . Retrieved 2011 - 12 - 23 .   Jump up ^ `` Festival de Cannes - From 16 to 27 may 2012 '' . Festival-cannes.com . Retrieved 2011 - 12 - 23 .   Jump up ^ `` BBC News - Cannes gets talking about British Kevin drama '' . bbc.co.uk. 2011 - 05 - 12 . Retrieved 2011 - 12 - 23 .   Jump up ^ We Need to Talk About Kevin at Box Office Mojo   Jump up ^ `` We Need To Talk About Kevin Blu - Ray Gets A US Release Date '' . Retrieved 2012 - 05 - 29 .   Jump up ^ We Need to Talk About Kevin at Rotten Tomatoes   Jump up ^ `` We Need to Talk About Kevin ( 2011 ) '' . Metacritic . Retrieved 7 August 2017 .   Jump up ^ Ebert , Roger ( 25 January 2012 ) . `` We Need to Talk About Kevin Movie Review ( 2012 ) '' . RogerEbert.com . Retrieved 25 May 2013 .   Jump up ^ Kermode , Mark ( 6 January 2012 ) . `` Eleven from Eleven '' . BBC Online . Retrieved 25 May 2013 .   Jump up ^ Brody , Richard ( November 2011 ) . `` We Need to Talk About Kevin '' . The New Yorker . Retrieved 10 June 2012 .   Jump up ^ Martin , Jake . `` We need to talk about We Need to Talk about Kevin '' . Busted Halo . Retrieved 2011 - 12 - 23 .   Jump up ^ Thomson , David ( 8 March 2012 ) . `` Thomson on Film : A Movie About a School Shooting That Ignores the Shooter '' . The New Republic . Retrieved 25 May 2013 .    External links ( edit )    Official website   We Need to Talk About Kevin on IMDb   We Need to Talk About Kevin at AllMovie   We Need to Talk About Kevin at Box Office Mojo   We Need to Talk About Kevin at Rotten Tomatoes   We Need to Talk About Kevin at Metacritic              Films directed by Lynne Ramsay       Ratcatcher ( 1999 )   Morvern Callar ( 2002 )   We Need to Talk About Kevin ( 2011 )   You Were Never Really Here ( 2017 )                 London Film Critics ' Circle British Film of the Year       Life Is Sweet ( 1991 )   Howards End ( 1992 )   The Remains of the Day ( 1993 )   Four Weddings and a Funeral ( 1994 )   The Madness of King George ( 1995 )   Secrets &amp; Lies ( 1996 )   The Full Monty ( 1997 )   Lock , Stock and Two Smoking Barrels ( 1998 )   East Is East ( 1999 )   Billy Elliot ( 2000 )   Gosford Park ( 2001 )   All or Nothing ( 2002 )   The Magdalene Sisters ( 2003 )   Vera Drake ( 2004 )   The Constant Gardener ( 2005 )   The Queen ( 2006 )   Control ( 2007 )   Slumdog Millionaire ( 2008 )   Fish Tank ( 2009 )   The King 's Speech ( 2010 )   We Need to Talk About Kevin ( 2011 )   Berberian Sound Studio ( 2012 )   The Selfish Giant ( 2013 )   Under the Skin ( 2014 )   45 Years ( 2015 )   I , Daniel Blake ( 2016 )   Dunkirk ( 2017 )      Retrieved from `` https://en.wikipedia.org/w/index.php?title=We_Need_to_Talk_About_Kevin_(film)&amp;oldid=835502481 '' Categories :   2011 films   English - language films   2010s drama films   2010s independent films   2010s psychological thriller films   American films   American independent films   American thriller films   American drama films   British films   British drama films   British independent films   British thriller films   Films about psychopaths   Films about dysfunctional families   Films directed by Lynne Ramsay   Patricide in fiction   Sororicide in fiction   Films based on American novels   Films shot in Connecticut   Films about school violence   Best Film , London Film Festival winners   Mass murder in films   Films scored by Jonny Greenwood   Hidden categories :   EngvarB from May 2016   Use dmy dates from May 2016   Film articles using image size parameter           Talk                                           Contents                   About Wikipedia                                           Wikiquote         Deutsch   Eesti   Español   فارسی   Français   Galego   </t>
    </r>
    <r>
      <rPr>
        <sz val="11"/>
        <color rgb="FF000000"/>
        <rFont val="Noto Sans CJK SC"/>
        <family val="2"/>
      </rPr>
      <t xml:space="preserve">한국어   </t>
    </r>
    <r>
      <rPr>
        <sz val="11"/>
        <color rgb="FF000000"/>
        <rFont val="Calibri"/>
        <family val="0"/>
        <charset val="1"/>
      </rPr>
      <t xml:space="preserve">Italiano   עברית   Magyar   </t>
    </r>
    <r>
      <rPr>
        <sz val="11"/>
        <color rgb="FF000000"/>
        <rFont val="Noto Sans CJK SC"/>
        <family val="2"/>
      </rPr>
      <t xml:space="preserve">日本 語   </t>
    </r>
    <r>
      <rPr>
        <sz val="11"/>
        <color rgb="FF000000"/>
        <rFont val="Calibri"/>
        <family val="0"/>
        <charset val="1"/>
      </rPr>
      <t xml:space="preserve">Norsk   Polski   Português   Русский   Simple English   Српски / srpski   Srpskohrvatski / српскохрватски   Suomi   Svenska   </t>
    </r>
    <r>
      <rPr>
        <sz val="11"/>
        <color rgb="FF000000"/>
        <rFont val="Noto Sans CJK SC"/>
        <family val="2"/>
      </rPr>
      <t xml:space="preserve">中文  </t>
    </r>
    <r>
      <rPr>
        <sz val="11"/>
        <color rgb="FF000000"/>
        <rFont val="Calibri"/>
        <family val="0"/>
        <charset val="1"/>
      </rPr>
      <t xml:space="preserve">13 more  Edit links   This page was last edited on 9 April 2018 , at 02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</si>
  <si>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kevin in we need to talk about kevin</t>
  </si>
  <si>
    <t xml:space="preserve">  Tilda Swinton as Eva Khatchadourian   John C. Reilly as Franklin Plaskett   Ezra Miller as Kevin Khatchadourian   Jasper Newell as young Kevin   Rocky Duer as infant Kevin     Ashley Gerasimovich as Celia Khatchadourian   Siobhan Fallon Hogan as Wanda   Alex Manette as Colin  </t>
  </si>
  <si>
    <t xml:space="preserve">Double - entry bookkeeping system - wikipedia  Double - entry bookkeeping system  Jump to : navigation , search      This article needs additional citations for verification . Please help improve this article by adding citations to reliable sources . Unsourced material may be challenged and removed . ( December 2013 ) ( Learn how and when to remove this template message )       Accounting           Historical cost   Constant purchasing power   Management   Tax       Major types ( show )   Auditing   Cost   Forensic   Financial   Fund   Governmental   Management   Social   Tax       Key concepts ( show )   Accounting period   Accrual   Constant purchasing power   Economic entity   Fair value   Going concern   Historical cost   Matching principle   Materiality   Revenue recognition   Unit of account       Selected accounts ( show )   Assets   Cash   Cost of goods sold   Depreciation / Amortization   Equity   Expenses   Goodwill   Liabilities   Profit   Revenue       Accounting standards ( show )   Generally - accepted principles   Generally - accepted auditing standards   Convergence   International Financial Reporting Standards   International Standards on Auditing   Management Accounting Principles       Financial statements ( show )   Annual report   Balance sheet   Cash - flow   Equity   Income   Management discussion   Notes to the financial statements       Bookkeeping ( show )   Bank reconciliation   Debits and credits   Double - entry system   FIFO and LIFO   Journal   Ledger / General ledger   T accounts   Trial balance       Auditing ( show )   Financial   Internal   Firms   Report       People and organizations ( show )   Accountants   Accounting organizations   Luca Pacioli       Development ( show )   History   Research   Positive accounting   Sarbanes -- Oxley Act       Business portal                 Double - entry bookkeeping , in accounting , is a system of bookkeeping so named because every entry to an account requires a corresponding and opposite entry to a different account . For instance , recording earnings of $100 would require making two entries : a debit entry of $100 to an account named `` Cash '' and a credit entry of $100 to an account named `` Revenue . ''   Deciding which account has to be debited and which account has to be credited is accomplished using the accounting equation which is expressed as , Assets = Equity + Liabilities ( \ displaystyle ( \ text ( Assets ) ) = ( \ text ( Equity ) ) + ( \ text ( Liabilities ) ) ) . This equation serves as an error detection tool ; if at any point the sum of debits for all accounts does not equal the corresponding sum of credits for all accounts , an error has occurred .   Double - entry bookkeeping is no guarantee that errors have not been made ; for example , the wrong ledger account may have been debited or credited , or the entries completely reversed .     Contents  ( hide )   1 History   2 Accounting entries   3 Approaches   3.1 The British approach   3.2 Accounting equation approach     4 Books of accounts   5 Debits and credits   6 Double entry example   6.1 Purchase invoice journal   6.2 Bank payments journal   6.3 Supplier ledger cards   6.3. 1 Sales / customers   6.3. 1.1 Sales daybook   6.3. 1.2 Customer ledger cards     6.3. 2 General ( nominal ) ledger   6.3. 2.1 Bank account   6.3. 2.2 Unadjusted trial balance   6.3. 2.3 Profit - and - loss statement and balance sheet         7 See also   8 Notes and references   9 Further reading   10 External links      History ( edit )  Main article : Accounting  The oldest record of a complete double - entry system is the Messari ( Italian : Treasurer 's ) accounts of the Republic of Genoa in 1340 . The Messari accounts contain debits and credits journalised in a bilateral form , and include balances carried forward from the preceding year , and therefore enjoy general recognition as a double - entry system . By the end of the 15th century , the bankers and merchants of Florence , Genoa , Venice and Lübeck used this system widely .   However , the double - entry accounting method was said to be developed independently earlier in Korea during the Goryeo dynasty ( 918 - 1392 ) when Kaesong was a center of trade and industry at that time . The Four - element bookkeeping system was said to be originated in the 11th or 12th century .   The earliest extant accounting records that follow the modern double - entry system in Europe come from Amatino Manucci , a Florentine merchant at the end of the 13th century . Manucci was employed by the Farolfi firm and the firm 's ledger of 1299 - 1300 evidences full double - entry bookkeeping . Giovannino Farolfi &amp; Company , a firm of Florentine merchants headquartered in Nîmes , acted as moneylenders to the Archbishop of Arles , their most important customer . Some sources suggest that Giovanni di Bicci de ' Medici introduced this method for the Medici bank in the 14th century .   Ragusan economist Benedetto Cotrugli 's 1458 treatise Della mercatura e del mercante perfetto contained the earliest known description of a double - entry bookkeeping system , but his manuscript was not officially published until 1573 .   Luca Pacioli , a Franciscan friar and collaborator of Leonardo da Vinci , first codified the system in his mathematics textbook Summa de arithmetica , geometria , proportioni et proportionalità published in Venice in 1494 . Pacioli is often called the `` father of accounting '' because he was the first to publish a detailed description of the double - entry system , thus enabling others to study and use it .   In pre-modern Europe , double - entry bookkeeping had theological and cosmological connotations , recalling `` both the scales of justice and the symmetry of God 's world '' .   Accounting entries ( edit )   In the double - entry accounting system , at least two accounting entries are required to record each financial transaction . These entries may occur in asset , liability , equity , expense , or revenue accounts . Recording of a debit amount to one or more accounts and an equal credit amount to one or more accounts results in total debits being equal to total credits for all accounts in the general ledger . If the accounting entries are recorded without error , the aggregate balance of all accounts having Debit balances will be equal to the aggregate balance of all accounts having Credit balances . Accounting entries that debit and credit related accounts typically include the same date and identifying code in both accounts , so that in case of error , each debit and credit can be traced back to a journal and transaction source document , thus preserving an audit trail . The rules for formulating accounting entries are known as `` Golden Rules of Accounting '' . The accounting entries are recorded in the `` Books of Accounts '' . Regardless of which accounts and how many are impacted by a given transaction , the fundamental accounting equation of assets equal liabilities plus capital will hold .   Approaches ( edit )   There are two different ways to memorize the effects of debits and credits on accounts in the double entry system of bookkeeping . They are the Traditional Approach and the Accounting Equation Approach . Irrespective of the approach used , the effect on the books of accounts remains the same , with two aspects ( debit and credit ) in each of the transactions .   The British approach ( edit )   Following the British approach ( also called the traditional approach ) accounts are classified as real , personal , and nominal accounts . Real accounts are accounts relating to assets and liabilities including the capital account of the owners . Personal accounts are accounts relating to persons or organisations with whom the business has transactions and will mainly consist of accounts of debtors and creditors . Nominal accounts are revenue , expenses , gains , and losses . Transactions are entered in the books of accounts by applying the following golden rules of accounting :    Real account : Debit what comes in and credit what goes out   Personal account : Debit the receiver and credit the giver   Nominal account : Debit all expenses &amp; losses and credit all incomes &amp; gains    Accounting equation approach ( edit )   This approach is also called the American approach . Under this approach transactions are recorded based on the accounting equation , i.e. , Assets = Liabilities + Capital . The accounting equation is a statement of equality between the debits and the credits . The rules of debit and credit depend on the nature of an account . For the purpose of the accounting equation approach , all the accounts are classified into the following five types : assets , liabilities , income / revenues , expenses , or capital gains / losses .   If there is an increase or decrease in one account , there will be equal decrease or increase in another account . There may be equal increases to both accounts , depending on what kind of accounts they are . There may also be equal decreases to both accounts . Accordingly , the following rules of debit and credit in respect to the various categories of accounts can be obtained . The rules may be summarised as below :    Assets Accounts : debit entry represents an increase in assets and a credit entry represents a decrease in assets   Capital Account : credit entry represents an increase in capital and a debit entry represents a decrease in capital   Liabilities Accounts : credit entry represents an increase in liabilities and a debit entry represents a decrease in liabilities   Revenues or Incomes Accounts : credit entry represents an increase in incomes and gains , and debit entry represents a decrease in incomes and gains   Expenses or Losses Accounts : debit entry represents an increase in expenses and losses , and credit entry represents a decrease in expenses and losses    These five rules help learning about accounting entries and also are comparable with traditional ( British ) accounting rules .   Books of accounts ( edit )       This section does not cite any sources . Please help improve this section by adding citations to reliable sources . Unsourced material may be challenged and removed . ( October 2014 ) ( Learn how and when to remove this template message )     Each financial transaction is recorded in at least two different nominal ledger accounts within the financial accounting system , so that the total debits equals the total credits in the General Ledger , i.e. the accounts balance . This is a partial check that each and every transaction has been correctly recorded . The transaction is recorded as a `` debit entry '' ( Dr ) in one account , and a `` credit entry '' ( Cr ) in a second account . The debit entry will be recorded on the debit side ( left - hand side ) of a General ledger account , and the credit entry will be recorded on the credit side ( right - hand side ) of a General ledger account . If the total of the entries on the debit side of one account is greater than the total on the credit side of the same nominal account , that account is said to have a debit balance .   Double entry is used only in nominal ledgers . It is not used in daybooks ( journals ) , which normally do not form part of the nominal ledger system . The information from the daybooks will be used in the nominal ledger and it is the nominal ledgers that will ensure the integrity of the resulting financial information created from the daybooks ( provided that the information recorded in the daybooks is correct ) .   The reason for this is to limit the number of entries in the nominal ledger : entries in the daybooks can be totalled before they are entered in the nominal ledger . If there are only a relatively small number of transactions it may be simpler instead to treat the daybooks as an integral part of the nominal ledger and thus of the double - entry system .   However , as can be seen from the examples of daybooks shown below , it is still necessary to check , within each daybook , that the postings from the daybook balance .   The double entry system uses nominal ledger accounts . From these nominal ledger accounts a trial balance can be created . The trial balance lists all the nominal ledger account balances . The list is split into two columns , with debit balances placed in the left hand column and credit balances placed in the right hand column . Another column will contain the name of the nominal ledger account describing what each value is for . The total of the debit column must equal the total of the credit column .   Debits and credits ( edit )  Main article : Debits and credits      This section does not cite any sources . Please help improve this section by adding citations to reliable sources . Unsourced material may be challenged and removed . ( October 2014 ) ( Learn how and when to remove this template message )     Double - entry bookkeeping is governed by the accounting equation . If revenue equals expenses , the following ( basic ) equation must be true :    assets = liabilities + equity    For the accounts to remain in balance , a change in one account must be matched with a change in another account . These changes are made by debits and credits to the accounts . Note that the usage of these terms in accounting is not identical to their everyday usage . Whether one uses a debit or credit to increase or decrease an account depends on the normal balance of the account . Assets , Expenses , and Drawings accounts ( on the left side of the equation ) have a normal balance of debit . Liability , Revenue , and Capital accounts ( on the right side of the equation ) have a normal balance of credit . On a general ledger , debits are recorded on the left side and credits on the right side for each account . Since the accounts must always balance , for each transaction there will be a debit made to one or several accounts and a credit made to one or several accounts . The sum of all debits made in each day 's transactions must equal the sum of all credits in those transactions . After a series of transactions , therefore , the sum of all the accounts with a debit balance will equal the sum of all the accounts with a credit balance .   Debits and credits are numbers recorded as follows :    Debits are recorded on the left side of a T account in a ledger . Debits increase balances in asset accounts and expense accounts and decrease balances in liability accounts , revenue accounts , and capital accounts .   Credits are recorded on the right side of a T account in a ledger . Credits increase balances in liability accounts , revenue accounts , and capital accounts , and decrease balances in asset accounts and expense accounts .   Debit accounts are asset and expense accounts that usually have debit balances , i.e. the total debits usually exceeds the total credits in each debit account .   Credit accounts are revenue ( income , gains ) accounts and liability accounts that usually have credit balances .        Debit   Credit     Asset   Increase   Decrease     Liability   Decrease   Increase     Income ( revenue )   Decrease   Increase     Expense   Increase   Decrease     Capital   Decrease   Increase     The mnemonic DEADCLIC is used to help remember the effect of debit or credit transactions on the relevant accounts . DEAD : Debit to increase Expense , Asset and Drawing accounts and CLIC : Credit to increase Liability , Income and Capital accounts .   The account types are related as follows : current equity = sum of equity changes across time ( increases on the left side are debits , and increases on the right side are credits , and vice versa for decreases ) current equity = Assets - Liabilities sum of equity changes across time = owner 's investment ( Capital above ) + Revenues - Expenses   Double entry example ( edit )       This section contains instructions , advice , or how - to content . The purpose of Wikipedia is to present facts , not to train . Please help improve this article either by rewriting the how - to content or by moving it to Wikiversity , Wikibooks or Wikivoyage . ( October 2014 )     In this example the following will be used :   Books of prime entry ( Books of original entry ) , also known as journals    Sales Invoice Journal ( records customer invoices )   Bank Receipts Journal ( records customer &amp; non customer receipts )   Cash Journal / Sales Journal   Return inwards Journal   Return outwards Journal   Purchase Invoice Journal ( records supplier invoices )   Bank Payments Journal ( records supplier &amp; non supplier payments )    The books of prime entry are where transactions are first recorded . They are not part of the double - entry system , but may be expanded by the computer as a debit to one account and a credit to another account . For example , a cash receipts transaction may cause a debit ( increase ) to a cash account and a credit ( decrease ) to an accounts receivable account .   Ledger Cards    Customer Ledger Cards   Supplier Ledger Cards   General Ledger ( Nominal Ledger )   Bank Account Ledger   Trade Creditors Ledger   Trade Debtors Ledger    Purchase invoice journal ( edit )   Purchase Invoice Journal   Date   Supplier Name   Reference   Amount   Electricity   Widgets     10 July 2014   Electricity Company   9005   1000   1000       12 July 2014   Widget Company   156   1600     1600           -- -- -- -   -- -- -- -   -- -- -- -         Total   2600   1000   1600           = = = =   = = = =   = = = =           Credit   Debit   Debit           Trade   Electricity   Widgets           control a / c   a / c   a / c     Each individual line is posted as follows :    The amount value is posted as a credit to the individual supplier 's ledger a / c ( a / c means `` Account Code '' )   The analysis amount is posted as a debit to the relevant general ledger a / c    From example above :    Line 1 -- Amount value 1000 is posted as a credit to the Supplier 's ledger a / c ELE01 - Electricity Company   Line 2 -- Amount value 1600 is posted as a credit to the Supplier 's ledger a / c WID01 - Widget Company    The totals of each column are posted as follows :    Amount total value 2600 posted as a credit to the Trade creditors control a / c   Electricity total value 1000 posted as a debit to the Electricity General Ledger a / c   Widget total value 1600 posted as a debit to the Widgets General Ledger a / c    Double - entry has been observed because Dr = 2600 and Cr = 2600 .    Dr = 2600 and Cr = 2600 .    Bank payments journal ( edit )   The payments book is not part of the double - entry system .   Bank Payments Journal   Date   Supplier Name   Reference   Amount   Suppliers   Wages     17 July 2014   Electricity Company   701   1000   1000       19 July 2014   Widget Company   702   900   900       28 July 2014   Owner 's Wages   703   400     400           -- -- -- -   -- -- -- -   -- -- -- -         Total   2300   1900   400           = = = =   = = = =   = = = =           Credit   Debit   Debit           Bank   Trade   Wages           Account   Creditors   control a / c             control a / c       Keys : PI = Purchase Invoice , BP = Bank Payment   Each individual line is posted as follows :    The amount value is posted as a debit to the individual supplier 's ledger a / c .   The analysis amount is posted as a credit to the relevant general ledger a / c .    From example above :    Line 1 -- Amount value 1000 is posted as a debit to the Supplier 's ledger a / c ELE01 - Electricity Company .   Line 2 -- Amount value 900 is posted as a debit to the Supplier 's ledger a / c WID01 - Widget Company .    The totals of each column are posted as follows :    Amount total value 2300 posted as a credit to the Bank Account .   Trade Creditors total value 1900 posted as a debit to the Trade creditors control a / c .   Other total value 400 posted as a debit to the Wages control a / c .    Double - entry has been observed because Dr = 2300 and Cr = 2300 .   The daybooks are the key documents ( books ) to the double entry system . From these daybooks we create the ledger accounts . Each transaction will be recorded in at least two ledger accounts .   Supplier ledger cards ( edit )   Supplier Ledger Cards   A / c Code : ELE01 -- Electricity Company     Date   Details   Reference   Amount   Date   Details   Reference   Amount     17 July 2014   Bank Payment 701   BPDB1   1000   10 July 2014   Purchase Invoice 9005   PDB1   1000     31 July 2014   Balance   c / d   0                   -- -- -- -         -- -- -- -           1000         1000           = = = =         = = = =             1 August 2014   Balance   b / d   0     A / c Code : WID01 -- Widget Company     Date   Details   Reference   Amount   Date   Details   Reference   Amount     19 July 2014   Bank Payment 702   BPDB1   900   12 July 2014   Purchase Invoice 156   PDB1   1600     31 July 2014   Balance   c / d   700                   -- -- -- -         -- -- -- -           1600         1600           = = = =         = = = =             1 August 2014   Balance   b / d   700    Sales / customers ( edit ) Sales daybook ( edit )  Sales Invoice Daybook   Date   Customer Name   Reference   Amount   Parts   Service     2 July 2014   JJ Manufacturing   SI1   2500   2500       29 July 2014   JJ Manufacturing   SI2   3200     3200           -- -- -- -   -- -- -- -   -- -- -- -         Total   5700   2500   3200           = = = =   = = = =   = = = =           Debit   Credit   Credit           Trade   Sales   Sales           debtors   Parts   Service           control a / c   a / c   a / c     Each individual line is posted as follows :    The amount value is posted as a debit to the individual customer 's ledger a / c .   The analysis amount is posted as a credit to the relevant general ledger a / c .    From example above :    Line 1 -- Amount value 2500 is posted as a debit to the Customer 's ledger a / c JJM01 - JJ Manufacturing .   Line 2 -- Amount value 3200 is posted as a debit to the Customer 's ledger a / c JJM01 - JJ Manufacturing .    The totals of each column are posted as follows :    Amount total value 5700 posted as a debit to the Trade debtors control a / c .   Sales - parts total value 2500 posted as a credit to the Sales parts a / c .   Sales - service total value 3200 posted as a credit to the Sales service a / c .    Double - entry has been observed because Dr = 5700 and Cr = 5700 .  Customer ledger cards ( edit )  Customer Ledger cards are not part of the Double - entry system . They are for memorandum purposes only . They allow you to know the total amount an individual customer owes you .   CUSTOMER LEDGER CARDS   A / c Code : JJM01 -- JJ Manufacturing     Date   Details   Reference   Amount   Date   Details   Reference   Amount     2 July 2014   Sales invoice daybook   SI1   2500   20 July 2014   Bank receipts daybook   BR1   2500     29 July 2014   Sales invoice daybook   SI2   3200   31 July 2014   Balance   c / d   3200           -- -- -- -         -- -- -- -           5700         5700           = = = =         = = = =     1 August 2014   Balance   b / d   3200            General ( nominal ) ledger ( edit )  GENERAL ( NOMINAL ) LEDGER   Sales parts     Date   Details   Reference   Amount   Date   Details   Reference   Amount     31 July 2014   Balance   c / d   2500   31 July 2014   Sales invoice daybook   SDB1   2500           -- -- -- -         -- -- -- -           2500         2500           = = = =         = = = =             1 August 2014   Balance   b / d   2500     Sales service     Date   Details   Reference   Amount   Date   Details   Reference   Amount     31 July 2014   Balance   c / d   3200   31 July 2014   Sales invoice daybook   SDB1   3200           -- -- -- -         -- -- -- -           3200         3200           = = = =         = = = =             1 August 2014   Balance   b / d   3200     Electricity     Date   Details   Reference   Amount   Date   Details   Reference   Amount     31 July 2014   Purchases Daybook   PDB1   1000   31 July 2014   Balance   c / d   1000           -- -- -- -         -- -- -- -           1000         1000           = = = =         = = = =     1 August 2014   Balance   b / d   1000             Widgets     Date   Details   Reference   Amount   Date   Details   Reference   Amount     31 July 2014   Purchases Daybook   PDB1   1600   31 July 2014   Balance   c / d   1600           -- -- -- -         -- -- -- -           1600         1600           = = = =         = = = =     1 August 2014   Balance   b / d   1600             Other a / c     Date   Details   Reference   Amount   Date   Details   Reference   Amount     31 July 2014   Bank payments daybook   BPDB1   400   31 July 2014   Balance   c / d   400           -- -- -- -         -- -- -- -           400         400           = = = =         = = = =     1 August 2014   Balance   b / d   400             Bank Control A / c     Date   Details   Reference   Amount   Date   Details   Reference   Amount     31 July 2014   Bank receipts daybook   BRDB1   2500   31 July 2014   Bank payments daybook   BPDB1   2300             31 July 2014   Balance   c / d   200           -- -- -- -         -- -- -- -           2500         2500           = = = =         = = = =     1 August 2014   Balance   b / d   200             Trade Debtors Control A / c     Date   Details   Reference   Amount   Date   Details   Reference   Amount     1 July 2014   Balance   b / d   0   31 July 2014   Bank receipts daybook   BRDB1   2500     31 July 2014   Sales Invoice Daybook   SDB1   5700   31 July 2014   Balance   c / d   3200           -- -- -- -         -- -- -- -           5700         5700           = = = =         = = = =     1 August 2014   Balance   b / d   3200             Trade Creditors Control A / c     Date   Details   Reference   Amount   Date   Details   Reference   Amount     31 July 2014   Bank Payments Daybook   BPDB1   1900   1 July 2014   Balance   b / d   0     31 July 2014   Balance   c / d   700   31 July 2014   Purchase Daybook   PDB1   2600           -- -- -- -         -- -- -- -           2600         2600           = = = =         = = = =             1 August 2014   Balance   b / d   700     SDB1 ; Sales Invoices Daybook Page 1 PDB1 ; Purchase Invoices Daybook Page 1 BPDB1 ; Bank Payments Daybook Page 1 BRDB1 ; Bank Receipts Daybook Page 1   The customers ledger cards shows the breakdown of how the trade debtors control a / c is made up . The trade debtors control a / c is the total of outstanding debtors and the customer ledger cards shows the amount due for each individual customer . The total of each individual customer account added together should equal the total in the trade debtors control a / c .   The supplier ledger cards shows the breakdown of how the trade creditors control a / c is made up . The trade creditors control a / c is the total of outstanding creditors and the suppliers ledger cards shows the amount due for each individual supplier . The total of each individual supplier account added together should equal the total in the trade creditors control a / c .   Each Bank a / c shows all the total money in and out through a bank . If you have more than one bank account for your company you will have to maintain separate bank account ledgers in order to complete bank reconciliation statements and be able to see how much is left in each account .  Bank account ( edit )    Bank A / c     Date   Details   Reference   Amount   Date   Details   Reference   Amount     31 July 2014   Bank Receipts Day Book   BRDB1   2500   31 July 2014   Bank Payments Daybook   BPDB1   2300             31 July 2014   Balance   c / d   200           -- -- -- -         -- -- -- -           2500         2500           = = = =         = = = =     1 August 2014   Balance   b / d   200            Unadjusted trial balance ( edit )    Trial balance as at 31 July 2016     A / c description   Debit   Credit     Sales - parts     2500     Sales - service     3200     Widgets   1600       Electricity   1000       Other   400       Bank   200       Trade Debtors Control A / c   3200       Trade Creditors Control A / c     700       -- -- -- -   -- -- -- -       6400   6400       = = = = =   = = = = =     Both sides must have the same overall total     Debits = Credits .     The individual customer accounts are not to be listed in the trial balance , as the Trade debtors control a / c is the summary of each individual customer a / c .   The individual supplier accounts are not to be listed in the trial balance , as the Trade creditors control a / c is the summary of each individual supplier a / c .   Important note : this example is designed to show double entry . There are methods of creating a trial balance that significantly reduce the time it takes to record entries in the general ledger and trial balance .  Profit - and - loss statement and balance sheet ( edit )  Profit and loss statement   for the month ending 31 July 2014         Dr     x   Sales       x   Sales - parts   2500     x   Sales - service   3200     x     -- -- -- -     x     5700     x   Less Cost of Widgets   ( 1600 )     x     -- -- -- -     x   Gross Profit   4100     x   Expenses :       x   Electricity   1000     x   Other   400     x     -- -- -- -     x   Less expenses   ( 1400 )     x     -- -- -- -     x   Net Profit   2700     x     = = = =     Balance sheet   as at 31 July 2014           Dr     x   Current Assets         x   Bank A / c     200     x   Trade Debtors     3200     x       -- -- -- -     x     Assets   3400     x   Current Liabilities         x   Trade Creditors     700     x       -- -- -- -     x     Less Liabilities   ( 700 )     x       -- -- -- -     x     Net Current Assets   2700     x       = = = =     x   Capital &amp; Reserves         x   Revenue Reserves a / c     2700     x       -- -- -- -     x       2700     x       = = = =     See also ( edit )    Nostro and vostro accounts   Single - entry bookkeeping system   Momentum accounting and triple - entry bookkeeping    Notes and references ( edit )    Jump up ^ Lauwers , Luc ; Willekens , Marleen ( 1994 ) . `` Five Hundred Years of Bookkeeping : A Portrait of Luca Pacioli '' ( PDF ) . Tijdschrift voor Economie en Management . Katholieke Universiteit Leuven. 39 ( 3 ) : 289 -- 304 ( p. 300 ) . ISSN 0772 - 7674 .   Jump up ^ http://sjeas.skku.edu/upload/200707/87-114Owen%20Miller.PDF   Jump up ^ Financial Reporting in the Pacific Asia Region edited by Ronald Ma   Jump up ^ A Global History of Accounting , Financial Reporting and Public Policy : Asia ... By Gary John Previts , Peter Wolnizer   Jump up ^ Lee , Geoffrey A. ( 1977 ) . `` The Coming of Age of Double Entry : The Giovanni Farolfi Ledger of 1299 - 1300 '' . Accounting Historians Journal . 4 ( 2 ) : 79 -- 95 . JSTOR 40697544 .   Jump up ^ Lee ( 1977 ) , p. 80 .   Jump up ^ Zubrinic , Darko . `` History of Croatian '' . Retrieved 26 December 2016 .   Jump up ^ `` SIESC Croatia 2 '' . Retrieved 26 December 2016 .   Jump up ^ Luca Pacioli : The Father of Accounting Archived 18 August 2011 at the Wayback Machine .   Jump up ^ `` Internet , televisie , vast bellen en mobiel met 4G netwerk - KPN '' . Retrieved 26 December 2016 .   Jump up ^ Livio , Mario ( 2002 ) . The Golden Ratio . New York : Broadway Books . pp. 130 -- 131 . ISBN 0 - 7679 - 0816 - 3 .   Jump up ^ Poovey , Mary ( 1998 ) . A History of the Modern Fact : Problems of Knowledge in the Sciences of Wealth and Society . University of Chicago Press . p. 54 . ISBN 9780226675268 . Retrieved 2014 - 08 - 07 . In the late sixteenth - century ( ... ) number still carried the pejorative connotations associated with necromancy ( ... ) . ( ... ) ( D ) ouble - entry bookkeeping helped confer cultural authority on numbers . It did so by means of the balance ( ... ) . For late sixteenth - century readers , the balance conjured up both the scales of justice and the symmetry of God 's world .   Jump up ^ `` Three Golden Rules of Accounting with Examples '' . 23 September 2015 . Retrieved 26 December 2016 .   ^ Jump up to : Rajasekaran V. ( 1 September 2011 ) . Financial Accounting . Pearson Education India . pp. 54 -- . ISBN 978 - 81 - 317 - 3180 - 2 . Retrieved 7 April 2012 .   Jump up ^ Accountancy : Higher Secondary First Year ( PDF ) ( First ed . ) . Tamil Nadu Textbooks Corporation . 2004 . pp. 28 -- 34 . Retrieved 12 July 2011 .   Jump up ^ Edward M. Hyans ( 1916 ) . Theory of accounts for accountant students . Universal Business Institute , Inc . pp. 17 -- . Retrieved 7 April 2012 .    Further reading ( edit )    Gleeson - White , Jane ( November 2011 ) . Double Entry . Allen &amp; Unwin . ISBN 978 - 1 - 74175 - 755 - 2 .   Soll , Jacob ( April 2014 ) . The Reckoning : Financial A</t>
  </si>
  <si>
    <t xml:space="preserve">what do you mean by double entry system of accounting</t>
  </si>
  <si>
    <t xml:space="preserve"> Double - entry bookkeeping , in accounting , is a system of bookkeeping so named because every entry to an account requires a corresponding and opposite entry to a different account . For instance , recording earnings of $100 would require making two entries : a debit entry of $100 to an account named `` Cash '' and a credit entry of $100 to an account named `` Revenue . '' </t>
  </si>
  <si>
    <t xml:space="preserve">Estates of the realm - wikipedia  Estates of the realm  Jump to : navigation , search      It has been suggested that The Estates be merged into this article . ( Discuss ) Proposed since September 2017 .    This article is about the medieval European concept of social hierarchy . For the modern concept of partitioning the government , see Separation of powers . A 13th century French representation of the tripartite social order of the middle ages -- Oratores : `` those who pray '' , Bellatores : `` those who fight '' , and Laboratores : `` those who work '' .  The estates of the realm , or three estates , were the broad orders of social hierarchy used in Christendom ( Christian Europe ) from the medieval period to early modern Europe . Different systems for dividing society members into estates developed and evolved over time .   The best known system is the French Ancien Régime ( Old Regime ) , a three - estate system used until the French Revolution ( 1789 -- 1799 ) . Monarchy was for the king and the queen and this system was made up of clergy ( the First Estate ) , nobles ( the Second Estate ) , and peasants and bourgeoisie ( the Third Estate ) . In some regions , notably Scandinavia and Russia , burghers ( the urban merchant class ) and rural commoners were split into separate estates , creating a four - estate system with rural commoners ranking the lowest as the Fourth Estate . Furthermore , the non-landowning poor could be left outside the estates , leaving them without political rights . In England , a two - estate system evolved that combined nobility and bishops into one lordly estate with `` commons '' as the second estate . This system produced the two houses of parliament , the House of Commons and the House of Lords . In southern Germany , a three - estate system of nobility ( princes and high clergy ) , ritters ( knights ) , and burghers was used .   Today the terms three estates and estates of the realm may sometimes be re-interpreted to refer to the modern separation of powers in government into the legislature , administration , and the judiciary . Additionally the term fourth estate usually refers to forces outside the established power structure ( evoking medieval three - estate systems ) , most commonly in reference to the independent press or media . Historically , in Northern and Eastern Europe , the Fourth Estate meant rural commoners .     Contents  ( hide )   1 Social immobility   2 Dynamics   3 Background   4 Kingdom of France   4.1 First Estate   4.2 Second Estate   4.3 Third Estate   4.4 Estates General     5 United Kingdom   5.1 Scotland     6 Sweden and Finland   7 Low Countries   8 Holy Roman Empire   9 Russian Empire   10 Catalonia   11 See also   12 Notes   13 References      Social immobility ( edit )   During the Middle Ages , advancing to different social classes was uncommon and very difficult .   The medieval Church was an institution where social mobility was most likely up to a certain level ( generally to that of vicar general or abbot / abbess for commoners ) . Typically , only nobility were appointed to the highest church positions ( bishops , archbishops , heads of religious orders , etc . ) , although low nobility could aspire to the highest church positions . Since clergy could not marry , such mobility was theoretically limited to one generation . Nepotism was common in this period .   Another possible way to rise in social position was due to exceptional military or commercial success . Such families were rare and their rise to nobility required royal patronage at some point . However , because noble lines went extinct naturally , some number of ennoblements was necessary .   Dynamics ( edit )   `` Medieval political speculation is imbued to the marrow with the idea of a structure of society based upon distinct orders , '' Johan Huizinga observes . The virtually synonymous terms estate and order designated a great variety of social realities , not at all limited to a class , Huizinga concluded applying to every social function , every trade , every recognisable grouping .   There are , first of all , the estates of the realm , but there are also the trades , the state of matrimony and that of virginity , the state of sin . At court there are the ' four estates of the body and mouth ' : bread - masters , cup - bearers , carvers , and cooks . In the Church there are sacerdotal orders and monastic orders . Finally there are the different orders of chivalry .   This static view of society was predicated on inherited positions . Commoners were universally considered the lowest order . The higher estates ' necessary dependency on the commoners ' production , however , often further divided the otherwise equal common people into burghers ( also known as bourgeoisie ) of the realm 's cities and towns , and the peasants and serfs of the realm 's surrounding lands and villages . A person 's estate and position within it were usually inherited from the father and his occupation , similar to a caste within that system . In many regions and realms there also existed population groups born outside these specifically defined resident estates .   Legislative bodies or advisory bodies to a monarch were traditionally grouped along lines of these estates , with the monarch above all three estates . Meetings of the estates of the realm became early legislative and judicial parliaments . Monarchs often sought to legitimize their power by requiring oaths of fealty from the estates . Today , in most countries , the estates have lost all their legal privileges , and are mainly of historical interest . The nobility may be an exception , for instance due to legislation against false titles of nobility ; similarly British government well maintains the distinction - witness its House of Lords , and the House of Commons .   One of the earliest political pamphlets to address these ideas was called `` What Is the Third Estate ? '' ( French : Qu'est - ce que le tiers - état ? ) It was written by Abbé Emmanuel Joseph Sieyès in January 1789 , shortly before the start of the French Revolution .   Background ( edit )   After the fall of the Western Roman Empire , numerous geographic and ethnic kingdoms developed among the endemic peoples of Europe , affecting their day - to - day secular lives ; along with those , the growing influence of the Catholic Church and its Papacy affected the ethical , moral and religious lives and decisions of all . This led to mutual dependency between the secular and religious powers for guidance and protection , but over time and with the growing power of the kingdoms , competing secular realities increasingly diverged from religious idealism and Church decisions .   The new lords of the land identified themselves primarily as warriors , but because new technologies of warfare were expensive , and the fighting men required substantial material resources and considerable leisure to train , these needs had to be filled . The economic and political transformation of the countryside in the period were filled by a large growth in population , agricultural production , technological innovations and urban centers ; movements of reform and renewal attempted to sharpen the distinction between clerical and lay status , and power , recognized by the Church also had their effect .   In his book The Three Orders : Feudal Society Imagined , the French medievalist Georges Duby has shown that in the period 1023 - 1025 the first theorist who justified the division of European society into the three estates of the realm was Gerard of Florennes , the bishop of Cambrai .   As a result of the Investiture Controversy of the late 11th and early 12th centuries , the powerful office of Holy Roman Emperor lost much of its religious character and retained a more nominal universal preeminence over other rulers , though it varied . The struggle over investiture and the reform movement also legitimized all secular authorities , partly on the grounds of their obligation to enforce discipline .   In the 11th and 12th centuries thinkers argued that human society consisted of three orders : those who pray , those who fight , and those who labour . The structure of the first order , the clergy , was in place by 1200 and remained singly intact until the religious reformations of the 16th century . The very general category of those who labour ( specifically , those who were not knightly warriors or nobles ) diversified rapidly after the 11th century into the lively and energetic worlds of peasants , skilled artisans , merchants , financiers , lay professionals , and entrepreneurs , which together drove the European economy to its greatest achievements . The second order , those who fight , was the rank of the politically powerful , ambitious , and dangerous . Kings took pains to ensure that it did not resist their authority .   By the 12th century , most European political thinkers agreed that monarchy was the ideal form of governance . This was because it imitated on earth the model set by God for the universe ; it was the form of government of the ancient Hebrews and the Christian Biblical basis , the later Roman Empire , and also the peoples who succeeded Rome after the 4th century .   Kingdom of France ( edit )  Main article : Ancien Régime in France  France under the Ancien Régime ( before the French Revolution ) divided society into three estates : the First Estate ( clergy ) ; the Second Estate ( nobility ) ; and the Third Estate ( commoners ) . The king was considered part of no estate .  The First Estate ( Fr . premier état ) was the clergy .  First Estate ( edit )   The First Estate comprised the entire clergy , traditionally divided into `` higher '' and `` lower '' clergy . Although there was no formal demarcation between the two categories , the upper clergy were , effectively , clerical nobility , from the families of the Second Estate . In the time of Louis XVI , every bishop in France was a nobleman , a situation that had not existed before the 18th century .   At the other extreme , the `` lower clergy '' ( about equally divided between parish priests and monks and nuns ) constituted about 90 percent of the First Estate , which in 1789 numbered around 130,000 ( about 0.5 % of the population ) .   Second Estate ( edit )   The Second Estate ( Fr . deuxieme état ) was the French nobility and ( technically , though not in common use ) royalty , other than the monarch himself , who stood outside of the system of estates .   The Second Estate is traditionally divided into noblesse d'épée ( `` nobility of the sword '' ) , and noblesse de robe ( `` nobility of the robe '' ) , the magisterial class that administered royal justice and civil government .   The Second Estate constituted approximately 1.5 % of France 's population . Under the ancien régime ( `` old rule / old government '' ) , the Second Estate were exempt from the corvée royale ( forced labour on the roads ) and from most other forms of taxation such as the gabelle ( salt tax ) and most important , the taille ( the oldest form of direct taxation ) . This exemption from paying taxes led to their reluctance to reform .   Third Estate ( edit )         Kingdom of France     Structure       Estates of the realm   Parlements   French nobility   Taille   Gabelle   Seigneurial system                   The Third Estate comprised all of those who were not members of the above and can be divided into two groups , urban and rural , together making up 98 % of France 's population . The urban included wage - labourers . The rural included free peasants ( who owned their own land ) who could be prosperous and villeins ( serfs , or peasants working on a noble 's land ) . The free peasants paid disproportionately high taxes compared to the other Estates and were unhappy because they wanted more rights . In addition , the First and Second Estates relied on the labour of the Third , which made the latter 's unequal status all the more glaring .   There were an estimated 27 million people in the Third Estate when the French Revolution started .   They had the hard life of physical labour and food shortages . Most were born within this group and died as a part of it , too . It was extremely rare for people of this ascribed status to make it out into another estate . Those who did so managed as a result of either being recognized for their extraordinary bravery in a battle or entering religious life . A few commoners were able to marry into the second estate , but this was a rare occurrence .   Estates General ( edit )  Main articles : French Estates General and Estates General of 1789  The first Estates General ( not to be confused with a `` class of citizen '' ) was actually a general citizen assembly that was called by Philip IV in 1302 .   In the period leading up to the Estates General of 1789 , France was in the grip of an unmanageable public debt ( nearly 3.56 million livres ) . In May 1776 , finance minister Turgot was dismissed , after failing to enact reforms . The next year , Jacques Necker , a foreigner , was appointed Comptroller - General of Finance . He could not be made an official minister because he was a Protestant . ) , terrible inflation and widespread food scarcity ( a huge famine in the winter of 1788 - 89 ) . This led to widespread popular discontent and produced a group of Third Estate representatives ( 612 exactly ) pressing a comparatively radical set of reforms , much of it in alignment with the goals of Finance Minister Jacques Necker , but very much against the wishes of Louis XVI 's court and many of the hereditary nobles forming his Second Estate allies ( at least allies against taking more taxes upon themselves and keeping the unequal taxation on the commoners ) .   When he could not persuade them to rubber - stamp his ' ideal program ' , Louis XVI sought to dissolve the Estates - General , but the Third Estate held out for their right to representation . The lower clergy ( and some nobles and upper clergy ) eventually sided with the Third Estate , and the King was forced to yield . Thus , the Estate - General meeting was an invitation to revolution .   By June , when continued impasses led to further deterioration in relations , the Estates - General was reconstituted first as the National Assembly ( June 17 , 1789 ) seeking a solution for the realm independent of the King 's management of the meetings of the Estates General which occasionally continued to meet . These self - organized meetings are today defined as the epoch event beginning the historical epoch ( era ) of the French Revolution , during which -- after several more weeks of civil unrest -- the body assumed a new status as a revolutionary legislature , the National Constituent Assembly ( July 9 , 1789 ) .   This unitary body composed of the former representatives of the three estates stepping up to govern along with an emergency committee in the power vacuum existing after the Bourbon monarchy fled Paris . Among the Assembly was Maximilien de Robespierre , an influential member of the Jacobins who would years later become instrumental in the turbulent period of violence and political upheaval in France known as the Reign of Terror ( 5 September 1793 -- 28 July 1794 ) .   United Kingdom ( edit )  For more details on this topic , see Parliament of the United Kingdom .  Whilst the estates were never formulated in a way that prevented social mobility , the English ( subsequently the British ) parliament was long based along the classic estate lines being composed on the `` Lords Spiritual and Temporal , and Commons '' . The tradition where the Lords Spiritual and Temporal sat separately from the Commons began during the reign of Edward III in the 14th century .   Notwithstanding the House of Lords Act 1999 , the British Parliament still recognises the existence of the three estates : the Commons in the House of Commons , the nobility in the House of Lords , and the clergy in the form of the Church of England bishops also entitled to sit in the upper House as the Lords Spiritual .   Scotland ( edit )  Main article : Parliament of Scotland  The members of the Parliament of Scotland were collectively referred to as the Three Estates ( Older Scots : Thre Estaitis ) , also known as the community of the realm , and until 1690 composed of :    the first estate of prelates ( bishops and abbots )   the second estate of lairds ( dukes , earls , parliamentary peers ( after 1437 ) and lay tenants - in - chief )   the third estate of burgh commissioners ( representatives chosen by the royal burghs )    The First Estate was overthrown during the Glorious Revolution and the accession of William III . The Second Estate was then split into two to retain the division into three .   A Shire Commissioner was the closest equivalent of the English office of Member of Parliament , namely a commoner or member of the lower nobility . Because the Parliament of Scotland was unicameral , all members sat in the same chamber , as opposed to the separate English House of Lords and House of Commons .   The Parliament also had University constituencies ( see Ancient universities of Scotland ) . The system was also adopted by the Parliament of England when James VI ascended to the English throne . It was believed that the universities were affected by the decisions of Parliament and ought therefore to have representation in it . This continued in the Parliament of Great Britain after 1707 and the Parliament of the United Kingdom until 1950 .   Sweden and Finland ( edit )   The Estates in Sweden ( including Finland ) and later also Russia 's Grand Duchy of Finland were the two higher estates , nobility and clergy , and the two lower estates , burghers and land - owning peasants . Each were free men , and had specific rights and responsibilities , and the right to send representatives to the Riksdag of the Estates . The Riksdag , and later the Diet of Finland was tetracameral : at the Riksdag , each Estate voted as a single body . Since early 18th century , a bill needed the approval of at least three Estates to pass , and constitutional amendments required the approval of all Estates . Prior to the 18th century , the King had the right to cast a deciding vote if the Estates were split evenly .   After Russia 's conquest of Finland in 1809 , the estates in Finland swore an oath to the Emperor in the Diet of Porvoo . A Finnish House of Nobility was codified in 1818 in accordance with the old Swedish law of 1723 . However , after the Diet of Porvoo , the Diet of Finland was reconvened only in 1863 . In the meantime , for a period of 54 years , the country was governed only administratively .   There was also a population outside the estates . Unlike in other areas , people had no `` default '' estate , and were not peasants unless they came from a land - owner 's family . A summary of this division is :    Nobility ( see Finnish nobility and Swedish nobility ) was exempt from tax , had an inherited rank and the right to keep a fief , and had a tradition of military service and government . Nobility was codified in 1280 with the Swedish king granting exemption from taxation ( frälse ) to land - owners that could equip a cavalryman ( or be one themselves ) for the king 's army . Around 1400 , letters patent were introduced , in 1561 the ranks of Count and Baron were added , and in 1625 the House of Nobility was codified as the First Estate of the land . Following Axel Oxenstierna 's reform , higher government offices were open only to nobles . However , the nobility still owned only their own property , not the peasants or their land as in much of Europe . Heads of the noble houses were hereditary members of the assembly of nobles . The Nobility is divided into titled nobility ( counts and barons ) and lower nobility . Until the 18th century the lower nobility was in turn was divided into Knights and Esquires such that each of the three classes would first vote internally , giving one vote per class in the assembly . This resulted in great political influence for the higher nobility .   Clergy , or priests , were exempt from tax , and collected tithes for the church . After the Swedish Reformation , the church became Lutheran . In later centuries , the estate included teachers of universities and certain state schools . The estate was governed by the state church which consecrated its ministers and appointed them to positions with a vote in choosing diet representatives .   Burghers were city - dwellers , tradesmen and craftsmen . Trade was allowed only in the cities when the mercantilistic ideology had got the upper hand , and the burghers had the exclusive right to conduct commerce within the framework of guilds . Entry to this Estate was controlled by the autonomy of the towns themselves . Peasants were allowed to sell their produce within the city limits , but any further trade , particularly foreign trade , was allowed only for burghers . In order for a settlement to become a city , a royal charter granting market right was required , and foreign trade required royally chartered staple port rights . After the annexation of Finland into Imperial Russia in 1809 , mill - owners and other proto - industrialists would gradually be included in this estate .   Peasants were land - owners of land - taxed farms and their families , which represented the majority in medieval times . Since most of the population were independent farmer families until the 19th century , not serfs nor villeins , there is a remarkable difference in tradition compared to other European countries . Entry was controlled by ownership of farmland , which was not generally for sale but a hereditary property . After 1809 , Swedish tenants renting a large enough farm ( ten times larger than what was required of peasants owning their own farm ) were included as well as non-nobility owning tax - exempt land .   To no estate belonged propertyless cottagers , villeins , tenants of farms owned by others , farmhands , servants , some lower administrative workers , rural craftsmen , travelling salesmen , vagrants , and propertyless and unemployed people ( who sometimes lived in strangers ' houses ) . To reflect how the people belonging to the estates saw them , the Finnish word for `` obscene '' , säädytön , has the literal meaning `` estateless '' . Their mobility was severely limited by the policy of `` legal protection '' ( Finnish : laillinen suojelu ) : every estateless person had to be employed by a taxed citizen from the estates , or they could be charged with vagrancy and sentenced to forced labor . In Finland , this policy lasted until 1883 .    In Sweden , the Riksdag of the Estates existed until it was replaced with a bicameral Riksdag in 1866 , which gave political rights to anyone with a certain income or property . Nevertheless , many of the leading politicians of the 19th century continued to be drawn from the old estates , in that they were either noblemen themselves , or represented agricultural and urban interests . Ennoblements continued even after the estates had lost their political importance , with the last ennoblement of explorer Sven Hedin taking place in 1902 ; this practice was formally abolished with the adoption of the new Constitution January 1 , 1975 , while the status of the House of Nobility continued to be regulated in law until 2003 .   In Finland , this legal division existed until 1906 , still drawing on the Swedish constitution of 1772 . However , at the start of the 20th century most of the population did not belong to any Estate and had no political representation . A particularly large class were the rent farmers , who did not own the land they cultivated but had to work in the land - owner 's farm to pay their rent ( unlike Russia , there were no slaves or serfs . ) Furthermore , the industrial workers living in the city were not represented by the four - estate system .   The political system was reformed as a result of the Finnish general strike of 1905 , with the last Diet instituting a new constitutional law to create the modern parliamentary system , ending the political privileges of the estates . The post-independence constitution of 1919 forbade ennoblement , and all tax privileges were abolished in 1920 . The privileges of the estates were officially and finally abolished in 1995 , although in legal practice , the privileges had long been unenforceable . As in Sweden , the nobility has not been officially abolished and records of nobility are still voluntarily maintained by the Finnish House of Nobility .   In Finland , it is still illegal and punishable by jail time ( up to one year ) to defraud into marriage by declaring a false name or estate ( Rikoslaki 18 luku § 1 / Strafflagen 18 kap. § 1 ) .   Low countries ( edit )   The Low Countries , which until the late sixteenth century consisted of several counties , prince bishoprics , duchies etc. in the area that is now modern Belgium , Luxembourg and the Netherlands , had no States General until 1464 , when Duke Philip of Burgundy assembled the first States General in Bruges . Later in the 15th and 16th centuries Brussels became the place where the States General assembled . On these occasions deputies from the States of the various provinces ( as the counties , prince - bishoprics and duchies were called ) asked for more liberties . For this reason , the States General were not assembled very often .   As a consequence of the Union of Utrecht in 1579 and the events that followed afterwards , the States General declared that they no longer obeyed King Philip II of Spain , who was also overlord of the Netherlands . After the reconquest of the southern Netherlands ( roughly Belgium and Luxemburg ) , the States General of the Dutch Republic first assembled permanently in Middelburg , and in The Hague from 1585 onward . Without a king to rule the country , the States General became the sovereign power . It was the level of government where all things were dealt with that were of concern to all the seven provinces that became part of the Republic of the United Netherlands .   During that time the States General were formed by representatives of the States ( i.e. provincial parliaments ) of the seven provinces . In each States ( a plurale tantum ) sat representatives of the nobility and the cities ( the clergy were no longer represented ; in Friesland the peasants were indirectly represented by the Grietmannen ) .   In the Southern Netherlands , the last meetings of the States General loyal to the Habsburgs took place in the Estates General of 1600 and the Estates General of 1632 .   As a government , the States General of the Dutch Republic were abolished in 1795 . A new parliament was created , called Nationale Vergadering ( National Assembly ) . It no longer consisted of representatives of the States , let alone the Estates : all men were considered equal under the 1798 Constitution . Eventually , the Netherlands became part of the French Empire under Napoleon ( 1810 : La Hollande est reunie à l'Empire ) .   After regaining independence in November 1813 , the name `` States General '' was resurrected for a legislature constituted in 1814 and elected by the States - Provincial . In 1815 , when the Netherlands were united with Belgium and Luxemburg , the States General were divided into two chambers : the First Chamber and the Second Chamber . The members of the First Chamber were appointed for life by the King , while the members of the Second Chamber were elected by the members of the States Provincial . The States General resided in The Hague and Brussels in alternate years until 1830 , when , as a result of the Belgian Revolution , The Hague became once again the sole residence of the States General , Brussels instead hosting the newly founded Belgian Parliament .   From 1848 on , the Dutch Constitution provides that members of the Second Chamber be elected by the people ( at first only by a limited portion of the male population ; universal male and female suffrage exists since 1919 ) , while the members of the First Chamber are chosen by the members of the States Provincial . As a result , the Second Chamber became the most important . The First Chamber is also called Senate . This however , is not a term used in the Constitution .   Occasionally the First and Second Chamber meet in a Verenigde Vergadering ( Joint Session ) , for instance on Prinsjesdag , the annual opening of the parliamentary year , and when a new king is inaugurated .   Holy Roman Empire ( edit )   The Holy Roman Empire had the Imperial Diet ( Reichstag ) . The clergy was represented by the independent prince - bishops , prince - archbishops and prince - abbots of the many monasteries . The nobility consisted of independent aristocratic rulers : secular prince - electors , kings , dukes , margraves , counts and others . Burghers consisted of representatives of the independent imperial cities . Many peoples whose territories within the Holy Roman Empire had been independent for centuries had no representatives in the Imperial Diet , and this included the Imperial Knights and independent villages . The power of the Imperial Diet was limited , despite efforts of centralization .   Large realms of the nobility or clergy had estates of their own that could wield great power in local affairs . Power struggles between ruler and estates were comparable to similar events in the history of the British and French parliaments .   The Swabian League , a significant regional power in its part of Germany during the 15th Century , also had its own kind of Estates , a governing Federal Council comprising three Colleges : those of Princes , Cities , and Knights .   Russian Empire ( edit )  Main article : Social estates in the Russian Empire  In the late Russian Empire the estates were called sosloviyes . The four major estates were : nobility ( dvoryanstvo ) , clergy , rural dwellers , and urban dwellers , with a more detailed stratification therein . The division in estates was of mixed nature : traditional , occupational , as well as formal : for example , voting in Duma was carried out by estates . Russian Empire Census recorded the reported estate of a person .   Catalonia ( edit )  Main article : Catalan Courts  The Parliament of Catalonia was first established in 1283 as the Catalan Courts ( Corts Catalanes ) , according to American historian Thomas Bisson , and it has been considered by several historians as a model of medieval parliament . For instance , English historian of constitutionalism Charles Howard McIlwain wrote that the General Courts of Catalonia , during the 14th century , had a more defined organization and met more regularly than the parliaments of England or France .   The roots of the parliament institution in Catalonia are in the Sanctuary and Truce Assemblies ( assemblees de pau i treva ) that started in the 11th century . The members of the parliament of Catalonia were organized in the Three Estates ( Catalan : Tres Estats ) :    the `` military estate '' ( polígons militars ) with representatives of the feudal nobility   the `` ecclesiastical estate '' ( eclesiàstica arrels ) with representatives of the religious hierarchy   the `` royal estate '' ( real estate ) with representatives of the free municipalities under royal privilege    The parliament institution was abolished in 1716 , together with the rest of institutions of Catalonia , after the War of the Spanish Succession .   See also ( edit )    What Is the Third Estate ?   Fourth Estate   Fifth Estate   Communalism before 1800   Trifunctional hypothesis   Four occupations ( Asian equivalents )   Varna ( Hinduism )    Location specific :    Prussian estates   Estates of the Netherlands Antilles   Estates of Brittany   The Canterbury Tales ( the division of society into three estates is one of the key themes )   A Satire of the Three Estates    General :    Social class   Caste    Notes ( edit )       Wikimedia Commons has media related to Estates of the realm .      ^ Jump up to : Huizinga The Waning of the Middle Ages ( 1919 , 1924 : 47 ) .   Jump up ^ Georges Duby , The Three Orders : Feudal Society Imagined , Part 1   ^ Jump up to : Encyclopædia Britannica , `` History of Europe -- Middle Ages -- From territorial principalities to territorial monarchies ''   Jump up ^ Encyclopædia Britannica , `` History of Europe -- Middle Ages -- From territorial principalities to territorial monarchies -- The three orders ''   Jump up ^ R.R. Palmer , A History of the Modern World 1961 , p. 334 .   ^ Jump up to : Henslin , James M</t>
  </si>
  <si>
    <t xml:space="preserve">who made up the first estate in french society</t>
  </si>
  <si>
    <t xml:space="preserve"> The best known system is the French Ancien Régime ( Old Regime ) , a three - estate system used until the French Revolution ( 1789 -- 1799 ) . Monarchy was for the king and the queen and this system was made up of clergy ( the First Estate ) , nobles ( the Second Estate ) , and peasants and bourgeoisie ( the Third Estate ) . In some regions , notably Scandinavia and Russia , burghers ( the urban merchant class ) and rural commoners were split into separate estates , creating a four - estate system with rural commoners ranking the lowest as the Fourth Estate . Furthermore , the non-landowning poor could be left outside the estates , leaving them without political rights . In England , a two - estate system evolved that combined nobility and bishops into one lordly estate with `` commons '' as the second estate . This system produced the two houses of parliament , the House of Commons and the House of Lords . In southern Germany , a three - estate system of nobility ( princes and high clergy ) , ritters ( knights ) , and burghers was used . </t>
  </si>
  <si>
    <t xml:space="preserve">Green Bay Packers - wikipedia  Green Bay Packers  Jump to : navigation , search      This article needs additional citations for verification . Please help improve this article by adding citations to reliable sources . Unsourced material may be challenged and removed . ( December 2017 ) ( Learn how and when to remove this template message )       Green Bay Packers     Current season     Established August 11 , 1919 ; 98 years ago ( August 11 , 1919 ) First season : 1919 Play in and headquartered at Lambeau Field , Green Bay , Wisconsin                  Logo   Wordmark        League / conference affiliations      Independent ( 1919 -- 1920 ) National Football League ( 1921 -- present )    Western Division ( 1933 -- 1949 )   National Conference ( 1950 -- 1952 )   Western Conference ( 1953 -- 1966 )   Central Division ( 1967 -- 1969 )     National Football Conference ( 1970 -- present )   Central Division ( 1970 -- 2001 )   North Division ( 2002 -- present )         Current uniform         Team colors    Dark Green , Gold , White      Fight song   `` Go ! You Packers Go ! ''     Personnel     Owner ( s )   Green Bay Packers , Inc. ( 360,760 stockholders -- governed by a Board of Directors )     Chairman   Mark H. Murphy     CEO   Mark H. Murphy     President   Mark H. Murphy     General manager   Brian Gutekunst     Head coach   Mike McCarthy     Team history       Green Bay Packers ( 1919 -- present )       Team nicknames       Indian Packers ( 1919 )   Blues ( 1922 )   Big Bay Blues ( 1920s )   Bays ( 1918 -- 1940s )   The Pack ( current )   The Green and Gold ( current )       Championships      League championships ( 13 ) †    NFL Championships ( pre-1970 AFL -- NFL merger ) ( 11 ) 1929 , 1930 , 1931 , 1936 , 1939 , 1944 , 1961 , 1962 , 1965 , 1966 , 1967   AFL -- NFL Super Bowl championships ( 2 ) 1966 ( I ) , 1967 ( II )   Super Bowl championships ( 2 ) 1996 ( XXXI ) , 2010 ( XLV )        Conference championships ( 9 )    NFL Western : 1960 , 1961 , 1962 , 1965 , 1966 , 1967   NFC : 1996 , 1997 , 2010        Division championships ( 18 )    NFL West : 1936 , 1938 , 1939 , 1944   NFL Central : 1967   NFC Central : 1972 , 1995 , 1996 , 1997   NFC North : 2002 , 2003 , 2004 , 2007 , 2011 , 2012 , 2013 , 2014 , 2016       † - Does not include the AFL or NFL championships won during the same seasons as the AFL - NFL Super Bowl championships prior to the 1970 AFL - NFL Merger     Playoff appearances ( 32 )       NFL : 1936 , 1938 , 1939 , 1941 , 1944 , 1960 , 1961 , 1962 , 1965 , 1966 , 1967 , 1972 , 1982 , 1993 , 1994 , 1995 , 1996 , 1997 , 1998 , 2001 , 2002 , 2003 , 2004 , 2007 , 2009 , 2010 , 2011 , 2012 , 2013 , 2014 , 2015 , 2016       Home fields       Hagemeister Park ( 1919 -- 1922 )   Bellevue Park ( 1923 -- 1924 )   City Stadium ( 1925 -- 1956 )   Borchert Field ( 1933 )   Wisconsin State Fair Park ( 1934 -- 1951 )   Marquette Stadium ( 1952 )   Milwaukee County Stadium ( 1953 -- 1994 )   Lambeau Field ( 1957 -- present )       The Green Bay Packers are a professional American football team based in Green Bay , Wisconsin . The Packers compete in the National Football League ( NFL ) as a member club of the league 's National Football Conference ( NFC ) North division . It is the third - oldest franchise in the NFL , dating back to 1919 , and is the only non-profit , community - owned major league professional sports team based in the United States . Home games have been played at Lambeau Field since 1957 .   The Packers are the last of the `` small town teams '' which were common in the NFL during the 1920s and 30s . Founded in 1919 by Earl `` Curly '' Lambeau and George Whitney Calhoun , the franchise traces its lineage to other semi-professional teams in Green Bay dating back to 1896 . Between 1919 and 1920 , the Packers competed against other semi-pro clubs from around Wisconsin and the Midwest , before joining the American Professional Football Association ( APFA ) , the forerunner of today 's NFL , in 1921 . Although Green Bay is by far the smallest major league professional sports market in North America , its local fan and media base extends 120 miles south into Milwaukee , where it played selected home games between 1933 and 1994 . And despite its small market , Forbes ranked the Packers as the world 's 26th most valuable sports franchise in 2016 , with a value of $2.35 billion .   The Packers have won 13 league championships , the most in NFL history , with nine pre-Super Bowl NFL titles in addition to four Super Bowl victories . The Packers won the first two Super Bowls in 1967 and 1968 and were the only NFL team to defeat the American Football League ( AFL ) prior to the AFL -- NFL merger . The Vince Lombardi Trophy is named after the Packers ' coach Lombardi , who guided them to their first two Super Bowls . Their two additional Super Bowl wins came in 1997 and 2011 .   The Packers are long - standing adversaries of the Chicago Bears , Minnesota Vikings , and Detroit Lions , who today comprise the NFL 's NFC North division , and were formerly members of the NFC Central Division . They have played over 100 games against each of those teams through history , and have a winning overall record against all of them ( only the Kansas City Chiefs and Dallas Cowboys have that distinction with their division rivals ) . The Bears -- Packers rivalry is one of the oldest in NFL history , dating back to 1921 .   Contents  ( hide )   1 History   1.1 Founding   1.2 1929 -- 1931 : Lambeau 's team arrives   1.3 1935 -- 1945 : The Don Hutson era   1.4 1946 -- 1958 : Wilderness   1.5 1959 -- 1967 : The Lombardi era and the glory years   1.5. 1 1959 : Lombardi 's first season   1.5. 2 1960   1.5. 3 1961   1.5. 4 1962   1.5. 5 1965   1.5. 6 1966 : the first `` AFL - NFL World Championship Game ''   1.5. 7 1967 : Super Bowl II , and Lombardi 's departure     1.6 1968 -- 1991 : Post-Lombardi   1.7 1992 -- 2007 : Brett Favre era   1.7. 1 1996 : Super Bowl XXXI champions   1.7. 2 1997 : defeat in Super Bowl XXXII   1.7. 3 1998 : Holmgren 's last season   1.7. 4 1999 : Ray Rhodes ' one - year tenure   1.7. 4.1 2000 - 05 : Mike Sherman 's time head coach     1.7. 5 2006 - 07 : McCarthy arrives , Favre departs     1.8 2008 -- present : Aaron Rodgers era   1.8. 1 2008 : Transition   1.8. 2 2009 : Return to the playoffs   1.8. 3 2010 : Super Bowl XLV championship   1.8. 4 2011 : 15 -- 1 season   1.8. 5 2012   1.8. 6 2013 : injury to Rodgers   1.8. 7 2014   1.8. 8 2015   1.8. 9 2016   1.8. 10 2017       2 Community ownership   2.1 Board of Directors   2.2 Green Bay Packers Foundation     3 Fan base   4 Branding   4.1 Nickname   4.2 Team colors   4.3 Logo   4.4 Uniform variation     5 Stadium history   6 Statistics and records   6.1 Season - by - season results   6.2 Records   6.3 Playoff record     7 Championships   7.1 League Championships   7.1. 1 NFL Championship by standings   7.1. 2 Pre-Super Bowl NFL Championships   7.1. 3 Super Bowl Championships     7.2 NFC Championships   7.3 Division Championships     8 Notable players   8.1 Current roster   8.2 Pro Football Hall of Fame members   8.3 Wisconsin Athletic Hall of Fame   8.4 Retired numbers     9 Notable coaches   9.1 Current staff   9.2 Head coaches   9.3 CSVA Sports Film and Video Hall of Famers     10 Media   10.1 Radio   10.2 Television     11 In popular culture   12 See also   13 References   14 External links    History   Founding  Main article : History of the Green Bay Packers Curly Lambeau , founder , player and first coach of the Packers .  The Green Bay Packers were founded on August 11 , 1919 by former high - school football rivals Earl `` Curly '' Lambeau and George Whitney Calhoun . Lambeau solicited funds for uniforms from his employer , the Indian Packing Company . He was given $500 ( $7,100 today ) for uniforms and equipment , on the condition that the team be named for its sponsor . The Green Bay Packers have played in their original city longer than any other team in the NFL .   On August 27 , 1921 , the Packers were granted a franchise in the new national pro football league that had been formed the previous year . Financial troubles plagued the team and the franchise was forfeited within the year before Lambeau found new financial backers and regained the franchise the next year . These backers , known as the `` Hungry Five '' , formed the Green Bay Football Corporation .   1929 -- 1931 : Lambeau 's team arrives   After a near - miss in 1927 , Lambeau 's squad claimed the Packers ' first NFL title in 1929 with an undefeated 12 -- 0 -- 1 campaign , behind a stifling defense which registered eight shutouts . Green Bay would repeat as league champions in 1930 and 1931 , bettering teams from New York , Chicago and throughout the league , with all - time greats and future Hall of Famers Mike Michalske , Johnny ( Blood ) McNally , Cal Hubbard and Green Bay native Arnie Herber . Among the many impressive accomplishments of these years was the Packers ' streak of 29 consecutive home games without defeat , an NFL record which still stands .   1935 -- 1945 : the Don Hutson era  Don Hutson with the Packers ; his jersey number was the first retired by the Packers ( 1951 )  The arrival of end Don Hutson from Alabama in 1935 gave Lambeau and the Packers the most - feared and dynamic offensive weapon in the game . Credited with inventing pass patterns , Hutson would lead the league in receptions eight seasons and spur the Packers to NFL championships in 1936 , 1939 and 1944 . An iron man , Hutson played both ways , leading the league in interceptions as a safety in 1940 . Hutson claimed 18 NFL records when he retired in 1945 , many of which still stand . In 1951 , his number 14 was the first to be retired by the Packers , and he was inducted as a charter member of the Pro Football Hall of Fame in 1963 .   1946 -- 1958 : wilderness   After Hutson 's retirement , Lambeau could not stop the Packers ' slide . He purchased a large lodge near Green Bay for team members and families to live . Rockwood Lodge was the home of the 1946 - 1949 Packers , though the 1947 and 1948 seasons produced a record of 12 - 10 - 1 , and 1949 was even worse at 3 - 9 . The lodge burned down on January 24 , 1950 , and the insurance money paid for many of the Packers ' debts .  A 1950 depiction of Tony Canadeo , whose # 3 was retired by the Packers in 1952  Curly Lambeau departed after the 1949 season . Gene Ronzani and Lisle Blackbourn could not coach the Packers back to their former magic , even as a new stadium was unveiled in 1957 . The losing would descend to the disastrous 1958 campaign under coach Ray `` Scooter '' McLean , whose lone 1 -- 10 -- 1 year at the helm is the worst in Packers history .   1959 -- 1967 : the Lombardi era and the Glory years  Vince Lombardi and Bart Starr  Former New York Giants assistant Vince Lombardi was hired as Packers head coach and general manager on February 2 , 1959 . Few suspected the hiring represented the beginning of a remarkable , immediate turnaround . Under Lombardi , the Packers would become the team of the 1960s , winning five World Championships over a seven - year span , including victories in the first two Super Bowls . During the Lombardi era , the stars of the Packers ' offense included Bart Starr , Jim Taylor , Carroll Dale , Paul Hornung ( as halfback and placekicker ) , Forrest Gregg , and Jerry Kramer . The defense included Willie Davis , Henry Jordan , Willie Wood , Ray Nitschke , Dave Robinson , and Herb Adderley .  1959 : Lombardi 's first season Ray Nitschke - his # 66 jersey is one of six numbers retired by the Packers  The Packers ' first regular season game under Lombardi was on September 27 , 1959 , a 9 -- 6 victory over the Chicago Bears in Green Bay . After winning their first three , the Packers lost the next five before finishing strong by sweeping their final four . The 7 -- 5 record represented the Packers ' first winning season since 1947 , enough to earn rookie head coach Lombardi the NFL Coach of the Year .  1960  The next year , the Packers , led by Paul Hornung 's 176 points , won the NFL West title and played in the NFL Championship against the Philadelphia Eagles at Philadelphia . In a see - saw game , the Packers trailed by only four points when All - Pro Eagle linebacker Chuck Bednarik tackled Jim Taylor just nine yards short of the goal line as time expired .  1961 The `` Golden Boy '' Paul Hornung , featured on a 1961 sports card  The Packers returned to the NFL Championship game the following season and faced the New York Giants in the first league title game to be played in Green Bay . The Packers scored 24 second - quarter points , including a championship - record 19 by Paul Hornung , on special `` loan '' from the Army ( one touchdown , four extra-points and three field goals ) , powering the Packers to a 37 -- 0 rout of the Giants , their first NFL Championship since 1944 . It was in 1961 that Green Bay became known as `` Titletown . ''  1962  The Packers stormed back in the 1962 season , jumping out to a 10 -- 0 start , on their way to a 13 -- 1 season . This consistent level of success would lead to Lombardi 's Packers becoming one of the most prominent teams of their era , and to being featured as the face of the NFL on the cover of Time on December 21 , 1962 , as part of the magazine 's cover story on `` The Sport of the ' 60s '' . Shortly after Time 's article , the Packers faced the Giants in a much more brutal championship game than the previous year , but the Packers prevailed on the surprising foot of Jerry Kramer and the determined running of Jim Taylor . The Packers defeated the Giants in New York , 16 -- 7 .  1965  The Packers returned to the championship game in 1965 following a two - year absence when they defeated the Colts in a playoff for the Western Conference title . That game would be remembered for Don Chandler 's controversial tying field goal in which the ball allegedly went wide right , but the officials signaled `` good . '' The 13 -- 10 overtime win earned the Packers a trip to the NFL Championship game , where Hornung and Taylor ran through the defending champion Cleveland Browns , helping the Packers win , 23 -- 12 , to earn their third NFL Championship under Lombardi and ninth overall . Goalpost uprights would be made taller the next year .  1966 : the first `` AFL - NFL world Championship game '' Packers Willie Davis ( left ) and Henry Jordan tackling a Chiefs player in the first AFL - NFL Championship ( Super Bowl I ) .  The 1966 season saw the Packers led to the first - ever Super Bowl by MVP quarterback Bart Starr . The team went 12 -- 2 , and as time wound down in the NFL Championship against the Dallas Cowboys , the Packers clung to a 34 -- 27 lead . Dallas had the ball on the Packers ' two - yard line , threatening to tie the ballgame . But on fourth down the Packers ' Tom Brown intercepted Don Meredith 's pass in the end zone to seal the win . The team crowned its season by rolling over the AFL champion Kansas City Chiefs 35 -- 10 in Super Bowl I .  1967 : Super Bowl II , and Lombardi 's departure  The 1967 season was the last for Lombardi as the Packers ' head coach . The NFL Championship game , a rematch of the 1966 contest against Dallas , became indelibly known as the `` Ice Bowl '' as a result of the brutal conditions at Lambeau Field . Still , the coldest NFL game ever played , it remains one of the most famous football games at any level in the history of the sport . With 16 seconds left , Bart Starr 's touchdown on a quarterback sneak brought the Packers a 21 -- 17 victory and their still unequaled third straight NFL Championship . They then won Super Bowl II with a 33 -- 14 victory over the Oakland Raiders . Lombardi stepped down as head coach after the game , and Phil Bengtson was named his successor . Lombardi remained as general manager for one season but left in 1969 to become head coach and minority owner of the Washington Redskins .   After Lombardi died unexpectedly on September 3 , 1970 , the NFL renamed the Super Bowl trophy the Vince Lombardi Trophy in recognition of his accomplishments with the Packers . The city of Green Bay renamed Highland Avenue in his honor in 1968 , placing Lambeau Field at 1265 Lombardi Avenue ever since .   1968 -- 1991 : post-Lombardi  The Packers , pictured against Cardinals in the 1982 - 83 playoffs , only qualified for the postseason twice during the team 's post-Lombardi `` dark ages '' ( 1969 - 91 ) .  For about a quarter - century after Lombardi 's departure , the Packers had relatively little on - field success . In the 24 seasons from 1968 to 1991 , they had only five seasons with a winning record , one being the shortened 1982 strike season . They appeared in the playoffs twice , with a 1 -- 2 record . The period saw five different head coaches -- Phil Bengtson , Dan Devine , Bart Starr , Forrest Gregg , and Lindy Infante -- two of whom , Starr and Gregg , were Lombardi 's era stars , while Bengtson was a former Packer coach . Each led the Packers to a worse record than his predecessor . Poor personnel decisions were rife , notoriously the 1974 trade by acting general manager Dan Devine which sent five 1975 or 1976 draft picks ( two first - rounders , two second - rounders and a third ) to the Los Angeles Rams for aging quarterback John Hadl , who would spend only 11⁄2 seasons in Green Bay . Another came in the 1989 NFL Draft , when offensive lineman Tony Mandarich was taken with the second overall pick ahead of Barry Sanders , Deion Sanders , and Derrick Thomas . Though rated highly by nearly every professional scout at the time , Mandarich 's performance failed to meet expectations , earning him ESPN 's ranking as the third `` biggest sports flop '' in the last 25 years .   1992 -- 2007 : Brett Favre era  Packers great Brett Favre , who played for 16 years in Green Bay , and had his # 4 jersey retired by the Packers in 2015  The Packers ' performance in the 1970s , 1980s , and early 1990s led to a shakeup , with Ron Wolf hired as general manager and given full control of the team 's football operations to start the 1991 season . In 1992 , Wolf hired San Francisco 49ers offensive coordinator Mike Holmgren as the Packers ' new head coach .   Soon afterward , Wolf acquired quarterback Brett Favre from the Atlanta Falcons for a first - round pick . Favre got the Packers their first win of the 1992 season , stepping in for injured quarterback Don Majkowski and leading a comeback over the Cincinnati Bengals . He started the following week , a win against the Pittsburgh Steelers , and never missed another start for Green Bay through the end of the 2007 season . He would go on to break the record for consecutive starts by an NFL quarterback , starting 297 consecutive games including stints with the New York Jets and Minnesota Vikings with the streak finally coming to an end late in the 2010 season .   The Packers had a 9 -- 7 record in 1992 , and began to turn heads around the league when they signed perhaps the most prized free agent in NFL history in Reggie White on the defense in 1993 . White believed that Wolf , Holmgren , and Favre had the team heading in the right direction with a `` total commitment to winning . '' With White on board the Packers made it to the second round of the playoffs during both the 1993 and 1994 seasons but lost their 2nd - round matches to their playoff rival , the Dallas Cowboys , playing in Dallas on both occasions . In 1995 , the Packers won the NFC Central Division championship for the first time since 1972 . After a home playoff 37 -- 20 win against Favre 's former team , the Atlanta Falcons , the Packers defeated the defending Super Bowl champion San Francisco 49ers 27 -- 17 in San Francisco on the road to advance to the NFC Championship Game , where they lost again to the Dallas Cowboys 38 -- 27 .  1996 : Super Bowl XXXI champions Reggie White in 1998 . White is widely considered one of the greatest defensive players in NFL history , and had his number retired by the Packers in 2005  In 1996 , the Packers ' turnaround was complete . The team posted a league - best 13 -- 3 record in the regular season , dominating the competition and securing home - field advantage throughout the playoffs . They were ranked no . 1 in offense with Brett Favre leading the way , no . 1 in defense with Reggie White as the leader of the defense and no . 1 in special teams with former Heisman Trophy winner Desmond Howard returning punts and kickoffs for touchdowns . After relatively easy wins against the 49ers in a muddy 35 -- 14 beatdown and Carolina Panthers 30 -- 13 , the Packers advanced to the Super Bowl for the first time in 29 years . In Super Bowl XXXI , Green Bay defeated the New England Patriots 35 -- 21 to win their 12th world championship . Desmond Howard was named MVP of the game for his kickoff return for a touchdown that ended the Patriots ' bid for a comeback . Then - Packers president Bob Harlan credited Wolf , Holmgren , Favre , and White for ultimately changing the fortunes of the organization and turning the Green Bay Packers into a model NFL franchise . A 2007 panel of football experts at ESPN ranked the 1996 Packers the 6th - greatest team ever to play in the Super Bowl .  1997 : defeat in Super Bowl XXXII  The following season the Packers recorded another 13 -- 3 record and won their second consecutive NFC championship . After defeating the Tampa Bay Buccaneers 21 -- 7 and San Francisco 49ers 23 -- 10 in the playoffs , the Packers returned to the Super Bowl as an 111⁄2 point favorite . The team ended up losing in an upset to John Elway and the Denver Broncos in Super Bowl XXXII , by the score of 31 -- 24 .  1998 : Holmgren 's last season Holmgren , one of three Packer coaches to win a Super Bowl , pictured in 1998  In 1998 , the Packers went 11 -- 5 and met the San Francisco 49ers in the first - round of the NFC playoffs . It was the fourth consecutive year these teams had met in the playoffs and the sixth overall contest since the 1995 season . The Packers had won all previous games , and the media speculated that another 49ers loss would result in the dismissal of San Francisco head coach Steve Mariucci . Unlike the previous playoff matches , this game was hotly contested , with the teams frequently exchanging leads . With 4 : 19 left in the 4th quarter , Brett Favre and the Packers embarked on an 89 - yard drive , which concluded with a Favre touchdown pass to receiver Antonio Freeman . This play appeared to give Green Bay the victory . But San Francisco quarterback Steve Young led the 49ers on an improbable touchdown drive , which culminated when Terrell Owens caught Young 's pass between several defenders to give the 49ers a lead with three seconds remaining . Afterwards , the game was mired in controversy . Many argued that during the 49ers game - winning drive , Niners receiver Jerry Rice fumbled the ball but officials stated he was down by contact . Television replays appeared to confirm these sentiments , and the next season the NFL reinstituted an instant replay system . In the end , this game turned out to be the end of an era in Green Bay . Days later Mike Holmgren left the Packers to become vice president , general manager and head coach of the Seattle Seahawks . Much of Holmgren 's coaching staff went with him , and Reggie White also retired after the season ( but later played one season for the Carolina Panthers in 2000 ) .  1999 : Ray Rhodes ' one - year tenure  In 1999 , the team struggled to find an identity after the departure of so many of the individuals responsible for their Super Bowl run . Ray Rhodes was hired in 1999 as the team 's new head coach . Rhodes had served around the league as a highly regarded defensive coordinator and more recently experienced moderate success as head coach of the Philadelphia Eagles from 1995 to 1998 . Ron Wolf believed that Rhodes ' experience and player - friendly demeanor would fit nicely in Green Bay 's veteran locker room , but Rhodes was fired after one 8 -- 8 season . Wolf visited team practice late in the 1999 season and believed that players had become too comfortable with Rhodes ' style , and said the atmosphere resembled a country club .  2000 - 05 : Mike Sherman 's time head coach Coach Mike Sherman , pictured in 2003  In 2000 , Wolf replaced Rhodes with Mike Sherman . Sherman had never been a head coach at any level of football and was relatively unknown in NFL circles . He had only coached in professional football for three years starting as the Packers ' tight ends coach in 1997 and 1998 . In 1999 , he followed Mike Holmgren to Seattle and became the Seahawks ' offensive coordinator , although Sherman did not call the plays during games . Despite Sherman 's apparent anonymity , Wolf was blown away in the interview process by the coach 's organizational skills and attention to detail . Sherman 's inaugural season started slowly , but the Packers won their final four games to achieve a 9 -- 7 record . Brett Favre praised the atmosphere Sherman had cultivated in Green Bay 's locker room and fans were optimistic about the team 's future . In the offseason , however , Wolf suddenly announced his own resignation as general manager to take effect after the April 2001 draft . Packers ' president Bob Harlan was surprised by Wolf 's decision and felt unsure of how to replace him . Harlan preferred the structure Green Bay had employed since 1991 ; a general manager who ran football operations and hired a subservient head coach . But with the momentum and locker room chemistry that was built during the 2000 season , Harlan was reluctant to bring in a new individual with a potentially different philosophy . Wolf recommended that Harlan give the job to Sherman . Though Harlan was wary of the structure in principle , he agreed with Wolf that it was the best solution . In 2001 , Sherman assumed the duties of both general manager and head coach .   From 2001 to 2004 , Sherman coached the Packers to respectable regular - season success , led by the spectacular play of Brett Favre , Ahman Green , and a formidable offensive line . But Sherman 's teams faltered in the playoffs . Prior to 2003 , the Packers had never lost a home playoff game since the NFL instituted a post-season in 1933 ( they were 13 -- 0 , with 11 of the wins at Lambeau and two more in Milwaukee . ) . That ended January 4 , 2003 , when the Atlanta Falcons defeated the Packers 27 -- 7 in an NFC Wild Card game . The Packers would also lose at home in the playoffs to the Minnesota Vikings two years later .   By the end of the 2004 season , the Packers team depth appeared to be diminishing . Sherman also seemed overworked and reportedly had trouble communicating with players on the practice field with whom he was also negotiating contracts . Harlan felt the dual roles were too much for one man to handle and removed Sherman from the general manager position in early 2005 while retaining him as a head coach . Harlan hired the Seattle Seahawks ' vice president of operations Ted Thompson as the new executive vice president , general manager and director of football operations . The relationship between Thompson and Sherman appeared strained , as Thompson immediately began rebuilding Green Bay 's roster . Following a dismal 4 -- 12 season , Thompson fired Sherman .  2006 - 07 : McCarthy arrives , Favre departs Former Packers wide - receiver Donald Driver  In 2006 , Thompson hired Mike McCarthy , the former offensive coordinator for the San Francisco 49ers and New Orleans Saints as his new head coach . McCarthy had also previously served as the quarterbacks coach for the Packers in 1999 .   After missing the playoffs in 2006 , Brett Favre announced that he would return for the 2007 season ; it would turn out to be one of his best . The Packers won 10 of their first 11 games and finished 13 -- 3 , earning a first - round bye in the playoffs . The Packers ' passing offense , led by Favre and a very skilled wide receiver group , finished second in the NFC , behind the Dallas Cowboys , and third overall in the league . Running back Ryan Grant , acquired for a sixth - round draft pick from the New York Giants , became the featured back in Green Bay and rushed for 956 yards and 8 touchdowns in the final 10 games of the regular season . In the divisional playoff round , in a heavy snowstorm , the Packers beat the Seattle Seahawks 42 -- 20 . Grant rushed for three touchdowns and over 200 yards , while Favre tossed three touchdown passes and one snowball to receiver Donald Driver in celebration .   On January 20 , 2008 , Green Bay appeared in their first NFC Championship Game in 10 years facing the New York Giants in Green Bay . The game was lost 23 -- 20 on an overtime field goal by Lawrence Tynes . This would be Brett Favre 's final game as a Green Bay Packer with his final pass being an interception in overtime .   Mike McCarthy coached the NFC team during the 2008 Pro Bowl in Hawaii . Al Harris and Aaron Kampman were also picked to play for the NFC Pro Bowl team as starters . Donald Driver was named as a third - string wideout on the Pro Bowl roster . Brett Favre was named the first - string quarterback for the NFC , but he declined to play in the Pro Bowl and was replaced on the roster by Tampa Bay Buccaneers ' quarterback Jeff Garcia . The Packers also had several first alternates , including Chad Clifton and Nick Barnett .   In December 2007 , Ted Thompson was signed to a 5 - year contract extension with the Packers , while it was announced on February 5 , 2008 , that head coach Mike McCarthy signed a 5 - year contract extension as well .   2008 -- present : Aaron Rodgers era  2008 : transition Main article : 2008 Green Bay Packers season Quarterback Aaron Rodgers in 2008 .  On March 4 , 2008 , Brett Favre tearfully announced his retirement . Within five months , however , he filed for reinstatement with the NFL on July 29 . Favre 's petition was granted by Commissioner Roger Goodell , effective August 4 , 2008 . On August 6 , 2008 , it was announced that Brett Favre was traded to the New York Jets for a conditional draft pick in 2009 .   The Packers began their 2008 season with their 2005 first - round draft pick , quarterback Aaron Rodgers , under center , as the first QB other than Favre to start for the Packers in 16 years . Rodgers played well in his first year starting for the Packers , throwing for over 4,000 yards and 28 touchdowns . However , injuries plagued the Packers ' defense , as they lost 7 close games by 4 points or less , finishing with a 6 -- 10 record . After the season , eight assistant coaches were dismissed by McCarthy , including Bob Sanders , the team 's defensive coordinator , who was replaced by Dom Capers .  2009 : return to the playoffs Main article : 2009 Green Bay Packers season  In March 2009 , the organization assured fans that Brett Favre 's jersey number would be retired , but not during the 2009 season . In April 2009 , the Packers selected defensive lineman B.J. Raji of Boston College as the team 's first pick in the draft . The team then traded three draft picks ( including the pick the Packers acquired from the Jets for Brett Favre ) for another first - round pick , selecting linebacker Clay Matthews III of the University of Southern California .   During the 2009 NFL season , two match - ups between the franchise and its former quarterback Brett Favre were highly anticipated after Favre 's arrival with the division - rival Vikings in August . The first encounter took place in Week 4 , on a Monday Night Football game which broke several TV audience records . The scheduling of this game was made possible when Baseball Commissioner and Packer Board of Directors member Bud Selig forced baseball 's Minnesota Twins to play 2 games within a 12 - hour span . The Vikings won the game 30 -- 23 . Brett Favre threw 3 TDs , no interceptions , and had a passer rating of 135 . The teams met for a second time in Week 8 , Favre leading the Vikings to a second win , 38 -- 26 , in Green Bay . Rodgers was heavily pressured in both games , being sacked 14 times total , but still played well , throwing five touchdowns and only one interception . The next week , the Packers were upset by the win-less Tampa Bay Buccaneers . Following a players - only meeting , the team found some stability on the offensive line with the return of tackle Mark Tauscher bringing a minor halt to sacks to Rodgers and opening the running game to Ryan Grant and the other running backs . Green Bay finished the season strongly , winning 7 out of their last 8 games , including winning their 16th regular</t>
  </si>
  <si>
    <t xml:space="preserve">when was the last time green bay packers won a superbowl</t>
  </si>
  <si>
    <t xml:space="preserve">   Green Bay Packers     Current season     Established August 11 , 1919 ; 98 years ago ( August 11 , 1919 ) First season : 1919 Play in and headquartered at Lambeau Field , Green Bay , Wisconsin                  Logo   Wordmark        League / conference affiliations      Independent ( 1919 -- 1920 ) National Football League ( 1921 -- present )    Western Division ( 1933 -- 1949 )   National Conference ( 1950 -- 1952 )   Western Conference ( 1953 -- 1966 )   Central Division ( 1967 -- 1969 )     National Football Conference ( 1970 -- present )   Central Division ( 1970 -- 2001 )   North Division ( 2002 -- present )         Current uniform         Team colors    Dark Green , Gold , White      Fight song   `` Go ! You Packers Go ! ''     Personnel     Owner ( s )   Green Bay Packers , Inc. ( 360,760 stockholders -- governed by a Board of Directors )     Chairman   Mark H. Murphy     CEO   Mark H. Murphy     President   Mark H. Murphy     General manager   Brian Gutekunst     Head coach   Mike McCarthy     Team history       Green Bay Packers ( 1919 -- present )       Team nicknames       Indian Packers ( 1919 )   Blues ( 1922 )   Big Bay Blues ( 1920s )   Bays ( 1918 -- 1940s )   The Pack ( current )   The Green and Gold ( current )       Championships      League championships ( 13 ) †    NFL Championships ( pre-1970 AFL -- NFL merger ) ( 11 ) 1929 , 1930 , 1931 , 1936 , 1939 , 1944 , 1961 , 1962 , 1965 , 1966 , 1967   AFL -- NFL Super Bowl championships ( 2 ) 1966 ( I ) , 1967 ( II )   Super Bowl championships ( 2 ) 1996 ( XXXI ) , 2010 ( XLV )        Conference championships ( 9 )    NFL Western : 1960 , 1961 , 1962 , 1965 , 1966 , 1967   NFC : 1996 , 1997 , 2010        Division championships ( 18 )    NFL West : 1936 , 1938 , 1939 , 1944   NFL Central : 1967   NFC Central : 1972 , 1995 , 1996 , 1997   NFC North : 2002 , 2003 , 2004 , 2007 , 2011 , 2012 , 2013 , 2014 , 2016       † - Does not include the AFL or NFL championships won during the same seasons as the AFL - NFL Super Bowl championships prior to the 1970 AFL - NFL Merger     Playoff appearances ( 32 )       NFL : 1936 , 1938 , 1939 , 1941 , 1944 , 1960 , 1961 , 1962 , 1965 , 1966 , 1967 , 1972 , 1982 , 1993 , 1994 , 1995 , 1996 , 1997 , 1998 , 2001 , 2002 , 2003 , 2004 , 2007 , 2009 , 2010 , 2011 , 2012 , 2013 , 2014 , 2015 , 2016       Home fields       Hagemeister Park ( 1919 -- 1922 )   Bellevue Park ( 1923 -- 1924 )   City Stadium ( 1925 -- 1956 )   Borchert Field ( 1933 )   Wisconsin State Fair Park ( 1934 -- 1951 )   Marquette Stadium ( 1952 )   Milwaukee County Stadium ( 1953 -- 1994 )   Lambeau Field ( 1957 -- present )     </t>
  </si>
  <si>
    <r>
      <rPr>
        <sz val="11"/>
        <color rgb="FF000000"/>
        <rFont val="Calibri"/>
        <family val="0"/>
        <charset val="1"/>
      </rPr>
      <t xml:space="preserve">Raul Esparza - wikipedia  Raul Esparza  Jump to : navigation , search    Raúl Esparza     Esparza at the 2014 San Diego Comic - Con International       Raúl Eduardo Esparza ( 1970 - 10 - 24 ) October 24 , 1970 ( age 46 ) Wilmington , Delaware , U.S.     Education   Belen Jesuit Preparatory School     Alma mater   Tisch School of the Arts ( New York University )     Occupation   Actor , singer , voice artist     Years active   1993 -- present     Spouse ( s )   Michelle Esparza ( m . 1994 -- 2008 )     Website   www.raulesparza.com     Raúl Eduardo Esparza ( born October 24 , 1970 ) is an American stage and television actor , singer , and voice artist , best known for his role as Rafael Barba in Law &amp; Order : Special Victims Unit . He has received Tony nominations for his role as Philip Salon in the Boy George musical Taboo in 2004 ; Robert , an empty man devoid of connection in the musical comedy Company in 2006 ; a lazy and snarky man in Harold Pinter 's The Homecoming ; and an aggressive volatile movie producer in David Mamet 's Speed the Plow . He played the role of Riff Raff on Broadway in the revival of The Rocky Horror Show and the role of Caractacus Potts in the Broadway musical Chitty Chitty Bang Bang .   Esparza has been nominated in all Tony categories for which an actor is eligible . He is widely regarded for his versatility on stage , having performed musicals by Andrew Lloyd Webber , Stephen Sondheim , Kander and Ebb , Boy George , and the Sherman Brothers and plays by Mamet , Pinter , William Shakespeare , Tom Stoppard , and more . His film work includes Sidney Lumet 's Find Me Guilty and Wes Craven 's My Soul to Take and his television credits include roles on Medium , Hannibal , Pushing Daisies , and Law &amp; Order : Special Victims Unit . He narrated the audiobook for Stephen King 's Under the Dome , as well as several others , and sings in concerts all over the country .     Contents  ( hide )   1 Early life   2 Theatre   2.1 Broadway theatre   2.2 Other theatre     3 Other work   3.1 Law &amp; Order : Special Victims Unit     4 Personal life   5 Filmography   6 Awards and nominations   7 References   8 External links      Early life ( edit )   Born in Wilmington , Delaware , to Cuban American parents , and raised in Miami , Florida , Esparza graduated from Belen Jesuit in 1988 and won a Silver Knight Award in Drama that same year . In 1992 , Esparza received a Bachelor of Fine Arts in Drama and a Bachelor 's degree in English from New York University 's Tisch School of the Arts .   Theatre ( edit )   Broadway Theatre ( edit )   Esparza first drew attention with his performance in the 2000 Broadway revival of The Rocky Horror Show , which won him the Theatre World Award . Additional Broadway credits include Cabaret ( 2001 ) , Taboo ( 2003 ) , Chitty Chitty Bang Bang ( 2005 ) and Sondheim 's Company ( 2006 ) . He received a Tony Award nomination for Best Featured Actor in a Musical and a Drama Desk Award for his performance in the musical Taboo . His performance in Company earned him a second Tony nomination , this time for Best Actor in a Musical , as well as his second Drama Desk award . Beginning in November 2007 , he appeared in Harold Pinter 's play The Homecoming and was Tony - nominated for Best Featured Actor in a Play . In 2008 , he played Charlie Fox in the revival of David Mamet 's Speed - the - Plow co-starring Jeremy Piven and Elisabeth Moss on Broadway . His performance in Speed - the - Plow earned him a Tony nomination for Best Actor in a Play , making him the second performer ( after Boyd Gaines ) to be nominated in all four acting categories a performer is eligible for at the Tonys , although he has yet to win one .   Esparza appeared on Broadway in a limited - engagement revival of Tom Stoppard 's Arcadia , which began previews at the Ethel Barrymore Theatre on February 25 , 2011 and opened on March 17 , 2011 .   Esparza appeared in the musical Leap of Faith in the role of the `` Reverend '' Jonas Nightingale . He was involved in the workshop in 2008 , the out - of - town tryout at the Ahmanson Theatre ( Los Angeles ) in 2010 , and the Broadway production in 2012 , for which he received a 2012 Drama Desk Award nomination for Outstanding Actor in a Musical .   Other Theatre ( edit )   In 1999 , Esparza portrayed Che in the national tour of Evita , opposite Natalie Toro . The tour was intended to open on Broadway , but failed to do so . In 2001 , he appeared Off - Broadway in tick , tick ... BOOM ! by Jonathan Larson , garnering a Drama Desk Award nomination as Outstanding Actor in a Musical . He appeared in two Stephen Sondheim musicals , Sunday in the Park with George and Merrily We Roll Along at the 2002 Kennedy Center Sondheim Celebration . He also appeared as The Arbiter in the Actors Fund of America concert of Sir Tim Rice 's Chess in September 2003 .   In 2009 , Esparza starred in a production of Shakespeare 's Twelfth Night at the Delacorte Theater ( New York ) with Anne Hathaway , from June 25 through July 12 . He starred as Hapgood in the City Center Encores ! staged concert production of Anyone Can Whistle from April 8 to 11 , 2010 , opposite Sutton Foster as Fay and Donna Murphy as the Mayoress .   Other work ( edit )   In 2007 , Esparza had a recurring role on the TV show Pushing Daisies as traveling salesman Alfredo Aldarisio , a role originally given to Paul Reubens . In 2009 , he recorded the audiobook Under the Dome by Stephen King . He has done previous narration for The House of the Scorpion by Nancy Farmer , and The Book of Unholy Mischief by Elle Newmark .   In January 2010 , Esparza performed opposite Lucie Arnaz , Desi Arnaz Jr. and Valarie Pettiford at the 92Y 's Lyrics and Lyricist event honoring Desi Arnaz and his Orchestra , `` Babalu : The American Songbook Goes Latin '' .   In 2010 , Esparza appeared as Abel Plenkov in Wes Craven 's My Soul to Take .   From 2013 to 2015 , Esparza appeared in the recurring role of Dr. Frederick Chilton in Hannibal .   He appeared in the 2016 film Custody , written and directed by James Lapine , as an Administration for Children 's Services agent .   Law &amp; Order : Special Victims Unit ( edit )   In 2012 , Esparza became a recurring character on the long - running NBC drama series Law &amp; Order : Special Victims Unit as Manhattan Assistant District Attorney Rafael Barba , starting in the third episode of the show 's 14th season , `` Twenty - Five Acts '' . He appeared in 11 episodes of the show 's 14th season . On July 17 , 2013 , he was upgraded to series regular for the show 's 15th season . His character became the first series regular ADA since Stephanie March in the 11th season and the first regular male ADA in series history . His role on SVU was not his first Law &amp; Order role , however , as he had previously portrayed an ADA in a 2009 episode of Law &amp; Order : Criminal Intent , and a suspect in a 2010 episode of the original Law &amp; Order .   Personal life ( edit )   Esparza married Michele Marie Perez , his high school girlfriend , in 1994 but divorced in 2008 . Esparza was the subject of a New York Times profile in 2006 , in which he revealed that he is bisexual .   Filmography ( edit )   Film   Year   Title   Role   Notes     2006   Find Me Guilty   Tony Compagna         My Soul to Take   Abel Plenkov       2011   Trouble in the Heights   Nevada Ramirez       2016   Custody   Luis Sanjuro       2017   Ferdinand   Moreno ( voice )   Post-production     Television   Year   Title   Role   Notes       Spin City   Reporter   Episode : `` In the Heat of the Day ''     2007   Pushing Daisies   Alfredo Aldarisio   2 episodes     2009   Law &amp; Order : Criminal Intent   ADA Kevin Mulrooney   Episode : `` Lady 's Man ''       Law &amp; Order   Dennis Di Palma   Episode : `` Blackmail ''     Medium   David Ostrowski   Episode : `` Blood on the Tracks ''     2011   Gifted Man , AA Gifted Man   Phillip Romero   2 episodes     2012 -- present   Law &amp; Order : Special Victims Unit   ADA Rafael Barba   Recurring ( season 14 ) , Main cast ( season 15 -- present ) 100 episodes     2012   666 Park Avenue   Phillip Perez   Episode : `` Hypnos ''     2013 -- 2015   Hannibal   Dr. Frederick Chilton   12 episodes     2014   Dora and Friends : Into the City !   Big Bad Wolf ( voice )   Episode : `` Puppet Theater ''     2016 - 2017   BoJack Horseman   Ralph Stilton ( voice )   7 episodes     Awards and nominations ( edit )     Year   Project   Award     Result     2000   The Rocky Horror Show   Theatre World Awards   Outstanding New York Debut   Won     2001   tick , tick ... BOOM !   Obie Awards   Outstanding Actor in a Musical   Won     2001   tick , tick ... BOOM !   Drama Desk Awards   Outstanding Actor in a Musical   Nominated     2002   Sunday in the Park with George   Helen Hayes Awards   Outstanding Actor in a Musical   Nominated     2003   Green Violin   Barrymore Awards   Outstanding Actor in a Musical   Won       Taboo   Tony Awards   Best Performance by a Featured Actor in a Musical   Nominated       Taboo   Drama Desk Awards   Outstanding Featured Actor in a Musical   Won     2005   N / A   HOLA José Ferrer Tespis Awards   N / A   Won     2005   Chitty Chitty Bang Bang   Outer Critics Circle Award   Outstanding Lead Actor in a Musical   Nominated     2006   Company at Cincinnati Playhouse in the Park   Enquirer Acclaim Awards   Outstanding Musical Lead Performance   Won     2006   Company at Cincinnati Playhouse in the Park   Cincinnati Entertainment Awards   Outstanding Acting Performance by a Visiting Actor   Won     2007   Company on Broadway   Tony Awards   Best Actor in a Musical   Nominated     2007   Company on Broadway   Drama Desk Awards   Outstanding Actor in a Musical   Won     2007   Company on Broadway   Outer Circle Critics Awards   Outstanding Actor in a Musical   Won     2008   The Homecoming   Tony Awards   Best Featured Actor in a Play   Nominated     2008   The Homecoming   Drama Desk Awards   Outstanding Ensemblr Performance   Won     2009   Speed - the - Plow   Tony Awards   Best Actor in a Play   Nominated     2009   Speed - the - Plow   Drama Desk Awards   Outstanding Actor in a Play   Nominated     2011   Leap of Faith at the Ahmanson Theatre   Ovation Awards   Lead Actor in a Musical   Won     2012   Leap of Faith on Broadway   Drama Desk Awards   Outstanding Actor in a Musical   Nominated     References ( edit )    Jump up ^ The International Jesuit Alumni Directory Belen ( Forum Press Inc. , 1994 )   Jump up ^ `` Grad Acting Alumnus Raúl Esparza on Shakespeare in the Park '' . tisch.nyu.edu . Retrieved 2017 - 05 - 20 .   Jump up ^ Friedman , Roger ( December 22 , 2008 ) . `` ' Entourage ' Star Bashed For Being Diva '' . Fox News Channel . Retrieved January 1 , 2009 .   Jump up ^ BroadwayWorld.com `` Arcadia '' broadwayworld.com , December 12 , 2012   Jump up ^ Jones , Kenneth . `` Leap of Faith , With Raúl Esparza at the Musical Pulpit , Opens on Broadway '' playbill.com , April 26 , 2012   Jump up ^ ( 1 ) theatermania.com , April 27 , 2012   Jump up ^ `` Guide to Sondheim Shows '' sondheimguide.com , accessed July 10 , 2009   Jump up ^ Gans , Andrew. `` Julia and Josh Dazzle in All - Star ' Chess ' '' playbill.com , September 23 , 2003   Jump up ^ Hetrick , Adam . `` Hathaway , McDonald , White and Esparza Open ' Twelfth Night ' in Central Park June 25 '' , playbill.com , June 25 , 2009   Jump up ^ Healy , Patrick . `` Raúl Esparza Joins Anyone Can Whistle '' , The New York Times , March 17 , 2010 ; accessed May 16 , 2014 .   Jump up ^ `` The House of the Scorpion '' . Simon &amp; Schuster . Retrieved January 25 , 2010 .   Jump up ^ `` The Book Of Unholy Mischief '' . Simon &amp; Schuster . Retrieved January 25 , 2010 .   Jump up ^ `` Lyrics &amp; Lyricists -- Babalu : The American Songbook Goes Latin '' . `` 92Y.org '' . Retrieved January 25 , 2010 .   Jump up ^ `` Wes Craven 's 25 / 8 Becomes My Soul To Take '' . Collider.com . Retrieved January 25 , 2010 .   Jump up ^ `` Raul Esparza Makes Debut on Hannibal tonight '' . broadwayworld.com . May 2 , 2013 . Retrieved June 12 , 2013 .   Jump up ^ DeFore , John . `` ' Custody ' : Tribeca Review '' Hollywood Reporter , April 18 , 2016   Jump up ^ `` Raul Esparza Set to Appear on Law &amp; Order : SVU '' . broadwayworld.com . Retrieved October 2 , 2012 .   Jump up ^ `` Raul Esparza Upped To Regular On Law &amp; Order : SVU '' . Deadline . Retrieved July 17 , 2013 .   Jump up ^ `` Lady 's Man '' . Law &amp; Order : Criminal Intent . Season 8 . Episode 11 . 28 June 2009 . NBC .   Jump up ^ `` Blackmail '' . Law &amp; Order . Season 20 . Episode 12 . 15 January 2010 . NBC .   Jump up ^ `` Stephen Sondheim 's `` Company '' reviewed for The Advocate by Don Shewey `` .   Jump up ^ `` 9 Bisexual &amp; Sexually Open Celebrities '' . Latina .   Jump up ^ `` Raul Esparza biography '' . odssf.com .   Jump up ^ Interview with New York Times , November 26 , 2006 ; accessed May 16 , 2014 .    External links ( edit )    Official website   Raúl Esparza at the Internet Broadway Database   Raúl Esparza on IMDb   Raúl Esparza at the Internet Off - Broadway Database   Video interview in which Esparza discusses his relationship to Catholicism   Interview in which Esparza discusses his stage and film work              Drama Desk Award for Outstanding Featured Actor in a Musical       Ted Ross ( 1975 )   George Rose ( 1976 )   Ken Bichel / Michael Mark / John Miller / Joseph Saulter ( 1977 )   Kevin Kline ( 1978 )   Ken Jennings ( 1979 )   Bob Gunton ( 1980 )   Tony Azito ( 1981 )   Cleavant Derricks ( 1982 )   Charles Coles ( 1983 )   Martin Vidnovic ( 1984 )   René Auberjonois ( 1985 )   Michael Rupert ( 1986 )   Michael Maguire ( 1987 )   Robert Westenberg ( 1988 )   Michael Jeter ( 1990 )   Bruce Adler ( 1991 )   Scott Waara ( 1992 )   Mark Michael Hutchinson ( 1993 )   Jarrod Emick ( 1994 )   Wilson Jermaine Heredia ( 1996 )   Joel Grey ( 1997 )   Gregg Edelman ( 1998 )   Roger Bart ( 1999 )   Stephen Spinella ( 2000 )   Gary Beach ( 2001 )   Shuler Hensley ( 2002 )   Dick Latessa ( 2003 )   Raúl Esparza ( 2004 )   Denis O'Hare ( 2005 )   Jim Dale ( 2006 )   Gavin Lee ( 2007 )   Boyd Gaines ( 2008 )   Gregory Jbara ( 2009 )   Christopher Fitzgerald ( 2010 )   John Larroquette ( 2011 )   Michael McGrath ( 2012 )   Bertie Carvel ( 2013 )   James Monroe Iglehart ( 2014 )   Christian Borle ( 2015 )   Christopher Fitzgerald ( 2016 )   Gavin Creel ( 2017 )                 Drama Desk Award for Outstanding Actor in a Musical       John Cullum ( 1975 )   Ian Richardson ( 1976 )   Lenny Baker ( 1977 )   Ken Page ( 1978 )   Len Cariou ( 1979 )   Jim Dale ( 1980 )   Kevin Kline ( 1981 )   George Hearn ( 1984 )   Ron Richardson ( 1985 )   George Rose ( 1986 )   Robert Lindsay ( 1987 )   Michael Crawford ( 1988 )   Jason Alexander ( 1989 )   James Naughton ( 1990 )   Jonathan Pryce ( 1991 )   Gregory Hines / Nathan Lane ( 1992 )   Brent Carver ( 1993 )   Boyd Gaines ( 1994 )   Vernel Bagneris ( 1995 )   Nathan Lane ( 1996 )   Robert Cuccioli ( 1997 )   Alan Cumming ( 1998 )   Brent Carver ( 1999 )   Brian Stokes Mitchell ( 2000 )   Nathan Lane ( 2001 )   John Lithgow ( 2002 )   Antonio Banderas / Harvey Fierstein ( 2003 )   Hugh Jackman ( 2004 )   Norbert Leo Butz ( 2005 )   John Lloyd Young ( 2006 )   Raúl Esparza ( 2007 )   Paulo Szot ( 2008 )   Brian d'Arcy James ( 2009 )   Douglas Hodge ( 2010 )   Norbert Leo Butz ( 2011 )   Danny Burstein ( 2012 )   Billy Porter ( 2013 )   Neil Patrick Harris / Jefferson Mays ( 2014 )   Robert Fairchild ( 2015 )   Danny Burstein ( 2016 )   Andy Karl ( 2017 )               VIAF : 34107258   LCCN : no2001051779   ISNI : 0000 0000 4622 246X   GND : 1020257849   IATH : w6fj49vt      Retrieved from `` https://en.wikipedia.org/w/index.php?title= Raúl_Esparza&amp;oldid = 803423682 '' Categories :   1970 births   20th - century American male actors   21st - century American male actors   American male film actors   American male stage actors   American male musical theatre actors   American male Shakespearean actors   American male television actors   American entertainers of Cuban descent   American tenors   Bisexual male actors   Bisexual men   Drama Desk Award winners   Hispanic and Latino American male actors   LGBT Hispanic and Latino American people   LGBT entertainers from the United States   LGBT people from Delaware   Living people   Male actors from Miami   Male actors from Wilmington , Delaware   Tisch School of the Arts alumni   Hidden categories :   Use mdy dates from June 2013   Articles with hCards   Articles with IBDb links   Wikipedia articles with VIAF identifiers   Wikipedia articles with LCCN identifiers   Wikipedia articles with ISNI identifiers   Wikipedia articles with GND identifiers   Wikipedia articles with SNAC - ID identifiers           Talk                                           Contents                   About Wikipedia                                           Deutsch   Français   Italiano   Magyar   Nederlands   Русский   </t>
    </r>
    <r>
      <rPr>
        <sz val="11"/>
        <color rgb="FF000000"/>
        <rFont val="Noto Sans CJK SC"/>
        <family val="2"/>
      </rPr>
      <t xml:space="preserve">中文   </t>
    </r>
    <r>
      <rPr>
        <sz val="11"/>
        <color rgb="FF000000"/>
        <rFont val="Calibri"/>
        <family val="0"/>
        <charset val="1"/>
      </rPr>
      <t xml:space="preserve">Edit links   This page was last edited on 2 October 2017 , at 13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</si>
  <si>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rafael barba on law and order</t>
  </si>
  <si>
    <t xml:space="preserve"> Raúl Eduardo Esparza ( born October 24 , 1970 ) is an American stage and television actor , singer , and voice artist , best known for his role as Rafael Barba in Law &amp; Order : Special Victims Unit . He has received Tony nominations for his role as Philip Salon in the Boy George musical Taboo in 2004 ; Robert , an empty man devoid of connection in the musical comedy Company in 2006 ; a lazy and snarky man in Harold Pinter 's The Homecoming ; and an aggressive volatile movie producer in David Mamet 's Speed the Plow . He played the role of Riff Raff on Broadway in the revival of The Rocky Horror Show and the role of Caractacus Potts in the Broadway musical Chitty Chitty Bang Bang . </t>
  </si>
  <si>
    <t xml:space="preserve">The Walking Dead ( season 8 ) - Wikipedia  The Walking Dead ( season 8 )  television season    The Walking Dead ( season 8 )     Promotional poster     Starring     Andrew Lincoln   Norman Reedus   Lauren Cohan   Chandler Riggs   Danai Gurira   Melissa McBride   Lennie James   Alanna Masterson   Josh McDermitt   Christian Serratos   Seth Gilliam   Ross Marquand   Jeffrey Dean Morgan   Austin Amelio   Tom Payne   Xander Berkeley   Khary Payton   Steven Ogg   Katelyn Nacon   Pollyanna McIntosh       Country of origin   United States     No. of episodes   16     Release     Original network   AMC     Original release   October 22 , 2017 ( 2017 - 10 - 22 ) -- April 15 , 2018 ( 2018 - 04 - 15 )     Season chronology     ← Previous Season 7 Next → Season 9     List of The Walking Dead episodes     The eighth season of The Walking Dead , an American post-apocalyptic horror television series on AMC , premiered on October 22 , 2017 , and concluded on April 15 , 2018 , consisting of 16 episodes . Developed for television by Frank Darabont , the series is based on the eponymous series of comic books by Robert Kirkman , Tony Moore , and Charlie Adlard . The executive producers are Kirkman , David Alpert , Scott M. Gimple , Greg Nicotero , Tom Luse , and Gale Anne Hurd , with Gimple as showrunner for his fifth and final season . The eighth season received positive reviews from critics . It was nominated for multiple awards and won two , including Best Horror Television Series for the third consecutive year , at the 44th Saturn Awards .   This season adapts material from issues # 115 -- 126 of the comic book series and focuses on Rick Grimes ( Andrew Lincoln ) , his group of survivors and everyone at the Alexandria Safe - Zone , the Hilltop , the Kingdom , and later the Scavengers going to war with Negan ( Jeffrey Dean Morgan ) and the Saviors .   Contents    1 Cast   1.1 Main cast   1.1. 1 Starring   1.1. 2 Also starring     1.2 Supporting cast   1.2. 1 Alexandria Safe - Zone   1.2. 2 The Hilltop   1.2. 3 The Saviors   1.2. 4 The Kingdom   1.2. 5 Oceanside   1.2. 6 The Scavengers   1.2. 7 Miscellaneous       2 Production   3 Episodes   4 Release   5 Reception   5.1 Critical response   5.2 Accolades   5.3 Ratings     6 Home media   7 References   8 External links    Cast ( edit )  Main article : List of The Walking Dead ( TV series ) characters  Main cast ( edit )  The primary characters of the eighth season include ( from left to right ) : Rick , Carol , Morgan , Daryl , Carl , Enid , Rosita , Tara , Michonne , Gabriel , Aaron , Maggie , Jesus , Gregory , Shiva , Ezekiel , Jadis , Eugene , Simon , Dwight , and Negan  The eighth season features twenty series regulars overall . For this season , Katelyn Nacon , Khary Payton , Steven Ogg , and Pollyanna McIntosh were promoted to series regular status , after previously having recurring roles , while Seth Gilliam and Ross Marquand were added to the opening credits . This is the first season not to include Steven Yeun , Michael Cudlitz , Austin Nichols and Sonequa Martin - Green ( since their first appearance on the show ) , who were all credited as either a series regular or main cast member in previous seasons .  Starring ( edit )   Andrew Lincoln as Rick Grimes , the series ' protagonist , a former sheriff and the leader of Alexandria , who is leading a new alliance to fight Negan and the Saviors .   Norman Reedus as Daryl Dixon , Rick 's right - hand man , the group 's primary hunter and a recruiter for Alexandria .   Lauren Cohan as Maggie Rhee , the pregnant widow of Glenn and a leading figure of the Hilltop .   Chandler Riggs as Carl Grimes , Rick 's bold and courageous teenage son .   Danai Gurira as Michonne , Rick 's katana - wielding girlfriend , who acts as a mother figure to Carl and Judith .   Melissa McBride as Carol Peletier , a fierce survivor who is spurred into fighting the Saviors as revenge for the deaths of her friends .   Lennie James as Morgan Jones , the first survivor Rick had ever encountered , who now resides in the Kingdom and fights for his sanity .   Alanna Masterson as Tara Chambler , a caring , witty member of the group and supply runner for Alexandria who serves as a liaison with Oceanside .   Josh McDermitt as Eugene Porter , a timorous former member of the group whose resourcefulness leads Negan to take him under his wing .   Christian Serratos as Rosita Espinosa , an impulsive member of the group , who is motivated to avenge her ex-boyfriend Spencer and Abraham 's death .   Seth Gilliam as Gabriel Stokes , a priest who has become hardened from his experiences with Rick 's group .   Ross Marquand as Aaron , an Alexandrian recruiter who brought Rick 's group to Alexandria and is currently in the fight against the Saviors .   Jeffrey Dean Morgan as Negan , the leader of the Saviors who serves as the season 's primary antagonist .   Also Starring ( edit )   Austin Amelio as Dwight , a former subordinate of Negan who now works for Rick as a double agent against the Saviors .   Tom Payne as Paul `` Jesus '' Rovia , a scout for the Hilltop .   Xander Berkeley as Gregory , the selfish and hypocritical leader of the Hilltop whose influence diminished with Maggie 's prominence .   Khary Payton as Ezekiel , the charismatic leader of the Kingdom who allies with Rick against the Saviors .   Steven Ogg as Simon , a former mortgage broker and Negan 's second - in - command , he does not hide his intentions to overthrow Negan .   Katelyn Nacon as Enid , a former member of Alexandria who moved to Hilltop to be with Maggie , and has formed a relationship with Carl .   Pollyanna McIntosh as Jadis / Anne , the deceptive leader of the Scavengers who betrayed Rick 's group , and maintains a neutral stance in the war .    Supporting cast ( edit )  Alexandria Safe - Zone ( edit )   Jason Douglas as Tobin , the foreman of Alexandria 's construction crew and member of Rick 's militia .   Jordan Woods - Robinson as Eric Raleigh , Aaron 's boyfriend and his former recruiting partner , who is now a member of Rick 's militia .   Kenric Green as Scott , a supply runner in Alexandria and member of Rick 's militia .   Dahlia Legault as Francine , a member of Alexandria 's construction crew and member of Rick 's militia .   Mandi Christine Kerr as Barbara , resident of Alexandria .   Ted Huckabee as Bruce , resident and member of Alexandria 's construction and member of Rick 's militia .   The Hilltop ( edit )   James Chen as Kal , a guard of the Hilltop and soldier of the Hilltop 's militia .   Peter Zimmerman as Eduardo , a guard of the Hilltop and soldier of the Hilltop 's militia .   Karen Ceesay as Bertie , a resident of the Hilltop and soldier of the Hilltop 's militia .   Jeremy Palko as Andy , a resident of the Hilltop and soldier of the Hilltop 's militia .   Brett Gentile as Freddie , a resident of the Hilltop and soldier of the Hilltop 's militia .   R. Keith Harris as Harlan Carson , is the doctor of the Hilltop , who was captured by Simon in the previous season .   The Saviors ( edit )   Jayson Warner Smith as Gavin , one of Negan 's top lieutenants , who leads the weapons base .   Traci Dinwiddie as Regina , one of Negan 's top lieutenants .   Elizabeth Ludlow as Arat , one of Negan 's top lieutenants .   Mike Seal as Gary , one of Negan 's top lieutenants and accomplice of Simon in his plans to overthrow Negan .   Lindsley Register as Laura , one of Negan 's top lieutenants .   Juan Pareja as Morales , a survivor from Rick 's original Atlanta camp who joined the Saviors .   Joshua Mikel as Jared , Benjamin 's killer , and a hostile member of the Saviors who antagonizes Morgan .   Callan McAuliffe as Alden , a member of the Saviors who surrenders to Jesus at the satellite station outpost .   Lindsey Garrett as Mara , a Savior who guards one of many outposts .   Lee Norris as Todd , a timid member of the Saviors who works at the same outpost as Mara .   Whitmer Thomas as Gunther , a member of the Saviors who tortures Ezekiel .   Charles Halford as Yago , a Savior who manages Gavin 's weapons base .   Ciera L. Payton as Zia , a Savior whom Rosita and Michonne encounter at a supply warehouse .   Adam Cronan as Leo , a Savior whom Rosita and Michonne encounter at a supply warehouse .   Chloe Aktas as Tanya , one of Negan 's wives .   Elyse Dufour as Frankie , one of Negan 's wives .   Adam Fristoe as Dean , a Savior who tried to kill Jesus .   The Kingdom ( edit )   Cooper Andrews as Jerry , Ezekiel 's loyal and good - natured bodyguard .   Kerry Cahill as Dianne , one of Ezekiel 's top soldiers and a skilled archer .   Daniel Newman as Daniel , one of Ezekiel 's top soldiers .   Carlos Navarro as Alvaro , one of Ezekiel 's top soldiers .   Macsen Lintz as Henry , a resident of the Kingdom and younger brother of the deceased Benjamin , who wants revenge on the saviors for the death of his brother .   Jason Burkey as Kevin , a resident of the Kingdom .   Nadine Marissa as Nabila , a resident and gardener of the Kingdom .   Oceanside ( edit )   Deborah May as Natania , the vigilant leader of Oceanside .   Sydney Park as Cyndie , Natania 's granddaughter .   Briana Venskus as Beatrice , one of Oceanside 's top soldiers .   Nicole Barré as Kathy , one of Oceanside 's top soldiers .   Mimi Kirkland as Rachel , an aggressive young member of Oceanside .   The Scavengers ( edit )   Sabrina Gennarino as Tamiel , a leading member of the Scavengers .   Thomas Francis Murphy as Brion , a leading member of the Scavengers .   Miscellaneous ( edit )   Avi Nash as Siddiq , a mysterious vagabond survivor who befriends Carl .   Jayne Atkinson as Georgie , the leader of a mysterious humanitarian group .    Production ( edit )   The Walking Dead was renewed by AMC for a 16 - episode eighth season on October 16 , 2016 . Production began on April 25 , 2017 , in Atlanta , Georgia . On July 12 , 2017 , production was shut down after stuntman John Bernecker was killed , after falling more than 20 feet onto a concrete floor . Production resumed on July 17 .   The season premiere , which also serves as the series ' milestone 100th episode , was directed by executive producer Greg Nicotero .   In November 2017 , it was announced that Lennie James who portrays Morgan Jones , would be leaving The Walking Dead after the conclusion of this season , and he will join the cast of the spin - off series Fear the Walking Dead .   Episodes ( edit )  See also : List of The Walking Dead episodes    No . overall   No. in season   Title   Directed by   Written by   Original air date   U.S. viewers ( millions )     100     `` Mercy ''   Greg Nicotero   Scott M. Gimple   October 22 , 2017 ( 2017 - 10 - 22 )   11.44     Rick , Maggie , and Ezekiel rally their communities together to take down Negan . Gregory attempts to have the Hilltop residents side with Negan , but they all firmly stand behind Maggie . The group attacks the Sanctuary , taking down its fences and flooding the compound with walkers . With the Sanctuary defaced , everyone leaves except Gabriel , who reluctantly stays to save Gregory , but is left behind when Gregory abandons him . Surrounded by walkers , Gabriel hides in a trailer , where he is trapped inside with Negan .     101     `` The Damned ''   Rosemary Rodriguez   Matthew Negrete &amp; Channing Powell   October 29 , 2017 ( 2017 - 10 - 29 )   8.92     Rick 's forces split into separate parties to attack several of the Saviors ' outposts , during which many members of the group are killed ; Eric is critically injured and rushed away by Aaron . Jesus stops Tara and Morgan from executing a group of surrendered Saviors . While clearing an outpost with Daryl , Rick is confronted and held at gunpoint by Morales , a survivor he met in the initial Atlanta camp , who is now with the Saviors .     102     `` Monsters ''   Greg Nicotero   Matthew Negrete &amp; Channing Powell   November 5 , 2017 ( 2017 - 11 - 05 )   8.52     Daryl finds Morales threatening Rick and kills him ; the duo then pursue a group of Saviors who are transporting weapons to another outpost . Gregory returns to Hilltop , and after a heated argument , Maggie ultimately allows him back in the community . Eric dies from his injuries , leaving Aaron distraught . Despite Tara and Morgan 's objections , Jesus leads the group of surrendered Saviors to Hilltop . Ezekiel 's group attacks another Savior compound , during which Kingdom fighters are annihilated while protecting Ezekiel .     103     `` Some Guy ''   Dan Liu   David Leslie Johnson   November 12 , 2017 ( 2017 - 11 - 12 )   8.69     Ezekiel 's group is overwhelmed by the Saviors , who kill all of them except for Ezekiel himself and Jerry . Carol clears the inside of the compound , killing all but two Saviors , who almost escape but are eventually caught by Rick and Daryl . En route to the Kingdom , Ezekiel , Jerry , and Carol are surrounded by walkers , but Shiva sacrifices herself to save them . The trio returns to the Kingdom , where Ezekiel 's confidence in himself as a leader has diminished .     104   5   `` The Big Scary U ''   Michael E. Satrazemis   Story by : Scott M. Gimple &amp; David Leslie Johnson &amp; Angela Kang Teleplay by : David Leslie Johnson &amp; Angela Kang   November 19 , 2017 ( 2017 - 11 - 19 )   7.85     After confessing their sins to each other , Gabriel and Negan manage to escape from the trailer . Simon and the other lieutenants grow suspicious of each other , knowing that Rick 's forces must have inside information . The workers in the Sanctuary become increasingly frustrated with their living conditions , and a riot nearly ensues , until Negan returns and restores order . Gabriel is locked in a cell , where Eugene discovers him sick and suffering . Meanwhile , Rick and Daryl argue over how to take out the Saviors , leading Daryl to abandon Rick .     105   6   `` The King , the Widow , and Rick ''   John Polson   Angela Kang &amp; Corey Reed   November 26 , 2017 ( 2017 - 11 - 26 )   8.28     Rick visits Jadis in hopes of convincing her to turn against Negan ; Jadis refuses , and locks Rick in a shipping container . Carl encounters Siddiq in the woods and recruits him to Alexandria . Daryl and Tara plot to deviate from Rick 's plans by destroying the Sanctuary . Ezekiel isolates himself at the Kingdom , where Carol tries to encourage him to be the leader his people need . Maggie has the group of captured Saviors placed in a holding area and forces Gregory to join them as punishment for betraying Hilltop .     106   7   `` Time for After ''   Larry Teng   Matthew Negrete &amp; Corey Reed   December 3 , 2017 ( 2017 - 12 - 03 )   7.47     After learning of Dwight 's association with Rick 's group , Eugene affirms his loyalty to Negan and outlines a plan to get rid of the walkers surrounding the Sanctuary . With help from Morgan and Tara , Daryl drives a truck through the Sanctuary 's walls , flooding its interior with walkers , killing many Saviors . Rick finally convinces Jadis and the Scavengers to align with him , and they plan to force the Saviors to surrender . However , when they arrive at the Sanctuary , Rick is horrified to see the breached walls and no sign of the walker herd .     107   8   `` How It 's Gotta Be ''   Michael E. Satrazemis   David Leslie Johnson &amp; Angela Kang   December 10 , 2017 ( 2017 - 12 - 10 )   7.89     Eugene 's plan allows the Saviors to escape the Sanctuary , and separately , the Saviors waylay the Alexandria , Hilltop , and Kingdom forces . The Scavengers abandon Rick , after which he returns to Alexandria . Aaron and Enid are ambushed by Oceanside soldiers , leading Enid to kill Natania . Ezekiel ensures that the Kingdom residents are able to escape before locking himself in the community with the Saviors . Eugene aids Gabriel and Doctor Carson in escaping the Sanctuary in order to ease his conscience . Negan attacks Alexandria , but Carl devises a plan to allow the Alexandria residents to escape into the sewers . Carl reveals he was bitten by a walker while escorting Siddiq to Alexandria .     108   9   `` Honor ''   Greg Nicotero   Matthew Negrete &amp; Channing Powell   February 25 , 2018 ( 2018 - 02 - 25 )   8.28     Realizing his time alive is limited , Carl writes several letters to his loved ones . After the Saviors leave Alexandria , the survivors make for the Hilltop while Rick and Michonne stay behind to say their final goodbyes to a dying Carl , who pleads with Rick to build a better future alongside the Saviors . Morgan and Carol launch a rescue mission for Ezekiel and successfully retake the Kingdom from the invading Saviors ; their lieutenant , Gavin , is killed by Benjamin 's vengeful younger brother , Henry .     109   10   `` The Lost and the Plunderers ''   David Boyd   Angela Kang &amp; Channing Powell &amp; Corey Reed   March 4 , 2018 ( 2018 - 03 - 04 )   6.82     Aaron and Enid try to convince Oceanside to join the fight against the Saviors , but they refuse ; Enid returns to Hilltop while Aaron opts to stay at Oceanside until he can convince them to join . Upon learning of the Scavenger 's siding with Rick , Negan orders Simon to kill only one of Jadis ' people . Rick and Michonne travel to the junkyard to warn Jadis of the Saviors ' impending attack , but they are too late ; Simon had ordered the Saviors to slaughter the entire group ; Jadis , who managed to escape lures her reanimated comrades into a waste shredder to protect herself .     110   11   `` Dead or Alive Or ''   Michael E. Satrazemis   Eddie Guzelian   March 11 , 2018 ( 2018 - 03 - 11 )   6.60     The Saviors hunt the surviving Alexandrians as they make their way to the Hilltop ; Dwight affirms his loyalty to Rick 's group as he distracts the Saviors and helps lead the group to safety . Eugene leads a crew of Saviors in crafting bullets at a new outpost while Negan plans to taint the Saviors ' weapons with walker blood , in order to make the others `` turn '' instead of killing them . Doctor Carson tries to help a feverish and nearly blind Gabriel to safety , but the Saviors eventually catch up , killing Carson and recapturing Gabriel .     111   12   `` The Key ''   Greg Nicotero   Corey Reed &amp; Channing Powell   March 18 , 2018 ( 2018 - 03 - 18 )   6.66     Maggie , Enid , Michonne and Rosita encounter a seemingly benevolent woman named Georgie , who gives them food and documents in exchange for phonograph records ; Georgie claims the documents to be `` a key to the future '' . Negan leads the Saviors to the Hilltop to send a warning via their newly tainted weapons ; Rick pursues the Saviors and chases Negan into a building . Negan eventually escapes , only to be captured at gunpoint by Jadis . Unable to find Negan , Simon instructs the Saviors to attack the Hilltop and `` expunge '' the community for good .     112   13   `` Do Not Send Us Astray ''   Jeffrey F. January   Angela Kang &amp; Matthew Negrete   March 25 , 2018 ( 2018 - 03 - 25 )   6.77     The Saviors attack the Hilltop with their tainted weapons , leading to a battle in which both sides suffer heavy casualties . Tara is non-fatally shot by Dwight in an effort to prevent Simon from killing her . Overnight , the injured die from their tainted wounds and attack the sleeping survivors after reanimating . Henry tries to take revenge for the murder of his brother , leading to the breakout of the Savior prisoners and the disappearance of Henry . Having seen the Saviors ' callous attitude for themselves , Alden and several other Saviors choose to remain at the Hilltop rather than return to the Saviors .     113   14   `` Still Gotta Mean Something ''   Michael E. Satrazemis   Eddie Guzelian   April 1 , 2018 ( 2018 - 04 - 01 )   6.30     Carol and Morgan search for Henry while Rick hunts the escaped Savior prisoners ; Morgan abandons Carol and joins Rick , and together , they find and kill the prisoners . Jadis tortures Negan until he informs her that he had nothing to do with Simon massacring her people ; a helicopter flies nearby , but Jadis fails to catch its attention . Daryl and Rosita plot to stop Eugene from crafting ammunition for the Saviors . Carol finds Henry alive in the woods and they return to Hilltop . Upon Rick and Morgan 's return , Michonne encourages Rick to read Carl 's letter to him .     114   15   `` Worth ''   Michael Slovis   David Leslie Johnson - McGoldrick &amp; Corey Reed   April 8 , 2018 ( 2018 - 04 - 08 )   6.67     Negan returns to the Sanctuary and regains control of the Saviors . Dwight secretly prepares notes to Rick about Negan 's plans , and later sends Gregory to deliver the notes . Daryl and Rosita capture Eugene from his outpost , but he manages to escape and continues pushing his workers to craft bullets . Dwight lures Simon into a meeting where Negan accosts him for going against his orders with the Scavengers , and kills him in a fist fight . Negan then reveals that Laura informed him of Dwight 's siding with Rick , and that his planning was a ruse upon knowing of Dwight 's disloyalty . Negan is contacted by Michonne - who reads Carl 's letter to him at the request of making peace ; Negan remains intent on killing Rick and his allies once and for all .     115   16   `` Wrath ''   Greg Nicotero   Scott M. Gimple &amp; Angela Kang &amp; Matthew Negrete   April 15 , 2018 ( 2018 - 04 - 15 )   7.92     Rick 's group follows the false plans given to them by Gregory , leading them into a trap . As the Saviors fire , their weapons backfire due to their ammo being sabotaged by Eugene . The surviving Saviors surrender , while Rick chases down Negan ; the two brawl and Rick manages to slice Negan 's neck , but immediately has Siddiq tend to the wound , knowing that Carl wanted Negan to survive . Meanwhile , an attack at the Hilltop is stopped with help from Aaron and the Oceanside soldiers . The survivors regroup and rebuild their communities , but Rick 's decision to spare Negan angers Maggie and she vows to take action against Rick in the future .     Release ( edit )   The first trailer for the season was released on July 21 , 2017 at the San Diego Comic - Con . The second trailer was released on February 1 , 2018 for the second part of the season .   On March 15 , 2018 , it was announced that the season finale and the fourth season premiere of Fear the Walking Dead would be screened at AMC , Regal , and Cinemark theaters across the United States on April 15 , the same day as the TV airing , for `` Survival Sunday : The Walking Dead &amp; Fear the Walking Dead '' . The episodes marked the first crossover between the two series . The cinema screening also included an extra half - hour of exclusive bonus content .   Reception ( edit )   Critical response ( edit )   The eighth season of The Walking Dead has received mixed reviews from critics . On Rotten Tomatoes , the season holds a score of 67 % with an average rating of 6.68 out of 10 , based on 15 reviews , and an average episode score 72 % . The site 's critical consensus reads : `` The Walking Dead 's eighth season energizes its characters with some much - needed angst and action , though it 's still occasionally choppy and lacking forward - moving plot progression . ''   The Walking Dead ( season 8 ) : Critical reception by episode     Season 8 ( 2017 -- 18 ) : Percentage of positive reviews tracked by the website Rotten Tomatoes       Accolades ( edit )  See also : List of awards and nominations received by The Walking Dead  For the 44th Saturn Awards , the eight season of The Walking Dead received seven nominations , winning two . It won Best Horror Television Series and Best Performance by a Younger Actor in a Television Series ( Chandler Riggs ) . The nominations were for Best Actor on Television ( Andrew Lincoln ) , Best Supporting Actor on Television ( Khary Payton ) , Best Supporting Actress on Television ( Danai Gurira and Melissa McBride ) , and Best Guest Starring Role on Television ( Jeffrey Dean Morgan ) .   The first half of the season was nominated for Outstanding Performance by a Stunt Ensemble in a Television Series at the 24th Screen Actors Guild Awards .   Ratings ( edit )     No .   Title   Air date   Rating ( 18 -- 49 )   Viewers ( millions )   DVR ( 18 -- 49 )   DVR viewers ( millions )   Total ( 18 -- 49 )   Total viewers ( millions )       `` Mercy ''   October 22 , 2017   5.0   11.44   2.2   4.28   7.2   15.74       `` The Damned ''   October 29 , 2017   4.0   8.92   2.0   4.16   6.0   13.10       `` Monsters ''   November 5 , 2017   3.8   8.52   2.2   4.47   6.0   13.01       `` Some Guy ''   November 12 , 2017   3.9   8.69   1.8   3.66   5.7   12.36     5   `` The Big Scary U ''   November 19 , 2017   3.4   7.85   N / A   N / A   N / A   N / A     6   `` The King , the Widow , and Rick ''   November 26 , 2017   3.6   8.28     4.44   5.7   12.73     7   `` Time for After ''   December 3 , 2017   3.3   7.47   1.9   4.15   5.2   11.63     8   `` How It 's Gotta Be ''   December 10 , 2017   3.4   7.89   2.0   4.23   5.4   12.13     9   `` Honor ''   February 25 , 2018   3.6   8.28   N / A   N / A   N / A   N / A     10   `` The Lost and the Plunderers ''   March 4 , 2018   2.9   6.82   1.7   3.80   4.6   10.63     11   `` Dead or Alive Or ''   March 11 , 2018   2.8   6.60   1.6   3.44   4.4   10.06     12   `` The Key ''   March 18 , 2018   2.8   6.66   1.7   3.76   4.5   10.44     13   `` Do Not Send Us Astray ''   March 25 , 2018   3.0   6.77   1.7   3.82   4.7   10.62     14   `` Still Gotta Mean Something ''   April 1 , 2018   2.6   6.30   1.8   3.68   4.4   9.99     15   `` Worth ''   April 8 , 2018   2.8   6.67   1.7   3.64   4.5   10.32     16   `` Wrath ''   April 15 , 2018   3.4   7.92   1.6   3.30   5.0   11.24     ^ 1 Live + 7 ratings were not available , so Live + 3 ratings have been used instead .   Home media ( edit )   The eighth season was released on Blu - ray and DVD on August 21 , 2018 . The set includes three audio commentaries and three featurettes .   References ( edit )    ^ Jump up to : McNary , Dave ( June 27 , 2018 ) . `` ' Black Panther ' Reigns at Saturn Awards , ' Better Call Saul ' and ' Twin Peaks ' Top TV Field '' . Variety . Retrieved June 27 , 2018 .   Jump up ^ Goldberg , Lesley ( April 17 , 2017 ) . `` ' Walking Dead ' Promotes Trio to Series Regular for Season 8 '' . The Hollywood Reporter . Retrieved May 4 , 2017 .   ^ Jump up to : Ausiello , Michael ( April 17 , 2017 ) . `` The Walking Dead Promotes 3 Actors to Series Regular Ahead of Season 8 '' . TV Line . Retrieved October 25 , 2017 .   Jump up ^ Hibberd , James ( October 16 , 2016 ) . `` Walking Dead gets early season 8 renewal '' . Entertainment Weekly . Retrieved October 16 , 2016 .   Jump up ^ Davis , Brandon ( April 24 , 2017 ) . `` The Walking Dead Cast And Crew Assemble For Season 8 '' . Comicbook.com . Retrieved July 22 , 2017 .   Jump up ^ Otterson , Joe ( July 13 , 2017 ) . `` ' Walking Dead ' Stuntman Dies After On - Set Accident '' . Variety . Retrieved July 22 , 2017 .   Jump up ^ Pedersen , Erik ( July 17 , 2017 ) . `` ' Walking Dead ' Production Resumes After Stuntman 's Death '' . Deadline . Retrieved July 22 , 2017 .   Jump up ^ Davis , Brandon ( April 25 , 2017 ) . `` Exclusive : Greg Nicotero To Direct The Walking Dead Episode 100 , Season 8 Premiere '' . Comicbook.com . Retrieved July 22 , 2017 .   Jump up ^ Ross , Dalton ( November 26 , 2017 ) . `` The Walking Dead : Lennie James will cross over to Fear The Walking Dead '' . Entertainment Weekly . Retrieved November 27 , 2017 .   ^ Jump up to : Porter , Rick ( October 24 , 2017 ) . `` Sunday cable ratings : ' The Walking Dead ' has lowest - rated premiere since Season 2 '' . TV by the Numbers . Retrieved October 24 , 2017 .   ^ Jump up to : Porter , Rick ( October 31 , 2017 ) . `` Sunday cable ratings : ' The Walking Dead ' stumbles to 5 - year low '' . TV by the Numbers . Retrieved October 31 , 2017 .   ^ Jump up to : Porter , Rick ( November 7 , 2017 ) . `` Sunday cable ratings : ' Shameless ' has its best premiere in 4 - plus years '' . TV by the Numbers . Retrieved November 7 , 2017 .   ^ Jump up to : Porter , Rick ( November 14 , 2017 ) . `` Sunday cable ratings : ' The Walking Dead ' improves , ' Shameless ' dips in week 2 '' . TV by the Numbers . Retrieved November 14 , 2017 .   ^ Jump up to : Porter , Rick ( November 21 , 2017 ) . `` Sunday cable ratings : 6 - year low for ' The Walking Dead ' '' . TV by the Numbers . Retrieved November 21 , 2017 .   ^ Jump up to : Porter , Rick ( November 29 , 2017 ) . `` Sunday cable ratings : Hallmark 's ' Switched for Christmas ' hits a high , ' Walking Dead ' rebounds some '' . TV by the Numbers . Retrieved November 29 , 2017 .   ^ Jump up to : Porter , Rick ( December 5 , 2017 ) . `` Sunday cable ratings : ' The Walking Dead ' goes low again '' . TV by the Numbers . Retrieved December 5 , 2017 .   ^ Jump up to : Porter , Rick ( December 12 , 2017 ) . `` Sunday cable ratings : ' Walking Dead ' fall finale ticks up , Season 8 still way down '' . TV by the Numbers . Retrieved December 12 , 2017 .   ^ Jump up to : Porter , Rick ( February 27 , 2018 ) . `` Sunday cable ratings : ' The Walking Dead ' returns a little higher '' . TV by the Numbers . Retrieved February 27 , 2018 .   ^ Jump up to : Porter , Rick ( March 6 , 2018 ) . `` Sunday cable ratings : ' The Walking Dead ' at lowest point since Season 1 '' . TV by the Numbers . Retrieved March 6 , 2018 .   ^ Jump up to : Porter , Rick ( March 13 , 2018 ) . `` Sunday cable ratings : ' The Walking Dead ' goes even lower '' . TV by the Numbers . Retrieved March 13 , 2018 .   ^ Jump up to : Porter , Rick ( March 20 , 2018 ) . `` Sunday cable ratings : ' The Walking Dead ' levels off '' . TV by the Numbers . Retrieved March 20 , 2018 .   ^ Jump up to : Porter , Rick ( March 27 , 2018 ) . `` Sunday cable ratings : ' The Terror ' gets decent start behind ' The Walking Dead ' '' . TV by the Numbers . Retrieved March 27 , 2018 .   ^ Jump up to : Porter , Rick ( April 3 , 2018 ) . `` Sunday cable ratings : ' The Walking Dead ' falls , NCAA women 's championship off a little '' . TV by the Numbers . Retrieved April 3 , 2018 .   ^ Jump up to : Porter , Rick ( April 10 , 2018 ) . `` Sunday cable ratings : ' Walking Dead , ' ' Real Housewives of Atlanta ' improve '' . TV by the Numbers . Retrieved April 10 , 2018 .   ^ Jump up to : Porter , Rick ( April 17 , 2018 ) . `` Sunday cable ratings : ' Fear the Walking Dead ' opens higher '' . TV by the Numbers . Retrieved April 17 , 2018 .   Jump up ^ Snierson , Dan ( July 21 , 2017 ) . `` The Walking Dead season 8 trailer teases surprise flash - forward '' . Entertainment Weekly . Retrieved July 22 , 2017 .   Jump up ^ Nyren , Erin ( March 15 , 2018 ) . `` ' The Walking Dead ' Finale and ' Fear ' Premiere to Screen in Theaters '' . Variety . Retrieved March 21 , 2018 .   ^ Jump up to : `` The Walking Dead : Season 8 '' . Rotten Tomatoes . Retrieved April 17 , 2016 .   Jump up ^ McNary , Dave ( March 15 , 2018 ) . `` ' Black Panther , ' ' Walking Dead ' Rule Saturn Awards Nominations '' . Variety . Retrieved March 15 , 2018 .   Jump up ^ `` The 24th Screen Actors Guild Awards : NOMINEES AND RECIPIENTS '' . Screen Actors Guild . Retrieved July 8 , 2018 .   Jump up ^ Porter , Rick ( November 3 , 2017 ) . `` ' Walking Dead ' premiere grows a lot , still trails Season 7 debut by a lot : Cable Live + 7 ratings for Oct. 16 - 22 '' . TV by the Numbers . Retrieved November 3 , 2017 .   Jump up ^ Porter , Rick ( November 9 , 2017 ) . `` ' Walking Dead , ' ' AHS : Cult ' way above everything else in cable Live + 7 ratings for Oct. 23 - 29 '' . TV by the Numbers . Retrieved November 9 , 2017 .   Jump up ^ Porter , Rick ( November 17 , 2017 ) . `` ' American Horror Story : Cult ' triples in cable Live + 7 ratings for Oct. 30 - Nov. 5 '' . TV by the Numbers . Retrieved November 17 , 2017 .   Jump up ^ Porter , Rick ( November 19 , 2017 ) . `` ' The Walking Dead ' keeps pace in cable Live + 3 ratings for Nov. 6 - 12 '' . TV by the Numbers . Retrieved November 19 , 2017 .   Jump up ^ Porter , Rick ( December 7 , 2017 ) . `` ' The Walking Dead ' laps the field in cable Live + 7 ratings for Nov. 20 - 26 '' . TV by the Numbers . Retrieved December 7 , 2017 .   Jump up ^ Porter , Rick ( December 15 , 2017 ) . `` ' The Walking Dead ' outpaces everything else in cable Live + 7 ratings for Nov. 27 - Dec. 3 '' . TV by the Numbers . Retrieved December 15 , 2017 .   Jump up ^ Porter , Rick ( December 21 , 2017 ) . `` ' Top Chef ' premiere more than doubles in cable Live + 7 ratings for Dec. 4 - 10 '' . TV by the Numbers . Retrieved December 21 , 2017 .   Jump up ^ Porter , Rick ( March 15 , 2018 ) . `` ' Walking Dead ' stays atop the cable Live + 7 ratings for Feb. 26 - Mar</t>
  </si>
  <si>
    <t xml:space="preserve">who does in season 8 of the walking dead</t>
  </si>
  <si>
    <t xml:space="preserve">   No . overall   No. in season   Title   Directed by   Written by   Original air date   U.S. viewers ( millions )     100     `` Mercy ''   Greg Nicotero   Scott M. Gimple   October 22 , 2017 ( 2017 - 10 - 22 )   11.44     Rick , Maggie , and Ezekiel rally their communities together to take down Negan . Gregory attempts to have the Hilltop residents side with Negan , but they all firmly stand behind Maggie . The group attacks the Sanctuary , taking down its fences and flooding the compound with walkers . With the Sanctuary defaced , everyone leaves except Gabriel , who reluctantly stays to save Gregory , but is left behind when Gregory abandons him . Surrounded by walkers , Gabriel hides in a trailer , where he is trapped inside with Negan .     101     `` The Damned ''   Rosemary Rodriguez   Matthew Negrete &amp; Channing Powell   October 29 , 2017 ( 2017 - 10 - 29 )   8.92     Rick 's forces split into separate parties to attack several of the Saviors ' outposts , during which many members of the group are killed ; Eric is critically injured and rushed away by Aaron . Jesus stops Tara and Morgan from executing a group of surrendered Saviors . While clearing an outpost with Daryl , Rick is confronted and held at gunpoint by Morales , a survivor he met in the initial Atlanta camp , who is now with the Saviors .     102     `` Monsters ''   Greg Nicotero   Matthew Negrete &amp; Channing Powell   November 5 , 2017 ( 2017 - 11 - 05 )   8.52     Daryl finds Morales threatening Rick and kills him ; the duo then pursue a group of Saviors who are transporting weapons to another outpost . Gregory returns to Hilltop , and after a heated argument , Maggie ultimately allows him back in the community . Eric dies from his injuries , leaving Aaron distraught . Despite Tara and Morgan 's objections , Jesus leads the group of surrendered Saviors to Hilltop . Ezekiel 's group attacks another Savior compound , during which Kingdom fighters are annihilated while protecting Ezekiel .     103     `` Some Guy ''   Dan Liu   David Leslie Johnson   November 12 , 2017 ( 2017 - 11 - 12 )   8.69     Ezekiel 's group is overwhelmed by the Saviors , who kill all of them except for Ezekiel himself and Jerry . Carol clears the inside of the compound , killing all but two Saviors , who almost escape but are eventually caught by Rick and Daryl . En route to the Kingdom , Ezekiel , Jerry , and Carol are surrounded by walkers , but Shiva sacrifices herself to save them . The trio returns to the Kingdom , where Ezekiel 's confidence in himself as a leader has diminished .     104   5   `` The Big Scary U ''   Michael E. Satrazemis   Story by : Scott M. Gimple &amp; David Leslie Johnson &amp; Angela Kang Teleplay by : David Leslie Johnson &amp; Angela Kang   November 19 , 2017 ( 2017 - 11 - 19 )   7.85     After confessing their sins to each other , Gabriel and Negan manage to escape from the trailer . Simon and the other lieutenants grow suspicious of each other , knowing that Rick 's forces must have inside information . The workers in the Sanctuary become increasingly frustrated with their living conditions , and a riot nearly ensues , until Negan returns and restores order . Gabriel is locked in a cell , where Eugene discovers him sick and suffering . Meanwhile , Rick and Daryl argue over how to take out the Saviors , leading Daryl to abandon Rick .     105   6   `` The King , the Widow , and Rick ''   John Polson   Angela Kang &amp; Corey Reed   November 26 , 2017 ( 2017 - 11 - 26 )   8.28     Rick visits Jadis in hopes of convincing her to turn against Negan ; Jadis refuses , and locks Rick in a shipping container . Carl encounters Siddiq in the woods and recruits him to Alexandria . Daryl and Tara plot to deviate from Rick 's plans by destroying the Sanctuary . Ezekiel isolates himself at the Kingdom , where Carol tries to encourage him to be the leader his people need . Maggie has the group of captured Saviors placed in a holding area and forces Gregory to join them as punishment for betraying Hilltop .     106   7   `` Time for After ''   Larry Teng   Matthew Negrete &amp; Corey Reed   December 3 , 2017 ( 2017 - 12 - 03 )   7.47     After learning of Dwight 's association with Rick 's group , Eugene affirms his loyalty to Negan and outlines a plan to get rid of the walkers surrounding the Sanctuary . With help from Morgan and Tara , Daryl drives a truck through the Sanctuary 's walls , flooding its interior with walkers , killing many Saviors . Rick finally convinces Jadis and the Scavengers to align with him , and they plan to force the Saviors to surrender . However , when they arrive at the Sanctuary , Rick is horrified to see the breached walls and no sign of the walker herd .     107   8   `` How It 's Gotta Be ''   Michael E. Satrazemis   David Leslie Johnson &amp; Angela Kang   December 10 , 2017 ( 2017 - 12 - 10 )   7.89     Eugene 's plan allows the Saviors to escape the Sanctuary , and separately , the Saviors waylay the Alexandria , Hilltop , and Kingdom forces . The Scavengers abandon Rick , after which he returns to Alexandria . Aaron and Enid are ambushed by Oceanside soldiers , leading Enid to kill Natania . Ezekiel ensures that the Kingdom residents are able to escape before locking himself in the community with the Saviors . Eugene aids Gabriel and Doctor Carson in escaping the Sanctuary in order to ease his conscience . Negan attacks Alexandria , but Carl devises a plan to allow the Alexandria residents to escape into the sewers . Carl reveals he was bitten by a walker while escorting Siddiq to Alexandria .     108   9   `` Honor ''   Greg Nicotero   Matthew Negrete &amp; Channing Powell   February 25 , 2018 ( 2018 - 02 - 25 )   8.28     Realizing his time alive is limited , Carl writes several letters to his loved ones . After the Saviors leave Alexandria , the survivors make for the Hilltop while Rick and Michonne stay behind to say their final goodbyes to a dying Carl , who pleads with Rick to build a better future alongside the Saviors . Morgan and Carol launch a rescue mission for Ezekiel and successfully retake the Kingdom from the invading Saviors ; their lieutenant , Gavin , is killed by Benjamin 's vengeful younger brother , Henry .     109   10   `` The Lost and the Plunderers ''   David Boyd   Angela Kang &amp; Channing Powell &amp; Corey Reed   March 4 , 2018 ( 2018 - 03 - 04 )   6.82     Aaron and Enid try to convince Oceanside to join the fight against the Saviors , but they refuse ; Enid returns to Hilltop while Aaron opts to stay at Oceanside until he can convince them to join . Upon learning of the Scavenger 's siding with Rick , Negan orders Simon to kill only one of Jadis ' people . Rick and Michonne travel to the junkyard to warn Jadis of the Saviors ' impending attack , but they are too late ; Simon had ordered the Saviors to slaughter the entire group ; Jadis , who managed to escape lures her reanimated comrades into a waste shredder to protect herself .     110   11   `` Dead or Alive Or ''   Michael E. Satrazemis   Eddie Guzelian   March 11 , 2018 ( 2018 - 03 - 11 )   6.60     The Saviors hunt the surviving Alexandrians as they make their way to the Hilltop ; Dwight affirms his loyalty to Rick 's group as he distracts the Saviors and helps lead the group to safety . Eugene leads a crew of Saviors in crafting bullets at a new outpost while Negan plans to taint the Saviors ' weapons with walker blood , in order to make the others `` turn '' instead of killing them . Doctor Carson tries to help a feverish and nearly blind Gabriel to safety , but the Saviors eventually catch up , killing Carson and recapturing Gabriel .     111   12   `` The Key ''   Greg Nicotero   Corey Reed &amp; Channing Powell   March 18 , 2018 ( 2018 - 03 - 18 )   6.66     Maggie , Enid , Michonne and Rosita encounter a seemingly benevolent woman named Georgie , who gives them food and documents in exchange for phonograph records ; Georgie claims the documents to be `` a key to the future '' . Negan leads the Saviors to the Hilltop to send a warning via their newly tainted weapons ; Rick pursues the Saviors and chases Negan into a building . Negan eventually escapes , only to be captured at gunpoint by Jadis . Unable to find Negan , Simon instructs the Saviors to attack the Hilltop and `` expunge '' the community for good .     112   13   `` Do Not Send Us Astray ''   Jeffrey F. January   Angela Kang &amp; Matthew Negrete   March 25 , 2018 ( 2018 - 03 - 25 )   6.77     The Saviors attack the Hilltop with their tainted weapons , leading to a battle in which both sides suffer heavy casualties . Tara is non-fatally shot by Dwight in an effort to prevent Simon from killing her . Overnight , the injured die from their tainted wounds and attack the sleeping survivors after reanimating . Henry tries to take revenge for the murder of his brother , leading to the breakout of the Savior prisoners and the disappearance of Henry . Having seen the Saviors ' callous attitude for themselves , Alden and several other Saviors choose to remain at the Hilltop rather than return to the Saviors .     113   14   `` Still Gotta Mean Something ''   Michael E. Satrazemis   Eddie Guzelian   April 1 , 2018 ( 2018 - 04 - 01 )   6.30     Carol and Morgan search for Henry while Rick hunts the escaped Savior prisoners ; Morgan abandons Carol and joins Rick , and together , they find and kill the prisoners . Jadis tortures Negan until he informs her that he had nothing to do with Simon massacring her people ; a helicopter flies nearby , but Jadis fails to catch its attention . Daryl and Rosita plot to stop Eugene from crafting ammunition for the Saviors . Carol finds Henry alive in the woods and they return to Hilltop . Upon Rick and Morgan 's return , Michonne encourages Rick to read Carl 's letter to him .     114   15   `` Worth ''   Michael Slovis   David Leslie Johnson - McGoldrick &amp; Corey Reed   April 8 , 2018 ( 2018 - 04 - 08 )   6.67     Negan returns to the Sanctuary and regains control of the Saviors . Dwight secretly prepares notes to Rick about Negan 's plans , and later sends Gregory to deliver the notes . Daryl and Rosita capture Eugene from his outpost , but he manages to escape and continues pushing his workers to craft bullets . Dwight lures Simon into a meeting where Negan accosts him for going against his orders with the Scavengers , and kills him in a fist fight . Negan then reveals that Laura informed him of Dwight 's siding with Rick , and that his planning was a ruse upon knowing of Dwight 's disloyalty . Negan is contacted by Michonne - who reads Carl 's letter to him at the request of making peace ; Negan remains intent on killing Rick and his allies once and for all .     115   16   `` Wrath ''   Greg Nicotero   Scott M. Gimple &amp; Angela Kang &amp; Matthew Negrete   April 15 , 2018 ( 2018 - 04 - 15 )   7.92     Rick 's group follows the false plans given to them by Gregory , leading them into a trap . As the Saviors fire , their weapons backfire due to their ammo being sabotaged by Eugene . The surviving Saviors surrender , while Rick chases down Negan ; the two brawl and Rick manages to slice Negan 's neck , but immediately has Siddiq tend to the wound , knowing that Carl wanted Negan to survive . Meanwhile , an attack at the Hilltop is stopped with help from Aaron and the Oceanside soldiers . The survivors regroup and rebuild their communities , but Rick 's decision to spare Negan angers Maggie and she vows to take action against Rick in the future .   </t>
  </si>
  <si>
    <t xml:space="preserve">The Love Song of J. Alfred Prufrock - wikipedia  The Love Song of J. Alfred Prufrock  Jump to : navigation , search  The Love Song of J. Alfred Prufrock   by T.S. Eliot         First published in   June 1915 issue of Poetry     Country   United States     Language   English     Publisher   magazine ( 1915 ) : Harriet Monroe chapbook ( 1917 ) : The Egoist , Ltd . ( London )     Lines   140     Pages   6 ( 1915 printing ) 8 ( 1917 printing )     Read online   The Love Song of J. Alfred Prufrock at Wikisource     `` The Love Song of J. Alfred Prufrock '' , commonly known as `` Prufrock '' , is the first professionally published poem by American - born , British poet T.S. Eliot ( 1888 -- 1965 ) . Eliot began writing `` Prufrock '' in February 1910 , and it was first published in the June 1915 issue of Poetry : A Magazine of Verse at the instigation of Ezra Pound ( 1885 -- 1972 ) . It was later printed as part of a twelve - poem pamphlet ( or chapbook ) titled Prufrock and Other Observations in 1917 . At the time of its publication , Prufrock was considered outlandish , but is now seen as heralding a paradigmatic cultural shift from late 19th - century Romantic verse and Georgian lyrics to Modernism .   The poem 's structure was heavily influenced by Eliot 's extensive reading of Dante Alighieri and makes several references to the Bible and other literary works -- including William Shakespeare 's plays Henry IV Part II , Twelfth Night , and Hamlet , the poetry of seventeenth - century metaphysical poet Andrew Marvell , and the nineteenth - century French Symbolists . Eliot narrates the experience of Prufrock using the stream of consciousness technique developed by his fellow Modernist writers . The poem , described as a `` drama of literary anguish '' , is a dramatic interior monologue of an urban man , stricken with feelings of isolation and an incapability for decisive action that is said `` to epitomize frustration and impotence of the modern individual '' and `` represent thwarted desires and modern disillusionment '' .   Prufrock laments his physical and intellectual inertia , the lost opportunities in his life and lack of spiritual progress , and he is haunted by reminders of unattained carnal love . With visceral feelings of weariness , regret , embarrassment , longing , emasculation , sexual frustration , a sense of decay , and an awareness of mortality , `` Prufrock '' has become one of the most recognised voices in modern literature .     Contents  ( hide )   1 Composition and publication history   1.1 Writing and first publication   1.2 Prufrock 's Pervigilium   1.3 Critical reception     2 Description   2.1 Title   2.2 Epigraph   2.3 Themes and interpretation   2.4 Use of allusion     3 Notes   4 Further reading   5 External links      Composition and publication History ( edit )  T.S. Eliot in 1923 , photographed by Lady Ottoline Morrell  Writing and first publication ( edit )   Eliot wrote `` The Love Song of J. Alfred Prufrock '' between February 1910 and July or August 1911 . Shortly after arriving in England to attend Merton College , Oxford , Eliot was introduced to American expatriate poet Ezra Pound , who instantly deemed Eliot `` worth watching '' and aided the start of Eliot 's career . Pound served as the overseas editor of Poetry : A Magazine of Verse and recommended to the magazine 's founder , Harriet Monroe , that Poetry publish `` The Love Song of J. Alfred Prufrock '' , extolling that Eliot and his work embodied a new and unique phenomenon among contemporary writers . Pound claimed that Eliot `` has actually trained himself AND modernized himself ON HIS OWN . The rest of the promising young have done one or the other , but never both . '' The poem was first published by the magazine in its June 1915 issue .   In November 1915 `` The Love Song of J. Alfred Prufrock '' -- along with Eliot 's poems `` Portrait of a Lady , '' `` The Boston Evening Transcript , '' `` Hysteria , '' and `` Miss Helen Slingsby '' -- was included in Catholic Anthology 1914 -- 1915 edited by Ezra Pound and printed by Elkin Mathews in London . In June 1917 The Egoist , a small publishing firm run by Dora Marsden , published a pamphlet entitled Prufrock and Other Observations ( London ) , containing twelve poems by Eliot . `` The Love Song of J. Alfred Prufrock '' was the first in the volume . Also Eliot was appointed assistant editor of the Egoist in June 1917 .   Prufrock 's Pervigilium ( edit )   According to Eliot biographer Lyndall Gordon , when Eliot was writing the first drafts of Prufrock in his notebook in 1910 -- 1911 , he intentionally kept four pages blank in the middle section of the poem . According to the notebooks , now in the collection of the New York Public Library , Eliot finished the poem that was originally published sometime in July and August 1911 -- when he was 22 years old . In 1912 , Eliot revised the poem and included a 38 - line section now called `` Prufrock 's Pervigilium '' which was inserted on those blank pages , and intended as a middle section for the poem . However , Eliot removed this section soon after seeking the advice of his fellow Harvard acquaintance and poet Conrad Aiken . This section would not be included in the original publication of Eliot 's poem but was included when published posthumously in the 1996 collection of Eliot 's early , unpublished drafts in Inventions of the March Hare : Poems 1909 -- 1917 . This Pervigilium section describes the `` vigil '' of Prufrock through an evening and night described by one reviewer as an `` erotic foray into the narrow streets of a social and emotional underworld '' that portray `` in clammy detail Prufrock 's tramping ' through certain half - deserted streets ' and the context of his ' muttering retreats / Of restless nights in one - night cheap hotels . ' ''   Critical reception ( edit )   Its reception in London can be gauged from an unsigned review in The Times Literary Supplement on 21 June 1917 . `` The fact that these things occurred to the mind of Mr. Eliot is surely of the very smallest importance to anyone , even to himself . They certainly have no relation to poetry . ''   The Harvard Vocarium at Harvard College recorded Eliot 's reading of Prufrock and other poems in 1947 , as part of their ongoing series of poetry readings by their authors .   Description ( edit )   Title ( edit )   In his early drafts , Eliot gave the poem the subtitle `` Prufrock among the Women . '' This subtitle was apparently discarded before publication . Eliot called the poem a `` love song '' in reference to Rudyard Kipling 's poem `` The Love Song of Har Dyal , '' first published in Kipling 's collection Plain Tales from the Hills ( 1888 ) . In 1959 , Eliot addressed a meeting of the Kipling Society and discussed the influence of Kipling upon his own poetry :   Traces of Kipling appear in my own mature verse where no diligent scholarly sleuth has yet observed them , but which I am myself prepared to disclose . I once wrote a poem called `` The Love Song of J. Alfred Prufrock '' : I am convinced that it would never have been called `` Love Song '' but for a title of Kipling 's that stuck obstinately in my head : `` The Love Song of Har Dyal '' .   However , the origin of the name Prufrock is not certain , and Eliot never remarked on its origin other than to claim he was unsure of how he came upon the name . Many scholars and indeed Eliot himself have pointed towards the autobiographical elements in the character of Prufrock , and Eliot at the time of writing the poem was in the habit of rendering his name as `` T. Stearns Eliot , '' very similar in form to that of J. Alfred Prufrock . It is suggested that the name `` Prufrock '' came from Eliot 's youth in St. Louis , Missouri , where the Prufrock - Litton Company , a large furniture store , occupied one city block downtown at 420 -- 422 North Fourth Street . In a 1950 letter , Eliot said , `` I did not have , at the time of writing the poem , and have not yet recovered , any recollection of having acquired this name in any way , but I think that it must be assumed that I did , and that the memory has been obliterated . ''   Epigraph ( edit )   The draft version of the poem 's epigraph comes from Dante 's Purgatorio ( XXVI , 147 -- 148 ) :      ' sovegna vos a temps de ma dolor ' . Poi s'ascose nel foco che gli affina .     ' be mindful in due time of my pain ' . Then dived he back into that fire which refines them .            He finally decided not to use this , but eventually used the quotation in the closing lines of his 1922 poem The Waste Land . The quotation that Eliot did choose comes from Dante also . Inferno ( XXVII , 61 -- 66 ) reads :      S ` io credesse che mia risposta fosse A persona che mai tornasse al mondo , Questa fiamma staria senza piu scosse . Ma perciocchè giammai di questo fondo Non tornò vivo alcun , s'i'odo il vero , Senza tema d'infamia ti rispondo .     If I but thought that my response were made to one perhaps returning to the world , this tongue of flame would cease to flicker . But since , up from these depths , no one has yet returned alive , if what I hear is true , I answer without fear of being shamed .            In context , the epigraph refers to a meeting between Dante and Guido da Montefeltro , who was condemned to the eighth circle of Hell for providing counsel to Pope Boniface VIII , who wished to use Guido 's advice for a nefarious undertaking . This encounter follows Dante 's meeting with Ulysses , who himself is also condemned to the circle of the Fraudulent . According to Ron Banerjee , the epigraph serves to cast ironic light on Prufrock 's intent . Like Guido , Prufrock had never intended his story to be told , and so by quoting Guido , Eliot reveals his view of Prufrock 's love song .   Frederick Locke contends that Prufrock himself is suffering from multiple personalities of sorts , and that he embodies both Guido and Dante in the Inferno analogy . One is the storyteller ; the other the listener who later reveals the story to the world . He posits , alternatively , that the role of Guido in the analogy is indeed filled by Prufrock , but that the role of Dante is filled by you , the reader , as in `` Let us go then , you and I , '' ( 1 ) . In that , the reader is granted the power to do as he pleases with Prufrock 's love song .   Themes and interpretation ( edit )   Because the poem is concerned primarily with the irregular musings of the narrator , it can be difficult to interpret . Laurence Perrine wrote , `` ( the poem ) presents the apparently random thoughts going through a person 's head within a certain time interval , in which the transitional links are psychological rather than logical '' . This stylistic choice makes it difficult to determine exactly what is literal and what is symbolic . On the surface , `` The Love Song of J. Alfred Prufrock '' relays the thoughts of a sexually frustrated middle - aged man who wants to say something but is afraid to do so , and ultimately does not . The dispute , however , lies in to whom Prufrock is speaking , whether he is actually going anywhere , what he wants to say , and to what the various images refer .   The intended audience is not evident . Some believe that Prufrock is talking to another person or directly to the reader , while others believe Prufrock 's monologue is internal . Perrine writes `` The ' you and I ' of the first line are divided parts of Prufrock 's own nature '' , while Mutlu Konuk Blasing suggests that the `` you and I '' refers to the relationship between the dilemmas of the character and the author . Similarly , critics dispute whether Prufrock is going somewhere during the course of the poem . In the first half of the poem , Prufrock uses various outdoor images ( the sky , streets , cheap restaurants and hotels , fog ) , and talks about how there will be time for various things before `` the taking of a toast and tea '' , and `` time to turn back and descend the stair . '' This has led many to believe that Prufrock is on his way to an afternoon tea , where he is preparing to ask this `` overwhelming question '' . Others , however , believe that Prufrock is not physically going anywhere , but rather , is playing through it in his mind .   Perhaps the most significant dispute lies over the `` overwhelming question '' that Prufrock is trying to ask . Many believe that Prufrock is trying to tell a woman of his romantic interest in her , pointing to the various images of women 's arms and clothing and the final few lines in which Prufrock laments that the mermaids will not sing to him . Others , however , believe that Prufrock is trying to express some deeper philosophical insight or disillusionment with society , but fears rejection , pointing to statements that express a disillusionment with society , such as `` I have measured out my life with coffee spoons '' ( line 51 ) . Many believe that the poem is a criticism of Edwardian society and Prufrock 's dilemma represents the inability to live a meaningful existence in the modern world . McCoy and Harlan wrote `` For many readers in the 1920s , Prufrock seemed to epitomize the frustration and impotence of the modern individual . He seemed to represent thwarted desires and modern disillusionment . ''   In general , Eliot uses imagery which is indicative of Prufrock 's character , representing ageing and decay . For example , `` When the evening is spread out against the sky / Like a patient etherized upon a table '' ( lines 2 -- 3 ) , the `` sawdust restaurants '' and `` cheap hotels , '' the yellow fog , and the afternoon `` Asleep ... tired ... or it malingers '' ( line 77 ) , are reminiscent of languor and decay , while Prufrock 's various concerns about his hair and teeth , as well as the mermaids `` Combing the white hair of the waves blown back / When the wind blows the water white and black , '' show his concern over aging .   Use of allusion ( edit )   Like many of Eliot 's poems , `` The Love Song of J. Alfred Prufrock '' makes numerous allusions to other works , which are often symbolic themselves .    In `` Time for all the works and days of hands '' ( 29 ) the phrase ' works and days ' is the title of a long poem -- a description of agricultural life and a call to toil -- by the early Greek poet Hesiod .   `` I know the voices dying with a dying fall '' ( 52 ) echoes Orsino 's first lines in Shakespeare 's Twelfth Night .   The prophet of `` Though I have seen my head ( grown slightly bald ) brought in upon a platter / I am no prophet -- and here 's no great matter '' ( 81 -- 2 ) is John the Baptist , whose head was delivered to Salome by Herod as a reward for her dancing ( Matthew 14 : 1 -- 11 , and Oscar Wilde 's play Salome ) .   `` To have squeezed the universe into a ball '' ( 92 ) and `` indeed there will be time '' ( 23 ) echo the closing lines of Marvell 's ' To His Coy Mistress ' . Other phrases such as , `` there will be time '' and `` there is time '' are reminiscent of the opening line of that poem : `` Had we but world enough and time '' . Marvell 's words in turn echo the General Prologue of Chaucer 's Canterbury Tales , `` whil I have tyme and space '' .   `` ' I am Lazarus , come from the dead ' '' ( 94 ) may be either the beggar Lazarus ( of Luke 16 ) returning for the rich man who was not permitted to return from the dead to warn the brothers of a rich man about Hell , or the Lazarus ( of John 11 ) whom Christ raised from the dead , or both .   `` Full of high sentence '' ( 117 ) echoes Chaucer 's description of the Clerk of Oxford in the General Prologue to The Canterbury Tales .   `` There will be time to murder and create '' is a biblical allusion to Ecclesiastes 3 .   In the final section of the poem , Prufrock rejects the idea that he is Prince Hamlet , suggesting that he is merely `` an attendant lord '' ( 112 ) whose purpose is to `` advise the prince '' ( 114 ) , a likely allusion to Polonius -- Polonius being also `` almost , at times , the Fool . ''   `` Among some talk of you and me '' may be a reference to Quatrain 32 of Edward FitzGerald 's translation of the Rubaiyat of Omar Khayyam ( `` There was a Door to which I found no Key / There was a Veil past which I could not see / Some little Talk awhile of Me and Thee / There seemed -- and then no more of Thee and Me . '' )    Notes ( edit )    ^ Jump up to : Eliot , T.S. Prufrock and Other Observations ( London : The Egoist , Ltd. , 1917 ) , 9 -- 16 .   ^ Jump up to : Eliot , T.S. `` The Love Song of J. Alfred Prufrock '' in Monroe , Harriet ( editor ) , Poetry : A Magazine of Verse ( June 1915 ) , 130 -- 135 .   Jump up ^ Eliot , T.S. ( 21 December 2010 ) . The Waste Land and Other Poems . Broadview Press . p. 133 . ISBN 978 - 1 - 77048 - 267 - 8 . Retrieved 9 July 2017 . ( citing an unsigned review in Literary Review . 5 July 1917 , vol . lxxxiii , 107 . )   Jump up ^ Hollahan , Eugene ( March 1970 ) . `` A Structural Dantean Parallel in Eliot 's ' The Love Song of J. Alfred Prufrock ' '' . American Literature. 1 . 42 : 91 -- 93 . doi : 10.2307 / 2924384 . ISSN 0002 - 9831 .   Jump up ^ McCoy , Kathleen , and Harlan , Judith . English Literature From 1785 ( New York : HarperCollins , 1992 ) , 265 -- 66 . ISBN 006467150X   Jump up ^ Bercovitch , Sacvan . The Cambridge History of American Literature . Volume 5 . ( Cambridge : Cambridge University Press , 2003 ) , 99 . ISBN 0521497310   Jump up ^ Capitalization and italics original . Quoted in Mertens , Richard . `` Letter By Letter '' in The University of Chicago Magazine ( August 2001 ) . Retrieved 23 April 2007 .   Jump up ^ Southam , B.C. A Guide to the Selected Poems of T.S. Eliot . ( New York : Harcourt , Brace &amp; Company , 1994 ) , 45 . ISBN 057117082X   ^ Jump up to : Miller , James Edward . T.S. Eliot : The Making of an American poet , 1888 -- 1922 . ( State College , Pennsylvania : Pennsylvania State University Press , 2005 ) ISBN 0271026812   ^ Jump up to : Gordon , Lyndall . Eliot 's New Life . ( Oxford : Oxford University Press , 1988 ) , 45 .   ^ Jump up to : Eliot , T.S. , and Ricks , Christopher B. ( editor ) . Inventions of the March Hare : Poems 1909 -- 1917 Ed . Christopher B. Ricks . ( New York : Harcourt , 1996 ) .   Jump up ^ Mayer , Nicholas B ( 2011 ) . `` Catalyzing Prufrock '' . Journal of Modern Literature. 34 ( 3 ) : 182 . doi : 10.2979 / jmodelite. 34.3. 182 . JSTOR 10.2979 / jmodelite. 34.3. 182 .   Jump up ^ Jenkins , Nicholas . `` More American Than We Knew : Nerves , exhaustion and madness were at the core of Eliot 's early imaginative thinking '' in The New York Times ( 20 April 1997 ) . This is a 1997 book review of Inventions of the March Hare : Poems 1909 -- 1917 , vide supra . Retrieved 12 June 2013 .   Jump up ^ Waugh , Arthur . The New Poetry , Quarterly Review , October 1916 , citing the Times Literary Supplement 21 June 1917 , no . 805 , 299 ; Wagner , Erica ( 2001 ) `` An eruption of fury '' , The Guardian , letters to the editor , 4 September 2001 . Wagner omits the word `` very '' from the quote .   Jump up ^ Woodberry Poetry Room ( Harvard College Library ) . Poetry Readings : Guide   ^ Jump up to : Eliot , T.S. `` The Unfading Genius of Rudyard Kipling '' in Kipling Journal ( March 1959 ) , 9 .   Jump up ^ Eliot , T.S. The Letters of T.S. Eliot . ( New York : Harcourt , Brace Jovanovich , 1988 ) . 1 : 135 .   Jump up ^ Montesi , Al , and Deposki , Richard . Downtown St. Louis ( Arcadia Publishing , 2001 ) , 65 . ISBN 0 - 7385 - 0816 - 0   Jump up ^ Christine H. The Daily Postcard : Prufrock - Litton -- St. Louis , Missouri . Retrieved 21 February 2012 .   Jump up ^ Missouri History Museum . Lighting fixture in front of Prufrock - Litton Furniture Company . Retrieved 11 June 2013 .   Jump up ^ Stepanchev , Stephen . `` The Origin of J. Alfred Prufrock '' in Modern Language Notes . ( 1951 ) , 66 : 400 -- 401 . JSTOR 2909497   Jump up ^ Eliot provided this translation in his essay `` Dante '' ( 1929 ) .   Jump up ^ Dante Alighieri , and Hollander Robert and Hollander , Jean ( translators ) , The Inferno . ( Princeton : Princeton Dante Project ) . Retrieved 3 November 2011 .   Jump up ^ Banerjee , Ron D.K. `` The Dantean Overview : The Epigraph to ' Prufrock ' '' in Comparative Literature. ( 1972 ) 87 : 962 -- 966 . JSTOR 2907793   Jump up ^ Locke , Frederick W. `` Dante and T.S. Eliot 's Prufrock . '' in Modern Language Notes . ( 1963 ) 78 : 51 -- 59 . JSTOR 3042942   ^ Jump up to : Perrine , Laurence . Literature : Structure , Sound , and Sense , 1st edition . ( New York : Harcourt , Brace &amp; World , 1956 ) , 798 .   Jump up ^ On ' The Love Song of J. Alfred Prufrock ' ( accessed 14 June 2006 ) .   Jump up ^ Headings , Philip R. T.S. Eliot . ( Boston : Twayne Publishers , 1982 ) , 24 -- 25 .   ^ Jump up to : Hecimovich , Gred A ( editor ) . English 151 - 3 ; T.S. Eliot `` The Love Song of J. Alfred Prufrock '' notes ( accessed 14 June 2006 ) , from McCoy , Kathleen ; Harlan , Judith . English Literature from 1785 . ( New York : HarperCollins , 1992 ) .   ^ Jump up to : Blasing , Mutlu Konuk , `` On ' The Love Song of J. Alfred Prufrock ' '' , in American Poetry : The Rhetoric of Its Forms ( New Haven : Yale University Press , 1987 ) . ISBN 0300037937   Jump up ^ Mitchell , Roger . `` On ' The Love Song of J. Alfred Prufrock ' '' , in Myers , Jack and Wojahan , David ( editors ) . A Profile of Twentieth - Century American Poetry . ( Carbondale , Illinois : Southern Illinois University Press , 1991 ) . ISBN 0809313480   Jump up ^ Schimanski , Johan Annotasjoner til T.S. Eliot , `` The Love Song of J. Alfred Prufock '' ( at Universitetet i Tromsø ) . Retrieved 8 August 2006 .    Further reading ( edit )    Drew , Elizabeth . T.S. Eliot : The Design of His Poetry ( New York : Charles Scribner 's Sons , 1949 ) .   Gallup , Donald . T.S. Eliot : A Bibliography ( A Revised and Extended Edition ) ( New York : Harcourt Brace &amp; World , 1969 ) , 23 , 196 .   Luthy , Melvin J. `` The Case of Prufrock 's Grammar '' in College English ( 1978 ) 39 : 841 -- 853 . JSTOR 375710   Soles , Derek . `` The Prufrock Makeover '' in The English Journal ( 1999 ) , 88 : 59 -- 61 . JSTOR 822420   Sorum , Eve . `` Masochistic Modernisms : A Reading of Eliot and Woolf . '' Journal of Modern Literature. 28 ( 3 ) , ( Spring 2005 ) 25 -- 43 . doi : 10.1353 / jml. 2005.0044   Sinha , Arun Kumar and Vikram , Kumar . `` ' The Love Song of J Alfred Prufrock ' ( Critical Essay with Detailed Annotations ) '' in T.S. Eliot : An Intensive Study of Selected Poems ( New Delhi : Spectrum Books Pvt. Ltd , 2005 ) .   Walcutt , Charles Child . `` Eliot 's `` The Love Song of J. Alfred Prufrock '' in College English ( 1957 ) 19 : 71 -- 72 . JSTOR 372706    External links ( edit )       Wikisource has original text related to this article : The Love Song of J. Alfred Prufrock      Original text from Poetry magazine June 1915   Text and extended audio discussion of the poem   The Love Song of J. Alfred Prufrock at the British Library     Prufrock and Other Observations at Project Gutenberg   Annotated hypertext version of the poem   Love Song of J. Alfred Prufrock public domain audiobook at LibriVox      ( hide )         T.S. Eliot     Bibliography     Early poems     `` The Love Song of J. Alfred Prufrock ''   `` Portrait of a Lady ''   `` Preludes ''   `` Whispers of Immortality ''   `` Gerontion ''   The Waste Land   `` The Hollow Men ''   Ash Wednesday   Ariel Poems   Journey of the Magi   A Song for Simeon         Later poems     Old Possum 's Book of Practical Cats   `` Bustopher Jones ''   `` Gus : The Theatre Cat ''   `` Growltiger 's Last Stand ''   Burnt Norton   East Coker   The Dry Salvages   Little Gidding   Four Quartets       Plays     Sweeney Agonistes   The Rock   Murder in the Cathedral   The Family Reunion   The Cocktail Party   The Confidential Clerk   The Elder Statesman       Prose     Selected Essays , 1917 - 1932   `` Hamlet and His Problems ''   `` Tradition and the Individual Talent ''   The Sacred Wood   A Choice of Kipling 's Verse ( 1941 )   `` The Frontiers of Criticism ''       Adaptations     CATS ( 1981 musical , 1998 film )       Publishing     The Criterion   Faber and Faber   T.S. Eliot Prize   T.S. Eliot Prize ( Truman State University )       Related     Tom &amp; Viv ( 1994 film )       People     Eliot family   Vivienne Haigh - Wood Eliot ( first wife )   Valerie Eliot ( second wife )   Henry Ware Eliot ( father )   Charlotte Champe Stearns ( mother )   William Greenleaf Eliot ( grandfather )   E. Martin Browne   John Davy Hayward   Ezra Pound   Jean Jules Verdenal   William Butler Yeats         Commons   Wikibooks   Wikiquote   Wikisource texts      Retrieved from `` https://en.wikipedia.org/w/index.php?title=The_Love_Song_of_J._Alfred_Prufrock&amp;oldid=840530127 '' Categories :   Modernist poems   Poetry by T.S. Eliot   1915 poems   Works originally published in Poetry ( magazine )   Chapbooks   Hidden categories :   EngvarB from September 2013   Use dmy dates from September 2013   Articles that link to Wikisource   Articles with Project Gutenberg links   Articles with LibriVox links           Talk                                           Contents                   About Wikipedia                                             Español   Français   Frysk   Italiano   Svenska   Tiếng Việt   Edit links   This page was last edited on 10 May 2018 , at 13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</si>
  <si>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lovesong of j alfred prufrock published</t>
  </si>
  <si>
    <t xml:space="preserve"> `` The Love Song of J. Alfred Prufrock '' , commonly known as `` Prufrock '' , is the first professionally published poem by American - born , British poet T.S. Eliot ( 1888 -- 1965 ) . Eliot began writing `` Prufrock '' in February 1910 , and it was first published in the June 1915 issue of Poetry : A Magazine of Verse at the instigation of Ezra Pound ( 1885 -- 1972 ) . It was later printed as part of a twelve - poem pamphlet ( or chapbook ) titled Prufrock and Other Observations in 1917 . At the time of its publication , Prufrock was considered outlandish , but is now seen as heralding a paradigmatic cultural shift from late 19th - century Romantic verse and Georgian lyrics to Modernism . </t>
  </si>
  <si>
    <t xml:space="preserve">The Good Witch - wikipedia  The Good Witch  Jump to : navigation , search For other uses , see Good witch .    The Good Witch         Written by   Rod Spence     Directed by   Craig Pryce     Starring   Catherine Bell Chris Potter     Country of origin   United States Canada     Original language ( s )   English     Production     Producer ( s )   Orly Adelson Ian McDougal Frank Siracusa     Editor ( s )   George Roulston     Running time   89 minutes     Release     Original network   Hallmark Channel     Original release     January 19 , 2008 ( 2008 - 01 - 19 )               Chronology     Followed by   The Good Witch 's Garden     The Good Witch is a television film that aired on the Hallmark Channel on January 19 , 2008 . It stars Catherine Bell as Cassandra Nightingale and Chris Potter as Chief of Police Jake Russell . The film has spawned six sequels and a television series .     Contents  ( hide )   1 Plot   2 Cast   3 Promotion   4 Production   5 Reception   6 Home media   7 Sequels   8 Television series   9 Characters   10 References   11 External links      Plot ( edit )   A mysterious , darkly beautiful woman , who claims to be named `` Cassandra Nightingale '' , moves into an old , abandoned house which is reputed to be haunted by its original owner , `` The Grey Lady . '' The small community is divided in their opinion of her : some want her to stay , especially widowed police chief Jake Russell and his two children , while others want her to leave , especially Martha Tinsdale . Through the course of the story , seemingly magical things happen , and the community attributes these occurrences to her . Everyone begins to wonder if she is really a witch .   Cast ( edit )    Catherine Bell as Cassandra Nightingale ( Aka Sue - Ellen Brock )   Chris Potter as Chief of Police Jake Russell   Matthew Knight as Brandon Russell   Hannah Endicott - Douglas as Lori Russell   Nathan McLeod as Michael   Jesse Bostick as Kyle   Paula Boudrea as Nancy   Noah Cappe as Deputy Derek Sanders   Catherine Disher as Martha Tinsdale   Peter MacNeill as George O'Hanrahan    Promotion ( edit )   On January 15 , 2008 , Hallmark Channel and Limbo , the mobile entertainment community , teamed up to create and launch the cable network 's first - ever mobile interactive initiative . The campaign `` enhanced viewers ' experience of the premiere of the network 's original movie ... through ' Limbo Unique ' -- a game played via cell phone or online '' . The grand prize was $2,000 and a portrait of the `` Grey Lady '' that was featured in the movie .   Production ( edit )   Although set in `` Middleton , USA '' , it was filmed in Hamilton and Niagara on the Lake , Ontario . In the sequel , The Good Witch 's Charm , the map on the wall in the police station shows Middleton north and west of Chicago , in the vicinity of DuPage County . The names of the suburbs and interstates that are west of Chicago can be clearly seen .   Reception ( edit )   The movie had great success on Hallmark Channel on the night of its premiere , making it the second - highest - rated original movie to that date . It premiered with a 3.8 HH ( household ) rating and was in nearly 3.2 million homes . It also was # 1 in its time period , propelling the channel to the # 4 spot in weekly ranking .   Home media ( edit )   The Good Witch ( Region 1 ) DVD was released on January 5 , 2010 .   The Good Witch Collection ( Region 1 ) DVD was released October 14 , 2014 .   Sequels ( edit )   On February 7 , 2009 , the Hallmark Channel aired a sequel , The Good Witch 's Garden . The third installment , The Good Witch 's Gift , aired on November 13 , 2010 , on Hallmark . The fourth installment , The Good Witch 's Family , aired on October 29 , 2011 . The fifth installment The Good Witch 's Charm premiered on October 27 , 2012 . The Good Witch 's Destiny sixth installment premiered on October 26 , 2013 . A seventh installment , The Good Witch 's Wonder , aired October 25 , 2014 .   Television series ( edit )  Main article : Good Witch ( TV series )  In February 2014 , the Hallmark Channel announced that Good Witch had been green - lighted for a ten - episode series , starring Catherine Bell , to premiere on February 28 , 2015 . Production for the first season began on October 29 , 2014 , in Toronto , with Sue Tenney as showrunner . Bailee Madison and James Denton also star .   Characters ( edit )    A dark grey cell indicates the character was not in the film .      Character   Title     The Good Witch   Garden   Gift   Family   Charm   Destiny   Wonder   Season 1   Halloween   Season 2   Secrets of Grey House   Season 3   Spellbound     Cassie Nightingale   Catherine Bell     Jake Russell   Chris Potter       Martha Tinsdale   Catherine Disher     George   Peter MacNeill     Peter MacNeill     Brandon Russell   Matthew Knight   Dan Jeannotte     Dan Jeannotte       Lori Russell   Hannah Endicott - Douglas       Derek   Noah Cappe       Tom Tinsdale   Paul Miller     Paul Miller     Paul Miller     Paul Miller       Michael Tinsdale   Nathan McLeod     Edward Ruttle     Edward Ruttle       Gwen     Elizabeth Lennie     Elizabeth Lennie       Abigail Pershing     Sarah Power     Sarah Power     Tara     Ashley Leggat   Rebecca Dalton     Rebecca Dalton       Grace Russell     uncredited   uncredited   Lily - Fay Mowbray   Bailee Madison     Jarod     Randal Edwards     Randal Edwards     Randal Edwards     Sam     James Denton     Ryan     Anthony Lemke     Anthony Lemke       Stephanie     Kylee Evans     Nick     Rhys Matthew Bond     Anthony     Shane Harte       Linda     Gabrielle Miller       Ben     Jefferson Brown       Eve     Kate Corbett     John Dover     Dan Payne       Courtney     Alanna Bale       Liam     Seann Gallagher     Noah     James Swalm       References ( edit )    Jump up ^ Hallmark Channel Press Site : Company Milestones Archived December 22 , 2008 , at the Wayback Machine .   Jump up ^ `` Breaking News - Catherine Bell and Chris Potter to Star in Sequel to `` The Good Witch , '' Hallmark Channel 's Second - Highest - Rated Original Movie Ever - TheFutonCritic.com `` . Retrieved 1 May 2016 .   Jump up ^ Hallmark Channel Press Release 1 / 23 / 2008 Archived October 9 , 2008 , at the Wayback Machine .   Jump up ^ `` Amazon.com : The Good Witch Collection ( The Good Witch 's Garden / Good Witch 's Gift / The Good Witch 's Family / The Good Witch 's Charm ) ( Hallmark ) : Catherine Bell , Craig Pryce : Movies &amp; TV '' . Retrieved 1 May 2016 .   Jump up ^ Hallmark Channel Press Release 12 / 8 / 2008   Jump up ^ The Good Witch 's Garden Archived March 23 , 2014 , at the Wayback Machine . at Hallmark   Jump up ^ `` Breaking News - Hallmark Channel 2010 Fall TV Preview - TheFutonCritic.com '' . Retrieved 1 May 2016 .   Jump up ^ `` Breaking News - Catherine Bell and Chris Potter Reteam for the Spell - Binding Seventh Installment in `` The Good Witch '' Series - TheFutonCritic.com `` . Retrieved 1 May 2016 .   Jump up ^ Hallmark Channel 's Good Witch Movies To Spawn Drama Series Starring Catherine Bell   Jump up ^ Join Us Saturday , February 28 8 / 7c for the Two - Hour World Premiere Event of Good Witch , A Hallmark Channel Original Primetime Series   ^ Jump up to : James Denton to Star in Hallmark Channel 's ' The Good Witch ' Archived October 27 , 2014 , at the Wayback Machine .   Jump up ^ `` Details '' . Retrieved 1 May 2016 .    External links ( edit )    The Good Witch at Hallmark Channel   The Good Witch Movies on Hallmark Channel   The Good Witch on IMDb      ( hide )         The Good Witch     Films     The Good Witch ( 2008 )   The Good Witch 's Garden ( 2009 )   The Good Witch 's Gift ( 2010 )   The Good Witch 's Family ( 2011 )   The Good Witch 's Charm ( 2012 )   The Good Witch 's Destiny ( 2013 )   The Good Witch 's Wonder ( 2014 )       Television   Good Witch ( episodes )    Retrieved from `` https://en.wikipedia.org/w/index.php?title=The_Good_Witch&amp;oldid=818451296 '' Categories :   2008 television films   American fantasy films   American television films   Canadian fantasy films   Canadian television films   English - language films   Films shot in Hamilton , Ontario   Hallmark Channel original films   American films   Witchcraft in film   Hidden categories :   Webarchive template wayback links   All articles with dead external links   Articles with dead external links from March 2014   Pages using infobox television with editor parameter           Talk                                           Contents                   About Wikipedia                                           Deutsch   Français   Italiano   Magyar   Português   Edit links   This page was last edited on 3 January 2018 , at 17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</si>
  <si>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hallmark series good witch filmed</t>
  </si>
  <si>
    <t xml:space="preserve"> Although set in `` Middleton , USA '' , it was filmed in Hamilton and Niagara on the Lake , Ontario . In the sequel , The Good Witch 's Charm , the map on the wall in the police station shows Middleton north and west of Chicago , in the vicinity of DuPage County . The names of the suburbs and interstates that are west of Chicago can be clearly seen . </t>
  </si>
  <si>
    <t xml:space="preserve">Personal Jesus - wikipedia  Personal Jesus  This article is about the song by Depeche Mode . For the album by Nina Hagen , see Personal Jesus ( album ) .      `` Personal Jesus ''         Single by Depeche Mode     from the album Violator     B - side   `` Dangerous ''     Released   28 August 1989     Format     7 - inch single   12 - inch single   Cassette single   CD single       Recorded   May 1989     Studio     Puk Studios , Denmark   Logic Studios , Milan , Italy       Genre     Synthrock   blues rock       Length   4 : 56 ( album version ) 3 : 44 ( edit )     Label   Mute     Songwriter ( s )   Martin Gore     Producer ( s )     Depeche Mode   Flood       Depeche Mode singles chronology        `` Everything Counts ( live ) '' ( 1989 )   `` Personal Jesus '' ( 1989 )   `` Enjoy the Silence '' ( 1990 )                Music video     `` Personal Jesus '' on YouTube     `` Personal Jesus '' is a song by the English electronic band Depeche Mode , released on 28 August 1989 as the lead single from their seventh album , Violator ( 1990 ) . It reached No. 13 on the UK Singles Chart and No. 28 on the Billboard Hot 100 . The single was their first to make the US Top 40 since 1984 's `` People Are People '' , and was their first gold - certified single in the US ( quickly followed by its successor , `` Enjoy the Silence '' ) .   In Germany , `` Personal Jesus '' is one of the band 's longest - charting songs , staying on the singles chart for 23 weeks .   In 2004 , `` Personal Jesus '' was ranked No. 368 in Rolling Stone 's list of `` The 500 Greatest Songs of All Time '' , and in September 2006 it was voted as one of the `` 100 Greatest Songs Ever '' in Q magazine .   `` Personal Jesus '' was rereleased as a single on 30 May 2011 for the Depeche Mode remix album Remixes 2 : 81 -- 11 , with the leading remix by the production team Stargate .   The song has been covered by numerous artists , including Johnny Cash , Marilyn Manson and Sammy Hagar . `` I was never a huge fan of synth music in the eighties , '' Hagar remarked , `` but that song has a badass groove and a cool lyric . ''   Contents    1 Inspiration   2 Composition   3 Background   4 Track listings   5 Mixes   6 Charts   6.1 Weekly charts   6.2 Year -- end charts   6.3 Certifications     7 Personal Jesus 2011   7.1 Track listings   7.2 Charts     8 Johnny Cash cover   9 Marilyn Manson cover   9.1 Formats and track listings   9.2 Charts     10 References   11 External links    Inspiration ( Edit )   The song was inspired by the book Elvis and Me by Priscilla Presley . According to songwriter Martin Gore :   It 's a song about being a Jesus for somebody else , someone to give you hope and care . It 's about how Elvis Presley was her man and her mentor and how often that happens in love relationships ; how everybody 's heart is like a god in some way , and that 's not a very balanced view of someone , is it ?   Composition ( edit )   `` Personal Jesus '' is written in the key of F ♯ minor with a tempo of 130 beats per minute in time .   Background ( Edit )   In mid-1989 , the band began recording in Milan with record producer Flood . The result of this session was the single `` Personal Jesus '' , which featured a catchy bluesy riff and drum - based sound , radically different from anything the band had released thus far . The song became a big hit across the world , and is one of Depeche Mode 's most successful songs , along with the single `` Enjoy the Silence '' . Although not the first Depeche Mode song to feature guitar parts ( `` Behind the Wheel '' and their cover of `` Route 66 '' featured a guitar ; `` Love , in Itself '' and `` And Then ... '' from Construction Time Again and `` Here is the House '' from `` Black Celebration '' featured an acoustic guitar ) , it was the first time a guitar was used as a dominant instrument in a Depeche Mode song .   Prior to its release , advertisements were placed in the personal columns of regional newspapers in the UK with the words `` Your own personal Jesus . '' Later , the ads included a phone number one could dial to hear the song . The ensuing controversy helped propel the single to No. 13 on the UK charts , becoming one of Depeche Mode 's biggest sellers . The single was particularly successful commercially thanks to the fact that it was released six months prior to the album it would later appear on . Up to that point , it was the best selling 12 '' single in Warner Brothers history .   `` Personal Jesus '' had a plethora of remixes , almost unprecedented for Depeche Mode at the time . While most other Depeche Mode singles prior to `` Personal Jesus '' usually had band - made extended mixes , Depeche Mode started to invite more DJs and mixers to the fold , which would become the mainstay for all future Depeche Mode singles . François Kevorkian ( who did the mixing for the Violator album , in general ) mixed the single version , the `` Holier Than Thou Approach '' , the `` Pump Mix '' , and the lesser - known `` Kazan Cathedral Mix '' ( which was not available on any of the singles ) , while producer Flood mixed the `` Acoustic '' version and the `` Telephone Stomp Mix '' as well as the single version and `` Sensual Mix '' of the single 's B - side `` Dangerous '' , a more disco - electronic track . The `` Hazchemix '' and `` Hazchemix Edit '' of `` Dangerous '' were mixed by Daniel Miller .   The back - cover of `` Personal Jesus '' features one of the band members and the back - side of a naked woman . The band member she is with depends on whether it is the 7 '' Vinyl ( Martin Gore ) , the 12 '' Vinyl ( Dave Gahan ) , the Cassette ( Andy Fletcher ) , or the original CD ( Alan Wilder ) . On some copies she does not appear at all , such as the 2004 CD re-release , and on promo copies . On some limited releases , like the GBong17 , all four photos are available plus one photo of the full group ( Martin is hugging the woman ) .   The Anton Corbijn - directed music video for `` Personal Jesus '' is his first Depeche Mode video in colour , and features the band in a ranch ( suggested to appear as a brothel ) , placed in the Tabernas Desert of Almería , in Spain . MTV edited out some suggestive mouth movements of Martin Gore during the bridge and replaced it with some other footage from the video .   Track listings ( edit )   All songs written by Martin Gore .       7 `` , Cassette   Mute / Bong17 , CBong17 ( UK )     `` Personal Jesus '' -- 3 : 44   `` Dangerous '' -- 4 : 20     7 ''   Mute / GBong17 ( UK )     `` Personal Jesus '' -- 3 : 44   `` Dangerous ( Hazchemix Edit ) '' -- 3 : 01   `` Personal Jesus ( Acoustic ) '' -- 3 : 26     12 `` , mini-CD   Mute / 12Bong17 , CDBong17 ( UK )     `` Personal Jesus ( Holier Than Thou Approach ) '' -- 5 : 51   `` Dangerous ( Sensual Mix ) '' -- 5 : 24   `` Personal Jesus ( Acoustic ) '' -- 3 : 26     Limited 12 `` , mini-CD   Mute / L12Bong17 , LCDBong17 ( UK )     `` Personal Jesus ( Pump Mix ) '' -- 7 : 47   `` Personal Jesus ( Telephone Stomp Mix ) '' -- 5 : 32   `` Dangerous ( Hazchemix ) '' -- 5 : 34         CD   Mute / CDBong17X ( EU )     `` Personal Jesus '' -- 3 : 44   `` Dangerous '' -- 4 : 20   `` Personal Jesus ( Acoustic ) '' -- 3 : 26   `` Dangerous ( Hazchemix Edit ) '' -- 3 : 01   `` Personal Jesus ( Holier Than Thou Approach ) '' -- 5 : 51   `` Dangerous ( Sensual Mix ) '' -- 5 : 24   `` Personal Jesus ( Pump Mix ) '' -- 7 : 47   `` Personal Jesus ( Telephone Stomp Mix ) '' -- 5 : 32   `` Dangerous ( Hazchemix ) '' -- 5 : 34     This CD is the 2004 re-release     CD   Sire / Reprise / 21328 - 2 ( US )     `` Personal Jesus '' -- 3 : 44   `` Personal Jesus ( Holier Than Thou Approach ) '' -- 5 : 51   `` Dangerous ( Hazchemix ) '' -- 5 : 34   `` Personal Jesus ( Pump Mix ) '' -- 7 : 47   `` Personal Jesus ( Acoustic ) '' -- 3 : 26   `` Dangerous ( Sensual Mix ) '' -- 5 : 24   `` Personal Jesus ( Telephone Stomp Mix ) '' -- 5 : 32   `` Dangerous '' -- 4 : 20     US single released 19 September 1989         Mixes ( edit )   Francois Kevorkian    Personal Jesus ( Single / 7 '' Version )   Personal Jesus ( Holier Than Thou Approach / 12 '' version )   Personal Jesus ( Pump Mix )   Personal Jesus ( Kazan Cathedral Mix ) ( only available on the limited 4 - disc edition of Remixes 81 -- 04 and Just Say Da ( Volume IV of the `` Just Say Yes '' series ) )   Personal Jesus ( Album Version )    Flood    Personal Jesus ( Telephone Stomp Mix )   Dangerous ( Single Version )   Dangerous ( Sensual Mix )    Daniel Miller    Dangerous ( Hazchemix )   Dangerous ( Hazchemix Edit )    Charts ( edit )   Weekly charts ( edit )        Chart ( 1989 )   Peak position     Australia ( ARIA )   134     Canada Dance / Urban ( RPM )   14     Canada Top Singles ( RPM )   44     Finland ( Suomen virallinen lista )   9     France ( SNEP )   27     Germany ( Official German Charts )   5     Ireland ( IRMA )   7     Italy ( FIMI )       Netherlands ( Single Top 100 )   62     New Zealand ( Recorded Music NZ )   14     Spain ( AFYVE )   5     Sweden ( Sverigetopplistan )   17     Switzerland ( Schweizer Hitparade )   5     UK Singles ( Official Charts Company )   13     US Billboard Hot 100   28     US Billboard Hot Dance Club Play   12     US Billboard Hot Dance Music / Maxi - Singles Sales   9     US Billboard Modern Rock Tracks       US Cash Box   31           Chart ( 2007 )   Peak position     Denmark ( Tracklisten )   15       Chart ( 2011 )   Peak position     France ( SNEP )   91       Chart ( 2013 )   Peak position     France ( SNEP )   114     Year -- end charts ( edit )     Chart ( 1989 )   Position     Italy ( FIMI )   12     Certifications ( edit )     Region   Certification   Certified units / Sales     Italy ( FIMI )   Platinum   50,000     United States ( RIAA )   Gold   500,000      sales figures based on certification alone shipments figures based on certification alone           Personal Jesus 2011 ( Edit )     `` Personal Jesus 2011 ''         Single by Depeche Mode     from the album Remixes 2 : 81 -- 11     B - side     `` Suffer Well ( M83 Remix ) ''   `` Slowblow ( Darren Price Mix ) ''       Released   2011     Format     Single   maxi single       Length   3 : 56     Label   Mute     Songwriter ( s )   Martin Gore     Producer ( s )   Stargate     Depeche Mode singles chronology        `` Fragile Tension / Hole to Feed '' ( 2009 )   `` Personal Jesus 2011 '' ( 2011 )   `` Heaven '' ( 2013 )            `` Personal Jesus 2011 '' is the remixed version of the single , released on 30 May 2011 . The digital single was released in the UK on 18 April 2011 . It was released a day later in the US .   Track listings ( edit )   CD ( Bong43 )    `` Personal Jesus '' ( The Stargate Mix ) -- 3 : 57   `` Personal Jesus '' ( Alex Metric Remix ) -- 5 : 57   `` Personal Jesus '' ( Eric Prydz Remix ) -- 7 : 26   `` Personal Jesus '' ( M.A.N. Remix ) -- 5 : 24   `` Personal Jesus '' ( Sie Medway - Smith Remix ) -- 6 : 25    12 '' vinyl    `` Personal Jesus '' ( Alex Metric Remix ) -- 5 : 54   `` Personal Jesus '' ( M.A.N. Remix ) -- 5 : 22   `` Personal Jesus '' ( The Stargate Mix ) -- 3 : 56   `` Personal Jesus '' ( Eric Prydz Remix ) -- 7 : 25   `` Personal Jesus '' ( Sie Medway - Smith Remix ) -- 6 : 25    Digital Download    `` Personal Jesus '' ( The Stargate Mix ) -- 3 : 56   `` Personal Jesus '' ( Alex Metric Remix Edit ) -- 3 : 27    Beatport Exclusive Digital Download    `` Personal Jesus '' ( Eric Prydz Remix ) -- 7 : 26   `` Never Let Me Down Again '' ( Eric Prydz Remix ) -- 7 : 01    Promo CD ( PCDBong43 )    `` Personal Jesus '' ( The Stargate Mix ) -- 3 : 57   `` Personal Jesus '' ( Alex Metric Remix Edit ) -- 3 : 27   `` Personal Jesus '' ( Alex Metric Remix ) -- 5 : 57   `` Personal Jesus '' ( Eric Prydz Remix ) -- 7 : 26   `` Personal Jesus '' ( M.A.N. Remix ) -- 5 : 24   `` Personal Jesus '' ( Sie Medway - Smith Remix ) -- 6 : 25    iTunes Store    `` Personal Jesus '' ( Alex Metric Remix ) -- 5 : 57   `` Personal Jesus '' ( Eric Prydz Remix ) -- 7 : 26   `` Personal Jesus '' ( M.A.N. Remix ) -- 5 : 24   `` Personal Jesus '' ( Sie Medway - Smith Remix ) -- 5 : 56    Charts ( edit )     Chart ( 2011 )   Peak position     Austria ( Ö3 Austria Top 40 )   73     Belgium ( Ultratop 50 Flanders Dance )   32     Belgium ( Ultratop 50 Wallonia )   43     Belgium ( Ultratop 50 Wallonia Dance )   43     Czech Republic ( Rádio Top 100 )   62     Hungary ( Single Top 40 )   5     Slovakia ( Rádio Top 100 )   71     Switzerland ( Schweizer Hitparade )   73     UK Singles ( Official Charts Company )   119     Johnny Cash cover ( Edit )   In 2002 , American country singer Johnny Cash covered `` Personal Jesus '' for his album American IV : The Man Comes Around . The idea to cover the song was suggested by record producer Rick Rubin . Cash called it `` probably the most evangelical gospel song I ever recorded '' .   Marilyn Manson cover ( Edit )     `` Personal Jesus ''         Single by Marilyn Manson     from the album Lest We Forget : The Best Of     Released   28 September 2004     Format     7 ''   10 ''   CD   DL       Length     3 : 19 ( radio edit )   4 : 06 ( album version )       Label     Interscope   Nothing       Songwriter ( s )   Gore     Producer ( s )     Marilyn Manson   Tim Sköld       Marilyn Manson singles chronology        `` This Is the New Shit '' ( 2003 )   `` Personal Jesus '' ( 2004 )   `` The Nobodies : 2005 Against All Gods Remix '' ( 2005 )            Audio sample       file   help           Marilyn Manson released their cover version of the track as the only previously unreleased recording included on their 2004 greatest hits album Lest We Forget : The Best Of . The band 's eponymous vocalist explained to MTV that he decided to cover `` Personal Jesus '' as : `` I thought if I had to write a song , ( the lyrics of ' Personal Jesus ' are ) exactly what I would say ... I think it takes a little more of an ironic tone when you put it in context with what 's going on today . '' He additionally described the original song and Depeche Mode 's music in general as hypnotic , sexy and inspirational . Its music video was directed by Manson and Nathan Cox . The song won an award in the ' pop ' category of the 2005 BMI Awards , while its music video received two nominations at the 2005 Music Video Production Awards .   Formats and track listings ( edit )    European 7 '' and United States 10 '' singles     `` Personal Jesus '' -- 4 : 06   `` Personal Jesus '' ( Rude Photo Motor Remix ) -- 5 : 50     CD single     `` Personal Jesus '' -- 4 : 06   `` This Is the New Shit '' ( Remix by Sergio Galoyan ) -- 4 : 28     International maxi single     `` Personal Jesus '' -- 4 : 06   `` Mobscene Replet '' ( Mea Culpa Mix by Bitteren Ende ) -- 4 : 35   `` Personal Jesus '' ( Rude Photo Motor Remix ) -- 5 : 50   `` Personal Jesus '' ( Enhanced Video )     UK maxi single     `` Personal Jesus '' -- 4 : 06   `` New Shit Invective '' ( Obiter Dictum Mix by Bitteren Ende ) -- 4 : 25   `` Mobscene Replet '' ( Mea Culpa Mix by Bitteren Ende ) -- 4 : 35   `` Personal Jesus '' ( Enhanced Video )    Charts ( edit )     Chart ( 2004 )   Peak position     Australia ( ARIA )   30     Austria ( Ö3 Austria Top 40 )   10     Belgium ( Ultratip Flanders )   10     Belgium ( Ultratop 50 Wallonia )   38     Denmark ( Tracklisten )   8     Europe ( Eurochart Hot 100 )   12     Finland ( Suomen virallinen lista )   20     France ( SNEP )   62     Germany ( Official German Charts )   11     Ireland ( IRMA )   11     Italy ( FIMI )   10     Netherlands ( Single Top 100 )   89     Norway ( VG - lista )   15     Sweden ( Sverigetopplistan )   39     Switzerland ( Schweizer Hitparade )   13     UK Singles ( Official Charts Company )   13     US Hot Dance Club Play   35     US Modern Rock Tracks   12     Felix da Housecat mix   References ( Edit )    Jump up ^ Cranna , Ian ( April 1990 ) . `` Insidious '' . Q : 77 .   Jump up ^ Buckley , Peter ( 2003 ) . The Rough Guide to Rock . Rough Guides . p. 286 . ISBN 978 - 1 - 8435 - 3105 - 0 . Given that , by now . Depeche Mode had become a stadium phenomenon in the States . Violator seemed an oddly introspective way to sell six million units ( the synth - rock single `` Personal Jesus '' was the exception to the rule ) .   Jump up ^ Michaud , Sébastien ( 2001 ) . Depeche Mode : Éthique synthétique ( in French ) . Camion Blanc . p. 244 . ISBN 978 - 2 - 9101 - 9626 - 4 .   ^ Jump up to : `` Official Singles Chart Top 100 '' . Official Charts Company . Retrieved 2 July 2013 .   Jump up ^ `` Depeche Mode -- Awards '' . AllMusic . All Media Network . Retrieved 11 January 2014 .   Jump up ^ Giles , Jeff ( 12 -- 26 July 1990 ) . `` Depeche Mode Interview '' . Rolling Stone ( 582 -- 583 ) : 60 -- 65 .   Jump up ^ `` Depeche Mode -- Single - Chartverfolgung '' ( in German ) . Musicline.de . PhonoNet GmbH . Retrieved 11 January 2014 .   Jump up ^ `` The RS 500 Greatest Songs of All Time ( 1 - 500 ) '' . Archived from the original on 20 August 2006 ... Rolling Stone .   Jump up ^ Elliott , Paul ( October 2013 ) . `` What do you do with $80 million ? Anything you want ! '' . Classic Rock . No. 189 . p. 48 .   Jump up ^ Fox , Marisa ( 4 July 1990 ) . `` Pop a la Mode '' . Spin. 6 ( 4 ) .   Jump up ^ `` BPM for ' personal ' by depeche '' . Songbpm . Retrieved 12 September 2016 .   Jump up ^ `` Personal Jesus By Depeche Mode -- Digital Sheet Music '' . EMI Music Publishing . Musicnotes . Retrieved 12 September 2016 .   Jump up ^ Macleod , Duncan ( 26 July 2007 ) . `` Depeche Mode Personal Jesus '' . The Inspiration Room . Retrieved 10 August 2011 .   Jump up ^ Raggett , Ned . `` Depeche Mode -- Personal Jesus '' . AllMusic . All Media Network . Retrieved 11 January 2014 .   Jump up ^ `` Fw : ARIA Charts Peak '' . Imgur.com. 5 June 2015 . Retrieved 29 July 2015 .   Jump up ^ `` Top RPM Dance / Urban : Issue 6614 . '' RPM . Library and Archives Canada . Retrieved 12 May 2015 .   Jump up ^ `` Top RPM Singles : Issue 9210 . '' RPM . Library and Archives Canada . Retrieved 12 May 2015 .   Jump up ^ Pennanen , Timo ( 2006 ) . Sisältää hitin - levyt ja esittäjät Suomen musiikkilistoilla vuodesta 1972 ( in Finnish ) ( 1st ed . ) . Helsinki : Tammi . ISBN 978 - 951 - 1 - 21053 - 5 .   ^ Jump up to : `` Lescharts.com -- Depeche Mode -- Personal Jesus '' ( in French ) . Les classement single . Retrieved 11 January 2014 .   Jump up ^ `` Offiziellecharts.de -- Depeche Mode -- Personal Jesus '' . GfK Entertainment Charts . Retrieved 11 January 2014 .   Jump up ^ `` The Irish Charts -- Search Results -- Personal Jesus '' . Irish Singles Chart . Retrieved 10 August 2011 .   ^ Jump up to : `` I singoli più venduti del 1989 '' ( in Italian ) . Hit Parade Italia . Creative Commons . Retrieved 11 January 2014 .   Jump up ^ `` Dutchcharts.nl -- Depeche Mode -- Personal Jesus '' ( in Dutch ) . Single Top 100 . Retrieved 11 January 2014 .   Jump up ^ `` Charts.nz -- Depeche Mode -- Personal Jesus '' . Top 40 Singles . Retrieved 11 January 2014 .   Jump up ^ Salaverri , Fernando ( September 2005 ) . Sólo éxitos : año a año , 1959 -- 2002 ( in Spanish ) ( 1st ed . ) . Spain : Fundación Autor - SGAE . ISBN 84 - 8048 - 639 - 2 .   Jump up ^ `` Swedishcharts.com -- Depeche Mode -- Personal Jesus '' . Singles Top 100 . Retrieved 11 January 2014 .   Jump up ^ `` Swisscharts.com -- Depeche Mode -- Personal Jesus '' . Swiss Singles Chart . Retrieved 11 January 2014 .   Jump up ^ `` Hot 100 Singles '' ( PDF ) . Billboard . Vol. 102 no . 9 . 3 March 1990 . p. 74 . ISSN 0006 - 2510 .   Jump up ^ `` Hot Dance Music '' ( PDF ) . Billboard . Vol. 101 no . 48 . 2 December 1989 . p. 24 . ISSN 0006 - 2510 .   Jump up ^ `` Hot Dance Music '' ( PDF ) . Billboard . Vol. 101 no . 47 . 25 November 1989 . p. 30 . ISSN 0006 - 2510 .   Jump up ^ `` Modern Rock Tracks '' ( PDF ) . Billboard . Vol. 101 no . 44 . 4 November 1989 . p. 20 . ISSN 0006 - 2510 .   Jump up ^ `` CASH BOX Top 100 Pop Singles -- Week ending MARCH 3 , 1990 '' . Cash Box . Archived from the original on 7 October 2012 .   Jump up ^ `` Danishcharts.com -- Depeche Mode -- Personal Jesus '' . Tracklisten .   Jump up ^ `` Italian single certifications -- Depeche Mode -- Personal Jesus '' ( in Italian ) . Federazione Industria Musicale Italiana . Retrieved 30 July 2018 .   Jump up ^ `` American single certifications -- Depeche Mode -- Personal Jesus '' . Recording Industry Association of America . If necessary , click Advanced , then click Format , then select Single , then click SEARCH   Jump up ^ mOEnias ( 1 April 2011 ) . `` News ... Depeche Mode -- Personal Jesus ' 11 ( Bong 43 ) `` 2011 '' '' ( in Spanish ) . Ondasynthpop.blogspot.com . Retrieved 10 August 2011 .   Jump up ^ `` Depeche Mode -- `` Personal Jesus 2011 '' `` . Archived from the original on 26 April 2011 ... Shout.ru. 5 April 2011 .   Jump up ^ `` Austriancharts.at -- Depeche Mode -- Personal Jesus 2011 '' ( in German ) . Ö3 Austria Top 40 . Retrieved 13 June 2011 .   Jump up ^ `` Ultratop 50 Dance -- 04 / 06 / 2011 '' ( in Dutch ) . Ultratop . Hung Medien . Retrieved 11 January 2014 .   Jump up ^ `` Ultratop.be -- Depeche Mode -- Personal Jesus 2011 '' ( in French ) . Ultratop 50 . Retrieved 11 January 2014 .   Jump up ^ `` Ultratop 50 Dance -- 07 / 05 / 2011 '' ( in French ) . Ultratop . Hung Medien . Retrieved 11 January 2014 .   Jump up ^ `` ČNS IFPI '' ( in Czech ) . Hitparáda -- Radio Top 100 Oficiální . IFPI Czech Republic . Note : insert 201123 into search . Retrieved 3 May 2011 .   Jump up ^ `` Archívum -- Slágerlisták -- MAHASZ '' ( in Hungarian ) . Single ( track ) Top 40 lista . Magyar Hanglemezkiadók Szövetsége . Retrieved 8 June 2011 .   Jump up ^ `` SNS IFPI '' ( in Slovak ) . Hitparáda -- Radio Top 100 Oficiálna . IFPI Czech Republic . Note : insert 201122 into search . Retrieved 4 May 2011 .   Jump up ^ `` Swisscharts.com -- Depeche Mode -- Personal Jesus 2011 '' . Swiss Singles Chart . Retrieved 11 January 2014 .   Jump up ^ `` Official Singles Chart Top 100 '' . Official Charts Company . Retrieved 13 June 2011 .   Jump up ^ Johnson , Zac . `` Johnny Cash -- American IV : The Man Comes Around '' . AllMusic . Retrieved 3 December 2017 .   ^ Jump up to : Horner , Al . `` How Johnny Cash 's ' American IV : The Man Comes Around ' Helped Define the Country Crooner 's Legacy '' . NME . Retrieved 3 December 2017 .   Jump up ^ `` Personal Jesus -- Single '' . iTunes. 28 September 2004 . Retrieved 1 August 2018 .   Jump up ^ `` Singles '' . Billboard . Vol. 116 no . 39 . 25 September 2004 . p. 55 . ISSN 0006 - 2510 .   Jump up ^ Abowitz , Richard ( 11 November 2004 ) . `` Marilyn Manson : Lest We Forget -- The Best Of '' . Rolling Stone . Retrieved 6 August 2018 .   Jump up ^ Montgomery , James ( 22 September 2004 ) . `` Marilyn Manson Calls Lest We Forget ' A Farewell Compilation ' '' . MTV . Retrieved 6 August 2018 .   Jump up ^ Grow , Kory ( 11 August 2015 ) . `` Are Depeche Mode Metal 's Biggest Secret Influence ? '' . Rolling Stone . Retrieved 6 August 2018 .   Jump up ^ `` Personal Jesus '' . MTV Networks . 20 August 2004 . Archived from the original on February 14 , 2009 .   Jump up ^ `` BMI Honors Top European Writers , Publishers at 2005 London Awards ; Steve Winwood Named a BMI Icon '' . Broadcast Music , Inc. 28 November 2005 . Retrieved 6 August 2018 .   Jump up ^ Gottlieb , Steven ( 18 March 2005 ) . `` News : MVPA Award Nominees Announced ( Updated ) '' . VideoStatic . Retrieved 6 August 2018 .   Jump up ^ Personal Jesus ( European 7 '' vinyl single ) . Marilyn Manson . Interscope Records . 2004 . 9864167 .   Jump up ^ Personal Jesus ( United States 10 '' vinyl single ) . Marilyn Manson . Nothing Records , Interscope Records . 2004 . B0003642 -- 11 .   Jump up ^ Personal Jesus ( CD single ) . Marilyn Manson . Interscope Records . 2004 . 0602498641149 .   Jump up ^ Personal Jesus ( Australian and European maxi single ) . Marilyn Manson . Interscope Records . 2004 . 9864113 .   Jump up ^ Personal Jesus ( United Kingdom maxi CD single ) . Marilyn Manson . Interscope Records . 2004 . 9864166 .   Jump up ^ `` Australian-charts.com -- Marilyn Manson -- Personal Jesus '' . ARIA Top 50 Singles . Retrieved 3 December 2017 .   Jump up ^ `` Austriancharts.at -- Marilyn Manson -- Personal Jesus '' ( in German ) . Ö3 Austria Top 40 . Retrieved 3 December 2017 .   Jump up ^ `` Ultratop.be -- Marilyn Manson -- Personal Jesus '' ( in Dutch ) . Ultratip . Retrieved 3 December 2017 .   Jump up ^ `` Ultratop.be -- Marilyn Manson -- Personal Jesus '' ( in French ) . Ultratop 50 . Retrieved 3 December 2017 .   Jump up ^ `` Danishcharts.com -- Marilyn Manson -- Personal Jesus '' . Tracklisten . Retrieved 3 December 2017 .   Jump up ^ `` Hits of the World '' . Billboard . Vol. 116 no . 43 . 23 October 2004 . p. 59 . ISSN 0006 - 2510 .   Jump up ^ `` Marilyn Manson : Personal Jesus '' ( in Finnish ) . Musiikkituottajat -- IFPI Finland . Retrieved 3 December 2017 .   Jump up ^ `` Lescharts.com -- Marilyn Manson -- Personal Jesus '' ( in French ) . Les classement single . Retrieved 3 December 2017 .   Jump up ^ `` Offiziellecharts.de -- Marilyn Manson -- Personal Jesus '' . GfK Entertainment Charts . Retrieved 3 December 2017 .   Jump up ^ `` Chart Track : Week 40 , 2004 '' . Irish Singles Chart . Retrieved 3 December 2017 .   Jump up ^ `` Italiancharts.com -- Marilyn Manson -- Personal Jesus '' . Top Digital Download . Retrieved 3 December 2017 .   Jump up ^ `` Dutchcharts.nl -- Marilyn Manson -- Personal Jesus '' ( in Dutch ) . Single Top 100 . Retrieved 3 December 2017 .   Jump up ^ `` Norwegiancharts.com -- Marilyn Manson -- Personal Jesus '' . VG - lista . Retrieved 3 December 2017 .   Jump up ^ `` Swedishcharts.com -- Marilyn Manson -- Personal Jesus '' . Singles Top 100 . Retrieved 3 December 2017 .   Jump up ^ `` Swisscharts.com -- Marilyn Manson -- Personal Jesus '' . Swiss Singles Chart . Retrieved 3 December 2017 .   Jump up ^ `` Official Singles Chart Top 100 '' . Official Charts Company . Retrieved 3 December 2017 .   Jump up ^ `` Hot Dance Club Play '' . Billboard . Vol. 116 no . 47 . 20 November 2004 . p. 60 . ISSN 0006 - 2510 .   Jump up ^ `` Modern Rock '' ( PDF ) . Billboard . Vol. 116 no . 50 . 11 December 2004 . p. 68 . ISSN 0006 - 2510 .    External links ( Edit )    `` Personal Jesus '' single information from the official Depeche Mode web site   `` Personal Jesus 2011 '' single information from the official Depeche Mode web site   Personal Jesus review at AllMusic   Personal Jesus 2011 review at AllMusic   Lyrics of this song at MetroLyrics   The music video by Depeche Mode on YouTube   The music video by Marilyn Manson on YouTube              Depeche Mode       Andy Fletcher   Dave Gahan   Martin Gore     Vince Clarke   Alan Wilder       Studio albums     Speak &amp; Spell   A Broken Frame   Construction Time Again   Some Great Reward   Black Celebration   Music for the Masses   Violator   Songs of Faith and Devotion   Ultra   Exciter   Playing the Angel   Sounds of the Universe   Delta Machine   Spirit       Compilation albums     People Are People   The Singles 81 → 85   Catching Up with Depeche Mode   Greatest Hits   The Singles 86 -- 98   Remixes 81 -- 04   The Best of Depeche Mode Volume 1   Remixes 2 : 81 -- 11       Live albums     101   Songs of Faith and Devotion Live   Recording the Angel   Recording the Universe       Video albums     The World We Live In and Live in Hamburg   Some Great Videos   Strange   101   Strange Too   Devotional   The Videos 86 -- 98   One Night in Paris   Touring the Angel : Live in Milan   The Best of Videos Volume 1   Tour of the Universe : Barcelona 20 / 21.11. 09   Live in Berlin   Video Singles Collection       Singles     `` Dreaming of Me ''   `` New Life ''   `` Just Ca n't Get Enough ''   `` See You ''   `` The Meaning of Love ''   `` Leave in Silence ''   `` Get the Balance Right ! ''   `` Everything Counts ''   `` Love , in Itself ''   `` People Are People ''   `` Master and Servant ''   `` Blasphemous Rumours '' / `` Somebody ''   `` Shake the Disease ''   `` It 's Called a Heart ''   `` Stripped ''   `` A Question of Lust ''   `` A Question of Time ''   `` Strangelove ''   `` Never Let Me Down Again ''   `` Behind the Wheel ''   `` Little 15 ''   `` Personal Jesus ''   `` Enjoy the Silence ''   `` Policy of Truth ''   `` World in My Eyes ''   `` I Feel You ''   `` Walking in My Shoes ''   `` Condemnation ''   `` In Your Room ''   `` Barrel of a Gun ''   `` It 's No Good ''   `` Home ''   `` Useless ''   `` Only When I Lose Myself ''   `` Dream On ''   `` I Feel Loved ''   `` Freelove ''   `` Goodnight Lovers ''   `` Enjoy the Silence 04 ''   `` Precious ''   `` A Pain That I 'm Used To ''   `` Suffer Well ''   `` John the Revelator '' / `` Lilian ''   `` Martyr ''   `` Wrong ''   `` Peace ''   `` Fragile Tension '' / `` Hole to Feed ''   `` Heaven ''   `` Soothe My Soul ''   `` Should Be Higher ''   `` Where 's the Revolution ''   `` Going Backwards ''   `` Cover Me ''       Tours     1980 Tour   1981 Tour   See You Tour   Broken Frame Tour   Construction Time Again Tour   Some Great Reward Tour   Black Celebration Tour   Music for the Masses Tour   World Violation Tour   Devotional Tour   Exotic Tour / Summer Tour ' 94   The Singles Tour   Exciter Tour   Touring the Angel   Tour of the Universe   Delta Machine Tour   Global Spirit Tour       Tribute albums     I Sometimes Wish I Was Famous   For the Masses   Color Theory Presents Depeche Mode       Related      Articles     Discography   Videography   Tours   Awards and nominations   Christian Eigner   Peter Gordeno       Bands     Yazoo   The Assembly   Erasure   Recoil   VCMG   Soulsavers       Albums     Counterfeit e.p.   Counterfeit2   MG   Paper Monsters   Hourglass   The Light the Dead See   Angels &amp; Ghosts                    Marilyn Manson       Marilyn Manson   Gil Sharone   Paul Wiley   Tyler Bates   Juan Alderete     Zsa Zsa Speck   Olivia Newton Bundy   Gidget Gein   Sara Lee Lucas   Daisy Berkowitz   Zim Zum   John 5   Madonna Wayne Gacy   Tim Sköld   Ginger Fish   Chris Vrenna   Fred Sablan   Twiggy Ramirez       Studio albums     Portrait of an American Family   Antichrist Superstar   Mechanical Animals   Holy Wood ( In the Shadow of the Valley of Death )   The Golden Age of Grotesque   Eat Me , Drink Me   The High End of Low   Born Villain   The Pale Emperor   Heaven Upside Down       Live albums     The Last Tour on Earth       Compilations     Lunch Boxes &amp; Choklit Cows   Lest We Forget : The Best Of   Lost &amp; Found       Extended plays     Smells Like Children   Remix &amp; Repent       Singles      Commercial     `` Get Your Gunn ''   `` Lunchbox ''   `` Sweet Dreams ( Are Made of This ) ''   `` The Beautiful People ''   `` Tourniquet ''   `` Long Hard Road Out of Hell ''   `` The Dope Show ''   `` I Do n't Like the Drugs ( But the Drugs Like Me ) ''   `` Rock Is Dead ''   `` Disposable Teens ''   `` The Fight Song ''   `` The Nobodies ''   `` Tainted Love ''   `` Mobscene ''   `` This Is the New Shit ''   `` Personal Jesus ''   `` Heart - Shaped Glasses ( When the Heart Guides the Hand ) ''   `` Putting Holes in Happiness ''   `` Arma - goddamn - motherfuckin - geddon ''   `` No Reflection ''   `` Slo - Mo - Tion ''   `` Third Day of a Seven Day Binge ''   `` Deep Six ''   `` Cupid Carries a Gun ''   `` We Know Where You Fucking Live ''   `` Kill4Me ''   `` Cry Little Sister ''       Promotional     `` Dope Hat ''   `` Antichrist Superstar ''   `` Man That You Fear ''   `` Coma White ''   `` Astonishing Panorama of the Endtimes ''   `` You and Me and the Devil Makes 3 ''   `` We 're from America ''   `` The Mephistopheles of Los Angeles ''   `` The Devil Beneath My Feet ''   `` Tattooed in Reverse ''          Other songs     `` Apple of Sodom ''   `` This Is Halloween ''   `` If I Was Your Vampire ''   `` Running to the Edge of the World ''   `` Wow ''   `` Killing Strangers ''   `` Say10 ''       Video albums     Dead to the World   God Is in the T.V.   Guns , God and Government       Books     The Long Hard Road Out of Hell   Holy Wood   Genealogies of Pain   Campaign       Films     Doppelherz   Born Villain       Concert tours     Independent touring   Portrait of an American Family Tour   Smells Like Children Tour   Dead to the World Tour   Mechanical Animals Tour   Beautiful Monsters Tour   Rock Is Dead Tour   Guns , God and Government Tour   Grotesk Burlesk Tour   Against All Gods Tour   Rape of the World Tour   The High End of Low Tour   Hey Cruel World ... Tour   Twins of Evil Tour   Masters of Madness Tour   The Hell Not Hallelujah Tour   The End Times Tour   Heaven Upside Down Tour   Twins of Evil : The Second Coming Tour       Related      Articles     Discog</t>
  </si>
  <si>
    <t xml:space="preserve">who was the original singer of personal jesus</t>
  </si>
  <si>
    <t xml:space="preserve"> `` Personal Jesus '' is a song by the English electronic band Depeche Mode , released on 28 August 1989 as the lead single from their seventh album , Violator ( 1990 ) . It reached No. 13 on the UK Singles Chart and No. 28 on the Billboard Hot 100 . The single was their first to make the US Top 40 since 1984 's `` People Are People '' , and was their first gold - certified single in the US ( quickly followed by its successor , `` Enjoy the Silence '' ) . </t>
  </si>
  <si>
    <r>
      <rPr>
        <sz val="11"/>
        <color rgb="FF000000"/>
        <rFont val="Calibri"/>
        <family val="0"/>
        <charset val="1"/>
      </rPr>
      <t xml:space="preserve">Dale Dickey - wikipedia  Dale Dickey     Dale Dickey       Diana Dale Dickey ( 1961 - 09 - 29 ) September 29 , 1961 ( age 56 ) Knoxville , Tennessee , U.S.     Alma mater   University of Tennessee     Occupation   Actress     Years active   1994 - present     Dale Dickey ( born September 29 , 1961 ) is an American character actress who has worked in theater , film , and television . Dickey won the Independent Spirit Award for Best Supporting Female for her performance as Merab in the 2010 independent drama film Winter 's Bone . She is also known for her character roles in a number of mainstream and independent films as of the early 2000s , and for recurring performances in television shows such as My Name Is Earl , Breaking Bad , True Blood and Justified . She also appeared on the television series Vice Principals on HBO .   Contents    1 Life and career   2 Filmography   2.1 Film   2.2 Television     3 References   4 External links    Life and career ( edit )   Diana Dale Dickey was born in Knoxville , Tennessee and attended Bearden High School . She played several roles in High School productions , notably as Emily in Our Town . She later attended the University of Tennessee from 1979 to 1984 , but left to pursue her acting career . On December 10 , 2015 , she returned to the University of Tennessee as a guest speaker , where she gave the commencement speech to fall graduates and was awarded an honorary Master of Fine Arts degree from the university .   Dickey has been working as a character actress in both mainstream and independent films since the 1990s . She is known for her recurring roles as Nash on the hit HBO series Vice Principals and as Patty on NBC comedy series My Name Is Earl and as Opal McHone in CBS historical drama Christy . Dickey has had several roles in films such as The Pledge , Our Very Own , Domino , Super 8 , Being Flynn and The Guilt Trip . She performed on many Broadway productions , like The Merchant of Venice ( 1989 ) and A Streetcar Named Desire ( 2009 ) . Dickey has appeared in guest roles on numerous television series , including The X-Files , Frasier , CSI : Crime Scene Investigation , Gilmore Girls , The Closer , Grey 's Anatomy and Breaking Bad .   Dickey received critical praise for her performance as Merab in 2010 independent drama film Winter 's Bone opposite Jennifer Lawrence , winning the Independent Spirit Award for Best Supporting Female in February 2011 . In 2012 she plays Martha Bozeman in the fifth and sixth seasons of the HBO series True Blood . Dickey appeared in the superhero film Iron Man 3 , directed by Shane Black in 2013 . She also was cast in Bonnie and Clyde : Dead and Alive miniseries in 2013 . In 2014 , she had a recurring role in the FX series Justified . In 2015 Dickey portrayed Rose Gray in the Spanish - American thriller film Regression , in which she co-stars with Ethan Hawke and Emma Watson .   Filmography ( edit )   Film ( edit )     Year   Title   Role   Notes     1995   The Incredibly True Adventure of Two Girls in Love   Regina       1995   Running Wild   Judith       1995   The Journey of August King   Jenny         Prison of Secrets   Lynn 's friend       2000   Sordid Lives   Glyndora       2001   The Pledge   Strom       2005   Our Very Own   Skillet       2005   Domino   Edna Fender       2006   Nichts als Gespenster   Annie       2008   Trailer Park of Terror   Daryl       2008   Dark Canvas   Wilma       2008   Changeling   Patient       2008   Leaving Barstow   Linda       2009   A Perfect Getaway   Earth Momma         Winter 's Bone   Merab   Independent Spirit Award for Best Supporting Female Gotham Independent Film Award for Best Ensemble Performance Southeastern Film Critics Association Award for Best Ensemble ( 2nd place ) Nominated -- San Diego Film Critics Society Award for Best Supporting Actress Nominated -- San Diego Film Critics Society Award for Best Ensemble Performance     2011   Child of the Desert   Elia       2011   Super 8   Edie       2011   Pirates of the Caribbean : Tales of the Code : Wedlocked   Oona       2012   Evidence   Katrina Fleishman       2012   Blues for Willadean   Rayleen Hobbs       2012   Tales of Everyday Magic   Maggie       2012   The Happiest Person in America   Meg       2012   Being Flynn   Marie       2012   The Yellow Wallpaper   Jennie Gilman       2012   The Man Who Shook the Hand of Vicente Fernandez   Denise       2012   The Guilt Trip   Tammy       2012   Lost on Purpose   Retta Lee       2012   9 Full Moons   Billie       2013   C.O.G.   Debbie       2013   The Trials of Cate McCall   Mrs. Stubbs       2013   Teddy Bears   Lori       2013   Iron Man 3   Mrs. Davis       2013   Southern Baptist Sissies   Odette       2014   What Lola Wants   Mama       2014   Dark Around the Stars   Rita       2014   White Bird in a Blizzard   Mrs. Hillman       2014   The Possession of Michael King   Beverly       2014   San Patricios   Colleen Donnelly       2015   Regression   Rose Gray       2015   Waffle Street   Crazy Kathy       2015   Blood Father   Cherise       2016   Hell or High Water   Elsie       2016   Message from the King   Mrs. Lazlo       2017   Small Town Crime   Leslie       2018   Leave No Trace   Dale       Television ( edit )     Year   Title   Role   Notes     1995   Cagney &amp; Lacey : Together Again   Gloria   TV movie     1994 -- 1995   Christy   Opal McHone   4 episodes     2000   City of Angels   Rose Odalee Greenup   Episode : `` The High Cost of Living ''     2000   Christy : The Movie   Opal McHone   TV movie     2001   Christy , Choices of the Heart , Part II : A New Beginning   Opal McHone   TV mini-series ; 2 episodes     2001   The X-Files   Game Warden   Episode : `` Existence ''     2003   Frasier   Mrs. Grant   Episode : `` Some Assembly Required ''       CSI : Crime Scene Investigation   Cassie   Episode : `` Bad to the Bone ''       ER   Mrs. Price   Episode : `` Twas the Night ''     2005   Numb3rs   Karen   Episode : `` Counterfeit Reality ''     2006   Gilmore Girls   Ruthie   2 episodes     2006   Cold Case   Reba Dautry   Episode : `` Joseph ''     2006   The Closer   Anna Larson   Episode : `` Out of Focus ''     2007   Shark   Nancy Padget   Episode : `` Porn Free ''     2007   Ugly Betty   Sugar Free Shirley   Episode : `` East Side Story ''     2008   Sordid Lives : The Series   Glyndora Roberts   6 episodes     2005 -- 2009   My Name Is Earl   Patty , the daytime hooker   19 episodes     2009   Princess Protection Program   Helen   TV movie     2009   Breaking Bad   Spooge 's Lady   2 episodes       All Signs of Death   Thea   TV Pilot       Bones   Marsha Vinton   Episode : `` The X in the File ''       Criminal Minds   Carol   Episode : `` Exit Wounds ''       Weeds   Sugarpop   Episode : `` Gentle Puppies ''     2011   2 Broke Girls   Elena   Episode : `` And the Pop - Up Sale ''     2013   Grey 's Anatomy   Gasoline   Episode : `` Things We Said Today ''     2012 -- 2013   Raising Hope   Patty   2 episodes     2013   Southland   Maureen   Episode : `` Heroes ''     2012 -- 2013   True Blood   Martha Bozeman   12 episodes     2013   Last Man Standing   Doris   Episode : `` Shoveling Snow ''     2013   Bonnie and Clyde : Dead and Alive   Cummie Barrow   TV mini-series ; 2 episodes     2014   Justified   Judith   4 episodes     2014   The Middle   Sandy   Episode : `` Orlando ''     2014   Dinner with Friends with Brett Gelman and Friends   Herself   TV Special     2014   Sons of Anarchy   Renee O'Leary Egan   Episode : `` The Separation of Crows ''     2015   Backstrom   Judge Nunn   Episode : `` Rock Bottom ''     2015   Documentary Now !   Joelle Fellweather   Episode : `` The Eye Does n't Lie ''     2016   Better Things   Jace   Episode : `` Sam / Pilot ''     2017   Claws   Juanda Husser   6 episodes     2017   Vice Principals   Nash   9 episodes     2017   Shameless   Aunt Ronnie   Episode : `` Fuck Paying It Forward ''     References ( edit )    ^ Jump up to : `` Dale Dickey - Biography '' . Yahoo !. Archived from the original on 2015 - 06 - 11 . Retrieved 2013 - 01 - 03 .   Jump up ^ `` Dale Dickey on IMDB '' . IMDB.com . Retrieved 8 October 2012 .   Jump up ^ `` An honor : Actress Dale Dickey speaks at UT commencement , receives honorary degree '' . Knoxville News Sentinel . Retrieved 12 December 2015 .   Jump up ^ Spirit Awards : Dale Dickey wins best supporting female , Los Angeles Times , ( February 26 , 2011 )   Jump up ^ ' True Blood ' adds Dale Dickey for fifth season   Jump up ^ ' Iron Man 3 ' casts ' True Blood ' actress Dale Dickey   Jump up ^ `` First Look at Lifetime / History 's ' Bonnie and Clyde ' Miniseries ( Photos ) '' . The Hollywood Reporter . May 22 , 2013 . Retrieved 2013 - 05 - 22 .   Jump up ^ http://www.knoxville.com/news/2014/mar/05/knoxville-celebrities-dale-dickey-justified/   Jump up ^ English - Language Regression arrives    External links ( edit )    Dale Dickey on IMDb              Independent Spirit Award for Best Supporting Female       Anjelica Huston ( 1987 )   Rosanna DeSoto ( 1988 )   Laura San Giacomo ( 1989 )   Sheryl Lee Ralph ( 1990 )   Diane Ladd ( 1991 )   Alfre Woodard ( 1992 )   Lili Taylor ( 1993 )   Dianne Wiest ( 1994 )   Mare Winningham ( 1995 )   Elizabeth Peña ( 1996 )   Debbi Morgan ( 1997 )   Lynn Redgrave ( 1998 )   Chloë Sevigny ( 1999 )   Zhang Ziyi ( 2000 )   Carrie - Anne Moss ( 2001 )   Emily Mortimer ( 2002 )   Shohreh Aghdashloo ( 2003 )   Virginia Madsen ( 2004 )   Amy Adams ( 2005 )   Frances McDormand ( 2006 )   Cate Blanchett ( 2007 )   Penélope Cruz ( 2008 )   Mo'Nique ( 2009 )   Dale Dickey ( 2010 )   Shailene Woodley ( 2011 )   Helen Hunt ( 2012 )   Lupita Nyong'o ( 2013 )   Patricia Arquette ( 2014 )   Mya Taylor ( 2015 )   Molly Shannon ( 2016 )   Allison Janney ( 2017 )               BNF : cb15030659s ( data )   GND : 1034789740   ISNI : 0000 0000 1116 8635   LCCN : no2010177303   SUDOC : 154739146   VIAF : 17504972      Retrieved from `` https://en.wikipedia.org/w/index.php?title=Dale_Dickey&amp;oldid=851372447 '' Categories :   1961 births   Living people   20th - century American actresses   21st - century American actresses   Actresses from Tennessee   American film actresses   American stage actresses   American television actresses   Independent Spirit Award winners   People from Knoxville , Tennessee   University of Tennessee alumni   Hidden categories :   Infobox person using alma mater   Articles with hCards   Wikipedia articles with BNF identifiers   Wikipedia articles with GND identifiers   Wikipedia articles with ISNI identifiers   Wikipedia articles with LCCN identifiers   Wikipedia articles with SUDOC identifiers   Wikipedia articles with VIAF identifiers           Talk                                           Contents                   About Wikipedia                                           Asturianu   تۆرکجه   Deutsch   Español   فارسی   Français   </t>
    </r>
    <r>
      <rPr>
        <sz val="11"/>
        <color rgb="FF000000"/>
        <rFont val="Noto Sans CJK SC"/>
        <family val="2"/>
      </rPr>
      <t xml:space="preserve">한국어   </t>
    </r>
    <r>
      <rPr>
        <sz val="11"/>
        <color rgb="FF000000"/>
        <rFont val="Calibri"/>
        <family val="0"/>
        <charset val="1"/>
      </rPr>
      <t xml:space="preserve">Italiano   Nederlands   </t>
    </r>
    <r>
      <rPr>
        <sz val="11"/>
        <color rgb="FF000000"/>
        <rFont val="Noto Sans CJK SC"/>
        <family val="2"/>
      </rPr>
      <t xml:space="preserve">日本 語   </t>
    </r>
    <r>
      <rPr>
        <sz val="11"/>
        <color rgb="FF000000"/>
        <rFont val="Calibri"/>
        <family val="0"/>
        <charset val="1"/>
      </rPr>
      <t xml:space="preserve">Русский   Tagalog   Türkçe  4 more  Edit links   This page was last edited on 21 July 2018 , at 20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</si>
  <si>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mrs davis in iron man 3</t>
  </si>
  <si>
    <t xml:space="preserve">   Year   Title   Role   Notes     1995   The Incredibly True Adventure of Two Girls in Love   Regina       1995   Running Wild   Judith       1995   The Journey of August King   Jenny         Prison of Secrets   Lynn 's friend       2000   Sordid Lives   Glyndora       2001   The Pledge   Strom       2005   Our Very Own   Skillet       2005   Domino   Edna Fender       2006   Nichts als Gespenster   Annie       2008   Trailer Park of Terror   Daryl       2008   Dark Canvas   Wilma       2008   Changeling   Patient       2008   Leaving Barstow   Linda       2009   A Perfect Getaway   Earth Momma         Winter 's Bone   Merab   Independent Spirit Award for Best Supporting Female Gotham Independent Film Award for Best Ensemble Performance Southeastern Film Critics Association Award for Best Ensemble ( 2nd place ) Nominated -- San Diego Film Critics Society Award for Best Supporting Actress Nominated -- San Diego Film Critics Society Award for Best Ensemble Performance     2011   Child of the Desert   Elia       2011   Super 8   Edie       2011   Pirates of the Caribbean : Tales of the Code : Wedlocked   Oona       2012   Evidence   Katrina Fleishman       2012   Blues for Willadean   Rayleen Hobbs       2012   Tales of Everyday Magic   Maggie       2012   The Happiest Person in America   Meg       2012   Being Flynn   Marie       2012   The Yellow Wallpaper   Jennie Gilman       2012   The Man Who Shook the Hand of Vicente Fernandez   Denise       2012   The Guilt Trip   Tammy       2012   Lost on Purpose   Retta Lee       2012   9 Full Moons   Billie       2013   C.O.G.   Debbie       2013   The Trials of Cate McCall   Mrs. Stubbs       2013   Teddy Bears   Lori       2013   Iron Man 3   Mrs. Davis       2013   Southern Baptist Sissies   Odette       2014   What Lola Wants   Mama       2014   Dark Around the Stars   Rita       2014   White Bird in a Blizzard   Mrs. Hillman       2014   The Possession of Michael King   Beverly       2014   San Patricios   Colleen Donnelly       2015   Regression   Rose Gray       2015   Waffle Street   Crazy Kathy       2015   Blood Father   Cherise       2016   Hell or High Water   Elsie       2016   Message from the King   Mrs. Lazlo       2017   Small Town Crime   Leslie       2018   Leave No Trace   Dale     </t>
  </si>
  <si>
    <t xml:space="preserve">Guardians of the Galaxy ( film ) - wikipedia  Guardians of the Galaxy ( film )  This is the latest accepted revision , reviewed on 3 November 2017 . Jump to : navigation , search `` Guardians of the Galaxy Vol. 1 '' redirects here . For the first volume of the comic book series , see Guardians of the Galaxy ( 1969 team ) .    Guardians of the Galaxy     Theatrical release poster     Directed by   James Gunn     Produced by   Kevin Feige     Written by     James Gunn   Nicole Perlman       Based on   Guardians of the Galaxy by   Dan Abnett   Andy Lanning       Starring     Chris Pratt   Zoe Saldana   Dave Bautista   Vin Diesel   Bradley Cooper   Lee Pace   Michael Rooker   Karen Gillan   Djimon Hounsou   John C. Reilly   Glenn Close   Benicio del Toro       Music by   Tyler Bates     Cinematography   Ben Davis     Edited by     Fred Raskin   Craig Wood   Hughes Winborne       Production company   Marvel Studios     Distributed by   Walt Disney Studios Motion Pictures     Release date     July 21 , 2014 ( 2014 - 07 - 21 ) ( Dolby Theatre )   August 1 , 2014 ( 2014 - 08 - 01 ) ( United States )             Running time   122 minutes     Country   United States     Language   English     Budget     $232.3 million ( gross )   $195.9 million ( net )       Box office   $773.3 million     Guardians of the Galaxy ( retroactively referred to as Guardians of the Galaxy Vol. 1 ) is a 2014 American superhero film based on the Marvel Comics superhero team of the same name , produced by Marvel Studios and distributed by Walt Disney Studios Motion Pictures . It is the tenth film in the Marvel Cinematic Universe . The film was directed by James Gunn , who wrote the screenplay with Nicole Perlman , and features an ensemble cast including Chris Pratt , Zoe Saldana , Dave Bautista , Vin Diesel , Bradley Cooper , Lee Pace , Michael Rooker , Karen Gillan , Djimon Hounsou , John C. Reilly , Glenn Close , and Benicio del Toro . In Guardians of the Galaxy , Peter Quill forms an uneasy alliance with a group of extraterrestrial misfits who are fleeing after stealing a powerful artifact .   Perlman began working on the screenplay in 2009 . Producer Kevin Feige first publicly mentioned Guardians of the Galaxy as a potential film in 2010 and Marvel Studios announced it was in active development at the San Diego Comic - Con International in July 2012 . Gunn was hired to write and direct the film that September . In February 2013 , Pratt was hired to play Peter Quill / Star - Lord , and the supporting cast members were subsequently confirmed . Principal photography began in July 2013 at Shepperton Studios in England , with filming continuing in London before wrapping up in October 2013 . Post-production was finished on July 7 , 2014 .   The film premiered in Hollywood on July 21 , 2014 . It was released in theaters on August 1 , 2014 in the United States in the 3D and IMAX 3D formats . The film became a critical and commercial success , grossing $773.3 million worldwide and becoming the highest - grossing superhero film of 2014 , as well as the third highest - grossing film of 2014 . The film garnered praise for its humor , action , soundtrack , visual effects , direction , musical score , and acting . A sequel , Guardians of the Galaxy Vol. 2 , was released on May 5 , 2017 , with a third film , Guardians of the Galaxy Vol. 3 , scheduled to be released in 2020 .   Contents  ( hide )   1 Plot   2 Cast   3 Production   3.1 Development   3.1. 1 Writing     3.2 Pre-production   3.3 Filming   3.4 Post-production   3.4. 1 Visual effects       4 Music   5 Release   5.1 Marketing   5.1. 1 Merchandise     5.2 Home media     6 Reception   6.1 Box office   6.1. 1 North America   6.1. 2 Outside North America     6.2 Critical response   6.3 Accolades     7 Sequels   7.1 Guardians of the Galaxy Vol. 2   7.2 Guardians of the Galaxy Vol. 3     8 See also   9 Notes   10 References   11 External links    Plot ( edit )   In 1988 , following his mother 's death , a young Peter Quill is abducted from Earth by the Ravagers , a group of space pirates led by Yondu Udonta . Twenty - six years later on the planet Morag , Quill steals an orb but is attacked by Korath , a subordinate to the fanatical Kree , Ronan . Although Quill escapes with the orb , Yondu discovers his theft and issues a bounty for his capture , while Ronan sends the assassin Gamora after the orb .   When Quill attempts to sell the orb on Xandar , capital of the Nova Empire , Gamora ambushes him and steals it . A fight ensues , drawing in a pair of bounty hunters : the genetically and cybernetically modified raccoon Rocket , and the tree - like humanoid Groot . Nova Corps officers capture the four , detaining them in the Kyln . A powerful inmate there , Drax , attempts to kill Gamora due to her association with Ronan , who killed his family . Quill convinces Drax that Gamora can bring Ronan to him , though Gamora reveals that she has betrayed Ronan , unwilling to let him use the orb 's power . Learning that Gamora has a buyer for the orb , Quill , Rocket , Groot , and Drax work with her to escape the Kyln in Quill 's ship , the Milano .   Ronan meets with Gamora 's adoptive father , Thanos , to discuss her betrayal . Quill 's group flee to Knowhere , a remote criminal outpost in space built in the giant severed head of a Celestial . A drunken Drax summons Ronan while the rest of the group meet Gamora 's contact , the collector Taneleer Tivan . Tivan opens the orb , revealing an Infinity Stone , an item of immeasurable power that destroys all but the most powerful beings who wield it . Tivan 's tormented assistant Carina grabs the Stone , triggering an explosion that engulfs Tivan 's archive .   Ronan arrives and easily defeats Drax , while the others flee by ship , pursued by Ronan 's followers and Gamora 's adoptive sister Nebula . Nebula destroys Gamora 's ship , leaving her floating in space , and Ronan 's fighters capture the orb . Quill contacts Yondu before following Gamora into space , giving her his helmet to survive ; Yondu arrives and retrieves the pair . Rocket , Drax , and Groot threaten to attack Yondu 's ship to rescue them , but Quill negotiates a truce , promising the orb to Yondu . Quill 's group agrees that facing Ronan means certain death , but that they can not let him use the Infinity Stone to destroy the galaxy . On Ronan 's flagship , the Dark Aster , Ronan embeds the Stone in his warhammer , taking its power for himself . He contacts Thanos , threatening to kill him after first destroying Xandar ; hateful of her adoptive father , Nebula allies with Ronan .   The Ravagers and Quill 's group join with the Nova Corps to confront the Dark Aster at Xandar , with Quill 's group breaching the Dark Aster with the Milano . Ronan uses his empowered warhammer to destroy the Nova Corps fleet . Gamora fights and defeats Nebula , who then escapes , but the group find themselves outmatched by Ronan 's power until Rocket crashes a Ravager ship through the Dark Aster . The damaged Dark Aster crash - lands on Xandar , with Groot sacrificing himself to shield the group . Ronan emerges from the wreck and prepares to destroy Xandar , but Quill distracts him , allowing Drax and Rocket to destroy Ronan 's warhammer . Quill grabs the freed Stone , and with Gamora , Drax , and Rocket sharing its burden , they use it to destroy Ronan .   In the aftermath , Quill tricks Yondu into taking a container supposedly containing the Stone , and gives the real Stone to the Nova Corps . As the Ravagers leave Xandar , Yondu remarks that it turned out well that they did not deliver Quill to his father per their contract . Quill 's group , now known as the Guardians of the Galaxy , have their criminal records expunged , and Quill learns that he is only half - human , his father being part of an ancient , unknown species . Quill finally opens the last present he received from his mother : a cassette tape filled with her favorite songs . The Guardians leave in the rebuilt Milano along with a sapling cut from Groot .   In a post-credits scene , Tivan sits in his destroyed archive with two of his living exhibits : a canine cosmonaut and an anthropomorphic duck .   Cast ( edit )  The cast of Guardians of the Galaxy promoting the film at the 2013 San Diego Comic - Con International . From top to bottom : Pratt , Saldana , Bautista , Pace , Rooker , Gillan , Hounsou , and del Toro . ( Scrollable image )   Chris Pratt as Peter Quill / Star - Lord : The half - human , half - alien leader of the Guardians who was abducted from Missouri as a child in 1988 and raised by a group of alien thieves and smugglers called the Ravagers . About the character , Pratt said , `` He had a hard time as a kid , and now he goes around space , making out with hot alien girls and just being a rogue and a bit of a jerk , and through teaming up with these guys , finds a higher purpose for himself . '' He also added that the character is a mix of Han Solo and Marty McFly . Pratt , who was mostly known for playing supporting characters , including Andy Dwyer on the television series Parks and Recreation , initially turned down the role . Pratt had lost weight to portray fit characters in films such as Moneyball and Zero Dark Thirty , and had given up ambitions to play the lead role in action films after humbling auditions for Star Trek and Avatar . Casting director Sarah Finn suggested Pratt to Gunn , who dismissed the idea despite struggling to cast that role . Despite this , Finn arranged for a meeting between the two , at which point Gunn was immediately convinced that Pratt was perfect for the role . Pratt also won over Feige , despite having gained weight again for Delivery Man . Prior to filming , Pratt underwent a strict diet and training regimen to lose 60 lb ( 27 kg ) in six months . Pratt signed a multi-film contract with Marvel , and was granted a temporary leave from his work on Parks and Recreation in order to accommodate his participation in the film . Wyatt Oleff portrays a young Quill .   Zoe Saldana as Gamora : An orphan from an alien world who seeks redemption for her past crimes . She was trained by Thanos to be his personal assassin . Saldana said that she became Gamora through make - up rather than computer generated imagery ( CGI ) or performance capture . On taking the role , Saldana said , `` I was just excited to be asked to join by James Gunn and to also play someone green . I 've been blue before ( in Avatar ) . '' Saldana described Gamora as `` ... a warrior , she 's an assassin and she 's very lethal but what saves her is the same thing that can doom her . She has a sense of righteousness . She 's a very righteous individual . ''   Dave Bautista as Drax the Destroyer : A warrior who seeks to avenge his family 's death at the hands of Ronan . On relating to the character , Bautista said , `` I can just relate to Drax so much it 's not even funny . Just the simple things that we have in common . Simple things like the tattoos , the tragedy -- because you know , I had a bit of tragedy in my life as well . So it 's really easy for me to pull from that . '' Bautista also said that there was `` a lot of comic relief to Drax '' , but the character was not aware of it . Bautista stated that he did not do much preparation for the role , because `` Luckily , for me , I 'm a lifelong athlete and I adapted real quick . '' Bautista 's makeup took approximately four hours to apply , though it could be removed in just 90 minutes . Drax has various scarring patterns on his body , which replace the simple tattoos from the comics , each having a specific story . Additionally , his skin tone was changed from the bright green in the comics to a muddier grey , to avoid visual similarities to the Hulk .   Vin Diesel as Groot : A tree - like humanoid who is the accomplice of Rocket . Diesel stated that he provided the voice and motion capture for Groot , after originally being in talks to star in a new Phase Three Marvel film . Diesel also provided Groot 's voice for several foreign - language releases of the film . Krystian Godlewski portrayed the character on set , though his acting was not used in the final character CGI . On the character , which Gunn based on his dog , Gunn said , `` All the Guardians start out the movie as bastards -- except Groot . He 's an innocent . He 's a hundred percent deadly and a hundred percent sweet . He 's caught up in Rocket 's life , really . '' Gunn added that the design and movement of Groot took `` the better part of a year '' to create . Gunn added , `` The ways in which Vin Diesel says , ' I am Groot , ' I am astounded . All of the ' I am Groots ' that were earlier voices did n't sound very good at all ... Vin came in and in one day , laid down all these ' I am Groot ' tracks , and he 's a perfectionist . He made me explain to him with ever ( sic ) ' I am Groot , ' exactly what he was saying ... It was amazing when we first put that voice in there how much the character changed and how much he influenced the character . '' Regarding the limited words used by Groot , Diesel said in many ways this was , `` ... the most challenging thing to ask an actor to do . '' Diesel found an emotional note in his performance , invoking the death of his friend and Fast and Furious co-star Paul Walker , saying , `` This was in December ( 2013 ) , and the first time I came back to dealing with human beings after dealing with death , so playing a character who celebrates life in the way Groot does was very nice . '' Groot 's form and size - changing abilities are seen , with Gunn stating that he has the ability to grow in the film .   Bradley Cooper as Rocket : A genetically engineered raccoon - like bounty hunter and mercenary who is a master of weapons and battle tactics . Gunn worked with live raccoons to get the correct feel for the character , and to make sure it was `` not a cartoon character '' , saying , `` It 's not Bugs Bunny in the middle of the Avengers , it 's a real , little , somewhat mangled beast that 's alone . There 's no one else in the universe quite like him , he 's been created by these guys to be a mean - ass fighting machine . '' Gunn also based the character on himself . Describing Rocket in relation to the rest of the Guardians , Cooper said , `` I think Rocket is dynamic . He 's the sort of Joe Pesci in Goodfellas guy . '' Cooper voiced Rocket , while Sean Gunn ( James ' younger brother ) stood in for the character during filming . James Gunn said that for the role of Rocket , some physical movement from Cooper , including facial expressions and hand movements , was recorded as potential reference for the animators , though much of Sean Gunn 's acting is used throughout the film . Before Cooper was cast , James Gunn said that it was a challenge finding a voice for Rocket , that he was looking for someone that could balance `` the fast - talking speech patterns that Rocket has , but also can be funny , because he is really funny . But also has the heart that Rocket has . Because there are actually some pretty dramatic scenes with Rocket . ''   Lee Pace as Ronan the Accuser : A Kree radical who agrees to retrieve an artifact for Thanos in exchange for eradicating his mortal enemies , the Xandarians . Ronan and his Sakaaran army hunt down the Guardians when they interfere with his goals . Describing Ronan , Gunn said , `` He is the primary villain , and he is a really twisted guy , he has a really religious bent in this film . He has a very sick and twisted view of what morality is ; strength is virtue and weakness is sin and that is what he lives by , and I think he is very scary because of his beliefs , which are real to him . '' Pace , who originally auditioned for Peter Quill , described Ronan as a `` psycho '' and a `` monster '' .   Michael Rooker as Yondu Udonta : A blue - skinned bandit who is the leader of the Ravagers and a paternal figure to Quill . Yondu helps Quill to steal the orb before Quill betrays him , leaving Yondu and the Ravagers to chase the Guardians . On the character , Rooker said , he has `` some interesting issues -- not a good guy , not a bad guy . There 's hope and there 's a heart inside Yondu . '' Gunn created the film 's version of the character specifically with Rooker in mind , while borrowing the character 's mohawk and use of a whistle - controlled arrow from the comics . Rooker fully committed to the role once he knew his role on the TV series The Walking Dead would be ending . Rooker 's makeup took approximately four hours to apply .   Karen Gillan as Nebula : An adopted daughter of Thanos who was raised with Gamora as siblings and is a loyal lieutenant in the employ of Ronan and Thanos . About the character , Gillan said , `` She is the female villain of the film ... She is very sadistic and evil , but I like to think for a very valid reason . '' She also added , `` I think she 's a really interesting character . What I like to play around with is how jealous she is . She 's Gamora 's sister , and there 's a lot of sibling rivalry . That 's the most interesting aspect to me , because jealousy can consume you and turn you bitter , and ugly . And she 's a total sadist , so that 's fun too . '' Gillan researched the ancient Spartans , shaved off her hair , and trained for two months for the role . The character 's makeup took approximately four and a half hours to be applied .   Djimon Hounsou as Korath : A Kree ally of Ronan who is a feared intergalactic hunter . As to why he took the role Hounsou said , `` I have a four - year old son who loves superheroes from Spider - Man to Iron Man to Batman . He 's got all the costumes . One day he looks at me and says ' Dad , I want to be light - skinned so I could be Spider - Man . Spider - Man has light skin . ' That was sort of a shock . This is why I am excited to be a part of the Marvel Universe , so I could hopefully provide that diversity in the role of the superhero . ''   John C. Reilly as Rhomann Dey : A corpsman in the Nova Corps , the Nova Empire 's military and police force .   Glenn Close as Irani Rael : The leader of the Nova Corps , known as Nova Prime , whose mission is to protect the citizens of the Nova Empire and keep peace . Close stated that she `` had always wanted to be in a movie like ( Guardians of the Galaxy ) , and that it would be `` the most fun to play something like the Judi Dench ( as M or ) Samuel L. Jackson ( as Nick Fury ) role '' . She said that she took the role because she `` love ( s ) to do stuff that 's different '' and wanted to show that she `` ( has ) always been up for anything . '' She also stated that her contract has `` several '' films on it , and that she would be open to working on other Marvel Studios films in addition to returning for Guardians sequels .   Benicio del Toro as Taneleer Tivan / The Collector : An obsessive keeper of the largest collection of interstellar fauna , relics , and species in the galaxy who operates out of a place in space named Knowhere . Describing del Toro 's performance , Gunn said , `` He 's like an outer - space Liberace . That 's what it says in the script , which he 's kind of doing . '' On bringing the character to life , del Toro said , `` What James ( Gunn ) wanted , that I found out little by little as I was doing it , is that he wanted me to explore and just keep pushing the character and keep creating ( him ) as I was in front of the camera . ''    Additionally , Josh Brolin appears , uncredited , as Thanos through voice acting and performance capture . Sean Gunn stood in for Thanos during filming and portrays Kraglin , Yondu 's first mate in the Ravagers . Alexis Denisof reprises his role as Thanos 's vizier , `` The Other '' , from The Avengers . Ophelia Lovibond plays Carina , the Collector 's slave ; Peter Serafinowicz plays Denarian Garthan Saal , a Nova Corps officer ; Gregg Henry plays Quill 's grandfather ; Laura Haddock plays Quill 's mother , Meredith ; Melia Kreiling plays Bereet ; Christopher Fairbank plays The Broker ; Mikaela Hoover plays Nova Prime 's assistant ; Marama Corlett plays a pit boss at the bar , The Boot ; Emmett J. Scanlan plays a Nova riot guard ; Alexis Rodney plays Moloka Dar ; Tom Proctor plays Horuz , a Ravager ; and Spencer Wilding plays a prison guard who confiscates Quill 's Walkman . Canine actor Fred appears as Cosmo . Stephen Blackehart had a supporting role . Naomi Ryan also had a supporting role in the film , though it was cut in the final version . Cameos in the film include : James Gunn as a Sakaaran ; Stan Lee as a Xandarian Ladies ' Man ; Lloyd Kaufman as an inmate ; Nathan Fillion as the voice of an inmate ; Rob Zombie as the voice of the Ravager Navigator ; composer Tyler Bates as a Ravager pilot ; and Seth Green as the voice of Howard the Duck .   Production ( edit )   Development ( edit )  `` I think anybody ... who would have said that this would make a great main movie would have been laughed off . It 's such an unlikely thing to do . So I think it 's lovely to work on something and expose its potential to the point where a company like Marvel will say , ' Yes , this makes sense . ' '' -- Dan Abnett , co-writer of the 2008 Guardians of the Galaxy relaunch , on the project  Marvel Studios President Kevin Feige first mentioned Guardians of the Galaxy as a potential film at the 2010 San Diego Comic - Con International , stating , `` There are some obscure titles , too , like Guardians of the Galaxy . I think they 've been revamped recently in a fun way in the ( comic ) book . '' Feige reiterated that sentiment in a September 2011 issue of Entertainment Weekly , saying , `` There 's an opportunity to do a big space epic , which Thor sort of hints at , in the cosmic side '' of the Marvel Cinematic Universe . Feige added , should the film be made , it would feature an ensemble of characters , similar to X-Men and The Avengers .   Feige announced that the film was in active development at the 2012 San Diego Comic - Con International during the Marvel Studios panel , with an intended release date of August 1 , 2014 . He stated that the film 's titular team would consist of the characters Star - Lord , Drax the Destroyer , Gamora , Groot , and Rocket Raccoon . Two pieces of concept art were also displayed , one of Rocket Raccoon , and one featuring the entire team . In August 2012 , James Gunn entered talks to direct the film , beating out other contenders , including Peyton Reed and the duo Ryan Fleck and Anna Boden . The Avengers director Joss Whedon , who signed a deal to creatively consult on all of the films leading up to The Avengers sequel , was enthusiastic about the selection of Gunn to direct , saying `` James ( Gunn ) is what makes me think it will work ... He is so off the wall , and so crazy , but so smart , such a craftsman and he builds from his heart . He loves the raccoon . Needs the raccoon ... He has a very twisted take on it , but it all comes from a real love for the material . It 's going to be hard for ( the human characters ) to keep up . ''  Writing ( edit )  Nicole Perlman , who was enrolled in Marvel 's screenwriting program in 2009 , was offered several of their lesser known properties to base a screenplay on . Out of those , Perlman chose Dan Abnett and Andy Lanning 's Guardians of the Galaxy , due to her interest in space and science fiction , adding , `` I think ( Marvel ) were a little taken aback when I chose Guardians , because there were ones that would make a lot more sense if you were a romantic - comedy writer or something like that . '' Perlman spent two years writing a draft , immersing herself in the Guardians universe , and was asked in late 2011 to create another draft , before Gunn was brought in in early 2012 to contribute to the script . Gunn eventually rewrote the script entirely because `` it did n't work '' for him ; he would use the film The Dirty Dozen as a reference to convey his ideas of the film to Marvel . Gunn later explained that Perlman 's draft was very different from the script he used during filming , including a different story , character arcs and no Walkman ; he stated , `` In Nicole 's script everything is pretty different ... it 's not about the same stuff . But that 's how the WGA works . They like first writers an awful lot . '' In August 2012 , Marvel Studios hired writer Chris McCoy to rewrite Perlman 's script , however , it is unclear what contribution he had to the final script , since he did not receive production credit .   Gunn revealed that character introductions were the `` hardest scenes to crack '' , with Thanos ' introduction being the most difficult . He felt that `` having Thanos be in that scene was more helpful to the ( MCU ) than it was to Guardians of the Galaxy , '' yet he still wanted Thanos in the film , without `` ( belittling ) the actual antagonist of the film , which is Ronan . '' To solve his dilemma , Gunn chose to have Ronan kill `` The Other '' , Thanos ' vizier , saying , `` I thought that was interesting , because we 've had the Other , who 's obviously very powerful even in comparison to Loki , and then we see Ronan wipe his ass with him . So that I liked , but even that was sort of difficult , because it played as funnier when I first wrote it , and the humor did n't work so much . ''   Pre-production ( edit )   In September 2012 , Gunn confirmed that he had signed on to direct the film and rewrite the script . By the end of November , Joel Edgerton , Jack Huston , Jim Sturgess , and Eddie Redmayne signed deals to test for the role of Peter Quill , as did Lee Pace , which he confirmed a week later in early December . Other actors who were considered for the role included Thor : The Dark World 's Zachary Levi , Joseph Gordon - Levitt , Michael Rosenbaum , and John Gallagher Jr . Chris Pratt was cast in the role in February 2013 , as part of a multi-film deal that he signed with Marvel .  Gunn promoting the film at 2013 San Diego Comic - Con International  In January 2013 , filming was scheduled to take place at Shepperton Studios in London , United Kingdom , and Marvel Studios announced that the film would be released in 3D . Victoria Alonso , an executive producer on the film , said that filming would begin in June . She also said that both Rocket Raccoon and Groot would be created through a combination of CGI and motion capture , going on to say that `` You ca n't do any motion capture with a raccoon -- they wo n't let you put the suit on . But we will do rotomation , probably , for some of the behavior ... we definitely will have performers to emulate what James Gunn will lead to be , the behavior and the performance . He 's very clear on where he wants to take the characters . '' In March 2013 , Feige discussed Guardians of the Galaxy in relation to the Marvel Cinematic Universe , saying , `` It 's much more of a standalone film . It takes place in the same universe . And when we 've been on the other side of that universe in other movies , you might see those characteristics in Guardians , but the Avengers are not involved with what 's happening out there at this time . '' Feige also stated that 95 % of the film would take place in space . In mid-March , Dave Bautista was signed to play Drax the Destroyer . Other actors who had been considered for the role included Isaiah Mustafa , Brian Patrick Wade and Jason Momoa . By the following week , sculptor Brian Muir , who sculpted Darth Vader 's mask for the Star Wars films , was revealed to be working on the film .   In early April 2013 , Zoe Saldana entered into negotiations to star as Gamora in the film , and it was confirmed she had been cast later that month . Also in April , Michael Rooker joined the film 's cast as Yondu , and it was announced that Ophelia Lovibond had been cast in a supporting role . By this point in time , Lee Pace was in final negotiations to play the villain of the film . In May , Marvel offered John C. Reilly the role of Rhomann Dey . At the same time , it was disclosed that filmmakers were looking at actors including Hugh Laurie , Alan Rickman , and Ken Watanabe , for another role , and that Christopher Markus and Stephen McFeely were providing finishing touches to the script . A few days later , Glenn Close was cast as the head of the Nova Corps in the film , followed shortly by the casting of Karen Gillan as the film 's lead female villain . By June 2013 , Benicio del Toro was cast in the film , as part of a multi-film deal with Marvel Studios . Later in the month , it was confirmed that Reilly had been cast as Rhomann Dey .   Special effects makeup designer David White took head and body casts of actors , such as Bautista , to experiment with materials used to create the characters . White said , `` James always pushed for practical and makeup effects . He wanted , like me , to see the real deal there on set . '' White was careful not to use `` modern '' creature designs to ensure they did not fall short in Gunn 's uniquely envisioned world . White and his team created upwards of 1,000 prosthetic makeup applications and 2,000 molds of different colored aliens . For the specific aesthetic look to the film , Gunn wanted to create `` a colorful science - fiction world '' , and include elements of 1950s and 60s pulp movies , citing the Ravagers ' spaceships , which he compared to muscle cars , as an example of the latter . Science fiction artist Chris Foss inspired and helped design the final look of some of the spacecrafts that appear in the film .   Filming ( edit )   Principal photography began around July 6 , 2013 in London , United Kingdom , under the working title of Full Tilt . Filming took place at Shepperton Studios and Longcross Studios . Later in July , Gunn and the film 's cast flew from London to attend San Diego Comic - Con International , where it was revealed that Pace would play Ronan the Accuser , Gillan would be Nebula , del Toro as The Collector , and that Djimon Hounsou had been cast as Korath . Close was later revealed to play Nova Prime Irani Rael . Also at San Diego Comic - Con , Feige stated that Thanos would be a part of the film as the `` mastermind '' . On August 11 , 2013 , filming began at London 's Millennium Bridge , which was selected as a double for Xandar . In August 2013 , Marvel announced that Bradley Cooper would voice Rocket . On September 3 , 2013 , Gunn said that filming was `` a little over half ( way ) '' complete . Also in September , Vin Diesel stated that he was voicing Groot . However , Marvel did not confirm Diesel 's involvement in the film at the time . On October 12 , 2013 , Gunn announced on social media that filming had completed .   Director of photography Ben Davis used Arri Alexa XT cameras for the film , saying , `` I 'm traditionally a photochemical fan , but going with the digital format was the right way for this movie ... the Alexa ( provided ) the right look for this particular film . '' During the opening scenes in the 1980s , Davis chose JDC Cooke Xtal ( Crystal ) Express anamorphic prime lenses because they `` had more anamorphic artifacts and aberrations , which ( he ) felt added something . '' Davis used spherical Panavision Primos for the rest of the film . Additionally , Davis worked closely with production designer Charles Wood in order to achieve the correct lighting looks for each scene . Dealing with two fully CGI characters forced Davis to shoot scenes multiple times , usually once with the references for the characters and once without them in the shot .   Gunn revealed that his brother , Sean Gunn , took on multiple roles during the filming process , such as standing in for Rocket , which he noted was beneficial for the other actors , including Saldana , Pratt , and Bautista , who responded positively to Sean and his on - set performances . Special effects makeup designer David White made two life - size versions of Rocket and a bust of Groot as aids for visual effects , with White saying , `` it gives ( the filmmakers ) a good indication of where visual effects needs to pick up and whether Rocket can actually reach certain things or use certain devices . '' These busts were also used to see how the on - set lighting would affect the characters , to assist with the visual effects lighting process .   In January 2015 , Disney revealed that the film came in `` slightly over the agreed budget '' at $232.3 million , with Disney receiving a rebate of $36.4 million from the British government . It was previously estimated to have had a $170 million budget .   Post-production ( edit )   In November 2013 , Gunn stated that he attempted to use as many practical</t>
  </si>
  <si>
    <t xml:space="preserve">what is the blue guys name from guardians of the galaxy</t>
  </si>
  <si>
    <t xml:space="preserve"> Michael Rooker as Yondu Udonta : A blue - skinned bandit who is the leader of the Ravagers and a paternal figure to Quill . Yondu helps Quill to steal the orb before Quill betrays him , leaving Yondu and the Ravagers to chase the Guardians . On the character , Rooker said , he has `` some interesting issues -- not a good guy , not a bad guy . There 's hope and there 's a heart inside Yondu . '' Gunn created the film 's version of the character specifically with Rooker in mind , while borrowing the character 's mohawk and use of a whistle - controlled arrow from the comics . Rooker fully committed to the role once he knew his role on the TV series The Walking Dead would be ending . Rooker 's makeup took approximately four hours to apply . </t>
  </si>
  <si>
    <r>
      <rPr>
        <sz val="11"/>
        <color rgb="FF000000"/>
        <rFont val="Calibri"/>
        <family val="0"/>
        <charset val="1"/>
      </rPr>
      <t xml:space="preserve">A Cinderella Story : Once Upon a song - Wikipedia  A Cinderella Story : Once Upon a song  Jump to : navigation , search    A Cinderella Story : Once Upon a Song     DVD cover     Directed by   Damon Santostefano     Produced by   Dylan Sellers     Written by     Erik Patterson   Jessica Scott       Based on   A Cinderella Story by Leigh Dunlap     Starring     Lucy Hale   Freddie Stroma   Megan Park   Manu Narayan   Missi Pyle       Music by   Braden Kimbell     Cinematography   John Peters     Edited by   Tony Lombardo     Distributed by   Warner Premiere     Release date     September 6 , 2011 ( 2011 - 09 - 06 )               Running time   88 minutes     Country   United States     Language   English     A Cinderella Story : Once Upon a Song is a 2011 American teen musical comedy film , directed by Damon Santostefano and starring Lucy Hale , Freddie Stroma , Megan Park , Manu Narayan and Missi Pyle . It is a sequel to Another Cinderella Story ( 2008 ) and the third installment in A Cinderella Story series . The film was released on DVD on September 6 , 2011 .   The film was followed by A Cinderella Story : If the Shoe Fits ( 2016 ) .     Contents  ( hide )   1 Plot   2 Cast   3 Soundtrack   4 Critical reception   5 References   6 External links      Plot ( edit )       This article 's plot summary may be too long or excessively detailed . Please help improve it by removing unnecessary details and making it more concise . ( March 2015 ) ( Learn how and when to remove this template message )     17 - year - old aspiring singer Katie Gibbs ( Lucy Hale ) is over-worked , bullied , and constantly harassed by her stepfamily -- mother Gail ( Missi Pyle ) , teenage sister Bev ( Megan Park ) , and young brother Victor ( Matthew Lintz ) . Despite how badly they treat her , Katie does their bidding with no complaints in fear that they might put her in foster care and is only putting up their emotional abuse until she turns 18 and graduates from High School .   In a dream , Katie performs a music video for her hit single ( `` Run This Town '' ) . Then Victor wakes her up , demanding breakfast . At the Wellesley Academy of the Arts , of which Gail is headmistress , Guy Morgan ( Dikran Tulaine ) -- president of Massive Records , Inc. -- enrolls his son Luke ( Freddie Stroma ) . Katie , wanting to change her life for the better , sneaks her demo CD into Guy 's briefcase . Guy wants Luke to produce an upcoming showcase at the Academy ; Luke , however , is less than excited about following in his dad 's footsteps .   Back at home , Bev ( Megan Park ) wants to win a recording contract with Guy . Bev , however , is a terrible singer ; the more she practices , the worse she sounds . Guy calls Gail , who is shocked to hear that he loves Katie 's demo . Gail lies , claiming it was Bev 's demo and that Katie stole it . Meanwhile , Victor steals Katie 's clothes and towel while she showers , locking her out of the house naked . Unable to get back inside , Katie trips over a visiting Luke ; thinking fast , she covers herself up using the WELCOME mat . Amused by the situation , Luke gives her his jacket . While Bev welcomes Luke , Gail barges into Katie 's room and forces her to sing . Then , after shoving Luke out of the house , Gail plans to get Bev a record deal by using Katie 's voice . Bev is reluctant , but goes along with this in order to win Luke 's affections .   At school , Katie and her best friend Angela ( Jessalyn Wanlim ) hear Luke singing . The entranced Katie writes a song of her own , for him , and admits that she likes him . Angela urges Katie to sing for him at the Bollywood Ball that night , and gives her a costume to wear . Then Gail barges in .   Gail orders Katie to babysit Victor tonight , since she wants Bev to win Luke over at the Ball . Katie pleads with Tony ( Manu Narayan ) , Gail 's guru ( who is no real guru but just a method actor from New Jersey who needed the work ) to watch Victor while she goes to the Ball . There Katie leads Luke outside and sings ( `` Extra Ordinary '' ) . He is entranced by her voice . Angela challenges Gail to a Bollywood dance - off ( `` Oh Mere Dilruba '' ) . Gail loses and then leaves the Ball . Katie tries to beat Gail home , but with no success . Now it 's Katie 's turn to get blackmailed : Gail vows to expel Angela from the Academy -- which will ruin her chances of getting into Juilliard -- unless Katie sings for Bev . To save Angela 's dance career , Katie goes along with Gail .   Luke wants to find the girl who sang for him . In the music room , he sees Bev lip - syncing to Katie 's voice ( `` Make You Believe '' ) . Jumping to the obvious - but - wrong conclusion , Luke falls for Bev and invites her to write more songs with him . Much to Bev 's horror , he treats her out to a restaurant that evening . Luke is amazed by Bev 's musical aptitude , unaware that Katie is texting to her what she should say ( because Bev forced her to help ) . The next day , Luke drops by Bev 's house and hits it off with Victor , to whom he gives guitar lessons . Katie also reconnects with Luke , who does n't like it when she has to head out again -- this time , to throw away Gail 's prized portrait , which Victor has ruined by cutting out her face . Bev cuts in on Luke , whom she then forces Victor to help her deceive by using miniature electronic - communication devices , so that Katie can coach her through another date . Katie puts together a song on the spot ( `` Possibilities '' ) , which Luke sings , thinking it 's Bev 's . She and Luke kiss , which breaks Katie 's heart . Victor takes notice of Katie 's distress and sympathizes with her .   Luke falls in love with Bev , unaware that her singing and songwriting talents are actually Katie 's . Later , Gail reveals that she has access to the savings account opened by Katie 's late father ; ergo , if Katie does n't submit to her stepfamily 's will , she 'll be cut off without a cent . Victor also discovers that his family 's money is rightfully Katie 's . As it turns out , Victor himself is frequently mistreated by Bev and their mom ; he shares no more affection with them than Katie does and he only went along with their mistreatment of Katie because he was afraid of his Mother and older sister and he was afraid of what they would do to him if he did not go along with it . Feeling guilty over not having had a better relationship with Katie over the years -- among other things , she 's the only one who remembers his birthday -- Victor agrees to help expose the fraud perpetrated by his family .   At the showcase , Victor sabotages Bev 's performance of ( `` Make You Believe '' ) by destroying her iPhone , on which is Katie 's recorded singing voice . After threatening to drown Victor in the kitchen sink for what he 's just done , Gail forces Katie to sing live backstage . Luke trips over what 's happening ; he realizes at last that Bev is a fake , and that beautiful voice is actually Katie 's .   During Bev 's second performance , Luke steals a videocamera and films Katie singing backstage , thus exposing the whole charade . Gail tries to stop Luke , but Tony stops her first . Victor and Angela bring Katie onstage to perform another song ( `` Bless Myself '' ) . Katie and Luke admit their feelings for each other . Guy also loves Katie 's performance , and green - lights Luke to produce an album for her . He even agrees to help Angela get into Juilliard .   In a mid-credits scene , Guy vows to tell the school board what he thinks of Gail , who is removed as headmistress of Wellesley Academy . Even Bev is delighted to be rid of her mom , being no stranger herself to Gail 's manipulative ways . Gail soon finds herself back to where she started decades before : singing ( horribly ) at a ranch , where she is bombarded with fruit and booed off the stage .   Cast ( edit )    Lucy Hale as Katie Gibbs   Freddie Stroma as Luke Morgan   Missi Pyle as Gail Van Ravensway   Megan Park as Beverly `` Bev '' Van Ravensway   Matthew Lintz as Victor Van Ravensway   Jessalyn Wanlim as Angela   Manu Narayan as Ravi / Tony Gupta   Titus Makin Jr. as Mickey O ' Malley   Dikran Tulaine as Guy Morgan   Lucy Davenport as Ms. Plumberg   Onira Tares as Crazy Girl    Soundtrack ( edit )  Main article : A Cinderella Story : Once Upon a Song ( soundtrack )  Critical reception ( edit )   The film received mixed reviews although it did not get criticized by Metacritic . It achieved 50 % on Rotten Tomatoes . Rotten audience also rate the film 3.3 / 5 with the 254 users . Mike McGranaghan of The Aisle Seat scored the film one and ​ ⁄ out of four , said : `` A Cinderella Story : Once Upon a Song is like a movie version of iCarly or Victorious or any of those other tween girl shows that combine broad physical humor , mild expressions of pubescent sexuality and fantasies of becoming famous '' . The DVD Sleuth gave the film 1 out of 2 .   References ( edit )    Jump up ^ http://www.dvdsleuth.com/CinderellaStoryReview/   Jump up ^ http://www.rottentomatoes.com/m/a_cinderella_story_once_upon_a_song/#want_to_see   Jump up ^ http://www.rottentomatoes.com/m/a_cinderella_story_once_upon_a_song/#want_to_see   Jump up ^ http://aisleseat.com/cinderellastory2.htm    External links ( edit )    A Cinderella Story : Once Upon a Song on IMDb              A Cinderella Story     Films     A Cinderella Story ( 2004 )   Another Cinderella Story ( 2008 )   A Cinderella Story : Once Upon a Song ( 2011 )   A Cinderella Story : If the Shoe Fits ( 2016 )       Soundtracks     A Cinderella Story : Original Soundtrack   Another Cinderella Story   A Cinderella Story : Once Upon a Song       Songs     `` Our Lips Are Sealed ''   `` Tell Me Something I Do n't Know ''                 Films directed by Damon Santostefano       Fright Show ( 1985 )   Severed Ties ( 1992 )   Three to Tango ( 1999 )   Last Man Running ( 2003 )   Bring It On Again ( 2004 )   Another Cinderella Story ( 2008 )   Best Player ( 2011 )   A Cinderella Story : Once Upon a Song ( 2011 )   Pure Country : Pure Heart ( 2017 )                 Cinderella by Charles Perrault and the Brothers Grimm     Characters     Buttons   Cinderella   Ugly sisters   Fairy godmother   Wicked stepmother   Prince Charming       Films     Cinderella ( 1899 )   Cinderella or the Glass Slipper ( 1912 )   Cinderella ( 1914 )   A Lowland Cinderella ( 1921 )   A Kiss for Cinderella ( 1925 film )   Ella Cinders ( 1926 )   The Magic Shoes ( 1935 )   First Love ( 1939 )   Cinderella ( 1947 )   The Glass Slipper ( 1955 )   Cinderella ( 1955 )   Cinderfella ( 1960 )   Stop ! Look ! and Laugh ( 1960 )   More Than a Miracle ( 1967 )   Tři oříšky pro Popelku ( 1973 )   The Slipper and the Rose ( 1976 )   Cinderella ( 1979 )   Cinderella ' 80 ( 1984 )   Maid to Order ( 1987 )   If the Shoe Fits ( 1990 )   Ever After ( 1998 )   Ella Enchanted ( 2004 )   Cinderella ( 2006 )   Elle : A Modern Cinderella Tale ( 2010 )   Cinderella ( 2015 )      A Cinderella Story series     A Cinderella Story ( 2004 )   Another Cinderella Story ( 2008 )   Once Upon a Song ( 2011 )   If the Shoe Fits ( 2016 )       Animation     Cinderella Blues ( 1931 )   Poor Cinderella ( 1934 )   Cinderella Meets Fella ( 1938 )   Swing Shift Cinderella ( 1945 )   Cinderella ( 1950 )   Señorella and the Glass Huarache ( 1964 )   Cinderella ( 1979 )   The Tender Tale of Cinderella Penguin ( 1981 )   The Magic Riddle ( 1991 )   Cinderella ( 1994 )   Happily N'Ever After ( 2007 )   Year of the Fish ( 2008 )   Cinderella the Cat ( 2017 )   Charming ( 2018 )       Sequels     Princess Cinderella ( 1941 )   Cinderella II : Dreams Come True ( 2002 )   Cinderella III : A Twist in Time ( 2007 )          Television     Hey , Cinderella ! ( 1968 )   Cindy ( 1978 )   Cinderella Monogatari ( 1996 )   Cinderella ( 1997 )   CinderElmo ( 1999 )   Cinderella ( 2000 )   La Cenicienta ( 2003 )   Bawang Merah Bawang Putih ( 2004 )   Floricienta ( 2004 )   Floribella ( 2005 Brazil )   Floribella ( 2006 Portugal )   Grazilda ( 2010 )   Rags ( 2012 )   Aik Nayee Cinderella ( 2012 )       Literary adaptations     Celestina ( 1791 )   Cinderella , or the Little Glass Slipper ( 1954 )   Nine Coaches Waiting ( 1958 )   Carrie ( 1974 )   The Coachman Rat ( 1989 )   Witches Abroad ( 1991 )   Ella Enchanted ( 1997 )   I Was a Rat ! or The Scarlet Slippers ( 1999 )   Just Ella ( 1999 )   Confessions of an Ugly Stepsister ( 1999 )   Chinese Cinderella ( 1999 )   The Fairy Godmother ( 2004 )   Phoenix and Ashes ( 2004 )   Bella at Midnight ( 2006 )   Ash ( 2009 )   Princess of Glass ( 2010 )   Cinder ( 2012 )       Opera     Cendrillon ( 1810 Isouard )   La Cenerentola ( 1817 Rossini )   Cendrillon ( 1899 Massenet )   Cendrillon ( 1904 Viardot )   La Cenicienta ( 1966 Hen )       Ballet     Cinderella ( 1893 Fitinhof - Schell )   Aschenbrödel ( 1900 Strauss - Bayer )   Cinderella ( 1945 Prokofiev )   Cinderella ( 1948 Ashton )       Musicals     Cinderella and the Prince , or The Castle of Heart 's Desire ( 1904 )   Stubborn Cinderella ( 1909 )   Mr. Cinders ( 1929 )   Cinderella ( 1957 )   Cindy ( 1964 )   The Penny Friend ( 1966 )   The Slipper and the Rose ( 1984 )   Soho Cinders ( 2008 )   Cinderella ( 2013 )       Other     Plays   A Kiss for Cinderella ( 1916 )     Comics   Cinderella : From Fabletown with Love   Cinderalla     Games   Cinders         Songs     `` Spread a Little Happiness '' ( 1929 )   `` Bibbidi - Bobbidi - Boo '' ( 1949 )   `` A Dream Is a Wish Your Heart Makes '' ( 1950 )   `` Cinderella '' ( 1987 )   `` Hey Cinderella '' ( 1993 )   `` It 's Midnight Cinderella '' ( 1996 )   `` Cinderella '' ( 2001 )   `` Cinderella '' ( 2002 )   `` Cinderella '' ( 2003 )   `` Stealing Cinderella '' ( 2007 )   `` Cinderella '' ( 2007 )   `` C \ C ( Cinderella \ Complex ) '' ( 2008 )       Albums     A Cinderella Story ( 2004 soundtrack )   Disney 's Princess Favorites ( 2002 )       Sociology     Cinderella complex   Cinderella effect   The Cinderella Movement       Commercials     A Coach for Cinderella   A Ride for Cinderella       Adult     Cinder Ellen up too Late   Cinderella ( 1977 )   Naughty Cinderella       National variation     Bawang Merah Bawang Putih ( Malay and Indonesian )   Beauty and Pock Face ( Chinese )   Chūjō - hime ( Japanese )   Fair , Brown and Trembling ( Irish )   Finette Cendron ( French )   The Green Knight ( Danish )   Katie Woodencloak ( Norwegian )   Kongji and Patzzi ( Korean )   Ochikubo Monogatari ( Japanese )   `` Rhodopis '' ( Greek )   Rushen Coatie ( Scottish )   The Sharp Grey Sheep ( Scottish )   The Story of Tam and Cam ( Vietnamese )   Sumiyoshi Monogatari ( Japanese )   The True Bride ( German )   The Wonderful Birch ( Russian )   Ye Xian ( Chinese )       Related     Catskin   Into the Woods   Into the Woods ( 2014 film )     Politically Correct Bedtime Stories   Disney 's characters   Stop ! Look ! and Laugh   Waltz Suite   Black Cinderella Two Goes East   Cinderella Monogatari   Cinderella 's Sister   Cinderella ( sports )   Lying to Be Perfect   Cinderella 's Eyes ( 2011 )      Retrieved from `` https://en.wikipedia.org/w/index.php?title=A_Cinderella_Story:_Once_Upon_a_Song&amp;oldid=843643784 '' Categories :   2011 films   English - language films   2010s musical comedy films   2010s sequel films   2010s teen comedy films   2011 direct - to - video films   American dance films   American films   American musical comedy films   American sequel films   American teen comedy films   American teen musical films   Direct - to - video comedy films   Direct - to - video sequel films   Films directed by Damon Santostefano   Films based on Cinderella   Films set in 1989   Films set in 2011   Films shot in North Carolina   Warner Bros. direct - to - video films   Hidden categories :   Wikipedia articles with plot summary needing attention from March 2015   All Wikipedia articles with plot summary needing attention           Talk                                           Contents                   About Wikipedia                                           Čeština   Deutsch   Español   فارسی   Français   Հայերեն   Italiano   עברית   Polski   Português   Русский   Suomi   </t>
    </r>
    <r>
      <rPr>
        <sz val="11"/>
        <color rgb="FF000000"/>
        <rFont val="Noto Sans CJK SC"/>
        <family val="2"/>
      </rPr>
      <t xml:space="preserve">中文  </t>
    </r>
    <r>
      <rPr>
        <sz val="11"/>
        <color rgb="FF000000"/>
        <rFont val="Calibri"/>
        <family val="0"/>
        <charset val="1"/>
      </rPr>
      <t xml:space="preserve">4 more  Edit links   This page was last edited on 30 May 2018 , at 13 : 58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</si>
  <si>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 cinderella story once upon a song katie and luke kiss</t>
  </si>
  <si>
    <t xml:space="preserve"> Luke wants to find the girl who sang for him . In the music room , he sees Bev lip - syncing to Katie 's voice ( `` Make You Believe '' ) . Jumping to the obvious - but - wrong conclusion , Luke falls for Bev and invites her to write more songs with him . Much to Bev 's horror , he treats her out to a restaurant that evening . Luke is amazed by Bev 's musical aptitude , unaware that Katie is texting to her what she should say ( because Bev forced her to help ) . The next day , Luke drops by Bev 's house and hits it off with Victor , to whom he gives guitar lessons . Katie also reconnects with Luke , who does n't like it when she has to head out again -- this time , to throw away Gail 's prized portrait , which Victor has ruined by cutting out her face . Bev cuts in on Luke , whom she then forces Victor to help her deceive by using miniature electronic - communication devices , so that Katie can coach her through another date . Katie puts together a song on the spot ( `` Possibilities '' ) , which Luke sings , thinking it 's Bev 's . She and Luke kiss , which breaks Katie 's heart . Victor takes notice of Katie 's distress and sympathizes with her . </t>
  </si>
  <si>
    <t xml:space="preserve">who is the most followed user in instagram</t>
  </si>
  <si>
    <t xml:space="preserve"> This list contains the top 25 accounts with the most followers on the social photo - sharing platform Instagram . As of May 2018 , the most followed user is Instagram 's own account , with over 235 million followers . Selena Gomez is the most followed individual , with over 137 million followers . Ten accounts have exceeded 100 million followers on the site . </t>
  </si>
  <si>
    <t xml:space="preserve">Smoking ban in England - wikipedia  Smoking ban in England  Jump to : navigation , search Since 1 July 2007 smoking has been banned in all enclosed public places in England including pubs , bars and restaurants .  A smoking ban in England , making it illegal to smoke in all enclosed work places in England , came into force on 1 July 2007 as a consequence of the Health Act 2006 . Similar bans had already been introduced by the rest of the United Kingdom : in Scotland on 26 March 2006 , Wales on 2 April 2007 and Northern Ireland on 30 April 2007 .     Contents  ( hide )   1 Before the smoking ban   2 Passage of the law   3 Following the passing of the law   4 Exemptions from the law   5 Public transport   6 Policing of the ban   7 Opposition to the ban   8 See also   9 References   10 External links      Before the smoking ban ( edit )   Before the ban many businesses voluntarily introduced bans on smoking mainly as a result of public feedback . The pub chain Wetherspoons was the first major chain to introduce a complete ban on indoor smoking .   Tobacco advertising had been banned in England gradually starting with a ban on Television Advertising of cigarettes in 1965 to a complete ban on all Tobacco Advertising in 2005 .   Passage of the law ( edit )   On 16 November 2004 a Public Health white paper proposed a smoking ban in almost all public places in England and Wales . Smoking restrictions would be phased in , with a ban on smoking in NHS and government buildings by 2006 , in enclosed public places by 2007 , and pubs , bars and restaurants ( except pubs not serving food ) by the end of 2008 .   On 26 October 2005 , after external challenge and debates within the Cabinet , the government announced that it would continue with its plans . All workplaces , including restaurants and pubs selling food , would have to comply by summer 2007 However , there was widespread criticism from all sides of the argument on this , with a number of MPs threatening to try to overturn the bill . Many representatives of the licensed trade told the Government that only a total ban would work , and over 90 MPs signed a motion demanding this , with over 100 signing a petition for a free vote on the issue . It was reported on 24 November that Chief Medical Officer Liam Donaldson nearly quit over the partial ban , but decided to stay to champion a total ban . On the same day , the government released the results of the public consultation , after Cancer Research UK demanded them under the Freedom of Information Act , which revealed that nearly 9 out of 10 respondents wanted a total ban .   On 11 January 2006 , the government further announced that it would give MPs a free vote on an amendment to the Health Bill , submitted by the Health select committee , to instigate a comprehensive smoke - free workplace regulations . Health Secretary Patricia Hewitt voted in favour of the amendment and , in so doing , voted against her own Department 's then publicly stated policy ( i.e. the proposed partial regulations ) . All other parties had offered free votes on the issue which was debated on 14 February , with three options : the present compromise , a total ban , or an exemption for members ' clubs only .   On 14 February 2006 , the House of Commons first voted on the amendment to the original compromise plan , to extend the ban to all enclosed public places except private members ' clubs . The amendment was carried with a large majority . MPs then voted on a further amendment to ban smoking in all enclosed public places including private members ' clubs . Again this amendment gained significant support and was carried with a large majority . This therefore replaced the earlier successful amendment which would have allowed smoking only in private members ' clubs . The legislation was passed by the House of Lords , allowing a total smoking ban in enclosed public places to come into force in England .   Political opposition did not entirely disappear at this point , the House of Lords Economic Affairs Committee accused the Government of overreacting to the threat posed by passive smoking and said that the smoking ban was symptomatic of MPs ' failure to understand risk on 7 June 2006 .   The ban came into force on 1 July 2007 , as announced on 30 November 2006 by former Secretary of State for Health Patricia Hewitt , who called it `` a huge step forward for public health '' .   Following the passing of the law ( edit )  Many pubs provide smoking areas outdoors , where smoking remains generally permitted . A smoking shelter outside an office building in England . Since 2007 such shelters have become commonplace at workplaces .  On 30 June 2010 , the recently formed Coalition Government announced that it would not be reviewing the ban . An attempt in October 2010 by Conservative MP David Nuttall to amend the law to exempt private members ' clubs and pubs from the smoking ban was defeated in the House of Commons on its first reading .   Exemptions from the law ( edit )   While the ban affects almost all indoor workplaces , some exemptions were provided :    designated hotel rooms   designated rooms in nursing homes   designated rooms in prisons   designated rooms in offshore oil rigs   designated rooms in mental health units ( until 1 July 2008 )   specialist tobacconists in relation to sampling cigars and / or pipe tobacco .    An exemption was also theoretically possible within the Palace of Westminster , as for other Royal Palaces , although members of the House of Commons and the House of Lords agreed to observe the spirit of the ban and restrict any smoking within the grounds of Parliament to four designated outside areas .   Smoking is permitted in a private residence , although not in areas used as a shared work - space . In flats with communal entrances or shared corridors , these must be smoke - free .   University halls of residence presented some dilemmas in practice as regards defining what is public and private . Several universities have imposed a blanket ban on smoking including halls of residence .   Public transport ( edit )   As part of the implementation of the smoking ban , Transport for London announced that smoking would be no longer permitted on taxis , private hire vehicles and all London Buses premises , including all bus stop shelters .   The Association of Train Operating Companies and Network Rail introduced an extended ban on smoking covering all railway property including all National Rail station platforms whether enclosed or not . The ban has since been extended to cover the use of Electronic cigarettes . Smoking on board trains was banned in 2005 when both GNER and First Caledonian Sleeper withdrew smoking accommodation from their services .   The Tyne and Wear Metro was the first public transport system to ban in its entirety which has been enforced since the system first opened in 1980 .   Policing of the ban ( edit )   The ban is enforced by Environmental Health Officers in England , who issue warnings and offer advice before resorting to punitive measures and have had to issue a low frequency of fines since the law came into force . However , there were some objectors who generated higher - profile legal cases , for instance Hugh Howitt , also known as Hamish Howitt , the landlord of the Happy Scots Bar in Blackpool who was the first landlord to be prosecuted for permitting smoking in a smoke - free place under his control . On 2 August 2007 , Howitt appeared before Blackpool Magistrates ' Court and pleaded not guilty to 12 counts of failing to stop people smoking in his pub . On 2 December 2008 , Howitt effectively had his premises licence revoked , after an appeal by Blackpool Council was upheld ; he was not allowed to appeal , and Howitt had to close the Delboys Bar following the decision .   There have been some incidents of violence perpetrated by people refusing to obey the ban , in one of which a former heavyweight boxer , James Oyebola , was shot in the head after he asked a customer at a nightclub to stop smoking and later died of his injuries . However , the view of enforcement authorities is that the smoke - free workplace regulations are simple to understand , popular , and as a result largely ' self - policing ' . For a short while , bars in the UK that offered shisha ( the smoking of flavoured tobacco through a pipe ) were still allowed to provide their services inside the establishment , however the ban covered this area in late 2007 leading to a rapid decline in shisha bars .   A legal blunder by Stoke - on - Trent City Council meant that , while the smoking ban still applied in the city , the council were unable to issue fines to people caught flouting the law until 16 July 2007 . The blunder caused the city to briefly be dubbed Smoke - on - Trent .   Opposition to the ban ( edit )   A group calling themselves `` Freedom To Choose '' , launched a campaign for a judicial review of the smoke - free workplace regulations claiming a breach of the Human Rights Act 1998 , as it does not respect the right to privacy of people who wish to smoke in public . Supporters of the regulations put forward counter-arguments positing that the rights of smokers to indulge in their habit cease as soon as it negatively affects other people in the vicinity . In 2010 pub landlord Nick Hogan was jailed for an offence related to the smoking ban . In 2012 it was reported that `` Five years after the introduction of the smoking ban in England , almost seven out of 10 licensees want the legislation amended to allow for separate smoking rooms in pubs '' .   See also ( edit )    Smoking in the United Kingdom   List of smoking bans   Smokeasy   FOREST   Action on Smoking and Health    References ( edit )    Jump up ^ `` Wetherspoon pubs ban smoking '' . BBC Online . BBC News . 24 January 2005 . Retrieved 19 March 2015 .   Jump up ^ `` Smoking ban proposed for England '' . BBC News . 16 November 2004 . Retrieved 25 October 2010 .   ^ Jump up to : `` Smoke ban bill details released '' . BBC News . 27 October 2005 . Retrieved 25 October 2010 .   ^ Jump up to : `` Chief medic considered quitting '' . BBC News . 24 November 2005 . Retrieved 25 October 2010 .   Jump up ^ https://www.webcitation.org/5tkNlefMT?url=http://www.timesonline.co.uk/tol/news/uk/health/article672477.ece   Jump up ^ `` BBC News - ' No plans ' for smoking ban review '' . Bbc.co.uk. 1 July 2010 . Retrieved 25 October 2010 .   Jump up ^ `` Smoking ban exemptions bid defeated News '' . Thisislondon.co.uk . Archived from the original on 25 December 2010 . Retrieved 25 October 2010 .   Jump up ^ `` The Smoke - free ( Premises and Enforcement ) Regulations 2006 '' . Opsi.gov.uk. 16 July 2010 . Retrieved 25 October 2010 .   Jump up ^ `` The Smoke - free ( Exemptions and Vehicles ) Regulations 2007 '' . Opsi.gov.uk. 16 July 2010 . Retrieved 25 October 2010 .   Jump up ^ `` Parliamentary Privilege First Report '' . The Stationery Office . 4 September 2007 . Archived from the original on 30 September 2007 . Retrieved 4 September 2007 .   Jump up ^ `` MPs ' smoking in Commons toilets ' '' . BBC News . 5 July 2007 . Retrieved 25 October 2010 .   Jump up ^ `` Part 3B Section 13.1 '' ... warwick.ac.uk . Retrieved 25 October 2010 .   Jump up ^ `` Smoking ban : impact on London 's transport network '' . tfl.gov.uk . Transport for London . 6 June 2007 . Retrieved 31 July 2015 .   Jump up ^ `` Smoke Free Law and Vehicles '' . Smoke Free England . Smoke Free England . Retrieved 12 March 2015 .   Jump up ^ Saul , Heather ( 12 August 2015 ) . `` Rail companies ban e-cigarettes from trains and stations '' . Independent . Retrieved 12 March 2015 .   Jump up ^ `` End of the line for train smoking '' . BBC News ( London ) . BBC News . 29 August 2005 . Retrieved 14 March 2015 .   Jump up ^ `` First ScotRail withdraws smoking on Caledonian Sleeper service ahead of £ 1million refurbishment '' . First Scotrail . First Group . 28 August 2005 . Archived from the original on 15 March 2015 . Retrieved 14 March 2015 .   Jump up ^ `` How Metro was built '' . Tyne and Wear Metro . Nexus . Retrieved 14 March 2015 .   Jump up ^ Wilmore , James ( 2 December 2008 ) . `` Blackpool smoke ban rebel loses licence '' . The Publican . Retrieved 5 December 2008 .   Jump up ^ Fielding , Paul ( 5 December 2008 ) . `` Bar shuts as smoking rebel loses court fight '' . Blackpool Gazette . Retrieved 5 December 2008 .   Jump up ^ `` Boxer shot over club smoking row '' . BBC News . 24 July 2007 . Retrieved 25 October 2010 .   Jump up ^ `` Boxer shot in smoking row dies '' . BBC News . 27 July 2007 . Retrieved 25 October 2010 .   Jump up ^ `` Council error stubs out smoke ban '' . BBC . BBC News . 11 July 2007 . Retrieved 14 March 2015 .   Jump up ^ Edwards , Kathryn ( 11 July 2007 ) . `` Smoke - on - Trent reignites debate '' . BBC . BBC Stoke . Retrieved 14 March 2015 .   Jump up ^ `` Freedom To Choose '' . Freedom2choose.info. 12 October 2010 . Retrieved 25 October 2010 .   Jump up ^ Swindon Advertiser ( 19 June 2007 ) . `` Non-smoking landlord braced for High Court ban battle '' . Retrieved 2 July 2007 .   Jump up ^ Chris Melville ( 1 July 2007 ) . `` Smoking ban : why did we have to wait for so long ? '' . eurosong.net . Retrieved 2 July 2007 .   Jump up ^ The Daily Mail ( 27 February 2010 ) . `` Pub landlord is first person in Britain to be jailed over smoking ban '' . Retrieved 14 April 2012 .   Jump up ^ The Publican 's Morning Advertiser ( 3 July 2012 ) . `` Smoking ban : Majority of licensees want smoking legislation amended for pubs '' . Retrieved 7 September 2012 .    External links ( edit )    NHS Smokefree website ( focused on Quiting )   Archived NHS Smokefree website ( Contains signage , and more legal info than the current site )     Video clips     Discussing the ban with TV GP Dr Chris Steel   David Cameron discussing the ban   Smokefree England TV advert              England articles     History      Overviews     Timeline   Education   Local government   Maritime   Military   Social       Chronology     Prehistoric   Roman Britain   Lloegyr   Anglo - Saxon England   Heptarchy     Kingdom of England   Norman conquest   Angevin Empire   Wars of the Roses   Tudor period   Stuart period   English Renaissance   English Reformation   Elizabethan era   Jacobean era   Civil War   Union with Scotland   Georgian era   Regency   Victorian era   Edwardian period   The Blitz          Geography        Counties   Districts   Gardens   Islands   Parishes   Places   Regions   Towns          Politics        Economy   Middle Ages     Elizabethan government   Independence   Monarchy   Parliament          Culture           Afternoon Tea   Anglophilia   Castles   Country clothing   Cuisine   Demographics   Education   Folklore   Fête   Landscape garden   Identity   Innovations and discoveries   English language in England   Middle England   Museums   People   list     Religion   Church of England     Science education       Sport     Cricket   national team     Football   The Football Association   national team     Rugby league   Rugby Football League   national team     Rugby union   Rugby Football Union   national team     Wimbledon          Symbols     Coat of arms   Flags   national flag     Heraldry   Oak tree   Royal Standards   Royal Supporters   St. George   St George 's Day     Tudor Rose            Outline     Book   Category   Portal                 Smoking     Country and region     Albania   Argentina   Brazil   Canada   China   Colombia   East Timor   Ecuador   Egypt   Finland   France   Germany   Greece   Hong Kong   Hungary   Iceland   India   Indonesia   Iraq   Iran   Ireland   Italy   Japan   Korea   North   South     Macau   Malaysia   New Zealand   Nigeria   Norway   Pakistan   Philippines   Singapore   Sweden   Syria   Taiwan   Tokelau   Turkey   United Kingdom   United States   Uruguay   Vietnam       Religion     Smoking in Jewish law   Tobacco fatwa   Ceremonial pipe   Chanunpa   Kinnikinnick   Pipe bag       Health        Health effects of tobacco ( Nicotine poisoning   Nicotine withdrawal )   Passive smoking   Third - hand smoke   Prevalence of tobacco consumption   Schizophrenia and smoking   Sidestream smoke   Smokeless tobacco keratosis   Smoker 's face   Smoker 's melanosis   Stomatitis nicotina   Smoking age   Smoking and male infertility   Smoking cessation   Tobacco - Free Pharmacies   Tobacco packaging warning messages   WHO Framework Convention on Tobacco Control   Protocol to Eliminate Illicit Trade in Tobacco Products   World No Tobacco Day   Youth smoking       Women and smoking     Breastfeeding difficulties   Breast cancer   Cervical cancer   Menopause   Ptosis of the breast   Smoking and female infertility   Smoking and pregnancy          Smoking ban        Inflight smoking   List of smoking bans   Smoking bans in private vehicles   Tobacco - Free College Campuses       Country and region     Australia   United States          Other     Chain smoking   Cigarette consumption per capita   History of smoking   Smokeasy   Smoking fetishism   Tobacco advertising   Tobacco bowdlerization   Tobacco industry   Tobacco smoking         Category      Retrieved from `` https://en.wikipedia.org/w/index.php?title=Smoking_ban_in_England&amp;oldid=842323832 '' Categories :   Governance of England   Smoking in the United Kingdom   2007 establishments in England   2007 in politics   Tobacco control   Hidden categories :   Use dmy dates from March 2015           Talk                                           Contents                   About Wikipedia                                           Čeština   Suomi   Edit links   This page was last edited on 21 May 2018 , at 18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</si>
  <si>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smoking in pubs banned in uk</t>
  </si>
  <si>
    <t xml:space="preserve"> A smoking ban in England , making it illegal to smoke in all enclosed work places in England , came into force on 1 July 2007 as a consequence of the Health Act 2006 . Similar bans had already been introduced by the rest of the United Kingdom : in Scotland on 26 March 2006 , Wales on 2 April 2007 and Northern Ireland on 30 April 2007 . </t>
  </si>
  <si>
    <t xml:space="preserve">Train horn - wikipedia  Train horn  Jump to : navigation , search Train horns are made of multiple horn units called chimes which produce different notes ; sounded together they make a chord . The Nathan model M5 pictured is a 5 chime horn .  A train horn is a powerful air horn that serves as an audible warning device on electric and Diesel locomotives . The horn 's primary purpose is to alert persons and animals to an oncoming train , especially when approaching a grade crossing . The horn is also used for acknowledging signals given by railroad employees , such as during switching operations .  Leslie S3L locomotive horn , once the most common horn in use on North American railroads    Contents  ( hide )   1 History and background   2 Operation   2.1 United States   2.2 Germany   2.3 France   2.4 India   2.5 United Kingdom     3 Placement on locomotives   4 Audio samples   5 Manufacturers   5.1 North America   5.1. 1 AirChime , Ltd .   5.1. 2 Buell Air Horns   5.1. 3 Gustin Bacon Mfg. Co .   5.1. 4 Leslie Controls , Inc .   5.1. 5 Prime Manufacturing , Inc .   5.1. 6 Westinghouse Air Brake Co .     5.2 Australia     6 See also   7 References   8 External links      History and background ( edit )   Trains move on fixed rails , making them uniquely susceptible to collision . This susceptibility is exacerbated by the enormous weight and inertia of a train , which make it difficult to quickly stop when encountering an obstacle . Also , trains generally do not stop at grade crossings ( level crossings ) , instead relying upon pedestrians and vehicles to clear the tracks when they pass . Therefore , from their beginnings locomotives have been equipped with loud horns or bells to warn vehicles or pedestrians that they are coming . Steam locomotives had steam whistles , operated from steam produced by their boilers .   As Diesel locomotives began to replace steam on most railroads during the mid-20th century , it was realized that the new locomotives were unable to utilize the steam whistles then in use . Early internal combustion locomotives were initially fitted with small truck horns or exhaust - powered whistles , but these were found to be unsuitable and hence the air horn design was scaled up and modified for railroad use . Early train horns often were tonally similar to the air horns still heard on road - going trucks today . It was found that this caused some confusion among people who were accustomed to steam locomotives and the sound of their whistles ; when approaching a grade crossing , when some people heard an air horn they expected to see a truck , not a locomotive , and accidents happened . So , locomotive air horns were created that had a much higher , more musical note , tonally much more like a steam whistle . This is why most train horns have a unique sound , different from that of road going trucks , although many switch engines , which did n't see road service ( service on the main lines ) , retained the deeper truck - like horns .   Strict regulations specific to each country specify how loud horns must be , and how far in advance of grade crossings and other locations locomotive engineers are required to sound their horns to give adequate time to clear the tracks . Standard signals consisting of different sequences of horn blasts must be given in different circumstances .   Due to the encroachment of development , some suburban dwellers have opposed railroad use of the air horn as a trackside warning device . Residents in some communities have attempted to establish quiet zones , in which train crews are instructed not to sound their horns , except in case of emergency .   Recent years have seen an increase of horn theft from railroad property .   Operation ( edit )  Diagram of a typical locomotive air horn power chamber , showing operation  Train horns are operated by compressed air , typically 125 - 140 psi ( 8.6 - 9.6 bar ) , and fed from a locomotive main air reservoir . When the engineer opens the horn valve , air flows through a supply line into the power chamber at the base of the horn ( diagram , right ) . It passes through a narrow opening between a nozzle and a circular diaphragm in the power chamber , then out through the flaring horn bell . The flow of air past the diaphragm causes it to vibrate or oscillate against the nozzle , producing sound .   Keep in mind that when an Air horn is not operating and has no Fluid pressure flowing through it , the interior of the power chamber housing is completely air tight , as the Diaphragm disc creates a full air tight seal against the nozzle surface . Referring to the cut - away blueprint diagram of a conventional air horn power chamber on the right , when a constant stream of pressurised Fluid enters through the small inlet at the bottom , the pressure in the power chamber increases as it is air tight internally . The pressure continues rising in Chamber ' A ' until the air pressure overcomes the spring tension of the Diaphragm . Once this occurs , the Diaphragm is deflected back , and in such , is no longer sealed against the nozzle . From this , the interior of the power chamber is now no longer air tight , as the Diaphragm has deflected off the nozzle . As a result , the pressurised Fluid now escapes out of the horn bell . Because the pressurised Fluid exits through the horn bell at a much faster rate than the Fluid enters into the power chamber through the base air inlet , the air pressure in the power chamber drops rapidly . As such , the Diaphragm re-seats itself against the nozzle surface . This entire process is one cycle of the Diaphragm operating . In reality , this operation process occurs much faster in accordance to the Frequency produced by the horn . The constant back and forth Oscillation of the Diaphragm creates sound waves , which are then amplified by the large flared horn bell . The length , thickness and diameter of the horn bell contribute to the Frequency of the note produced by the horn .   When vibrated by the diaphragm , the column of air in the bell oscillates with standing waves . The length of the bell determines the wavelength of the sound waves , and thus the fundamental frequency ( pitch ) of the note produced by the horn ( measured in hertz ) . The longer the horn bell , the lower the note .   North American diesel locomotives manufactured prior to the 1990s utilized an air valve actuated by the engineer through the manipulation of a lever or pull cord . Use of this method made possible a practice known as `` feathering '' , meaning that modulation of the horn 's volume was possible through finer regulation of the air valve .   Many locomotives manufactured during the 1990s made use of pushbutton controls . In addition , several North American locomotives incorporated a sequencer pedal built into the cab floor beneath the operators position ; that when depressed , sounded the grade crossing sequence .   Locomotives of European origin have featured pushbutton control of air horns since the mid-1960s .   Current production locomotives from GE Transportation Systems and Electro - Motive Diesel utilize a lever - actuated solenoid valve .   United States ( edit )  Leslie A200 - 156 , a single chime horn used on locomotives in the early days of dieselization  On April 27 , 2005 , the Federal Railroad Administration ( FRA ) , which enforces rail safety regulations , published the final rule on the use of locomotive horns at highway - rail grade crossings . Effective June 24 , 2005 , the rule requires that locomotive horns be sounded at all public grade crossings at least 15 seconds , but not more than 20 seconds before entering a crossing . This rule applies when the train speed is below 45 mph ( 70 km / h ) . At 45 mph or above , trains are still required to sound their horn at the designated location ( usually denoted with a whistle post ) .   The pattern for blowing the horn remains two long , one short , and one long . This is to be repeated or prolonged as necessary until the lead locomotive fully occupies the crossing . Locomotive engineers retain the authority to vary this pattern as necessary for crossings in close proximity , and are allowed to sound the horn in emergency situations no matter where the location .   A ban on sounding locomotive horns in Florida was ordered removed by the FRA after it was shown that the accident rate doubled during the ban . The new ruling preempts any state or local laws regarding the use of the train horn at public crossings . This also provides public authorities the option to maintain and / or establish quiet zones provided certain supplemental or alternative safety measures are in place , and the crossing accident rate meets government standards .   The following are the required horn signals listed in the operating rules of most North American railroads , along with their meanings . Signals are illustrated by an `` o '' for short sounds , and `` -- '' for longer sounds . ( Note that these signals and their indications are updated to reflect modern practice . ) Those rules marked with an asterisk ( * ) must be sounded when and / or where applicable . Those signals without an asterisk convey information to employees ; they must be used when voice communication is not available .     Rule     Sequence   Indication     14 ( a )     o   Applying air brakes while standing .     14 ( b )   *   -- --   Proceeding . Releasing air brakes . This signal is often referred to as `` whistling off , '' despite it being given by an air horn .     14 ( f )   *   oo --   Acknowledging a flagman 's stop signal .     14 ( g )   *   oo   Acknowledging any signal not otherwise provided for .     14 ( h )   *   ooo   Backing up .     14 ( j )     oooo   Calling for signals .     14 ( l )   *   -- -- o --   1 . Trains or engines approaching public highway grade crossings shall sound the horn at least 15 seconds , but no more than 20 seconds before the lead engine enters the crossing . Trains or engines travelling at speeds greater than 45 mph shall begin sounding the horn at or about , but not more than , one - quarter mile ( 1,320 feet ) in advance of the nearest public crossing . Even if the advance warning provided by the horn will be less than 15 seconds in duration . This signal is to be prolonged or repeated until the engine or train occupies the crossing ; or , where multiple crossing are involved , until the last crossing is occupied . 2 . Approaching tunnels , yards , or other points where railroad workers may be at work . 3 . Passing standing trains .     14 ( m )   *   o   Approaching passenger station .     14 ( o )     o --   Inspect train for a leak in brake pipe system or for brakes sticking .     14 ( p )   *   Succession of sounds   Warning to people and / or animals .     14 ( q )   *   -- o   When running against the current of traffic : 1 . Approaching stations , curves , or other points where view may be obscured : and 2 . Approaching passenger or freight trains and when passing freight trains .     Exception : Engine horn signals required by rules 14 ( b ) and 14 ( h ) do not apply after momentary stops in continuous switching movements .   Germany ( edit )   Horn signals are regulated in the Zp category of the Eisenbahn - Bau - und Betriebsordnung . Their most common use today is when approaching a level crossing that lacks barriers , and for warning purposes .   Whistle posts are labeled with the letter `` P '' ( for ' Pfeifen ' ) . Common signals are :     Sequence   Meaning     _   Zp 1 - Generic `` Attention '' signal .     o   Zp 2 - Tighten handbrakes .     oo   Zp 3 - Strongly tighten handbrakes .     _ _   Zp 4 - Loosen handbrakes     ooo ooo ooo   Zp 5 - Emergency . Brake immediately .     _ o _   Zp 11 - Come . Used to call out for train staff .     France ( edit )   Train horns are sounded where a whistle post ( marked with the letter `` S '' for `` siffler '' ) is present . If the whistle post is labelled `` J '' ( meaning `` jour '' ) , the horn is only to be sounded between 0700 and 2000 . Horns must also be sounded when passing an oncoming train , and shortly before reaching the last car of the train .   India ( edit )   The IRFCA FAQ lists the following :   ' o ' : denotes a short blast on the horn . ' -- ' : denotes a comparatively long blast on the horn . ' -- -- - ' : denotes a longer blast on the horn . ' -- -- -- -- -- ' : denotes a very long blast on the horn .   Code ( o ) - Before Starting :    Indication to driver of the assisting engine that driver of leading engine is ready to start .   Acknowledgement by the driver of the assisting engine .   Engine ready to leave yard   Engine ready to go to loco yard   Light loco or shunter about to move    Code ( o ) - On the run :    Assistance of other engine not required   Acknowledgement by driver of the assisting engine    Code ( -- )    Normal departure from station on receipt of clear signal . This is usually followed by another long blast about 10 -- 20 seconds after the first one , after the guard 's all - right signal is received .   Beginning of shunting operation ( if shunted rake has passengers in it )    Code ( oo )    Call for guard 's signal   Signals not exchanged by guard   Signals not exchanged by station staff    Code ( -- o )    Guard to release brakes   Before starting engine from a midsection / station   Main Line clear    Code ( ooo )    Guard to apply brakes   Train out of control , guard to assist    Code ( oo -- )    Sudden loss of brake pressure or vacuum ( perhaps by alarm chain being pulled )    Code ( oooo )    Train can not proceed on account of accident , failure or other cause   Protect train in rear    Code ( -- -- oo )    Call for guard to come to engine    Code ( o -- o )    Token not received   Token missed   With wrong authority to proceed   Passing stop signal at ' on ' on proper authority    Code ( -- -- - ) - Before Starting    Vacuum recreated on ghat section , remove sprags   Passing automatic ' stop ' signal at ' On '    Code ( -- -- - ) - On the run    Acknowledgement of guards signal    Code ( -- -- -- -- -- )    Approaching level crossing or tunnel area   Recall staff protecting train in rear   Material train ready to leave   Running through a station   Approaching a stop signal at ' on '   Detained at stop signal   Crossing stop signal at ' on ' after waiting the stipulated time .    Code ( -- o -- o )    Alarm chain pulled   Insufficient vacuum in engine   Guard applies vacuum brakes .    Code ( -- -- )    Raise Pantograph ( electric loco only )    Code ( -- o -- )    Lower Pantograph ( electric loco only )    Code ( ooooooooo ) ( Frequently )    Apprehension of danger   Danger signal to driver of an approaching train whose path is obstructed   Moving in wrong direction on a double line .   Also used by EMU motormen to warn passengers on a crowded platform of the approach of a fast train which will not stop at that station    United kingdom ( edit )   UK diesel and electric locomotives are usually fitted with two - tone horns , sounded sequentially to distinguish them from the horns used on road vehicles , and , in the past , both tones were routinely used . However , because of noise complaints , new rules were introduced in 2007 :    The introduction of a night time quiet period , between 2300 and 0700 when trains will no longer routinely sound their horns at whistle boards ( they will always sound their horns when people are seen on the track )   That where the technology is available , drivers should only use the low tone from the two tone horn at whistle boards .   For all new or replacement train horns on trains capable of travelling up to 160 km / ha much lower minimum sound pressure level has been established -- and a maximum sound level has been introduced ( min 101 dB and max 106 dB )    Placement on locomotives ( edit )   As many individuals do with their personal vehicles , railroads order locomotives with different options in order to suit their operating practices . Air horns are no exception , and railroad mechanical forces mount these on locomotives where they are deemed most effective at projecting sound , and for ease of maintenance .     Horn mounted on MBTA Commuter Rail control car when in Push Pull Mode     Nathan K5LA mounted atop a San Diego Coaster Cab Car     Horn mounted in the middle section of the roof on a GE locomotive     Typical horn mounting location on European locomotives     Low horn mounting location on a European locomotive . The horn is visible above the right side buffer .     Audio samples ( edit )       Wikimedia Commons has media related to Train horns .     The following are samples of select air horns as used in North American railroad service :          AirChime K5LA ( 329 KB )     Problems playing this file ? See media help .           Leslie A200 - 156 ( 127 KB )     Problems playing this file ? See media help .               Leslie S - 3L ( 187 KB )     Problems playing this file ? See media help .           Leslie S - 5T ( 275 KB )     Problems playing this file ? See media help .               Nathan M5 ( 277 KB )     Problems playing this file ? See media help .           Nathan P5 ( 358 KB )     Problems playing this file ? See media help .               Prime PM - 920 ( 312 KB )     Problems playing this file ? See media help .           Prime PM - 990 ( 301 KB )     Problems playing this file ? See media help .               WABCO E2 ( 243 KB )     Problems playing this file ? See media help .           WABCO E2 - B1 ( 274 KB )     Problems playing this file ? See media help .       Train horn being fitted to a vintage EMD GP30 diesel locomotive at the 2006 Oak Ridge Horn Honk and Collectors Meet  Manufacturers ( edit )   North america ( edit )  Airchime , Ltd. ( edit )  AirChime , Ltd. traces their beginnings through the work of Robert Swanson in 1949 . Prior to the early 1950s , locomotives were equipped with air horns that sounded a singular note .   Swanson sought to develop an air horn which would mimic the sound of a classic steam whistle . Using ancient Chinese musical theory , Swanson produced the six - note model ' H6 ' . This was impractical for railroad use , due to its relatively large size . Railroad equipment operates over routes restricted by loading gauge , a difference of only a few inches may prohibit that equipment from operating on the line in question .   Swanson would later refine his ' H6 ' into the model ' H5 ' . As the numeric designation indicates , the horn sounds a five - note chord .   In 1950 , AirChime introduced the ' M ' series , a further improvement on the earlier horns through elimination of unnecessary moving parts . Among the earliest customers of the AirChime ' M ' was the Southern Railway , which sought replacement horns for their motive power . The company announced this program through the placement of a full - page advertisement in the May 25 , 1951 edition of the Washington Times - Herald .  Refurbished Nathan - AirChime model P5  Under Swanson 's guidance , AirChime would focus on ease of mass production , low maintenance , and reliability in their air horn design , with the development of the ' P ' ( 1953 ) , and ' K ' ( 1954 ) series  AirChime model K3L , shown here in an Auburn University - inspired livery  AirChime has been sold to their American licensee , Nathan Manufacturing , Inc. , a division of Micro Precision Group , Inc , in Windham , Connecticut .  Buell air horns ( edit ) An air horn manufactured by the American Strombos Co. , used on early locomotives as well as trucks  Founded in 1912 as The American Strombos Co. of Philadelphia , PA , Buell sold modified marine horns for rail use . They were often installed on small locomotives , electric interurban equipment . and railcars ( for example the Doodlebugs ) .   Buell has recently made available a line of air horns specific for railroad equipment .  Gustin Bacon Mfg. Co. ( edit )  The Gustin Bacon Mfg. Co. of Kansas City , MO offered airhorns for use on railroad equipment prior to the Second World War .  Leslie Controls , Inc. ( edit ) Leslie Tyfon model A200 - 154 air horn , used on many first - generation diesel locomotives  Leslie Controls , Inc. ( originally the Leslie Company of Lyndhurst , New Jersey , later Parsippany , finally relocating to Tampa , Florida in 1985 ) began horn production by obtaining the rights to manufacture the Kockums Mekaniska Verkstad product line of `` Tyfon '' brand airhorns , marketing these for railroad use beginning in the 1930s . Their model A200 series would later grace the rooftops of countless locomotives , such as the legendary Pennsylvania Railroad GG1 , as well as thousands of EMD E and F - units . Leslie eventually introduced their own line of multi-note airhorns , known as the `` Chime - Tone '' series , in direct competition with AirChime .   Poor sales of the Chime - Tones ( due to the horns requiring an ample volume of air ) led the Leslie Company to introduce a new line of air horns utilizing interchangeable components while using less air to produce greater sound volume than the earlier `` Tyfon '' series . Developed by Kockums , this horn utilized a back - pressure power chamber design in order to enhance diaphragm oscillation . Known as the `` SuperTyfon '' series , these horns would eventually supplant the `` Tyfon '' in railroad service .  Leslie SuperTyfon model S - 5T , regarded by many aficionados as the ' king of horns '  `` SuperTyfon '' horns were offered in single , dual , triple , quad , and five note configurations .   Leslie Controls continues to manufacture `` SuperTyfon '' air horns for the railroad industry .  Prime Manufacturing , Inc. ( edit ) Prime model PM - 990 locomotive air horn  Prime Manufacturing , Inc. had produced locomotive appliances for many years prior to their entry into the air horn market in 1972 . Their line of `` Pneumatic Horns '' was basically a derivative of the Leslie SuperTyfon design ( having taken advantage of a patent expiration at the time ) , though their horns employed heavier castings than equivalents from Leslie , and sounding a somewhat richer timbre as a result .   Sales were brisk ( railroads such as Union Pacific and the Burlington Northern were notable customers ) but ultimately disappointing . Finding themselves increasingly unable to compete in a niche market dominated by Leslie Controls and AirChime , Prime ceased air horn production c. 1999 .  Westinghouse air Brake Co. ( edit ) Westinghouse model E2 - B1 locomotive air horn consisting of three ' singles ' bolted onto a common plate  Westinghouse Air Brake Company ( known throughout the 19th and 20th Century as WABCO ) was the first to offer air horns specifically for use with railroad equipment , as early as the 1910s . Their model E2 was recognized by many for the deep , commanding tone it produced .   In response to the Leslie multi-note `` Chime - Tone '' series , Westinghouse offered a bracket to which three of their single - note `` honkers '' could be bolted onto , achieving the same result as what the Chime - Tones did for Leslie .   Overshadowed later on by Leslie and AirChime , WABCO eventually ceased production of most horns for the North American market .   At present , the company is known as Wabtec , Inc. , and continues to offer their line of ' Pneumatic horns ' for the export market .   Australia ( edit )   Railways in Australia often utilize the same type of air horns as their North American counterparts . Examples from both the Leslie Co. and AirChime Ltd. can be found there .   Notable horns used in Australian railways , sourced from the United States include the Leslie S5T , Leslie RS5T , Nathan Airchime P3 , Nathan Airchime P5 , and the unique Nathan Airchime K5UL - AU - LS .   In the earlier years of dieselisation in Australia , during the 1950 's , the earliest diesel locomotives were fitted with two chime horns manufactured by the Westinghouse Air Brake Company in Australia . These two chime horns were the WABCO Pneuphonic AB , consisting of an ' A ' single chime , and a ' B ' single chime . When played together , the combination often sounded melodious due to the ' perfect 4th chord ' produced when blowing in unison .   Throughout the early 1960 's , the Roy - Victor - Butler ( R.V.B ) company of Spotswood , Victoria , manufactured and supplied the majority of horns fitted to the locomotives constructed from the late 1950 's , to the late 1960 's .   The R.V.B horns fitted to the majority of locomotives used in Victoria ( Australia ) during the late 1950 's to 1960 's , were the 3 chime models . They were not very effective and seldom operated as intended . Not to mention , they produced a very displeasing sound , eventually resulting in their nickname `` screaming cats '' .   The company specialised in producing pneumatic tyre pressure gauge meters , tyre air pumps , valves , as well as small automotive klaxons . In fact , many vintage Holden and Ford vehicles may be found to have R.V.B electric snail horns fitted to them .   Three chime R.V.B horns have also been fitted to the older Electric Multiple Units ( EMU 's ) operating in Victoria . The old Swing Door ( train ) and Tait ( train ) EMU 's of the 1920 's and 1930 's , were fitted with R.V.B three chimes , while the Harris ( train ) ( 1950 's &amp; 60 's ) , Hitachi ( train ) ( 1970 's ) , and Comeng ( train ) ( 1980 's ) were also fitted with R.V.B three chime horns .   From the mid 1960 's , the railroads in Australia commenced sourcing horns from the United States . These horns were manufactured by the two main companies : Nathan Manufacturing , and Leslie Controls .   Many of the older Australian Commonwealth Railways GM class diesel locomotives were re-fitted with Leslie S5T 's , as did the Commonwealth Railways CL class , with their horns re-located behind the pilot after their rebuild and consequent re-classing to CLP , and CLF .   A large order of Leslie S5T 's took place in 1976 - 1977 in preparation for the Clyde Engineering built ' C ' class diesel locomotives , which were constructed from 1977 - 1978 . All the C classes were fitted with round - back Leslie S5T 's as standard .   Through to the early to mid 1980 's , with the Leslie company replacing their ' S ' line of horns with the more improved ' RS ' line of horns , the A class ( rebuilt from B classes in 1983 ) , N class , 1st &amp; 2nd order G class and BL class diesel locomotives all received Leslie RS5T 's as standard horns .   The RS5T 's are somewhat more reliable than the previous S5T horns , however the sound produced by the RS5T tends to be flatter sounding , and harsher compared to the deeper and throatier sound emitted by the earlier S5T 's .   Most of the X class diesel locomotives received Nathan Airchime P5 horns in the mid 1980 's , to replace the wretched and unpopular fleet of R.V.B 3 chime horns originally mounted on the X class . Originally , it was thought of to replace the R.V.B 's on the X classes , with the Leslie RS5T , however , this was deemed inappropriate due to the large size of the Leslie 5 chime horns , which would consequently reduce visibility significantly . Another factor was the Leslie horns were much dearer in price than the Nathan P5 . And so the X classes received Nathan P5 's , one mounted on the nose and one on the roof .   Third and fourth order G class diesel locomotives all received the identical Nathan P5 's which the X classes received during the mid 1980 's . This was to reduce costs , as the Leslie RS5T 's were much dearer , as stated earlier .   The AN class diesel locomotive is thought to be the final class fitted with Leslie RS5T 's in the factory .   The older S class diesel locomotives were fitted with R.V.B 3 chime horns originally . Only a very small amount still retain these . Most have been replaced with Nathan P5 's . S307 and S317 were fitted with Leslie 5 chime horns . 307 was fitted with a Leslie RS5T , while 317 was fitted with a Leslie S5T . Both locomotives have air restricting components built in to the air feed to the horns , to reduce noise pollution .   Locomotives built from the mid 2000 's to current , were fitted with Nathan Airchime K5UL - AU - LS five chime horns . The ' UL ' in K5UL , denotes an ' Ultra-Low ' manifold , which was fabricated in order for the horn to be as low as possible when mounted , in order to comply with the tight loading gauge in Australia . The AU , in K5UL - AU , denotes ' Australian market ' as these horns were designed by Nathan Airchime in the United States specially for use in Australia . The ' LS ' in K5UL - AU - LS , denotes ' Low - Sound ' as these horns have multiple air inlets on the manifold , enabling low sound output in populated areas , as well as regular loud operation for general use .   See also ( edit )    Air horn   Hancock air whistle   Steam whistle   Train whistle   Whistle post    References ( edit )    Jump up ^ `` Noise Abatement Society '' . Retrieved 2007 - 03 - 28 .   Jump up ^ `` Rockland Quiet Zone '' . Retrieved 2008 - 11 - 19 .   Jump up ^ `` 2 crooks out smarted by water after attempting to steal train horn in Tulare '' . Retrieved 2017 - 12 - 21 .   Jump up ^ `` Federal Railroad Administration '' . Retrieved 2008 - 11 - 19 .   Jump up ^ 70 FR 21844 , https://www.federalregister.gov/articles/2005/04/27/05-8285/use-of-locomotive-horns-at-highway-rail-grade-crossings   Jump up ^ 71 FR 47614 , https://www.federalregister.gov/articles/2006/08/17/06-6912/use-of-locomotive-horns-at-highway-rail-grade-crossings   Jump up ^ http://www.fra.dot.gov/eLib/details/L02686   Jump up ^ See Hayes v. Union Pacific R. Co. , 141 P. 3d 1073 , 143 Idaho 204 ( 2006 ) . https://scholar.google.com/scholar_case?case=17886920228406310755&amp;hl=en&amp;as_sdt=2,5   Jump up ^ `` Locomotive Horn Signals '' . Union Pacific Railroad .   Jump up ^ `` www.stellwerke.de - Signalsystem in Deutschland '' . Retrieved 2007 - 02 - 05 . ( German )   Jump up ^ `` Signs , Whistle Codes , Flag and Hand Signals '' , from IRFCA FAQ   Jump up ^ http://www.rssb.co.uk/Pages/Train_Horns.aspx   Jump up ^ `` Locomotivehorns.info '' . Retrieved 2008 - 11 - 03 .   Jump up ^ `` Micro Precision Group , Inc '' . Retrieved 2010 - 01 - 06 .   Jump up ^ `` Buell Air Horns '' . Retrieved 2009 - 06 - 10 .   Jump up ^ `` Five Chime Consultants : Leslie S - 25 '' . Retrieved 2008 - 11 - 20 .   Jump up ^ `` Five Chime Consultants : Leslie S - 2B '' . Retrieved 2008 - 11 - 20 .   Jump up ^ `` Five Chime Consultants : Leslie S - 3L '' . Retrieved 2008 - 11 - 20 .   Jump up ^ `` Five Chime Consultants : Leslie SL - 4T '' . Retrieved 2008 - 11 - 19 .   Jump up ^ `` Five Chime Consultants : Leslie S - 5T '' . Retrieved 2008 - 11 - 20 .   Jump up ^ `` Leslie Controls , Inc '' . Retrieved 2008 - 11 - 19 .   Jump up ^ `` Wabtec , Inc '' . Retrieved 2010 - 01 - 06 .    External links ( edit )       Wikimedia Commons has media related to Locomotive horns .      Five Chime Consultants - online spotters ' guide to diesel locomotive horns in North America   LocomotiveHorns.info - guide to collecting diesel locomotive air horns   Retrieved from `` https://en.wikipedia.org/w/index.php?title=Train_horn&amp;oldid=836743245 '' Categories :   Locomotive parts   Railway safety   Sound production   Collecting   Encodings   Hidden categories :   Commons category with local link different than on Wikidata   Articles with hAudio microformats           Talk                                           Contents                   About Wikipedia                                                 Deutsch   Nederlands   Polski   Svenska   Edit links   This page was last edited on 16 April 2018 , at 16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</si>
  <si>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 trains have to blow their horns</t>
  </si>
  <si>
    <t xml:space="preserve"> On April 27 , 2005 , the Federal Railroad Administration ( FRA ) , which enforces rail safety regulations , published the final rule on the use of locomotive horns at highway - rail grade crossings . Effective June 24 , 2005 , the rule requires that locomotive horns be sounded at all public grade crossings at least 15 seconds , but not more than 20 seconds before entering a crossing . This rule applies when the train speed is below 45 mph ( 70 km / h ) . At 45 mph or above , trains are still required to sound their horn at the designated location ( usually denoted with a whistle post ) . </t>
  </si>
  <si>
    <t xml:space="preserve">Wilshire 5000 - wikipedia  Wilshire 5000  Jump to : navigation , search Wilshire 5000 price  The Wilshire 5000 Total Market Index , or more simply the Wilshire 5000 , is a market - capitalization - weighted index of the market value of all stocks actively traded in the United States . As of December 31 , 2016 the index contained only 3,618 components . The index is intended to measure the performance of most publicly traded companies headquartered in the United States , with readily available price data , ( Bulletin Board / penny stocks and stocks of extremely small companies are excluded ) . Hence , the index includes a majority of the common stocks and REITs traded primarily through New York Stock Exchange , NASDAQ , or the American Stock Exchange . Limited partnerships and ADRs are not included . It can be tracked by following the ticker ^ W5000 .     Contents  ( hide )   1 History   2 Record high values   3 Versions   4 Calculation   5 Alternatives   6 See also   7 References   8 External links      History ( edit )    The Wilshire 5000 Total Market Index was established by the Wilshire Associates in 1974 , naming it for the approximate number of issues it included at the time . It was renamed the `` Dow Jones Wilshire 5000 '' in April 2004 , after Dow Jones &amp; Company assumed responsibility for its calculation and maintenance . On March 31 , 2009 the partnership with Dow Jones was terminated and the index returned to Wilshire Associates .   The base value for the index was 1404.60 points on base date December 31 , 1980 , when it had a total market capitalization of $1,404.596 billion . On that date , each one - index - point change in the index was equal to $1 billion . However , index divisor adjustments due to corporate actions and index composition changes have changed the relationship over time , so that by 2005 each index point reflected a change of about $1.2 billion in the index 's total market capitalization .   The index increased tenfold in less than twenty years from its base date , peaking at a 20th - century closing record high of 14,751.64 points on March 24 , 2000 , a level that would not be surpassed until February 20 , 2007 . A hypothetical investment in the Wilshire 5000 , made at the 2000 peak and with subsequent dividends reinvested , did not become profitable on a closing basis until October 3 , 2006 .   On April 20 , 2007 , the index closed above 15,000 for the first time . On that day , the S&amp;P 500 was still several percentage points below its March 2000 high , because small cap issues absent from the S&amp;P 500 and included in the Wilshire 5000 outperformed the large cap issues that dominate the S&amp;P 500 during the cyclical bull market . The index reached an all - time high on October 9 , 2007 at the 15,806.69 point level , right before the onset of the Great Recession and the related financial crisis of 2007 -- 08 .   Since late 2007 , the expansion of subprime lending difficulties into a wider financial crisis plunged the United States into a renewed bear market that accelerated beginning on September 15 , 2008 . On October 8 , the Wilshire 5000 closed below 10,000 for the first time since 2003 . The index continued trading downward towards a 13 - year low , reaching a bottom of 6,858.43 points , on March 9 , 2009 , representing a loss of about $10.9 trillion in market capitalization from its highs in 2007 .   The Wilshire 5000 gained approximately $2.5 trillion in market value during the first 11 months of 2009 while the index rose 2,105 points . Therefore , as of November 2009 , each index point represented about $1.2 billion in market value .   The index achieved a new highest yearly close on December 31 , 2012 , a few percent above those of 1999 and 2007 , but failed to do so above the 15,000 level ( after achieving it intraday ) by fewer than 5 points , closing with 14,995.11 points . However , it continued to rise in the short term such that , on February 8 , 2013 , the index surpassed the 16,000 level for the first time . It would be the first of four 1000 - point milestones that the index reached in 2013 , as the index closed above 17,000 for the first time on May 3 , 18,000 for the first time on August 1 , and 19,000 for the first time on November 14 . The Wilshire 5000 would close out 2013 on a record high , finishing the December 31 , 2013 trading session at 19,706.03 points .   On February 28 , 2014 , the Wilshire 5000 had its first intraday high over 20,000 points . On March 4 , the index closed above this milestone for the first time . On July 1 , 2014 , the index closed above the 21,000 level for the first time .    Record high values ( edit )     Type   Date Set   Value     Highest Closing   Friday , October 27 , 2017   26,817.34     Highest Intraday   Friday , October 27 , 2017   26,828.10     Versions ( edit )   There are five versions of the index :    Full capitalization total return   Full capitalization price   Float - adjusted total return   Float - adjusted price   Equal weight    The difference between the total return and price versions of the index is that the total return versions accounts for reinvestment of dividends . The difference between the full capitalization , float - adjusted , and equal weight versions is in how the index components are weighted . The full cap index uses the total shares outstanding for each company . The float - adjusted index uses shares adjusted for free float . The equal - weighted index assigns each security in the index the same weight .   Calculation ( edit )   Let :    M = Number of issues included in the index ;   P = Price of one share of issue i included in the index ;   N = Number of shares of issue i for the full capitalization version , or the float of issue i for the float - adjusted version ;   α ( \ displaystyle \ alpha ) = a fixed scaling factor .    The value of the index is then :    α ∑ i = 1 M N i P i ( \ displaystyle \ alpha \ sum _ ( i = 1 ) ^ ( M ) N_ ( i ) P_ ( i ) )    At present , one index point corresponds to a little more than US $1 billion of market capitalization .   The list of issues included in the index is updated monthly to add new listings resulting from corporate spin - offs and initial public offerings , and to remove issues which move to the pink sheets or that have ceased trading for at least 10 consecutive days .   Alternatives ( edit )   The CRSP U.S. Total Market Index ( ticker CRSPTM1 ) is a very similar comprehensive index of U.S. stocks supplied by the Center for Research in Security Prices . It was especially designed for use by Index funds . After Dow Jones and Wilshire split up , Dow Jones made their own total stock market index , called the Dow Jones U.S. Total Stock Market Index , similar to the Wilshire 5000 .   See also ( edit )    Wilshire Associates   Wilshire 4500   Russell 3000   Dow Jones &amp; Company   News Corporation   NASDAQ OMX   NYSE Euronext   S&amp;P 1500    References ( edit )    ^ Jump up to : `` Wilshire Associates - Wilshire 5000 Fact Sheet '' ( PDF ) .   Jump up ^ http://www.marketwatch.com/story/average-us-stock-at-all-ime-high-as-wilshire-index-sets-record   Jump up ^ Hulbert , Mark ( 2006 - 09 - 28 ) . `` Losses from 2000 - 02 bear market have now been erased '' . MarketWatch . Retrieved 2009 - 03 - 23 .   Jump up ^ http://www.pionline.com/article/20100324/DAILYREG/100329940   Jump up ^ `` Wilshire Indexes News Release , December 7 , 2009 '' ( PDF ) . Wilshire Associates Incorporated . Retrieved 2010 - 01 - 04 .   Jump up ^ https://finance.yahoo.com/q/hp?s=%5EW5000&amp;a=04&amp;b=1&amp;c=2013&amp;d=04&amp;e=3&amp;f=2013&amp;g=d   Jump up ^ `` Wilshire : Index Calculator Result '' .   Jump up ^ `` Wilshire 5000 Methodology '' ( PDF ) .    External links ( edit )    Official website   Wilshire 5000 Family   Yahoo ! Finance page for W5000              Major United States stock market indices       Dow Jones Industrial Average ( 30 large stocks ; popular indicator )   NYSE Composite Index ( all companies on the NYSE )   Nasdaq Composite Index ( all companies on the NASDAQ ; technology - heavy )   NASDAQ - 100 Index ( 100 large NASDAQ non-financial stocks )   S&amp;P 500 Index ( 500 large companies ; general market analysis )   Russell 2000 Index ( small - cap stocks )   Wilshire 5000 Index ( total U.S. market )                 News Corp                Dow Jones &amp; Company     National consumer products     Barron 's   Financial News   Heat Street   MarketWatch.com   BigCharts   VSE     Vedomosti   The Wall Street Journal   The Wall Street Journal Asia   The Wall Street Journal Europe   Wall Street Journal Radio Network   WSJ .       Enterprise products     Factiva   S&amp;P Dow Jones Indices ( 2.6 % )                     HarperCollins     United States     Avon   Caedmon   Ecco   Harper   Harper Perennial   I Can Read !   William Morrow and Company       United Kingdom     William Collins , Sons   Collins Bartholomew   The Friday Project   Leckie &amp; Leckie       Australia     Angus &amp; Robertson       Christian     BibleGateway.com   Thomas Nelson   Women of Faith   Zondervan       Canada     Harlequin Enterprises                     News Corp Australia     Metropolitan newspapers     The Australian   The Daily Telegraph   Herald Sun / Sunday Herald Sun   The Courier Mail   The Sunday Mail ( Brisbane )   The Advertiser   The Sunday Times ( Western Australia )   The Mercury   Northern Territory News   mX       Community newspapers     Leader Community Newspapers ( Victoria )   NewsLocal ( NSW )   Quest Community Newspapers ( Queensland )   Messenger Newspapers ( South Australia )   Community Newspaper Group ( Western Australia )       Regional newspapers     Geelong Advertiser   Gold Coast Bulletin   The Cairns Post   Townsville Bulletin       Magazines     Big League   GQ Australia   Vogue Australia       Television channels      Fox Sports Pty Limited     Fox Sports   Fox Footy   Fox League   Fox Sports News       Australian News Channel     Sky News Live   Sky News Business Channel   Sky News Weather Channel   A-PAC          Professional sports     Brisbane Broncos ( 68.87 % )       Other properties     Australian Associated Press ( 45 % )   Newspoll ( polling brand )   Papua New Guinea Post-Courier ( 63 % )   REA Group ( 61.6 % )   Foxtel ( 50 % )                     News UK       The Times   The Sunday Times   The Sun   The Times Literary Supplement   Wireless Group             Other assets     Move   New York Post   News America Marketing   News Outdoor Group            See also List of assets owned by News Corp , 21st Century Fox , News Corporation      Retrieved from `` https://en.wikipedia.org/w/index.php?title=Wilshire_5000&amp;oldid=807904354 '' Categories :   American stock market indices           Talk                                           Contents                   About Wikipedia                                           Deutsch   ไทย   Українська   Edit links   This page was last edited on 30 October 2017 , at 19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</si>
  <si>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wilshire 5000 total market index</t>
  </si>
  <si>
    <t xml:space="preserve"> The Wilshire 5000 Total Market Index , or more simply the Wilshire 5000 , is a market - capitalization - weighted index of the market value of all stocks actively traded in the United States . As of December 31 , 2016 the index contained only 3,618 components . The index is intended to measure the performance of most publicly traded companies headquartered in the United States , with readily available price data , ( Bulletin Board / penny stocks and stocks of extremely small companies are excluded ) . Hence , the index includes a majority of the common stocks and REITs traded primarily through New York Stock Exchange , NASDAQ , or the American Stock Exchange . Limited partnerships and ADRs are not included . It can be tracked by following the ticker ^ W5000 . </t>
  </si>
  <si>
    <t xml:space="preserve">High School football national championship - wikipedia  High School football national championship  Jump to : navigation , search  The High School Football National Championship is a national championship honor awarded to the best high school football team ( s ) in the United States of America based on rankings from USA Today and the National Prep Poll . There have been some efforts over the years at organizing a single - game playoff for the national championship . Sometimes a dominant team in one state would defeat a dominant team in a neighboring state after the regular season and then would self - claim the national championship . However , sometimes such a game could not be scheduled , like in 1936 after Washington High School of Massillon , Ohio refused to withhold its black players in a proposed game with segregated Central High School of Knoxville , Tennessee . Central High subsequently proclaimed itself national champion that year . On December 31 , 1938 , duPont Manual of Louisville , Kentucky and New Britain of Connecticut played in an actual national championship game in Baton Rouge with the Louisiana Sports Association as the formal sponsor -- and , by extension , the Sugar Bowl Committee , which held a series of sporting events leading up to the Sugar Bowl game itself . Manual won , 28 -- 20 . The following year , on December 30 , the game featured Pine Bluff , Arkansas , which defeated Baton Rouge High School by a score of 26 -- 0 . This series of games proved difficult to organize , due to some states ' prohibition of postseason play . Pine Bluff , for example , had to receive a special waiver from its state to participate in the game . In 1962 , Florida state champion Miami Senior High beat Baltimore Polytechnic in the Orange Bowl and was recognized by Imperial Sports Syndicate of California as a national champion .     Contents  ( hide )   1 Selectors   2 National Champions by year   3 National Championships by school ( multiple winners only )   4 See also   5 Sources   6 References      Selectors ( edit )     Selector   Years     National Sports News Service ( NSNS )   1910 -- 1916 , 1918 -- 1943 , 1946 -- 1999     Louisiana Sports Association ( LSA )   1938 -- 39     USA TODAY ( USA )   1982 -- present     National Prep Poll ( NPP )   1987 -- present     MaxPreps Freeman Computer Rankings ( Freeman )   2004 -- present     MaxPreps Composite Rankings ( MPComposite )   2013 -- present     High School Football America Top 25 ( Algorithm )   2012 -- present     National Champions by year ( edit )     Year   Champion ( s )   Record   Coach   Selector ( s )     1910   Oak Park , IL   10 -- 2   Robert Zuppke   NSNS     1911   Oak Park , IL   10 -- 0   Robert Zuppke   NSNS     1912   Oak Park , IL   10 -- 0   Robert Zuppke   NSNS     1913   Oak Park , IL   10 -- 1   Glenn Thistlewaite   NSNS     1914   Everett , MA   13 -- 0   Cleo O'Donnell   NSNS     1915   Detroit , MI , Central   11 -- 0 -- 1   Edbert C. Buss   NSNS     Everett , MA   11 -- 0 -- 1   Cleo O'Donnell   NSNS     1916   San Diego , CA  Scott , Toledo , Ohio    12 - 0 - 0  10 - 0 - 0    Nibs Price  Tom Merrell    NSNS  NSNS      1917   No Known Champion           1918   Harrisburg , PA , Tech   9 -- 0   Paul Smith   NSNS     1919   Harrisburg , PA , Tech   12 -- 0   Paul Smith   NSNS     1920   Everett , WA   9 -- 0 -- 1   Enoch Bagshaw   NSNS     Oak Park , IL   9 -- 0 -- 1   Glenn Thistlewaite   NSNS     1921   Jacksonville , FL , Duval   8 -- 0   Unknown   NSNS     1922   Toledo , OH , Scott   9 -- 0   Dr. William A. Neill   NSNS     1923   East Cleveland , OH , Shaw   9 -- 1   John Snavely   NSNS     Toledo , OH , Scott   10 -- 0   Dr. William A. Neill   NSNS     1924   Toledo , OH , Waite   10 -- 0   Joe C. Collins   NSNS     1925   Pine Bluff , AR   16 -- 0   Foy Hammons   NSNS     1926   Tuscaloosa , AL   9 -- 0   Paul Burnum   NSNS     1927   Waco , TX   14 -- 0   Paul Tyson   NSNS     1928   Medford , OR   9 -- 0   Prink Callison   NSNS     1929   Tuscaloosa , AL   9 -- 0   Paul Burnum   NSNS     1930   Phoenix , AZ , Union   13 -- 0   R.R. Robinson   NSNS     1931   Ashland , KY   10 -- 0   Paul Jenkins   NSNS     1932   Toledo , OH , Waite   12 -- 0   Donald McCallister   NSNS     1933   Oklahoma City , OK , Capitol Hill   12 -- 0   Jim Lookabaugh   NSNS     1934   Canton , OH , McKinley   11 -- 0   Jimmy Aiken   NSNS     1935   Massillon , OH , Washington   10 -- 0   Paul Brown   NSNS     1936   Massillon , OH , Washington   10 -- 0   Paul Brown   NSNS     1937   Chicago , IL , Austin   10 -- 0   William Heiland   NSNS     1938   Louisville , KY , Manual   10 -- 0   Ray Baer   LSA , NSNS     1939   Massillon , OH , Washington   10 -- 0   Paul Brown   NSNS     Pine Bluff , AR   11 -- 0 -- 1   Allen Dunaway   LSA     1940   Massillon , OH , Washington   10 -- 0   Paul Brown   NSNS     1941   Chicago , IL , Leo   11 -- 0   Whitey Cronin   NSNS     1942   Miami , FL   9 -- 0   Lyles Alley   NSNS     1943   Miami , FL   9 -- 0   Tom Moore   NSNS     1944   No Award Made           1945   No Award Made           1946   Little Rock , AR , Senior   14 -- 0   Raymond Burnett   NSNS     1947   East Chicago , IN , Roosevelt   9 -- 0   Unknown   NSNS     Lynn , MA , Classical   11 -- 1   Bill Joyce ( 1 )   NSNS     1948   Waco , TX   14 -- 0   Carl Price   NSNS     1949   Wichita Falls , TX   14 -- 0   Joe Golding   NSNS     1950   Massillon , OH , Washington   10 -- 0   Chuck Mather   NSNS     1951   Weymouth , MA   9 -- 0   Harry Arlanson ( 2 )   NSNS     1952   Massillon , OH , Washington   10 -- 0   Chuck Mather   NSNS     1953   Massillon , OH , Washington   10 -- 0   Chuck Mather   NSNS     1954   Vallejo , CA   9 -- 0   Bob Patterson   NSNS     1955   San Diego , CA   12 -- 0   Duane Maley   NSNS     1956   Abilene , TX   14 -- 0   Charles Moser   NSNS     1957   Little Rock , AR , Central   12 -- 0   Wilson Matthews   NSNS     Downey HS , Downey , California   11 -- 0     NSNS     1958   Oak Ridge , TN , Oak Ridge   10 -- 0   Jack Armstrong   NSNS     1959   Massillon , OH , Washington   10 -- 0   Leo Strang   NSNS     1960   Miami , Fla .   8 - 0 - 2   Ottis Mooney   NSNS     1961   Massillon , OH , Washington   11 -- 0   Leo Strang   NSNS     1962   Valdosta , GA   12 -- 0   Wright Bazemore   NSNS     1963   Chicago , IL , St. Rita   9 -- 0   Edward Buckley   NSNS     1964   Coral Gables , FL   12 -- 0   Nick Kotys   NSNS     1965   Miami , FL   12 -- 0   Robert Carlton   NSNS     1966   Pico Rivera , CA , El Rancho   13 -- 0   Ernest Johnson   NSNS     1967   Austin , TX , Reagan   14 -- 0   Travis Raven   NSNS     Coral Gables , FL   13 -- 0   Nick Kotys   NSNS     1968   Austin , TX , Reagan   15 -- 0   Travis Raven   NSNS     Coral Gables , FL   12 -- 1   Nick Kotys   NSNS     1969   Coral Gables , FL   11 -- 0   Nick Kotys   NSNS     Valdosta , GA   12 -- 0 -- 1   Wright Bazemore   NSNS     1970   Reagan , Austin , Texas   14 -- 1   Travis Raven   NSNS     1971   Valdosta , GA   13 -- 0   Wright Bazemore   NSNS     1972   Bristol , TN   13 -- 0   John Cropp   NSNS     1973   Chattanooga , TN , Baylor   13 -- 0   E.B. Etter   NSNS       Thomasville , GA   12 -- 1   Jim Hughes   NSNS       Los Angeles , CA , Loyola   13 -- 0   Marty Shaughnessy   NSNS     1976   Moeller , Cincinnati , Oh   12 - 0   Gerry Faust   NSNS     Warner Robins , Warner Robins , Ga .   13 - 0   Robert Davis   NSNS     1977   Cincinnati , OH , Moeller   12 -- 0   Gerry Faust   NSNS     1978   Annandale , VA   14 -- 0   Bob Hardage   NSNS     1979   Cincinnati , OH , Moeller   12 -- 0   Gerry Faust   NSNS     1980   Cincinnati , OH , Moeller   13 -- 0   Gerry Faust   NSNS     1981   Warner Robins , GA   15 -- 0   Robert Davis   NSNS     1982   Cincinnati , OH , Moeller   13 -- 0   Steve Klonne   NSNS , USA       Berwick Area , PA   13 -- 0   George Curry   NSNS , USA     1984   Valdosta , GA   15 -- 0   Nick Hyder   NSNS , USA     1985   East St. Louis , IL   14 -- 0   Bob Shannon   NSNS , USA     1986   Valdosta , GA   15 -- 0   Nick Hyder   NSNS , USA       Fontana , CA   14 -- 0   Dick Bruich   NPP     Pittsburgh , PA , North Hills   13 -- 0   Jack McCurry   USA     Plano , TX   16 -- 0   Gerald Brence   NSNS       Pensacola , FL , Pine Forest   14 -- 0   Carl Madison   NSNS , USA     Prichard , AL , Vigor   13 -- 0   Harold Clark   NPP       Cleveland , OH , St. Ignatius   13 -- 0   Chuck Kyle   USA     Odessa , TX , Permian   16 -- 0   Gary Gaines   NPP , NSNS       Houston , Texas Aldine High School   15 -- 0   Bill Smith   NPP     Lawton , OK , Eisenhower   14 -- 0   Tim Reynolds   USA     Ruston , LA   14 -- 0   Jimmy `` Chick '' Childress   NSNS     1991   Indianapolis , IN , Ben Davis   14 -- 0   Dick Dullaghan   NPP , NSNS     LaGrange , GA   15 -- 0   Gary Guthrie   USA       Berwick Area , PA   15 -- 0   George Curry   USA     Valdosta , GA   14 -- 0   Nick Hyder   NPP , NSNS       Cleveland , OH , St. Ignatius   14 -- 0   Chuck Kyle   NPP , NSNS , USA       Concord , CA , De La Salle   13 -- 0   Bob Ladouceur   NPP , NSNS     Santa Ana , CA , Mater Dei   14 -- 0   Bruce Rollinson   USA     1995   Berwick Area , PA   15 -- 0   George Curry   USA     Cleveland , OH , St. Ignatius   14 -- 0   Chuck Kyle   NPP , NSNS       Hampton , VA   14 -- 0   Mike Smith   NPP , NSNS     Santa Ana , CA , Mater Dei   14 -- 0   Bruce Rollinson   USA       Canton , OH , McKinley   14 -- 0   Thom McDaniels   USA     Hampton , VA   13 -- 0   Mike Smith   NPP , NSNS     1998   Concord , CA , De La Salle   12 -- 0   Bob Ladouceur   NPP , NSNS , USA     1999   Concord , CA , De La Salle   12 -- 0   Bob Ladouceur   NSNS     Midland , TX , Lee   15 -- 0   John Parchman   USA     Shreveport , LA , Evangel Christian   15 -- 0   Dennis Dunn   NPP     2000   Concord , CA , De La Salle   13 -- 0   Bob Ladouceur   NPP , USA       Concord , CA , De La Salle   12 -- 0   Bob Ladouceur   NPP , USA     2002   Concord , CA , De La Salle   13 -- 0   Bob Ladouceur   NPP , USA     2003   Concord , CA , De La Salle   13 -- 0   Bob Ladouceur   NPP , USA       Southlake , TX , Carroll   16 -- 0   Todd Dodge   NPP , USA     2005   Lakeland , FL   15 -- 0   Bill Castle   USA     Southlake , TX , Carroll   16 -- 0   Todd Dodge   NPP , Freeman     2006   Lakeland , FL   15 -- 0   Bill Castle   NPP     Southlake , TX , Carroll   16 -- 0   Todd Dodge   USA , Freeman     2007   Cincinnati , OH , St. Xavier   15 -- 0   Steve Specht   NPP , Freeman     Miami , FL , Northwestern   15 -- 0   Billy Rolle   USA     2008   Fort Lauderdale , FL , St. Thomas Aquinas   15 -- 0   George Smith   NPP , USA , Freeman     2009   Ramsey , NJ , Don Bosco Prep   12 -- 0   Greg Toal   NPP , USA , Freeman       Fort Lauderdale , FL , St. Thomas Aquinas   15 -- 0   George Smith   NPP     South Panola , MS   15 -- 0   Lance Pogue   USA , Freeman     2011   Ramsey , NJ , Don Bosco Prep   11 -- 0   Greg Toal   NPP , USA , Freeman     2012   River Ridge , LA , John Curtis Christian   14 -- 0   J.T. Curtis   NPP , USA     2013   Miami , FL , Booker T. Washington   16 - 0   Jason Negro   NPP , USA     2014   Las Vegas , NV , Bishop Gorman   15 -- 0   Tony Sanchez   NPP , USA     2015   Katy , TX   16 - 0   Gary Joseph   NPP     Las Vegas , NV , Bishop Gorman   15 -- 0   Kenny Sanchez   USA     2016   Las Vegas , NV , Bishop Gorman   15 -- 0   Kenny Sanchez   NPP , USA , Freeman , High School Football America     National Championships by school ( multiple winners only ) ( edit )     School   Championships   Years     Massillon , OH , Washington   9   1935 , 1936 , 1939 , 1940 , 1950 , 1952 , 1953 , 1959 , 1961     Concord , CA , De La Salle   7   1994 , 1998 , 1999 , 2000 , 2001 , 2002 , 2003     Valdosta , GA   6   1962 , 1969 , 1971 , 1984 , 1986 , 1992     Miami , FL   5   1942 , 1943 , 1960 , 1962 , 1965     Cincinnati , OH , Moeller   5   1976 , 1977 , 1979 , 1980 , 1982     Oak Park , IL   5   1910 , 1911 , 1912 , 1913 , 1920     Coral Gables , FL     1964 , 1967 , 1968 , 1969     Austin , TX , Reagan     1967 , 1968 , 1970     Berwick , PA     1983 , 1992 , 1995     Cleveland , OH , St. Ignatius     1989 , 1993 , 1995     Southlake , TX , Carroll     2004 , 2005 , 2006     Las Vegas , NV , Bishop Gorman     2014 , 2015 , 2016     Canton , OH , McKinley     1997 , 1998     Everett , MA     1914 , 1915     Fort Lauderdale , FL , St. Thomas Aquinas     2008 , 2010     Lakeland , FL     2005 , 2006     Little Rock , AR , Central     1946 , 1957     Odessa , TX , Permian     1972 , 1989     Pine Bluff , AR     1925 , 1939     Ramsey , NJ , Don Bosco Prep     2009 , 2011     Santa Ana , CA , Mater Dei     1994 , 1996     Toledo , OH , Scott     1922 , 1923     Toledo , OH , Waite     1924 , 1932     Tuscaloosa , AL     1926 , 1929     Waco , TX ,   2   1927 , 1948     Warner Robins , GA     1976 , 1981     See also ( edit )    USA Today All - USA high school football team ( including Super 25 teams in U.S. and Top 10 teams in East , South , Midwest , and West regions )   USA Today High School Football Coach of the Year    Sources ( edit )    http://www.highschoolsports.net/super25/Football/Varsity/Boys   Huff , Doug &amp; Tennis , Mark . ( 2001 ) National High School Football Record Book , Student Sports . ISBN 0 - 9708676 - 0 - 3    References ( edit )    Jump up ^ See USA Today All - USA high school football team # 2010 team , for `` USA TODAY Super 25 '' teams and `` USA TODAY Super 25 regional rankings '' ( top 10 in each region : East , South , Midwest , West ) .   ^ Jump up to : George Abraham ( December 31 , 1939 ) . `` Hutson Twins Lead Zebras to 26 -- 0 Win : Devastating Offensive Too Much for B.R.H.S. '' . Baton Rouge Morning Advocate ( p. 1 ) .   Jump up ^ Groeschen , Tom ( 2001 - 08 - 24 ) . `` Moeller coach Bob Crable draws spotlight '' . The Cincinnati Enquirer . Cincinnati , Ohio : Gannett Company . Retrieved 2008 - 01 - 26 . Klonne was asked to resign despite a 19 - season record of 169 -- 48 , including two state titles ( 1982 , ' 85 ) and a USA Today national championship in 1982 .      ( hide )         High school football awards     Team award     USA Today / National Prep Poll High School Football National Championship       Overall trophies     U.S. Army Player of the Year Award   Sam B. Nicola Trophy   Gatorade Player of the Year Award       Overall media awards     USA Today Offensive Player of the Year   USA Today Defensive Player of the Year   Mr. Football USA       Positional awards     Anthony Muñoz Award ( Lineman )   Dick Butkus Award ( Linebacker )   Walter Payton Trophy ( Best Athlete )       All - Americans     Parade High School All - Americans   USA Today All - USA Team       Head Coaching awards     USA Today Coach of the Year       Academic , inspirational , and versatility awards     Rudy Award ( inspirational / motivational )       Regional awards     Glenn Davis Award ( Los Angeles )   Kennedy Award ( West Virginia )   Thomas A. Simone Award ( Kansas City )   Mr. Football Award ( Multiple States )       http://www.ohsaa.org/sports/ft/boys/PastResults/results98.PDF  Retrieved from `` https://en.wikipedia.org/w/index.php?title=High_School_Football_National_Championship&amp;oldid=803347990 '' Categories :   High school football trophies and awards in the United States           Talk                                           Contents                   About Wikipedia                                           Add links   This page was last edited on 1 October 2017 , at 23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</si>
  <si>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the high school football national championship</t>
  </si>
  <si>
    <t xml:space="preserve">   Year   Champion ( s )   Record   Coach   Selector ( s )     1910   Oak Park , IL   10 -- 2   Robert Zuppke   NSNS     1911   Oak Park , IL   10 -- 0   Robert Zuppke   NSNS     1912   Oak Park , IL   10 -- 0   Robert Zuppke   NSNS     1913   Oak Park , IL   10 -- 1   Glenn Thistlewaite   NSNS     1914   Everett , MA   13 -- 0   Cleo O'Donnell   NSNS     1915   Detroit , MI , Central   11 -- 0 -- 1   Edbert C. Buss   NSNS     Everett , MA   11 -- 0 -- 1   Cleo O'Donnell   NSNS     1916   San Diego , CA  Scott , Toledo , Ohio    12 - 0 - 0  10 - 0 - 0    Nibs Price  Tom Merrell    NSNS  NSNS      1917   No Known Champion           1918   Harrisburg , PA , Tech   9 -- 0   Paul Smith   NSNS     1919   Harrisburg , PA , Tech   12 -- 0   Paul Smith   NSNS     1920   Everett , WA   9 -- 0 -- 1   Enoch Bagshaw   NSNS     Oak Park , IL   9 -- 0 -- 1   Glenn Thistlewaite   NSNS     1921   Jacksonville , FL , Duval   8 -- 0   Unknown   NSNS     1922   Toledo , OH , Scott   9 -- 0   Dr. William A. Neill   NSNS     1923   East Cleveland , OH , Shaw   9 -- 1   John Snavely   NSNS     Toledo , OH , Scott   10 -- 0   Dr. William A. Neill   NSNS     1924   Toledo , OH , Waite   10 -- 0   Joe C. Collins   NSNS     1925   Pine Bluff , AR   16 -- 0   Foy Hammons   NSNS     1926   Tuscaloosa , AL   9 -- 0   Paul Burnum   NSNS     1927   Waco , TX   14 -- 0   Paul Tyson   NSNS     1928   Medford , OR   9 -- 0   Prink Callison   NSNS     1929   Tuscaloosa , AL   9 -- 0   Paul Burnum   NSNS     1930   Phoenix , AZ , Union   13 -- 0   R.R. Robinson   NSNS     1931   Ashland , KY   10 -- 0   Paul Jenkins   NSNS     1932   Toledo , OH , Waite   12 -- 0   Donald McCallister   NSNS     1933   Oklahoma City , OK , Capitol Hill   12 -- 0   Jim Lookabaugh   NSNS     1934   Canton , OH , McKinley   11 -- 0   Jimmy Aiken   NSNS     1935   Massillon , OH , Washington   10 -- 0   Paul Brown   NSNS     1936   Massillon , OH , Washington   10 -- 0   Paul Brown   NSNS     1937   Chicago , IL , Austin   10 -- 0   William Heiland   NSNS     1938   Louisville , KY , Manual   10 -- 0   Ray Baer   LSA , NSNS     1939   Massillon , OH , Washington   10 -- 0   Paul Brown   NSNS     Pine Bluff , AR   11 -- 0 -- 1   Allen Dunaway   LSA     1940   Massillon , OH , Washington   10 -- 0   Paul Brown   NSNS     1941   Chicago , IL , Leo   11 -- 0   Whitey Cronin   NSNS     1942   Miami , FL   9 -- 0   Lyles Alley   NSNS     1943   Miami , FL   9 -- 0   Tom Moore   NSNS     1944   No Award Made           1945   No Award Made           1946   Little Rock , AR , Senior   14 -- 0   Raymond Burnett   NSNS     1947   East Chicago , IN , Roosevelt   9 -- 0   Unknown   NSNS     Lynn , MA , Classical   11 -- 1   Bill Joyce ( 1 )   NSNS     1948   Waco , TX   14 -- 0   Carl Price   NSNS     1949   Wichita Falls , TX   14 -- 0   Joe Golding   NSNS     1950   Massillon , OH , Washington   10 -- 0   Chuck Mather   NSNS     1951   Weymouth , MA   9 -- 0   Harry Arlanson ( 2 )   NSNS     1952   Massillon , OH , Washington   10 -- 0   Chuck Mather   NSNS     1953   Massillon , OH , Washington   10 -- 0   Chuck Mather   NSNS     1954   Vallejo , CA   9 -- 0   Bob Patterson   NSNS     1955   San Diego , CA   12 -- 0   Duane Maley   NSNS     1956   Abilene , TX   14 -- 0   Charles Moser   NSNS     1957   Little Rock , AR , Central   12 -- 0   Wilson Matthews   NSNS     Downey HS , Downey , California   11 -- 0     NSNS     1958   Oak Ridge , TN , Oak Ridge   10 -- 0   Jack Armstrong   NSNS     1959   Massillon , OH , Washington   10 -- 0   Leo Strang   NSNS     1960   Miami , Fla .   8 - 0 - 2   Ottis Mooney   NSNS     1961   Massillon , OH , Washington   11 -- 0   Leo Strang   NSNS     1962   Valdosta , GA   12 -- 0   Wright Bazemore   NSNS     1963   Chicago , IL , St. Rita   9 -- 0   Edward Buckley   NSNS     1964   Coral Gables , FL   12 -- 0   Nick Kotys   NSNS     1965   Miami , FL   12 -- 0   Robert Carlton   NSNS     1966   Pico Rivera , CA , El Rancho   13 -- 0   Ernest Johnson   NSNS     1967   Austin , TX , Reagan   14 -- 0   Travis Raven   NSNS     Coral Gables , FL   13 -- 0   Nick Kotys   NSNS     1968   Austin , TX , Reagan   15 -- 0   Travis Raven   NSNS     Coral Gables , FL   12 -- 1   Nick Kotys   NSNS     1969   Coral Gables , FL   11 -- 0   Nick Kotys   NSNS     Valdosta , GA   12 -- 0 -- 1   Wright Bazemore   NSNS     1970   Reagan , Austin , Texas   14 -- 1   Travis Raven   NSNS     1971   Valdosta , GA   13 -- 0   Wright Bazemore   NSNS     1972   Bristol , TN   13 -- 0   John Cropp   NSNS     1973   Chattanooga , TN , Baylor   13 -- 0   E.B. Etter   NSNS       Thomasville , GA   12 -- 1   Jim Hughes   NSNS       Los Angeles , CA , Loyola   13 -- 0   Marty Shaughnessy   NSNS     1976   Moeller , Cincinnati , Oh   12 - 0   Gerry Faust   NSNS     Warner Robins , Warner Robins , Ga .   13 - 0   Robert Davis   NSNS     1977   Cincinnati , OH , Moeller   12 -- 0   Gerry Faust   NSNS     1978   Annandale , VA   14 -- 0   Bob Hardage   NSNS     1979   Cincinnati , OH , Moeller   12 -- 0   Gerry Faust   NSNS     1980   Cincinnati , OH , Moeller   13 -- 0   Gerry Faust   NSNS     1981   Warner Robins , GA   15 -- 0   Robert Davis   NSNS     1982   Cincinnati , OH , Moeller   13 -- 0   Steve Klonne   NSNS , USA       Berwick Area , PA   13 -- 0   George Curry   NSNS , USA     1984   Valdosta , GA   15 -- 0   Nick Hyder   NSNS , USA     1985   East St. Louis , IL   14 -- 0   Bob Shannon   NSNS , USA     1986   Valdosta , GA   15 -- 0   Nick Hyder   NSNS , USA       Fontana , CA   14 -- 0   Dick Bruich   NPP     Pittsburgh , PA , North Hills   13 -- 0   Jack McCurry   USA     Plano , TX   16 -- 0   Gerald Brence   NSNS       Pensacola , FL , Pine Forest   14 -- 0   Carl Madison   NSNS , USA     Prichard , AL , Vigor   13 -- 0   Harold Clark   NPP       Cleveland , OH , St. Ignatius   13 -- 0   Chuck Kyle   USA     Odessa , TX , Permian   16 -- 0   Gary Gaines   NPP , NSNS       Houston , Texas Aldine High School   15 -- 0   Bill Smith   NPP     Lawton , OK , Eisenhower   14 -- 0   Tim Reynolds   USA     Ruston , LA   14 -- 0   Jimmy `` Chick '' Childress   NSNS     1991   Indianapolis , IN , Ben Davis   14 -- 0   Dick Dullaghan   NPP , NSNS     LaGrange , GA   15 -- 0   Gary Guthrie   USA       Berwick Area , PA   15 -- 0   George Curry   USA     Valdosta , GA   14 -- 0   Nick Hyder   NPP , NSNS       Cleveland , OH , St. Ignatius   14 -- 0   Chuck Kyle   NPP , NSNS , USA       Concord , CA , De La Salle   13 -- 0   Bob Ladouceur   NPP , NSNS     Santa Ana , CA , Mater Dei   14 -- 0   Bruce Rollinson   USA     1995   Berwick Area , PA   15 -- 0   George Curry   USA     Cleveland , OH , St. Ignatius   14 -- 0   Chuck Kyle   NPP , NSNS       Hampton , VA   14 -- 0   Mike Smith   NPP , NSNS     Santa Ana , CA , Mater Dei   14 -- 0   Bruce Rollinson   USA       Canton , OH , McKinley   14 -- 0   Thom McDaniels   USA     Hampton , VA   13 -- 0   Mike Smith   NPP , NSNS     1998   Concord , CA , De La Salle   12 -- 0   Bob Ladouceur   NPP , NSNS , USA     1999   Concord , CA , De La Salle   12 -- 0   Bob Ladouceur   NSNS     Midland , TX , Lee   15 -- 0   John Parchman   USA     Shreveport , LA , Evangel Christian   15 -- 0   Dennis Dunn   NPP     2000   Concord , CA , De La Salle   13 -- 0   Bob Ladouceur   NPP , USA       Concord , CA , De La Salle   12 -- 0   Bob Ladouceur   NPP , USA     2002   Concord , CA , De La Salle   13 -- 0   Bob Ladouceur   NPP , USA     2003   Concord , CA , De La Salle   13 -- 0   Bob Ladouceur   NPP , USA       Southlake , TX , Carroll   16 -- 0   Todd Dodge   NPP , USA     2005   Lakeland , FL   15 -- 0   Bill Castle   USA     Southlake , TX , Carroll   16 -- 0   Todd Dodge   NPP , Freeman     2006   Lakeland , FL   15 -- 0   Bill Castle   NPP     Southlake , TX , Carroll   16 -- 0   Todd Dodge   USA , Freeman     2007   Cincinnati , OH , St. Xavier   15 -- 0   Steve Specht   NPP , Freeman     Miami , FL , Northwestern   15 -- 0   Billy Rolle   USA     2008   Fort Lauderdale , FL , St. Thomas Aquinas   15 -- 0   George Smith   NPP , USA , Freeman     2009   Ramsey , NJ , Don Bosco Prep   12 -- 0   Greg Toal   NPP , USA , Freeman       Fort Lauderdale , FL , St. Thomas Aquinas   15 -- 0   George Smith   NPP     South Panola , MS   15 -- 0   Lance Pogue   USA , Freeman     2011   Ramsey , NJ , Don Bosco Prep   11 -- 0   Greg Toal   NPP , USA , Freeman     2012   River Ridge , LA , John Curtis Christian   14 -- 0   J.T. Curtis   NPP , USA     2013   Miami , FL , Booker T. Washington   16 - 0   Jason Negro   NPP , USA     2014   Las Vegas , NV , Bishop Gorman   15 -- 0   Tony Sanchez   NPP , USA     2015   Katy , TX   16 - 0   Gary Joseph   NPP     Las Vegas , NV , Bishop Gorman   15 -- 0   Kenny Sanchez   USA     2016   Las Vegas , NV , Bishop Gorman   15 -- 0   Kenny Sanchez   NPP , USA , Freeman , High School Football America   </t>
  </si>
  <si>
    <r>
      <rPr>
        <sz val="11"/>
        <color rgb="FF000000"/>
        <rFont val="Calibri"/>
        <family val="0"/>
        <charset val="1"/>
      </rPr>
      <t xml:space="preserve">Torres Strait Islands - wikipedia  Torres Strait Islands  Jump to : navigation , search Not to be confused with Torres Islands .    Torres Strait Islands     Flag Coat of arms     Anthem : Advance Australia Fair     Location of the Torres Strait Islands , between Cape York Peninsula , Queensland , Australia and Papua New Guinea .     Capital and largest city   Thursday Island     Official languages   English ; important local languages : Kalau Lagau Ya , Meriam Mir , Torres Strait Creole     Demonym   Torres Strait Islander     Government   Regional authority     Queen   Elizabeth II     Chairperson   Joseph Elu     Chief Executive Officer   Wayne See Kee     Regional authority     Established   1 July 1994     Population     2016 census   4,514     Currency   Australian dollar ( AUD )     Internet TLD   . au       Of the Torres Strait Regional Authority .       The Torres Strait Islands ( / ˈtɔːrɪs / ) are a group of at least 274 small islands which lie in Torres Strait , the waterway separating far northern continental Australia 's Cape York Peninsula and the island of New Guinea .   The islands are mostly part of Queensland , a constituent State of the Commonwealth of Australia , with a special status fitting the native ( Melanesian ) land rights , administered by the Torres Strait Regional Authority . A few islands very close to the coast of mainland New Guinea belong to the Western Province of Papua New Guinea , most importantly Daru Island with the provincial capital , Daru .   Only 14 of the islands are inhabited .     Contents  ( hide )   1 History   2 Geography   2.1 Top Western islands   2.2 Near Western islands   2.3 Inner islands   2.4 Central islands   2.5 Eastern islands     3 Administration   3.1 Regional Authority   3.2 Local ( shire ) level government     4 Independence movement   5 Demographics   6 Climate change   7 Disease control   8 Music   9 See also   10 References   11 External links      History ( edit )   The indigenous inhabitants of the Torres Strait Islands are the Torres Strait Islanders , an ethnically Melanesian people who also inhabited the northern tip of Cape York Peninsula , distinct from the Australian Aboriginals who are the Indigenous Australians in the rest of the country .   The Spanish navigator Luís Vaez de Torres explored Torres Strait in 1606 . Torres had joined the Queirós expedition which sailed from Peru across the Pacific Ocean in search of Terra Australis .   Lieutenant James Cook first claimed British sovereignty over the eastern part of Australia at Possession Island in 1770 . The London Missionary Society mission led by Rev. Samuel Macfarlane arrived on Erub ( Darnley Island ) on 1 July 1871 . The Islanders refer to this as `` The Coming of the Light '' , and all Island communities celebrate the occasion annually on 1 July . In 1879 Queensland annexed the Torres Strait Islands . They thus became part of the British colony of Queensland and ( after 1901 ) of the Australian state of Queensland - although some of them lie just off the coast of New Guinea .   In 1898 -- 1899 the Cambridge Anthropological Expedition led by Alfred Cort Haddon visited the Torres Strait Islands . In 1904 the Torres Strait Islanders became subject to the Aboriginal Protection and Restriction of the Sale of Opium Act .   From 1960 to 1973 Margaret Lawrie captured some of the Torres Strait Islander people 's culture by recording the retelling of local myths and legends . Her anthropological work , stored at the State Library of Queensland , has recently been recognized and registered with the Australian UNESCO Memory of the World Programme .   The proximity to Papua became an issue when it started moving towards independence from Australia , which it gained as part of Papua New Guinea in 1975 . The Papua New Guinea government objected to the position of the border close to the New Guinean mainland and the subsequent complete Australian control over the waters of the strait . The Torres Strait Islanders opposed being separated from Australia and insisted on no change to the border . The Australian Federal government wished to cede the northern islands to appease Papua New Guinea , but were opposed by the Queensland government and Queensland Premier Sir Joh Bjelke - Petersen . Eventually an agreement was struck whereby the islands and their inhabitants remained Australian , but the maritime boundary between Australia and Papua New Guinea runs through the centre of the strait . In practice the two countries co-operate closely in the management of the strait 's resources .   In 1982 , Eddie Mabo and four other Torres Strait Islanders from Mer ( Murray Island ) started legal proceedings to establish their traditional land - ownership . Because Mabo was the first - named plaintiff , it became known as the Mabo Case . In 1992 , after ten years of hearings before the Queensland Supreme Court and the High Court of Australia , the latter court found that Mer people had owned their land prior to annexation by Queensland . This ruling overturned the long - established legal doctrine of terra nullius ( `` no - one 's land '' ) , which held that native title over Crown land in Australia had been extinguished at the time of annexation . The ruling thus had far - reaching significance for the land claims of both Torres Strait Islanders and Australian Aborigines .   On 1 July 1994 the Torres Strait Regional Authority ( TSRA ) was created .   Geography ( edit )  Torres Strait Islands  The islands span an area of some 48,000 km ( 19,000 sq mi ) . The strait from Cape York to New Guinea has a width of approximately 150 kilometres ( 93 mi ) at its narrowest point ; the islands lie scattered in between , extending some 200 to 300 kilometres ( 120 to 190 mi ) from furthest east to furthest west . The total land area of the islands comprises 566 km ( 219 sq mi ) . 21,784 hectares ( 53,830 acres ) of land are used for agricultural purposes .   The Torres Strait itself was previously a land bridge which connected the present - day Australian continent with New Guinea ( in a single landmass called Sahul , Meganesia , Australia - New Guinea ) . This land bridge was most recently submerged by rising sea levels at the termination of the last ice - age glaciation ( approximately 12,000 years ago ) , forming the Strait which now connects the Arafura and Coral seas . Many of the western Torres Strait Islands are the remaining peaks of this land bridge which were not completely submerged when the ocean levels rose .   The islands and their surrounding waters and reefs provide a highly diverse set of land and marine ecosystems , with niches for many rare or unique species . Saltwater crocodiles inhabit the islands along with neighboring areas of Queensland and Papua New Guinea . Marine animals of the islands include dugongs ( an endangered species of sea mammal widely found throughout the Indian Ocean and tropical Western Pacific , including Papua - New Guinean and Australian waters ) , as well as green , ridley , hawksbill and flatback sea turtles .   The Torres Strait Islands may be grouped into five distinct clusters , which exhibit differences of geology and formation as well as location . The Torres Strait provides a habitat for numerous birds , including the Torresian imperial - pigeon , which is seen as the iconic national emblem to the islanders .   These islands are also a distinct physiographic section of the larger Cape York Platform province , which in turn is part of the larger East Australian Cordillera physiographic division .   Top Western Islands ( edit )   The islands in this cluster lie very close to the southwestern coastline of New Guinea ( the closest is less than 4 kilometres ( 2.5 mi ) offshore ) . Saibai ( one of the largest of the Torres Strait Islands ) and Boigu ( one of the Talbot Islands ) are low - lying islands which were formed by deposition of sediments and mud from New Guinean rivers into the Strait accumulating on decayed coral platforms . Vegetation on these islands mainly consists of mangrove swamps , and they are prone to flooding .   The other main island in this group , Dauan ( Mt Cornwallis ) , is a smaller island with steep hills , composed largely of granite . This island actually represents the northernmost extent of the Great Dividing Range , the extensive series of mountain ranges which runs along almost the entire eastern coastline of Australia . This peak became an island as the ocean levels rose at the end of the last ice age .   The isolated and uninhabited Deliverance Island is 67 kilometres ( 42 mi ) west of Boigu , the nearest of the Top Western islands .  See also : Birds of Boigu , Saibai and Dauan Islands ( Torres Strait )  Near Western Islands ( edit )   The islands in this cluster lie south of the Strait 's midway point , and are also largely high granite hills with mounds of basaltic outcrops , formed from old peaks of the now submerged land bridge . Moa ( Banks Island ) is the second - largest in the Torres Strait , and Badu ( Mulgrave Island ) is slightly smaller and fringed with extensive mangrove swamps . Other smaller islands include Mabuiag , Pulu and further to the east Naghir ( correct form Nagi ) ( Mt . Ernest ) , though Nagi is culturally and linguistically a Central Island . Culturally this was the most complex part of Torres Strait , containing three of the four groupings / dialects of the Western - central Islanders , Nagi being culturally / linguistically a Central Island ( Kulkalaig territory , specifically art of Waraber tribal waters ) , Moa is part of the Muwalaig - Italaig - Kaiwalaig ( Kauraraig / Kaurareg ) tribal areas , with two groups , the Italaig of the south , and the Muwalaig of the north . Many Kauraraig also live there , having been forcibly moved there in 1922 - 1923 . Badu and Mabuiag are the Maluigal Deep Sea People .   Inner Islands ( edit )  The township of Thursday Island  These islands , also known as the Thursday Island group , lie closest to Cape York Peninsula , and their topography and geological history is very similar . Muralag ( Prince of Wales Island ) is the largest of the Strait 's islands , and forms the centre of this closely grouped cluster . The much smaller Waiben Thursday Island is the region 's administrative centre and most heavily populated . Several of these islands have permanent freshwater springs , and some were also mined for gold in the late 19th and early 20th centuries . Because of their proximity to the Australian mainland , they have also been centres of pearling and fishing industries . Nurupai Horn Island holds the region 's airport , and as a result is something of an entrepôt with inhabitants drawn from many other communities . Kiriri ( Hammond Island ) is the other permanently settled island of this group ; Tuined ( Possession Island ) is noted for Lt. James Cook 's landing there in 1770 . Moa in the Near Western group is culturally and linguistically speaking part of this group .   Central Islands ( edit )   This cluster is more widely distributed in the middle of Torres Strait , consisting of many small sandy cays surrounded by coral reefs , similar to those found in the nearby Great Barrier Reef . The more northerly islands in this group however , such as Gerbar ( Two Brothers ) and Iama ( Yam Island ) , are high basaltic outcrops , not cays . Culturally - speaking , Nagi of the Near - Western group is also part of this group , and also has high basaltic outcropping . The low - lying inhabited coral cays , such as Poruma ( Coconut Island ) , Warraber Island and Masig ( Yorke Island ) are mostly less than 2 to 3 kilometres ( 1.2 -- 1.9 miles ) long , and no wider than 800 metres ( 2,600 feet ) . Several have had problems with saltwater intrusion .   Eastern Islands ( edit )   The islands of this group ( principally Mer ( Murray Island ) , Dauar and Waier , with Erub Island and Stephens Island ( Ugar ) further north ) are formed differently from the rest . They are volcanic in origin , the peaks of volcanoes which were formerly active in Pleistocene times . Consequently , their hillsides have rich and fertile red volcanic soils , and are thickly vegetated . The easternmost of these are less than 20 kilometres ( 12 mi ) from the northern extension of the Great Barrier Reef .   Administration ( edit )  Hammond Island , Torres Strait  Regional Authority ( edit )   An Australian Commonwealth statutory authority called the Torres Strait Regional Authority ( TSRA ) is responsible for governance of the islands . The TSRA has an elected board comprising 20 representatives from the Torres Strait Islander and Aboriginal communities resident in the Torres Strait region .   There is one representative per established local community . These board members are elected under the Queensland Community Services ( Torres Strait ) Act 1984 and Division 5 of the ATSIC Act 1989 . The TSRA itself falls under the portfolio responsibilities of the Australian Government Department of the Prime Minister and Cabinet ( previously under the Department of Families , Community Services and Indigenous Affairs ) . The administrative centre of the islands is Thursday Island .   The TSRA now represents the local communities at both Commonwealth and State levels -- previously State representation was via a ( closed since March 2008 ) Queensland statutory authority called the Island Coordinating Council ( ICC ) . The ICC was superseded by the Torres Strait Island Region local government area .   Local ( Shire ) level government ( edit )   At the local level there are two authorities , the Shire of Torres which governs several islands and portions of Cape York Peninsula and operates as a Queensland local government area . The Torres Strait Island Region , created in 2008 , is the embodiment of 15 former island councils , these areas have been relinquished by the Government of Queensland to specific Islander and Aboriginal Councils under the provisions of the Community Services ( Torres Strait ) Act 1984 and the Community Services ( Aboriginal ) Act 1984 .       Badu Island Council   Bamaga Island Council   Boigu Island Council   Dauan Island Council   Erub Island Council       Hammond Island Council   Iama Island Council   Kubin Island Council   Mabuiag Island Council   Mer Island Council       Poruma Island Council   Saibai Island Council   Seisia Island Council   St Pauls Island Council   St Patrick Island council   Ugar Island Council       Warraber Island Council   Yorke Island Council       Independence movement ( edit )   Notable politicians have declared support for independence , including Bob Katter and former Queensland Premier Anna Bligh , who in August 2011 wrote to Prime Minister Julia Gillard in support of Torres Strait Islands independence from Australia ; Prime Minister Gillard said in October 2011 `` her government will respectfully consider the Torres Strait 's request for self - government '' . Other figures who have supported independence include Australian indigenous rights campaigner Eddie Mabo .   Demographics ( edit )   Torres Strait Islanders , the indigenous peoples of the islands , are predominantly Melanesians , culturally most akin to the coastal peoples of Papua New Guinea . Thus they are regarded as being distinct from other Aboriginal peoples of Australia , and are generally referred to separately despite ongoing historical trade and inter-marriage with mainland Aboriginal people . There are also two Torres Strait Islander communities on the nearby coast of the mainland , Bamaga and Seisia .   According to the 2016 Australian census figures , the population of the Torres Strait Islands was 4,514 , of whom 4,144 ( 91.8 % ) were Torres Strait Islanders .   There are two indigenous languages spoken on the islands : the Western - Central Torres Strait Language ( called by various names , including Kalaw Lagaw Ya , Kalaw Kawaw Ya , Kulkalgau Ya and Kaiwaligau Ya ( Kowrareg ) ) , and the Eastern Torres Language Meriam Mir . One language , Torres Strait Creole , or Brokan / Yumplatok , is used throughout Torres Strait , in neighbouring Papua as far as the West Papuan border area , and Cape York , as well as in many Island communities in Mainland Australia . This is a creole English similar to the closely related Tok Pisin in Papua New Guinea .   According to the Torres Strait Treaty , residents of Papua New Guinea are permitted to visit the Torres Strait Islands for traditional purposes . In 2011 , the Department of Foreign Affairs and Trade had to place restrictions on visitors to ensure water supply for local residents was adequate .   Climate change ( edit )   The Torres Strait Islands are threatened by rising sea levels , especially those islands which do not rise more than one metre ( 3.3 feet ) above sea level . Storm surge and high tides pose the greatest danger . Other developing problems include erosion , property damage , drinking water contamination and the unearthing of the dead . As of June 2010 , there were no relocation strategies in place for Torres Strait Islanders .   Disease control ( edit )   The banana plant leaf disease black sigatoka , the major banana disease worldwide , is endemic to Papua New Guinea and the Torres Strait Islands . Occasional infections have been discovered on Cape York Peninsula but they have been successfully halted with eradication programs . The disease most likely appeared on the mainland via plant material from the Torres Strait Islands .   Music ( edit )   The music of the Torres Strait is principally vocal accompanied by instruments . The introduction of Christianity through the London Missionary Society , beginning in 1871 , had a profound influence , but before that time the musical culture reflected the cultural and geographic diversity of the Strait .   See also ( edit )    Queensland portal   Islands portal     List of Torres Strait Islands   Torres Strait Islanders    References ( edit )    ^ Jump up to : Australian Bureau of Statistics ( 27 June 2017 ) . `` Torres Strait Islands '' . 2016 Census QuickStats . Retrieved 3 April 2018 .   Jump up ^ Suellen Hinde ( 31 January 2011 ) . `` Monster tides smother Torres Strait islands '' . The Sunday Mail . News Queensland . Retrieved 3 July 2011 .   Jump up ^ John Burton . `` History of Torres Strait to 1879 -- a regional view '' . Torres Strait Regional Authority . Archived from the original on 15 May 2009 . Retrieved 3 July 2011 .   Jump up ^ National Film and Sound Archive : The Recordings of the Cambridge Anthropological Expedition to Torres Straits on the Sounds of Australia registry   Jump up ^ Aboriginals Protection and Restriction of the Sale of Opium Act 1897 ( Qld ) Archived 9 December 2007 at the Wayback Machine ... Documenting Democracy . 24 May 2011 . Retrieved on 3 July 2011 .   Jump up ^ `` The Border Problem '' . National Film and Sound Archive . Retrieved 12 June 2016 .   Jump up ^ Matt Wordsworth ( 14 August 2013 ) . `` Patrolling the short hop from PNG to Australia '' . Australian Broadcasting Corporation . Retrieved 12 June 2016 .   Jump up ^ For a detailed map see `` Australia 's Maritime Zones in the Torres Strait '' ( PDF ) . Australian Government -- Geoscience Australia . Archived from the original ( PDF ) on 27 June 2008 . Retrieved 13 April 2008 . , for the agreement see `` Treaty between Australia and the Independent State of Papua New Guinea concerning sovereignty and maritime boundaries in the area between the two countries , including the area known as Torres Strait , and related matters , 18 December 1978 '' ( PDF ) . United Nations . Retrieved 2008 - 04 - 13 .   Jump up ^ `` Indigenous people still battle for land rights : activist '' . ABC News Online . Australian Broadcasting Corporation . 3 June 2007 . Retrieved 3 July 2011 .   Jump up ^ `` Soils -- Torres Strait Islands '' . Australian Natural Resources Atlas . Department of Sustainability , Environment , Water , Population and Communities. 6 May 2009 . Archived from the original on 2 June 2011 . Retrieved 4 July 2011 .   Jump up ^ `` Economics -- Torres Strait Islands '' . Australian Natural Resources Atlas . Department of Sustainability , Environment , Water , Population and Communities. 6 November 2007 . Archived from the original on 2 June 2011 . Retrieved 4 July 2011 .   Jump up ^ Allen , J. ; J. Golson and R. Jones ( eds ) ( 1977 ) . Sunda and Sahul : Prehistorical studies in Southeast Asia , Melanesia and Australia . London : Academic Press . ISBN 0 - 12 - 051250 - 5 . CS1 maint : Extra text : authors list ( link )   Jump up ^ Filewood , W. ( 1984 ) . `` The Torres connection : Zoogeography of New Guinea '' . Vertebrate zoogeography in Australasia . Carlisle , W.A. : Hesperian Press . pp. 1124 -- 1125 . ISBN 0 - 85905 - 036 - X .   Jump up ^ Torres Strait Flag . Torres Strait Regional Authority .   Jump up ^ Sarah Elks ( 15 October 2011 ) . For Mabo 's sake , let my island home go : Torres Strait elder George Mye . The Australian . News Limited . Retrieved on 25 April 2012 .   Jump up ^ Larine Statham ( 17 October 2011 ) . Progress for Torres Strait independence . Courier Mail . Queensland Newspapers . Retrieved on 25 April 2012 .   Jump up ^ ( 5 August 2009 ) . MP supports Torres Strait independence . news.com.au . News Limited . Retrieved on 25 April 2012 .   Jump up ^ `` Access to Outer Islands ' water restricted '' . Torres News Online . 17 June 2011 . Retrieved 3 July 2011 .   Jump up ^ Peter Michael ( 2 August 2007 ) . `` Rising seas threat to Torres Strait islands '' . The Courier - Mail . News Queensland . Retrieved 3 July 2011 .   ^ Jump up to : Sofia Levin ( 28 June 2010 ) . `` Climate change : not all black and white '' . Australian Broadcasting Corporation . Retrieved 3 July 2011 .   Jump up ^ Peterson , R. ; K. Grice ; R. Goebel ( December 2005 ) . `` Eradication of black leaf streak disease from Banana - growing regions in Australia '' . InfoMusa. 14 ( 2 ) : 7 -- 10 . Retrieved 2011 . Check date values in : access - date = ( help )   Jump up ^ Bebbington , Warren ( 1997 ) . The Oxford Companion todo Australian Music . Melbourne : Oxford University Press . p. 556 . ISBN 0195534328 .    External links ( edit )       Wikimedia Commons has media related to Torres Strait Islands .         Wikivoyage has a travel guide for Torres Strait Islands .      Torres Strait Regional Authority   Torres Shire Council   Torres Strait community government review   Torres Strait Islands info page at abc.net   Photograph album of Papua and Torres Strait ( 1921 ) taken by Frank Hurley . Held National Library of Australia , Canberra   Torres Strait Atlas    Coordinates : 9 ° 52 ′ 49 '' S 142 ° 35 ′ 26 '' E ﻿ / ﻿ 9.88028 ° S 142.59056 ° E ﻿ / - 9.88028 ; 142.59056             List of Torres Strait topics     Torres Strait Islands , islets , and cays      Bellevue group     Aipus   Cap   Kamutnab   Keatinge   Mabuiag   Pulu   Subur   Warakuikul Talab   Widul       Bourke group     Aukane   Aureed   Kabbikane   Layoak   Mimi   Roberts   Yam       Duncan group     Kanig   Maitak   Meth       Inner group     Port Lihou   Yeta       Manar group     Albany   Bush   Eborac   Ida   Middle Brother       Talbot group     Aubussi   Boigu   Moimi       The Three Sisters group     Bet   Poll   Sue       Yorke group     Keats   Marsden   Rennel   Smith       Ungrouped     Allison   Anchor   Arden   Badu   Barn   Barney   Bond   Booby   Bramble   Browne   Campbell   Canoe   Castle   Coconut   Crab   Dalrymple   Darnley   Dauan   Dayman   Deliverance   Dove   Dugong   Dumaralug   East   East Strait   Entrance   Farewell   Flat   Friday   Gabba   Getullai   Goods   Great Woody   Green   Halfway   Hammond   Hawkesbury   High   Horn   Kaumag   Kerr   Lacey   Little Adolphus   Little Woody   Lowry   Mai   Meddler   Moa   Morilug   Mouinndo   Mount Adolphus   Mount Ernest   Murangi   Murray   Nepean   Nicklin   North   North Possession   North West   Obelisk   Packe   Passage   Pearce   Phipps   Portlock   Prince of Wales   Quoin   Red   Red Wallis   Roko   Saddle   Saibai   Salter   Sassie   Spencer   Stephens   Suarji   Thursday   Tobin   Travers   Tree   Trochus   Tudu   Tukupai   Turnagain   Turtle Head   Turtle   Turu   Twin   Underdown   Wednesday   West   Whale   Woody Wallis   York   Yorke   Zagai          People , culture , communities and languages      Notable Torres Strait islanders     Christine Anu   Seaman Dan   Aaron Fa'aoso   Josh Hoffman   Nathan Jawai   Ellen Jose   Robert Lui   Eddie Mabo   Rachael Maza   Patty Mills   Rita Mills   Mills Sisters   Danny Morseu   Tanu Nona   Albert Proud   Wendell Sailor   Sam Thaiday   Brent Webb   Jesse Williams       Culture     Indigenous music of Australia   Mabo ( film )   Taba Naba       Communities     Bamaga   Kaurareg   Mabuiag   Meriam ( people )   Seisia       Languages     Bine   Eastern Trans - Fly   Gizrra   Kalaw Lagaw Ya   Meriam   Torres Strait Creole   Torres Strait English   Wipi          Governance and legal matters      Governance     Shire of Torres   Torres Strait Islander Flag   Torres Strait Island Region   Torres Strait Regional Authority       Legal cases and principles     Akiba v Commonwealth   Mabo v Queensland   No 1   No 2     Terra nullius          Buildings and structures     Boigu Island Airport   Booby Island Light   Coconut Island Airport   Darnley Island Airport   Eborac Island Light   Goods Island Light   Kubin Airport   Murray Island Airport   Saibai Island Airport   Warraber Island Airport   Wyborn Reef Light   Yam Island Airport   Yorke Island Airport       Other     Adolphus Channel   Australian Institute of Aboriginal and Torres Strait Islander Studies   Birds of Boigu , Saibai and Dauan Islands   Endeavour Strait   Alfred Cort Haddon   Margaret Lawrie   Sea Swift   Warul Kawa Indigenous Protected Area       Category Commons See also : List of Torres Strait Islands               Far North Queensland , Queensland     Cities :     Cairns       Townships :     Atherton   Aurukun   Babinda   Badu Island   Bamaga   Burketown   Cardwell   Chillagoe   Coen   Cooktown   Croydon   Dimbulah   Doomadgee   Georgetown   Gordonvale   Herberton   Hope Vale   Innisfail   Karumba   Kowanyama   Kuranda   Laura   Lockhart River   Malanda   Mapoon   Mareeba   Millaa Millaa   Mission Beach   Mornington Island   Mossman   Napranum   Normanton   Pormpuraaw   Port Douglas   Thursday Island   Tully   Weipa   Wujal Wujal   Yungaburra       Local Government Areas :     Aurukun   Burke   Cairns   Carpentaria   Cassowary Coast   Cook   Croydon   Doomadgee   Douglas   Etheridge   Hope Vale   Kowanyama   Lockhart River   Mapoon   Mareeba   Mornington   Napranum   Northern Peninsula Area   Pormpuraaw   Tablelands   Torres Strait Islands ( not autonomous )   Torres Strait Islands ( autonomous )   Weipa   Wujal Wujal   Yarrabah       National Parks :     Alwal   Annan River   Barnard Island Group   Barron Gorge   Black Mountain   Blackbraes   Bulleringa   Cape Melville   Cedar Bay   Chillagoe - Mungana   Claremont Isles   Clump Mountain   Crater Lakes   Daintree   Danbulla   Davies Creek   Denham Group   Edmund Kennedy   Ella Bay   Endeavour River   Eubenangee Swamp   Family Islands   Fitzroy Island   Flinders Group   Frankland Group   Forbes Islands   Forty Mile Scrub   Great Basalt Wall   Green Island   Grey Peaks   Girringun   Goold Island   Hann Tableland   Hasties Swamp   Hinchinbrook Island   Hope Islands   Howick Group   Hull River   Japoon   Jardine River   Kirrama   Kuranda   Kurrimine Beach   Kutini - Payamu ( Iron Range )   Lakefield   Lama Lama   Lizard Island   Ma'alpiku Island   Macalister Range   Malaan   Maria Creek   Marpa   Michaelmas and Upolu Cays   Millstream Falls   Mitchell - Alice Rivers   Moresby Range   Mount Cook   Mount Hypipamee   Mount Lewis   Mount Spurgeon   Mount Webb   Mount Windsor   Mowbray   Murray Falls , Girramay   Nymph Island   Oyala Thumotang   Palmerston Rocks   Piper Islands   Possession Island   Precipice   Quoin Island   Raine Island   Rocky Islets   Russell River   Sandbanks   Saunders Islands   Sir Charles Hardy Group   Staaten River   Starcke   Three Islands   Topaz Road   Tully Gorge   Turtle Group   Two Islands   Undara Volcanic   Wooroonooran   Yungaburra       Places of Interest :     Atherton Tableland   Barron Falls   Cape Tribulation   Daintree Rainforest   Hinchinbrook Island   Mount Bartle Frere   Princess Charlotte Bay   Torres Strait Islands      Retrieved from `` https://en.wikipedia.org/w/index.php?title=Torres_Strait_Islands&amp;oldid=836848111 '' Categories :   Torres Strait Islands   Islands of Far North Queensland   Geography of Melanesia   Aboriginal communities in Queensland   Torres Strait Islands culture   Physiographic sections   Separatism in Australia   Hidden categories :   Australian Statistical Geography Standard 2016 ID not in Wikidata   Webarchive template wayback links   CS1 maint : Extra text : authors list   CS1 errors : dates   Pages using infobox country or infobox former country with the flag caption or type parameters   Articles with specifically marked weasel - worded phrases from June 2016   All articles with unsourced statements   Articles with unsourced statements from July 2011   Coordinates on Wikidata   Use dmy dates from March 2012           Talk                                           Contents                   About Wikipedia                                             Wikivoyage    Languages    Català   Cebuano   Čeština   Deutsch   Español   فارسی   Français   Frysk   Galego   </t>
    </r>
    <r>
      <rPr>
        <sz val="11"/>
        <color rgb="FF000000"/>
        <rFont val="Noto Sans CJK SC"/>
        <family val="2"/>
      </rPr>
      <t xml:space="preserve">한국어   </t>
    </r>
    <r>
      <rPr>
        <sz val="11"/>
        <color rgb="FF000000"/>
        <rFont val="Calibri"/>
        <family val="0"/>
        <charset val="1"/>
      </rPr>
      <t xml:space="preserve">Bahasa Indonesia   Íslenska   Italiano   ქართული   Nederlands   </t>
    </r>
    <r>
      <rPr>
        <sz val="11"/>
        <color rgb="FF000000"/>
        <rFont val="Noto Sans CJK SC"/>
        <family val="2"/>
      </rPr>
      <t xml:space="preserve">日本 語   </t>
    </r>
    <r>
      <rPr>
        <sz val="11"/>
        <color rgb="FF000000"/>
        <rFont val="Calibri"/>
        <family val="0"/>
        <charset val="1"/>
      </rPr>
      <t xml:space="preserve">Polski   Português   Русский   Gagana Samoa   Simple English   Српски / srpski   Suomi   Svenska   தமிழ்   Українська   Tiếng Việt   </t>
    </r>
    <r>
      <rPr>
        <sz val="11"/>
        <color rgb="FF000000"/>
        <rFont val="Noto Sans CJK SC"/>
        <family val="2"/>
      </rPr>
      <t xml:space="preserve">中文  </t>
    </r>
    <r>
      <rPr>
        <sz val="11"/>
        <color rgb="FF000000"/>
        <rFont val="Calibri"/>
        <family val="0"/>
        <charset val="1"/>
      </rPr>
      <t xml:space="preserve">19 more  Edit links   This page was last edited on 17 April 2018 , at 05 : 31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</si>
  <si>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torres strait islanders come to australia</t>
  </si>
  <si>
    <t xml:space="preserve"> Lieutenant James Cook first claimed British sovereignty over the eastern part of Australia at Possession Island in 1770 . The London Missionary Society mission led by Rev. Samuel Macfarlane arrived on Erub ( Darnley Island ) on 1 July 1871 . The Islanders refer to this as `` The Coming of the Light '' , and all Island communities celebrate the occasion annually on 1 July . In 1879 Queensland annexed the Torres Strait Islands . They thus became part of the British colony of Queensland and ( after 1901 ) of the Australian state of Queensland - although some of them lie just off the coast of New Guinea . </t>
  </si>
  <si>
    <t xml:space="preserve">Great pyramid of Giza - wikipedia  Great pyramid of Giza  Jump to : navigation , search    The Great Pyramid of Giza         Owner   Khufu     Location   Giza pyramid complex , Giza , Egypt     Coordinates   29 ° 58 ′ 45.03 '' N 31 ° 08 ′ 03.69 '' E ﻿ / ﻿ 29.9791750 ° N 31.1343583 ° E ﻿ / 29.9791750 ; 31.1343583 Coordinates : 29 ° 58 ′ 45.03 '' N 31 ° 08 ′ 03.69 '' E ﻿ / ﻿ 29.9791750 ° N 31.1343583 ° E ﻿ / 29.9791750 ; 31.1343583     Ancient name   Khufu 's Horizon     Architect   Hemiunu     Constructed   c. 2580 -- 2560 BC ( 4th dynasty )     Type   True pyramid     Height   146.7 metres ( 481 ft ) or 280 cubits ( ancient ) 138.8 metres ( 455 ft ) ( contemporary )     Base   230.34 metres ( 756 ft ) or 440 cubits     Volume   2,583,283 cubic metres ( 91,227,778 cu ft )     Slope   51 ° 52 ' ± 2 '         UNESCO World Heritage Site     Criteria   Cultural : ( i ) , ( iii ) , ( vi )     Reference   86 - 002     Inscription   1979 ( 3rd Session )         Location of Great Pyramid of Giza     Related media on Wikimedia Commons     ( edit on Wikidata )     The Great Pyramid of Giza ( also known as the Pyramid of Khufu or the Pyramid of Cheops ) is the oldest and largest of the three pyramids in the Giza pyramid complex bordering what is now El Giza , Egypt . It is the oldest of the Seven Wonders of the Ancient World , and the only one to remain largely intact .   Based on a mark in an interior chamber naming the work gang and a reference to fourth dynasty Egyptian Pharaoh Khufu , Egyptologists believe that the pyramid was built as a tomb over a 10 to 20 - year period concluding around 2560 BC . Initially at 146.5 metres ( 481 feet ) , the Great Pyramid was the tallest man - made structure in the world for more than 3,800 years . Originally , the Great Pyramid was covered by casing stones that formed a smooth outer surface ; what is seen today is the underlying core structure . Some of the casing stones that once covered the structure can still be seen around the base . There have been varying scientific and alternative theories about the Great Pyramid 's construction techniques . Most accepted construction hypotheses are based on the idea that it was built by moving huge stones from a quarry and dragging and lifting them into place .   There are three known chambers inside the Great Pyramid . The lowest chamber is cut into the bedrock upon which the pyramid was built and was unfinished . The so - called Queen 's Chamber and King 's Chamber are higher up within the pyramid structure . The main part of the Giza complex is a setting of buildings that included two mortuary temples in honour of Khufu ( one close to the pyramid and one near the Nile ) , three smaller pyramids for Khufu 's wives , an even smaller `` satellite '' pyramid , a raised causeway connecting the two temples , and small mastaba tombs surrounding the pyramid for nobles .  Transparent view of Khufu 's pyramid from SE . Taken from a 3d model    Contents  ( hide )   1 History and description   2 Materials   2.1 Casing stones   2.2 Construction theories     3 Interior   3.1 Queen 's Chamber   3.2 Grand Gallery   3.3 King 's Chamber   3.4 Modern entrance     4 Pyramid complex   5 Boats   6 Looting   7 See also   8 References   9 External links      History and description  Timeline and map of the Great Pyramid of Giza and the other Wonders of the Ancient World  It is believed the pyramid was built as a tomb for Fourth Dynasty Egyptian pharaoh Khufu ( often Hellenicised as `` Cheops '' ) and was constructed over a 20 - year period . Khufu 's vizier , Hemiunu ( also called Hemon ) , is believed by some to be the architect of the Great Pyramid . It is thought that , at construction , the Great Pyramid was originally 280 Egyptian cubits tall ( 146.5 metres ( 480.6 ft ) ) , but with erosion and absence of its pyramidion , its present height is 138.8 metres ( 455.4 ft ) . Each base side was 440 cubits , 230.4 metres ( 755.9 ft ) long . The mass of the pyramid is estimated at 5.9 million tonnes . The volume , including an internal hillock , is roughly 2,500,000 cubic metres ( 88,000,000 cu ft ) .   Based on these estimates , building the pyramid in 20 years would involve installing approximately 800 tonnes of stone every day . Additionally , since it consists of an estimated 2.3 million blocks , completing the building in 20 years would involve moving an average of more than 12 of the blocks into place each hour , day and night . The first precision measurements of the pyramid were made by Egyptologist Sir Flinders Petrie in 1880 -- 82 and published as The Pyramids and Temples of Gizeh . Almost all reports are based on his measurements . Many of the casing stones and inner chamber blocks of the Great Pyramid fit together with extremely high precision . Based on measurements taken on the northeastern casing stones , the mean opening of the joints is only 0.5 millimetre wide ( 1 / 50 of an inch ) .  Great Pyramid of Giza from a 19th - century stereopticon card photo  The pyramid remained the tallest man - made structure in the world for over 3,800 years , unsurpassed until the 160 - metre - tall ( 520 ft ) spire of Lincoln Cathedral was completed c. 1300 . The accuracy of the pyramid 's workmanship is such that the four sides of the base have an average error of only 58 millimetres in length . The base is horizontal and flat to within ± 15 mm ( 0.6 in ) . The sides of the square base are closely aligned to the four cardinal compass points ( within four minutes of arc ) based on true north , not magnetic north , and the finished base was squared to a mean corner error of only 12 seconds of arc .   The completed design dimensions , as suggested by Petrie 's survey and subsequent studies , are estimated to have originally been 280 royal cubits high by 440 cubits long at each of the four sides of its base . The ratio of the perimeter to height of 1760 / 280 royal cubits equates to 2 π to an accuracy of better than 0.05 % ( corresponding to the well - known approximation of π as 22 / 7 ) . Some Egyptologists consider this to have been the result of deliberate design proportion . Verner wrote , `` We can conclude that although the ancient Egyptians could not precisely define the value of π , in practice they used it '' . Petrie , author of Pyramids and Temples of Gizeh concluded : `` but these relations of areas and of circular ratio are so systematic that we should grant that they were in the builder 's design '' . Others have argued that the Ancient Egyptians had no concept of pi and would not have thought to encode it in their monuments . They believe that the observed pyramid slope may be based on a simple seked slope choice alone , with no regard to the overall size and proportions of the finished building . In 2013 rolls of papyrus called The diary of Merer were discovered written by some of those who delivered stone and other construction materials to Khufu 's brother at Giza .   Materials   The Great Pyramid consists of an estimated 2.3 million blocks which most believe to have been transported from nearby quarries . The Tura limestone used for the casing was quarried across the river . The largest granite stones in the pyramid , found in the `` King 's '' chamber , weigh 25 to 80 tonnes and were transported from Aswan , more than 800 km ( 500 mi ) away . Traditionally , ancient Egyptians cut stone blocks by hammering into them some wooden wedges , which were then soaked with water . As the water was absorbed , the wedges expanded , causing the rock to crack . Once they were cut , they were carried by boat either up or down the Nile River to the pyramid . It is estimated that 5.5 million tonnes of limestone , 8,000 tonnes of granite ( imported from Aswan ) , and 500,000 tonnes of mortar were used in the construction of the Great Pyramid .   Casing stones  Casing stone in the British Museum .  At completion , the Great Pyramid was surfaced by white `` casing stones '' -- slant - faced , but flat - topped , blocks of highly polished white limestone . These were carefully cut to what is approximately a face slope with a seked of 51⁄2 palms to give the required dimensions . Visibly , all that remains is the underlying stepped core structure seen today . In AD 1303 , a massive earthquake loosened many of the outer casing stones , which were then carted away by Bahri Sultan An - Nasir Nasir - ad - Din al - Hasan in 1356 to build mosques and fortresses in nearby Cairo . Many more casing stones were removed from the great pyramids by Muhammad Ali Pasha in the early 19th century to build the upper portion of his Alabaster Mosque in Cairo not far from Giza . These limestone casings can still be seen as parts of these structures . Later explorers reported massive piles of rubble at the base of the pyramids left over from the continuing collapse of the casing stones , which were subsequently cleared away during continuing excavations of the site .   Nevertheless , a few of the casing stones from the lowest course can be seen to this day in situ around the base of the Great Pyramid , and display the same workmanship and precision that has been reported for centuries . Petrie also found a different orientation in the core and in the casing measuring 193 centimetres ± 25 centimetres . He suggested a redetermination of north was made after the construction of the core , but a mistake was made , and the casing was built with a different orientation . Petrie related the precision of the casing stones as to being `` equal to opticians ' work of the present day , but on a scale of acres '' and `` to place such stones in exact contact would be careful work ; but to do so with cement in the joints seems almost impossible '' . It has been suggested it was the mortar ( Petrie 's `` cement '' ) that made this seemingly impossible task possible , providing a level bed , which enabled the masons to set the stones exactly .   Construction theories  Main article : Egyptian pyramid construction techniques Clay seal bearing the name of Khufu from the great pyramid . On display at the Musée du Louvre .  Many alternative , often contradictory , theories have been proposed regarding the pyramid 's construction techniques . Many disagree on whether the blocks were dragged , lifted , or even rolled into place . The Greeks believed that slave labour was used , but modern discoveries made at nearby workers ' camps associated with construction at Giza suggest that it was built instead by tens of thousands of skilled workers . Verner posited that the labour was organized into a hierarchy , consisting of two gangs of 100,000 men , divided into five zaa or phyle of 20,000 men each , which may have been further divided according to the skills of the workers .   One mystery of the pyramid 's construction is its planning . John Romer suggests that they used the same method that had been used for earlier and later constructions , laying out parts of the plan on the ground at a 1 - to - 1 scale . He writes that `` such a working diagram would also serve to generate the architecture of the pyramid with precision unmatched by any other means '' . He also argues for a 14 - year time span for its construction . A modern construction management study , in association with Mark Lehner and other Egyptologists , estimated that the total project required an average workforce of 14,567 people and a peak workforce of roughly 40,000 . Without the use of pulleys , wheels , or iron tools , they used critical path analysis methods , which suggest that the Great Pyramid was completed from start to finish in approximately 10 years .   Interior  Diagram of the interior structures of the Great Pyramid . The inner line indicates the pyramid 's present profile ; the outer line indicates the original profile .  The original entrance to the Great Pyramid is on the north , 17 metres ( 56 ft ) vertically above ground level and 7.29 metres ( 23.9 ft ) east of the centre line of the pyramid . From this original entrance , there is a Descending Passage 0.96 metres ( 3.1 ft ) high and 1.04 metres ( 3.4 ft ) wide , which goes down at an angle of 26 ° 31'23 '' through the masonry of the pyramid and then into the bedrock beneath it . After 105.23 metres ( 345.2 ft ) , the passage becomes level and continues for an additional 8.84 metres ( 29.0 ft ) to the lower Chamber , which appears not to have been finished . There is a continuation of the horizontal passage in the south wall of the lower chamber ; there is also a pit dug in the floor of the chamber . Some Egyptologists suggest that this Lower Chamber was intended to be the original burial chamber , but Pharaoh Khufu later changed his mind and wanted it to be higher up in the pyramid .   28.2 metres ( 93 ft ) from the entrance is a square hole in the roof of the Descending Passage . Originally concealed with a slab of stone , this is the beginning of the Ascending Passage . The Ascending Passage is 39.3 metres ( 129 ft ) long , as wide and high as the Descending Passage and slopes up at almost precisely the same angle to reach the Grand Gallery . The lower end of the Ascending Passage is closed by three huge blocks of granite , each about 1.5 metres ( 4.9 ft ) long . One must use the Robbers ' Tunnel ( see below ) to access the Ascending Passage . At the start of the Grand Gallery on the right - hand side there is a hole cut in the wall . This is the start of a vertical shaft which follows an irregular path through the masonry of the pyramid to join the Descending Passage . Also at the start of the Grand Gallery there is the Horizontal Passage leading to the `` Queen 's Chamber '' . The passage is 1.1 m ( 3'8 `` ) high for most of its length , but near the chamber there is a step in the floor , after which the passage is 1.73 metres ( 5.7 ft ) high .   Queen 's Chamber  Richard Pococke 's sketch of Pyramid of Cheops from 1754 .  The `` Queen 's Chamber '' is exactly halfway between the north and south faces of the pyramid and measures 5.75 metres ( 18.9 ft ) north to south , 5.23 metres ( 17.2 ft ) east to west , and has a pointed roof with an apex 6.23 metres ( 20.4 ft ) above the floor . At the eastern end of the chamber there is a niche 4.67 metres ( 15.3 ft ) high . The original depth of the niche was 1.04 metres ( 3.4 ft ) , but has since been deepened by treasure hunters .   In the north and south walls of the Queen 's Chamber there are shafts , which unlike those in the King 's Chamber that immediately slope upwards ( see below ) , are horizontal for around 2 m ( 6.6 ft ) before sloping upwards . The horizontal distance was cut in 1872 by a British engineer , Waynman Dixon , who believed a shaft similar to those in the King 's Chamber must also exist . He was proved right , but because the shafts are not connected to the outer faces of the pyramid or the Queen 's Chamber , their purpose is unknown . At the end of one of his shafts , Dixon discovered a ball of black diorite ( a type of rock ) and a bronze implement of unknown purpose . Both objects are currently in the British Museum .   The shafts in the Queen 's Chamber were explored in 1993 by the German engineer Rudolf Gantenbrink using a crawler robot he designed , Upuaut 2 . After a climb of 65 m ( 213 ft ) , he discovered that one of the shafts was blocked by limestone `` doors '' with two eroded copper `` handles '' . Some years later the National Geographic Society created a similar robot which , in September 2002 , drilled a small hole in the southern door , only to find another door behind it . The northern passage , which was difficult to navigate because of twists and turns , was also found to be blocked by a door .   Research continued in 2011 with the Djedi Project . Realizing the problem was that the National Geographic Society 's camera was only able to see straight ahead of it , they instead used a fiber - optic `` micro snake camera '' that could see around corners . With this they were able to penetrate the first door of the southern shaft through the hole drilled in 2002 , and view all the sides of the small chamber behind it . They discovered hieroglyphs written in red paint . They were also able to scrutinize the inside of the two copper `` handles '' embedded in the door , and they now believe them to be for decorative purposes . They also found the reverse side of the `` door '' to be finished and polished , which suggests that it was not put there just to block the shaft from debris , but rather for a more specific reason .   Grand Gallery  The Grand Gallery of the Great Pyramid of Giza  The Grand Gallery continues the slope of the Ascending Passage , but is 8.6 metres ( 28 ft ) high and 46.68 metres ( 153.1 ft ) long . At the base it is 2.06 metres ( 6.8 ft ) wide , but after 2.29 metres ( 7.5 ft ) the blocks of stone in the walls are corbelled inwards by 7.6 centimetres ( 3.0 in ) on each side . There are seven of these steps , so , at the top , the Grand Gallery is only 1.04 metres ( 3.4 ft ) wide . It is roofed by slabs of stone laid at a slightly steeper angle than the floor of the gallery , so that each stone fits into a slot cut in the top of the gallery like the teeth of a ratchet . The purpose was to have each block supported by the wall of the Gallery rather than resting on the block beneath it , which would have resulted in an unacceptable cumulative pressure at the lower end of the Gallery .   At the upper end of the Gallery on the right - hand side there is a hole near the roof that opens into a short tunnel by which access can be gained to the lowest of the Relieving Chambers . The other Relieving Chambers were discovered in 1837 - 1838 by Colonel Howard Vyse and J.S. Perring , who dug tunnels upwards using blasting powder .   The floor of the Grand Gallery consists of a shelf or step on either side , 51 centimetres ( 20 in ) wide , leaving a lower ramp 1.04 metres ( 3.4 ft ) wide between them . In the shelves there are 54 slots , 27 on each side matched by vertical and horizontal slots in the walls of the Gallery . These form a cross shape that rises out of the slot in the shelf . The purpose of these slots is not known , but the central gutter in the floor of the Gallery , which is the same width as the Ascending Passage , has led to speculation that the blocking stones were stored in the Grand Gallery and the slots held wooden beams to restrain them from sliding down the passage . This , in turn , has led to the proposal that originally many more than 3 blocking stones were intended , to completely fill the Ascending Passage .   At the top of the Grand Gallery , there is a step giving onto a horizontal passage some metres long and approximately 1.02 metres ( 3.3 ft ) in height and width , in which can be detected four slots , three of which were probably intended to hold granite portcullises . Fragments of granite found by Petrie in the Descending Passage may have come from these now - vanished doors .   King 's Chamber  Sarcophagus in the King 's chamber  The `` King 's Chamber '' is 20 cubits or 10.47 metres ( 34.4 ft ) from east to west and 10 cubits or 5.234 metres ( 17.17 ft ) north to south . It has a flat roof 11 cubits and 5 digits or 5.852 metres ( 19 feet 2 inch ) above the floor . 0.91 m ( 3.0 ft ) above the floor there are two narrow shafts in the north and south walls ( one is now filled by an extractor fan in an attempt to circulate air inside the pyramid ) . The purpose of these shafts is not clear : they appear to be aligned towards stars or areas of the northern and southern skies , yet one of them follows a dog - leg course through the masonry , indicating no intention to directly sight stars through them . They were long believed by Egyptologists to be `` air shafts '' for ventilation , but this idea has now been widely abandoned in favour of the shafts serving a ritualistic purpose associated with the ascension of the king 's spirit to the heavens .   The King 's Chamber is entirely faced with granite . Above the roof , which is formed of nine slabs of stone weighing in total about 400 tons , are five compartments known as Relieving Chambers . The first four , like the King 's Chamber , have flat roofs formed by the floor of the chamber above , but the final chamber has a pointed roof . Vyse suspected the presence of upper chambers when he found that he could push a long reed through a crack in the ceiling of the first chamber . From lower to upper , the chambers are known as `` Davison 's Chamber '' , `` Wellington 's Chamber '' , `` Nelson 's Chamber '' , `` Lady Arbuthnot 's Chamber '' , and `` Campbell 's Chamber '' . It is believed that the compartments were intended to safeguard the King 's Chamber from the possibility of a roof collapsing under the weight of stone above the Chamber . As the chambers were not intended to be seen , they were not finished in any way and a few of the stones still retain masons ' marks painted on them . One of the stones in Campbell 's Chamber bears a mark , apparently the name of a work gang .  The entrance of the Pyramid  The only object in the King 's Chamber is a rectangular granite sarcophagus , one corner of which is broken . The sarcophagus is slightly larger than the Ascending Passage , which indicates that it must have been placed in the Chamber before the roof was put in place . Unlike the fine masonry of the walls of the Chamber , the sarcophagus is roughly finished , with saw marks visible in several places . This is in contrast with the finely finished and decorated sarcophagi found in other pyramids of the same period . Petrie suggested that such a sarcophagus was intended but was lost in the river on the way north from Aswan and a hurriedly made replacement was used instead .   Modern entrance   Today tourists enter the Great Pyramid via the Robbers ' Tunnel , a tunnel purportedly created around AD 820 by Caliph al - Ma'mun 's workmen using a battering ram . The tunnel is cut straight through the masonry of the pyramid for approximately 27 metres ( 89 ft ) , then turns sharply left to encounter the blocking stones in the Ascending Passage . It is believed that their efforts dislodged the stone fitted in the ceiling of the Descending Passage to hide the entrance to the Ascending Passage and it was the noise of that stone falling and then sliding down the Descending Passage , which alerted them to the need to turn left . Unable to remove these stones , however , the workmen tunnelled up beside them through the softer limestone of the Pyramid until they reached the Ascending Passage . It is possible to enter the Descending Passage from this point , but access is usually forbidden .   Pyramid complex  Main article : Giza pyramid complex Map of Giza pyramid complex -- `` Pyramid of Khufu '' refers to the Great Pyramid .  The Great Pyramid is surrounded by a complex of several buildings including small pyramids . The Pyramid Temple , which stood on the east side of the pyramid and measured 52.2 metres ( 171 ft ) north to south and 40 metres ( 130 ft ) east to west , has almost entirely disappeared apart from the black basalt paving . There are only a few remnants of the causeway which linked the pyramid with the valley and the Valley Temple . The Valley Temple is buried beneath the village of Nazlet el - Samman ; basalt paving and limestone walls have been found but the site has not been excavated . The basalt blocks show `` clear evidence '' of having been cut with some kind of saw with an estimated cutting blade of 15 feet ( 4.6 m ) in length , capable of cutting at a rate of 1.5 inches ( 38 mm ) per minute . John Romer suggests that this `` super saw '' may have had copper teeth and weighed up to 300 pounds ( 140 kg ) . He theorizes that such a saw could have been attached to a wooden trestle and possibly used in conjunction with vegetable oil , cutting sand , emery or pounded quartz to cut the blocks , which would have required the labour of at least a dozen men to operate it .   On the south side are the subsidiary pyramids , popularly known as Queens ' Pyramids . Three remain standing to nearly full height but the fourth was so ruined that its existence was not suspected until the recent discovery of the first course of stones and the remains of the capstone . Hidden beneath the paving around the pyramid was the tomb of Queen Hetepheres I , sister - wife of Sneferu and mother of Khufu . Discovered by accident by the Reisner expedition , the burial was intact , though the carefully sealed coffin proved to be empty .  Group photo of Australian 11th Battalion soldiers on the Great Pyramid in 1915 . Aerial photography , taken from Eduard Spelterini 's balloon on 21 November 1904  The Giza pyramid complex , which includes among other structures the pyramids of Khufu , Khafre and Menkaure , is surrounded by a cyclopean stone wall , the Wall of the Crow . Mark Lehner has discovered a worker 's town outside of the wall , otherwise known as `` The Lost City '' , dated by pottery styles , seal impressions , and stratigraphy to have been constructed and occupied sometime during the reigns of Khafre ( 2520 -- 2494 BC ) and Menkaure ( 2490 -- 2472 BC ) . Recent discoveries by Mark Lehner and his team at the town and nearby , including what appears to have been a thriving port , suggest the town and associated living quarters consisting of barracks called `` galleries '' may not have been for the pyramid workers after all , but rather for the soldiers and sailors who utilized the port . In light of this new discovery , as to where then the pyramid workers may have lived Lehner now suggests the alternative possibility they may have camped on the ramps he believes were used to construct the pyramids or possibly at nearby quarries .   In the early 1970s , the Australian archaeologist Karl Kromer excavated a mound in the South Field of the plateau . This mound contained artefacts including mudbrick seals of Khufu , which he identified with an artisans ' settlement . Mudbrick buildings just south of Khufu 's Valley Temple contained mud sealings of Khufu and have been suggested to be a settlement serving the cult of Khufu after his death . A worker 's cemetery used at least between Khufu 's reign and the end of the Fifth Dynasty was discovered south of the Wall of the Crow by Zahi Hawass in 1990 .   Boats  Main article : Khufu ship  There are three boat - shaped pits around the pyramid , of a size and shape to have held complete boats , though so shallow that any superstructure , if there ever was one , must have been removed or disassembled . In May 1954 , the Egyptian archaeologist Kamal el - Mallakh discovered a fourth pit , a long , narrow rectangle , still covered with slabs of stone weighing up to 15 tons . Inside were 1,224 pieces of wood , the longest 23 metres ( 75 ft ) long , the shortest 10 centimetres ( 0.33 ft ) . These were entrusted to a boat builder , Haj Ahmed Yusuf , who worked out how the pieces fit together . The entire process , including conservation and straightening of the warped wood , took fourteen years .   The result is a cedar - wood boat 43.6 metres ( 143 ft ) long , its timbers held together by ropes , which is currently housed in a special boat - shaped , air - conditioned museum beside the pyramid . During construction of this museum , which stands above the boat pit , a second sealed boat pit was discovered . It was deliberately left unopened until 2011 when excavation began on the boat .   Looting  Comparison of approximate profiles of the Great Pyramid of Giza with some notable pyramidal or near - pyramidal buildings . Dotted lines indicate original heights , where data are available . In its SVG file , hover over a pyramid to highlight and click for its article .  Although succeeding pyramids were smaller , pyramid building continued until the end of the Middle Kingdom . However , as authors Briar and Hobbs claim , `` all the pyramids were robbed '' by the New Kingdom , when the construction of royal tombs in a desert valley , now known as the Valley of the Kings , began . Joyce Tyldesley states that the Great Pyramid itself `` is known to have been opened and emptied by the Middle Kingdom '' , before the Arab caliph Abdullah al - Mamun entered the pyramid around AD 820 .   I.E.S. Edwards discusses Strabo 's mention that the pyramid `` a little way up one side has a stone that may be taken out , which being raised up there is a sloping passage to the foundations '' . Edwards suggested that the pyramid was entered by robbers after the end of the Old Kingdom and sealed and then reopened more than once until Strabo 's door was added . He adds : `` If this highly speculative surmise be correct , it is also necessary to assume either that the existence of the door was forgotten or that the entrance was again blocked with facing stones '' , in order to explain why al - Ma'mun could not find the entrance .   He also discusses a story told by Herodotus . Herodotus visited Egypt in the 5th century BC and recounts a story that he was told concerning vaults under the pyramid built on an island where the body of Cheops lies . Edwards notes that the pyramid had `` almost certainly been opened and its contents plundered long before the time of Herodotus '' and that it might have been closed again during the Twenty - sixth Dynasty of Egypt when other monuments were restored . He suggests that the story told to Herodotus could have been the result of almost two centuries of telling and retelling by Pyramid guides .   See also    Djedi Project   Golden Ratio dimensions in Egyptian pyramids   Index of Egypt - related articles   List of archaeoastronomical sites by country   List of Egyptian pyramids   List of largest monoliths in the world including a section on calculating the weight of megaliths   List of tallest freestanding structures   Pyramid inch   Pyramidion   Pyramidology   The Upuaut Project    References    Notes     Jump up ^ https://en.wikipedia.org/wiki/Hemiunu .   ^ Jump up to : `` By themselves , of course , none of these modern labels define the ancient purposes of the architecture they describe . '' -- Romer ( 2007 ) , p. 8   Jump up ^ Shaw ( 2003 ) , p. 89   Jump up ^ Levy ( 2005 ) , p. 17   ^ Jump up to : Petrie ( 1883 )   Jump up ^ I.E.S. Edwards ( 1986 ) ( 1947 ) . The Pyramids of Egypt . p. 285 .   Jump up ^ Collins ( 2001 ) , p. 234   Jump up ^ Cole Survey ( 1925 ) based on side lengths 230.252 m , 230.454 m , 230.391 m , 230.357 m   Jump up ^ Lehner ( 1997 ) , p. 108   Jump up ^ Petrie ( 1883 ) , p. 38 For 2600 BC , bisecting the semi-circular path of star 10i Draconis around the North Celestial Pole during the half - day darkness of a mid-winter evening would easily provide accurate true north . See Nature 412 : 699 ( 2001 ) ; further sources and discussion available via DIO .   Jump up ^ Petrie ( 1883 ) , p. 125   Jump up ^ Petrie ( 1883 ) , p. 39   Jump up ^ Verner ( 2003 ) , p. 70   Jump up ^ Petrie Wisdom of the Egyptians 1940 : 30   Jump up ^ Rossi , Corina ( 2007 ) , Architecture and Mathematics in Ancient Egypt , Cambridge University Press , ISBN 978 - 0 - 521 - 69053 - 9   Jump up ^ Stille , Alexander . `` The World 's Oldest Papyrus and What It Can Tell Us About the Great Pyramids '' . Retrieved 2015 - 09 - 27 .   Jump up ^ Lehner ( 1997 )   Jump up ^ Romer ( 2007 ) , p. 157   Jump up ^ `` British Museum -- Limestone block from the pyramid of Khufu '' . britishmuseum.org .   Jump up ^ Romer ( 2007 ) , p. 41   Jump up ^ Clarke , Somers ; Reginal Engelbach ( 1991 ) . Ancient Egyptian construction and architecture . Dover Publications . pp. 78 -- 79 . ISBN 978 - 0 - 486 - 26485 - 1 .   Jump up ^ Stocks , Denys Allen ( 2003 ) . Experiments in Egyptian archaeology : stoneworking technology in ancient Egypt . Routledge . pp. 182 -- 183 . ISBN 978 - 0 - 415 - 30664 - 5 .   Jump up ^ `` Building the Great Pyramid '' . BBC . 3 February 2006 .   Jump up ^ Verner ( 2001 ) , p. 75 -- 82   Jump up ^ Romer ( 2007 ) , p. 327 , 329 -- 337   Jump up ^ Romer ( 2007 )   Jump up ^ `` Civil Engineering '' . June 1999 . Archived from the original on 8 June 2007 .   Jump up ^ `` Unfinished Chamber '' . Public Broadcasting Service . Retrieved 11 August 2008 .   Jump up ^ `` Lower Northern Shaft '' . The Upuaut Project . Retrieved 11 October 2010 .   Jump up ^ `` Will the Great Pyramid 's Secret Doors Be Opened ? '' . Fox News . 12 December 2011 . Archived from the original on 12 February 2012 .   Jump up ^ Gupton , Nancy ( 4 April 2003 ) . `` Ancient Egyptian Chambers Explored '' . National Geographic . Retrieved 11 August 2008 .   Jump up ^ `` Third `` Door '' Found in Great Pyramid `` . National Geographic . 23 September 2</t>
  </si>
  <si>
    <t xml:space="preserve">how long did it take to build great pyramid of giza</t>
  </si>
  <si>
    <t xml:space="preserve"> Based on these estimates , building the pyramid in 20 years would involve installing approximately 800 tonnes of stone every day . Additionally , since it consists of an estimated 2.3 million blocks , completing the building in 20 years would involve moving an average of more than 12 of the blocks into place each hour , day and night . The first precision measurements of the pyramid were made by Egyptologist Sir Flinders Petrie in 1880 -- 82 and published as The Pyramids and Temples of Gizeh . Almost all reports are based on his measurements . Many of the casing stones and inner chamber blocks of the Great Pyramid fit together with extremely high precision . Based on measurements taken on the northeastern casing stones , the mean opening of the joints is only 0.5 millimetre wide ( 1 / 50 of an inch ) . </t>
  </si>
  <si>
    <r>
      <rPr>
        <sz val="11"/>
        <color rgb="FF000000"/>
        <rFont val="Calibri"/>
        <family val="0"/>
        <charset val="1"/>
      </rPr>
      <t xml:space="preserve">FIFA Women 's World Cup - wikipedia  FIFA Women 's World Cup  Jump to : navigation , search  FIFA Women 's World Cup   Founded   16 November 1991 ; 26 years ago ( 1991 - 11 - 16 ) ( as the FIFA Women 's World Championship )     Region   FIFA ( International )     Number of teams   24 ( finals )     Current champions   United States ( 3rd title )     Most successful team ( s )   United States ( 3 titles )     Website   FIFA Women 's World Cup     2019 France       The BC Place hosting a 2015 Women 's FIFA World Cup match     Tournaments       1991   1995   1999   2003   2007   2011   2015   2019   2023       The FIFA Women 's World Cup is an international football competition contested by the senior women 's national teams of the members of Fédération Internationale de Football Association ( FIFA ) , the sport 's global governing body . The competition has been held every four years since 1991 , when the inaugural tournament , then called the FIFA Women 's World Championship , was held in China .   Under the tournament 's current format , national teams vie for 23 slots in a three - year qualification phase . ( The host nation 's team is automatically entered as the 24th slot . ) The tournament proper , alternatively called the World Cup Finals , is contested at venues within the host nation ( s ) over a period of about one month .   The seven FIFA Women 's World Cup tournaments have been won by four different national teams . The current champion is the United States , after winning their third title in the 2015 FIFA Women 's World Cup .     Contents  ( hide )   1 History   2 Format   2.1 Qualification   2.2 Final tournament     3 Results   4 All - time performance   5 Overall team records   6 Attendance   7 Broadcasting   8 Awards   9 Player records   9.1 Most goals   9.2 Most tournaments   9.3 Most matches     10 See also   11 References   12 External links      History ( edit )   In 1988 -- 58 years after the first Men 's FIFA World Cup tournament in 1930 and approximately 17 years after the FA ban on women 's football was eliminated in 1971 -- FIFA hosted an invitational in China as a test to see if a global women 's World Cup was feasible . Twelve national teams took part in the competition -- four from UEFA , three from AFC , two from CONCACAF and one from CONMEBOL , CAF and OFC . The tournament saw European champion Norway defeat Sweden 1 -- 0 in the final to win the tournament , while Brazil clinched third place by beating the hosts in a penalty shootout . The competition was deemed a success and on 30 June FIFA approved the establishment of an official World Cup , which was to take place in 1991 again in China . Again , twelve teams competed , this time culminating in the United States beating Norway in the final 2 - 1 .   In the 1999 edition , one of the most famous moments of the tournament was American defender Brandi Chastain 's victory celebration after scoring the Cup - winning penalty kick against China . She took off her jersey and waved it over her head ( as men frequently do ) , showing her muscular torso and sports bra as she celebrated . The 1999 final in the Rose Bowl in Pasadena , California had an attendance of 90,185 , a world record for a women 's sporting event .   The 1999 and 2003 Women 's World Cups were both held in the United States ; in 2003 China was supposed to host it , but the tournament was moved because of SARS . As compensation , China retained its automatic qualification to the 2003 tournament as host nation , and was automatically chosen to host the 2007 FIFA Women 's World Cup . Germany hosted the 2011 FIFA Women 's World Cup , as decided by vote in October 2007 . In March 2011 , FIFA awarded Canada the right to host the 2015 FIFA Women 's World Cup . The 2015 edition saw the field expand from 16 to 24 teams .   During the 2015 FIFA Women 's World Cup , both Formiga of Brazil and Homare Sawa of Japan made a record of appearing in six World Cups , a feat that had never been achieved before by either female or male players . Christie Rampone is the oldest player to ever play in a Women 's World Cup match , at the age of 40 years .   In March 2015 , FIFA awarded France the right to host the 2019 FIFA Women 's World Cup over South Korea . The tournament will begin on 1 June 2019 and the final will be played on 30 June 2019 ; both the opening and final matches will be played at Parc Olympique Lyonnais , a venue with a capacity of 58,000 in the Lyon suburb of Décines .   Format ( edit )   Qualification ( edit )  Main article : FIFA Women 's World Cup qualification  Qualifying tournaments are held within the six FIFA continental zones ( Africa , Asia , North and Central America and Caribbean , South America , Oceania , Europe ) , and are organised by their respective confederations : Confederation of African Football ( CAF ) , Asian Football Confederation ( AFC ) , Confederation of North , Central America and Caribbean Association Football ( CONCACAF ) , South American Football Confederation CONMEBOL , Oceania Football Confederation ( OFC ) , and Union of European Football Associations UEFA ) . For each tournament , FIFA decides beforehand the number of berths awarded to each of the continental zones , based on the relative strength of the confederations ' teams . The hosts of the World Cup receive an automatic berth in the finals . Since the 2015 FIFA Women 's World Cup , the number of finalists increased from 16 to 24 .   Final tournament ( edit )   The final tournament has featured between twelve and twenty - four national teams competing over about one month in the host nation ( s ) . There are two stages : the group stage followed by the knockout stage .   In the group stage , teams are drawn into groups of four teams each . Each group plays a round - robin tournament , in which each team is scheduled for three matches against other teams in the same group . The last round of matches of each group is scheduled at the same time to preserve fairness among all four teams . In the 2015 24 - team format , the two teams finishing first and second in each group and the four best teams among those ranked third qualify for the round of 16 , also called the knockout stage . Points are used to rank the teams within a group . Since 1994 , three points have been awarded for a win , one for a draw and none for a loss ( before , winners received two points ) .   The ranking of each team in each group is determined as follows :    Greatest number of points in group matches   Greatest goal difference in group matches   Greatest number of goals scored in group matches   If more than one team remain level after applying the above criteria , their ranking will be determined as follows :   Greatest number of points in head - to - head matches among those teams   Greatest goal difference in head - to - head matches among those teams   Greatest number of goals scored in head - to - head matches among those teams     If any of the teams above remain level after applying the above criteria , their ranking will be determined by the drawing of lots    The knockout stage is a single - elimination tournament in which teams play each other in one - off matches , with extra time and penalty shootouts used to decide the winner if necessary . It begins with the round of 16 . This is followed by the quarter - finals , semi-finals , the third - place match ( contested by the losing semi-finalists ) , and the final .   Results ( edit )  See also : List of FIFA Women 's World Cup finals    Year   Host     Champions   Score   Runners - up     Third Place   Score   Fourth Place     Teams     1991   China   United States   2 -- 1   Norway   Sweden   4 -- 0   Germany   12     1995   Sweden   Norway   2 -- 0   Germany   United States   2 -- 0   China PR   12     1999   United States   United States   0 -- 0 ( a.e.t. ) ( 5 -- 4 p )   China PR   Brazil   0 -- 0 ( 5 -- 4 p )   Norway   16     2003   United States   Germany   2 -- 1 ( a.g.g.e.t. )   Sweden   United States   3 -- 1   Canada   16     2007   China   Germany   2 -- 0   Brazil   United States   4 -- 1   Norway   16     2011   Germany   Japan   2 -- 2 ( a.e.t. ) ( 3 -- 1 p )   United States   Sweden   2 -- 1   France   16     2015   Canada   United States   5 -- 2   Japan   England   1 -- 0 ( a.e.t. )   Germany   24     2019   France               24     2023   TBD                   No extra time was played .   All - time performance ( edit )  Main article : National team appearances in the FIFA Women 's World Cup    #   Team   Titles   Runners - up   Third Place   Fourth Place   Total       United States   3 ( 1991 , 1999 , 2015 )   1 ( 2011 )   3 ( 1995 , 2003 , 2007 )   --   7       Germany   2 ( 2003 , 2007 )   1 ( 1995 )   --   2 ( 1991 , 2015 )   5       Norway   1 ( 1995 )   1 ( 1991 )   --   2 ( 1999 , 2007 )         Japan   1 ( 2011 )   1 ( 2015 )   --   --       5   Sweden   --   1 ( 2003 )   2 ( 1991 , 2011 )   --       6   Brazil   --   1 ( 2007 )   1 ( 1999 )   --       7   China PR   --   1 ( 1999 )   --   1 ( 1995 )       8   England   --   --   1 ( 2015 )   --       9   Canada   --   --   --   1 ( 2003 )       France   --   --   --   1 ( 2011 )       Overall team records ( edit )   As per statistical convention in football , matches decided in extra time are counted as wins and losses , while matches decided by penalty shoot - outs are counted as draws . 3 points per win , 1 point per draw and 0 points per loss .     Rank   Team   Part   Pld         GF   GA   GD   Points       United States   7   43   33   6     112   35   + 77   105       Germany   7   39   26   5   8   111   37   + 74   83       Norway   7   35   22     10   86   45   + 41   69       Sweden   7   33   18   5   10   59   42   + 17   59     5   Brazil   7   30   18     8   59   35   + 24   58     6   China PR   6   29   15   6   8   52   29   + 23   51     7   Japan   7   29   13     13   36   54   - 18   42     8   England     19   10     5   30   25   + 5   34     9   Canada   6   23   6   5   12   30   49   - 19   23     10   France     14   6     5   22   16   + 6   21     11   Australia   6   22   5   5   12   29   44   - 15   20     12   Russia     8     0     16   14   + 2   12     13   Nigeria   7   22       16   18   56   - 38   12     14   North Korea     13       8   12   20   - 8   11     15   Italy     7         11   8   + 3   10     16   Denmark     14       10   19   26   - 7   10     17   Cameroon         0     9     + 5   6     18   Colombia     7           9   - 5   5     19   Netherlands                 - 1       20   South Korea     7       5   5   19   - 14       21   Ghana     9       7   6   30   - 24       22   Switzerland         0     11   5   + 6       23   Thailand         0       10   - 7       24   Chinese Taipei         0       15   - 13       25   New Zealand     12   0     9   7   29   - 22       26   Mexico     9   0     6   6   30   - 24       27   Costa Rica       0           - 1       28   Spain       0           - 2       29   Equatorial Guinea       0   0       7   - 5   0     30   Ivory Coast       0   0       16   - 13   0     31   Ecuador       0   0       17   - 16   0     32   Argentina     6   0   0   6     33   - 31   0     Attendance ( edit )       Tournament   Matches   Attendance   Ref       Total   Average   Highest       1991 China   26   510,000   18,344   65,000         1995 Sweden   26   112,213   4,316   17,158         1999 USA   32   1,214,209   37,944   90,185         2003 USA   32   679,664   21,240   34,144       5   2007 China   32   1,190,971   37,218   55,832       6   2011 Germany   32   845,751   26,430   73,680       7   2015 Canada   52   1,353,506   26,029   54,027       Notes :    The 2003 Women 's World Cup was originally scheduled for China but re-located in May 2003 to the United States after a SARS outbreak in China .   The 2015 FIFA Women 's World Cup set a new attendance record for all previous FIFA competitions other than the men 's FIFA World Cup .    Broadcasting ( edit )  See also : List of FIFA Women 's World Cup broadcasters  As of 2017 , the 2015 FIFA Women 's World Cup Final was the most watched soccer match in American history with nearly 23 million viewers until this summer where even more people watched a friendly between Manchester United and Real Madrid , more than the 2015 NBA Finals and Stanley Cup . It was also the most watched Spanish - language broadcast in tournament history . More than 750 million viewers were reported to have watched the tournament worldwide .   Awards ( edit )  Main article : FIFA Women 's World Cup awards  At the end of each World Cup , awards are presented to select players and teams for accomplishments other than their final team positions in the tournament . There are currently seven awards :    The Golden Ball for the best player , determined by a vote of media members ( first awarded in 1991 ) ; the Silver Ball and the Bronze Ball are awarded to the players finishing second and third in the voting respectively .   The Golden Boot ( also known as the Golden Shoe ) for the top goalscorer ( first awarded in 1991 ) . The Silver Boot and the Bronze Boot have been awarded to the second and third top goalscorers respectively .   If two or more players finish the tournament with the same number of goals , tiebreakers are used in the following order :   Most assists .   Fewest minutes played .       The Golden Glove Award for the best goalkeeper , decided by the FIFA Technical Study Group . First awarded in 2007 as `` Best Goalkeeper '' ; current award name adopted in 2011 .   The Best Young Player Award for the best player no older than age 21 as of 1 January of the year of the final tournament , decided by the FIFA Technical Study Group ( first awarded in 2011 ) .   The FIFA Fair Play Award for the team with the best record of fair play , according to the points system and criteria established by the FIFA Fair Play Committee ( first awarded in 1991 ) .   The All - Star Team , consisting of the best players of the tournament as determined by the FIFA Technical Study Group ( first selected in 1999 ) .   The Dream Team , consisting of the best players of the tournament as chosen by users of fifa.com ( first selected in 2015 ) .    Another award is presented a week after the final match :    The Goal of the Tournament , consisting of the tournament 's best goal , as chosen by users of fifa.com from a shortlist of 12 goals selected by FIFA 's web administrators ( first awarded in 2015 ) .    One past award is no longer presented :    The Most Entertaining Team Award for the team that has entertained the public the most during the World Cup , determined by a poll of the general public ( awarded in 2003 and 2007 ) .    Player records ( edit )  Main article : FIFA Women 's World Cup records  Most goals ( edit )  Main article : List of FIFA Women 's World Cup goalscorers Marta of Brazil is the all - time leading scorer of the World Cup . Birgit Prinz is tied for the second most goals in all tournaments , and won the title twice representing Germany .    Rank   Name   World Cup   Total     ' 91   ' 95   ' 99   ' 03   ' 07   ' 11   ' 15       Marta           7       15       Birgit Prinz         7   5   0     14     Abby Wambach           6       14       Michelle Akers   10   0             12     5   Sun Wen       7           11     Bettina Wiegmann                 11     7   Ann Kristin Aarønes     6             10     Heidi Mohr   7               10     9   Linda Medalen   6               9     Hege Riise     5     0         9     Christine Sinclair                 9     12   Kerstin Garefrekes                 8     Mia Hamm                 8     Kristine Lilly   0               8     Liu Ailing                 8     Marianne Pettersen                 8     Célia Šašić               6   8     Homare Sawa     0   0     0   5   0   8    Formiga and Homare Sawa are the only players to appear in six Women 's World Cup editions .  Most tournaments ( edit )  Main article : List of players who have appeared in multiple FIFA Women 's World Cups    #   Player   Appearances       Formiga   6 ( 1995 , 1999 , 2003 , 2007 , 2011 , 2015 )     Homare Sawa   6 ( 1995 , 1999 , 2003 , 2007 , 2011 , 2015 )       Kristine Lilly   5 ( 1991 , 1995 , 1999 , 2003 , 2007 )     Bente Nordby   5 ( 1991 * , 1995 , 1999 , 2003 , 2007 )     Birgit Prinz   5 ( 1995 , 1999 , 2003 , 2007 , 2011 )     Karina LeBlanc   5 ( 1999 * , 2003 , 2007 * , 2011 , 2015 * )     Nadine Angerer   5 ( 1999 * , 2003 * , 2007 , 2011 , 2015 )     Christie Rampone   5 ( 1999 , 2003 , 2007 , 2011 , 2015 )     * Did not play but was part of the squad .   Most matches ( edit )     #   Player   Matches       Kristine Lilly   30       Abby Wambach   25       Formiga   24     Julie Foudy   24     Birgit Prinz   24     Homare Sawa   24     7   Joy Fawcett   23     Mia Hamm   23     9   Bente Nordby   22     Hege Riise   22     Bettina Wiegmann   22     See also ( edit )    FIFA Women 's Club World Cup   FIFA U-20 Women 's World Cup   FIFA U-17 Women 's World Cup     Women 's association football portal   Association football portal   Women 's Sport portal    References ( edit )    Jump up ^ `` The History of Women 's Football '' . England Football Association . Retrieved 3 October 2016 .   Jump up ^ FIFA KOs Greece . El Mundo Deportivo , 01 / 07 / 88   Jump up ^ `` Women 's World Cup History '' . The Sports Network . Retrieved 25 March 2007 .   Jump up ^ Koppel , Naomi ( 3 May 2003 ) . `` FIFA moves Women 's World Cup from China because of SARS '' . USA Today . Retrieved 27 March 2007 .   Jump up ^ Molinaro , John F. ( 3 March 2011 ) . `` Canada gets 2015 Women 's World Cup of soccer '' . CBC Sports . Retrieved 9 May 2011 .   Jump up ^ `` Japan legend Sawa makes cut for sixth World Cup '' . Reuters. 1 May 2015 .   Jump up ^ `` USWNT 'S Christie Rampone Is Now The Oldest Player To Appear In The Women 's World Cup '' . Huffington Post . 17 June 2015 .   Jump up ^ `` France to host the FIFA Women 's World Cup in 2019 '' . FIFA.com. 19 March 2015 .   Jump up ^ `` LA FINALE DU MONDIAL FEMININ 2019 AU PARC OL ! '' ( Press release ) ( in French ) . Groupama Stadium . 15 June 2016 .   Jump up ^ `` World Champions : USA Wins 2015 FIFA Women 's World Cup '' . U.S. Soccer. 5 July 2004 . Retrieved 27 June 2017 .   ^ Jump up to : `` Regulations FIFA Women 's World Cup Canada 2015 '' ( PDF ) . FIFA.com . Fédération Internationale de Football Association . Retrieved 12 June 2015 .   Jump up ^ `` Brazil takes third '' . SI / CNN . 10 July 1999 . Archived from the original on 28 February 2002 . Retrieved 2 July 2011 .   ^ Jump up to : `` FIFA Women 's World Cup Germany 2011 '' ( PDF ) . FIFA . pp. 109 -- 110 . Retrieved 3 October 2016 .   Jump up ^ `` FIFA Women 's World Cup Germany 2011 Statistics '' . FIFA . Retrieved 3 October 2016 .   ^ Jump up to : `` Key figures from the FIFA Women 's World Cup Canada 2015 TM '' . FIFA. 7 July 2015 . Retrieved 3 October 2016 .   ^ Jump up to : `` Women 's World Cup Final Is Most - watched Soccer Match in U.S. History '' . U.S. Soccer. 8 July 2015 . Retrieved 27 June 2017 .   Jump up ^ Hinog , Mark ( 6 July 2015 ) . `` More Americans watched the Women 's World Cup final than the NBA Finals or the Stanley Cup 24 '' . SB Nation . Retrieved 27 June 2017 .   Jump up ^ `` Record - breaking FIFA Women 's World Cup tops 750 million TV viewers '' . FIFA. 17 December 2015 . Retrieved 27 June 2017 .    External links ( edit )       Wikimedia Commons has media related to FIFA Women 's World Cup .      FIFA official site   UEFA 's page on the FIFA Women 's World Cup   Photos : FIFA Women 's World Cup China 2007 on Time.com   RSSSF 's pages              FIFA       History of FIFA   FIFA Anthem   FIFA Congress   FIFA Council   FIFA Ethics Committee   FIFA headquarters   Football at the Summer Olympics   List of football federations   International Football Association Board   Timeline of association football       Football codes     Association football   Beach soccer   Futsal       Confederations     AFC   CAF   CONCACAF   CONMEBOL   OFC   UEFA       Men 's tournaments     FIFA World Cup   FIFA Confederations Cup   FIFA U-20 World Cup   FIFA U-17 World Cup   FIFA Club World Cup   FIFA Futsal World Cup   FIFA Beach Soccer World Cup   Blue Stars / FIFA Youth Cup       Women 's tournaments     FIFA Women 's World Cup   FIFA U-20 Women 's World Cup   FIFA U-17 Women 's World Cup   FIFA Women 's Club World Cup       Other tournaments     FIFA eWorld Cup       Presidents     Robert Guérin ( 1904 -- 1906 )   Daniel Burley Woolfall ( 1906 -- 1918 )   Jules Rimet ( 1921 -- 1954 )   Rodolphe Seeldrayers ( 1954 -- 1955 )   Arthur Drewry ( 1955 -- 1961 )   Stanley Rous ( 1961 -- 1974 )   João Havelange ( 1974 -- 1998 )   Sepp Blatter ( 1998 -- 2015 )   Issa Hayatou ( 2015 -- 2016 , acting )   Gianni Infantino ( 2016 -- present )       General Secretaries     Louis Muhlinghaus ( 1904 -- 1906 )   Wilhelm Hirschman ( 1906 -- 1931 )   Ivo Schricker ( 1932 -- 1951 )   Kurt Gassmann ( 1951 -- 1960 )   Helmut Käser ( 1961 -- 1981 )   Sepp Blatter ( 1981 -- 1998 )   Michel Zen - Ruffinen ( 1998 -- 2002 )   Urs Linsi ( 2002 -- 2007 )   Jérôme Valcke ( 2007 -- 2015 )   Markus Kattner ( 2015 -- 2016 , acting )   Fatma Samoura ( 2016 -- present )       Awards     FIFA 100   FIFA Ballon d'Or   FIFA Club of the Century   FIFA Development Award   FIFA Fair Play Award   FIFA Female Player of the Century   FIFA FIFPro World XI   FIFA Order of Merit   FIFA Player of the Century   FIFA Presidential Award   FIFA Puskás Award   FIFA Women 's World Cup awards   FIFA World Coach of the Year   FIFA World Cup All - Time Team   FIFA World Cup Dream Team   FIFA World Cup awards   FIFA World Player of the Year   The Best FIFA Football Awards       Rankings     FIFA World Rankings   FIFA World Ranking system ( 1999 -- 2006 )   FIFA Women 's World Rankings       Congresses     51st ( Paris 1998 )   53rd ( Seoul 2002 )   61st ( Zürich 2011 )   65th ( Zürich 2015 )   Extraordinary ( Zürich 2016 )       Corruption     `` FIFA 's Dirty Secrets ''   Garcia Report   2015 FIFA corruption case   List of banned football officials       Others     FIFA ( video game series )   List of FIFA country codes   FIFA Disciplinary Code   FIFA Fan Fest   FIFA Futbol Mundial   FIFA eligibility rules   FIFA International Match Calendar   FIFA International Referees List   FIFA Master   FIFA Transfer Matching System   FIFA World Cup Trophy   Non-FIFA   United Passions                 FIFA Women 's World Cup     Tournaments     China 1991   Sweden 1995   United States 1999   United States 2003   China 2007   Germany 2011   Canada 2015   France 2019   2023       Qualification     1991   1995   1999   2003   2007   2011   2015   2019       Finals     1991   1995   1999   2003   2007   2011   2015       Squads     1991   1995   1999   2003   2007   2011   2015       Miscellaneous     Hosts   Team appearances   Player appearances   Goalscorers   hat - tricks   own goals     Multiple winners   Records   Awards   Broadcasters                 International women 's association football       FIFA   Federations   Teams   Competitions   World Rankings   Player of the Year   The Best FIFA Women 's Player       Asia     AFC   Women 's Asian Cup   U-19   U-16   Regional ( ASEAN , EAFF , SAFF , WAFF )         Africa     CAF   Women Cup of Nations   U-20   U-17   Regional ( CECAFA , COSAFA , WAFU )       North America , Central America and the Caribbean     CONCACAF   Women 's Gold Cup   U-20   U-17       South America     CONMEBOL   Copa América Femenina   U-20   U-17       Oceania     OFC   Women 's Nations Cup   U-20   U-17       Europe     UEFA   Women 's Championship   U-19   U-17       Non-FIFA     NF - Board   Women 's Viva World Cup       Games     African Games   Asian Games   Central America and Caribbean   Central American Games   Pan American Games   Pacific Games   Indian Ocean Island Games   South Asian Games   Southeast Asian Games   Universiade       Worldwide     World Cup   U-17   U-20     Albena Cup   Algarve Cup   Brazil Cup   China Cup   Cyprus Women 's Cup   Turkish Women 's Cup   Istria Cup   Peace Queen Cup   SheBelieves Cup   Tournament of Nations   Yongchuan International Tournament   Olympics   Youth Olympics   Universiade         Geography   Codes   Player of the Century   Men 's football                 World championships       List of world sports championships       Olympic sports      Team     Association football   men   men 's club   women   women 's club     Baseball   men     Basketball   men   women   3x3 basketball     Beach volleyball   Curling   Handball   men   women     Field hockey   men   women     Ice hockey   men   women     Rugby sevens   Softball   women     Volleyball   men   men 's club   women   women 's club     Water polo       Individual     Archery   Aquatic sports   Athletics   outdoor   race walking     Badminton   men   women   mixed   individual     Biathlon   Bobsleigh and skeleton   Boxing ( amateur )   Canoeing   slalom   sprint     Cycling   road   track   cyclo - cross   mountain biking   trials   BMX     Equestrianism   Equestrian Games   dressage   eventing   show jumping     Fencing   Golf   men   women     Gymnastics   artistic   rhythmic   trampolining     Ice skating   figure   speed   short track     Judo   Karate   Luge   artificial track   natural track     Modern pentathlon   Rowing   Sailing   Shooting   Skiing   alpine   nordic   freestyle   snowboarding     Sport climbing   Table tennis   Taekwondo   Triathlon   Weightlifting   Wrestling       Discontinued     Basque pelota   Cricket   men   women     Lacrosse   men     Polo   Roller hockey   men   women            Paralympic sports      Team     Amputee Football   CP Football   Para ice hockey   Wheelchair basketball   Wheelchair rugby   Wheelchair curling   Goalball   Sitting volleyball       Individual     Archery   Athletics   Badminton   Cycling   Track cycling   Road cycling     Powerlifting   Skiing   Alpine     Swimming   Table tennis          Cue sports     Carom billiards   Three - cushion   individual   team     artistic   five - pin     English billiards   Crokinole   Pocket billiards   eight - ball   nine - ball   ten - ball   straight pool     Snooker   six - red   ladies   amateurs   seniors         Mind sports     Backgammon   Bridge   Chess   open   women     Draughts   men   women   checkers   draughts - 64   draughts - 64 women     Go   Puzzles   Scrabble   Sudoku   Xiangqi       eSports     ESWC   FIFA   Dota 2   League of Legends       Motorsport      Auto racing     Alternative energy   Solar car     Formula One   Formula Three   Karting   Rallying   WRC   WRC - 2   WRC - 3   rally raid   Rallycross     Sports car   endurance     Touring car       Motorcycle sports     Endurance   Enduro   Ice racing   individual   team     Grand Prix   Production   Superbike   Supersport     Cross-country rally   Motocross   individual   nation   Supercross   sidecar     Sidecar   Speedway   individual   team     Trial       Other     Aeroplane sport   Aerobatic   Aerobatic GP   Air Race     Powerboating   F1   offshore     Radio - controlled racing   1 : 10 electric off - road     Tank biathlon          Other sports      Team     American football   men   women     Australian football   Bandy   men   men 's club   women   women 's club     Ball hockey   Baseball   men   women     Beach handball   Beach soccer   Canoe polo   Dancesport   Formation Latin     Fistball   men   women     Flag football   Floorball   Futsal   men   men 's club   women     Inline hockey   FIRS   IIHF     Korfball   Lacrosse   men   women   indoor   under - 19s     Netball   Padel tennis   Quidditch   Ringette   Roll Ball   Roller derby   Rugby league   men   men 's club   women     Rugby union   men   women     Sailing   Yachts   Dinghies     Sepaktakraw   Softball   men     Synchronized skating   Tchoukball       Individual     Air sports   Ballooning   Gliding   Parachuting   Paragliding     Aquatics   Surfing   Water skiing     Athletics   cross country   half marathon   indoor   100 km   Mountain running   Long Distance Mountain running   Snowshoe running   Skyrunning   Trail running     Bowling   Tenpin   Bowls   Indoor     Canoeing   marathon     Cycling   mountain bike marathon   cyclo - cross     Darts   BDO   PDC     Fishing   freshwater   fly fishing     Gymnastics   acrobatic   aerobic     Inline speed skating   Kendo   Kickboxing   Orienteering   foot   ski   mountain bike   trail     Pétanque   Powerlifting   men   women     Professional boxing   men   women     Mounted games   Racquetball   Sambo   Shooting   practical handgun   practical rifle   practical shotgun     Skiing   flying   Ski mountaineering     Squash   individual   doubles   team     Roller skating   artistic     Swimming   short course     Triathlon   Ironman     Wrestling   Armwrestling   Sumo   Wushu     Other   Yo - yo                      World cup competitions       List of world cups       Team     Association football   men   men 's club   women   women 's club   Viva     Athletics   Australian rules football   Badminton   men   women   mixed     Baseball   men   women     Basketball   men   women     Beach soccer   Boxing   Bull riding   Cricket   men ODI   men Twenty20   women ODI   women Twenty20   indoor     Darts   PDC   WDF     Field hockey   men   women     Futsal   FIFA men   AMF men   AMF women     Golf   men   women     Ice hockey   Lacrosse   women     Nine - ball   Pitch and putt   Rowing   Motorsport   enduro     Roll ball   Pesäpallo   Roller derby   men   women     Rugby league   men   women     Rugby union   men   women   sevens     Quidditch   Sepaktakraw   Snooker   Softball   Tennis   men   women   mixed     Touch football   Volleyball   men   women     Water polo   men   women     Wrestling       Individual     Archery   Canoe slalom   Chess   Cyclo - cross   Diving   Equestrian dressage   Gymnastics   artistic   rhythmic     Mountain bike racing   Orienteering   Paralympic   summer   winter     Road bicycle racing   men   women     Sailing   Show jumping   Speedway motorcycle   Sport shooting   Swimming   Ten - pin bowling   Track cycling   Triathlon       Winter sports     Biathlon   Skiing   Alpine   Cross-country   Freestyle   ski cross     Nordic combined   Ski jumping   ski flying     Snowboarding     Ski orienteering   Sledding   Bobsleigh   Luge   Skeleton     Speed skating   Short track           See also : Template : Main world championships                 World football championships       Football at the Summer Olympics   Football at the Youth Olympics       Men      National     FIFA World Cup   FIFA Confederations Cup   FIFA U-20 World Cup   FIFA U-17 World Cup       Club     FIFA Club World Cup ( Intercontinental Cup )            Women      National     FIFA Women 's World Cup   FIFA U-20 Women 's World Cup   FIFA U-17 Women 's World Cup       Club     FIFA Women 's Club World Cup ( International Women 's Club Championship )          Variants     FIFA Futsal World Cup   FIFA Beach Soccer World Cup   FIFA Interactive World Cup      Retrieved from `` https://en.wikipedia.org/w/index.php?title=FIFA_Women%27s_World_Cup&amp;oldid=839401159 '' Categories :   FIFA Women 's World Cup   FIFA competitions for women 's national teams   Recurring sporting events established in 1991   Women 's world championships   World championships in association football   Hidden categories :   All articles with dead external links   Articles with dead external links from September 2017   Articles with permanently dead external links   CS1 French - language sources ( fr )   Use dmy dates from January 2018   Articles containing potentially dated statements from 2017   All articles containing potentially dated statements           Talk                  Variants                          Contents                   About Wikipedia                                                   Aragonés   Asturianu   Azərbaycanca   বাংলা   Български   Bosanski   Català   Čeština   Dansk   Deutsch   Eesti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Hrvatski   Bahasa Indonesia   Italiano   עברית   Latviešu   Lietuvių   Magyar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Slovenčina   Српски / srpski   Srpskohrvatski / српскохрватски   Suomi   Svenska   ไทย   Türkçe   Українська   Tiếng Việt   </t>
    </r>
    <r>
      <rPr>
        <sz val="11"/>
        <color rgb="FF000000"/>
        <rFont val="Noto Sans CJK SC"/>
        <family val="2"/>
      </rPr>
      <t xml:space="preserve">粵語   中文  </t>
    </r>
    <r>
      <rPr>
        <sz val="11"/>
        <color rgb="FF000000"/>
        <rFont val="Calibri"/>
        <family val="0"/>
        <charset val="1"/>
      </rPr>
      <t xml:space="preserve">39 more  Edit links   This page was last edited on 3 May 2018 , at 05 : 18 .   Text is available under the Creative Commons Attribution - ShareAlike License ; additional terms may apply . By using this site , you agree to the Terms of Use and </t>
    </r>
  </si>
  <si>
    <t xml:space="preserve">when was the women's first world cup held</t>
  </si>
  <si>
    <t xml:space="preserve"> The FIFA Women 's World Cup is an international football competition contested by the senior women 's national teams of the members of Fédération Internationale de Football Association ( FIFA ) , the sport 's global governing body . The competition has been held every four years since 1991 , when the inaugural tournament , then called the FIFA Women 's World Championship , was held in China . </t>
  </si>
  <si>
    <t xml:space="preserve">Star Trek ( film ) - wikipedia  Star Trek ( film )  Jump to : navigation , search This article is about the 2009 film . For the 1979 Star Trek film , see Star Trek : The Motion Picture . For the film series , see Star Trek ( film series ) .    Star Trek     Theatrical release poster     Directed by   J.J. Abrams     Produced by     J.J. Abrams   Damon Lindelof       Written by     Roberto Orci   Alex Kurtzman       Based on   Star Trek by Gene Roddenberry     Starring     John Cho   Ben Cross   Bruce Greenwood   Simon Pegg   Chris Pine   Zachary Quinto   Winona Ryder   Zoe Saldana   Karl Urban   Anton Yelchin   Eric Bana   Leonard Nimoy       Music by   Michael Giacchino     Cinematography   Dan Mindel     Edited by     Mary Jo Markey   Maryann Brandon       Production companies     Spyglass Entertainment   Bad Robot Productions       Distributed by   Paramount Pictures     Release date     April 7 , 2009 ( 2009 - 04 - 07 ) ( Sydney Opera House )   May 8 , 2009 ( 2009 - 05 - 08 ) ( United States )             Running time   127 minutes     Country   United States     Language   English     Budget   $150 million     Box office   $385.7 million     Star Trek is a 2009 American science fiction adventure film directed by J.J. Abrams and written by Roberto Orci and Alex Kurtzman . It is the eleventh film in the Star Trek film franchise , and is also a reboot that features the main characters of the original Star Trek television series portrayed by a new cast , as the first in the rebooted film series . The film follows James T. Kirk ( Chris Pine ) and Spock ( Zachary Quinto ) aboard USS Enterprise as they combat Nero ( Eric Bana ) , a Romulan from their future who threatens the United Federation of Planets . The story takes place in an alternate reality because of time travel by both Nero and the original Spock ( Leonard Nimoy ) . The alternate timeline was created in an attempt to free the film and the franchise from established continuity constraints while simultaneously preserving original story elements .   The idea for a prequel film which would follow the Star Trek characters during their time in Starfleet Academy was discussed by series creator Gene Roddenberry in 1968 . The concept resurfaced in the late 1980s , when it was postulated by Harve Bennett as a possible plotline for what would become Star Trek VI : The Undiscovered Country , but was rejected in lieu of other projects by Roddenberry . Following the critical and commercial failure of Star Trek : Nemesis and the cancellation of the television series Star Trek : Enterprise , the franchise 's executive producer Rick Berman and screenwriter Erik Jendresen wrote an unproduced film titled Star Trek : The Beginning , which would take place after Enterprise . After the separation of Viacom and CBS Corporation in 2005 , former Paramount Pictures president Gail Berman convinced CBS to allow Paramount to produce a new film in the franchise . Orci and Kurtzman , both fans of Star Trek , were approached to write the film , and J.J. Abrams was approached to direct it . Kurtzman and Orci used inspiration from novels and graduate school dissertations , as well as the series itself . Principal photography commenced on November 7 , 2007 and ended on March 27 , 2008 . The film was shot in various locations around California and Utah . Abrams wanted to avoid using bluescreen and greenscreen , opting to use sets and locations instead . Heavy secrecy surrounded the film 's production and was under the fake working title Corporate Headquarters . Industrial Light &amp; Magic used digital ships for the film , as opposed to the previous films in the franchise . Production for the film concluded by the end of 2008 .   Star Trek was heavily promoted in the months preceding its release ; pre-release screenings for the film premiered in select cities around the world , including Austin , Texas , Sydney , Australia , and Calgary , Alberta . It was released in the United States and Canada on May 8 , 2009 , to critical acclaim ; critics praised its character development , as well as its storyline , effects , stunts , action sequences , direction , and its score by Michael Giacchino . Star Trek was a box office success , grossing over $385.7 million worldwide against its $150 million production budget . It was nominated for several awards , including four Academy Awards at the 82nd Academy Awards , ultimately winning Best Makeup , making it the first Star Trek film to win an Academy Award . It was followed by two sequels , Star Trek Into Darkness ( 2013 ) and Star Trek Beyond ( 2016 ) , with a fourth having been announced .     Contents  ( hide )   1 Plot   2 Cast   3 Production   3.1 Development   3.2 Writing   3.3 Design   3.4 Filming   3.5 Effects   3.6 Music   3.7 Sound effects     4 Release   4.1 Marketing   4.2 Home release     5 Reception   5.1 Box office   5.2 Critical response   5.3 Accolades     6 Sequels   7 See also   8 References   9 External links      Plot ( edit )   In the 23rd century , the Federation starship USS Kelvin is investigating a `` lightning storm '' in space . A Romulan ship , Narada , emerges from the storm and attacks Kelvin . Narada 's first officer , Ayel , demands that Kelvin 's Captain Robau come aboard to negotiate a truce . Robau is questioned about the current stardate and an `` Ambassador Spock '' , whom he does not recognize . Narada 's commander , Nero , kills him , and resumes attacking Kelvin . George Kirk , Kelvin 's first officer , orders the ship 's personnel , including his pregnant wife Winona , to abandon ship while he pilots Kelvin on a collision course with Narada . Kirk sacrifices his life to ensure Winona 's survival as she gives birth to James T. Kirk .   Seventeen years later on the planet Vulcan , a young Spock is accepted to join the Vulcan Science Academy . Realizing that the Academy views his human mother Amanda as a `` disadvantage '' , he joins Starfleet instead . On Earth , Kirk becomes a reckless but intelligent young adult . Following a bar fight with Starfleet cadets accompanying Nyota Uhura , Kirk meets Captain Christopher Pike , who encourages him to enlist in Starfleet Academy , where Kirk meets and befriends doctor Leonard McCoy .   Three years later , Commander Spock accuses Kirk of cheating during the Kobayashi Maru simulation . Kirk argues that cheating was acceptable because the simulation was designed to be unbeatable . The disciplinary hearing is interrupted by a distress signal from Vulcan . With the primary fleet out of range , the cadets are mobilized . McCoy and Kirk board Pike 's ship , the Enterprise . Realizing that the `` lightning storm '' observed near Vulcan is similar to the one that occurred when he was born , Kirk breaks protocol to convince Pike that the distress signal is a trap .   Enterprise arrives to find the fleet destroyed and Narada drilling into Vulcan 's core . Narada attacks Enterprise and Pike surrenders , delegating command of the ship to Spock and promoting Kirk to first officer . Kirk , Hikaru Sulu and Chief Engineer Olson perform a space jump onto the drilling platform . Olson is killed but Kirk and Sulu disable the drill . Despite their efforts , Nero launches `` red matter '' into Vulcan 's core , forming an artificial black hole that destroys Vulcan . Spock rescues the high council and his father Sarek , but his mother Amanda dies .   As Narada moves toward Earth , Nero tortures Pike to gain access to Earth 's defense codes . Spock maroons Kirk on Delta Vega after Kirk attempts mutiny . Kirk encounters an older Spock , who explains that he and Nero are from 129 years in the future . In that future , Romulus was threatened by a supernova . Spock 's attempt to use `` red matter '' to create an artificial black hole and consume the supernova failed , and Nero 's family perished along with Romulus . Narada and Spock 's vessel were caught in the black hole , sending them back in time . Nero stranded Spock on Delta Vega to watch Vulcan 's destruction .   Reaching a Starfleet outpost on Delta Vega , Kirk and the elder Spock meet Montgomery Scott . With the elder Spock 's help , Kirk and Scott beam onto Enterprise . Following the elder Spock 's advice , Kirk provokes younger Spock into attacking him , forcing Spock to recognize himself as emotionally compromised and relinquish command to Kirk . After talking with Sarek , Spock decides to help Kirk . While Enterprise hides itself within the gas clouds of Titan , Kirk and Spock beam aboard Narada . Kirk fights with Nero and Ayel , killing the latter and rescuing Pike , while Spock uses the elder Spock 's ship to destroy the drill . Spock leads Narada away from Earth and sets his ship to collide with Nero 's ship . Enterprise beams Kirk , Pike , and Spock aboard . The older Spock 's ship and Narada collide , igniting the `` red matter '' . Kirk offers Nero help to escape , but Nero refuses , prompting Kirk to give the order to fire , dooming Narada to be consumed in a black hole .   Kirk is promoted to Captain and given command of Enterprise while Pike is promoted to Rear Admiral . Spock encounters his older self , who persuades his younger self to continue serving in Starfleet , encouraging him to do , for once , what feels right instead of what is logical . Spock remains in Starfleet , becoming first officer under Kirk 's command . Enterprise goes to warp as the elder Spock speaks the `` where no one has gone before '' monologue .   Cast ( edit )  From top to bottom : Chris Pine , Zachary Quinto and Zoe Saldana .   Chris Pine as James T. Kirk     Pine described his first audition as `` awful '' , because he could not take himself seriously as a leader . Abrams did not see Pine 's first audition , and it was only after Pine 's agent met Abrams ' wife that the director decided to give him another audition opposite Quinto . Quinto was supportive of Pine 's casting because they knew each other from working out at the same gym . After getting the part , Pine sent William Shatner a letter and received a reply containing Shatner 's approval . Pine watched classic episodes and read encyclopedias about the Star Trek universe , but stopped as he felt weighed down by the feeling he had to copy Shatner . Pine felt he had to show Kirk 's `` humor , arrogance and decisiveness , '' but not Shatner 's speech pattern , which would have bordered on imitation . Pine said that when watching the original series , he was also struck by how Shatner 's performance was characterized by humor . Instead , Pine chose to incorporate elements of Tom Cruise from Top Gun and Harrison Ford 's portrayals of Indiana Jones and Han Solo . Chris Pratt also auditioned for the role .   Jimmy Bennett portrays a younger Kirk .       Zachary Quinto as Spock     The younger alternate - timeline Spock . Quinto expressed interest in the role because of the duality of Spock 's half - human , half - Vulcan heritage , and how `` he is constantly exploring that notion of how to evolve in a responsible way and how to evolve in a respectful way . I think those are all things that we as a society , and certainly the world , could implement . '' He mentioned he heard about the new film and revealed his interest in the role in a December 2006 interview with the Pittsburgh Post-Gazette ; the article was widely circulated and he attracted Abrams ' interest . For the audition , Quinto wore a blue shirt and flattened his hair down to feel more like Spock . He bound his fingers to practice the Vulcan salute , shaved his eyebrows , and grew and dyed his hair for the role . He conveyed many of Spock 's attributes , such as his stillness and the way Nimoy would hold his hands behind his back . Quinto commented that the physical transformation aided in portraying an alien , joking `` I just felt like a nerd . I felt like I was 12 again . You look back at those pictures and you see the bowl cut . There 's no question I was born to play the Spock role . I was sporting that look for a good four or five years . The film officially establishes ( to Kirk 's surprise ) that Uhura and Spock are lovers and have been romantically linked for some time , a point which had never been previously explored on TV or in film . '' Adrien Brody had discussed playing the role with the director before Quinto was cast .   Jacob Kogan portrays a younger Spock .       Eric Bana as Captain Nero     The film 's time - traveling Romulan villain . Bana shot his scenes toward the end of filming . He was n't `` a huge Trekkie when ( he ) was a kid '' , and had not seen the films . Even though he was `` crazy about the original series , '' he would not have accepted the role unless he liked the script , which he deemed `` awesome '' once he read it . Bana knew Abrams because they coincidentally shared the same agent . Bana improvised the character 's speech patterns .     Leonard Nimoy as Spock Prime : Nimoy reprises the role of the older Spock from the original Star Trek timeline , credited as `` Spock Prime '' . He was a longtime friend of Abrams ' parents , but became better acquainted with Abrams during filming . Although Quinto watched some episodes of the show during breaks in filming , Nimoy was his main resource in playing Spock . Abrams and the writers met Nimoy at his house ; writer Roberto Orci recalled that the actor gave a `` ' Who are you guys and what are you up to ? ' vibe '' before being told how important he was to them . He was silent , and Nimoy 's wife Susan Bay told the creative team he had remained in his chair after their conversation , emotionally overwhelmed by his decision after turning down many opportunities to revisit the role . Had Nimoy disliked the script , production would have been delayed for it to be rewritten . Nimoy later said , `` This is the first and only time I ever had a filmmaker say , ' We can not make this film without you and we wo n't make it without you ' '' . He was `` genuinely excited '' by the script 's scope and its detailing of the characters ' backstories , saying , `` We have dealt with ( Spock 's being half - human , half - Vulcan ) , but never with quite the overview that this script has of the entire history of the character , the growth of the character , the beginnings of the character and the arrival of the character into the Enterprise crew . '' Abrams commented , `` It was surreal to direct him as Spock , because what the hell am I doing there ? This guy has been doing it for forty years . It 's like ' I think Spock would ... ' ''     Zoe Saldana as Nyota Uhura     Abrams asked her to play the role because he had seen her previous work and liked it . Saldana had never seen the original series , though she had played a Trekkie in The Terminal ( 2004 ) , but agreed to play the role after Abrams complimented her . `` For an actor , that 's all you need , that 's all you want . To get the acknowledgment and respect from your peers , '' she said . She met with Nichelle Nichols , who explained to her how she had created Uhura 's background and had named the character . Saldana 's mother was a Star Trek fan and sent her voice mails during filming , giving advice on the part . Sydney Tamiia Poitier also auditioned for the part . The film officially establishes the character 's first name , which had never been previously uttered on TV or in film . It also establishes ( in an officially discreet manner ) that Uhura and Spock are , in fact , lovers and had been romantically linked for some time during the film .     Karl Urban as Dr. Leonard `` Bones '' McCoy     Like Pine , Urban said of taking on the role that `` it is a case of not doing some sort of facsimile or carbon copy , but really taking the very essence of what DeForest Kelley has done and honoring that and bringing something new to the table '' . Urban has been a fan of the show since he was seven years old and actively pursued the role after rediscovering the series on DVD with his son . Urban was cast at his first audition , which was two months after his initial meeting with Abrams . He said he was happy to play a role with lots of comedy , something he had not done since The Price of Milk , because he was tired of action - oriented roles . When asked why McCoy is so cantankerous , Urban joked the character might be a `` little bipolar actually ! '' Orci and Kurtzman had collaborated with Urban on Xena : Warrior Princess , in which he played Cupid and Caesar .     Simon Pegg as Montgomery `` Scotty '' Scott     Abrams contacted Pegg by e-mail , offering him the part . To achieve Scotty 's accent , Pegg was assisted by his wife Maureen , who is from Glasgow , although Pegg said that Scotty was from Linlithgow and that he therefore wanted his accent to sound more East Coast Scottish . As a result , the accent he used is a mixture of both , although it leans more towards the West sound . He was also aided by James Doohan 's son , Chris , and Tommy Gormley , the film 's Glaswegian first assistant director . Pegg described Scotty as a positive Scottish stereotype , noting `` Scots are the first people to laugh at the fact that they drink and fight a bit '' , and that Scotty comes from a long line of Scots with technical expertise , such as John Logie Baird and Alexander Graham Bell . Years before , Pegg 's character on Spaced joked that every odd - numbered Star Trek film being `` shit '' was a fact of life . Pegg noted `` Fate put me in the movie to show me I was talking out of my ass . ''     John Cho as Hikaru Sulu     Abrams had at first been concerned about casting a Korean - American as a Japanese character , but George Takei reassured him that Sulu had been meant to represent all of Asia on Enterprise , so Abrams went ahead with Cho . Cho acknowledged that being an Asian - American , `` there are certain acting roles that you are never going to get , and one of them is playing a cowboy . ( Playing Sulu ) is a realization of that dream -- going into space . '' He cited the masculinity of the character as being important to him , and spent two weeks fight training . Although Cho suffered an injury to his wrist during filming , a representative reassured the public that the injury was `` no big deal '' . James Kyson Lee had originally been interested in playing the part of Sulu , but both he and Quinto , who had already been cast as Spock , were at the time members of the cast of the television series Heroes , and its producers told Lee they did not want to lose another cast member for three months .     Anton Yelchin as Pavel Chekov     As with the rest of the cast , Yelchin was allowed to choose what elements there were from their predecessor 's performances . Yelchin decided to carry on Walter Koenig 's speech patterns of replacing `` v '' s with `` w '' s , although he and Abrams felt this was a trait more common of Polish accents than Russian ones . He described Chekov as an odd character , being a Russian who was brought on to the show `` in the middle of the Cold War . '' He recalled a `` scene where they 're talking to Apollo ( who says ) , ' I am Apollo . ' And Chekov is like , ' And I am the czar of all the Russias . ' ( ... ) They gave him these lines . I mean he really is the weirdest , weirdest character . ''     Bruce Greenwood as Christopher Pike , the captain of USS Enterprise .   Ben Cross as Sarek , Spock 's father .   Winona Ryder as Amanda Grayson , Spock 's mother .   Clifton Collins Jr. as Ayel , Nero 's first officer .    Chris Hemsworth plays George Kirk , James Tiberius Kirk 's father , who dies aboard USS Kelvin while battling Nero . Mark Wahlberg was also approached for the role . Faran Tahir plays Kelvin captain Richard Robau . Winona Kirk , Kirk 's mother , is played by Jennifer Morrison . Greg Ellis plays Chief Engineer Olson , the redshirt who is killed during the space jump .   Additional minor roles include Rachel Nichols as Gaila , an Orion Starfleet cadet ; Deep Roy as Scotty 's alien ( Royla ) assistant Keenser ; and Paul McGillion as a Starfleet barracks leader . Chris Doohan , the son of the original Scotty , James Doohan , makes a cameo appearance in the transporter room as Lt. Kyle . Some characters had their scenes substantially or entirely cut from the film , including Brad William Henke as Kirk 's stepfather ( the character 's lines in the film were provided by Greg Grunberg ) . Spencer Daniels originally played Kirk 's older brother , George Samuel `` Sam '' Kirk , Jr. , but the majority of his scenes were cut and the opening car chase scene where Kirk can be heard calling out to him was overdubbed . Victor Garber plays a Klingon interrogator who tortures Nero during his time on Rura Penthe .   Tyler Perry appears as the head of Starfleet Academy , Admiral Richard Barnett . James Cawley , producer and star of the web series Star Trek : New Voyages , appears as a Starfleet officer , while Pasha Lychnikoff and Lucia Rijker play Romulans , Lychnikoff a Commander and Rijker a Communications Officer . W. Morgan Sheppard , who played a Klingon in Star Trek VI : The Undiscovered Country , as well as Data 's allegorical grandfather in the TNG episode `` The Schizoid Man '' , appears in this film as the head of the Vulcan Science Council . Wil Wheaton , known for portraying Wesley Crusher on Star Trek : The Next Generation , was brought in , through urging by Greg Grunberg , to voice several of the other Romulans in the film . Star Trek fan and Carnegie Mellon University professor Randy Pausch cameoed as a Kelvin crew member , and has a line of dialogue . Majel Barrett , the widow of Star Trek creator Gene Roddenberry , reprised her role as the voice of Enterprise 's computer , which she completed two weeks before her death on December 18 , 2008 .   Orci and Kurtzman wrote a scene for Shatner , in which old Spock gives his younger self a recorded message by Kirk from the previous timeline . `` It was basically a Happy Birthday wish knowing that Spock was going to go off to Romulus , and Kirk would probably be dead by the time , '' and it would have shifted into Shatner reciting `` Where no man has gone before '' . However , Shatner wanted to share Nimoy 's major role , and did not want a cameo , despite his character 's death in Star Trek Generations . He suggested the film canonize his novels where Kirk is resurrected , but Abrams decided if his character was accompanying Nimoy 's , it would have become a film about the resurrection of Kirk , and not about introducing the new versions of the characters . Nimoy disliked the character 's death in Generations , but also felt resurrecting Kirk would be detrimental to this film , and his friendship with Shatner caused them to avoid discussing the film .   Production ( edit )   Development ( edit )   As early as the 1968 World Science Fiction Convention , Star Trek creator Roddenberry had said he was going to make a film prequel to the television series . But the prequel concept did not resurface until the late 1980s , when Ralph Winter and Harve Bennett submitted a proposal for a prequel during development of the fourth film . Roddenberry rejected Bennett 's prequel proposal in 1991 , after the completion of Star Trek V : The Final Frontier . Then David Loughery wrote a script entitled The Academy Years , but it was shelved in light of objections from Roddenberry and the fanbase . The film that was commissioned instead ended up being Star Trek VI : The Undiscovered Country . In February 2005 , after the financial failure of the tenth film , Star Trek : Nemesis ( 2002 ) , and the cancellation of the television series Star Trek : Enterprise , the franchise 's executive producer Rick Berman and screenwriter Erik Jendresen began developing a new film entitled Star Trek : The Beginning . It was to revolve around a new set of characters , led by Kirk 's ancestor Tiberius Chase , and be set during the Earth - Romulan War -- after the events of Enterprise but before the events of the original series .   In 2005 , Viacom , which owned Paramount Pictures , separated from CBS Corporation , which retained Paramount 's television properties , including ownership of the Star Trek brand . Gail Berman , then president of Paramount , convinced CBS ' chief executive , Leslie Moonves , to allow them eighteen months to develop a new Star Trek film , otherwise Paramount would lose the film rights . Berman approached Mission : Impossible III writers Orci and Kurtzman for ideas on the new film , and after the film had completed shooting she asked their director , Abrams , to produce it . Abrams , Orci and Kurtzman , plus producers Damon Lindelof and Bryan Burk , felt the franchise had explored enough of what took place after the series , Orci and Lindelof consider themselves trekkies , and feel some of the Star Trek novels have canonical value , although Roddenberry never considered the novels to be canon . Kurtzman is a casual fan , while Burk was not . Abrams ' company , Bad Robot Productions produced the film with Paramount , marking the first time another company had financed a Star Trek film . Bill Todman , Jr. 's Level 1 Entertainment also co-produced the film , but , during 2008 , Spyglass Entertainment replaced them as financial partner .   In an interview , Abrams said that he had never seen Star Trek : Nemesis because he felt the franchise had `` disconnected '' from the original series . For him , he said , Star Trek was about Kirk and Spock , and the other series were like `` separate space adventure ( s ) with the name Star Trek '' . He also acknowledged that as a child he had actually preferred the Star Wars movies . He noted that his general knowledge of Star Trek made him well suited to introduce the franchise to newcomers , and that , being an optimistic person , he would make Star Trek an optimistic film , which would be a refreshing contrast to the likes of The Dark Knight . He added that he loved the focus on exploration in Star Trek and the idea of the Prime Directive , which forbids Starfleet to interfere in the development of primitive worlds , but that , because of the budgetary limitations of the original series , it had `` never had the resources to actually show the adventure '' . He noted he only became involved with the project as producer initially because he wanted to help Orci , Kurtzman and Lindelof .   On February 23 , 2007 , Abrams accepted Paramount 's offer to direct the film , after having initially been attached to it solely as a producer . He explained that he had decided to direct the film because , after reading the script , he realized that he `` would be so agonizingly envious of whoever stepped in and directed the movie . '' Orci and Kurtzman said that their aim had been to impress a casual fan like Abrams with their story . Abrams noted that , during filming , he had been nervous `` with all these tattooed faces and pointy ears , bizarre weaponry and Romulan linguists , with dialogue about ' Neutral Zones ' and ' Starfleet ' ( but ) I knew this would work , because the script Alex and Bob wrote was so emotional and so relatable . I did n't love Kirk and Spock when I began this journey -- but I love them now . ''   Writing ( edit )  `` We 're from different worlds , Alex ( Kurtzman ) was born here , and I was born in Mexico City and lived there until I was nine . Kirk and Spock are opposites from two worlds . That 's us in a nutshell . We 're drawn to each by what each of us lacks . The story of this film is about two guys who are such opposites that they might end up strangling each other but instead they bond and thrive together . That 's us . We can go warp speed together . '' Roberto Orci on the film 's emotional context .  Orci said getting Nimoy in the film was important . `` Having him sitting around a camp fire sharing his memories was never gon na cut it '' though , and time travel was going to be included in the film from the beginning . Kurtzman added , saying the time travel creates jeopardy , unlike other prequels where viewers `` know how they all died '' . The writers acknowledged time travel had been overused in the other series , but it served a good purpose in creating a new set of adventures for the original characters before they could completely do away with it in other films . Abrams selected the Romulans as the villains because they had been featured less than the Klingons in the series , and thought it was `` fun '' to have them meet Kirk before they do in the series . Orci and Kurtzman noted it would feel backward to demonize the Klingons again after they had become heroes in later Star Trek series , and the Romulan presence continues Spock 's story from his last chronological appearance in `` Unification '' , an episode of Star Trek : The Next Generation set in 2368 . The episode of the original continuity in which Kirk becomes the first human to ever see a Romulan , `` Balance of Terror '' , served as one of the influences for the film . Orci said it was difficult giving a good explanation for the time travel without being gimmicky , like having Nero specifically seeking to assassinate Kirk .   Orci noted while the time travel story allowed them to alter some backstory elements such as Kirk 's first encounter with the Romulans , they could not use it as a crutch to change everything and they tried to approach the film as a prequel as much as possible . Kirk 's service on Farragut , a major backstory point to the original episode `` Obsession '' , was left out because it was deemed irrelevant to the story of Kirk meeting Spock , although Orci felt nothing in his script precluded it from the new film 's backstory . There was a scene involving Kirk meeting Carol Marcus ( who is revealed as the mother of his son in Star Trek II : The Wrath of Khan ) as a child , but it was dropped because the film needed more time to introduce the core characters . Figuring out ways to get the crew together required some contrivances , which Orci and Kurtzman wanted to explain from old Spock as a way of the timeline mending itself , highlighting the theme of destiny . The line was difficult to write and was ultimately cut out .   The filmmakers sought inspiration from novels such as Prime Directive , Spock 's World and Best Destiny to fill in gaps unexplained by canon ; Best Destiny particularly explores Kirk 's childhood and names his parents . One idea that was justified through information from the novels was having Enterprise built on Earth , which was inspired by a piece of fan art of Enterprise being built in a shipyard . Orci had sent the fan art to Abrams to show how realistic the film could be . Orci explained parts of the ship would have to be constructed on Earth because of the artificial gravity employed on the ship and its requirement for sustaining warp speed , and therefore the calibration of the ship 's machinery would be best done in the exact gravity well which is to be simulated . They felt free to have the ship built in Iowa because canon is ambiguous as to whether it was built in San Francisco , but this is a result of the time travel rather than something intended to overlap with the original timeline . Abrams noted the continuity of the original series itself was inconsistent at times .   Orci and Kurtzman said they wanted the general audience to like the film as much as the fans , by stripping away `` Treknobabble '' , making it action - packed and giving it the simple title of Star Trek to indicate to newcomers they would not need to watch any of the other films . Abrams saw humor and sex appeal as two integral and popular elements of the show that needed to be maintained . Orci stated being realistic and being serious were not the same thing . Abrams , Burk , Lindelof , Orci and Kurtzman were fans of The Wrath of Khan , and also cited The Next Generation episode `` Yesterday 's Enterprise '' as an influence . Abrams ' wife Katie was regularly consulted on the script , as were Orci , Kurtzman and Lindelof 's wives , to make the female characters as strong as possible . Katie Abrams ' approval of the strong female characters was partly why Abrams signed on to direct .   Orci and Kurtzman read graduate school dissertations on the series for inspiration ; they noted comparisons of Kirk , Spock and McCoy to Shakespearian archetypes , and Kirk and Spock 's friendship echoing that of John Lennon and Paul McCartney . They also noted that , in the creation of this film , they were influenced by Star Wars , particularly in pacing . `` I want to feel the space , I want to feel speed and I want to feel all the things that can become a little bit lost when Star Trek becomes very stately '' said Orci . Star Wars</t>
  </si>
  <si>
    <t xml:space="preserve">who played spock's mother in star trek 2009</t>
  </si>
  <si>
    <t xml:space="preserve"> Winona Ryder as Amanda Grayson , Spock 's mother . </t>
  </si>
  <si>
    <t xml:space="preserve">Belle ( Disney ) - wikipedia  Belle ( Disney )  Jump to : navigation , search This article is about the character . For the song , see Belle ( Disney song ) . For other uses , see Belle ( disambiguation ) .    Belle     Beauty and the Beast character         First appearance   Beauty and the Beast ( 1991 )     Created by   Linda Woolverton     Portrayed by   Emma Watson ( 2017 live action film )     Voiced by   Paige O'Hara ( 1991 -- 2011 , 2018 ) Julie Nathanson ( 2011 -- present ) Jodi Benson ( House of Mouse )     Information     Family    Maurice ( father ) ,  Prince Ben ( son , in Descendants only )     Significant other ( s )   Prince     Nationality   French     Belle is a fictional character who appears in Walt Disney Pictures ' 30th animated feature film Beauty and the Beast ( 1991 ) . Originally voiced by American actress and singer Paige O'Hara , Belle is the non-conforming daughter of an inventor . Belle yearns to abandon her predictable village life in return for adventure . When her father Maurice is imprisoned by a cold - hearted beast , Belle offers him her own freedom in exchange for her father 's , and eventually learns to love the Beast despite his unsightly outward appearance .   Walt Disney Studios chairman Jeffrey Katzenberg commissioned Beauty and the Beast as an animated musical with a strong heroine and hired first - time screenwriter Linda Woolverton to write it . Basing her on the heroine of Jeanne - Marie Leprince de Beaumont 's fairy tale `` Beauty and the Beast '' , Woolverton adapted Belle into a stronger and less passive character for the film . Inspired by the women 's rights movement , Woolverton wanted Belle to be a unique Disney heroine different from The Little Mermaid 's popular Ariel , and thus deliberately conceived the character as a feminist in an effort to avoid the criticism Disney had long been receiving due to the studio 's reputation of depicting its female characters as victims .   Belle 's strength and love of reading was inspired by American actress Katharine Hepburn 's performance as Jo March in the film Little Women ( 1933 ) , while the writers instilled the adventure - seeking heroine with goals and aspirations beyond romance . However , the story artists and animators often disagreed with Woolverton 's liberated vision for the character . Animated by James Baxter and Mark Henn , the former of whom based the character 's graceful gait on those of impressionist Edgar Degas ' ballerinas , Belle 's European facial features were inspired by those of British actresses Vivien Leigh and Audrey Hepburn . Several additional Hollywood actresses inspired Belle 's appearance , including Natalie Wood , Elizabeth Taylor , and Grace Kelly .   Belle has garnered widespread acclaim from film critics who appreciated the character 's bravery , intelligence and independence . Reception towards her feminism , however , has been more mixed , with commentators accusing the character 's actions of being romance - oriented . The fifth Disney Princess , Belle is often ranked among the franchise 's best . Highly regarded as one of Disney 's strongest examples of a feminist character , critics agree that Belle helped spearhead a generation of independent film heroines while changing the reputation of a Disney princess . Also one of Disney 's most iconic characters , Belle was the only animated heroine nominated for the American Film Institute 's greatest heroes in film ranking . The character also appears in the film 's several sequels and spin - offs , as well as her own live - action television series . American actress Susan Egan originated the role of Belle in the Broadway musical adaptation of the film , for which she was nominated for a Tony Award for Best Actress in a Musical . Emma Watson plays a live - action version of the character in a 2017 live action adaptation of the original 1991 film .     Contents  ( hide )   1 Development   1.1 Conception and writing   1.2 Voice   1.3 Personality   1.4 Design and animation     2 Characterization and themes   3 Appearances   3.1 Film and television   3.1. 1 Beauty and the Beast ( 2017 live action film )     3.2 Broadway musical   3.3 Miscellaneous     4 Reception   4.1 Critical response   4.2 Feminist analysis     5 Impact and legacy   6 References   7 External links      Development ( edit )   Conception and writing ( edit )   After the success of Walt Disney Productions ' first feature - length animated film Snow White and the Seven Dwarfs ( 1937 ) , filmmaker Walt Disney himself made several attempts to adapt the fairy tale `` Beauty and the Beast '' by Jeanne - Marie Leprince de Beaumont into one of the studio 's earliest animated feature films during the 1930s and 1950s . However , the project was continuously abandoned due to the fairy tale 's `` static '' plot and main characters . The filmmaker was also concerned about the `` unnecessary intensity '' required to depict Belle imprisoned . Inspired by the unprecedented success of The Little Mermaid ( 1989 ) , Walt Disney Studios chairman Jeffrey Katzenberg green - lit another attempt at adapting `` Beauty and the Beast '' under the direction of Richard Purdum . However , Katzenberg did not approve of Purdum 's dark , somber version of the fairy tale , and ultimately ordered that it be restarted from scratch in favor of creating a Broadway - style musical film starring a strong heroine , similar to The Little Mermaid . Opting instead for a `` feminist twist '' on the story , Katzenberg hired television writer Linda Woolverton , who had never written an animated film before , to write the film 's screenplay .  American actress Katharine Hepburn 's performance as Jo March in the film Little Women ( 1933 ) served as screenwriter Linda Woolverton 's inspiration for Belle 's personality .  Before Beauty and the Beast , Disney 's tradition of depicting female characters as victims had already long been established . The fact that Belle was hardly depicted as a feminist in earlier versions of the film became a point of contention among the filmmakers . Despite the fact that Disney wanted Beauty and the Beast to resemble an old - fashioned film , the filmmakers envisioned Belle as `` a woman that was ahead of her time '' . As the first woman in the history of Disney to write a feature - length animated film , Woolverton decided to explore Belle as an opportunity to create a female character who would ultimately be better received than Disney 's previous animated heroines , specifically Ariel from The Little Mermaid . Woolverton was aware that the task would be particularly challenging due to the previous character 's popularity , but fought relentlessly to make sure that she was creating `` a new kind of Disney heroine . '' Inspired by the women 's rights movement Woolverton herself had experienced during the 1960s and 1970s , the screenwriter was determined to avoid creating another `` insipid '' Disney princess and decided to conceive Belle as a headstrong feminist . Woolverton strongly believed that contemporary audiences would not identify with Belle unless she was updated appropriately , and thus evolved the character into `` a woman of the ' 90s '' . The screenwriter refused to watch Jean Cocteau 's 1946 film adaptation of the fairy tale and chose to base Belle on American actress Katharine Hepburn 's portrayal of Jo March in the 1933 film adaptation of Louisa May Alcott 's book Little Women instead , who she felt was `` a real depiction of womanhood . '' Similarly , story artist Brenda Chapman drew influence from Hepburn 's on - screen bickering with actor Spencer Tracy during the scene in which Belle tends to the Beast 's wounds .   Animator Mark Henn observed that , unlike Ariel , Belle does not `` fall in love at first sight '' ; instead `` there 's an actual relationship you see grow '' . In the original fairy tale , Belle has two selfish sisters who both have their own respective love interests , all of whom Woolverton omitted from the screenplay in favor of focusing solely on Belle 's relationship with Gaston . At one point , Belle had a younger sister named Clarice and a cruel aunt named Marguerite , both of whom were discarded -- Clarice to emphasize Belle 's loneliness , and Marguerite to be replaced by Gaston as the film 's villain . Woolverton also eliminated the subplot of Belle asking her father for a rose . Despite constant `` regressive '' re-writes , Woolverton 's overall vision for Belle generally remained intact . Beauty and the Beast 's story department was predominantly male , a time during which few women were involved . Woolverton often found herself at odds and disagreeing with the more traditional story artists in regards to Belle 's role in the film , but continued to be supported by Katzenberg and lyricist Howard Ashman .   According to Woolverton , the story team challenged nearly every line of dialogue Woolverton suggested for the character . On one occasion , the story artists re-wrote what Woolverton had originally scripted as Belle using a map to indicate places to where she would like to travel to the character baking a cake . Arguing that the liberated Belle would not even know how to bake , Woolverton decided to compromise by having the character read a book instead , which was similarly debated because some filmmakers considered reading to be too passive an activity . To resolve this , Woolverton scripted Belle walk while reading , an activity in which Woolverton herself partook as a child . In Beaumont 's fairy tale , Belle is essentially forced to replace her father as the Beast 's prisoner . To make the character more independent , Woolverton re-wrote her so that she willingly ventures into the woods in search of her father , bravely confronts the Beast and ultimately trades her own freedom in return for Maurice 's instead . During Gaston 's climactic fight with the Beast , the character 's line `` Time to die ! '' was changed to `` Belle is mine ! '' in order to return the focus of the story to Belle .   Voice ( edit )   Disney had originally considered casting actress Jodi Benson , who famously voiced Ariel in The Little Mermaid , as Belle , but ultimately felt that she sounded `` too American '' and young , opting for a `` more classical ... womanly '' voice instead . Describing the character as `` a woman that was ahead of her time , '' the filmmakers wanted Belle to sound `` more like a woman than a girl . '' However , Benson voiced Belle in a few episodes of Disney 's House of Mouse . Director Kirk Wise was particularly interested in casting an actress capable of `` creat ( ing ) a character completely with her voice '' , envisioning a voice similar to that of American entertainer Judy Garland . American actress and singer Paige O'Hara was performing on Broadway when she first read about Disney 's then - upcoming animated project Beauty and the Beast in an article in The New York Times . Upon discovering that the studio was holding auditions for the lead role of Belle and , at the behest of lyricist Howard Ashman and composer Alan Menken , specifically recruiting Broadway performers , O'Hara immediately insisted that her agent get her an audition . Familiar with O'Hara's Broadway stint as Ellie May Chipley in the musical Show Boat ; Ashman had already been eyeing O'Hara for the part . O'Hara auditioned for the role five times , competing against approximately 500 other actresses . First auditioning solely for casting director Albert Taveres , O'Hara's next two auditions simply required the actress to mail audio recordings of her voice to the studio in Los Angeles . Required to perform a song of her choice , O'Hara sang `` Heaven Help My Heart '' from the musical Chess . At her first legitimate audition , O'Hara spoke and sang in a higher register than her own in an effort to mimic Snow White from Snow White and the Seven Dwarfs , but the filmmakers insisted that she use her own voice instead . In addition to Ashman and Menken , O'Hara's last few auditions were attended by directors Wise and Gary Trousdale , and producers Katzenberg and Don Hahn . O'Hara recalled that the songwriters would first close their eyes and listen to her before finally watching her perform . An hour after her fifth and final audition , O'Hara received a telephone call from Disney on her birthday informing her that she had been cast . The actress was fairly confident that the role was hers before she was officially cast , and credits the fact that Ashman enjoyed her performance on the cast recording of the musical Show Boat . O'Hara admitted , `` I 'm not usually confident about auditions ... but I just understood ( Belle ) so much . ''   30 years - old at the time of her audition , O'Hara consequently imbued Belle 's voice with a mature , `` womanly quality '' despite the character 's young age . Woolverton appreciated the fact that O'Hara sounded more mature than traditional Disney heroines . Additionally , O'Hara identified with her character because they were both ostracized by their peers throughout their childhood because of their unconventional interests , explaining , `` I was odd growing up myself . I mean , I was into musical theater and Gershwin and Rodgers and Hammerstein while people were going to Led Zeppelin concerts . So I understood that ... I was n't the norm either . I was very focused on my career , on my performing all through my childhood and my teens ... I had a one - track mind , and I think that Belle was like that a lot . '' O'Hara also shares Belle 's interest in reading . Wise was pleased with the quality of O'Hara's voice , which reminded him of Garland . O'Hara initially found it challenging to control her speaking volume due to having been trained to project as a stage actress . O'Hara told The Guardian that to solve this she `` softened and used the microphone . '' As per the filmmakers ' encouragement , the actress would occasionally ad - lib her own dialogue , none was included in the final film because it sounded `` too modern '' . The animators would videotape O'Hara daily while she recorded to incorporate her `` quirky '' mannerisms , expressions and gestures into the character , among them her hair constantly falling into her eyes . O'Hara and American actor Robby Benson , who provides the voice of the Beast , asked Disney to allow the co-stars to record together as opposed to the traditional method of being isolated in a recording booth , to which the studio agreed despite its costliness . O'Hara credited the filmmaker 's decision with developing both the film and Belle and the Beast 's relationship . O'Hara and Benson became the first Disney voice actors to record together . In total , the recording process took over two years to complete . O'Hara had already been friends with co-star Richard White , who voices Gaston , for 15 years . Despite her successful stage career , O'Hara was virtually unknown to Hollywood audiences when she was cast in Beauty and the Beast ; she was one of the last obscure actresses to be cast in a feature - length Disney animated film before the studio began casting better known talent in subsequent animated projects .   Since the November 1991 release of Beauty and the Beast , O'Hara has returned to The Walt Disney Company on several occasions to voice Belle in a variety of media and merchandise , including its direct - to - video sequels Beauty and the Beast : The Enchanted Christmas ( 1997 ) , Belle 's Magical World ( 1998 ) and Belle 's Tales of Friendship ( 1999 ) , as well as various video game releases such as the Kingdom Hearts series and several audio and video recordings associated with the Disney Princess franchise . Additionally , O'Hara was hired by Disney to perform the song `` Belle '' at the 64th Academy Awards in 1992 . O'Hara has referred to the studio as her `` main employer for 20 years '' . In 2011 , O'Hara was officially replaced by actress Julie Nathanson , who first voiced Belle in the video game Kinect Disneyland Adventures ( 2011 ) . O'Hara revealed to the Las Vegas Review - Journal that news of the replacement greatly upset her to the point of which she was willing to re-record much of Belle 's dialogue in an attempt to prove to the company that she is still capable of voicing the character . However , O'Hara eventually admitted that she found the process quite difficult as a result of the way in which her voice has changed over the course of 20 years . In July 2017 , it was announced that O'Hara would return as the voice of Belle in the 2018 film Ralph Breaks the Internet : Wreck - It Ralph 2 .   Personality ( edit )   According to producer Don Hahn , Beaumont 's Belle is an `` incredibly passive '' character , the personality of whom he likened to those of Sleeping Beauty and Cinderella , as well as American actress and animal rights activist Doris Day , describing them as women who are `` capable , but filling a role that women might fill in the 1950s and 1960s . '' The filmmakers painstakingly reworked Belle into a more three - dimensional character by providing her with goals and aspirations beyond romance and marriage , while expanding her passive role into that of a more inquisitive heroine . Determined to have Belle resemble `` an unusual Disney heroine , '' Woolverton deliberately molded her into an independent character who is not a princess , enjoys books and has little interest in marriage , and worked closely with Ashman to create a proactive heroine `` who was a thinker and a reader and she was n't about what she looked like and she was n't a victim . '' Although Belle being well - read is mentioned in the original fairy tale , it is hardly important to its plot . Thus , Belle 's passion for reading was vastly expanded upon , borrowing from both the Little Woman character Jo March and Woolverton 's own love of reading to further demonstrate the character 's intelligence and open mind . Both Woolverton and O'Hara encouraged the filmmakers to emphasize the intelligent and book - loving aspects of Belle 's personality . However , at times the animators struggled to fulfill Woolverton 's vision . Originally , Belle was depicted constantly crying throughout her imprisonment ; Woolverton resented this , arguing that the character was much more likely to be either searching for an escape or simply `` be intrigued that she was living in an enchanted castle '' than crying . `` Once everybody realized she was n't going to be this typical Disney female , they would go to the extreme ... She became bitchy '' ; the screenwriter argued that Belle would be `` too smart '' to act this way . A few years older than The Little Mermaid 's Ariel , Belles ' love of reading makes the character more worldly and mature than her predecessor . Belle is believed by Henn to be `` probably '' the oldest of Disney 's princesses , at 20 years of age .   Design and animation ( edit )  British actress Vivien Leigh was one among several Hollywood screen legends whose appearance provided inspiration for Belle 's .  Beauty and the Beast became the first animated film to fully credit each animator responsible for animating a specific character during the film 's closing credits . Belle 's supervising animators were James Baxter and Mark Henn . Belle was Henn 's second Disney heroine , after he had previously contributed to animating Ariel . Henn was specifically assigned certain scenes to animate from the studio 's Florida division , namely the character exploring the West Wing , the scene in which Belle tends to the Beast 's wounds , and the `` Something There '' musical sequence . Having since animated Jasmine in Aladdin ( 1992 ) , Mulan in Mulan ( 1998 ) and Tiana in The Princess and the Frog ( 2009 ) , Henn has established himself `` as the go - to man behind many Disney princesses . ''   To demonstrate that the character is not perfect , Woolverton described `` a little wisp of hair that keeps falling in her face , '' which was the only direction she used to describe Belle 's physical appearance . Wanting Belle to be significantly different and more European in appearance than Ariel , the animators drew her with fuller lips , narrower eyes and darker eyebrows , which were inspired by the facial features of British actresses Vivien Leigh and Audrey Hepburn . More statuesque than most Disney princesses , Belle 's appearance was inspired by that of American actress Jennie Garth . The animators also used photographs of Hollywood actresses Natalie Wood , Elizabeth Taylor and Grace Kelly for reference . Baxter studied the art of French impressionist Edgar Degas , a painter known for his portraits of ballerinas , whose work inspired the animator to incorporate `` graceful , swan - like movements '' into Belle 's performance .   Belle 's yellow ballgown was inspired by a similar costume Hepburn had worn in the film Roman Holiday ( 1953 ) . Hahn and a team of male filmmakers designed the ballgown while consuming pizza and alcohol . Originally , the marketing department ordered that Belles ' dress be pink to cater to the female audience , but art director Brian McEntee convinced studio to make the dress gold in order to make her to distinguish her from other Disney Princess , specifically Aurora 's from Sleeping Beauty ( 1950 ) . Art director Brian McEntee suggested that Belle be the only character in her village to wear blue in order emphasize the fact that she is different and an outcast . The colors Belle wears also mimic her emotions , blue being associated with sadness and loneliness . Blue was also used to symbolize good , while Gaston 's red represented evil . According to the Directory of World Cinema : American Hollywood by Lincoln Geraghty , Belle was inspired by actress Judy Garland 's role as Dorothy Gale in The Wizard of Oz ( 1939 ) and Julie Andrews ' performance as Maria von Trapp in The Sound of Music ( 1965 ) .   Actress and model Sherri Stoner served as the performance model for Belle , providing live - action reference for the animators as they drew the character . Belle 's tendency to constantly brush her hair away from her face was also inspired by both Stoner and O'Hara . `` I was constantly doing that and little quirky things that they would catch , '' O'Hara told The Guardian . The animators also incorporated O'Hara's eyes , cheekbones and the way in which she raises her eyebrow into Belle 's face . O'Hara felt that Belle originally looked `` too perfect , '' likening the character 's appearance to actresses Elizabeth Taylor and Angelina Jolie . Writing for the Los Angeles Times , Charles Solomon observed inconsistencies in Belle 's appearance , writing , `` The prettiest and liveliest Belle waltzes with Beast in his marble ballroom and weeps over his body before he 's transformed into the Prince '' while `` The Belle who receives the library from Beast has wider - set eyes and a more prominent mouth than the noticeably slimmer Belle who sings ' Something There ' '' .   Characterization and themes ( edit )   Woolverton created Belle as part of `` her self - directed mandate to move women and girls forward . '' The Express - Times described the character as an intelligent young woman who `` sings songs about reading and wanting to gain knowledge , rather than falling in love . '' Woolverton credits Belle 's knowledge and love of books with providing the character with a `` point of view of her life and that does n't necessarily involve a man getting her there . '' One of the film 's main themes , Belle is considered an outsider because her love of reading provides her with knowledge of the outside world as opposed to her `` narrow - minded '' village peers . Writing for Wired.com , Matt Blum dubbed Belle `` the geekiest heroine of any Disney animated film '' , exemplified by an opening number that demonstrates just how much she does not fit in with her peers due to her intelligence and active imagination . Similarly , Boxoffice 's Amy Nicholson coined the character `` Disney 's Smartest Heroine , '' while Rob Burch of The Hollywood News observed that the character `` comes across as arrogant at times '' because she `` spends much of the first act complaining . '' In her book Sex , Love and Abuse : Discourses on Domestic Violence and Sexual Assault , author Sharon Hayes described Belle as `` the quintessential beautiful young ingenue . '' Comparing Belle 's personality to that of the princess in the Brothers Grimm 's fairy tale `` The Frog Prince '' , The Meanings of `` Beauty and the Beast '' : A Handbook author Jerry Griswold described the character as a similarly `` feisty and outspoken '' heroine . Writing for St. Francis Xavier University , Dawn Elizabeth England observed that Belle possesses equally as many traditionally feminine as she does masculine traits , citing her bravery , independence and assertiveness as masculine , and her sensitivity and fearfulness as feminine . According to Hard Bodies : Hollywood Masculinity in the Reagan Era author Susan Jeffords , `` Belle 's credentials as heroine are established ... when she is the only one of the town 's single women not to swoon over Gaston , '' while the character 's love of reading is essentially manipulated `` to mark her as better than the rest of the townspeople . '' Writing for The Statesman , David O'Connor cited Belle 's intelligence and bibliophilia as `` in stark opposition to the insensitive and significantly dim - witted Gaston . '' Critics continue to debate over whether Belle or the Beast is the film 's protagonist . Susan Jeffords , author of Hard Bodies : Hollywood Masculinity in the Reagan Era , felt that although Belle appears to be the protagonist in Beaumont 's original fairy tale , the character becomes `` less the focus of the narrative '' in Disney 's adaptation and more of a `` mechanism for solving the Beast 's ' dilemma ' . '' In her article `` The Tangled Evolution of the Disney Princess '' , Noelle Buffam felt that Belle arrived just in time when Disney 's heroines were `` in a dire need for some change , '' awarding her `` the red stamp of approval '' for her intelligence and spirit .   Analyzing ways in which Disney 's heroines have evolved overtime due to `` the approach to the characterization of the princesses chang ( ing ) '' as the characters gradually transformed from passive young women into heroines who `` had ambitions and desires aside from finding true love , '' critics often divide the Disney Princesses into three separate categories and rank Belle among the middle of the timeline , with Kit Steinkellner of HelloGiggles observing that the character improved upon `` the Disney princess archetype '' by simultaneously serving as both a `` dreamer '' and a `` doer '' in her film , as opposed to exclusively the former . Film historian Paula Sigman Lowery explained to the Daily Express that Belle 's personality is a combination of Ariel 's spirit and burgeoning independence , and Pocahontas ' maturity , while Belle is `` a little older ( than Ariel ) and a little further along in their journey towards independence . '' About.com 's David Nusair believes that Belle belongs to a category of Disney Princesses known as `` The Lady Vanishes , '' in which the heroines , in spite of being brave , outspoken and independent , nonetheless `` are forced to behave passively as others help them achieve their respective goals . '' Michelle Munro , writing for Durham College of Applied Arts and Technology , felt that even though Belle shares several traits with her more passive predecessors , the character introduced `` new possibilities for princesses . '' Girls in Capes wrote that Belle pioneered a generation of princesses who taught `` about ambition , self - discovery and the pursuit of what we want . '' Additionally , Belle remains Disney 's first and only princess to have hazel eyes .   Appearances ( edit )   Film and television ( edit )   Belle debuted in Beauty and the Beast ( 1991 ) as a beautiful bibliophile who , although praised by her fellow villagers for her unrivaled beauty , is at the same time ridiculed for her intelligence and non-conformity . Having grown weary of her uneventful provincial life , in which she is relentlessly romantically pursued by an arrogant hunter named Gaston , Belle longs for adventure . After her father 's horse returns without its rider , she willingly ventures into the woods in search of her father . She persuades the Beast that she will trade her own freedom in return for her father 's , since her father is ill in the dungeon , promising to remain with the Beast in his castle among his staff of enchanted objects forever . Belle 's curiosity leads her to the forbidden west wing where she discovers an enchanted rose without realizing that it is tied to the Beast 's fate ; and the Beast 's rage at her trespassing causes her to flee the castle on horseback . Belle is pursued by wolves in the woods but they are driven off by the Beast , afterwards Belle helps the injured Beast back to the castle and nurses him back to health . Although she initially dislikes her captor , Belle gradually learns to accept the Beast in spite of his appearance and eventually befriends him . Belle and the Beast 's strong bond greatly envies Gaston to the point of which he storms the castle and mortally wounds the Beast , though Gaston falls to his own death in the process . However , Belle confesses her love for the Beast just in time to break the spell under which he had been placed by an enchantress as punishment for his selfish ways , and the Beast ultimately transforms back into a handsome prince .   In Beauty and the Beast : The Enchanted Christmas ( 1997 ) , Belle attempts to reignite the castle 's waning spirit by reintroducing and celebrating Christmas , in spite of the Beast 's strong resentment towards the holiday . Meanwhile , a solemn pipe organ named Forte grows determined to sabotage Belle and the Beast 's burgeoning friendship because he longs to maintain his co-dependent relationship with his master . Tricked by Forte into retrieving a large Christmas tree from a frozen pond , Belle nearly drowns , only to be rescued by the Beast . The Beast , however , having been misinformed by Forte , wrongly accuses Belle of trying to escape again , and locks her in the dungeon as punishment . When the Beast finally discovers the truth , they forgive each other , and Belle helps him thwart Forte 's plan to destroy the castle . Beauty and the Beast : Belle 's Magical World ( 1998 ) , depicts Belle as she interacts with both the Beast and his enchanted servants in various segments , exploring themes such as forgiveness , friendship , cooperation and respect .   In Belle 's Tales of Friendship ( 1999 ) , a spin - off of the film series , Belle owns a bookstore in which she teaches valuable lessons to children by reading and retelling well - known stories and fairy tales , narrating four classic Disney animated shorts : The Three Little Pigs ( 1933 ) , Peter and the Wolf ( 1946 ) , The Wise Little Hen ( 1934 ) and Morris the Midget Moose ( 1950 ) . For the first time , Belle appears as both animated and live - action versions of herself , voiced and portrayed by actresses Paige O'Hara and Lyndsey McLeod , respectively . In the television series Sing Me a Story with Belle ( 1995 -- 1999 ) , Belle , in a role reprised by McLeod , owns her own music and bookshop , where she is visited by children to whom she tells and sings stories .   Belle appeared in the animated television series Disney 's House of Mouse and its direct - to - video films Mickey 's Magical Christmas : Snowed in at the House of Mouse and Mickey 's House of Villains . In the television series , Belle is voiced by American actress and singer Jodi Benson , while O'Hara reprises her role in the film .   A live - action version of Belle appears as a main character in the ABC television series Once Upon a Time , where she serves as the love interest of Rumplestiltskin ( who is the show 's version of the Beast ) . She is portrayed by Australian actress Emilie de Ravin . Another live - action version of the character appeared in the 2015 television film Descendants , where she was played by Keegan Connor Tracy ( who is also a cast member on Once Upon a Time , except she plays The Blue Fairy / Mother Superior in the series ) and serves as the Queen of the United States of Auradon . The series Sofia the First included a cameo by Belle in a 2013 episode . British actress Amy Jackson who portrayed as Belle opposite Indian actor Vikram , who being portrayed as Beast for sequences in a dreamy song `` Ennodu Nee Irundhal '' in the 2015 Tamil language </t>
  </si>
  <si>
    <t xml:space="preserve">who plays bell in beauty and the beast</t>
  </si>
  <si>
    <t xml:space="preserve"> Belle has garnered widespread acclaim from film critics who appreciated the character 's bravery , intelligence and independence . Reception towards her feminism , however , has been more mixed , with commentators accusing the character 's actions of being romance - oriented . The fifth Disney Princess , Belle is often ranked among the franchise 's best . Highly regarded as one of Disney 's strongest examples of a feminist character , critics agree that Belle helped spearhead a generation of independent film heroines while changing the reputation of a Disney princess . Also one of Disney 's most iconic characters , Belle was the only animated heroine nominated for the American Film Institute 's greatest heroes in film ranking . The character also appears in the film 's several sequels and spin - offs , as well as her own live - action television series . American actress Susan Egan originated the role of Belle in the Broadway musical adaptation of the film , for which she was nominated for a Tony Award for Best Actress in a Musical . Emma Watson plays a live - action version of the character in a 2017 live action adaptation of the original 1991 film . </t>
  </si>
  <si>
    <t xml:space="preserve">2017 College Football Playoff national championship - wikipedia  2017 College Football Playoff national championship  Jump to : navigation , search    2017 College Football Playoff National Championship     College Football Playoff            Clemson Tigers   Alabama Crimson Tide     ( 13 -- 1 )   ( 14 -- 0 )     ACC   SEC     35   31     Head coach : Dabo Swinney   Head coach : Nick Saban        AP   Coaches   CFP                 AP   Coaches   CFP                                Total     Clemson   0   7   7   21   35     Alabama   7   7   10   7   31        Date   January 9 , 2017     Season   2016     Stadium   Raymond James Stadium     Location   Tampa , Florida     MVP   Offensive : # 4 Deshaun Watson Clemson Defensive : # 10 Ben Boulware Clemson     Favorite   Alabama by 6.5     National anthem   Little Big Town     Referee   Mike Defee ( Big 12 )     Halftime show   Million Dollar Band , Clemson University Tiger Band     Attendance   74,512     United States TV coverage     Network   ESPN / ESPN Radio / ESPN Deportes     Announcers   ESPN :   Chris Fowler ( play - by - play ) Kirk Herbstreit ( analyst ) Samantha Ponder ( sideline reporter ) Tom Rinaldi ( sideline reporter )   ESPN Deportes : Eduardo Varela ( play by play ) Pablo Viruega ( analyst ) ESPN Brazil : Everaldo Marques ( play by play ) Antony Curti ( analyst ) ESPN Radio : Sean McDonough ( play - by - play ) Todd Blackledge ( analyst ) Holly Rowe ( sideline reporter ) Ian Fitzsimmons ( sideline reporter ) Joe Tessitore , Barrett Jones , Adam Amin , and Tajh Boyd ( ESPN2 Homer 's Telecast ) .     Nielsen ratings   15.3 ( 26.0 million viewers )     International TV coverage     Network   ESPN Deportes        College Football Playoff National Championship       2018 &gt;        The 2017 College Football Playoff National Championship was a bowl game that was used to determine a national champion of college football in the NCAA Division I Football Bowl Subdivision for the 2016 season . The game was played at Raymond James Stadium in Tampa , Florida , on January 9 , 2017 . It was the culminating game of the 2016 -- 17 bowl season .   The game was played between the winners of two pre-designated bowl games played on December 31 , 2016 : the Clemson Tigers , who defeated the Ohio State Buckeyes in the Fiesta Bowl , and the Alabama Crimson Tide , who defeated the Washington Huskies in the Peach Bowl . Having met in the previous year 's championship game , the resulting title game between Clemson and Alabama became college football 's first rematch between # 1 and # 2 in national championship game history .   The Tigers won the game 35 -- 31 on a go - ahead touchdown with one second left , having come back from a 14 -- 0 deficit earlier in the game . Clemson quarterback and Heisman Finalist Deshaun Watson set the record for most passing yards in a championship game with 420 , breaking his own record of 405 yards set in the 2016 national championship game . Deshaun Watson and Ben Boulware were named the Offensive and Defensive Most Valuable Players respectively .     Contents  ( hide )   1 Background   2 Teams   2.1 Alabama   2.2 Clemson     3 2017 College Football Playoff   4 Game summary   4.1 Scoring summary   4.2 Statistics     5 Broadcasting   6 See also   7 References   8 External links      Background ( edit )  The 2017 College Football Playoff National Championship was played at Raymond James Stadium .  Competing bids were placed to host the championship game by Tampa , Jacksonville , Minneapolis , San Antonio , San Francisco , and South Florida . Raymond James Stadium in Tampa , Florida , was announced as the host site for the third College Football Playoff ( CFP ) National Championship game on December 17 , 2013 . It became the first CFP championship game to not be held at the site of one of the `` New Year 's Six '' bowls . This championship game is part of the third annual CFP , constituted by four teams playing to decide the national champion of the NCAA Division I Football Bowl Subdivision . The four teams were originally selected by a 13 member - committee .   Teams ( edit )   The championship game was a rematch of the 2016 College Football Playoff National Championship , where Alabama defeated Clemson , 45 -- 40 . Overall , the championship game marked the 17th meeting between the two schools ; however , prior to the previous championship game , the programs had only met once in the regular season since 1975 .   Alabama ( edit )  See also : 2016 Alabama Crimson Tide football team  Alabama was led by head coach Nick Saban . The Crimson Tide were undefeated in the regular season and played the Washington Huskies in the 2016 Peach Bowl , winning 24 -- 7 .   Alabama 's defense was ranked first in the nation in points allowed ( 11.8 ) and yards per game ( 248 ) . The defense was led by defensive back Minkah Fitzpatrick , who had six interceptions and 62 total tackles .   Jalen Hurts attempted to become the first t rue freshman quarterback since 1985 and only the second ever to win the National Championship .   Alabama had four AP First - Team All - Americans on its roster and entered the game as a 6.5 - point favorite over Clemson .   Clemson ( edit )  See also : 2016 Clemson Tigers football team  Clemson was led by head coach Dabo Swinney . The Tigers entered the game with a 13 - 1 record , with their only loss being to Pittsburgh . Clemson played the Ohio State Buckeyes in the 2016 Fiesta Bowl and won , 31 -- 0 .   On offense , the Tigers were led by quarterback Deshaun Watson , who threw for 4,173 yards , 38 touchdowns and 17 interceptions on the season . Watson was also Clemson 's second - leading rusher , rushing for 586 yards and 8 touchdowns .   Clemson had two Associated Press Second - Team All - Americans and three AP Third - Team All - Americans . Clemson 's cornerback Cordrea Tankersley and defensive end Christian Wilkins were First - team All - Americans with USA Today and the Football Writers Association ( FWAA ) , respectively .   2017 College Football Playoff ( edit )       Semifinals     2017 Championship Game                           December 31 -- Fiesta Bowl         2   Clemson   31         3   Ohio State   0                 January 9 -- National Championship           2   Clemson   35         1   Alabama   31                         December 31 -- Peach Bowl         1   Alabama   24         4   Washington   7        This bracket :   view   talk   edit      Game Summary ( edit )               Total     # 2 Clemson   0   7   7   21   35     # 1 Alabama   7   7   10   7   31     Alabama opened the game with a three - and - out , and Clemson failed to capitalize , turning the ball over on downs after failing to convert a 4th &amp; 1 . On Alabama 's ensuing drive , Bo Scarbrough opened the game 's scoring with a 25 - yard rushing touchdown . The first quarter ended with Alabama leading Clemson , 7 -- 0 . Scarbrough scored again in the second quarter , on a 37 - yard rush to increase Alabama 's lead to 14 -- 0 . Clemson quarterback Deshaun Watson scored the Tigers ' first touchdown of the game on an eight -- yard run with six minutes left in the second quarter . The game went to halftime with Alabama leading , 14 -- 7 .   The Tigers turned the ball over on their first drive in the second half ; their fumble was recovered by Ryan Anderson and returned to Clemson 's 16 yard line -- the Tide increased their lead to 10 after converting a 27 - yard field goal . Clemson cut the lead to three with seven minutes left in the third quarter after Watson found Hunter Renfrow over the middle for a 24 - yard touchdown pass . After an injury to Scarbrough , the Tide came out and scored on a 68 - yard pass from Jalen Hurts to O.J. Howard on the next play ; this put Alabama back up by ten points with 1 : 53 left in the third quarter , which ended with Alabama leading Clemson , 24 -- 14 . Clemson scored just three plays into the final quarter as Watson threw a touchdown pass to Mike Williams ; this cut the lead down to 24 -- 21 . With 4 : 38 to go in the game , Clemson took their first lead in the game after Wayne Gallman scored on a one - yard touchdown rush ; Alabama got the ball back on their own 32 yard line with 4 : 38 remaining in the game . The drive came to a 3rd &amp; 16 , on which Jalen Hurts found ArDarius Stewart for a 15 - yard pass to set up a 4th &amp; 1 , which the Tide converted via a Damien Harris 5 - yard rush . Hurts found the end zone on a 30 - yard rush just a few plays later to give Alabama the lead back , 31 -- 28 .   Clemson took possession of the ball with 2 : 01 on the clock and the ball on their own 36 yard line . After another long catch by Mike Williams , the drive came to a 3rd &amp; 3 on the Alabama 32 yard line , which was converted on a pass to Renfrow to the Alabama 26 yard line with 0 : 19 left . The next play saw Watson find Jordan Leggett on a pass down to the Tide 9 yard line with 0 : 14 left . Watson threw to the end zone on 1st &amp; goal ; the pass was overthrown and the clock stopped with 0 : 09 . On 2nd &amp; goal , Watson targeted Mike Williams , who was tripped in the end zone . The resulting pass interference call gave the Tigers 1st &amp; goal with the ball placed on the 2 - yard line with 0 : 06 left . On the next play , Watson threw a touchdown pass to Renfrow with 0 : 01 left ; putting Clemson back in the lead , 35 -- 31 . After Clemson recovered an onside kick attempting to run out the clock , the game ended with a kneel - down and Clemson won the National Championship Game .   Watson , who went 36 - for - 56 ( 7001640000000000000 ♠ 64 % ) on pass attempts for 420 yards with three passing touchdowns , and ran for 43 yards and one rushing touchdown , was named the game 's Offensive Most Valuable Player . Ben Boulware , who recorded six tackles , including one for loss of yards , was named the Defensive Most Valuable Player .   Scoring Summary ( edit )     ( hide ) Scoring summary        Quarter   Time   Drive   Team   Scoring information   Score     Plays   Yards   TOP   Clemson   Alabama       9 : 23     59   0 : 58   Alabama   Bo Scarbrough 25 - yard touchdown run , Adam Griffith kick good   0   7       10 : 42   5   74   1 : 24   Alabama   Bo Scarbrough 37 - yard touchdown run , Adam Griffith kick good   0   14       6 : 09   7   87   1 : 33   Clemson   Deshaun Watson 8 - yard touchdown run , Greg Huegel kick good   7   14       12 : 25     7   1 : 29   Alabama   27 - yard field goal by Adam Griffith   7   17       7 : 10     42   1 : 03   Clemson   Hunter Renfrow 24 - yard touchdown reception from Deshaun Watson , Greg Huegel kick good   14   17       1 : 53     79   1 : 01   Alabama   O.J. Howard 68 - yard touchdown reception from Jalen Hurts , Adam Griffith kick good   14   24       14 : 00   9   72   2 : 47   Clemson   Mike Williams 4 - yard touchdown reception from Deshaun Watson , Greg Huegel kick good   21   24       4 : 38   6   88   1 : 55   Clemson   Wayne Gallman 1 - yard touchdown run , Greg Huegel kick good   28   24       2 : 07   6   68   2 : 31   Alabama   Jalen Hurts 30 - yard touchdown run , Adam Griffith kick good   28   31       0 : 01   9   68   2 : 00   Clemson   Hunter Renfrow 2 - yard touchdown reception from Deshaun Watson , Greg Huegel kick good   35   31     `` TOP '' = time of possession . For other American football terms , see Glossary of American football .   35   31        Source :   Statistics ( edit )     Statistics   Clemson   Alabama     First Downs   31   16     Plays - yards   99 -- 511   66 -- 376     Third down efficiency   7 -- 18   2 -- 15     Rushes - yards   42 -- 91   34 -- 221     Passing yards   420   155     Passing , Comp - Att - Int   36 -- 57 -- 0   14 -- 32 -- 0     Time of Possession   34 : 44   25 : 16     Source : ( 1 )       Team     Player   Statistics     Clemson     Passing   Deshaun Watson   36 / 56 , 420 yds , 3 TD     Rushing   Wayne Gallman   18 car , 46 yds , 1 TD     Receiving   Hunter Renfrow   10 rec , 92 yds , 2 TD     Alabama     Passing   Jalen Hurts   13 / 31 , 131 yds , 1 TD     Rushing   Bo Scarbrough   16 car , 93 yds , 2 TD     Receiving   O.J. Howard   4 rec , 106 yds , 1 TD     Source : ( 2 )     Broadcasting ( edit )   The game was broadcast in the United States by ESPN , ESPN Deportes ( Spanish ) , and ESPN Radio . As in past years , ESPN provided Megacast coverage of the game , which supplemented coverage with analysis and additional perspectives of the game on different ESPN channels and platforms . A 30 - second commercial cost up to $1 million to air .   The game had a total of 26.03 million viewers , and earned a 15.3 overnight Nielsen rating , a 4 % increase from the 2016 championship game . ESPN reported that the game set records in online streaming with a 710,000 average audience , 2.41 million unique viewers , and 182.5 million overall minutes watched . However , according to USA Today `` the combined overnight rating fell well short of the record for a College Football Playoff title . '' This became the third - highest watched game by streaming on ESPN , after two games from the FIFA World Cup .   See also ( edit )    College football national championships in NCAA Division I FBS    References ( edit )    Jump up ^ Johnson , Richard . `` Bama - Clemson is college football 's first - ever true title rematch '' . SBNation.com . Retrieved January 16 , 2017 .   Jump up ^ Hutchins , Andy . `` How Deshaun Watson became a superstar '' . SBNation.com . Retrieved January 16 , 2017 .   Jump up ^ Paine , Neil ( January 10 , 2017 ) . `` Deshaun Watson And Clemson Made History Against Alabama '' . FiveThirtyEight . Retrieved January 16 , 2017 .   Jump up ^ English , Antonya ; Jamison , Peter ( December 16 , 2013 ) . `` Tampa to host 2017 college football national championship '' . Tampa Bay Times . Tampa , Florida : Times Publishing Company . Retrieved July 29 , 2016 .   Jump up ^ `` Meet the College Football Playoff Selection Committee '' . USA Today . Retrieved January 10 , 2017 .   Jump up ^ `` Alabama beats Clemson 45 -- 40 to win national championship '' . Chicago Tribune . Retrieved January 10 , 2017 .   Jump up ^ `` Alabama , Clemson square off in national championship rematch '' . CNN . Retrieved January 10 , 2017 .   Jump up ^ Connelly , Bill . `` Bama vs. Clemson changed both programs last time '' . SBNation.com . Retrieved January 17 , 2017 .   ^ Jump up to : College football playoff : Alabama vs. Clemson preview , how to watch , game time for national championship . NCAA.com . January 9 , 2017 . Retrieved January 16 , 2017 .   Jump up ^ Kirshner , Alex . `` Hurts : Second - ever true freshman national champ QB ? '' . SBNation.com . Retrieved January 21 , 2017 .   Jump up ^ `` National championship , Alabama vs. Clemson predictions , picks , spread , line '' . Retrieved January 11 , 2017 .   ^ Jump up to : Badenhausen , Kurt . `` College Football National Championship : Alabama Vs. Clemson By The Numbers '' . Retrieved January 11 , 2017 .   Jump up ^ `` Clemson has 6 named to All - American Teams '' . CBSSports.com . Retrieved January 16 , 2017 .   ^ Jump up to : Zimanek , Brad ( January 10 , 2017 ) . `` Alabama 's offensive deficiencies drag Tide down '' . Montgomery Advertiser . Tampa , Florida : Gannett Company . Retrieved January 10 , 2017 .   Jump up ^ Keepfer , Scott ( January 10 , 2017 ) . `` Hunter Renfrow continues his playoff prowess '' . The Greenville News . Tampa , Florida : Gannett Company . Retrieved January 10 , 2017 .   Jump up ^ Borden , Sam ( January 10 , 2017 ) . `` Clemson Upsets Alabama to Win the College Football Championship '' . The New York Times . Tampa , Florida : The New York Times Company . Retrieved January 10 , 2017 .   Jump up ^ Bonnell , Rick ( January 10 , 2017 ) . `` Clemson rides a frantic 4th quarter to national championship '' . The Charlotte Observer . Tampa , Florida : The McClatchy Company . Retrieved January 10 , 2017 .   Jump up ^ Hurt , Cecil ( January 10 , 2017 ) . `` Alabama ca n't complete perfect season '' . The Tuscaloosa News . Tampa , Florida : GateHouse Media . Retrieved January 10 , 2017 .   Jump up ^ Auerbach , Nicole ( January 10 , 2017 ) . `` Clemson gets revenge vs. Alabama to win national championship '' . USA Today . Tampa , Florida : Gannett Company . Retrieved January 10 , 2017 .   Jump up ^ Russo , Ralph ( January 10 , 2017 ) . `` Watson and Clemson dethrone top - ranked Tide , 35 -- 31 '' . Associated Press . Tampa , Florida : AP Sports . Associated Press . Retrieved January 10 , 2017 .   Jump up ^ Clements , Ron ( January 10 , 2017 ) . `` Clemson follows MVPs Deshaun Watson , Ben Boulware to national title '' . SportingNews.com . Sporting News . Retrieved January 10 , 2017 .   Jump up ^ `` StatMonitr Stat Feed '' . Retrieved January 10 , 2017 .   Jump up ^ `` ESPN Game Summary -- Clemson vs Alabama '' . Retrieved January 10 , 2017 .   Jump up ^ `` 2017 College Football Playoff Championship Megacast : What 's on each ESPN network '' . SB Nation . Retrieved January 10 , 2017 .   Jump up ^ Barrabi , Thomas ( January 10 , 2017 ) . `` Alabama - Clemson Football : Thrilling Upset , But TV Ratings Sink '' . Retrieved January 11 , 2017 .   Jump up ^ `` Clemson - Alabama title game ratings better than last year , but far off record '' . Retrieved January 11 , 2017 .    External links ( edit )    Official website              2016 -- 17 NCAA football bowl game season       New Mexico ( Dec. 17 )   Las Vegas ( Dec. 17 )   Camellia ( Dec. 17 )   Cure ( Dec. 17 )   New Orleans ( Dec. 17 )   Miami Beach ( Dec. 19 )   Boca Raton ( Dec. 20 )   Poinsettia ( Dec. 21 )   Famous Idaho Potato ( Dec. 22 )   Armed Forces ( Dec. 23 )   Bahamas ( Dec. 23 )   Dollar General ( Dec. 23 )   Hawaii ( Dec. 24 )   Quick Lane ( Dec. 26 )   St. Petersburg ( Dec. 26 )   Independence ( Dec. 26 )   Heart of Dallas ( Dec. 27 )   Military ( Dec. 27 )   Cactus ( Dec. 27 )   Holiday ( Dec. 27 )   Russell Athletic ( Dec. 28 )   Pinstripe ( Dec. 28 )   Texas ( Dec. 28 )   Foster Farms ( Dec. 28 )   Alamo ( Dec. 29 )   Birmingham ( Dec. 29 )   Belk ( Dec. 29 )   Orange ( Dec. 30 )   Liberty ( Dec. 30 )   Arizona ( Dec. 30 )   Music City ( Dec. 30 )   Sun ( Dec. 30 )   TaxSlayer ( Dec. 31 )   Citrus ( Dec. 31 )   Outback ( Jan. 2 )   Rose ( Jan. 2 )   Sugar ( Jan. 2 )   Cotton ( Jan. 2 )         College Football Playoff games : Peach ( semifinal ) ( Dec. 31 )   Fiesta ( semifinal ) ( Dec. 31 )   National Championship Game ( Jan. 9 )         All - Star Games : 2017 East -- West Shrine Game ( Jan. 21 )   NFLPA Collegiate Bowl ( Jan. 21 )   Senior Bowl ( Jan. 28 )                 College Football Playoff     Championships      Overview     College Football Playoff National Championship       Games     2014 ( Jan 2015 )   2015 ( Jan 2016 )   2016 ( Jan 2017 )   2017 ( Jan 2018 )   2018   2019          Semifinal Bowls      Rose     2014 ( Jan 2015 ) , 2017 ( Jan 2018 )       Sugar     2014 ( Jan 2015 ) , 2017 ( Jan 2018 )       Orange     2015 ( Dec 2015 ) , 2018       Cotton     2015 ( Dec 2015 ) , 2018       Peach     2016 ( Dec 2016 ) , 2019       Fiesta     2016 ( Dec 2016 ) , 2019          Other     List of College Football Playoff games   New Year 's Six   College Football Playoff National Championship Trophy   NCAA Division I FBS champions   Mythical national championship   Plus - One system   Power Five conferences                 Alabama Crimson Tide bowl games       1926 Rose Bowl   1927 Rose Bowl   1931 Rose Bowl   1935 Rose Bowl   1938 Rose Bowl   1942 Cotton Bowl Classic   1943 Orange Bowl   1945 Sugar Bowl   1946 Rose Bowl   1948 Sugar Bowl   1953 Orange Bowl   1954 Cotton Bowl Classic   1959 Liberty Bowl   1960 Bluebonnet Bowl   1962 Sugar Bowl   1963 Orange Bowl   1964 Sugar Bowl   1965 Orange Bowl   1966 Orange Bowl   1967 Sugar Bowl   1968 Cotton Bowl Classic   1968 Gator Bowl   1969 Liberty Bowl   1970 Astro - Bluebonnet Bowl   1972 Orange Bowl   1973 Cotton Bowl Classic   1973 Sugar Bowl   1975 Orange Bowl   1975 Sugar Bowl   1976 Liberty Bowl   1978 Sugar Bowl   1979 Sugar Bowl   1980 Sugar Bowl   1981 Cotton Bowl Classic   1982 Cotton Bowl Classic   1982 Liberty Bowl   1983 Sun Bowl   1985 Aloha Bowl   1986 Sun Bowl   1988 Hall of Fame Bowl   1988 Sun Bowl   1990 Sugar Bowl   1991 Fiesta Bowl   1991 Blockbuster Bowl   1993 Sugar Bowl #   1993 Gator Bowl   1995 Florida Citrus Bowl   1997 Outback Bowl   1998 Music City Bowl   2000 Orange Bowl   2001 Independence Bowl   2004 Music City Bowl   2006 Cotton Bowl Classic   2006 Independence Bowl   2007 Independence Bowl   2009 Sugar Bowl   2010 BCS National Championship Game #   2011 Capital One Bowl   2012 BCS National Championship Game #   2013 BCS National Championship Game #   2014 Sugar Bowl   2015 Sugar Bowl /   2015 Cotton Bowl Classic /   2016 College Football Playoff National Championship #   2016 Peach Bowl /   2017 College Football Playoff National Championship #    Pound sign ( # ) denotes national championship game . Forward slash ( / ) denotes College Football Playoff semifinal game                Clemson Tigers bowl games       1940 Cotton Bowl Classic   1949 Gator Bowl   1951 Orange Bowl   1952 Gator Bowl   1957 Orange Bowl   1959 Sugar Bowl   1959 Bluebonnet Bowl   1977 Gator Bowl   1978 Gator Bowl   1979 Peach Bowl   1982 Orange Bowl #   1985 Independence Bowl   1986 Gator Bowl   1988 Florida Citrus Bowl   1989 Florida Citrus Bowl   1989 Gator Bowl   1991 Hall of Fame Bowl   1992 Florida Citrus Bowl   1993 Peach Bowl   1996 Gator Bowl   1996 Peach Bowl   1998 Peach Bowl   1999 Peach Bowl   2001 Gator Bowl   2001 Humanitarian Bowl   2002 Tangerine Bowl   2004 Peach Bowl   2005 Champs Sports Bowl   2006 Music City Bowl   2007 Chick - fil - A Bowl   2009 Gator Bowl   2009 Music City Bowl   2010 Meineke Car Care Bowl   2012 Orange Bowl   2012 Chick - fil - A Bowl   2014 Orange Bowl   2014 Russell Athletic Bowl   2015 Orange Bowl   2016 College Football Playoff National Championship #   2016 Fiesta Bowl   2017 College Football Playoff National Championship #    Pound sign ( # ) denotes national championship game .     Retrieved from `` https://en.wikipedia.org/w/index.php?title=2017_College_Football_Playoff_National_Championship&amp;oldid=797268530 '' Categories :   2016 -- 17 NCAA football bowl games   2016 -- 17 College Football Playoff   Alabama Crimson Tide football bowl games   Clemson Tigers football bowl games   2017 in sports in Florida   Sports competitions in Tampa , Florida   American football in Florida   21st century in Tampa , Florida   January 2017 sports events in the United States   Hidden categories :   Use mdy dates from January 2017           Talk                                           Contents                   About Wikipedia                                           Français   Edit links   This page was last edited on 25 August 2017 , at 23 : 51 .         About Wikipedia                    </t>
  </si>
  <si>
    <t xml:space="preserve">where is the college football national championship played this year</t>
  </si>
  <si>
    <t xml:space="preserve">2017 College Football Playoff National Championship was a bowl game that was used to determine a national champion of college football in the NCAA Division I Football Bowl Subdivision for the 2016 season . The game was played at Raymond James Stadium in Tampa , Florida , on January 9 , 2017 . It was the culminating game of the 2016 -- 17 bowl season .   The</t>
  </si>
  <si>
    <r>
      <rPr>
        <sz val="11"/>
        <color rgb="FF000000"/>
        <rFont val="Calibri"/>
        <family val="0"/>
        <charset val="1"/>
      </rPr>
      <t xml:space="preserve">French kiss - wikipedia  French kiss  This article is about the type of kiss . For other uses , see French kiss ( disambiguation ) . Two people French kissing  In English informal speech , a French kiss , also known as a deep kiss , is an amorous kiss in which the participants ' tongues extend to touch each other 's lips or tongue . A `` kiss with the tongue '' stimulates the partner 's lips , tongue and mouth , which are sensitive to the touch and induce physiological sexual arousal . The oral zone is one of the principal erogenous zones of the body . The implication is of a slow , passionate kiss which is considered intimate , romantic , erotic or sexual . The sensation when two tongues touch , also known as `` tongue touching '' , has been proven to stimulate endorphin release and reduce acute stress levels . French kissing is often described as ' 1st base ' , and is used by many as an indicator of what stage a relationship has reached .   Contents    1 Etymology   2 Disease risks   3 See also   4 References   5 External links    Etymology ( edit )   A French kiss is so called because at the beginning of the 20th century , in the English - speaking world , the French had acquired a reputation for more adventurous and passionate sex practices . It originated in America and Great Britain . In France , it is referred to as un baiser amoureux ( `` a lover 's kiss '' ) or un baiser avec la langue ( `` a kiss with the tongue '' ) , even if in past times it was also known as baiser Florentin ( `` Florentine kiss '' ) . The Petit Robert 2014 French dictionary , released on May 30 , 2013 , added the French verb `` se galocher '' -- slang for kissing with tongues -- making it the first time a single word described the practice ( except in Quebec , where the verb `` frencher '' means French kissing ; Australia , where the term `` pash '' is used ; the English verb '' shift '' is used in casual conversation in Ireland ; the German verb knutschen ; the Italian verbs limonare and pomiciare ; and the Hungarian verb megcsókol / csókolózik ) .   Disease risks ( edit )   French kissing carries moderate risk of HPV . The possibility of contracting HIV from French kissing is extremely low as transmission would require an open wound . Centers for Disease Control and Prevention considers transmission of Hepatitis B via French kissing to be an unlikely mode of infection . Occasionally syphilis can be passed through prolonged French kissing , but this usually requires contact with an active lesion . French kissing is an unlikely mode of transmission of infection by Hepatitis B or gonorrhea .   See also ( edit )    Human sexual activity   Oral sex   Fellatio   Cunnilingus     Socialist fraternal kiss    References ( edit )    Jump up ^ Toglia , Michelle ( 2013 - 07 - 12 ) . `` Pucker Up : The Origin Of The French Kiss '' . Tango Media . Retrieved 2018 - 10 - 29 .   Jump up ^ `` French kissing ups risk of oral HPV infection '' . Reuters . Retrieved 12 May 2009 .   Jump up ^ `` HIV / AIDS 101 '' ( PDF ) . Centers for Disease Control and Prevention . Retrieved 12 May 2015 .   Jump up ^ `` Man with HIV may have infected partner with a kiss '' . CNN . 10 July 1997 . Retrieved 12 May 2015 .   ^ Jump up to : `` Hepatitis B '' ( PDF ) . CDC. 2012 - 05 - 08 . Retrieved 2015 - 05 - 12 .   Jump up ^ `` Syphilis Symptoms , Causes , and Diagnosis '' . WebMD . Retrieved 2015 - 05 - 12 .   Jump up ^ Fantry , M.D. , M.P.H. , Lori E. ; Tramont , M.D. , F.A.C.P. , Edmund C. `` Treponema Pallidum ( Syphilis ) '' . Retrieved 2015 - 05 - 12 . CS1 maint : Multiple names : authors list ( link )   Jump up ^ Connelly , D.D.S. , Thomas P. ( 2012 - 01 - 23 ) . `` Oral Gonorrhea ? Yes , You Can Get Gonorrhea of the Mouth and Throat '' . The Huffington Post . Retrieved 2015 - 05 - 12 .    External links ( edit )       Wikimedia Commons has media related to Tongue kisses .      Discussion of the `` biochemistry , psychology , anthropology and history of kissing '' on BBC Radio 4 in July 2017 .   Retrieved from `` https://en.wikipedia.org/w/index.php?title=French_kiss&amp;oldid=866396000 '' Categories :   Oral eroticism   Kissing   Tongue   Hidden categories :   CS1 maint : Multiple names : authors list           Talk                                           Contents                   About Wikipedia                                                   বাংলা   Deutsch   Emiliàn e rumagnòl   Español   فارسی   Français   Frysk   </t>
    </r>
    <r>
      <rPr>
        <sz val="11"/>
        <color rgb="FF000000"/>
        <rFont val="Noto Sans CJK SC"/>
        <family val="2"/>
      </rPr>
      <t xml:space="preserve">한국어   </t>
    </r>
    <r>
      <rPr>
        <sz val="11"/>
        <color rgb="FF000000"/>
        <rFont val="Calibri"/>
        <family val="0"/>
        <charset val="1"/>
      </rPr>
      <t xml:space="preserve">Հայերեն   Bahasa Indonesia   Italiano   Kinyarwanda   Lietuvių   مازِرونی   မြန်မာဘာသာ   Nederlands   </t>
    </r>
    <r>
      <rPr>
        <sz val="11"/>
        <color rgb="FF000000"/>
        <rFont val="Noto Sans CJK SC"/>
        <family val="2"/>
      </rPr>
      <t xml:space="preserve">日本 語   </t>
    </r>
    <r>
      <rPr>
        <sz val="11"/>
        <color rgb="FF000000"/>
        <rFont val="Calibri"/>
        <family val="0"/>
        <charset val="1"/>
      </rPr>
      <t xml:space="preserve">Norsk   Norsk nynorsk   Oʻzbekcha / ўзбекча   ਪੰਜਾਬੀ   پنجابی   Polski   Português   Русский   Simple English   Suomi   Tagalog   Türkçe   Українська   </t>
    </r>
    <r>
      <rPr>
        <sz val="11"/>
        <color rgb="FF000000"/>
        <rFont val="Noto Sans CJK SC"/>
        <family val="2"/>
      </rPr>
      <t xml:space="preserve">中文  </t>
    </r>
    <r>
      <rPr>
        <sz val="11"/>
        <color rgb="FF000000"/>
        <rFont val="Calibri"/>
        <family val="0"/>
        <charset val="1"/>
      </rPr>
      <t xml:space="preserve">23 more  Edit links   This page was last edited on 30 October 2018 , at 02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</si>
  <si>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term french kissing come from</t>
  </si>
  <si>
    <t xml:space="preserve"> A French kiss is so called because at the beginning of the 20th century , in the English - speaking world , the French had acquired a reputation for more adventurous and passionate sex practices . It originated in America and Great Britain . In France , it is referred to as un baiser amoureux ( `` a lover 's kiss '' ) or un baiser avec la langue ( `` a kiss with the tongue '' ) , even if in past times it was also known as baiser Florentin ( `` Florentine kiss '' ) . The Petit Robert 2014 French dictionary , released on May 30 , 2013 , added the French verb `` se galocher '' -- slang for kissing with tongues -- making it the first time a single word described the practice ( except in Quebec , where the verb `` frencher '' means French kissing ; Australia , where the term `` pash '' is used ; the English verb '' shift '' is used in casual conversation in Ireland ; the German verb knutschen ; the Italian verbs limonare and pomiciare ; and the Hungarian verb megcsókol / csókolózik ) . </t>
  </si>
  <si>
    <t xml:space="preserve">The world 's 100 most threatened species - wikipedia  The world 's 100 most threatened species  Jump to : navigation , search Asiatic cheetah with fewer than 70 still alive in the wild Silky sifaka ( Propithecus candidus ) , fewer than 1,000 still alive  The World 's 100 most threatened species is a compilation of the most threatened animals , plants , and fungi in the world . It was the result of a collaboration between over 8,000 scientists from the International Union for Conservation of Nature Species Survival Commission ( IUCN SSC ) , along with the Zoological Society of London . The report was published by the Zoological Society of London in 2012 as the book , Priceless or Worthless ?   While all the species on the list are threatened with extinction , the scientists who chose them had another criterion : all the species have no obvious benefit for humans and therefore have no vested interests trying to save them . Iconic and charismatic species , such as tigers and pandas -- along with economically important species -- have many defenders , while these apparently `` worthless '' species had none . The title of the report , `` Priceless or Worthless ? '' , is based on that shared quality of the species . The report 's co-author , Ellen Butcher , stated one of the guiding principles of the list , `` If we take immediate action we can give them a fighting chance for survival . But this requires society to support the moral and ethical position that all species have an inherent right to exist . ''   The report was released in Jeju , South Korea , on September 11 , 2012 , at the quadrennial meeting of IUCN , the World Conservation Congress . At the Congress , it was reported that scientists are finding it more and more common to have to justify funding for protection of species by showing what the human benefits would be . Jonathan Baillie , of the Zoological Society of London and co-author of the report , stated that , `` The donor community and conservation movement are increasingly leaning towards a ' what can nature do for us ? ' approach , where species and wild habitats are valued and prioritised according to these services they provided for people . This has made it increasingly difficult for conservationists to protect the most threatened species on the planet . ''   Some of the threatened species are down to only a handful of surviving members . Santa Catarina 's guinea pig , native to a single island in Brazil , is down to its last 40 -- 60 individuals , reduced by hunting and habitat disturbance . The great Indian bustard is threatened by habitat loss resulting from agriculture and human development , and is down to the last 50 -- 249 individuals . Elaeocarpus bojeri , a flowering plant found only on the island of Mauritius , has fewer than 10 surviving individuals , because of loss of habitat . The Baishan fir ( Abies beshanzuensis ) , native to China , is down to five surviving mature individuals . Priceless or Worthless ? describes the threats that each species is facing , along with measures that would aid their survival .     Contents  ( hide )   1 Species list   2 See also   3 References   4 External links      Species list ( edit )   The world 's 100 most threatened species   Species   Common name   Type   Image   Location ( s )   Estimated population   Threats     Abies beshanzuensis   Baishan fir   Plant ( flower )     Baishanzu Mountain , Zhejiang , China   Five mature individuals     agriculture   fire       Actinote zikani     Insect ( butterfly )     Near São Paulo , Atlantic forest , Brazil   Unknown     habitat loss from human expansion       Aipysurus foliosquama   Leaf scaled sea - snake   Reptile     Ashmore Reef and Hibernia Reef , Timor Sea   Unknown     unknown -- probably degradation of coral reef habitat       Amanipodagrion gilliesi   Amani flatwing   Insect ( damselfly )     Amani - Sigi Forest , Usamabara Mountains , Tanzania       population pressure and water pollution       Anisolabis seychellensis     Insect     Morne Blanc , Mahé island , Seychelles   Unknown     invasive species   climate change       Antilophia bokermanni   Araripe manakin   Bird     Chapado do Araripe , South Ceará , Brazil   779 individuals     recreational facilities   water diversion       Aphanius transgrediens   Aci Göl toothcarp   Fish     south - eastern shore of former Lake Aci , Turkey   few hundred pairs     competition and predation by Gambusia   road construction       Aproteles bulmerae   Bulmer 's fruit bat   Mammal     Luplupwintern Cave , Western Province , Papua New Guinea   150     hunting   cave disturbance       Ardea insignis   White bellied heron   Bird     Bhutan , North East India and Myanmar   70 -- 400 individuals     hydropower development       Ardeotis nigriceps   Great Indian bustard   Bird     Rajasthan , Gujarat , Maharashtra , Andhra Pradesh , Karnataka and Madhya , India   50 -- 249 mature individuals     agricultural development       Astrochelys yniphora   Ploughshare tortoise   Reptile     Baly Bay region , northwestern Madagascar   440 -- 770     illegal collection for international pet trade       Atelopus balios   Rio Pescado stubfoot toad   Amphibian     Azuay , Cañar and Guyas provinces , south - western Ecuador   Unknown     Chytridiomycosis   logging   agricultural expansion       Aythya innotata   Madagascar pochard   Bird     volcanic lakes north of Bealanana , Madagascar   80 mature individuals     agriculture   hunting and fishing   introduced fish       Azurina eupalama   Galapagos damsel fish   Fish     Unknown   Unknown     climate change   oceanographic changes related to the 1982 / 1983 El Nino       Bahaba taipingensis   Giant yellow croaker   Fish     Chinese coast from Yangtze River , China to Hong Kong   Unknown     over-fishing due to value of swim - bladder in traditional medicine       Batagur baska   Common batagur   Reptile ( turtle )     Bangladesh , Cambodia , India , Indonesia and Malaysia   Unknown     illegal export China       Bazzania bhutanica     Plant     Budini and Lafeti Khola , Bhutan   2 sub-populations     forest clearance   overgrazing   development       Beatragus hunteri   Hirola   Mammal ( antelope )     South - east Kenya and possibly south - west Somalia       habitat loss   competition with livestock   poaching       Bombus franklini   Franklin 's bumblebee   Insect ( bee )     Oregon and California   Unknown     disease from commercial bumblebees   habitat destruction and degradation       Brachyteles hypoxanthus   Northern muriqui Woolly spider monkey   Mammal ( primate )     Atlantic forest , south - eastern Brazil       large - scale deforestation and logging       Bradypus pygmaeus   Pygmy three - toed sloth   Mammal     Isla Escudo de Veraguas , Panama       illegal logging of mangrove forests for firewood and construction   hunting       Callitriche pulchra     Plant ( freshwater )     pool on Gavdos , Greece   Unknown     habitat exploitation by livestock   modification of the pool by locals       Calumma tarzan   Tarzan 's chameleon   Reptile     Anosibe An'Ala region , eastern Madagascar       agriculture       Cavia intermedia   Santa Catarina 's guinea pig   Mammal ( rodent )     Moleques do Sul Island , Santa Catarina , Brazil   40 -- 60     habitat disturbance   possible hunting   result of having such a small population       Cercopithecus roloway   Roloway guenon   Mammal ( primate )     Côte d'Ivoire   Unknown     hunting   habitat loss       Coleura seychellensis   Seychelles sheath - tailed bat   Mammal ( bat )     Two small caves on Silhouette and Mahé , Seychelles       habitat degradation   predation by invasive species       Cryptomyces maximus   Willow blister   Fungi     Pembrokeshire , United Kingdom   Unknown     limited habitat       Cryptotis nelsoni   Nelson 's small - eared shrew   Mammal ( shrew )     Volcán San Martín Tuxtla , Veracruz , Mexico   Unknown     logging   cattle grazing   fire   agriculture       Cyclura collei   Jamaican iguana Jamaican rock iguana   Reptile     Hellshire Hills , Jamaica   Unknown     habitat destruction   predation by introduced species       Daubentonia Madagascariensis   Aye - aye   Mammal ( primate )     Deciduous forest , East Madagascar   Unknown     poaching     limited habitat       Dendrophylax fawcettii   Cayman Islands ghost orchid   Plant ( orchid )     Ironwood Forest , George Town , Grand Cayman   Unknown     infrastructure development       Dicerorhinus sumatrensis   Sumatran rhino   Mammal ( rhino )     Sabah , Sarawak and Peninsular Malaysia , Kalimantan and Sumatra , Indonesia       hunting ( horn is used in traditional medicine )       Diomedea amsterdamensis   Amsterdam albatross   Bird     Breeds on Plateuau des Tourbières , Amsterdam Island , Indian Ocean .   100 mature individuals     disease   incidental by - catch in long - line fishing       Dioscorea strydomiana   Wild yam   Plant     Oshoek area , Mpumalanga , South Africa   200     collection for medicinal use       Diospyros katendei     Plant ( tree )     Kasyoha - Kitomi Forest Reserve , Uganda   20 individuals in a single population     agricultural activity   illegal tree felling   alluvial gold digging   small population       Dipterocarpus lamellatus     Plant ( tree )     Siangau Forest Reserve , Sabah , Malaysia   12 individuals     logging of lowland forest   creation of industrial plantations       Discoglossus nigriventer   Hula painted frog   Amphibian     Hula Valley , Israel   Unknown     predation by birds   range restriction due to habitat destruction       Dombeya mauritiana     Plant     Mauritius   Unknown     encroachment by invasive plant species   habitat loss due to cannabis cultivation       Elaeocarpus bojeri   Bois Dentelle   Plant ( tree )     Grand Bassin , Mauritius       habitat degradation       Eleutherodactylus glandulifer   La Hotte glanded frog   Amphibian     Massif de la Hotte , Haiti   Unknown     charcoal production   slash - and - burn agriculture       Eleutherodactylus thorcetes   Macaya breast - spot frog   Amphibian     Formon and Macaya peaks , Masif de la Hotte , Haiti   Unknown     charcoal production   slash - and - burn agriculture       Eriosyce chilensis   Chilenito ( cactus )   Plant     Pta Molles and Pichidungui , Chile       collection of flowering plants       Erythrina schliebenii   Coral tree   Plant     Namatimbili - Ngarama Forest , Tanzania       limited habitat and small population size increase vulnerability       Euphorbia tanaensis     Plant ( tree )     Witu Forest Reserve , Kenya   4 mature individuals     illegal logging   agricultural expansion   infrastructure development       Eurynorhyncus pygmeus   Spoon - billed sandpiper   Bird     Breeds in Russia , migrates along the East Asian - Australasian Flyway to wintering grounds in India , Bangladesh and Myanmar   100 breeding pairs     trapping   land reclamation       Ficus katendei     Plant     Kasyoha - Kitomi Forest Reserve , Ishasha River , Uganda       agriculture   illegal tree felling   alluvial gold digging       Geronticus eremita   Northern bald ibis   Bird     Breeds in Morocco , Turkey and Syria . Syrian population winters in  central Ethiopia .    200 -- 249 mature individuals     habitat degradation and destruction   hunting       Gigasiphon macrosiphon     Plant ( flower )     Kaya Muhaka , Gongoni and Mrima Forest Reserves , Kenya , Amani Nature Reserve , West Kilombero Scarp Forest Reserve , and Kihansi Gorge , Tanzania   33     timber extraction   agriculture encroachment and development   predation by wild pigs       Gocea ohridana     Mollusc     Lake Ohrid , Macedonia   Unknown     increasing pollution levels   off - take of water   sedimentation events       Heleophryne rosei   Table mountain ghost frog   Amphibian     Table Mountain , Western Cape Province , South Africa   Unknown     invasive plants   water abstraction       Hemicycla paeteliana     Mollusc ( land snail )     Jandia peninsula , Fuerteventura , Canary Islands   Unknown     overgrazing   trampling by goats and tourists       Heteromirafa sidamoensis   Liben lark   Bird     Liben Plains , southern Ethiopia   90 -- 256     agricultural expansion   overgrazing   fire suppression       Hibiscadelphus woodii     Plant ( tree )     Kalalau Valley , Hawaii   Unknown     habitat degradation due to feral ungulates   competition with invasive plant species       Hucho perryi   Sakhalin taimen   Fish     Russian and Japanese rivers , Pacific Ocean between Russia and Japan   Unknown     overfishing   damming   agriculture   other land use       Johora singaporensis   Singapore freshwater crab   Crustacean     Bukit Timah Nature Reserve and streamlet near Bukit Batok , Singapore   Unknown     habitat degradation due to reduction in water quality and quantity       Lathyrus belinensis   Belin vetchling   Plant     Outskirts of Belin village , Antalya , Turkey       urbanisation   over-grazing   conifer planting   road widening       Leiopelma archeyi   Archey 's frog   Amphibian     Coromandel peninsula and Whareorino Forest , New Zealand   Unknown     Chytridiomycosis   predation by invasive species       Lithobates sevosus   Dusky gopher frog   Amphibian     Harrison County , Mississippi , USA   60 -- 100     fungal disease   climate change   land - use changes       Lophura edwardsi   Edwards 's pheasant   Bird     Quang Binh , Quang Tri and Thua Thien - Hue , Viet Nam   Unknown     habitat loss   hunting       Magnolia wolfii     Plant ( tree )     Risaralda , Colombia       isolation of species   low regeneration rates       Margaritifera marocana     Mollusc     Oued Denna , Oued Abid and Oued Beth , Morocco       pollution   development       Moominia willii     Mollusc ( snail )     Silhouette Island , Seychelles       invasive species   climate change       Natalus primus   Cuban greater funnel eared bat   Mammal ( bat )     Cueva La Barca , Isle of Pines , Cuba       habitat loss   human disturbance       Nepenthes attenboroughii   Attenborough 's pitcher plant   Plant     Mount Victoria , Palawan , Philippines   Unknown     poaching       Nomascus hainanus   Hainan black crested gibbon   Mammal ( primate )     Hainan Island , China   20     hunting       Neurergus kaiseri   Luristan newt   Amphibian     Zagros Mountains , Lorestan , Iran       illegal collection for pet trade       Oreocnemis phoenix   Mulanje red damsel   Insect ( damselfly )     Mulanje Plateau , Malawi   Unknown     habitat destruction and degradation due to drainage   agricultural expansion   exploitation of forest       Pangasius sanitwongsei   Pangasid catfish   Fish     Chao Phraya and Mekong basins in Cambodia , China , Lao PDR , Thailand and Viet Nam   Unknown     overfishing   collection for aquarium trade       Parides burchellanus     Insect ( butterfly )     Cerrado , Brazil       human expansion   limited range       Phocoena sinus   Vaquita   Mammal ( porpoise )     Northern Gulf of California , Mexico       capture in fishermen 's gillnets       Picea neoveitchii   Type of spruce tree   Plant ( tree )     Qinling Range , China   Unknown     destruction of forest       Pinus squamata   Qiaojia pine   Plant ( tree )     Qiaojia , Yunnan , China       limited distribution   small population size       Poecilotheria metallica   Gooty tarantula Metallic tarantula Peacock tarantula Salepurgu   Spider     Nandyal and Giddalur , Andhra Pradesh , India   Unknown     deforestation   firewood collection   civil unrest       Pomarea whitneyi   Fatuhiva monarch   Bird     Fatu Hiva , Marquesas Islands , French Polynesia   50     predation by introduced species - Rattus rattus and feral cats       Pristis pristis   Common sawfish   Fish     Coastal tropical and subtropical waters of Indo - Pacific and Atlantic Oceans . Currently largely restricted to northern Australia   Unknown     exploitation has removed the species from 95 per cent of its historical range       Prolemur simus   Greater bamboo lemur   Mammal ( primate )     Southeastern and southcentral rainforests of Madagascar   500     agriculture   mining   illegal logging       Propithecus candidus   Silky sifaka   Mammal ( primate )     Maroantsetra to Andapa basin , and Marojeju Massif , Madagascar   100 -- 1,000     hunting   habitat disturbance       Psammobates geometricus   Geometric tortoise   Reptile     Western Cape Province , South Africa   Unknown     loss of habitat destruction   predation       Pseudoryx nghetinhensis   Saola   Mammal     Annamite mountains , on the Viet Nam - PDR Laos border   Unknown     habitat destruction   hunting       Psiadia cataractae     Plant     Mauritius   Unknown     development project   competition from invasive plant species       Psorodonotus ebneri   Beydaglari bush - cricket   Insect     Beydaglari range , Antalaya , Turkey   Unknown     climate change   habitat loss       Rafetus swinhoei   Red River giant softshell turtle   Reptile     Hoan Kiem Lake and Dong Mo Lake , Viet Nam , and Suzhou Zoo , China       hunting for consumption   wetland destruction   pollution       Rhinoceros sondaicus   Javan rhino   Mammal ( rhino )     Ujung Kulon National Park , Java , Indonesia       hunting for traditional medicine   small population size       Rhinopithecus avunculus   Tonkin snub - nosed monkey   Mammal ( primate )     Northeastern Vietnam       habitat loss   hunting       Rhizanthella gardneri   West Australian underground orchid   Plant ( orchid )     Western Australia , Australia       land clearance for agriculture   climate change   salinisation       Rhynchocyon spp .   Boni giant sengi   Mammal ( shrew )     Boni - Dodori Forest , Lamu area , Kenya   Unknown     development causing habitat loss       Risiocnemis seidenschwarzi   Cebu frill - wing   Insect ( damselfly )     Rivulet beside the Kawasan River , Cebu , Philippines   Unknown     habitat degradation and destruction       Rosa arabica     Plant     St Katherine Mountains , Egypt   Unknown , 10 sub-populations     domestic animal grazing   climate change and drought   medicinal plant collecting   limited range       Salanoia durrelli   Durrell 's vontsira   Mammal ( mongoose )     Marshes of Lake Alaotra , Madagascar   Unknown     loss of habitat       Santamartamys rufodorsalis   Red crested tree rat   Mammal ( rodent )     Sierra Nevada de Santa Marta , Colombia   Unknown     urban development   coffee cultivation       Scaturiginichthys vermeilipinnis   Red - finned blue - eye   Fish     Edgbaston Station , central western Queensland , Australia   2,000 -- 4,000     predation by introduced species       Squatina squatina   Angel shark   Fish     Canary Islands   Unknown     benthic trawling       Sterna bernsteini   Chinese crested tern   Bird     Breeding in Zhejiang and Fujian , China . Outside breeding season in Indonesia , Malaysia , Philippines , Taiwan , Thailand .       habitat destruction   egg collection       Syngnathus watermeyeri   Estuarine pipefish   Fish     Kariega Estuary to East Kleinemonde Estuary , Eastern Cape Province , South Africa   Unknown     dam construction is altering river flows   flood events into estuaries       Tahina spectabilis   Suicide palm Dimaka   Plant     Analalava district , north - western Madagascar   90     fires   logging   agricultural developments       Telmatobufo bullocki   Bullock 's false toad   Amphibian ( frog )     Nahuelbuta , Arauco Province , Chile   Unknown     construction of hydro - electricity       Tokudaia muenninki   Okinawa spiny rat   Mammal ( rodent )     Okinawa Island , Japan   Unknown     habitat loss   predation by feral cats       Trigonostigma somphongsi   Somphongs 's rasbora   Fish     Mae Khlong basin , Thailand   Unknown     farmland conversion and urbanization       Valencia letourneuxi     Fish     Southern Albania and Western Greece   Unknown     habitat destruction   water abstraction   aggressive interaction with Gambusia       Voanioala gerardii   Forest coconut   Plant     Masoala peninsula , Madagascar       deforestation   harvesting for consumption of palm heart       Zaglossus attenboroughi   Attenborough 's echidna   Mammal     Cyclops Mountains , Papua Province , Indonesia   Unknown     habitat modification and degradation   logging   agricultural encroachment shifting cultivation and hunting by local people       See also ( edit )    Extinct and Endangered Species portal     The World 's 25 Most Endangered Primates   Lists of organisms by population    References ( edit )    ^ Jump up to : `` Report lists world 's 100 most threatened species , urges action '' . The Globe and Mail . 11 September 2012 . Retrieved 17 September 2012 .   Jump up ^ `` The 100 most threatened species '' . ZSL Living Conservation . The Zoological Society of London . Retrieved 16 September 2012 .   ^ Jump up to : Baillie , Jonathan EM ; Ellen R Butcher ( 2012 ) . Priceless or Worthless ? ( PDF ) . ZoolFlyway to wintering grounds in Indiaogical Society of London . ISBN 978 - 0 - 900881 - 67 - 1 .   ^ Jump up to : Harvey , Fiona ( 10 September 2012 ) . `` The expendables ? World 's 100 most endangered species listed '' . The Guardian . Retrieved 17 September 2012 .   Jump up ^ Kew Magazine stated that , `` A strong and consistent moral and ethical stance needs to be taken , they ( the authors of The List ) argue , that all species have a right to exist . '' Harrison , Christina . `` Every species counts '' . Kew Magazine Blog . Royal Botanic Gardens , Kew . Retrieved 19 September 2012 .   Jump up ^ `` The Best Argument for Saving Threatened Species That Do Not Benefit Humans '' . Smithsonian.com . Smithsonian Institution . 12 September 2012 . Retrieved 17 September 2012 .    External links ( edit )    IUCN Species Survival Commission              Threatened species     Template : Threatened species by region     IUCN Red List      Categories      Extinct     Extinct ( EX )   Extinct in the Wild ( EW )       Threatened     Critically Endangered ( CR )   Endangered ( EN )   Vulnerable ( VU )       Lower risk     Near Threatened ( NT )   Least Concern ( LC )   Lower Risk ( LR )   Conservation Dependent ( LR / cd )       Not fully assessed     Data Deficient ( DD )   Not Evaluated ( NE )          Species      Lists     Extinct   Extinct in the Wild   Critically Endangered   Endangered   Vulnerable   Near Threatened   Least Concern   Data Deficient       WP categories     Extinct   Extinct in the Wild   Critically Endangered   Endangered   Vulnerable   Near Threatened   Least Concern   Data Deficient       CITES     Appendix I   Appendix II   Appendix III               By taxa     Endangered arthropods / spiders   Threatened Banksia / rays / sharks / Fungi / Chromista   The World 's 25 Most Endangered Primates   The world 's 100 most threatened species       Conservation     Biodiversity action plan   Biodiversity threats   Conservation biology   CITES   ARKive   Bird conservation   Conservation status   Conservation - reliant species   Ecoregion conservation status   Habitat destruction   Latent extinction risk   Rare species   Vulnerability and susceptibility       Pre-2001 categories and subcategories shown in italics .    Retrieved from `` https://en.wikipedia.org/w/index.php?title=The_world%27s_100_most_threatened_species&amp;oldid=840740778 '' Categories :   Conservation   Endangered species   International Union for Conservation of Nature   Lists of superlatives           Talk                                           Contents                   About Wikipedia                                           Français   Latviešu   Русский   Simple English   Українська   Tiếng Việt   Edit links   This page was last edited on 11 May 2018 , at 21 : 19 .         About Wikipedia                    </t>
  </si>
  <si>
    <t xml:space="preserve">what is the most threatened animal in the world</t>
  </si>
  <si>
    <t xml:space="preserve"> The world 's 100 most threatened species   Species   Common name   Type   Image   Location ( s )   Estimated population   Threats     Abies beshanzuensis   Baishan fir   Plant ( flower )     Baishanzu Mountain , Zhejiang , China   Five mature individuals     agriculture   fire       Actinote zikani     Insect ( butterfly )     Near São Paulo , Atlantic forest , Brazil   Unknown     habitat loss from human expansion       Aipysurus foliosquama   Leaf scaled sea - snake   Reptile     Ashmore Reef and Hibernia Reef , Timor Sea   Unknown     unknown -- probably degradation of coral reef habitat       Amanipodagrion gilliesi   Amani flatwing   Insect ( damselfly )     Amani - Sigi Forest , Usamabara Mountains , Tanzania       population pressure and water pollution       Anisolabis seychellensis     Insect     Morne Blanc , Mahé island , Seychelles   Unknown     invasive species   climate change       Antilophia bokermanni   Araripe manakin   Bird     Chapado do Araripe , South Ceará , Brazil   779 individuals     recreational facilities   water diversion       Aphanius transgrediens   Aci Göl toothcarp   Fish     south - eastern shore of former Lake Aci , Turkey   few hundred pairs     competition and predation by Gambusia   road construction       Aproteles bulmerae   Bulmer 's fruit bat   Mammal     Luplupwintern Cave , Western Province , Papua New Guinea   150     hunting   cave disturbance       Ardea insignis   White bellied heron   Bird     Bhutan , North East India and Myanmar   70 -- 400 individuals     hydropower development       Ardeotis nigriceps   Great Indian bustard   Bird     Rajasthan , Gujarat , Maharashtra , Andhra Pradesh , Karnataka and Madhya , India   50 -- 249 mature individuals     agricultural development       Astrochelys yniphora   Ploughshare tortoise   Reptile     Baly Bay region , northwestern Madagascar   440 -- 770     illegal collection for international pet trade       Atelopus balios   Rio Pescado stubfoot toad   Amphibian     Azuay , Cañar and Guyas provinces , south - western Ecuador   Unknown     Chytridiomycosis   logging   agricultural expansion       Aythya innotata   Madagascar pochard   Bird     volcanic lakes north of Bealanana , Madagascar   80 mature individuals     agriculture   hunting and fishing   introduced fish       Azurina eupalama   Galapagos damsel fish   Fish     Unknown   Unknown     climate change   oceanographic changes related to the 1982 / 1983 El Nino       Bahaba taipingensis   Giant yellow croaker   Fish     Chinese coast from Yangtze River , China to Hong Kong   Unknown     over-fishing due to value of swim - bladder in traditional medicine       Batagur baska   Common batagur   Reptile ( turtle )     Bangladesh , Cambodia , India , Indonesia and Malaysia   Unknown     illegal export China       Bazzania bhutanica     Plant     Budini and Lafeti Khola , Bhutan   2 sub-populations     forest clearance   overgrazing   development       Beatragus hunteri   Hirola   Mammal ( antelope )     South - east Kenya and possibly south - west Somalia       habitat loss   competition with livestock   poaching       Bombus franklini   Franklin 's bumblebee   Insect ( bee )     Oregon and California   Unknown     disease from commercial bumblebees   habitat destruction and degradation       Brachyteles hypoxanthus   Northern muriqui Woolly spider monkey   Mammal ( primate )     Atlantic forest , south - eastern Brazil       large - scale deforestation and logging       Bradypus pygmaeus   Pygmy three - toed sloth   Mammal     Isla Escudo de Veraguas , Panama       illegal logging of mangrove forests for firewood and construction   hunting       Callitriche pulchra     Plant ( freshwater )     pool on Gavdos , Greece   Unknown     habitat exploitation by livestock   modification of the pool by locals       Calumma tarzan   Tarzan 's chameleon   Reptile     Anosibe An'Ala region , eastern Madagascar       agriculture       Cavia intermedia   Santa Catarina 's guinea pig   Mammal ( rodent )     Moleques do Sul Island , Santa Catarina , Brazil   40 -- 60     habitat disturbance   possible hunting   result of having such a small population       Cercopithecus roloway   Roloway guenon   Mammal ( primate )     Côte d'Ivoire   Unknown     hunting   habitat loss       Coleura seychellensis   Seychelles sheath - tailed bat   Mammal ( bat )     Two small caves on Silhouette and Mahé , Seychelles       habitat degradation   predation by invasive species       Cryptomyces maximus   Willow blister   Fungi     Pembrokeshire , United Kingdom   Unknown     limited habitat       Cryptotis nelsoni   Nelson 's small - eared shrew   Mammal ( shrew )     Volcán San Martín Tuxtla , Veracruz , Mexico   Unknown     logging   cattle grazing   fire   agriculture       Cyclura collei   Jamaican iguana Jamaican rock iguana   Reptile     Hellshire Hills , Jamaica   Unknown     habitat destruction   predation by introduced species       Daubentonia Madagascariensis   Aye - aye   Mammal ( primate )     Deciduous forest , East Madagascar   Unknown     poaching     limited habitat       Dendrophylax fawcettii   Cayman Islands ghost orchid   Plant ( orchid )     Ironwood Forest , George Town , Grand Cayman   Unknown     infrastructure development       Dicerorhinus sumatrensis   Sumatran rhino   Mammal ( rhino )     Sabah , Sarawak and Peninsular Malaysia , Kalimantan and Sumatra , Indonesia       hunting ( horn is used in traditional medicine )       Diomedea amsterdamensis   Amsterdam albatross   Bird     Breeds on Plateuau des Tourbières , Amsterdam Island , Indian Ocean .   100 mature individuals     disease   incidental by - catch in long - line fishing       Dioscorea strydomiana   Wild yam   Plant     Oshoek area , Mpumalanga , South Africa   200     collection for medicinal use       Diospyros katendei     Plant ( tree )     Kasyoha - Kitomi Forest Reserve , Uganda   20 individuals in a single population     agricultural activity   illegal tree felling   alluvial gold digging   small population       Dipterocarpus lamellatus     Plant ( tree )     Siangau Forest Reserve , Sabah , Malaysia   12 individuals     logging of lowland forest   creation of industrial plantations       Discoglossus nigriventer   Hula painted frog   Amphibian     Hula Valley , Israel   Unknown     predation by birds   range restriction due to habitat destruction       Dombeya mauritiana     Plant     Mauritius   Unknown     encroachment by invasive plant species   habitat loss due to cannabis cultivation       Elaeocarpus bojeri   Bois Dentelle   Plant ( tree )     Grand Bassin , Mauritius       habitat degradation       Eleutherodactylus glandulifer   La Hotte glanded frog   Amphibian     Massif de la Hotte , Haiti   Unknown     charcoal production   slash - and - burn agriculture       Eleutherodactylus thorcetes   Macaya breast - spot frog   Amphibian     Formon and Macaya peaks , Masif de la Hotte , Haiti   Unknown     charcoal production   slash - and - burn agriculture       Eriosyce chilensis   Chilenito ( cactus )   Plant     Pta Molles and Pichidungui , Chile       collection of flowering plants       Erythrina schliebenii   Coral tree   Plant     Namatimbili - Ngarama Forest , Tanzania       limited habitat and small population size increase vulnerability       Euphorbia tanaensis     Plant ( tree )     Witu Forest Reserve , Kenya   4 mature individuals     illegal logging   agricultural expansion   infrastructure development       Eurynorhyncus pygmeus   Spoon - billed sandpiper   Bird     Breeds in Russia , migrates along the East Asian - Australasian Flyway to wintering grounds in India , Bangladesh and Myanmar   100 breeding pairs     trapping   land reclamation       Ficus katendei     Plant     Kasyoha - Kitomi Forest Reserve , Ishasha River , Uganda       agriculture   illegal tree felling   alluvial gold digging       Geronticus eremita   Northern bald ibis   Bird     Breeds in Morocco , Turkey and Syria . Syrian population winters in  central Ethiopia .    200 -- 249 mature individuals     habitat degradation and destruction   hunting       Gigasiphon macrosiphon     Plant ( flower )     Kaya Muhaka , Gongoni and Mrima Forest Reserves , Kenya , Amani Nature Reserve , West Kilombero Scarp Forest Reserve , and Kihansi Gorge , Tanzania   33     timber extraction   agriculture encroachment and development   predation by wild pigs       Gocea ohridana     Mollusc     Lake Ohrid , Macedonia   Unknown     increasing pollution levels   off - take of water   sedimentation events       Heleophryne rosei   Table mountain ghost frog   Amphibian     Table Mountain , Western Cape Province , South Africa   Unknown     invasive plants   water abstraction       Hemicycla paeteliana     Mollusc ( land snail )     Jandia peninsula , Fuerteventura , Canary Islands   Unknown     overgrazing   trampling by goats and tourists       Heteromirafa sidamoensis   Liben lark   Bird     Liben Plains , southern Ethiopia   90 -- 256     agricultural expansion   overgrazing   fire suppression       Hibiscadelphus woodii     Plant ( tree )     Kalalau Valley , Hawaii   Unknown     habitat degradation due to feral ungulates   competition with invasive plant species       Hucho perryi   Sakhalin taimen   Fish     Russian and Japanese rivers , Pacific Ocean between Russia and Japan   Unknown     overfishing   damming   agriculture   other land use       Johora singaporensis   Singapore freshwater crab   Crustacean     Bukit Timah Nature Reserve and streamlet near Bukit Batok , Singapore   Unknown     habitat degradation due to reduction in water quality and quantity       Lathyrus belinensis   Belin vetchling   Plant     Outskirts of Belin village , Antalya , Turkey       urbanisation   over-grazing   conifer planting   road widening       Leiopelma archeyi   Archey 's frog   Amphibian     Coromandel peninsula and Whareorino Forest , New Zealand   Unknown     Chytridiomycosis   predation by invasive species       Lithobates sevosus   Dusky gopher frog   Amphibian     Harrison County , Mississippi , USA   60 -- 100     fungal disease   climate change   land - use changes       Lophura edwardsi   Edwards 's pheasant   Bird     Quang Binh , Quang Tri and Thua Thien - Hue , Viet Nam   Unknown     habitat loss   hunting       Magnolia wolfii     Plant ( tree )     Risaralda , Colombia       isolation of species   low regeneration rates       Margaritifera marocana     Mollusc     Oued Denna , Oued Abid and Oued Beth , Morocco       pollution   development       Moominia willii     Mollusc ( snail )     Silhouette Island , Seychelles       invasive species   climate change       Natalus primus   Cuban greater funnel eared bat   Mammal ( bat )     Cueva La Barca , Isle of Pines , Cuba       habitat loss   human disturbance       Nepenthes attenboroughii   Attenborough 's pitcher plant   Plant     Mount Victoria , Palawan , Philippines   Unknown     poaching       Nomascus hainanus   Hainan black crested gibbon   Mammal ( primate )     Hainan Island , China   20     hunting       Neurergus kaiseri   Luristan newt   Amphibian     Zagros Mountains , Lorestan , Iran       illegal collection for pet trade       Oreocnemis phoenix   Mulanje red damsel   Insect ( damselfly )     Mulanje Plateau , Malawi   Unknown     habitat destruction and degradation due to drainage   agricultural expansion   exploitation of forest       Pangasius sanitwongsei   Pangasid catfish   Fish     Chao Phraya and Mekong basins in Cambodia , China , Lao PDR , Thailand and Viet Nam   Unknown     overfishing   collection for aquarium trade       Parides burchellanus     Insect ( butterfly )     Cerrado , Brazil       human expansion   limited range       Phocoena sinus   Vaquita   Mammal ( porpoise )     Northern Gulf of California , Mexico       capture in fishermen 's gillnets       Picea neoveitchii   Type of spruce tree   Plant ( tree )     Qinling Range , China   Unknown     destruction of forest       Pinus squamata   Qiaojia pine   Plant ( tree )     Qiaojia , Yunnan , China       limited distribution   small population size       Poecilotheria metallica   Gooty tarantula Metallic tarantula Peacock tarantula Salepurgu   Spider     Nandyal and Giddalur , Andhra Pradesh , India   Unknown     deforestation   firewood collection   civil unrest       Pomarea whitneyi   Fatuhiva monarch   Bird     Fatu Hiva , Marquesas Islands , French Polynesia   50     predation by introduced species - Rattus rattus and feral cats       Pristis pristis   Common sawfish   Fish     Coastal tropical and subtropical waters of Indo - Pacific and Atlantic Oceans . Currently largely restricted to northern Australia   Unknown     exploitation has removed the species from 95 per cent of its historical range       Prolemur simus   Greater bamboo lemur   Mammal ( primate )     Southeastern and southcentral rainforests of Madagascar   500     agriculture   mining   illegal logging       Propithecus candidus   Silky sifaka   Mammal ( primate )     Maroantsetra to Andapa basin , and Marojeju Massif , Madagascar   100 -- 1,000     hunting   habitat disturbance       Psammobates geometricus   Geometric tortoise   Reptile     Western Cape Province , South Africa   Unknown     loss of habitat destruction   predation       Pseudoryx nghetinhensis   Saola   Mammal     Annamite mountains , on the Viet Nam - PDR Laos border   Unknown     habitat destruction   hunting       Psiadia cataractae     Plant     Mauritius   Unknown     development project   competition from invasive plant species       Psorodonotus ebneri   Beydaglari bush - cricket   Insect     Beydaglari range , Antalaya , Turkey   Unknown     climate change   habitat loss       Rafetus swinhoei   Red River giant softshell turtle   Reptile     Hoan Kiem Lake and Dong Mo Lake , Viet Nam , and Suzhou Zoo , China       hunting for consumption   wetland destruction   pollution       Rhinoceros sondaicus   Javan rhino   Mammal ( rhino )     Ujung Kulon National Park , Java , Indonesia       hunting for traditional medicine   small population size       Rhinopithecus avunculus   Tonkin snub - nosed monkey   Mammal ( primate )     Northeastern Vietnam       habitat loss   hunting       Rhizanthella gardneri   West Australian underground orchid   Plant ( orchid )     Western Australia , Australia       land clearance for agriculture   climate change   salinisation       Rhynchocyon spp .   Boni giant sengi   Mammal ( shrew )     Boni - Dodori Forest , Lamu area , Kenya   Unknown     development causing habitat loss       Risiocnemis seidenschwarzi   Cebu frill - wing   Insect ( damselfly )     Rivulet beside the Kawasan River , Cebu , Philippines   Unknown     habitat degradation and destruction       Rosa arabica     Plant     St Katherine Mountains , Egypt   Unknown , 10 sub-populations     domestic animal grazing   climate change and drought   medicinal plant collecting   limited range       Salanoia durrelli   Durrell 's vontsira   Mammal ( mongoose )     Marshes of Lake Alaotra , Madagascar   Unknown     loss of habitat       Santamartamys rufodorsalis   Red crested tree rat   Mammal ( rodent )     Sierra Nevada de Santa Marta , Colombia   Unknown     urban development   coffee cultivation       Scaturiginichthys vermeilipinnis   Red - finned blue - eye   Fish     Edgbaston Station , central western Queensland , Australia   2,000 -- 4,000     predation by introduced species       Squatina squatina   Angel shark   Fish     Canary Islands   Unknown     benthic trawling       Sterna bernsteini   Chinese crested tern   Bird     Breeding in Zhejiang and Fujian , China . Outside breeding season in Indonesia , Malaysia , Philippines , Taiwan , Thailand .       habitat destruction   egg collection       Syngnathus watermeyeri   Estuarine pipefish   Fish     Kariega Estuary to East Kleinemonde Estuary , Eastern Cape Province , South Africa   Unknown     dam construction is altering river flows   flood events into estuaries       Tahina spectabilis   Suicide palm Dimaka   Plant     Analalava district , north - western Madagascar   90     fires   logging   agricultural developments       Telmatobufo bullocki   Bullock 's false toad   Amphibian ( frog )     Nahuelbuta , Arauco Province , Chile   Unknown     construction of hydro - electricity       Tokudaia muenninki   Okinawa spiny rat   Mammal ( rodent )     Okinawa Island , Japan   Unknown     habitat loss   predation by feral cats       Trigonostigma somphongsi   Somphongs 's rasbora   Fish     Mae Khlong basin , Thailand   Unknown     farmland conversion and urbanization       Valencia letourneuxi     Fish     Southern Albania and Western Greece   Unknown     habitat destruction   water abstraction   aggressive interaction with Gambusia       Voanioala gerardii   Forest coconut   Plant     Masoala peninsula , Madagascar       deforestation   harvesting for consumption of palm heart       Zaglossus attenboroughi   Attenborough 's echidna   Mammal     Cyclops Mountains , Papua Province , Indonesia   Unknown     habitat modification and degradation   logging   agricultural encroachment shifting cultivation and hunting by local people       See also ( edit )    Extinct and Endangered Species portal     The World 's 25 Most Endangered Primates   Lists of organisms by population    References ( edit )    ^ Jump up to : `` Report lists world 's 100 most threatened</t>
  </si>
  <si>
    <t xml:space="preserve">Smoking age - wikipedia  Smoking age   The smoking age is the minimum legal age required to purchase or smoke tobacco products . Most countries have laws that restrict those below a minimum age from legally purchasing tobacco products .   Contents    1 Smoking age laws by region   1.1 Africa   1.2 Americas   1.3 Asia   1.4 Europe   1.5 Oceania     2 Historical regulations   3 See also   4 References    Smoking age laws by region ( edit )   Africa ( edit )  This list is incomplete ; you can help by expanding it . Minimum age to purchase tobacco in Africa as of 2015 : Minimum age is 19 Minimum age is 18 Minimum age is 16 No minimum age    Country   De jure   Notes     Legal age to smoke any tobacco products   Legal age to buy any tobacco products     Algeria   None   19   It is illegal to sell tobacco products to minors under the age of 19 years . ( Chapitre IV sur les problèmes de santé l'article 93 : `` la vente de tabac ou produits du tabac aux mineurs est interdite '' . )     Angola   None   18   It is illegal to sell tobacco to minors under the age of 18 .     Benin   None   18       Botswana   None   18   It is illegal to sell tobacco to minors under the age of 18 . Any person who sells , by retail , any tobacco product , shall display clearly , for the public , a notice to the effect that the sale of any tobacco product to a person under the age of 18 years is prohibited .     Burkina Faso   None   18       Burundi   None   18   It is illegal to sell cigarettes to anyone under the age of 18 . Other tobacco products are not regulated .     Cameroon   15       Cape Verde   15       Central African Republic   14       Chad   18   It is illegal to sell tobacco to a minor . Minors and pregnant women may not smoke in public .     Comoros   None   18   The sale of tobacco products to minors is prohibited . Vendors of tobacco products must visibly and prominently display at their point of sale a notice of prohibition of the sale of tobacco to minors and by minors .     Republic of the Congo   18       Democratic Republic of the Congo   18   It is illegal for minors to smoke in public , and for anyone to give or sell tobacco to a minor . ( ARRETE MINISTERIEL Article 1 : L'usage , la vente , l'achat et la consommation du tabac , de ses produits et de ses dérivés sont strictement interdits aux mineurs . )     Djibouti   None   16   It is illegal to sell tobacco products to a minor under the age of 16 years . A notice with the sale restrictions has to be placed at point of sale .     Egypt   18   The sale of tobacco products to persons under the age of 18 is prohibited .     Equatorial Guinea   18       Eritrea   None   18       Ethiopia   None   18   `` No person may directly or indirectly give , provide or sell any tobacco product to a person under the age of 18 . ''     Gabon   None   18       Gambia   None       Ghana   18       Guinea - Bissau   15       Kenya   None   18   It is illegal to sell tobacco products to anyone under the age of 18 years . There is no minimum age to possess tobacco or smoke in public .     Lesotho   14       Liberia   18   It is illegal to sell or supply tobacco to a minor . Minors may not consume tobacco at any public place .     Libya   None   18   It is strictly prohibited to sell any tobacco product to a person under the age of 18 years .     Madagascar   None   18       Malawi   14       Mali   None   18       Mauritius   18   A person must be 18 years old to purchase or to smoke cigarettes including any tobacco products as is indicated in Public Health ( Restrictions on Tobacco Products ) Regulations 1999 , Sec. 2 ( e ) ( i ) ) .     Morocco   16       Mozambique   None   18       Namibia   None   18   It is illegal to sell or supply tobacco to a minor . No minimum age prior to 14 April 2010 .     Niger   None 18 ( to enter smoking room or facility )   18   It is illegal to sell tobacco products to a minor . Minors may not enter any smoking room or facility where smoking is permitted by law . No minimum age prior to 17 July 2008 .     Nigeria   None   18   It is illegal to sell , give or otherwise supply tobacco products to a minor .     Republic of the Congo   14       Rwanda   None   18   It is prohibited to involve a person under 18 in , buying , selling and exchanging of tobacco and tobacco products . It is also prohibited for the seller to sell tobacco and tobacco products to a person under 18 .     São Tomé and Príncipe   None   16       Senegal   None   18   It is illegal to sell or give tobacco to a person under the age of 18 years . ( Chapitre III. - Il est interdit de vendre ou d'offrir aux mineurs ou de faire vendre ou de faire offrir par les mineurs du tabac ou tout produit du tabac . )     Seychelles   18       Somalia   15       South Africa   18   It is illegal to sell or supply any tobacco product to a person under the age of 18 .     South Sudan   15       Swaziland   None   18   It is illegal to sell and give tobacco to anyone under the age of 18 years .     Sudan   None 18 ( to enter smoking room or facility )   18   It is illegal to sell or give tobacco to a minor . Anyone under the age of 18 may also not handle , store , work or produce with tobacco or within such a facility .     Tanzania   18   It is unlawful to sell or give tobacco products to a minor , and to smoke such tobacco products if the individual is younger than 18 years .     Togo   None   18   It is illegal to sell or give any tobacco product to a minor .     Tunisia   None   18       Uganda   None   21   It is now illegal for a person below the age of 21 to access cigarettes .     Zambia   None   16   It is illegal to sell tobacco to anyone under age 16 . No minimum age for consumption and possession in public . No minimum age prior to 1 January 1993 .     Zimbabwe   None   18   It is illegal to sell or give tobacco products to anyone under the age of 18 . Minors may not sell tobacco .     Americas ( edit )  Minimum age to purchase tobacco in Canada , Greenland , Mexico , and the United States as of January 2018 : Minimum age is 21 Minimum age is 19 Minimum age is 18    Country   De jure   Notes     Smoking age   Purchase age     Antigua and Barbuda   None   Antigua and Barbuda does n't have any restrictions towards selling tobacco to minors or smoking in general .     Argentina   None   18   It is illegal to sell tobacco products to minors .     Bahamas   None   18       Belize   None       Bermuda   None   18   No person shall sell or supply any cigarettes , tobacco or tobacco products to a minor . A person selling or supplying any cigarettes , tobacco or tobacco products to a person who appears to be under 25 years of age shall , before selling or supplying them , ensure , by requiring photo identification , that the latter person is not a minor .     Bolivia   None   18   The sale of tobacco products to minors under the age of 18 years is prohibited .     Brazil   None   18   It is illegal to `` sell Products whose ingredients can cause physical or psychic dependence , even if only through improper use '' ( ... ) . This also includes tobacco products of any kind .     British Virgin Islands   None   18   It is illegal to sell or offer to sell tobacco to anyone under the age of 18 years . It is not illegal for minors to purchase , possess or consume tobacco .     Canada    Regulations by province and territory :     Province / territory   Smoking age   Purchase age   Notes     Federal Government   None   18   It is illegal to sell or supply tobacco products to a minor under the age of 18 . The minimum age was 16 years of prior to 1994 .     Alberta   18   It is illegal to sell or supply tobacco products to a minor under the age of 18 . Further , minors are not permitted to smoke at any public place .     British Columbia   None   19       Manitoba   None   18   It is illegal to sell , give , buy for , lend or otherwise provide tobacco products to anyone under the age of 18 years . Parents can provide tobacco products to their children on private property . Further it is legal to supply tobacco to a minor if it is solely for use in traditional Aboriginal spiritual or cultural practices or ceremonies .     New Brunswick   None   19   It is illegal to sell and supply tobacco products to anyone under the age of 19 years . It is also illegal to attempt to purchase tobacco on behalf of , or for the purpose of resale to , a person under the age of 19 years .     Newfoundland and Labrador   None   19   It is illegal to sell , give or furnish , directly or indirectly , tobacco to a person under the age of 19 years .     Northwest Territories   None   18   No person shall sell or supply , or offer to sell or supply , tobacco or a tobacco accessory to a person under the age of 18 . No one under the age of 18 years shall purchase or attempt to purchase tobacco or a tobacco accessory .     Nova Scotia   19   19   No vendor or employee of a vendor shall sell or give tobacco or a tobacco product to a person under the age of nineteen years . No person shall purchase tobacco or a tobacco product on behalf of , or for the purpose of resale or give tobacco or a tobacco product , to a person under the age of nineteen years . No person under the age of nineteen years may possess tobacco .     Nunavut   None   19   No person shall sell or supply , or offer to sell or supply , tobacco to a person who is less than 19 years old .     Ontario   None   19   No person shall sell or supply tobacco to a person who is less than 19 years old . No person shall sell or supply tobacco to a person who appears to be less than 25 years old unless he or she has required the person to provide identification and is satisfied that the person is at least 19 years old .     Prince Edward Island   None   19   No person shall sell or supply tobacco to a person under the age of 19 years . No person shall purchase or attempt to purchase tobacco on behalf of , or for the purpose of resale to , a person under the age of 19 years . It is legal to supply tobacco to a minor if it is solely for use in traditional Aboriginal spiritual or cultural practices or ceremonies .     Quebec   None   18   It is illegal to sell tobacco to anyone under the age of 18 years . The operator of a tobacco retail outlet may not give tobacco to a minor . The operator of a tobacco retail outlet may not sell tobacco to an adult , if the operator knows the person is purchasing the tobacco for a minor .     Saskatchewan   None   18   It is illegal to sell , lend , assign , give or send tobacco to anyone under the age of 18 years .     Yukon   18 ( federal law )   The territory Yukon has no legislations which restrict the sale of tobacco products to minors . Federal laws apply .        Chile   None   18   It is illegal to sell any form of tobacco to a person under the age of 18 years .     Colombia   None   18   It is forbidden for any individual or legal entity to directly or indirectly sell tobacco products and its derivatives in any of its presentations to minors under the age of 18 years . In case of question , one must ask each tobacco purchaser to show that he has reached majority age .     Costa Rica   None   18   Tobacco products may not be sold to minors . Wholesale or retail vendors of products shall have the obligation , at their own expense , to display posters that are visible , clear and prominently placed on the inside of places of sale , stating that the sale of tobacco products to minors is prohibited .     Cuba   None   18   Minors can not legally buy tobacco , but stores may sell it to those who look 13 or older .     Cayman Islands   None   18   Tobacco Law , 2007 PART V -- Section 10 : No person shall sell tobacco to a minor .     Dominican Republic   None   18   It is illegal to sell tobacco to a person under the age of 18 years .     Ecuador   None   18   It is illegal to sell or let sell tobacco to or by a minor .     El Salvador   None   18   It is illegal to sell or give tobacco to a minor .     Falkland Islands   None       Guatemala   18   It is illegal to sell tobacco products to anyone under the age of 18 years . Public consumption of tobacco by minors is prohibited . ( El decreto 90 - 97 , Código de Salud , indica en su artículo 50 )     Guyana   None   18   No tobacco may be sold or furnished to a minor .     Haiti   None   18       Honduras   None   21   The sale and / or gifting of tobaccoderived products to persons under 21 years of age is prohibited .     Jamaica   None   18       Mexico   None   18       Nicaragua   None   18       Panama   None   18   The sale of tobacco products to minors is prohibited .     Paraguay   None   18   It is unlawful to sell tobacco products to anyone under the age of 18 years .     Peru   18   The sale of tobacco products to / by minors under the age of 18 is prohibited .     Trinidad and Tobago   None   18   Tobacco shall not be sold to or by a child under the age of 18 years .     United States ( 50 states and integral territories )  The federal law requires states to have a minimum age of 18 years for sale / purchase of tobacco products ( 21 U.S.C. § 387f. ( 3 ) ( a ) ( ii ) ) . State and local laws may extend this ban and also prohibit supply , possession and consumption to / by person underage , or increase the age beyond 18 . However , most states do not directly ban the consumption of tobacco by a minor . The federal law requiring states to have a minimum purchasing age at 18 is enforced by withholding FEMA disaster and non-disaster grants from states that have purchasing ages under 18 , and currently no state falls under that category .     Regulations by state :     State / territory   Smoking age   Purchase age   Notes     Alabama   19 ( including Alabama National Guard Bases ) 18 ( on military bases under federal law )   It is illegal to sell or give tobacco products to anyone under the age of 19 years . Minors are prohibited from using and possessing tobacco products . The minimum age was introduced in 1896 .     Alaska   None   19   It is illegal to sell or give tobacco products to anyone under the age of 19 years . Possession by minors is prohibited . The minimum age requirement does not apply to a person who is a prisoner at an adult correctional facility . The minimum age of 16 years was introduced in 1978 . The minimum age was raised from 16 to 19 in 1988 .     None   21   Sitka has raised their tobacco sales age to 21 .     American Samoa   18       Arizona   None   18   It is illegal to sell or give tobacco products or smoking equipment to anyone under the age of 18 years . It is illegal for a minor to be in possession of tobacco or smoking equipment , or to receive them .     None   21   Cottonwood and Douglas have raised their tobacco sales age to 21 .     Arkansas   18   It is illegal to give or sell tobacco to anyone under the age of 18 years . It is illegal for minors to be in possession of tobacco products and to smoke in public .     18   21   Helena -- West Helena , Harrison , and Phillips County have raised the sales age for tobacco products to 21 .     California   18   21   As of 9 June 2016 , it is illegal to sell or furnish tobacco to a person under 21 years of age , with an exception for people in active military service who are 18 years old . Before 9 June , the age to purchase tobacco was 18 years of age .     Colorado   18   It is illegal to sell , give or distribute tobacco products to anyone under the age of 18 years . Minors under the age of 18 years are prohibited from being in possession of any tobacco product .     18   21   Aspen , Avon , and Basalt have raised the sales age for tobacco products to 21 .     Connecticut   None   18   It is illegal to sell or give tobacco products to anyone under 18 . It is illegal for minors to possess tobacco in public . A minimum age of 16 was introduced in 1902 . The minimum age was raised from 16 to 18 in 1987 .     Delaware   None   18   Selling , giving or otherwhise distributing tobacco products to anyone under the age of 18 years is illegal . Minors under the age of 18 years are not allowed to attempt to purchase tobacco or to be in the possession of tobacco products . The minimum age of 17 years was introduced in 1953 . The minimum age was raised from 17 to 18 in 1992 .     Florida   None   18   The Florida Statutes make it a criminal offence so sell or supply tobacco to an individual under the age of 18 years . Minors may also not be in possession of tobacco products .     Georgia   None   18   It is illegal to sell or give tobacco products to anyone under the age of 18 years . It is illegal for minors to possess tobacco in public . Minors are allowed to possess tobacco products and to consume those , in private home if permission is given by parents or legal guardian . The minimum age of 17 years was introduced in 1987 . The minimum age was raised from 17 to 18 in 1993 .     Guam   21   The minimum age was raised from 18 to 21 , as of 1 January 2018 .     Hawaii   21   It is illegal to sell or furnish tobacco to a person under 21 years of age . It is also illegal for a person under 21 years of age to attempt to purchase tobacco .  The minimum age of 15 years was introduced on 11 November 1890 . The minimum age was raised from 15 to 18 on 1 January 1988 . The minimum age was raised from 18 to 21 on 1 January 2016 .      Idaho   18       Illinois   18     18   21   Municipalities and Counties in Illinois , including Chicago , Aurora , Berwyn , Bolingbrook , Buffalo Grove , Elgin , Elk Grove , Glen Ellyn , Gurnee , Hopkins Park , Lincolnshire , Maywood , Mundelein , Naperville , Peoria , Riverwoods , Skokie , Vernon Hills , Washington , Wheaton , Wilmette , and Lake County have raised their tobacco sales age to 21 .     Indiana   None   18   Giving , selling , providing and distributing tobacco to minors is illegal . Minors may not possess , accept or purchase tobacco . Minors are not allowed to enter a tobacco business , defined in state law as a business whose primary activity is the sale of tobacco products and accessories . The minimum age of 16 years was introduced in 1980 . The minimum age was raised from 16 to 18 in 1987 .     Iowa   18   It is illegal for minors to be in possession of tobacco , to smoke in public or to purchase tobacco products . It is illegal to sell or distribute tobacco to anyone under the age of 18 years .     Kansas   None   18   It is illegal to sell or supply tobacco to a minor . Minors may not possess or purchase or attempt to possess or purchase tobacco .     None   21   Nineteen cities in Kansas , including Overland Park and Olathe , have raised their tobacco sales age to 21 .     Kentucky   None   18   It is illegal to sell or supply tobacco to minors . Minors may not purchase or possess tobacco products . Prior to 1990 Kentucky had no minimum age to purchase tobacco . From 1990 until 1992 the minimum age was 16 years . In 1992 the age was raised from 16 to 18 years of age .     Louisiana   None   18   It is illegal to sell or distribute tobacco to a minor . A minor is not permitted to possess tobacco , except in private residences or if accompanied by a parent , spouse , or legal guardian 21 years of age or older . Prior to 1991 there was no minimum age limit in Louisiana .     Maine   18   21   It is illegal to sell or distribute tobacco to a minor . A minor is not permitted to possess tobacco , except in private residences or if accompanied by a parent , spouse , or legal guardian 21 years of age or older . Implementation for 21 and older July 2018 .     Maryland   None   18   Minimum age raised from 16 to 18 in 1989 .     Massachusetts   None   21   It is illegal to sell tobacco to minors under 21 starting January 1 , 2019 . Anyone else than the parents or guardian are prohibited from giving any form of tobacco to a minor .     Michigan   18   It is illegal to sell , give , supply or otherwise provide tobacco to minors . Minors may not purchase , attempt to purchase , possess , attempt to possess or consume tobacco products in public . Minors are permitted to smoke on private premises .     18   21   Ann Arbor and Genesee County have raised their tobacco sales age to 21 .     Minnesota   18   It is illegal to sell , give , supply or otherwise provide tobacco to minors . Minors may not purchase , attempt to purchase , possess , attempt to possess or consume tobacco products in public . Indian may furnish tobacco to an Indian under the age of 18 years if the tobacco is furnished as part of a traditional Indian spiritual or cultural ceremony .     18   21   Four cities in Minnesota have raised their sales age for tobacco products to 21 .     Mississippi   18   It is illegal to sell , give , supply or otherwise provide tobacco to minors . Minors may not purchase , attempt to purchase , possess , attempt to possess or consume tobacco products in public .     18   21   Adams County has raised their tobacco sales age to 21 .     Missouri   None   18   It is illegal to sell , give , supply or otherwise provide tobacco to minors . It is not illegal to give tobacco to minors on private premises nor is it illegal for minors to smoke in public . Prior to 1992 Missouri did not have a minimum age limit .     None   21   Twelve cities in Missouri , including Kansas City , St. Louis , Columbia and Jefferson City , have raised their tobacco sales age to 21 .     Montana   None   18   Sale or distribution of tobacco products to persons under 18 years of age is prohibited , whether over the counter , by vending machine , or otherwise . Prior to 1993 there was no minimum age limit .     Nebraska   18   It is illegal to sell , give or furnish , in any way tobacco to a minor . Minors may not smoke in public .     Nevada   None   18       New Hampshire   18   It is illegal to sell , give , supply or otherwise provide tobacco to minors . Minors may not purchase , attempt to purchase , possess , attempt to possess or consume tobacco products in public .     18   21   Dover has raised their tobacco sales age to 21 .     New Jersey   None   21   No person shall sell , give or furnish to a person under 21 years of age , any cigarettes made of tobacco . The minimum age of 16 years was introduced in 1904 . The minimum age was raised from 16 to 18 in 1988 . The minimum age was raised from 18 to 19 in 2005 . The minimum age was raised from 19 to 21 on 1 November 2017 .     New Mexico   None   18   Prior to 1991 New Mexico had no minimum age .     New York   None   18   It is illegal to sell tobacco products to anyone under the age of 18 years .     None   21   New York City ( among others ) and come counties have raised the sales age for tobacco products to 21 .     North Carolina   None   18   It is illegal for anyone under age 18 to buy , attempt to buy , to receive , or to use a false or misleading proof of age for the purpose of purchasing or receiving any tobacco product or cigarette wrapping papers . The minimum age of 17 years was introduced in 1891 . The minimum age was raised from 17 to 18 in 1991 .     North Dakota   18       Northern Mariana Islands   18   It is illegal to sell and supply tobacco to a minor .     Ohio   18     None   21   Fifteen cities in Ohio : Akron , Bexley , Cleveland , Cleveland Heights , Columbus , Dublin , Euclid , Grandview Heights , Kent , New Albany , Norton , Powell , Upper Arlington , Wickliffe , and Worthington have raised their tobacco sales age to 21 .     Oklahoma   None   18   It is illegal to sell , give or otherwise supply tobacco to anyone under the age of 18 years . The minimum age of 18 years was introduced in 1915 .     Oregon   None   21   It is illegal to sell , give or otherwise supply tobacco to anyone under the age of 21 years since 1 January 2018 .     Pennsylvania   None   18   It is illegal to sell , furnish , give or otherwise provide tobacco to a minor . Minors may not purchase or attempt to purchase tobacco products . The minimum age of 16 years was introduced in 1972 . The minimum age was raised from 16 to 18 in 1990 .     Puerto Rico   None   18       Rhode Island   18   No person under eighteen years of age shall purchase , nor shall any person sell , give , or deliver to any person under eighteen years of age , any tobacco products . No person under eighteen years of age shall use or possess , tobacco in any public street , place , or resort , any tobacco and / or electronic nicotine delivery system in any form . The minimum age of 16 years was introduced in 1896 . The minimum age was raised from 16 to 18 in 1988 .     18   21   Barrington and Central Falls have raised their sales age for tobacco products to 21 years .     South Carolina   None   18   It is illegal to sell , give or otherwise supply tobacco to anyone under the age of 18 years . It is illegal for minors to purchase , attempt to purchase , possess , or attempt to possess a tobacco product , or present or offer proof of age that is false or fraudulent for the purpose of purchasing or possessing a tobacco product .     South Dakota   None   18   Prior to 1989 South Dakota did n't regulate the sale of cigarettes to minors . Only smokeless tobacco products could not be sold to coal minors .     Tennessee   None   18   It is unlawful for a person who has not attained 18 years of age to possess a tobacco product , to purchase or accept receipt of a tobacco product , or to present or offer to any person any purported proof of age which is false , fraudulent , or not actually that person 's own for the purpose of purchasing or receiving any tobacco product .     Texas   18   It is illegal to sell , give , supply or otherwise provide tobacco to minors . Minors may not purchase , attempt to purchase , possess , attempt to possess or consume tobacco products in public . Exception : The individual younger than 10 years of age possessed the cigarette or tobacco product in the presence of an adult parent , a guardian , or a spouse of the individual or an employer of the individual , if possession or receipt of the tobacco product is required in the performance of the employee 's duties as an employee . The minimum age to purchase , possess and consume tobacco was 16 years of age from 1899 to 1989 .     18   21   San Antonio has raised its sales age for tobacco products to 16 .     United States Virgin Islands   None   18       Utah   19   It is illegal to sell , supply , give or otherwise furnish tobacco products or smoking devices to anyone under the age of 19 years . It is illegal for anyone under the age of 19 years to possess , consume , purchase any tobacco product .     Vermont   None   18   It is illegal to sell , supply , give or otherwise furnish tobacco products to anyone under the age of 18 years . It is illegal for anyone under the age of 18 years to possess or purchase tobacco products . The minimum age of 17 years was introduced in 1888 . The minimum age was raised from 17 to 18 in 1991 .     Virginia   18   It is illegal to sell , supply , give or otherwise furnish tobacco products to anyone under the age of 18 years . It is illegal for anyone under the age of 18 years to possess or purchase tobacco products . Prior to 1991 the minimum age to purchase tobacco products was 16 years of age .     Washington   None   18   It is illegal to sell , give or permit to sell or give tobacco products to anyone under the age of 18 years . It is not illegal for minors to possess or consume tobacco products in public .     Washington , D.C.   None   21   It is illegal to sell , give or permit to sell or give tobacco products to anyone under the age of 21 years . It is not illegal for minors to possess or consume tobacco products in public . Tobacco use is prohibited at organized sporting events . The minimum age of 16 years was introduced in 1891 . The minimum age was raised from 16 to 18 in 1990 . The minimum age was raised from 18 to 21 in 2016 .     West Virginia   18   It is illegal to sell , supply , give or otherwise furnish tobacco products to anyone under the age of 18 years . It is illegal for anyone under the age of 18 years to possess , consume or purchase tobacco products .     Wisconsin   None   18   It is illegal to sell , give or permit to sell or give tobacco products to anyone under the age of 18 years . It is not illegal for minors to possess or consume tobacco products in public .     Wyoming   18   It is illegal to sell , supply , give or otherwise furnish tobacco products to anyone under the age of 18 years . It is illegal for anyone under the age of 18 years to possess , consume or purchase tobacco products . Prior to 1991 Wyoming had no minimum purchase / sale age for tobacco products .        Uruguay   None   18   It is illegal to sell tobacco to a minor . A clearly legible notice with the sale ban to under anyone under the age of 18 years has to be placed inside and outside the premises .     Venezuela   None   18   It is illegal to sell or supply tobacco products to a minor .     Asia ( edit )  This list is incomplete ; you can help by expanding it .    Country   De jure   Notes     Smoking age   Purchase age     Afghanistan   18   It is illegal to sell , give or otherwise furnish tobacco products to anyone under the age of 18 years . It is illegal to smoke or the use of tobacco in public buildings such as hospitals , schools and restaurants .     Bhutan   Illegal   In 2004 , Bhutan became the first country to ban the sale , cultivation , and production of tobacco . People 18 and over may bring a limited amount of tobacco into Bhutan if they pay import duties .     Brunei   18   It is illegal to sell , give or otherwise furnish tobacco products to anyone under the age of 18 years . It is illegal for minors to possess , buy or consume tobacco products .     Bangladesh   16   It is illegal to sell tobacco products to anyone under the age of 16 years . Any police - officer in uniform or any other person or class of persons duty authorized by the Government has the power to seize and destroy tobacco products of anyone under the age of 16 years whom he finds smoking in public .     Cambodia   None   18   Any act of selling or distributing all types of tobacco products to persons aged under 18 years or to pregnant women whose pregnancy is obvious or is realized must be punished with six days to one month in prison and a fine of 100,000 riel to 1 million riel .     China   None   18   It is illegal to sell tobacco products to minors . No one shall smoke on school or education premises . Weakly enforced to not enforced . No age limit prior to 29 December 2006 .     Hong Kong   18   It is illegal to sell , give or otherwise furnish tobacco products to anyone under the age of 18 years .     India   None   18   It is illegal to sell cigarettes or any other tobacco product to a person under the age of 18 years . It is illegal to sell tobacco within a radius of one hundred yards of any educational institution .     Indonesia   None   18   It is illegal to sell and supply tobacco products to pregnant women or anyone under the age of 18 years .     Iran   None   18   It is illegal to sell and supply tobacco products to anyone under the age of 18 years . Violation will result in confiscation of tobacco from the minor and a fine for the salesperson .     Iraq   14       Israel   None   18   It is illegal to sell tobacco products to a minor . No minimum age prior to 12 November 2004 .     Jordan   None 18 ( consumption of water pipes on premises )   18   It is illegal to sell tobacco to a minor . It is also illegal to provide water pipes in cafes , restaurants and similar places .     Japan   20   It is illegal to supply tobacco to persons under 20 years . It is punishable by a ¥ 10,000 fine .     Kazakhstan   None   18       Kuwait   None   21   It is illegal to sell or give tobacco products to anyone under the age of 21 years .     Kyrgyzstan   None   18   No minor shall sell or be sold tobacco products .     Lebanon   18   18   It is illegal to sell or distribute tobacco to a minor .     Macau   None   18   It is illegal to sell tobacco to a person under the age of 18 years . It is not illegal for a minor to smoke or to obtain tobacco from a person of the legal age .     Malaysia   None   18   It is illegal to sell tobacco products to a minor .     Maldives   None   18   It is illegal to sell tobacco products to anyone under the age of 18 years . The retailer must ensure that the buyer is at least 18 years of age . Furthermore , a clearly legible notice has to be displayed at point of sale stating that tobacco sales to minors are illegal .     Mongolia   21       Nepal   None   18   It is illegal to sell or distribute tobacco products to minors and pregnant women .     North Korea   None   17   It is il</t>
  </si>
  <si>
    <t xml:space="preserve">what is the legal age to smoke in australia</t>
  </si>
  <si>
    <t xml:space="preserve">   Country   De jure   Notes     Smoking age   Purchase age     Australia    Regulations by state / territory :     Province / territory   Smoking age   Purchase age   Notes     Australian Capital Territory   None   18   It is illegal to sell tobacco products to a person under the age of 18 years . Further it is illegal to buy a tobacco product for a minor .     New South Wales   None   18   It is illegal to sell any tobacco or non-tobacco smoking product to a person who is under the age of 18 years .     Northern Territory   None   18   It is illegal to sell any tobacco product to a minor or on behalf of a minors . It is illegal to smoke in a vehicle with a person under the age of 18 years present .     Queensland   None   18   It is illegal for an adult to supply a tobacco product to a person under the age of 18 years ; however , a responsible adult for a child does not commit an offence by supplying a smoking product to the child .     South Australia   None   18   It is an offence to supply any tobacco product to a person under the age of 18 years .     Tasmania   None   18   It is illegal to sell or supply tobacco to a person under the age of 18 years . Minimum age was 16 prior to 1 January 1997 .     Victoria   None   18   It is illegal to supply tobacco to a minor . Smoking in a vehicle with a person under 18 present is an offence .     Western Australia   None   18   It is illegal to sell , deliver or supply tobacco or smoking implement to a minor . Purchase on behalf of people under 18 prohibited .        Fiji   None   18   It is illegal to sell and supply tobacco to a minor .     Micronesia , Federated States of   18   It is illegal to sell and supply tobacco to a minor .     New Zealand   None   18   It is illegal to sell and supply tobacco to a minor under 18 years . No minimum age prior to 1903 . Minimum age of 15 years from 1903 to 1988 . Minimum age of 16 years from 1988 to 1998 . '     Palau   None   18 21 ( Only rolling papers and elaus )   It is illegal to sell or give tobacco products to anyone under the age of 18 years . If the purchaser appears to be under the age of 30 years , ID must be checked before sale . It is illegal to employ anyone under the age of 21 handling tobacco products . It is illegal to sell rolling papers and elaus to anyone under the age of 21 years .     Papua New Guinea   None   18   It is illegal to sell or give tobacco to a person under the age of 18 years .     Samoa   21   It is illegal to sell tobacco to anyone under the age of 21 years . It is not illegal for a person under the age of 21 years to possess or smoke tobacco in public .     Solomon Islands   None   18   It is illegal to sell , give or otherwise supply tobacco to a minor .     Tonga   None   18   It is illegal to sell , give or otherwise supply tobacco to a minor .     Tokelau   16   It is illegal for a person under 16 to smoke tobacco .     Vanuatu   18   It is illegal to sell tobacco to a persons under 18 . It is illegal for persons under 18 to smoke tobacco .   </t>
  </si>
  <si>
    <r>
      <rPr>
        <sz val="11"/>
        <color rgb="FF000000"/>
        <rFont val="Calibri"/>
        <family val="0"/>
        <charset val="1"/>
      </rPr>
      <t xml:space="preserve">Pabst Blue Ribbon - wikipedia  Pabst Blue Ribbon   Pabst Blue Ribbon       Type   American - style lager     Manufacturer   Pabst Brewing Company     Introduced   1844     Alcohol by volume   4.74 -- 5.9 %     Website   pabstblueribbon.com     Pabst Blue Ribbon is an American lager beer sold by Pabst Brewing Company , established in Milwaukee , Wisconsin in 1844 and currently based in Los Angeles .   Originally called Best Select , and then Pabst Select , the current name comes from the blue ribbons tied around the bottle neck between 1882 and 1916 .   Contents    1 History   1.1 Brand Name   1.2 Peak , decline , and revival     2 Nutritional content   3 Marketing   4 Pabst Blue Ribbon in popular culture   5 Outside of the United States   5.1 Australia   5.2 Canada   5.3 China   5.4 Ireland   5.5 Sweden     6 References   7 External links    History ( edit )   Brand name ( edit )   Gottlieb and Frederika Pabst and their twelve - year - old son Frederick arrived in the United States in 1848 and settled in Chicago where Frederick eventually found work on the ships of Lake Michigan . In 1862 , Frederick married Maria Best , daughter of the founder and owner of the Best Brewing Company , and in 1863 became a brewer at his father - in - law 's brewery .   When Philip Best retired to Germany in 1867 , Pabst and Emil Schandein -- his sister - in - law 's husband and the vice-president of Best Brewery -- worked to transform the company into one of the nation 's largest brewers , capitalizing on , among other things , the Great Chicago Fire of 1871 that destroyed nineteen Chicago breweries and helped position Milwaukee as the leading beer - producing city in the United States . In 1889 , Schandein died , leaving Pabst as president and his widow , Lisette Schandein , as vice-president . In 1890 , Pabst changed the `` Best '' letterhead to `` Pabst '' and the Pabst Brewing Company officially began .     ``   This is the original Pabst Blue Ribbon Beer . Nature 's choicest products provide its prized flavor . Only the finest of hops and grains are used . Selected as America 's Best in 1893 .   ''     -- Quote from PBR label , referring to the award it received at the 1893 World 's Columbian Exposition .     The company has historically claimed that its flagship beer was renamed Pabst Blue Ribbon following its win as `` America 's Best '' at the World 's Columbian Exposition in Chicago in 1893 . Whether the brand actually won an award in 1893 is unclear . Some contemporaneous accounts indicate that many vendors were frustrated by the fair 's refusal to award such prizes . One account says that the only prizes awarded by the executive committee were bronze medals , in recognition of `` some independent and essential excellence in the article displayed '' , rather than `` merely to indicate the relative merits of competing exhibits '' . However , the beer had won many other awards at many other fairs -- so many , in fact , that Captain Pabst had already started tying silk ribbons around every bottle . It was a time when beer bottles were more likely to be embossed than labeled and the ribbons were likely added at great cost to Pabst . But Pabst 's display of pride was also a display of marketing savvy , as patrons started asking their bartenders for the blue ribbon beer .   Peak , decline , and revival ( edit )  A 1911 advertisement showing a blue ribbon tied around the bottle  Sales of Pabst peaked at 18 million barrels in 1977 . In 1980 and 1981 , the company had four different CEOs , and by 1982 it was fifth in beer sales in the U.S. , dropping from third in 1980 .   In 1996 , Pabst headquarters left Milwaukee , and the company ended beer production at its main complex there . By 2001 , the brand 's sales were below a million barrels . That year , the company got a new CEO , Brian Kovalchuk , formerly the CFO of Benetton , and major changes at the company 's marketing department were made .   In 2010 , food industry executive C. Dean Metropoulos bought the company for a reported $250 million . In 2011 , the U.S. Securities and Exchange Commission forced two advertising executives to cease efforts to raise $300 million to buy the Pabst Brewing Company . The two had raised over $200 million by crowdsourcing , collecting pledges via their website , Facebook , and Twitter . In November 2014 , Eugene Kashper , an American beer entrepreneur , and TSG Consumer Partners acquired Pabst Brewing Company . In 2015 , Pabst won the `` best large brewing company of the year '' award at the Great American Beer Festival .   Nutritional content ( edit )   A 12 US fluid ounces ( 0.35 l ) Pabst Blue Ribbon has :    144 calories   12.8 grams of carbohydrates   4.74 % alcohol by volume ( alc / vol )    Marketing ( edit )  Pabst Blue Ribbon concession stand at Progressive Field in Cleveland .  The beer experienced a sales revival in the early 2000s after a two decade - long slump , largely due to its increasing popularity among urban hipsters . Although the Pabst website features user - submitted photography , much of which features twenty - something Pabst drinkers dressed in alternative fashions , the company has opted not to fully embrace the countercultural label in its marketing , fearing that doing so could jeopardize the very `` authenticity '' that made the brand popular ( as was the case with the poorly received OK Soda ) . Pabst instead targets its desired market niche through the sponsorship of indie music , local businesses , facial hair clubs ( RVA Beard League ) , post-collegiate sports teams , dive bars and radio programming like National Public Radio 's All Things Considered . The company encourages fan art to be submitted online , and is subsequently shown on the beer 's official Facebook page .   Pabst Blue Ribbon in popular culture ( edit )    The beer has appeared in the films Midnight Madness , Blue Velvet , Everything Must Go and Gran Torino , and in television shows such as AMC 's Breaking Bad and South Park .   The beer is referenced in the 2011 film Tucker &amp; Dale vs. Evil .   The beer is referenced in the title and lyrics of the 1973 country song Rednecks , White Socks and Blue Ribbon Beer by Johnny Russell .   In the Mad Men season 2 episode , `` The Mountain King '' , Don Draper drinks a Pabst Blue Ribbon from the bottle .   In South Park , Pabst Blue Ribbon is the beer preferred by character Randy Marsh . In `` The Poor Kid , '' the narrator opines : `` Pabst Blue Ribbon and white trash . It 's a deadly combination that can lead to prison time and children being taken away from their homes . ''   In Reno 911 ! season 4 episode 12 , `` Hodgepodge '' , Officer Jonson and Junior arrest a man who drank PBR because he is completely confused .   Lana Del Rey mentions the brand in her songs `` This is What Makes us Girls '' and `` Music To Watch Boys To . ''   Australian Metalcore Band The Amity Affliction released a song on their 2012 album Chasing Ghosts which they named `` Pabst Blue Ribbon on Ice '' .   The Zac Brown Band references the brand in their song `` Toes '' on their 2008 album The Foundation .   In the album , Heart to Heart by Betty Buckley , there is a song called `` I Am a Town '' ( Carpenter ) which contains the lyric , `` I am Pabst Blue Ribbon America and Southern Serves the South '' .   The song `` Ruby Room '' by Green Day side project Foxboro Hot Tubs alludes to the beer with the lyric : `` Lucky Strike and I will travel , as the Pabst Blue Ribbon unravels . ''   In the film National Lampoon 's Christmas Vacation , Randy Quaid 's character is seen drinking a can of PBR .   In The West Wing season four episode `` Election Night '' , Charlie Young 's Little Brother Anthony brings his friend Orlando Kettles to the White House , possibly hoping to get charges dropped after Orlando was caught driving with `` an open can of Pabst . ''   In the Timeless episode `` The World 's Columbian Exposition '' , a waitress serves Flynn and Lucy , `` It 's called Pabst ? It just won a blue ribbon at the fair . ''   The Boston Ska Band `` Big D and the Kids Table '' features numerous songs that include Pabst Blue Ribbon in their lyrics ; including `` Lynn Lynn The City Of Sin '' and `` Shining On '' .   Macklemore 's song `` Cowboy Boots '' includes the lyric `` cowboy boots doing lines at the bar where the time goes slow when you 're drinking PBR . ''   The beer is referenced in the title and lyrics of the 2009 country song `` Pabst Blue Ribbon '' , by Shane Yellowbird .   Brad Pitt is seen drinking a PBR in the hit film Se7en    Outside of the United States ( edit )  Can of Pabst Blue Ribbon Beer sold in China  Australia ( edit )   Dan Murphy 's liquor stores have stocked the beer since 2012 .   Canada ( edit )   Pabst Blue Ribbon is brewed by Sleeman Breweries of Guelph , Ontario ( although credited as ' Stroh Canada ' on the labeling ; Sleeman acquired the Stroh label in 1999 ) . Pabst Blue Ribbon contains 4.9 % alc / vol . There is also a Pabst strong beer which contains 5.9 % alc / vol .   China ( edit )   Pabst Blue Ribbon America has a licensing agreement and joint venture arrangement with China Pabst Blue Ribbon . It is produced , marketed and distributed by CBR Brewing Company , which jointly owns the company along with Guangdong Blue Ribbon Group under a sub-licensing agreement with the Pabst Brewing Company . CBR is a British Virgin Islands owned company but it is based in China . In 2010 , China Pabst released a new beer called Pabst Blue Ribbon 1844 for consumption in the domestic market ; it sells for 44 U.S. dollars a bottle .   Ireland ( edit )   Pabst Blue Ribbon America has a licensing agreement and joint venture arrangement with C&amp;C Group Plc and is being distributed in Republic of Ireland through C&amp;C Gleeson and in Northern Ireland through Tennents Northern Ireland . It is sold in 355ml cans and bottles and on draught via a 30L keg . The ABV is 4.6 % .   Sweden ( edit )   Pabst Blue Ribbon launched in Sweden in 2012 , imported by Galatea Beer Spirits &amp; Wine and sold in Systembolaget stores . The Pabst Blue Ribbon sold in Sweden is labeled as the `` export '' version . According to Galatea it is an `` extra flavorful version brewed for the Swedish market '' , and contains 4.5 % alc / vol . Pabst Blue Ribbon export is brewed and bottled in America and then shipped to Sweden .   References ( edit )    Jump up ^ Ogle , Maureen ( 2006 ) . Ambitious Brew : The Story of American Beer . New York : Harcourt . p. 49 . ISBN 0151010129 .   Jump up ^ Ogle . Ambitious Brew . p. 51 .   Jump up ^ Skilnik , Bob ( 2006 ) . Beer : A History of Brewing in Chicago . Ft. Lee , N.J. : Barricade Books . pp. 24 -- 25 . ISBN 1569803129 .   Jump up ^ The National Cyclopaedia of American Biography . J.T. White . 1893 . p. 294 .   Jump up ^ Mansion , The Pabst . `` Pabst Brewery History '' . pabstmansion.com . Retrieved 25 December 2016 .   Jump up ^ `` The brewery 's flagship beer was finally renamed Pabst Blue Ribbon following its win as ' America 's Best ' at the World 's Columbian Exposition in Chicago '' . Retrieved 9 August 2010 .   Jump up ^ Stamp , Jimmy . `` Where Did Pabst Win that Blue Ribbon ? '' . smithsonianmag.com . Retrieved 25 December 2016 .   Jump up ^ Bancroft , Hubert Howe . The Book of the Fair : an historical and descriptive presentation of the world 's science , art , and industry , as viewed through the Columbian Exposition at Chicago in 1893 , designed to set forth the display made by the Congress of Nations , of human achievement in material form , so as to more effectually to illustrate the profess of mankind in all the departments of civilized life . Chicago , San Francisco : The Bancroft Company , 1893 . p. 83 . ( 10 v. ( approx. , 1000p . ) : illus . ( incl . ports . ) , 41 cm . )   Jump up ^ Pabst Brewing Co . Timeline from the company 's website   Jump up ^ Ray Kenney ( January 24 , 1982 ) . `` The Blue - Ribbon Battle for Pabst '' . The New York Times .   Jump up ^ Carrie Antlfinger ( April 4 , 2014 ) . `` Group Wants to Bring Pabst Blue Ribbon Back to Milwaukee '' . Associated Press . Retrieved April 5 , 2014 .   Jump up ^ Don Terry ( November 6 , 1996 ) . `` Brewery 's Exit Leaves a Bitter Taste '' . The New York Times .   Jump up ^ Rob Walker ( June 22 , 2003 ) . `` The Marketing of No Marketing '' . The New York Times .   Jump up ^ `` Pabst Brewing Sells Itself to Metropoulos '' . The New York Times . June 25 , 2010 .   Jump up ^ Michael J. De La Merced ( June 8 , 2011 ) . `` S.E.C. Stops Would - Be Buyers of Pabst Beer '' . The New York Times .   Jump up ^ Wilmore , James ( 14 November 2014 ) . `` Pabst Brewing Co sale finalised as Eugene Kashper , TSG take reins '' . Retrieved 14 November 2014 .   Jump up ^ Lockwood , Denise ( 14 November 2014 ) . `` Pabst Brewing Co. sale completed , company to stay in Los Angeles '' . Milwaukee Business Journal .   Jump up ^ Gelles , David ( November 18 , 2014 ) . `` Hey Guys , the Russians Are n't Buying Pabst After All '' , New York Times . Retrieved March 14 , 2016 .   Jump up ^ Daykin , Tom ( September 28 , 2015 ) . `` Titletown and Pabst Gain National Awards at Great American Beer Festival '' , Milwaukee Journal Sentinel . Retrieved October 3 , 2015 .   Jump up ^ `` Pabst Blue Ribbon '' . pabstblueribbon.com . Archived from the original on 30 May 2012 . Retrieved 25 December 2016 .   ^ Jump up to : Rob Walker ( June 22 , 2003 ) . `` The Marketing of No Marketing '' . The New York Times . Retrieved 2009 - 09 - 17 .   ^ Jump up to : `` Marketing With a Whisper '' . Fast Company . January 11 , 2003 . Archived from the original on April 2 , 2004 . Retrieved 2009 - 11 - 01 .   Jump up ^ `` Pabst Blue Ribbon Homepage '' . Retrieved 2009 - 11 - 01 .   Jump up ^ Carly Berwick ( June 25 , 2008 ) . `` Murketing to Hipsters Saves Pabst , Boosts Apple '' . Bloomberg . Retrieved 2009 - 11 - 01 .   Jump up ^ Edward McClelland ( August 11 , 2008 ) . `` And the next great American beer will be ... ? '' . Salon.com . Archived from the original on August 11 , 2008 . Retrieved 2009 - 09 - 17 .   Jump up ^ `` Pabst Blue Ribbon Lacrosse '' . Archived from the original on 2009 - 03 - 29 . Retrieved 2009 - 11 - 16 . PBR Lacrosse is the official lacrosse team of Pabst Blue Ribbon Beer . PBR Lacrosse is the premier post-collegiate lacrosse team in Houston , Texas . The team is made up of post-NCAA Division I , II and III and MCLA players . They compete against SWLA teams throughout the state of Texas and play in tournaments in the southern United States region .   Jump up ^ Dan Eaton ( November 16 , 2008 ) . `` Pabst gives marketing campaign a blue ribbon for effectiveness '' . Columbus Business First . Retrieved 2009 - 11 - 01 .   Jump up ^ `` Facebook '' . facebook.com . Retrieved 25 December 2016 .   Jump up ^ Ryan , Mike ( 15 August 2012 ) . `` Remember This ? ' Midnight Madness ' : An Obsessive Chat '' . huffingtonpost.com . Retrieved 4 August 2018 .   Jump up ^ Blue Velvet Pabst Blue Ribbon on YouTube   Jump up ^ `` At the Movies : Prius , PBR &amp; Will Ferrell 's Perfect Product Placement Plot '' . brandchannel.com. 13 May 2011 . Retrieved 4 August 2018 .   Jump up ^ `` Pabst Blue Ribbon , Everything Must Go and Gran Torino -- Coolspotters '' . Retrieved 2010 - 09 - 21 .   Jump up ^ `` Will Russian ownership affect hipsters ' taste for Pabst Blue Ribbon ? '' . timesfreepress.com . Retrieved 4 August 2018 .   Jump up ^ `` ' Tucker &amp; Dale ' review : A hillbilly horror spoof delivers '' . nj.com . Retrieved 4 August 2018 .   Jump up ^ `` The Mountain King . '' Mad Men . AMC . NY , NY . 19 October 2008 . Television .   Jump up ^ `` South Park : `` The Poor Kid '' Review - IGN `` . archive.org. 2 May 2012 . Retrieved 8 June 2018 .   Jump up ^ `` Reno 911 ! ( 2003 ) s04e12 Episode Script - SS '' . Springfield ! Springfield ! . Retrieved 4 August 2018 .   Jump up ^ `` Lana Del Rey -- This Is What Makes Us Girls '' . genius.com . Retrieved 8 June 2018 .   Jump up ^ `` Lana Del Rey -- Music to Watch Boys To '' . genius.com . Retrieved 8 June 2018 .   Jump up ^ `` The Amity Affliction -- Pabst Blue Ribbon On Ice '' . genius.com . Retrieved 8 June 2018 .   Jump up ^ `` Zac Brown Band - Toes Lyrics - SongMeanings '' . SongMeanings . Retrieved 8 June 2018 .   Jump up ^ `` Betty Buckley - I Am a Town Lyrics - SongMeanings '' . SongMeanings . Retrieved 8 June 2018 .   Jump up ^ `` Foxboro Hot Tubs -- Ruby Room '' . genius.com . Retrieved 4 August 2018 .   Jump up ^ `` Election Night '' . livejournal.com . Retrieved 8 June 2018 .   Jump up ^ Blackburn , R.A. ( 24 February 2018 ) . `` Timeless Season 1 : Episode 11 -- The World 's Columbian Exposition - The Time Travel Nexus '' . timetravelnexus.com . Retrieved 8 June 2018 .   Jump up ^ `` Big D And The Kids Table -- Lynn Lynn the City of Sin '' . genius.com . Retrieved 4 August 2018 .   Jump up ^ `` Big D And The Kids Table -- Shining on '' . genius.com . Retrieved 4 August 2018 .   Jump up ^ `` Macklemore &amp; Ryan Lewis -- Cowboy Boots '' . genius.com . Retrieved 4 August 2018 .   Jump up ^ `` Pabst Blue Ribbon - Shane Yellowbird - Song Info - AllMusic '' . AllMusic . Retrieved 4 August 2018 .   Jump up ^ `` Classic 90s Movie : `` Se7en '' -- Go Into The Story `` . blcklst.com. 4 May 2014 . Retrieved 4 August 2018 .   Jump up ^ `` Pabst Blue Ribbon Premium Lager Cans 473mL '' . Dan Murphy 's Online . Retrieved January 8 , 2014 .   Jump up ^ `` Pabst Blue Ribbon '' . pabstblueribbon.ca . Retrieved 25 December 2016 .   Jump up ^ `` Pabst Blue Ribbon 5.9 -- The Beer Store '' . thebeerstore.ca . Retrieved 25 December 2016 .   Jump up ^ Sittig , marshall ( 1995 ) . Guide to China Business Contacts : Companies , Places , and Markets .   Jump up ^ Hoover 's Masterlist of Major U.S. Companies 1998 -- 1999 . 1998 .   Jump up ^ Miller , Russell ( 2000 ) . Doing Business in Newly Privatized Markets : Global Opportunities and Challenges .   Jump up ^ Gibson , Megan ( July 21 , 2010 ) . `` Pabst Blue Ribbon Is Classy and Expensive in China '' . Time .    External links ( edit )    Official website   A souvenir booklet from the Pabst Brewing Company , 1907 , Wisconsin Historical Society   Retrieved from `` https://en.wikipedia.org/w/index.php?title=Pabst_Blue_Ribbon&amp;oldid=853943582 '' Categories :   1844 introductions   American beer brands   Pabst Brewing Company   World 's Columbian Exposition   Hidden categories :   All articles with dead external links   Articles with dead external links from December 2016   Pages using deprecated image syntax   Articles with hRecipes   Articles with hProducts   All articles with unsourced statements   Articles with unsourced statements from August 2018           Talk                                           Contents                   About Wikipedia                                                 Deutsch   Français   </t>
    </r>
    <r>
      <rPr>
        <sz val="11"/>
        <color rgb="FF000000"/>
        <rFont val="Noto Sans CJK SC"/>
        <family val="2"/>
      </rPr>
      <t xml:space="preserve">中文   </t>
    </r>
    <r>
      <rPr>
        <sz val="11"/>
        <color rgb="FF000000"/>
        <rFont val="Calibri"/>
        <family val="0"/>
        <charset val="1"/>
      </rPr>
      <t xml:space="preserve">Edit links   This page was last edited on 7 August 2018 , at 23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</si>
  <si>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what's the abv of pabst blue ribbon</t>
  </si>
  <si>
    <t xml:space="preserve"> Pabst Blue Ribbon America has a licensing agreement and joint venture arrangement with C&amp;C Group Plc and is being distributed in Republic of Ireland through C&amp;C Gleeson and in Northern Ireland through Tennents Northern Ireland . It is sold in 355ml cans and bottles and on draught via a 30L keg . The ABV is 4.6 % . </t>
  </si>
  <si>
    <t xml:space="preserve">2018 Pro Kabaddi League season - wikipedia  2018 Pro Kabaddi League season       This article needs additional citations for verification . Please help improve this article by adding citations to reliable sources . Unsourced material may be challenged and removed . ( April 2018 ) ( Learn how and when to remove this template message )       Vivo Pro Kabaddi League     Dates   7 October 2018 -- 6 January 2019     Administrator ( s )   Mashal Sports     Tournament format ( s )   Double round robin , round robin and playoffs     Host ( s )   India     Defending Champions   Patna Pirates     Participants   12     Official website   prokabaddi.com     UDRS Available   Yes     ← 2017 2019 →     The 2018 Vivo Pro Kabaddi League is the sixth season of Pro Kabaddi League , a professional kabaddi league in India since 2014 . The season began on 7th October 2018 . Patna Pirates are the defending champions having defeated the Gujarat Fortune Giants in the 2017 Pro Kabaddi League Final .   Contents    1 Teams   1.1 Stadiums and Locations   1.2 Personnel &amp; Sponsorship   1.3 Foreign Players     2 Sponsorship   3 Points Table   3.1 Zone A   3.2 Zone B     4 League Stage   4.1 Leg 1 -- Jawaharlal Nehru Indoor Stadium , Chennai   4.2 Leg 2 -- Motilal Nehru School of Sports , Sonepat   4.3 Leg 3 -- Shree Shiv Chhatrapati Sports Complex , Pune   4.4 Leg 4 -- Patliputra Sports Complex , Patna   4.5 Leg 5 -- Shaheed Vijay Singh Pathik Sports Complex , Greater Noida   4.6 Leg 6 -- Dome@NSCI SVP Stadium , Mumbai   4.7 Leg 7 -- The Arena , Ahmedabad   4.8 Leg 8 -- Shree Shiv Chhatrapati Sports Complex , Pune   4.9 Leg 9 -- Thyagaraj Sports Complex , New Delhi   4.10 Leg 10 -- Rajiv Gandhi Indoor Stadium , Vizag   4.11 Leg 11 -- Tau Devilal Sports Complex , Panchkula   4.12 Leg 12 -- Netaji Subhas Chandra Bose Indoor Stadium , Kolkata     5 Playoffs   5.1 Eliminator 1 -- Venue TBD   5.2 Eliminator 2 -- Venue TBD   5.3 Qualifier 1 -- Venue TBD   5.4 Eliminator 3 -- Venue TBD   5.5 Qualifier 2 -- Venue TBD   5.6 Final -- Venue TBD     6 References    Teams ( edit )  Bengaluru Bulls U Mumba Puneri Paltan Bengal Warriors Jaipur Pink Panthers Patna Pirates Telugu Titans Dabang Delhi Gujarat Fortunegiants UP Yoddha Haryana Steelers Tamil Thalaivas Zone A Zone B Locations of the Pro Kabaddi teams  Stadiums and Locations ( edit )    Note : Table lists in alphabetical order .      Team   City / State   Stadium   Capacity     Bengal Warriors   Kolkata , West Bengal   Netaji Indoor Stadium   7004120000000000000 ♠ 12,000     Bengaluru Bulls   Bengaluru , Karnataka   Shree Shiv Chhatrapati Sports Complex   7003420000000000000 ♠ 4,200     Dabang Delhi KC   Delhi   Thyagaraj Sports Complex   7003449400000000000 ♠ 4,494     Jaipur Pink Panthers   Panchkula , Haryana   Tau Devilal Sports Complex   7003700000000000000 ♠ 7,000     Patna Pirates   Patna , Bihar   Patliputra Sports Complex   7004200000000000000 ♠ 20,000     Puneri Paltan   Pune , Maharashtra   Shree Shiv Chhatrapati Sports Complex   7003420000000000000 ♠ 4,200     Telugu Titans   Hyderabad / Vizag , Telangana   Gachibowli Indoor Stadium   7003500000000000000 ♠ 5,000     U Mumba   Mumbai , Maharashtra   Dome@NSCI SVP Stadium   7003500000000000000 ♠ 5,000     Gujarat Fortune Giants   Ahmedabad , Gujarat   The Arena Indoor Stadium   7003400000000000000 ♠ 4,000     UP Yoddha   Greater Noida , Uttar Pradesh   Shaheed Vijay Singh Pathik Sports Complex   7003800000000000000 ♠ 8,000     Tamil Thalaivas   Chennai , Tamilnadu   Jawaharlal Nehru Stadium   7003500000000000000 ♠ 5,000     Haryana Steelers   Sonipat , Haryana   Motilal Nehru School of Sports   7003200000000000000 ♠ 2,000     Personnel &amp; sponsorship ( edit )     Teams   Owners   Head Coach   Captain   Kit Sponsor   Main Sponsor   Associate Sponsor     Bengal Warriors   Birthright Games &amp; Entertainment Private Limited   Jagdish Kumble   Surjeet Singh   Spunk   Future Pay   fbb     Bengaluru Bulls   WL League Pvt. Ltd .   Randhir Singh &amp; BC Ramesh   Rohit Kumar   Shiv Naresh Sports   AbhiPaisa   O&amp;O Academy     Dabang Delhi KC   Radha Kapoor Khanna   Krishan Kumar Hooda   Joginder Singh Narwal     Indian School of Design &amp; Innovation   Awfis     Gujarat Fortune Giants   Adani Wilmar Ltd .   Manpreet Singh   Sunil Kumar   Shiv Naresh Sports   Fru2go   Odayo     Haryana Steelers   JSW Group   Rambir Singh Khokkar   Surender Nada   Alcis   Herbalife Nutrition   Borosil     Jaipur Pink Panthers   Abhishek Bachchan   Srinivas Reddy   Anup Kumar   D : FY   Finolex Cables   Lux Cozi     Patna Pirates   Rajesh V. Shah   Ram Mehar Singh   Pardeep Narwal   4u Sports   Birla Gold Cement   Capital Float     Puneri Paltan   Insurekot Sports Pvt. Ltd .   Ashan Kumar   Girish Maruti Emak   Equio   Force Motors   Kotak     Tamil Thalaivas   Iquest Enterprises Pvt. Ltd . &amp; Blasters Sports Ventures Pvt. Ltd .   Bhaskaran Edacherry   Ajay Thakur     Orbit Wires &amp; Cables   Valvoline     Telugu Titans   Srinivas Sreeramaneni - Veera Sports   Kilaru Jagmohan   Vishal Bhardwaj   Vats   Greenko   Haldiram 's     U Mumba   Ronnie Screwvala   Gholamreza Mahmoud Mazandarani &amp; Upendra Kumar   Fazel Atrachali     Indigo Paints   Syska     UP Yoddha   GMR Group   J Udaya Singh   Rishank Devadiga   T10 Sports   Tata Yodha   Suzuki Access 125     Foreign players ( edit )   Each team can sign maximum 3 foreign players in the squad .     Teams   Player 1   Player 2   Player 3     Bengal Warriors   Jang Kun Lee   Ziaur Rahman   -     Bengaluru Bulls   Dong Ju Hong   Gyung Tae Kim   -     Dabang Delhi KC   Khomsan Thongkham   Meraj Sheykh   -     Gujarat Fortune Giants   Dong Geon Lee   Hadi Oshtorak   -     Haryana Steelers   Md . Zakir Hossain   Patrick Nzau Muvai   -     Jaipur Pink Panthers   David Shilisia J Mosambayi   Young Chang Ko   -     Patna Pirates   Hyunil Park   Tae Deok Eom   -     Puneri Paltan   Lal Mohar Yadav   Sanjay Shrestha   -     Tamil Thalaivas   Chan Sik Park   Victor Onyango Obiero   -     Telugu Titans   Mohsen Maghsoudloujafari   Farhad Rahimi Milaghardan   Abozar Mohajermighani     U Mumba   Fazel Atrachali   Abolfazl Maghsodloumahali   Hadi Tajik     UP Yoddha   Sulieman Kabir   Seong Ryeol Kim   -     Sponsorship ( edit )    Title Sponsor       Vivo     Powered by       Thums Up Charged     Associate Sponsors       Bajaj Electricals   Tata Motors   Honda   Gillette Mach3   Dream11     Broadcast Sponsor       Star Sports    Points table ( edit )   Source : prokabaddi.com The teams are divided into two zones with each zone having six teams based on their geographical proximity . Each team will play 15 intra-zonal matches and 7 inter-zonal matches .   Zone A ( edit )     Team   Played   Won   Lost   Tied   SD   Points     Puneri Paltan   11   5   5     6   32     U Mumba   7   5       65   29     Gujarat Fortune Giants   5         20   19         Haryana Steelers   9     6   0   - 57   16     Dabang Delhi   5         8   15     Jaipur Pink Panthers   5       0   - 30   7     Zone B ( edit )     Team   Played   Won   Lost   Tied   SD   Points     Telugu Titans   6       0   9   21     UP Yoddha   7         0   21     Bengal Warriors   5         16   18         Patna Pirates   8     5   0   - 34   17     Bengaluru Bulls         0   26   16     Tamil Thalaivas   8     6   0   - 29   12     Updated after match 40        Five points for every win   Three points each if draw   One point if a team loses by seven or fewer points   Zero points if a team loses by more than seven points   Top three teams from each zone qualify for the playoffs   SD = Score Difference    League Stage ( edit )   Source : prokabaddi.com   Leg 1 -- Jawaharlal Nehru Indoor Stadium , Chennai ( edit )        7 October 2018 20 : 00       Tamil Thalaivas   42 -- 26   Patna Pirates       Report         Match 1 Tamil Thalaivas             7 October 2018 21 : 00       Puneri Paltan   32 -- 32   U Mumba       Report         Match 2 Match Tied             8 October 2018 20 : 00       Puneri Paltan   34 -- 22   Haryana Steelers       Report         Match 3 Puneri Paltan             8 October 2018 21 : 00       Tamil Thalaivas   32 -- 37   UP Yoddha       Report         Match 4 UP Yoddha won             9 October 2018 20 : 00       Dabang Delhi   32 -- 32   Gujarat Fortune Giants       Report         Match 5 Match tied             9 October 2018 21 : 00       Tamil Thalaivas   28 -- 33   Telugu Titans       Report         Match 6 Telugu Titans             10 October 2018 20 : 00       U Mumba   39 -- 32   Jaipur Pink Panthers       Report         Match 7 U Mumba won             10 October 2018 21 : 00       Tamil Thalaivas   37 -- 48   Bengaluru Bulls       Report         Match 8 Bengaluru Bulls won             11 October 2018 20 : 00       UP Yoddha   41 -- 43   Patna Pirates       Report         Match 9 Patna Pirates won             11 October 2018 21 : 00       Tamil Thalaivas   27 -- 36   Bengal Warriors       Report         Match 10 Bengal Warriors won        Leg 2 -- Motilal Nehru School of Sports , Sonepat ( edit )        12 October 2018 20 : 00       Haryana Steelers   36 -- 25   Gujarat Fortune Giants       Report         Match 11 Haryana Steelers won             12 October 2018 21 : 00       Puneri Paltan   37 -- 41   Dabang Delhi       Report         Match 12 Dabang Delhi won             13 October 2018 20 : 00       Telugu Titans   34 -- 29   UP Yoddha       Report         Match 13 Telugu Titans won             13 October 2018 21 : 00       Haryana Steelers   26 -- 53   U Mumba       Report         Match 14 U Mumba won             14 October 2018 20 : 00       Patna Pirates   43 -- 37   UP Yoddha       Report         Match 15 Patna Pirates won             14 October 2018 21 : 00       Haryana Steelers   27 -- 45   Puneri Paltan       Report         Match 16 Puneri Paltan won             16 October 2018 20 : 00       Bengal Warriors   30 -- 25   Telugu Titans       Report         Match 17 Bengal Warriors won             16 October 2018 21 : 00       Haryana Steelers   33 -- 36   Jaipur Pink Panthers       Report         Match 18 Jaipur Pink Panthers won             17 October 2018 20 : 00       Bengaluru Bulls   44 -- 35   Tamil Thalaivas       Report         Match 19 Bengaluru Bulls won             17 October 2018 21 : 00       Haryana Steelers   32 -- 42   U Mumba       Report         Match 20 U Mumba won             18 October 2018 20 : 00       Haryana Steelers   34 -- 31   Dabang Delhi       Report         Match 21 Haryana Steelers won        Leg 3 -- Shree Shiv Chhatrapati Sports Complex , Pune ( edit )        18 October 2018 21 : 00       Puneri Paltan   28 -- 34   Gujarat Fortune Giants       Report         Match 22 Gujarat Fortune Giants won             19 October 2018 20 : 00       Patna Pirates   31 -- 35   Telugu Titans       Report         Match 23 Telugu Titans won             19 October 2018 21 : 00       Puneri Paltan   29 -- 25   Jaipur Pink Panthers       Report         Match 24 Puneri Paltan won             20 October 2018 20 : 00       UP Yoddha   40 -- 40   Bengal Warriors       Report         Match 25 Match tied             20 October 2018 21 : 00       Puneri Paltan   33 -- 32   U Mumba       Report         Match 26 Puneri Paltan won             21 October 2018 20 : 00       Dabang Delhi   39 -- 30   Bengal Warriors       Report         Match 27 Inter Zone Challenge Week Dabang Delhi won             21 October 2018 21 : 00       Puneri Paltan   27 -- 25   Bengaluru Bulls       Report         Match 28 Inter Zone Challenge Week Puneri Paltan won             23 October 2018 20 : 00       U Mumba   41 -- 20   Telugu Titans       Report         Match 29 Inter Zone Challenge Week U Mumba won             23 October 2018 21 : 00       Puneri Paltan   31 -- 36   Tamil Thalaivas       Report         Match 30 Inter Zone Challenge Week Tamil Thalaivas won             24 October 2018 20 : 00       Bengaluru Bulls   42 -- 34   Haryana Steelers       Report         Match 31 Inter Zone Challenge Week Bengaluru Bulls won             24 October 2018 21 : 00       Puneri Paltan   23 -- 29   UP Yoddha       Report         Match 32 Inter Zone Challenge Week UP Yoddha won        Leg 4 -- Patliputra Sports Complex , Patna ( edit )        26 October 2018 20 : 00       Patna Pirates   41 -- 30   Jaipur Pink Panthers       Report         Match 33 Inter Zone Challenge Week Patna Pirates won             26 October 2018 21 : 00       Gujarat Fortune Giants   36 -- 25   Tamil Thalaivas       Report         Match 34 Inter Zone Challenge Week Gujarat Fortune Giants won             27 October 2018 20 : 00       Jaipur Pink Panthers   28 -- 39   Bengal Warriors       Report         Match 35 Inter Zone Challenge Week Bengal Warriors won             27 October 2018 21 : 00       Patna Pirates   39 -- 40   U Mumba       Report         Match 36 Inter Zone Challenge Week U Mumba won             28 October 2018 20 : 00       Dabang Delhi   36 -- 38   UP Yoddha       Report         Match 37 Inter Zone Challenge Week UP Yoddha won             28 October 2018 21 : 00       Patna Pirates   32 -- 43   Haryana Steelers       Report         Match 38 Inter Zone Challenge Week Haryana Steelers won             30 October 2018 20 : 00       Puneri Paltan   27 -- 37   Gujarat Fortune Giants       Report         Match 39 Gujarat Fortune Giants won             30 October 2018 21 : 00       Patna Pirates   32 -- 53   Telugu Titans       Report         Match 40 Telugu Titans won             31 October 2018 20 : 00       Dabang Delhi   --   Puneri Paltan               Match 41             31 October 2018 21 : 00       Patna Pirates   --   Bengaluru Bulls               Match 42             1 November 2018 20 : 00       Patna Pirates   --   Bengal Warriors               Match 43        Leg 5 -- Shaheed Vijay Singh Pathik Sports Complex , Greater Noida ( edit )        2 November 2018 20 : 00       UP Yoddha   --   Tamil Thalaivas               Match 44             2 November 2018 21 : 00       Jaipur Pink Panthers   --   Gujarat Fortune Giants               Match 45             3 November 2018 20 : 00       U Mumba   --   Puneri Paltan               Match 46             3 November 2018 21 : 00       UP Yoddha   --   Bengaluru Bulls               Match 47             4 November 2018 20 : 00       Dabang Delhi   --   Gujarat Fortune Giants               Match 48             4 November 2018 21 : 00       UP Yoddha   --   Bengal Warriors               Match 49             6 November 2018 20 : 00       Jaipur Pink Panthers   --   Haryana Steelers               Match 50             6 November 2018 21 : 00       UP Yoddha   --   Telugu Titans               Match 51             8 November 2018 20 : 00       Dabang Delhi   --   Haryana Steelers               Match 52             8 November 2018 21 : 00       UP Yoddha   --   Bengaluru Bulls               Match 53        Leg 6 -- Dome@NSCI SVP Stadium , Mumbai ( edit )        9 November 2018 20 : 00       U Mumba   --   Jaipur Pink Panthers               Match 54             9 November 2018 21 : 00       Bengal Warriors   --   Telugu Titans               Match 55             10 November 2018 20 : 00       Patna Pirates   --   Bengal Warriors               Match 56             10 November 2018 21 : 00       U Mumba   --   Gujarat Fortune Giants               Match 57             11 November 2018 20 : 00       Jaipur Pink Panthers   --   Dabang Delhi               Match 58             11 November 2018 21 : 00       U Mumba   --   Haryana Steelers               Match 59             13 November 2018 20 : 00       Puneri Paltan   --   Telugu Titans               Match 60 Inter Zone Challenge Week             13 November 2018 21 : 00       U Mumba   --   UP Yoddha               Match 61 Inter Zone Challenge Week             14 November 2018 20 : 00       Tamil Thalaivas   --   Haryana Steelers               Match 62 Inter Zone Challenge Week             14 November 2018 21 : 00       U Mumba   --   Bengaluru Bulls               Match 63 Inter Zone Challenge Week             15 November 2018 20 : 00       Patna Pirates   --   Dabang Delhi               Match 64 Inter Zone Challenge Week             15 November 2018 21 : 00       U Mumba   --   Tamil Thalaivas               Match 65 Inter Zone Challenge Week        Leg 7 -- The Arena , Ahmedabad ( edit )        16 November 2018 20 : 00       Gujarat Fortune Giants   --   Bengal Warriors               Match 66 Inter Zone Challenge Week             16 November 2018 21 : 00       Jaipur Pink Panthers   --   UP Yoddha               Match 67 Inter Zone Challenge Week             17 November 2018 20 : 00       Puneri Paltan   --   Bengal Warriors               Match 68 Inter Zone Challenge Week             17 November 2018 21 : 00       Gujarat Fortune Giants   --   Bengaluru Bulls               Match 69 Inter Zone Challenge Week             18 November 2018 20 : 00       Jaipur Pink Panthers   --   Bengaluru Bulls               Match 70 Inter Zone Challenge Week             18 November 2018 21 : 00       Gujarat Fortune Giants   --   UP Yoddha               Match 71 Inter Zone Challenge Week             20 November 2018 20 : 00       Tamil Thalaivas   --   Telugu Titans               Match 72             20 November 2018 21 : 00       Gujarat Fortune Giants   --   Dabang Delhi               Match 73             21 November 2018 20 : 00       Patna Pirates   --   Tamil Thalaivas               Match 74             21 November 2018 21 : 00       Gujarat Fortune Giants   --   U Mumba               Match 75             22 November 2018 20 : 00       Gujarat Fortune Giants   --   Haryana Steelers               Match 76        Leg 8 -- Shree Shiv Chhatrapati Sports Complex , Pune ( edit )        23 November 2018 20 : 00       Bengaluru Bulls   --   Bengal Warriors               Match 77             23 November 2018 21 : 00       Jaipur Pink Panthers   --   Puneri Paltan               Match 78             24 November 2018 20 : 00       U Mumba   --   Dabang Delhi               Match 79             24 November 2018 21 : 00       Bengaluru Bulls   --   Tamil Thalaivas               Match 80             25 November 2018 20 : 00       Dabang Delhi   --   Haryana Steelers               Match 81             25 November 2018 21 : 00       Bengaluru Bulls   --   Patna Pirates               Match 82             27 November 2018 20 : 00       Tamil Thalaivas   --   Telugu Titans               Match 83             27 November 2018 21 : 00       Bengaluru Bulls   --   U Mumba               Match 84             28 November 2018 20 : 00       Haryana Steelers   --   Puneri Paltan               Match 85             28 November 2018 21 : 00       Bengaluru Bulls   --   Telugu Titans               Match 86             29 November 2018 20 : 00       Puneri Paltan   --   Gujarat Fortune Giants               Match 87             29 November 2018 21 : 00       Bengaluru Bulls   --   Bengal Warriors               Match 88             30 November 2018 20 : 00       Dabang Delhi   --   Jaipur Pink Panthers               Match 89        Leg 9 -- Thyagaraj Sports Complex , New Delhi ( edit )        30 November 2018 21 : 00       Tamil Thalaivas   --   Patna Pirates               Match 90             1 December 2018 20 : 00       Dabang Delhi   --   U Mumba               Match 91             2 December 2018 20 : 00       U Mumba   --   Gujarat Fortune Giants               Match 92             2 December 2018 21 : 00       Dabang Delhi   --   Puneri Paltan               Match 93             4 December 2018 20 : 00       Patna Pirates   --   Gujarat Fortune Giants               Match 94 Inter Zone Challenge Week             4 December 2018 21 : 00       Dabang Delhi   --   Telugu Titans               Match 95 Inter Zone Challenge Week             5 December 2018 20 : 00       Haryana Steelers   --   Bengal Warriors               Match 96 Inter Zone Challenge Week             5 December 2018 21 : 00       Dabang Delhi   --   Bengaluru Bulls               Match 97 Inter Zone Challenge Week             6 December 2018 20 : 00       UP Yoddha   --   Haryana Steelers               Match 98 Inter Zone Challenge Week             6 December 2018 21 : 00       Dabang Delhi   --   Tamil Thalaivas               Match 99 Inter Zone Challenge Week        Leg 10 -- Rajiv Gandhi Indoor Stadium , Vizag ( edit )        7 December 2018 20 : 00       Telugu Titans   --   Gujarat Fortune Giants               Match 100 Inter Zone Challenge Week             7 December 2018 21 : 00       Patna Pirates   --   Puneri Paltan               Match 101 Inter Zone Challenge Week             8 December 2018 20 : 00       U Mumba   --   Bengal Warriors               Match 102 Inter Zone Challenge Week             8 December 2018 21 : 00       Telugu Titans   --   Jaipur Pink Panthers               Match 103 Inter Zone Challenge Week             9 December 2018 20 : 00       Tamil Thalaivas   --   Jaipur Pink Panthers               Match 104 Inter Zone Challenge Week             9 December 2018 21 : 00       Telugu Titans   --   Haryana Steelers               Match 105 Inter Zone Challenge Week             11 December 2018 20 : 00       Dabang Delhi   --   U Mumba               Match 106             11 December 2018 21 : 00       Telugu Titans   --   UP Yoddha               Match 107             12 December 2018 20 : 00       Haryana Steelers   --   Gujarat Fortune Giants               Match 108             12 December 2018 21 : 00       Telugu Titans   --   Bengaluru Bulls               Match 109             13 December 2018 20 : 00       Telugu Titans   --   Patna Pirates               Match 110        Leg 11 -- Tau Devilal Sports Complex , Panchkula ( edit )        14 December 2018 20 : 00       Jaipur Pink Panthers   --   Puneri Paltan               Match 111             14 December 2018 21 : 00       Bengal Warriors   --   Tamil Thalaivas               Match 112             15 December 2018 20 : 00       UP Yoddha   --   Tamil Thalaivas               Match 113             15 December 2018 21 : 00       Jaipur Pink Panthers   --   U Mumba               Match 114             16 December 2018 20 : 00       Patna Pirates   --   UP Yoddha               Match 115             16 December 2018 21 : 00       Jaipur Pink Panthers   --   Gujarat Fortune Giants               Match 116             18 December 2018 20 : 00       Bengaluru Bulls   --   Telugu Titans               Match 117             18 December 2018 21 : 00       Jaipur Pink Panthers   --   Haryana Steelers               Match 118             19 December 2018 20 : 00       Patna Pirates   --   Bengaluru Bulls               Match 119             19 December 2018 21 : 00       Jaipur Pink Panthers   --   Gujarat Fortune Giants               Match 120             20 December 2018 20 : 00       Jaipur Pink Panthers   --   Dabang Delhi               Match 121        Leg 12 -- Netaji Subhas Chandra Bose Indoor Stadium , Kolkata ( edit )        21 December 2018 20 : 00       TBD   --   TBD               Match 122 Inter Zone Wildcard Match             22 December 2018 20 : 00       TBD   --   TBD               Match 123 Inter Zone Wildcard Match             22 December 2018 21 : 00       Bengal Warriors   --   Patna Pirates               Match 124             23 December 2018 20 : 00       TBD   --   TBD               Match 125 Inter Zone Wildcard Match             23 December 2018 21 : 00       Bengal Warriors   --   Tamil Thalaivas               Match 126             25 December 2018 20 : 00       TBD   --   TBD               Match 127 Inter Zone Wildcard Match             25 December 2018 21 : 00       Bengal Warriors   --   Telugu Titans               Match 128             26 December 2018 20 : 00       TBD   --   TBD               Match 129 Inter Zone Wildcard Match             26 December 2018 21 : 00       Bengal Warriors   --   Bengaluru Bulls               Match 130             27 December 2018 20 : 00       TBD   --   TBD               Match 131 Inter Zone Wildcard Match             27 December 2018 21 : 00       Bengal Warriors   --   UP Yoddha               Match 132        Playoffs ( edit )  Eliminator 1 -- Venue TBD ( edit )       30 December 20 : 00         --                 Match 133       Eliminator 2 -- Venue TBD ( edit )       30 December 21 : 00         --                 Match 134       Qualifier 1 -- Venue TBD ( edit )       31 December 20 : 00         --                 Match 135       Eliminator 3 -- Venue TBD ( edit )       31 December 21 : 00         --                 Match 136       Qualifier 2 -- Venue TBD ( edit )       3 January 20 : 00         --                 Match 137       Final -- Venue TBD ( edit )       5 January 20 : 00         --                 Match 138        References ( edit )    Jump up ^ `` Official Website for the Pro Kabaddi League '' . ProKabaddi.com. 2014 - 03 - 09 . Archived from the original on 2014 - 05 - 23 . Retrieved 2014 - 05 - 26 .   Jump up ^ `` Pro Kabaddi S5 highest rated non-cricket event on TV , claims Star -- TelevisionPost : Latest News , India 's Television , Cable , DTH , TRAI '' . Television Post . Retrieved 22 September 2018 .   Jump up ^ `` Season 6 , standings '' .   Jump up ^ `` Season 6 , results '' .    Pro Kabaddi 2018 Live Tv Channels             Pro Kabaddi     Seasons     2014   2015   January 2016   June 2016   2017   2018       Teams     Bengal Warriors   Bengaluru Bulls   Dabang Delhi   Gujarat Fortune Giants   Haryana Steelers   Jaipur Pink Panthers   Patna Pirates   Puneri Paltan   Tamil Thalaivas   Telugu Titans   U Mumba   UP Yoddha       Venues     Netaji Indoor Stadium   Kanteerava Indoor Stadium   Thyagaraj Sports Complex   The Arena by TransStadia   Motilal Nehru School of Sports   Sawai Mansingh Indoor Stadium   Patliputra Sports Complex   Shree Shiv Chhatrapati Sports Complex   Jawaharlal Nehru Stadium   Gachibowli Indoor Stadium   Port Trust Diamond Jubilee Stadium   Sardar Vallabhbhai Patel Indoor Stadium   Babu Banarasi Das Indoor Stadium      Retrieved from `` https://en.wikipedia.org/w/index.php?title=2018_Pro_Kabaddi_League_season&amp;oldid=866494540 '' Categories :   Pro Kabaddi League seasons   2018 in Indian sport   Hidden categories :   Articles needing additional references from April 2018   All articles needing additional references           Talk                                           Contents                   About Wikipedia                                           മലയാളം   Edit links   This page was last edited on 30 October 2018 , at 17 : 52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</si>
  <si>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are the teams of pro kabaddi 2018</t>
  </si>
  <si>
    <t xml:space="preserve">   Team   City / State   Stadium   Capacity     Bengal Warriors   Kolkata , West Bengal   Netaji Indoor Stadium   7004120000000000000 ♠ 12,000     Bengaluru Bulls   Bengaluru , Karnataka   Shree Shiv Chhatrapati Sports Complex   7003420000000000000 ♠ 4,200     Dabang Delhi KC   Delhi   Thyagaraj Sports Complex   7003449400000000000 ♠ 4,494     Jaipur Pink Panthers   Panchkula , Haryana   Tau Devilal Sports Complex   7003700000000000000 ♠ 7,000     Patna Pirates   Patna , Bihar   Patliputra Sports Complex   7004200000000000000 ♠ 20,000     Puneri Paltan   Pune , Maharashtra   Shree Shiv Chhatrapati Sports Complex   7003420000000000000 ♠ 4,200     Telugu Titans   Hyderabad / Vizag , Telangana   Gachibowli Indoor Stadium   7003500000000000000 ♠ 5,000     U Mumba   Mumbai , Maharashtra   Dome@NSCI SVP Stadium   7003500000000000000 ♠ 5,000     Gujarat Fortune Giants   Ahmedabad , Gujarat   The Arena Indoor Stadium   7003400000000000000 ♠ 4,000     UP Yoddha   Greater Noida , Uttar Pradesh   Shaheed Vijay Singh Pathik Sports Complex   7003800000000000000 ♠ 8,000     Tamil Thalaivas   Chennai , Tamilnadu   Jawaharlal Nehru Stadium   7003500000000000000 ♠ 5,000     Haryana Steelers   Sonipat , Haryana   Motilal Nehru School of Sports   7003200000000000000 ♠ 2,000   </t>
  </si>
  <si>
    <r>
      <rPr>
        <sz val="11"/>
        <color rgb="FF000000"/>
        <rFont val="Calibri"/>
        <family val="0"/>
        <charset val="1"/>
      </rPr>
      <t xml:space="preserve">Wrecked ( U.S. TV series ) - wikipedia  Wrecked ( U.S. TV series )     Wrecked         Genre   Comedy     Created by     Jordan Shipley   Justin Shipley       Starring     Zach Cregger   Asif Ali   Rhys Darby   Brooke Dillman   Ginger Gonzaga   Will Greenberg   Jessica Lowe   Ally Maki   Brian Sacca   James Scott       Country of origin   United States     Original language ( s )   English     No. of seasons       No. of episodes   30 ( list of episodes )     Production     Executive producer ( s )     James Griffiths   Jordan Shipley   Justin Shipley   Moses Port       Producer ( s )     Jesse Hara   Ken Topolsky       Production location ( s )     Puerto Rico ( season 1 )   Fiji ( seasons 2 -- 3 )       Camera setup   Single - camera     Production company ( s )     Shipley &amp; Shipley Productions   TBS Productions ( Season 1 )   Studio T ( Season 2 -- 3 )       Distributor   Warner Bros. Television Distribution     Release     Original network   TBS     Picture format   16 : 9 HDTV     Original release   June 14 , 2016 ( 2016 - 06 - 14 ) -- present     External links     Website     Wrecked is an American comedy television series created by Jordan Shipley and Justin Shipley for TBS . The series is about a group of people stranded on an island , after their airplane crashed in the ocean . The 10 - episode first season premiered on June 14 , 2016 .   On July 6 , 2016 , TBS renewed the show for a second season which was shot in Fiji . The second season premiered on June 20 , 2017 . On September 13 , 2017 , TBS renewed the series for a third season , which premiered on August 7 , 2018 .   Contents    1 Cast   1.1 Recurring   1.2 Guest starring     2 Development   3 Episodes   3.1 Season 1 ( 2016 )   3.2 Season 2 ( 2017 )   3.3 Season 3 ( 2018 )     4 Reception   5 References   6 External links    Cast ( edit )    Zach Cregger as Owen O'Connor , a flight attendant   Asif Ali as Pack Hara , a sports agent   Brian Sacca as Daniel `` Danny '' Wallace , the son of a rich businessman   Rhys Darby as Steve Rutherford , a New Zealander from Papakura   Brooke Dillman as Karen Cushman / Sister Mercy , a statistical analysis executive for Bing   Ginger Gonzaga as Emma Cook , a podiatrist ( season 1 , guest Season 2 - 3 )   Jessica Lowe as Florence Bitterman , Emma 's best friend , a pretentious feminist   Will Greenberg as Todd Hinkle , an obnoxious guy who cares more about his finding the meaning to life than his girlfriend   Ally Maki as Jess Kato , Todd 's girlfriend , then fiancee and later , wife   James Scott as Liam , a British soldier ( pilot only )    Recurring ( edit )    Pablo Azar as Pablo ( season 1 )   George Basil as Chet Smart   Lela Elam as Diane from Toledo ( season 1 - 2 )   Todd Allen Durkin as Kurt Turdhole ( season 1 , guest Season 2 )   Brendan Jennings as Jerry , a deceased castaway with whom Pack has conversations during his hallucinations ( season 1 )   Mike Benitez as Roger ( season 1 )   Will McLaughlin as Bruce Island ( season 1 - 3 )   Ruben Rabasa as Yolonzo ( season 1 )   Rory Scovel as Corey ( season 2 , guest Season 1 )   Eliza Coupe as Rosa , Owen 's co-worker ( season 1 )   Erinn Hayes as Rosa , Owen 's co-worker ( season 2 )   Ebonee Noel as The Barracuda ( season 2 )   Ravi Patel as Tank Top ( season 2 , guest 1 )   Lucas Hazlett as Bandana ( season 2 , guest 1 )   Shaun Diston as V - Neck ( season 2 )   Patrick Cox as Flannel ( season 2 )   Jemaine Clement as Luther ( season 2 )   Dink O'Neal as Richard `` Dick '' Wallace , Danny 's father ( season 1 , guest Season 2 )   Jonno Roberts as Declan Stanwick ( season 3 )   Rachel House as Martha Stanwick ( season 3 )   Robert Baker as Brewster ( season 3 )   Will Hines as Greg Peabody ( season 3 )   Eugene Cordero as Errol ( season 3 )   Karan Soni as Keith ( season 3 )    Guest starring ( edit )    Darin Toonder as Owen 's father   Luke Nappe as Young Owen   Gary Anthony Williams as Gary , Jerry 's deceased friend   Josh Lawson as Eric , Steve 's boss   Elke Berry as Carol , Steve 's ex-wife   Jamie Denbo as Greta Liebowitz , Pack 's boss   Chris Bosh as Himself   Marc Evan Jackson as Father Daddy   Sara Paxton as Sister Grace   Britt Lower as Margot Wallace , Danny 's sister   Rob Corddry as Himself    Development ( edit )   TBS ordered the production of the pilot episode written by Jordan Shipley and Justin Shipley in October 2014 . The show follows a group of people after they survived a plane crash on a deserted island . The pilot was filmed in Puerto Rico and was picked up to series with a 10 - episode order in May 2015 .   Episodes ( edit )     Season   Episodes   Originally aired     First aired   Last aired         10   June 14 , 2016 ( 2016 - 06 - 14 )   August 2 , 2016 ( 2016 - 08 - 02 )         10   June 20 , 2017 ( 2017 - 06 - 20 )   August 22 , 2017 ( 2017 - 08 - 22 )         10   August 7 , 2018 ( 2018 - 08 - 07 )   October 2 , 2018 ( 2018 - 10 - 02 )     Season 1 ( 2016 ) ( edit )     No . overall   No. in season   Title   Directed by   Written by   Original air date   Prod . code   U.S. viewers ( millions )         `` All Is Not Lost ''   James Griffiths   Jordan Shipley &amp; Justin Shipley   June 14 , 2016 ( 2016 - 06 - 14 )   101   1.64     A striking British special forces agent leads a daring rescue after a commercial flight crash - lands on an uninhabited island .         `` Rest in Peace , Callaway Hinkle ''   James Griffiths   Jordan Shipley &amp; Justin Shipley   June 14 , 2016 ( 2016 - 06 - 14 )   102   1.21     The survivors find a satellite phone . Danny confronts his past . Steve comforts Todd after learning about the death of his child .         `` Always Meant to See That ''   Stuart McDonald   Chris Kula   June 21 , 2016 ( 2016 - 06 - 21 )   103   1.37     Todd , Danny , and Owen investigate the other islanders after unearthing a troubling suitcase . Pack , Emma , and Florence are faced with the ultimate choice .         `` The Community Pile ''   Stuart McDonald   Ben Dougan   June 28 , 2016 ( 2016 - 06 - 28 )   104   1.22     Chet takes Pack on a vision quest . Danny helps Owen relax . Todd makes a play to control the island .     5   5   `` Tubthumping ''   Jeff Tomsic   Chris Kula   July 5 , 2016 ( 2016 - 07 - 05 )   105   1.38     The island holds an election for leader . Candidates are Emma , Florence , and Steve . Eventually Steve wins . Todd gets incarcerated into `` The Pit . ''     6   6   `` The Phantom ''   Stuart McDonald   Carol Kolb   July 12 , 2016 ( 2016 - 07 - 12 )   106   1.15     Steve and Owen argue over the best use of island supplies . Danny tries to remember an actor 's name . Pack faces a difficult decision .     7   7   `` The Trial ''   Ryan Case   Rosa Handelman   July 19 , 2016 ( 2016 - 07 - 19 )   107   1.24     The island holds a trial after a serious accident .     8   8   `` The Adventures of Beth and Lamar ''   Stuart McDonald   Clay Lapari &amp; Erin Mitchell   July 26 , 2016 ( 2016 - 07 - 26 )   108   1.22     Owen and Danny search for food . Florence tries desperately to get a sick Emma medical help . Steve 's origins are revealed .     9   9   `` Javier and the Gang ''   Todd Biermann   Jordan Shipley &amp; Justin Shipley   August 2 , 2016 ( 2016 - 08 - 02 )   109   1.17     Owen has an encounter in the jungle . Florence and Todd try to survive off the island .     10   10   `` Cop Tricks ''   Todd Biermann   Jordan Shipley &amp; Justin Shipley   August 2 , 2016 ( 2016 - 08 - 02 )   110   0.92     Owen and Steve face off for control of the island .     Season 2 ( 2017 ) ( edit )     No . overall   No. in season   Title   Directed by   Written by   Original air date   Prod . code   U.S. viewers ( millions )     11     `` Ransom ''   Ian Fitzgibbon   The Shipley Brothers   June 20 , 2017 ( 2017 - 06 - 20 )   201   1.21     Pirates arrive on the island to ransom Danny back to his millionaire father , but things do n't go as planned for anyone .     12     `` Poison ''   Ian Fitzgibbon   Anthony King   June 20 , 2017 ( 2017 - 06 - 20 )   202   0.86     As the pirates take over the island , Pack tries to negotiate a deal for the group 's continued survival . Steve tries to make an alliance with Danny .     13     `` Caiman ''   Maurice Marable   Shaun Diston   June 27 , 2017 ( 2017 - 06 - 27 )   203   1.02     Florence and Karen must trek into the jungle to find what is tainting their water . The castaways debate whether they want the pirates to spoil `` Game of Thrones . '' Steve begins an unlikely romance .     14     `` Tony Pepperoni ''   Sarah Adina Smith   Chris Kula   July 11 , 2017 ( 2017 - 07 - 11 )   204   0.87     Owen and Florence deal with the return of a deadly foe . Todd makes a haunting discovery about his past after trying to fist fight Chet .     15   5   `` No One Rides for Free ''   Maurice Marable   Celeste Ballard   July 18 , 2017 ( 2017 - 07 - 18 )   205   0.94     Jess and Todd try to buy passage on the pirate 's ship through unconventional means . Owen starts to have feelings for Florence as Steve grapples with his new love .     16   6   `` Sister Mercy ''   Sarah Adina Smith   Anthony King   July 25 , 2017 ( 2017 - 07 - 25 )   206   0.98     After discovering the pirate 's plan to harvest their organs , the survivors try to escape the island . Karen makes a difficult decision that echoes a moment from her past .     17   7   `` Cruise - ifornication ''   Emile Levisetti   Chris Kula   August 1 , 2017 ( 2017 - 08 - 01 )   207   1.08     After making it onto the pirate 's ship ( a Red Hot Chili Peppers tribute band cruise ) , the survivors divide after only some of them are able to get showers before the water runs out . Pack and Bruce form an unlikely friendship .     18   8   `` Speed ''   Jim Field Smith   Lauren McGuire   August 8 , 2017 ( 2017 - 08 - 08 )   208   1.00     After Todd and Jess decide to get married , Florence and Owen struggle to define their new romance . Corey returns to officiate the wedding . Pack and Steve make a discovery that threatens to tear them apart .     19   9   `` The Setup ''   Jim Field Smith   The Shipley Brothers   August 15 , 2017 ( 2017 - 08 - 15 )   209   1.01     Danny launches an investigation after the survivors discover someone has sabotaged the ship by blowing the engine . Steve makes a shocking discovery at the bottom of the ship .     20   10   `` Nerd Speak ''   James Griffiths   The Shipley Brothers   August 22 , 2017 ( 2017 - 08 - 22 )   210   1.08     As the ship sinks , the survivors try to escape . Meanwhile Danny , Owen , and Florence must confront Corey for the sabotage .     Season 3 ( 2018 ) ( edit )     No . overall   No. in season   Title   Directed by   Written by   Original air date   Prod . code   U.S. viewers ( millions )     21     `` Bush Man ''   Jim Field Smith   The Shipley Brothers   August 7 , 2018 ( 2018 - 08 - 07 )   301   0.87     After surviving the Cruisifornication explosion and washing ashore on a new island , the survivors uncover a menacing threat .     22     `` Puke &amp; Cigars ''   Jim Field Smith   Chris Kula   August 14 , 2018 ( 2018 - 08 - 14 )   302   0.98     After a charismatic millionaire rescues the survivors , Jess and Florence suspect he may not be what he seems , and set out to answer the question -- who is Declan Stanwick ?     23     `` Six Feet ''   Justin Shipley   The Shipley Brothers and Chris Kula   August 21 , 2018 ( 2018 - 08 - 21 )   303   0.98     After discovering Declan 's sinister plot , Danny goes undercover with the rich , while Pack and Karen attempt to escape the compound .     24     `` A Game of Chest ''   Jordan Shipley   Lauren McGuire   August 28 , 2018 ( 2018 - 08 - 28 )   304   0.86     After Jess loses her recollection of the last decade , Todd attempts to spark her memory . Steve and Declan face off in a battle of wits .     25   5   `` Last Meal ''   Amy York Rubin   Shaun Diston   September 4 , 2018 ( 2018 - 09 - 04 )   305   0.90     On the eve of `` The Hunt , '' Martha offers to the survivors ' one last meal of their choosing ; as long as they can all decide together .     26   6   `` Hunt Day ''   Alethea Jones   Lyle Friedman   September 11 , 2018 ( 2018 - 09 - 11 )   306   0.89     Hunt Day arrives and the survivors must face off against each other in a battle royale to the death .     27   7   `` Ballers ''   Alethea Jones   Celeste Ballard   September 18 , 2018 ( 2018 - 09 - 18 )   307   0.91     Attempting to hide from the others during The Hunt , Pack and Jess run into a new threat on the island .     28   8   `` The Dark Prince Returns ''   Jim Field Smith   Charlie Fay and Isaac Jay   September 25 , 2018 ( 2018 - 09 - 25 )   308   0.79     With Karen gravely injured , Owen and Danny must journey to the center of the island to defeat Chettywompwomp ; Florence learns more about Karen 's back story ; Pack , Todd and Jess face a futile task .     29   9   `` Mrs. Stanwick ''   Jim Field Smith   Chris Kula   October 2 , 2018 ( 2018 - 10 - 02 )   309   0.73     The survivors attempt to turn the tables on the rich and lure them into a trap .     30   10   `` The Island Family ''   James Griffiths   The Shipley Brothers   October 2 , 2018 ( 2018 - 10 - 02 )   310   0.55     Barricaded in the mansion and surrounded by the rich , the survivors mount one last attempt to escape Declan 's island .     Reception ( edit )   Wrecked has received mixed reviews . On Rotten Tomatoes , the series holds a score of 58 % , based on 10 reviews . The critics consensus reads : `` Wrecked is an imaginative spoof of Lost with a game cast that does n't have enough good material to work with . '' On Metacritic , the show holds a metascore of 56 , indicating mixed or average reviews .   References ( edit )    Jump up ^ `` Inspired by ' Lost , ' these KC brothers landed a TBS hit on their first try '' . kansascity . Retrieved 2017 - 04 - 03 .   Jump up ^ Porter , Rick ( September 13 , 2017 ) . `` ' The Guest Book , ' ' People of Earth ' and ' Wrecked ' all renewed at TBS '' . TV by the Numbers . Retrieved September 13 , 2017 .   ^ Jump up to : Andreeva , Nellie ( January 26 , 2015 ) . `` TBS Deserted Island Comedy Pilot ' Wrecked ' Sets Ensemble Cast '' . Deadline Hollywood .   Jump up ^ `` britt lower on Twitter : `` the appropriate words that i should share are : i am in this show tomorrow ! ! ! # wrecked '' `` . Twitter.com. 2017 - 06 - 19 . Retrieved 2017 - 06 - 28 .   Jump up ^ Andreeva , Nellie ( October 24 , 2014 ) . `` TBS Orders ' Wrecked ' Deserted Island Comedy Pilot That Echoes ' Lost ' '' . Deadline Hollywood .   Jump up ^ `` Kevin Reilly Unveils Bold Vision for TNT &amp; TBS At Turner Broadcasting 's 2015 Upfront '' . The Futon Critic . May 13 , 2015 .   ^ Jump up to : Metcalf , Mitch ( June 15 , 2016 ) . `` Updated : ShowBuzzDaily 's Top 150 Tuesday Cable Originals &amp; Network Finals : 6.14. 2016 '' . ShowBuzzDaily . Retrieved June 15 , 2016 .   Jump up ^ Metcalf , Mitch ( June 22 , 2016 ) . `` Updated : ShowBuzzDaily 's Top 150 Tuesday Cable Originals &amp; Network Finals : 6.21. 2016 '' . ShowBuzzDaily . Retrieved June 22 , 2016 .   Jump up ^ Metcalf , Mitch ( June 29 , 2016 ) . `` Updated : ShowBuzzDaily 's Top 150 Tuesday Cable Originals &amp; Network Finals : 6.28. 2016 '' . ShowBuzzDaily . Retrieved June 29 , 2016 .   Jump up ^ Metcalf , Mitch ( July 7 , 2016 ) . `` Updated : ShowBuzzDaily 's Top 150 Tuesday Cable Originals &amp; Network Finals : 7.5. 2016 '' . ShowBuzzDaily . Retrieved July 7 , 2016 .   Jump up ^ Metcalf , Mitch ( July 13 , 2016 ) . `` Updated : ShowBuzzDaily 's Top 150 Tuesday Cable Originals &amp; Network Finals : 7.12. 2016 '' . ShowBuzzDaily . Retrieved July 13 , 2016 .   Jump up ^ Metcalf , Mitch ( July 20 , 2016 ) . `` Updated : ShowBuzzDaily 's Top 150 Tuesday Cable Originals &amp; Network Finals : 7.19. 2016 '' . ShowBuzzDaily . Retrieved July 20 , 2016 .   Jump up ^ Metcalf , Mitch ( July 27 , 2016 ) . `` Updated : ShowBuzzDaily 's Top 150 Tuesday Cable Originals &amp; Network Finals : 7.26. 2016 '' . ShowBuzzDaily . Retrieved July 27 , 2016 .   ^ Jump up to : Salem , Mitch ( August 3 , 2016 ) . `` Updated : ShowBuzzDaily 's Top 150 Tuesday Cable Originals &amp; Network Finals : 8.2. 2016 '' . ShowBuzzDaily . Retrieved August 3 , 2016 .   ^ Jump up to : Metcalf , Mitch ( June 21 , 2017 ) . `` Updated : ShowBuzzDaily 's Top 150 Tuesday Cable Originals &amp; Network Finals : 6.20. 2017 '' . Showbuzz Daily . Retrieved June 21 , 2017 .   Jump up ^ Metcalf , Mitch ( June 28 , 2017 ) . `` Updated : ShowBuzzDaily 's Top 150 Tuesday Cable Originals &amp; Network Finals : 6.27. 2017 '' . Showbuzz Daily . Retrieved June 28 , 2017 .   Jump up ^ Metcalf , Mitch ( July 12 , 2017 ) . `` Updated : ShowBuzzDaily 's Top 150 Tuesday Cable Originals &amp; Network Finals : 7.11. 2017 '' . Showbuzz Daily . Retrieved July 12 , 2017 .   Jump up ^ Metcalf , Mitch ( July 19 , 2017 ) . `` Updated : ShowBuzzDaily 's Top 150 Tuesday Cable Originals &amp; Network Finals : 7.18. 2017 '' . Showbuzz Daily . Retrieved July 19 , 2017 .   Jump up ^ Metcalf , Mitch ( July 26 , 2017 ) . `` Updated : ShowBuzzDaily 's Top 150 Tuesday Cable Originals &amp; Network Finals : 7.25. 2017 '' . Showbuzz Daily . Retrieved July 26 , 2017 .   Jump up ^ Metcalf , Mitch ( August 2 , 2017 ) . `` Updated : ShowBuzzDaily 's Top 150 Tuesday Cable Originals &amp; Network Finals : 8.1. 2017 '' . Showbuzz Daily . Retrieved August 2 , 2017 .   Jump up ^ Metcalf , Mitch ( August 9 , 2017 ) . `` Updated : ShowBuzzDaily 's Top 150 Tuesday Cable Originals &amp; Network Finals : 8.8. 2017 '' . Showbuzz Daily . Retrieved August 9 , 2017 .   Jump up ^ Metcalf , Mitch ( August 16 , 2017 ) . `` Updated : ShowBuzzDaily 's Top 150 Tuesday Cable Originals &amp; Network Finals : 8.15. 2017 '' . Showbuzz Daily . Retrieved August 16 , 2017 .   Jump up ^ Metcalf , Mitch ( August 23 , 2017 ) . `` Updated : ShowBuzzDaily 's Top 150 Tuesday Cable Originals &amp; Network Finals : 8.22. 2017 '' . Showbuzz Daily . Retrieved August 23 , 2017 .   Jump up ^ Metcalf , Mitch ( August 8 , 2018 ) . `` Updated : ShowBuzzDaily 's Top 150 Tuesday Cable Originals &amp; Network Finals : 8.7. 2018 '' . Showbuzz Daily . Retrieved August 8 , 2018 .   Jump up ^ Metcalf , Mitch ( August 15 , 2018 ) . `` Updated : ShowBuzzDaily 's Top 150 Tuesday Cable Originals &amp; Network Finals : 8.14. 2018 '' . Showbuzz Daily . Retrieved August 15 , 2018 .   Jump up ^ Metcalf , Mitch ( August 22 , 2018 ) . `` Updated : ShowBuzzDaily 's Top 150 Tuesday Cable Originals &amp; Network Finals : 8.21. 2018 '' . Showbuzz Daily . Retrieved August 22 , 2018 .   Jump up ^ Metcalf , Mitch ( August 29 , 2018 ) . `` Updated : ShowBuzzDaily 's Top 150 Tuesday Cable Originals &amp; Network Finals : 8.28. 2018 '' . Showbuzz Daily . Retrieved August 29 , 2018 .   Jump up ^ Metcalf , Mitch ( September 6 , 2018 ) . `` Updated : ShowBuzzDaily 's Top 150 Tuesday Cable Originals &amp; Network Finals : 9.4. 2018 '' . Showbuzz Daily . Retrieved September 6 , 2018 .   Jump up ^ Metcalf , Mitch ( September 12 , 2018 ) . `` Updated : ShowBuzzDaily 's Top 150 Tuesday Cable Originals &amp; Network Finals : 9.11. 2018 '' . Showbuzz Daily . Retrieved September 12 , 2018 .   Jump up ^ Metcalf , Mitch ( September 19 , 2018 ) . `` Updated : ShowBuzzDaily 's Top 150 Tuesday Cable Originals &amp; Network Finals : 9.18. 2018 '' . Showbuzz Daily . Retrieved September 19 , 2018 .   Jump up ^ Metcalf , Mitch ( September 26 , 2018 ) . `` Updated : ShowBuzzDaily 's Top 150 Tuesday Cable Originals &amp; Network Finals : 9.25. 2018 '' . Showbuzz Daily . Retrieved September 26 , 2018 .   ^ Jump up to : Metcalf , Mitch ( October 3 , 2018 ) . `` Updated : ShowBuzzDaily 's Top 150 Tuesday Cable Originals &amp; Network Finals : 10.2. 2018 '' . Showbuzz Daily . Retrieved October 3 , 2018 .   Jump up ^ `` Wrecked - Rotten Tomatoes '' . Rotten Tomatoes . Retrieved 2016 - 06 - 20 .   Jump up ^ `` Wrecked ( 2016 ) : Season 1 '' . Metacritic . Retrieved 2016 - 06 - 20 .    External links ( edit )    Wrecked on IMDb              TBS original programming     Current     American Dad ! ( since 2014 )   Angie Tribeca ( since 2016 )   Conan ( since 2010 )   The Detour ( since 2016 )   Drop the Mic ( since 2017 )   Final Space ( since 2018 )   Full Frontal with Samantha Bee ( since 2016 )   The Guest Book ( since 2017 )   The Joker 's Wild ( since 2017 )   The Last O.G. ( since 2018 )   Major League Baseball on TBS ( since 2008 )   Movie and a Makeover ( since 2006 )   NCAA Beach Volleyball Championship ( since 2016 )   NCAA Division I Men 's Basketball Tournament ( since 2011 )   Search Party ( since 2016 )   Wrecked ( since 2016 )       Former      1970s debuts     Best of World Championship Wrestling ( 1973 -- 87 )   Braves TBS Baseball ( 1973 -- 2007 )   Georgia Championship Wrestling ( 1972 -- 84 )   WCW Saturday Night ( 1971 -- 2000 )       1980s debuts     The Baseball Bunch ( 1980 -- 85 )   The Catlins ( 1983 -- 85 )   College Football on TBS ( 1982 -- 2006 )   Clash of the Champions ( 1988 -- 97 )   Down to Earth ( 1984 -- 87 )   G - Force : Guardians of Space ( 1986 )   Kid 's Beat ( 1983 -- 97 )   NASCAR on TBS ( 1983 -- 2000 )   National Geographic Explorer ( 1986 -- 99 )   NBA on TBS ( 1984 -- 2002 )   The New Leave It to Beaver ( 1986 -- 89 )   Night Tracks ( 1983 -- 92 )   Rocky Road ( 1985 -- 87 )   Safe at Home ( 1985 -- 88 )   Starcade ( 1982 -- 83 )   Tom and Jerry 's Funhouse on TBS ( 1986 -- 95 )   Tush ( 1980 -- 81 )   WCW Main Event ( 1988 -- 98 )   WCW Power Hour ( 1989 -- 94 )       1990s debuts     2 Stupid Dogs ( 1993 -- 95 )   Between the Lines ( 1991 -- 94 )   Captain Planet and the Planeteers ( 1990 -- 96 )   Cartoon Planet ( 1995 )   The Chimp Channel ( 1999 )   Dinner and a Movie ( 1995 -- 2011 )   Live from the House of Blues ( 1995 )   Monkey - ed Movies ( 1998 )   The Real Adventures of Jonny Quest ( 1996 -- 97 )   SWAT Kats : The Radical Squadron ( 1993 -- 94 )   WCW Pro ( 1994 -- 98 )   WCW Thunder ( 1998 -- 2001 )       2000s debuts     10 Items or Less ( 2006 -- 09 )   The Bill Engvall Show ( 2007 -- 09 )   Daisy Does America ( 2005 -- 06 )   Frank TV ( 2007 -- 08 )   He 's a Lady ( 2004 )   House Rules ( 2003 )   Lopez Tonight ( 2009 -- 11 )   Meet the Browns ( 2009 -- 11 )   Midnight Money Madness ( 2006 )   Minding the Store ( 2005 )   My Boys ( 2006 -- 10 )   Outback Jack ( 2004 )   The Real Gilligan 's Island ( 2004 -- 05 )   Ripley 's Believe It or Not ! ( 2000 -- 03 )   Tyler Perry 's House of Payne ( 2007 -- 12 )   Worst Case Scenarios ( 2002 )       2010s debuts     America 's Greatest Makers ( 2016 )   Are We There Yet ? ( 2010 -- 13 )   Bam 's Bad Ass Game Show ( 2014 )   CeeLo Green 's The Good Life ( 2014 )   Clipped ( 2015 )   Cougar Town ( 2013 -- 15 )   Deal with It ( 2013 -- 14 )   Deon Cole 's Black Box ( 2013 )   Funniest Wins ( 2014 )   Funny or Die Presents : America 's Next Weatherman ( 2015 )   Glory Daze ( 2010 -- 11 )   Ground Floor ( 2013 -- 15 )   King of the Nerds ( 2013 -- 15 )   Meet the Smiths ( 2015 )   Men at Work ( 2012 -- 14 )   Neighbors from Hell ( 2010 )   People of Earth ( 2016 -- 17 )   The Pete Holmes Show ( 2013 -- 14 )   Sullivan &amp; Son ( 2012 -- 14 )   Separation Anxiety ( 2016 )   Tarantula ( 2017 )   Trust Me , I 'm a Game Show Host ( 2013 )   Tyler Perry 's For Better or Worse ( 2011 -- 12 )   Wedding Band ( 2012 -- 13 )   Who Gets the Last Laugh ? ( 2013 )   Your Family or Mine ( 2015 )          Upcoming     Close Enough ( 2019 )   Miracle Workers ( TBA )      Retrieved from `` https://en.wikipedia.org/w/index.php?title=Wrecked_(U.S._TV_series)&amp;oldid=864385898 '' Categories :   2017 in Fiji   Television shows set in Fiji   Television series by Studio T   TBS ( U.S. TV channel ) programs   2010s American single - camera sitcoms   2016 American television series debuts   English - language television programs   Hidden categories :   Pages using deprecated image syntax           Talk                                           Contents                   About Wikipedia                                           Deutsch   Español   Français   Italiano   Polski   </t>
    </r>
    <r>
      <rPr>
        <sz val="11"/>
        <color rgb="FF000000"/>
        <rFont val="Noto Sans CJK SC"/>
        <family val="2"/>
      </rPr>
      <t xml:space="preserve">中文   </t>
    </r>
    <r>
      <rPr>
        <sz val="11"/>
        <color rgb="FF000000"/>
        <rFont val="Calibri"/>
        <family val="0"/>
        <charset val="1"/>
      </rPr>
      <t xml:space="preserve">Edit links   This page was last edited on 16 October 2018 , at 21 : 30 ( UTC ) .         About Wikipedia                    </t>
    </r>
  </si>
  <si>
    <t xml:space="preserve">when is the new season of wrecked coming out</t>
  </si>
  <si>
    <t xml:space="preserve"> On July 6 , 2016 , TBS renewed the show for a second season which was shot in Fiji . The second season premiered on June 20 , 2017 . On September 13 , 2017 , TBS renewed the series for a third season , which premiered on August 7 , 2018 . </t>
  </si>
  <si>
    <t xml:space="preserve">Charlotte mayoral election , 2017 - wikipedia  Charlotte mayoral election , 2017  Jump to : navigation , search  Charlotte mayoral election , 2017      ← 2015   November 7 , 2017   2019 →                   Nominee   Vi Lyles   Kenny Smith       Party   Democratic   Republican     Popular vote   71,876   49,555     Percentage   59.13 %   40.77 %           Mayor before election  Jennifer Roberts Democratic    Elected Mayor  Vi Lyles Democratic         The 2017 Charlotte mayoral election took place on Tuesday , November 7 , 2017 . Party primary elections were held on Tuesday , September 12 , 2017 . Second - round primaries would have been held on Tuesday , October 10 , 2017 , if they had been necessary , but both primary winners received more than the minimum 40 percent of the vote needed to avoid a runoff . The incumbent , Democrat Jennifer Roberts , was eligible to run for a second two - year term . She ran but lost the Democratic nomination in the primary . Two members of the City Council , Democrat Vi Lyles and Republican Kenny Smith , won the primaries and advanced to face each other in the general election . Vi Lyles defeated Kenny Smith in the general election , and became the 59th mayor of Charlotte , North Carolina .     Contents  ( hide )   1 Background   2 Democratic primary   2.1 Candidates   2.1. 1 Declared   2.1. 2 Declined     2.2 Endorsements   2.3 Polling   2.4 Results     3 Republican primary   3.1 Candidates   3.1. 1 Declared     3.2 Endorsements   3.3 Results     4 General election   4.1 Polling   4.2 Results     5 References      Background ( edit )   Jennifer Roberts , a former Mecklenburg County commissioner , was elected to her first term in 2015 when she defeated Republican Edwin Peacock III , a former Charlotte City Councilman .   Democratic primary ( edit )   Candidates ( edit )  Declared ( edit )   Jennifer Roberts , incumbent   Joel Ford , North Carolina State Senator   Vi Lyles , Charlotte City Councilwoman   Constance Partee - Johnson   Lucille Puckett   Declined ( edit )   David Howard , former Charlotte City Councilman    Endorsements ( edit )     ( show ) Jennifer Roberts       Human Rights Campaign   MeckPAC   Equality NC   New South Progressives   Sierra Club   Southern Piedmont Central Labor Council   Unite Here Local 23 North Carolina Chapter         ( show ) Joel Ford       Charlotte Fire Fighters Association   Real Estate and Building Industry Coalition         ( show ) Vi Lyles       Black Political Caucus   Democracy for America   Charlotte Post   Charlotte Observer         Polling ( edit )     Poll source   Date ( s ) administered   Sample size   Margin of error   Jennifer Roberts ( D )   Joel Ford ( D )   Vi Lyles ( D )   Constance Partee - Johnson ( D )   Other   Undecided     Lake Research Partners   June 1 -- 4 , 2017   400   ± 4.9 %   35 %   15 %   21 %   --   --   28 %     Results ( edit )     Candidates   Democratic Primary Election - Sept. 12     Candidate   Party   Votes   Percent     Vi Lyles   Democratic   15,773   46.15 %     Jennifer Roberts   Democratic   12,375   36.21 %     Joel Ford   Democratic   5,452   15.95 %     Constance Partee ( Connie ) Johnson   Democratic   310   0.91 %     Lucille Puckett   Democratic   267   0.78 %     Republican primary ( edit )   Candidates ( edit )  Declared ( edit )   Kimberley Paige Barnette , former magistrate   Barnette garnered controversy in September 2017 when her Facebook page briefly described herself as `` Republican $ Smart , White , Traditional . '' The controversy garnered national attention .     Gary M. Dunn , candidate for Democratic nomination in 2013   Kenny Smith , Charlotte City Councilman    Endorsements ( edit )     ( show ) Kenny Smith       Fraternal Order of Police   Charlotte Observer       Results ( edit )     Candidates   Republican Primary Election - Sept. 12     Candidate   Party   Votes   Percent     Kenny Smith   Republican   7,912   88.63 %     Gary M. Dunn   Republican   553   6.19 %     Kimberley Paige Barnette   Republican   462   5.18 %     General election ( edit )   Polling ( edit )     Poll source   Date ( s ) administered   Sample size   Margin of error   Vi Lyles ( D )   Kenny Smith ( R )   Undecided     SurveyUSA   October 18 -- 21 , 2017   517   ± 4.4 %   41 %   40 %   19 %     Results ( edit )     Candidates   General Election - Nov. 7     Candidate   Party   Votes   Percent     Vi Lyles   Democratic   71,876   59.13 %     Kenny Smith   Republican   49,555   40.77 %     References ( edit )    Jump up ^ `` Multi Year Election Schedule '' . Mecklenburg County Government . Retrieved June 19 , 2017 .   Jump up ^ Charlotte Observer : Vi Lyles stuns Roberts , faces Kenny Smith for Charlotte mayor   ^ Jump up to : Spanberg , Erik ( November 30 , 2016 ) . `` Thought election season was over in Charlotte ? Mayor 's race getting an early start '' . Charlotte Business Journal . Retrieved February 4 , 2017 .   Jump up ^ Boyd , Paul ( February 3 , 2017 ) . `` Councilman Smith leads way with most money in mayoral race '' . WSOC - TV . Retrieved February 4 , 2017 .   Jump up ^ Harrison , Steve ( June 20 , 2017 ) . `` In mayoral debate , Jennifer Roberts and Vi Lyles play nice '' . The Charlotte Observer . Retrieved June 20 , 2017 .   Jump up ^ http://apps.meckboe.org/CandidatePrint.aspx   Jump up ^ Harrison , Steve ( August 23 , 2017 ) . `` LGBT groups make their picks for Charlotte mayor , council '' . The Charlotte Observer . Retrieved September 10 , 2017 .   Jump up ^ http://www.meckpac.org/endorsements/2017-charlotte-mayoral-city-council-endorsements/   Jump up ^ http://equalitync.org/latest/news/turnoutCLT/   Jump up ^ http://us14.campaign-archive1.com/?u=d11fd3f059107c746d4deb4a3&amp;id=718e797b42   Jump up ^ http://www.sierraclub.org/sites/www.sierraclub.org/files/sce/central-piedmont-group/2017%20Charlotte%20Mayor%20Endorsement.pdf   Jump up ^ https://splabor.org/news/september-primary-endorsements-announced   Jump up ^ https://www.jenniferrobertsformayor.com/endorsements   Jump up ^ https://joelfordformayor.com/2017/08/29/charlotte-firefighters-endorse-joel-ford-for-mayor/   Jump up ^ https://rebiccharlotte.com/2017/08/08/rebic-announces-endorsements-for-charlotte-city-council-primary/   Jump up ^ Morrill , Jim ( May 22 , 2017 ) . `` Black Political Caucus has endorsed a mayoral candidate . How will it shape the primary ? '' . The Charlotte Observer . Retrieved September 10 , 2017 .   Jump up ^ http://www.democracyforamerica.com/our_candidates#NC   Jump up ^ Charlotte Post Editorial Board ( August 31 , 2017 ) . `` The Post endorses Vi Lyles in Democratic mayoral primary Experience and leadership earns support '' . The Charlotte Post . Retrieved September 10 , 2017 .   Jump up ^ Charlotte Observer Editorial Board ( August 23 , 2017 ) . `` Who we like in the Charlotte mayor 's race , and why '' . The Charlotte Observer . Retrieved September 10 , 2017 .   Jump up ^ White , Herbert ( June 20 , 2017 ) . `` Poll : Mayor Roberts leads Lyles and Ford in Democratic campaign '' . The Charlotte Post . Retrieved June 20 , 2017 .   ^ Jump up to : NC State Board of Elections Sept. 12 Primary Results   ^ Jump up to : NC State Board of Elections : Candidate filings   Jump up ^ LinkedIn   Jump up ^ Savransky , Rebecca ( 2017 - 09 - 06 ) . `` Candidate for Charlotte mayor puts ' white ' among qualifications '' . TheHill . Retrieved 2017 - 09 - 07 .   Jump up ^ Harrison , Steve ( March 9 , 2017 ) . `` Kenny Smith formally announces mayoral bid with swipes at Mayor Roberts '' . Charlotte Observer . Retrieved March 24 , 2017 .   Jump up ^ http://www.charlotteobserver.com/news/politics-government/election/article175865761.html/   Jump up ^ http://www.charlotteobserver.com/opinion/editorials/article172619896.html   Jump up ^ http://er.ncsbe.gov/?election_dt=11/07/2017&amp;county_id=60&amp;office=ALL&amp;contest=0              ( 2016 ← ) 2017 United States elections ( → 2018 )     U.S. Senate     Alabama       U.S. House     California 's 34th   Georgia 's 6th   Kansas 's 4th   Montana 's at - large   South Carolina 's 5th   Utah 's 3rd       Governors     New Jersey   Virginia       Mayors     Albuquerque , NM   Atlanta , GA   Atlantic City , NJ   Boston , MA   Buffalo , NY   Charlotte , NC   Cincinnati , OH   Cleveland , OH   Detroit , MI   El Paso , TX   Frederick , MD   Hoboken , NJ   Jackson , MS   Jersey City , NJ   Los Angeles , CA   Miami , FL   Minneapolis , MN   New Orleans , LA   New York , NY   North Miami , FL   Omaha , NE   Pittsburgh , PA   Raleigh , NC   Rochester , NY   St. Louis , MO   St. Paul , MN   St. Petersburg , FL   San Antonio , TX   Seattle , WA       City     Houston , TX   Minneapolis , MN       State     New Jersey   Virginia       Territories     Puerto Rican status referendum      Retrieved from `` https://en.wikipedia.org/w/index.php?title=Charlotte_mayoral_election,_2017&amp;oldid=813627367 '' Categories :   Mayoral elections in Charlotte , North Carolina   North Carolina elections , 2017   United States mayoral elections , 2017           Talk                                           Contents                   About Wikipedia                                           Add links   This page was last edited on 4 December 2017 , at 12 : 01 .         About Wikipedia                    </t>
  </si>
  <si>
    <t xml:space="preserve">who is running for mayor of charlotte nc</t>
  </si>
  <si>
    <t xml:space="preserve">   Candidates   General Election - Nov. 7     Candidate   Party   Votes   Percent     Vi Lyles   Democratic   71,876   59.13 %     Kenny Smith   Republican   49,555   40.77 %   </t>
  </si>
  <si>
    <r>
      <rPr>
        <sz val="11"/>
        <color rgb="FF000000"/>
        <rFont val="Calibri"/>
        <family val="0"/>
        <charset val="1"/>
      </rPr>
      <t xml:space="preserve">Eye for an eye - wikipedia  Eye for an eye  Jump to : navigation , search This article is about the principle of retributive justice . For other uses , see Eye for an eye ( disambiguation ) and Lex talionis ( disambiguation ) .  `` Only one eye for one eye '' , also known as `` An eye for an eye '' , or the law of retaliation , is the principle that a person who has injured another person is to be penalized to a similar degree , or in softer interpretations , the victim receives the ( estimated ) value of the injury in compensation . The intent behind the principle was to restrict compensation to the value of the loss .   The principle is sometimes referred using the Latin term lex talionis or the law of talion . The English word talion ( from the Latin talio ) means a retaliation authorized by law , in which the punishment corresponds in kind and degree to the injury .     Contents  ( hide )   1 Definition and methods   2 Antecedents   3 In religion   3.1 Judaism   3.1. 1 Talmud   3.1. 2 Objective of reciprocal justice in Judaism   3.1. 3 Social hierarchy and reciprocal justice     3.2 Christianity   3.3 Islam     4 Notable criticisms   5 See also   6 References   7 Bibliography   8 External links      Definition and methods ( edit )  An interactive piece at the Viktor Frankl Museum ... `` As a Human Being ... Aug ' um Aug ' ? ''  The term lex talionis does not always and only refer to literal eye - for - an - eye codes of justice ( see rather mirror punishment ) but applies to the broader class of legal systems that specify formulate penalties for specific crimes , which are thought to be fitting in their severity . Some propose that this was at least in part intended to prevent excessive punishment at the hands of either an avenging private party or the state . The most common expression of lex talionis is `` an eye for an eye '' , but other interpretations have been given as well . Legal codes following the principle of lex talionis have one thing in common : prescribed ' fitting ' counter punishment for a felony . In the famous legal code written by Hammurabi , the principle of exact reciprocity is very clearly used . For example , if a person caused the death of another person , the killer would be put to death .   The simplest example is the `` eye for an eye '' principle . In that case , the rule was that punishment must be exactly equal to the crime . Conversely , the twelve tables of Rome merely prescribed particular penalties for particular crimes . The Anglo - Saxon legal code substituted payment of wergild for direct retribution : a particular person 's life had a fixed value , derived from his social position ; any homicide was compensated by paying the appropriate wergild , regardless of intent . Under the British Common Law , successful plaintiffs were entitled to repayment equal to their loss ( in monetary terms ) . In the modern tort law system , this has been extended to translate non-economic losses into money as well . The meaning of the principle Eye for an Eye is that a person who has been injured by another person returns the offending action to the originator in compensation , or that an authority does so on behalf of the injured person . The exact Latin ( lex talionis ) to English translation of this phrase is `` The law of retaliation . '' The root principle of this law is to provide equitable retribution .   Antecedents ( edit )   Various ideas regarding the origins of lex talionis exist , but a common one is that it developed as early civilizations grew and a less well - established system for retribution of wrongs , feuds and vendettas , threatened the social fabric . Despite having been replaced with newer modes of legal theory , lex talionis systems served a critical purpose in the development of social systems -- the establishment of a body whose purpose was to enact the retaliation and ensure that this was the only punishment . This body was the state in one of its earliest forms .   The principle is found in Babylonian Law . If it is surmised that in societies not bound by the rule of law , if a person was hurt , then the injured person ( or their relative ) would take vengeful retribution on the person who caused the injury . The retribution might be worse than the crime , perhaps even death . Babylonian law put a limit on such actions , restricting the retribution to be no worse than the crime , as long as victim and offender occupied the same status in society . As with blasphemy or lèse - majesté ( crimes against a god or a monarch ) , crimes against one 's social betters were punished more severely .   Roman law moved toward monetary compensation as a substitute for vengeance . In cases of assault , fixed penalties were set for various injuries , although talio was still permitted if one person broke another 's limb .   In religion ( edit )   First referenced in the Code of Hammurabi , ( which predates the Hebrew bible . ) In the Hebrew Law , the `` eye for eye '' was to restrict compensation to the value of the loss . Thus , it might be better read ' only one eye for one eye ' . The biblical phrase `` an eye for an eye '' in Exodus and Leviticus ( עין תחת עין ‬ , ayin tachat ayin ) literally means ' an eye in place of an eye ' while a slightly different phrase ( עַיִן בְּעַיִן שֵׁן בְּשֵׁן , literally `` eye for an eye ; tooth for a tooth '' ) is used in another passage ( in Deuteronomy ) of the Hebrew Bible , specifically , in the first of its three subdivisions , the Torah . For example , a passage in Leviticus states , `` And a man who injures his countryman -- as he has done , so it shall be done to him ( namely , ) fracture for fracture , eye for eye , tooth for tooth . Just as he has injured a person , so it shall be done to him . '' ( Lev. 24 : 19 -- 21 )   Judaism ( edit )   Isaac Kalimi explains that the `` lex talionis was humanized by the Rabbis who interpreted `` an eye for an eye '' to mean reasonable pecuniary compensation . As in the case of the Babylonian ' lex talionis ' , ethical Judaism and humane Jewish jurisprudence replaces the peshat ( literal meaning ) of the written Torah . Pasachoff and Littman point to the reinterpretation of the lex talionis as an example of the ability of Pharisaic Judaism to `` adapt to changing social and intellectual ideas . ''  Talmud ( edit )  The Talmud interprets the verses referring to `` an eye for an eye '' and similar expressions as mandating monetary compensation in tort cases and argues against the interpretations by Sadducees that the Bible verses refer to physical retaliation in kind , using the argument that such an interpretation would be inapplicable to blind or eyeless offenders . Since the Torah requires that penalties be universally applicable , the phrase can not be interpreted in this manner .   The Oral Law explains , based upon the biblical verses , that the Bible mandates a sophisticated five - part monetary form of compensation , consisting of payment for `` Damages , Pain , Medical Expenses , Incapacitation , and Mental Anguish '' -- which underlies many modern legal codes . Some rabbinic literature explains , moreover , that the expression , `` An eye for an eye , etc . '' suggests that the perpetrator deserves to lose his own eye , but that biblical law treats him leniently . − Paraphrased from the Union of Orthodox Congregations .   However , the Torah also discusses a form of direct reciprocal justice , where the phrase ayin tachat ayin makes another appearance . Here , the Torah discusses false witnesses who conspire to testify against another person . The Torah requires the court to `` do to him as he had conspired to do to his brother '' . Assuming the fulfillment of certain technical criteria ( such as the sentencing of the accused whose punishment was not yet executed ) , wherever it is possible to punish the conspirators with exactly the same punishment through which they had planned to harm their fellow , the court carries out this direct reciprocal justice ( including when the punishment constitutes the death penalty ) . Otherwise , the offenders receive lashes .   Since there is no form of punishment in the Torah that calls for the maiming of an offender ( punitary amputation ) there is no case where a conspiratorial false witness could possibly be punished by the court injuring to his eye , tooth , hand , or foot . There is one case where the Torah states `` ... and you shall cut off her hand ... '' The sages of the Talmud understood the literal meaning of this verse as referring to a case where the woman is attacking a man in potentially lethal manner . This verse teaches that , although one must intervene to save the victim , one may not kill a lethal attacker if it is possible to neutralize that attacker through non-lethal injury . Regardless , there is no verse that even appears to mandate injury to the eye , tooth , or foot .   Numbers 35 : 9 -- 30 discusses the only form of remotely reciprocal justice not carried out directly by the court , where , under very limited circumstances , someone found guilty of negligent manslaughter may be killed by a relative of the deceased who takes on the role of `` redeemer of blood '' . In such cases , the court requires the guilty party to flee to a designated city of refuge . While the guilty party is there , the `` redeemer of blood '' may not kill him . If , however , the guilty party illegally forgoes his exile , the `` redeemer of blood '' , as an accessory of the court , may kill the guilty party . Nevertheless , the provision of the `` redeemer of blood '' does not serve as true reciprocal justice , because the redeemer only acts to penalize a negligent killer who forgoes his exile . Furthermore , intentional killing does not parallel negligent killing and thus can not serve directly as a reciprocal punishment for manslaughter , but as a penalty for escaping punishment . According to traditional Jewish Law , application of these laws requires the presence and maintenance of the biblically designated cities of refuge , as well as a conviction in an eligible court of 23 judges as delineated by the Torah and Talmud . The latter condition is also applicable for any capital punishment . These circumstances have not existed for approximately 2,000 years .  Objective of reciprocal justice in Judaism ( edit )  The Talmud discusses the concept of justice as measure - for - measure retribution ( middah k'neged middah ) in the context of divinely implemented justice . Regarding reciprocal justice by court , however , the Torah states that punishments serve to remove dangerous elements from society ( `` ... and you shall eliminate the evil from your midst '' ) and to deter potential criminals from violating the law ( `` And the rest shall hear and be daunted , and they shall no longer commit anything like this evil deed in your midst '' ) . Additionally , reciprocal justice in tort cases serves to compensate the victim ( see above ) .   The ideal of vengeance for the sake of assuaging the distress of the victim plays no role in the Torah 's conception of court justice , as victims are cautioned against even hating or bearing a grudge against those who have harmed them . The Torah makes no distinction between whether the potential object of hatred or a grudge has been brought to justice , and all people are taught to love their fellow Israelites .  Social hierarchy and reciprocal justice ( edit )  In Exodus 21 , as in the Code of Hammurabi , the concept of reciprocal justice seemingly applies to social equals ; the statement of reciprocal justice `` life for life , eye for eye , tooth for tooth , hand for hand , foot for foot , burn for burn , wound for wound , stripe for stripe '' is followed by an example of a different law : if a slave - owner blinds the eye or knocks out the tooth of a slave , the slave is freed but the owner pays no other consequence . On the other hand , the slave would probably be put to death for the injury of the eye of the slave - owner .   However the reciprocal justice applies across social boundaries : the `` eye for eye '' principle is directly followed by the proclamation `` You are to have one law for the alien and the citizen . '' This shows a much more meaningful principle for social justice , in that the marginalized in society were given the same rights under the social structure . In this context , the reciprocal justice in an ideal functioning setting , according to Michael Coogan , `` to prevent people from taking the law into their own hands and exacting disproportionate vengeance for offenses committed against them . ''   Christianity ( edit )  See also : Christian views on the old covenant When talking about an `` eye for an eye '' , Jesus taught to turn the other cheek during the Sermon on the Mount .  In the Sermon on the Mount , Jesus urges his followers to turn the other cheek :   You have heard that it was said , `` An eye for an eye and a tooth for a tooth . '' But I say to you , Do not resist the one who is evil . But if anyone slaps you on the right cheek , turn to him the other also .  -- Jesus Christ , English Standard Version ( Matthew 5 : 38 - 39 )  Some interpret this as an admonition not to seek legal steps for any compensation that corresponds in kind and degree to the injury : . Others interpret it as Jesus simply teaching his followers not to take personal vengeance , rather than commenting on any legal practice .   Christian interpretation of the Biblical passage has been heavily influenced by the Church father Augustine of Hippo . He already discussed in his Contra Faustum , Book XIX , the points of ' fulfilment or destruction ' of the Jewish law . George Robinson characterizes the passage of Exodus ( `` an eye for an eye '' ) as one of the `` most controversial in the Bible '' . According to Robinson , some have pointed to this passage as evidence of the vengeful nature of justice in the Hebrew Bible . Similarly , Abraham Bloch speculates that the `` lex talionis has been singled out as a classical example of biblical harshness . '' Harry S. Lewis points to Lamech , Gideon and Samson as Biblical heroes who were renowned for `` their prowess in executing blood revenge upon their public and private enemies . '' Lewis asserts that this `` right of ' wild ' justice was gradually limited . '' Stephen Wylen asserts that the lex talionis is `` proof of the unique value of each individual '' and that it teaches `` equality of all human beings for law . ''   Islam ( edit )  Main article : Qisas  The Qur'an mentions the `` eye for an eye '' concept as being ordained for the Children of Israel . The principle of Lex talionis in Islam is Qiṣāṣ ( Arabic : قصاص ) as mentioned in Qur'an , 2 : 178 : `` O you who have believed , prescribed for you is legal retribution ( Qisas ) for those murdered -- the free for the free , the slave for the slave , and the female for the female . But whoever overlooks from his brother anything , then there should be a suitable follow - up and payment to him with good conduct . This is an alleviation from your Lord and a mercy . But whoever transgresses after that will have a painful punishment . '' Shi'ite countries that use Islamic Sharia law , such as Iran , apply the `` eye for an eye '' rule literally .   In the Torah We prescribed for them a life for a life , an eye for an eye , a nose for a nose , an ear for an ear , a tooth for a tooth , an equal wound for a wound : if anyone forgoes this out of charity , it will serve as atonement for his bad deeds . Those who do not judge according to what God has revealed are doing grave wrong . ( Qurʾān , 5 : 45 )   Notable criticisms ( edit )    Martin Luther King , Jr. later used this phrase in the context of racial violence : `` The old law of an eye for an eye leaves everyone blind . ''    See also ( edit )    Aggression   Bubuti system   Capital punishment   Deterrence theory   Divine retribution   Forgiveness   Golden Rule   Moral hazard   Mutual assured destruction   Non-aggression principle   Norm of reciprocity   Pacifism   Punitive   Revenge   Retorsion   Silver Rule   Two wrongs make a right   Tit for tat   Vigilante   An Eye for an Eye , novel    References ( edit )    Jump up ^ Plaut 1945 , pp. 571ff .   ^ Jump up to : Plaut 1981 , p. 572 .   ^ Jump up to : Plaut 1981 , pp. 571ff .   Jump up ^ Knight , Douglas A ; Levine , Amy - Jill ( 2011 ) . The Meaning of the Bible . New York : Harper Collins . p. 124 . ISBN 978 - 0 - 06 - 112175 - 3 .   Jump up ^ Hammurabi &amp; 1780 BC , § 230 .   Jump up ^ Hammurabi &amp; 1780 BC .   Jump up ^ Bond , Kenneth ( 1998 ) , Religious Beliefs as a Basis for Ethical Decision Making in the Workplace , Humboldt State University , archived from the original on 3 July 2007 , retrieved 10 July 2010 , ... Code of Hammurabi ( 1780 BC ) . I used a translation by LW King with Commentary by Charles F. Horne ( 1915 ) . My version was a 1996 electronically enhanced version of the 1910 Encyclopædia Britannica .   Jump up ^ `` Roman law : Delict and contract '' , Encyclopædia Britannica .   ^ Jump up to : Lv 24 : 19 -- 21   Jump up ^ Ex 21 : 22 -- 25   Jump up ^ Dt 19 : 16 - 21   Jump up ^ Kalimi , Isaac ; Haas , Peter J ( 2006 ) . Biblical interpretation in Judaism and Christianity . Continuum . p. 2 .   Jump up ^ Pasachoff , Naomi E ; Littman , Robert J ( 2005 ) . A concise history of the Jewish people . Rowman &amp; Littlefield . p. 64 .   Jump up ^ Bava Kamma , 83b -- 84a .   Jump up ^ `` Torah '' , About Judaism , ou.org .   Jump up ^ Dt 19 : 16 -- 21 .   ^ Jump up to : Dt 19 : 19 .   Jump up ^ Makot , 1 : 1 .   Jump up ^ Bab . Talmud , 2a , based on critical exegesis of Dt 25 : 1 -- 3   Jump up ^ Dt 25 : 11 -- 12 .   Jump up ^ Sifrei .   Jump up ^ Maimonides , Yad .   Jump up ^ Hillel , `` Rotze'ach u'Sh'mirat Nefesh '' , Nezikin , 1 : 7 .   Jump up ^ Makot , 7a -- 13a .   Jump up ^ Dt 19 : 20 .   Jump up ^ Lv 19 : 17 -- 18 .   Jump up ^ Ex 21 : 23 -- 25 .   ^ Jump up to : Coogan , Michael D ( 2009 ) . A Brief Introduction to the Old Testament : The Hebrew Bible in Its Context . New York : Oxford University Press . p. 112 . ISBN 978 - 0 - 19 - 533272 - 8 .   Jump up ^ Lv 24 : 19 -- 22 .   Jump up ^ `` Righteous Personal Conduct Interpretation of Turning the Other Cheek '' . Wikepedia . Retrieved 21 September 2017 .   Jump up ^ of Hippo , Augustine , `` Contra Faustum '' , Fathers , NewAdvent .   Jump up ^ Robinson , George ( 2000 ) . Essential Judaism : a complete guide to beliefs , customs and rituals . Simon &amp; Schuster . p. 242 . ISBN 978 - 0 - 671 - 03481 - 8 .   Jump up ^ Bloch , Abraham P ( 1984 ) . A book of Jewish ethical concepts : Biblical and postbiblical . KTAV .   Jump up ^ Lewis , Harry Samuel ( 1915 ) . Liberal Judaism and social service . Bloch . p. 37 .   Jump up ^ Wylen , Stephen M ( 2005 ) . The seventy faces of Torah : the Jewish way of reading the Sacred Scriptures . Paulist Press . p. 20 .   Jump up ^ Qur'an , V : 45 .   Jump up ^ Court orders Iranian man blinded , BBC , 28 November 2008 .   Jump up ^ `` Acid blinding sentence postponed by Iran after international outcry '' , The Guardian , UK , 14 May 2011 .   Jump up ^ King , Martin Luther jr , King , Coretta Scott , ed. , The Words , Violence as a way of achieving racial justice is both impractical and immoral . It is impractical because it is a descending spiral ending in destruction for all . The old law of an eye for an eye leaves everyone blind . It is immoral because it seeks to humiliate the opponent rather than win his understanding ...    Bibliography ( edit )    Hammurabi , Code of 1780 BC .   Plaut ( 1981 ) , The Torah -- A Modern Commentary , New York : Union of American Hebrew Congregations .    External links ( edit )    Aquinas , Thomas , `` Matthew 5 : 38 -- 42 '' , Catena ( collation of commentaries ) .   Calvin , Jean , `` 21 : 22 -- 26 '' , Commentary on Exodus , Christian classics ethereal library .   -- -- -- , `` 5 : 38 '' , Commentary on Matthew   Miller , Professor William Ian , `` The fine art of revenge '' , Salon ( interview ) : the author of `` Eye for an Eye '' , about the Lex talionis .   Shubow , Justin ( December 2006 ) , `` Blind Justice '' , First Things ( review of William Ian Miller 's Eye for an Eye ) , archived from the original on 23 February 2008 .   `` Part 1 '' , Tolstoy 's Legacy for Mankind : A Manifesto for Nonviolence , DK : Freds akademiet &amp; Part 2   `` The Torah and Lex Talionis '' , About Judaism ( explanation ) , Union of Orthodox Jewish Congregations .   Retrieved from `` https://en.wikipedia.org/w/index.php?title=Eye_for_an_eye&amp;oldid=821341445 '' Categories :   Criminal law   English - language idioms   Codes of conduct   Legal history   Law and morality   Biblical phrases   Islamic terminology   Christian terminology   Revenge   Hidden categories :   Pages with Bible version errors   Use dmy dates from May 2011   All articles with specifically marked weasel - worded phrases   Articles with specifically marked weasel - worded phrases from February 2015   All articles lacking reliable references   Articles lacking reliable references from November 2017   Pages using div col with deprecated parameters           Talk                                           Contents                   About Wikipedia                                             Беларуская   Беларуская ( тарашкевіца ) ‎   Català   Čeština   Dansk   Deutsch   Español   Esperanto   Euskara   فارسی   Français   </t>
    </r>
    <r>
      <rPr>
        <sz val="11"/>
        <color rgb="FF000000"/>
        <rFont val="Noto Sans CJK SC"/>
        <family val="2"/>
      </rPr>
      <t xml:space="preserve">한국어   </t>
    </r>
    <r>
      <rPr>
        <sz val="11"/>
        <color rgb="FF000000"/>
        <rFont val="Calibri"/>
        <family val="0"/>
        <charset val="1"/>
      </rPr>
      <t xml:space="preserve">Ido   Bahasa Indonesia   Interlingua   Italiano   עברית   Lietuvių   Magyar   Nederlands   </t>
    </r>
    <r>
      <rPr>
        <sz val="11"/>
        <color rgb="FF000000"/>
        <rFont val="Noto Sans CJK SC"/>
        <family val="2"/>
      </rPr>
      <t xml:space="preserve">日本 語   </t>
    </r>
    <r>
      <rPr>
        <sz val="11"/>
        <color rgb="FF000000"/>
        <rFont val="Calibri"/>
        <family val="0"/>
        <charset val="1"/>
      </rPr>
      <t xml:space="preserve">Norsk   Polski   Português   Română   Русский   Slovenčina   Suomi   Svenska   Tagalog   ไทย   Українська   Tiếng Việt   </t>
    </r>
    <r>
      <rPr>
        <sz val="11"/>
        <color rgb="FF000000"/>
        <rFont val="Noto Sans CJK SC"/>
        <family val="2"/>
      </rPr>
      <t xml:space="preserve">文言   </t>
    </r>
    <r>
      <rPr>
        <sz val="11"/>
        <color rgb="FF000000"/>
        <rFont val="Calibri"/>
        <family val="0"/>
        <charset val="1"/>
      </rPr>
      <t xml:space="preserve">ייִדיש   </t>
    </r>
    <r>
      <rPr>
        <sz val="11"/>
        <color rgb="FF000000"/>
        <rFont val="Noto Sans CJK SC"/>
        <family val="2"/>
      </rPr>
      <t xml:space="preserve">中文   </t>
    </r>
    <r>
      <rPr>
        <sz val="11"/>
        <color rgb="FF000000"/>
        <rFont val="Calibri"/>
        <family val="0"/>
        <charset val="1"/>
      </rPr>
      <t xml:space="preserve">Edit links   This page was last edited on 19 January 2018 , at 21 : 37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</si>
  <si>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eye for an eye come from</t>
  </si>
  <si>
    <t xml:space="preserve"> First referenced in the Code of Hammurabi , ( which predates the Hebrew bible . ) In the Hebrew Law , the `` eye for eye '' was to restrict compensation to the value of the loss . Thus , it might be better read ' only one eye for one eye ' . The biblical phrase `` an eye for an eye '' in Exodus and Leviticus ( עין תחת עין ‬ , ayin tachat ayin ) literally means ' an eye in place of an eye ' while a slightly different phrase ( עַיִן בְּעַיִן שֵׁן בְּשֵׁן , literally `` eye for an eye ; tooth for a tooth '' ) is used in another passage ( in Deuteronomy ) of the Hebrew Bible , specifically , in the first of its three subdivisions , the Torah . For example , a passage in Leviticus states , `` And a man who injures his countryman -- as he has done , so it shall be done to him ( namely , ) fracture for fracture , eye for eye , tooth for tooth . Just as he has injured a person , so it shall be done to him . '' ( Lev. 24 : 19 -- 21 ) </t>
  </si>
  <si>
    <t xml:space="preserve">List of prime ministers of Elizabeth II - wikipedia  List of prime ministers of Elizabeth II    Queen Elizabeth II with several of her prime ministers and other Commonwealth nation leaders at the 1960 Commonwealth Prime Ministers ' Conference  Since succeeding her father on 6 February 1952 , Queen Elizabeth II has been head of state of 32 different independent states ; currently , there are 16 states , called Commonwealth realms . Within the Westminster system in each realm , the Queen 's government is headed by a prime minister . Appointment and dismissal of prime ministers are common reserve powers that can be exercised by the Queen or her governors - general .   This list does not cover Commonwealth nations that are not Commonwealth realms , nor holders of offices of prime minister in colonies or sub-national entities such as states or provinces .   The Queen has had over 160 individuals serve as her realms ' prime ministers throughout her reign , the first new appointment being Dudley Senanayake as Prime Minister of Ceylon and the most recent being Mia Mottley as Prime Minister of Barbados . Several of the Queen 's prime ministers from various realms have been appointed for life to the Privy Council of the United Kingdom .   Contents  ( hide )   1 Prime ministers of current realms   1.1 Antigua and Barbuda   1.2 Australia   1.3 Bahamas   1.4 Barbados   1.5 Belize   1.6 Canada   1.7 Grenada   1.8 Jamaica   1.9 New Zealand   1.10 Papua New Guinea   1.11 Saint Kitts and Nevis   1.12 Saint Lucia   1.13 Saint Vincent and the Grenadines   1.14 Solomon Islands   1.15 Tuvalu   1.16 United Kingdom     2 Prime ministers of former realms   2.1 Ceylon   2.2 Fiji   2.3 Gambia   2.4 Ghana   2.5 Guyana   2.6 Kenya   2.7 Malawi   2.8 Malta   2.9 Mauritius   2.10 Nigeria   2.11 Pakistan   2.12 Sierra Leone   2.13 South Africa   2.14 Tanganyika   2.15 Trinidad and Tobago   2.16 Uganda     3 Anomalous cases   4 See also   5 References   6 Notes    Prime ministers of current realms ( edit )   Antigua and Barbuda ( edit )  See also : Prime Minister of Antigua and Barbuda  Antigua and Barbuda became independent on 1 November 1981 with Vere Bird as the first prime minister . Bird had previously been Premier of Antigua .     No   Portrait   Name ( Birth -- Death )   Tenure     Took office   Left office         Vere Bird ( 1910 -- 1999 )   1 November 1981   9 March 1994         Lester Bird ( 1938 -- )   9 March 1994   24 March 2004         Baldwin Spencer ( 1948 -- )   24 March 2004   13 June 2014         Gaston Browne ( 1967 -- )   13 June 2014   Incumbent     Reference   Australia ( edit )  See also : Prime Minister of Australia Queen Elizabeth II with Prime Minister of Australia Robert Menzies during her first tour of Australia in 1954  Robert Menzies was the incumbent prime minister of Australia when Elizabeth became queen .     No   Portrait   Name ( Birth -- Death )   Tenure     Took office   Left office         Sir Robert Menzies ( 1894 -- 1978 )   19 December 1949   26 January 1966         Harold Holt ( 1908 -- 1967 )   26 January 1966   19 December 1967         Sir John McEwen ( 1900 -- 1980 )   19 December 1967   10 January 1968         Sir John Gorton ( 1911 -- 2002 )   10 January 1968   10 March 1971     5     Sir William McMahon ( 1908 -- 1988 )   10 March 1971   5 December 1972     6     Gough Whitlam ( 1916 -- 2014 )   5 December 1972   11 November 1975     7     Malcolm Fraser ( 1930 -- 2015 )   11 November 1975   11 March 1983     8     Bob Hawke ( 1929 -- )   11 March 1983   20 December 1991     9     Paul Keating ( 1944 -- )   20 December 1991   11 March 1996     10     John Howard ( 1939 -- )   11 March 1996   3 December 2007     11     Kevin Rudd ( 1957 -- )   3 December 2007   24 June 2010     12     Julia Gillard ( 1961 -- )   24 June 2010   27 June 2013     ( 11 )     Kevin Rudd ( 1957 -- )   27 June 2013   18 September 2013     13     Tony Abbott ( 1957 -- )   18 September 2013   15 September 2015     14     Malcolm Turnbull ( 1954 -- )   15 September 2015   Incumbent     Reference   Bahamas ( edit )  See also : Prime Minister of the Bahamas  The Bahamas became independent on 10 July 1973 with Lynden Pindling as the first prime minister . Pindling had previously been the prime minister of the self - governing Commonwealth of the Bahama Islands .     No   Portrait   Name ( Birth -- Death )   Tenure     Took office   Left office         Sir Lynden Pindling ( 1930 -- 2000 )   10 July 1973   21 August 1992         Hubert Ingraham ( 1947 -- )   21 August 1992   3 May 2002         Perry Christie ( 1943 -- )   3 May 2002   4 May 2007     ( 2 )     Hubert Ingraham ( 1947 -- )   4 May 2007   8 May 2012     ( 3 )     Perry Christie ( 1943 -- )   8 May 2012   11 May 2017         Hubert Minnis ( 1954 -- )   11 May 2017   Incumbent     Reference   Barbados ( edit )  See also : Prime Minister of Barbados  Barbados became independent on 30 November 1966 with Errol Barrow as the first prime minister . Barrow had previously been Premier of Barbados .     No   Portrait   Name ( Birth -- Death )   Tenure     Took office   Left office         Errol Barrow ( 1920 -- 1987 )   30 November 1966   8 September 1976         J.M.G.M. ' Tom ' Adams ( 1931 -- 1985 )   8 September 1976   11 March 1985         Harold Bernard St. John ( 1931 -- 2004 )   11 March 1985   29 May 1986     ( 1 )     Errol Barrow ( 1920 -- 1987 )   29 May 1986   1 June 1987         Lloyd Erskine Sandiford ( 1937 -- )   1 June 1987   7 September 1994     5     Owen Arthur ( 1945 -- )   7 September 1994   16 January 2008     6     David Thompson ( 1961 -- 2010 )   16 January 2008   23 October 2010     7     Freundel Stuart ( 1951 -- )   23 October 2010   25 May 2018     8     Mia Mottley ( 1965 -- )   25 May 2018   Incumbent     Reference   Belize ( edit )  See also : Prime Minister of Belize  Belize became independent on 21 September 1981 with George Cadle Price as the first prime minister . Price had previously been Premier of Belize .     No   Portrait   Name ( Birth -- Death )   Tenure     Took office   Left office         George Cadle Price ( 1919 -- 2011 )   21 September 1981   17 December 1984         Manuel Esquivel ( 1940 -- )   17 December 1984   7 November 1989     ( 1 )     George Cadle Price ( 1919 -- 2011 )   7 November 1989   3 July 1993     ( 2 )     Manuel Esquivel ( 1940 -- )   3 July 1993   28 August 1998         Said Musa ( 1944 -- )   28 August 1998   8 February 2008         Dean Barrow ( 1951 -- )   8 February 2008   Incumbent     Reference   Canada ( edit )  See also : Prime Minister of Canada  Louis St. Laurent was the incumbent Prime Minister of Canada when Elizabeth became queen .     No   Portrait   Name ( Birth -- Death )   Tenure     Took office   Left office         Louis St. Laurent ( 1882 -- 1973 )   15 November 1948   21 June 1957         John Diefenbaker ( 1895 -- 1979 )   21 June 1957   22 April 1963         Lester B. Pearson ( 1897 -- 1972 )   22 April 1963   20 April 1968         Pierre Trudeau ( 1919 -- 2000 )   20 April 1968   4 June 1979     5     Joe Clark ( 1939 -- )   4 June 1979   3 March 1980     ( 4 )     Pierre Trudeau ( 1919 -- 2000 )   3 March 1980   30 June 1984     6     John Turner ( 1929 -- )   30 June 1984   17 September 1984     7     Brian Mulroney ( 1939 -- )   17 September 1984   25 June 1993     8     Kim Campbell ( 1947 -- )   25 June 1993   4 November 1993     9     Jean Chrétien ( 1934 -- )   4 November 1993   12 December 2003     10     Paul Martin ( 1938 -- )   12 December 2003   6 February 2006     11     Stephen Harper ( 1959 -- )   6 February 2006   4 November 2015     12     Justin Trudeau ( 1971 -- )   4 November 2015   Incumbent     Reference   Grenada ( edit )  See also : Prime Minister of Grenada  Grenada became independent on 7 February 1974 with Eric Gairy as the first prime minister . Gairy had previously been Premier of Grenada .     No   Portrait   Name ( Birth -- Death )   Tenure     Took office   Left office         Sir Eric Gairy ( 1922 -- 1997 )   7 February 1974   13 March 1979         Maurice Bishop ( 1943 -- 1983 )   13 March 1979   19 October 1983         Herbert Blaize ( 1918 -- 1999 )   4 December 1984   19 December 1989         Ben Jones ( 1924 -- 2005 )   19 December 1989   16 March 1990     5     Nicholas Brathwaite ( 1925 -- 2016 )   16 March 1990   1 February 1995     6     George Brizan ( 1942 -- 2012 )   1 February 1995   22 June 1995     7     Keith Mitchell ( 1946 -- )   22 June 1995   9 July 2008     8     Tillman Thomas ( 1947 -- )   9 July 2008   20 February 2013     ( 7 )     Keith Mitchell ( 1946 -- )   20 February 2013   Incumbent     Reference   Jamaica ( edit )  See also : Prime Minister of Jamaica  Jamaica became independent on 6 August 1962 with Alexander Bustamante as the first prime minister . Bustamante had previously been Premier of Jamaica .     No   Portrait   Name ( Birth -- Death )   Tenure     Took office   Left office         Sir Alexander Bustamante ( 1884 -- 1977 )   6 August 1962   23 February 1967         Sir Donald Sangster ( 1911 -- 1967 )   23 February 1967   11 April 1967         Hugh Shearer ( 1923 -- 2004 )   11 April 1967   2 March 1972         Michael Manley ( 1924 -- 1997 )   2 March 1972   1 November 1980     5     Edward Seaga ( 1930 -- )   1 November 1980   10 February 1989     ( 4 )     Michael Manley ( 1924 -- 1997 )   10 February 1989   30 March 1992     6     P.J. Patterson ( 1935 -- )   30 March 1992   30 March 2006     7     Portia Simpson - Miller ( 1945 -- )   30 March 2006   11 September 2007     8     Bruce Golding ( 1947 -- )   11 September 2007   23 October 2011     9     Andrew Holness ( 1972 -- )   23 October 2011   5 January 2012     ( 7 )     Portia Simpson - Miller ( 1945 -- )   5 January 2012   3 March 2016     ( 9 )     Andrew Holness ( 1972 -- )   3 March 2016   Incumbent     Reference   New Zealand ( edit )  See also : Prime Minister of New Zealand  Sidney Holland was the incumbent Prime Minister of New Zealand when Elizabeth became queen .     No   Portrait   Name ( Birth -- Death )   Tenure     Took office   Left office         Sir Sidney Holland ( 1893 -- 1961 )   13 December 1949   20 September 1957         Sir Keith Holyoake ( 1904 -- 1983 )   20 September 1957   12 December 1957         Sir Walter Nash ( 1882 -- 1968 )   12 December 1957   12 December 1960     ( 2 )     Sir Keith Holyoake ( 1904 -- 1983 )   12 December 1960   7 February 1972         Sir Jack Marshall ( 1912 -- 1988 )   7 February 1972   8 December 1972     5     Norman Kirk ( 1923 -- 1974 )   8 December 1972   31 August 1974 †     6     Sir Bill Rowling ( 1927 -- 1995 )   6 September 1974   12 December 1975     7     Sir Robert Muldoon ( 1921 -- 1992 )   12 December 1975   26 July 1984     8     David Lange ( 1942 -- 2005 )   26 July 1984   8 August 1989     9     Sir Geoffrey Palmer ( 1942 -- )   8 August 1989   4 September 1990     10     Mike Moore ( 1949 -- )   4 September 1990   2 November 1990     11     Jim Bolger ( 1935 -- )   2 November 1990   8 December 1997     12     Dame Jenny Shipley ( 1952 -- )   8 December 1997   5 December 1999     13     Helen Clark ( 1950 -- )   5 December 1999   19 November 2008     14     Sir John Key ( 1961 -- )   19 November 2008   12 December 2016     15     Sir Bill English ( 1961 -- )   12 December 2016   26 October 2017     16     Jacinda Ardern ( 1980 -- )   26 October 2017   Incumbent     Reference   Papua New Guinea ( edit )  See also : Prime Minister of Papua New Guinea  Papua New Guinea became independent on 16 September 1975 with Michael Somare as the first prime minister . Somare had previously been Chief Minister of the Papua New Guinea .     No   Portrait   Name ( Birth -- Death )   Tenure     Took office   Left office         Michael Somare ( 1936 -- )   16 September 1975   11 March 1980         Sir Julius Chan ( 1939 -- )   11 March 1980   2 August 1982     ( 1 )     Michael Somare ( 1936 -- )   2 August 1982   21 November 1985         Paias Wingti ( 1951 -- )   21 November 1985   4 July 1988         Rabbie Namaliu ( 1947 -- )   4 July 1988   17 July 1992     ( 3 )     Paias Wingti ( 1951 -- )   17 July 1992   30 August 1994     ( 2 )     Sir Julius Chan ( 1939 -- )   30 August 1994   27 March 1997     N / A     John Giheno ( 1950 -- 2017 ) Acting Prime Minister   27 March 1997   2 June 1997     ( 2 )     Sir Julius Chan ( 1939 -- )   2 June 1997   22 July 1997     5     Bill Skate ( 1953 -- 2006 )   22 July 1997   14 July 1999     6     Sir Mekere Morauta ( 1946 -- )   14 July 1999   5 August 2002     ( 1 )     Sir Michael Somare ( 1936 -- )   5 August 2002   2 August 2011 / 3 August 2012     7     Peter O'Neill ( 1965 -- )   2 August 2011 / 3 August 2012   Incumbent     Reference   Saint Kitts and Nevis ( edit )  See also : Prime Minister of Saint Kitts and Nevis  Saint Kitts and Nevis became independent on 19 September 1983 with Kennedy Simmonds as the first prime minister . Simmonds had previously been Premier of Saint Kitts and Nevis .     No   Portrait   Name ( Birth -- Death )   Tenure     Took office   Left office         Kennedy Simmonds ( 1936 -- )   19 September 1983   7 July 1995         Denzil Douglas ( 1953 -- )   7 July 1995   18 February 2015         Timothy Harris ( 1964 -- )   18 February 2015   Incumbent     Reference   Saint Lucia ( edit )  See also : Prime Minister of Saint Lucia  Saint Lucia became independent on 22 February 1979 with John Compton as the first prime minister . Compton had previously been Premier of Saint Lucia .     No   Portrait   Name ( Birth -- Death )   Tenure     Took office   Left office         John Compton ( 1925 -- 2007 )   22 February 1979   2 July 1979         Allan Louisy ( 1916 -- 2011 )   2 July 1979   4 May 1981         Winston Cenac ( 1925 -- 2004 )   4 May 1981   17 January 1982     N / A     Michael Pilgrim ( 1947 -- ) Acting Prime Minister   17 January 1982   3 May 1982     ( 1 )     Sir John Compton ( 1925 -- 2007 )   3 May 1982   2 April 1996         Vaughan Lewis ( 1940 -- )   2 April 1996   24 May 1997     5     Kenny Anthony ( 1951 -- )   24 May 1997   15 December 2006     ( 1 )     Sir John Compton ( 1925 -- 2007 )   15 December 2006   7 September 2007     6     Stephenson King ( 1958 -- )   7 September 2007   30 November 2011     ( 5 )     Kenny Anthony ( 1951 -- )   30 November 2011   7 June 2016     7     Allen Chastanet ( 1960 - )   7 June 2016   Incumbent     Reference   Saint Vincent and the Grenadines ( edit )  See also : Prime Minister of Saint Vincent and the Grenadines  Saint Vincent and the Grenadines became independent on 27 October 1979 with Milton Cato as the first prime minister . Cato had previously been Premier of Saint Vincent .     No   Portrait   Name ( Birth -- Death )   Tenure     Took office   Left office         Milton Cato ( 1915 -- 1997 )   27 October 1979   30 July 1984         Sir James Fitz - Allen Mitchell ( 1931 -- )   30 July 1984   27 October 2000         Arnhim Eustace ( 1944 -- )   27 October 2000   29 March 2001         Ralph Gonsalves ( 1946 -- )   29 March 2001   Incumbent     Reference   Solomon Islands ( edit )  See also : Prime Minister of the Solomon Islands  The Solomon Islands became independent on 7 July 1978 with Peter Kenilorea as the first prime minister .     No   Portrait   Name ( Birth -- Death )   Tenure     Took office   Left office         Peter Kenilorea ( 1943 -- 2016 )   7 July 1978   31 August 1981         Solomon Mamaloni ( 1943 -- 2000 )   31 August 1981   19 November 1984     ( 1 )     Sir Peter Kenilorea ( 1943 -- 2016 )   19 November 1984   1 December 1986         Ezekiel Alebua ( 1947 -- )   1 December 1986   28 March 1989     ( 2 )     Solomon Mamaloni ( 1943 -- 2000 )   28 March 1989   18 June 1993         Francis Billy Hilly ( 1948 -- )   18 June 1993   7 November 1994     ( 2 )     Solomon Mamaloni ( 1943 -- 2000 )   7 November 1994   27 August 1997     5     Bartholomew Ulufa'alu ( 1950 -- 2007 )   27 August 1997   30 June 2000     6     Manasseh Sogavare ( 1955 -- )   30 June 2000   17 December 2001     7     Sir Allan Kemakeza ( 1950 -- )   17 December 2001   20 April 2006     8     Snyder Rini ( 1949 -- )   20 April 2006   4 May 2006     ( 6 )     Manasseh Sogavare ( 1955 -- )   4 May 2006   20 December 2007     9     Derek Sikua ( 1959 -- )   20 December 2007   25 August 2010     10     Danny Philip ( 1953 -- )   25 August 2010   16 November 2011     11     Gordon Darcy Lilo ( 1965 -- )   16 November 2011   9 December 2014     ( 6 )     Manasseh Sogavare ( 1955 -- )   9 December 2014   15 November 2017     12     Rick Houenipwela ( 1958 - )   15 November 2017   Incumbent     Reference   Tuvalu ( edit )  See also : Prime Minister of Tuvalu  Tuvalu became independent on 1 October 1978 with Toaripi Lauti as the first prime minister . Lauti had previously been Chief Minister of Tuvalu .     No   Portrait   Name ( Birth -- Death )   Tenure     Took office   Left office         Toaripi Lauti ( 1928 -- 2014 )   1 October 1978   8 September 1981         Tomasi Puapua ( 1938 -- )   8 September 1981   16 October 1989         Bikenibeu Paeniu ( 1956 -- )   16 October 1989   10 December 1993         Kamuta Latasi ( 1936 -- )   10 December 1993   24 December 1996     ( 3 )     Bikenibeu Paeniu ( 1956 -- )   24 December 1996   27 April 1999     5     Ionatana Ionatana ( 1938 -- 2000 )   27 April 1999   8 December 2000     N / A     Lagitupu Tuilimu Acting Prime Minister   8 December 2000   24 February 2001     6     Faimalaga Luka ( 1940 -- 2005 )   24 February 2001   14 December 2001     7     Koloa Talake ( 1934 -- 2008 )   14 December 2001   24 August 2002     8     Saufatu Sopoanga ( 1952 -- )   24 August 2002   25 August 2004     9     Maatia Toafa ( 1954 -- )   11 October 2004   14 August 2006     10     Apisai Ielemia ( 1955 -- )   14 August 2006   29 September 2010     ( 9 )     Maatia Toafa ( 1954 -- )   29 September 2010   24 December 2010     11     Willy Telavi ( 1954 -- )   24 December 2010   1 August 2013     12     Enele Sopoaga ( 1956 -- )   5 August 2013   Incumbent     Reference   United Kingdom ( edit )  See also : Prime Minister of the United Kingdom  Winston Churchill was the incumbent Prime Minister of the United Kingdom when Elizabeth became queen .     No   Portrait   Name ( Birth -- Death )   Tenure     Took office   Left office         Sir Winston Churchill ( 1874 -- 1965 )   26 October 1951   7 April 1955         Sir Anthony Eden ( 1897 -- 1977 )   7 April 1955   10 January 1957         Harold Macmillan ( 1894 -- 1986 )   10 January 1957   18 October 1963         Sir Alec Douglas - Home ( 1903 -- 1995 )   18 October 1963   16 October 1964     5     Harold Wilson ( 1916 -- 1995 )   16 October 1964   19 June 1970     6     Edward Heath ( 1916 -- 2005 )   19 June 1970   4 March 1974     ( 5 )     Harold Wilson ( 1916 -- 1995 )   4 March 1974   5 April 1976     7     James Callaghan ( 1912 -- 2005 )   5 April 1976   4 May 1979     8     Margaret Thatcher ( 1925 -- 2013 )   4 May 1979   28 November 1990     9     Sir John Major ( 1943 -- )   28 November 1990   2 May 1997     10     Tony Blair ( 1953 -- )   2 May 1997   27 June 2007     11     Gordon Brown ( 1951 -- )   27 June 2007   11 May 2010     12     David Cameron ( 1966 -- )   11 May 2010   13 July 2016     13     Theresa May ( 1956 -- )   13 July 2016   Incumbent     Reference   Prime ministers of former realms ( edit )   This section lists prime ministers during Elizabeth 's reign of former states that became republics during her reign . Where an office of prime minister remained after the transition , and the incumbent at the time of transition remained in that office , the date of the end of that period in office is given in the tables below .   Ceylon ( edit )  See also : Prime Minister of Sri Lanka  D.S. Senanayake was the incumbent prime minister of Ceylon when Elizabeth became queen .     No   Portrait   Name ( Birth -- Death )   Tenure     Took office   Left office         D.S. Senanayake ( 1883 -- 1952 )   24 September 1947   22 March 1952         Dudley Senanayake ( 1911 -- 1973 )   26 March 1952   12 October 1953         Sir John Kotelawala ( 1895 -- 1980 )   12 October 1953   12 April 1956         S.W.R.D. Bandaranaike ( 1899 -- 1959 )   12 April 1956   26 September 1959     5     Wijeyananda Dahanayake ( 1901 -- 1997 )   26 September 1959   20 March 1960     ( 2 )     Dudley Senanayake ( 1911 -- 1973 )   21 March 1960   21 July 1960     6     Sirimavo Bandaranaike ( 1916 -- 2000 )   21 July 1960   27 March 1965     ( 2 )     Dudley Senanayake ( 1911 -- 1973 )   27 March 1965   29 May 1970     ( 6 )     Sirimavo Bandaranaike ( 1916 -- 2000 )   29 May 1970   23 July 1977     Reference   Ceylon abolished the monarchy on 22 May 1972 and renamed the Democratic Socialist Republic of Sri Lanka . Bandaranaike remained in office as the republic 's first prime minister until 23 July 1977 .   Fiji ( edit )  See also : Prime Minister of Fiji  Fiji became independent on 10 October 1970 with Kamisese Mara as the first prime minister . Mara had previously been Chief Minister of Fiji .     No   Portrait   Name ( Birth -- Death )   Tenure     Took office   Left office         Ratu Sir Kamisese Mara ( 1920 -- 2004 )   10 October 1970   13 April 1987         Timoci Bavadra ( 1934 -- 1989 )   13 April 1987   14 May 1987     Reference   Following the 1987 Fijian coups d'état ( which resulted in a vacancy in the premiership until December 1987 ) , on 7 October 1987 , the new ruling regime declared the nation to have become the Republic of Fiji . Fiji 's relationship with the monarchy after this transition is complex ( see Monarchy of Fiji ) .   Gambia ( edit )  See also : Prime Minister of the Gambia  The Gambia became independent on 18 February 1965 with Dawda Jawara as the first prime minister . Jawara had previously been prime minister of the self - governing Gambia .     No   Portrait   Name ( Birth -- Death )   Tenure     Took office   Left office         Sir Dawda Jawara ( 1924 -- )   6 March 1965   24 April 1970     Reference   The Gambia abolished the monarchy on 24 April 1970 , via referendum . Jawara became President of the Gambia on the same day as the post of prime minister was abolished .   Ghana ( edit )  See also : Prime Minister of Ghana  Ghana became independent on 15 August 1957 , with Kwame Nkrumah as its first prime minister . Nkrumah had previously been prime minister of the self - governing Gold Coast .     No   Portrait   Name ( Birth -- Death )   Tenure     Took office   Left office         Kwame Nkrumah ( 1909 -- 1972 )   15 August 1957   1 July 1960     Reference   Ghana abolished the monarchy on 1 July 1960 , via referendum . Nkrumah became President of Ghana on the same day as the post of prime minister was abolished .   Guyana ( edit )  See also : Prime Minister of Guyana  Guyana became independent on 26 May 1966 , with Forbes Burnham as its first prime minister . Burnham had previously been Premier of British Guiana .     No   Portrait   Name ( Birth -- Death )   Tenure     Took office   Left office         Forbes Burnham ( 1923 -- 1985 )   26 May 1966   6 October 1980     Reference   Guyana abolished the monarchy on 23 February 1970 . Burnham remained in office as the republic 's first prime minister until 6 October 1980 .   Kenya ( edit )  See also : Prime Minister of Kenya  Kenya became independent on 12 December 1963 , with Jomo Kenyatta becoming the first prime minister . Kenyatta had previously been prime minister of self - governing Kenya .     No   Portrait   Name ( Birth -- Death )   Tenure     Took office   Left office         Jomo Kenyatta ( 1891 -- 1978 )   12 December 1963   12 December 1964     Reference   Kenya abolished the monarchy on 12 December 1964 . Kenyatta became President of Kenya as the post of prime minister was abolished .   Malawi ( edit )  See also : Prime Minister of Malawi  Malawi became independent on 6 July 1964 , with Hastings Banda as prime minister . Banda had previously been prime minister of self - governing Nyasaland .     No   Portrait   Name ( Birth -- Death )   Tenure     Took office   Left office         Hastings Banda ( 1898 -- 1997 )   6 July 1964   6 July 1966     Reference   Malawi abolished the monarchy on 6 July 1966 . Banda became President of Malawi as the post of prime minister was abolished .   Malta ( edit )  See also : Prime Minister of Malta  The Crown Colony of Malta became independent as the State of Malta on 21 September 1964 with George Borg Olivier as prime minister . Olivier had previously been the colony 's prime minister .     No   Portrait   Name ( Birth -- Death )   Tenure     Took office   Left office         George Borg Olivier ( 1911 -- 1980 )   21 September 1964   21 June 1971         Dom Mintoff ( 1916 -- 2012 )   21 June 1971   22 December 1984     Reference   Malta abolished the monarchy on 13 December 1974 and became the current Republic of Malta , a republic within the Commonwealth . Mintoff remained in office as the republic 's first prime minister until 22 December 1984 .   Mauritius ( edit )  See also : Prime Minister of Mauritius  Mauritius became independent on 12 March 1968 , with Seewoosagur Ramgoolam becoming the first prime minister . Ramgoolam had previously been Chief Minister of Mauritius .     No   Portrait   Name ( Birth -- Death )   Tenure     Took office   Left office         Sir Seewoosagur Ramgoolam ( 1899 -- 1985 )   12 March 1968   30 June 1982         Sir Anerood Jugnauth ( 1930 -- )   30 June 1982   15 December 1995     Reference   Mauritius abolished the monarchy on 12 March 1992 . Jugnauth remained in office as the republic 's prime minister until 15 December 1995 .   Nigeria ( edit )  See also : Prime Minister of Nigeria  The Federation of Nigeria became independent on 1 October 1960 , with Abubakar Tafawa Balewa becoming the first Prime Minister of Nigeria . Balewa had previously been Chief Minister of the Colony and Protectorate of Nigeria .     No   Portrait   Name ( Birth -- Death )   Tenure     Took office   Left office         Sir Abubakar Tafawa Balewa ( 1912 -- 1966 )   1 October 1960   15 January 1966     Reference   Nigeria became the Federal Republic of Nigeria on 1 October 1963 . Balewa remained in office as the republic 's prime minister until his overthrow and assassination in the 1966 Nigerian coup d'état on 15 January 1966 .   Pakistan ( edit )  See also : Prime Minister of Pakistan  Khawaja Nazimuddin was the incumbent Prime Minister of Pakistan when Elizabeth became queen .     No   Portrait   Name ( Birth -- Death )   Tenure     Took office   Left office         Sir Khawaja Nazimuddin ( 1894 -- 1964 )   17 October 1951   17 April 1953         Mohammad Ali Bogra ( 1909 -- 1963 )   17 April 1953   12 August 1955         Chaudhry Muhammad Ali ( 1905 -- 1980 )   12 August 1955   12 September 1956     Reference   Pakistan abolished the monarchy on 23 March 1956 . Ali remained in office as the republic 's first prime minister until 12 September 1956 .   Sierra Leone ( edit )  See also : Prime Minister of Sierra Leone  Sierra Leone became independent on 27 April 1961 , with Milton Margai as the first prime minister . Margai had previously been Prime Minister of the Protectorate of Sierra Leone .     No   Portrait   Name ( Birth -- Death )   Tenure     Took office   Left office         Sir Milton Margai ( 1895 -- 1964 )   27 April 1961   28 April 1964         Sir Albert Margai ( 1910 -- 1980 )   28 April 1964   21 March 1967         Siaka Stevens ( 1905 -- 1988 )   ( See below )   ( See below )     Reference   Siaka Stevens assumed the role of prime minister following his party 's narrow victory in the 1967 general election . However , immediately after taking office , Stevens was deposed by the National Reformation Council in a coup d'état and placed under house arrest . Military rule persisted until an April 1968 counter-coup restored Stevens ' premiership .   Sierra Leone became the Republic of Sierra Leone on 19 April 1971 . Stevens left the office of prime minister two days later and became President of Sierra Leone .   South Africa ( edit )  See also : Prime Minister of South Africa  Daniel François Malan was the incumbent prime minister of the Union of South Africa when Elizabeth became queen .     No   Portrait   Name ( Birth -- Death )   Tenure     Took office   Left office         Daniel François Malan ( 1874 -- 1959 )   4 June 1948   30 November 1954         Johannes Gerhardus Strijdom ( 1893 -- 1958 )   30 November 1954   24 August 1958         Hendrik Verwoerd ( 1901 -- 1966 )   24 August 1958   6 September 1966     Reference   Following a referendum , South Africa abolished the monarchy on 31 May 1961 , becoming the Republic of South Africa . Verwoerd remained in office as the republic 's first prime minister until 6 September 1966 .   Tanganyika ( edit )  See also : Prime Minister of Tanganyika  Tanganyika became independent on 9 December 1961 , with Julius Nyerere as its first prime minister . Nyerere had previously been the prime minister of self - governing Tanganyika .     No   Portrait   Name ( Birth -- Death )   Tenure     Took office   Left office         Julius Nyerere ( 1922 -- 1999 )   9 December 1961   22 January 1962         Rashidi Kawawa ( 1926 -- 2009 )   22 January 1962   9 December 1962     Reference   Tanganyika abolished the monarchy on 9 December 1962 . The post of prime minister was abolished .   Trinidad and Tobago ( edit )  See also : Prime Minister of Trinidad and Tobago  Trinidad and Tobago became independent on 31 August 1962 , with Eric Williams as its first prime minister . Williams had previously been Chief Minister and Premier of Trinidad and Tobago .     No   Portrait   Name ( Birth -- Death )   Tenure     Took office   Left office         Eric Williams ( 1911 -- 1981 )   31 August 1962   29 March 1981     Reference   Trinidad and Tobago abolished the monarchy on 1 August 1976 . Williams remained in office as the republic 's first prime minister until 29 March 1981 .   Uganda ( edit )  See also : Prime Minister of Uganda  Uganda became independent on 9 October 1962 with Milton Obote as the first prime minister . Obote had previously been the prime minister of self - governing Uganda .     No   Portrait   Name ( Birth -- Death )   Tenure     Took office   Left office         Milton Obote ( 1925 -- 2005 )   9 October 1962   15 April 1966     Reference   Uganda abolished the monarchy on 9 October 1963 . Obote remained in office as the republic 's first prime minister until 15 April 1966 .   Anomalous cases ( edit )    Rhodesia ( 1965 -- 1970 )   Ian Smith was Prime Minister of Rhodesia following a unilateral declaration of independence on 11 November 1965 . Though Rhodesia considered Elizabeth II as Queen of Rhodesia , this title was not accepted by her . Acting in his vice-regal capacity under direction from the UK government , Governor of Southern Rhodesia Humphrey Gibbs dismissed the Prime Minister and his government but this action was ignored by Smith . The state remained unrecognised by Britain and the international community . Following a referendum , Rhodesia declared itself a republic on 2 March 1970 . Smith remained in office throughout this period .    See also ( edit )    Constitutional monarchy   List of Commonwealth heads of government    References ( edit )    Jump up ^ Daniel Hall . `` Antigua and Barbuda '' . Worldstatesmen.org . Retrieved 2015 - 08 - 12 .   Jump up ^ Daniel Hall . `` Australia '' . Worldstatesmen.org . Retrieved 2015 - 08 - 12 .   Jump up ^ Daniel Hall . `` The Bahamas '' . Worldstatesmen.org . Retrieved 2015 - 08 - 12 .   Jump up ^ Daniel Hall . `` Barbados '' . Worldstatesmen.org . Retrieved 2015 - 08 - 12 .   Jump up ^ Daniel Hall . `` Belize '' . Worldstatesmen.org . Retrieved 2015 - 08 - 12 .   Jump up ^ Daniel Hall . `` Canada '' . Worldstatesmen.org . Retrieved 2015 - 08 - 12 .   Jump up ^ Daniel Hall . `` Grenada '' . Worldstatesmen.org . Retrieved 2015 - 08 - 12 .   Jump up ^ Daniel Hall . `` Jamaica '' . Worldstatesmen.org . Retrieved 2015 - 08 - 12 .   Jump up ^ Daniel Hall . `` New Zealand '' . Worldstatesmen.org . Retrieved 2015 - 08 - 12 .   Jump up ^ Daniel Hall . `` Papua New Guinea '' . Worldstatesmen.org . Retrieved 2015 - 08 - 12 .   Jump up ^ Daniel Hall . `` Saint Kitts and Nevis '' . Worldstatesmen.org . Retrieved 2015 - 08 - 12 .   Jump up ^ Daniel Hall . `` Saint Lucia '' . Worldstatesmen.org . Retrieved 2015 - 08 - 12 .   Jump up ^ Daniel Hall . `` Saint Vincent and the Grenadines '' . Worldstatesmen.org . Retrieved 2015 - 08 - 12 .   Jump up ^ Daniel Hall . `` Solomon Islands '' . Worldstatesmen.org . Retrieved 2015 - 08 - 12 .   Jump up ^ Daniel Hall . `` Tuvalu '' . Worlds</t>
  </si>
  <si>
    <t xml:space="preserve">who was prime minister when the queen was crowned</t>
  </si>
  <si>
    <t xml:space="preserve"> Winston Churchill was the incumbent Prime Minister of the United Kingdom when Elizabeth became queen . </t>
  </si>
  <si>
    <t xml:space="preserve">Term limits in the United states - wikipedia  Term limits in the United states   Term limits in the United States apply to many offices at both the federal and state level , and date back to the American Revolution .   Term limits , also referred to as rotation in office , restrict the number of terms of office an officeholder may hold . For example , according to the 22nd Amendment , the President of the United States can serve two four - year terms and serve no more than 10 years .     This article is part of a series on the     Politics of the United States of America         Federal Government ( show )   Constitution of the United States     Law   Taxation       Legislature ( show )   United States Congress         House of Representatives     Speaker Paul Ryan ( R )     Majority Leader Kevin McCarthy ( R )     Minority Leader Nancy Pelosi ( D )     Congressional districts       Senate     President Mike Pence ( R )     President Pro Tempore Orrin Hatch ( R )     President Pro Tempore Emeritus Patrick Leahy ( D )     Majority Leader Mitch McConnell ( R )     Minority Leader Chuck Schumer ( D )       Executive ( show )   President of the United States     Donald Trump ( R )       Vice President of the United States     Mike Pence ( R )     Cabinet   Federal agencies   Executive Office       Judiciary ( show )   Supreme Court of the United States     Chief Justice John Roberts     Thomas   Ginsburg   Breyer   Alito   Sotomayor   Kagan   Gorsuch   Kavanaugh     Courts of Appeals   District Courts ( list )     Other tribunals       Elections ( show )   Presidential elections   Midterm elections     Off - year elections       Political parties ( show )   Democratic   Republican     Third parties       Federalism ( show )   State Government     Governors     Legislatures ( List )     State courts       Local government         United States portal   Other countries   Atlas                   Contents    1 Historical background   1.1 The Constitution   1.2 Term limits in the Constitution   1.3 After 1789   1.4 Era of incumbency   1.5 Term limits movement     2 Federal term limits   2.1 President   2.2 Congress   2.3 Supreme Court     3 State term limits   3.1 Gubernatorial term limits   3.2 State legislatures with term limits   3.3 Overturned or repealed state legislative term limits     4 Municipal term limits   5 See also   6 References   7 Further reading   8 External links    Historical background ( edit )   The Constitution ( edit )   Term limits date back to the American Revolution , and prior to that to the democracies and republics of antiquity . The council of 500 in ancient Athens rotated its entire membership annually , as did the ephorate in ancient Sparta . The ancient Roman Republic featured a system of elected magistrates -- tribunes of the plebs , aediles , quaestors , praetors , and consuls -- who served a single term of one year , with re-election to the same magistracy forbidden for ten years ( see cursus honorum ) . According to historian Garrett Fagan , office holding in the Roman Republic was based on `` limited tenure of office '' which ensured that `` authority circulated frequently '' , helping to prevent corruption . An additional benefit of the cursus honorum or Run of Offices was to bring the `` most experienced '' politicians to the upper echelons of power - holding in the ancient republic . Many of the founders of the United States were educated in the classics , and quite familiar with rotation in office during antiquity . The debates of that day reveal a desire to study and profit from the object lessons offered by ancient democracy .   Prior to independence , several colonies had already experimented with term limits . The Fundamental Orders of Connecticut of 1639 , for example , prohibited the colonial governor from serving consecutive terms , setting terms at one year 's length , and holding `` that no person be chosen Governor above once in two years . '' Shortly after independence , the Pennsylvania Constitution of 1776 set maximum service in the Pennsylvania General Assembly at `` four years in seven '' . Benjamin Franklin 's influence is seen not only in that he chaired the constitutional convention which drafted the Pennsylvania constitution , but also because it included , virtually unchanged , Franklin 's earlier proposals on executive rotation . Pennsylvania 's plural executive was composed of twelve citizens elected for the term of three years , followed by a mandatory vacation of four years .   The Articles of Confederation , adopted in 1781 , established term limits for the delegates to the Continental Congress , mandating in Article V that `` no person shall be capable of being a delegate for more than three years in any term of six years . ''   On October 2 , 1789 , the Continental Congress appointed a committee of thirteen to examine forms of government for the impending union of the states . Among the proposals was that from the State of Virginia , written by Thomas Jefferson , urging a limitation of tenure , `` to prevent every danger which might arise to American freedom by continuing too long in office the members of the Continental Congress '' . The committee made recommendations , which as regards congressional term limits were incorporated unchanged into the Articles of Confederation ( 1781 -- 89 ) . The fifth Article stated that `` no person shall be capable of being a delegate ( to the continental congress ) for more than three years in any term of six years '' .   Term limits in the Constitution ( edit )   In contrast to the Articles of Confederation , the federal constitution convention at Philadelphia omitted mandatory term limits from the U.S. Constitution of 1789 . At the convention , some delegates spoke passionately against term limits such as Rufus King , who said `` that he who has proved himself to be most fit for an Office , ought not to be excluded by the constitution from holding it . '' The Electoral College , it was believed by some delegates at the convention , could have a role to play in limiting unfit officers from continuing .   When the states ratified the Constitution ( 1787 -- 88 ) , several leading statesmen regarded the lack of mandatory limits to tenure as a dangerous defect , especially , they thought , as regards the presidency and the Senate . Richard Henry Lee viewed the absence of legal limits to tenure , together with certain other features of the Constitution , as `` most highly and dangerously oligarchic '' . Both Jefferson and George Mason advised limits on reelection to the Senate and to the Presidency , because said Mason , `` nothing is so essential to the preservation of a Republican government as a periodic rotation '' . The historian Mercy Otis Warren , warned that `` there is no provision for a rotation , nor anything to prevent the perpetuity of office in the same hands for life ; which by a little well - timed bribery , will probably be done '' .   After 1789 ( edit )   Michael Korzi says George Washington did not set the informal precedent for a two - term limit for the Presidency . He only meant he was too worn out to personally continue in office . It was Thomas Jefferson who made it a principle in 1808 . He made many statements calling for term limits in one form or another .   The tradition was challenged by Ulysses Grant in 1880 , and by Theodore Roosevelt in 1912 . Otherwise no major effort to avoid it took place until 1940 when Franklin Roosevelt explicitly broke it . The 22nd Amendment to the U.S. Constitution was ratified in 1951 formally establishing in law the two - term limit -- although it did not apply to the incumbent Harry Truman .   The fact that `` perpetuity in office '' was not approached until the 20th century is due in part to the influence of rotation in office as a popular 19th - century concept . `` Ideas are , in truth , forces '' , and rotation in office enjoyed such normative support , especially at the local level , that it altered political reality . For a detailed study of the 19th - century concepts of rotation , consult Political Science Quarterly , vol. 94 , `` House Turnover and the Principle of Rotation '' , by Robert Struble , Jr . See also his Treatise on Twelve Lights , chapter six , `` Rotation in History '' . Consult also , James Young 's The Washington Community , 1800 -- 1828 .   According to Young , the tendency to look with mistrust upon political power was so ingrained into American culture that even the officeholders themselves perceived their occupations in a disparaging light . James Fenimore Cooper described the common view that `` contact with the affairs of state is one of the most corrupting of the influences to which men are exposed '' . An article in the Richmond Enquirer ( 1822 ) noted that the `` long cherished '' principle of rotation in office had been impressed on the republican mind `` by a kind of intuitive impulse , unassailable to argument or authority '' .   Beginning about the 1830s , Jacksonian democracy introduced a less idealistic twist to the practice of limiting terms . Rotation in office came to mean taking turns in the distribution of political prizes . Rotation of nominations to the U.S. House of Representatives -- the prizes -- became a key element of payoffs to the party faithful . The leading lights in the local party machinery came to regard a nomination for the House as `` salary '' for political services rendered . A new code of political ethics evolved , based on the proposition that `` turnabout is fair play '' . In short , rotation of nominations was intertwined with the spoils system .   In district nominating conventions local leaders could negotiate and enforce agreements to pass the nominations around among themselves . Abraham Lincoln was elected to the United States House of Representatives in 1846 under such a bargain , and he returned home to Springfield after a single congressional term because , he wrote , `` to enter myself as a competitor of another , or to authorize anyone so to enter me , is what my word and honor forbid '' .   During the Civil War , the Confederate States Constitution limited its president to a single six - year term .   Era of incumbency ( edit )   The practice of nomination rotation for the House of Representatives began to decline after the Civil War . It took a generation or so before the direct primary system , civil service reforms , and the ethic of professionalism worked to eliminate rotation in office as a common political practice . By the turn of the 20th century the era of incumbency was coming into full swing .   A total of 8 presidents served two full terms and declined a third and three presidents served one full term and refused a second . After World War II , however , an officeholder class had developed to the point that congressional tenure rivaled that of the U.S. Supreme Court , where tenure is for life .   Term limits movement ( edit )   `` Homesteading , '' or securing a lifelong career in Congress , was made possible by reelection rates that approached 100 % by the end of the 20th century . The concept of homesteading brought about a popular movement known as the `` term - limits movement '' . The elections of 1990 -- 94 saw the adoption of term limits for state legislatures in almost every state where citizens had the power of the initiative . In addition , 23 states limited service in their delegation to Congress . As they pertain to Congress , these laws are no longer enforceable , however , as in 1995 , the U.S. Supreme Court overturned congressional term limits in U.S. Term Limits , Inc. v. Thornton , ruling that state governments can not limit the terms of members of the national government .   Where rotation in the legislative branch has withstood court challenges , term limits continue to garner popular support . As of 2002 , the advocacy group `` U.S. Term Limits '' found that in the 17 states where state legislators served in rotation , public support for term limits ranged from 60 to 78 percent .   Federal term limits ( edit )     Office   Term limits     President   Limited to being elected to a total of 2 four - year terms . A President by succession who completes more than two years of a former President 's unfinished term may be elected in his or her own right only once , and 2 more four - year terms are permitted if they complete two years or less . Becoming a President by succession may happen to someone an unlimited number of times , for example , if he or she is Vice President and the President dies , resigns or is removed from office via impeachment conviction .     Vice President   Unlimited four - year terms     House of Representatives   Unlimited two - year terms     Senate   Unlimited six - year terms     Supreme Court   No term limits , appointed to serve `` during good behavior '' ( but can be impeached and removed from office for `` high Crimes and Misdemeanors '' ) ; in practice a Justice serves until death or stepping down ( by retirement or resignation )     As of 2013 , term limits at the federal level are restricted to the executive branch and some agencies . Judicial appointments at the federal level are made for life , and are not subject to election or to term limits . The U.S. Congress remains ( since the Thornton decision of 1995 ) without electoral limits .   President ( edit )   The third president , Thomas Jefferson , started the tradition of presidential term limits by refusing to run for a third term in 1808 . Everything the first president did obviously set a precedent , but did not necessarily set a new policy . However George Washington 's decision in 1796 not to run for a third term has sometimes been given credit as the start of a `` tradition '' of the strong policy that no president should ever run for a third term . Washington wanted to retire when his first term ended in 1792 but all his advisors begged him to stand for reelection . By 1796 he insisted on retiring , for he felt worn out , and was disgusted with the virulent personal attacks on his integrity . His Farewell Address very briefly mentioned why he would not run for a third term , and goes on to give a great deal of political advice . But he does not mention of term limits . After his death his refusal to run was explained in terms of a `` no - third - tradition '' . Historian David Crocket argues , `` The argument for term limits has a solid and respectable pedigree . Contrary to popular belief , however , that pedigree does not begin with George Washington . ''   Politically Washington felt the stability of the republic required a contested presidential election with a choice of candidates , which would not happen if he ran again . If he won and then died a vice president would take over who was not elected and his goal would fail . ( He in fact did die in 1799 two years into the new term ) . The election went forward and he was absolutely neutral between John Adams and Thomas Jefferson . He personally did not feel bound by a two - term limit . In the 1780s , about half the states provided term limits for governors . The Constitutional convention of 1787 discussed the issue and decided not to do so . `` The matter was fairly discussed in the Convention , '' Washington wrote in 1788 , `` and to my full convictions ... I can see no propriety in precluding ourselves from the services of any man , who on some great emergency shall be deemed universally , most capable of serving the Public '' even after serving two terms . The Constitution , Washington explained , retained sufficient checks against political corruption and stagnant leadership without a presidential term limits provision . Jefferson , however , strongly endorsed a policy of term limits . He rejected calls from supporters that he run for a third term in 1808 , telling several state legislatures in 1807 - 1808 that he needed to support `` the sound precedent set by ( his ) illustrious predecessor . ''   Thomas Jefferson mentioned that Washington retired after serving only two terms , without mentioning that Washington opposed the policy Jefferson was proposing . Crockett argues that Washington , `` did not intentionally establish the so - called two - term tradition ; his departure was motivated by a desire to demonstrate that the country could function without him and to retire to Mount Vernon . He made no principled argument for limiting presidents to two terms , and in fact disagreed with Thomas Jefferson on this point . '' The `` two term tradition '' was created in 1807 - 1808 and it mistakenly suggested Washington had launched the policy .  A political cartoon showing Washington rejecting Theodore Roosevelt 's highly controversial run for a third term in 1912  In 1861 the Confederate States of America adopted a six - year term for their president and vice-president and barred the president from seeking re-election . That innovation was endorsed by many American politicians after the Civil War , most notably by Rutherford B. Hayes in his inaugural address . Ulysses Grant was urged to run for a third term in 1876 , but he refused . He did try for the 1880 nomination but was defeated in part because of anti-third - term sentiment . Theodore Roosevelt had already served over 7 years and in 1912 , after a four - year hiatus , ran for a third term . He was violently criticized -- indeed almost killed by John Flammang Schrank , who was obsessed with stopping a third term .   Franklin D. Roosevelt ( president , 1933 -- 1945 ) in 1940 was the only president to break the tradition , winning a third term in 1940 and a fourth term in 1944 . This gave rise to a successful move to formalize the traditional two - term limit by amending the U.S. Constitution . As ratified in 1951 , the Twenty - Second Amendment provides that `` no person shall be elected to the office of President more than twice '' . The new Amendment explicitly did not apply to the incumbent , President Harry S. Truman . However all his close advisors , pointing to his age , his failing abilities , and his poor showing in the polls , talked him out of it .   Congress ( edit )  Letter from Senator Orrin Hatch , first elected in 1976 , expressing reservations regarding term limits ( dated February 10 , 2011 )  Reformers during the early 1990s used the initiative and referendum to put congressional term limits on the ballot in 24 states . Voters in eight of these states approved the congressional term limits by an average electoral margin of two to one . It was an open question whether states had the constitutional authority to enact these limits . In May 1995 , the U.S. Supreme Court ruled 5 -- 4 in U.S. Term Limits , Inc. v. Thornton , 514 U.S. 779 ( 1995 ) , that states can not impose term limits upon their federal Representatives or Senators .   In the 1994 elections , part of the Republican platform included legislation for term limits in Congress . After winning the majority , a Republican congressman brought a constitutional amendment to the House floor that proposed limiting members of the Senate to two six - year terms and members of the House to six two - year terms . However , this rate of rotation was so slow ( the life - tenured Supreme Court averages in the vicinity of twelve years ) that the congressional version of term - limits garnered little support among the populist backers of term limits , including U.S. Term Limits , the largest private organization pushing for congressional term limits . The bill got only a bare majority ( 227 -- 204 ) , falling short of the two - thirds majority ( 290 ) needed for constitutional amendments . Three other term limit amendment bills failed to get more than 200 votes .   Defeated in Congress and overridden by the Supreme Court , the federal term limit uprising was brought to a halt . The term limits intended simultaneously to reform state legislatures ( as distinguished from the federal congressional delegations ) remain in force , however , in fifteen states .   In 2007 Larry J. Sabato revived the debate over term limits by arguing in A More Perfect Constitution that the success and popularity of term limits at the state level suggests that they should be adopted at the federal level as well . He specifically put forth the idea of congressional term limits and suggested a national constitutional convention be used to accomplish the amendment , since the Congress would be unlikely to propose and adopt any amendment that limits its own power .   Some state legislators have also expressed their opinions on term limits . It is confirmed that in the following five states -- and there may be others -- state lawmakers approved resolutions asking Congress to propose a federal constitutional amendment to limit the number of terms which members of Congress may serve :       This section has an unclear citation style . The references used may be made clearer with a different or consistent style of citation and footnoting . ( February 2017 ) ( Learn how and when to remove this template message )      South Dakota Legislature ( designated as POM - 42 in the U.S. Senate ) approved in 1989 , South Dakota House Joint Resolution No. 1001 ( see Congressional Record of April 4 , 1989 , at pages 5395 and 5396 , with verbatim text provided ) ;   Hawaii Senate ( designated as Memorial 400 in the U.S. House of Representatives ) approved in 1990 , Hawaii Senate Resolution No. 41 -- unicameral only ( see Congressional Record of September 28 , 1998 , at page 22655 ) it took 8 years for this resolution to find its way into the Congressional Record and to be correctly referred to the Committee on the Judiciary -- and even then , its text was not provided in the Congressional Record ) ; back in 1990 , Hawaii 's S.R. No. 41 was indeed received by the U.S. House of Representatives , and was designated as Memorial 416 , ( Congressional Record of June 6 , 1990 , at pages 13262 and 13263 ) but the resolution was erroneously referred to the Committee on Energy and Commerce -- and its text is NOT provided in the Congressional Record ;   Utah Legislature ( designated as POM - 644 in the U.S. Senate ) approved in 1990 , Utah Senate Joint Resolution No. 24 ( see Congressional Record of September 27 , 1994 , at page 26033 , with verbatim text provided ) it took four years for this resolution to find its way into the U.S. Senate 's portion of the Congressional Record ;   Idaho Legislature ( designated as Memorial 401 in the U.S. House of Representatives ) approved in 1992 , Idaho Senate Joint Memorial No. 116 ( see Congressional Record of April 29 , 1992 , at page 9804 -- text NOT provided in the Congressional Record ) ; and   Florida Legislature ( designated as POM - 122 in the U.S. Senate ) approved in 2012 , Florida House Memorial No. 83 ( see Congressional Record of July 25 , 2012 , at page S5378 , with verbatim text provided ) . Taking matters a bit further , on February 10 , 2016 , Florida lawmakers approved House Memorial No. 417 calling upon Congress , pursuant to Article V of the Federal Constitution , to assemble a Convention to prepare a constitutional amendment that would establish term limits upon members of Congress .    Supreme Court ( edit )   Legal scholars have discussed whether or not to impose term limits on the Supreme Court of the United States . Currently , Supreme Court Justices are appointed for life `` during good behavior '' . A sentiment has developed , among certain scholars , that the Supreme Court may not be accountable in a way that is most in line with the spirit of checks and balances . Equally , scholars have argued that life tenure has taken on a new meaning in a modern context . Changes in medical care have markedly raised life expectancy and therefore has allowed Justices to serve for longer than ever before . Steven G. Calebresi and James Lindgren , professors of law at Northwestern University , argued that , because vacancies in the court are occurring with less frequency and justices served on average , between 1971 and 2006 , for 26.1 years , the `` efficacy of the democratic check that the appointment process provides on the Court 's membership '' is reduced . There have been several similar proposals to implement term limits for the nation 's highest court , including Professor of Law at Duke University , Paul Carrington 's 2005 `` The Supreme Court Renewal Act of 2005 '' .   Many of the proposals center around a term limit for Justices that would be 18 years ( Larry Sabato , Professor of Political Science at University of Virginia , suggested between 15 and 18 years ) . The proposed staggered term limits of 18 years would , according to Calebresi , Lindgren ( 2006 ) , and Carrington ( 2005 ) , allow for a new appointment to the Court every two years , which in effect would allow every president at least two appointments . Professor Carrington has argued that such a measure would not require a constitutional amendment as the `` Constitution does n't even mention life tenure ; it merely requires that justices serve during ' good behaviour ' `` . The idea was not without support among Judges , as John Roberts supported term limits before he was appointed to the Supreme Court as Chief Justice . Calebresi , Lingren , and Carrington have also proposed that when justices have served out their proposed 18 - year term they should be able to sit on other Federal Courts until retirement , death , or removal .   Fairleigh Dickinson University 's PublicMind Poll measured American voters ' attitudes towards various proposed Supreme Court reforms , including implementing term limits . The 2010 poll found that a majority of Americans were largely unaware of a proposal to impose a term limit of 18 years , as 82 % reported they had heard little or nothing at all . Notwithstanding a lack of awareness , 52 % of Americans approved of limiting terms to 18 years , while 35 % disapproved . When asked how old is too old for a Supreme Court judge to serve if he or she seems healthy , 48 % said `` no limit as long as he or she is healthy '' , while 31 % agreed that anyone over the age of 70 is too old .   Some state lawmakers have officially expressed to Congress a desire for a federal constitutional amendment to limit terms of Supreme Court justices as well as of judges of federal courts below the Supreme Court level . While there might be others , below are three known examples :    In 1957 , the Alabama Legislature adopted Senate Joint Resolution No. 47 on the subject ( appearing in the U.S. Senate 's portion of the Congressional Record on July 3 , 1957 , at page 10863 , with full text provided ) ;   In 1978 , the Tennessee General Assembly adopted House Joint Resolution No. 21 on the subject ( designated as POM - 612 by the U.S. Senate and quoted in full in the Congressional Record of April 25 , 1978 , at page 11437 ) ; and   In 1998 , the Louisiana House of Representatives adopted House Resolution No. 120 on the subject ( designated as POM - 511 by the U.S. Senate and quoted in full in the Congressional Record of July 17 , 1998 , at page 16076 ) .    State term limits ( edit )  See also : Comparison of State Governments  Term limits for state officials have existed since colonial times . The Pennsylvania Charter of Liberties of 1682 , and the colonial frame of government of the same year , both authored by William Penn , provided for triennial rotation of the provincial council -- the upper house of the colonial legislature . The Delaware Constitution of 1776 limited the governor to a single three - year term ; currently , the governor of Delaware can serve two four - year terms .   At present , 36 states have term limits of various types for their governors . To circumvent the term limit in Alabama incumbent governor George Wallace pushed through the nomination of his wife Lurleen , in the 1966 Democratic primary , which was , in those days , the real contest in Alabama . It was generally understood that Mrs. Wallace would only be a titular governor while her husband continued to hold the real power . She won the election , but only served 16 months before dying in 1968 .   As indicated above , in fifteen state legislatures the members serve in rotation , i.e. , under term limits enacted during the reforms of the early 1990s . In another six states , however , state legislatures have either overturned their own limits or state supreme courts have ruled such limits unconstitutional . In 2002 the Idaho Legislature became the first legislature of its kind to repeal its own term limits , enacted by a public vote in 1994 , ostensibly because it applied to local officials along with the legislature .   Gubernatorial term limits ( edit )  U.S. gubernatorial term limits as of 2014    No limit No limit , two - year terms One ; reeligible after four years   Two ; reeligible after four years Two ; eligible 8 out of 12 years Two ; eligible 8 out of 16 years Two , absolute     Governors of 36 states and four territories are subject to various term limits , while the governors of 14 states , Puerto Rico , and the Mayor of Washington , D.C. , may serve an unlimited number of terms . Each state 's gubernatorial term limits are prescribed by its state constitution , with the exception of Wyoming , whose limits are found in its statutes . Territorial term limits are prescribed by its constitution in the Northern Mariana Islands , the Organic Acts in Guam and the U.S. Virgin Islands , and by statute in American Samoa .   Unique in its restriction , Virginia prohibits its governors from succeeding themselves for a second term , although former governors are reeligible after four years out of office . Many other states formerly had this prohibition , but all had eliminated it by 2000 .   The governors of the following states and territories are limited to two consecutive terms , but are reeligible after four years out of office : Alabama , Alaska , Arizona , Colorado , Florida , Georgia , Hawaii , Kansas , Kentucky , Louisiana , Maine , Maryland , Nebraska , New Jersey , New Mexico , North Carolina , Ohio , Pennsylvania , Rhode Island , South Carolina , South Dakota , Tennessee , West Virginia , American Samoa , Guam , and the U.S. Virgin Islands . Equivalently , the Governors of Indiana and Oregon are limited to serving 8 out of any 12 years . Conversely , the Governors of Montana and Wyoming are restricted to two terms , limited to serving 8 out of any 16 years . Finally , the governors of the following states and territory are absolutely limited ( for life ) to two terms : Arkansas , California , Delaware , Michigan , Mississippi , Missouri , Nevada , the Northern Mariana Islands , and Oklahoma . The current Governor of California ( Jerry Brown ) is , however , serving a fourth ( non-consecutive ) term because his first two terms were before limits were passed in California , and the limits did not apply to individuals ' prior terms .   The governors of New Hampshire and Vermont may serve unlimited two - year terms . The governors ( or equivalent ) in the following states , district , and territory may serve unlimited four - year terms : Connecticut , Idaho , Illinois , Iowa , Massachusetts , Minnesota , New York , North Dakota , Texas , Utah , Washington , Wisconsin , District of Columbia , and Puerto Rico . The Governor of Utah was previously limited to serving three terms , but all term limit laws have since been repealed by the legislature .   State legislatures with term limits ( edit )   The following 15 legislatures have term limits :    Arizona Legislature : four consecutive two - year terms for both houses ( eight years ) . No limit on total number of terms .   Arkansas General Assembly : sixteen years total in either the House or the Senate . ( Prior to the 2014 election , the previous limits of three two - year terms for House members ( six years ) and two four - year terms for Senate members ( eight years ) applied ) .   California State Legislature : twelve years total in either Assembly or Senate . ( For legislators first elected on or before June 5 , 2012 , the previous limits ( enacted in 1990 ) of either three two - year terms for Assembly members ( six years ) and two four - year terms for Senate members ( eight years ) apply ) .   Colorado General Assembly : four consecutive two - year terms in the House ( eight years ) and two consecutive four - year terms in the Senate ( eight years ) .   Florida Legislature : may serve no more than eight consecutive years in either house . No limit on total number of terms .   Louisiana State Legislature : three consecutive four - year terms for both houses ( twelve years ) . Members may run </t>
  </si>
  <si>
    <t xml:space="preserve">what is the maximum term a us president can serve</t>
  </si>
  <si>
    <t xml:space="preserve"> Term limits , also referred to as rotation in office , restrict the number of terms of office an officeholder may hold . For example , according to the 22nd Amendment , the President of the United States can serve two four - year terms and serve no more than 10 years . </t>
  </si>
  <si>
    <r>
      <rPr>
        <sz val="11"/>
        <color rgb="FF000000"/>
        <rFont val="Calibri"/>
        <family val="0"/>
        <charset val="1"/>
      </rPr>
      <t xml:space="preserve">One - child policy - wikipedia  One - child policy  Jump to : navigation , search        One - child policy     A Chinese mother and son at a market in Jiayuguan , China     Chinese   </t>
    </r>
    <r>
      <rPr>
        <sz val="11"/>
        <color rgb="FF000000"/>
        <rFont val="Noto Sans CJK SC"/>
        <family val="2"/>
      </rPr>
      <t xml:space="preserve">独生子 女 政策        </t>
    </r>
    <r>
      <rPr>
        <sz val="11"/>
        <color rgb="FF000000"/>
        <rFont val="Calibri"/>
        <family val="0"/>
        <charset val="1"/>
      </rPr>
      <t xml:space="preserve">( show ) Transcriptions     Standard Mandarin     Hanyu Pinyin   Dúshēng zǐnǚ zhèngcè            The one - child policy , a part of the family planning policy , was a population planning policy of China . It was introduced in 1979 and began to be formally phased out near the end of 2015 and the beginning of 2016 . The policy was only enforced on Han Chinese and allowed exceptions for many groups , including ethnic minorities . In 2007 , 36 % of China 's population was subject to a strict one - child restriction , with an additional 53 % being allowed to have a second child if the first child was a girl . Provincial governments imposed fines for violations , and the local and national governments created commissions to raise awareness and carry out registration and inspection work .   According to the Chinese government , 400 million births were prevented . Scholars have widely disputed this claim with Martin King Whyte and Wang et al finding that the policy had little effect on population growth or the size of the total population . China has been compared to countries with similar socioeconomic development like Thailand and Iran , along with the Indian states of Kerala and Tamil Nadu , which achieved similar declines of fertility without a one - child policy . Although 76 % of Chinese people supported the policy in a 2008 survey , it was controversial outside of China .   On October 29 , 2015 , it was reported that the existing law would be changed to a two - child policy , citing a statement from the Communist Party of China . The new law became effective on January 1 , 2016 , following its passage in the standing committee of the National People 's Congress on December 27 , 2015 .  China 's population since 1950    Population in China     Year   Million   Change   Change / year     1964   694.6   -- -- -- -   -- -- -- -     1982   1008.2   313.6   + 17.42     2000   1265.8   257.6   + 14.31       1568.9   259.4   + 25.94     Source : Census of China       Contents  ( hide )   1 Introduction   2 History   2.1 Implementation   2.2 Relaxation     3 Abolition   4 Administration   5 Effects   5.1 Fertility rates   5.2 Continuation of demographic transition   5.3 Disparity in sex ratio at birth   5.4 Education   5.5 Adoption   5.6 Twins   5.7 Quality of life for women   5.8 Healthcare improvements   5.9 `` Four - two - one '' problem   5.10 Unregistered children   5.11 Potential social problems   5.12 Birth tourism   5.13 Sex - selective abortion     6 Criticism   6.1 Statement of the effect of the policy on birth reduction   6.2 Unequal enforcement   6.3 Human rights violations   6.4 Effect on infanticide rates     7 In popular culture   8 See also   9 References   10 Further reading   11 External links      Introduction ( edit )  Birth rate in China  During the period of Mao Zedong 's leadership in China , the birth rate fell from 37 per thousand to 20 per thousand . Infant mortality declined from 227 per thousand births in 1949 to 53 per thousand in 1981 , and life expectancy dramatically increased from around 35 years in 1948 to 66 years in 1976 . Until the 1960s , the government encouraged families to have as many children as possible because of Mao 's belief that population growth empowered the country , preventing the emergence of family planning programs earlier in China 's development . The population grew from around 540 million in 1949 to 940 million in 1976 . Beginning in 1970 , citizens were encouraged to marry at later ages and have only two children .   Although the fertility rate began to decline , the Chinese government observed the global debate over a possible overpopulation catastrophe suggested by organizations such as Club of Rome and Sierra Club . While visiting Europe in 1979 , one of the top Chinese officials , Song Jian , read two influential books of the movement , The Limits to Growth and A Blueprint for Survival . With a group of mathematicians , Song determined the correct population of China to be 700 million . A plan was prepared to reduce China 's population to the desired level by 2080 , with the one - child policy as one of the main instruments of social engineering . In spite of some criticism inside the party , the plan ( also referred to as the Family Planning Policy ) was officially adopted in 1979 . The plan called for families to have one child each in order to curb a then - surging population and limit the demands for water and other resources , as well as to alleviate social , economic , and environmental problems in China . The policy was formally implemented as a temporary measure on September 18 , 1980 .   History ( edit )   The one - child policy was originally designed to be a One - Generation Policy . It was enforced at the provincial level and enforcement varied ; some provinces had more relaxed restrictions . The one - child limit was most strictly enforced in densely populated urban areas .   Beginning in 1980 , the official policy granted local officials the flexibility to make exceptions and allow second children in the case of `` practical difficulties '' ( such as cases in which the father is a disabled serviceman ) or when both parents are single children , and some provinces had other exemptions worked into their policies as well . In most areas , families were allowed to apply to have a second child if their first - born is a daughter . Furthermore , families with children with disabilities have different policies and families whose first child suffers from physical disability , mental illness , or intellectual disability were allowed to have more children . However , second children were sometimes subject to birth spacing ( usually 3 or 4 years ) . Children born in overseas countries were not counted under the policy if they do not obtain Chinese citizenship . Chinese citizens returning from abroad were allowed to have a second child . Sichuan province allowed exemptions for couples of certain backgrounds . By one estimate there were at least 22 ways in which parents could qualify for exceptions to the law towards the end of the one - child policy 's existence . As of 2007 , only 35.9 % of the population were subjected to a strict one - child limit . 52.9 % were permitted to have a second child if their first was a daughter ; 9.6 % of Chinese couples were permitted two children regardless of their gender ; and 1.6 % -- mainly Tibetans -- had no limit at all .  The Danshan , Sichuan Province Nongchang Village people Public Affairs Bulletin Board in September 2005 noted that RMB 25,000 in social compensation fees were owed in 2005 . Thus far 11,500 RMB had been collected , so another 13,500 RMB had to be collected .  Following the 2008 Sichuan earthquake , a new exception to the regulations was announced in Sichuan province for parents who had lost children in the earthquake . Similar exceptions had previously been made for parents of severely disabled or deceased children . People have also tried to evade the policy by giving birth to a second child in Hong Kong , but at least for Guangdong residents , the one - child policy was also enforced if the birth was given in Hong Kong or abroad .   In accordance with China 's affirmative action policies towards ethnic minorities , all non-Han ethnic groups are subjected to different laws and were usually allowed to have two children in urban areas , and three or four in rural areas . Han Chinese living in rural towns were also permitted to have two children . Because of couples such as these , as well as who simply pay a fine ( or `` social maintenance fee '' ) to have more children , the overall fertility rate of mainland China was close to 1.4 children per woman as of 2011 .   Implementation ( edit )   The Family Planning Policy was enforced through a financial penalty in the form of the `` social child - raising fee '' , sometimes called a `` family planning fine '' in the West , which was collected as a fraction of either the annual disposable income of city dwellers or of the annual cash income of peasants , in the year of the child 's birth . For instance , in Guangdong , the fee is between 3 and 6 annual incomes for incomes below the per capita income of the district , plus 1 to 2 times the annual income exceeding the average . Both members of the couple need to pay the fine .   As part of the policy , women were required to have a contraceptive intrauterine device ( IUD ) surgically installed after having a first child , and to be sterilized by tubal ligation after having a second child . From 1980 to 2014 , 324 million Chinese women were fitted with IUDs in this way and 108 million were sterilized . Women who refused these procedures -- which many resented -- could lose their government employment and their children could lose access to education or health services . The IUDs installed in this way were modified such that they could not be removed manually , but only through surgery . In 2016 , following the abolition of the one - child policy , the Chinese government announced that IUD removals would now be paid for by the government .   Relaxation ( edit )   In 2013 , Deputy Director Wang Peian of the National Health and Family Planning Commission said that `` China 's population will not grow substantially in the short term '' . A survey by the commission found that only about half of eligible couples wish to have two children , mostly because of the cost of living impact of a second child .   In November 2013 , following the Third Plenum of the 18th Central Committee of the Chinese Communist Party , China announced the decision to relax the one - child policy . Under the new policy , families could have two children if one parent , rather than both parents , was an only child . This mainly applied to urban couples , since there were very few rural only children due to long - standing exceptions to the policy for rural couples . The coastal province of Zhejiang , one of China 's most affluent , became the first area to implement this `` relaxed policy '' in January 2014 . The relaxed policy has been implemented in 29 out of the 31 provinces , with the exceptions of Xinjiang and Tibet . Under this policy , approximately 11 million couples in China are allowed to have a second child ; however , only `` nearly one million '' couples applied to have a second child in 2014 , less than half the expected number of 2 million per year . By May 2014 , 241,000 out of 271,000 applications had been approved . Officials of China 's National Health and Family Planning Commission claimed that this outcome was expected , and that `` second - child policy '' would continue progressing with a good start .   In 2016 , 433 births and 211 deaths were recorded in Wulipu , Hubei . The birth rate was 8.9 ‰ and death rate was 4.3 ‰ resulting in a natural population increase of 4.6 ‰ . In the results of a separate survey published by the Shayang County government , Wulipu 's population had increased from 48,044 to 48,132 during a survey period . 424 children were born during the survey period resulting in a birth rate of 8.82 ‰ . During the same period , 63 people died , resulting in death rate of 1.31 ‰ . Of the births in the survey , 406 ( 95.75 % ) were in compliance with the family planning policy of China . 312 ( 73.58 % ) of the births were the firstborn in the family . ( All of these births were in compliance with the family planning policy of China . ) Among the firstborn children , 157 were female . 107 ( 25.24 % ) of the births were the second - born child in the family . 90 of these births were in compliance with the family planning policy of China . Among the second - born children , 47 were female . Five ( 1.18 % ) of the births surveyed were neither the firstborn nor second - born child in the family . Four of these births were in compliance with the family planning policy of China . Among the children born who were neither firstborn nor second - born , two were female .   Abolition ( edit )  See also : Two - child policy § China  In October 2015 , the Chinese news agency Xinhua announced plans of the government to abolish the one - child policy , now allowing all families to have two children , citing from a communiqué issued by the Communist Party `` to improve the balanced development of population '' -- an apparent reference to the country 's female - to - male sex ratio -- and to deal with an aging population according to the Canadian Broadcasting Corporation . The new law took effect on 1 January 2016 after it was passed in the standing committee of the National People 's Congress on 27 December 2015 .   The rationale for the abolition was summarized by former Wall Street Journal reporter Mei Fong : `` The reason China is doing this right now is because they have too many men , too many old people , and too few young people . They have this huge crushing demographic crisis as a result of the one - child policy . And if people do n't start having more children , they 're going to have a vastly diminished workforce to support a huge aging population . '' China 's ratio is about five working adults to one retiree ; the huge retiree community must be supported , and that will dampen future growth , according to Fong .   Since the citizens of China are living longer and having fewer children , the growth of the population imbalance is expected to continue , as reported by the Canadian Broadcasting Corporation which referred to a United Nations projections forecast that `` China will lose 67 million working - age people by 2030 , while simultaneously doubling the number of elderly . That could put immense pressure on the economy and government resources . '' The longer term outlook is also pessimistic , based on an estimate by the Chinese Academy of Social Sciences , revealed by Cai Fang , deputy director . `` By 2050 , one - third of the country will be aged 60 years or older , and there will be fewer workers supporting each retired person . ''   Although many critics of China 's reproductive restrictions approve of the policy 's abolition , Amnesty International said that the move to the two - child policy would not end forced sterilizations , forced abortions , or government control over birth permits . Others also stated that the abolition is not a sign of the relaxation of authoritarian control in China . A reporter for CNN said , `` It was not a sign that the party will suddenly start respecting personal freedoms more than it has in the past . No , this is a case of the party adjusting policy to conditions ... The new policy , raising the limit to two children per couple , preserves the state 's role . ''   The abolition may not achieve a significant benefit , as the Canadian Broadcasting Corporation analysis indicated : `` Repealing the one - child policy may not spur a huge baby boom , however , in part because fertility rates are believed to be declining even without the policy 's enforcement . Previous easings of the one - child policy have spurred fewer births than expected , and many people among China 's younger generations see smaller family sizes as ideal . '' The CNN reporter adds that China 's new prosperity is also a factor in the declining birth rate , saying , `` Couples naturally decide to have fewer children as they move from the fields into the cities , become more educated , and when women establish careers outside the home . ''   Administration ( edit )   The one - child policy was managed by the National Population and Family Planning Commission under the central government since 1981 . The Ministry of Health of the People 's Republic of China and the National Health and Family Planning Commission were made defunct and a new single agency National Health and Family Planning Commission took over national health and family planning policies in 2013 . The agency reports to the State Council .   The policy was enforced at the provincial level through fines that were imposed based on the income of the family and other factors . `` Population and Family Planning Commissions '' existed at every level of government to raise awareness and carry out registration and inspection work .   Effects ( edit )   Fertility rates ( edit )  China had small family by 1978 before start of one - child policy in 1979  According to a 2017 study in the Journal of Economic Perspectives , it is complicated to evaluate the effects of the one - child policy on family outcomes because the Chinese government had already enacted aggressive family planning policy before the introduction of the one - child policy ; seen a sharp drop in fertility rates before the enactment of the one - child policy ; the one - child policy coincided with Chinese economic reform which would have contributed to reduced fertility rates ; and other developing East Asian countries also experienced sharp declines in fertility rates . According to the study , `` In general , very different views exist on how the one - child policy affected fertility : one group of studies argued that the one - child policy had a significant or decisive effect on fertility in China , while another group argued that socioeconomic development played a key role in China 's fertility decline . A plausible reconciliation of these views is that the one - child policy accelerated the already - occurring drop in fertility for a few years , but in the longer term , economic development played a more fundamental role in leading to and maintaining China 's low fertility level . To put it more bluntly , China 's fertility might well have dropped to the current low level with rapid economic development , even without the one - child policy , although the timeline of the decline would not appear quite the same . ''   Continuation of demographic transition ( edit )  Further information : Demographics of China and Demographic transition The progression of China 's population pyramid , International Futures .  The fertility rate in China continued its fall from 2.8 births per woman in 1979 ( already a sharp reduction from more than five births per woman in the early 1970s ) to 1.5 in 2010 . This is similar to demographic transition seen in Thailand , Indian states of Kerala , Tamil Nadu which have undergone similar changes in fertility rates without a one - child policy . China 's one - child policy significantly accelerated the advent of an aging society , radically altered the structure of the population , and helped create an aging population . While the policy may have achieved the stated demographic goals of preventing an estimated 200 million or more births ( the official claim is 400 million ) , it produced many unintended and far - reaching consequences . These include a deficit of 40 million female babies , mostly as a direct consequence of illegal sex - selective abortions , and a population with an artificially large elderly demographic .   Disparity in sex ratio at birth ( edit )  The sex ratio at birth in People 's Republic of China , males per 100 females , 1980 -- 2010 . Further information : Missing women of China  The sex ratio of a newborn infant ( between male and female births ) in mainland China reached 117 : 100 , and stabilized between 2000 and 2013 , substantially higher than the natural baseline , which ranges between 103 : 100 and 107 : 100 . It had risen from 108 : 100 in 1981 -- at the boundary of the natural baseline -- to 111 : 100 in 1990 . According to a report by the National Population and Family Planning Commission , there will be 30 million more men than women in 2020 , potentially leading to social instability , and courtship - motivated emigration .   The disparity in the gender ratio at birth increases dramatically after the first birth , for which the ratios remained steadily within the natural baseline over the 20 year interval between 1980 and 1999 . Thus , a large majority of couples appear to accept the outcome of the first pregnancy , whether it is a boy or a girl . If the first child is a girl , and they are able to have a second child , then a couple may take extraordinary steps to assure that the second child is a boy . If a couple already has two or more boys , the sex ratio of higher parity births swings decidedly in a feminine direction . This demographic evidence indicates that while families highly value having male offspring , a secondary norm of having a girl or having some balance in the sexes of children often comes into play . Zeng 1993 reported a study based on the 1990 census in which they found sex ratios of just 65 or 70 boys per 100 girls for births in families that already had two or more boys . A study by Anderson &amp; Silver ( 1995 ) found a similar pattern among both Han and non-Han nationalities in Xinjiang Province : a strong preference for girls in high parity births in families that had already borne two or more boys . This tendency to favour girls in high parity births to couples who had already borne sons was later also noted by Coale and Banister , who suggested as well that once a couple had achieved its goal for the number of males , it was also much more likely to engage in `` stopping behavior '' , i.e. , to stop having more children .   The long - term disparity has led to a significant gender imbalance or skewing of the sex ratio . As reported by the Canadian Broadcasting Corporation , China has between 32 million and 36 million more males than would be expected naturally , and this has led to social problems . `` Because of a traditional preference for baby boys over girls , the one - child policy is often cited as the cause of China 's skewed sex ratio ... Even the government acknowledges the problem and has expressed concern about the tens of millions of young men who wo n't be able to find brides and may turn to kidnapping women , sex trafficking , other forms of crime or social unrest . '' The situation will not improve in the near future . According to the Chinese Academy of Social Sciences , there will be 24 million more men than women of marriageable age by 2020 .   Education ( edit )   According to a 2017 study in the Journal of Economic Perspectives , `` existing studies indicate either a modest or minimal effect of the fertility change induced by the one - child policy on children education '' .   Adoption ( edit )  A roadside sign in rural Sichuan : `` It is forbidden to discriminate against , mistreat or abandon baby girls . ''  The one - child policy of China made it more expensive for parents with children to adopt , which may have had an effect upon the numbers of children living in state - sponsored orphanages . However , in the 1980s and early 1990s , poor care and high mortality rates in some state institutions generated intense international pressure for reform .   In the 1980s , adoptions accounted for half of the so - called `` missing girls '' . Through the 1980s , as the one - child policy came into force , parents who desired a son but had a daughter often failed to report or delayed reporting female births to the authorities . Some parents may have offered up their daughters for formal or informal adoption . A majority of children who went through formal adoption in China in the later 1980s were girls , and the proportion who were girls increased over time .   In an interview with National Public Radio on October 30 , 2015 , Adam Pertman , president and CEO of the National Center on Adoption and Permanency , indicated that many young girls were adopted by citizens of other countries , particularly the United States , a trend which has been declining for some years . `` The infant girls of yesteryear have not been available , if you will , for five , seven years . China has been ... trying to keep the girls within the country ... And the consequence is that , today , rather than those young girls who used to be available -- primarily girls -- today , it 's older children , children with special needs , children in sibling groups . It 's very , very different . ''   Twins ( edit )   Since there are no penalties for multiple births , it is believed that an increasing number of couples are turning to fertility medicines to induce the conception of twins . According to a 2006 China Daily report , the number of twins born per year was estimated to have doubled .   Quality of life for women ( edit )   The one - child policy has played a major role in improving the quality of life for women in China . For thousands of years , girls have held a lower status in Chinese households . However , the one - child policy 's limit on the number of children has prompted parents of women to start investing money in their well - being . As a result of being an only child , women have increased opportunity to receive an education , and support to get better jobs . One of the side effects of the one - child policy is to have liberated women from heavy duties in terms of taking care of many children and the family in the past ; instead women had a lot of spare time for themselves to pursue their career or hobbies . The other major `` side effect '' of the one child policy is that the traditional concepts of gender roles between men and women have weakened . Being one and the only `` chance '' the parents have , women are expected to compete with peer men for better educational resources or career opportunities . Especially in cities where one - child policy was much more regulated and enforced , expectations on women to succeed in life are no less than on men .   Healthcare improvements ( edit )   It is reported that the focus of China on population planning helps provide a better health service for women and a reduction in the risks of death and injury associated with pregnancy . At family planning offices , women receive free contraception and pre-natal classes that contributed to the policy 's success in two respects . First , the average Chinese household expends fewer resources , both in terms of time and money , on children , which gives many Chinese people more money with which to invest . Second , since Chinese adults can no longer rely on children to care for them in their old age , there is an impetus to save money for the future .   `` Four - two - one '' problem ( edit )  A government sign in Tangshan Township : `` For a prosperous , powerful nation and a happy family , please practice family planning . ''  As the first generation of law - enforced only - children came of age for becoming parents themselves , one adult child was left with having to provide support for his or her two parents and four grandparents . Called the `` 4 - 2 - 1 Problem '' , this leaves the older generations with increased chances of dependency on retirement funds or charity in order to receive support . If personal savings , pensions , or state welfare fail , most senior citizens would be left entirely dependent upon their very small family or neighbours for assistance . If , for any reason , the single child is unable to care for their older adult relatives , the oldest generations would face a lack of resources and necessities . In response to such an issue , all provinces have decided that couples are allowed to have two children if both parents were only children themselves : By 2007 , all provinces in the nation except Henan had adopted this new policy ; Henan followed in 2011 .   Unregistered children ( edit )  Further information : Heihaizi  Heihaizi ( Chinese : </t>
    </r>
    <r>
      <rPr>
        <sz val="11"/>
        <color rgb="FF000000"/>
        <rFont val="Noto Sans CJK SC"/>
        <family val="2"/>
      </rPr>
      <t xml:space="preserve">黑 孩子 </t>
    </r>
    <r>
      <rPr>
        <sz val="11"/>
        <color rgb="FF000000"/>
        <rFont val="Calibri"/>
        <family val="0"/>
        <charset val="1"/>
      </rPr>
      <t xml:space="preserve">; pinyin : hēiháizi ) or `` black child '' is a term denoting children born outside the one - child policy , or generally children who are not registered in the Chinese national household registration system .   Being excluded from the family register means they do not possess a Hukou , which is `` an identifying document , similar in some ways to the American social security card . '' Since they do not legally exist and as a result can not access most public services , such as education and health care , and do not receive protection under the law .   Potential social problems ( edit )  See also : Shidu ( bereavement ) , a social phenomenon denoting the loss of an only child  Some parents may over-indulge their only child . The media referred to the indulged children in one - child families as `` little emperors '' . Since the 1990s , some people have worried that this will result in a higher tendency toward poor social communication and cooperation skills amongst the new generation , as they have no siblings at home . No social studies have investigated the ratio of these over-indulged children and to what extent they are indulged . With the first generation of children born under the policy ( which initially became a requirement for most couples with first children born starting in 1979 and extending into the 1980s ) reaching adulthood , such worries were reduced .   However , the `` little emperor syndrome '' and additional expressions , describing the generation of Chinese singletons are very abundant in the Chinese media , Chinese academia and popular discussions . Being over-indulged , lacking self - discipline and having no adaptive capabilities are traits that are highly associated with Chinese singletons .   Some 30 delegates called on the government in the Chinese People 's Political Consultative Conference in March 2007 to abolish the one - child rule , citing `` social problems and personality disorders in young people '' . One statement read , `` It is not healthy for children to play only with their parents and be spoiled by them : it is not right to limit the number to two children per family , either . '' The proposal was prepared by Ye Tingfang , a professor at the Chinese Academy of Social Sciences , who suggested that the government at least restore the previous rule that allowed couples to have up to two children . According to a scholar , `` The one - child limit is too extreme . It violates nature 's law . And in the long run , this will lead to mother nature 's revenge . ''   Birth tourism ( edit )   Reports surfaced of Chinese women giving birth to their second child overseas , a practice known as birth tourism . Many went to Hong Kong , which is exempt from the one - child policy . Likewise , a Hong Kong passport differs from China mainland passport by providing additional advantages . Recently though , the Hong Kong government has drastically reduced the quota of births set for non-local women in public hospitals . As a result , fees for delivering babies there have surged . As further admission cuts or a total ban on non-local births in Hong Kong are being considered , mainland agencies that arrange for expectant mothers to give birth overseas are predicting a surge in those going to North America .   As the United States practises birthright citizenship , all children born in the US will automatically have US citizenship . The closest US location from China is Saipan in the Northern Mariana Islands , a US dependency in the western Pacific Ocean that allows Chinese visitors without visa restrictions . As of 2012 , the island was experiencing an upswing in Chinese births , since birth tourism there had become cheaper than to Hong Kong . This option is used by relatively affluent Chinese who often have secondary motives as well , wishing their children to be able to leave mainland China when they grow older or bring their parents to the US . Canada , compared to US , is less achievable as their government denies many visa requests .   Sex - selective abortion ( edit )   Due to the preference in Rural Chinese society to birth a son , pre-natal sex determination and sex - selective abortions are illegal in China . Often argued as one of the key factors in the imbalanced sex - ratio in China , as excess female infant mortality and underreporting of female births can not solely explain this gender disparity . Researchers have found that the gender of the firstborn child in rural parts of China impact whether or not the mother will seek an ultrasound for the second child . 40 % of women with a firstborn son seek an ultrasound for their second pregnancy , versus 70 % of women with firstborn daughters . This clearly depicts a desire for women to birth a son if one has not yet been birthed . In response to this , the Chinese government made sex - selective abortions illegal in 2005 .   Criticism ( edit )   The policy is controversial outside China for many reasons , including accusations of human rights abuses in the implementation of the policy , as we</t>
    </r>
  </si>
  <si>
    <t xml:space="preserve">when did china's 1 child policy end</t>
  </si>
  <si>
    <t xml:space="preserve"> The one - child policy , a part of the family planning policy , was a population planning policy of China . It was introduced in 1979 and began to be formally phased out near the end of 2015 and the beginning of 2016 . The policy was only enforced on Han Chinese and allowed exceptions for many groups , including ethnic minorities . In 2007 , 36 % of China 's population was subject to a strict one - child restriction , with an additional 53 % being allowed to have a second child if the first child was a girl . Provincial governments imposed fines for violations , and the local and national governments created commissions to raise awareness and carry out registration and inspection work . </t>
  </si>
  <si>
    <r>
      <rPr>
        <sz val="11"/>
        <color rgb="FF000000"/>
        <rFont val="Calibri"/>
        <family val="0"/>
        <charset val="1"/>
      </rPr>
      <t xml:space="preserve">List of Dragon Ball Super episodes - wikipedia  List of Dragon Ball Super episodes  Jump to : navigation , search Promotional artwork  Dragon Ball Super is a Japanese anime television series produced by Toei Animation that began airing on July 5 , 2015 on Fuji TV . It is the first Dragon Ball television series featuring a new storyline in 18 years . Storywise , the series retells the events of the last two Dragon Ball Z films , Battle of Gods and Resurrection ' F ' , which themselves follow the events of Dragon Ball Z . Afterward , the series proceeds to tell an original story about the exploration of other universes , the reemergence of Future Trunks , and new threats to the Future Earth known as Goku Black and a Supreme Kai from Universe 10 named Zamasu . Later on , Goku , Vegeta , Gohan , Krillin , Android 17 , Android 18 , Piccolo , Tien , Master Roshi , and a temporarily revived Frieza participate in a universal tournament held by Grand Zenō and Future Grand Zenō to decide the fate of multiple universes . If they lose in the universal tournament then Universe Seven will be erased .   Thirteen pieces of theme music are used : two opening themes and eleven ending themes . The first opening theme song for episodes 1 to 76 is `` Chōzetsu Dynamic ! '' ( </t>
    </r>
    <r>
      <rPr>
        <sz val="11"/>
        <color rgb="FF000000"/>
        <rFont val="Noto Sans CJK SC"/>
        <family val="2"/>
      </rPr>
      <t xml:space="preserve">超絶 ☆ ダイナミック </t>
    </r>
    <r>
      <rPr>
        <sz val="11"/>
        <color rgb="FF000000"/>
        <rFont val="Calibri"/>
        <family val="0"/>
        <charset val="1"/>
      </rPr>
      <t xml:space="preserve">! , Chōzetsu Dainamikku , `` Excellent Dynamic ! '' ) performed by Kazuya Yoshii of The Yellow Monkey . The lyrics were penned by Yukinojo Mori who has written numerous songs for the Dragon Ball series . The second opening theme song for episodes 77 to 131 is `` Limit - Break x Survivor '' ( </t>
    </r>
    <r>
      <rPr>
        <sz val="11"/>
        <color rgb="FF000000"/>
        <rFont val="Noto Sans CJK SC"/>
        <family val="2"/>
      </rPr>
      <t xml:space="preserve">限界 突破 </t>
    </r>
    <r>
      <rPr>
        <sz val="11"/>
        <color rgb="FF000000"/>
        <rFont val="Calibri"/>
        <family val="0"/>
        <charset val="1"/>
      </rPr>
      <t xml:space="preserve">× </t>
    </r>
    <r>
      <rPr>
        <sz val="11"/>
        <color rgb="FF000000"/>
        <rFont val="Noto Sans CJK SC"/>
        <family val="2"/>
      </rPr>
      <t xml:space="preserve">サバイバー </t>
    </r>
    <r>
      <rPr>
        <sz val="11"/>
        <color rgb="FF000000"/>
        <rFont val="Calibri"/>
        <family val="0"/>
        <charset val="1"/>
      </rPr>
      <t xml:space="preserve">, Genkai Toppa x Sabaibā ) by Kiyoshi Hikawa . Mori wrote the lyrics for the rock number `` Genkai Toppa x Survivor '' . Takafumi Iwasaki composed the music . The first ending theme song for episodes 1 to 12 is `` Hello Hello Hello '' ( </t>
    </r>
    <r>
      <rPr>
        <sz val="11"/>
        <color rgb="FF000000"/>
        <rFont val="Noto Sans CJK SC"/>
        <family val="2"/>
      </rPr>
      <t xml:space="preserve">ハロー ハロー ハロー </t>
    </r>
    <r>
      <rPr>
        <sz val="11"/>
        <color rgb="FF000000"/>
        <rFont val="Calibri"/>
        <family val="0"/>
        <charset val="1"/>
      </rPr>
      <t xml:space="preserve">, Harō Harō Harō ) by Japanese rock band Good Morning America . The second ending theme song for episodes 13 to 25 is `` Starring Star '' ( </t>
    </r>
    <r>
      <rPr>
        <sz val="11"/>
        <color rgb="FF000000"/>
        <rFont val="Noto Sans CJK SC"/>
        <family val="2"/>
      </rPr>
      <t xml:space="preserve">スターリング スター </t>
    </r>
    <r>
      <rPr>
        <sz val="11"/>
        <color rgb="FF000000"/>
        <rFont val="Calibri"/>
        <family val="0"/>
        <charset val="1"/>
      </rPr>
      <t xml:space="preserve">, Sutāringu Sutā ) by Key Talk . The third ending theme song for episodes 26 to 36 is `` Usubeni '' ( </t>
    </r>
    <r>
      <rPr>
        <sz val="11"/>
        <color rgb="FF000000"/>
        <rFont val="Noto Sans CJK SC"/>
        <family val="2"/>
      </rPr>
      <t xml:space="preserve">薄 紅 </t>
    </r>
    <r>
      <rPr>
        <sz val="11"/>
        <color rgb="FF000000"/>
        <rFont val="Calibri"/>
        <family val="0"/>
        <charset val="1"/>
      </rPr>
      <t xml:space="preserve">, `` Light Pink '' ) by Lacco Tower . The fourth ending theme song for episodes 37 to 49 is `` Forever Dreaming '' ( </t>
    </r>
    <r>
      <rPr>
        <sz val="11"/>
        <color rgb="FF000000"/>
        <rFont val="Noto Sans CJK SC"/>
        <family val="2"/>
      </rPr>
      <t xml:space="preserve">フォーエバー ドリーミング </t>
    </r>
    <r>
      <rPr>
        <sz val="11"/>
        <color rgb="FF000000"/>
        <rFont val="Calibri"/>
        <family val="0"/>
        <charset val="1"/>
      </rPr>
      <t xml:space="preserve">, Fōebā Dorīmingu ) by Czecho No Republic . The fifth ending theme song for episodes 50 to 59 is `` Yokayoka Dance '' ( </t>
    </r>
    <r>
      <rPr>
        <sz val="11"/>
        <color rgb="FF000000"/>
        <rFont val="Noto Sans CJK SC"/>
        <family val="2"/>
      </rPr>
      <t xml:space="preserve">よかよか ダンス </t>
    </r>
    <r>
      <rPr>
        <sz val="11"/>
        <color rgb="FF000000"/>
        <rFont val="Calibri"/>
        <family val="0"/>
        <charset val="1"/>
      </rPr>
      <t xml:space="preserve">, Yokayoka Dansu , `` It 's Fine Dance '' ) by idol group Batten Showjo Tai . The sixth ending theme for episodes 60 to 72 is `` Chao Han Music '' ( </t>
    </r>
    <r>
      <rPr>
        <sz val="11"/>
        <color rgb="FF000000"/>
        <rFont val="Noto Sans CJK SC"/>
        <family val="2"/>
      </rPr>
      <t xml:space="preserve">炒飯 </t>
    </r>
    <r>
      <rPr>
        <sz val="11"/>
        <color rgb="FF000000"/>
        <rFont val="Calibri"/>
        <family val="0"/>
        <charset val="1"/>
      </rPr>
      <t xml:space="preserve">MUSIC , Chāhan Myūjikku ) by Arukara . The seventh ending theme song for episodes 73 to 83 is `` Aku no Tenshi to Seigi no Akuma '' ( </t>
    </r>
    <r>
      <rPr>
        <sz val="11"/>
        <color rgb="FF000000"/>
        <rFont val="Noto Sans CJK SC"/>
        <family val="2"/>
      </rPr>
      <t xml:space="preserve">悪 の 天使 と 正義 の 悪魔 </t>
    </r>
    <r>
      <rPr>
        <sz val="11"/>
        <color rgb="FF000000"/>
        <rFont val="Calibri"/>
        <family val="0"/>
        <charset val="1"/>
      </rPr>
      <t xml:space="preserve">, An Evil Angel and the Righteous Devil ) by THE COLLECTORS . The eighth ending theme song for episodes 84 to 96 is `` Boogie Back '' by Miyu Innoue . The ninth ending theme song for episodes 97 to 108 is `` Haruka '' by Lacco Tower . The tenth ending theme song for episodes 109 to 121 is `` By A 70cm Square Window '' by RottenGraffty . The eleventh ending theme song for episodes 122 to 131 is `` Lagrima '' by OnePixcel .   The first series set was released on Japanese Blu - ray and DVD sets that contain twelve episodes each . The first set was released on December 2 , 2015 . The second set was released on March 2 , 2016 . The third set was released on July 2 , 2016 . The fourth set was released on October 10 , 2016 .   Dragon Ball Super received an English - language dub that premiered on the Toonami channel in Southeast Asia in January 2017 . The series has been aired in Israel on Nickelodeon and in Portugal on SIC . Toei Animation Europe announced that Dragon Ball Super would be broadcast in France , Italy , Spain , and English - speaking Africa in Fall 2016 . An official English sub of the series would be simulcasted legally on Crunchyroll , Daisuki.net , and Anime Lab beginning October 22 , 2016 . Funimation announced the company acquired the rights to the series and will be producing an English dub . As well as officially announcing the dub , it was also announced they will be simulcasting the series on their streaming platform , FunimationNow . Funimation 's English dub of Dragon Ball Super began airing on Adult Swim 's Toonami block starting on January 7 , 2017 .     Contents  ( hide )   1 Seasons overview   2 Episode list   2.1 Season 1 : God of Destruction Beerus Saga   2.2 Season 2 : Golden Frieza Saga   2.3 Season 3 : Universe 6 Saga   2.4 Season 4 : `` Future '' Trunks Saga   2.5 Season 5 : Universe Survival Saga     3 Blu - ray and DVD release   3.1 Region 1 ( North America )   3.2 Region 2 ( Japan )     4 Notes   5 References      Seasons overview ( edit )     Saga   Episodes   Japanese Airdates   English Airdates         God of Destruction Beerus   14 ( 1 -- 14 )   July 5 , 2015 -- October 11 , 2015   January 7 , 2017 -- April 15 , 2017         Golden Frieza   13 ( 15 -- 27 )   October 18 , 2015 -- January 17 , 2016   April 22 , 2017 -- July 29 , 2017         Universe 6   19 ( 28 -- 46 )   January 24 , 2016 -- June 5 , 2016   August 5 , 2017 -- January 13 , 2018         `` Future '' Trunks   30 ( 47 -- 76 )   June 12 , 2016 -- January 29 , 2017   January 20 , 2018 -- TBA       5   Universe Survival   55 ( 77 -- 131 )   February 5 , 2017 -- March 25 , 2018   TBA     Episode list ( edit )   Season 1 : God of Destruction Beerus Saga ( edit )     Overall No .   Saga No .   English translation / Dub title Original Japanese title   Original airdate   American airdate         `` The Peace Reward - Who Will Get the 100 Million Zeni ? '' / `` A Peacetime Reward : Who Gets the 100,000,000 Zeni ? ! '' `` Heiwa no hōshū - ichioku Zenī wa dare no te ni ! ? '' ( </t>
    </r>
    <r>
      <rPr>
        <sz val="11"/>
        <color rgb="FF000000"/>
        <rFont val="Noto Sans CJK SC"/>
        <family val="2"/>
      </rPr>
      <t xml:space="preserve">平和 の 報酬 </t>
    </r>
    <r>
      <rPr>
        <sz val="11"/>
        <color rgb="FF000000"/>
        <rFont val="Calibri"/>
        <family val="0"/>
        <charset val="1"/>
      </rPr>
      <t xml:space="preserve">1 </t>
    </r>
    <r>
      <rPr>
        <sz val="11"/>
        <color rgb="FF000000"/>
        <rFont val="Noto Sans CJK SC"/>
        <family val="2"/>
      </rPr>
      <t xml:space="preserve">億 ゼニー は 誰 の 手 に </t>
    </r>
    <r>
      <rPr>
        <sz val="11"/>
        <color rgb="FF000000"/>
        <rFont val="Calibri"/>
        <family val="0"/>
        <charset val="1"/>
      </rPr>
      <t xml:space="preserve">! ? )   July 5 , 2015   January 7 , 2017     After Son Goku defeated the dangerous Majin Buu , peace has returned to Earth . Chi - Chi wants Goku to get a job , so he works as a farmer . Son Goten and his friend Trunks search for a gift for his sister - in - law Videl , who is married to his older brother , Son Gohan . The two consider jewelry and makeup , but they are unable to afford anything . Goten and Trunks head for the hot springs in the woods to bottle up some mineral water instead . While there , they are attacked by a giant snake , which they manage to scare away . For his purported role in saving Earth from Majin Buu , Mr. Satan has been awarded with 100 million Zeni that he does not want . He decides to give the money to one of the fighters . Goku gives the money to Chi - Chi , so she would let him train . Meanwhile , somewhere in the depths of space , Beerus , the God of Destruction , has awakened from his slumber . Keen on battling the worthy opponent that appeared to him in his visions , Beerus and his attendant , Whis , set out to discover who this opponent is .         `` To the Promised Resort ! Vegeta Goes on a Family Trip ? ! '' / `` To the Promised Resort ! Vegeta Takes a Family Trip ! '' `` Yakusoku no rizōto e ! Bejīta ga kazoku ryokō ! ? '' ( </t>
    </r>
    <r>
      <rPr>
        <sz val="11"/>
        <color rgb="FF000000"/>
        <rFont val="Noto Sans CJK SC"/>
        <family val="2"/>
      </rPr>
      <t xml:space="preserve">約束 の リゾート へ </t>
    </r>
    <r>
      <rPr>
        <sz val="11"/>
        <color rgb="FF000000"/>
        <rFont val="Calibri"/>
        <family val="0"/>
        <charset val="1"/>
      </rPr>
      <t xml:space="preserve">! </t>
    </r>
    <r>
      <rPr>
        <sz val="11"/>
        <color rgb="FF000000"/>
        <rFont val="Noto Sans CJK SC"/>
        <family val="2"/>
      </rPr>
      <t xml:space="preserve">ベジータ が 家族 旅行 </t>
    </r>
    <r>
      <rPr>
        <sz val="11"/>
        <color rgb="FF000000"/>
        <rFont val="Calibri"/>
        <family val="0"/>
        <charset val="1"/>
      </rPr>
      <t xml:space="preserve">! ? )   July 12 , 2015   January 14 , 2017     Goku goes to King Kai 's planet to train with King Kai . Meanwhile , Vegeta , Bulma , and Trunks take a family trip to a resort . Bulma and Trunks are enjoying the family time together , while Vegeta is bothered by the fact that Goku gets to train . Fed up with what he considers a waste of time , Vegeta flies away and heads back to Capsule Corporation to train . Somewhere in space , Beerus and Whis scour an alien planet in search of dinosaur meat . They are confronted by the planet 's strongest dweller , but he proves to be no match for them . Shortly afterwards , Beerus destroys the planet in order to have another vision of his destined opponent -- the Super Saiyan God .         `` Where 's the Rest of the Dream ? ! In Search of the Super Saiyan God ! '' / `` Where Does the Dream Pick Up ? Find the Super Saiyan God ! '' `` Yume no tsuzuki wa doko da ! ? Sūpā Saiya - jin Goddo o sagase ! '' ( </t>
    </r>
    <r>
      <rPr>
        <sz val="11"/>
        <color rgb="FF000000"/>
        <rFont val="Noto Sans CJK SC"/>
        <family val="2"/>
      </rPr>
      <t xml:space="preserve">夢 の 続き は どこ だ </t>
    </r>
    <r>
      <rPr>
        <sz val="11"/>
        <color rgb="FF000000"/>
        <rFont val="Calibri"/>
        <family val="0"/>
        <charset val="1"/>
      </rPr>
      <t xml:space="preserve">! ? </t>
    </r>
    <r>
      <rPr>
        <sz val="11"/>
        <color rgb="FF000000"/>
        <rFont val="Noto Sans CJK SC"/>
        <family val="2"/>
      </rPr>
      <t xml:space="preserve">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を 探せ </t>
    </r>
    <r>
      <rPr>
        <sz val="11"/>
        <color rgb="FF000000"/>
        <rFont val="Calibri"/>
        <family val="0"/>
        <charset val="1"/>
      </rPr>
      <t xml:space="preserve">! )   July 19 , 2015   January 21 , 2017     Fearing what might happen knowing that the God of Destruction is awake , the Old Supreme Kai and Supreme Kai urge King Kai to ensure that Goku never finds out about Beerus . However , Goku overhears the conversation and becomes curious . Back in his temple , Beerus and Whis continue their search for the Super Saiyan God . They soon learn of Goku and his feats . Beerus and Whis decide to pay him and King Kai a visit . Meanwhile , back on Earth , Goku 's friends and family members begin gathering on the cruise ship for Bulma 's birthday party except for Vegeta who is still training to overpower Goku and everyone else in the universe .         `` Aim for the Dragon Balls ! Pilaf Gang in Action ! '' / `` Bid for the Dragon Balls ! Pilaf and Crew 's Impossible Mission ! '' `` Mezase Doragon Bōru ! Pirafu ichimi no dai - sakusen ! '' ( </t>
    </r>
    <r>
      <rPr>
        <sz val="11"/>
        <color rgb="FF000000"/>
        <rFont val="Noto Sans CJK SC"/>
        <family val="2"/>
      </rPr>
      <t xml:space="preserve">目指せ ドラゴンボール </t>
    </r>
    <r>
      <rPr>
        <sz val="11"/>
        <color rgb="FF000000"/>
        <rFont val="Calibri"/>
        <family val="0"/>
        <charset val="1"/>
      </rPr>
      <t xml:space="preserve">! </t>
    </r>
    <r>
      <rPr>
        <sz val="11"/>
        <color rgb="FF000000"/>
        <rFont val="Noto Sans CJK SC"/>
        <family val="2"/>
      </rPr>
      <t xml:space="preserve">ピラフ 一味 の 大 作戦 </t>
    </r>
    <r>
      <rPr>
        <sz val="11"/>
        <color rgb="FF000000"/>
        <rFont val="Calibri"/>
        <family val="0"/>
        <charset val="1"/>
      </rPr>
      <t xml:space="preserve">! )   August 2 , 2015   January 28 , 2017     With all guests now gathered except for Goku and Vegeta , Bulma 's birthday party gets underway . Trunks shows Goten where his mother hid the bingo tournament grand prize -- the Dragon Balls . Not far off from the ship , the Pilaf Gang are now poor and hungry . They are trying to get by until they find the Dragon Balls and make their wishes come true . When his Dragon Radar picks up a signal coming from Bulma 's ship , Pilaf and his henchmen hastily board the ship with Trunks and Goten 's help . Meanwhile , on his planet , King Kai explains to Goku who and what Beerus exactly is and that for every benevolent God there must be a malevolent one in order to keep the universe in balance . Just as he finishes , Beerus and Whis arrive .     5   5   `` The Ultimate Fight on King Kai 's Planet ! Goku vs. the God of Destruction Beerus '' / `` Showdown on King Kai 's World ! Goku vs. Beerus the Destroyer ! '' `` Kaiō - sei no kessen ! Gokū VS Hakaishin Birusu '' ( </t>
    </r>
    <r>
      <rPr>
        <sz val="11"/>
        <color rgb="FF000000"/>
        <rFont val="Noto Sans CJK SC"/>
        <family val="2"/>
      </rPr>
      <t xml:space="preserve">界 王 星 の 決戦 </t>
    </r>
    <r>
      <rPr>
        <sz val="11"/>
        <color rgb="FF000000"/>
        <rFont val="Calibri"/>
        <family val="0"/>
        <charset val="1"/>
      </rPr>
      <t xml:space="preserve">! </t>
    </r>
    <r>
      <rPr>
        <sz val="11"/>
        <color rgb="FF000000"/>
        <rFont val="Noto Sans CJK SC"/>
        <family val="2"/>
      </rPr>
      <t xml:space="preserve">悟空 </t>
    </r>
    <r>
      <rPr>
        <sz val="11"/>
        <color rgb="FF000000"/>
        <rFont val="Calibri"/>
        <family val="0"/>
        <charset val="1"/>
      </rPr>
      <t xml:space="preserve">VS </t>
    </r>
    <r>
      <rPr>
        <sz val="11"/>
        <color rgb="FF000000"/>
        <rFont val="Noto Sans CJK SC"/>
        <family val="2"/>
      </rPr>
      <t xml:space="preserve">破壊 神 ビルス </t>
    </r>
    <r>
      <rPr>
        <sz val="11"/>
        <color rgb="FF000000"/>
        <rFont val="Calibri"/>
        <family val="0"/>
        <charset val="1"/>
      </rPr>
      <t xml:space="preserve">)   August 9 , 2015   February 4 , 2017     Beerus and Whis arrive on King Kai 's planet and detect Goku 's presence . While he is initially disappointed that Goku does not know what a `` Super Saiyan God '' is , he agrees to test his strength in a sparring match . Goku attempts to fight him in all of the Super Saiyan transformations , but Beerus effortlessly defeats him in two strikes . Beerus and Whis head for Earth shortly afterwards , while King Kai uses his telepathy to warn Vegeta ahead of their arrival .     6   6   `` Do n't Anger the God of Destruction ! Excitement at the Birthday Party '' / `` Do n't Anger the Destroyer ! A Heart - Pounding Birthday Party ! '' `` Hakaishin o okoraseru na ! Doki - doki tanjō pātī '' ( </t>
    </r>
    <r>
      <rPr>
        <sz val="11"/>
        <color rgb="FF000000"/>
        <rFont val="Noto Sans CJK SC"/>
        <family val="2"/>
      </rPr>
      <t xml:space="preserve">破壊 神 を 怒ら せる な </t>
    </r>
    <r>
      <rPr>
        <sz val="11"/>
        <color rgb="FF000000"/>
        <rFont val="Calibri"/>
        <family val="0"/>
        <charset val="1"/>
      </rPr>
      <t xml:space="preserve">! </t>
    </r>
    <r>
      <rPr>
        <sz val="11"/>
        <color rgb="FF000000"/>
        <rFont val="Noto Sans CJK SC"/>
        <family val="2"/>
      </rPr>
      <t xml:space="preserve">ドキドキ 誕生 パーティー </t>
    </r>
    <r>
      <rPr>
        <sz val="11"/>
        <color rgb="FF000000"/>
        <rFont val="Calibri"/>
        <family val="0"/>
        <charset val="1"/>
      </rPr>
      <t xml:space="preserve">)   August 16 , 2015   February 11 , 2017     Beerus and Whis arrive on Earth , where Bulma 's birthday party is underway . Initially , Vegeta is paralyzed by Beerus ' presence . He recalls a childhood encounter with the deity a long time ago when Beerus visited Planet Vegeta and threatened his father , King Vegeta . Shortly afterwards , Bulma pops up . She invites Beerus and Whis to join the party . The two gladly accept her offer and quickly become enamored with the Earth 's cuisine . They start mingling with the other guests , while Vegeta tries his best to ensure that Beerus remains calm . Whis soon learns of pudding , which he finds to be extraordinarily delicious . Whis urges Beerus to have some too . It turns out that Majin Buu had taken the remaining pudding cups for himself and refuses to share . Angered by Majin Buu 's insolence , Beerus attacks him .     7   7   `` How Dare You Hurt My Bulma ! Vegeta 's Sudden , Angry Shift ? ! '' / `` How Dare You Do That To My Bulma ! Vegeta 's Metamorphosis of Fury ? '' `` Yokumo ore no Buruma o ! Bejīta ikari no totsuzenhen'i ! ? '' ( </t>
    </r>
    <r>
      <rPr>
        <sz val="11"/>
        <color rgb="FF000000"/>
        <rFont val="Noto Sans CJK SC"/>
        <family val="2"/>
      </rPr>
      <t xml:space="preserve">よく も オレ の ブルマ を </t>
    </r>
    <r>
      <rPr>
        <sz val="11"/>
        <color rgb="FF000000"/>
        <rFont val="Calibri"/>
        <family val="0"/>
        <charset val="1"/>
      </rPr>
      <t xml:space="preserve">! </t>
    </r>
    <r>
      <rPr>
        <sz val="11"/>
        <color rgb="FF000000"/>
        <rFont val="Noto Sans CJK SC"/>
        <family val="2"/>
      </rPr>
      <t xml:space="preserve">ベジータ 怒り の 突然 変異 </t>
    </r>
    <r>
      <rPr>
        <sz val="11"/>
        <color rgb="FF000000"/>
        <rFont val="Calibri"/>
        <family val="0"/>
        <charset val="1"/>
      </rPr>
      <t xml:space="preserve">! ? )   August 23 , 2015   February 18 , 2017     Beerus effortlessly disposes of Majin Buu , while Vegeta stands by in awe . Vegeta tries to persuade Beerus to calm down and enjoy himself , but he refuses to listen . Trunks and Goten fuse into Gotenks and attack to no avail . Powerless to do anything else , Gotenks starts insulting Beerus for which he is promptly punished . Piccolo , Tien Shinhan , and Android 18 try taking on Beerus with little success . Majin Buu attacks again , but he is unable to land a single hit . While observing the battle , Dende realizes what Beerus actually is and immediately informs Piccolo . Before Piccolo is able to warn him , Gohan powers up and charges towards Beerus . Using Majin Buu as a weapon , Beerus repels Gohan and takes them both out . Being the last one standing , Vegeta confronts Beerus , but he is swiftly brought to the ground . Beerus tells Vegeta that he is disappointed with him since he is just as weak as his father was . Just as Beerus is about to finish Vegeta , Bulma walks up and slaps him for ruining her party . Beerus retaliates in similar fashion . Seeing Bulma struck infuriates Vegeta . He explodes and powers up immensely .     8   8   `` Goku Arrives ! A Last Chance from Beerus Sama ? ! '' / `` Goku Makes an Entrance ! A Last Chance from Lord Beerus ? '' `` Gokū kenzan ! Birusu - sama kara no rasuto chansu ! ? '' ( </t>
    </r>
    <r>
      <rPr>
        <sz val="11"/>
        <color rgb="FF000000"/>
        <rFont val="Noto Sans CJK SC"/>
        <family val="2"/>
      </rPr>
      <t xml:space="preserve">悟空 見参 </t>
    </r>
    <r>
      <rPr>
        <sz val="11"/>
        <color rgb="FF000000"/>
        <rFont val="Calibri"/>
        <family val="0"/>
        <charset val="1"/>
      </rPr>
      <t xml:space="preserve">! </t>
    </r>
    <r>
      <rPr>
        <sz val="11"/>
        <color rgb="FF000000"/>
        <rFont val="Noto Sans CJK SC"/>
        <family val="2"/>
      </rPr>
      <t xml:space="preserve">ビルス 様 から の ラスト チャンス </t>
    </r>
    <r>
      <rPr>
        <sz val="11"/>
        <color rgb="FF000000"/>
        <rFont val="Calibri"/>
        <family val="0"/>
        <charset val="1"/>
      </rPr>
      <t xml:space="preserve">! ? )   August 30 , 2015   February 25 , 2017     Having powered up , Vegeta charges towards Beerus . He manages to land a few punches before Beerus , who was using only a fraction of his power , knocks him out . Just as he is about to destroy Earth , Beerus has a sudden idea . He decides to give the Earthlings another chance at saving Earth . Meanwhile , fearing for their lives , the Pilaf Gang disembark Bulma 's ship on a rowboat and sail away . Thinking he is the same as Majin Buu because of his pink hue , Beerus picks Oolong out of the crowd and challenges him to a game of rock -- paper -- scissors to decide the fate of the Earth . Oolong manages to draw twice , but Beerus eventually wins and proceeds to power up his attack . Just as Beerus is about to fire , Goku chimes in and says he has thought of a way to find out about the Super Saiyan God . He will summon and ask Shenron about it .     9   9   `` Sorry for the Wait , Beerus Sama . The Super Saiyan God Is Finally Born ! '' / `` Thanks for Waiting , Lord Beerus ! A Super Saiyan God is Born At Last ! '' `` O matase , Birusu - sama . Tsuini Sūpā Saiya - jin Goddo tanjō ! '' ( </t>
    </r>
    <r>
      <rPr>
        <sz val="11"/>
        <color rgb="FF000000"/>
        <rFont val="Noto Sans CJK SC"/>
        <family val="2"/>
      </rPr>
      <t xml:space="preserve">お 待た せ 、 ビルス 様 </t>
    </r>
    <r>
      <rPr>
        <sz val="11"/>
        <color rgb="FF000000"/>
        <rFont val="Calibri"/>
        <family val="0"/>
        <charset val="1"/>
      </rPr>
      <t xml:space="preserve">. </t>
    </r>
    <r>
      <rPr>
        <sz val="11"/>
        <color rgb="FF000000"/>
        <rFont val="Noto Sans CJK SC"/>
        <family val="2"/>
      </rPr>
      <t xml:space="preserve">ついに 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誕生 </t>
    </r>
    <r>
      <rPr>
        <sz val="11"/>
        <color rgb="FF000000"/>
        <rFont val="Calibri"/>
        <family val="0"/>
        <charset val="1"/>
      </rPr>
      <t xml:space="preserve">! )   September 6 , 2015   March 4 , 2017     Goku gathers the Dragon Balls together and summons Shenron , who is startled by Beerus ' presence . Shenron quickly explains that the Super Saiyan God is not a person , but it is a legendary transformation that only kindhearted Saiyans can achieve by fusing their power together . The Saiyans attempt to transform Goku , but they fail as they are one Saiyan short . Growing tired of waiting , Beerus starts preparing his attack to destroy the planet . Suddenly , Videl jumps in front of the Saiyans . She says that there is one more Saiyan who might be able to help them , who happens to be her and Gohan 's unborn child . The Saiyans and Videl attempt the transformation again and manage to transform Goku into the Super Saiyan God .     10   10   `` Unleash It , Goku ! The Power of the Super Saiyan God ! ! '' / `` Show Us , Goku ! The Power of a Super Saiyan God ! '' `` Misero Gokū ! Sūpā Saiya - jin Goddo no pawā ! ! '' ( </t>
    </r>
    <r>
      <rPr>
        <sz val="11"/>
        <color rgb="FF000000"/>
        <rFont val="Noto Sans CJK SC"/>
        <family val="2"/>
      </rPr>
      <t xml:space="preserve">見せろ 悟空 </t>
    </r>
    <r>
      <rPr>
        <sz val="11"/>
        <color rgb="FF000000"/>
        <rFont val="Calibri"/>
        <family val="0"/>
        <charset val="1"/>
      </rPr>
      <t xml:space="preserve">! </t>
    </r>
    <r>
      <rPr>
        <sz val="11"/>
        <color rgb="FF000000"/>
        <rFont val="Noto Sans CJK SC"/>
        <family val="2"/>
      </rPr>
      <t xml:space="preserve">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の 力 </t>
    </r>
    <r>
      <rPr>
        <sz val="11"/>
        <color rgb="FF000000"/>
        <rFont val="Calibri"/>
        <family val="0"/>
        <charset val="1"/>
      </rPr>
      <t xml:space="preserve">( </t>
    </r>
    <r>
      <rPr>
        <sz val="11"/>
        <color rgb="FF000000"/>
        <rFont val="Noto Sans CJK SC"/>
        <family val="2"/>
      </rPr>
      <t xml:space="preserve">パワー </t>
    </r>
    <r>
      <rPr>
        <sz val="11"/>
        <color rgb="FF000000"/>
        <rFont val="Calibri"/>
        <family val="0"/>
        <charset val="1"/>
      </rPr>
      <t xml:space="preserve">) ! ! )   September 13 , 2015   March 11 , 2017     Goku is now a Super Saiyan God . He confronts Beerus . Goku is amazed by the immense power his body has gained with the transformation . He is initially unable to fully grasp its newfound potential . Fighting with Beerus , Goku manages to grow gradually into his new form . Seeing as how Goku might turn out to be a worthy adversary after all , Beerus decides it is time for them to unleash their true power and have a real battle of Gods .     11   11   `` Let 's Keep Going , Beerus Sama ! Our Battle of Gods ! '' / `` Let 's Keep Going , Lord Beerus ! The Battle of Gods ! '' `` Tsudukeyō ze Birusu - sama ! Kami to kami no tatakai o ! '' ( </t>
    </r>
    <r>
      <rPr>
        <sz val="11"/>
        <color rgb="FF000000"/>
        <rFont val="Noto Sans CJK SC"/>
        <family val="2"/>
      </rPr>
      <t xml:space="preserve">続け よう ぜ ビルス 様 </t>
    </r>
    <r>
      <rPr>
        <sz val="11"/>
        <color rgb="FF000000"/>
        <rFont val="Calibri"/>
        <family val="0"/>
        <charset val="1"/>
      </rPr>
      <t xml:space="preserve">! </t>
    </r>
    <r>
      <rPr>
        <sz val="11"/>
        <color rgb="FF000000"/>
        <rFont val="Noto Sans CJK SC"/>
        <family val="2"/>
      </rPr>
      <t xml:space="preserve">神 と 神 の 戦い を </t>
    </r>
    <r>
      <rPr>
        <sz val="11"/>
        <color rgb="FF000000"/>
        <rFont val="Calibri"/>
        <family val="0"/>
        <charset val="1"/>
      </rPr>
      <t xml:space="preserve">! )   September 20 , 2015   March 18 , 2017     Having somewhat got a grip on the Super Saiyan God form , Goku initially manages to keep up with Beerus . He soon realizes that his opponent is still not fighting at his maximum . It is revealed that Beerus is doing so only to motivate Goku to catch up with him . To that end , Beerus drags Goku to space , where he swiftly knocks him out . Goku comes crashing down back to Earth and ends up in an ocean . Amazed by such power , Goku gets excited and powers up . He heals himself in the process . Willing to have another go , Goku flies out of the ocean and dashes towards Beerus .     12   12   `` The Universe Crumbles ? ! Clash ! God of Destruction vs. Super Saiyan God '' / `` The Universe Will Shatter ? Clash ! Destroyer vs. Super Saiyan God '' `` Uchū ga kudakeru ! ? Gekitotsu ! Haikaishin VS Sūpā Saiya - jin Goddo ! '' ( </t>
    </r>
    <r>
      <rPr>
        <sz val="11"/>
        <color rgb="FF000000"/>
        <rFont val="Noto Sans CJK SC"/>
        <family val="2"/>
      </rPr>
      <t xml:space="preserve">宇宙 が 砕ける </t>
    </r>
    <r>
      <rPr>
        <sz val="11"/>
        <color rgb="FF000000"/>
        <rFont val="Calibri"/>
        <family val="0"/>
        <charset val="1"/>
      </rPr>
      <t xml:space="preserve">! ? </t>
    </r>
    <r>
      <rPr>
        <sz val="11"/>
        <color rgb="FF000000"/>
        <rFont val="Noto Sans CJK SC"/>
        <family val="2"/>
      </rPr>
      <t xml:space="preserve">激突 </t>
    </r>
    <r>
      <rPr>
        <sz val="11"/>
        <color rgb="FF000000"/>
        <rFont val="Calibri"/>
        <family val="0"/>
        <charset val="1"/>
      </rPr>
      <t xml:space="preserve">! </t>
    </r>
    <r>
      <rPr>
        <sz val="11"/>
        <color rgb="FF000000"/>
        <rFont val="Noto Sans CJK SC"/>
        <family val="2"/>
      </rPr>
      <t xml:space="preserve">破壊 神 </t>
    </r>
    <r>
      <rPr>
        <sz val="11"/>
        <color rgb="FF000000"/>
        <rFont val="Calibri"/>
        <family val="0"/>
        <charset val="1"/>
      </rPr>
      <t xml:space="preserve">VS </t>
    </r>
    <r>
      <rPr>
        <sz val="11"/>
        <color rgb="FF000000"/>
        <rFont val="Noto Sans CJK SC"/>
        <family val="2"/>
      </rPr>
      <t xml:space="preserve">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t>
    </r>
    <r>
      <rPr>
        <sz val="11"/>
        <color rgb="FF000000"/>
        <rFont val="Calibri"/>
        <family val="0"/>
        <charset val="1"/>
      </rPr>
      <t xml:space="preserve">! )   September 27 , 2015   March 25 , 2017     Goku and Beerus continue to fight in space . As both of them power up and clash , the universe begins to crumble under the power of the gods . Celestial bodies blow up due to the shock waves . Meanwhile , Old Supreme Kai reveals to the younger Supreme Kai that with three more blows the whole universe would be destroyed along with Beerus and Goku . When Goku lands the third clash with Beerus , he unknowingly stops the universe 's collapse by balancing Beerus ' attack with his own . Beerus gets enraged and uses his atomic bomb attack on Goku . Goku uses the Super Saiyan God energy to power up his Kamehameha attack to keep Beerus ' attack at bay .     13   13   `` Goku , Go Beyond Super Saiyan God '' / `` Goku , Surpass Super Saiyan God ! '' `` Gokū yo , Sūpā Saiya - jin Goddo o koete ike ! '' ( </t>
    </r>
    <r>
      <rPr>
        <sz val="11"/>
        <color rgb="FF000000"/>
        <rFont val="Noto Sans CJK SC"/>
        <family val="2"/>
      </rPr>
      <t xml:space="preserve">悟空 よ 、 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を 越え て 行け </t>
    </r>
    <r>
      <rPr>
        <sz val="11"/>
        <color rgb="FF000000"/>
        <rFont val="Calibri"/>
        <family val="0"/>
        <charset val="1"/>
      </rPr>
      <t xml:space="preserve">! )   October 4 , 2015   April 8 , 2017      The Supreme Kais are surprised that the universe is still intact following the battle , but they fear the worst is still to come . On Earth , Vegeta , Whis , and the others are still standing by while watching the battle . Whis is surprised by the Super Saiyan God 's power and its ability to keep up with his trainee . In space , Goku struggles to keep up with Beerus ' attack , which ultimately ends up in a massive explosion that blinds everyone on Earth . Shortly after , the light clears out , which reveals everything to be as it was prior to the explosion . Beerus explains that he used his full power to negate the explosion , which saved the universe . Seeing it as a perfect opportunity to boast , Mr. Satan arranges to have himself be falsely credited with saving the planet yet again . Despite being at his limit , Goku remains calm , which annoys the God of Destruction . Beerus thinks Goku might have a strategy that he has been hiding , which Goku promptly denies . Goku says that everything he had been doing was improvised as they fought . The Gods quickly power up and continue fighting , but this time both are at their limit . As soon as they start , Goku loses his Super Saiyan God aura and reverts to the ordinary Super Saiyan form . Upon noticing that , Beerus decides to quit . He thinks it is pointless to fight an ordinary Super Saiyan . However , Goku does not notice and keeps going at it . Whis is able to sense Goku 's mortal energy . Whis assumes that the battle has concluded and that Goku has lost . However , Piccolo begs to differ . Surprised that Goku is still able to hit him even after losing his Super Saiyan God form , Beerus surmises that Goku 's body has adjusted to the Super Saiyan God power . This made him stronger in his ordinary form . With or without the Super Saiyan God form , Goku proclaims that it is still him that Beerus is up against . Beerus and Goku resume their battle of Gods .  Note : This episode was originally scheduled to air on April 1 , 2017 , but an unannounced change in schedule on April Fools ' Day supplanted a new Dragon Ball Super episode with the premiere of the third season of Rick and Morty , which aired repeatedly from 8 PM to midnight .     14   14   `` This Is Every Ounce of Power I Have ! The Battle of Gods ' Conclusion ! '' / `` This Is All the Power I 've Got ! A Settlement Between Gods '' `` Kore ga ora no arittake no chikarada ! Ketchaku ! Kami to kami '' ( </t>
    </r>
    <r>
      <rPr>
        <sz val="11"/>
        <color rgb="FF000000"/>
        <rFont val="Noto Sans CJK SC"/>
        <family val="2"/>
      </rPr>
      <t xml:space="preserve">これが オラ の ありったけ の 力 だ </t>
    </r>
    <r>
      <rPr>
        <sz val="11"/>
        <color rgb="FF000000"/>
        <rFont val="Calibri"/>
        <family val="0"/>
        <charset val="1"/>
      </rPr>
      <t xml:space="preserve">! </t>
    </r>
    <r>
      <rPr>
        <sz val="11"/>
        <color rgb="FF000000"/>
        <rFont val="Noto Sans CJK SC"/>
        <family val="2"/>
      </rPr>
      <t xml:space="preserve">決着 </t>
    </r>
    <r>
      <rPr>
        <sz val="11"/>
        <color rgb="FF000000"/>
        <rFont val="Calibri"/>
        <family val="0"/>
        <charset val="1"/>
      </rPr>
      <t xml:space="preserve">! </t>
    </r>
    <r>
      <rPr>
        <sz val="11"/>
        <color rgb="FF000000"/>
        <rFont val="Noto Sans CJK SC"/>
        <family val="2"/>
      </rPr>
      <t xml:space="preserve">神 と 神 </t>
    </r>
    <r>
      <rPr>
        <sz val="11"/>
        <color rgb="FF000000"/>
        <rFont val="Calibri"/>
        <family val="0"/>
        <charset val="1"/>
      </rPr>
      <t xml:space="preserve">)   October 11 , 2015   April 15 , 2017     Now with only a Super Saiyan form at his disposal , Goku powers up and attacks but to no avail , as Beerus knocks him out effortlessly . With Goku knocked out , Beerus prepares to destroy the Earth . In a final effort to stop Beerus , Goku once again powers up and charges his Kamehameha attack . Goku manages to prevent Beerus ' attack , but he completely depletes what was left of his energy in the process . He comes crashing down to Earth onto Bulma 's ship , where Vegeta manages to catch him . Beerus lands on the planet shortly after to finish what he started , but he suddenly falls asleep . Whis explains that Goku must have tired Beerus out , and that by the time he wakes up he will have forgotten about their trip to Earth . Beerus was faking his sudden sleep because the Earth 's food convinced him to spare the planet . Beerus and Whis leave for Beerus ' planet . With Earth safe again , Goku decides to relax and enjoy the party .     Season 2 : Golden Frieza Saga ( edit )     Overall No .   Saga No .   English translation / Dub title Original Japanese title   Original airdate   American airdate     15     `` Make a Miracle , Satan the Hero ! A Challenge from Outer Space ! '' / `` Valiant Mr. Satan , Work a Miracle ! A Challenge from Outer Space ! '' `` Yūsha Satan yo kiseki o okose ! Uchū kara no chōsenjō ! ! '' ( </t>
    </r>
    <r>
      <rPr>
        <sz val="11"/>
        <color rgb="FF000000"/>
        <rFont val="Noto Sans CJK SC"/>
        <family val="2"/>
      </rPr>
      <t xml:space="preserve">勇者 サタン よ 奇跡 を 起こせ </t>
    </r>
    <r>
      <rPr>
        <sz val="11"/>
        <color rgb="FF000000"/>
        <rFont val="Calibri"/>
        <family val="0"/>
        <charset val="1"/>
      </rPr>
      <t xml:space="preserve">! </t>
    </r>
    <r>
      <rPr>
        <sz val="11"/>
        <color rgb="FF000000"/>
        <rFont val="Noto Sans CJK SC"/>
        <family val="2"/>
      </rPr>
      <t xml:space="preserve">宇宙 から の 挑戦 状 </t>
    </r>
    <r>
      <rPr>
        <sz val="11"/>
        <color rgb="FF000000"/>
        <rFont val="Calibri"/>
        <family val="0"/>
        <charset val="1"/>
      </rPr>
      <t xml:space="preserve">! ! )   October 18 , 2015   April 22 , 2017     With Earth no longer in danger , Goku and the others return to their ordinary lives . Chi - Chi tells Goku she has already spent the 100 million Zeni received from Mr. Satan . She orders Goku to leave training behind and find a job so he can support the family . Meanwhile , Mr. Satan 's self - promotion goes awry when a group of aliens land in the city . The aliens reveal that they are ambassadors who wish to thank and reward whoever defeated Beerus and thus protected their planet from destruction . Before he is given the reward , Mr. Satan is asked to demonstrate his godlike power against the alien 's mightiest champion in a sparring match . Knowing that he does not stand a chance , Mr. Satan quickly scampers away to safety and calls for help , but no one answers him . Suddenly , Goku arrives at the scene in need of Mr. Satan 's help . Mr. Satan arranges to have Goku fight for him instead . Just before the fight , Goku spots Chi - Chi and immediately runs away to avoid being scolded for disobeying her . Mr. Satan is left to confront the alien champion on his own . Suddenly , the cynophobic aliens spot Mr. Satan 's dog and run away in fear . With the aliens gone , the crowd praises Mr. Satan , whom they think saved them and Earth yet again .     16     `` Vegeta Becomes an Apprentice ? ! Winning Whis Over ! '' / `` Vegeta Becomes a Student ? ! Win Over Whis ! '' `` Bejīta ga deshi'iri ! ? Uisu o kōryakuse yo ! '' ( </t>
    </r>
    <r>
      <rPr>
        <sz val="11"/>
        <color rgb="FF000000"/>
        <rFont val="Noto Sans CJK SC"/>
        <family val="2"/>
      </rPr>
      <t xml:space="preserve">ベジータ が 弟子入り </t>
    </r>
    <r>
      <rPr>
        <sz val="11"/>
        <color rgb="FF000000"/>
        <rFont val="Calibri"/>
        <family val="0"/>
        <charset val="1"/>
      </rPr>
      <t xml:space="preserve">! ? </t>
    </r>
    <r>
      <rPr>
        <sz val="11"/>
        <color rgb="FF000000"/>
        <rFont val="Noto Sans CJK SC"/>
        <family val="2"/>
      </rPr>
      <t xml:space="preserve">ウイス を 攻略 せよ </t>
    </r>
    <r>
      <rPr>
        <sz val="11"/>
        <color rgb="FF000000"/>
        <rFont val="Calibri"/>
        <family val="0"/>
        <charset val="1"/>
      </rPr>
      <t xml:space="preserve">! )   October 25 , 2015   April 29 , 2017     Chi - Chi still has Goku doing work out on the farm . Instead of working , Goku decides to rest and falls asleep . Krillin flies in and wakes up Goku . Krillin is very surprised to hear that Goku is still on Earth and not training with King Kai . He reminisces about his training with Goku under Master Roshi and the power level difference between them since they were children . Curious to see how large the gap is , Krillin tells Goku to punch him with all his power . A reluctant Goku tries to change Krillin 's mind . Goku ends up punching Krillin anyway , which sends Krillin flying into a boulder . Shortly afterwards , Goku heads home . Android 18 treats Krillin 's wounds . Krillin states that he misses martial arts and wishes to start training again . Meanwhile , Vegeta is seen in the wastelands standing determined . He states his intent to surpass Goku without the aid of others . Elsewhere , Whis and Bulma are having lunch together . Whis is enjoying all the food Bulma is having her chef make . While they dine , Bulma asks Whis to protect Earth from Beerus in case he ever shows up again . Vegeta arrives and sees Whis . He asks Whis to see Beerus , but Whis refuses to do so . Whis tells Vegeta that he is Beerus ' martial arts teacher . Whis informs Vegeta that with the proper tutelage he could one day surpass Goku . Vegeta bows and kneels before Whis and begs to become his student . An unimpressed Whis walks past him . Vegeta decides to convince Whis by giving him the tastiest food on Earth . After several failed attempts , Vegeta finally impresses Whis with a cup of instant noodle . Before Vegeta heads off with Whis to train on Beerus ' planet , Bulma hands him new battle armor . Whis and Vegeta arrive on Beerus ' planet . Whis prepares to train Vegeta .     17     `` Pan Is Born ! And Goku Goes on a Training Trip ? ! '' / `` Pan is Born ! And Goku Goes on a Training Journey ? ! '' `` Pan tanjō ! Soshite Gokū wa shugyō no tabi he ! ? '' ( </t>
    </r>
    <r>
      <rPr>
        <sz val="11"/>
        <color rgb="FF000000"/>
        <rFont val="Noto Sans CJK SC"/>
        <family val="2"/>
      </rPr>
      <t xml:space="preserve">パン 誕生 </t>
    </r>
    <r>
      <rPr>
        <sz val="11"/>
        <color rgb="FF000000"/>
        <rFont val="Calibri"/>
        <family val="0"/>
        <charset val="1"/>
      </rPr>
      <t xml:space="preserve">! </t>
    </r>
    <r>
      <rPr>
        <sz val="11"/>
        <color rgb="FF000000"/>
        <rFont val="Noto Sans CJK SC"/>
        <family val="2"/>
      </rPr>
      <t xml:space="preserve">そして 悟空 は 修行 の 旅 へ </t>
    </r>
    <r>
      <rPr>
        <sz val="11"/>
        <color rgb="FF000000"/>
        <rFont val="Calibri"/>
        <family val="0"/>
        <charset val="1"/>
      </rPr>
      <t xml:space="preserve">! ? )   November 1 , 2015   May 6 , 2017     Pan has been born . While most of her family members and friends think that she should be taught martial arts , Chi - Chi is revolted by the very idea . She believes that Pan should be raised to be a lady and not a mindless fighter like her grandfather Goku . Everyone tries to persuade Chi - Chi to change her mind but to no avail . Bulma accidentally mentions that Vegeta has been away training with Whis for six months , which shocks Goku . After some time , Whis returns to Earth to enjoy more of the food Earth has to offer . Goku approaches Whis and asks to become his pupil . Whis accepts Goku 's plea . Whis thinks it is the perfect time for Goku to join Vegeta in training . Just as the two are about to depart , Chi - Chi runs up and stops Goku from leaving . Despite her wishes , Goku ends up leaving with Whis . Chi - Chi has a sudden change of heart . She says that Goku will return once he gets hungry anyway .     18     `` I 'm Here , Too ! Training Begins on Beerus ' Planet ! '' / `` I 'm Here , Too ! Training Commences on Beerus ' World ! '' `` Ora mo kita zo ! Birusu - sei de shugyō kaishi da ! '' ( </t>
    </r>
    <r>
      <rPr>
        <sz val="11"/>
        <color rgb="FF000000"/>
        <rFont val="Noto Sans CJK SC"/>
        <family val="2"/>
      </rPr>
      <t xml:space="preserve">オラ も 来 た ぞ </t>
    </r>
    <r>
      <rPr>
        <sz val="11"/>
        <color rgb="FF000000"/>
        <rFont val="Calibri"/>
        <family val="0"/>
        <charset val="1"/>
      </rPr>
      <t xml:space="preserve">! </t>
    </r>
    <r>
      <rPr>
        <sz val="11"/>
        <color rgb="FF000000"/>
        <rFont val="Noto Sans CJK SC"/>
        <family val="2"/>
      </rPr>
      <t xml:space="preserve">ビルス 星 で 修行 開始 だ </t>
    </r>
    <r>
      <rPr>
        <sz val="11"/>
        <color rgb="FF000000"/>
        <rFont val="Calibri"/>
        <family val="0"/>
        <charset val="1"/>
      </rPr>
      <t xml:space="preserve">! )   November 8 , 2015   May 13 , 2017     Goku and Whis arrive on Beerus ' planet , where Vegeta is tasked with housekeeping . Goku is surprised to learn that Vegeta has gotten considerably stronger training under Whis . Goku wants to start his training right away . Before he is allowed to train , Whis orders him to help Vegeta with the chores including changing Beerus ' bed sheets without waking him up . Goku and Vegeta promptly do their chores and start their training with Whis . Whis ' training routine quickly wears Goku out . He falls asleep . Vegeta , who is willing to surpass Goku at any cost , keeps on training . The next day , Whis decides to have a sparring match with his apprentices in order to gauge their speed . The two prove to be no match for Whis . Goku and Vegeta are too slow to land a single hit on Whis . Somewhere in space , surviving members of Frieza 's army are led by Sorbet . They continue with their effort of resurrecting their leader . Not far off , mysterious beings from a different universe named Champa ( </t>
    </r>
    <r>
      <rPr>
        <sz val="11"/>
        <color rgb="FF000000"/>
        <rFont val="Noto Sans CJK SC"/>
        <family val="2"/>
      </rPr>
      <t xml:space="preserve">シャンパ </t>
    </r>
    <r>
      <rPr>
        <sz val="11"/>
        <color rgb="FF000000"/>
        <rFont val="Calibri"/>
        <family val="0"/>
        <charset val="1"/>
      </rPr>
      <t xml:space="preserve">, Shanpa ) and Vados ( </t>
    </r>
    <r>
      <rPr>
        <sz val="11"/>
        <color rgb="FF000000"/>
        <rFont val="Noto Sans CJK SC"/>
        <family val="2"/>
      </rPr>
      <t xml:space="preserve">ヴァドス </t>
    </r>
    <r>
      <rPr>
        <sz val="11"/>
        <color rgb="FF000000"/>
        <rFont val="Calibri"/>
        <family val="0"/>
        <charset val="1"/>
      </rPr>
      <t xml:space="preserve">, Vadosu ) continue their search for Beerus .     19   5   `` Despair Rises ! The Emperor of Evil , Frieza , Resurrected ! '' / `` Despair Redux ! The Return of the Evil Emperor , Frieza ! '' `` Zetsubō futatabi ! Aku no teiō Furīza no fukkatsu ! '' ( </t>
    </r>
    <r>
      <rPr>
        <sz val="11"/>
        <color rgb="FF000000"/>
        <rFont val="Noto Sans CJK SC"/>
        <family val="2"/>
      </rPr>
      <t xml:space="preserve">絶望 ふたたび </t>
    </r>
    <r>
      <rPr>
        <sz val="11"/>
        <color rgb="FF000000"/>
        <rFont val="Calibri"/>
        <family val="0"/>
        <charset val="1"/>
      </rPr>
      <t xml:space="preserve">! </t>
    </r>
    <r>
      <rPr>
        <sz val="11"/>
        <color rgb="FF000000"/>
        <rFont val="Noto Sans CJK SC"/>
        <family val="2"/>
      </rPr>
      <t xml:space="preserve">悪 の 帝王 ・ フリーザ の 復活 </t>
    </r>
    <r>
      <rPr>
        <sz val="11"/>
        <color rgb="FF000000"/>
        <rFont val="Calibri"/>
        <family val="0"/>
        <charset val="1"/>
      </rPr>
      <t xml:space="preserve">! )   November 15 , 2015   May 20 , 2017     Goku and Vegeta continue their training under Whis on Beerus ' planet . Meanwhile , Sorbet and his assistant Tagoma ( </t>
    </r>
    <r>
      <rPr>
        <sz val="11"/>
        <color rgb="FF000000"/>
        <rFont val="Noto Sans CJK SC"/>
        <family val="2"/>
      </rPr>
      <t xml:space="preserve">タゴマ </t>
    </r>
    <r>
      <rPr>
        <sz val="11"/>
        <color rgb="FF000000"/>
        <rFont val="Calibri"/>
        <family val="0"/>
        <charset val="1"/>
      </rPr>
      <t xml:space="preserve">) depart their ship and head for Earth in order to find the Dragon Balls , which they intend to resurrect their leader Frieza . They run into the Pilaf Gang , who had collected all seven Dragon Balls just before their arrival . Sorbet coerces Pilaf into summoning Shenron . At first , Shenron refuses to revive Frieza because he sees it as pointless given his current state , where Frieza was cut in pieces just as he was when Future Trunks killed him . Tagoma suggests using their advanced healing technology to make Frieza intact again . Sorbet has Frieza resurrected . Sorbet and Tagoma collect all of Frieza 's pieces and return to their ship . Frieza is completely renewed shortly afterwards .     20   6   `` Jaco 's Warning ! Frieza and His 1000 Troops Approach '' / `` A Warning from Jaco ! Frieza and 1,000 Soldiers Close In '' `` Jako kara no keikoku ! Semari kuru Furīza to 1000 - ri no heishi - tachi ! '' ( </t>
    </r>
    <r>
      <rPr>
        <sz val="11"/>
        <color rgb="FF000000"/>
        <rFont val="Noto Sans CJK SC"/>
        <family val="2"/>
      </rPr>
      <t xml:space="preserve">ジャコ から の 警告 </t>
    </r>
    <r>
      <rPr>
        <sz val="11"/>
        <color rgb="FF000000"/>
        <rFont val="Calibri"/>
        <family val="0"/>
        <charset val="1"/>
      </rPr>
      <t xml:space="preserve">! </t>
    </r>
    <r>
      <rPr>
        <sz val="11"/>
        <color rgb="FF000000"/>
        <rFont val="Noto Sans CJK SC"/>
        <family val="2"/>
      </rPr>
      <t xml:space="preserve">迫り 来る フリーザ と </t>
    </r>
    <r>
      <rPr>
        <sz val="11"/>
        <color rgb="FF000000"/>
        <rFont val="Calibri"/>
        <family val="0"/>
        <charset val="1"/>
      </rPr>
      <t xml:space="preserve">1000 </t>
    </r>
    <r>
      <rPr>
        <sz val="11"/>
        <color rgb="FF000000"/>
        <rFont val="Noto Sans CJK SC"/>
        <family val="2"/>
      </rPr>
      <t xml:space="preserve">人 の 兵士 達 </t>
    </r>
    <r>
      <rPr>
        <sz val="11"/>
        <color rgb="FF000000"/>
        <rFont val="Calibri"/>
        <family val="0"/>
        <charset val="1"/>
      </rPr>
      <t xml:space="preserve">)   November 22 , 2015   June 3 , 2017     Once restored , Frieza plans revenge against Goku and Future Trunks . Tagoma objects to Frieza 's plans , but Frieza promptly subdues him . When Frieza finds out that Goku has gotten much stronger since they last met , he decides to train in order to become more powerful . Since Frieza 's power was inborn , he reveals that he had never felt the need to train a day in his life before now . Four months pass before Frieza and his army head for Earth . All the while , Goku and Vegeta continue their training under Whis . Jaco the Galactic Patrolman travels to Earth to inform Bulma that Frieza had been revived . Frieza will be approaching Earth shortly with an army of one thousand soldiers . With Frieza 's army fast approaching , Bulma gathers the remaining fighters to fight Frieza 's army in hopes of holding out until Goku and Vegeta make it back to Earth .     21   7   `` The Start of Revenge ! The Malice of Frieza Army Strikes Gohan ! '' / `` The Start of Vengeance ! The Frieza Force 's Malice Strikes Gohan ! '' `` Fukushū no hajimari ! Furīza - gun no akuiga satoshi Gohan outsu ! '' ( </t>
    </r>
    <r>
      <rPr>
        <sz val="11"/>
        <color rgb="FF000000"/>
        <rFont val="Noto Sans CJK SC"/>
        <family val="2"/>
      </rPr>
      <t xml:space="preserve">復讐 の 始まり </t>
    </r>
    <r>
      <rPr>
        <sz val="11"/>
        <color rgb="FF000000"/>
        <rFont val="Calibri"/>
        <family val="0"/>
        <charset val="1"/>
      </rPr>
      <t xml:space="preserve">! </t>
    </r>
    <r>
      <rPr>
        <sz val="11"/>
        <color rgb="FF000000"/>
        <rFont val="Noto Sans CJK SC"/>
        <family val="2"/>
      </rPr>
      <t xml:space="preserve">フリーザ 軍 の 悪意 が 悟 飯 を 撃つ </t>
    </r>
    <r>
      <rPr>
        <sz val="11"/>
        <color rgb="FF000000"/>
        <rFont val="Calibri"/>
        <family val="0"/>
        <charset val="1"/>
      </rPr>
      <t xml:space="preserve">! )   November 29 , 2015   June 10 , 2017     Frieza and his army arrive on Earth , where Gohan , Piccolo , Krillin , Master Roshi , Tien , and Jaco have gathered to hold out until Goku and Vegeta return . Frieza says that he has waited a long time to have his revenge and that he wishes to face Goku . Seeing as how Goku is not present to help , Frieza orders his army to attack the Earthlings . His army proves to be no match for the fighters even for Krillin , who had given up fighting . Disappointed with his lackluster army , Frieza orders Sorbet to send in his elite soldier , Shisami ( </t>
    </r>
    <r>
      <rPr>
        <sz val="11"/>
        <color rgb="FF000000"/>
        <rFont val="Noto Sans CJK SC"/>
        <family val="2"/>
      </rPr>
      <t xml:space="preserve">シサミ </t>
    </r>
    <r>
      <rPr>
        <sz val="11"/>
        <color rgb="FF000000"/>
        <rFont val="Calibri"/>
        <family val="0"/>
        <charset val="1"/>
      </rPr>
      <t xml:space="preserve">) , to take out Gohan . Suddenly , Tagoma fires a beam at Shisami and Gohan , which kills the former and badly injures the latter . Sorbet is surprised by Tagoma 's newfound power , which he had achieved through training with Frieza . Frieza promises Tagoma the command of his army if he takes out the Earthlings . He accepts and prepares to fight the Earthlings . Meanwhile , Goku and Vegeta are oblivious to what is happening on Earth . They continue their training under Whis on Beerus ' planet .     22   8   `` Change ! An Unexpected Return ! His Name is Ginyu ! ! '' `` Chēnji ! Masaka no fukkatsu ! Sono na wa Ginyū ! ! '' ( </t>
    </r>
    <r>
      <rPr>
        <sz val="11"/>
        <color rgb="FF000000"/>
        <rFont val="Noto Sans CJK SC"/>
        <family val="2"/>
      </rPr>
      <t xml:space="preserve">チェーンジ </t>
    </r>
    <r>
      <rPr>
        <sz val="11"/>
        <color rgb="FF000000"/>
        <rFont val="Calibri"/>
        <family val="0"/>
        <charset val="1"/>
      </rPr>
      <t xml:space="preserve">! </t>
    </r>
    <r>
      <rPr>
        <sz val="11"/>
        <color rgb="FF000000"/>
        <rFont val="Noto Sans CJK SC"/>
        <family val="2"/>
      </rPr>
      <t xml:space="preserve">まさかの 復活 </t>
    </r>
    <r>
      <rPr>
        <sz val="11"/>
        <color rgb="FF000000"/>
        <rFont val="Calibri"/>
        <family val="0"/>
        <charset val="1"/>
      </rPr>
      <t xml:space="preserve">! </t>
    </r>
    <r>
      <rPr>
        <sz val="11"/>
        <color rgb="FF000000"/>
        <rFont val="Noto Sans CJK SC"/>
        <family val="2"/>
      </rPr>
      <t xml:space="preserve">その 名 は ギニュー </t>
    </r>
    <r>
      <rPr>
        <sz val="11"/>
        <color rgb="FF000000"/>
        <rFont val="Calibri"/>
        <family val="0"/>
        <charset val="1"/>
      </rPr>
      <t xml:space="preserve">! ! )   December 6 , 2015   June 17 , 2017     Tagoma powers up and confidently approaches his opponents . Piccolo is instantly outmatched . Gohan blasts Tagoma , which causes him to fly several yards away . As the dust settles , Tagoma reveals himself to be unharmed . Suddenly , Gotenks arrives and headbutts Tagoma . Everybody is shocked to see this . While Tagoma is struggling to recuperate from Gotenks ' attack , Captain Ginyu , who is in his frog form , pounces close to him and inscribes a message in the gravel . Tagoma accidentally sets off Ginyu 's signature move , and the two swap bodies . Ginyu rapidly adjusts to his new body 's immense power and assaults all of his rivals simultaneously . Bulma , Trunks , and Goten attempt to contact Whis , which bewilders Jaco . While fighting Gohan , Ginyu appears to have the upper hand until Gohan transforms into a Super Saiyan and defeats him . When Gohan shows mercy to Ginyu , Frieza becomes enraged and repeatedly fires multiple blasts at Gohan . Before Frieza can kill Gohan , Piccolo steps in to save him .     23   9   `` The</t>
    </r>
  </si>
  <si>
    <t xml:space="preserve">when does season 2 of dragon ball super come out</t>
  </si>
  <si>
    <t xml:space="preserve">   Saga   Episodes   Japanese Airdates   English Airdates         God of Destruction Beerus   14 ( 1 -- 14 )   July 5 , 2015 -- October 11 , 2015   January 7 , 2017 -- April 15 , 2017         Golden Frieza   13 ( 15 -- 27 )   October 18 , 2015 -- January 17 , 2016   April 22 , 2017 -- July 29 , 2017         Universe 6   19 ( 28 -- 46 )   January 24 , 2016 -- June 5 , 2016   August 5 , 2017 -- January 13 , 2018         `` Future '' Trunks   30 ( 47 -- 76 )   June 12 , 2016 -- January 29 , 2017   January 20 , 2018 -- TBA       5   Universe Survival   55 ( 77 -- 131 )   February 5 , 2017 -- March 25 , 2018   TBA   </t>
  </si>
  <si>
    <t xml:space="preserve">I 'm a Celebrity ... Get Me Out of Here ! ( Australian TV series ) - Wikipedia  I 'm a Celebrity ... Get Me Out of Here ! ( Australian TV series )  Jump to : navigation , search For the most recent season , see I 'm a Celebrity ... Get Me Out of Here ! ( Australia season 4 ) .    I 'm a Celebrity ... Get Me Out of Here !         Genre   Reality television     Created by   Granada Television ( now part of ITV Studios )     Based on   I 'm a Celebrity ... Get Me Out of Here !     Presented by   Chris Brown Julia Morris     Country of origin   Australia     Original language ( s )   English     No. of seasons       No. of episodes   125 ( as of 12 March 2018 )     Production     Location ( s )   Kruger National Park , in South Africa     Camera setup   Multiple - camera setup     Production company ( s )   ITV Studios Australia     Release     Original network   Network Ten     Picture format   576i ( SDTV ) 1080i ( HDTV )     Audio format   Stereo     Original release   1 February 2015 -- present     External links     Website     Production website     I 'm a Celebrity ... Get Me Out of Here ! ( occasionally shortened to I 'm a Celebrity ) is an Australian reality television series on Network Ten which is based on the British television show of the same name . The series sees celebrities living in the jungle with few creature comforts and compete in various challenges to earn meals and other luxuries . The celebrities compete for $100,000 to be donated to their chosen charity . The series is set in Kruger National Park , South Africa , and is hosted by Julia Morris and Chris Brown .   On 16 July 2015 the series was renewed for a second season , which premiered on 31 January 2016 . The second season was accompanied by the companion series ' ' I 'm a Celebrity ... Get Me Out of Here ! Now ! ' ' . It aired on Eleven following each episode of the main series , hosted by comedian and former season one contestant Joel Creasey and The Bachelor Australia 3 contestant Heather Maltman . ' ' I 'm a Celebrity ... Get Me Out of Here ! Now ! ' ' did not air after the main show in later seasons due to low viewing rates . On 1 August 2016 the series was renewed for a third season with Morris and Brown returning as hosts , which premiered on 29 January 2017 . A fourth season commenced on 28 January 2018 and concluded 12 March 2018 .     Contents  ( hide )   1 Format   1.1 Tucker trials   1.2 Celebrity chest challenges   1.3 Secret mission   1.4 Mystery box     2 Production   2.1 Broadcast   2.2 The fallout zone   2.3 Public voting     3 Series overview   4 Series results   4.1 Season 1 ( 2015 )   4.2 Season 2 ( 2016 )   4.3 Season 3 ( 2017 )   4.4 Season 4 ( 2018 )   4.5 Season 5 ( 2019 )     5 Ratings   6 Awards and nominations   7 Lawsuit   8 See also   9 References      Format ( edit )   The premise of the show is that there is a group of well known personalities living together in a specially constructed camp site in a jungle . During their time in the jungle they are isolated from the outside world and are not commonly aware of outside events . The contestants compete for $100,000 to be donated to a charity of their choosing , in addition to being personally reimbursed for their participation . While in the jungle , some of the contestants ( generally voted by the viewing public ) compete in challenges for food and luxuries for the camp . These challenges often involve local wildlife and are meant to take the contestants out of their comfort zone . Each week one or more of the contestants are evicted from the jungle , based on viewer votes . In addition , if the contestants become overwhelmed by their situation they can leave the series by speaking the phrase `` I 'm a celebrity get me out of here ! '' . However , it is reported that if contestants do quit they will have their income for participating in the series markedly reduced . Throughout the show , additional contestants ( called `` intruders '' ) enter the competition ; and beginning with season two , some contestants are only included temporarily ( i.e. having a guest appearance ) . In the end , a final viewer vote occurs to determine the winner of the series , who is given the title of `` King and / or Queen of the Jungle '' .   Tucker trials ( edit )   The contestants take part in daily trials to earn food . These trials aim to test both physical and mental abilities . The winner is usually determined by the number of stars collected during the trial , with each star representing a meal earned by the winning contestant for their camp mates .   Celebrity chest challenges ( edit )   Two or more celebrities are chosen to take part in the celebrity chest challenge to win luxuries for camp . Each challenge involves completing a task to win a chest to take back to camp . However , to win the luxury item in the chest , the campmates must correctly answer a question . If they fail to answer correctly , the luxury item is forfeited and a joke prize is won . The luxury item is `` donated '' by a celebrity from the outside .   Secret mission ( edit )   This is a challenge where some celebrities have to take part without alerting the other celebrities - if they are successful in their ' missions ' , they are rewarded .   Mystery box ( edit )   A mystery box sees a box delivered to the campsite , each time containing a different gift for the contestants .   Production ( edit )   Broadcast ( edit )   The show is broadcast Sunday to Thursday at 7.30 pm , with a weekly eviction show on Sunday ( except for the first week , where the celebrities arrive in the ' jungle ' ) . All shows are presented by Julia Morris &amp; Chris Brown from a nearby studio . The program is live to AEDT States ( New South Wales , Victoria , Tasmania and the Australian Capital Territory ) , in other states the program is delayed to accommodate local time zones .   The Fallout Zone ( edit )   In addition to the television broadcast , for the first season a live feed from the camp site aired for an hour after the AEDT airing of the show on Ten 's website and mobile app , titled The Fallout Zone but more commonly referred to as FOZ . The content of feed was available on the website after the fact so viewers in other states could watch the show after their airing of the main show . The feed was hosted by comedian Sam Mac and producer Ciaran `` The Butcher '' Flannery , also known as `` The C - Word '' . On 8 and 12 March 2015 , producer Dominic `` The Domin8or '' Sullivan filled in during Flannery 's absence . The duo interact with viewers through Twitter , using the hashtag # FOZ . Mac and Flannery have no control over the shots used in the stream which has resulted in one episode featuring a 20 - minute shot of a waterfall and , on 16 February 2015 , a 15 - minute conversation featuring a sound technician looking for Bob being picked up . On 5 March 2015 the show famously featured audio problems during which Mac and Flannery 's voices fluctuated between chipmunk and Darth Vader filters for the first thirty minutes . The show 's theme song is Highway to the Fallout Zone sung by Sam Mac . The show did not return for the second season .   Public voting ( edit )   Throughout the show the public votes on who competes in the following tucker trial and who to evict from the campsite . Viewers can either vote via SMS ( by texting the name of the celebrity to 1995 1010 ) or vote via Social Media ( namely Facebook or Twitter ) by using the celebrity 's hashtag ( # celeb ( name ) ) . Voting via social media is limited to 20 votes per account . For tucker trial voting , viewers vote for celebrity they wish to compete . For eviction voting , viewers vote for a celebrity to stay . Voting closes at approximately 7 : 30pm AEDT for Sunday 's eviction vote and at approximately 8pm AEDT for voting on other days .   Prior to the premiere of the second season , it was announced that the voting process would change slightly compared to the inaugural season . SMS voting wil be used for both trial and eviction voting while Twitter voting will be used exclusively for trial voting . This change was implemented to even the playing field between celebrities with a larger international fan base ( who are more likely to receive Twitter votes from said fan base ) and celebrities with a smaller fan base who are only known in Australia . However , this decision was later reversed , allowing Twitter and Facebook votes for the finals .   Series overview ( edit )   Winners crowned King or Queen of their respective year .   Key :    King of the Jungle   Queen of the Jungle      Season   Presenters   Start date   End date   Days in camp   Campmates   Honour places     Winner   Second place   Third place       Chris Brown and Julia Morris   1 February 2015 ( 2015 - 02 - 01 )   15 March 2015 ( 2015 - 03 - 15 )   45   14   Freddie Flintoff   Barry Hall   Chrissie Swan       31 January 2016 ( 2016 - 01 - 31 )   13 March 2016 ( 2016 - 03 - 13 )   45   12   Brendan Fevola   Paul Harragon   Laurina Fleure       29 January 2017 ( 2017 - 01 - 29 )   13 March 2017 ( 2017 - 03 - 13 )   46   14   Casey Donovan   Dane Swan   Natalie Bassingthwaighte       28 January 2018 ( 2018 - 01 - 28 )   12 March 2018 ( 2018 - 03 - 12 )   45   15   Fiona O'Loughlin   Shannon Noll   Danny Green     5     2019   2019               Series results ( edit )    Key   Winner -- King or Queen of the Jungle   Runner - up   Third place   Late arrival   Evicted   Withdrew    Season 1 ( 2015 ) ( edit )  Main article : I 'm a Celebrity ... Get Me Out of Here ! ( Australia season 1 )    Celebrity   Known for   Day Entered   Day Exited   Result     Freddie Flintoff   England and Wales cricketer   17   45   Winner     Barry Hall   Former AFL forward     45   Runner - up     Chrissie Swan   Television &amp; radio broadcaster     45   Third Place     Maureen McCormick   The Brady Bunch actress     42   Evicted 11th     Joel Creasey   Comedian     41   Evicted 10th     Anna Heinrich   The Bachelor Australia star   10   41   Evicted 9th     Julie Goodwin   Chef &amp; cookbook author   17   40   Evicted 8th     Merv Hughes   Former test match cricketer     39   Evicted 7th     Tyson Mayr   Model     38   Evicted 6th     Andrew Daddo   Television &amp; radio presenter     31   Evicted 5th     Lauren Brant   Hi - 5 singer     24   Evicted 4th     Laura Dundovic   Miss Universe Australia 2008     17   Evicted 3rd     Tim Robards   The Bachelor Australia star   10   17   Evicted 2nd     Leisel Jones   Olympic swimmer     10   Evicted 1st     Season 2 ( 2016 ) ( edit )  Main article : I 'm a Celebrity ... Get Me Out of Here ! ( Australia season 2 )    Celebrity   Known for   Day Entered   Day Exited   Result     Brendan Fevola   AFL full - forward     45   Winner     Paul Harragon   Former NRL prop forward     45   Runner - up     Laurina Fleure   The Bachelor Australia 2 star     45   Third Place     Anthony Callea   Singer - songwriter     42   Evicted 9th     Shane Warne   Retired international cricketer     41   Evicted 8th     Havana Brown   DJ     40   Evicted 7th     Jo Beth Taylor   Television presenter     39   Evicted 6th     Val Lehman   Prisoner actress     38   Evicted 5th     Dean Geyer   Glee actor     31   Evicted 4th     Bonnie Lythgoe   So You Think You Can Dance Australia judge     24   Evicted 3rd     Akmal Saleh   Comedian     17   Evicted 2nd     Courtney Hancock   Ironwoman     10   Evicted 1st     Season 3 ( 2017 ) ( edit )  Main article : I 'm a Celebrity ... Get Me Out of Here ! ( Australia season 3 )    Celebrity   Known for   Day Entered   Day Exited   Result     Casey Donovan   Singer - songwriter ( Australian Idol Winner )     46   Winner     Dane Swan   AFL Legend     46   Runner - Up     Natalie Bassingthwaighte   Singer &amp; Actress     46   Third Place     Nazeem Hussain   Comedian     45   Evicted 11th     Steve Price   Radio Shock Jock     42   Evicted 10th     Lisa Curry   Olympic Swimmer     41   Evicted 9th     Ash Pollard   My Kitchen Rules contestant     40   Evicted 8th     Carson Kressley   TV Personality   25   39   Evicted 7th     Tegan Martin   Beauty Queen     38   Evicted 6th     Keira Maguire   The Bachelor Australia 4 star   19   35   Evicted 5th     Kris Smith   TV Personality &amp; Model     35   Evicted 4th     Tziporah Malkah   Former Model     31   Evicted 3rd     Jay Laga'aia   Actor &amp; Singer     24   Evicted 2nd     Tom Arnold   Hollywood Actor     17   Evicted 1st     Season 4 ( 2018 ) ( edit )  Main article : I 'm a Celebrity ... Get Me Out of Here ! ( Australia season 4 )    Celebrity   Known for   Day Entered   Day Exited   Result     Fiona O'Loughlin   Comedian     45   Winner     Shannon Noll   Singer     45   Runner - up     Danny Green   Boxer   7   45   Third place     Vicky Pattison   Reality TV Star ( I 'm a Celeb UK , Winner )   17   44   Evicted 10th     Simone Holtznagel   Model     41   Evicted 9th     Peter Rowsthorn   Actor &amp; Comedian     40   Evicted 8th     Jackie Gillies   Psychic &amp; Reality TV Star     39   Evicted 7th     Josh Gibson   AFL Player     38   Evicted 6th     Paul Burrell   Former Royal Butler ( I 'm a Celeb UK , Runner Up )   17   37   Evicted 5th     Lisa Oldfield   Reality TV Star   24   34   Evicted 4th     David Oldfield   Former Politician   24   30   Evicted 3rd     Kerry Armstrong   Actress     23   Evicted 2nd     Tiffany Darwish   Singer     16   Evicted 1st     Anthony Mundine   Boxer     12   Withdrew     Bernard Tomic   Tennis Player       Withdrew     Season 5 ( 2019 ) ( edit )  Main article : I 'm a Celebrity ... Get Me Out of Here ! ( Australia season 5 )    Celebrity   Known for   Day Entered   Day Exited   Result     Ratings ( edit )     Season   Episodes   Premiere   Finale   Source     Premiere date   Premiere viewers ( Opening Night )   Rank   Premiere viewers ( Welcome to the Jungle )   Rank   Finale date   Finale viewers ( Grand final )   Rank   Finale viewers ( Winner announced )   Rank       31   1 February 2015 ( 2015 - 02 - 01 )   1.199     1.136   5   15 March 2015 ( 2015 - 03 - 15 )   0.999   8   1.144           31   31 January 2016 ( 2016 - 01 - 31 )   1.324     1.081   5   13 March 2016 ( 2016 - 03 - 13 )   0.719   8   0.858   6         32   29 January 2017 ( 2017 - 01 - 29 )   1.103   7   0.963   8   13 March 2017   0.989   6   1.056           31   28 January 2018 ( 2018 - 01 - 28 )   1.274     1.108   5   12 March 2018   0.684   11   0.804   8       5     2019           2019               Awards and nominations ( edit )     Year   Award     Recipients and nominees   Result   Refs .     2016   Logie Awards of 2016   Best Reality Program   I 'm a Celebrity ... Get Me Out of Here !   Nominated       2017   Logie Awards of 2017   I 'm a Celebrity ... Get Me Out of Here !   Nominated       2018   Logie Awards of 2018   I 'm a Celebrity ... Get Me Out of Here !   N / A       Lawsuit ( edit )   In June 2017 , Tom Arnold filed a lawsuit against Network Ten and A List Entertainment for defrauding him for being on I 'm a Celebrity ... Get Me Out of Here ! . Arnold claims that he was promised a payment of $425,000 and a comedy tour in Australia , however he was missing $140,000 in payment and that Network Ten backed out of the comedy tour .   See also ( edit )    Television in Australia portal    References ( edit )    Jump up ^ `` I 'm a Celebrity heads to Oz '' . C21 Media . Retrieved 8 September 2014 .   Jump up ^ Gusmaroli , Danielle ( 8 February 2015 ) . `` I 'm A Celebrity I 'm out Of Here ! Olympian Liesel Jones is first star voted out of the south African jungle after opening up about her weight issues '' . Daily Mail Australia . Retrieved 23 March 2015 .   Jump up ^ `` The Kruger Welcomes I 'm A Celebrity '' . CallSheet. 28 January 2016 . Retrieved 19 March 2016 .   Jump up ^ `` TV jungle gets real for Channel 10 but are celebs in or out ? '' . news.com.au . Retrieved 13 November 2014 .   Jump up ^ Knox , David ( 16 July 2015 ) . `` Renewed : I 'm A Celebrity Get Me Out of Here '' . TV Tonight . Retrieved 17 July 2015 .   Jump up ^ Knox , David ( 10 January 2016 ) . `` Returning : I 'm a Celebrity Get Me Out of Here ! '' . TV Tonight . Retrieved 31 January 2016 .   Jump up ^ Knox , David ( 19 November 2015 ) . `` TEN Upfronts 2016 : Survivor , Jessica Marais , Anh Do - and Nigella ! '' . TV Tonight . Retrieved 22 November 2015 .   Jump up ^ `` 'm A Celebrity ... Get Me Out Of Here ! Is Back In 2017 '' . Ten Play . Channel Ten . August 1 , 2016 . Retrieved September 14 , 2016 .   Jump up ^ Reines , Ros ( 2 February 2015 ) . `` I 'm SO glad I turned down I 'm A Celebrity ... even though it paid ' $30 k per week ' '' . The Daily Telegraph . Retrieved 21 November 2015 .   Jump up ^ Knox , David ( 4 March 2015 ) . `` Contract clause ' penalty ' for Celebrities who quit TEN 's jungle '' . TV Tonight . Retrieved 21 November 2015 .   Jump up ^ Knox , David ( 28 December 2015 ) . `` Mark Waugh into TEN 's jungle ? '' . TV Tonight . Retrieved 7 January 2016 .   Jump up ^ Knox , David ( 28 January 2016 ) . `` I 'm a Celebrity to switch - up viewer voting this year '' . TV Tonight . Retrieved 16 April 2016 .   Jump up ^ Knox , David ( 10 March 2016 ) . `` TEN U-turn on voting promise for I 'm A Celebrity '' . TV Tonight . Retrieved 16 April 2016 .   Jump up ^ Knox , David ( 2 February 2015 ) . `` Sunday 1 February 2015 '' . TV Tonight . Retrieved 21 November 2015 .   Jump up ^ Knox , David ( 16 March 2015 ) . `` Sunday 15 March 2015 '' . TV Tonight . Retrieved 21 November 2015 .   Jump up ^ Knox , David ( 1 February 2016 ) . `` Sunday 31 January 2016 '' . TV Tonight . Retrieved 1 February 2016 .   Jump up ^ Knox , David ( 14 March 2016 ) . `` Sunday 13 March 2016 '' . Retrieved 14 March 2016 .   Jump up ^ Knox , David ( 30 January 2017 ) . `` Sunday 29 January 2017 '' . TV Tonight . Retrieved 30 January 2017 .   Jump up ^ Knox , David ( 14 March 2017 ) . `` Monday 13 March 2017 '' . TV Tonight . Retrieved 14 March 2017 .   Jump up ^ Knox , David ( 29 January 2018 ) . `` Sunday 28 January 2018 '' . TV Tonight . Retrieved 29 January 2018 .   Jump up ^ Knox , David ( 13 March 2018 ) . `` Monday 12 March 2018 '' . TV Tonight . Retrieved 13 March 2018 .   Jump up ^ Knox , David ( 3 April 2016 ) . `` Logie Awards 2016 : nominations '' . TV Tonight . Retrieved 3 April 2016 .   Jump up ^ Knox , David ( 22 April 2017 ) . `` Logie Awards 2017 : nominees '' . TV Tonight . Retrieved 22 April 2017 .   Jump up ^ Cullins , Ashley ( 2017 - 06 - 15 ) . `` Tom Arnold Sues Australian Reality TV Network for Fraud '' . The Hollywood Reporter . Retrieved 2017 - 06 - 16 .              I 'm a Celebrity ... Get Me Out of Here ! ( Australia )     Seasons                 Winners     Freddie Flintoff   Brendan Fevola   Casey Donovan   Fiona O'Loughlin       Related articles     I 'm a Celebrity ... Get Me Out of Here !                 International versions of I 'm a Celebrity ... Get Me Out of Here !       Australia   France   Germany   Hungary   India   Romania   Sweden   United Kingdom ( original )   United States                 Current Australian reality television series     Seven Network     First Dates   Hell 's Kitchen Australia   House Rules   My Kitchen Rules   Seven Year Switch       Nine Network     Australian Ninja Warrior   Family Food Fight   Married at First Sight   The Block   The Voice       9Go !     Love Island Australia   Meet the Hockers       Network Ten     Australian Survivor   Bachelor in Paradise Australia   The Bachelor   The Bachelorette   MasterChef Australia   I 'm a Celebrity ... Get Me Out of Here !   Shark Tank       Eleven     Bondi Ink Tattoo       Arena     The Real Housewives of Melbourne   The Real Housewives of Sydney       Fox8     Australia 's Next Top Model   The Recruit       A&amp;E     Aussie Pickers   Demolition Man   Pawn Stars Australia       Lifestyle Food     The Great Australian Bake Off       All Australian reality series               Network Ten local programming ( current and upcoming )     Primetime     All Star Family Feud ( since 2016 )   Australian Survivor ( since 2016 )   The Bachelor Australia ( since 2013 )   The Bachelorette Australia ( since 2015 )   Bachelor in Paradise ( since 2018 )   Todd Sampson 's Body Hack ( since 2016 )   Bondi Vet ( since 2009 )   Bondi Rescue ( since 2006 )   CRAM ! ( since 2017 )   Family Feud ( since 2014 )   Gogglebox Australia ( since 2015 )   Have You Been Paying Attention ? ( since 2013 )   Hughesy , We Have a Problem ( since 2018 )   I 'm a Celebrity ... Get Me Out of Here ! ( since 2015 )   The Living Room ( since 2012 )   MasterChef Australia ( since 2009 )   Offspring ( 2010 -- 2014 , since 2016 )   Shark Tank ( since 2015 )   Show Me the Movie ! ( since 2018 )   Sisters ( since 2017 )   The Wrong Girl ( since 2016 )       Daytime     Ben 's Menu ( since 2014 )   Everyday Gourmet with Justine Schofield ( since 2011 )   Good Chef Bad Chef ( since 2011 )   My Market Kitchen ( since 2016 )       News     Ten Eyewitness News ( since 1965 )   The Project ( since 2009 )   Studio 10 ( since 2013 )       Sport     RPM ( 1997 -- 2008 , 2011 , since 2015 )       Weekends     Cruise Mode ( since 2016 )   Healthy Homes TV ( since 2015 )   ifish ( since 2009 )   Mass For You At Home ( since 1971 )   What 's Up Downunder       Upcoming     All Aussie Adventures ( 2018 )   Blind Date ( 2018 )   How to Stay Married ( 2018 )   Playing For Keeps ( 2018 )   Street Smart ( 2018 )      Retrieved from `` https://en.wikipedia.org/w/index.php?title=I%27m_a_Celebrity...Get_Me_Out_of_Here!_(Australian_TV_series)&amp;oldid=838342428 '' Categories :   Network Ten shows   2010s Australian television series   2015 Australian television series debuts   Australian reality television series   I 'm a Celebrity ... Get Me Out of Here !   English - language television programs   Television series by ITV Studios   Television shows set in South Africa   Hidden categories :   Use Australian English from February 2015   All Wikipedia articles written in Australian English   Use dmy dates from February 2015           Talk                                           Contents                   About Wikipedia                                           Deutsch   Edit links   This page was last edited on 26 April 2018 , at 12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</si>
  <si>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i am a celebrity 2018 australia</t>
  </si>
  <si>
    <t xml:space="preserve">   Season   Presenters   Start date   End date   Days in camp   Campmates   Honour places     Winner   Second place   Third place       Chris Brown and Julia Morris   1 February 2015 ( 2015 - 02 - 01 )   15 March 2015 ( 2015 - 03 - 15 )   45   14   Freddie Flintoff   Barry Hall   Chrissie Swan       31 January 2016 ( 2016 - 01 - 31 )   13 March 2016 ( 2016 - 03 - 13 )   45   12   Brendan Fevola   Paul Harragon   Laurina Fleure       29 January 2017 ( 2017 - 01 - 29 )   13 March 2017 ( 2017 - 03 - 13 )   46   14   Casey Donovan   Dane Swan   Natalie Bassingthwaighte       28 January 2018 ( 2018 - 01 - 28 )   12 March 2018 ( 2018 - 03 - 12 )   45   15   Fiona O'Loughlin   Shannon Noll   Danny Green     5     2019   2019             </t>
  </si>
  <si>
    <t xml:space="preserve">11 foot 8 bridge - wikipedia  11 foot 8 bridge  Jump to : navigation , search    11 foot 8 Bridge     Warning signs and flashing lights at the Gregson Street Railroad Bridge ; photograph taken prior to installation of traffic signals on this side of bridge     Coordinates   35 ° 59 ′ 57 '' N 78 ° 54 ′ 37 '' W ﻿ / ﻿ 35.9990744 ° N 78.910231 ° W ﻿ / 35.9990744 ; - 78.910231 Coordinates : 35 ° 59 ′ 57 '' N 78 ° 54 ′ 37 '' W ﻿ / ﻿ 35.9990744 ° N 78.910231 ° W ﻿ / 35.9990744 ; - 78.910231     Carries   Amtrak Norfolk Southern Railway     Crosses   South Gregson Street     Locale   Durham , North Carolina , U.S.     Official name   Norfolk Southern -- Gregson Street Overpass     Other name ( s )   Canopener Bridge     Owner   North Carolina Railroad     Structure Number   000000000630068     Website   http://11foot8.com     Characteristics     Design   Stringer / Multi-beam or Girder     Material   Steel     Total length   28.00 meters ( 91.86 ft )     No. of spans       Clearance below   11 ft 8 in ( 3.56 m )     History     Construction end   1940     Statistics     Daily traffic   11,000 ( 2003 ) with 6 % of truck traffic     The 11 foot 8 Bridge ( formally known as the Norfolk Southern -- Gregson Street Overpass and nicknamed The Can - Opener ) is a railroad bridge in Durham , North Carolina , United States , that has attracted media coverage and popular attention because tall vehicles such as trucks and RVs frequently collide with the unusually low overpass , resulting in damage ranging from RV roof air conditioners being scraped off to entire truck roofs being removed . The 78 - year - old bridge along South Gregson Street provides only 11 feet 8 inches ( 3.56 m ) of vertical clearance . It can not be raised , because nearby railroad crossings would also have to be raised with it . The street also can not be lowered , because a major sewer line runs only four feet ( 1.2 m ) under Gregson Street .   Despite numerous signs and warning devices , a truck crashes into the bridge on average at least once a month . Most crashes involve rental trucks , even though rental agencies warn renters about the under - height bridges in the area .   Jürgen Henn , who works in a nearby office , mounted a video camera to record the crashes . Since April 2008 , he has recorded over 100 crashes , and posted them on YouTube . The videos gradually attracted the attention of a local TV station , and eventually progressed to international media attention . The bridge is only one of several under - height bridges in the area that trucks frequently crash into ; however , the videos became viral , and brought this particular bridge to international media attention , including front - page coverage in The Wall Street Journal , and on an episode of the Comedy Central show Tosh. 0 .   As of January 2018 , there have been no deaths and only three minor injuries at the bridge , leading officials to concentrate on more urgent safety issues .     Contents  ( hide )   1 Official actions   1.1 New traffic light   1.2 Priorities     2 References   3 External links      Official actions ( edit )  A view from under the bridge , facing traffic . Just below the bridge , is a wide - flange steel H - beam to protect it from over-height trucks . The beam 's web is horizontal to better absorb the shear force of truck collisions . The vertical flanges spread the impact . Screenshot of a truck damaged after attempting to go under the bridge , one of many vehicle collisions recorded by Jürgen Henn  The state of North Carolina owns the North Carolina Railroad Company , which owns the land and the bridge . ( North Carolina Railroad owns no rolling stock , but leases tracks to Amtrak and Norfolk Southern Railway . ) A heavy steel crash beam protects the bridge from over-height trucks , but does nothing to prevent crashes or protect the trucks . The crash beam has been hit so often that it had to be replaced at least once .   The Transportation Department of the City of Durham maintains Gregson Street , which runs under the bridge . The city installed height detectors on Gregson a block before the bridge . When an over-height truck passes by the detector , yellow warning lights flashed to alert the drivers of trucks that will not clear the low underpass . Unfortunately , many drivers fail to heed the warnings , and crash into the bridge .   The problem is complicated by the location of Peabody Street , which runs parallel to the tracks , and intersects Gregson , just before the bridge . Not all trucks traveling on Gregson will continue under the bridge . Some large trucks must turn right onto Peabody to make their deliveries . Over-height trucks are allowed on Gregson , as long as they turn just before the bridge .   New traffic light ( edit )   In May 2016 , the city attempted to solve the problem by installing a traffic signal at the intersection , removing the yellow warning lights in return . When an over-height truck approaches , the light turns yellow , then red , and a screen displays the message `` OVERHEIGHT MUST TURN '' . The light will eventually turn green again , even if a truck driver chooses not to turn . The city hoped the long delay would give drivers time to realize their trucks will not fit under the bridge . However , trucks have continued to hit the bridge despite this .   Priorities ( edit )   In 2014 , the North Carolina Department of Transportation ( NCDOT ) Rail Division and the City of Durham began a `` Traffic Separation Study '' of 18 rail crossings over a 12 - mile ( 19 km ) section of the railroad . Gregson Street is in the middle of that section of track , but was not mentioned in the study . The study focused on eliminating at - grade crossings , not on fixing grade - separated crossings such as the one at Gregson . There have been four deaths and two other injuries in the study area since 1991 , compared to only three minor injuries at Gregson .   The study did recommend replacing the bridge at Roxboro Street , because it has a vertical clearance of only 11 feet 4 inches ( 3.45 m ) , and `` Many trucks have gotten stuck under the Roxboro Street railroad bridge . '' Local news has reported crashes at the Roxboro Street bridge .   As of January 2016 , recommendations made in the study have not been implemented .   References ( edit )    Jump up ^ Gutierrez , Gabe ( January 7 , 2016 ) . `` This Bridge Continues Wreaking Havoc on Unsuspecting Truck Drivers '' . NBC Nightly News . NBC News . Retrieved January 7 , 2016 .   Jump up ^ Gibbs , Tamara ( June 22 , 2015 ) . `` Trucks Hit Same Durham Bridge Hours Apart '' . Eyewitness News . Durham , NC : WTVD - TV . Retrieved January 8 , 2016 .   Jump up ^ Mitchell , David ( April 12 , 2013 ) . `` Video : Trucks Smash into Bridge Time After Time After Time '' . Denver : KDVR - TV . Retrieved January 7 , 2016 .   Jump up ^ Cohen , Ben ( January 6 , 2016 ) . `` The Joys of Watching a Bridge Shave the Tops off Trucks '' . The Wall Street Journal . Retrieved January 7 , 2016 .   Jump up ^ Erin Hartness ( March 18 , 2009 ) . `` Man 's videos span year of trucks hitting Durham bridge '' . WRAL - TV . Capitol Broadcasting Company . Retrieved January 13 , 2016 .   ^ Jump up to : Hooley , Danny ( January 6 , 2016 ) . `` A Little off the Top : Durham 's ' Canopener Bridge ' Makes the Front Page of the Wall Street Journal , '' . Indy Week . Retrieved January 8 , 2016 .   ^ Jump up to : `` Another Truck Slams Into Durham Bridge , Gets Stuck '' . Eyewitness News . Durham , NC : WTVD - TV . August 6 , 2015 . Retrieved January 18 , 2016 .   Jump up ^ Gary D. Robertson ( November 26 , 2012 ) . `` NC lawmakers seeking more from railroad company '' . The Daily Herald , Roanoke Rapids , NC . Associated Press . Retrieved January 18 , 2016 .   Jump up ^ Chris Williams ( July 8 , 2016 ) . `` Truck Slams Into Durham 's ' Can Opener ' Bridge Despite New Warning System '' . Spectrum News . Time Warner Cable . Retrieved January 8 , 2017 .   Jump up ^ Matthew West ( March 27 , 2014 ) . Traffic Separation Study ( TSS ) ( Report ) . City of Durham , North Carolina . Retrieved January 9 , 2016 .   Jump up ^ `` Tractor - trailer hits Roxboro Street bridge in Durham '' . WRAL - TV . Capitol Broadcasting Company . December 9 , 2014 . Retrieved January 18 , 2016 .    External links ( edit )    Media related to Norfolk Southern -- Gregson Street Overpass at Wikimedia Commons   11foot8.com              Bridge - related articles     Structural types     Arch bridge   Bascule bridge   Beam bridge   Box girder bridge   Bridge -- tunnel   Burr truss   Cable - stayed bridge   Canopy bridge   Cantilever bridge   Cantilever spar cable - stayed bridge   Covered bridge   Crib bridge   Extradosed bridge   Log bridge   Moon bridge   Moveable bridge   Navigable aqueduct   Pile bridge   Pontoon bridge ( Vlotbrug )   Suspension bridge ( types )   Tilt bridge   Timber bridge   Through arch bridge   Transporter bridge   Truss bridge   Tubular bridge   Viaduct   Visual index to various types         Lists of bridges by type     List of bridges   List of road -- rail bridges   List of bridge -- tunnels   List of bascule bridges   List of multi-level bridges   List of toll bridges   List of cantilever bridges       Lists of bridges by size     By length   Suspension bridges   Cable - stayed bridges   Cantilever bridges   Continuous truss bridges   Arch bridges   Masonry arch bridges   Highest   Tallest       Additional lists     Bridge failures   Bridge to nowhere           Commons   WikiProject   Portal      Retrieved from `` https://en.wikipedia.org/w/index.php?title=11_foot_8_Bridge&amp;oldid=833429975 '' Categories :   Buildings and structures in Durham , North Carolina   Railroad bridges in North Carolina   Beam bridges   Viral videos   Traffic collisions   Transportation in Durham , North Carolina   Steel bridges in the United States   Hidden categories :   Use mdy dates from January 2016   Coordinates on Wikidata   Articles containing potentially dated statements from January 2018   All articles containing potentially dated statements   Articles containing potentially dated statements from January 2016           Talk                                           Contents                   About Wikipedia                                                 Français   Polski   Suomi   Edit links   This page was last edited on 31 March 2018 , at 14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</si>
  <si>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11 foot 8 inch bridge</t>
  </si>
  <si>
    <t xml:space="preserve"> The 11 foot 8 Bridge ( formally known as the Norfolk Southern -- Gregson Street Overpass and nicknamed The Can - Opener ) is a railroad bridge in Durham , North Carolina , United States , that has attracted media coverage and popular attention because tall vehicles such as trucks and RVs frequently collide with the unusually low overpass , resulting in damage ranging from RV roof air conditioners being scraped off to entire truck roofs being removed . The 78 - year - old bridge along South Gregson Street provides only 11 feet 8 inches ( 3.56 m ) of vertical clearance . It can not be raised , because nearby railroad crossings would also have to be raised with it . The street also can not be lowered , because a major sewer line runs only four feet ( 1.2 m ) under Gregson Street . </t>
  </si>
  <si>
    <t xml:space="preserve">An Essay on criticism - wikipedia  An Essay on criticism  Jump to : navigation , search Frontispiece  An Essay on Criticism is one of the first major poems written by the English writer Alexander Pope ( 1688 -- 1744 ) . It is the source of the famous quotations `` To err is human , to forgive divine '' and `` A little learning is a dang'rous thing , '' frequently misquoted as `` A little knowledge is a dang'rous thing . '' It first appeared in 1711 after having been written in 1709 , and it is clear from Pope 's correspondence that many of the poem 's ideas had existed in prose form since at least 1706 . Composed in heroic couplets ( pairs of adjacent rhyming lines of iambic pentameter ) and written in the Horatian mode of satire , it is a verse essay primarily concerned with how writers and critics behave in the new literary commerce of Pope 's contemporary age . The poem covers a range of good criticism and advice , and represents many of the chief literary ideals of Pope 's age .   Pope contends in the poem 's opening couplets that bad criticism does greater harm than bad writing :    ' Tis hard to say , if greater Want of Skill   Appear in Writing or in Judging ill ,   But , of the two , less dang'rous is th ' Offence ,   To tire our Patience , than mis - lead our Sense   Some few in that , but Numbers err in this ,   Ten Censure wrong for one who Writes amiss ;   A Fool might once himself alone expose ,   Now One in Verse makes many more in Prose ... ( 1 -- 8 )    Despite the harmful effects of bad criticism , literature requires worthy criticism .   Pope delineates common faults of poets , e.g. , settling for easy and cliché rhymes :    And ten low words oft creep in one dull line :   While they ring round the same unvaried chimes ,   With sure returns of still expected rhymes ;   Wher'er you find `` the cooling western breeze '' ,   In the next line , it `` whispers through the trees '' ;   If crystal streams `` with pleasing murmurs creep '' ,   The reader 's threatened ( not in vain ) with `` sleep '' ... ( 347 -- 353 )    Throughout the poem , Pope refers to ancient writers such as Virgil , Homer , Aristotle , Horace and Longinus . This is a testament to his belief that the `` Imitation of the ancients '' is the ultimate standard for taste . Pope also says , `` True ease in writing comes from art , not chance , / As those move easiest who have learned to dance '' ( 362 -- 363 ) , meaning poets are made , not born .   As is usual in Pope 's poems , the Essay concludes with a reference to Pope himself . Walsh , the last of the critics mentioned , was a mentor and friend of Pope who had died in 1710 .   An Essay on Criticism was famously and fiercely attacked by John Dennis , who is mentioned mockingly in the work . Consequently , Dennis also appears in Pope 's later satire , The Dunciad .   Part II of An Essay on Criticism includes a famous couplet :    A little learning is a dangerous thing ;   Drink deep , or taste not the Pierian spring .    This is in reference to the spring in the Pierian Mountains in Macedonia , sacred to the Muses . The first line of this couplet is often misquoted as `` a little knowledge is a dangerous thing '' .   The Essay also gives this famous line ( towards the end of Part II ) :    To err is human , to forgive divine .    The phrase `` fools rush in where angels fear to tread '' from Part III has become part of the popular lexicon , and has been used for and in various works .   See also ( edit )    Dunning -- Kruger effect , the empirically observed pattern that individuals possessing a nonzero but low degree of competence in a field tend to overestimate their competence whereas individuals possessing high competence in that field tend to accurately assess or even underestimate their competence relative to others '    References ( edit )    Jump up ^ An Essay on Criticism ( 1 ed . ) . London : Printed for W. Lewis in Russel Street , Covent Garden ; and Sold by W. Taylor at the Ship in Pater - Noster Row , T. Osborn near the Walks , and J. Graves in St. James Street . 1711 . Retrieved 21 May 2015 . via Google books   Jump up ^ 22 October 1706 : Correspondence , i. 23 -- 24 .    External links ( edit )       Wikiquote has quotations related to : An Essay on Criticism         Wikisource has original text related to this article : An Essay on Criticism      An Essay on Criticism at the Eighteenth - Century Poetry Archive ( ECPA )   Full text of the Essay     An Essay on Criticism at Project Gutenberg ( much punctuation is missing )   A Study Guide for the Essay , by Walter Jackson Bate   An Essay on Criticism public domain audiobook at LibriVox              Alexander Pope     Plays     Three Hours After Marriage ( 1717 )       Essays     `` Peri Bathous , Or the Art of Sinking in Poetry '' ( 1727 )       Poetry     `` Ode on Solitude '' ( 1700 )   An Essay on Criticism ( 1711 )   Messiah ( Latin poem ) ( 1712 )   The Rape of the Lock ( 1712 )   The Temple of Fame ( 1715 )   Eloisa to Abelard ( 1717 )   `` Elegy to the Memory of an Unfortunate Lady '' ( 1717 )   The Dunciad ( 1728 -- 9 , 1742 -- 3 )   An Essay on Man ( 1734 )   Moral Essays ( 1731 - 35 )   Epistle to Dr Arbuthnot ( 1735 )       Related     Popeswood   Binfield     Scriblerus Club   Memoirs of Martinus Scriblerus   `` Who breaks a butterfly upon a wheel ? ''   Heroic couplet       People     Martha Blount   John Caryll      Retrieved from `` https://en.wikipedia.org/w/index.php?title=An_Essay_on_Criticism&amp;oldid=781814832 '' Categories :   British poems   Works by Alexander Pope   1711 poems   Hidden categories :   Use dmy dates from September 2011   Articles with Project Gutenberg links   Articles with LibriVox links           Talk                                                             About Wikipedia                                           Wikiquote       Deutsch   Français   Italiano   Edit links   This page was last edited on 23 May 2017 , at 11 : 20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</si>
  <si>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said to error is human to forgive divine</t>
  </si>
  <si>
    <t xml:space="preserve"> An Essay on Criticism is one of the first major poems written by the English writer Alexander Pope ( 1688 -- 1744 ) . It is the source of the famous quotations `` To err is human , to forgive divine '' and `` A little learning is a dang'rous thing , '' frequently misquoted as `` A little knowledge is a dang'rous thing . '' It first appeared in 1711 after having been written in 1709 , and it is clear from Pope 's correspondence that many of the poem 's ideas had existed in prose form since at least 1706 . Composed in heroic couplets ( pairs of adjacent rhyming lines of iambic pentameter ) and written in the Horatian mode of satire , it is a verse essay primarily concerned with how writers and critics behave in the new literary commerce of Pope 's contemporary age . The poem covers a range of good criticism and advice , and represents many of the chief literary ideals of Pope 's age . </t>
  </si>
  <si>
    <t xml:space="preserve">Make ' Em Laugh - Wikipedia  Make ' Em Laugh  Jump to : navigation , search  `` Make ' Em Laugh '' is a song first featured in the 1952 film Singin ' in the Rain , frenetically performed by Donald O'Connor . Written by Nacio Herb Brown and Arthur Freed , the song is closely based on Cole Porter 's `` Be a Clown '' . It finished at # 49 in AFI 's 100 Years ... 100 Songs survey of top tunes in American cinema .   O'Connor's song - and - dance routine in Singin ' in the Rain is noted for its extreme physical difficulty , featuring dozens of jumps , pratfalls , and two backflips . Hollywood legend states that O'Connor , a chain - smoker , was bedridden for several days after filming the sequence . This high degree of difficulty has made the original routine a tour de force in physical comedy .     Contents  ( hide )   1 Notable Performances   2 See also   3 References   4 External links      Notable performances ( edit )   `` Make ' Em Laugh '' was later performed by Tim Curry , Kathy Najimy , and Mara Wilson at the 67th Annual Academy Awards in 1995 .   A parody of this song was featured on an episode of the TV series Family Guy titled `` Peterotica '' . It was sung by Glenn Quagmire while visiting a sex shop with Peter , Cleveland , and Joe .   The song title was used for a six - hour documentary , Make ' Em Laugh : The Funny Business of America , which aired on PBS in January , 2009 .   The song was performed by Joseph Gordon - Levitt on Saturday Night Live on November 21 , 2009 .   It was also performed by Will Schuester ( Matthew Morrison ) on the Glee episode `` The Substitute '' on November 16 , 2010 .   It also had a new original rendition in the 2015 movie Minions , in Minionese .   See also ( edit )    Be a Clown   Paul Krassner    References ( edit )    Jump up ^ Adams , Cecil . `` Are n't the show tunes `` Be a Clown '' and `` Make ' Em Laugh '' suspiciously similar ? `` . The Straight Dope . Retrieved 2009 - 02 - 11 .   Jump up ^ `` Make ' Em Laugh '' . PBS . 2009 . Retrieved 2009 - 02 - 11 .   Jump up ^ `` Glee - `` The Substitute '' `` . Cultural Learnings. 2010 - 11 - 16 .    External links ( edit )    Article on similarities between `` Be a Clown '' and `` Make ' em Laugh ''        This show tune - related article is a stub . You can help Wikipedia by expanding it .            Retrieved from `` https://en.wikipedia.org/w/index.php?title=Make_%27Em_Laugh&amp;oldid=798872190 '' Categories :   Songs from musicals   Laughter   1952 songs   Songs with music by Nacio Herb Brown   Songs with lyrics by Arthur Freed   Show tune stubs               Talk                                           Contents                   About Wikipedia                                           Français   Edit links   This page was last edited on 4 September 2017 , at 08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</si>
  <si>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make em laugh in singin in the rain</t>
  </si>
  <si>
    <t xml:space="preserve"> `` Make ' Em Laugh '' is a song first featured in the 1952 film Singin ' in the Rain , frenetically performed by Donald O'Connor . Written by Nacio Herb Brown and Arthur Freed , the song is closely based on Cole Porter 's `` Be a Clown '' . It finished at # 49 in AFI 's 100 Years ... 100 Songs survey of top tunes in American cinema . </t>
  </si>
  <si>
    <t xml:space="preserve">Color mixing - wikipedia  Color mixing  Jump to : navigation , search White light split by a prism . The additive primary colors are clearly visible .  There are two types of color mixing : Additive and Subtractive . In both cases , there are three primary colors , three secondary colors ( colors made from 2 of the three primary colors in equal amounts ) , and one tertiary color made from all three primary colors . This point is a common source of confusion , as there are different sets of primary colors depending on whether you are working with additive or subtractive mixing .     Contents  ( hide )   1 Additive mixing   2 Subtractive mixing   3 See also   4 External links   5 References      Additive mixing ( edit )  A simulated example of additive color mixing . Additive primaries act as sources of light . The standard red , green , and blue combine pairwise to produce the additive secondaries cyan , magenta , and yellow ( which are also the subtractive primaries in theory , although actual pigments are likely not as intense ) . Combining all three primaries ( center ) produces white .  The additive mixing of colors is unintuitive as it does not correspond to the mixing of physical substances ( such as paint ) which would correspond to subtractive mixing . For instance , one can additively mix yellow and blue by shining yellow light together with blue light , which will result in not green but a white light . As in this example , one should always have the mixture of light in mind when considering additive color mixing as it is the only situation where it occurs . Despite being unintuitive , it is conceptually simpler than subtractive mixing . Two beams of light that are superimposed correspond to additive mixing .   By convention , the three primary colors in additive mixing are red , green , and blue . In the absence of color , when no colors are showing , the result is black . If all three primary colors are showing , the result is white . When red and green combine , the result is yellow . When red and blue combine , the result is magenta . When blue and green combine , the result is cyan .   Additive mixing is used in television and computer monitors to produce a wide range of colors using only three primary colors . A pixel is a juxtaposition of these three primary colors . Projection televisions typically have three projectors , one for each primary color .   Subtractive mixing ( edit )  Main article : Subtractive color A simulated example of ( idealized ) subtractive color mixing . An external source of illumination is assumed , and each primary attenuates ( absorbs ) some of that light . The standard subtractive primaries cyan , magenta , and yellow combine pairwise to make subtractive secondaries red , green , and blue ( which themselves are additive primaries , or in practice somewhat darker and less - saturated versions of typical additive primaries ) . Combining all three primaries ( center ) absorbs all the light , resulting in black . For real pigments , the results would be somewhat complicated by opacity and mixing behavior , and in practice adding a fourth pigment such as black may be helpful .  The mixing of colored physical substances corresponds to subtractive color mixing , hence it corresponds to our intuition about mixing colors . To explain the mechanism , let us consider mixing red paint with yellow paint . The red paint is red because when the ambient light strikes it , the composition of the material is such that it absorbs all other colors in the visible spectrum except for red . The red light , not being absorbed , reflects off the paint and is what we see . This same mechanism describes the color of all material objects -- note that light is not a material object -- and so applies to the yellow paint as well . Making recourse to the figure above demonstrating additive color mixing , one sees that yellow light is composed of an ( additive ) mixture of red and green light . When we mix the two paints , the resulting substance has red paint and yellow paint . The yellow paint absorbs all colors except for red and green . However , the red paint will absorb the green reflected by the yellow paint . The red paint can be said to subtract the green from the yellow paint . The resulting paint reflects only red light and so appears red to our eyes . Note however that this description is theoretical and that the mixing of pigments does not correspond to ideal subtractive color mixing because some light from the subtracted color is still being reflected by one component of the original paint . This results in a darker and desaturated color compared to the color that would be achieved with ideal filters .   The three primary colors in subtractive mixing that produce the largest gamut are yellow , magenta and cyan , leading to the CMYK color model widely used in color printing . Historically , painters have used yellow , red and blue in place of these , resulting in reduced gamut . In subtractive mixing of color , the absence of color is white and the presence of all three primary colors is black . The secondary colors are the same as the primary colors from additive mixing , and vice versa . This is not an accident . By mixing additive secondary colors subtractively one can reachieve the primary additive colors . Subtractive mixing is used to create a variety of colors when printing on paper by combining a small number of ink colors , and also when painting . Red is created by mixing magenta and yellow ( removing green and blue ) . Green is created by mixing cyan and yellow ( removing red and blue respectively ) . Blue is created by mixing cyan and magenta ( removing red and green ) . Black can be approximated by mixing cyan , magenta , and yellow , although real pigments are not ideal and so pure black is nearly impossible to achieve .   See also ( edit )    Color theory   Subtractive color   Additive color   Impossible colors    External links ( edit )    Interactive Java applet on the additive mixing of RGB colors by Wolfgang Bauer   Interactive Java applet on the subtractive mixing of CYM colors by Wolfgang Bauer    References ( edit )    Macaulay , David and Neil Ardley ( 1988 ) . The New Way Things Work . London : Dorling Kindersley Ltd . ISBN 0 - 395 - 93847 - 3 .      ( hide )         Color topics       Red   Orange   Yellow   Green   Cyan   Blue   Indigo   Violet   Purple   Magenta   Pink   Brown   White   Gray   Black       Color science      Color physics     Electromagnetic spectrum   Light   Rainbow   Visible     Spectral colors   Chromophore   Structural coloration   Animal coloration     On Vision and Colors   Metamerism   Spectral power distribution         Color perception     Color vision   Color blindness   Achromatopsia     test     Tetrachromacy   Color constancy   Color term     Color depth   Color photography   Spot color   Color printing   Web colors   Color mapping   Color code   Color management   Chrominance   False color     Chroma key   Color balance   Color cast   Color temperature   Eigengrau       Color psychology     Color symbolism   Color preferences   Lüscher color test   Kruithof curve   Political color   National colors   Chromophobia   Chromotherapy            Color philosophy      Color space     Color model   additive   subtractive     Color mixing   Primary color   Secondary color   Tertiary color ( intermediate )   Quaternary color   Quinary color   Aggressive color ( warm )   Receding color ( cool )     Pastel colors   Color gradient       Color scheme     Color tool   Monochromatic colors   Complementary colors   Analogous colors   Achromatic colors ( Neutral )   Polychromatic colors     Impossible colors   Light - on - dark   Tinctures in heraldry       Color theory     Chromaticity diagram   Color solid   Color wheel   Color triangle   Color analysis ( art )   Color realism ( art style )          Color terms      Basic terms     Blue   Green   Red   Yellow   Pink   Purple   Orange   Black   Gray   White   Brown       Cultural differences     Linguistic relativity and the color naming debate   Blue -- green distinction in language     Color history   Color in Chinese culture   Traditional colors of Japan   Human skin color         Color dimensions     Hue   Dichromatism     Colorfulness ( chroma and saturation )   Tints and shades   Lightness ( tone and value )   Grayscale          Color organizations     Pantone   Color Marketing Group   The Color Association of the United States   International Colour Authority   International Commission on Illumination ( CIE )   International Color Consortium   International Colour Association       Lists     List of colors : A -- F   List of colors : G -- M   List of colors : N -- Z   List of colors ( compact )   List of colors by shade   List of color palettes   List of color spaces   List of Crayola crayon colors   history   pencil colors   marker colors     Color chart   List of fictional colors   List of RAL colors   List of web colors       Related     Vision   Image processing   Multi-primary color display   Quattron     Qualia   Lighting   Local color ( visual art )           Portal   Index of color - related articles      Retrieved from `` https://en.wikipedia.org/w/index.php?title=Color_mixing&amp;oldid=836825914 '' Categories :   Color   Light           Talk                                           Contents                   About Wikipedia                                           Deutsch   Hrvatski   Svenska   Edit links   This page was last edited on 17 April 2018 , at 02 : 21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</si>
  <si>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mix red and green to make this colour</t>
  </si>
  <si>
    <t xml:space="preserve"> By convention , the three primary colors in additive mixing are red , green , and blue . In the absence of color , when no colors are showing , the result is black . If all three primary colors are showing , the result is white . When red and green combine , the result is yellow . When red and blue combine , the result is magenta . When blue and green combine , the result is cyan . </t>
  </si>
  <si>
    <t xml:space="preserve">Hindu calendar - Wikipedia  Hindu calendar  Jump to : navigation , search A page from the Hindu calendar 1871 - 72  Hindu calendar is a collective term for the various lunisolar calendars traditionally used in Hinduism . They adopt a similar underlying concept for timekeeping , but differ in their relative emphasis to moon cycle or the sun cycle and the names of months and when they consider the New Year to start . Of the various regional calendars , the most studied and known Hindu calendars are the Vikrami calendar ( Bikrami ) found in northern , western and central regions of the Indian subcontinent , Tamil calendar found in the south , and the Bengali calendar found in the east -- all of which emphasize the lunar cycle , their new year starts in spring , with their heritage dating back to 1st millennium BCE . In contrast , in regions such as Kerala , the solar cycle is emphasized and this is called the Malayalam calendar , their new year starts in autumn , and these have origins in the second half of the 1st millennium CE . A Hindu calendar is sometimes referred to as Panchanga ( पञ्चाङ्ग ) .   The ancient Hindu calendar is similar in conceptual design to the Jewish calendar , but different from the Gregorian calendar . Unlike Gregorian calendar which adds additional days to lunar month to adjust for the mismatch between twelve lunar cycles ( 354 lunar days ) and nearly 365 solar days , the Hindu calendar maintains the integrity of the lunar month , but insert an extra full month by complex rules , every few years , to ensure that the festivals and crop related rituals fall in the appropriate season .   The Hindu calendars have been in use in the Indian subcontinent since ancient times , and remains in use by the Hindus in India and Nepal particularly to set the Hindu festival dates such as Holi , Maha Shivaratri , Vaisakhi , Raksha Bandhan , Pongal , Onam , Krishna Janmashtami , Durga Puja , Ramlila , Vishu and Diwali . Early Buddhist communities of India adopted the ancient Indian calendar , later Vikrami calendar and then local Buddhist calendars . Buddhist festivals continue to be scheduled according to a lunar system . The Buddhist calendar and the traditional lunisolar calendars of Cambodia , Laos , Myanmar , Sri Lanka and Thailand are also based on an older version of the Hindu calendar . Similarly , the ancient Jainism traditions have followed the same lunisolar system as the Hindu calendar for festivals , texts and inscriptions . However , the Buddhist and Jaina timekeeping systems have attempted to use the Buddha and the Mahavira lifetimes as the reference point .   The Hindu calendar is also important to the practice of Hindu astrology and zodiac system , most of which it adopted from Greece , in centuries after the arrival of Alexander the Great . The Indian national calendar or `` Saka calendar '' was redesigned in an effort that started in 1952 based on the traditional Hindu calendars , and it was adopted on March 22 , 1957 .     Contents  ( hide )   1 Origins   2 Texts   2.1 Astrology   2.2 Balinese Hindu calendar     3 Year : Samvat   4 Months   4.1 Amanta , Purnimanta systems   4.2 Paksha   4.3 Month names   4.4 Months and approximate correspondence   4.5 Corrections between lunar and solar months   4.5. 1 Rare corrections       5 Day   5.1 Weekday / Vāsara   5.2 Five limbs of time   5.2. 1 Yoga   5.2. 2 Karaṇa   5.2. 3 Naksatra       6 Festival calendar : solar and lunar dates   7 Regional variants   8 See also   9 Notes   10 References   10.1 Bibliography     11 Further reading   12 External links      Origins ( edit )  Time keeping  ( The current year ) minus one , multiplied by twelve , multiplied by two , added to the elapsed ( half months of current year ) , increased by two for every sixty ( in the sun ) , is the quantity of half - months ( syzygies ) .  -- Rigveda Jyotisha - vedanga 4 Translator : Kim Plofker  Time keeping was important to Vedic rituals , and Jyotisha was the Vedic era field of tracking and predicting the movements of astronomical bodies in order to keep time , in order to fix the day and time of these rituals . This study was one of the six ancient Vedangas , or ancillary science connected with the Vedas -- the scriptures of Hinduism . The ancient Indian culture developed a sophisticated time keeping methodology and calendars for Vedic rituals .   David Pingree has proposed that the field of timekeeping in Jyotisha may have been `` derived from Mesopotamia during the Achaemenid period '' , but Yukio Ohashi considers this proposal as `` definitely wrong '' . Ohashi states that this Vedanga field developed from actual astronomical studies in ancient India . The texts of Vedic Jyotisha sciences were translated into the Chinese language in the 2nd and 3rd centuries CE , and the Rigvedic passages on astronomy are found in the works of Zhu Jiangyan and Zhi Qian .   Timekeeping as well as the nature of solar and moon movements are mentioned in Vedic texts . For example , Kaushitaki Brahmana chapter 19.3 mentions the shift in the relative location of the sun towards north for 6 months , and south for 6 months .   The Vikrami calendar is named after king Vikramaditya and starts in 57 BCE .   Texts ( edit )   Hindu scholars attempted to keep time by observing and calculating the cycles of sun ( Surya ) , moon and the planets . These calculations about the sun appears in various Sanskrit astronomical texts in Sanskrit , such as the 5th century Aryabhatiya by Aryabhata , the 6th century Romaka by Latadeva and Panca Siddhantika by Varahamihira , the 7th century Khandakhadyaka by Brahmagupta and the 8th century Sisyadhivrddida by Lalla . These texts present Surya and various planets and estimate the characteristics of the respective planetary motion . Other texts such as Surya Siddhanta dated to have been complete sometime between the 5th century and 10th century present their chapters on various planets with deity mythologies .   The manuscripts of these texts exist in slightly different versions , present Surya - and planets - based calculation and its relative motion to earth . These vary in their data , suggesting that the text were open and revised over their lives . For example , the 1st millennium CE Hindu scholars had estimated the sidereal length of a year as follows , from their astronomical studies , with slightly different results :   Sanskrit texts : How many days in a year ?   Hindu text   Estimated length of the sidereal year     Surya Siddhanta   365 days , 6 hours , 12 minutes , 36.56 seconds     Paulica Siddhanta   365 days , 6 hours , 12 minutes , 36 seconds     Paracara Siddhanta   365 days , 6 hours , 12 minutes , 31.50 seconds     Arya Siddhanta   365 days , 6 hours , 12 minutes , 30.84 seconds     Laghu Arya Siddhanta   365 days , 6 hours , 12 minutes , 30 seconds     Siddhanta Shiromani   365 days , 6 hours , 12 minutes , 9 seconds     The Hindu texts used the lunar cycle for setting months and days , but the solar cycle to set the complete year . This system is similar to the Jewish and Babylonian ancient calendars , creating the same challenge of accounting for mismatch between the nearly 354 lunar days in twelve months , versus nearly 365 solar days in a year . They tracked the solar year by observing the entrance and departure of surya ( sun , at sunrise and sunset ) in the constellation formed by stars in the sky , which they divided into 12 intervals of 30 degrees each . Like other ancient human cultures , Hindus innovated a number of systems of which intercalary months became most used , that is adding another month every 32.5 months on average . As their calendar keeping and astronomical observations became more sophisticated , the Hindu calendar became more sophisticated with complex rules and greater accuracy .   According to Scott Montgomery , the siddhanta tradition at the foundation of Hindu calendars predate the Christian era , once had 18 texts of which only 5 have survived into the modern era . These texts provide specific information and formulae on motions of sun , moon and planets , to predict their future relative positions , equinoxes , rise and set , with corrections for prograde , retrograde motions , as well as parallax . These ancient scholars attempted to calculate their time to the accuracy of a truti ( 29.63 microseconds ) . In their pursuit of accurate tracking of relative movements of celestial bodies for their calendar , they had computed the diameter of earth , which though not accurate , was very close to the actual 7,918 miles .   Hindu calendars were refined during the Gupta era astronomy by Āryabhaṭa and Varāhamihira in the 5th to 6th century . These in turn were based in the astronomical tradition of Vedāṅga Jyotiṣa , which in the preceding centuries had been standardised in a number of ( non-extant ) works known as Sūrya Siddhānta . Regional diversification took place in the medieval period . The astronomical foundations were further developed in the medieval period , notably by Bhāskara II ( 12th century ) .   Astrology ( edit )   Later , the term Jyotisha evolved to include Hindu astrology . The astrological application of Hindu calendar was a field that likely developed in the centuries after the arrival of Greek astrology with Alexander the Great , because their zodiac signs are nearly identical .   The ancient Hindu texts on Jyotisha only discuss time keeping , and never mention astrology or prophecy . These ancient texts predominantly cover astronomy , but at a rudimentary level . Technical horoscopes and astrology ideas in India came from Greece , states Nicholas Campion , and developed in the early centuries of the 1st millennium CE . Later medieval era texts such as the Yavana - jataka and the Siddhanta texts are more astrology - related .   Balinese Hindu calendar ( edit )   Hinduism and Buddhism were the prominent religions of southeast Asia in the 1st millennium CE , prior to the Islamic conquest that started in the 14th century . The Hindus prevailed in Bali , Indonesia and they have two types of Hindu calendar . One is a 210 - day based Pawukon calendar which likely is a pre-Hindu system , and another is similar to lunisolar calendar system found in South India and it is called the Balinese saka calendar which uses Hindu methodology . The names of month and festivals of Balinese Hindus for the most part are different , though the significance and legends have some overlap .   Year : samvat ( edit )   Samvat refers to era of the several Hindu calendar systems in India and Nepal , in a manner the 0 AD marks the Christian era and the BC / AD system . There are several samvat found in historic Buddhist , Hindu and Jaina texts and epigraphy , of which three are most significant : Vikrama era , Old Shaka era and Shaka era of 78 AD .  The Hindu calendar saka samvat system is found in Indonesian inscriptions , such as the above dated to 611 CE .   Vikram Samvat : A northern India almanac which started in 57 BCE , and is also called the Vikrama Era . It is related to the Bikrami calendar , and is linked to Vikramaditya . This system is common in epigraphic evidence from northern , western , central and eastern Indian subcontinent , particularly after the early centuries of the 1st millennium CE .   Shaka Samvat : There are two Shaka era system in scholarly use , one is called Old Shaka Era , whose epoch is uncertain , probably sometime in the 1st millennium BCE because ancient Buddhist , Jaina and Hindu inscriptions and texts use it . However , the starting point of Old Shaka Era is a subject of dispute among scholars . The second system is called Saka Era of 78 AD , or simply Saka Era , a system that is common in epigraphic evidence from southern India .   Saka era of Southeast Asia : The Hindu calendar system in Indonesia is attributed to the legend of Hindus arriving with a sage Aji Saka in the 1st century Java , in the March of 78 CE . Numerous ancient and medieval era texts and inscriptions found in Indonesian islands use this reference year . In mainland southeast Asia , the earliest verifiable use of Hindu Saka methodology in inscriptions is marked Saka 533 in Ankor Borei , which corresponds to 611 CE , while in the Indonesian islands , the Kedukan Bukti inscription in Sumatra , marked to Saka 605 ( 683 CE ) is one of the earliest known . However , these inscriptions set the floruit , and the Hindu calendaring methodology likely existed in southeast Asia before these dates to be used in important monuments . Further , the Hindu calendar system remained popular among the Hindus through about the 15th century , and thereafter in Bali Indonesia .   Indian national calendar ( modern ) : combined many Hindu calendars into one official standardized one , but old ones remain in use .    Months ( edit )  Play media The astronomical basis of the Hindu lunar day . Also illustrates Kshaya Tithi ( Vaishaka - Krishna - Chaturdashi ( i.e. 14th ) ) and Adhika Tithi ( Jyeshta - Shukla - Dashami ( i.e. 10th ) )  Amanta , Purnimanta systems ( edit )   Two traditions have been followed in the Indian subcontinent with respect to lunar months : Amanta tradition which ends the lunar month on no moon day , while Purnimanta tradition which ends it on full moon day .   Amavasyant ( Amanta , Mukhyamana ) tradition is followed by all Indian states that have a peninsular coastline ( except Odisha ) , as well as Assam and Tripura . Odisha and all other states follow the Purnimanta ( Gaunamana ) tradition .   Purnimanta tradition was being followed in the Vedic era . It was replaced with Amanta system and in use as the Hindu calendar system prior to 1st century BCE , but the Purnimanta tradition was restarted in 57 BCE by Vikramaditya who wanted to return to the Vedic roots . The presence of this system is one of the factors considered in dating ancient manuscripts and epigraphical evidence of India that have survived into the modern era .   Paksha ( edit )   A month contains two fortnights called pakṣa ( पक्ष , literally `` side '' ) . One fortnight is the bright , waxing half where the moon size grows and it ends in the full moon . The other half is the darkening , waning fortnight which ends in the new moon . The Hindu festivals typically are either on or the day after the full moon night , or the darkest night ( amavasya , अमावास्या ) , except for some associated with Krishna , Durga or Rama . The lunar months of the hot summer and the busy major cropping - related part of the monsoon season typically do not schedule major festivals .   A combination of the Paksha system , and the two traditions of Amanta and Purnimanta systems , has led to alternate ways of dating any festival or event in the historic Hindu , Buddhist or Jain literature , and contemporary regional literature or festival calendars . For example , the Hindu festival of colors called Holi falls on the first day ( full moon ) of Chaitra lunar month 's dark fortnight in the Purnimanta system , while the same exact day for Holi is expressed in Amanta system as the Purnima ( full moon ) lunar day of Phalguna . Both time measuring and dating systems are equivalent ways of meaning the same thing , they continue to be in use in different regions , though the Purnimanta system is now typically assumed as implied in modern Indology literature if not specified .   Month names ( edit )   There are 12 months in Hindu lunar calendar ( Sanskrit : मासाः ) . If the transits of the Sun through various constellations ( Rāśi ) are used , then we get solar months , which do not shift with reference to the Gregorian calendar . The solar months along with the corresponding Hindu seasons and Gregorian months are :     Vikrami solar months   Vikrami lunar months   Gregorian months   Ṛtu ( season )   Hindi / Marathi name   Bengali name   Kannada name   Malayalam name   Odia name   Tamil name   Telugu name     Meṣa   Vaisakha   Apr - May   Grīṣma  ( summer )    ग्रीष्म   গ্রীষ্ম ( Grishmô )   ಗ್ರೀಷ್ಮ ಋತು ( Grīṣma Ṛtu )   ഗ്രീഷ്മം ( Grīṣmam )   ଗ୍ରୀଷ୍ମ ( Griṣma )   இளவேனில் ( ilavenil )   గ్రీష్మ ఋతువు ( Grīṣma Ṛtuvu )     Vṛṣabha   Jyeshtha   May -- June     Mithuna   Ashadha   June -- July   Varṣā  ( monsoon )    वर्षा   বর্ষা ( Bôrsha )   ವರ್ಷ ಋತು ( Varṣa Ṛtu )   വര്‍ഷം‌ ( Varṣām )   ବର୍ଷା ( Barṣā )   முதுவேனில் ( mudhuvenil )   వర్ష ఋతువు ( Varṣa Ṛtuvu )     Karkaṭa   Shraavana   July - Aug     Siṃha   Bhadra   Aug - Sept   Śarad  ( autumn )    शरद   শরৎ ( Shôrôt )   ಶರದೃತು ( Śaradṛtu )   ശരത്‌ ( Śarat )   ଶରତ ( Śarata )   கார் ( kaar )   శరదృతువు ( Śaradṛtuvu )     Kanyā   Ashvin   Sept - Oct     Tulā   Kartik   Oct - Nov   Hemanta  ( Late - Autumn )    हेमंत   হেমন্ত ( Hemôntô )   ಹೇಮಂತ ಋತು ( Hēmaṃta Ṛtu )   ഹേമന്തം‌ ( Hemantam )   ହେମନ୍ତ ( Hemanta )   குளிர் ( kulir )   హేమంత ఋతువు ( Hēmaṃta Ṛtuvu )     Vṛścik‌‌‌a   Agahana   Nov - Dec     Dhanu   Pausha   Dec - Jan   Śiśira  ( Winter )    शिशिर   শীত ( Shīth )   ಶಿಶಿರ ಋತು ( Śiśira Ṛtu )   ശിശിരം‌ ( Śiśiram )   ଶୀତ / ଶିଶିର ( Śīta / Śiśira )   முன்பனி ( munpani )   శిశిర ఋతువు ( Śiśira Ṛtuvu )     Makara   Magha   Jan - Feb     Kumbha   Phalguna   Feb - Mar   Vasanta  ( spring )    वसंत   বসন্ত ( Bôsôntô )   ವಸಂತ ಋತು ( Vasaṃta Ṛtu )   വസന്തം‌ ( Vasaṃtam )   ବସନ୍ତ ( Basanta )   பின்பனி ( pinpani )   వసంత ఋతువు ( Vasaṃta Ṛtuvu )     Mīna   Chaitra   Mar - Apr     Months and approximate correspondence ( edit )   The names of the Indian months vary by region . Despite the significant differences between Indo - European languages and Dravidian languages , those Hindu calendars which are based on lunar cycle are generally phonetic variants of each other , while the solar cycle are generally variants of each other too , suggesting that the time keeping knowledge travelled widely across the Indian subcontinent in ancient times .   The Tamil lunar month names are forward shifted by a month compared to Vikrami month names , in part because Tamil calendar integrates greater emphasis for the solar cycle in a manner similar to the neighboring Kerala region and it follows the Amanta system for lunar months . This is in contrast to Vikrami calendar which keeps the Purnimanta system and emphasizes the lunar cycle . A few major calendars are summarized below :   Calendar month names in different Hindu calendars   #   Vikrami ( lunar )   Assamese   Bengali   Tamil   Odia   Vikrami ( solar )   Malayalam ( solar )   Gregorian       Vaisākha   Bohag   Boishak   Chithirai   Boisakho   Mesha   Medam   April -- May       Jyeshta   Zeth   Joistho   Vaigasi   Jyestho   Vrisha   Edavam   May -- June       Āshāda   Ahar   Ashshar   Aani   Asadho   Mithuna   Midunam   June -- July       Shraavana   Xaün   Shrabon   Aadi   Srabono   Karka   Karkadakam   July -- August     5   Bhādra   Bhado   Bhadro   Aavani   Bhadrobo   Singa   Chingam   August -- September     6   Ashwina   Ahin   Ashshin   Purataasi   Aswino   Kanya   Kanni   September -- October     7   Kartika   Kati   Kartik   Aippasi   Kartiko   Tula   Tulam   October -- November     8   Mārgasirsa ( Agrahayana )   Aghün   Agrohoyon   Kartiggai   Margasira   Vrischika   Vrischikam   November -- December     9   Pausha   Puh   Poush   Margazhi   Pouso   Dhanus   Dhanu   December -- January     10   Māgha   Magh   Magh   Thai   Magho   Makara   Makaram   January -- February     11   Phālguna   Phagun   Falgun   Maasi   Phalguno   Kumbha   Kumbham   February -- March     12   Chaitra   Sót   Choitro   Panguni   Choitro   Mina   Minuam   March -- April     Corrections between lunar and solar months ( edit )  Play media The astronomical basis of the Hindu lunar months . Also illustrates Adhika Masa ( Year 2 - Bhadrapada ) repeats ; the first time the Sun moves entirely within Simha Rashi thus rendering it an Ashika Masa  Twelve Hindu mas ( māsa , lunar month ) are equal to approximately 354 days , while the length of a sidereal ( solar ) year is about 365 days . This creates a difference of about eleven days , which is offset every ( 29.53 / 10.63 ) = 2.71 years , or approximately every 32.5 months . The twelve months are subdivided into six lunar seasons timed with the agriculture cycles , blooming of natural flowers , fall of leaves , and weather . To account for the mismatch between lunar and solar calendar , the Hindu scholars adopted intercalary months , where a particular month just repeated . The choice of this month was not random , but timed to sync back the two calendars to the cycle of agriculture and nature .   The repetition of a month created the problem of scheduling festivals , weddings and other social events without repetition and confusion . This was resolved by declaring one month as Shudha ( pure , clean , regular , proper , also called Deva month ) and the other Mala or Adhika ( extra , unclean and inauspicious , also called Asura masa ) .   The Indian mathematicians who calculated the best way to adjust the two years , over long periods of a yuga ( era , tables calculating 1000 of years ) , they determined that the best means to intercalate the months is to time the intercalary months on a 19 - year cycle . This intercalation is generally adopted in the 3rd , 5th , 8th , 11th , 14th , 16th and 19th year of this cycle . Further , the complex rules rule out the repetition of Mārgasirsa ( also called Agahana ) , Pausha and Maagha lunar months . The historic Hindu texts are not consistent on these rules , with competing ideas flourishing in the Hindu culture .  Rare corrections ( edit )  The Hindu calendar makes further rare adjustments , over a cycle of centuries , where a certain month is considered kshaya month ( dropped ) . This occurs because of the complexity of the relative lunar , solar and earth movements . According to the Hindu calendar theory , states uriel Marion Underhill , `` when the sun is in perigee , and a lunar month being at its longest , if the new moon immediately precedes a samkranti , then the first of the two lunar months is deleted ( called nija or kshaya ) . This , for example , happened in the year 1 BCE , when there was no new moon between Makara samkranti and Kumbha samkranti , and the month of Pausha was dropped .   Day ( edit )   Just like months , the Hindu calendar has two measures of a day , one based on the lunar movement and the other on solar . The solar day or civil day , called divasa ( दिवस ) , has been what most Hindus traditionally use , is easy and empirical to observe , by poor and rich , with or without a clock , and it is defined as the period from one sunrise to another . The lunar day is called tithi ( तिथि ) , and this is based on complicated measures of lunar movement . A lunar day or tithi may , for example , begin in the middle of an afternoon and end next afternoon . Both these days do not directly correspond to a mathematical measure for a day such as equal 24 hours of a solar year , a fact that the Hindu calendar scholars knew , but the system of divasa was convenient for the general population . The tithi have been the basis for timing rituals and festivals , while divasa for everyday use . The Hindu calendars adjust the mismatch in divasa and tithi , using a methodology similar to the solar and lunar months .   A Tithi is technically defined in Indian texts , states John E. Cort , as `` the time required by the combined motions of the sun and moon to increase ( in a bright fortnight ) or decrease ( in a dark fortnight ) their relative distance by twelve degrees of the zodiac . These motions are measured using a fixed map of celestial zodiac as reference , and given the elliptical orbits , a duration of a tithi varies between 21.5 and 26 hours , states Cort . However , in the Indian tradition , the general population 's practice has been to treat a tithi as a solar day between one sunrise to next .   A lunar month has 30 tithi . The technical standard makes each tithi contain different number of hours , but helps the overall integrity of the calendar . Given the variation in the length of a solar day with seasons , and moon 's relative movements , the start and end time for tithi varies over the seasons and over the years , and the tithi adjusted to sync with divasa periodically with intercalation .   Weekday / vāsara ( edit )   Vāsara refers to the weekdays in Sanskrit . Also referred to as Vara and used as a suffix , the Indian names for the weekdays based on zodiac planets was adopted from the Greeks around the 3rd century CE , because they are not mentioned in earlier Sanskrit or Pali texts , nor are they found in any ancient inscriptions . The correspondence between the names of the week in Hindu and other Indo - European calendars are exact . The weekday of a Hindu calendar has been symmetrically divided into 60 ghatika ( = 24 hours ) , each ghatika is divided into 60 pala ( = 24 minutes ) , each pala is subdivided into 60 vipala ( = 24 seconds ) , and so on .   Names of the weekdays in regional languages   No .   Sanskrit   Latin weekday   Celestial object   Hindi   Bhojpuri   Punjabi ( Hindus and Sikhs )   Bengali   Marathi   Odia   Kannada   Telugu   Tamil   Malayalam   Gujarati   Nepali       Raviv āsara रविवासर or Aditya vāsara आदित्य वासर   Sunday / dies Solis   Ravi , Aditya = Sun   Ravivār रविवार   Aitwār एतवार   Aitvār ਐਤਵਾਰ   Rôbibār রবিবার   Ravivār रविवार   Rabibāra ରବିବାର   Bhānuvāra ಭಾನುವಾರ   Ādivāraṁ ఆదివారం   Nyayiru ஞாயிறு   Njaayar ഞായർ   Ravivār રવિવાર   Aaitabar आइतवार       Somav āsara सोमवासर   Monday / dies Lunae   Soma ( deity ) , Chandra = Moon   Somavār सोमवार   Somār सोमार   Somavār ਸੋਮਵਾਰ   Shombār সোমবার   Somavār सोमवार   Somabāra ସୋମବାର   Sōmavāra ಸೋಮವಾರ   Sōmavāraṁ సోమవారం   Thingal திங்கள்   Thinkal തിങ്കൾ   Sōmavār સોમવાર   Sombar सोमवार       Maṅgalav āsara मंगलवासर or Bhaumavasara भौम वासर   Tuesday / dies Martis   Maṅgala = Mars   Maṅgalavār मंगलवार   Mangar मंगर   Maṅgalavār ਮੰਗਲਵਾਰ   Môngôlbār মঙ্গলবার   Maṅgaḷavār मंगळवार   Maṅgaḷabāra ମଙ୍ଗଳବାର   Maṁgaḷavāra ಮಂಗಳವಾರ   Maṁgaḷavāraṁ మంగళవారం   Chevvai செவ்வாய்   Chovva ചൊവ്വ   Maṅgaḷavār મંગળવાર   Mangalbar मंगलवार       Budhav āsara बुधवासर or Saumya vasara सौम्य वासर   Wednesday / dies Mercurii   Budha = Mercury   Budhav āra बुधवार   Buddh बुध   Buddhavār ਬੁੱਧਵਾਰ   Budhbār বুধবার   Budhav ār बुधवार   Budhab āra ବୁଧବାର   Budhav āra ಬುಧವಾರ   Budhav āraṁ బుధవారం   Arivan ( Tamil tradition ) / puthan அறிவன் / புதன்   Budhan ബുധൻ   Budhav ār બુધવાર   Budhabar बुधवार     5   Guruv āsara गुरुवासर or Brhaspati vāsara बृहस्पतिवासर   Thursday / dies Iovis / Jupiter   Deva - Guru Bṛhaspati = Jupiter   Guruv ār गुरुवार or Brihaspativ āra बृहस्पतिवार   Bi'phey बियफे   Vīravār ਵੀਰਵਾਰ   Brihôshpôtibār বৃহস্পতিবার   Guruv ār गुरुवार   Gurub āra ଗୁରୁବାର   Guruv āra ಗುರುವಾರ   Guruvāraṁ , Br̥haspativāraṁ గురువారం , బృహస్పతివారం , లక్ష్మీవారం   Vyazhan வியாழன்   Vyaazham വ്യാഴം   Guruv ār ગુરુવાર   Bihibar बिहिवार     6   Śukrav āsara शुक्रवासर   Friday / dies Veneris   Śukra = Venus   Śukravār शुक्रवार   Sukkar सुक्कर   Śukkaravār ਸ਼ੁੱਕਰਵਾਰ   Shukrôbār শুক্রবার   Śukravār शुक्रवार   Śukrabāra ଶୁକ୍ରବାର   Śukravāra ಶುಕ್ರವಾರ   Śukravāraṁ శుక్రవారం   Velli வெள்ளி   Velli വെള്ളി   Śukravār શુક્રવાર   Sukrabar शुक्रवार     7   Śaniv āsara शनिवासर   Saturday / dies Saturnis   Śani = Saturn   Śanivār शनिवार   Sanichchar सनिच्चर   Śanīvār ਸ਼ਨੀਵਾਰ Chhanicchharavār ਛਨਿੱਚਰਵਾਰ   Shônibār শনিবার   Śanivār शनिवार   Śanibāra ଶନିବାର   Śanivāra ಶನಿವಾರ   Śanivāraṁ శనివారం   Kaari ( Tamil tradition ) / shani காரி / சனி   Shani ശനി   Śanivār શનિવાર   Sanibar शनिवार     The term - vāsara is often realised as vāra or vaar in Sanskrit - derived and influenced languages . There are many variations of the names in the regional languages , mostly using alternate names of the celestial bodies involved .   Five limbs of time ( edit )   The complete Indian calendars contain five angas or parts of information : lunar day ( tithi ) , solar day ( vara ) , asterism ( naksatra ) , planetary joining ( yoga ) and astronomical period ( karanam ) . This structure gives the calendar the name Panchangam . The first two are discussed above .  Yoga ( edit )      This section needs additional citations for verification . Please help improve this article by adding citations to reliable sources . Unsourced material may be challenged and removed . ( March 2010 ) ( Learn how and when to remove this template message )     The Sanskrit word Yoga means `` union , joining , attachment '' , but in astronomical context , this word means latitudinal and longitudinal information . The longitude of the sun and the longitude of the moon are added , and normalised to a value ranging between 0 ° to 360 ° ( if greater than 360 , one subtracts 360 ) . This sum is divided into 27 parts . Each part will now equal 800 ' ( where ' is the symbol of the arcminute which means 1 / 60 of a degree ) . These parts are called the yogas . They are labelled :    Viṣkambha   Prīti   Āyuśmān   Saubhāgya   Śobhana   Atigaṇḍa   Sukarma   Dhṛti   Śūla   Gaṇḍa   Vṛddhi   Dhruva   Vyāghatā   Harṣaṇa   Vajra   Siddhi   Vyatipāta   Variyas   Parigha   Śiva   Siddha   Sādhya   Śubha   Śukla   Brahma   Māhendra   Vaidhṛti    Again , minor variations may exist . The yoga that is active during sunrise of a day is the prevailing yoga for the day .  Karaṇa ( edit )  A karaṇa is half of a tithi . To be precise , a karaṇa is the time required for the angular distance between the sun and the moon to increase in steps of 6 ° starting from 0 ° . ( Compare with the definition of a tithi . )   Since the tithis are 30 in number , and since 1 tithi = 2 karaṇas , therefore one would logically expect there to be 60 karaṇas . But there are only 11 such karaṇas which fill up those slots to accommodate for those 30 tithis . There are actually 4 `` fixed '' ( sthira ) karaṇas and 7 `` repeating '' ( cara ) karaṇas .   The 4    Śakuni ( शकुनि )   Catuṣpāda ( चतुष्पाद )   Nāga ( नाग )   Kiṃstughna ( किंस्तुघ्न )    The 7 `` repeating '' karaṇas are :    Vava or Bava ( बव )   Valava or Bālava ( बालव )   Kaulava ( कौलव )   Taitila or Taitula ( तैतिल )   Gara or Garaja ( गरज )   Vaṇija ( वणिज )   Viṣṭi ( Bhadra ) ( भद्रा )     Now the first half of the 1st tithi ( of Śukla Pakṣa ) is always Kiṃtughna karaṇa . Hence this karaṇa ' is `` fixed '' .   Next , the 7 - repeating karaṇas repeat eight times to cover the next 56 half - tithis . Thus these are the `` repeating '' ( cara ) karaṇas .   The 3 remaining half - tithis take the remaining `` fixed '' karaṇas in order . Thus these are also `` fixed '' ( sthira ) .   Thus one gets 60 karaṇas from those 11 preset karaṇas .    The Vedic day begins at sunrise . The karaṇa at sunrise of a particular day shall be the prevailing karaṇa for the whole day .  Naksatra ( edit )  Nakshatras are divisions of ecliptic , each 13 ° 20 ' , starting from 0 ° Aries . The purnima of each month is synchronised with a nakshatra .   Festival calendar : solar and lunar dates ( edit )   Many holidays in the Hindu , Buddhist and Jaina traditions are based on the lunar cycles in the lunisolar timekeeping with foundations in the Hindu calendar system . A few holidays , however , are based on the solar cycle , such as the Vaisakhi , Pongal and those associated with Sankranti . The dates of the lunar cycle based festivals vary significantly on the Gregorian calendar and sometimes as much as weeks . The solar cycle based ancient Indian festivals almost always fall on the same Gregorian date every year and if they vary in an exceptional year , it is by one day .   Regional variants ( edit )   The Indian Calendar Reform Committee , appointed in 1952 , identified more than thirty well - developed calendars , in use across different parts of India .   Variants include the lunar emphasizing Vikrama , the Shalivahana calendars , as well as the solar emphasizing Tamil calendar and Malayalam calendar . The two calendars most widely used today are the Vikrama calendar which is followed in Nepal as national calendar and also in the Indian regions like western and northern India and the Shalivahana or Saka calendar which is followed in Andhra Pradesh , Karnataka , Maharashtra and Goa .   See also ( edit )    Hindu astrology   Hindu chronology   Hindu units of measurement   List of Hindu festivals   Panchangam   Panjika   Ancient Vedic units of measurement   Perpetual Calendar of 800 Years   Pambu Panchangam   Kollam era    Notes ( edit )    Jump up ^ Punjabi Muslims use Urdu / Arabic words for Friday / Saturday etc .    References ( edit )    ^ Jump up to : B. Richmond ( 1956 ) . Time Measurement and Calendar Construction . Brill Archive . pp. 80 -- 82 . Retrieved 2011 - 09 - 18 .   ^ Jump up to : Christopher John Fuller ( 2004 ) . The Camphor Flame : Popular Hinduism and Society in </t>
  </si>
  <si>
    <t xml:space="preserve">what month is it in the hindu calendar</t>
  </si>
  <si>
    <t xml:space="preserve">   Vikrami solar months   Vikrami lunar months   Gregorian months   Ṛtu ( season )   Hindi / Marathi name   Bengali name   Kannada name   Malayalam name   Odia name   Tamil name   Telugu name     Meṣa   Vaisakha   Apr - May   Grīṣma  ( summer )    ग्रीष्म   গ্রীষ্ম ( Grishmô )   ಗ್ರೀಷ್ಮ ಋತು ( Grīṣma Ṛtu )   ഗ്രീഷ്മം ( Grīṣmam )   ଗ୍ରୀଷ୍ମ ( Griṣma )   இளவேனில் ( ilavenil )   గ్రీష్మ ఋతువు ( Grīṣma Ṛtuvu )     Vṛṣabha   Jyeshtha   May -- June     Mithuna   Ashadha   June -- July   Varṣā  ( monsoon )    वर्षा   বর্ষা ( Bôrsha )   ವರ್ಷ ಋತು ( Varṣa Ṛtu )   വര്‍ഷം‌ ( Varṣām )   ବର୍ଷା ( Barṣā )   முதுவேனில் ( mudhuvenil )   వర్ష ఋతువు ( Varṣa Ṛtuvu )     Karkaṭa   Shraavana   July - Aug     Siṃha   Bhadra   Aug - Sept   Śarad  ( autumn )    शरद   শরৎ ( Shôrôt )   ಶರದೃತು ( Śaradṛtu )   ശരത്‌ ( Śarat )   ଶରତ ( Śarata )   கார் ( kaar )   శరదృతువు ( Śaradṛtuvu )     Kanyā   Ashvin   Sept - Oct     Tulā   Kartik   Oct - Nov   Hemanta  ( Late - Autumn )    हेमंत   হেমন্ত ( Hemôntô )   ಹೇಮಂತ ಋತು ( Hēmaṃta Ṛtu )   ഹേമന്തം‌ ( Hemantam )   ହେମନ୍ତ ( Hemanta )   குளிர் ( kulir )   హేమంత ఋతువు ( Hēmaṃta Ṛtuvu )     Vṛścik‌‌‌a   Agahana   Nov - Dec     Dhanu   Pausha   Dec - Jan   Śiśira  ( Winter )    शिशिर   শীত ( Shīth )   ಶಿಶಿರ ಋತು ( Śiśira Ṛtu )   ശിശിരം‌ ( Śiśiram )   ଶୀତ / ଶିଶିର ( Śīta / Śiśira )   முன்பனி ( munpani )   శిశిర ఋతువు ( Śiśira Ṛtuvu )     Makara   Magha   Jan - Feb     Kumbha   Phalguna   Feb - Mar   Vasanta  ( spring )    वसंत   বসন্ত ( Bôsôntô )   ವಸಂತ ಋತು ( Vasaṃta Ṛtu )   വസന്തം‌ ( Vasaṃtam )   ବସନ୍ତ ( Basanta )   பின்பனி ( pinpani )   వసంత ఋతువు ( Vasaṃta Ṛtuvu )     Mīna   Chaitra   Mar - Apr   </t>
  </si>
  <si>
    <r>
      <rPr>
        <sz val="11"/>
        <color rgb="FF000000"/>
        <rFont val="Calibri"/>
        <family val="0"/>
        <charset val="1"/>
      </rPr>
      <t xml:space="preserve">State Bank of India - Wikipedia  State Bank of India  Jump to : navigation , search  State Bank of India       State Bank Bhavan at Nariman Point in Mumbai     Type   Public     Traded as     NSE : SBIN   BSE : 500112   LSE : SBID   BSE SENSEX Constituent   CNX Nifty Constituent       Industry   Banking , financial services     Founded     2 June 1806 , Bank of Calcutta   27 January 1921 , Imperial Bank of India   1 July 1955 , State Bank of India   2 June 1956 , nationalization       Headquarters   Mumbai , Maharashtra , India     Area served   Worldwide     Key people   Rajnish Kumar ( Chairman )     Products   Consumer banking , corporate banking , finance and insurance , investment banking , mortgage loans , private banking , private equity , savings , securities , asset management , wealth management , credit cards     Revenue   ₹ 298,640.45 crore ( US $46 billion ) ( 2017 )     Operating income   ₹ 50,847.90 crore ( US $7.8 billion ) ( 2017 )     Net income   ₹ 10,484.10 crore ( US $1.6 billion ) ( 2017 )     Total assets   ₹ 2,705,966.30 crore ( US $410 billion ) ( 2017 )     Total equity   ₹ 144,274.65 crore ( US $22 billion ) ( 2016 )     Owner   Government of India ( 61.23 % )     Number of employees   209,567 ( 2017 )     Capital ratio   13.12 % ( 2016 )     Website   sbi.co.in     Footnotes / references     State Bank of India ( SBI ) is an Indian multinational , public sector banking and financial services company . It is a government - owned corporation with its headquarters in Mumbai , Maharashtra . On April 1 , 2017 , the State Bank of India , which was India 's largest bank , merged with five of its associate banks ( State Bank of Bikaner &amp; Jaipur , State Bank of Hyderabad , State Bank of Mysore , State Bank of Patiala and State Bank of Travancore ) , and with the Bharatiya Mahila Bank . This was the first ever large scale consolidation in the Indian banking industry . With the merger , SBI became one of the 50 largest banks in the world ( balance sheet size of ₹ 33 trillion , 278,000 employees , 420 million customers , and more than 24,000 branches and 59,000 ATMs ) . SBI 's market share was projected to increase to 22 percent from 17 per cent . It has 198 offices in 37 countries ; 301 correspondents in 72 countries . The company is ranked 232nd on the Fortune Global 500 list of the world 's biggest corporations as of 2016 .   The bank descends from the Bank of Calcutta , founded in 1806 , via the Imperial Bank of India , making it the oldest commercial bank in the Indian subcontinent . The Bank of Madras merged into the other two `` presidency banks '' in British India , the Bank of Calcutta and the Bank of Bombay , to form the Imperial Bank of India , which in turn became the State Bank of India in 1955 . The Government of India took control of the Imperial Bank of India in 1955 , with Reserve Bank of India ( India 's central bank ) taking a 60 % stake , renaming it the State Bank of India . In 2008 , the government took over the stake held by the Reserve Bank of India .   The State Bank of India has 20 % market share in deposits and loans among Indian commercial banks .     Contents  ( hide )   1 History   2 Operations   2.1 Domestic presence   2.2 International presence   2.3 Former Associate Banks   2.4 Non-banking subsidiaries   2.5 Other SBI service points     3 Listings and shareholding   4 Employees   5 Recent awards and recognition   6 See also   7 References   8 External links      History ( edit )  Share of the Bank of Bengal , issued 13 May 1876 Seal of Imperial Bank of India  The roots of the State Bank of India lie in the first decade of the 19th century , when the Bank of Calcutta later renamed the Bank of Bengal , was established on 2 June 1806 . The Bank of Bengal was one of three Presidency banks , the other two being the Bank of Bombay ( incorporated on 15 April 1840 ) and the Bank of Madras ( incorporated on 1 July 1843 ) . All three Presidency banks were incorporated as joint stock companies and were the result of royal charters . These three banks received the exclusive right to issue paper currency till 1861 when , with the Paper Currency Act , the right was taken over by the Government of India . The Presidency banks amalgamated on 27 January 1921 , and the re-organised banking entity took as its name Imperial Bank of India . The Imperial Bank of India remained a joint stock company but without Government participation .   Pursuant to the provisions of the State Bank of India Act of 1955 , the Reserve Bank of India , which is India 's central bank , acquired a controlling interest in the Imperial Bank of India . On 1 July 1955 , the imperial Bank of India became the State Bank of India . In 2008 , the Government of India acquired the Reserve Bank of India 's stake in SBI so as to remove any conflict of interest because the RBI is the country 's banking regulatory authority .   In 1959 , the government passed the State Bank of India ( Subsidiary Banks ) Act . This made SBI subsidiaries of eight that had belonged to princely states prior to their nationalization and operational takeover between September 1959 and October 1960 , which made eight state banks associates of SBI . This une with the first Five Year Plan , which prioritised the development of rural India . The government integrated these banks into the State Bank of India system to expand its rural outreach . In 1963 SBI merged State Bank of Jaipur ( est. 1943 ) and State Bank of Bikaner ( est. 1944 ) .   SBI has acquired local banks in rescues . The first was the Bank of Bihar ( est. 1911 ) , which SBI acquired in 1969 , together with its 28 branches . The next year SBI acquired National Bank of Lahore ( est. 1942 ) , which had 24 branches . Five years later , in 1975 , SBI acquired Krishnaram Baldeo Bank , which had been established in 1916 in Gwalior State , under the patronage of Maharaja Madho Rao Scindia . The bank had been the Dukan Pichadi , a small moneylender , owned by the Maharaja . The new bank 's first manager was Jall N. Broacha , a Parsi . In 1985 , SBI acquired the Bank of Cochin in Kerala , which had 120 branches . SBI was the acquirer as its affiliate , the State Bank of Travancore , already had an extensive network in Kerala .   There has been a proposal to merge all the associate banks into SBI to create a `` mega bank '' and streamline the group 's operations .   The first step towards unification occurred on 13 August 2008 when State Bank of Saurashtra merged with SBI , reducing the number of associate state banks from seven to six . On 19 June 2009 , the SBI board approved the absorption of State Bank of Indore . SBI holds 98.3 % in State Bank of Indore . ( Individuals who held the shares prior to its takeover by the government hold the balance of 1.7 % . )   The acquisition of State Bank of Indore added 470 branches to SBI 's existing network of branches . Also , following the acquisition , SBI 's total assets will approach ₹ 10 trillion . The total assets of SBI and the State Bank of Indore were ₹ 9,981,190 million as of March 2009 . The process of merging of State Bank of Indore was completed by April 2010 , and the SBI Indore branches started functioning as SBI branches on 26 August 2010 .   On 7 October 2013 , Arundhati Bhattacharya became the first woman to be appointed Chairperson of the bank . Mrs. Bhattacharya received an extension of two years of service to merge into SBI the five remaining associated banks .   Operations ( edit )   SBI provides a range of banking products through its network of branches in India and overseas , including products aimed at non-resident Indians ( NRIs ) . SBI has 14 regional hubs and 57 Zonal Offices that are located at important cities throughout India .   Domestic presence ( edit )   SBI has 18,354 branches in India . In the financial year 2012 -- 13 , its revenue was ₹ 2.005 trillion ( US $31 billion ) , out of which domestic operations contributed to 95.35 % of revenue . Similarly , domestic operations contributed to 88.37 % of total profits for the same financial year .   Under the Pradhan Mantri Jan Dhan Yojana of financial inclusion launched by Government in August 2014 , SBI held 11,300 camps and opened over 3 million accounts by September , which included 2.1 million accounts in rural areas and 1.57 million accounts in urban areas .   International presence ( edit )  The Israeli branch of the State Bank of India located in Ramat Gan  As of 2014 -- 15 , the bank had 191 overseas offices spread over 36 countries having the largest presence in foreign markets among Indian banks .   SBI operates several foreign subsidiaries or affiliates .   In 1989 , SBI established an offshore bank : State Bank of India International ( Mauritius ) Ltd in Mauritius . SBI International ( Mauritius ) Ltd amalgamated with The Indian Ocean International Bank , which has been doing retail banking business in Mauritius since 1979 with the new name , SBI ( Mauritius ) Ltd . Today , SBI ( Mauritius ) Ltd is having fully integrated 14 branches - 13 Retail Branches covering major cities and town of Mauritius , including Rodrigues , and 1 Global Business Branch at Ebene in Mauritius . Apart from Branch Banking , customers also have the convenience of 24x7 ATM Banking at 18 ATMs across the country . Bank also has a 24x7 robust Internet Banking Channel enabling customers to work from their homes and offices .  State Bank of India Branch at Jaffna , Sri Lanka  SBI Sri Lanka now has three branches located in Colombo , Kandy and Jaffna . The Jaffna branch was opened on 9 September 2013 . SBI Sri Lanka , the oldest bank in Sri Lanka , celebrated its 150th year in Sri Lanka on 1 July 2014 .  State Bank of India ( S.B.I. ) Branch at Tsim Sha Tsui , Hong Kong  In 1982 , the bank established a subsidiary , State Bank of India , which now has ten branches -- nine branches in the state of California and one in Washington , D.C. The 10th branch was opened in Fremont , California on 28 March 2011 . The other eight branches in California are located in Los Angeles , Artesia , San Jose , Canoga Park , Fresno , San Diego , Tustin and Bakersfield .   In Nigeria , SBI operates as INMB Bank . This bank began in 1981 as the Indo -- Nigerian Merchant Bank and received permission in 2002 to commence retail banking . It now has five branches in Nigeria .   In Nepal , SBI owns 49 % of SBI Nepal ( State Bank in Nepal ) share with Nepal Government owing the rest and SBI NEPAL has branches throughout the country in each and every city as banking has become the major part of daily life for Nepalese people .   In Moscow , SBI owns 60 % of Commercial Bank of India , with Canara Bank owning the rest .   In Indonesia , it owns 76 % of PT Bank Indo Monex .   The State Bank of India already has a branch in Shanghai and plans to open one in Tianjin .   In Kenya , State Bank of India owns 76 % of Giro Commercial Bank , which it acquired for US $ 8 million in October 2005 .   In January 2016 , SBI opened its first branch in Seoul , South Korea following the continuous and significant increase in trade due to the Comprehensive Economic Partnership Agreement signed between New Delhi and Seoul in 2009 .   Former associate banks ( edit )  Main Branch of SBI in Mumbai  SBI acquired the control of seven banks in 1960 . They were the seven regional banks of former Indian princely states . They were renamed , prefixing them with ' State Bank of ' . These seven banks were State Bank of Bikaner and Jaipur ( SBBJ ) , State Bank of Hyderabad ( SBH ) , State Bank of Indore ( SBN ) , State Bank of Mysore ( SBM ) , State Bank of Patiala ( SBP ) , State Bank of Saurashtra ( SBS ) and State Bank of Travancore ( SBT ) . All these banks were given the same logo as the parent bank , SBI .   The plans for making SBI a mega bank with trillion dollar business by merging the associate banks started in 2008 , and in September the same year , SBS merged with SBI . The very next year , State Bank of Indore ( SBN ) also merged . In the same year , a subsidiary named Bharatiya Mahila Bank was formed . The negotiations for merging of the 6 associate banks ( State Bank of Bikaner and Jaipur , State Bank of Hyderabad , State Bank of Mysore , State Bank of Patiala , State Bank of Travancore and Bharatiya Mahila Bank ) by acquiring their businesses including assets and liabilities with SBI started in 2016 . The merger was approved by the Union Cabinet on 15 June 2016 . The State Bank of India and all its associate banks used the same blue Keyhole logo . The State Bank of India wordmark usually had one standard typeface , but also utilized other typefaces .   On 15 February 2017 , the Union Cabinet approved the merger of five associate banks with SBI. What was overlooked , however , were different pension liability provisions and accounting policies for bad loans , based on regional risks .  State Bank of India Mumbai LHO  The State Bank of Bikaner &amp; Jaipur , State Bank of Hyderabad , State Bank of Mysore , State Bank of Patiala and State Bank of Travancore , and Bharatiya Mahila Bank were merged with State Bank of India with effect from 1 April 2017 .   Non-banking subsidiaries ( edit )   Apart from its five associate banks ( merged with SBI since April 1 , 2017 ) , SBI also has the following non-banking subsidiaries :    SBI Capital Markets Ltd   SBI Funds Management Pvt Ltd   SBI Factors &amp; Commercial Services Pvt Ltd   SBI Cards &amp; Payments Services Pvt. Ltd . ( SBICPSL )   SBI DFHI Ltd   SBI Life Insurance Company Limited   SBI General Insurance    In March 2001 , SBI ( with 74 % of the total capital ) , joined with BNP Paribas ( with 26 % of the remaining capital ) , to form a joint venture life insurance company named SBI Life Insurance company Ltd . In 2004 , SBI DFHI ( Discount and Finance House of India ) was founded with its headquarters in Mumbai .   Other SBI service points ( edit )   As of 31 March 2017 , SBI group ( including associate banks ) has 59,291 ATMs .   Since November 2017 , SBI also offers an integrated digital banking platform named YONO .   Listings and shareholding ( edit )   As on 31 March 2017 , Government of India held around 61.23 % equity shares in SBI . The Life Insurance Corporation of India , itself state - owned , is the largest non-promoter shareholder in the company with 8.82 % shareholding .     Shareholders   Shareholding     Promoters : Government of India   61.23 %     FIIs / GDRs / OCBs / NRIs   11.17 %     Banks &amp; Insurance Companies   10.00 %     Mutual Funds &amp; UTI   8.29 %     Others   9.31 %     Total   100.0 %     The equity shares of SBI are listed on the Bombay Stock Exchange , where it is a constituent of the BSE SENSEX index , and the National Stock Exchange of India , where it is a constituent of the CNX Nifty . Its Global Depository Receipts ( GDRs ) are listed on the London Stock Exchange .   Employees ( edit )  State Bank Learning Centre in Machilipatnam  SBI is one of the largest employers in the country with 209,567 employees as on 31 March 2017 , out of which there were 23 % female employees and 3,179 ( 1.5 % ) employees with disabilities . On the same date , SBI had 37,875 Scheduled Castes ( 18 % ) , 17,069 Scheduled Tribes ( 8.1 % ) and 39,709 Other Backward Classes ( 18.9 % ) employees . The percentage of Officers , Associates and Sub-staff was 38.6 % , 44.3 % and 16.9 % respectively on the same date . Around 13,000 employees have joined the Bank in FY 2016 - 17 . Each employee contributed a net profit of ₹ 511,000 ( US $7,800 ) during FY 2016 - 17 .   Recent awards and recognition ( edit )    SBI was ranked as the top bank in India based on tier 1 capital by The Banker magazine in a 2014 ranking .   SBI was ranked 232nd in the Fortune Global 500 rankings of the world 's biggest corporations for the year 2016 .   SBI was named the 29th most reputed company in the world according to Forbes 2009 rankings   SBI was 50th Most Trusted brand in India as per the Brand Trust Report 2013 , an annual study conducted by Trust Research Advisory , a brand analytics company and subsequently , in the Brand Trust Report 2014 , SBI finished as India 's 19th Most Trusted Brand in India .    See also ( edit )    List of largest banks   John Mathai   YONO , an online banking platform run by SBI    References ( edit )    ^ Jump up to : `` Annual Report ( 2016 - 17 ) of State Bank of India '' ( PDF ) .   Jump up ^ `` State Bank of India Consolidated Yearly Results , State Bank of India Financial Statement &amp; Accounts '' . www.moneycontrol.com . Retrieved 2017 - 06 - 26 .   Jump up ^ `` State Bank of India Yearly Results , State Bank of India Financial Statement &amp; Accounts '' . www.moneycontrol.com . Retrieved 2017 - 06 - 26 .   Jump up ^ `` From Imperial Bank to State Bank '' ( PDF ) . Retrieved 28 June 2017 .   Jump up ^ `` One unified entity '' ( jpg ) . SBI .   Jump up ^ SBI website : https://www.sbi.co.in/portal/web/international/international   Jump up ^ `` Fortune Global 500 list '' . CNN Money . Retrieved 22 July 2016 .   Jump up ^ Rajesh . Banking Theory Law N Practice . Tata McGraw - Hill Education . p. 8 . Retrieved 4 November 2014 .   Jump up ^ `` SBI accounts for one - fifth of country 's loans '' . Livemint.com. 25 January 2009 . Retrieved 20 August 2010 .   Jump up ^ `` Indian Banks ' Association '' . Iba.org.in. 23 April 2005 . Retrieved 21 December 2010 .   Jump up ^ Business Standard ( 21 June 2010 ) . `` Approvals for State Bank of Indore merger by July : SBI '' .   Jump up ^ Economic Times ( 26 August 2010 ) . `` State Bank of Indore branches to become SBI units from Aug 26 : SBI '' . The Times of India .   Jump up ^ `` Arundhati Bhattacharya , first woman to head SBI '' .   ^ Jump up to : `` Fortune ' Global 500 ' 2016 : State Bank of India '' . CNN . Retrieved 10 October 2016 .   Jump up ^ `` SBI takes lead in opening bank accounts under Jan Dhan Yojana '' . The Economic Times . 11 September 2014 . Retrieved 30 September 2014 .   Jump up ^ `` SBI Annual Report 2014 - 15 '' . State Bank of India . Retrieved 14 January 2016 .   Jump up ^ http://www.sbimauritius.com/new/files/about.php   Jump up ^ `` State Bank of India set to open second branch in China '' . The Hindu . Retrieved 1 June 2017 .   Jump up ^ `` State Bank of India Acquired 76 % Shareholding in Giro Commercial Bank in 2005 '' . Accessmylibrary.com. 8 October 2005 . Retrieved 21 December 2010 .   Jump up ^ `` Five associate banks to merge with SBI '' . 18 May 2016 . Retrieved 1 July 2016 -- via The Hindu .   Jump up ^ Iyer , Aparna ( 17 May 2016 ) . `` SBI merger : India may soon have a global Top 50 bank '' . Retrieved 1 July 2016 .   Jump up ^ `` SBI merges with 5 associates : New entity set to enter world 's top 50 banks list '' . Mumbai : Financial Express . 16 June 2016 . Retrieved 16 June 2016 .   Jump up ^ `` Ahead of merger with SBI , associate SBT to raise up to Rs 600 crore '' . The Economic Times . Retrieved 18 February 2017 .   Jump up ^ Pension liability provisions and accounting policies for bad loans. ( 1 ) ( 2 ) ( 3 )   Jump up ^ `` Reserve Bank of India List of ATM 's and POS '' .   Jump up ^ `` Stake in PSBs : LIC holding drops as stress mounts '' . The Indian Express . 2016 - 02 - 15 . Retrieved 2017 - 03 - 28 .   Jump up ^ `` State Bank of India '' . BSEindia.com . Retrieved 11 October 2013 .   Jump up ^ `` Scripwise Weightages in S&amp;P BSE SENSEX '' . BSE India . Retrieved 11 October 2013 .   Jump up ^ `` State Bank of India '' . NSE India . Retrieved 11 October 2013 .   Jump up ^ `` Download List of CNX Nifty stocks (. csv ) '' . NSE India . Retrieved 11 October 2013 .   Jump up ^ `` SBID State Bank of India GDR ( Each Rep 2 SHS INR10 ) '' . London Stock Exchange . 11 October 1996 . Retrieved 11 October 2013 .   Jump up ^ `` The top five banks in India '' . thebanker.com. 10 April 2014 . Retrieved 11 April 2014 .   Jump up ^ Kneale , Klaus ( 6 May 2009 ) . `` World 's Most Reputable Companies : The Rankings '' . Forbes . Retrieved 20 August 2010 .   Jump up ^ `` Brand Mahatma lags behind Sachin , Aamir : Study '' . India Today . 28 January 2011 . Retrieved 10 October 2013 .   Jump up ^ `` The Economic Times '' .   Jump up ^ `` Brand Trust Report 2014 '' . Archived from the original on 24 October 2014 .    External links ( edit )       Wikimedia Commons has media related to State Bank of India .      Official website              Central public sector companies of India       Air India   Balmer Lawrie   Bharat Electronics   Bharat Heavy Electricals Limited   Bharat Petroleum   Bharat Sanchar Nigam   BHAVINI   Cement Corporation of India   Coal India Limited   Dredging Corporation of India Limited   Electronics Corporation of India Limited   Food Corporation of India   GAIL   Hindustan Aeronautics Limited   India Trade Promotion Organisation   Indian Oil Corporation   Indian Rare Earths Limited   Life Insurance Corporation of India   Mazagon Dock Limited   MECON Limited   Mahanagar Telephone Nigam Limited   NTPC Limited   Nuclear Power Corporation of India   Oil and Natural Gas Corporation   Power Grid Corporation of India   Rashtriya Ispat Nigam   Rural Electrification Corporation Limited   State Bank of India   Steel Authority of India   Uranium Corporation of India                 Banking in India     Reserve bank     Reserve Bank of India       Public sector banks     Allahabad Bank   Andhra Bank   Bank of Baroda   Bank of India   Bank of Maharashtra   Canara Bank   Central Bank of India   Corporation Bank   Dena Bank   IDBI Bank   Indian Bank   Indian Overseas Bank   Oriental Bank of Commerce   Post Bank of India   Punjab &amp; Sind Bank   Punjab National Bank   State Bank of India   Syndicate Bank   UCO Bank   Union Bank of India   United Bank of India   Vijaya Bank       Private sector banks     Axis Bank   Bandhan Bank   Catholic Syrian Bank   City Union Bank   DCB Bank   Dhanlaxmi Bank   Federal Bank   HDFC Bank   ICICI Bank   IDFC Bank   IndusInd Bank   Jammu &amp; Kashmir Bank   Karnataka Bank   Karur Vysya Bank   Kotak Mahindra Bank   Lakshmi Vilas Bank   Nainital Bank   RBL Bank ( Ratnakar Bank )   South Indian Bank   Tamilnad Mercantile Bank Limited   Yes Bank       Small finance bank     Ujjivan Small Finance Bank   Equitas Small Finance Bank   AU Small Finance Bank       Cooperative banks     Buldhana Urban   Cosmos Bank   Repco Bank   Saraswat Bank   Shamrao Vithal Co-operative Bank   TNSC Bank   Rajkot Nagrik Sahakari Bank       Foreign banks     ABN AMRO   Abu Dhabi Commercial Bank   Antwerp Diamond Bank   Australia and New Zealand Banking Group   Bank Maybank Indonesia   Bank of America   Bank of Bahrain and Kuwait   Bank of Ceylon   The Bank of Tokyo - Mitsubishi UFJ   Barclays   Citibank India   Credit Suisse   DBS Bank   Deutsche Bank   HSBC   Rabobank   Royal Bank of Scotland   Scotiabank   Standard Chartered       Regional Rural Banks      Other     Andhra Pradesh Grameena Vikas Bank   Andhra Pragathi Grameena Bank   Assam Gramin Vikash Bank   Bangiya Gramin Vikash Bank   Gramin Bank of Aryavart   Kerala Gramin Bank   North Malabar Gramin Bank   Pallavan Grama Bank   Pandyan Grama Bank   Paschim Banga Gramin Bank   Sarva UP Gramin Bank   South Malabar Gramin Bank   Uttar Bihar Gramin Bank   Vananchal Gramin Bank       Uttar Pradesh     Allahabad UP Gramin Bank   Baroda UP Gramin Bank   Gramin Bank of Aryavart   Kashi Gomti Samyut Gramin Bank   Prathama Bank   Purvanchal Bank   Sarva UP Gramin Bank          Payment Bank     Airtel   Paytm       Interbank networks     Cirrus   NFS   PLUS       Electronic funds transfers     IMPS   NEFT   RTGS   UPI ( VPA )   AEPS       Cards     MasterCard   Debit MasterCard   Maestro     RuPay   Visa   Visa Debit   Visa Electron   Visa payWave         Defunct banks     Alliance Bank of Simla   Arbuthnot &amp; Co   Bank of Bombay   Bank of Calcutta   Bank of Chettinad   Bank of Cochin   Bank of Hindostan   Bank of Madras   Bank of Madura   Bank of Rajasthan   Bank of Thanjavur   Bareilley Corporation Bank   Bengal Central Bank   Bharat Overseas Bank   Bharatiya Mahila Bank   Centurion Bank of Punjab   Chartered Bank of India , Australia and China   Commercial Bank of India   Dass Bank   Exchange Bank of India &amp; Africa   Global Trust Bank   Grindlays Bank   Hindustan Commercial Bank   Imperial Bank of India   ING Vysya Bank   Lakshmi Commercial Bank   Lord Krishna Bank   Madhavpura Mercantile Cooperative Bank   Mercantile Bank of India , London and China   Miraj State Bank   Nath Bank   Nedungadi Bank   New Bank of India   Oriental Bank Corporation   Oudh Commercial Bank   Palai Central Bank   Pandyan Bank   Sikkim Bank   State Bank of Bikaner &amp; Jaipur   State Bank of Hyderabad   State Bank of Indore   State Bank of Mysore   State Bank of Patiala   State Bank of Saurashtra   State Bank of Travancore   Times Bank   United Industrial Bank   United Western Bank       Related topics     ATM usage fees in India   Banks Board Bureau   Banking Codes and Standards Board of India   Bharat Bill Payment System   De-Materialisation ( DEMAT )   Foreign Exchange ( FOREX )   Indian Financial System Code ( IFSC )   List of banks in India   National Payments Corporation of India   Prepaid Payment Instruments in India   Structured Financial Messaging System ( SFMS )       ATM networks     BANCS   Cashnet   CashTree   India 1 ATM ( White Label ATM )   Indicash ( White Label ATM )   MITR                 BSE SENSEX companies of India       Airtel   Axis Bank   Bajaj Auto   BHEL   Cipla   Coal India   Dr. Reddy 's Laboratories   GAIL   HDFC   HDFC Bank   Hero MotoCorp   Hindalco   HUL   ICICI Bank   Infosys   ITC   L&amp;T   Mahindra &amp; Mahindra   Maruti Suzuki   NTPC   ONGC   Reliance Industries   SBI   Sesa Sterlite   Sun Pharma   Tata Motors   Tata Power   Tata Steel   TCS   Wipro                 CNX Nifty companies of India       ACC   Ambuja Cements   Asian Paints Ltd   Axis Bank   Bajaj Auto   Bank of Baroda   BHEL   BPCL   Bharti Airtel   Cairn India   Cipla   Coal India   DLF   Dr. Reddy 's Laboratories   GAIL   Grasim Industries   HCL Technologies   HDFC   HDFC Bank   Hero MotoCorp   Hindalco Industries   HUL   Infosys   ICICI Bank   IDFC   IndusInd Bank Ltd .   ITC Limited   Jindal Steel and Power   Kotak Mahindra Bank   L&amp;T   Lupin   Mahindra &amp; Mahindra   Maruti Udyog   NMDC   NTPC   ONGC   Power Grid Corporation   PNB   Reliance Industries   Sesa Sterlite Limited   SBI   Sun Pharmaceutical   TCS   Tata Motors   Tata Power   Tata Steel   Tech Mahindra   Ultratech Cement   Wipro   Zee Entertainment Enterprises                 State Bank of India Asia     Sovereign states     Afghanistan   Armenia   Azerbaijan   Bahrain   Bangladesh   Bhutan   Brunei   Cambodia   China   Cyprus   East Timor ( Timor - Leste )   Egypt   Georgia   India   Indonesia   Iran   Iraq   Israel   Japan   Jordan   Kazakhstan   North Korea   South Korea   Kuwait   Kyrgyzstan   Laos   Lebanon   Malaysia   Maldives   Mongolia   Myanmar   Nepal   Oman   Pakistan   Philippines   Qatar   Russia   Saudi Arabia   Singapore   Sri Lanka   Syria   Tajikistan   Thailand   Turkey   Turkmenistan   United Arab Emirates   Uzbekistan   Vietnam   Yemen       States with limited recognition     Abkhazia   Artsakh   Northern Cyprus   Palestine   South Ossetia   Taiwan       Dependencies and other territories     British Indian Ocean Territory   Christmas Island   Cocos ( Keeling ) Islands   Hong Kong   Macau      Retrieved from `` https://en.wikipedia.org/w/index.php?title=State_Bank_of_India&amp;oldid=831566938 '' Categories :   Government - owned banks of India   Banks based in Mumbai   State Bank of India   Financial services companies established in 1955   Banks of India   Companies nationalised by the Government of India   Companies listed on the Bombay Stock Exchange   BSE SENSEX   CNX Nifty   Government - owned companies of India   Multinational companies headquartered in India   1955 establishments in India   Hidden categories :   EngvarB from July 2016   Use dmy dates from September 2016   Pages using infobox company with unsupported parameters   All articles with unsourced statements   Articles with unsourced statements from January 2018   Official website different in Wikidata and Wikipedia           Talk                                           Contents                   About Wikipedia                                                 বাংলা   Bân - lâm - gú   Deutsch   Español   فارسی   Français   हिन्दी   Bahasa Indonesia   Italiano   עברית   ಕನ್ನಡ   मैथिली   മലയാളം   मराठी   Nederlands   नेपाली   </t>
    </r>
    <r>
      <rPr>
        <sz val="11"/>
        <color rgb="FF000000"/>
        <rFont val="Noto Sans CJK SC"/>
        <family val="2"/>
      </rPr>
      <t xml:space="preserve">日本 語   </t>
    </r>
    <r>
      <rPr>
        <sz val="11"/>
        <color rgb="FF000000"/>
        <rFont val="Calibri"/>
        <family val="0"/>
        <charset val="1"/>
      </rPr>
      <t xml:space="preserve">Norsk   ਪੰਜਾਬੀ   Simple English   Suomi   தமிழ்   తెలుగు   </t>
    </r>
    <r>
      <rPr>
        <sz val="11"/>
        <color rgb="FF000000"/>
        <rFont val="Noto Sans CJK SC"/>
        <family val="2"/>
      </rPr>
      <t xml:space="preserve">中文  </t>
    </r>
    <r>
      <rPr>
        <sz val="11"/>
        <color rgb="FF000000"/>
        <rFont val="Calibri"/>
        <family val="0"/>
        <charset val="1"/>
      </rPr>
      <t xml:space="preserve">15 more  Edit links   This page was last edited on 21 March 2018 , at 06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</si>
  <si>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old name of state bank of india</t>
  </si>
  <si>
    <t xml:space="preserve"> The bank descends from the Bank of Calcutta , founded in 1806 , via the Imperial Bank of India , making it the oldest commercial bank in the Indian subcontinent . The Bank of Madras merged into the other two `` presidency banks '' in British India , the Bank of Calcutta and the Bank of Bombay , to form the Imperial Bank of India , which in turn became the State Bank of India in 1955 . The Government of India took control of the Imperial Bank of India in 1955 , with Reserve Bank of India ( India 's central bank ) taking a 60 % stake , renaming it the State Bank of India . In 2008 , the government took over the stake held by the Reserve Bank of India . </t>
  </si>
  <si>
    <r>
      <rPr>
        <sz val="11"/>
        <color rgb="FF000000"/>
        <rFont val="Calibri"/>
        <family val="0"/>
        <charset val="1"/>
      </rPr>
      <t xml:space="preserve">New York 's Village Halloween parade - wikipedia  New York 's Village Halloween parade  Jump to : navigation , search Tall rod puppets , a signature of the parade . Papier - mâché masks reflect the evening 's Mardi Gras atmosphere . A Tusken Raider rides a mammoth - sized Bantha puppet , designed by Oliver Dalzell .  New York 's Village Halloween Parade is an annual holiday parade and street pageant presented on the night of every Halloween in New York City 's Greenwich Village . The Village Halloween Parade , initiated in 1973 by Greenwich Village puppeteer and mask maker Ralph Lee , that lays claim to being the world 's largest Halloween parade where in recent years it is reported to have 60,000 marchers and 2 million spectators. .   It has been called `` New York 's Carnival . '' The parade is largely a spontaneous event as individual marchers can just show up in costume at the starting point without registering or paying anything . The parade 's most signature features are its large puppets which are animated by hundreds of volunteers . The official parade theme each year is applied to the puppets . In addition to the puppets the website reports that more than 50 bands participates each year . In addition there are some commercial Halloween floats .   The official route on Sixth Avenue from Spring Street to 16th Street is 1.4 miles ( the distance from the gathering spot at Canal and Sixth to Spring adds another 0.2 miles ) .   The parade has been studied by leading cultural anthropologists . According to The New York Times , `` the Halloween Parade is the best entertainment the people of this City ever give the people of this City . '' `` Absolutely anything goes , '' says USA Today . `` Be prepared to drop your jaw . ''     Contents  ( hide )   1 History Timeline   2 Theme   3 References   4 Other sources   4.1 Videos   4.2 Photographs     5 External links      History timeline ( edit )    1973 - An informal parade of puppets for children was organized by Ralph Lee of the Mettawee River Theatre Company around his residence of artists in the Westbeth Artists Community . Parades from 1973 until 1984 would start at Westbeth .   1974 - The parade still aimed at children went from Jane Street at the Hudson River to Washington Square Park . About 200 adults and children participated .   1975 - The parade was produced by the Theatre for the New City ( which at the time was in Westbeth ) . Lee and the Theatre won Obie Award for the production . The 1975 parade grew to 1,500 participants . The new management introduced more adult elements into the event including a Halloween ball after the parade .    .    1976 - Organization of the parade was formally handled by a non-profit organization .   1977 - Route was changed to 10th Street between Greenwich Avenue to Fifth Avenue and still ending in Washington Square . A devil sat at the top of the Washington Square arch where it released balloons and slid down a wire into the fountain . The year also saw the first appearance of giant spider on the Jefferson Market Library .   1985 - With crowds expanding to 250,000 , the route was moved from side streets to Sixth Avenue from Spring Street to 22nd Street ( although in practice the gathering point was further south at Canal Street and the northern point would be shortened to 16th Street . The change in route ended the connection to Washington Square Park . Jeanne Fleming took over managing the event . The change with its barricades also reduced the possibilities of people joining the parade at any point as had been the case .   1990 - New York University and Manhattan Community Board 2 begin hosting an unrelated Children 's Halloween Parade in Greenwich Village in the afternoons n Washington Square .   1998 - Sophia Michahelles and Alex Kahn become the official designers of the parade 's puppets .   1999 - Basil Twist designs the spider that currently appears on the Jefferson Market Library .   2001 - Less than seven weeks after the September 11 attacks the parade was broadcast worldwide and was an indication that New York was bouncing back . The parade was led by a giant puppet of a Phoenix rising out of the ashes . Noticeably missing from the parade was Bread and Puppet Theater which had been a political staple of the parade but was protesting the new War in Afghanistan .    Earlier the Bread and Puppet contingent consisted of five blocks of its giant puppets .    2005 - Less than 8 weeks after Hurricane Katrina more than 8,000 storm evacuees attended a funeral procession tribute as part of the parade .   2010 - Haitian Carnival Artist Didier Civil created Haitian carnival figures as a tribute to victims of the 2010 Haiti earthquake .   2012 - The parade was cancelled for its only time in the aftermath Hurricane Sandy which had heavily damaged coastal New York City and had left Greenwich without electricity during the parade time .   2013 - A Kickstarter campaign to cover costs of the 2012 closing saved the parade from permanently closing . The campaign raised $56,000 and had a goal of $50,000 .   2017 - Less than four hours after Sayfullo Saipov killed 8 people six blocks west of the parade route in the 2017 Lower Manhattan attack the parade proceded as sheduled . Both Mayor Bill de Blasio and Gov. Andrew Cuomo marched in the parade .    Theme ( edit )  Parade participant ( 2004 ) Exotic masquerader in beads , feathers , headdress , and face paint ( 2004 ) A masquerader poses in front of a wrought iron fence in historic Greenwich Village . Celebration artist Jeanne Fleming , the parade 's artistic and producing director Twenty - foot illuminated caterpillars -- animated pageant sized puppets designed by Alex Kahn of Superior Concept Monsters -- transform Manhattan 's Greenwich Village in 1998 . An incandescent baby phoenix conceived and designed by Sophia Michahelles of Superior Concept Monsters rises from fiery ashes to new life in 2001 , after the September 11 attacks . Finishing touches are made to a giant dinosaur puppet in the staging area on parade day .  In 2001 , the parade presented a work of puppetry that would become celebrated for its artistry , and remembered in the city 's history . After terrorists struck Lower Manhattan on September 11 , 2001 , events citywide and nationwide were being cancelled . Organizers believed the parade would give the city a much - needed emotional release , reform the community , and help it to begin the healing process . They felt that this was the most positive way they , as artists , could serve the city at such a desperate time . `` This is the meaning of the Dancing Skeletons that always lead the march : they know better than anyone what they have lost , and so they dance this one night of the year to celebrate life , '' Fleming told CNN in an interview .   By September 15 , Fleming had scrapped the old theme and chosen a new one . Although no one was certain the parade would take place , designer Sophia Michahelles conceived of a new theme , Phoenix Rising , to galvanize the spirit of New York in the wake of the tragedy . A giant puppet of a phoenix , the mythical bird that rises up out of its own ashes , was created by Michahelles in the workshop of Official Parade Puppeteers Superior Concept Monsters . The animated creation was mechanically configured to spread its wings and rise out of fiery ashes , represented by flickering lanterns lifted on poles , encircling the parading figure . On October 25 the parade received final authorization to go ahead . In light of the widely established community relationships which Fleming had cultivated , and the parade 's long tradition , Mayor Rudy Giuliani insisted it go on .   References ( edit )    Jump up ^ Village Halloween Parade . `` History of the Parade '' . Retrieved July 28 , 2014 .   Jump up ^ `` Participate - NYC Village Halloween Parade '' . Retrieved 6 November 2017 .   Jump up ^ `` Costume Contest - NYC Village Halloween Parade '' . Retrieved 6 November 2017 .   Jump up ^ `` Artistry - NYC Village Halloween Parade '' . Retrieved 6 November 2017 .   Jump up ^ `` The founder of NYC 's Halloween Parade fears he created a beast '' . 29 October 2016 . Retrieved 6 November 2017 .   Jump up ^ `` What Happened to the Halloween Parade ? '' . www.nytheatre-wire.com . Retrieved 6 November 2017 .   Jump up ^ `` Theater for the New City - Production History , 1970 - 1979 '' . www.theaterforthenewcity.net . Retrieved 6 November 2017 .   ^ Jump up to : `` A history of the Village Halloween Parade : Puppets , performers , and NYC pride - 6sqft '' . 6sqft . Retrieved 6 November 2017 .   Jump up ^ Skal , David J. ( 20 June 2016 ) . `` Halloween : The History of America 's Darkest Holiday '' . Courier Dover Publications . Retrieved 6 November 2017 -- via Google Books .   Jump up ^ Franks , Don ( 22 September 2004 ) . `` Entertainment Awards : A Music , Cinema , Theatre and Broadcasting Guide , 1928 through 2003 , 3d ed '' . McFarland . Retrieved 6 November 2017 -- via Google Books .   Jump up ^ `` Participate - NYC Village Halloween Parade '' . Retrieved 6 November 2017 .   Jump up ^ https://www.nyu.edu/about/news-publications/news/2017/october/27th-annual-childrens-halloween-parade-in-greenwich-village--oct.html   Jump up ^ `` Processional Arts Workshop : People '' . www.superiorconcept.org . Retrieved 6 November 2017 .   Jump up ^ http://www.basiltwist.com/halloween.html   ^ Jump up to : `` About Us - NYC Village Halloween Parade '' . Retrieved 6 November 2017 .   Jump up ^ Kalish , Jon . `` 50 Years Of Bread And Puppet Theater '' . Retrieved 6 November 2017 .   Jump up ^ Bell , John ( 30 April 2016 ) . `` American Puppet Modernism : Essays on the Material World in Performance '' . Springer . Retrieved 6 November 2017 -- via Google Books .   Jump up ^ https://www.kickstarter.com/projects/729950056/bring-halloween-back-to-nyc   Jump up ^ `` Village Halloween Parade marches with message after terror attack '' . Retrieved 6 November 2017 .    Other sources ( edit )      Videos ( edit )    Karl Gober       1999 Halloween Parade on YouTube   2000 Halloween Parade `` Life Cycle of a Parade '' Note : Each chapter is about one minute long Note : Twin Towers in background on their last Halloween       ( Chp 01 : Hibernation ) on YouTube   ( Chp 02 : Sewing the seeds ) on YouTube   ( Chp 03 : Fever Pitch ) on YouTube   ( Chp 05 : First Run ) on YouTube   ( Chp 06 : Incarnation ) on YouTube               ( Chp 07 : First Flight ) on YouTube   ( Chp 08 : Tower of Basil ) on YouTube   ( Chp 10 : Offering ) on YouTube   ( Chp 11 : Parade ) on YouTube       2004 Halloween Parade on YouTube   2006 Halloween Parade on YouTube       Superior Concept Monsters -- Theme Performances       2006 : `` ' Jack ' '' on YouTube   2007 : `` Wings of Desire '' on YouTube   2008 : `` Ghost '' Superior on YouTube   2009 : `` Terra Incognita '' on YouTube   2010 : `` Memento Mori '' on YouTube       2010 Halloween on YouTube Street photo montage , Kenneth Akama      Photographs ( edit )    `` Village Halloween Parade '' . NY Daily News .   `` Photos : 39th Annual Village Halloween Parade '' . Time Out New York . Nov 2011 .   NYCfoto -- 2014 , 2013 , 2011 , 2010 , 2009 , 2008   Skillings , Pamela . `` Halloween Dog Parade in Tompkins Square Park '' . About.com .       External links ( edit )    Official website   Superior Concept Monsters , `` Official '' Puppeteers for New York 's Village Halloween Parade   `` Village Halloween Parade '' . NYC . 2013 .   Sandy , Natalie ( October 28 , 2011 ) . `` Behind the scenes of the Village Halloween Parade ) '' . Time Out New York .   Skillings , Pamela ( 2012 ) . `` Village Halloween Parade ) '' . About.com .   Gopinathan , Nishanth ( September 29 , 2013 ) . `` Halloween Day Parade in Greenwich Village '' . New York Visit .   Laperruque ( 2013 ) . Treaters : The Greenwich Village Halloween Parade -- 1982 -- 86 . Blurb . Self published photobook        Wikimedia Commons has media related to New York 's Village Halloween Parade .       ( hide )         Halloween events     Community     Halloween in the Castro   Headless Horseman Hayride   New York 's Village Halloween Parade   Pumpkin Fest   Rutland Halloween Parade   Shocktoberfest   State Street Halloween Party ( Madison )   Terror Behind the Walls         At theme parks     Fright Fest   Fright Nights   HalloWeekends   Halloween Haunt   California 's Great America   Canada 's Wonderland   Dorney Park   Kings Dominion   Kings Island     Halloween Horror Nights   Halloween Spooktacular   Howl - O - Scream   Busch Gardens Tampa Bay   Busch Gardens Williamsburg   SeaWorld San Antonio     Knott 's Scary Farm   Mickey 's Halloween Party   Halloween Screams     Mickey 's Not - So - Scary Halloween Party   SCarowinds   ValleyScare      Retrieved from `` https://en.wikipedia.org/w/index.php?title=New_York%27s_Village_Halloween_Parade&amp;oldid=809021767 '' Categories :   Parades in New York City   Halloween events   Greenwich Village   Sixth Avenue ( Manhattan )           Talk                                           Contents                   About Wikipedia                                                 </t>
    </r>
    <r>
      <rPr>
        <sz val="11"/>
        <color rgb="FF000000"/>
        <rFont val="Noto Sans CJK SC"/>
        <family val="2"/>
      </rPr>
      <t xml:space="preserve">한국어   </t>
    </r>
    <r>
      <rPr>
        <sz val="11"/>
        <color rgb="FF000000"/>
        <rFont val="Calibri"/>
        <family val="0"/>
        <charset val="1"/>
      </rPr>
      <t xml:space="preserve">Bahasa Indonesia   Magyar   Edit links   This page was last edited on 6 November 2017 , at 17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</si>
  <si>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largest halloween parade take place every year</t>
  </si>
  <si>
    <t xml:space="preserve"> New York 's Village Halloween Parade is an annual holiday parade and street pageant presented on the night of every Halloween in New York City 's Greenwich Village . The Village Halloween Parade , initiated in 1973 by Greenwich Village puppeteer and mask maker Ralph Lee , that lays claim to being the world 's largest Halloween parade where in recent years it is reported to have 60,000 marchers and 2 million spectators. . </t>
  </si>
  <si>
    <t xml:space="preserve">I Ai n't Mad at Cha - wikipedia  I Ai n't Mad at Cha  Jump to : navigation , search    `` I Ai n't Mad at Cha ''         Single by 2Pac featuring Danny Boy     from the album All Eyez on Me     Released   September 15 , 1996     Format   12 '' single , CD single     Recorded   October 1995 ; Can - Am Studios ( Los Angeles )     Genre   Hip hop , R&amp;B     Length   4 : 53     Label   Death Row , Interscope     Songwriter ( s )   T. Shakur D. Steward D. Arnaud E. Jordan     Producer ( s )   Daz Dillinger         2Pac singles chronology        `` Life Goes On '' ( 1996 ) Life Goes On1996   `` I Ai n't Mad at Cha '' ( 1996 ) I Ai n't Mad at Cha1996   `` Toss It Up '' ( 1996 )     Music video     `` I Aint Mad At Cha ( Clean Version ) '' on YouTube         Toss It Up 1996            `` I Ai n't Mad at Cha '' is a song by rapper 2Pac released shortly after his death as the sixth single from his album All Eyez on Me . It was also his last single using the stage name 2Pac . The song features contemporary soul singer Danny Boy who provided the vocals for the song 's hook . The song did well in the United Kingdom , reaching the number 13 on the UK Singles Chart and on the UK R&amp;B Charts peaking at number 3 . It was not released as a single in the United States , thus making it ineligible to chart on the Billboard singles charts ( due to chart rules at the time ) , but reached numbers 18 and 58 in the R&amp;B and Pop Airplay charts , respectively . It also reached number two on the New Zealand Singles Chart .     Contents  ( hide )   1 Background   2 Lyrics and Message   3 Composition and recording   4 Music video   4.1 Personnel     5 Track listing   5.1 CD single   5.2 12 '' maxi single   5.3 Cassette single     6 Song credits   7 Charts   7.1 Certification     8 In popular culture   9 References   10 External links      Background ( edit )   The track was produced by Dat Nigga Daz ( who now goes by Daz Dillinger ) and samples the song `` A Dream '' by DeBarge . The song was recorded the same day 2Pac was released from prison , and was the second song he recorded when he came out ( `` Ambitionz Az a Ridah '' being the first ) . The single was released two days after 2Pac 's death . As so , by the time this single was released , 2Pac had already finished recording his next album , The Don Killuminati : The 7 Day Theory . It has been labeled by many one of the best songs on `` All Eyez on Me '' and one of the greatest in 2Pac 's career . The song also appeared on 2Pac 's Greatest Hits album . Another song on the CD single proved to be popular among fans . `` Heartz of Men '' appeared on 4 of 2Pac 's albums , compared to 3 for `` I Ai n't Mad at Cha '' . These include : All Eyez on Me , 2Pac Live , 2Pac 's Greatest Hits , and a remixed version on Nu - Mixx Klazzics . A remix was made of Rihanna 's `` We Ride '' to include elements of `` I Ai n't Mad at Cha '' . R&amp;B group BLACKstreet also used the identical keyboard tune in `` Do n't Leave Me '' off of their Another Level album . The track sampled Children of the Corn 's `` American Dream '' . On the clean version there is a new third verse that replaces the one on the album .   Lyrics and message ( edit )   The song is a reminiscence of how time has changed from when he was younger to when he became famous . He speaks of losing touch with people and how many people turned on him after his success . Yet he still maintains that he 's got `` nothing but love '' for his old friends , with the hook repeating the line `` I ai n't mad at cha '' .   The first verse speaks about how he lost touch with his friend , who converted to Islam , and the difference in lifestyles they chose to live . The second verse speaks about 2Pac being sentenced to prison . He mentions his old girlfriend and tries to comfort his mother . In the third verse ( album version ) , 2Pac raps about how his life has changed from being in the ghetto to being a celebrity . He talks about his connection to the hood and how his old associates think negatively of him now .   In the censored version , the third verse of the song is completely replaced with new lyrics which talk about the struggles of living , a message to God , and life after death .   Composition and recording ( edit )   `` I Ai n't Mad at Cha '' was the first song to interpolate the core melody of the song `` A Dream '' an album track by DeBarge , written and performed by Bunny , and taken from their 1983 album In a Special Way . This makes the instrumentals very identical . This is most apparent in the piano usage which is almost identical to the original song . The main difference is `` A Dream '' uses a keyboard for its notes , while `` I Ai n't Mad at Cha '' uses more of a classical piano . Daz 's main job as producer of the song was changing this piano instrument , as most other aspects of the song were the same . The tempo of the original song was also sped up , which matches with 2Pac 's pace of rapping . Another minor difference is the accompanying beat uses different sounds to project the same repetition ( sped up as previously noted ) .   The day 2Pac was released from prison , he went to the studio and recorded `` I Ai n't Mad at Cha '' and `` Ambitionz Az a Ridah '' . When 2Pac entered the studio the beat was already complete , and 2Pac wrote the lyrics and recorded the song all in a few hours . Shortly thereafter , BLACKstreet released `` Do n't Leave Me '' to radio , which also interpolates the melody of `` A Dream '' . According to Dave Aron , 2Pac had a lot of energy going into the studio . Kurupt was in the studio at the time of recording and said when 2Pac heard the beat he `` flipped out '' from excitement . He wanted to finish the song quickly and was cursing at the engineers for moving too slow .   Technical info    MIDI format : 1   Ticks per quarter note : 384   Tempo : Andante ( Quarter Note = 84 )   Key : C minor / Eb Major   Time signature : 4 / 4    Music video ( edit )  Music video screenshots  For the video the whole song was re-recorded with a live band . Featuring horns and strings Kevyn Lewis commissioned a band featuring Cornelius Mims , Warryn Campbell , Priest , Ricky Rouse , and Darryl Crooks to replay the track . The new track was recorded at Can - am Studio by Conley Abrams , it was mixed at Larrabee North by Abrams . It was shot weeks before 2Pac 's death .   The music video begins with 2Pac and a friend of his ( Bokeem Woodbine ) leaving a hotel party at night . While waiting for someone to arrive a hooded man comes up , pulls out a handgun , and starts shooting in their direction . As 2Pac pushes them out of the way , he gets hit by at least one bullet . In the ambulance his body gives in and he passes away . Upon entering Heaven , 2pac is told that they have been waiting for him to come for a long time , yet he still has to earn his way in . As a spirit , he then returns to Earth to watch over and guide his friend as he struggles through the next few days . While this is going on 2Pac is shown rapping to his friend , ( who ca n't see or hear him ) trying to offer guidance . Finally , the video concludes with 2pac 's friend gaining the courage to give condolences personally to 2pac 's widow and daughter .   Look - alikes of many deceased entertainers are revealed to be playing the beat in the party , featuring ( among others ) , Redd Foxx , Jimi Hendrix , Bob Marley , Nat King Cole , Miles Davis , Sachmo , Marvin Gaye , Billie Holiday , Florence Ballard , Sammy Davis Jr. , and Louis Armstrong . Danny Boy is also present in Heaven as an angel .   In the censored version , the third verse of the song is completely replaced with new lyrics which talk about the struggles of living , God , and life after death . The video ends with the words `` Dedicated to Mutulu Shakur and Geronimo Pratt '' appearing on the screen . These individuals are 2Pac 's stepfather and godfather , respectively . The music video was voted # 33 on the `` MTV Top 100 of 1996 '' ranking music videos . The concept of the video ( showing 2Pac 's death and him being on Earth as an angel ) was used as evidence by many who believed in the 7 Day Theory that Tupac is still alive . The music video is available on the edition of Tupac : Live at the House of Blues   Personnel ( edit )   Filming crew    First aired : September 18 , 1996   Filmed : May 1996   Production company : Been There   Director ( s ) : Tupac Shakur &amp; Kevin Swain   Producer ( s ) : Taj Lewis   Photography : Patrick Loungeway ( cinematographer )    Additional crew    1st assistant director : Joe Oz    Track listing ( edit )   CD single ( edit )   DRWCD5 / 854 843 - 2    `` I Ai n't Mad at Cha '' - Edit   `` I Ai n't Mad at Cha '' - LP Version   `` Skandalouz ''   `` Heartz of Men ''    12 '' maxi single ( edit )   12 DRW5 / 854 843 - 1    `` I Ai n't Mad at Cha '' - Edit   `` I Ai n't Mad at Cha '' - LP Version   `` Skandalouz ''   `` Heartz of Men ''    Cassette single ( edit )   DRWMC5 / 854 842 - 4    `` I Ai n't Mad At Cha '' ( Edit )   `` Skandalouz ''    Song credits ( edit )    13 . I Ai n't Mad At Cha ( feat . Danny Boy )   Written by : T. Shakur , D. Arnaud , E. Jordan , Danny Boy Steward   Produced by : Dat Nigga Daz   Mixed by : DJ Quik &amp; Carlos Warlick   Engineered by : Dave Aron   Engineered by : Rick Clifford   Assistant Engineer : Alvin McGill   Remix recorded by Conley Abrams   Remix mixed by Conley Abrams    Charts ( edit )     Charts ( 1996 - 97 )   Peak position     Australia ( ARIA )   47     Germany ( Media Control AG )   26     Netherlands ( Single Top 100 )   15     New Zealand ( Recorded Music NZ )       Sweden ( Sverigetopplistan )   35     UK R&amp;B ( Official Charts Company )       UK Singles ( The Official Charts Company )   13     US Billboard Hot 100 Airplay   58     US Hot R&amp;B / Hip - Hop Airplay ( Billboard )   18     Certification ( edit )     Region   Certification   Certified units / Sales     New Zealand ( RMNZ )   Gold   5,000      sales figures based on certification alone shipments figures based on certification alone      In popular culture ( edit )   Rich Juzwiak of Gawker in an article expressed his disappointment in a 2014 musical about Shakur 's life , the article titled , `` We 're Kind of Mad at Cha : The 2Pac Musical Holler If Ya Hear Me '' .   U.S. Attorney General Eric Holder referenced the song in December 2014 , when protestors interrupted him while he was giving a speech in Atlanta , Georgia at Ebenezer Baptist Church . In response , Holder stated to the protestors , `` I 'm not mad at cha '' .   References ( edit )    ^ Jump up to : `` News Archives , HitEmUp.com - September 2004 '' . Hitemup.com. 2007 - 10 - 13 . Archived from the original on 2007 - 10 - 13 . Retrieved September 27 , 2006 .   Jump up ^ Huey , Steve ( 1996 - 02 - 13 ) . `` All Eyez on Me review '' . Allmusic.com . Retrieved 2012 - 08 - 07 .   Jump up ^ `` 2Pac - I Ai n't Mad At Cha ' MIDI - MP3 - Karaoke - Sheet Music - Video HamieNET.com '' . Hamienet.com . Retrieved September 27 , 2006 .   Jump up ^ `` MTV Top 100 of 1996 -- Reviews # 40 - 31 '' . Emptyv.multimedia.cx . Retrieved September 27 , 2006 .   Jump up ^ `` Mvdbase.com - 2 Pac - `` I ai n't mad at cha '' `` . Mvdbase.com. 1996 - 02 - 13 . Retrieved September 27 , 2006 .   Jump up ^ `` Australian-charts.com -- 2 Pac feat . Danny Boy -- I Ai n't Mad at Cha '' . ARIA Top 50 Singles .   Jump up ^ `` Die ganze Musik im Internet : Charts , News , Neuerscheinungen , Tickets , Genres , Genresuche , Genrelexikon , Künstler - Suche , Musik - Suche , Track - Suche , Ticket - Suche '' . musicline.de . Retrieved 2012 - 02 - 23 .   Jump up ^ `` Dutchcharts.nl -- 2 Pac feat . Danny Boy -- I Ai n't Mad at Cha '' ( in Dutch ) . Single Top 100 .   Jump up ^ `` Charts.org.nz -- 2 Pac feat . Danny Boy -- I Ai n't Mad at Cha '' . Top 40 Singles .   Jump up ^ `` Swedishcharts.com -- 2 Pac feat . Danny Boy -- I Ai n't Mad at Cha '' . Singles Top 100 .   Jump up ^ http://www.officialcharts.com/charts/r-and-b-singles-chart/19961124/114/   Jump up ^ `` 2Pac Album &amp; Song Chart History `` . Billboard Hot 100 Airplay . Prometheus Global Media .   Jump up ^ `` 2Pac Album &amp; Song Chart History `` . Billboard Hot R&amp;B / Hip - Hop Airplay . Prometheus Global Media .   Jump up ^ THE FIELD id ( chart number ) MUST BE PROVIDED for NEW ZEALAND CERTIFICATION .   Jump up ^ http://nztop40.co.nz/chart/singles?chart=3767   Jump up ^ Juzwiak , Rich ( June 25 , 2014 ) . `` We 're Kind of Mad at Cha : The 2Pac Musical Holler If Ya Hear Me '' . Gawker . Archived from the original on July 8 , 2015 .   Jump up ^ `` Holder Spits Tupac At Protester , ' I Ai n't Mad At Cha ' ( VIDEO ) '' . News One . December 2 , 2014 .    External links ( edit )    Music video at MTV.com      ( hide )         Tupac Shakur     Studio albums     2Pacalypse Now   Strictly 4 My N.I.G.G.A.Z. ...   Thug Life : Volume 1   Me Against the World   All Eyez on Me   The Don Killuminati : The 7 Day Theory       Posthumous albums     RU Still Down ? ( Remember Me )   Still I Rise   Until the End of Time   Better Dayz   Loyal to the Game   Pac 's Life       Live albums     2Pac Live   Live at the House of Blues       Compilation albums     Greatest Hits   The Rose That Grew from Concrete   The Prophet : The Best of the Works   Nu - Mixx Klazzics   Tupac : Resurrection   The Rose , Vol. 2   The Prophet Returns   Beginnings : The Lost Tapes 1988 -- 1991   Nu - Mixx Klazzics Vol. 2   Best of 2Pac       Related albums     Nothing but Trouble ( soundtrack )   Sons of the P   Juice ( soundtrack )   Poetic Justice ( soundtrack )   Above the Rim ( soundtrack )   Gridlock 'd ( soundtrack )   Gang Related ( soundtrack )   A 2Pac Tribute : Dare 2 Struggle       Extended plays     Makaveli &amp; Dillinger Do n't Go 2 Sleep       Singles     `` Brenda 's Got a Baby ''   `` If My Homie Calls ''   `` Trapped ''   `` Holler If Ya Hear Me ''   `` I Get Around ''   `` Keep Ya Head Up ''   `` Papa'z Song ''   `` Cradle to the Grave ''   `` Dear Mama ''   `` So Many Tears ''   `` Temptations ''   `` California Love ''   `` 2 of Amerikaz Most Wanted ''   `` How Do U Want It ''   `` All Bout U ''   `` I Ai n't Mad at Cha ''   `` Life Goes On ''   `` Toss It Up ''   `` To Live &amp; Die in LA ''   `` Hail Mary ''   `` Wanted Dead or Alive ''   `` Made Niggaz ''       Posthumous singles     `` I Wonder If Heaven Got a Ghetto ''   `` Do for Love ''   `` Changes ''   `` Unconditional Love ''   `` Baby Do n't Cry ( Keep Ya Head Up II ) ''   `` Who Do U Believe In ''   `` Until the End of Time ''   `` Letter 2 My Unborn ''   `` Thugz Mansion ''   `` Still Ballin ' ''   `` Runnin ' ( Dying to Live ) ''   `` One Day at a Time ( Em 's Version ) ''   `` Thugs Get Lonely Too ''   `` Ghetto Gospel ''   `` Untouchable ''   `` Pac 's Life ''   `` Playa Cardz Right ''       Other songs     `` I Do n't Give a Fuck ''   `` Runnin ' ( From tha Police ) ''   `` Hit ' Em Up ''   `` Are U Still Down ''   `` Panther Power ''       Featured singles     `` Smile ''   `` Playa Cardz Right ''       Books     The Rose That Grew from Concrete       Stage     Holler If Ya Hear Me       Filmography     Nothing but Trouble   Juice   Poetic Justice   Above the Rim   Bullet   Gridlock 'd   Gang Related       Documentaries     Biggie &amp; Tupac   Tupac : Resurrection   Tupac : Assassination       Outlawz     Yaki Kadafi   Kastro   Napoleon   E.D.I. Mean   Hussein Fatal   Mussolini   Komani   Young Noble       Related articles     Discography   List of songs   Outlawz   Digital Underground   Afeni Shakur   Assata Shakur   Mopreme Shakur   Mutulu Shakur   East Coast - West Coast hip hop rivalry   Makaveli Branded Clothing   Niccolò Machiavelli   Orlando Anderson   Tupac Amaru Shakur Center for the Arts   Billy Garland   Kadafi   List of awards and nominations received by Tupac Shakur   Murder of Tupac Shakur   All Eyez on Me      Retrieved from `` https://en.wikipedia.org/w/index.php?title=I_Ain%27t_Mad_at_Cha&amp;oldid=800750551 '' Categories :   1996 singles   Tupac Shakur songs   Songs released posthumously   Rhythm and blues ballads   1996 songs   Songs written by Tupac Shakur   Songs written by Daz Dillinger   Death Row Records singles   Interscope Records singles   Hidden categories :   Cite certification used with missing parameters   Music infoboxes with malformed table placement   Music infoboxes with deprecated parameters   Articles with hAudio microformats   Singlechart usages for Australia   Singlechart usages for Dutch100   Singlechart usages for New Zealand   Singlechart usages for Sweden   Certification Table Entry usages for New Zealand           Talk                                           Contents                   About Wikipedia                                           Español   Italiano   עברית   ქართული   Kiswahili   Polski   Português   Русский   Українська   Edit links   This page was last edited on 15 September 2017 , at 12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</si>
  <si>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on i ain't mad at cha</t>
  </si>
  <si>
    <t xml:space="preserve"> `` I Ai n't Mad at Cha '' is a song by rapper 2Pac released shortly after his death as the sixth single from his album All Eyez on Me . It was also his last single using the stage name 2Pac . The song features contemporary soul singer Danny Boy who provided the vocals for the song 's hook . The song did well in the United Kingdom , reaching the number 13 on the UK Singles Chart and on the UK R&amp;B Charts peaking at number 3 . It was not released as a single in the United States , thus making it ineligible to chart on the Billboard singles charts ( due to chart rules at the time ) , but reached numbers 18 and 58 in the R&amp;B and Pop Airplay charts , respectively . It also reached number two on the New Zealand Singles Chart . </t>
  </si>
  <si>
    <t xml:space="preserve">India Women 's national cricket team - Wikipedia  India Women 's national cricket team     India   India cricket crest     Nickname ( s )   Women in Blue     Association   Board of Control for Cricket in India     Personnel     Captain   Mithali Raj ( Test and ODI )     T20I captain   Harmanpreet Kaur     Coach   Anjum Chopra     International Cricket Council     ICC status   Full member ( 1926 )     ICC region   Asia        ICC Rankings   Current   Best - ever     Women 's   4th   2nd        Women 's Tests     First WTest   v West Indies at the M. Chinnaswamy Stadium , Bangalore ; 31 October -- 2 November 1976     Last WTest   v South Africa at Srikantadatta Narasimha Raja Wadeyar Ground , Mysore ; 16 -- 19 November 2014        WTests   Played   Won / Lost     Total   36   5 / 6 ( 25 draws )        Women 's One Day Internationals     First WODI   v England at Eden Gardens , Calcutta ; 1 January 1978     Last WODI   v England at Nagpur ; 18 April 2018        WODIs   Played   Won / Lost     Total   257   140 / 112 ( 1 ties , 4 no result )     This year   9   2 / 4 ( 0 ties , 0 no result )        Women 's World Cup Appearances   9 ( first in 1978 )     Best result   Runner - Up ( 2005 , 2017 )     Women 's Twenty20 Internationals     First WT20I   v England at the County Cricket Ground , Derby ; 5 August 2006     Last WT20I   v Bangladesh at Kuala Lumpur ; 10 June 2018        WT20Is   Played   Won / Lost     Total   88   45 / 42 ( 0 ties , 1 no result )     This year   15   8 / 6 ( 0 ties , 1 no result )        Women 's World Twenty20 Appearances   5 ( first in 2009 )     Best result   Semi-final ( 2009 , 2010 )     As of 1 April 2018     The India women 's national cricket team , nicknamed the Women in Blue , represents the country of India in international women 's cricket . One of eight teams competing in the ICC Women 's Championship , the highest level of international women 's cricket , the team is governed by the Board of Control for Cricket in India ( BCCI ) .   India made its Test debut in 1976 , against the West Indies , and its One Day International ( ODI ) debut at the 1978 World Cup , which it hosted . The team has made the World Cup final on two occasions , losing to Australia by 98 runs in 2005 , and losing to England by 9 runs in 2017 . India has made the semi-finals on three other occasions , in 1997 , 2000 , and 2009 . India has also made the semi-finals of the World Twenty20 on two occasions ( 2009 and 2010 ) , but is yet to progress any further in the tournament .   Contents    1 History   2 Current international rankings Top 10   3 Governing body   4 Team colours   5 International grounds   6 Captains   7 Results and fixtures   8 Current squad   9 Support Staff   10 Tournament history   11 Individual records   12 Statistics   12.1 One - Day Internationals   12.2 Twenty20 Internationals   12.3 Test cricket     13 See also   14 References    History ( edit )  Members of the Indian cricket team before a Women 's Cricket World Cup game in Sydney  The British brought cricket to India in the early 1700s , with the first cricket match played in 1721 . The first Indian cricket club was established by the Parsi community in Bombay , in 1848 ; the club played their first match against the Europeans in 1877 . The first official Indian cricket team was formed in 1911 and toured England , where they played English county teams . The India team made their Test debut against England in 1932 . Around the same time ( 1934 ) , the first women 's Test was played between England and Australia . However , women 's cricket arrived in India much later ; the Women 's Cricket Association of India was formed in 1973 . The Indian women 's team played their first Test match in 1976 , against the West Indies . India recorded its first - ever Test win in November 1978 against West Indies under Shantha Rangaswamy 's captaincy at the Moin - ul - Haq Stadium in Patna .  Indian Batswoman at Cricket Worlds Cup 2010 Mithali Raj , Captain of India Women 's cricket team  As part of the International Cricket Council 's initiative to develop women 's cricket , the Women 's Cricket Association of India was merged with the Board of Control for Cricket in India in 2006 .   Current international Rankings top 10 ( edit )   The ICC Women 's Rankings incorporates results from Tests , ODIs and T20Is into a single ranking system .     ICC Women 's Rankings             Rank   Team   Matches   Points   Rating       Australia   54   7,157   133       England   45   5,715   127       New Zealand   57   6,900   121       India   59   6,672   113     5   West Indies   48   4,725   98     6   South Africa   62   5,775   93     7   Pakistan   52   3,920   75     8   Sri Lanka   52   3,256   63     9   Bangladesh   19   704   37     10   Ireland   17   504   30     Reference : icc-cricket.com , espncricinfo.com , 31 March 2018     Governing body ( edit )  Main article : Board of Control for Cricket in India  The Board of Control for Cricket in India ( BCCI ) is the governing body for the Indian cricket team and first - class cricket in India . The Board has been operating since 1929 and represents India at the International Cricket Council . It is amongst the richest sporting organisations in the world . It sold media rights for India 's matches from 2006 -- 2010 for US $612,000,000 . It manages the Indian team 's sponsorships , its future tours and team selection .   The International Cricket Council determines India 's upcoming matches through its future tours program .   Team colours ( edit )   Team colour is blue .   International grounds ( edit )  Further information : List of women 's Test cricket grounds and List of women 's Twenty20 International cricket grounds See also : List of international cricket grounds in India  Fourteen grounds in India have hosted women 's international Test cricket matches . The first women 's international test cricket match hosted in India was held at the M. Chinnaswamy Stadium in Bangalore on 31 October 1976 .   Six grounds in India have hosted women 's T20I matches . The first women 's T20I match hosted in India was held at the Bandra Kurla Complex Ground in Mumbai on 4 March 2010 .   Captains ( edit )  Main articles : List of India women Test cricketers § Test captains , and List of India women ODI cricketers § ODI captains  Results and fixtures ( edit )   The recent results and forthcoming fixtures of India in international cricket :     Bilateral series and tours     Date   Against   H / A / N   Results ( Matches )     Test   WODI   WT20I     February 2018   South Africa   Away   --   2 -- 1 ( 3 )   3 -- 1 ( 5 )     March 2018   Australia   Home   --   0 -- 3 ( 3 )   --     April 2018   England   Home   --   2 -- 1 ( 3 )   --         Summer 2018   Sri Lanka   Away   --   ( 3 )   --     February -- March 2019   New Zealand   Away   --   ( 3 )   --       Multiteam series and tournaments     Date   Series   Format   Position   Results ( Matches )     March 2018   2017 -- 18 India women 's Tri-Nation Series   WT20I   3rd place   1 -- 3 ( 4 )     June 2018   2018 Women 's Twenty20 Asia Cup   WT20I   Runner 's up   4 -- 2 ( 6 )     Current squad ( edit )   This lists all the players who have played for India in the past 12 months and the forms in which they have played .   Key    C / G = Contract grade   S / N = Shirt number      Name   Age   Batting style   Bowling style   Domestic team   Zone   C / G   Forms   S / N     Test and ODI Captain     Mithali Raj   35   Right - handed   Right - arm leg break   Railways Rajasthan   Central     Test , ODI , T20I       T20I Captain     Harmanpreet Kaur   29   Right - handed   Right - arm medium fast   Railways Punjab   North     ODI , T20I   17     Batswomen     Thirush Kamini   28   Left - handed   Leg break   Railways   Central Tamil Nadu   -   T20I   16     Veda Krishnamurthy   25   Right - handed   Right - arm leg break   Karnataka   South     ODI , T20I   79     Smriti Mandhana   22   Left - handed   Right - arm medium   Maharashtra   West     ODI , T20I   18     Mona Meshram   26   Right - handed   Right - arm medium         ODI , T20I       Poonam Raut   28   Right - handed   Right - arm offbreak   Railways   Central     ODI , T20I   14     Vellaswamy Vanitha   28   Right - handed   Right - arm offbreak   Karnataka   South   -   ODI , T20I   14     Latika Kumari   26   Right - handed   Right - arm offbreak   Delhi   North   -   T20I   15     Jemimah Rodrigues   17   Right - handed   Right - arm offbreak   Delhi   North     ODI , T20I       Wicket - keeper     Sushma Verma   25   Right - handed   n / a   Himachal Pradesh   North     ODI , T20I   5     Ravi Kalpana   22   Right - handed   n / a   Andhra   South   -   ODI , T20I   11     Nuzhat Parveen   22   Right - handed   n / a   Railways   Central     ODI , T20I       Taniya Bhatia   20   Right - handed   n / a   Punjab   North     ODI , T20I       All - rounders     Jhulan Goswami   35   Right - handed   Right - arm medium fast   Bengal   East     Test , ODI , T20I   25     Shikha Pandey   29   Right - handed   Right - arm medium fast   Goa   South     ODI , T20I   99     Deepti Sharma   20   Left - handed   Right - arm off spin   Uttar Pradesh   North     ODI , T20I   6     Anuja Patil   26   Right - handed   Right - arm off spin   Maharashtra   West     ODI , T20I   82     Bowlers     Ekta Bisht   32   Right - handed   Slow left - arm orthodox   Railways   Central     ODI , T20I   8     Rajeshwari Gayakwad   27   Right - handed   Slow left - arm orthodox   Railways   Central     ODI , T20I       Mansi Joshi   24   Right - handed   Right - arm medium - fast         ODI , T20I       Sneh Rana   24   Right - handed   Right - arm offbreak   Punjab   North   -   ODI , T20I   7     Pooja Vastrakar   18   Right - handed   Right - arm medium   Railways   Central     T20I       Poonam Yadav   26   Right - handed   Right - arm legbreak         ODI , T20I       Radha Yadav   18   Right - handed   Right - arm leg break   Railways   North   -   T20I       The BCCI awarded contracts to women cricketers for the first time in the 2015 - 16 fiscal year . Contracts are pay graded according to the importance of the player . Players ' salaries are as follows :    Grade A -- ₹ 50 lakh ( US $73,000 ) per annum   Grade B -- ₹ 30 lakh ( US $44,000 ) per annum   Grade C -- ₹ 10 lakh ( US $15,000 ) per annum    Support Staff ( edit )    Team Manager - Monica Sumra   Director Of Cricket - Rajani Venugopal   Head Coach - Anjum Chopra   Assistant Head Coach - Neetu David   Batting Coach - Pramila Bhatt   Batting Consultant - Mithali Raj   Fast Bowling Coach - Amita Sharma   Spin Bowling Coach - Nooshin Al Khadeer   Bowling Consultant - Jhulan Goswami   Youth Development Coach - Mamatha Maben   Fielding Coach - Rita Dey   Wicket Keeping Coach - Anju Jain   Physiotherapist - Tracy Fernandes   Fitness Trainer - Neelima Batav   Analyst - Aarti Nalge    Tournament history ( edit )     World Cup record     Year and Host   Played   Won   Lost   Tie   NR   Position     1973             DNP     1978     0     0   0   Fourth     1982   12     8   0   0   Fourth                 DNP     1993   7       0   0   Fourth     1997   5         0   Semi-Finalists     2000   8   5     0   0   Semi-Finalists     2005   8   5     0     Runners - Up     2009   7   5     0   0   3rd Place     2013         0   0   7th Place     2017   9   6     0   0   Runners - Up     TOTAL   63   34   27       Runners - Up ( 2 Times )     Note - In the 1997 World Cup , a match was abandoned between India and Sri Lanka . In 2005 World Cup , a match was abandoned between India and Australia . Both these matches are not included in any categories .     World Twenty20 record     Year   Played   Won   Lost   Tie   NR   Position     2009         0   0   Semi-Finalists             0   0   Semi-Finalists     2012     0     0   0   Group Stage     2014   5       0   0   Group Stage     2016   5       0   0   Group Stage     TOTAL   21   8   13   0   0   Semi-Finalists ( 2 Times )     Individual records ( edit )  Further information : List of women 's Test cricket records , List of women 's One Day International cricket records , and List of women 's Twenty20 International records  Statistics ( edit )  Main article : India women 's national cricket team record by opponent  One - Day Internationals ( edit )     Opponent   Matches   Won   Lost   Tied   No Result   % Won   First   Last     Australia   46   9   37   0   0   19.56   1978   2018     Bangladesh       0   0   0   100.00   2013   2017     Denmark       0   0   0   100.00   1993   1993     England   66   28   36   0     43.75   1978   2018     International XI       0   0   0   100.00   2013   2013     Ireland   12   12   0   0   0   100.00   1993   2017     Netherlands       0   0   0   100.00   1993   2000     New Zealand   45   17   27     0   38.88   1978   2017     Pakistan   10   10   0   0   0   100.00   2005   2017     South Africa   19   11   7   0     61.11   1997   2018     Sri Lanka   26   24     0     96.00   2000   2017     Zimbabwe       0   0     100   2017   2017     West Indies   22   18     0   0   81.81   1993   2017     Total   258   141   112       55.83   1978   2018     Statistics are correct as of India v England at Nagpur , 3rd ODI , April 12 , 2018 .                Most ODI runs for India     Player   Runs   Average     Mithali Raj   6,373   50.18     Anjum Chopra   2,856   31.38     Harmanpreet Kaur   2,196   35.41     Jaya Sharma   2,091   30.75     Anju Jain   1,729   29.81     Poonam Raut   1,670   32.11     Smriti Mandhana   1,464   37.53     Deepti Sharma   1,230   43.92     Hemlata Kala   1,023   20.87     Jhulan Goswami   1,011   13.66         Most ODI wickets for India     Player   Wickets   Average     Jhulan Goswami   203   21.77     Neetu David   141   16.34     Nooshin Al Khadeer   100   24.02     Amita Sharma   87   35.52     Ekta Bisht   79   21.39     Gouher Sultana   66   19.39     Rumeli Dhar   63   27.38     Deepa Marathe   60   20.83     Rajeshwari Gayakwad   59   16.64     Shikha Pandey   54   21.44           Highest team total : 358 / 3 v Ireland , 15 May 2017 at Senwes Park , South Africa   Highest individual score : 188 Deepti Sharma v Ireland , 15 May 2017 at Senwes Park , South Africa   Best innings bowling : 6 / 10 , Mamatha Maben v Sri Lanka , 25 April 2004 at Asgiriya Stadium , Sri Lanka    Twenty20 Internationals ( edit )     Opponent   Matches   Won   Lost   Tied   No Result   % Won   First   Last     Australia   14     11   0   0   21.42   2008   2018     Bangladesh   11   9     0   0   81.81   2013   2018     England   13     10   0   0   23.07   2006   2018     Malaysia       0   0   0   100.00   2018   2018     New Zealand   7     5   0   0   28.57   2009   2015     Pakistan   10   8     0   0   80.00   2009   2018     South Africa   6       0     80.00   2014   2018     Sri Lanka   12   9     0   0   75.00   2009   2018     Thailand       0   0   0   100.00   2018   2018     West Indies   13   5   8   0   0   38.46   2011   2016     Total   88   45   42   0     51.72   2006   2018     Statistics are correct as of India v Bangladesh at Kuala Lumpur , Women 's Twenty20 Asia Cup final , June 10 , 2018 .                Most T20I runs for India     Player   Runs   Average     Mithali Raj   2,026   36.83     Harmanpreet Kaur   1,557   27.31     Smriti Mandhana   826   23.60     Poonam Raut   719   27.65     Veda Krishnamurthy   596   18.62     Jhulan Goswami   405   10.94     Sulakshana Naik   384   14.76     Amita Sharma   383   14.73     Anuja Patil   260   17.33     Anjum Chopra   241   17.21         Most T20I wickets for India     Player   Wickets   Average     Jhulan Goswami   56   21.94     Poonam Yadav   50   14.12     Ekta Bisht   50   14.30     Anuja Patil   31   23.48     Gouher Sultana   29   26.27     Priyanka Roy   21   12.47     Rajeshwari Gayakwad   20   19.80     Shikha Pandey   18   25.66     Harmanpreet Kaur   17   28.94     Diana David   16   14.18          Test cricket ( edit )   Test record versus other nations     Opponent   Matches   Won   Lost   Draw   W / L ratio   % Won   % Lost   % Draw   First   Last     Australia   9   0     5   0.00   0.00   44.44   55.55   1977   2006     England   13       10   2.00   15.38   7.69   76.92   1986   2014     New Zealand   6   0   0   6   0.00   0.00   0.00   100.00   1977   2003     South Africa       0   0   -   100.00   0.00   0.00   2002   2014     West Indies   6         1.00   16.66   16.66   66.66   1976   1976     Total   36   5   6   25   0.83   13.88   16.66   69.44   1976   2014     Statistics are correct as of India v South Africa at Mysore , Nov 16 - 19 , 2014 .                Most Test runs for India     Player   Runs   Average     Sandhya Agarwal   1,110   50.45     Shanta Rangaswamy   750   32.60     Shubhangi Kulkarni   700   23.33     Mithali Raj   663   51.00     Gargi Banerji   614   27.90     Sudha Shah   601   18.78     Anjum Chopra   548   30.44     Hemlata Kala   503   50.30         Most Test wickets for India     Player   Wickets   Average     Diana Edulji   63   25.77     Shubhangi Kulkarni   60   27.45     Neetu David   41   18.90     Jhulan Goswami   40   16.62     Shashi Gupta   25   31.28     Shanta Rangaswamy   21   31.61     Sharmila Chakraborty   19   22.10     Purnima Rau   15   21.26           Highest team total : 467 v England , 14 August 2002 at County Ground , Taunton , England   Highest individual score : 214 , Mithali Raj v England , 14 August 2002 at County Ground , Taunton , England   Best innings bowling : 8 / 53 , Neetu David v England , 24 November 1995 at Jamshedpur , India   Best match bowling : 10 / 78 , Jhulan Goswami v England , 29 August 2006 at County Ground , Taunton , England    See also ( edit )       Wikimedia Commons has media related to India women 's national cricket team .      Cricket portal     List of India women Test cricketers   List of India women ODI cricketers   List of India women Twenty20 International cricketers   Indian men 's cricket team    References ( edit )    Jump up ^ `` India women 's coach Tushar Arothe resigns '' . ESPNcricinfo . Retrieved 11 July 2018 .   Jump up ^ `` ICC Rankings '' . icc-cricket.com .   Jump up ^ `` Women 's Test matches - Team records '' . ESPNcricinfo .   Jump up ^ `` Women 's Test matches - 2018 Team records '' . ESPNcricinfo .   Jump up ^ `` WODI matches - Team records '' . ESPNcricinfo .   Jump up ^ `` WODI matches - 2018 Team records '' . ESPNcricinfo .   Jump up ^ `` WT20I matches - Team records '' . ESPNcricinfo .   Jump up ^ `` WT20I matches - 2018 Team records '' . ESPNcricinfo .   Jump up ^ `` The history of Indian women 's cricket '' .   Jump up ^ Downing , Clement ( 1978 ) . A History of the Indian Wars . p. 189 . OCLC 5905776 .   Jump up ^ `` Cricket and Politics in Colonial India '' . Ramachandra Guha. 1998 . Retrieved 7 December 2009 .   Jump up ^ `` India in England , 1911 '' . Cricket Archive . Retrieved 7 December 2009 .   Jump up ^ `` England v India 1932 '' . Cricinfo . Retrieved 7 December 2009 .   Jump up ^ `` List of women 's Test matches '' . Cricinfo . Archived from the original on 20 July 2012 . Retrieved 7 December 2009 .   Jump up ^ Stoddart , Brian ; Keith A.P. Sandiford ( 1998 ) . The imperial game : cricket , culture , and society . Manchester University Press . p. 5 . ISBN 978 - 0 - 7190 - 4978 - 1 . OCLC 40430869 .   Jump up ^ `` India women Test matches '' . Cricinfo . Archived from the original on 15 July 2012 . Retrieved 7 December 2009 .   Jump up ^ `` One more game , and it can change India 's fortunes : Mithali Raj '' .   Jump up ^ `` 1978 Patna scorecard '' .   Jump up ^ `` Better days for women 's cricket ? '' . Rediff. 14 November 2006 . Archived from the original on 4 June 2011 . Retrieved 7 December 2009 .   Jump up ^ `` Nimbus Bags Cricket Rights for $612 m '' . The Hindu . India . Retrieved 11 January 2007 .   Jump up ^ `` Ajinkya Rahane gets Grade A contract '' . ESPNcricinfo. 9 November 2015 .   Jump up ^ `` Kohli , Rohit , Dhawan bag million - dollar BCCI contracts '' . ESPNcricinfo . Retrieved 7 March 2018 .   Jump up ^ http://stats.espncricinfo.com/ci/engine/stats/index.html?class=9;filter=advanced;orderby=start;series=922;team=1863;template=results;type=team   Jump up ^ http://stats.espncricinfo.com/ci/engine/stats/index.html?class=9;filter=advanced;orderby=start;series=924;team=1863;template=results;type=team   Jump up ^ http://static.espncricinfo.com/db/ARCHIVE/WORLD_CUPS/WWC93/WWC93_TABLE.html   Jump up ^ http://stats.espncricinfo.com/ci/engine/stats/index.html?class=9;filter=advanced;orderby=won;series=981;team=1863;template=results;type=team   Jump up ^ http://stats.espncricinfo.com/ci/engine/stats/index.html?class=9;filter=advanced;orderby=start;series=4321;team=1863;template=results;type=team   Jump up ^ http://www.espncricinfo.com/wwc2009/engine/match/357978.html   Jump up ^ `` ICC Women 's World Cup , 7th Place Play - off : India Women v Pakistan Women at Cuttack , Feb 7 , 2013 '' . espncricinfo.com. 7 February 2013 . Retrieved 7 February 2013 .   Jump up ^ `` ICC Women 's World Cup , Final : India Women v England Women at Lords , July 23 , 2017 '' . espncricinfo.com. 23 July 2017 .   Jump up ^ http://stats.espncricinfo.com/ci/engine/stats/index.html?class=9;filter=advanced;orderby=season;team=1863;template=results;trophy=68;type=team;view=season   Jump up ^ `` ICC Women 's World Twenty20 , 2012 / 13 '' . espncricinfo.com. 10 April 2005 . Retrieved 7 January 2013 .   Jump up ^ `` India Women / Records / Women 's One - Day Internationals / Result summary '' . ESPNcricinfo . Retrieved 12 March 2016 .   Jump up ^ `` Records / Women 's One - Day Internationals / Team records / Results summary '' . ESPNcricinfo . Retrieved 12 March 2016 .   Jump up ^ `` India Women / Records / Women 's One - Day Internationals / Most runs '' . cricinfo.com . Retrieved 12 March 2016 .   Jump up ^ `` India Women / Records / Women 's One - Day Internationals / Most wickets '' . cricinfo.com . Retrieved 12 March 2016 .   Jump up ^ http://www.espncricinfo.com/icc-womens-world-cup-2017/content/current/player/597811.html   Jump up ^ http://www.espncricinfo.com/icc-womens-world-cup-2017/content/current/player/597811.html   Jump up ^ `` India Women / Records / Women 's Twenty20 Internationals / Result summary '' . ESPNcricinfo . Retrieved 11 March 2016 .   Jump up ^ `` Records / Women 's Twenty20 Internationals / Team records / Results summary '' . ESPNcricinfo . Retrieved 11 March 2016 .   Jump up ^ `` India Women / Records / Women 's Twenty20 Internationals / Most runs '' . cricinfo.com . Retrieved 12 March 2016 .   Jump up ^ `` India Women / Records / Women 's Twenty20 Internationals / Most wickets '' . cricinfo.com . Retrieved 4 December 2016 .   Jump up ^ `` India Women / Records / Women 's Test matches / Result summary '' . ESPNcricinfo . Retrieved 30 March 2013 .   Jump up ^ `` Records / Women 's Test matches / Team records / Results summary '' . ESPNcricinfo . Retrieved 30 March 2013 .   Jump up ^ `` India Women / Records / Women 's Test matches / Most runs '' . cricinfo.com . Retrieved 12 March 2016 .   Jump up ^ `` India Women / Records / Women 's Test matches / Most wickets '' . cricinfo.com . Retrieved 12 March 2016 .              India women 's national cricket team     Players     Test cricketers   ODI cricketers   Twenty20 International cricketers       Tours     Australia / New Zealand 1976 -- 77   England 1986   Australia 1990 -- 91   New Zealand 1994 -- 95   South Africa 2001 -- 02   Australia / New Zealand 2005 -- 06   England 2012   England 2014   Australia 2015 -- 16   South Africa 2017 -- 18   Sri Lanka 2018   New Zealand 2018 -- 19   West Indies in 2018 -- 19       Home series     Bangladesh 2012 -- 13   South Africa 2014 -- 15   New Zealand 2015   Sri Lanka 2015 -- 16   West Indies 2016 -- 17   Australia 2017 -- 18   England 2017 -- 18       Competitions      Asia Cup       2005 -- 06   2006   2008   2012   2016   2018       Tri-Nations     2017 -- 18       Quadrangular Series     2006 -- 07   2011   2017          Matches      World Cup finals     2005   2017          See also     Record by opponent                 Cricket in India     Board of Control for Cricket in India ( BCCI )     National teams     India   India A   U-19   Women   Blind       Zonal teams     Central         East         North         South         West             State teams     Andhra         Assam         Baroda         Bengal         Chhattisgarh         Delhi         Gujarat         Goa         Haryana         Himachal Pradesh         Hyderabad         Jammu &amp; Kashmir         Jharkhand         Karnataka         Kerala         Madhya Pradesh         Maharashtra         Mumbai         Odisha         Punjab         Railways         Rajasthan         Saurashtra         Services ( M )   Tamil Nadu         Tripura         Uttar Pradesh         Vidarbha             Tournaments      First - class     Ranji Trophy   Duleep Trophy   Irani Cup   Senior Women 's Cricket Inter Zonal Three Day Game       One Day     Vijay Hazare Trophy   Deodhar Trophy   BCCI Corporate Trophy   Senior Women 's Challenger Trophy   Senior Women 's One Day League   NKP Salve Challenger Trophy ( defunct )       Twenty20     Indian Premier League   Syed Mushtaq Ali Trophy   Senior Women 's T20 League   Senior Women 's T20 Challenger Trophy       Other     Rohinton Baria Trophy   Cooch Behar Trophy   Celebrity Cricket League   Indian Cricket League ( defunct )          BCCI     Presidents   Members   Selectors   Awards   Mansur Ali Khan Pataudi Memorial Lecture   National Cricket Academy       Lists     Captains   Test wicket - keepers   ODI wicket - keepers   International grounds   Test records   ODI records   T20I records       Others     History   India -- Pakistan cricket rivalry                 Women 's national cricket teams     Women 's Championship     Australia   England   India   New Zealand   Pakistan   South Africa   Sri Lanka   West Indies       Other ODI teams     Bangladesh   Ireland       Former ODI teams     Denmark   Japan   Netherlands   Scotland       Other active teams     Afghanistan   Argentina   Bermuda   Bhutan   Botswana   Brazil   Canada   Cayman Islands   China   Cook Islands   Fiji   Hong Kong   Iran   Kenya   Kuwait   Malaysia   Namibia   Nepal   Nigeria   New Caledonia   Oman   Papua New Guinea   Qatar   Samoa   Sierra Leone   Singapore   Tajikistan   Tanzania   Thailand   Uganda   United Arab Emirates   United States   Vanuatu   Wales   Zimbabwe       See also     International XI   Jamaica   Trinidad &amp; Tobago   Young England                 National teams of India     Major teams ( World level )     Badminton   Cricket     Ind A   M U19   Blind       Field hockey         Kabaddi         Motorsport ( A1 Team )   Rollball   Softball         Squash         Tennis             Continental level     Basketball     M U19   M U17   M 3x3     W U19   W U17   W 3x3     Football     M U23   M U19   M U17   M U14     W U19     Volleyball             Minor teams     Baseball         Beach soccer   Handball         Ice hockey     M U20   M U18       Korfball   Netball   Racquetball   Roller hockey         Rugby league   Rugby union         Rugby 7 's         Water polo             Multi-sport event     Asian Games   Commonwealth Games   Lusophony Games   Olympics   Youth     Paralympics   Universiade   World Games      Retrieved from `` https://en.wikipedia.org/w/index.php?title=India_women%27s_national_cricket_team&amp;oldid=853048012 '' Categories :   India women 's national cricket team   Women 's national cricket teams   India in international cricket   Women 's cricket teams in India   Women 's national sports teams of India   1976 establishments in India   Hidden categories :   Use dmy dates from April 2018   Use Indian English from April 2018   All Wikipedia articles written in Indian English           Talk                                           Contents                   About Wikipedia                                                 বাংলা   हिन्दी   ಕನ್ನಡ   मैथिली   മലയാളം   मराठी   नेपाली   ਪੰਜਾਬੀ   پنجابی   Português   தமிழ்   Türkçe   डोटेली  4 more  Edit links   This page was last edited on 2 August 2018 , at 02 : 44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</si>
  <si>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women's cricket start in india</t>
  </si>
  <si>
    <t xml:space="preserve"> The British brought cricket to India in the early 1700s , with the first cricket match played in 1721 . The first Indian cricket club was established by the Parsi community in Bombay , in 1848 ; the club played their first match against the Europeans in 1877 . The first official Indian cricket team was formed in 1911 and toured England , where they played English county teams . The India team made their Test debut against England in 1932 . Around the same time ( 1934 ) , the first women 's Test was played between England and Australia . However , women 's cricket arrived in India much later ; the Women 's Cricket Association of India was formed in 1973 . The Indian women 's team played their first Test match in 1976 , against the West Indies . India recorded its first - ever Test win in November 1978 against West Indies under Shantha Rangaswamy 's captaincy at the Moin - ul - Haq Stadium in Patna . </t>
  </si>
  <si>
    <t xml:space="preserve">Stamp Act 1765 - wikipedia  Stamp Act 1765     Duties in American Colonies Act   Parliament of Great Britain     Long title   An act for granting and applying certain stamp duties , and other duties , in the British colonies and plantations in America , towards further defraying the expenses of defending , protecting , and securing the same ; and for amending such parts of the several acts of parliament relating to the trade and revenues of the said colonies and plantations , as direct the manner of determining and recovering the penalties and forfeitures therein mentioned .     Citation   5 George III , c. 12     Introduced by   The Right Honourable George Grenville , MP Prime Minister , Chancellor of the Exchequer , and Leader of the House of Commons     Territorial extent     British America and the British West Indies       Dates     Royal assent   22 March 1765     Commencement   1 November 1765     Repealed   18 March 1766     Other legislation     Repealed by   Act Repealing the Stamp Act 1766     Relates to   Declaratory Act     Status : Repealed       This article is part of a series about the     American Revolution 1765 -- 1783         Origins ( show )   Sugar Act   Currency Act   Quartering Acts   Stamp Act 1765   Declaratory Act   No taxation without representation   Townshend Acts   Tea Act   Boston Massacre   Boston Tea Party   Intolerable Acts       Revolutionary War ( show )   Continental Army   Continental Navy   Minutemen   Battles   Intelligence   Treaty of Paris   Costs       Declaration of Independence ( show )   Continental Congress   Committee of Five   Lee Resolution   Articles of Confederation       United States Constitution ( show )   Philadelphia Convention   Annapolis Convention   The Federalist Papers   Bill of Rights       A New Republic ( show )   Republicanism   American Enlightenment   Liberalism   First Great Awakening   Role of Women       Legacy ( show )   Atlantic Revolutions   Bicentennial                       The Stamp Act of 1765 ( short title Duties in American Colonies Act 1765 ; 5 George III , c. 12 ) was an Act of the Parliament of Great Britain that imposed a direct tax on the Thirteen Colonies and required that many printed materials in the colonies be produced on stamped paper produced in London , carrying an embossed revenue stamp . Printed materials included legal documents , magazines , playing cards , newspapers , and many other types of paper used throughout the colonies . Like previous taxes , the stamp tax had to be paid in valid British currency , not in colonial paper money .   The purpose of the tax was to pay for British military troops stationed in the American colonies after the French and Indian War , which was the North American theater of the Seven Years ' War . However , the colonists had never feared a French invasion to begin with , and they contended that they had already paid their share of the war expenses . They suggested that it was actually a matter of British patronage to surplus British officers and career soldiers who should be paid by London .   The Stamp Act was very unpopular among colonists . A majority considered it a violation of their rights as Englishmen to be taxed without their consent -- consent that only the colonial legislatures could grant . Their slogan was `` No taxation without representation . '' Colonial assemblies sent petitions and protests , and the Stamp Act Congress held in New York City was the first significant joint colonial response to any British measure when it petitioned Parliament and the King .   One member of the British Parliament argued that the colonials were no different from the 90 % residents of Great Britain who did not own property and thus could not vote , but who were nevertheless `` virtually '' represented by land - owning electors and representatives who had common interests with them . An American attorney refuted this by pointing out that the relations between the Americans and the English electors were `` a knot too infirm to be relied on '' for proper representation , `` virtual '' or otherwise . Local protest groups established Committees of Correspondence which created a loose coalition from New England to Maryland . Protests and demonstrations increased , often initiated by the Sons of Liberty and occasionally involving hanging of effigies . Very soon , all stamp tax distributors were intimidated into resigning their commissions , and the tax was never effectively collected .   Opposition to the Stamp Act was not limited to the colonies . British merchants and manufacturers pressured Parliament because their exports to the colonies were threatened by boycotts . The Act was repealed on 18 March 1766 as a matter of expedience , but Parliament affirmed its power to legislate for the colonies `` in all cases whatsoever '' by also passing the Declaratory Act . A series of new taxes and regulations then ensued -- likewise opposed by the colonists .   The episode played a major role in defining the grievances that were clearly stated within the text of the Indictment of George III section of the United States Declaration of Independence , enabling the organized colonial resistance that led to the American Revolution in 1775 .   Contents    1 Background   2 British decision - making   2.1 Details of tax     3 Colonial reaction   3.1 Political responses   3.2 Protests in the streets   3.2. 1 Massachusetts   3.2. 2 Rhode Island   3.2. 3 New York   3.2. 4 Other Colonies   3.2. 5 Quebec , Nova Scotia , Newfoundland , and the Caribbean   3.2. 6 Sons of Liberty   3.2. 7 Colonial newspapers     3.3 Stamp Act Congress     4 Repeal   5 Consequences   6 See also   7 Notes   8 Bibliography   9 External links    Background ( edit )   The British victory in the Seven Years ' War ( 1756 -- 1763 ) , known in America as the French and Indian War , had been won only at a great financial cost . During the war , the British national debt nearly doubled , rising from £ 72,289,673 in 1755 to almost £ 129,586,789 by 1764 . Post-war expenses were expected to remain high because the Bute ministry decided in early 1763 to keep ten thousand British regular soldiers in the American colonies , which would cost about £ 225,000 per year , equal to £ 30 million today . The primary reason for retaining such a large force was that demobilizing the army would put 1,500 officers out of work , many of whom were well - connected in Parliament . This made it politically prudent to retain a large peacetime establishment , but Britons were averse to maintaining a standing army at home so it was necessary to garrison most of the troops elsewhere .   Stationing 10,000 troops to separate American Indians and frontiersmen was one role . The outbreak of Pontiac 's Rebellion in May 1763 apparently reinforced the logic of this decision , as it was an American Indian uprising against the British expansion . The main reason to send 10,000 troops deep into the wilderness was to provide billets for the officers who were part of the British patronage system . John Adams said , `` Revenue is still demanded from America , and appropriated to the maintenance of swarms of officers and pensioners in idleness and luxury . ''  Prime Minister George Grenville  George Grenville became prime minister in April 1763 after the failure of the short - lived Bute Ministry , and he had to find a way to pay for this large peacetime army . Raising taxes in Britain was out of the question , since there had been virulent protests in England against the Bute ministry 's 1763 cider tax , with Bute being hanged in effigy . The Grenville ministry therefore decided that Parliament would raise this revenue by taxing the American colonists without their consent . This was something new ; Parliament had previously passed measures to regulate trade in the colonies , but it had never before directly taxed the colonies to raise revenue .   Politicians in London had always expected American colonists to contribute to the cost of their own defense . So long as a French threat existed , there was little trouble convincing colonial legislatures to provide assistance . Such help was normally provided through the raising of colonial militias , which were funded by taxes raised by colonial legislatures . Also , the legislatures were sometimes willing to help maintain regular British units defending the colonies . So long as this sort of help was forthcoming , there was little reason for the British Parliament to impose its own taxes on the colonists . But after the peace of 1763 , colonial militias were quickly stood down . Militia officers were tired of the disdain shown to them by regular British officers , and were frustrated by the near - impossibility of obtaining regular British commissions ; they were unwilling to remain in service once the war was over . In any case , they had no military role , as the Indian threat was minimal and there was no foreign threat . Colonial legislators saw no need for the British troops .   The Sugar Act of 1764 was the first tax in Grenville 's program to raise a revenue in America , which was a modification of the Molasses Act of 1733 . The Molasses Act had imposed a tax of 6 pence per gallon ( equal to £ 3.81 today ) on foreign molasses imported into British colonies . The purpose of the Molasses Act was not actually to raise revenue , but instead to make foreign molasses so expensive that it effectively gave a monopoly to molasses imported from the British West Indies . It did not work ; colonial merchants avoided the tax by smuggling or , more often , bribing customs officials . The Sugar Act reduced the tax to 3 pence per gallon ( equal to £ 1.63 today ) in the hope that the lower rate would increase compliance and thus increase the amount of tax collected . The Act also taxed additional imports and included measures to make the customs service more effective .  Printed copy of the Stamp Act of 1765  American colonists initially objected to the Sugar Act for economic reasons , but before long they recognized that there were constitutional issues involved . The British Constitution guaranteed that British subjects could not be taxed without their consent , which came in the form of representation in Parliament . The colonists elected no members of Parliament , and so it was seen as a violation of the British Constitution for Parliament to tax them . There was little time to raise this issue in response to the Sugar Act , but it came to be a major objection to the Stamp Act the following year .   British decision - making ( edit )   Parliament announced in April 1764 when the Sugar Act was passed that they would also consider a stamp tax in the colonies . Opposition from the colonies was soon forthcoming to this possible tax , but neither members of Parliament nor American agents in Great Britain ( such as Benjamin Franklin ) anticipated the intensity of the protest that the tax generated .   Stamp acts had been a very successful method of taxation within Great Britain ; they generated over £ 100,000 in tax revenue with very little in collection expenses . By requiring an official stamp on most legal documents , the system was almost self - regulating ; a document would be null and void under British law without the required stamp . Imposition of such a tax on the colonies had been considered twice before the Seven Years ' War and once again in 1761 . Grenville had actually been presented with drafts of colonial stamp acts in September and October 1763 , but the proposals lacked the specific knowledge of colonial affairs to adequately describe the documents subject to the stamp . At the time of the passage of the Sugar Act in April 1764 , Grenville made it clear that the right to tax the colonies was not in question , and that additional taxes might follow , including a stamp tax .   The Glorious Revolution had established the principle of parliamentary supremacy . Control of colonial trade and manufactures extended this principle across the ocean . This belief had never been tested on the issue of colonial taxation , but the British assumed that the interests of the thirteen colonies were so disparate that a joint colonial action was unlikely to occur against such a tax -- an assumption that had its genesis in the failure of the Albany Conference in 1754 . By the end of December 1764 , the first warnings of serious colonial opposition were provided by pamphlets and petitions from the colonies protesting both the Sugar Act and the proposed stamp tax .  Benjamin Franklin represented Pennsylvania in discussions about the act  For Grenville , the first issue was the amount of the tax . Soon after his announcement of the possibility of a tax , he had told American agents that he was not opposed to the Americans suggesting an alternative way of raising the money themselves . However , the only other alternative would be to requisition each colony and allow them to determine how to raise their share . This had never worked before , even during the French and Indian War , and there was no political mechanism in place that would have ensured the success of such cooperation . On 2 February 1765 , Grenville met to discuss the tax with Benjamin Franklin , Jared Ingersoll from New Haven , Richard Jackson , agent for Connecticut , and Charles Garth , the agent for South Carolina ( Jackson and Garth were also members of Parliament ) . These colonial representatives had no specific alternative to present ; they simply suggested that the determination be left to the colonies . Grenville replied that he wanted to raise the money `` by means the most easy and least objectionable to the Colonies '' . Thomas Whately had drafted the Stamp Act , and he said that the delay in implementation had been `` out of Tenderness to the colonies '' , and that the tax was judged as `` the easiest , the most equal and the most certain . ''   The debate in Parliament began soon after this meeting . Petitions submitted by the colonies were officially ignored by Parliament . In the debate , Charles Townshend said , `` and now will these Americans , children planted by our care , nourished up by our Indulgence until they are grown to a degree of strength and opulence , and protected by our arms , will they grudge to contribute their mite to relieve us from heavy weight of the burden which we lie under ? '' This led to Colonel Isaac Barré 's response :   They planted by your care ? No ! Your oppression planted ' em in America . They fled from your tyranny to a then uncultivated and unhospitable country where they exposed themselves to almost all the hardships to which human nature is liable , and among others to the cruelties of a savage foe , the most subtle , and I take upon me to say , the most formidable of any people upon the face of God 's earth ...   They nourished by your indulgence ? They grew by your neglect of ' em . As soon as you began to care about ' em , that care was exercised in sending persons to rule over ' em , in one department and another , who were perhaps the deputies of deputies to some member of this house , sent to spy out their liberty , to misrepresent their actions and to prey upon ' em ; men whose behaviour on many occasions has caused the blood of those sons of liberty to recoil within them ...   They protected by your arms ? They have nobly taken up arms in your defence , have exerted a valour amidst their constant and laborious industry for the defence of a country whose frontier while drenched in blood , its interior parts have yielded all its little savings to your emolument ... The people I believe are as truly loyal as any subjects the king has , but a people jealous of their liberties and who will vindicate them if ever they should be violated ; but the subject is too delicate and I will say no more . ''   Massachusetts Royal Governor William Shirley assured London in 1755 that American independence could easily be defeated by force . He argued :    At all Events , they could not maintain such an Independency , without a Strong Naval Force , which it must forever be in the Power of Great Britain to hinder them from having : And whilst His Majesty hath 7000 Troops kept up within them , &amp; in the Great Lakes upon the back of six of them , with the Indians at Command , it seems very easy , provided the Governors &amp; principal Civil Officers are Independent of the Assemblies for their Subsistence , &amp; commonly Vigilant , to prevent any Steps of that kind from being taken .    Details of tax ( edit )  Proof sheet of one - penny stamps submitted for approval to Commissioners of Stamps by engraver , May 10 , 1765  The Stamp Act was passed by Parliament on 22 March 1765 with an effective date of 1 November 1765 . It passed 205 -- 49 in the House of Commons and unanimously in the House of Lords . Historians Edmund and Helen Morgan describe the specifics of the tax :   The highest tax , £ 10 , was placed ... on attorney licenses . Other papers relating to court proceedings were taxed in amounts varying from 3d. to 10s . Land grants under a hundred acres were taxed 1s . 6d. , between 100 and 200 acres 2s. , and from 200 to 320 acres 2s . 6d. , with an additional 2s 6d . for every additional 320 acres ( 1.3 km ) . Cards were taxed a shilling a pack , dice ten shillings , and newspapers and pamphlets at the rate of a penny for a single sheet and a shilling for every sheet in pamphlets or papers totaling more than one sheet and fewer than six sheets in octavo , fewer than twelve in quarto , or fewer than twenty in folio ( in other words , the tax on pamphlets grew in proportion to their size but ceased altogether if they became large enough to qualify as a book ) .   The high taxes on lawyers and college students were designed to limit the growth of a professional class in the colonies . The stamps had to be purchased with hard currency , which was scarce , rather than the more plentiful colonial paper currency . To avoid draining currency out of the colonies , the revenues were to be expended in America , especially for supplies and salaries of British Army units who were stationed there .   Two features of the Stamp Act involving the courts attracted special attention . The tax on court documents specifically included courts `` exercising ecclesiastical jurisdiction . '' These type of courts did not currently exist in the colonies and no bishops were currently assigned to the colonies , who would preside over the courts . Many colonists or their ancestors had fled England specifically to escape the influence and power of such state - sanctioned religious institutions , and they feared that this was the first step to reinstating the old ways in the colonies . Some Anglicans in the northern colonies were already openly advocating the appointment of such bishops , but they were opposed by both southern Anglicans and the non-Anglicans who made up the majority in the northern colonies .   The Stamp Act allowed admiralty courts to have jurisdiction for trying violators , following the example established by the Sugar Act . However , admiralty courts had traditionally been limited to cases involving the high seas . The Sugar Act seemed to fall within this precedent , but the Stamp Act did not , and the colonists saw this as a further attempt to replace their local courts with courts controlled by England .   Colonial reaction ( edit )   Political responses ( edit )   Grenville started appointing Stamp Distributors almost immediately after the Act passed Parliament . Applicants were not hard to come by because of the anticipated income that the positions promised , and he appointed local colonists to the post . Benjamin Franklin even suggested the appointment of John Hughes as the agent for Pennsylvania , indicating that even Franklin was not aware of the turmoil and impact that the tax was going to generate on American - British relations or that these distributors would become the focus of colonial resistance .   Debate in the colonies had actually begun in the spring of 1764 over the Stamp Act when Parliament passed a resolution that contained the assertion , `` That , towards further defraying the said Expences , it may be proper to charge certain Stamp Duties in the said Colonies and Plantations . '' Both the Sugar Act and the proposed Stamp Act were designed principally to raise revenue from the colonists . The Sugar Act , to a large extent , was a continuation of past legislation related primarily to the regulation of trade ( termed an external tax ) , but its stated purpose was entirely new : to collect revenue directly from the colonists for a specific purpose . The novelty of the Stamp Act was that it was the first internal tax ( a tax based entirely on activities within the colonies ) levied directly on the colonies by Parliament . It was judged by the colonists to be a more dangerous assault on their rights than the Sugar Act was , because of its potential wide application to the colonial economy .   The theoretical issue that soon held center stage was the matter of taxation without representation . Benjamin Franklin had raised this as far back as 1754 at the Albany Congress when he wrote , `` That it is suppos 'd an undoubted Right of Englishmen not to be taxed but by their own Consent given thro ' their Representatives . That the Colonies have no Representatives in Parliament . '' The counter to this argument was the theory of virtual representation . Thomas Whately enunciated this theory in a pamphlet that readily acknowledged that there could be no taxation without consent , but the facts were that at least 75 % of British adult males were not represented in Parliament because of property qualifications or other factors . Members of Parliament were bound to represent the interests of all British citizens and subjects , so colonists were the recipients of virtual representation in Parliament , like those disenfranchised subjects in the British Isles . This theory , however , ignored a crucial difference between the unrepresented in Britain and the colonists . The colonists enjoyed actual representation in their own legislative assemblies , and the issue was whether these legislatures , rather than Parliament , were in fact the sole recipients of the colonists ' consent with regard to taxation .  Samuel Adams opposed the act  In May 1764 , Samuel Adams of Boston drafted the following that stated the common American position :   For if our Trade may be taxed why not our Lands ? Why not the Produce of our Lands &amp; every thing we possess or make use of ? This we apprehend annihilates our Charter Right to govern &amp; tax ourselves -- It strikes our British Privileges , which as we have never forfeited them , we hold in common with our Fellow Subjects who are Natives of Britain : If Taxes are laid upon us in any shape without our having a legal Representation where they are laid , are we not reduced from the Character of free Subjects to the miserable State of tributary Slaves .   Massachusetts appointed a five - member Committee of Correspondence in June 1764 to coordinate action and exchange information regarding the Sugar Act , and Rhode Island formed a similar committee in October 1764 . This attempt at unified action represented a significant step forward in colonial unity and cooperation . The Virginia House of Burgesses sent a protest of the taxes to London in December 1764 , arguing that they did not have the specie required to pay the tax . Massachusetts , New York , New Jersey , Rhode Island , and Connecticut also sent protest to England in 1764 . The content of the messages varied , but they all emphasized that taxation of the colonies without colonial assent was a violation of their rights . By the end of 1765 , all of the Thirteen Colonies except Georgia and North Carolina had sent some sort of protest passed by colonial legislative assemblies .   The Virginia House of Burgesses reconvened in early May 1765 after news was received of the passage of the Act . By the end of May , it appeared that they would not consider the tax , and many legislators went home , including George Washington . Only 30 out of 116 Burgesses remained , but one of those remaining was Patrick Henry who was attending his first session . Henry led the opposition to the Stamp Act ; he proposed his resolutions on 30 May 1765 , and they were passed in the form of the Virginia Resolves . The Resolves stated :   Resolved , That the first Adventurers and Settlers of this his majesty 's colony and Dominion of Virginia brought with them , and transmitted to their Posterity , and all other his Majesty 's subjects since inhabiting in this his Majesty 's said Colony , all the Liberties , privileges , Franchises , and Immunities that have at any Time been held , enjoyed , and possessed , by the People of Great Britain .   Resolved , That by the two royal Charters , granted by King James the First , the Colonists aforesaid are declared entitled to all Liberties , Privileges , and Immunities of Denizens and natural Subjects , to all Intents and Purposes , as if they had been abiding and born within the Realm of England .   Resolved , That the Taxation of the People by themselves , or by Persons chosen by themselves to represent them , who could only know what Taxes the People are able to bear , or the easiest method of raising them , and must themselves be affected by every Tax laid on the People , is the only Security against a burdensome Taxation , and the distinguishing characteristick of British Freedom , without which the ancient Constitution can not exist .   Resolved , That his majesty 's liege people of this his most ancient and loyal Colony have without interruption enjoyed the inestimable Right of being governed by such Laws , respecting their internal Polity and Taxation , as are derived from their own Consent , with the Approbation of their Sovereign , or his Substitute ; and that the same hath never been forfeited or yielded up , but hath been constantly recognized by the King and People of Great Britain .   On 6 June 1765 , the Massachusetts Lower House proposed a meeting for the 1st Tuesday of October in New York City :   That it is highly expedient there should be a Meeting as soon as may be , of Committees from the Houses of Representatives or Burgesses in the several Colonies on this Continent to consult together on the present Circumstances of the Colonies , and the difficulties to which they are and must be reduced by the operation of the late Acts of Parliament for levying Duties and Taxes on the Colonies , and to consider of a general and humble Address to his Majesty and the Parliament to implore Relief .   There was no attempt to keep this meeting a secret ; Massachusetts promptly notified Richard Jackson of the proposed meeting , their agent in England and a member of Parliament .   Protests in the streets ( edit )   External video       The Stamp Act : Troubling Their Neighbors , 58 : 01 , Benjamin L. Carp , WGBH Forum     The Stamp Act : The Lowest Of The Mob , 49 : 35 , Molly Fitzgerald Perry , WGBH Forum     While the colonial legislatures were acting , the ordinary citizens of the colonies were also voicing their concerns outside of this formal political process . Historian Gary B. Nash wrote :   Whether stimulated externally or ignited internally , ferment during the years from 1761 to 1766 changed the dynamics of social and political relations in the colonies and set in motion currents of reformist sentiment with the force of a mountain wind . Critical to this half decade was the colonial response to England 's Stamp Act , more the reaction of common colonists than that of their presumed leaders .   Both loyal supporters of English authority and well - established colonial protest leaders underestimated the self - activating capacity of ordinary colonists . By the end of 1765 ... people in the streets had astounded , dismayed , and frightened their social superiors .  Massachusetts ( edit )  Early street protests were most notable in Boston . Andrew Oliver was a distributor of stamps for Massachusetts who was hanged in effigy on 14 August 1765 `` from a giant elm tree at the crossing of Essex and Orange Streets in the city 's South End . '' Also hung was a jackboot painted green on the bottom ( `` a Green - ville sole '' ) , a pun on both Grenville and the Earl of Bute , the two people most blamed by the colonists . Lieutenant Governor Thomas Hutchinson ordered sheriff Stephen Greenleaf to take down the effigy , but he was opposed by a large crowd . All day the crowd detoured merchants on Orange Street to have their goods symbolically stamped under the elm tree , which later became known as the `` Liberty Tree '' .   Ebenezer MacIntosh was a veteran of the Seven Years ' War and a shoemaker . One night , he led a crowd which cut down the effigy of Andrew Oliver and took it in a funeral procession to the Town House where the legislature met . From there , they went to Oliver 's office -- which they tore down and symbolically stamped the timbers . Next , they took the effigy to Oliver 's home at the foot of Fort Hill , where they beheaded it and then burned it -- along with Oliver 's stable house and coach and chaise . Greenleaf and Hutchinson were stoned when they tried to stop the mob , which then looted and destroyed the contents of Oliver 's house . Oliver asked to be relieved of his duties the next day . This resignation , however , was not enough . Oliver was ultimately forced by MacIntosh to be paraded through the streets and to publicly resign under the Liberty Tree .  A 1765 broadside regarding the resignation of Andrew Oliver under the Liberty Tree  As news spread of the reasons for Andrew Oliver 's resignation , violence and threats of aggressive acts increased throughout the colonies , as did organized groups of resistance . Throughout the colonies , members of the middle and upper classes of society formed the foundation for these groups of resistance and soon called themselves the Sons of Liberty . These colonial groups of resistance burned effigies of royal officials , forced Stamp Act collectors to resign , and were able to get businessmen and judges to go about without using the proper stamps demanded by Parliament .   On 16 August , a mob damaged the home and official papers of William Story , the deputy register of the Vice-Admiralty , who then moved to Marblehead , Massachusetts . Benjamin Hallowell , the comptroller of customs , suffered the almost total loss of his home .   On 26 August , MacIntosh led an attack on Hutchinson 's mansion . The mob evicted the family , destroyed the furniture , tore down the interior walls , emptied the wine cellar , scattered Hutchinson 's collection of Massachusetts historical papers , and pulled down the building 's cupola . Hutchinson had been in public office for three decades ; he estimated his loss at £ 2,218 ( in today 's money , at nearly $250,000 ) . Nash concludes that this attack was more than just a reaction to the Stamp Act :   But it is clear that the crowd was giving vent to years of resentment at the accumulation of wealth and power by the haughty prerogative faction led by Hutchinson . Behind every swing of the ax and every hurled stone , behind every shattered crystal goblet and splintered mahogany chair , lay the fury of a plain Bostonian who had read or heard the repeated references to impoverished people as `` rable '' and to Boston 's popular caucus , led by Samuel Adams , as a `` herd of fools , tools , and synchophants . ''   Governor Francis Bernard offered a £ 300 reward for information on the leaders of the mob , but no information was forthcoming . MacIntosh and several others were arrested , but were either freed by pressure from the merchants or released by mob action .   The street demonstrations originated from the efforts of respectable public leaders such as James Otis , who commanded the Boston Gazette , and Samuel Adams of the `` Loyal Nine '' of the Boston Caucus , an organization of Boston merchants . They made efforts to control the people below them on the economic and social scale , but they were often unsuccessful in maintaining a delicate balance between mass demonstrations and riots . These men needed the support of the working class , but also had to establish the legitimacy of their actions to have their protests to England taken seriously . At the time of these protests , the Loyal Nine was more of a social club with political interests but , by December 1765 , it began issuing statements as the Sons of Liberty .  Rhode Island ( edit )  Rhode Island also experienced street v</t>
  </si>
  <si>
    <t xml:space="preserve">why did the stamp act of 1765 happen</t>
  </si>
  <si>
    <t xml:space="preserve"> The purpose of the tax was to pay for British military troops stationed in the American colonies after the French and Indian War , which was the North American theater of the Seven Years ' War . However , the colonists had never feared a French invasion to begin with , and they contended that they had already paid their share of the war expenses . They suggested that it was actually a matter of British patronage to surplus British officers and career soldiers who should be paid by London . </t>
  </si>
  <si>
    <r>
      <rPr>
        <sz val="11"/>
        <color rgb="FF000000"/>
        <rFont val="Calibri"/>
        <family val="0"/>
        <charset val="1"/>
      </rPr>
      <t xml:space="preserve">Christ the Redeemer ( statue ) - Wikipedia  Christ the Redeemer ( statue )  Jump to : navigation , search For other statues with this name and for other uses , see Christ the Redeemer .  Christ the Redeemer       Coordinates   22 ° 57 ′ 7 '' S 43 ° 12 ′ 38 '' W ﻿ / ﻿ 22.95194 ° S 43.21056 ° W ﻿ / - 22.95194 ; - 43.21056 Coordinates : 22 ° 57 ′ 7 '' S 43 ° 12 ′ 38 '' W ﻿ / ﻿ 22.95194 ° S 43.21056 ° W ﻿ / - 22.95194 ; - 43.21056     Location   Corcovado mountain , Rio de Janeiro , Brazil     Designer   Created by the French sculptor Paul Landowski and built by the engineer Heitor da Silva Costa Brazil in collab with the French engineer Albert Caquot . Romanian sculptor Gheorghe Leonida created the face of the statue     Material   Soapstone     Height   30 metres ( 98 ft ) and 38 metres ( 125 ft ) tall with its pedestal     Completion date   Dedicated October 12 , 1931     Consecrated October 12 , 2006 New Seven Wonders of the World July 7 , 2007     National Historic Heritage of Brazil     Designated       Reference no .   1478             Christ the Redeemer ( Portuguese : Cristo Redentor , standard Brazilian Portuguese : ( ˈkɾistu ʁedẽˈtoʁ ) , local dialect : ( ˈkɾiɕtŭ̻ xe̞dẽ̞ˈtoɦ ) ) is an Art Deco statue of Jesus Christ in Rio de Janeiro , Brazil , created by French sculptor Paul Landowski and built by the Brazilian engineer Heitor da Silva Costa , in collaboration with the French engineer Albert Caquot . Romanian sculptor Gheorghe Leonida fashioned the face . Constructed between 1922 and 1931 , the statue is 30 metres ( 98 ft ) tall , excluding its 8 - metre ( 26 ft ) pedestal . The arms stretch 28 metres ( 92 ft ) wide .   The statue weighs 635 metric tons ( 625 long , 700 short tons ) , and is located at the peak of the 700 - metre ( 2,300 ft ) Corcovado mountain in the Tijuca Forest National Park overlooking the city of Rio de Janeiro . A symbol of Christianity across the world , the statue has also become a cultural icon of both Rio de Janeiro and Brazil , and is listed as one of the New Seven Wonders of the World . It is made of reinforced concrete and soapstone .     Contents  ( hide )   1 History   2 Restoration   3 Similar structures   4 Gallery   5 See also   6 References   7 Further reading   8 External links      History ( edit )  A view of the Corcovado before the construction , 19th century Aerial view of the statue .  Vincentian priest , Pedro Maria Boss , first suggested placing a Christian monument on Mount Corcovado in the mid 1850s to honor Princess Isabel , princess regent of Brazil and the daughter of Emperor Pedro II , however the project died due to lack of support . In 1889 the country became a republic , and due to the separation of church and state , the idea of the statue was dismissed .   The Catholic Circle of Rio made a second proposal for a landmark statue on the mountain in 1920 . The group organized an event called Semana do Monumento ( `` Monument Week '' ) to attract donations and collect signatures to support the building of the statue . What motivated the organization was what they perceived as ' Godlessness ' in the society at the time . The donations came mostly from Brazilian Catholics . The designs considered for the `` Statue of the Christ '' included a representation of the Christian cross , a statue of Jesus with a globe in his hands , and a pedestal symbolizing the world . The statue of Christ the Redeemer with open arms , a symbol of peace , was chosen .   Local engineer Heitor da Silva Costa designed the statue . French sculptor Paul Landowski created the work .   In 1922 , Landowski commissioned fellow Parisian Romanian sculptor Gheorghe Leonida , who studied sculpture at the Fine Arts Conservatory in Bucharest and in Italy . Leonida 's portrayal of Christ 's face made him famous .   A group of engineers and technicians studied Landowski 's submissions and felt building the structure of reinforced concrete ( designed by Albert Caquot ) instead of steel was more suitable for the cross-shaped statue . The outer layers are soapstone , chosen for its enduring qualities and ease of use . Construction took nine years , from 1922 to 1931 and cost the equivalent of US $250,000 ( equivalent to $3,400,000 in 2016 ) and the monument opened on October 12 , 1931 . During the opening ceremony , the statue was to be lit by a battery of floodlights turned on remotely by Italian shortwave radio inventor Guglielmo Marconi , stationed 5,700 miles ( 9,200 km ) away in Rome but because of bad weather , the lights were activated on - site .   In October 2006 , on the 75th anniversary of the statue 's completion , Archbishop of Rio , Cardinal Eusebio Oscar Scheid , consecrated a chapel , named after Brazil 's patron saint -- Our Lady of the Apparition , under the statue , allowing Catholics to hold baptisms and weddings there .   Lightning struck the statue during a violent thunderstorm on February 10 , 2008 , causing some damage to the fingers , head and eyebrows . The Rio de Janeiro state government initiated a restoration effort to replace some of the outer soapstone layers and repair the lightning rods on the statue . Lightning damaged it again , on January 17 , 2014 , dislodging a finger on the right hand .   In 2010 , a massive restoration of the statue began . Work included cleaning , replacing the mortar and soapstone on the exterior , restoring iron in the internal structure , and waterproofing the monument . Vandals attacked the statue during renovation , spraying paint along the arm . Mayor Eduardo Paes called the act `` a crime against the nation '' . The culprits later apologized and presented themselves to the police .   In 2015 two Russian and Ukrainian urban explorers , Vadim Makhorov and Vitaly Raskalov from Ontheroofs , climbed the statue with captured video footage and photos .   Restoration ( edit )  A panoramic view of the statue at the top of Corcovado Mountain with Sugarloaf Mountain ( centre ) and Guanabara Bay in the background . Christ the Redeemer at night as seen from Tijuca Forest Corcovado Rack Railway  In 1990 , several organizations , including the Archdiocese of Rio de Janeiro , media company Grupo Globo , oil company Shell do Brasil , environmental regulator IBAMA , National Institute of Historic and Artistic Heritage , and the city government of Rio de Janeiro entered an agreement to conduct restoration work .   More work on the statue and its environs was conducted in 2003 and early 2010 . In 2003 , a set of escalators , walkways , and elevators were installed to facilitate access to the platform surrounding the statue . The four - month restoration in 2010 focused on the statue itself . The statue 's internal structure was renovated and its soapstone mosaic covering was restored by removing a crust of fungi and other microorganisms and repairing small cracks . The lightning rods located in the statue 's head and arms were also repaired , and new lighting fixtures were installed at the foot of the statue .   The restoration involved one hundred people and used more than 60,000 pieces of stone taken from the same quarry as the original statue . During the unveiling of the restored statue , it was illuminated with green - and - yellow lighting in support of the Brazil national football team playing in the 2010 FIFA World Cup .   Maintenance work needs to be conducted periodically due to the strong winds and erosion to which the statue is exposed , as well as lightning strikes . The original pale stone is no longer available in sufficient quantities , and replacement stones are increasingly darker in hue .   Similar structures ( edit )    Cristo del Otero in Palencia , Spain built in 1930 ( 21 m )   Cerro del Cubilete in Guanajuato , Mexico , inspired by Rio 's Christ the Redeemer ( 23 m )   Christ Blessing in Manado , North Sulawesi , Indonesia ( 30 m )   Christ of Havana in Havana , Cuba , inspired by Christ the Redeemer ( 20 m )   Christ of the Abyss in various underwater locations   Christ of the Ozarks in Arkansas , United States , inspired by Rio 's Christ the Redeemer ( 20 m )   Christ of Vũng Tàu in Vietnam ( 32 m )   Christ the King in Świebodzin , Poland ( 33 m )   Christ the Redeemer of the Andes ( Argentina / Chile )   Christ the Sacred Heart of Jesus , Ibiza , Spain , inspired by Christ the Redeemer ( 23 m )   Cristo Blanco in Cusco , Peru   Cristo de la Concordia in Cochabamba , Bolivia   Cristo de las Noas in Torreón , Mexico ( 22 m )   Cristo del Pacífico in Lima , Peru , erected in 2011 ( 37 m )   Patung Yesus Kristus in Mansinam Island , West Papua , Indonesia ( 30 m )   Cristo Redentore ( Christ the Redeemer ) of Maratea , Italy ( 21 m )   Cristo Rei in Lisbon , Portugal ( 28 m )   Cristo Rei of Dili in Dili , Timor - Leste ( 27 m )   Cristo Rei , Madeira on Madeira island , completed in 1927 ( 15 m )   Cristo Rei in Lubango , Angola ( 14 m )   Statue of Jesus Christ on the top of Sagrat Cor , Barcelona , Spain   Tas - Salvatur , Malta ( 12 m )   Statue of Jesus Christ , Monte Urgull , Donostia - San Sebastian , Spain - 12 m   Jesus de Greatest in Imo , Nigeria , Africa 's tallest statue of Jesus and fifth tallest statue on the continent ( 8.53 m )   Cristo del Picacho in Tegucigalpa , Honduras   Cristo Redentor , Puerto Plata , Dominican Republic   Christ The King Lebanon   Another imitation statue of Christ the Redeemer is at Nellore , Andhra Pradesh , India. ( Shrish Patil )    Gallery ( edit )            The statue           Access escalators           Christ the Redeemer after restoration           The statue illuminated in yellow and green , the colors of Brazil , during the 2014 FIFA World Cup .           Christ the Redeemer lit in the colours of the French flag after the November 2015 Paris attacks           The Corcovado and Christ the Redeemer as seen from Sugarloaf Mountain .        See also ( edit )    Sanctuary of Christ the Redeemer at Google Cultural Institute   Approximate heights of various notable statues : 1 . Spring Temple Buddha 153 m ( incl. 25 m pedestal and 20 m throne ) 2 . Statue of Liberty 93 m ( incl. 47 m pedestal ) 3 . The Motherland Calls 91 m ( excl . pedestal ) 4 . Christ the Redeemer 38 m ( incl. 8 m pedestal ) 5 . Statue of David 5.17 m ( excl . 2.5 m pedestal )   List of statues by height    References ( edit )    ^ Jump up to : Murray , Lorraine . `` Christ the Redeemer ( last updated 13 January 2014 ) '' . Encyclopædia Britannica . Retrieved July 11 , 2014 .   Jump up ^ Giumbelli , Emerson ( 2014 ) . Símbolos Religiosos em Controvérsia ( in Portuguese ) . São Paulo . 244 . ISBN 978 - 85 - 7816 - 137 - 8 .   Jump up ^ `` The New Seven Wonders of the World '' . Hindustan Times . July 8 , 2007 . Archived from the original on September 30 , 2007 . Retrieved July 11 , 2007 .   ^ Jump up to : `` Christ the Redeemer '' . TIME . October 26 , 1931 . Retrieved July 11 , 2007 .   ^ Jump up to : `` Brazil : Crocovado mountain -- Statue of Christ '' . Travel Channel . Archived from the original on May 16 , 2007 . Retrieved July 7 , 2007 .   ^ Jump up to : `` Sanctuary Status for Rio landmark '' . BBC News . October 13 , 2006 . Retrieved July 7 , 2007 .   Jump up ^ `` Cristo Corcovado by Sergi Lla on Prezi '' . Prezi.com . Retrieved October 15 , 2015 .   ^ Jump up to : `` Cristo Redentor -- Histórico da Construção '' ( in Portuguese ) . Archived from the original on March 13 , 2009 .   Jump up ^ Victor , Duilo . `` Redentor , carioca até a alma '' ( in Portuguese ) . Jornal do Brasil . Retrieved July 17 , 2008 .   Jump up ^ Phil , Damon ( June 29 , 1983 ) . `` Vote now for Phoneheng '' . The Sun . London .   Jump up ^ `` Cristo Redentor : santuário carioca que virou símbolo da cidade no mundo '' . Prefeitura da Cidade do Rio de Janeiro . October 20 , 2014 . ( in Portuguese )   Jump up ^ Dima , Alina . `` Gheorghe Leonida -- Romanian contribution to `` Cristo Redentor '' `` .   Jump up ^ `` Cristo Redentor vai passar por restauração até junho ( '' Christ the Redeemer under restoration ' til June `` ) '' . Estadão .   Jump up ^ Moratelli , Valmir . `` Cristo Redentor , castigado por raios , passa por ampla reforma ( Christ the Redeemer , punished by lightnings , go by ample refit ) '' . Último Segundo .   Jump up ^ `` Cristo Redentor renovado para 2010 '' ( PDF ) . Rio de Janeiro Government . December 2010 .   Jump up ^ `` Lightning breaks finger off Rio 's Christ '' . The Age . January 2014 .   Jump up ^ `` Vandals cover Rio 's Christ statue with graffiti '' . Reuters. April 16 , 2010 .   Jump up ^ Tabak , Bernardo . `` Estátua do Cristo Redentor é alvo de pichação '' . Globo .   Jump up ^ Infosur hoy : Christ the Redeemer to get new outfit Archived July 14 , 2014 , at the Wayback Machine .   Jump up ^ `` Climbing Christ the Redeemer youtube video '' . Ontheroofs . December 10 , 2015 .   Jump up ^ `` Climbing Christ the Redeemer ontheroofs story with photos and video '' . Ontheroofs . December 10 , 2015 . Archived from the original on September 21 , 2016 .   Jump up ^ Millward , David ( December 12 , 2015 ) . `` Watch the stunning footage taken by photographers who climbed Rio 's 125 - feet tall Christ the Redeemer Statue '' . The Telegraph . Archived from the original on September 21 , 2016 .   ^ Jump up to : `` Brazil 's Christ state returns after renovation '' . BBC News . July 1 , 2010 . Retrieved July 1 , 2010 .   Jump up ^ Christ the Redeemer se la come , YouTube video , accessed January 20 , 2011 .   Jump up ^ `` Reforma no cartão - postal '' . Veja Rio . May 18 , 2010 . Archived from the original on January 27 , 2010 . Retrieved May 18 , 2010 .   Jump up ^ Bowater , Donna ; Mulvey , Stephen ; Misra , Tanvi ( March 10 , 2014 ) . `` Arms wide open '' . BBC Online . Retrieved December 2 , 2014 .   Jump up ^ Kompas Cyber Media . `` Presiden Resmikan Patung Yesus Kristus di Pulau Mansinam -- Kompas.com Regional '' . Regional.kompas.com . Retrieved October 15 , 2015 .    Further reading ( edit )    Blanes , Ruy Llera ( 2014 ) . `` Review : Giumbelli , Emerson ( 2014 ) , Símbolos Religiosos em Controvérsia . São Paulo : Terceiro Nome '' . Vibrant : Virtual Brazilian Anthropology ( in Portuguese ) . 11 ( 2 ) : 470 -- 472 . doi : 10.1590 / S1809 - 43412014000200016 . ISSN 1809 - 4341 . Archived from the original on December 20 , 2010 .   Giumbelli , Emerson ( 2008 ) . `` A modernidade do Cristo Redentor '' . Dados ( in Portuguese ) . 51 ( 1 ) : 75 -- 105 . doi : 10.1590 / S0011 - 52582008000100003 . ISSN 0011 - 5258 .   Giumbelli , Emerson &amp; Bosisio , Izabella ( 2010 ) . `` A Política de um Monumento : as Muitas Imagens do Cristo Redentor '' . Debates do NER ( in Portuguese ) . 2 ( 18 ) : 173 -- 192 . ISSN 1982 - 8136 .   Giumbelli , Emerson ( 2013 ) . `` O Cristo Pichado '' . Ponto Urbe . Revista do Núcleo de Antropologia Urbana da USP ( in Portuguese ) ( 12 ) . doi : 10.4000 / pontourbe. 586 . ISSN 1981 - 3341 .   Ranquetat - Júnior , Cesar Alberto ( 2012 ) . Laicidade à brasileira : um estudo sobre a controvérsia em torno da presença de símbolos religiosos em espaços públicos ( Doutorado em Antropologia Social ) ( in Portuguese ) . UFRGS. 310 pp. Retrieved December 7 , 2015 .   Ranquetat - Júnior , Cesar Alberto ( 2015 ) . `` Giumbelli , Emerson . Símbolos Religiosos em Controvérsia . São Paulo : Terceiro Nome , 2014 '' . Debates do NER ( in Portuguese ) . 1 ( 27 ) : 429 -- 437 . ISSN 1982 - 8136 .    External links ( edit )       Wikimedia Commons has media related to Cristo Redentor do Rio de Janeiro .      Official website   Corcovado Train   Map ( in Portuguese )   Government bulletin about the statue 's restoration ( in Portuguese )   Poliakoff , Martyn . `` Soapstone @ Cristo Redentor '' . The Periodic Table of Videos . University of Nottingham .   Map ( in Portuguese )              Catholic Church in Brazil     National Conference of Bishops of Brazil     Timeline           Archdioceses     Metropolitan Archdiocese of Aparecida   Metropolitan Archdiocese of Aracaju   Metropolitan Archdiocese of Belém do Pará   Metropolitan Archdiocese of Belo Horizonte   Metropolitan Archdiocese of Botucatu   Metropolitan Archdiocese of Brasília   Metropolitan Archdiocese of Campinas   Metropolitan Archdiocese of Campo Grande   Metropolitan Archdiocese of Cascavel   Metropolitan Archdiocese of Cuiabá   Metropolitan Archdiocese of Curitiba   Metropolitan Archdiocese of Diamantina   Metropolitan Archdiocese of Feira de Santana   Metropolitan Archdiocese of Florianópolis   Metropolitan Archdiocese of Fortaleza   Metropolitan Archdiocese of Goiânia   Metropolitan Archdiocese of Juiz de Fora   Metropolitan Archdiocese of Londrina   Metropolitan Archdiocese of Maceió   Metropolitan Archdiocese of Manaus   Metropolitan Archdiocese of Mariana   Metropolitan Archdiocese of Maringá   Metropolitan Archdiocese of Montes Claros   Metropolitan Archdiocese of Natal   Metropolitan Archdiocese of Niterói   Metropolitan Archdiocese of Olinda e Recife   Metropolitan Archdiocese of Palmas   Metropolitan Archdiocese of Paraíba   Metropolitan Archdiocese of Passo Fundo   Metropolitan Archdiocese of Pelotas   Metropolitan Archdiocese of Porto Alegre   Metropolitan Archdiocese of Porto Velho   Metropolitan Archdiocese of Pouso Alegre   Metropolitan Archdiocese of Ribeirão Preto   Metropolitan Archdiocese of Santa Maria   Metropolitan Archdiocese of São Luís do Maranhão   Metropolitan Archdiocese of São Paulo   Metropolitan Archdiocese of São Salvador da Bahia   Metropolitan Archdiocese of São Sebastião do Rio de Janeiro   Metropolitan Archdiocese of Sorocaba   Metropolitan Archdiocese of Teresina   Metropolitan Archdiocese of Uberaba   Metropolitan Archdiocese of Vitória   Metropolitan Archdiocese of Vitória da Conquista       Dioceses       Diocese of Caraguatatuba   Diocese of Lorena   Diocese of São José dos Campos   Diocese of Taubaté   Diocese of Estância   Diocese of Propriá   Diocese of Abaetetuba   Diocese of Bragança do Pará     Diocese of Cametá   Diocese of Castanhal   Diocese of Macapá   Diocese of Marabá   Diocese of Óbidos   Diocese of Ponta de Pedras   Diocese of Santarém   Diocese of Santíssima Conceição do Araguaia   Prelature of Itaituba   Prelature of Marajó   Prelature of Xingu   Diocese of Divinópolis   Diocese of Luz   Diocese of Oliveira   Diocese of Sete Lagoas   Diocese of Araçatuba   Diocese of Assis   Diocese of Bauru   Diocese of Lins   Diocese of Marília   Diocese of Ourinhos   Diocese of Presidente Prudente   Diocese of Formosa   Diocese of Luziânia   Diocese of Uruaçu   Diocese of Amparo   Diocese of Bragança Paulista   Diocese of Limeira   Diocese of Piracicaba   Diocese of São Carlos   Diocese of Corumbá   Diocese of Coxim   Diocese of Dourados   Diocese of Naviraí   Diocese of Jardim   Diocese of Três Lagoas   Diocese of Foz do Iguaçu   Diocese of Palmas - Francisco Beltrão   Diocese of Toledo   Diocese of Barra do Garças   Diocese of Diamantino   Diocese of Guiratinga   Diocese of Juína   Diocese of Rondonópolis   Diocese of São Luíz de Cáceres   Prelature of Paranatinga   Prelature of São Félix   Diocese of Guarapuava   Diocese of Paranaguá   Diocese of Ponta Grossa   Diocese of União da Vitória   Diocese of São José dos Pinhais   Diocese of Almenara   Diocese of Araçuaí   Diocese of Guanhães   Diocese of Teófilo Otoni   Diocese of Barra do Rio Grande   Diocese of Barreiras   Diocese of Bonfim   Diocese of Irecê   Diocese of Juazeiro   Diocese of Paulo Afonso   Diocese of Ruy Barbosa   Diocese of Serrinha   Diocese of Blumenau   Diocese of Caçador   Diocese of Chapecó   Diocese of Criciúma   Diocese of Joaçaba   Diocese of Joinville   Diocese of Lages   Diocese of Rio do Sul   Diocese of Tubarão   Diocese of Crateús   Diocese of Crato   Diocese of Iguatú   Diocese of Itapipoca   Diocese of Limoeiro do Norte   Diocese of Quixadá   Diocese of Sobral   Diocese of Tianguá   Diocese of Anápolis   diocese of Goiás   Diocese of Ipameri   Diocese of Itumbiara   Diocese of Jataí   Diocese of Rubiataba - Mozarlândia   Diocese of São Luís de Montes Belos   Diocese of Leopoldina   Diocese of São João del Rei   Diocese of Apucarana   Diocese of Cornélio Procópio   Diocese of Jacarezinho   Diocese of Palmeira dos Índios   Diocese of Penedo   Diocese of Alto Solimões   Diocese of Coari   Diocese of Parintins   Diocese of Roraima   Diocese of São Gabriel da Cachoeira   Prelature of Borba   Prelature of Itacoatiara   Prelature of Tefé   Diocese of Caratinga   Diocese of Governador Valadares   Diocese of Itabira -- Fabriciano   Diocese of Campo Mourão   Diocese of Paranavaí   Diocese of Umuarama   Diocese of Janaúba   Diocese of Januária   Diocese of Paracatu   Diocese of Caicó   Diocese of Mossoró   Diocese of Campos   Diocese of Nova Friburgo   Diocese of Petrópolis   Diocese of Afogados da Ingazeira   Diocese of Caruaru   Diocese of Floresta   Diocese of Garanhuns   Diocese of Nazaré   Diocese of Palmares   Diocese of Pesqueira   Diocese of Petrolina   Diocese of Salgueiro   Diocese of Miracema do Tocantins   Diocese of Porto Nacional   Diocese of Tocantinópolis   Prelature of Cristalândia   Diocese of Cajazieras   Diocese of Campina Grande   Diocese of Guarabira   Diocese of Patos   Diocese of Erexim   Diocese of Frederico Westphalen   Diocese of Vacaria   Diocese of Bagé   Diocese of Rio Grande   Diocese of Caxias do Sul   Diocese of Montenegro   Diocese of Novo Hamburgo   Diocese of Osório   Diocese of Cruzeiro do Sul   Diocese of Guajará - Mirim   Diocese of Humaitá   Diocese of Ji - Paraná   Diocese of Rio Branco   Prelature of Lábrea   Diocese of Campanha   Diocese of Guaxupé   Diocese of Barretos   Diocese of Catanduva   Diocese of Franca   Diocese of Jaboticabal   Diocese of Jales   Diocese of São João da Boa Vista   Diocese of São José do Rio Preto   Diocese of Cachoeira do Sul   Diocese of Cruz Alta   Diocese of Santa Cruz do Sul   Diocese of Santo Ângelo   Diocese of Uruguaiana   Diocese of Bacabal   Diocese of Balsas   Diocese of Brejo   Diocese of Carolina   Diocese of Caxias do Maranhão   Diocese of Coroatá   Diocese of Grajaú   Diocese of Imperatriz   Diocese of Pinheiro   Diocese of Viana   Diocese of Zé - Doca   Diocese of Campo Limpo   Diocese of Guarulhos   Diocese of Mogi das Cruzes   Eparchy of Nossa Senhora do Líbano em São Paulo ( Maronite )   Eparchy of Nossa Senhora do Paraíso em São Paulo   Diocese of Osasco   Diocese of Santo Amaro   Diocese of Santo André   Diocese of Santos   Diocese of São Miguel Paulista   Diocese of Alagoinhas   Diocese of Amargosa   Diocese of Camaçari   Diocese of Eunápolis   Diocese of Ilhéus   Diocese of Itabuna   Diocese of Teixeira de Freitas - Caravelas   Diocese of Barra do Piraí - Volta Redonda   Diocese of Duque de Caxias   Diocese of Itaguaí   Diocese of Nova Iguaçu   Diocese of Valença   Diocese of Itapetininga   Diocese of Itapeva   Diocese of Jundiaí   Diocese of Registro   Diocese of Bom Jesus do Gurguéia   Diocese of Campo Maior   Diocese of Floriano   Diocese of Oeiras   Diocese of Parnaíba   Diocese of Picos   Diocese of São Raimundo Nonato   Diocese of Ituiutaba   Diocese of Patos de Minas   Diocese of Uberlândia   Diocese of Cachoeiro de Itapemirim   Diocese of Colatina   Diocese of São Mateus   Diocese of Bom Jesus da Lapa   Diocese of Caetité   Diocese of Jequié   Diocese of Livramento de Nossa Senhora       Prelates     Joaquim Arcoverde de Albuquerque Cavalcanti   Paulo Evaristo Arns   João Batista Becker   Avelar Brandão Vilela   João Braz de Aviz   Luciano José Cabral Duarte   Hélder Câmara   Jaime de Barros Câmara   Geraldo Majela de Castro   Raymundo Damasceno Assis   Serafim Fernandes de Araújo   José Freire Falcão   Bruno Gamberini   Dadeus Grings   Cláudio Hummes   Dimas Lara Barbosa   Aloysio José Leal Penna   Joviano de Lima Júnior   Paulo Lopes de Faria   Aloísio Lorscheider   José Martins da Silva   Antônio Maria Mucciolo   Walmor Oliveira de Azevedo   Aloísio Roque Oppermann   José Palmeira Lessa   Paulo Eduardo Andrade Ponte   Murilo Ramos Krieger   Arnaldo Ribeiro   Sérgio da Rocha   Altamiro Rossato   Agnelo Rossi   Eugênio Sales   Airton José dos Santos   Eusébio Scheid   Alfredo Scherer   Odilo Scherer   Geraldo de Proença Sigaud   Sebastião da Silveira Cintra   José Cardoso Sobrinho   Alberto Taveira Corrêa   Orani João Tempesta   Benedito de Ulhôa Vieira   Carlos Carmelo Vasconcellos Motta   Moacyr José Vitti   Vicente Joaquim Zico       Saints     St. Roque González de Santa Cruz   St. Amabile Visintainer   St. Frei Galvão   St. José de Anchieta       Religious         Devotions      Jesus     Christ the Redeemer       Marian     Basilica of the National Shrine of Our Lady of Aparecida          Culture      Festivals     Brazilian Carnival   All Souls ' Day       Holy Week     Fasting and abstinence          Media     Radio Maria       Education     Centro Universitário da FEI ( FEI ) , São Bernardo do Campo   Jesuit School of Philosophy and Theology ( FAJE ) , Minas Gerais   Pontificia Universidade Católica do Rio de Janeiro ( PUC - Rio ) , Rio de Janeiro   Universidade Católica de Pernambuco ( UNICAP ) , Recife   Universidade do Vale do Rio dos Sinos ( UNISINOS ) , São Leopoldo         Catholicism portal   Brazil portal                 Rio de Janeiro     Culture     Blocos   Cidade Maravilhosa   Cidade do Samba   Banda de Ipanema       Geography     Zona Central , Rio de Janeiro   South Zone   Corcovado   Ilha das Cobras   Ilhas Cagarras   Rodrigo de Freitas Lagoon   Pedra da Gávea   Sugarloaf Mountain   Tijuca Forest   Villegagnon Island       Places     Avenida Brasil   Avenida Rio Branco   Rua Farme de Amoedo   Category : Buildings and structures in Rio de Janeiro ( city )   Arpoador Park   Cinelândia   Passeio Público   Quinta da Boa Vista   Rio de Janeiro Botanical Garden   Vista Chinesa       History     History of Rio de Janeiro   Timeline     Transfer of the Portuguese Court to Brazil   Vaccine Revolt   Candelária massacre       Infrastructure     Category : Transport in Rio de Janeiro ( city )   Arco Metropolitano do Rio de Janeiro   Rio de Janeiro Metro   Afonsos Air Force Base   Bartolomeu de Gusmão Airport   Christ the Redeemer   Galeão Air Force Base   Santa Cruz Air Force Base   Santos Dumont Airport   Rio de Janeiro - Galeão International Airport   Jacarepaguá Airport       Related     Category : People from Rio de Janeiro ( city )   Carioca   Demographics of Rio de Janeiro   Municipal Chamber of Rio de Janeiro   Project Morrinho   Category : Sport in Rio de Janeiro ( city )        Brazil portal   Latin America portal   Religion portal   Catholicism portal   Christianity portal   Retrieved from `` https://en.wikipedia.org/w/index.php?title=Christ_the_Redeemer_(statue)&amp;oldid=814035439 '' Categories :   1931 sculptures   Christ the Redeemer ( statue )   Art Deco sculptures and memorials   Buildings and structures completed in 1931   Colossal statues of Jesus   Concrete sculptures in Brazil   Monuments and memorials in Rio de Janeiro ( city )   Mountain monuments and memorials   National heritage sites of Rio de Janeiro ( state )   Outdoor sculptures in Brazil   Stone sculptures in Brazil   Hidden categories :   CS1 Portuguese - language sources ( pt )   All articles with dead external links   Articles with dead external links from August 2017   Articles with permanently dead external links   Articles with Portuguese - language external links   Articles with dead external links from November 2016   Webarchive template wayback links   Use mdy dates from November 2016   Coordinates on Wikidata   Articles which use infobox templates with no data rows   Articles containing Portuguese - language text   Wikipedia articles needing clarification from November 2015   All articles lacking reliable references   Articles lacking reliable references from November 2015   Official website different in Wikidata and Wikipedia           Talk                                           Contents                   About Wikipedia                                                 Afrikaans     Avañe'ẽ   Azərbaycanca   বাংলা   Беларуская   Беларуская ( тарашкевіца ) ‎   Български   Català   Čeština   Dansk   Deutsch   ދިވެހިބަސް   Eesti   Ελληνικά   Español   Esperanto   Euskara   فارسی   Français   Gaeilge   Galego   ગુજરાતી   </t>
    </r>
    <r>
      <rPr>
        <sz val="11"/>
        <color rgb="FF000000"/>
        <rFont val="Noto Sans CJK SC"/>
        <family val="2"/>
      </rPr>
      <t xml:space="preserve">한국어   </t>
    </r>
    <r>
      <rPr>
        <sz val="11"/>
        <color rgb="FF000000"/>
        <rFont val="Calibri"/>
        <family val="0"/>
        <charset val="1"/>
      </rPr>
      <t xml:space="preserve">Հայերեն   हिन्दी   Hrvatski   Ido   Bahasa Indonesia   Italiano   עברית   ქართული   Қазақша   Kurdî   Latina   Latviešu   Lëtzebuergesch   Lietuvių   Magyar   मैथिली   Македонски   മലയാളം   मराठी   მარგალური   مصرى   Bahasa Melayu   Nederlands   नेपाली   </t>
    </r>
    <r>
      <rPr>
        <sz val="11"/>
        <color rgb="FF000000"/>
        <rFont val="Noto Sans CJK SC"/>
        <family val="2"/>
      </rPr>
      <t xml:space="preserve">日本 語   </t>
    </r>
    <r>
      <rPr>
        <sz val="11"/>
        <color rgb="FF000000"/>
        <rFont val="Calibri"/>
        <family val="0"/>
        <charset val="1"/>
      </rPr>
      <t xml:space="preserve">Norsk   Occitan   ਪੰਜਾਬੀ   پنجابی   Polski   Português   Română   Runa Simi   Русский   Саха тыла   Scots   Simple English   Slovenčina   Српски / srpski   Srpskohrvatski / српскохрватски   Suomi   Svenska   தமிழ்   Татарча / tatarça   తెలుగు   ไทย   Türkçe   Twi   Українська   اردو   Tiếng Việt   Winaray   </t>
    </r>
    <r>
      <rPr>
        <sz val="11"/>
        <color rgb="FF000000"/>
        <rFont val="Noto Sans CJK SC"/>
        <family val="2"/>
      </rPr>
      <t xml:space="preserve">粵語   </t>
    </r>
    <r>
      <rPr>
        <sz val="11"/>
        <color rgb="FF000000"/>
        <rFont val="Calibri"/>
        <family val="0"/>
        <charset val="1"/>
      </rPr>
      <t xml:space="preserve">Zeêuws   </t>
    </r>
    <r>
      <rPr>
        <sz val="11"/>
        <color rgb="FF000000"/>
        <rFont val="Noto Sans CJK SC"/>
        <family val="2"/>
      </rPr>
      <t xml:space="preserve">中文   </t>
    </r>
    <r>
      <rPr>
        <sz val="11"/>
        <color rgb="FF000000"/>
        <rFont val="Calibri"/>
        <family val="0"/>
        <charset val="1"/>
      </rPr>
      <t xml:space="preserve">डोटेली   Edit links   This page was last edited on 6 December 2017 , at 15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</si>
  <si>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built the statue in rio de janeiro</t>
  </si>
  <si>
    <t xml:space="preserve">  Designer   Created by the French sculptor Paul Landowski and built by the engineer Heitor da Silva Costa Brazil in collab with the French engineer Albert Caquot . Romanian sculptor Gheorghe Leonida created the face of the statue  </t>
  </si>
  <si>
    <t xml:space="preserve">1918 flu pandemic - wikipedia  1918 flu pandemic  Jump to : navigation , search Soldiers from Fort Riley , Kansas , ill with Spanish influenza at a hospital ward at Camp Funston    Influenza ( Flu )         Types       Avian   A / H5N1 subtype     Canine   Equine   Swine   A / H1N1 subtype         Vaccines       2009 pandemic   Pandemrix     Fluzone   Influvac   Fluvax / Flucelvax / Fluad / Fluverin   Live attenuated   Optaflu       Treatment       Amantadine   Laninamivir   Oseltamivir   Peramivir   Rimantadine   Umifenovir   Vitamin D   Zanamivir       Pandemics       2009 swine   1968 -- 1969 Hong Kong   1957 Asian flu   1918       Outbreaks       2015 United States H5N2 outbreak   2008 West Bengal   2007 Bernard Matthews H5N1   2007 Australian equine   2006 H5N1 India   1976 swine flu       See also       Flu season   Influenza evolution   Influenza research   Influenza - like illness   Vaccine reformulations                   The 1918 flu pandemic ( January 1918 -- December 1920 ) was an unusually deadly influenza pandemic , the first of the two pandemics involving H1N1 influenza virus . It infected 500 million people around the world , including people on remote Pacific islands and in the Arctic , and resulted in the deaths of 50 to 100 million ( three to five percent of the world 's population ) , making it one of the deadliest natural disasters in human history .   Disease had already greatly limited life expectancy in the early 20th century . In the first year of the pandemic , life expectancy in the United States dropped by about 12 years . Most influenza outbreaks disproportionately kill juvenile , elderly , or already weakened patients ; in contrast , the 1918 pandemic predominantly killed previously healthy young adults .   There are several possible explanations for the high mortality rate of the 1918 influenza pandemic . Some research suggests that the specific variant of the virus had an unusually aggressive nature . One group of researchers recovered the virus from the bodies of frozen victims , and found that transfection in animals caused a rapid progressive respiratory failure and death through a cytokine storm ( overreaction of the body 's immune system ) . It was then postulated that the strong immune reactions of young adults ravaged the body , whereas the weaker immune systems of children and middle - aged adults resulted in fewer deaths among those groups .   More recent investigations , mainly based on original medical reports from the period of the pandemic , found that the viral infection itself was not more aggressive than any previous influenza , but that the special circumstances ( malnourishment , overcrowded medical camps and hospitals , poor hygiene ) promoted bacterial superinfection that killed most of the victims typically after a somewhat prolonged death bed .   Historical and epidemiological data are inadequate to identify the pandemic 's geographic origin . It was implicated in the outbreak of encephalitis lethargica in the 1920s .   To maintain morale , wartime censors minimized early reports of illness and mortality in Germany , the United Kingdom , France , and the United States . Papers were free to report the epidemic 's effects in neutral Spain ( such as the grave illness of King Alfonso XIII ) . This created a false impression of Spain as especially hard hit , thereby giving rise to the pandemic 's nickname , Spanish Flu .     Contents  ( hide )   1 History   1.1 Hypotheses about source   1.2 Spread     2 Mortality   2.1 Around the globe   2.2 Patterns of fatality   2.3 Deadly second wave   2.4 Devastated communities   2.5 Less - affected areas   2.6 Aspirin poisoning   2.7 End of the pandemic   2.8 Long - term impact     3 Legacy   4 Spanish flu research   5 In popular culture   6 Gallery   7 See also   8 References   8.1 Notes   8.2 Bibliography     9 Further reading   10 External links      History   Hypotheses about source   Historian Alfred W. Crosby recorded that the flu originated in the U.S. state of Kansas , and popular writer John Barry echoed Crosby in describing Haskell County , as the point of origin although already in late 1917 there had been a first wave in at least 14 US military camps .   Investigative work in 1999 by a British team led by virologist John Oxford of St Bartholomew 's Hospital and the Royal London Hospital identified the major troop staging and hospital camp in Étaples , France , as being the center of the 1918 flu pandemic . In late 1917 , military pathologists reported the onset of a new disease with high mortality that they later recognized as the flu . The overcrowded camp and hospital -- which treated thousands of victims of chemical attacks and other casualties of war -- was an ideal site for the spreading of a respiratory virus ; 100,000 soldiers were in transit every day . It also was home to a live piggery , and poultry was regularly brought in from surrounding villages . Oxford and his team postulated that a significant precursor virus , harbored in birds , mutated so it could migrate to pigs that were kept near the front .   Earlier hypotheses of the epidemic 's origin have varied . Some hypothesized the flu originated in East Asia . Claude Hannoun , the leading expert on the 1918 flu for the Pasteur Institute , asserted the former virus was likely to have come from China , mutating in the United States near Boston and spreading to Brest , France , Europe 's battlefields , Europe , and the world using Allied soldiers and sailors as main spreaders . He considered several other hypotheses of origin , such as Spain , Kansas , and Brest , as being possible , but not likely .   Political scientist Andrew Price - Smith published data from the Austrian archives suggesting the influenza had earlier origins , beginning in Austria in early 1917 .   In 2014 , historian Mark Humphries of the Memorial University of Newfoundland in St. John 's stated that newly unearthed records confirmed that one of the side stories of the war , the mobilization of 96,000 Chinese laborers to work behind the British and French lines on World War I 's western front , might have been the source of the pandemic . In the report , Humphries found archival evidence that a respiratory illness that struck northern China in November 1917 was identified a year later by Chinese health officials as identical to the `` Spanish '' flu . A report published in 2016 in the Journal of the Chinese Medical Association found no evidence that the 1918 virus was imported to Europe via Chinese and Southeast Asian soldiers and workers . It found evidence that the virus had been circulating in the European armies for months and possibly years before the 1918 pandemic .   Spread   When an infected person sneezes or coughs , more than half a million virus particles can be spread to those close by . The close quarters and massive troop movements of World War I hastened the pandemic , and probably both increased transmission and augmented mutation ; the war may also have increased the lethality of the virus . Some speculate the soldiers ' immune systems were weakened by malnourishment , as well as the stresses of combat and chemical attacks , increasing their susceptibility .   A large factor in the worldwide occurrence of this flu was increased travel . Modern transportation systems made it easier for soldiers , sailors , and civilian travelers to spread the disease .   In the United States , the disease was first observed in Haskell County , Kansas , in January 1918 , prompting local doctor Loring Miner to warn the U.S. Public Health Service 's academic journal . On 4 March 1918 , company cook Albert Gitchell reported sick at Fort Riley , an American military facility that at the time was training American troops during World War I , making him the first recorded victim of the flu . Within days , 522 men at the camp had reported sick . By 11 March 1918 , the virus had reached Queens , New York . Failure to take preventive measures in March / April was later criticised .   In August 1918 , a more virulent strain appeared simultaneously in Brest , France ; in Freetown , Sierra Leone ; and in the U.S. in Boston , Massachusetts . The Spanish flu also spread through Ireland , carried there by returning Irish soldiers . The Allies of World War I came to call it the Spanish flu , primarily because the pandemic received greater press attention after it moved from France to Spain in November 1918 . Spain was not involved in the war and had not imposed wartime censorship .   Mortality   Around the globe  The difference between the influenza mortality age - distributions of the 1918 epidemic and normal epidemics -- deaths per 100,000 persons in each age group , United States , for the interpandemic years 1911 -- 1917 ( dashed line ) and the pandemic year 1918 ( solid line ) Three pandemic waves : weekly combined influenza and pneumonia mortality , United Kingdom , 1918 -- 1919  The global mortality rate from the 1918 / 1919 pandemic is not known , but an estimated 10 % to 20 % of those who were infected died . With about a third of the world population infected , this case - fatality ratio means 3 % to 6 % of the entire global population died . Influenza may have killed as many as 25 million people in its first 25 weeks . Older estimates say it killed 40 -- 50 million people , while current estimates say 50 -- 100 million people worldwide were killed .   This pandemic has been described as `` the greatest medical holocaust in history '' and may have killed more people than the Black Death . It is said that this flu killed more people in 24 weeks than AIDS killed in 24 years , and more in a year than the Black Death killed in a century . However , a 2016 article in The Atlantic states that the Black Death , over the course of the decade of the 1340s , killed more than 10 % of the world population whereas the 1918 flu pandemic killed less than half this percentage .   The disease killed in every corner of the globe . As many as 17 million died in India , about 5 % of the population . The death toll in India 's British - ruled districts alone was 13.88 million .   In Japan , of the 23 million people who were affected , 390,000 died . In the Dutch East Indies ( now Indonesia ) , 1.5 million were assumed to have died among 30 million inhabitants . In Tahiti 13 % of the population died during only a month . Similarly , in Samoa 22 % of the population of 38,000 died within two months .   In Iran , the impact was enormous and according to an estimate , between 902,400 and 2,431,000 or 8.0 % and 21.7 % of the total population died .   In the U.S. , about 28 % of the population became infected , and 500,000 to 675,000 died . Native American tribes were particularly hard hit . In the Four Corners area alone , 3,293 deaths were registered among Native Americans . Entire village communities perished in Alaska . In Canada 50,000 died . In Brazil 300,000 died , including president Rodrigues Alves . In Britain , as many as 250,000 died ; in France , more than 400,000 . In West Africa an influenza epidemic killed at least 100,000 people in Ghana . Tafari Makonnen ( the future Haile Selassie , Emperor of Ethiopia ) was one of the first Ethiopians who contracted influenza but survived , although many of his family 's subjects did not ; estimates for the fatalities in the capital city , Addis Ababa , range from 5,000 to 10,000 , or higher . In British Somaliland one official estimated that 7 % of the native population died .   This huge death toll was caused by an extremely high infection rate of up to 50 % and the extreme severity of the symptoms , suspected to be caused by cytokine storms . Symptoms in 1918 were so unusual that initially influenza was misdiagnosed as dengue , cholera , or typhoid . One observer wrote , `` One of the most striking of the complications was hemorrhage from mucous membranes , especially from the nose , stomach , and intestine . Bleeding from the ears and petechial hemorrhages in the skin also occurred '' . The majority of deaths were from bacterial pneumonia , a common secondary infection associated with influenza , but the virus also killed people directly , by causing massive hemorrhages and edema in the lung .   The unusually severe disease killed up to 20 % of those infected , as opposed to the usual flu epidemic mortality rate of 0.1 % .   Patterns of fatality   The pandemic mostly killed young adults . In 1918 -- 1919 , 99 % of pandemic influenza deaths in the U.S. occurred in people under 65 , and nearly half in young adults 20 to 40 years old . In 1920 , the mortality rate among people under 65 had decreased sixfold to half the mortality rate of people over 65 , but still 92 % of deaths occurred in people under 65 . This is unusual , since influenza is normally most deadly to weak individuals , such as infants ( under age two ) , the very old ( over age 70 ) , and the immunocompromised . In 1918 , older adults may have had partial protection caused by exposure to the 1889 -- 1890 flu pandemic , known as the Russian flu . According to historian John M. Barry , the most vulnerable of all -- `` those most likely , of the most likely '' , to die -- were pregnant women . He reported that in thirteen studies of hospitalized women in the pandemic , the death rate ranged from 23 % to 71 % . Of the pregnant women who survived childbirth , over one - quarter ( 26 % ) lost the child .   Another oddity was that the outbreak was widespread in the summer and autumn ( in the Northern Hemisphere ) ; influenza is usually worse in winter .   Modern analysis has shown the virus to be particularly deadly because it triggers a cytokine storm , which ravages the stronger immune system of young adults .   In fast - progressing cases , mortality was primarily from pneumonia , by virus - induced pulmonary consolidation . Slower - progressing cases featured secondary bacterial pneumonias , and there may have been neural involvement that led to mental disorders in some cases . Some deaths resulted from malnourishment .   A study -- conducted by He et al. -- used a mechanistic modelling approach to study the three waves of the 1918 influenza pandemic . They tried to study the factors that underlie variability in temporal patterns , and the patterns of mortality and morbidity . Their analysis suggests that temporal variations in transmission rate provide the best explanation and the variation in transmission required to generate these three waves is within biologically plausible values .   Another study by He et al. used a simple epidemic model , to incorporate three factors including school opening and closing , temperature changes over the course of the outbreak , and human behavioral changes in response to the outbreak to infer the cause of the three waves of the 1918 influenza pandemic . Their modelling results showed that all three factors are important but human behavioral responses showed the largest effects .   Deadly second wave  American Expeditionary Force victims of the flu pandemic at U.S. Army Camp Hospital no . 45 in Aix - les - Bains , France , in 1918  The second wave of the 1918 pandemic was much deadlier than the first . The first wave had resembled typical flu epidemics ; those most at risk were the sick and elderly , while younger , healthier people recovered easily . But in August , when the second wave began in France , Sierra Leone and the United States , the virus had mutated to a much deadlier form . As the American Experience Influenza 1918 episode says , October 1918 was the deadliest month of the whole pandemic .   This increased severity has been attributed to the circumstances of the First World War . In civilian life , natural selection favors a mild strain . Those who get very ill stay home , and those mildly ill continue with their lives , preferentially spreading the mild strain . In the trenches , natural selection was reversed . Soldiers with a mild strain stayed where they were , while the severely ill were sent on crowded trains to crowded field hospitals , spreading the deadlier virus . The second wave began and the flu quickly spread around the world again . Consequently , during modern pandemics health officials pay attention when the virus reaches places with social upheaval ( looking for deadlier strains of the virus ) .   The fact that most of those who recovered from first - wave infections were now immune showed that it must have been the same strain of flu . This was most dramatically illustrated in Copenhagen , which escaped with a combined mortality rate of just 0.29 % ( 0.02 % in the first wave and 0.27 % in the second wave ) because of exposure to the less - lethal first wave . On the rest of the population it was far more deadly now ; the most vulnerable people were those like the soldiers in the trenches -- young previously healthy adults .   Devastated communities  A chart of deaths in major cities , showing a peak in October and November 1918  Even in areas where mortality was low , so many were incapacitated that much of everyday life was hampered . Some communities closed all stores or required customers to leave orders outside . There were reports that health - care workers could not tend the sick nor the gravediggers bury the dead because they too were ill . Mass graves were dug by steam shovel and bodies buried without coffins in many places .   Several Pacific island territories were particularly hard - hit . The pandemic reached them from New Zealand , which was too slow to implement measures to prevent ships carrying the flu from leaving its ports . From New Zealand , the flu reached Tonga ( killing 8 % of the population ) , Nauru ( 16 % ) and Fiji ( 5 % , 9,000 people ) .   Worst affected was German Samoa , today the independent state of Samoa , which had been occupied by New Zealand in 1914 . 90 % of the population was infected ; 30 % of adult men , 22 % of adult women and 10 % of children died . By contrast , the flu was kept away from American Samoa when Governor John Martin Poyer imposed a blockade . In New Zealand itself , 8,573 deaths were attributed to the 1918 pandemic influenza , resulting in a total population fatality rate of 0.74 % . In Ireland , the Spanish Flu accounted for 10 % of the total deaths in 1918 .   Data analysis revealed 6,520 recorded deaths in Savannah - Chatham County , Georgia ( population = 83,252 ) for the three - year period from January 1 , 1917 , to December 31 , 1919 . Of these deaths , influenza was specifically listed as the cause of death in 316 cases , representing 4.85 percent of all causes of death for the total time period .   Less - affected areas   In Japan , 257,363 deaths were attributed to influenza by July 1919 , giving an estimated 0.425 % mortality rate , much lower than nearly all other Asian countries for which data are available . The Japanese government severely restricted maritime travel to and from the home islands when the pandemic struck .   In the Pacific , American Samoa and the French colony of New Caledonia also succeeded in preventing even a single death from influenza through effective quarantines . In Australia , nearly 12,000 perished .   By the end of the pandemic , the isolated island of Marajó , in Brazil 's Amazon River Delta had not reported an outbreak .   Saint Helena also reported no deaths .   Aspirin poisoning   In a 2009 paper published in the journal Clinical Infectious Diseases , Karen Starko proposed that aspirin poisoning contributed substantially to the fatalities . She based this on the reported symptoms in those dying from the flu , as reported in the post mortem reports still available , and also the timing of the big `` death spike '' in October 1918 which happened right after the Surgeon General of the United States Army , and the Journal of the American Medical Association both recommended very large doses of 8 to 31 grams of aspirin per day . These levels will produce hyperventilation in 33 % of patients , as well as lung edema in 3 % of patients . Starko also points out that many early deaths showed `` wet , '' sometimes hemorrhagic lungs , whereas late deaths showed bacterial pneumonia . She suggests that the wave of aspirin poisonings was due to a `` perfect storm '' of events : Bayer 's patent on aspirin expired , so that many companies rushed in to make a profit and greatly increased the supply ; this coincided with the flu pandemic ; and the symptoms of aspirin poisoning were not known at the time .   As an explanation for the universally high mortality rate , this hypothesis was questioned in a letter to the journal published in April 2010 by Andrew Noymer and Daisy Carreon of the University of California , Irvine , and Niall Johnson of the Australian Commission on Safety and Quality in Health Care . They questioned this universal applicability given the high mortality rate in countries such as India , where there was little or no access to aspirin at the time compared to the rate where aspirin was plentiful . They concluded that `` the salicylate ( aspirin ) poisoning hypothesis ( was ) difficult to sustain as the primary explanation for the unusual virulence of the 1918 -- 1919 influenza pandemic '' . In response , Starko pointed to anecdotal evidence of aspirin use in India and argued that even if aspirin over-prescription had not contributed to the high Indian mortality rate , it could still have been a factor for other high rates in areas where other exacerbating factors present in India played less of a role .   End of the pandemic   After the lethal second wave struck in late 1918 , new cases dropped abruptly -- almost to nothing after the peak in the second wave . In Philadelphia , for example , 4,597 people died in the week ending 16 October , but by 11 November , influenza had almost disappeared from the city . One explanation for the rapid decline of the lethality of the disease is that doctors got better at preventing and treating the pneumonia that developed after the victims had contracted the virus , although John Barry stated in his book that researchers have found no evidence to support this .   Another theory holds that the 1918 virus mutated extremely rapidly to a less lethal strain . This is a common occurrence with influenza viruses : there is a tendency for pathogenic viruses to become less lethal with time , as the hosts of more dangerous strains tend to die out ( see also `` Deadly Second Wave '' , above ) .   Long - Term impact   A 2006 study in the Journal of Political Economy found that `` cohorts in utero during the pandemic displayed reduced educational attainment , increased rates of physical disability , lower income , lower socioeconomic status , and higher transfer payments compared with other birth cohorts . ''   Legacy  See also : List of 1918 flu pandemic cases American Red Cross nurses tend to flu patients in temporary wards set up inside Oakland Municipal Auditorium , 1918 .  Academic Andrew Price - Smith has made the argument that the virus helped tip the balance of power in the later days of the war towards the Allied cause . He provides data that the viral waves hit the Central Powers before they hit the Allied powers , and that both morbidity and mortality in Germany and Austria were considerably higher than in Britain and France .   In the United States , Britain and other countries , despite the relatively high morbidity and mortality rates that resulted from the epidemic in 1918 -- 1919 , the Spanish flu began to fade from public awareness over the decades until the arrival of news about bird flu and other pandemics in the 1990s and 2000s . This has led some historians to label the Spanish flu a `` forgotten pandemic '' .   Various theories of why the Spanish flu was `` forgotten '' include the rapid pace of the pandemic , which killed most of its victims in the United States , for example , within a period of less than nine months , resulting in limited media coverage . The general population was familiar with patterns of pandemic disease in the late 19th and early 20th centuries : typhoid , yellow fever , diphtheria , and cholera all occurred near the same time . These outbreaks probably lessened the significance of the influenza pandemic for the public . In some areas , the flu was not reported on , the only mention being that of advertisements for medicines claiming to cure it .   In addition , the outbreak coincided with the deaths and media focus on the First World War . Another explanation involves the age group affected by the disease . The majority of fatalities , from both the war and the epidemic , were among young adults . The deaths caused by the flu may have been overlooked due to the large numbers of deaths of young men in the war or as a result of injuries . When people read the obituaries , they saw the war or postwar deaths and the deaths from the influenza side by side . Particularly in Europe , where the war 's toll was extremely high , the flu may not have had a great , separate , psychological impact , or may have seemed a mere extension of the war 's tragedies .   The duration of the pandemic and the war could have also played a role . The disease would usually only affect a certain area for a month before leaving , while the war , which most had initially expected to end quickly , had lasted for four years by the time the pandemic struck . This left little time for the disease to have a significant impact on the economy .   Regarding global economic effects , many businesses in the entertainment and service industries suffered losses in revenue , while the health care industry reported profit gains .  February 1918 drawing by Marguerite Martyn of a visiting nurse in St. Louis , Missouri , with medicine and babies  Historian Nancy Bristow has argued that the pandemic , when combined with the increasing number of women attending college , contributed to the success of women in the field of nursing . This was due in part to the failure of medical doctors , who were predominantly men , to contain and prevent the illness . Nursing staff , who were predominantly women , felt more inclined to celebrate the success of their patient care and less inclined to identify the spread of the disease with their own work .   In Spain , sources from the period explicitly linked the Spanish flu to the cultural figure of Don Juan . The nickname for the flu , the `` Naples Soldier '' , was adopted from Federico Romero and Guillermo Fernández Shaw 's operetta , The Song of Forgetting ( La canción del olvido ) , the protagonist of which is a stock Don Juan type . Federico Romero , one of the librettists , quipped that the play 's most popular musical number , Naples Soldier , was as catchy as the flu . Davis has argued the Spanish flu -- Don Juan connection served a cognitive function , allowing Spaniards to make sense of their epidemic experience by interpreting it through a familiar template , namely the Don Juan story .   Spanish flu Research  Main article : Spanish flu research An electron micrograph showing recreated 1918 influenza virions Centers for Disease Control and Prevention as Dr. Terrence Tumpey examines a reconstructed version of the 1918 flu .  The origin of the Spanish flu pandemic , and the relationship between the near - simultaneous outbreaks in humans and swine , have been controversial . One hypothesis is that the virus strain originated at Fort Riley , Kansas , in viruses in poultry and swine which the fort bred for food ; the soldiers were then sent from Fort Riley around the world , where they spread the disease . Similarities between a reconstruction of the virus and avian viruses , combined with the human pandemic preceding the first reports of influenza in swine , led researchers to conclude the influenza virus jumped directly from birds to humans , and swine caught the disease from humans .   Others have disagreed , and more recent research has suggested the strain may have originated in a nonhuman , mammalian species . An estimated date for its appearance in mammalian hosts has been put at the period 1882 -- 1913 . This ancestor virus diverged about 1913 -- 1915 into two clades ( or biological groups ) , which gave rise to the classical swine and human H1N1 influenza lineages . The last common ancestor of human strains dates to between February 1917 and April 1918 . Because pigs are more readily infected with avian influenza viruses than are humans , they were suggested as the original recipients of the virus , passing the virus to humans sometime between 1913 and 1918 .   An effort to recreate the 1918 flu strain ( a subtype of avian strain H1N1 ) was a collaboration among the Armed Forces Institute of Pathology , the USDA ARS Southeast Poultry Research Laboratory and Mount Sinai School of Medicine in New York City . The effort resulted in the announcement ( on 5 October 2005 ) that the group had successfully determined the virus 's genetic sequence , using historic tissue samples recovered by pathologist Johan Hultin from a female flu victim buried in the Alaskan permafrost and samples preserved from American soldiers .   On 18 January 2007 , Kobasa et al. ( 2007 ) reported that monkeys ( Macaca fascicularis ) infected with the recreated flu strain exhibited classic symptoms of the 1918 pandemic , and died from a cytokine storm -- an overreaction of the immune system . This may explain why the 1918 flu had its surprising effect on younger , healthier people , as a person with a stronger immune system would potentially have a stronger overreaction .   On 16 September 2008 , the body of British politician and diplomat Sir Mark Sykes was exhumed to study the RNA of the flu virus in efforts to understand the genetic structure of modern H5N1 bird flu . Sykes had been buried in 1919 in a lead coffin which scientists hoped had helped preserve the virus . The coffin was found to be split because of the weight of soil over it , and the cadaver was badly decomposed . Nonetheless , samples of lung and brain tissue were taken through the split , with the coffin remaining in situ in the grave during this process .   In December 2008 , research by Yoshihiro Kawaoka of the University of Wisconsin linked the presence of three specific genes ( termed PA , PB1 , and PB2 ) and a nucleoprotein derived from 1918 flu samples to the ability of the flu virus to invade the lungs and cause pneumonia . The combination triggered similar symptoms in animal testing .   In June 2010 , a team at the Mount Sinai School of Medicine reported the 2009 flu pandemic vaccine provided some cross-protection against the 1918 flu pandemic strain .   One of the few things known for certain about the influenza in 1918 and for some years after was that it was , out of the laboratory , exclusively a disease of human beings .   In 2013 , the AIR Worldwide Research and Modeling Group `` characterized the historic 1918 pandemic and estimated the effects of a similar pandemic occurring today using the AIR Pandemic Flu Model '' . In the model , `` a modern day `` Spanish flu '' event would result in additional life insurance losses of between USD 15.3 -- 27.8 billion in the United States alone '' with 188,000 -- 337,000 deaths in the United States .   In popular culture   The 1995 film Outbreak , the 2011 film Contagion and the 2013 film World War Z make reference to the pandemic .   Twentieth - century fiction includes at least three novels with the flu pandemic as a major theme : Katherine Anne Porter 's Pale Horse , Pale Rider , Thomas Mullen 's The Last Town on Earth , and Thomas Wolfe 's Look Homeward , Angel .   In the one - act play 1918 by Horton Foote ( part of his Orphans ' Home Cycle ( 1979 ) ) , the presence and threat of the flu ( and the tragedy it ultimately causes ) is a major element of the plot . The play was made into a film of the same title , released in 1985 , which was subsequently edited for broadcast by PBS as the last part of the miniseries `` The Story of A Marriage '' .   Gallery     Two American Red Cross nurses demonstrating treatment practices during the influenza pandemic of 1918 .     Albertan farmers wearing masks to protect themselves from the flu .     Policemen wearing masks provided by the American Red Cross in Seattle , 1918     A street car conductor in Seattle in 1918 refusing to allow passengers aboard who are not wearing masks     Red Cross workers remove a flu victim in St. Louis , Missouri ( 1918 )     Influenza ward at Walter Reed Hospital during the Spanish flu pandemic of 1918 -- 1919     Burying flu victims , North River , Newfoundland and Labrador ( 1918 )     1919 Tokyo , Japan     Ja</t>
  </si>
  <si>
    <t xml:space="preserve">flu that spread over a large area in 1918</t>
  </si>
  <si>
    <t xml:space="preserve"> The 1918 flu pandemic ( January 1918 -- December 1920 ) was an unusually deadly influenza pandemic , the first of the two pandemics involving H1N1 influenza virus . It infected 500 million people around the world , including people on remote Pacific islands and in the Arctic , and resulted in the deaths of 50 to 100 million ( three to five percent of the world 's population ) , making it one of the deadliest natural disasters in human history . </t>
  </si>
  <si>
    <t xml:space="preserve">Natives land Act , 1913 - wikipedia  Natives land Act , 1913     Natives Land Act , 1913         Act to make further provision as to the purchase and leasing of Land by Natives and other Persons in the several parts of the Union and for other purposes in connection with the ownership and occupation of Land by Natives and other Persons.It was discrimatory and aimed at white control of land .     Citation   Act No. 27 of 1913     Enacted by   Parliament of South Africa     Date of Royal Assent   16 June 1913     Date commenced   19 June 1913     Date repealed   30 June 1991     Administered by   Minister of Native Affairs     Repealing legislation     Abolition of Racially Based Land Measures Act , 1991     Related legislation     Native Trust and Land Act , 1936     Status : Repealed     The Natives Land Act , 1913 ( subsequently renamed Bantu Land Act , 1913 and Black Land Act , 1913 ; Act No. 27 of 1913 ) was an Act of the Parliament of South Africa that was aimed at regulating the acquisition of land .   Contents    1 Overview   2 Impact   3 Political ironies   4 See also   5 References   6 Bibliography   7 External links    Overview ( edit )   The Natives Land Act of 1913 was the first major piece of segregation legislation passed by the Union Parliament . It was replaced by the current policy of land restitution . The act decreed that whites were not allowed to buy land from natives and vice versa . That stopped white farmers from buying more native land . Exceptions had to be approved by the Governor - General . The native areas left initially totaled less than 10 % of the entire land mass of the Union , which was later expanded to 13 % .   The Act further prohibited the practice of serfdom or sharecropping . It also protected existing agreements or arrangement of land hired or leased by both parties .   This land was in `` native reserve '' areas , which meant it was under `` communal '' tenure vested in African chiefs : it could not be bought , sold or used as surety . Outside such areas , perhaps of even greater significance for black farming was that the Act forbade black tenant farming on white - owned land . Since so many black farmers were sharecroppers or labor tenants , that had a devastating effect , but its full implementation was not immediate . The Act strengthened the chiefs , who were part of the state administration , but it forced many blacks into the `` white '' areas into wage labour .   Impact ( edit )   The Act created a system of land tenure that deprived most South Africans of the right to own land . That had major socio - economic repercussions . Had the Supreme Court of South Africa not rendered the Act 's application void for a few years , it also would have disenfranchised all `` natives '' in the Cape Colony , where blacks and people of mixed race ( Cape Coloureds ) had greater political rights than in the other provinces as a legacy of British rule . It had a property ( and education ) - based franchise . The Act continued in force 40 years .   The opposition was modest but vocal . John Dube used his newspaper to create an issue . As president of what would become the African National Congress , he supported whites like William Cullen Wilcox , who had created the Zululand Industrial Improvement Company . That had led to them supplying land to thousands of black people in Natal . Dube was one of five people who were sent to Britain to try and overturn the law once it came into force in South Africa .   Sol Plaatje traveled to Britain with the SANNC ( later the African National Congress ) to protest the Natives Land Act but to no avail . He collected transcripts of court deliberations on the Natives Land Act and testimonies from those directly subject to the act in the 1916 book Native Life in South Africa .   Political ironies ( edit )   Much political irony surrounded the Act :    The minister at the time of its introduction , J.W. Sauer , was a Cape Liberal who opposed disenfranchisement of blacks . He , however , advocated for `` separate residential areas for Whites and Natives '' in the Parliamentary debate on the bill .   John Tengo Jabavu , a prominent `` educated African '' welcomed the Act , but Merriman and Schreiner opposed the Act on principle .    See also ( edit )    History of South Africa ( 1910 -- 1948 )   South Africa under apartheid    References ( edit )    Jump up ^ `` 19 June 1913 Native Land Act '' , This day in history , publish date unknown ( accessed 20 December 2007 ) .   Jump up ^ Collins , Robert O. and James M. Burns : A History of Sub-Saharan Africa , page 346 . Cambridge University Press , 2007   Jump up ^ `` Zuma : Address by the President of South Africa , at the 100 year celebration conference of the women 's organisation of the united congregational church of Southern African KZN region ( 31 / 03 / 2012 ) '' . polity.org.za . Retrieved 1 August 2013 .   Jump up ^ Natives Land Act , SAHistory.org.za , accessed 1 August 2013   Jump up ^ Plaatje , Sol ( 1916 ) . Native life in South Africa before and since the European War and the Boer rebellion . London : PS King . ISBN 0582785898 .   Jump up ^ see C.F.J Muller ( ed ) , 500 Years , History of South Africa as well as references therein    Bibliography ( edit )   L.M. Thompson , A History of South Africa   External links ( edit )    Text : Natives ' Land Act   1913 Land Act ( Google Cultural Institute )                Apartheid legislation in South Africa     Precursors ( before 1948 )     Hut tax ( 1884 )   Franchise and Ballot Act ( 1892 )   Glen Grey Act ( 1894 )   Natal Legislative Assembly Bill ( 1894 )   Transvaal Asiatic Registration Act ( 1906 )   South Africa Act ( 1909 )   Mines and Works Act ( 1911 )   Natives Land Act ( 1913 )   Natives ( Urban Areas ) Act ( 1923 )   Immorality Act ( 1927 )   Native Administration Act ( 1927 )   Representation of Natives Act ( 1936 )   Native Trust and Land Act ( 1936 )   Native ( Urban Areas ) Consolidation Act ( 1945 )   Asiatic Land Tenure Act ( 1946 )       Malan to Verwoerd ( 1948 -- 1966 )     Prohibition of Mixed Marriages Act ( 1949 )   Immorality Amendment Act ( 1950 )   Population Registration Act ( 1950 )   Group Areas Act ( 1950 )   Suppression of Communism Act ( 1950 )   Native Building Workers Act ( 1951 )   Separate Representation of Voters Act ( 1951 )   Prevention of Illegal Squatting Act ( 1951 )   Bantu Authorities Act ( 1951 )   Native Laws Amendment Act ( 1952 )   Pass Laws Act ( 1952 )   Public Safety Act ( 1953 )   Native Labour ( Settlement of Disputes ) Act ( 1953 )   Bantu Education Act ( 1953 )   Reservation of Separate Amenities Act ( 1953 )   Natives Resettlement Act ( 1954 )   Group Areas Development Act ( 1955 )   Riotous Assemblies Act ( 1956 )   Industrial Conciliation Act ( 1956 )   Natives ( Prohibition of Interdicts ) Act ( 1956 )   Immorality Act ( 1957 )   Bantu Investment Corporation Act ( 1959 )   Extension of University Education Act ( 1959 )   Promotion of Bantu Self - government Act ( 1959 )   Unlawful Organizations Act ( 1960 )   Indemnity Act ( 1961 )   Coloured Persons Communal Reserves Act ( 1961 )   Republic of South Africa Constitution Act ( 1961 )   Urban Bantu Councils Act ( 1961 )   General Law Amendment Act ( 1963 )   Coloured Persons Representative Council Act ( 1964 )       Post-Verwoerd ( 1966 -- 1994 )     Terrorism Act ( 1967 )   Separate Representation of Voters Amendment Act ( 1968 )   Prohibition of Political Interference Act ( 1968 )   Bantu Homelands Citizenship Act ( 1970 )   Bantu Homelands Constitution Act ( 1971 )   Aliens Control Act ( 1973 )   Indemnity Act ( 1977 )   National Key Points Act ( 1980 ) - List of National Key Points   Internal Security Act ( 1982 )   Black Local Authorities Act ( 1982 )   Republic of South Africa Constitution Act ( 1983 )      Retrieved from `` https://en.wikipedia.org/w/index.php?title=Natives_Land_Act,_1913&amp;oldid=842598426 '' Categories :   Apartheid laws in South Africa   1913 in South African law   Hidden categories :   All articles with unsourced statements   Articles with unsourced statements from June 2014   Articles with unsourced statements from July 2014   Use dmy dates from April 2011           Talk                                           Contents                   About Wikipedia                                           Afrikaans   Deutsch   Français   Nederlands   Norsk   Polski   Edit links   This page was last edited on 23 May 2018 , at 13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</si>
  <si>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1913 natives land act repealed</t>
  </si>
  <si>
    <t xml:space="preserve">   Natives Land Act , 1913         Act to make further provision as to the purchase and leasing of Land by Natives and other Persons in the several parts of the Union and for other purposes in connection with the ownership and occupation of Land by Natives and other Persons.It was discrimatory and aimed at white control of land .     Citation   Act No. 27 of 1913     Enacted by   Parliament of South Africa     Date of Royal Assent   16 June 1913     Date commenced   19 June 1913     Date repealed   30 June 1991     Administered by   Minister of Native Affairs     Repealing legislation     Abolition of Racially Based Land Measures Act , 1991     Related legislation     Native Trust and Land Act , 1936     Status : Repealed   </t>
  </si>
  <si>
    <r>
      <rPr>
        <sz val="11"/>
        <color rgb="FF000000"/>
        <rFont val="Calibri"/>
        <family val="0"/>
        <charset val="1"/>
      </rPr>
      <t xml:space="preserve">Blind spot ( vision ) - wikipedia  Blind spot ( vision )  Jump to : navigation , search For other uses , see Blind spot ( disambiguation ) .      This article needs additional citations for verification . Please help improve this article by adding citations to reliable sources . Unsourced material may be challenged and removed . ( November 2011 ) ( Learn how and when to remove this template message )    Vertebrate Octopus In vertebrate eyes , the nerve fibers route before the retina , blocking some light and creating a blind spot where the fibers pass through the retina and out of the eye . In octopus eyes , the nerve fibers route behind the retina , and do not block light or disrupt the retina . In the example , 4 denotes the vertebrate blind spot , which is notably absent in the octopus eye . In both images , 1 denotes the retina and 2 the nerve fibers , including the optic disc ( 3 ) . Distribution of rods and cones along a line passing through the fovea and the blind spot of a human eye  A blind spot , scotoma , is an obscurity of the visual field . A particular blind spot known as the physiological blind spot , `` blind point '' , or punctum caecum in medical literature , is the place in the visual field that corresponds to the lack of light - detecting photoreceptor cells on the optic disc of the retina where the optic nerve passes through the optic disc . Because there are no cells to detect light on the optic disc , the corresponding part of the field of vision is invisible . Some process in our brains interpolates the blind spot based on surrounding detail and information from the other eye , so we do not normally perceive the blind spot .   Although all vertebrates have this blind spot , cephalopod eyes , which are only superficially similar , do not . In them , the optic nerve approaches the receptors from behind , so it does not create a break in the retina .   The first documented observation of the phenomenon was in the 1660s by Edme Mariotte in France . At the time it was generally thought that the point at which the optic nerve entered the eye should actually be the most sensitive portion of the retina ; however , Mariotte 's discovery disproved this theory .   The blind spot is located about 12 -- 15 ° temporally and 1.5 ° below the horizontal and is roughly 7.5 ° high and 5.5 ° wide .     Contents  ( hide )   1 Blind spot test   2 See also   3 References   4 External links      Blind spot test ( edit )     Demonstration of the blind spot                         Instructions : Close one eye and focus the other on the appropriate letter ( R for right or L for left ) . Place your eye a distance from the screen approximately equal to 3 × the distance between the R and the L. Move your eye towards or away from the screen until you notice the other letter disappear . For example , close your right eye , look at the `` L '' with your left eye , and the `` R '' will disappear .     See also ( edit )    Filling - in   Horizontal eccentricity    References ( edit )    Jump up ^ Brian A. Wandell ( 1 January 1995 ) . Foundations of Vision . Sinauer Associates . ISBN 978 - 0 - 87893 - 853 - 7 .   Jump up ^ Gregory , R. , &amp; Cavanagh , P. ( 2011 ) . `` The Blind Spot '' . Scholarpedia . Retrieved on 2011 - 05 - 21 .   Jump up ^ Stanley Finger ( 2001 ) . Origins of Neuroscience : A History of Explorations Into Brain Function ( illustrated , reprint , revised ed . ) . Oxford University Press . p. 76 . ISBN 9780195146943 .   Jump up ^ MIL - STD - 1472F , Military Standard , Human Engineering , Design Criteria For Military Systems , Equipment , And Facilities ( 23 Aug 1999 ) PDF    External links ( edit )    `` Amsler Grid '' Test from Ossibus Software   Blind spots   Blind spot test   Blind spot map tool      ( hide )         Phenomena of the visual system     Entoptic phenomena     Blind spot   Phosphene   Floater   Afterimage   Haidinger 's brush   Prisoner 's cinema   Blue field entoptic phenomenon   Purkinje images       Other phenomena     Aura   Form constant   Scintillating scotoma   Palinopsia   Visual snow   Afterimage on empty shape   Cosmic ray visual phenomena   Scotopic sensitivity syndrome   Closed - eye hallucination      Retrieved from `` https://en.wikipedia.org/w/index.php?title=Blind_spot_(vision)&amp;oldid=839388157 '' Categories :   Eye   Vision   Hidden categories :   Articles needing additional references from November 2011   All articles needing additional references           Talk                                           Contents                   About Wikipedia                                                   বাংলা   Български   Català   Čeština   Deutsch   Ελληνικά   Español   Esperanto   فارسی   Français   Հայերեն   Hrvatski   Bahasa Indonesia   Italiano   עברית   Қазақша   Lietuvių   മലയാളം   Bahasa Melayu   Nederlands   </t>
    </r>
    <r>
      <rPr>
        <sz val="11"/>
        <color rgb="FF000000"/>
        <rFont val="Noto Sans CJK SC"/>
        <family val="2"/>
      </rPr>
      <t xml:space="preserve">日本 語   </t>
    </r>
    <r>
      <rPr>
        <sz val="11"/>
        <color rgb="FF000000"/>
        <rFont val="Calibri"/>
        <family val="0"/>
        <charset val="1"/>
      </rPr>
      <t xml:space="preserve">Norsk   Polski   Português   Русский   Simple English   Slovenčina   Српски / srpski   Svenska   Татарча / tatarça   ไทย   Українська   اردو   </t>
    </r>
    <r>
      <rPr>
        <sz val="11"/>
        <color rgb="FF000000"/>
        <rFont val="Noto Sans CJK SC"/>
        <family val="2"/>
      </rPr>
      <t xml:space="preserve">中文  </t>
    </r>
    <r>
      <rPr>
        <sz val="11"/>
        <color rgb="FF000000"/>
        <rFont val="Calibri"/>
        <family val="0"/>
        <charset val="1"/>
      </rPr>
      <t xml:space="preserve">26 more  Edit links   This page was last edited on 3 May 2018 , at 02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</si>
  <si>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blind spot of the eye</t>
  </si>
  <si>
    <t xml:space="preserve"> A blind spot , scotoma , is an obscurity of the visual field . A particular blind spot known as the physiological blind spot , `` blind point '' , or punctum caecum in medical literature , is the place in the visual field that corresponds to the lack of light - detecting photoreceptor cells on the optic disc of the retina where the optic nerve passes through the optic disc . Because there are no cells to detect light on the optic disc , the corresponding part of the field of vision is invisible . Some process in our brains interpolates the blind spot based on surrounding detail and information from the other eye , so we do not normally perceive the blind spot . </t>
  </si>
  <si>
    <t xml:space="preserve">Measurement of land in Punjab - Wikipedia  Measurement of land in Punjab  Jump to : navigation , search      ( hide ) This article has multiple issues . Please help improve it or discuss these issues on the talk page . ( Learn how and when to remove these template messages )      This article does not cite any sources . Please help improve this article by adding citations to reliable sources . Unsourced material may be challenged and removed . ( February 2010 ) ( Learn how and when to remove this template message )         This article is an orphan , as no other articles link to it . Please introduce links to this page from related articles ; try the Find link tool for suggestions . ( March 2012 )         The topic of this article may not meet Wikipedia 's general notability guideline . Please help to establish notability by citing reliable secondary sources that are independent of the topic and provide significant coverage of it beyond its mere trivial mention . If notability can not be established , the article is likely to be merged , redirected , or deleted . Find sources : `` Measurement of land in Punjab '' -- news newspapers books scholar JSTOR ( February 2010 ) ( Learn how and when to remove this template message )    ( Learn how and when to remove this template message )     The following are the basic ' measurements of land used in Pakistan Punjab , Indian Punjab and Haryana ' in ascending order .    one ' karam ' is 5.5 ft   one ' marla ' is 9 square karams ( 3x3 ) ( 272.25 sq ft ) ( 30.25 gaz )   one ' kanaal ' is 20 marlas ( 5,445 sq ft )   one ' bigha ' is of 4 knaals ( 21780 sq. ft )   one ' killa ' is of 8 kanaals   one ' murabba ' is 25 killas ( 1,089,000 sq ft = 25 acres )    A killa or Acre is measured rectangularly , reckoned as an area 36 karams ( 198 ft ) x 40 karams ( 220 ft ) ( 43,560 square ft ) . 5 / 8th of a Killa or Acre is known as Bigha   Homes ( Kothis ) are measured in marlas and kanaals . Most are two to four kanaals but the big ones can be anything from four to six kanaals .   A couple of older measures :    one biswa = 15 Sq karams ; 12 biswas = 1 kanaal ( 605 gaz )   one bigha = 60 biswas - 3025 square yards - 2530 sq m      i ) In all areas consolidated on the basis of the standard measure of 66 inches i.e. Karam or Gatha :   - 1 . 1 Sq . Karam or Sarsahi 3.3611111 Sq. yds .   2 . 9 Sarsahies or 1 Marla 30.249999 Sq. yds say 30.25 Sq. yds .   3 . 20 Marlas or 1 Kanal 604.99996 Sq. yds say 605 Sq. yds .   4 . 160 Marlas or 8 Kanals 4839.99998 Sq. yds. say 4840 Sq. yds. ( 1 acre or 1 killa )   ( ii ) In the areas consolidated on the basis of the local meas ure and the non - consolidated areas of Amritsar , Gurdaspur , ( except Shahpur Hill Circle and Chak Andar in Pathankot tehsil ) , Ferozepur ( except Fazilka ) and the erstwhile pr incelyState of Faridkot . Also applicable for Lahore ( Pakistan ) :   1 . 1 Karam 60 inches   2 . 1 Sq . Karam or Sarsahi 2.777777 Sq . yds .   3 . 9 Sarsahies or 1 Marla 24.999999 Sq . yards say 25 Sq. yards .   4 . 20 Marlas or 1 Kanal 499.9999 Sq . yards say 500 Sq. yards   5 . 193.60 Marlas ( 9 Kanals1 Acre or 4840 Sq. yds 13 Marlas 5 Sarsahis )   ( iii ) In the areas consolidated on the basis of the local measure and the non - consolidated areas of Hoshiarpur , Jalandhar , Anandpur Sahib ( Ropar ) and the Shahpur hill Circle in Gurdaspur District :   1.1 Karam 57.5 inches   2 . 1 Sq . Karam or Sarsahi 2.5511188 Sq. yds .   3 . 9 Sarsahies or 1 Marla 22.960069 Sq. yards say 22.96 Sq. yds   4 . 20 Marlas or 1 Kanal 459.20138 Sq. yards say 459 Sq. yards .   5 . 160 Marlas ( 8 Kanals I Acre or 4840 Sq. yds . ( iv ) In the area consolidated on the basis of the local measure and the non-consolidated areas of the erstwhile princely State of Kapurthala :   1 . 1 Karam 54 inches   2 . 1 Sq . Karam or Sarsahi 2.25 Sq. yds .   3 . 9 Sarsahies or 1 Marla 30.25 Sq. yards   4 . 20 Marlas or 1 Kanal 405 Sq. yards .   5 . 239 Marlas ( 11 Kanals1 Acre or 4840 Sq. yds. 19 Marlas )   1 Karam or Gat ha x 1 Karam or Gatha   1 Sq . Karam or Biswansi 20 Biswansis   1 Biswa20 Biswa 1 Satty2   Sq Feet Sq Gaz Sq Meter Karams Marla Kanaal Killa Begha Muraba 272.25 30.25 25.293 9 1 0.05 0.00625 0.0005 0.00025 1361.25 151.25 126.465 45 5 0.25 0.03125 0.0025 0.00125 2722.5 302.5 252.93 90 10 0.5 0.0625 0.005 0.0025 5445 605 505.86 180 20 1 0.125 0.01 0.005 43560 4840 4046.88 1440 160 8 1 0.08 0.04 27225 3025 2529.3 900 100 5 0.625 0.05 0.025 1089000 121000 101172 36000 4000 200 25 2 1   Good work  Retrieved from `` https://en.wikipedia.org/w/index.php?title=Measurement_of_land_in_Punjab&amp;oldid=808892235 '' Categories :   Units of measurement   Punjab   Economic history of India   Economic history of Pakistan   Metrication   Hidden categories :   Articles lacking sources from February 2010   All articles lacking sources   Orphaned articles from March 2012   All orphaned articles   Articles with topics of unclear notability from February 2010   All articles with topics of unclear notability           Talk                                                             About Wikipedia                                           پنجابی   اردو   Edit links   This page was last edited on 5 November 2017 , at 21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</si>
  <si>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kanals in one acre in pakistan</t>
  </si>
  <si>
    <t xml:space="preserve"> 4 . 160 Marlas or 8 Kanals 4839.99998 Sq. yds. say 4840 Sq. yds. ( 1 acre or 1 killa ) </t>
  </si>
  <si>
    <t xml:space="preserve">Telecommunications in India - Wikipedia  Telecommunications in India  Jump to : navigation , search This article is about communications in India . For a more general coverage of media in India , see Media of India .      This article needs to be updated . Please update this article to reflect recent events or newly available information . ( March 2017 )       Communications in India     Total revenue ( 2014 -- 15 )   ₹ 2.20 lakh crore ( US $34 billion )     Telephony     Total telephone subscribers   1.202 billion ( Oct. 2017 )     Mobile subscribers   1.178 billion ( Oct. 2017 )     Fixed line subscribers   23.53 million ( Oct. 2017 )     Monthly telephone additions ( Net )   - 4.99 million ( Oct. 2017 )     Teledensity   92.92 % ( Oct. 2017 )     Urban Teledensity   171.08 % ( Oct. 2017 )     Rural Teledensity   56.94 % ( Oct. 2017 )     Internet access     Internet users   462.12 million ( January 2016 )     Broadband subscribers   340.16 million ( Oct. 2017 )     Internet penetration   34.8 % ( January 2016 )     Share of World Internet Users   13.5 % ( January 2016 )     country code top - level domain   . in     Broadcasting     Television channels   890 ( Jul. 2017 )     Radio stations   345 ( March 2016 )     India 's telecommunication network is the second largest in the world by number of telephone users ( both fixed and mobile phone ) with 1.206 billion subscribers as on 30 September 2017 . It has one of the lowest call tariffs in the world enabled by mega telecom operators and hyper - competition among them . India has the world 's second - largest Internet user - base . As on 30 September 2017 , there were 324.89 million internet subscribers in the country .   Major sectors of the Indian telecommunication industry are telephone , internet and television broadcast Industry in the country which is in an ongoing process of transforming into next generation network , employs an extensive system of modern network elements such as digital telephone exchanges , mobile switching centres , media gateways and signalling gateways at the core , interconnected by a wide variety of transmission systems using fibre - optics or Microwave radio relay networks . The access network , which connects the subscriber to the core , is highly diversified with different copper - pair , optic - fibre and wireless technologies . DTH , a relatively new broadcasting technology has attained significant popularity in the Television segment . The introduction of private FM has given a fillip to the radio broadcasting in India . Telecommunication in India has greatly been supported by the INSAT system of the country , one of the largest domestic satellite systems in the world . India possesses a diversified communications system , which links all parts of the country by telephone , Internet , radio , television and satellite .   Indian telecom industry underwent a high pace of market liberalisation and growth since the 1990s and now has become the world 's most competitive and one of the fastest growing telecom markets . The Industry has grown over twenty times in just ten years , from under 37 million subscribers in the year 2001 to over 846 million subscribers in the year 2011 . India has the world 's second - largest mobile phone user base with over 1183.04 million users as of September 2017 . It has the world 's second - largest Internet user - base with over 324 million as of September 2017 .   Telecommunication has supported the socioeconomic development of India and has played a significant role to narrow down the rural - urban digital divide to some extent . It also has helped to increase the transparency of governance with the introduction of e-governance in India . The government has pragmatically used modern telecommunication facilities to deliver mass education programmes for the rural folk of India .   According to London - based telecom trade body GSMA , the telecom sector accounted for 6.5 % of India 's GDP in 2015 , or about ₹ 9 lakh crore ( US $140 billion ) , and supported direct employment for 2.2 million people in the country . GSMA estimates that the Indian telecom sector will contribute ₹ 14.5 lakh crore ( US $220 billion ) to the economy and support 3 million direct jobs and 2 million indirect jobs by 2020 .     Contents  ( hide )   1 History   1.1 The beginning   1.2 Further developments and milestones   1.3 Liberalisation and privatisation     2 Telephony   2.1 Landline   2.2 Mobile telephony   2.2. 1 Frequency bands     2.3 Subscriber base by circle     3 Internet   3.1 Net neutrality     4 Television broadcasting   5 Radio   6 Next - generation networks ( NGN )   7 Regulatory environment   8 Revenue and growth   9 International   9.1 Submarine cables     10 See also   11 References   12 External links      History ( edit )   The beginning ( edit )  A microwave tower for short distance ( ~ 50 km ) communication  Telecommunications in India began with the introduction of the telegraph . The Indian postal and telecom sectors are one of the worlds oldest . In 1850 , the first experimental electric telegraph line was started between Calcutta and Diamond Harbour . In 1851 , it was opened for the use of the British East India Company . The Posts and Telegraphs department occupied a small corner of the Public Works Department , at that time .   The construction of 4,000 miles ( 6,400 km ) of telegraph lines was started in November 1853 . These connected Kolkata ( then Calcutta ) and Peshawar in the north ; Agra , Mumbai ( then Bombay ) through Sindwa Ghats , and Chennai ( then Madras ) in the south ; Ootacamund and Bangalore . William O'Shaughnessy , who pioneered the telegraph and telephone in India , belonged to the Public Works Department , and worked towards the development of telecom throughout this period . A separate department was opened in 1854 when telegraph facilities were opened to the public .   In 1880 , two telephone companies namely The Oriental Telephone Company Ltd. and The Anglo - Indian Telephone Company Ltd. approached the Government of India to establish telephone exchange in India . The permission was refused on the grounds that the establishment of telephones was a Government monopoly and that the Government itself would undertake the work . In 1881 , the Government later reversed its earlier decision and a licence was granted to the Oriental Telephone Company Limited of England for opening telephone exchanges at Calcutta , Bombay , Madras and Ahmedabad and the first formal telephone service was established in the country . On 28 January 1882 , Major E. Baring , Member of the Governor General of India 's Council declared open the Telephone Exchanges in Calcutta , Bombay and Madras . The exchange in Calcutta named the `` Central Exchange '' had a total of 93 subscribers in its early stage . Later that year , Bombay also witnessed the opening of a telephone exchange .   Further developments and milestones ( edit )    Pre-1902 -- Cable telegraph   1902 -- First wireless telegraph station established between Sagar Island and Sandhead .   1907 -- First Central Battery of telephones introduced in Kanpur .   1913 -- 1914 -- First Automatic Exchange installed in Shimla .   1927 -- Radio - telegraph system between the UK and India , with Imperial Wireless Chain beam stations at Khadki and Daund . Inaugurated by Lord Irwin on 23 July by exchanging greetings with King George V .   1933 -- Radiotelephone system inaugurated between the UK and India .   1953 -- 12 channel carrier system introduced .   1960 -- First subscriber trunk dialling route commissioned between Lucknow and Kanpur .   1975 -- First PCM system commissioned between Mumbai City and Andheri telephone exchanges .   1976 -- First digital microwave junction .   1979 -- First optical fibre system for local junction commissioned at Pune .   1980 -- First satellite earth station for domestic communications established at Sikandarabad , U.P. .   1983 -- First analogue Stored Programme Control exchange for trunk lines commissioned at Mumbai .   1984 -- C - DOT established for indigenous development and production of digital exchanges .   1995 -- First mobile telephone service started on non-commercial basis on 15 August 1995 in Delhi .   1995 -- Internet Introduced in India starting with Laxmi Nagar , Delhi 15 August 1995    Development of Broadcasting : Radio broadcasting was initiated in 1927 but became state responsibility only in 1930 . In 1937 it was given the name All India Radio and since 1957 it has been called Akashvani . Limited duration of television programming began in 1959 , and complete broadcasting followed in 1965 . The Ministry of Information and Broadcasting owned and maintained the audio - visual apparatus -- including the television channel Doordarshan -- in the country prior to the economic reforms of 1991 . In 1997 , an autonomous body was established in the name of Prasar Bharti to take care of the public service broadcasting under the Prasar Bharti Act . All India Radio and Doordarshan , which earlier were working as media units under the Ministry of I&amp;B became constituents of the body .   Pre-liberalisation statistics : While all the major cities and towns in the country were linked with telephones during the British period , the total number of telephones in 1948 numbered only around 80,000 . Post independence , growth remained slow because the telephone was seen more as a status symbol rather than being an instrument of utility . The number of telephones grew leisurely to 980,000 in 1971 , 2.15 million in 1981 and 5.07 million in 1991 , the year economic reforms were initiated in the country .   Liberalisation and Privatisation ( edit )   Liberalisation of Indian telecommunication in industry started in 1981 when Prime Minister Indira Gandhi signed contracts with Alcatel CIT of France to merge with the state owned Telecom Company ( ITI ) , in an effort to set up 5,000,000 lines per year . But soon the policy was let down because of political opposition . Attempts to liberalise the telecommunication industry were continued by the following government under the prime - minister - ship of Rajiv Gandhi . He invited Sam Pitroda , a US - based Non-resident Indian NRI and a former Rockwell International executive to set up a Centre for Development of Telematics ( C - DOT ) which manufactured electronic telephone exchanges in India for the first time . Sam Pitroda had a significant role as a consultant and adviser in the development of telecommunication in India .   In 1985 , the Department of Telecom ( DoT ) was separated from Indian Post &amp; Telecommunication Department . DoT was responsible for telecom services in entire country until 1986 when Mahanagar Telephone Nigam Limited ( MTNL ) and Videsh Sanchar Nigam Limited ( VSNL ) were carved out of DoT to run the telecom services of metro cities ( Delhi and Mumbai ) and international long distance operations respectively .   The demand for telephones was ever increasing and in the 1990s Indian government was under increasing pressure to open up the telecom sector for private investment as a part of Liberalisation - Privatisation - Globalisation policies that the government had to accept to overcome the severe fiscal crisis and resultant balance of payments issue in 1991 . Consequently , private investment in the sector of Value Added Services ( VAS ) was allowed and cellular telecom sector were opened up for competition from private investments . It was during this period that the Narsimha Rao - led government introduced the National Telecommunications policy ( NTP ) in 1994 which brought changes in the following areas : ownership , service and regulation of telecommunications infrastructure . The policy introduced the concept of telecommunication for all and its vision was to expand the telecommunication facilities to all the villages in India . Liberalisation in the basic telecom sector was also envisaged in this policy . They were also successful in establishing joint ventures between state owned telecom companies and international players . Foreign firms were eligible to 49 % of the total stake . The multi-nationals were just involved in technology transfer , and not policy making .   During this period , the World Bank and ITU had advised the Indian Government to liberalise long distance services to release the monopoly of the state owned DoT and VSNL and to enable competition in the long distance carrier business which would help reduce tariff 's and better the economy of the country . The Rao run government instead liberalised the local services , taking the opposite political parties into confidence and assuring foreign involvement in the long distance business after 5 years . The country was divided into 20 telecommunication circles for basic telephony and 18 circles for mobile services . These circles were divided into category A , B and C depending on the value of the revenue in each circle . The government threw open the bids to one private company per circle along with government owned DoT per circle . For cellular service two service providers were allowed per circle and a 15 years licence was given to each provider . During all these improvements , the government did face oppositions from ITI , DoT , MTNL , VSNL and other labour unions , but they managed to keep away from all the hurdles .   In 1997 , the government set up TRAI ( Telecom Regulatory Authority of India ) which reduced the interference of Government in deciding tariffs and policy making . The political powers changed in 1999 and the new government under the leadership of Atal Bihari Vajpayee was more pro-reforms and introduced better liberalisation policies . In 2000 , the Vajpayee government constituted the Telecom Disputes Settlement and Appellate Tribunal ( TDSAT ) through an amendment of the TRAI Act , 1997 . The primary objective of TDSAT 's establishment was to release TRAI from adjudicatory and dispute settlement functions in order to strengthen the regulatory framework . Any dispute involving parties like licensor , licensee , service provider and consumers are resolved by TDSAT . Moreover , any direction , order or decision of TRAI can be challenged by appealing in TDSAT . The government corporatised the operations wing of DoT on 1 October 2000 and named it as Department of Telecommunication Services ( DTS ) which was later named as Bharat Sanchar Nigam Limited ( BSNL ) . The proposal of raising the stake of foreign investors from 49 % to 74 % was rejected by the opposite political parties and leftist thinkers . Domestic business groups wanted the government to privatise VSNL . Finally in April 2002 , the government decided to cut its stake of 53 % to 26 % in VSNL and to throw it open for sale to private enterprises . TATA finally took 25 % stake in VSNL .   This was a gateway to many foreign investors to get entry into the Indian Telecom Markets . After March 2000 , the government became more liberal in making policies and issuing licences to private operators . The government further reduced licence fees for ( cellular service providers and increased the allowable stake to 74 % for foreign companies . Because of all these factors , the service fees finally reduced and the call costs were cut greatly enabling every common middle - class family in India to afford a cell phone . Nearly 32 million handsets were sold in India . The data reveals the real potential for growth of the Indian mobile market . Many private operators , such as Reliance Communications , Jio , Tata Indicom , Vodafone , Loop Mobile , Airtel , Idea etc. , successfully entered the high potential Indian telecom market .   In March 2008 the total GSM and CDMA mobile subscriber base in the country was 375 million , which represented a nearly 50 % growth when compared with previous year . As the unbranded Chinese cell phones which do not have International Mobile Equipment Identity ( IMEI ) numbers pose a serious security risk to the country , Mobile network operators therefore suspended the usage of around 30 million mobile phones ( about 8 % of all mobiles in the country ) by 30 April . Phones without valid IMEI can not be connected to cellular operators . 5 -- 6 years the average monthly subscribers additions were around 0.05 to 0.1 million only and the total mobile subscribers base in December 2002 stood at 10.5 millions . However , after a number of proactive initiatives taken by regulators and licensors , the total number of mobile subscribers has increased rapidly to over 929 million subscribers as of May 2012 .   India has opted for the use of both the GSM ( global system for mobile communications ) and CDMA ( code - division multiple access ) technologies in the mobile sector . In addition to landline and mobile phones , some of the companies also provide the WLL service . The mobile tariffs in India have also become the lowest in the world . A new mobile connection can be activated with a monthly commitment of US $0.15 only .   Telephony ( edit )  Market share of mobile network operators as on 31 December 2017   Airtel : 290.12 million ( 24.9 % )   Vodafone : 212.53 million ( 18.2 % )   Idea : 196.5 million ( 16.8 % )   Jio : 160.09 million ( 13.7 % )   BSNL : 107.91 million ( 9.2 % )   Aircel : 84.93 million ( 7.3 % )   Telenor : 41.91 million ( 3.6 % )   Tata Docomo : 36.69 million ( 3.1 % )   RCom : 33.16 million ( 2.8 % )   MTNL : 3.58 million ( 0.3 % )   Wired telephony market share as on 31 December 2017   BSNL : 12.58 million ( 53.9 % )   Airtel : 3.91 million ( 16.7 % )   MTNL : 3.37 million ( 14.4 % )   Tata Docomo : 1.85 million ( 7.9 % )   RCom : 1.13 million ( 4.8 % )   Others : 0.51 million ( 2.2 % )    The telephony segment is dominated by private - sector and two state - run businesses . Most companies were formed by a recent revolution and restructuring launched within a decade , directed by Ministry of Communications and IT , Department of Telecommunications and Minister of Finance . Since then , most companies gained 2G , 3G and 4G licences and engaged fixed - line , mobile and internet business in India . On landlines , intra-circle calls are considered local calls while inter-circle are considered long distance calls . Foreign Direct Investment policy which increased the foreign ownership cap from 49 % to 100 % . The Government is working to integrate the whole country in one telecom circle . For long distance calls , the area code prefixed with a zero is dialled first which is then followed by the number ( i.e. , to call Delhi , 011 would be dialled first followed by the phone number ) . For international calls , `` 00 '' must be dialled first followed by the country code , area code and local phone number . The country code for India is 91 . Several international fibre - optic links include those to Japan , South Korea , Hong Kong , Russia , and Germany . Some major telecom operators in India include Airtel , Vodafone , Idea , Reliance Jio , Aircel , BSNL , MTNL , Telenor and TATA DoCoMo .   Landline ( edit )   Before the New Telecom Policy was announced in 1999 , only the Government - owned BSNL and MTNL were allowed to provide land - line phone services through copper wire in India with MTNL operating in Delhi and Mumbai and BSNL servicing all other areas of the country . Due to the rapid growth of the cellular phone industry in India , landlines are facing stiff competition from cellular operators , with number of wireline subscribers fell from 37.90 million in December 2008 to 23 million in December 2017 . This has forced land - line service providers to become more efficient and improve their quality of service . As of December 2017 , India has over 23 million wireline customers .   Mobile telephony ( edit )  See also : Mobile network operators of India Typical signboards of STD booths ( kiosks from where STD calls can be made ) and internet kiosks in India  In August 1995 , then Chief Minister of West Bengal , Jyoti Basu made the first mobile phone call in India to then Union Telecom Minister Sukhram . Sixteen years later 4G services were launched in Kolkata in 2012 .   With a subscriber base of more than 1,151.94 million ( as of January 2018 ) , the mobile telecommunications system in India is the second largest in the world and it was thrown open to private players in the 1990s . GSM was comfortably maintaining its position as the dominant mobile technology with 80 % of the mobile subscriber market , but CDMA seemed to have stabilised its market share at 20 % for the time being .   The country is divided into multiple zones , called circles ( roughly along state boundaries ) . Government and several private players run local and long distance telephone services . Competition , especially after entry of Reliance Jio , has caused prices to drop across India , which are already one of the cheapest in the world . The rates are supposed to go down further with new measures to be taken by the Information Ministry .   In September 2004 , the number of mobile phone connections crossed the number of fixed - line connections and presently dwarfs the wireline segment substantially . The mobile subscriber base has grown from 5 million subscribers in 2001 to over 1,151.94 million subscribers as of January 2018 . India primarily follows the GSM mobile system , in the 900 MHz band . Recent operators also operate in the 1800 MHz band . The dominant players are Airtel , Jio , Vodafone , Idea Cellular and BSNL / MTNL . There are many smaller players , with operations in only a few states . International roaming agreements exist between most operators and many foreign carriers . The government allowed Mobile number portability ( MNP ) which enables mobile telephone users to retain their mobile telephone numbers when changing from one mobile network operator to another .  Frequency bands ( edit )  As of 2016 , India has deployed telecom operations in a total of 8 radio frequency bands .   Subscriber base by circle ( edit )   India is divided into 22 telecom circles :     Telecom circle   Landline subscriber base in million ( December 2017 )   Wireless subscriber base in million ( December 2017 )   Teledensity ( September 2014 )     Andhra Pradesh &amp; Telangana   1.52   84.31   81.06     Assam   0.14   22.60   50.41     Bihar &amp; Jharkhand   0.27   84.28   47.66     Delhi   3.22   55.54   232.22     Gujarat &amp; Daman &amp; Diu   1.29   70.59   93.34     Haryana   0.30   25.46   80.31     Himachal Pradesh   0.12   10.57   109.55     Jammu and Kashmir   0.11   13.12   69.98     Karnataka   2.25   67.20   94.20     Kerala &amp; Lakshadweep   1.99   41.01   95.96     Kolkata   0.81   29.06   73.0     Madhya Pradesh &amp; Chhattisgarh   0.97   73.10   57.04     Maharashtra &amp; Goa ( including Mumbai )   1.76   94.38   92.20     Mumbai *   3.02   38.32   Not available     North East ^ * *   0.11   12.81   72.00     Orissa   0.27   34.02   63.41     Punjab   0.88   36.06   103.49     Rajasthan   0.61   67.80   76.18     Tamil Nadu ( including Chennai since 2005 )   2.37   87.02   114.71     Uttar Pradesh ( East )   0.48   100.77   58.09 ( Combined )     Uttar Pradesh ( West ) &amp; Uttarakhand   0.35   62.32   58.09 ( Combined )     West Bengal ( including Kolkata )   0.28   58.00   73.40     ^ * Population statistics are available state-wise only . ^ * * North east circle includes Arunachal Pradesh , Manipur , Meghalaya , Mizoram , Nagaland , &amp; Tripura ^ * * * West Bengal circle includes Andaman - Nicobar and Sikkim   Internet ( edit )  Main article : Internet in India  The history of the Internet in India started with launch of services by VSNL on 15 August 1995 . They were able to add about 10,000 Internet users within 6 months . However , for the next 10 years the Internet experience in the country remained less attractive with narrow - band connections having speeds less than 56 kbit / s ( dial - up ) . In 2004 , the government formulated its broadband policy which defined broadband as `` an always - on Internet connection with download speed of 256 kbit / s or above . '' From 2005 onward the growth of the broadband sector in the country accelerated , but remained below the growth estimates of the government and related agencies due to resource issues in last - mile access which were predominantly wired - line technologies . This bottleneck was removed in 2010 when the government auctioned 3G spectrum followed by an equally high - profile auction of 4G spectrum that set the scene for a competitive and invigorated wireless broadband market . Now Internet access in India is provided by both public and private companies using a variety of technologies and media including dial - up ( PSTN ) , xDSL , coaxial cable , Ethernet , FTTH , ISDN , HSDPA ( 3G ) , 4G , WiFi , WiMAX , etc. at a wide range of speeds and costs .   According to the Internet And Mobile Association of India ( IAMAI ) , the Internet user base in the country stood at 190 million at the end of June , 2013 , which rose to 378.10 million in January 2018 . Cumulative Annual Growth rate ( CAGR ) of broadband during the five - year period between 2005 and 2010 was about 117 per cent .   There were 204 Internet Service Providers ( ISPs ) offering broadband services in India as of 31 December 2017 . As of January 2018 , the top five ISPs in terms subscriber base were Reliance Jio ( 168.39 million ) , Bharti Airtel ( 75.01 million ) , Vodafone ( 54.83 million ) , Idea Cellular ( 37.33 million ) and BSNL ( 21.81 million ) . In 2009 , about 37 per cent of the users access the Internet from cyber cafes , 30 per cent from an office , and 23 per cent from home . However , the number of mobile Internet users increased rapidly from 2009 on and there were about 359.80 million mobile users at the end of January 2018 , with a majority using 4G mobile networks .   One of the major issues facing the Internet segment in India is the lower average bandwidth of broadband connections compared to that of developed countries . According to 2007 statistics , the average download speed in India hovered at about 40 KB per second ( 256 kbit / s ) , the minimum speed set by TRAI , whereas the international average was 5.6 Mbit / s during the same period . In order to attend this infrastructure issue the government declared 2007 as `` the year of broadband '' . To compete with international standards of defining broadband speed the Indian Government has taken the aggressive step of proposing a $13 billion national broadband network to connect all cities , towns and villages with a population of more than 500 in two phases targeted for completion by 2012 and 2013 . The network was supposed to provide speeds up to 10 Mbit / s in 63 metropolitan areas and 4 Mbit / s in an additional 352 cities . In February 2018 , the average broadband speed of fixed line connection in India was 20.72 mbps , which is less than the global average download speed of 42.71 mbps . In terms of mobile internet speed , India performed quite poorly , with average speed of 9.01 mbps when compared with global average mobile broadband speed was 22.16 mbps .   As of December 2017 , according to Internet and Mobile Association of India , the Internet penetration rate in India is one of the lowest in the world and only accounts for 35 % of the population compared to the global average internet penetration is over 54.4 % . Another issue is the digital divide where growth is biased in favour of urban areas ; according to December 2017 statistics , internet penetration in urban India was 64.84 % , whereas internet penetration in rural India is only 20.26 % . Regulators have tried to boost the growth of broadband in rural areas by promoting higher investment in rural infrastructure and establishing subsidised tariffs for rural subscribers under the Universal service obligation scheme of the Indian government .   As of May 2014 , the Internet was delivered to India mainly by 9 different undersea fibres , including SEA - ME - WE 3 , Bay of Bengal Gateway and Europe India Gateway , arriving at 5 different landing points .   Net neutrality ( edit )  Main article : Net neutrality in India  In March 2015 , the TRAI released a formal consultation paper on Regulatory Framework for Over-the - top ( OTT ) services , seeking comments from the public . The consultation paper was criticised for being one sided and having confusing statements . It was condemned by various politicians and internet users . By 18 April 2015 , over 800,000 emails had been sent to TRAI demanding net neutrality .   The TRAI on 8 February 2016 , notified the Prohibition of Discriminatory Tariffs for Data Services Regulations , 2016 which barred telecom service providers from charging differential rates for data services .   The 2016 Regulation , stipulates that :    No service provider can offer or charge discriminatory tariffs for data services on the basis of content .   No service provider shall enter into any arrangement , agreement or contract , by whatever name called , with any person , natural or legal , that the effect of discriminatory tariffs for data services being offered or charged by the service provider for the purpose of evading the prohibition in this regulation .   Reduced tariff for accessing or providing emergency services , or at times of public emergency has been permitted .   Financial disincentives for contravention of the regulation have also been specified .   TRAI may review these regulations after a period of two years .    Television broadcasting ( edit )  Main article : Television in India Further information : Direct - to - home television in India See also : List of Indian television stations INSAT - 1B satellite : Broadcasting sector in India is highly dependent on INSAT system .  Television broadcasting began in India in 1959 by Doordarshan , a state run medium of communication , and had slow expansion for more than two decades . The policy reforms of the government in the 1990s attracted private initiatives in this sector , and since then , satellite television has increasingly shaped popular culture and Indian society . However , still , only the government owned Doordarshan has the licence for terrestrial television broadcast . Private companies reach the public using satellite channels ; both cable television as well as DTH has obtained a wide subscriber base in India . In 2012 , India had about 148 million TV homes of which 126 million has access to cable and satellite services .   Following the economic reforms in the 1990s , satellite television channels from around the world -- BBC , CNN , CNBC , and other private television channels gained a foothold in the country . There are no regulations to control the ownership of satellite dish antennas and also for operating cable television systems in India , which in turn has helped for an impressive growth in the viewership . The growth in the number of satellite channels was triggered by corporate business houses such as Star TV group and Zee TV . Initially restricted to music and entertainment channels , viewership grew , giving rise to several channels in regional languages , especially Hindi . The main news channels available were CNN and BBC World . In the late 1990s , many current affairs and news channels sprouted , becoming immensely popular because of the alternative viewpoint they offered compared to Doordarshan . Some of the notable ones are Aaj Tak ( run by the India Today group ) and STAR News , CNN - IBN , Times Now , initially run by the NDTV group and their lead anchor , Prannoy Roy ( NDTV now has its own channels , NDTV 24x7 , NDTV Profit and NDTV India ) . Over the years , Doordarshan services also have grown from a single national channel to six national and eleven regional channels . Nonetheless , it has lost the leadership in market , though it underwent many phases of modernisation in order to contain tough competition from private channels .   Today , television is the most penetrative media in India with industry estimates indicating that there are over 554 million TV consumers , 462 million with satellite connections , compared to other forms of mass media such as radio or internet . Government of India has used the popularity of TV and radio among rural people for the implementation of many social - programmes including that of mass - education . On 16 November 2006 , the Government of India released the community radio policy which allowed agricultural centres , educational institutions and civil society organisations to apply for community based FM broadcasting licence . Community Radio is allowed 100 watts of Effective Radiated Power ( ERP ) with a maximum tower height of 30 metr</t>
  </si>
  <si>
    <t xml:space="preserve">highlight the recent changes in telecommunication sector in india</t>
  </si>
  <si>
    <t xml:space="preserve"> Indian telecom industry underwent a high pace of market liberalisation and growth since the 1990s and now has become the world 's most competitive and one of the fastest growing telecom markets . The Industry has grown over twenty times in just ten years , from under 37 million subscribers in the year 2001 to over 846 million subscribers in the year 2011 . India has the world 's second - largest mobile phone user base with over 1183.04 million users as of September 2017 . It has the world 's second - largest Internet user - base with over 324 million as of September 2017 . </t>
  </si>
  <si>
    <r>
      <rPr>
        <sz val="11"/>
        <color rgb="FF000000"/>
        <rFont val="Calibri"/>
        <family val="0"/>
        <charset val="1"/>
      </rPr>
      <t xml:space="preserve">Aerial silk - wikipedia  Aerial silk  Jump to : navigation , search Aerial silk performer  Aerial silks ( also known as aerial contortion , aerial ribbons , aerial tissues , fabric , ribbon , or tissu , depending on personal preference ) is a type of performance in which one or more artists perform aerial acrobatics while hanging from a fabric . The fabric may be hung as two pieces , or a single piece , folded to make a loop , classified as hammock silks . Performers climb the suspended fabric without the use of safety lines and rely only on their training and skill to ensure safety . They use the fabric to wrap , suspend , fall , swing , and spiral their bodies into and out of various positions . Aerial silks may be used to fly through the air , striking poses and figures while flying . Some performers use dried or spray rosin on their hands and feet to increase the friction and grip on the fabric .     Contents  ( hide )   1 Tricks   2 Fabrics   3 History   4 Rigging   5 Kilo Newtons   6 See also   7 References      Tricks ( edit )   The three main categories of tricks are climbs , wraps , and drops . Climbs employed by aerialists range from purely practical and efficient , such as the Russian climb , to athletic and elegant tricks of their own , such as the straddle climb . Wraps are static poses where aerialists wrap the silks around one or more parts of their body . In general , the more complicated the wrap , the stronger the force of friction and the less effort required to hold oneself up . Some wraps , such as the straddle - back - balance , actually allow performers to completely release their hands . Foot locks are a sub-category of wraps where the silks are wrapped around one or both feet , for instance , an ankle hang . In a drop , performers wrap themselves up high on the silks before falling to a lower position . Drops can combine aspects of free fall , rolling or otherwise rotating oneself before landing in a new pose . Preparation for a drop can make for a pretty wrap , but the ultimate goal is the fall rather than the pose . Of the three trick types , drops require the most strength and are also the most potentially dangerous . Rosin ( dry or mixed with rubbing alcohol ) is employed to help performers maintain their grip . Aerial silks are a demanding art and require a high degree of strength , power , flexibility , courage , stamina , and grace to practice .   Fabrics ( edit )  Christianne `` Flip '' Sainz of Aerial Angels performing aerial silk at King Richard 's Faire , a renaissance faire in Massachusetts .  The fabrics used as silks are very strong with some give and flexibility . The fabric is 2 - way stretch polyester lycra or Tricot Nylon . The width varies depending on the routine and the acrobat . The fabric is usually quite long , as it is doubled for rigging , giving the acrobat two strips of fabric to work with as they perform .    Stretch   Low stretch fabrics . Low stretch fabrics are primarily used by beginners who have not yet developed proper climbing technique .   Medium stretch fabrics . Medium stretch fabrics are the principal choice of professional aerialists and graduates of professional training programs .     Width . Fabric width is mostly a personal choice . The thickness of the fabric when gathered is also influenced by the `` denier '' , or technical thickness of the fabric 's weave. 40 denier is a common choice . The following applies to 40 denier nylon fabric :   60 '' - Narrow when open , thin when gathered . Fairly common simply because the fabric is widely available .   72 - 84 '' - Average for adult performers   96 '' - Wide when open , thick when gathered . Best for adults with large hands .   108 '' - Very wide and thick . For adults with very large hands , or specialty acts .     Length   Length is a function of the height of the space available .   For beginners , it is beneficial if the fabric comes down past the ground , allowing them to practice wraps at a lower level where they can be spotted .   For intermediate users and above , it is sufficient if the fabrics come down to the ground .   For all users , the space required is usually between 20 feet ( 6 m ) and 30 feet ( 9 m ) . There are a great many tricks that can be done on a 12 - to - 15 - foot ( 3.7 to 4.6 m ) aerial fabric and a few drops require more than 30 feet , but for the most part 20 to 30 feet ( 6 to 9 m ) is best .      History ( edit )   Aerial silks were invented in 1995 by André Simard , the journey began when he was hired by Cirque du Soleil to develop and research acrobatics in 1987 , his job was to discover original and imaginative ways to attract the audience to the shows . ( `` The beautiful yet dangerous art of aerial silk '' , 2010 ) . Now silks have been incorporated into circus arts as well as a form of aerial fitness .     Rigging ( edit )   Aerial rigging applies to the hanging of aerial silks and hammocks . Aerial silk rigging equipment commonly includes :    a figure - eight descender , rescue eight , ring , or another piece of hardware for holding the silk   a ball - bearing swivel to keep the silk from twisting and to allow for spinning , which is sometimes not used but makes spinning more manageable   carabiners for connecting the silk hardware to the swivel , and for connecting the swivel to a mounting point , so depending on the setup , there can be multiple carabiners in use at one time .    Carabiners are the most used rigging piece for all aerial arts , but only two or three styles are safe for aerial use , these are the auto lock gate and screw gate carabiner . rated two different ways , one for the spine and one for the gate , though distributing weight on the gate is not recommended for it is about 1 / 3 of the spine kN rating . When using a carabiner for aerial arts , it is important to hook , then rotate and screw downwards , so there is little or no risk that the carabiner will accidentally open or that the screw gate will become unscrewed , also the top part of a carabiner is stronger .    A span set or daisy chain can be used to add length to the silks if needed , they can also be used to wrap around a beam .   A span set is a polyester loop that can hold up to 44kN ( 10,000 lbs . ) , depending on the quality .   A daisy chain is made of nylon webbing with loops sewn on , to offer more length variation , but it is less strong then a span set and may not be able to withstand the downward force of drops and other aerial tricks . A basic daisy chain tops out at around 4kN ( 1,000 lbs . ) on each loop , and end to end is around 22kN ( 5,000 lbs . ) . ( Providing Hardware For Flight )      Kilo newtons ( edit )   A KiloNewton or ( kN ) is a measurement of weight in motion . Knowing the weight that your rigging and hang point can withstand is important for your safety and the maintenance of your equipment . Example : A 100 - pound aerialist dropping 5 feet on silks , with half a foot of stopping distance and the stretch of the silks , calculates to 1,100 pounds of force exerted on rigging , silks , and person . ( Types of Carabiners and What KN Ratings Mean . ) Equation : W x ( 1 + D falling / D stopping ) Example with the equation :  ( weight 120 x ( 1 + distance falling ( 3 ft . ) / distance stopping ( 1 / 2 ft . ) ) The weight exerted from this drop would be 840 pounds or 3kN .  See also ( edit )    Rope climbing   Aerial hoop    References ( edit )    Basic Circus Arts Instruction Manual : Chapter 2 - `` Static Trapeze , Rope and Silks . '' ( PDF , 6.2 MB ) and Chapter 8 - `` Manual for Safety and Rigging . '' ( PDF , 3.3 MB ) European Federation of Professional Circus Schools ( FEDEC ) , 2008 .   FM 5 - 125 : Rigging Techniques , Procedures , and Applications . ( PDF , 3.6 MB ) US Army , 1995 .   Sharon McCutcheon , Geoff Perrem . Circus in Schools Handbook . Tarook Publishing , 2004 . ( ISBN 0975687409 )   Hovey Burgess , Judy Finelli . Circus Techniques . Brian Dube , 1989 . ( ISBN 0917643003 )   Carrie Heller . Aerial Circus Training and Safety Manual . National Writers Press , 2004 . ( ISBN 0881001368 )   Jayne C. Bernasconi and Nancy E. Smith . Aerial Dance . United States : Human Kinetics , 2008 . ( ISBN 0736073965 ) View at Google Books   Elena Zanzu , M.A. Il Trapezio Oscillante : Storie di Circo nell'Aria . ( The Swinging Trapeze : Histories of the Circus in the Air . ) Bologna University , Italy , 2004 - 2005 . Language : Italian .   `` Types of Carabiners and What KN Ratings Mean . '' ITS Tactical , 27 May 2016 , www.itstactical.com/skillcom/climbing/types-of-carabiners-and-what-kn-ratings-mean/ .   The beautiful yet dangerous art of aerial silk . ( 2010 , April 29 ) . Retrieved from aerialists.org website : http://www.aerialists.org/==External links = =        Wikimedia Commons has media related to Aerial silk .      `` Providing Hardware For Flight . '' Aerial Essentials - Buy the Best Aerial Equipment Today ! , aerialessentials.com/index.php ? route = product / category&amp;path = 74 .   Retrieved from `` https://en.wikipedia.org/w/index.php?title=Aerial_silk&amp;oldid=841784505 '' Categories :   Performing arts   Circus skills   Hidden categories :   All articles with unsourced statements   Articles with unsourced statements from February 2013   All articles with dead external links   Articles with dead external links from October 2016   Articles with permanently dead external links           Talk                                           Contents                   About Wikipedia                                                 Deutsch   Español   עברית   Русский   </t>
    </r>
    <r>
      <rPr>
        <sz val="11"/>
        <color rgb="FF000000"/>
        <rFont val="Noto Sans CJK SC"/>
        <family val="2"/>
      </rPr>
      <t xml:space="preserve">中文   </t>
    </r>
    <r>
      <rPr>
        <sz val="11"/>
        <color rgb="FF000000"/>
        <rFont val="Calibri"/>
        <family val="0"/>
        <charset val="1"/>
      </rPr>
      <t xml:space="preserve">Edit links   This page was last edited on 18 May 2018 , at 01 : 29 .         About Wikipedia                    </t>
    </r>
  </si>
  <si>
    <t xml:space="preserve">what do you call a person who does acrobatics</t>
  </si>
  <si>
    <t xml:space="preserve"> The fabrics used as silks are very strong with some give and flexibility . The fabric is 2 - way stretch polyester lycra or Tricot Nylon . The width varies depending on the routine and the acrobat . The fabric is usually quite long , as it is doubled for rigging , giving the acrobat two strips of fabric to work with as they perform . </t>
  </si>
  <si>
    <t xml:space="preserve">List of Tom and Jerry characters - wikipedia  List of Tom and Jerry characters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May 2013 ) ( Learn how and when to remove this template message )         This article describes a work or element of fiction in a primarily in - universe style . Please help rewrite it to explain the fiction more clearly and provide non-fictional perspective . ( May 2013 ) ( Learn how and when to remove this template message )    ( Learn how and when to remove this template message )     This is a list of characters in the Tom and Jerry cartoon short series . Most of these characters did not appear in all of the movies .     Contents  ( hide )   1 Main characters   1.1 Tom Cat and Jerry Mouse     2 Hanna - Barbera era   2.1 Spike and Tyke   2.2 Butch   2.3 Toodles Galore   2.4 Mammy Two Shoes   2.5 Nibbles   2.6 Quacker   2.7 Cuckoo   2.8 Lightning   2.9 Topsy   2.10 Meathead   2.11 George and Joan   2.12 Jeannie and the Baby   2.13 The Ants   2.14 Guardian devils   2.15 Goldfish   2.16 Muscles   2.17 George ( cat )   2.18 Fluff , Muff and Puff   2.19 Chérie   2.20 Toots   2.21 King of France   2.22 Mechano cat and Robot - Mouse   2.23 The St. Bernard   2.24 Eagle   2.25 Lion   2.26 Baby Woodpecker   2.27 Uncle Pecos   2.28 Radio   2.29 Jackass     3 Gene Deitch era   3.1 DeWitt Clinton ' Clint ' Clobber   3.2 Mad Scientist   3.3 Thin Lady     4 Chuck Jones era   4.1 Tiny Bulldog   4.2 Porpoise     5 The Tom and Jerry Show   5.1 Boo - Boo   5.2 Broke   5.3 Robin Ho Ho and his merry men   5.4 Sheriff of Nottingham   5.5 Yvonne Jockalong   5.6 Sergeant Farce   5.7 Alley Cat Gang     6 The Tom and Jerry Comedy Show   6.1 Droopy   6.2 Barney Bear   6.3 McWolf     7 Tom &amp; Jerry Kids   7.1 Dripple   7.2 Miss Vavoom   7.3 Calaboose Cal   7.4 Urfo   7.5 Clyde   7.6 Kyle the Cat   7.7 Bernie the Swallow   7.8 Wild Mouse   7.9 Moncy   7.10 Sheriff Potgut   7.11 Gator Brothers   7.12 Stinky Jr . McWolf   7.13 Screwball Squirrel   7.14 Lightning Bolt the Super Squirrel     8 Tom and Jerry Tales   8.1 Morizzio   8.2 Princess   8.3 Sniffles   8.4 Geraldine Mouse   8.5 Thomasina Cat   8.6 Baby Booties     9 The Tom and Jerry Show   9.1 Rick and Ginger   9.2 Napoleon   9.3 Hamster   9.4 Newt   9.5 Bot   9.6 Beatie and Hildie   9.7 The Detective   9.8 Dr. Bigby   9.9 Skid     10 Tom and Jerry movies   10.1 Biff Buzzard and Buzz Blister   10.2 Tin , Pan and Alley   10.3 Butch ( dog )     11 References      Main characters ( edit )   Tom cat and Jerry Mouse ( edit )  Main articles : Tom Cat and Jerry Mouse  Tom ( named `` Jasper '' in his debut appearance ) is a grey and white domestic shorthair cat . `` Tom '' is a generic name for a male cat . He is usually but not always , portrayed as living a comfortable , or even pampered life , while Jerry ( named `` Jinx '' in his debut appearance ) is a small , brown , house mouse who always lives in close proximity to Tom . Despite being very energetic , determined and much larger , Tom is no match for Jerry 's wits . Jerry also possesses surprising strength for his size , approximately the equivalent of Tom 's , lifting items such as anvils with relative ease and withstanding considerable impacts . Although cats typically chase mice to consume them , it is quite rare for Tom to actually try to consume Jerry . Most of his attempts are just to torment or humiliate Jerry , sometimes in revenge , and sometimes to obtain a reward from a human for catching Jerry . By the final `` fade - out '' of each cartoon , Jerry usually emerges triumphant , while Tom is shown as the loser .   However , other results may be reached . On rare occasions , Tom triumphs , usually when Jerry becomes the aggressor or when he pushes Tom a little too far . In The Million Dollar Cat Jerry learns that Tom will lose his newly acquired wealth if he harms any animal , `` including a mouse ; '' he then torments Tom a little too much until he retaliates . In Timid Tabby Tom 's look - alike cousin pushes Jerry over the edge . Occasionally and usually ironically , they both lose , usually when Jerry 's final trap or attack on Tom backfires or Jerry overlooks something . In Chuck Jones ' Filet Meow , Jerry orders a shark from the pet store to scare Tom away from eating a goldfish , but finds himself entirely intimidated as well . Finally , they occasionally end up being friends , although within this set of stories , there is often a last minute event that ruins the truce . One story that has friendly ending is Snowbody Loves Me .   Both characters display sadistic tendencies , in that they are equally likely to take pleasure in tormenting each other , although it is often in response to a triggering event . However , when one character appears to truly be in mortal danger from an unplanned situation or due to actions by a third party , the other will develop a conscience and save him . Occasionally , they bond over a mutual sentiment towards an unpleasant experience and their attacking each other is more play than serious attacks . Multiple shorts show the two getting along with minimal difficulty , and they are more than capable of working together when the situation calls for it , usually against a third party who manages to torture and humiliate them both . Sometimes this partnership is forgotten quickly when an unexpected event happens , or when one character feels that the other is no longer necessary . This is the case in Posse Cat , when they agree that Jerry will allow himself to be caught if Tom agrees to share his reward dinner , but Tom then reneges . Other times however , Tom does keep his promise to Jerry and the partnerships are not quickly dissolved after the problem is solved .   Tom changes his love interest many times . The first love interest is Toots who appears in Puss n ' Toots , and calls him `` Tommy '' in The Mouse Comes to Dinner . He is also interested in a cat called Toots in The Zoot Cat although she has a different appearance to the original Toots . The most frequent love interest of Tom 's is Toodles Galore , who never has any dialogue in the cartoons .   Despite six shorts ending with a depiction of Tom 's apparent death , his demise is never permanent ; he even reads about his own death in a flashback in Jerry 's Diary . He appears to die in explosions in Mouse Trouble ( after which he is seen in heaven ) , Yankee Doodle Mouse and in Safety Second , `` Heavenly Puss '' while in The Two Mouseketeers he is guillotined offscreen. ( except Heavenly Puss , Tom is just having a dream )   Hanna - Barbera era ( edit )   The following characters were introduced in the theatrical shorts that were directed by William Hanna and Joseph Barbera .   Spike and Tyke ( edit )  Main article : Spike and Tyke ( characters )  Spike , occasionally referred to as Butch or Killer , is a stern but occasionally dumb American bulldog who is particularly disapproving of cats , but a softie when it comes to mice ( though in his debut appearance , Dog Trouble , Spike goes after both Tom and Jerry ) , and later , his son Tyke . In the shorts Jerry would often try to get Tom in trouble with Spike making him a shoo - in for a beating from the bulldog . Spike has a few weaknesses that Tom tries to capitalize upon : his possessiveness about his bone and his ticklishness . He made his first appearance in the 1942 Tom and Jerry cartoon Dog Trouble , and his first speaking role was in 1944 's The Bodyguard , where he was voiced by Billy Bletcher up until 1949 , from which point he was voiced by Daws Butler . Unlike his father Spike , Tyke does not speak . He only communicates by yapping , whimpering , growling , facial expressions and wagging his tail . In Tom and Jerry Kids , Tyke does have a speaking role in the program and is the first time that viewers were able to hear Tyke speak . Spike is very protective towards his son and gets very angry at Tom if Tyke is bothered or harmed . Although Tyke has spoken in Tom and Jerry Kids , he has laughed in one Tom and Jerry short . After Daws Butler , Maurice LaMarche , Frank Welker , John DiMaggio , Michael Donovan , Phil LaMarr and currently Rick Zieff would all perform Spike 's voice . Tyke 's vocal effects are provided by Frank Welker and speaking roles by Patric Zimmerman .   Butch ( edit )  Main article : Butch Cat ( Tom and Jerry )  Butch ( voiced by Frank Graham , later Daws Butler due to Graham 's death ) is a black alley cat who made his first appearance in the Tom and Jerry series in the 1943 short Baby Puss , alongside Topsy and the already - established Meathead . His character , however ( along with the character of Toodles Galore ) , first appeared in the 1941 MGM short The Alley Cat , directed by Hugh Harman , Butch 's only solo cartoon . Butch is the leader of the alley cat bullies who are usually friends with Tom and help him catch Jerry . In his first appearance , however , Butch was an antagonist , tormenting Tom after Tom 's young girl owner treated him like a baby -- to the point of dressing Tom up in a diaper , a bonnet , and pink paw mittens . Thus costumed , Tom could n't help but be a figure of fun -- both for Butch and his gang , and for Jerry . Butch also battles with Tom over Toodles Galore and her affections in a couple of shorts including the 1946 short , Springtime for Thomas and the 1951 short Casanova Cat . In some cartoons , such as A Mouse in the House , Butch battles with Tom to catch Jerry . He is voiced by Maurice LaMarche in Tom and Jerry : The Magic Ring , Tony Cervone in The Karate Guard , Colin Murdock in Tom and Jerry Tales , Billy West in Tom and Jerry in War of the Whiskers , and Joey D'Auria in The Tom and Jerry Show . Butch is usually decipted as a homeless alley / street cat although in the 1956 short , Blue Cat Blues , Butch is apparently a millionaire who wins the attention of Tom 's love interest due to his immense wealth much to Tom 's dismay . Butch also appears in the Spike and Tyke cartoon Scat Cats as a house cat owned by George and Joan who in the original series own Tom .   Toodles Galore ( edit )   Toodles Galore is an attractive white female cat , and is supposedly Tom 's usual love interest , although Tom is a reputed playboy , and had other love interests before and after Toodles . Toodles is the only love interest who appeared more than twice , and is probably the most favored . During the classic era , Tom had to compete twice against Butch and even once against Spike for Toodles 's affection , and he lost them all . In Casanova Cat , Toodles fell in love with Jerry . However , in her final short Love Me , Love My Mouse , she remained with Tom . Toodles is one of the most anthropomorphic animals in the series , with the only cat features being her tail , nose and ears . She never speaks and she rarely moves around . However , in The Tom and Jerry Show , her appearance and attitude is shown differently and she is heard speaking for the first time .   Mammy two Shoes ( edit )  Mammy Two Shoes in a scene from the Tom &amp; Jerry short Saturday Evening Puss , in which her full face was shown for the first time . Main article : Mammy Two Shoes  From the beginning , Tom also has to deal with Mammy Two Shoes ( voiced by Lillian Randolph ) , an African - American domestic housemaid based on Hattie McDaniel . In the earliest shorts , Mammy is depicted as the maid taking care of the often opulent home in which Tom and Jerry reside . Later Tom and Jerry shorts are set in what appears to be Mammy 's own house . Her face is never seen ( with the exception of 1950s Saturday Evening Puss , in which her face is very briefly seen as she runs towards the camera ) , and she usually wallops the cat ( whom she usually addresses as `` Thomas '' ) with a broom when he misbehaves . When Mammy was not present , other humans would sometimes be seen , usually from the neck down as well . Mammy would appear in many cartoons until 1952 's Push - Button Kitty ; Mammy 's character was retired after that year following McDaniel 's death . Later cartoons would instead show Tom and Jerry living with a 1950s suburban couple . Soon after , virtually all humans in the series had visible faces. e.g. : Jeanie , Joan , the baby and George .   Nibbles ( edit )  Main article : Nibbles ( Tom and Jerry ) Nibbles in the 1949 theatrical short The Little Orphan  Nibbles ( also known as Tuffy ) is the little , blue / gray , diaper - wearing orphan mouse who is close to Jerry and appears frequently with him , especially in the comics . His cartoon debut came in the 1946 short The Milky Waif . Nibbles was later featured in the 1949 Academy Award - winning short The Little Orphan. Tom 's and Jerry 's devil appeared in three cartoons Sufferin ' Cats ! , Springtime for Thomas and Smitten Kitten . In the first of these cartoons , he served as evil coscience for Tom and in the other two for Jerry when the other fell in love .   He is sometimes seen as Jerry 's nephew , but occasionally referred to as an orphan . In many cartoons , Nibbles is seen eating a lot ( he is always hungry ) . In his first animated appearance , he was left on Jerry 's doorstep , abandoned by his parents . Tom enjoys chasing Nibbles much as he does with Jerry .   Though the character was created under the name Tuffy for the comics in 1942 , his early animated appearances ( from 1945 ) gave him the name Nibbles . From the 1950s , the mouse was called Tuffy on - screen as well . In Tom and Jerry : The Magic Ring , the name Nibbles was used again -- and the character was depicted as a pet - store mouse whom Jerry does n't know .   In the Mouseketeer shorts , Nibbles speaks in French and English . He also is not Jerry 's nephew ; rather , he is the son of François Mouse -- who does not make an appearance , but his name was given in two letters in the short Touché , Pussy Cat !   Nibbles is often mistaken for a girl due to the extaordinarily high pitched voice . He was voiced by Tara Strong in Tom and Jerry : The Magic Ring , Kath Soucie from 2010 , onwards , and Nancy Cartwright in War of the Whiskers .   Quacker ( edit )  Quacker at the end of That 's My Mommy  Another recurring character in the series was Little Quacker the duckling , who was later adapted into the Hanna - Barbera character Yakky Doodle . He appears in Little Quacker , The Duck Doctor , Just Ducky , Downhearted Duckling , Southbound Duckling , That 's My Mommy , Happy Go Ducky , and The Vanishing Duck . Quacker talks a lot compared to Tom and Jerry . His voice is a ' duck voice ' similar to Disney 's Donald Duck . In many shorts , he is the only one who speaks . He 's very trusting , even trusting Tom in many situations in which Tom wishes to eat him . He 's a friend of Jerry , but unlike Jerry harbors no hard feelings towards Tom . He appeared in The Tom and Jerry Show episode `` The Lost Duckling . '' He also got his own series of shorts on The Yogi Bear Show ( renamed Yakky Doodle ) after guesting in several Hanna - Barbera TV shows . Quacker was then used as a template for the ' Hard Luck Duck ' character starring in the titular character 's short from the What a Cartoon ! series . His What a Cartoon ! counterpart Hard Luck Duck was voiced by Russi Taylor .   Quacker was voiced by Red Coffey in the classic shorts , and Charlie Adler in Tom and Jerry in War of the Whiskers , along with Jerry . He was named `` Duckling '' in that game .   In Tom and Jerry Show , Quacker 's `` duck voice '' is provided by Sam Kwasman .   In three cartoons Quacker gets separated from his mother at birth , only to reunite with her later in two of them ( Little Quacker and Just Ducky ) . In That 's My Mommy however , he is adopted by Tom . In Little Quacker , Quacker 's father , Henry makes an appearance . Because his birth is shown differently in different cartoons , he may have siblings as seen in Just Ducky and Happy Go Ducky .   Quacker gets a girlfriend in Downhearted Duckling .   Cuckoo ( edit )   Cuckoo is a canary that first appeared in Kitty Foiled . He also appeared in Puss n ' Toots , The Flying Cat , Life with Tom , Hic - cup Pup , Two Little Indians ( where he is red in color ) and Matinee Mouse . He is Jerry 's good friend . Despite being a little bird , he can actually carry heavy objects which is seen in only Kitty Foiled and The Flying Cat. e.g. : a bowling ball , a 2000 kilogram object .   Lightning ( edit )   Lightning is a ginger orange cat who first appeared in the 1948 short Old Rockin ' Chair Tom as Tom 's rival . Lightning is named as such because in his first short , he practically moved at the speed of lightning . In later cartoons , Lightning often appeared as one of Tom 's alley cat buddies / rivals . Lightning has the same character design as Butch Cat , but with an orange color ( although his coloring occasionally varies from film - to - film ) . In Mucho Mouse , he speaks Spanish and is a house cat . He also appears in the Gene Deitch short Switchin ' Kitten . In the Chuck Jones short Catty - Cornered ( his final appearance ) , Lightning is portrayed with more of an orange - yellow color than before , with the additional changes of a black tail and ears . Lightning also makes several appearances in Tom and Jerry Tales , often with a red nose and , in two episodes , a bushy tail . Fans have occasionally confused Lightning with Meathead , though the two are not the same and have appeared side - by - side in two cartoons .   Topsy ( edit )   Topsy is a grey / brown Scottish Fold kitten . He is one of Tom 's alley cat friends / foes , although in Professor Tom he befriends Jerry . He first appeared in Baby Puss ; his final appearance in the original theatrical shorts was in Scat Cats . He also appears in Tom and Jerry Tales with a more yellowish color ( similar to Life with Tom ) . In Professor Tom , Topsy is explicitly a house cat ; more often ( as in Saturday Evening Puss and elsewhere ) , he is depicted as an alley cat or a cat of unknown origin .   Meathead ( edit )   Meathead is a brown , mangy alley ( or feral ) cat who wears a red toupee ( which is occasionally seen the same color as the rest of his fur ) . He is generally portrayed as dull - witted and first appeared in the 1943 short , Sufferin ' Cats ! , as Tom 's rival . He also appears in Baby Puss and additional shorts as one of Tom 's alley cat buddies / foes . He is known as Frankie in Heavenly Puss . In Scat Cats , his final appearance in the original theatrical shorts , he is portrayed with an all - gray color . Fans have occasionally confused Meathead with Lightning , though the two are not the same and have appeared side - by - side in two cartoons .   After over nearly six decades of absence , Meathead re-appeared in The Tom and Jerry Show episode Cruisin ' for a Bruisin ' as a lead antagonist , while a drag version of the character named Meathelda appeared in the episode Hop to It ! Meathead also makes multiple appearances in later seasons , usually alongside Butch and other alley cats .   George and Joan ( edit )   George and Joan are an average middle class white couple , who debuted in the 1954 short Pet Peeve . They are the new owners of Tom and Spike , but Tom likes to keep Joan company and Spike likes to keep George company . Joan is often seen either cooking or sitting on her armchair knitting or sewing a dress with Tom keeping her company . George , on the other hand , hates the monthly bills and complains that they 're too expensive . But when he 's not complaining about the bills , he is sitting in his armchair or on the sofa reading the newspaper wearing his smart purple or grey suit and Spike is keeping him company . Both George and Joan are very kind and polite towards each other and Tom and Spike . In Pet Peeve , George and Joan decided that they keep Jerry as a pet because he is easy to look after and does n't eat too much ( George and Joan do not know Jerry 's secret : He eats a lot more than Tom and Spike combined , which explains the amount of food he has in his mouse hole shown later , which mean they lost even more food compared to Tom and Spike . ) and tell Tom and Spike to leave . However , in later shorts with George and Joan , Tom and Spike still happily live with them and Jerry is not known by the couple and he is not a pet anymore .   In some shorts , Joan appears without George , such as Mouse for Sale , The Flying Sorceress and Mucho Mouse . It could be presumed that George would be working at his office during the settings of these cartoons .   George and Joan also appeared in four other Tom &amp; Jerry shorts , Tom 's Photo Finish , Busy Buddies , The Vanishing Duck ( Quacker 's last short ) and Tot Watchers .   Jeannie and the baby ( edit )   Jeannie , the babysitter of George and Joan 's baby , is an average teenager who spends much of her time talking on the phone . She is often called on to look after the baby if they 're going out . Jeannie proceeds to leap straight onto the phone just as George and Joan shut the front door , which tells us that she is very negligent about her job . Despite this , Jeannie is very kind , friendly , cheerful and rarely loses a smile -- except to scold Tom for `` bothering the baby '' , which she thinks he is doing on purpose to annoy her . Jeannie was seen in only two cartoons : Busy Buddies ( 1956 ) and Tot Watchers ( 1958 ) . Jeannie is voiced by Janet Waldo in the original shorts . The baby also appears in Tom &amp; Jerry Kids where the babysitter is slightly younger and a redhead instead .   The ants ( edit )   The Ants are an army of red ants who steal food as they see them . They appeared in four cartoons Cat Napping , Pup on a Picnic , Barbecue Brawl and Carmen Get It ! . They also appeared in Tom &amp; Jerry Kids . They 're unusually heavy for their size , and their combined weight often causes many items , such as Tom 's hammock , to break . It 's unclear how or why the ants are so heavy , as they are even capable of making tables and diving boards shake as they march onto them .   Guardian devils ( edit )   Each guardian devil for Tom and Jerry appeared in three cartoons Sufferin ' Cats ! , Springtime for Thomas and Smitten Kitten . In the first of these cartoons , one served as evil conscience for Tom and in the other one for Jerry .   Goldfish ( edit )   A tiny goldfish who is friends with Jerry and lives in the same house as Tom and Jerry . She appeared in major roles in Jerry and the Goldfish and Filet Meow . Tom 's attempts to eat her lead to Jerry earning her affections . She also appeared in cameo roles in other cartoons namely Puss n ' Toots , The Million Dollar Cat , Casanova Cat and The Missing Mouse .   Muscles ( edit )   Muscles is Jerry 's cousin and a mouse with incredible strength . In Jerry 's Cousin , Muscles appears to hate cats , including Tom . In Haunted Mouse , another mouse named Merlin , who is also a cousin of Jerry 's , appears as a wizard with magical abilities . Muscles ' final appearance was in Tom and Jerry : The Magic Ring , however his name was changed to Freddie and he was hostile towards Jerry . He was voiced by Paul Frees in Jerry 's Cousin and by Billy West in Tom and Jerry : The Magic Ring .   George ( cat ) ( edit )   George is the cat counterpart of Muscles but with a personality that is in stark contrast to him . Like Muscles , George is identical to Tom ( although he is shorter ) and is his cousin . Unlike Muscles , however , George is a coward and is scared of mice . He first appeared at the beginning of Jerry 's Cousin where he gets thrashed by Muscles ( possibly the reason for his fear of mice ) . His bigger role was in Timid Tabby where he finally overcomes his fear . He also appeared in Tom and Jerry Kids where his fear seems to have re-instated even though he pretended it has not ( his name was changed to Tim in that short ) .   Fluff , Muff and Puff ( edit )   Fluff , Muff and Puff are a trio of brown , black and orange kittens that first appeared in Heavenly Puss as adorable kittens - who were murdered by drowning - in a cameo role ( that happened in Tom 's dream ) . They also appeared in Triplet Trouble as cute but extremely mischievous kittens . They also appeared in The Tom and Jerry Show .   Chérie ( edit )   Chérie is a brown / grey female mouse who serves as Jerry 's love interest . She first appeared at the end of Springtime for Thomas , and then later in Smitten Kitten , Touché , Pussy Cat ! ( only cartoon where she has an identical twin ) , Tom and Chérie ( the first cartoon where she is named ) and The Mouse from H.U.N.G.E.R. ( as a ticking time bomb set by Tom ) .   Toots ( edit )   Toots is the name given to three different characters that have appeared infrequently . The first of these is a fluffy beige cat who appears in Puss n ' Toots and The Mouse Comes to Dinner , the latter being her only speaking role . She also has a cameo in Smitten Kitten . This version of Toots also appeared in some 1940s Tom and Jerry comics . Toots is also a different cat by the same name who appears in The Zoot Cat and in the Tom and Jerry Tales episode `` Kitty Cat Blues . '' She has occasionally and erroneously been referred to as `` Sheikie , '' but this is actually Tom 's nickname , as seen on a gift card in the cartoon . Finally Toots is the name of a mouse who serves as Jerry 's love interest in Blue Cat Blues . Toots also appeared in Love Me , Love My Mouse .   King of France ( edit )   In some of the mouseketeer series of cartoons , Tom serves the king of France . This is an obvious reference to Louis XVI of France , who is shown as an extremely short - tempered and cruel monarch . In The Two Mouseketeers , the king guillotines Tom while in Royal Cat Nap , he orders for Tom 's decapitation .   Mechano cat and Robot - Mouse ( edit )   Mechano cat first appeared in Push Button Kitty as Tom 's rival . Later , Mechano and Robot - Mouse are seen as a cat - like - robot and mouse - like - robot who serve Tom and Jerry ( except at the end of Advance and Be Mechanized , when they get revenge and switch roles with Tom and Jerry , as they control their minds and make them do the work ) in the three Chuck Jones outer space cartoons O - Solar Meow , Guided Mouse - ille and Advance and Be Mechanized . Mechano 's efforts to catch or trap Jerry or Robot - Mouse always backfire for Tom , except in Advance and Be Mechanized , when he succeeds to catch Robot - Mouse in the beginning . In Guided Mouse - ille , he can stand up right and have hands to use a gun with to try and blast Jerry in his mobile tank . This backfired and left Mechano with a black face , while crying in frustration . He sneaks back and promptly shoots Tom , who attempts to shoot Mechano back for his insubordination . However , the shot came out on the wrong end and Tom faints leaving Mechano laughing himself silly . He also appeared in the Tom and Jerry Tales episode `` Tin Cat of Tomorrow '' where he is named Verminator 7000 . Mechano ( called `` Robot Cat '' ) also appeared as a fighter in the video game , War of the Whiskers , and was voiced by Dee Bradley Baker .   The St. Bernard ( edit )   The St. Bernard is a dog who first appeared in Puttin ' on the Dog and then again in The A-Tom - Inable Snowman . Unlike other dogs in the series , he is not hostile to cats and even attends Tom medically .   Eagle ( edit )   Eagle is an Eagle that tries to steal Jerry for food from Tom . He first appeared in Flirty Birdy , then in The Tom and Jerry Show episode `` The Egg and Tom and Jerry '' ( where he is female instead of male ) and then again in Tom and Jerry Tales episode `` Bend it like Thomas . '' Eagle also appeared as a playable character in Tom and Jerry in War of the Whiskers , voiced by Rob Paulsen .   Lion ( edit )   Lion is a lion that has switched from a tame one in Jerry and the Lion , to a nervous one in The Tom and Jerry Show episode `` The Hypochondriac Lion '' to a monster in the Tom and Jerry Tales episode `` You 're Lion . '' He is also a playable character in Tom and Jerry in War of the Whiskers where he is voiced by Jim Cummings .   Baby woodpecker ( edit )   A baby woodpecker that first appeared in Hatch Up Your Troubles and it 's remake The Egg and Jerry where it could peck into virtually anything including Tom 's stomach , Tom 's golf club in Tee for Two or a water pipe as in Landing Stripling . Baby Woodpecker and his Mama would re-appear by making cameo appearances in The Tom and Jerry Show ( 2014 TV Series ) .   Uncle Pecos ( edit )   Uncle Pecos is Jerry 's Cowboyish uncle who appears in Pecos Pest . He was voiced by Shug Fisher . He is known to always play with a guitar and wears a black cowboy hat that covers his eyes . He plucks one of Tom 's whiskers off to replace broken strings on the guitar . Being from Texas , he is shown to be super strong .   Uncle Pecos returned in the Tom and Jerry Tales episode `` Cry Uncle '' , voiced by Scott McNeil . In the episode , he arrives at Tom and Jerry 's house and annoys Tom and Jerry with his music . He later leaves with Auntie Spinner in the end of the episode . Uncle Pecos made his second return in The Tom and Jerry Show , voiced by Stephen Stanton . He appears in the Season 2 episodes , `` I Quit '' , `` Uncle Pecos Rides Again '' and `` Cat - A-Tonic Mouse '' .   Radio ( edit )   A radio with a male human voice that broadcasts music , cookery show and warnings on escaped animals , bomb threats etc . In Jerry 's Diary , the radio is shown to be anthropomorphic ( with the announcer 's name as ' Uncle Dudley ' ) but this is not the case with other cartoons . The radio 's announcements often cause troubles for Tom ( The Missing Mouse , Jerry and the Lion , Little Runaway and Down Beat Bear ) , fear ( Fraidy Cat ) , embarrassment ( Jerry 's Diary and Life with Tom ) or may be the cause of evil intentions ( Jerry and the Goldfish ) .   Radio has been voiced by Martha Wentworth in Fraidy Cat , by Paul Frees in The Missing Mouse and Jerry and the Lion and by Joseph Forte in Jerry 's Diary . Other voice actors such as Daws Butler in Jerry and the Goldfish have been uncredited .   Jackass ( edit )   Unlike other Tom and Jerry characters , this one is not a character per se , but rather an avatar of a popular character such as Spike . Usually , a character turns into a jackass when it is fooled such as Spike in Solid Serenade , The Framed Cat and Pet Peeve or Tom in Polka Dot Puss . In Pup on a Picnic , the word ' Sucker ' is used instead of ' Jackass ' .   Gene Deitch era ( edit )   The following characters were introduced in the theatrical shorts that were directed by Gene Deitch in the 1960s .   Dewitt clinton ' Clint ' Clobber ( edit )   An overweight , average height , middle - aged , bald white man became Tom 's owner in three of the thirteen cartoons in Down and Outing , High Steaks and Sorry Safari . Just like Spike the Bulldog , he has very severe anger issues and is repeatedly violent towards Tom for his actions .   There is some debate as to whether this is the genuine Clint Clobber as the real Clint would never be an animal abuser , he was just a put - upon grouch .   Mad scientist ( edit )   He is a mad scientist reminiscent of Frankenstein . He first appeared in Switchin ' Kitten and subsequently was the subject of a number of television episodes ( for e.g. ' Trojan Dog ' in Tom and Jerry Comedy Show ) and movies thereafter . In his first appearance , the mad scientist is the owner of Jerry ( who is also his assistant ) and has numerous cats trapped in a prison . When Jerry picks an orange cat named Lightning , the other cats flee in terror as the scientist pulls him out for his latest experiment . He switches the mind of the orange cat with that of a bulldog and presents him as his present to Jerry .   Thin lady ( edit )   An unnamed thin white lady became Tom 's owner in Buddies Thicker Than Water . Gene Deitch opted not to use Mammy 's character in his shorts , as he felt a `` stereotypical black housekeep '' character `` did n't work in a modern context . '' Chuck Jones would also use her in The Unshrinkable Jerry Mouse and in the re-animated version of Saturday Evening Puss . She also appeared in the movie Tom and Jerry : The Fast and the Furry . Like many other early human characters , her face was never shown .   Chuck Jones era ( edit )   The following characters were introduced in the theatrical shorts</t>
  </si>
  <si>
    <t xml:space="preserve">what is the name of the cat in tom and jerry</t>
  </si>
  <si>
    <t xml:space="preserve"> Tom ( named `` Jasper '' in his debut appearance ) is a grey and white domestic shorthair cat . `` Tom '' is a generic name for a male cat . He is usually but not always , portrayed as living a comfortable , or even pampered life , while Jerry ( named `` Jinx '' in his debut appearance ) is a small , brown , house mouse who always lives in close proximity to Tom . Despite being very energetic , determined and much larger , Tom is no match for Jerry 's wits . Jerry also possesses surprising strength for his size , approximately the equivalent of Tom 's , lifting items such as anvils with relative ease and withstanding considerable impacts . Although cats typically chase mice to consume them , it is quite rare for Tom to actually try to consume Jerry . Most of his attempts are just to torment or humiliate Jerry , sometimes in revenge , and sometimes to obtain a reward from a human for catching Jerry . By the final `` fade - out '' of each cartoon , Jerry usually emerges triumphant , while Tom is shown as the loser . </t>
  </si>
  <si>
    <r>
      <rPr>
        <sz val="11"/>
        <color rgb="FF000000"/>
        <rFont val="Calibri"/>
        <family val="0"/>
        <charset val="1"/>
      </rPr>
      <t xml:space="preserve">I Can Only Imagine ( film ) - wikipedia  I Can Only Imagine ( film )     I Can Only Imagine     Theatrical release poster     Directed by   Erwin Brothers     Produced by     Cindy Bond   Kevin Downes   Daryl Lefever   Mickey Liddell   Pete Shilaimon   Raymond Harris   Joe Knopp       Screenplay by     Jon Erwin   Brent McCorkle       Story by     Alex Cramer   Jon Erwin   Brent McCorkle       Based on   The life story of Bart Millard     Starring     J. Michael Finley   Madeline Carroll   Trace Adkins   Priscilla Shirer   Cloris Leachman   Dennis Quaid   Tanya Clarke       Music by   Brent McCorkle     Cinematography   Kristopher Kimlin     Edited by     Andrew Erwin   Brent McCorkle       Production companies     Kevin Downes Productions   Mission Pictures International       Distributed by     Lionsgate   Roadside Attractions       Release date     March 16 , 2018 ( 2018 - 03 - 16 )               Running time   110 minutes     Country   United States     Language   English     Budget   $7 million     Box office   $85.4 million     I Can Only Imagine is a 2018 American Christian drama film directed by the Erwin Brothers and written by Alex Cramer , Jon Erwin , and Brent McCorkle , based on the story behind the MercyMe song of the same name , the best - selling Christian single of all time . The film stars J. Michael Finley as Bart Millard , the lead singer who wrote the song about his relationship with his father ( Dennis Quaid ) . Madeline Carroll , Priscilla Shirer , Cloris Leachman , and Trace Adkins also star .   I Can Only Imagine won `` Inspirational Film of the Year '' at the 49th Annual GMA Dove Awards on 17 October 2018 . The award ceremonies were held in Nashville , Tennessee .   I Can Only Imagine was released in the United States on March 16 , 2018 . It grossed $85 million worldwide against a production budget of $7 million , and is the third highest - grossing music biopic of all - time in the United States . Some critics praised it as inspiring and noted it as an improvement compared to other faith - based films , while others called it flat and by - the - numbers .   Contents    1 Plot   2 Cast   3 Production   4 Reception   4.1 Box office   4.2 Critical response   4.3 Home media     5 Accolades   6 References   7 External links    Plot ( edit )   10 - year - old Bart Millard lives with his mother and abusive father Arthur in Texas . One day his mother drops him off at a Christian camp where he meets Shannon . Upon his return from camp , Bart finds his mother has left and movers are removing her belongings . He angrily confronts his father , who denies that his abusiveness was the reason she left .   Years later , in high school , Bart and Shannon are dating . Bart plays football to please his father , but is injured , breaking both ankles and ending his career . The only elective with openings is music class , so he reluctantly signs up . Initially , Bart is assigned to be a sound technician , but after overhearing him singing , the director casts him in the lead role in the school production of Oklahoma . Bart overcomes his reluctance and gives an impressive performance , but does not tell his father , who finds out the night of the show when he happens to see a flyer for the show in a diner . Arthur suddenly collapses in pain , and finds out he has cancer , which he hides from Bart . The following morning , Bart antagonizes his father , who smashes a plate over his head . At church , Shannon sees the blood and presses Bart to open up , but he responds by breaking up with her , and leaves town to seek his fortune in the city .   He joins a band in need of a singer , and convinces Christian music producer Scott Brickell to manage the band and secure a showcase in Nashville . Bart surprises Shannon and invites her to tour with the band , and is confused when she flatly refuses . In Nashville , Brickell introduces Bart to established artists Amy Grant and Michael W. Smith , but is unable to convince several record execs to sign the band , who do not believe the band , now performing as `` MercyMe '' , is good enough . Devastated , Bart quits the band , but Brickell perceives that Bart needs to resolve issues in his personal life , so Bart reconciles with the band and asks them to wait for him , and leaves to return home .   Bart returns home late at night and is confused to find that his father has prepared breakfast for him the next morning . His father claims to have become a Christian , but Bart is skeptical and refuses to forgive him , and leaves . In anger and despair , Arthur smashes his old Jeep , which he had asked Bart to help him restore . Bart attempts to drive away in his father 's pickup , but discovers the terminal cancer diagnosis , and returns to his father . He finally forgives his father , and the two form a deep bond , but Arthur soon dies of his illness .   After Arthur 's funeral , Bart rejoins the band and writes `` I Can Only Imagine '' , and also calls Shannon and apologizes for the first time since their breakup . Brickell sends the demo tape to several artists , including Grant , who , deeply moved by the song , asks to record it herself as her next single , and Bart , who just wants the song to be heard , accepts . Grant begins the song , but ca n't bring herself to sing it , and calls Bart on stage from the audience to sing it himself . Bart 's performance earns an enthusiastic ovation , and he reunites with Shannon , who was also in attendance . The band releases the song as their first single , achieving success on both Christian and mainstream radio .   Cast ( edit )  This list is incomplete ; you can help by expanding it .   J. Michael Finley as Bart Millard   Brody Rose as Young Bart     Dennis Quaid as Arthur Millard , Bart 's father   Tanya Clarke as Adele   Cloris Leachman as Meemaw , Bart 's grandmother   Madeline Carroll as Shannon , Bart 's girlfriend   Taegen Burns as Young Shannon     Trace Adkins as Scott Brickell , MercyMe 's manager   Priscilla Shirer as Mrs. Fincher , Bart 's teacher   Nicole DuPort as Amy Grant   Jake B. Miller as Michael W. Smith   Mark Furze as Nathan    Production ( edit )       This section needs expansion . You can help by adding to it . ( March 2018 )     The film was announced in December 2016 . Dennis Quaid joined the cast in January 2017 . Broadway actor J. Michael Finley , who sang all the songs in the movie , makes his film debut as Bart Millard . The same month , it was announced that the film was slated for release in the spring of 2018 . In August 2017 , Lionsgate and Roadside Attractions signed on as distributors for the film for a nationwide release in the United States .   Reception ( edit )   Box Office ( edit )   As of June 24 , 2018 , I Can Only Imagine has grossed $83.4 million in the United States , and Canada and $1.8 million in other territories , for a worldwide total of $85.2 million , against a production budget of $7 million . It is the third - highest grossing music biopic of all - time in the United States , behind Straight Outta Compton and Walk the Line . It is also the highest - grossing independent film of 2018 .   I Can Only Imagine was released on March 16 , 2018 , alongside Tomb Raider and Love , Simon , and was originally projected to gross $2 -- 4 million from 1,620 theaters in its opening weekend . However , after making $6.2 million on its first day ( including $1.3 million from Thursday night previews ) , weekend estimates were increased to $14 million . It ended up grossing $17.1 million , exceeding expectations and finishing third at the box office behind Black Panther and Tomb Raider. 67 % of the opening weekend audience was female while 80 % was over the age of 35 . It was the fourth best - ever opening for a faith - based film , following The Passion of the Christ ( $83.8 million ) , Son of God ( $25.6 million ) and Heaven Is for Real ( $22.5 million ) . In its second weekend the film was added to 624 additional theaters and dropped just 19 % to $13.8 million , again finishing third . It was added to another 395 venues and finished fourth in its third weekend , making $10.4 million ( including $3 million on Easter Sunday ) .   Critical response ( edit )   Audiences polled by CinemaScore gave the film an average grade of `` A + '' on an A+ to F scale , one of fewer than 80 films in the history of the service to earn such a score . On review aggregator Rotten Tomatoes , the film has a 91 % audience score with an average rating of 4.6 out of 5.0 but holds an approval rating of 63 % based on 27 reviews by movie critics with an average rating of 5.9 / 10 . The site 's critical consensus reads , `` I Can Only Imagine 's message will have the most impact among Christian audiences , but overall , its performances and storytelling represent a notable evolution in faith - based cinema . '' On Metacritic , the film has a weighted average score of 30 out of 100 , based on 8 critics , indicating `` generally unfavorable reviews '' . The Arizona Republic 's James Ward gave the film 4 / 5 stars and wrote , `` Too often faith - based films -- say anything with Kirk Cameron or the terrible God 's Not Dead series -- tend to preach to the choir or hector their audience . The Erwins ' films -- I Can Only Imagine definitely among them -- are more inclusive , charitable of spirit and hopeful , all qualities that are always appreciated , be they rooted in Christian faith or otherwise . '' David Ehrlich of IndieWire gave the film a `` C -- '' saying : `` There 's a reason why all of these movies are so amateurishly made ; why they all end with links to religious websites ; why they all look like they were shot on an iPhone by a Walmart - brand Janusz Kaminski who lit each interior like the white light of heaven was streaming through every window ... Art can be affirmation , but affirmation can not be art . ''   Home Media ( edit )   The film was released on iTunes and Google Play on June 5 , 2018 , and on DVD and Blu - ray on June 12 , 2018 . I Can Only Imagine was the no . 1 film in DVD sales and rentals for the week ending June 16 , 2018 .   Accolades ( edit )     Award   Date of ceremony     Recipient ( s ) and nominee ( s )   Result   Ref .     K - LOVE Fan Awards   May 27 , 2018   Film Impact   I Can Only Imagine   Won           GMA Dove Awards   October 17 , 2018   Inspirational Film of the Year   I Can Only Imagine   Won         People 's Choice Awards   November 11 , 2018   The Family Movie of 2018   I Can Only Imagine   Pending       References ( edit )    ^ Jump up to : Anita , Busch ( August 14 , 2017 ) . `` Faith - Based ' I Can Only Imagine ' Picked Up By Lionsgate &amp; Roadside Attractions '' . Deadline Hollywood . Penske Business Media . Retrieved March 19 , 2018 .   ^ Jump up to : `` I Can Only Imagine ( 2018 ) '' . The Numbers . Nash Information Services , LLC . Retrieved July 8 , 2018 .   Jump up ^ Ryan , Patrick ( March 13 , 2018 ) . `` How did ' I Can Only Imagine ' become the biggest Christian hit ever ( and inspire a movie ) ? '' . USA Today . Retrieved April 18 , 2018 .   Jump up ^ https://doveawards.com/49th-annual-gma-dove-awards-winners-revealed-tuesday-night-in-nashville/   Jump up ^ Staff Reports ( December 2 , 2016 ) . `` MercyMe hit song turning into Okie production '' . NewsOK . Retrieved March 19 , 2018 .   ^ Jump up to : Busch , Anita ( January 5 , 2017 ) . `` Faith - Based Film ' I Can Only Imagine ' With Dennis Quaid , Cloris Leachman And Trace Adkins Eyes Spring 2018 Release '' . Deadline Hollywood . Penske Business Media . Retrieved March 19 , 2018 .   Jump up ^ Galuppo , Mia ( August 14 , 2017 ) . `` Lionsgate , Roadside Acquire Faith - Based Drama ' I Can Only Imagine ' '' . The Hollywood Reporter . Retrieved March 19 , 2018 .   Jump up ^ `` Biopic - Music Movies at the Box Office '' . Box Office Mojo . Retrieved April 20 , 2018 .   Jump up ^ Erbland , Kate . `` The 20 Highest Grossing Indies of 2018 ( A Running List ) -- IndieWire '' . IndieWire . Retrieved June 24 , 2018 .   Jump up ^ Fuster , Jeremy ( March 13 , 2018 ) . `` Will ' Tomb Raider ' Be the Movie to Finally Knock ' Black Panther ' From Box Office Perch ? '' . TheWrap . Retrieved March 19 , 2018 .   ^ Jump up to : D'Alessandro , Anthony ( March 16 , 2018 ) . `` ' Black Panther ' Poised For $460 M+ In Profit ; ' I Can Only Imagine ' Surprises -- Box Office Update '' . Deadline Hollywood . Penske Business Media . Retrieved March 17 , 2018 .   Jump up ^ D'Alessandro , Anthony ( March 18 , 2018 ) . `` ' Black Panther ' Keeps B.O. Treasure From ' Tomb Raider ' ; How ' I Can Only Imagine ' Hit A $17 M High Note '' . Deadline Hollywood . Penske Business Media . Retrieved March 18 , 2018 .   Jump up ^ `` Box Office : ' I Can Only Imagine ' Revives Faith - Based Genre '' . The Hollywood Reporter . March 20 , 2018 . Retrieved March 20 , 2018 .   Jump up ^ D'Alessandro , Anthony ( March 25 , 2018 ) . `` Does ' Pacific Rim : Uprising ' Break Even At The Global B.O. ? ; ' Black Panther ' Sets Marvel Record -- Sunday Postmortem '' . Deadline Hollywood . Retrieved March 25 , 2018 .   Jump up ^ D'Alessandro , Anthony ( April 1 , 2018 ) . `` How Warner Bros. Sold ' Ready Player One ' On The Spielberg Spirit &amp; Beat Tracking With $53 M+ 4 - Day -- Sunday Postmortem '' . Deadline Hollywood . Retrieved April 4 , 2018 .   Jump up ^ `` I Can Only Imagine ( 2018 ) '' . Rotten Tomatoes . Fandango . Retrieved September 13 , 2018 .   Jump up ^ `` I Can Only Imagine Reviews '' . Metacritic . CBS Interactive . Retrieved August 14 , 2018 .   Jump up ^ Ward , James ( March 15 , 2018 ) . `` Faith - based drama ' I Can Only Imagine ' does n't just preach to the choir '' . The Arizona Republic . Retrieved March 22 , 2018 .   Jump up ^ Ehrlich , David ( March 21 , 2018 ) . `` ' I Can Only Imagine ' Review : A Christian Rock Biopic Shows Why Faith - Based Films Struggle to Convert Secular Audiences '' . IndieWire . Retrieved March 22 , 2018 .   Jump up ^ June 5 Blu - ray , DVD , and Digital Releases Comingsoon.net , Retrieved June 22 , 2018 .   Jump up ^ I Can Only Imagine Blu - ray Blu-ray.com , June 22 , 2018   Jump up ^ ( https://www.thechristianmail.com/i-can-only-imagine-soars-to-no-1-on-dvd-sales-chart/   Jump up ^ ( https://www.mediaplaynews.com/research/top-20-sellers-for-week-ended-06-16-18/   Jump up ^ https://www.klovefanawards.com/vote/   Jump up ^ https://doveawards.com/49th-annual-gma-dove-awards-winners-revealed-tuesday-night-in-nashville/   Jump up ^ USA TODAY Life staff ( 2018 - 09 - 24 ) . `` People 's Choice Awards 2018 : The nominees '' . USA Today . Retrieved 2018 - 09 - 26 .    External links ( edit )    2010s portal   film in the United States portal     Official website   I Can Only Imagine on IMDb   I Can Only Imagine at the TCM Movie Database   I Can Only Imagine at AllMovie   I Can Only Imagine at Box Office Mojo   I Can Only Imagine at History vs. Hollywood   Retrieved from `` https://en.wikipedia.org/w/index.php?title=I_Can_Only_Imagine_(film)&amp;oldid=866290899 '' Categories :   2018 films   English - language films   American films   American drama films   2010s drama films   Drama films based on actual events   Films based on actual events   Roadside Attractions films   Films shot in Oklahoma   Films about Christianity   Hidden categories :   Incomplete lists from March 2018   Articles to be expanded from March 2018   All articles to be expanded   Articles using small message boxes   Articles containing potentially dated statements from June 2018   All articles containing potentially dated statements           Talk                                           Contents                   About Wikipedia                                             فارسی   Français   </t>
    </r>
    <r>
      <rPr>
        <sz val="11"/>
        <color rgb="FF000000"/>
        <rFont val="Noto Sans CJK SC"/>
        <family val="2"/>
      </rPr>
      <t xml:space="preserve">한국어   </t>
    </r>
    <r>
      <rPr>
        <sz val="11"/>
        <color rgb="FF000000"/>
        <rFont val="Calibri"/>
        <family val="0"/>
        <charset val="1"/>
      </rPr>
      <t xml:space="preserve">Bahasa Indonesia   </t>
    </r>
    <r>
      <rPr>
        <sz val="11"/>
        <color rgb="FF000000"/>
        <rFont val="Noto Sans CJK SC"/>
        <family val="2"/>
      </rPr>
      <t xml:space="preserve">日本 語   </t>
    </r>
    <r>
      <rPr>
        <sz val="11"/>
        <color rgb="FF000000"/>
        <rFont val="Calibri"/>
        <family val="0"/>
        <charset val="1"/>
      </rPr>
      <t xml:space="preserve">Edit links   This page was last edited on 29 October 2018 , at 13 : 30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</si>
  <si>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movie i can only imagine come out</t>
  </si>
  <si>
    <t xml:space="preserve">   I Can Only Imagine     Theatrical release poster     Directed by   Erwin Brothers     Produced by     Cindy Bond   Kevin Downes   Daryl Lefever   Mickey Liddell   Pete Shilaimon   Raymond Harris   Joe Knopp       Screenplay by     Jon Erwin   Brent McCorkle       Story by     Alex Cramer   Jon Erwin   Brent McCorkle       Based on   The life story of Bart Millard     Starring     J. Michael Finley   Madeline Carroll   Trace Adkins   Priscilla Shirer   Cloris Leachman   Dennis Quaid   Tanya Clarke       Music by   Brent McCorkle     Cinematography   Kristopher Kimlin     Edited by     Andrew Erwin   Brent McCorkle       Production companies     Kevin Downes Productions   Mission Pictures International       Distributed by     Lionsgate   Roadside Attractions       Release date     March 16 , 2018 ( 2018 - 03 - 16 )               Running time   110 minutes     Country   United States     Language   English     Budget   $7 million     Box office   $85.4 million   </t>
  </si>
  <si>
    <t xml:space="preserve">Allies of World war II - wikipedia  Allies of World war II  Jump to : navigation , search    Allies of World War II     United Nations     Military alliance          1939 -- 1945            Allied Powers ( and their colonies )   Allies entering after the Attack on Pearl Harbor   Axis Powers and co-belligerents   Neutral Powers ( and their colonies )   The `` Big Four '' :   United States ( from 1941 )   Soviet Union ( from 1941 )   United Kingdom   China   Occupied countries with governments - in - exile :   France   Poland   Yugoslavia   Greece   Netherlands   Belgium   Luxembourg   Norway   Czechoslovakia   Other Allied combatant states :   Canada   Australia   New Zealand   South Africa   Ethiopia   Brazil   Mexico   Colombia   Philippines   Cuba   Former Axis Powers or co-belligerents :   Italy ( from 1943 )   Finland ( from 1944 )   Romania ( from 1944 )   Bulgaria ( from 1944 )       Capital   Not specified     Political structure   Military alliance     Historical era   World War II       Established   1939       Disestablished   1945        Preceded by   Succeeded by          Allies of World War I         United Nations       NATO       Warsaw Pact            The `` United Nations Honour Flag '' , used as a symbol of the wartime allies , ca . 1943 -- 1948 The Allied leaders of the European theatre : Joseph Stalin , Franklin D. Roosevelt and Winston Churchill meeting at the Tehran Conference in 1943 The Allied leaders of the Asian and Pacific Theater : Generalissimo Chiang Kai - shek , Franklin D. Roosevelt , and Winston Churchill meeting at the Cairo Conference in 1943 United States President Franklin D. Roosevelt and British Prime Minister Winston Churchill and their advisors in Casablanca Conference , 1943  The Allies of World War II , called the United Nations from the 1 January 1942 declaration , were the countries that together opposed the Axis powers during the Second World War ( 1939 -- 1945 ) . The Allies promoted the alliance as seeking to stop German , Japanese and Italian aggression .   At the start of the war on 1 September 1939 , the Allies consisted of France , Poland and the United Kingdom , and dependent states , such as the British India . Within days they were joined by the independent Dominions of the British Commonwealth : Australia , Canada , New Zealand and South Africa . After the start of the German invasion of North Europe till the Balkan Campaign , the Netherlands , Belgium , Greece and Yugoslavia joined the Allies . After first having cooperated with Germany in invading Poland whilst remaining neutral in the Allied - Axis conflict , the Soviet Union perforce joined the Allies in June 1941 after being invaded by Germany . The United States provided war materiel and money all along , and officially joined in December 1941 after the Japanese attack on Pearl Harbor . China had already been in a prolonged war with Japan since the Lugou Bridge Incident of 1937 , but officially joined the Allies in 1941 .   The alliance was formalised by the Declaration by United Nations , from 1 January 1942 . However , the name United Nations was rarely used to describe the Allies during the war . The leaders of the `` Big Three '' -- the UK , the Soviet Union , and the United States -- controlled Allied strategy ; relations between the United Kingdom and the United States were especially close . China and the Big Three were referred as a `` trusteeship of the powerful '' , then were recognized as the Allied `` Big Four '' in a Declaration by United Nations and later as the `` Four Policemen '' of the United Nations .   In 1945 , the Allied nations became the basis of the United Nations .   Contents  ( hide )   1 Origins and creation   2 Major affiliated state combatants   2.1 United Kingdom   2.1. 1 War declared   2.1. 1.1 Colonies and dependencies   2.1. 1.1. 1 In Africa   2.1. 1.1. 2 In the Americas   2.1. 1.1. 3 In Asia   2.1. 1.1. 4 In Europe         2.2 China   2.2. 1 Factions   2.2. 1.1 Nationalists   2.2. 1.2 Communists       2.3 France   2.3. 1 War declared   2.3. 2 Colonies and dependencies   2.3. 2.1 In Africa   2.3. 2.2 In Asia and Oceania   2.3. 2.3 In the Americas       2.4 Soviet Union   2.4. 1 Outbreak   2.4. 2 History     2.5 United States   2.5. 1 War justifications   2.5. 2 History   2.5. 3 Colonies and dependencies   2.5. 3.1 In the Americas and the Pacific   2.5. 3.2 In Asia         3 Minor affiliated state combatants   3.1 Australia   3.2 Belgium   3.2. 1 Colonies and dependencies     3.3 Brazil   3.4 Canada   3.5 Cuba   3.6 Czechoslovakia   3.7 Greece   3.8 Luxembourg   3.9 Mexico   3.10 Netherlands   3.10. 1 Colonies and dependencies     3.11 New Zealand   3.12 Norway   3.13 Poland   3.14 Provisional Government of the Republic of Korea   3.15 South Africa   3.16 Yugoslavia   3.16. 1 Resistance Factions   3.16. 1.1 Partisans   3.16. 1.2 Chetniks         4 Client states   4.1 British   4.1. 1 Egypt   4.1. 2 British Raj ( India )   4.1. 3 Iraq   4.1. 4 Iran     4.2 Soviet   4.2. 1 Bulgaria   4.2. 2 Mongolia   4.2. 3 Poland ( Gomułka regime )   4.2. 4 Romania   4.2. 5 Tannu Tuva       5 Co-belligerent state combatants   5.1 Italy     6 Associated power   6.1 Albania     7 United Nations   7.1 Declaration by United Nations   7.2 Alliance growing   7.3 Charter of the United Nations     8 Timeline of nations entering war on the Axis Powers   8.1 1939   8.2 1940   8.3 1941   8.4 Provisional governments or governments - in exile that declared war against the Axis in 1941   8.5 1942   8.6 1943   8.7 1944   8.8 1945     9 See also   10 Footnotes   11 Bibliography   12 External links    Origins and creation  Main articles : Causes of World War II and Grand Alliance ( World War II )  The origins of the Allied powers stem from the Allies of World War I and cooperation of the victorious powers at the Paris Peace Conference , 1919 . Germany resented signing Treaty of Versailles . The new Weimar republic 's legitimacy became shaken . However , the 1920s were peaceful .   With the Stock Market Crash of 1929 and the ensuing Great Depression , political unrest in Europe soared including the rise in support of revanchist nationalists in Germany who blamed the severity of the economic crisis on the Treaty of Versailles . By the early 1930s , the Nazi Party led by Adolf Hitler became the dominant revanchist movement in Germany and Hitler and the Nazis gained power in 1933 . The Nazi regime demanded the immediate cancellation of the Treaty of Versailles and made claims to German - populated Austria , and German - populated territories of Czechoslovakia . The likelihood of war was high , and the question was whether it could be avoided through strategies such as appeasement .   In Asia , when Japan seized Manchuria in 1931 , the League of Nations condemned it for aggression against China . Japan responded by leaving the League of Nations in March 1933 . After four quiet years , the Sino - Japanese War erupted in 1937 with Japanese forces invading China . The League of Nations condemned Japan 's actions and initiated sanctions on Japan . The United States , in particular , was angered at Japan and sought to support China .  Poland first to fight -- British wartime poster supporting Poland after the German invasion , 1939  In March 1939 , Germany took over Czechoslovakia , violating the Munich Agreement signed six months before , and demonstrating that the appeasement policy was a failure . Britain and France decided that Hitler had no intention to uphold diplomatic agreements and responded by preparing for war . On 31 March 1939 , Britain formed the Anglo - Polish military alliance in an effort to avert a German attack on the country . Also , the French had a long - standing alliance with Poland since 1921 . The Soviet Union sought an alliance with the western powers , but Hitler ended the risk of a war with Stalin by signing the Nazi -- Soviet non-aggression pact in August 1939 . The agreement secretly divided the independent nations of eastern Europe between the two powers and assured adequate oil supplies for the German war machine . On 1 September 1939 , Germany invaded Poland ; two days later Britain and France declared war on Germany . Then , on 17 September 1939 , the Soviet Union invaded Poland from the east . A Polish government - in - exile was set up and it continued to be one of the Allies , a model followed by other occupied countries . After a quiet winter , Germany in April 1940 invaded and quickly defeated Denmark , Norway , Belgium , the Netherlands and France . Britain and its Empire stood alone against Hitler and Mussolini . In June 1941 , Hitler broke the non-aggression agreement with Stalin and Germany invaded the Soviet Union . In December , Japan attacked the US and Britain . The main lines of World War II had formed .   Major affiliated state combatants  Main articles : Four Policemen and Diplomatic history of World War II  During December 1941 , U.S. President Franklin D. Roosevelt devised the name `` United Nations '' for the Allies and proposed it to British Prime Minister Winston Churchill . He referred to the Big Three and China as a `` trusteeship of the powerful '' , and then later the `` Four Policemen '' . The Declaration by United Nations on 1 January 1942 was the basis of the modern United Nations ( UN ) . At the Potsdam Conference of July -- August 1945 , Roosevelt 's successor , Harry S. Truman , proposed that the foreign ministers of China , France , the Soviet Union , United Kingdom , and the United States `` should draft the peace treaties and boundary settlements of Europe '' , which led to the creation of the Council of Foreign Ministers of the `` Big Five '' , and soon thereafter the establishment of those states as the permanent members of the UNSC .   United Kingdom  Further information : Military history of the United Kingdom during World War II British Supermarine Spitfire fighter aircraft ( bottom ) flying past a German Heinkel He - 111 bomber aircraft ( top ) during the Battle of Britain ( 1940 ) British Crusader tanks during the North African Campaign British aircraft carrier HMS Ark Royal under attack from Italian aircraft during the Battle of Cape Spartivento . ( Nov. 27 , 1940 ) British soldiers of the King 's Own Yorkshire Light Infantry in Elst , the Netherlands on 2 March 1945 War declared  Great Britain and other members of the British Commonwealth , most known as the Dominions , declared war on Germany separately from 3 September 1939 with the UK first , all within one week of each other ; these countries were Canada , Australia , New Zealand , India and the Union of South Africa .  Colonies and dependencies Further information : British Empire in World War II In Africa Further information : Southern Rhodesia in World War II  British West Africa and the British colonies in East and Southern Africa participated , mainly in the North African , East African and Middle - Eastern theatres . Two West African and one East African division served in the Burma Campaign .   Southern Rhodesia was a self - governing colony , having received responsible government in 1923 . It was not a sovereign dominion . It governed itself internally and controlled its own armed forces , but had no diplomatic autonomy , and , therefore , was officially at war as soon as Britain was at war . The Southern Rhodesian colonial government issued a symbolic declaration of war nevertheless on 3 September 1939 , which made no difference diplomatically , but preceded the declarations of war made by all other British dominions and colonies .  In the Americas  These included : the British West Indies , British Honduras , British Guiana and the Falkland Islands .   Newfoundland was ruled as a royal colony in 1933 -- 49 , with a governor appointed by London who made the decisions .  In Asia Further information : India in World War II and Indian Army during World War II  British India included the areas and peoples covered by later India , Bangladesh , Pakistan and ( until 1937 ) Burma / Myanmar , which later became a separate colony .   British Malaya covers the areas of Peninsular Malaysia and Singapore , while British Borneo covers the area of Brunei , including Sabah and Sarawak of Malaysia .   Territories controlled by the Colonial Office , namely the Crown Colonies , were controlled politically by the UK and therefore also entered hostilities with Britain 's declaration of war . At the outbreak of World War II , the British Indian Army numbered 205,000 men . Later during World War II , the Indian Army became the largest all - volunteer force in history , rising to over 2.5 million men in size. ( 10 ) These forces included tank , artillery and airborne forces . Indian soldiers earned 30 Victoria Crosses during the Second World War . It suffered 87,000 military casualties ( more than any Crown colony but fewer than the United Kingdom ) . The UK suffered 382,000 military casualties .   Protectorates included : Kuwait was a protectorate of the United Kingdom formally established in 1920 . The Trucial States were protectorates in the Persian Gulf .   Palestine was a mandate dependency created in the peace agreements after World War I from former territory of the Ottoman Empire . Iraq  In Europe  The Cyprus Regiment was formed by the British Government during the Second World War and made part of the British Army structure . It was mostly Greek Cypriots volunteers and Turkish speaking Cypriot inhabitants of Cyprus but also included other Commonwealth nationalities . On a brief visit to Cyprus in 1943 , Winston Churchill praised the `` soldiers of the Cyprus Regiment who have served honourably on many fields from Libya to Dunkirk '' . About 30,000 Cypriots served in the Cyprus Regiment . The regiment was involved in action from the very start and served at Dunkirk , in the Greek Campaign ( Battle of Greece ) ( about 600 soldiers were captured in Kalamata in 1941 ) , North Africa ( Operation Compass ) , France , the Middle East and Italy . Many soldiers were taken prisoner especially at the beginning of the war and were interned in various POW camps ( Stalag ) including Lamsdorf ( Stalag VIII - B ) , Stalag IVC at Wistritz bei Teplitz and Stalag 4b near Most in the Czech Republic . The soldiers captured in Kalamata were transported by train to prisoner of war camps .   China  Main article : Second Sino - Japanese War  In the 1920s the Soviet Union provided military assistance to Kuomintang , or the Nationalists and helped reorganize their party along Leninist lines : a unification of party , state , and army . In exchange the Nationalists agreed to let members of the Chinese Communist Party join the Nationalists on an individual basis . However , following the nominal unification of China at the end of the Northern Expedition in 1928 , Generalissimo Chiang Kai - shek purged leftists from his party and fought against the revolting Chinese Communist Party , former warlords , and other militarist factions . A fragmented China provided easy opportunities for Japan to gain territories piece by piece without engaging in total war . Following the 1931 Mukden Incident , the puppet state of Manchukuo was established . Throughout the early to mid-1930s , Chiang 's anti-communist and anti-militarist campaigns continued while he fought small , incessant conflicts against Japan , usually followed by unfavorable settlements and concessions after military defeats .   In 1936 Chiang was forced to cease his anti-communist military campaigns after his kidnap and release by Zhang Xueliang , and reluctantly formed a nominal alliance with the Communists , while the Communists agreed to fight under the nominal command of the Nationalists against the Japanese . Following the Marco Polo Bridge Incident of 7 July 1937 , China and Japan became embroiled in a full - scale war . The Soviet Union , wishing to keep China in the fight against Japan , supplied China with military assistance until 1941 , when it signed a non-aggression pact with Japan . Continuous clashes between the Communists and Nationalists behind enemy lines cumulated in a major military conflict between these two former allies that effectively ended their cooperation against the Japanese , and China had been divided between the internationally recognized Nationalist China under the leadership of Generalissimo Chiang Kai - shek and the Communist China under the leadership of Mao Zedong until the Japanese surrendered in 1945 .  Factions Nationalists Main article : Nationalist Government Soldiers of the National Revolutionary Army associated with Nationalist China , during the Sino - Japanese War .  Prior to the alliance of Germany and Italy to Japan , the Nationalist Government held close relations with both Germany and Italy . In the early 1930s , Sino - German cooperation between the Nationalist Government and Germany in military and industrial matters . Nazi Germany provided the largest proportion of Chinese arms imports and technical expertise . Relations between the Nationalist Government and Italy during the 1930s varied , however even after the Nationalist Government followed League of Nations sanctions against Italy for its invasion of Ethiopia , the international sanctions proved unsuccessful , and relations between the Fascist government in Italy and the Nationalist Government in China returned to normal shortly afterwards . Up until 1936 , Mussolini had provided the Nationalists with Italian military air and naval missions to help the Nationalists fight against Japanese incursions and communist insurgents . Italy also held strong commercial interests and a strong commercial position in China supported by the Italian concession in Tianjin . However , after 1936 the relationship between the Nationalist Government and Italy changed due to a Japanese diplomatic proposal to recognize the Italian Empire that included occupied Ethiopia within it in exchange for Italian recognition of Manchukuo , Italian Foreign Minister Galeazzo Ciano accepted this offer by Japan , and on 23 October 1936 Japan recognized the Italian Empire and Italy recognized Manchukuo , as well as discussing increasing commercial links between Italy and Japan .   The Nationalist Government held close relations with the United States . The United States opposed Japan 's invasion of China in 1937 that it considered an illegal violation of China 's sovereignty , and offered the Nationalist Government diplomatic , economic , and military assistance during its war against Japan . In particular , the United States sought to bring the Japanese war effort to a complete halt by imposing a full embargo on all trade between the United States to Japan , Japan was dependent on the United States for 80 percent of its petroleum , resulting in an economic and military crisis for Japan that could not continue its war effort with China without access to petroleum . In November 1940 , American military aviator Claire Lee Chennault upon observing the dire situation in the air war between China and Japan , set out to organize a volunteer squadron of American fighter pilots to fight alongside the Chinese against Japan , known as the Flying Tigers . US President Franklin D. Roosevelt accepted dispatching them to China in early 1941 . However , they only became operational shortly after the attack on Pearl Harbor .   The Soviet Union recognised the Republic of China but urged reconciliation with the Communist Party of China and inclusion of Communists in the government . The Soviet Union also urged military and cooperation between Nationalist China and Communist China during the war .   Even though the Republic of China had been fighting the longest among all the Allied powers , it only officially joined the Allies after the attack on Pearl Harbor , on 7 December 1941 . China fought the Japanese Empire before joining the Allies In the Pacific War . Generalissimo Chiang Kai - shek thought Allied victory was assured with the entrance of the United States into the war , and he declared war on Germany and the other Axis nations . However , Allied aid remained low because the Burma Road was closed and the Allies suffered a series of military defeats against Japan early on in the campaign . General Sun Li - jen led the R.O.C. forces to the relief of 7,000 British forces trapped by the Japanese in the Battle of Yenangyaung . He then reconquered North Burma and re-established the land route to China by the Ledo Road . But the bulk of military aid did not arrive until the spring of 1945 . More than 1.5 million Japanese troops were trapped in the China Theatre , troops that otherwise could have been deployed elsewhere if China had collapsed and made a separate peace .  Communists Main article : Communist - controlled China ( 1927 -- 1949 ) Soldiers of the First Workers ' and Peasants ' Army associated with Communist China , during the Sino - Japanese War . Victorious Chinese Communist soldiers holding the flag of the Republic of China during Hundred Regiments Offensive  Communist China had been tacitly supported by the Soviet Union since the 1920s , though the Soviet Union diplomatically recognised the Republic of China , Joseph Stalin supported cooperation between the Nationalists and the Communists -- including pressuring the Nationalist Government to grant the Communists state and military positions in the government . This was continued into the 1930s that fell in line with the Soviet Union 's subversion policy of popular fronts to increase communists ' influence in governments . The Soviet Union urged military and cooperation between Soviet China and Nationalist China during China 's war against Japan . Initially Mao Zedong accepted the demands of the Soviet Union and in 1938 had recognized Chiang Kai - shek as the `` leader '' of the `` Chinese people '' . In turn , the Soviet Union accepted Mao 's tactic of `` continuous guerilla warfare '' in the countryside that involved a goal of extending the Communist bases , even if it would result in increased tensions with the Nationalists .   After the breakdown of their cooperation with the Nationalists in 1941 , the Communists prospered and grew as the war against Japan dragged on , building up their sphere of influence wherever opportunities were presented , mainly through rural mass organizations , administrative , land and tax reform measures favoring poor peasants ; while the Nationalists attempted to neutralize the spread of Communist influence by military blockade and fighting the Japanese at the same time .   The Communist Party 's position in China was boosted further upon the Soviet invasion of Manchuria in August 1945 against the Japanese puppet state of Manchukuo and the Japanese Kwantung Army in China and Manchuria . Upon the intervention of the Soviet Union against Japan in World War II in 1945 , Mao Zedong in April and May 1945 had planned to mobilize 150,000 to 250,000 soldiers from across China to work with forces of the Soviet Union in capturing Manchuria .   France  Main article : France during World War II Further information : Free France and Military history of France during World War II Free French forces at the Battle of Bir Hakeim. ( 1942 ) War declared FAFL Free French GC II / 5 `` LaFayette '' receiving ex-USAAF Curtiss P - 40 fighters at Casablanca , French Morocco . The French fleet scuttled itself rather than fall into the hands of the Axis after their invasion of Vichy France on 11 November 1942 .  After Germany invaded Poland , France declared war on Germany on 3 September 1939 . In January 1940 , French Prime Minister Édouard Daladier made a major speech denouncing the actions of Germany :   At the end of five months of war , one thing has become more and more clear . It is that Germany seeks to establish a domination of the world completely different from any known in world history .   The domination at which the Nazis aim is not limited to the displacement of the balance of power and the imposition of the supremacy of one nation . It seeks the systematic and total destruction of those conquered by Hitler and it does not treaty with the nations which it has subdued . He destroys them . He takes from them their whole political and economic existence and seeks even to deprive them of their history and culture . He wishes only to consider them as vital space and a vacant territory over which he has every right .   The human beings who constitute these nations are for him only cattle . He orders their massacre or migration . He compels them to make room for their conquerors . He does not even take the trouble to impose any war tribute on them . He just takes all their wealth and , to prevent any revolt , he scientifically seeks the physical and moral degradation of those whose independence he has taken away .   France experienced several major phases of action during World War II :    The `` Phoney War '' of 1939 -- 1940 , also called drôle de guerre in France , dziwna wojna in Poland ( both meaning `` Strange War '' ) , or the `` Sitzkrieg '' ( `` Sitting War '' ) in Germany .   The Battle of France in May -- June 1940 , which resulted in the defeat of the Allies , the fall of the French Third Republic , the German occupation of northern and western France , and the creation of the rump state Vichy France , which received diplomatic recognition from the Axis and most neutral countries including the United States .   The period of resistance against the occupation and Franco - French struggle for control of the colonies between the Vichy regime and the Free French , who continued the fight on the Allies ' side after the Appeal of 18 June by General Charles de Gaulle , recognized by the United Kingdom as France 's government - in - exile . It culminated in the Allied landings in North Africa on 11 November 1942 , when Vichy ceased to exist as an independent entity after having been invaded by both the Axis and the Allies simultaneously , being thereafter only the nominal government in charge during the occupation of France . Vichy forces in French North Africa switched allegiance and merged with the Free French to participate in the campaigns of Tunisia and of Italy campaigns and the invasion of Corsica in 1943 -- 44 .   The liberation of mainland France beginning with D - Day on 6 June 1944 and operation Overlord , and then with operation Dragoon on 15 August 1944 , leading to the Liberation of Paris on 25 August 1944 by the Free French 2e Division Blindée and the installation of the Provisional Government of the French Republic in the newly liberated capital .   Participation of the re-established provisional French Republic 's First Army in the Allied advance from Paris to the Rhine and the Western Allied invasion of Germany until V-E Day on 8 May 1945 .   Colonies and dependencies In Africa  In Africa these included : French West Africa , French Equatorial Africa , the League of Nations mandates of French Cameroun and French Togo , Madagascar , French Somaliland , and the protectorates of French Tunisia and French Morocco .   French Algeria was then not a colony or dependency but a fully - fledged part of metropolitan France .  In Asia and oceania The fall of Damascus to the Allies , late June 1941 . A car carrying Free French commanders General Georges Catroux and General Paul Louis Le Gentilhomme enters the city , escorted by French Circassian cavalry ( Gardes Tcherkess ) .  In Asia these included : French Polynesia , Wallis and Futuna , New Caledonia , the New Hebrides , French Indochina , French India , the mandates of Greater Lebanon and French Syria . The French government in 1936 attempted to grant independence to its mandate of Syria in the Franco - Syrian Treaty of Independence of 1936 signed by France and Syria . However , opposition to the treaty grew in France and the treaty was not ratified . Syria had become an official republic in 1930 and was largely self - governing . In 1941 , a British - led invasion supported by Free French forces expelled Vichy French forces in operation Exporter .  In the Americas  In the Americas these included : Martinique , Guadeloupe , French Guiana and Saint Pierre and Miquelon .   Soviet Union  Soviet soldiers and T - 34 tanks advance in skirmish near Bryansk in 1942 . Soviet soldiers fighting in the ruins of Stalingrad during the Battle of Stalingrad . Soviet Il - 2 ground attack aircraft attacking German ground forces during the Battle of Kursk. ( 1943 ) Outbreak  German invasion of the Soviet Union , Operation Barbarossa , began on 22 June 1941 . General Secretary Joseph Stalin and the government of the Soviet Union described the Soviet war effort as a war being fought by the Soviet people for their survival . Stalin had supported popular front movements of anti-fascists including communists and non-communists from 1935 to 1939 . The popular front strategy was terminated from 1939 to 1941 when the Soviet Union cooperated with Germany in 1939 in the occupation and partitioning of Poland while the Soviet Union refused to endorse either the Allies or the Axis from 1939 to 1941 , as it called the Allied - Axis conflict an `` imperialist war '' . After the invasion of the Soviet Union in 1941 , Stalin endorsed the Western Allies as part of a renewed popular front strategy against Germany and called for the international communist movement to make a coalition with all those who opposed the Nazis .   The Soviet Union intervened against Japan and its client state in Manchuria in 1945 , cooperating with the Nationalist Government of China and Nationalist Party led by Chiang Kai - shek ; though also cooperating , preferring , and encouraging the Communist Party led by Mao Zedong to take effective control of Manchuria after expelling Japanese forces .  History  In the lead up to the war between the Soviet Union and Germany , relations between the Soviet Union and Germany underwent several stages . Stalin studied Hitler , including reading Mein Kampf and from it knew of Hitler 's desire to destroy the Soviet Union . In 1933 , the Soviet Union had immediate concerns with the threat of a potential German invasion of the country should Germany attempt a conquest of the Baltic states , and in December of that year , Polish - Soviet negotiations began for the issuing of a joint declaration by the two countries guaranteeing the sovereignty of the Baltic states . However , Poland withdrew from the negotiations following German and Finnish objections . The Soviet Union and Germany at this time competed with each other for influence in Poland . The Soviet government also was concerned with the anti-Soviet sentiment in Poland and particularly Józef Piłsudski 's proposed Polish federation that would include the territories of Poland , Lithuania , Belarus , and Ukraine within it that threatened the territorial integrity of the Soviet Union .   On 20 August 1939 , forces of the Union of Soviet Socialist Republics under General Georgy Zhukov , together with the People 's Republic of Mongolia eliminated the threat of conflict in the east with a decisive victory over Japan at the Battle of Khalkhin Gol in eastern Mongolia .   On the same day , Soviet party leader Joseph Stalin received a telegram from German Chancellor Adolf Hitler , suggesting that German Foreign Minister Joachim von Ribbentrop fly to Moscow for diplomatic talks . ( After receiving a lukewarm response throughout the spring and summer , Stalin abandoned attempts for a better diplomatic relationship with France and the United Kingdom . )   On 23 August , Ribbentrop and Soviet Foreign Minister Vyacheslav Molotov signed the non-aggression pact including secret protocols dividing Eastern Europe into defined `` spheres of influence '' for the two regimes , and specifically concerning the partition of the Polish state in the event of its `` territorial and political rearrangement '' .   On 15 September 1939 , Stalin concluded a durable ceasefire with Japan , to take effect the following day ( it would be upgraded to a nonaggression pact in April 1941 ) . The day after that , 17 September , Soviet forces invaded Poland from the east . Although some fighting continued until 5 October , the two invading armies held at least one joint military parade on 25 September , and reinforced their non-military partnership with a German -- Soviet Treaty of Friendship , Cooperation and Demarcation on 28 September .   On 30 November , the Soviet Union attacked Finland , for which it was expelled from the League of Nations . In the following year of 1940 , while the world 's attention was focussed upon the German invasion of France and Norway , the USSR militarily occupied the Balt</t>
  </si>
  <si>
    <t xml:space="preserve">who made up the allied forces in ww2</t>
  </si>
  <si>
    <t xml:space="preserve"> At the start of the war on 1 September 1939 , the Allies consisted of France , Poland and the United Kingdom , and dependent states , such as the British India . Within days they were joined by the independent Dominions of the British Commonwealth : Australia , Canada , New Zealand and South Africa . After the start of the German invasion of North Europe till the Balkan Campaign , the Netherlands , Belgium , Greece and Yugoslavia joined the Allies . After first having cooperated with Germany in invading Poland whilst remaining neutral in the Allied - Axis conflict , the Soviet Union perforce joined the Allies in June 1941 after being invaded by Germany . The United States provided war materiel and money all along , and officially joined in December 1941 after the Japanese attack on Pearl Harbor . China had already been in a prolonged war with Japan since the Lugou Bridge Incident of 1937 , but officially joined the Allies in 1941 . </t>
  </si>
  <si>
    <r>
      <rPr>
        <sz val="11"/>
        <color rgb="FF000000"/>
        <rFont val="Calibri"/>
        <family val="0"/>
        <charset val="1"/>
      </rPr>
      <t xml:space="preserve">Mystic River ( film ) - wikipedia  Mystic River ( film )  Jump to : navigation , search    Mystic River     Theatrical release poster by Bill Gold     Directed by   Clint Eastwood     Produced by     Clint Eastwood   Robert Lorenz   Judie G. Hoyt       Screenplay by   Brian Helgeland     Based on   Mystic River by Dennis Lehane     Starring     Sean Penn   Tim Robbins   Kevin Bacon   Laurence Fishburne   Marcia Gay Harden   Laura Linney       Music by   Clint Eastwood     Cinematography   Tom Stern     Edited by   Joel Cox     Production companies     Village Roadshow Pictures   Malpaso Productions   NPV Entertainment       Distributed by   Warner Bros. Pictures     Release date     October 15 , 2003 ( 2003 - 10 - 15 )               Running time   137 minutes     Country   United States     Language   English     Budget   $30 million     Box office   $156.8 million     Mystic River is a 2003 American mystery crime drama film directed and scored by Clint Eastwood . It stars Sean Penn , Tim Robbins , Kevin Bacon , Laurence Fishburne , Marcia Gay Harden , and Laura Linney . The screenplay by Brian Helgeland was based on the novel of the same name by Dennis Lehane . The film was produced by Robert Lorenz , Judie G. Hoyt and Eastwood . It is the first film on which Eastwood was credited as composer of the score .   The film opened to widespread critical acclaim . It was nominated for Academy Awards for Best Picture , Best Director , Best Actor , Best Adapted Screenplay , Best Supporting Actress , and Best Supporting Actor . Sean Penn won Best Actor and Tim Robbins won Best Supporting Actor , making Mystic River the first film to win both awards since Ben - Hur in 1959 .     Contents  ( hide )   1 Plot   2 Cast   3 Production   4 Release   4.1 Reception   4.2 Box office     5 Accolades   6 Home media   7 References   8 External links      Plot ( edit )   Three boys , Jimmy Markum , Sean Devine , and Dave Boyle , play hockey in a Boston street in 1975 . Spotting wet concrete , they start writing their names into it when a car pulls up and two men , pretending to be police officers , get out , berate the boys for their actions , and tell Dave to get into the car . The men hold Dave captive and sexually abuse him for four days , until he escapes .   Twenty - five years later , the boys are grown and , while they still live in Boston , have drifted apart . Jimmy is an ex-con running a neighborhood store , while Dave is a blue - collar worker , still haunted by his abduction . The two are still neighbors and related by marriage . Jimmy 's 19 - year - old daughter Katie is secretly dating Brendan Harris , a boy Jimmy despises . She and Brendan are planning to run away together to Las Vegas .   Katie goes out for the night with her girlfriends and Dave sees her at a local bar . That night , Katie is murdered , and Dave comes home with an injured hand and blood on his clothes , which his wife Celeste helps him clean up . Dave claims he fought off a mugger , `` bashed his head into the concrete '' , and possibly killed him . Sean , now a detective with the Massachusetts State Police , investigates Katie 's murder . His pregnant wife , Lauren , has recently left him .   Over the course of the film , Sean and his partner , Sergeant Whitey Powers , track down leads while Jimmy conducts his own investigation using his neighborhood connections . Sean discovers that the gun used to kill Katie was also used in a liquor store robbery during the 1980s by `` Just Ray '' Harris , the father of Katie 's boyfriend . Harris has been missing since 1989 , but Brendan claims he still sends his family $500 every month . Brendan also feigns ignorance about Ray 's gun but Sean believes it was still in the house . Sergeant Powers suspects Dave as a possible perpetrator because he was one of the last people to see Katie alive . He also has a wounded hand and , although he continues to tell his wife he got it while being mugged , he tells the police a different story -- soon Jimmy becomes suspicious of it . Dave continues to behave strangely , which upsets his wife to the point she is afraid he will hurt her . While Jimmy and his associates conduct their investigation , Dave 's wife eventually tells Jimmy about Dave 's behavior , the bloody clothing , and her suspicions .   Jimmy and his friends get Dave drunk at a local bar . When Dave leaves the bar , the men follow him out . Jimmy tells Dave that he shot `` Just Ray '' Harris at that same location for ratting him out and sending him to jail . Jimmy informs Dave that his wife thinks he murdered Katie and tells Dave he will let him live if he confesses . Dave repeatedly tells Jimmy that he did kill someone but it was not Katie : he beat a child molester to death after finding him having sex with a child prostitute in a car . Jimmy does not believe Dave 's claim and threatens him with a knife . When Dave finally admits to killing Katie thinking he can escape with his life , Jimmy kills him and disposes of his body in the adjacent Mystic River .   While Dave is being killed , Brendan ( having found out about his father 's gun during questioning ) confronts his younger brother Ray Jr. and his brother 's friend John about Katie 's murder . He beats the two boys and threatens to kill them if they do not admit their guilt , but when John takes the gun and is about to shoot him , Sean and Powers arrive just in time to stop it .   The next morning , Sean tells Jimmy the police have Katie 's murderers -- who have confessed . She was killed by Brendan 's brother , `` Silent Ray '' Harris , and his friend John O'Shea in a violent prank gone wrong : The kids got hold of Just Ray 's gun and saw a car coming which happened to be Katie 's . John aimed the gun just to scare her but the gun went off by accident . The car veered onto the curb and Katie got out and ran into the park . Silent Ray and John pursued her so she would n't tell anyone . The beating Katie received was from Silent Ray , who had a hockey stick . Once she was beaten , John shot her again , killing her . Sean asks Jimmy if he has seen Dave , because he is wanted for questioning in another case , the murder of a known child molester . A distraught Jimmy thanks Sean for finding his daughter 's killers , but says , `` if only you had been a little faster . '' Sean asks Jimmy if he 's going to `` send Celeste Boyle $500 a month too ? ''   Sean reunites with his wife and his daughter Nora , after apologizing for `` pushing her away '' . Jimmy goes to his wife , Annabeth and confesses . She comforts him and tells him he is a king and kings always make the right decision . At a town parade , Sean sees Jimmy , and mimics shooting him , to let Jimmy know he is watching .   Cast ( edit )    Sean Penn as James `` Jimmy '' Markum   Jason Kelly as young Jimmy Markum     Tim Robbins as Dave Boyle   Cameron Bowen as young Dave Boyle     Kevin Bacon as Detective Sean Devine   Connor Paolo as young Sean Devine     Laurence Fishburne as Detective Sergeant Whitey Powers   Marcia Gay Harden as Celeste Samarco Boyle   Laura Linney as Annabeth Markum   Tom Guiry as Brendan Harris   Spencer Treat Clark as `` Silent Ray '' Harris , Jr .   Andrew Mackin as John O'Shea   Emmy Rossum as Katie Markum   Jenny O'Hara as Esther Harris   Kevin Chapman as Val Savage   Adam Nelson as Nick Savage   Robert Wahlberg as Kevin Savage   Cayden Boyd as Michael Boyle   John Doman as Driver   Tori Davis as Lauren Devine   Jonathan Togo as Pete   Will Lyman as FBI Special Agent Birden   Ari Graynor as Eve Pigeon   Ken Cheeseman as Dave 's Friend in Bar   Michael McGovern as 1975 reporter   Kevin Conway ( uncredited ) as Theo   Eli Wallach ( uncredited ) as Mr. Loonie    Production ( edit )   Principal photography took place on location in Boston . Eastwood claimed that the three lead actors were his first choices for the roles .   Release ( edit )   Reception ( edit )   Mystic River was well received by critics , with the performances and direction receiving widespread acclaim . The film has an 87 % approval rating based on 195 reviews from critics at the review aggregator website Rotten Tomatoes . At the website Metacritic , which utilizes a normalized rating system , the film earned a rating of 84 / 100 ( `` universal acclaim '' ) based on 42 reviews . Peter Travers of Rolling Stone wrote `` Clint Eastwood pours everything he knows about directing into Mystic River . His film sneaks up , messes with your head , and then floors you . You ca n't shake it . It 's that haunting , that hypnotic . '' The Sun wrote that the film was `` a haunting masterpiece and probably ( Eastwood 's ) best film to date '' .   Box office ( edit )   The film earned $156,822,020 worldwide with $90,135,191 in the United States and $66,686,829 in the international box office , which is significantly higher than the film 's $30 million budget .   Accolades ( edit )    Awards     76th Academy Awards :   Best Actor in a Leading Role ( Sean Penn )   Best Actor in a Supporting Role ( Tim Robbins )     Art Directors Guild : Feature Film -- Contemporary Film ( Henry Bumstead ( production designer ) and Jack G. Taylor Jr. ( art director ) )   Blue Ribbon Awards : Best Foreign Language Film   24th Boston Society of Film Critics Awards : Best Picture , Best Ensemble Cast   9th BFCA Critics ' Choice Awards : Best Actor ( Sean Penn ) , Best Supporting Actor ( Tim Robbins )   Cannes Film Festival : Golden Coach ( Clint Eastwood )   Casting Society of America : Best Casting for Feature Film -- Drama   Central Ohio Film Critics : Best Actor ( Sean Penn ) , Best Supporting Actor ( Tim Robbins ) , Best Supporting Actress ( Marcia Gay Harden )   Chicago Film Critics Association : Best Supporting Actor ( Tim Robbins )   César Awards ( France ) : Best Foreign Language Film   Dallas - Fort Worth Film Critics Association : Best Actor ( Sean Penn )   Florida Film Critics Circle : Best Actor ( Sean Penn ) , Best Supporting Actor ( Tim Robbins )   Fotogramas de Plata ( Spain ) : Best Foreign Language Film   61st Golden Globe Awards :   Best Actor in a Motion Picture -- Drama ( Sean Penn )   Best Actor in a Supporting Role in a Motion Picture ( Tim Robbins )     Kansas City Film Critics Circle : Best Actor ( Sean Penn )   Kinema Junpo Awards ( Japan ) : Best Foreign Language Film   Las Vegas Film Critics Society : Best Actor ( Sean Penn )   London Film Critics Circle : Actor of the Year ( Sean Penn ) , Director of the Year ( Clint Eastwood )   Mainichi Film Concours ( Japan ) : Best Foreign Language Film   National Board of Review : Best Picture , Best Actor ( Sean Penn )   National Society of Film Critics : Best Director ( Clint Eastwood )   PEN Center USA West Literary Awards : Best Screenplay ( Brian Helgelan )   Sant Jordi Awards ( Spain ) : Best Foreign Language Film   Satellite Awards : Best Performance by an Actor in a Motion Picture -- Drama ( Sean Penn ) , Best Screenplay -- Adapted ( Brian Helgeland )   Screen Actors Guild : Outstanding Performance by a Male Actor in a Supporting Role ( Tim Robbins )   Seattle Film Critics : Best Supporting Actress ( Marcia Gay Harden )   Southeastern Film Critics Association : Best Supporting Actor ( Tim Robbins ) , Best Screenplay -- Adapted ( Brian Helgeland )   USC Scripter Award : Brian Helgeland ( screenwriter ) and Dennis Lehane ( author )   Uruguayan Film Critics Association ( Uruguay ) : Best Film   Vancouver Film Critics Circle : Best Actor ( Sean Penn )     Nominations     76th Academy Awards :   Best Picture   Best Director ( Clint Eastwood )   Best Actress in a Supporting Role ( Marcia Gay Harden )   Best Adapted Screenplay ( Brian Helgeland )     American Cinema Editors : Best Edited Feature Film -- Dramatic ( Joel Cox )   American Screenwriters Association : Discover Screenwriting Award ( Brian Helgeland )   Argentine Film Critics Association : Best Foreign Film ( Clint Eastwood )   Australian Film Institute : Best Foreign Film   Japan Academy Prize : Best Foreign Film   57th BAFTA Film Awards :   Best Actor in a Leading Role ( Sean Penn )   Best Actor in a Supporting Role ( Tim Robbins )   Best Actress in a Supporting Role ( Laura Linney )   Best Screenplay -- Adapted ( Brian Helgeland )     Broadcast Film Critics Association : Best Acting Ensemble , Best Supporting Actress ( Mary Gay Harden ) , Best Director ( Clint Eastwood ) , Best Writer ( Brian Helgeland ) , Best Composer ( Clint Eastwood )   Cannes Film Festival : Golden Palm ( Clint Eastwood )   Cinema Writers Circle ( Spain ) : Best Foreign Film   European Film Awards : Screen International Award ( Clint Eastwood )   61st Golden Globe Awards :   Best Motion Picture -- Drama   Best Director -- Motion Picture ( Clint Eastwood )   Best Screenplay -- Motion Picture ( Brian Helgeland )     IFTA Awards : Best International Film , Best International Actor ( Sean Penn )   International Horror Guild Award : Best Movie   Motion Picture Sound Editors : Best Sound Editing in Domestic Features -- Dialogue &amp; ADR   Online Film Critics Society : Best Picture , Best Actor ( Sean Penn ) , Best Supporting Actor ( Tim Robbins ) , Best Director ( Clint Eastwood ) , Best Screenplay -- Adapted ( Brian Helgeland )   PGA Golden Laurel Awards : Motion Picture Producer of the Year Award   Robert Festival ( Denmark ) : Best American Film   Satellite Awards : Best Motion Picture -- Drama , Best Performance by an Actress in a Supporting Role -- Drama ( Marcia Gay Harden ) , Best Director ( Clint Eastwood ) , Best Cinematography , Best Film Editing ( Joel Cox ) , Best Sound ( Alan Robert Murray , Bub Asman , Michael Semanick , Christopher Boyes and Gary Summers )   Screen Actors Guild : Outstanding Performance by a Cast in a Motion Picture ( Kevin Bacon , Laurence Fishburne , Marcia Gay Harden , Laura Linney , Sean Penn and Tim Robbins ) , Outstanding Performance by a Male Actor in a Leading Role ( Sean Penn )   Writers Guild of America : Best Adapted Screenplay ( Brian Helgeland )    Home media ( edit )       The examples and perspective in this section may not represent a worldwide view of the subject . You may improve this article , discuss the issue on the talk page , or create a new article , as appropriate . ( December 2010 ) ( Learn how and when to remove this template message )     The DVD was released on June 8 , 2004 and three editions have been released :    Full Screen Edition   Widescreen Edition   3 - Disc Deluxe Edition including CD Soundtrack    The film has also been released on Blu - ray Disc , both sold separately and as a part of the `` Clint Eastwood Collection '' .   References ( edit )    Jump up ^ `` MYSTIC RIVER ( 15 ) '' . British Board of Film Classification . September 10 , 2003 . Retrieved March 26 , 2015 .   ^ Jump up to : `` Mystic River '' . Box Office Mojo . Retrieved September 4 , 2009 .   ^ Jump up to : Hughes , p. 153   Jump up ^ `` Mystic River : Top Critics '' . Rotten Tomatoes . Retrieved September 4 , 2009 .   Jump up ^ `` Mystic River ( 2003 ) : Reviews '' . Metacritic . Retrieved September 4 , 2009 .   Jump up ^ Eliot ( 2009 ) , p. 307   ^ Jump up to : Hughes , p. 155   Jump up ^ `` Festival de Cannes : Mystic River '' . festival-cannes.com . Retrieved 2009 - 11 - 07 .     Eliot , Marc ( 2009 ) . American Rebel : The Life of Clint Eastwood . Harmony Books . ISBN 978 - 0 - 307 - 33688 - 0 .   Hughes , Howard ( 2009 ) . Aim for the Heart . London : I.B. Tauris . ISBN 978 - 1 - 84511 - 902 - 7 .   Ostermann , Eberhard . Mystic River oder die Abwesenheit des Vaters . In : E.O. : Die Filmerzählung . Acht exemplarische Analysen . Munich ( Fink ) 2007 . pp. 29 -- 43 . ISBN 978 - 3 - 7705 - 4562 - 9 .    External links ( edit )    Mystic River on IMDb   Mystic River at Box Office Mojo   Mystic River at Rotten Tomatoes   Mystic River at Metacritic              César Award for Best Foreign Film     1976 -- 1999     Scent of a Woman ( 1976 )   We All Loved Each Other So Much ( 1977 )   A Special Day ( 1978 )   The Tree of Wooden Clogs ( 1979 )   Manhattan ( 1980 )   Kagemusha ( 1981 )   The Elephant Man ( 1982 )   Victor Victoria ( 1983 )   Fanny and Alexander ( 1984 )   Amadeus ( 1985 )   The Purple Rose of Cairo ( 1986 )   The Name of the Rose ( 1987 )   The Last Emperor ( 1988 )   Bagdad Café ( 1989 )   Dangerous Liaisons ( 1990 )   Dead Poets Society ( 1991 )   Toto the Hero ( 1992 )   High Heels ( 1993 )   The Piano ( 1994 )   Four Weddings and a Funeral ( 1995 )   Land and Freedom ( 1996 )   Breaking the Waves ( 1997 )   Brassed Off ( 1998 )   Life Is Beautiful ( 1999 )       2000 -- 2019     All About My Mother ( 2000 )   In the Mood for Love ( 2001 )   Mulholland Drive ( 2002 )   Bowling for Columbine ( 2003 )   Mystic River ( 2004 )   Lost in Translation ( 2005 )   Million Dollar Baby ( 2006 )   Little Miss Sunshine ( 2007 )   The Lives of Others ( 2008 )   Waltz with Bashir ( 2009 )   Gran Torino ( 2010 )   The Social Network ( 2011 )   A Separation ( 2012 )   Argo ( 2013 )   The Broken Circle Breakdown ( 2014 )   Mommy ( 2015 )   Birdman ( 2016 )   I , Daniel Blake ( 2017 )                 Films directed by Clint Eastwood       Play Misty for Me ( 1971 )   High Plains Drifter ( 1973 )   Breezy ( 1973 )   The Eiger Sanction ( 1975 )   The Outlaw Josey Wales ( 1976 )   The Gauntlet ( 1977 )   Bronco Billy ( 1980 )   Firefox ( 1982 )   Honkytonk Man ( 1982 )   Sudden Impact ( 1983 )   Pale Rider ( 1985 )   Heartbreak Ridge ( 1986 )   Bird ( 1988 )   White Hunter Black Heart ( 1990 )   The Rookie ( 1990 )   Unforgiven ( 1992 )   A Perfect World ( 1993 )   The Bridges of Madison County ( 1995 )   Absolute Power ( 1997 )   Midnight in the Garden of Good and Evil ( 1997 )   True Crime ( 1999 )   Space Cowboys ( 2000 )   Blood Work ( 2002 )   Piano Blues ( 2003 )   Mystic River ( 2003 )   Million Dollar Baby ( 2004 )   Flags of Our Fathers ( 2006 )   Letters from Iwo Jima ( 2006 )   Changeling ( 2008 )   Gran Torino ( 2008 )   Invictus ( 2009 )   Hereafter ( 2010 )   J. Edgar ( 2011 )   Trouble with the Curve ( 2012 )   Jersey Boys ( 2014 )   American Sniper ( 2014 )   Sully ( 2016 )   The 15 : 17 to Paris ( 2018 )                 Dennis Lehane     Bibliography      Kenzie - Gennaro novels     A Drink Before the War ( 1994 )   Darkness , Take My Hand ( 1996 )   Sacred ( 1997 )   Gone , Baby , Gone ( 1998 )   Prayers for Rain ( 1999 )   Moonlight Mile ( 2010 )       Coughlin novels     The Given Day ( 2008 )   Live by Night ( 2012 )   World Gone By ( 2015 )       Other works     Mystic River ( 2001 )   Shutter Island ( 2003 )   Coronado : Stories ( 2006 )   The Drop ( 2014 )   Since We Fell ( 2017 )            Filmography      Adaptations     Mystic River ( 2003 )   Gone Baby Gone ( 2007 )   Shutter Island ( 2010 )   The Drop ( 2014 )   Live by Night ( 2016 )       Other     The Wire   `` Dead Soldiers ''   `` Refugees ''   `` Clarifications ''     Boardwalk Empire   `` Resignation ''     Mr. Mercedes   `` Gods Who Fall ''           Retrieved from `` https://en.wikipedia.org/w/index.php?title=Mystic_River_(film)&amp;oldid=800176149 '' Categories :   2003 films   English - language films   2000s crime drama films   2000s crime thriller films   2000s mystery films   2000s psychological thriller films   American films   American crime drama films   American crime thriller films   American mystery films   American thriller drama films   Best Foreign Film César Award winners   Detective films   Films about death   Films about families   Films about pedophilia   Films about revenge   Films based on American novels   Films based on crime novels   Films directed by Clint Eastwood   Films produced by Clint Eastwood   Films featuring a Best Actor Academy Award - winning performance   Films featuring a Best Drama Actor Golden Globe winning performance   Films featuring a Best Supporting Actor Academy Award - winning performance   Films featuring a Best Supporting Actor Golden Globe winning performance   Films set in 1975   Films set in 2000   Films set in Boston   Films shot in Massachusetts   Irish - American media   Malpaso Productions films   Village Roadshow Pictures films   Warner Bros. films   Film scores by Clint Eastwood   Films based on works by Dennis Lehane   Fictional portrayals of the Boston Police Department   Hidden categories :   Use mdy dates from March 2015   Articles with limited geographic scope from December 2010           Talk                                           Contents                   About Wikipedia                                           Wikiquote         Български   Bosanski   Català   Dansk   Deutsch   Ελληνικά   Español   Euskara   فارسی   Français   Galego   </t>
    </r>
    <r>
      <rPr>
        <sz val="11"/>
        <color rgb="FF000000"/>
        <rFont val="Noto Sans CJK SC"/>
        <family val="2"/>
      </rPr>
      <t xml:space="preserve">한국어   </t>
    </r>
    <r>
      <rPr>
        <sz val="11"/>
        <color rgb="FF000000"/>
        <rFont val="Calibri"/>
        <family val="0"/>
        <charset val="1"/>
      </rPr>
      <t xml:space="preserve">Hrvatski   Bahasa Indonesia   Italiano   עברית   ქართული   Limburgs   Bahasa Melayu   Монгол   Nederlands   </t>
    </r>
    <r>
      <rPr>
        <sz val="11"/>
        <color rgb="FF000000"/>
        <rFont val="Noto Sans CJK SC"/>
        <family val="2"/>
      </rPr>
      <t xml:space="preserve">日本 語   </t>
    </r>
    <r>
      <rPr>
        <sz val="11"/>
        <color rgb="FF000000"/>
        <rFont val="Calibri"/>
        <family val="0"/>
        <charset val="1"/>
      </rPr>
      <t xml:space="preserve">Norsk   Polski   Português   Русский   کوردی   Српски / srpski   Srpskohrvatski / српскохрватски   Suomi   Svenska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11 September 2017 , at 22 : 52 .         About Wikipedia                  </t>
    </r>
  </si>
  <si>
    <t xml:space="preserve">who killed katie in the movie mystic river</t>
  </si>
  <si>
    <t xml:space="preserve"> Jimmy and his friends get Dave drunk at a local bar . When Dave leaves the bar , the men follow him out . Jimmy tells Dave that he shot `` Just Ray '' Harris at that same location for ratting him out and sending him to jail . Jimmy informs Dave that his wife thinks he murdered Katie and tells Dave he will let him live if he confesses . Dave repeatedly tells Jimmy that he did kill someone but it was not Katie : he beat a child molester to death after finding him having sex with a child prostitute in a car . Jimmy does not believe Dave 's claim and threatens him with a knife . When Dave finally admits to killing Katie thinking he can escape with his life , Jimmy kills him and disposes of his body in the adjacent Mystic River . </t>
  </si>
  <si>
    <t xml:space="preserve">The Trooper - wikipedia  The Trooper  Jump to : navigation , search This article is about the song by Iron Maiden . For the EP by Sentenced , see The Trooper ( EP ) . For the professional wrestler , see The Patriot ( wrestler ) . For the regimental statue of the Rhodesian Light Infantry , see Rhodesian Light Infantry . For the 1934 American film , see Fighting Trooper .    `` The Trooper ''         Single by Iron Maiden     from the album Piece of Mind and Death on the Road     B - side   `` Cross-Eyed Mary '' ( Jethro Tull cover ) 2005 CD `` The Trooper '' ( Live ) `` Prowler '' ( Live ) 2005 7 '' Live `` Another Life '' ( Live ) 2005 12 '' `` The Trooper '' ( Live ) `` Murders in the Rue Morgue '' ( Live )     Released   20 June 1983 15 August 2005     Format   Vinyl ( 7 `` )     Recorded   24 November 2003     Genre   Heavy metal     Length   4 : 11     Label   EMI     Songwriter ( s )   Steve Harris     Producer ( s )   Martin Birch     Iron Maiden singles chronology        `` Flight of Icarus '' ( 1983 )   `` The Trooper '' ( 1983 )   `` 2 Minutes to Midnight '' ( 1984 )           `` Flight of Icarus '' ( 1983 )   `` The Trooper '' ( 1983 )   `` 2 Minutes to Midnight '' ( 1984 )               The Number of the Beast ( 2005 ) The Number of the Beast 2005   `` The Trooper ( live ) '' ( 2005 ) String Module Error : Match not found2005   The Reincarnation of Benjamin Breeg ( 2006 ) The Reincarnation of Benjamin Breeg 2006            `` The Trooper '' is a song by the English heavy metal band Iron Maiden . It was released as the second single on 20 June 1983 from the band 's fourth studio album , Piece of Mind ( 1983 ) . It was one of only a few songs to get much radio airplay in the US , thus peaking at No. 28 on the US Mainstream Rock charts . It also achieved success in the UK , peaking at No. 12 in the UK Singles Charts as well as gaining a much better reception than the band 's previous single , `` Flight of Icarus '' .   A live version of the song , from Death on the Road , was issued in 2005 .     Contents  ( hide )   1 Overview   2 In popular culture   2.1 Northern Ireland     3 Track listings   3.1 1983 7 '' &amp; 12 '' UK single   3.2 2005 Enhanced CD   3.3 2005 7 '' Blue Vinyl   3.4 2005 12 '' Picture Disc     4 Personnel   5 Charts   5.1 Notes     6 References   7 External links      Overview ( edit )  Bruce Dickinson performing the song live wearing a `` red coat '' styled military smock .  Written by bassist and founder - member Steve Harris , the song is based on the Charge of the Light Brigade at the Battle of Balaclava 1854 , which took place during the Crimean War , and inspired by Lord Tennyson 's poem of the same name . The track has been the subject of much praise since its release , with AllMusic describing it as `` an all - time genre classic that boasts guitarists ( Dave Murray ) and ( Adrian Smith 's ) most memorable harmonized lead riff , plus that trademark galloping rhythm , '' while Mick Wall comments that it is the song `` which most Maiden fans from those days still recall first when you mention the Piece of Mind album . '' Despite the popularity of the song , it was the single 's B - Side , a cover of Jethro Tull 's `` Cross-Eyed Mary '' , which managed to gain a substantial amount of airplay on US radio , becoming one of the band 's few tracks , along with previous single `` Flight of Icarus '' , to do so .   The single 's accompanying music video included clips of a cavalry battle from the 1936 film The Charge of the Light Brigade , starring Errol Flynn and Olivia de Havilland , which the BBC refused to play unedited , deeming the footage too violent . The band 's manager , Rod Smallwood , has since criticised the decision , stating , `` Anyone would think we 'd killed the horses ourselves instead of using an old Errol Flynn movie . ''   A regular fixture in the band 's concerts , vocalist Bruce Dickinson has always waved a Union Flag during live performances and , more recently , has begun wearing an authentic red coat uniform which would have been worn during the battle on which the song was based . During a performance in Dublin in 2003 , Dickinson 's flag - waving reportedly received a large amount of booing from the Irish audience .   While the band were receiving criticism from Sharon Osbourne in 2005 , at the time justifying her attack on the band at the 2005 Ozzfest , she accused Iron Maiden of disrespecting American troops , then fighting alongside the British in Iraq , for waving a Union Flag in the US , although Classic Rock magazine supported the band by pointing out that the song 's subject bore no relation to the military activity then taking place in the Middle East .   On 15 August 2005 , a live version of the song was released from the then upcoming live album , Death on the Road .   On 24 April 2016 , during Iron Maiden 's performance in Beijing ( their first in China ) , Dickinson did not bring out a flag while performing `` The Trooper '' . The flag was also omitted for a concert in Shanghai two days later .   In popular culture ( edit )   The song has appeared in several Iron Maiden tribute albums , including A Call To Irons : A Tribute To Iron Maiden , Numbers from the Beast , A Tribute to the Beast and Maiden Heaven : A Tribute to Iron Maiden , as well as on records by tribute bands such as Maiden uniteD ( on 2010 's Mind the Acoustic Pieces ) and The Iron Maidens ( on their 2006 self - titled debut album ) . In addition , the song has been released by Sentenced on The Trooper EP ( 1994 ) , Hellsongs on Hymns in the Key of 666 ( 2008 ) , Thumper on the Metalliska compilation , Highland Glory as a bonus track on Forever Endeavour ( 2005 ) , Radio Cult on Grooves From The Grave ( 2008 ) , Stryper on The Covering , Iced Earth on the `` tour edition '' of their 2011 album , Dystopia , and 2Cellos on their 2015 album , Celloverse .   On top of this , the track has also been included in the Guitar Hero 2 , Carmageddon 2 , Guitar Hero : Smash Hits and Rock Band video games , is mentioned in the novel World War Z by Max Brooks and is used as the opening theme for the documentary series Metal Evolution .   Iron Maiden created a beer called `` Trooper '' , named after the song .   Northern Ireland ( edit )   During the course of the Troubles in Northern Ireland the image of Eddie , as he appears on the sleeve of `` The Trooper '' , became an unofficial mascot of the Ulster Freedom Fighters loyalist paramilitary group and was the main figure on a number of the group 's murals . The loyalist representation frequently carried a tattered flag with the emblem of the Ulster Defence Association rather than the Union Flag as on the Iron Maiden sleeve .   Track listings ( edit )   1983 7 '' &amp; 12 '' UK single ( edit )     Side one     No .   Title   Writer ( s )   Length     1 .   `` The Trooper ''   Steve Harris   4 : 10       Side two     No .   Title   Writer ( s )   Length     1 .   `` Cross-Eyed Mary '' ( Jethro Tull cover )   Ian Anderson   3 : 52     2005 Enhanced CD ( edit )     Compact Disc     No .   Title   Writer ( s )   Length     1 .   `` The Trooper '' ( live at the Westfalenhalle Arena , Dortmund , Germany 24 November 2003 )   Harris   4 : 13     2 .   `` The Trooper ''   Harris   4 : 12     3 .   `` Prowler '' ( live at Egilshöllin , Reykjavík , Iceland 7 June 2005 )   Harris   4 : 24     4 .   `` The Trooper '' ( VIDEO - live at the Westfallenhalle Arena , Dortmund , Germany 24 November 2003 )   Harris   4 : 12     5 .   `` The Trooper '' ( VIDEO - original video )   Harris   4 : 10     2005 7 '' Blue Vinyl ( edit )     Side one     No .   Title   Writer ( s )   Length     1 .   `` The Trooper '' ( live at the Westfallenhalle Arena , Dortmund , Germany 24 November 2003 )   Harris   4 : 13       Side two     No .   Title   Writer ( s )   Length     1 .   `` Another Life '' ( live at Egilshollin , Reykjavík , Iceland 7 June 2005 )   Harris   3 : 43     2005 12 '' Picture Disc ( edit )     Side one     No .   Title   Writer ( s )   Length     1 .   `` The Trooper '' ( live at the Westfallenhalle Arena , Dortmund , Germany 24 November 2003 )   Harris   4 : 13       Side two     No .   Title   Writer ( s )   Length     1 .   `` The Trooper ''   Harris   4 : 12     2 .   `` Murders in the Rue Morgue '' ( live at Egilshollin , Reykjavík , Iceland 7 June 2005 )   Harris   3 : 33     Personnel ( edit )   Production credits are adapted from the 7 - inch vinyl cover .   Iron Maiden    Bruce Dickinson -- lead vocals   Dave Murray -- guitar   Adrian Smith -- guitar   Steve Harris -- bass guitar   Nicko McBrain -- drums    Production    Martin Birch -- producer , engineer   Derek Riggs -- cover illustration    Charts ( edit )     Single   Chart ( 1983 )   Peak position   Album     `` The Trooper ''   Irish Singles Chart   12   Piece of Mind     UK Singles Chart   12     Single   Chart ( 1990 )   Peak position   Album     `` Flight of Icarus / The Trooper ''   UK Albums Chart   7   --     Single   Chart ( 2005 )   Peak position   Album     `` The Trooper '' ( live )   Canadian Singles Chart   5   Death on the Road     Danish Singles Chart   7     Finnish Singles Chart   5     French Singles Chart   100     Irish Singles Chart   16     Italian Singles Chart   8     Spanish Singles Chart       Swedish Singles Chart   5     Swiss Singles Chart   61     UK Singles Chart   5     Single   Chart ( 2006 )   Position   Album     `` The Trooper '' ( live )   Spanish Singles Chart   10   Death on the Road     Notes ( edit )    Jump up ^ Re-release of both singles as part of The First Ten Years box set . Exceeded the length limit of the UK Singles chart .    References ( edit )    Jump up ^ `` Iron Maiden Billboard Charts '' . AllMusic . Rovi Corporation . Retrieved 29 January 2012 .   ^ Jump up to : Bushell , Garry ; Halfin , Ross ( 1985 ) . Running Free , The Official Story of Iron Maiden ( 2nd ed . ) . Zomba Books . p. 114 . ISBN 0 - 946391 - 84 - X .   Jump up ^ `` Iron Maiden Like You 've Never Heard Them Before ! '' . Blabbermouth.net . Retrieved 28 January 2012 .   Jump up ^ `` Iron Maiden - Piece of Mind '' . AllMusic . Rovi Corporation . Retrieved 29 January 2012 .   ^ Jump up to : Wall , Mick ( 2004 ) . Iron Maiden : Run to the Hills , the Authorised Biography ( 3rd ed . ) . Sanctuary Publishing . p. 245 . ISBN 1 - 86074 - 542 - 3 .   Jump up ^ `` Maiden Vinyl Facts - Part 2 '' . ironmaiden.com . Iron Maiden. 29 October 2014 . Retrieved 3 December 2014 .   Jump up ^ Childers , Chad ( 24 May 2013 ) . `` Iron Maiden , ' The Trooper ' -- Songs About Soldiers '' . Loudwire . Retrieved 25 May 2013 .   ^ Jump up to : `` Sabotage ! '' . Classic Rock ( 85 ) : 8 . 1 October 2005 .   Jump up ^ `` Iron Maiden Will Make ' At Least One More Album , ' Says Bruce Dickinson '' . Blabbermouth.net. 4 August 2011 . Retrieved 9 May 2012 .   Jump up ^ `` Iron Maiden : More ' The Trooper ' Single Details Revealed '' . Blabbermouth.net. 27 July 2005 . Retrieved 28 September 2014 .   Jump up ^ `` Various Artists - A Call to Irons : A Tribute to Iron Maiden , Vol. 1 '' . AllMusic . Rovi Corporation . Retrieved 28 January 2012 .   Jump up ^ `` Producer Bob Kulick Discusses Iron Maiden Tribute Album Numbers From The Beast '' . Blabbermouth.net . Retrieved 29 January 2012 .   Jump up ^ `` Various Artists - A Tribute to the Beast '' . AllMusic . Rovi Corporation . Retrieved 28 January 2012 .   Jump up ^ `` Metallica , Machine Head , Avenged Sevenfold , Dream Theater featured on Maiden Heaven CD '' . Blabbermouth.net. 25 June 2008 . Retrieved 28 January 2012 .   Jump up ^ `` Threshold , Within Temptation Members Record Acoustic Versions Of Iron Maiden Classics '' . Blabbermouth.net. 13 October 2010 . Retrieved 28 January 2012 .   Jump up ^ `` The Iron Maidens '' . AllMusic . Rovi Corporation . Retrieved 28 January 2012 .   Jump up ^ `` Sentenced - The Trooper '' . Metal Storm . Retrieved 3 October 2011 .   Jump up ^ `` Hellsongs - Hymns in the Key of 666 '' . AllMusic . Rovi Corporation . Retrieved 28 January 2012 .   Jump up ^ `` Various Artists - Metalliska '' . AllMusic . Rovi Corporation . Retrieved 28 January 2012 .   Jump up ^ `` Highland Glory - Forever Endeavour '' . Discogs . Retrieved 28 January 2012 .   Jump up ^ `` Radio Cult Catalogue '' . Radio Cult . Retrieved 28 January 2012 .   Jump up ^ `` Stryper : The Covering Album Pushed Back To Early 2011 '' . Blabbermouth.net. 24 October 2010 . Retrieved 3 October 2011 .   Jump up ^ `` Iced Earth - Dystopia Tour Edition To Be Available At Merch Stands On North American Tour '' . Brave Words &amp; Bloody Knuckles. 14 June 2011 . Retrieved 20 June 2012 .   Jump up ^ `` 2Cellos Create A New Dimension With Celloverse Album '' . PR Newswire. 9 December 2014 . Retrieved 21 February 2015 .   Jump up ^ Bozon , Mark ( 5 May 2009 ) . `` Guitar Hero Smash Hits : The Full Track List '' . IGN . Retrieved 28 January 2012 .   Jump up ^ `` Iron Maiden Rock Band Downloadable Content Due In June '' . Blabbermouth.net. 29 May 2009 . Retrieved 28 January 2012 .   Jump up ^ Daniels , Neil ( 10 April 2014 ) . Killers The Origins of Iron Maiden , 1975 - 1983 ( 1st ed . ) . Soundcheck Books . p. 139 . ISBN 0957570023 . Retrieved 17 December 2016 .   Jump up ^ http://www.ironmaidenbeer.com/   Jump up ^ Mural directory from Conflict Archive on the Internet   Jump up ^ Union Jack Fury of Iron Maiden Fans ; Point Crowd Boo at Flag Waving   Jump up ^ `` The Trooper '' 7 Inch Single ( Media notes ) . Iron Maiden . EMI. 20 June 1983 .   ^ Jump up to : `` Search the Charts '' . IRMA . Irishcharts.ie . Archived from the original on June 3 , 2009 . Retrieved 1 October 2011 .   Jump up ^ `` Top 40 Official UK Singles Archive 9 July 1983 '' . Official Charts Company . Retrieved 3 October 2011 .   Jump up ^ `` Top 40 Official UK Albums Archive 24 March 1990 '' . Official Charts Company . Retrieved 3 October 2011 .   Jump up ^ `` Iron Maiden Billboard Singles '' . AllMusic . Rovi Corporation . Retrieved 3 October 2011 .   Jump up ^ `` Iron Maiden - ' The Trooper ' ( song ) '' . Tracklisten . Danishcharts.com . Retrieved 26 April 2013 .   Jump up ^ `` Iron Maiden - ' The Trooper ' ( song ) '' . The Official Finnish Charts . Finnishcharts.com . Retrieved 26 April 2013 .   Jump up ^ `` Iron Maiden - ' The Trooper ' ( chanson ) '' . SNEP ( in French ) . Lescharts.com . Retrieved 26 April 2013 .   Jump up ^ `` Iron Maiden Songs '' . FIMI . Italiancharts.com . Retrieved 3 October 2011 .   ^ Jump up to : `` Iron Maiden - ' The Trooper ' ( Song ) '' . PROMUSICAE . Spanishcharts.com . Retrieved 26 April 2013 .   Jump up ^ `` Discography Iron Maiden '' . Sverigetopplistan . Swedishcharts.com . Retrieved 20 October 2011 .   Jump up ^ `` Iron Maiden - ' The Trooper ' '' . Swiss Hitparade . Retrieved 3 October 2011 .   Jump up ^ `` Top 40 Official UK Singles Archive 27 August 2005 '' . Official Charts Company . Retrieved 3 October 2011 .    External links ( edit )    Lyrics of this song at MetroLyrics              Iron Maiden       Steve Harris   Dave Murray   Adrian Smith   Bruce Dickinson   Nicko McBrain   Janick Gers     Doug Sampson   Paul Di'Anno   Dennis Stratton   Clive Burr   Blaze Bayley       Studio albums     Iron Maiden   Killers   The Number of the Beast   Piece of Mind   Powerslave   Somewhere in Time   Seventh Son of a Seventh Son   No Prayer for the Dying   Fear of the Dark   The X Factor   Virtual XI   Brave New World   Dance of Death   A Matter of Life and Death   The Final Frontier   The Book of Souls       Live albums     Live After Death   A Real Live One   A Real Dead One   Live at Donington   Maiden England   A Real Live Dead One   Rock in Rio   BBC Archives   Beast over Hammersmith   Death on the Road   Flight 666   En Vivo !   The Book of Souls : Live Chapter       Extended plays     The Soundhouse Tapes   Live ! ! + one   Maiden Japan   No More Lies       Compilations     Best of the Beast   Ed Hunter   Best of the ' B ' Sides   Edward the Great   The Essential Iron Maiden   Somewhere Back in Time   From Fear to Eternity       Box sets     The First Ten Years   Eddie 's Head   Eddie 's Archive       Video albums     Live at the Rainbow   Video Pieces   Behind the Iron Curtain   Live After Death   12 Wasted Years   Maiden England   The First Ten Years ( From There to Eternity )   Donington Live 1992   Raising Hell   Classic Albums : Iron Maiden -- The Number of the Beast   Rock in Rio   Visions of the Beast   The History of Iron Maiden -- Part 1 : The Early Days   Death on the Road   Flight 666   En Vivo !   The Book of Souls : Live Chapter       Singles     `` Running Free ''   `` Sanctuary ''   `` Women in Uniform ''   `` Twilight Zone ''   `` Purgatory ''   `` Run to the Hills ''   `` The Number of the Beast ''   `` Flight of Icarus ''   `` The Trooper ''   `` 2 Minutes to Midnight ''   `` Aces High ''   `` Wasted Years ''   `` Stranger in a Strange Land ''   `` Can I Play with Madness ''   `` The Evil That Men Do ''   `` The Clairvoyant ( live ) ''   `` Infinite Dreams ( live ) ''   `` Holy Smoke ''   `` Bring Your Daughter ... to the Slaughter ''   `` Be Quick or Be Dead ''   `` From Here to Eternity ''   `` Wasting Love ''   `` Fear of the Dark ( live ) ''   `` Hallowed Be Thy Name ( live ) ''   `` Man on the Edge ''   `` Lord of the Flies ''   `` Virus ''   `` The Angel and the Gambler ''   `` Futureal ''   `` The Wicker Man ''   `` Out of the Silent Planet ''   `` Wildest Dreams ''   `` Rainmaker ''   `` The Reincarnation of Benjamin Breeg ''   `` Different World ''   `` El Dorado ''   `` Speed of Light ''   `` Empire of the Clouds ''       Other songs     `` Satellite 15 ... The Final Frontier ''       Tours     `` Iron Maiden Tour ''   `` Killer World Tour ''   `` The Beast on the Road ''   `` World Piece Tour ''   `` World Slavery Tour ''   `` Somewhere on Tour ''   `` Seventh Tour of a Seventh Tour ''   `` No Prayer on the Road ''   `` Fear of the Dark Tour ''   `` Real Live Tour ''   `` The X Factour ''   `` Virtual XI World Tour ''   `` The Ed Hunter Tour ''   `` Brave New World Tour ''   `` Give Me Ed ... ' Til I 'm Dead Tour ''   `` Dance of Death World Tour ''   `` Eddie Rips Up the World Tour ''   `` A Matter of Life and Death Tour ''   `` Somewhere Back in Time World Tour ''   `` The Final Frontier World Tour ''   `` Maiden England World Tour ''   `` The Book of Souls World Tour ''   `` Legacy of the Beast World Tour ''       Related     Members   Discography   Songs   Awards and nominations   Eddie   Tribute albums   Urchin   Psycho Motel   Samson   The Entire Population of Hackney   The Iron Maidens   Derek Riggs   Rod Smallwood   Andy Taylor         Book     Portal      Retrieved from `` https://en.wikipedia.org/w/index.php?title=The_Trooper&amp;oldid=831140407 '' Categories :   Iron Maiden songs   1983 singles   2005 singles   Crimean War   Songs about the military   Songs written by Steve Harris ( musician )   Hidden categories :   CS1 French - language sources ( fr )   Music infoboxes with Module : String errors   Music infoboxes with deprecated parameters   Articles with hAudio microformats   Track listings with deprecated parameters           Talk                                           Contents                   About Wikipedia                                           Български   Ελληνικά   Español   Euskara   Français   Íslenska   Italiano   Magyar   Nederlands   Norsk nynorsk   Polski   Português   Русский   Српски / srpski   Suomi   Svenska   Türkçe  8 more  Edit links   This page was last edited on 18 March 2018 , at 23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</si>
  <si>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iron maiden album is the trooper on</t>
  </si>
  <si>
    <t xml:space="preserve"> `` The Trooper '' is a song by the English heavy metal band Iron Maiden . It was released as the second single on 20 June 1983 from the band 's fourth studio album , Piece of Mind ( 1983 ) . It was one of only a few songs to get much radio airplay in the US , thus peaking at No. 28 on the US Mainstream Rock charts . It also achieved success in the UK , peaking at No. 12 in the UK Singles Charts as well as gaining a much better reception than the band 's previous single , `` Flight of Icarus '' . </t>
  </si>
  <si>
    <r>
      <rPr>
        <sz val="11"/>
        <color rgb="FF000000"/>
        <rFont val="Calibri"/>
        <family val="0"/>
        <charset val="1"/>
      </rPr>
      <t xml:space="preserve">Knockin ' on Heaven 's Door - wikipedia  Knockin ' on Heaven 's Door  Jump to : navigation , search For other uses , see Knockin ' on Heaven 's Door ( disambiguation ) .    `` Knockin ' on Heaven 's Door ''         Single by Bob Dylan     from the album Pat Garrett &amp; Billy the Kid     B - side   `` Turkey Chase ''     Released   July 13 , 1973     Recorded   February 1973     Genre   Folk rock , gospel     Length   2 : 32     Label   Columbia     Songwriter ( s )   Bob Dylan     Producer ( s )   Gordon Carroll     Bob Dylan singles chronology        `` George Jackson '' ( 1971 )   `` Knockin ' on Heaven 's Door '' ( 1973 )   `` A Fool Such as I '' ( 1973 )           `` George Jackson '' ( 1971 )   `` Knockin ' on Heaven 's Door '' ( 1973 )   `` A Fool Such as I '' ( 1973 )        `` Knockin ' on Heaven 's Door '' is a song written and sung by Bob Dylan , for the soundtrack of the 1973 film Pat Garrett and Billy the Kid . Released as a single , it reached No. 12 on the Billboard Hot 100 singles chart . Described by Dylan biographer Clinton Heylin as `` an exercise in splendid simplicity , '' the song , measured simply in terms of the number of other artists who have covered it , is one of Dylan 's most popular post-1960s compositions .   Members of the Western Writers of America chose it as one of the Top 100 Western songs of all time .     Contents  ( hide )   1 Cover versions   1.1 Eric Clapton version   1.2 Guns N ' Roses versions   1.2. 1 Charts   1.2. 2 Certifications     1.3 Dunblane tribute   1.4 Other cover versions     2 Sampled version   3 Soundtrack inclusions   4 In popular culture   5 References      Cover versions ( edit )   Eric Clapton version ( edit )   In January 1975 Eric Clapton played on Jamaican singer Arthur Louis ' recording of `` Knockin ' on Heaven 's Door '' arranged in a reggae style . Subsequently , Clapton recorded his own reggae - style version of the song which was released in August 1975 , two weeks after Louis 's version was released as a single in July 1975 . Clapton 's single peaked at No. 38 in the UK Singles Chart . The single was less successful in the US , only reaching No. 109 in Cash Box . Clapton 's 1996 boxed set Crossroads 2 : Live in the Seventies features a performance recorded in London in April 1977 . The song was also performed during the Journeyman and One More Car , One More Rider world tours in 1990 and 2003 . Additionally , the song has been included on several Clapton compilation albums , such as Time Pieces : The Best of Eric Clapton , Backtrackin ' , The Cream of Clapton and Complete Clapton .   Guns N ' Roses versions ( edit )     `` Knockin ' on Heaven 's Door ''     1992 UK picture sleeve     Song by Guns N ' Roses     from the album Days of Thunder ( soundtrack ) and Use Your Illusion II     Released   June 26 , 1990     Genre   Hard rock , blues rock     Length   5 : 36     Label   Geffen     Songwriter ( s )   Bob Dylan     Producer ( s )     Mike Clink   Guns N ' Roses       In 1987 , Guns N ' Roses started including the song in their live sets . A live version of the song was released on the maxi - single of `` Welcome to the Jungle '' the same year . They recorded a studio version in 1990 for the soundtrack of the film Days of Thunder which reached No. 18 on the Billboard Album Rock Tracks chart in 1990 . This version was later slightly modified for the 1991 album Use Your Illusion II ( basically discarding the responses in the second verse ) . Released as the fourth single from the album , it reached No. 2 on the UK Singles Chart as well as No. 12 in Australia and No. 1 in Ireland . Their performance of the song at the Freddie Mercury Tribute Concert in 1992 was used as the B - side for the single release and was also included on their Live Era : ' 87 -- ' 93 album , released in 1999 . The music video for this version of the song was directed by Andy Morahan .  Charts ( edit )    Chart ( 1992 )   Peak position     Australia ( ARIA )   12     Austria ( Ö3 Austria Top 40 )       Belgium ( Ultratop 50 Flanders )       Finland ( The Official Finnish Charts )   7     France ( SNEP )   7     Germany ( Official German Charts )   5     Ireland ( IRMA )       Netherlands ( Single Top 100 )       New Zealand ( Recorded Music NZ )       Norway ( VG - lista )   6     Sweden ( Sverigetopplistan )   10     Switzerland ( Schweizer Hitparade )   5     UK Singles ( Official Charts Company )       US Mainstream Rock ( Billboard )   18    Certifications ( edit )    Region   Certification     Australia ( ARIA )   Gold     Italy ( FIMI )   Platinum     Dunblane tribute ( edit )   In 1996 and with the consent of Bob Dylan , Scottish musician Ted Christopher wrote a new verse for `` Knockin ' on Heaven 's Door '' in memory of the schoolchildren and teacher killed in the Dunblane school massacre . This has been , according to some sources , one of the few times Dylan has officially authorized anybody to add or change the lyrics to one of his songs . This version of the song , including children from the village singing the chorus with guitarist and producer of Dylan 's album Infidels ( 1983 ) , Mark Knopfler , was released on December 9 in the UK and reached No. 1 in the UK Singles Chart . The proceeds went to charities for children . The song was featured on the compilation album Hits 97 , where all royalties from the song were given to three separate charities .   Other cover versions ( edit )    Two different live versions by Fairport Convention recorded in February 1974 at the Troubadour in Los Angeles were released . One on the Sandy Denny box set Who Knows Where the Time Goes in 1985 , and the other on her anthology A Boxful of Treasures in 2004 .   A live version by Cold Chisel appears on their 1981 live album Swingshift .   Danny &amp; Dusty released a version of the song on their 1985 album The Lost Weekend .   Heaven released a version of the song on the group 's 1985 album , Knockin ' On Heaven 's Door .   Randy Crawford released a version of this song on her album Rich and Poor in 1989 , featuring Eric Clapton and David Sanborn .   Vlado Kreslin released his live version on his album Pikapolonica in 1996 . It was performed by Beltinška banda .   The Brazilian singer Zé Ramalho released a Portuguese version of Dylan 's song called `` Batendo na Porta do Céu '' in his 1997 album Antologia Acústica ( Acoustic Anthology ) .   Warren Zevon released a version of the song on his 2003 album The Wind , shortly before his death from cancer in September of that year .   Avril Lavigne released a cover version on the bonus CD of her My World video release in 2003 , as one of the B - Sides from her single `` Nobody 's Home '' and afterwards as a Japanese bonus track for her 2011 album Goodbye Lullaby .   Larry Norman released his cover on his 2004 album Sessions . With the exception of the chorus line , the song has completely original lyrics .   Roger Waters released a cover version on his album Flickering Flame : The Solo Years Volume 1 .   Wyclef Jean recorded a version of the song , which was used in the 2004 documentary Ghosts of Cité Soleil .   Babyface released a version on his 2007 album Playlist .   A version by Antony and the Johnsons was included on the Bob Dylan cover album I 'm Not There , which served as the soundtrack for the film of the same name .   Mungo Jerry founder Ray Dorset released a Caribbean version of the song .   Dolly Parton performed a version with Ladysmith Black Mombazo .   Jerry Garcia Band often covered the song in their live sets , one recorded example being the live album Do n't Let Go   Meir Ariel , an Israeli singer , covered the song with a Hebrew version in a 1998 concert later released as an album , Doors Are Opened By Themselves . The chorus is sung in both Hebrew and English .   Bryan Ferry recorded a version of the song on his album Dylanesque .   The City of Miami Police Department published a video of Miami Police Sergeant Ginzo performing the song as a tribute to the 144 law enforcement officers who died in the line of duty in 2016 .    Sampled version ( edit )   Gabrielle 's single `` Rise '' ( 2000 ) sampled from this song .   Soundtrack inclusions ( edit )     Film / TV show   Year   Performer     Pat Garrett &amp; Billy the Kid   1973   Bob Dylan     Renaldo &amp; Clara   1978   Bob Dylan &amp; Roger McGuinn     Lethal Weapon 2   1989   Randy Crawford , Eric Clapton &amp; David Sanborn     Days of Thunder   1990   Guns N ' Roses     Shake Rattle &amp; Roll 2 ( segment `` Aswang '' )   1990   Guns N ' Roses     Rush   1991   Bob Dylan     Total Balalaika Show     Leningrad Cowboys and Alexandrov Ensemble     Lawn Dogs   1997   Bob Dylan     The Dybbuk of the Holy Apple Field   1997   Roger Waters     Knockin ' on Heaven 's Door   1997   Selig     Treasure Planet   2002   Bob Dylan     Windstruck     Youme     Be Cool   2005   Bob Dylan     Las Vegas ( episode 45 , `` Letters , Lawyers and Loose Women '' )   2005   Bob Dylan     Six Feet Under ( episode 61 , `` All Alone '' )   2005   Bob Dylan     ER ( episode 260 , `` Darfur '' )   2006   Scoob Serious     Salvador ( Puig Antich )   2006   Bob Dylan     I 'm Not There   2007   Antony &amp; the Johnsons     Supernatural ( episode 35 , `` Houses of the Holy '' )   2007   Bob Dylan     Cold Case ( episode 84 , `` Blood on the Tracks '' )   2007   Bob Dylan     Big Love ( episode 2 - 08 , `` Kingdom Come '' )   2007   Bob Dylan     My Name is Earl   2008   Bob Dylan     Come Dio Comanda   2008   Antony &amp; the Johnsons     Heaven 's Door   2009   Angela Aki     Supernatural ( episode 98 , `` Dark Side of the Moon '' )     Bob Dylan     Lifted   2011   Uriah Shelton     Blue Bloods ( Season 4 , Episode 7 , `` Drawing Dead '' )   2013   Rick Devin     The 100   2015   RAIGN     Sense8 ( episode 9 , `` Death Does n't Let You Say Goodbye '' )   2015   Antony &amp; the Johnsons     Containment , episode 5 , `` Like a Sheep Among Wolves ''   2016   RAIGN     In popular culture ( edit )   Nick Talevski used the title for his book , Knocking On Heaven 's Door : Rock Obituaries . A version of this song was performed by Raign for the TV show `` The 100 ''   The title is used as a name of a Stand , `` Heaven 's Door '' , in the fourth part of the manga `` Jojo 's Bizarre Adventure '' , Diamond is Unbreakable .   The title was used for the 11th episode of Angel Beats ! and Bob Dylan along with the song was mentioned in the episode by T.K. and Hinata   Covered by The Jenerators , the song was used during a tribute to the death of cast member Miguel Ferrer of NCIS : Los Angeles at the end of the Season 8 Episode 16 `` New Tricks '' , broadcast on March 5 , 2017 . Ferrer was a member of The Jenerators .   References ( edit )    Jump up ^ Heylin , Clinton ( 2009 ) . Revolution in the Air : The Songs of Bob Dylan , 1957 - 1973 . Chicago Review Press . p. 434 .   Jump up ^ Western Writers of America ( 2010 ) . `` The Top 100 Western Songs '' . American Cowboy . Archived from the original on 10 August 2014 .   Jump up ^ Schumacher , Michael . Crossroads : The Life and Music of Eric Clapton . Hyperion Press . p. 373 .   Jump up ^ `` Eric Clapton discography '' . allmusic.com . Retrieved 2010 - 05 - 10 .   Jump up ^ `` Gun N ' Roses discography '' . allmusic.com . Retrieved 2010 - 05 - 10 .   Jump up ^ Garcia , Alex S. `` mvdbase.com - Guns ' n ' Roses - `` Knockin ' on Heaven 's door ( live ) '' `` . Music Video DataBase . Retrieved November 2 , 2015 .   Jump up ^ `` Australian-charts.com -- Guns N ' Roses -- Knockin ' On Heaven 's Door '' . ARIA Top 50 Singles . Retrieved March 13 , 2017 .   Jump up ^ `` Austriancharts.at -- Guns N ' Roses -- Knockin ' On Heaven 's Door '' ( in German ) . Ö3 Austria Top 40 . Retrieved March 13 , 2017 .   Jump up ^ `` Ultratop.be -- Guns N ' Roses -- Knockin ' On Heaven 's Door '' ( in Dutch ) . Ultratop 50 . Retrieved March 13 , 2017 .   Jump up ^ Pennanen , Timo . Sisältää hitin : levyt ja esittäjät Suomen musiikkilistoilla vuodesta 1972 . Otava Publishing Company Ltd , 2003 . ISBN 951 - 1 - 21053 - X   Jump up ^ `` Lescharts.com -- Guns N ' Roses -- Knockin ' On Heaven 's Door '' ( in French ) . Les classement single . Retrieved March 13 , 2017 .   Jump up ^ `` Offiziellecharts.de -- Guns N ' Roses -- Knockin ' On Heaven 's Door '' . GfK Entertainment Charts . Retrieved March 13 , 2017 .   Jump up ^ `` The Irish Charts -- Search Results -- Guns N ' Roses '' . Irish Singles Chart . Retrieved March 13 , 2017 .   Jump up ^ `` Dutchcharts.nl -- Guns N ' Roses -- Knockin ' On Heaven 's Door '' ( in Dutch ) . Single Top 100 . Retrieved March 13 , 2017 .   Jump up ^ `` Charts.org.nz -- Guns N ' Roses -- Knockin ' On Heaven 's Door '' . Top 40 Singles . Retrieved March 13 , 2017 .   Jump up ^ `` Norwegiancharts.com -- Guns N ' Roses -- Knockin ' On Heaven 's Door '' . VG - lista . Retrieved March 13 , 2017 .   Jump up ^ `` Swedishcharts.com -- Guns N ' Roses -- Knockin ' On Heaven 's Door '' . Singles Top 100 . Retrieved March 13 , 2017 .   Jump up ^ `` Swisscharts.com -- Guns N ' Roses -- Knockin ' On Heaven 's Door '' . Swiss Singles Chart . Retrieved March 13 , 2017 .   Jump up ^ `` Official Singles Chart Top 100 '' . Official Charts Company . Retrieved March 13 , 2017 .   Jump up ^ `` Guns N ' Roses -- Chart history '' Billboard Mainstream Rock Songs for Guns N ' Roses . Retrieved March 13 , 2017 .   Jump up ^ Ryan , Gavin ( 2011 ) . Australia 's Music Charts 1988 - 2010 . Mt . Martha , VIC , Australia : Moonlight Publishing .   Jump up ^ `` Italian single certifications -- Guns N ' Roses -- Knockin ' On Heaven 's Door '' ( in Italian ) . Federazione Industria Musicale Italiana . Retrieved March 13 , 2017 .   Jump up ^ `` Dunblane Knockin ' on Heaven 's Door '' . bannockburnband.co.uk . Retrieved 2010 - 08 - 25 .   Jump up ^ `` Dunblane against Guns '' . 1997 - 01 - 01 . Retrieved 2010 - 08 - 25 .   Jump up ^ Roberts , David ( 2006 ) . British Hit Singles &amp; Albums ( 19th ed . ) . London : Guinness World Records Limited . p. 601 . ISBN 1 - 904994 - 10 - 5 .   Jump up ^ `` Knockin ' On Heaven 's Door CD '' . BBC . Retrieved 2010 - 08 - 25 .   Jump up ^ `` Fairport Convention : Knockin ' on Heaven 's Door '' . Mainly Norfolk : English Folk and Other Good Music . Retrieved 29 July 2015 .   Jump up ^ Adrian Zupp . `` Swingshift - Cold Chisel '' . AllMusic . All Media Network . Retrieved 2015 - 02 - 03 .   Jump up ^ `` Heaven '' . Australian Music History . Retrieved 2016 - 10 - 08 .   Jump up ^ `` DONATIONS - The Solid Rock Shop '' . Solid Rock . Archived from the original on 2013 - 09 - 08 . Retrieved 2013 - 09 - 04 .   Jump up ^ `` Blue Bloods Music - S4E7 : `` Drawing Dead '' `` . TuneFind . Retrieved 2016 - 09 - 07 .   Jump up ^ Televski , Nick , Knocking On Heaven 's Door : Rock Obituaries , Omnibus Press , London 2006   Jump up ^ http://www.tvguide.com/news/ncis-la-recap-granger-miguel-ferrer/              Bob Dylan singles discography     1960s      1962     `` Mixed - Up Confusion '' / `` Corrina , Corrina ''       1963     `` Blowin ' in the Wind '' / `` Do n't Think Twice , It 's All Right ''       1965     `` The Times They Are a-Changin ' '' / `` Honey , Just Allow Me One More Chance ''   `` Maggie 's Farm '' / `` On the Road Again ''   `` Subterranean Homesick Blues '' / `` She Belongs to Me ''   `` Like a Rolling Stone '' / `` Gates of Eden   `` Positively 4th Street '' / `` From a Buick 6 ''   `` Can You Please Crawl Out Your Window ? '' / `` Highway 61 Revisited ''       1966     `` One of Us Must Know ( Sooner or Later ) '' / `` Queen Jane Approximately ''   `` Rainy Day Women ♯ 12 &amp; 35 '' / `` Pledging My Time ''   `` I Want You '' / `` Just Like Tom Thumb 's Blues '' ( live with The Hawks )   `` Just Like a Woman '' / `` Obviously 5 Believers ''       1967     `` Leopard - Skin Pill - Box Hat '' / `` Most Likely You Go Your Way And I 'll Go Mine ''   `` If You Gotta Go , Go Now '' / `` To Ramona '' ( only in Europe )       1968     `` Drifter 's Escape '' / `` John Wesley Harding ''   `` All Along the Watchtower '' / `` I 'll Be Your Baby Tonight ''       1969     `` I Threw It All Away '' / `` Drifter 's Escape ''   `` Lay Lady Lay '' / `` Peggy Day ''   `` Tonight I 'll Be Staying Here with You '' / `` Country Pie ''          1970s      1970     `` If Not for You '' / `` New Morning ''   `` Wigwam '' / `` Copper Kettle ''       1971     `` Watching the River Flow '' / `` Spanish is the Loving Tongue ''   `` George Jackson '' ( band version ) / `` George Jackson '' ( acoustic version )       1973     `` Knockin ' on Heaven 's Door '' / `` Turkey Chase '' ( instrumental from Pat Garrett and Billy the Kid )   `` A Fool Such as I '' / `` Lily of the West ''           `` On a Night Like This '' / `` You Angel You ''   `` Something There Is About You '' / `` Tough Mama ''   `` Most Likely You Go Your Way ( And I 'll Go Mine ) '' ( live with The Band )   `` All Along the Watchtower '' / `` It Ai n't Me Babe ''           `` Tangled Up in Blue '' / `` If You See Her , Say Hello ''   `` Million Dollar Bash '' / `` Tears of Rage ''   `` Hurricane '' ( Part 1 ) / `` Hurricane '' ( Part 2 )       1976     `` Mozambique '' / `` Oh Sister ''   `` Stuck Inside of Mobile With the Memphis Blues Again '' ( live ) / `` Rita May ''       1978     `` Baby , Stop Crying '' / `` We Better Talk This Over ''   `` Changing of the Guards '' / `` Señor ( Tales of Yankee Power ) ''   `` Is Your Love In Vain ? '' / `` We Better Talk This Over ''       1979     `` Maggie 's Farm ( live ) / `` All Along the Watchtower ''   `` Forever Young '' ( live ) / `` All Along the Watchtower '' / `` I Want You ''   `` Man Gave Names to All the Animals '' / `` When You Gonna Wake Up ? ''   `` Gotta Serve Somebody '' / `` Trouble in Mind ''   `` Precious Angel '' / `` Trouble in Mind ''          1980s      1980     `` Slow Train '' / `` Do Right to Me Baby ''   `` Solid Rock '' / `` Covenant Woman ''   `` Saved '' / `` Are You Ready ? ''       1981     `` Heart of Mine '' / `` Let It Be Me ''   `` Dead Man , Dead Man '' / `` Lenny Bruce ''           `` Union Sundown '' / `` Angel Flying too Close to the Ground ''   `` I and I '' / `` Angel Flying too Close to the Ground ''   `` Sweetheart Like You '' / `` Union Sundown ''       1984     `` Jokerman '' / `` Isis ''       1985     `` Tight Connection to My Heart ( Has Anybody Seen My Love ) '' / `` We Better Talk this Over ''   `` When the Night Comes Falling from the Sky '' / `` Emotionally Yours ''       1986     `` Band of the Hand '' / `` Joe 's Death '' ( Michael Rubini )   `` Got My Mind Made Up '' / `` The Usual ''           `` Silvio '' / `` Driftin ' too Far from the Shore ''       1989     `` Everything Is Broken '' / `` Death is Not the End ''   `` Slow Train '' ( live with The Grateful Dead )          1990s      1990     `` Political World '' / `` Ring Them Bells '' ( only in the UK and Australia )   `` Most of the Time '' / `` Most of the Time ( edit piece )   `` Unbelievable '' / `` 10,000 Men ''       1991     `` Series of Dreams '' / `` Seven Curses ''   `` Blind Willie McTell '' / `` It Takes a Lot to Laugh , It Takes a Train to Cry '' ( from The Bootleg Series Volumes 1 - 3 )   `` Step it Up and Go '' -- ( no b - side )           `` My Back Pages '' ( with Roger McGuinn , Tom Petty , Neil Young , Eric Clapton , George Harrison ) -- ( no b - side )       1995     `` Dignity '' ( live on MTV Unplugged ) / `` A Hard Rain 's a-Gonna Fall '' ( live version )   `` Knockin ' on Heaven 's Door '' / `` John Brown '' ( both live on MTV Unplugged )       1998     `` Not Dark Yet '' / `` Tombstone Blues '' ( live ) / `` Ballad of a Thin Man '' ( live ) / `` Boots of Spanish Leather '' ( live )   `` Love Sick '' / `` Tombstone Blues '' ( live )          2000s      2000     `` Things Have Changed '' / `` Make You Feel My Love '' ( live ) / `` Hurricane '' / `` Song to Woody '' ( live )       2006     `` Someday Baby '' / `` Someday Baby '' ( edit piece )   `` Rollin ' and Tumblin ' '' / `` Not Dark Yet '' / `` High Water ( for Charley Patton ) ''       2007     `` Most Likely You Go Your Way ( And I 'll Go Mine ) '' ( Mark Ronson remix version ) / `` Most Likely You Go Your Way ( And I 'll Go Mine ) '' ( album version )       2008     `` Dreamin ' of You '' ( edit piece ) / `` Dreamin ' of You '' ( album version )       2009     `` Beyond Here Lies Nothin ' '' / `` Down Along the Cove '' ( live )   `` I Feel a Change Comin ' On '' / `` I Feel a Change Comin ' On '' ( edit piece )   `` Must Be Santa '' / `` ' Twas the Night Before Christmas ''          2010s          `` The Times They Are a-Changin ' '' ( demo version ) / `` Like a Rolling Stone ''       2012     `` Duquesne Whistle ''       2013     `` Wigwam '' ( demo version ) / `` Thirsty Boots ''            Book : Bob Dylan   Category : Bob Dylan   Portal : Bob Dylan   WikiProject : Bob Dylan                 Guns N ' Roses       Axl Rose   Slash   Duff McKagan   Dizzy Reed   Richard Fortus   Frank Ferrer   Melissa Reese     Izzy Stradlin   Tracii Guns   Ole Beich   Rob Gardner   Steven Adler   Matt Sorum   Gilby Clarke   Paul Tobias   Robin Finck   Josh Freese   Tommy Stinson   Chris Pitman   Buckethead   Bryan `` Brain '' Mantia   Ron `` Bumblefoot '' Thal   DJ Ashba       Studio albums     Appetite for Destruction   G N ' R Lies   Use Your Illusion I   Use Your Illusion II   `` The Spaghetti Incident ? ''   Chinese Democracy       Live albums     Live Era ' 87 -- ' 93       Extended plays     Live ? ! * @ Like a Suicide   Guns N ' Roses   The `` Civil War '' EP       Compilation albums     Use Your Illusion   Greatest Hits       Singles     `` It 's So Easy ''   `` Welcome to the Jungle ''   `` Sweet Child o ' Mine ''   `` Paradise City ''   `` Patience ''   `` Nightrain ''   `` You Could Be Mine ''   `` Do n't Cry ''   `` Live and Let Die ''   `` Knockin ' on Heaven 's Door ''   `` November Rain ''   `` Yesterdays ''   `` Civil War ''   `` Ai n't It Fun ''   `` Estranged ''   `` Since I Do n't Have You ''   `` Sympathy for the Devil ''   `` Chinese Democracy ''       Promo singles     `` Mr. Brownstone ''   `` My Michelle ''   `` 14 Years ''   `` Pretty Tied Up ''   `` Dead Horse ''   `` Hair of the Dog ''   `` Oh My God ''   `` Better ''   `` Street of Dreams ''       Other songs     `` Think About You ''   `` Rocket Queen ''   `` Used to Love Her ''   `` One in a Million ''   `` Coma ''   `` Get in the Ring ''   `` The Garden ''   `` Madagascar ''   `` Prostitute ''       Videos and DVDs     Use Your Illusion I   Use Your Illusion II   Garden of Eden : Strictly Limited Edition   Welcome to the Videos   Appetite for Democracy 3D       Tours     The Early Days of Guns N ' Roses   Appetite for Destruction Tour   Use Your Illusion Tour   Guns N ' Roses / Metallica Stadium Tour   Chinese Democracy Tour   Up Close and Personal Tour   Appetite for Democracy   Not in This Lifetime ... Tour       Related      Articles     Discography   Members   Songs   Awards and nominations   Del James   West Arkeen   Guns N ' Roses Pinball   Riverport Riot   Watch You Bleed : The Saga of Guns N ' Roses   The Roots of Guns N ' Roses   Uzi Suicide       Bands     BulletBoys   The Dead Daisies   Hollywood Rose   Johnny Crash   Kings of Chaos   L.A. Guns   Love Spit Love   Metallica   Neurotic Outsiders   Nine Inch Nails   Praxis   The Psychedelic Furs   Road Crew   Slash 's Snakepit   Velvet Revolver            Book        Retrieved from `` https://en.wikipedia.org/w/index.php?title=Knockin%27_on_Heaven%27s_Door&amp;oldid=801272507 '' Categories :   1973 singles   1973 songs   1990s ballads   1992 singles   The Alarm songs   Bob Dylan songs   Columbia Records singles   Geffen Records singles   Eric Clapton songs   European Hot 100 Singles number - one singles   Grateful Dead songs   Guns N ' Roses songs   Music videos directed by Andy Morahan   Rock ballads   Roger Waters songs   Songs about death   Songs written for films   Songs written by Bob Dylan   UK Singles Chart number - one singles   Warren Zevon songs   Hidden categories :   CS1 Italian - language sources ( it )   Articles with hAudio microformats   Singlechart usages for Australia   Singlechart usages for Austria   Singlechart usages for Flanders   Singlechart usages for France   Singlechart usages for Germany2   Singlechart usages for Ireland2   Singlechart called without song   Singlechart usages for Dutch100   Singlechart usages for New Zealand   Singlechart usages for Norway   Singlechart usages for Sweden   Singlechart usages for Switzerland   Singlechart usages for UK   Singlechart usages for Billboardmainstreamrock           Talk                                           Contents                   About Wikipedia                                           Čeština   Deutsch   Ελληνικά   Español   Euskara   فارسی   Français   </t>
    </r>
    <r>
      <rPr>
        <sz val="11"/>
        <color rgb="FF000000"/>
        <rFont val="Noto Sans CJK SC"/>
        <family val="2"/>
      </rPr>
      <t xml:space="preserve">한국어   </t>
    </r>
    <r>
      <rPr>
        <sz val="11"/>
        <color rgb="FF000000"/>
        <rFont val="Calibri"/>
        <family val="0"/>
        <charset val="1"/>
      </rPr>
      <t xml:space="preserve">Հայերեն   Hrvatski   Italiano   עברית   ქართული   Magyar   Nederlands   </t>
    </r>
    <r>
      <rPr>
        <sz val="11"/>
        <color rgb="FF000000"/>
        <rFont val="Noto Sans CJK SC"/>
        <family val="2"/>
      </rPr>
      <t xml:space="preserve">日本 語   </t>
    </r>
    <r>
      <rPr>
        <sz val="11"/>
        <color rgb="FF000000"/>
        <rFont val="Calibri"/>
        <family val="0"/>
        <charset val="1"/>
      </rPr>
      <t xml:space="preserve">Norsk   Norsk nynorsk   Polski   Português   Русский   Sicilianu   Slovenčina   Suomi   Svenska   </t>
    </r>
    <r>
      <rPr>
        <sz val="11"/>
        <color rgb="FF000000"/>
        <rFont val="Noto Sans CJK SC"/>
        <family val="2"/>
      </rPr>
      <t xml:space="preserve">中文   </t>
    </r>
    <r>
      <rPr>
        <sz val="11"/>
        <color rgb="FF000000"/>
        <rFont val="Calibri"/>
        <family val="0"/>
        <charset val="1"/>
      </rPr>
      <t xml:space="preserve">Edit links   This page was last edited on 18 September 2017 , at 18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</si>
  <si>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wrote the song knocking on heaven's door</t>
  </si>
  <si>
    <t xml:space="preserve"> `` Knockin ' on Heaven 's Door '' is a song written and sung by Bob Dylan , for the soundtrack of the 1973 film Pat Garrett and Billy the Kid . Released as a single , it reached No. 12 on the Billboard Hot 100 singles chart . Described by Dylan biographer Clinton Heylin as `` an exercise in splendid simplicity , '' the song , measured simply in terms of the number of other artists who have covered it , is one of Dylan 's most popular post-1960s compositions . </t>
  </si>
  <si>
    <t xml:space="preserve">Who 's Who Among American High school students - wikipedia  Who 's Who Among American High school students       This article includes a list of references , but its sources remain unclear because it has insufficient inline citations . Please help to improve this article by introducing more precise citations . ( July 2014 ) ( Learn how and when to remove this template message )     Who 's Who Among American High School Students was a web site and publication ( owned and managed by Educational Communications Inc . ) that listed what it deemed to be high school students `` who have excelled in academics , extracurricular activities and community service . '' It is now shut down due to bankruptcy .     Contents  ( hide )   1 About   2 Criticism   3 See also   4 References   5 External links      About ( edit )   Who 's Who Among American High School Students compiled and published an annual edition in which students ' names and achievements are listed . According to the website , people who accept nomination for inclusion in the book are sometimes qualified for various scholarship opportunities . While there were no required fees to be considered , there was the optional purchase of the listing publication .   Who 's Who Among American High School Students was one of three publications produced by Educational Communications , Inc . ( ECI ) . ECI was part of American Achievement Corporation ( AAC ) , located in Austin , Texas . AAC is one of 7 companies owned by Fenway Partners , based in New York City . ECI ceased operations on November 1 , 2007 .   Criticism ( edit )   There was much debate over the value of the book . Although it does not cost any money to be listed , it is often categorized as a scam since it is an attempt by a private company to make money through proud parents and students who purchase the book and various memorabilia ( such as a `` commemorative keychain '' ) associated with the publication in attempt at recognition . There have been concerns about how students are nominated as well as whether the listing 's entries are fact - checked and accurate .   The focus of another criticism was the fact of some students being excluded , apparently based on highly random or subjective factors , while others were included . In contrast to such things as academic , athletic , artistic or citizenship awards , which are based at least partly on demonstrable merit , these vanity publications seemed highly influenced by biased recommendations from teachers or even imaginary achievements stated by students ( for example , claiming to star in school plays that never existed ) . Another issue raised , particularly as regards private schools , is that publications of this kind serve to challenge the standards of ( for example ) a Roman Catholic institution which sets its own norms for students ' success in areas beyond academics and activities .   It has also been stated that scholarships were awarded , but in most cases these were for only 200 dollars and assigned ( won ) by random chance , similar to a lottery drawing .   Students consented to being listed in Who 's Who in the hope that the listing would be seen by college admissions offices as a significant recognition of a student 's academic and extracurricular involvement . However , most admissions officers believe that the recognition has no such value and in fact some consider the `` honor '' to be a joke . According to the admissions vice president of Hamline University , `` It 's honestly something that an admissions officer typically would n't consider or would n't play into an admissions decision , '' adding that Who 's Who ... is just trying to sell books .   See also ( edit )    Who 's Who scam    References ( edit )    Jump up ^ `` '' Who 's Who '' publisher shuts down `` . November 12 , 2007 .   Jump up ^ `` American Achievement '' . Retrieved 27 May 2016 .   Jump up ^ `` '' Who 's Who '' publisher shuts down `` . Austin Business Journal . November 12 , 2007 .   ^ Jump up to : Yvonne Zanos : What 's what with Who 's Who , December 5 , 2005 , retrieved 2 / 12 / 07   ^ Jump up to : Student Questions ' Who 's Who ' Directory Archived 2010 - 01 - 12 at the Wayback Machine. , WCCO TV , January 3 , 2006   Jump up ^ `` College Confidential forum thread '' . Collegeconfidential.com . Retrieved 2014 - 06 - 05 .    External links ( edit )    10 - K Filed Form for American Achievement Corporation ( AAC )   Retrieved from `` https://en.wikipedia.org/w/index.php?title=Who%27s_Who_Among_American_High_School_Students&amp;oldid=847337753 '' Categories :   High school honor societies   United States biographical dictionaries   2007 disestablishments in the United States   Hidden categories :   Webarchive template wayback links   Articles lacking in - text citations from July 2014   All articles lacking in - text citations   All articles with unsourced statements   Articles with unsourced statements from November 2015           Talk                                           Contents                   About Wikipedia                                           Add links   This page was last edited on 24 June 2018 , at 16 : 21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</si>
  <si>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who who among american high school students</t>
  </si>
  <si>
    <t xml:space="preserve"> Who 's Who Among American High School Students was a web site and publication ( owned and managed by Educational Communications Inc . ) that listed what it deemed to be high school students `` who have excelled in academics , extracurricular activities and community service . '' It is now shut down due to bankruptcy . </t>
  </si>
  <si>
    <r>
      <rPr>
        <sz val="11"/>
        <color rgb="FF000000"/>
        <rFont val="Calibri"/>
        <family val="0"/>
        <charset val="1"/>
      </rPr>
      <t xml:space="preserve">Streptococcal pharyngitis - Wikipedia  Streptococcal pharyngitis  Jump to : navigation , search    Streptococcal pharyngitis     Synonyms   Streptococcal tonsillitis , streptococcal sore throat , strep         A culture positive case of streptococcal pharyngitis with typical tonsillar exudate in a 16 - year - old .     Specialty   Infectious disease     Symptoms   Fever , sore throat , large lymph nodes     Usual onset   1 -- 3 days after exposure     Duration   7 -- 10 days     Causes   Group A streptococcus     Diagnostic method   Throat culture , strep test     Prevention   Handwashing     Treatment   Paracetamol ( acetaminophen ) , NSAIDs , antibiotics     Frequency   5 to 40 % of sore throats     ( edit on Wikidata )     Streptococcal pharyngitis , also known as strep throat , is an infection of the back of the throat including the tonsils caused by group A streptococcus ( GAS ) . Common symptoms include fever , sore throat , red tonsils , and enlarged lymph nodes in the neck . A headache , and nausea or vomiting may also occur . Some develop a sandpaper - like rash which is known as scarlet fever . Symptoms typically begin one to three days after exposure and last seven to ten days .   Strep throat is spread by respiratory droplets from an infected person . It may be spread directly or by touching something that has droplets on it and then touching the mouth , nose , or eyes . Some people may carry the bacteria without symptoms . It may also be spread by skin infected with group A strep . The diagnosis is made based on the results of a rapid antigen detection test or throat culture in those who have symptoms .   Prevention is by washing hands and not sharing eating utensils . There is no vaccine for the disease . Treatment with antibiotics is only recommended in those with a confirmed diagnosis . Those infected should stay away from other people for at least 24 hours after starting treatment . Pain can be treated with paracetamol ( acetaminophen ) and nonsteroidal anti-inflammatory drugs ( NSAIDS ) such as ibuprofen .   Strep throat is a common bacterial infection in children . It is the cause of 15 -- 40 % of sore throats among children and 5 -- 15 % among adults . Cases are more common in late winter and early spring . Potential complications include rheumatic fever and peritonsillar abscess .     Contents  ( hide )   1 Signs and symptoms   2 Cause   3 Diagnosis   3.1 Laboratory testing   3.2 Differential diagnosis     4 Prevention   5 Treatment   5.1 Pain medication   5.2 Antibiotics     6 Prognosis   7 Epidemiology   8 References   9 External links      Signs and symptoms   The typical signs and symptoms of streptococcal pharyngitis are a sore throat , fever of greater than 38 ° C ( 100 ° F ) , tonsillar exudates ( pus on the tonsils ) , and large cervical lymph nodes .   Other symptoms include : headache , nausea and vomiting , abdominal pain , muscle pain , or a scarlatiniform rash or palatal petechiae , the latter being an uncommon but highly specific finding .   Symptoms typically begin one to three days after exposure and last seven to ten days .   Strep throat is unlikely when any of the symptoms of red eyes , hoarseness , runny nose , or mouth ulcers are present . It is also unlikely when there is no fever .     Mouth wide open showing the throat A throat infection which on culture tested positive for group A streptococcus . Note the large tonsils with white exudate .     Mouth wide open showing the throat Note the petechiae , or small red spots , on the soft palate . This is an uncommon but highly specific finding in streptococcal pharyngitis .     A set of large tonsils in the back of the throat , covered in white exudate . A culture positive case of streptococcal pharyngitis with typical tonsillar exudate in an 8 - year - old .     Cause   Strep throat is caused by group A beta - hemolytic streptococcus ( GAS or S. pyogenes ) . Other bacteria such as non -- group A beta - hemolytic streptococci and fusobacterium may also cause pharyngitis . It is spread by direct , close contact with an infected person ; thus crowding , as may be found in the military and schools , increases the rate of transmission . Dried bacteria in dust are not infectious , although moist bacteria on toothbrushes or similar items can persist for up to fifteen days . Contaminated food can result in outbreaks , but this is rare . Of children with no signs or symptoms , 12 % carry GAS in their pharynx , and , after treatment , approximately 15 % of those remain positive , and are true `` carriers '' .   Diagnosis   Modified Centor score   Points   Probability of Strep   Management     1 or fewer     No antibiotic or culture needed       11 -- 17 %   Antibiotic based on culture or RADT       28 -- 35 %     4 or 5   52 %   Empiric antibiotics     A number of scoring systems exist to help with diagnosis ; however , their use is controversial due to insufficient accuracy . The modified Centor criteria are a set of five criteria ; the total score indicates the probability of a streptococcal infection .   One point is given for each of the criteria :    Absence of a cough   Swollen and tender cervical lymph nodes   Temperature &gt; 38.0 ° C ( 100.4 ° F )   Tonsillar exudate or swelling   Age less than 15 ( a point is subtracted if age &gt; 44 )    A score of one may indicated no treatment or culture is needed , or it may indicate the need to perform further testing if other high risk factors exist , such as a family member having the disease .   The Infectious Disease Society of America recommends against empirical treatment and considers antibiotics only appropriate when given after a positive test . Testing is not needed in children under three as both group A strep and rheumatic fever are rare , unless a child has a sibling with the disease .   Laboratory testing   A throat culture is the gold standard for the diagnosis of streptococcal pharyngitis , with a sensitivity of 90 -- 95 % . A rapid strep test ( also called rapid antigen detection testing or RADT ) may also be used . While the rapid strep test is quicker , it has a lower sensitivity ( 70 % ) and statistically equal specificity ( 98 % ) as a throat culture . In areas of the world where rheumatic fever is uncommon , a negative rapid strep test is sufficient to rule out the disease .   A positive throat culture or RADT in association with symptoms establishes a positive diagnosis in those in which the diagnosis is in doubt . In adults , a negative RADT is sufficient to rule out the diagnosis . However , in children a throat culture is recommended to confirm the result . Asymptomatic individuals should not be routinely tested with a throat culture or RADT because a certain percentage of the population persistently `` carries '' the streptococcal bacteria in their throat without any harmful results .   Differential diagnosis  See also : Acute pharyngitis  As the symptoms of streptococcal pharyngitis overlap with other conditions , it can be difficult to make the diagnosis clinically . Coughing , nasal discharge , diarrhea , and red , irritated eyes in addition to fever and sore throat are more indicative of a viral sore throat than of strep throat . The presence of marked lymph node enlargement along with sore throat , fever , and tonsillar enlargement may also occur in infectious mononucleosis .   Prevention   Tonsillectomy may be a reasonable preventive measure in those with frequent throat infections ( more than three a year ) . However , the benefits are small and episodes typically lessen in time regardless of measures taken . Recurrent episodes of pharyngitis which test positive for GAS may also represent a person who is a chronic carrier of GAS who is getting recurrent viral infections . Treating people who have been exposed but who are without symptoms is not recommended . Treating people who are carriers of GAS is not recommended as the risk of spread and complications is low .   Treatment   Untreated streptococcal pharyngitis usually resolves within a few days . Treatment with antibiotics shortens the duration of the acute illness by about 16 hours . The primary reason for treatment with antibiotics is to reduce the risk of complications such as rheumatic fever and retropharyngeal abscesses ; antibiotics are effective if given within 9 days of the onset of symptoms .   Pain medication   Pain medication such as NSAIDs and paracetamol ( acetaminophen ) helps in the management of pain associated with strep throat . Viscous lidocaine may also be useful . While steroids may help with the pain , they are not routinely recommended . Aspirin may be used in adults but is not recommended in children due to the risk of Reye syndrome .   Antibiotics   The antibiotic of choice in the United States for streptococcal pharyngitis is penicillin V , due to safety , cost , and effectiveness . Amoxicillin is preferred in Europe . In India , where the risk of rheumatic fever is higher , intramuscular benzathine penicillin G is the first choice for treatment .   Appropriate antibiotics decrease the average 3 -- 5 day duration of symptoms by about one day , and also reduce contagiousness . They are primarily prescribed to reduce rare complications such as rheumatic fever and peritonsillar abscess . The arguments in favor of antibiotic treatment should be balanced by the consideration of possible side effects , and it is reasonable to suggest that no antimicrobial treatment be given to healthy adults who have adverse reactions to medication or those at low risk of complications . Antibiotics are prescribed for strep throat at a higher rate than would be expected from how common it is .   Erythromycin and other macrolides or clindamycin are recommended for people with severe penicillin allergies . First - generation cephalosporins may be used in those with less severe allergies and some evidence supports cephalosporins as superior to penicillin . Streptococcal infections may also lead to acute glomerulonephritis ; however , the incidence of this side effect is not reduced by the use of antibiotics .   Prognosis   The symptoms of strep throat usually improve within three to five days , irrespective of treatment . Treatment with antibiotics reduces the risk of complications and transmission ; children may return to school 24 hours after antibiotics are administered . The risk of complications in adults is low . In children , acute rheumatic fever is rare in most of the developed world . It is , however , the leading cause of acquired heart disease in India , sub-Saharan Africa and some parts of Australia .   Complications arising from streptococcal throat infections include :    Acute rheumatic fever   Scarlet fever   Streptococcal toxic shock syndrome   Glomerulonephritis   PANDAS syndrome   Peritonsillar abscess   Cervical lymphadenitis   Mastoiditis    The economic cost of the disease in the United States in children is approximately $350 million annually .   Epidemiology   Pharyngitis , the broader category into which Streptococcal pharyngitis falls , is diagnosed in 11 million people annually in the United States . It is the cause of 15 -- 40 % of sore throats among children and 5 -- 15 % in adults . Cases usually occur in late winter and early spring .   References    ^ Jump up to : `` Is It Strep Throat ? '' . CDC . October 19 , 2015 . Archived from the original on 2 February 2016 . Retrieved 2 February 2016 .   ^ Jump up to : Török , edited by David A. Warrell , Timothy M. Cox , John D. Firth ; with guest ed . Estée ( 2012 ) . Oxford textbook of medicine infection . Oxford : Oxford University Press . pp. 280 -- 281 . ISBN 9780191631733 . Archived from the original on 2016 - 10 - 10 . CS1 maint : Extra text : authors list ( link )   ^ Jump up to : Jr , ( edited by ) Allan H. Goroll , Albert G. Mulley ( 2009 ) . Primary care medicine : office evaluation and management of the adult patient ( 6th ed . ) . Philadelphia : Wolters Kluwer Health / Lippincott Williams &amp; Wilkins . p. 1408 . ISBN 9780781775137 . Archived from the original on 2016 - 09 - 15 . CS1 maint : Extra text : authors list ( link )   ^ Jump up to : Weber , R ( March 2014 ) . `` Pharyngitis '' . Primary care . 41 ( 1 ) : 91 -- 8 . doi : 10.1016 / j. pop. 2013.10. 010 . PMID 24439883 .   ^ Jump up to : Shaikh N , Leonard E , Martin JM ( September 2010 ) . `` Prevalence of streptococcal pharyngitis and streptococcal carriage in children : a meta - analysis '' . Pediatrics. 126 ( 3 ) : e557 -- 64 . doi : 10.1542 / peds. 2009 - 2648 . PMID 20696723 .   ^ Jump up to : Shulman , ST ; Bisno , AL ; Clegg , HW ; Gerber , MA ; Kaplan , EL ; Lee , G ; Martin , JM ; Van Beneden , C ( Sep 9 , 2012 ) . `` Clinical Practice Guideline for the Diagnosis and Management of Group A Streptococcal Pharyngitis : 2012 Update by the Infectious Diseases Society of America '' . Clinical Infectious Diseases . 55 ( 10 ) : e86 -- 102 . doi : 10.1093 / cid / cis629 . PMID 22965026 .   ^ Jump up to : Harris , AM ; Hicks , LA ; Qaseem , A ( 19 January 2016 ) . `` Appropriate Antibiotic Use for Acute Respiratory Tract Infection in Adults : Advice for High - Value Care From the American College of Physicians and the Centers for Disease Control and Prevention '' . Annals of Internal Medicine . 164 : 425 . doi : 10.7326 / M15 - 1840 . PMID 26785402 .   ^ Jump up to : Choby BA ( March 2009 ) . `` Diagnosis and treatment of streptococcal pharyngitis '' . Am Fam Physician. 79 ( 5 ) : 383 -- 90 . PMID 19275067 . Archived from the original on 2015 - 02 - 08 .   ^ Jump up to : Brook I , Dohar JE ( December 2006 ) . `` Management of group A beta - hemolytic streptococcal pharyngotonsillitis in children '' . J Fam Pract. 55 ( 12 ) : S1 -- 11 ; quiz S12 . PMID 17137534 .   ^ Jump up to : Hayes CS , Williamson H ( April 2001 ) . `` Management of Group A beta - hemolytic streptococcal pharyngitis '' . Am Fam Physician. 63 ( 8 ) : 1557 -- 64 . PMID 11327431 . Archived from the original on 2008 - 05 - 16 .   ^ Jump up to : Baltimore RS ( February 2010 ) . `` Re-evaluation of antibiotic treatment of streptococcal pharyngitis '' . Curr . Opin . Pediatr. 22 ( 1 ) : 77 -- 82 . doi : 10.1097 / MOP. 0b013e32833502e7 . PMID 19996970 .   Jump up ^ Lindbaek M , Høiby EA , Lermark G , Steinsholt IM , Hjortdahl P ( 2004 ) . `` Predictors for spread of clinical group A streptococcal tonsillitis within the household '' . Scand J Prim Health Care . 22 ( 4 ) : 239 -- 43 . doi : 10.1080 / 02813430410006729 . PMID 15765640 .   Jump up ^ Rakel , edited by Robert E. Rakel , David P. ( 2011 ) . Textbook of family medicine ( 8th ed . ) . Philadelphia , PA. : Elsevier Saunders . p. 331 . ISBN 9781437711608 . Archived from the original on 2017 - 09 - 08 . CS1 maint : Extra text : authors list ( link )   Jump up ^ Cohen , JF ; Cohen , R ; Levy , C ; Thollot , F ; Benani , M ; Bidet , P ; Chalumeau , M ( 6 January 2015 ) . `` Selective testing strategies for diagnosing group A streptococcal infection in children with pharyngitis : a systematic review and prospective multicentre external validation study '' . Canadian Medical Association Journal . 187 ( 1 ) : 23 -- 32 . doi : 10.1503 / cmaj. 140772 . PMC 4284164 . PMID 25487666 .   Jump up ^ Smith , Ellen Reid ; Kahan , Scott ; Miller , Redonda G. ( 2008 ) . In A Page Signs &amp; Symptoms . In a Page Series . Hagerstown , Maryland : Lippincott Williams &amp; Wilkins . p. 312 . ISBN 0 - 7817 - 7043 - 2 .   Jump up ^ Lean , WL ; Arnup , S ; Danchin , M ; Steer , AC ( October 2014 ) . `` Rapid diagnostic tests for group A streptococcal pharyngitis : a meta - analysis '' . Pediatrics. 134 ( 4 ) : 771 -- 81 . doi : 10.1542 / peds. 2014 - 1094 . PMID 25201792 .   ^ Jump up to : Bisno AL , Gerber MA , Gwaltney JM , Kaplan EL , Schwartz RH ( July 2002 ) . `` Practice guidelines for the diagnosis and management of group A streptococcal pharyngitis . Infectious Diseases Society of America '' . Clin. Infect . Dis. 35 ( 2 ) : 113 -- 25 . doi : 10.1086 / 340949 . PMID 12087516 .   Jump up ^ Ebell MH ( 2004 ) . `` Epstein - Barr virus infectious mononucleosis '' . Am Fam Physician. 70 ( 7 ) : 1279 -- 87 . PMID 15508538 . Archived from the original on 2008 - 07 - 24 .   Jump up ^ Johnson BC , Alvi A ( March 2003 ) . `` Cost - effective workup for tonsillitis . Testing , treatment , and potential complications '' . Postgrad Med. 113 ( 3 ) : 115 -- 8 , 121 . doi : 10.3810 / pgm. 2003.03. 1391 . PMID 12647478 .   Jump up ^ van Staaij BK , van den Akker EH , van der Heijden GJ , Schilder AG , Hoes AW ( January 2005 ) . `` Adenotonsillectomy for upper respiratory infections : evidence based ? '' . Archives of Disease in Childhood. 90 ( 1 ) : 19 -- 25 . doi : 10.1136 / adc. 2003.047530 . PMC 1720065 . PMID 15613505 .   Jump up ^ Burton , MJ ; Glasziou , PP ; Chong , LY ; Venekamp , RP ( 19 November 2014 ) . `` Tonsillectomy or adenotonsillectomy versus non-surgical treatment for chronic / recurrent acute tonsillitis '' . The Cochrane database of systematic reviews ( 11 ) : CD001802 . doi : 10.1002 / 14651858. CD001802. pub3 . PMID 25407135 .   Jump up ^ Morad , Anna ; Sathe , Nila A. ; Francis , David O. ; McPheeters , Melissa L. ; Chinnadurai , Sivakumar ( 17 January 2017 ) . `` Tonsillectomy Versus Watchful Waiting for Recurrent Throat Infection : A Systematic Review '' . Pediatrics. 139 ( 2 ) : e20163490 . doi : 10.1542 / peds. 2016 - 3490 . ISSN 0031 - 4005 . PMC 5260157 . PMID 28096515 . Archived from the original on 13 August 2017 .   Jump up ^ Thomas M , Del Mar C , Glasziou P ( October 2000 ) . `` How effective are treatments other than antibiotics for acute sore throat ? '' . Br J Gen Pract. 50 ( 459 ) : 817 -- 20 . PMC 1313826 . PMID 11127175 .   Jump up ^ `` Generic Name : Lidocaine Viscous ( Xylocaine Viscous ) side effects , medical uses , and drug interactions '' . MedicineNet.com . Archived from the original on 2010 - 04 - 08 . Retrieved 2010 - 05 - 07 .   Jump up ^ Wing , A ; Villa - Roel , C ; Yeh , B ; Eskin , B ; Buckingham , J ; Rowe , BH ( May 2010 ) . `` Effectiveness of corticosteroid treatment in acute pharyngitis : a systematic review of the literature '' . Academic Emergency Medicine . 17 ( 5 ) : 476 -- 83 . doi : 10.1111 / j. 1553 - 2712.2010. 00723. x . PMID 20536799 .   Jump up ^ Bonsignori F , Chiappini E , De Martino M ( 2010 ) . `` The infections of the upper respiratory tract in children '' . Int J Immunopathol Pharmacol. 23 ( 1 Suppl ) : 16 -- 9 . PMID 20152073 .   ^ Jump up to : Snow V , Mottur - Pilson C , Cooper RJ , Hoffman JR ( March 2001 ) . `` Principles of appropriate antibiotic use for acute pharyngitis in adults '' ( PDF ) . Ann Intern Med. 134 ( 6 ) : 506 -- 8 . doi : 10.7326 / 0003 - 4819 - 134 - 6 - 200103200 - 00018 . PMID 11255529 . Archived ( PDF ) from the original on 2004 - 02 - 04 .   Jump up ^ Hildreth , AF ; Takhar , S ; Clark , MA ; Hatten , B ( September 2015 ) . `` Evidence - Based Evaluation And Management Of Patients With Pharyngitis In The Emergency Department '' . Emergency medicine practice . 17 ( 9 ) : 1 -- 16 ; quiz 16 -- 7 . PMID 26276908 . ( Subscription required ( help ) ) .   Jump up ^ Linder JA , Bates DW , Lee GM , Finkelstein JA ( November 2005 ) . `` Antibiotic treatment of children with sore throat '' . J Am Med Assoc. 294 ( 18 ) : 2315 -- 22 . doi : 10.1001 / jama. 294.18. 2315 . PMID 16278359 .   Jump up ^ Pichichero , M ; Casey , J ( June 2006 ) . `` Comparison of European and U.S. results for cephalosporin versus penicillin treatment of group A streptococcal tonsillopharyngitis '' . European Journal of Clinical Microbiology &amp; Infectious Diseases . 25 ( 6 ) : 354 -- 64 . doi : 10.1007 / s10096 - 006 - 0154 - 7 . PMID 16767482 .   Jump up ^ van Driel , ML ; De Sutter , AI ; Habraken , H ; Thorning , S ; Christiaens , T ( 11 September 2016 ) . `` Different antibiotic treatments for group A streptococcal pharyngitis '' . The Cochrane database of systematic reviews . 9 : CD004406 . doi : 10.1002 / 14651858. CD004406. pub4 . PMID 27614728 .   ^ Jump up to : `` UpToDate Inc '' . Archived from the original on 2008 - 12 - 08 .   Jump up ^ Stevens DL , Tanner MH , Winship J , et al. ( July 1989 ) . `` Severe group A streptococcal infections associated with a toxic shock - like syndrome and scarlet fever toxin A '' . N. Engl. J. Med. 321 ( 1 ) : 1 -- 7 . doi : 10.1056 / NEJM198907063210101 . PMID 2659990 .   ^ Jump up to : Hahn RG , Knox LM , Forman TA ( May 2005 ) . `` Evaluation of poststreptococcal illness '' . Am Fam Physician. 71 ( 10 ) : 1949 -- 54 . PMID 15926411 .    External links     Classification   V T D   ICD - 10 : J02. 0   ICD - 9 - CM : 034.0   DiseasesDB : 12507       External resources     MedlinePlus : 000639   eMedicine : med / 1811        Wikipedia 's health care articles can be viewed offline with the Medical Wikipedia app .            Diseases of the respiratory system ( J , 460 -- 519 )     Upper RT ( including URTIs , common cold )      Head     sinuses   Sinusitis     nose   Rhinitis   Vasomotor rhinitis   Atrophic rhinitis   Hay fever     Nasal polyp   Rhinorrhea   nasal septum   Nasal septum deviation   Nasal septum perforation   Nasal septal hematoma       tonsil   Tonsillitis   Adenoid hypertrophy   Peritonsillar abscess       Neck     pharynx   Pharyngitis   Strep throat     Laryngopharyngeal reflux ( LPR )   Retropharyngeal abscess     larynx   Croup   Laryngomalacia   Laryngeal cyst   Laryngitis   Laryngopharyngeal reflux ( LPR )   Laryngospasm     vocal folds   Laryngopharyngeal reflux ( LPR )   Vocal fold nodule   Vocal fold paresis   Vocal cord dysfunction     epiglottis   Epiglottitis     trachea   Tracheitis   Laryngotracheal stenosis          Lower RT / lung disease ( including LRTIs )      Bronchial / obstructive     acute   Acute bronchitis     chronic   COPD   Chronic bronchitis   Acute exacerbations of chronic bronchitis   Acute exacerbation of COPD   Emphysema )   Asthma ( Status asthmaticus   Aspirin - induced   Exercise - induced     Bronchiectasis     unspecified   Bronchitis   Bronchiolitis   Bronchiolitis obliterans     Diffuse panbronchiolitis       Interstitial / restrictive ( fibrosis )      External agents / occupational lung disease     Pneumoconiosis   Asbestosis   Baritosis   Bauxite fibrosis   Berylliosis   Caplan 's syndrome   Chalicosis   Coalworker 's pneumoconiosis   Siderosis   Silicosis   Talcosis   Byssinosis       Hypersensitivity pneumonitis   Bagassosis   Bird fancier 's lung   Farmer 's lung   Lycoperdonosis         Other     ARDS   Pulmonary edema   Löffler 's syndrome / Eosinophilic pneumonia   Respiratory hypersensitivity   Allergic bronchopulmonary aspergillosis     Hamman - Rich syndrome   Idiopathic pulmonary fibrosis   Sarcoidosis          Obstructive or restrictive      Pneumonia / pneumonitis      By pathogen     Viral   Bacterial   Pneumococcal   Klebsiella )     Atypical bacterial   Mycoplasma   Legionnaires ' disease   Chlamydiae     Fungal   Pneumocystis     Parasitic   noninfectious   Chemical / Mendelson 's syndrome   Aspiration / Lipid         By vector / route     Community - acquired   Healthcare - associated   Hospital - acquired       By distribution     Broncho -   Lobar       IIP     UIP   DIP   BOOP - COP   NSIP   RB          Other     Atelectasis   circulatory   Pulmonary hypertension   Pulmonary embolism     Lung abscess             Pleural cavity / mediastinum      Pleural disease     Pleuritis / pleurisy     Pneumothorax / Hemopneumothorax     Pleural effusion   Hemothorax   Hydrothorax   Chylothorax   Empyema / pyothorax   Malignant     Fibrothorax       Mediastinal disease     Mediastinitis   Mediastinal emphysema          Other / general     Respiratory failure   Influenza   SARS   Idiopathic pulmonary haemosiderosis   Pulmonary alveolar proteinosis      Retrieved from `` https://en.wikipedia.org/w/index.php?title=Streptococcal_pharyngitis&amp;oldid=802867774 '' Categories :   Streptococcal infections   Human throat   Acute upper respiratory infections   Hidden categories :   CS1 maint : Extra text : authors list   Wikipedia articles in need of updating from September 2016   All Wikipedia articles in need of updating   Pages containing links to subscription - only content   Wikipedia indefinitely semi-protected pages   Good articles   Articles with medical app sidebar   RTT ( full )   RTTEM           Talk                           View source                 Contents                   About Wikipedia                                                   Avañe'ẽ   বাংলা   Български   Čeština   Deutsch   Ελληνικά   Español   فارسی   </t>
    </r>
    <r>
      <rPr>
        <sz val="11"/>
        <color rgb="FF000000"/>
        <rFont val="Noto Sans CJK SC"/>
        <family val="2"/>
      </rPr>
      <t xml:space="preserve">한국어   </t>
    </r>
    <r>
      <rPr>
        <sz val="11"/>
        <color rgb="FF000000"/>
        <rFont val="Calibri"/>
        <family val="0"/>
        <charset val="1"/>
      </rPr>
      <t xml:space="preserve">Hrvatski   Bahasa Indonesia   Italiano   Basa Jawa   Kiswahili   Magyar   Македонски   Bahasa Melayu   Nederlands   नेपाली   </t>
    </r>
    <r>
      <rPr>
        <sz val="11"/>
        <color rgb="FF000000"/>
        <rFont val="Noto Sans CJK SC"/>
        <family val="2"/>
      </rPr>
      <t xml:space="preserve">日本 語   </t>
    </r>
    <r>
      <rPr>
        <sz val="11"/>
        <color rgb="FF000000"/>
        <rFont val="Calibri"/>
        <family val="0"/>
        <charset val="1"/>
      </rPr>
      <t xml:space="preserve">Norsk nynorsk   ଓଡ଼ିଆ   ਪੰਜਾਬੀ   Polski   Português   Română   Runa Simi   Simple English   Slovenščina   Soomaaliga   کوردی   Српски / srpski   Srpskohrvatski / српскохрватски   Svenska   Tagalog   తెలుగు   ไทย   Türkçe   Українська   Yorùbá   </t>
    </r>
    <r>
      <rPr>
        <sz val="11"/>
        <color rgb="FF000000"/>
        <rFont val="Noto Sans CJK SC"/>
        <family val="2"/>
      </rPr>
      <t xml:space="preserve">中文   </t>
    </r>
    <r>
      <rPr>
        <sz val="11"/>
        <color rgb="FF000000"/>
        <rFont val="Calibri"/>
        <family val="0"/>
        <charset val="1"/>
      </rPr>
      <t xml:space="preserve">Edit links   This page was last edited on 28 September 2017 , at 23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</si>
  <si>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bacteria that causes strep throat come from</t>
  </si>
  <si>
    <t xml:space="preserve"> Strep throat is caused by group A beta - hemolytic streptococcus ( GAS or S. pyogenes ) . Other bacteria such as non -- group A beta - hemolytic streptococci and fusobacterium may also cause pharyngitis . It is spread by direct , close contact with an infected person ; thus crowding , as may be found in the military and schools , increases the rate of transmission . Dried bacteria in dust are not infectious , although moist bacteria on toothbrushes or similar items can persist for up to fifteen days . Contaminated food can result in outbreaks , but this is rare . Of children with no signs or symptoms , 12 % carry GAS in their pharynx , and , after treatment , approximately 15 % of those remain positive , and are true `` carriers '' . </t>
  </si>
  <si>
    <r>
      <rPr>
        <sz val="11"/>
        <color rgb="FF000000"/>
        <rFont val="Calibri"/>
        <family val="0"/>
        <charset val="1"/>
      </rPr>
      <t xml:space="preserve">Jason Thompson ( actor ) - wikipedia  Jason Thompson ( actor )  Jump to : navigation , search      This biography of a living person needs additional citations for verification . Please help by adding reliable sources . Contentious material about living persons that is unsourced or poorly sourced must be removed immediately , especially if potentially libelous or harmful . ( March 2013 ) ( Learn how and when to remove this template message )       Jason Thompson       Jason Craig Thompson ( 1976 - 11 - 20 ) November 20 , 1976 ( age 40 ) St. Albert , Alberta , Canada     Nationality   Canadian     Occupation   Actor     Years active   2000 -- present     Spouse ( s )   Paloma Jonas ( m . 2015 )     Children       Jason Craig Thompson ( born November 20 , 1976 ) is a Canadian actor . He joined the cast of the American daytime drama General Hospital in December 2005 as neurosurgeon Dr. Patrick Drake . In 2007 , Thompson became an original cast member of the General Hospital prime - time spin - off General Hospital : Night Shift while maintaining his day job on GH . On April 1 , 2015 , Thompson also portrayed original GH character Steve Hardy in a flashback for the show 's 52nd anniversary .     Contents  ( hide )   1 Early career   2 Daytime career   3 Personal life   4 Awards and nominations   5 References   6 External links      Early career ( edit )   He was discovered at 16 working at a restaurant in Edmonton , Alberta by model scout Kelly Streit of mode models . At 18 years old , Thompson left home to build a career in runway , print and commercial modeling . One of his most well - known ad campaigns are the three TV commercials for Gap he did with director Pedro Romhanyi in 1999 : `` Everybody in Cords '' , `` Everybody in Leather '' and `` Everybody in Vests '' . Though modeling paid the bills and allowed Jason the opportunity to travel extensively , he admits that becoming an actor was never far from his thoughts .   Within a few years of committing to an acting career , Thompson has amassed various television , film and theatre credits . He has had lead roles in such plays such as The Academy , More Than You and Jakob . In film , Thompson had starring roles in Wishmaster : The Prophecy Fulfilled and Divide .   In television , Thompson has landed guest roles on television shows like Felicity , Flipper , and Castle .   Daytime career ( edit )   Thompson 's most popular role to date is as Dr. Patrick Drake on the ABC soap opera General Hospital . Since playboy Patrick Drake 's first appearance on the show , he has flirted with various women ( many who work at the hospital call him Dr. Hottie in reference to his good looks and as a tribute to fellow ABC hot doc Grey 's Anatomy 's Dr. McDreamy ) , saved many lives , and mended a contentious relationship with his father , Dr. Noah Drake ( played by returning castmember Rick Springfield ) . In one storyline , Patrick donated a part of his liver to save his father 's life . At the same time , Patrick began falling for his co-worker and friend , the HIV - positive Dr. Robin Scorpio , which brought up the question of whether Patrick could give up his womanizing ways . In July 2006 , through an operating room mishap , Patrick was exposed to HIV , though his HIV test returned a negative result . After much resistance on Robin 's part , Robin and Patrick were finally married and welcomed their baby girl , Emma Grace Scorpio - Drake   As part of ABC 's Fan February promotions in 2007 , Thompson switched places for a day with a first - grade teacher and taught her class in Irving , Texas . In October 2015 , Thompson confirmed his exit from General Hospital . He last appeared on January 7 , 2016 .   In December 2015 , it was announced Thompson would join The Young and the Restless as Billy Abbott ; he began appearing on January 10 , 2016 .   Personal life ( edit )   On April 5 , 2015 , Thompson married his longtime girlfriend , Paloma Jonas , in San Pancho , Mexico . Their first child , a son , was born in May 2016 . The couple welcomed their second child , a daughter , in September 2017 .   Awards and nominations ( edit )   List of acting awards and nominations   Year   Award     Title   Result   Ref .     2011   Daytime Emmy Award   Outstanding Supporting Actor in a Drama Series   General Hospital   Nominated       2012   Daytime Emmy Award   Outstanding Supporting Actor in a Drama Series   General Hospital   Nominated       2013   Daytime Emmy Award   Outstanding Lead Actor in a Drama Series   General Hospital   Nominated       2014   Daytime Emmy Award   Outstanding Lead Actor in a Drama Series   General Hospital   Nominated       2015   Daytime Emmy Award   Outstanding Lead Actor in a Drama Series   General Hospital   Nominated       References ( edit )    Jump up ^ `` Trading Places '' . Soap Opera Weekly . 2007 - 02 - 13 . p. 18 .   Jump up ^ Goldberg , Michael ( October 21 , 2015 ) . `` Jason Thompson Leaving ' General Hospital ' '' . Serial Scoop . United States : Blogger ( Google ) . Retrieved October 21 , 2015 .   Jump up ^ Mulcahy Jr. , Kevin ( October 22 , 2015 ) . `` Jason Thompson Leaving General Hospital as Patrick , Kimberly McCullough Returning as Robin '' . We Love Soaps . United States : Blogger ( Google ) . Retrieved October 23 , 2015 .   Jump up ^ White - Nobles , Omar ( October 30 , 2015 ) . `` JASON THOMPSON BIDS FAREWELL TO GENERAL HOSPITAL '' . TVSource Magazine . United States . Retrieved October 30 , 2015 .   Jump up ^ Rice , Lynette ( December 3 , 2015 ) . `` General Hospital favorite joins The Young and the Restless '' . Entertainment Weekly . United States . Time Inc . Retrieved December 3 , 2015 .   Jump up ^ `` Comings and Goings : Jason Thompson ( Billy Abbott ) '' . Soap Opera Digest . ( Vol. 40 , No. 51 ) . December 21 , 2015 . p. 10 .   Jump up ^ `` Comings and Goings : Jason Thompson ( Billy Abbott ) '' . Soap Opera Digest . ( Vol. 41 , No. 3 ) . January 18 , 2016 . p. 11 .   Jump up ^ http://www.soapoperadigest.com/content/gh-star-weds   Jump up ^ `` JASON THOMPSON WELCOMES SON '' . Soap Opera Digest . May 26 , 2016 . Retrieved May 25 , 2016 .   Jump up ^ Mizoguchi , Karen ( September 27 , 2017 ) . `` Jason Thompson and Wife Paloma Welcome Daughter Rome Coco '' . People.com . Retrieved September 27 , 2017 .   Jump up ^ `` The 38th Annual Daytime Entertainment Emmy Award Nominations '' . emmyonline.org and National Academy of Television Arts and Sciences . May 11 , 2011 . Archived from the original on June 28 , 2013 . Retrieved May 5 , 2013 .   Jump up ^ `` The 39th Annual Daytime Entertainment Emmy Award Nominations '' . emmyonline.org and National Academy of Television Arts and Sciences . May 9 , 2013 . Archived from the original on June 28 , 2013 . Retrieved May 5 , 2013 .   Jump up ^ `` The 40th Annual Daytime Entertainment Emmy Award Nominations '' . emmyonline.org and National Academy of Television Arts and Sciences . May 1 , 2013 . Archived from the original on June 28 , 2013 . Retrieved May 1 , 2013 .   Jump up ^ `` The 41st Annual Daytime Entertainment Emmy Award Nominations '' . New York : emmyonline.org and National Academy of Television Arts and Sciences . May 1 , 2014 . Archived from the original on June 23 , 2014 . Retrieved May 1 , 2014 .   Jump up ^ `` The 42nd Annual Daytime Emmy Award Nominations '' ( PDF ) . New York : emmyonline.org and National Academy of Television Arts and Sciences . March 31 , 2015 . Archived from the original ( PDF ) on March 31 , 2015 . Retrieved March 31 , 2015 .    External links ( edit )    Jason Thompson on IMDb   Jason Thompson 's Actor Biography on ABC.com            VIAF : 160419180      Retrieved from `` https://en.wikipedia.org/w/index.php?title=Jason_Thompson_(actor)&amp;oldid=808833872 '' Categories :   Canadian male soap opera actors   Canadian male television actors   People from St. Albert , Alberta   1976 births   Living people   Male actors from Alberta   21st - century Canadian male actors   Hidden categories :   BLP articles lacking sources from March 2013   All BLP articles lacking sources   Articles with hCards   Wikipedia articles with VIAF identifiers           Talk                                           Contents                   About Wikipedia                                           Español   </t>
    </r>
    <r>
      <rPr>
        <sz val="11"/>
        <color rgb="FF000000"/>
        <rFont val="Noto Sans CJK SC"/>
        <family val="2"/>
      </rPr>
      <t xml:space="preserve">한국어   </t>
    </r>
    <r>
      <rPr>
        <sz val="11"/>
        <color rgb="FF000000"/>
        <rFont val="Calibri"/>
        <family val="0"/>
        <charset val="1"/>
      </rPr>
      <t xml:space="preserve">Polski   </t>
    </r>
    <r>
      <rPr>
        <sz val="11"/>
        <color rgb="FF000000"/>
        <rFont val="Noto Sans CJK SC"/>
        <family val="2"/>
      </rPr>
      <t xml:space="preserve">中文   </t>
    </r>
    <r>
      <rPr>
        <sz val="11"/>
        <color rgb="FF000000"/>
        <rFont val="Calibri"/>
        <family val="0"/>
        <charset val="1"/>
      </rPr>
      <t xml:space="preserve">Edit links   This page was last edited on 5 November 2017 , at 13 : 36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</si>
  <si>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billy on young and the restless</t>
  </si>
  <si>
    <t xml:space="preserve"> In December 2015 , it was announced Thompson would join The Young and the Restless as Billy Abbott ; he began appearing on January 10 , 2016 . </t>
  </si>
  <si>
    <t xml:space="preserve">The Star - Spangled Banner - wikipedia  The Star - Spangled Banner  Jump to : navigation , search `` Star - Spangled Banner '' redirects here . For the flag that flew over Fort McHenry , see Star - Spangled Banner ( flag ) . For the present flag , see Flag of the United States .  The Star - Spangled Banner   The earliest surviving sheet music of `` The Star - Spangled Banner '' , from 1814 .     National anthem of the United States     Lyrics   Francis Scott Key , 1814     Music   John Stafford Smith , c. 1773     Adopted   March 4 , 1931 ; 86 years ago ( 1931 - 03 - 04 )         Audio sample     `` The Star - Spangled Banner '' instrumental   file   help                       `` The Star - Spangled Banner '' is the national anthem of the United States of America . The lyrics come from `` Defence of Fort M'Henry '' , a poem written on September 14 , 1814 , by the 35 - year - old lawyer and amateur poet Francis Scott Key after witnessing the bombardment of Fort McHenry by British ships of the Royal Navy in Baltimore Harbor during the Battle of Baltimore in the War of 1812 . Key was inspired by the large American flag , the Star - Spangled Banner , flying triumphantly above the fort during the American victory .   The poem was set to the tune of a popular British song written by John Stafford Smith for the Anacreontic Society , a men 's social club in London . `` To Anacreon in Heaven '' ( or `` The Anacreontic Song '' ) , with various lyrics , was already popular in the United States . Set to Key 's poem and renamed `` The Star - Spangled Banner '' , it soon became a well - known American patriotic song . With a range of one octave and one fifth ( a semitone more than an octave and a half ) , it is known for being difficult to sing . Although the poem has four stanzas , only the first is commonly sung today .   `` The Star - Spangled Banner '' was recognized for official use by the United States Navy in 1889 , and by U.S. President Woodrow Wilson in 1916 , and was made the national anthem by a congressional resolution on March 3 , 1931 ( 46 Stat. 1508 , codified at 36 U.S.C. § 301 ) , which was signed by President Herbert Hoover .   Before 1931 , other songs served as the hymns of American officialdom . `` Hail , Columbia '' served this purpose at official functions for most of the 19th century . `` My Country , ' Tis of Thee '' , whose melody is identical to `` God Save the Queen '' , the British national anthem , also served as a de facto anthem . Following the War of 1812 and subsequent American wars , other songs emerged to compete for popularity at public events , among them `` The Star - Spangled Banner '' , as well as `` America the Beautiful '' .     Contents  ( hide )   1 Early history   1.1 Francis Scott Key 's lyrics   1.2 John Stafford Smith 's music   1.3 National anthem     2 Lyrics   2.1 Additional Civil War period lyrics   2.2 Alternative lyrics     3 Modern history   3.1 Performances   3.2 200th anniversary celebrations   3.3 Adaptations     4 References in film , television , literature   5 Customs and federal law   6 Protests   6.1 1968 Olympics Black Power Salute   6.2 2016 protests   6.3 NAACP call remove the national anthem     7 Translations   8 Media   9 See also   10 References   11 Further reading   12 External links   12.1 Historical audio        Early history   Francis Scott Key 's lyrics  Francis Scott Key 's original manuscript copy of his `` Defence of Fort M'Henry '' poem . It is now on display at the Maryland Historical Society .  On September 3 , 1814 , following the Burning of Washington and the Raid on Alexandria , Francis Scott Key and John Stuart Skinner set sail from Baltimore aboard the ship HMS Minden , flying a flag of truce on a mission approved by President James Madison . Their objective was to secure an exchange of prisoners , one of whom was Dr. William Beanes , the elderly and popular town physician of Upper Marlboro and a friend of Key 's who had been captured in his home . Beanes was accused of aiding the arrest of British soldiers . Key and Skinner boarded the British flagship HMS Tonnant on September 7 and spoke with Major General Robert Ross and Vice Admiral Alexander Cochrane over dinner while the two officers discussed war plans . At first , Ross and Cochrane refused to release Beanes , but relented after Key and Skinner showed them letters written by wounded British prisoners praising Beanes and other Americans for their kind treatment .   Because Key and Skinner had heard details of the plans for the attack on Baltimore , they were held captive until after the battle , first aboard HMS Surprise and later back on HMS Minden . After the bombardment , certain British gunboats attempted to slip past the fort and effect a landing in a cove to the west of it , but they were turned away by fire from nearby Fort Covington , the city 's last line of defense .  An artist 's rendering of the battle at Fort McHenry  During the rainy night , Key had witnessed the bombardment and observed that the fort 's smaller `` storm flag '' continued to fly , but once the shell and Congreve rocket barrage had stopped , he would not know how the battle had turned out until dawn . On the morning of September 14 , the storm flag had been lowered and the larger flag had been raised .   During the bombardment , HMS Terror and HMS Meteor provided some of the `` bombs bursting in air '' .  The 15 - star , 15 - stripe `` Star - Spangled Banner '' that inspired the poem  Key was inspired by the American victory and the sight of the large American flag flying triumphantly above the fort . This flag , with fifteen stars and fifteen stripes , had been made by Mary Young Pickersgill together with other workers in her home on Baltimore 's Pratt Street . The flag later came to be known as the Star - Spangled Banner and is today on display in the National Museum of American History , a treasure of the Smithsonian Institution . It was restored in 1914 by Amelia Fowler , and again in 1998 as part of an ongoing conservation program .   Aboard the ship the next day , Key wrote a poem on the back of a letter he had kept in his pocket . At twilight on September 16 , he and Skinner were released in Baltimore . He completed the poem at the Indian Queen Hotel , where he was staying , and titled it `` Defence of Fort M'Henry '' .   Much of the idea of the poem , including the flag imagery and some of the wording , is derived from an earlier song by Key , also set to the tune of `` The Anacreontic Song '' . The song , known as `` When the Warrior Returns '' , was written in honor of Stephen Decatur and Charles Stewart on their return from the First Barbary War . Absent elaboration by Francis Scott Key prior to his death in 1843 , some have speculated in modern times about the meaning of phrases or verses . According to British historian Robin Blackburn , the words `` the hireling and slave '' allude to the thousands of ex-slaves in the British ranks organised as the Corps of Colonial Marines , who had been liberated by the British and demanded to be placed in the battle line `` where they might expect to meet their former masters . '' Nevertheless , Professor Mark Clague , a professor of musicology at the University of Michigan , argues that the `` middle two verses of Key 's lyric vilify the British enemy in the War of 1812 '' and `` in no way glorifies or celebrates slavery . '' Clague writes that `` For Key ... the British mercenaries were scoundrels and the Colonial Marines were traitors who threatened to spark a national insurrection . '' This harshly anti-British nature of Verse 3 led to its omission in sheet music in World War I , when Britain and the U.S. were allies . Responding to the assertion of writer Jon Schwarz of The Intercept that the song is a `` celebration of slavery , '' Clague said that : `` The reference to slaves is about the use , and in some sense the manipulation , of black Americans to fight for the British , with the promise of freedom . The American forces included African - Americans as well as whites . The term ' freemen , ' whose heroism is celebrated in the fourth stanza , would have encompassed both . ''   Others suggest that `` Key may have intended the phrase as a reference to the British Navy 's practice of impressment ( kidnapping sailors and forcing them to fight in defense of the crown ) , or as a semi-metaphorical slap at the British invading force as a whole ( which included a large number of mercenaries ) . ''   John Stafford Smith 's music  Sheet music version Play ( help info ) The memorial to John Stafford Smith in Gloucester Cathedral , Gloucester , England  Key gave the poem to his brother - in - law Judge Joseph H. Nicholson who saw that the words fit the popular melody `` The Anacreontic Song '' , by English composer John Stafford Smith . This was the official song of the Anacreontic Society , an 18th - century gentlemen 's club of amateur musicians in London . Nicholson took the poem to a printer in Baltimore , who anonymously made the first known broadside printing on September 17 ; of these , two known copies survive .   On September 20 , both the Baltimore Patriot and The American printed the song , with the note `` Tune : Anacreon in Heaven '' . The song quickly became popular , with seventeen newspapers from Georgia to New Hampshire printing it . Soon after , Thomas Carr of the Carr Music Store in Baltimore published the words and music together under the title `` The Star Spangled Banner '' , although it was originally called `` Defence of Fort M'Henry '' . Thomas Carr 's arrangement introduced the raised fourth which became the standard deviation from `` The Anacreontic Song '' . The song 's popularity increased , and its first public performance took place in October , when Baltimore actor Ferdinand Durang sang it at Captain McCauley 's tavern . Washington Irving , then editor of the Analectic Magazine in Philadelphia , reprinted the song in November 1814 .   By the early 20th century , there were various versions of the song in popular use . Seeking a singular , standard version , President Woodrow Wilson tasked the U.S. Bureau of Education with providing that official version . In response , the Bureau enlisted the help of five musicians to agree upon an arrangement . Those musicians were Walter Damrosch , Will Earhart , Arnold J. Gantvoort , Oscar Sonneck and John Philip Sousa . The standardized version that was voted upon by these five musicians premiered at Carnegie Hall on December 5 , 1917 , in a program that included Edward Elgar 's Carillon and Gabriel Pierné 's The Children 's Crusade . The concert was put on by the Oratorio Society of New York and conducted by Walter Damrosch . An official handwritten version of the final votes of these five men has been found and shows all five men 's votes tallied , measure by measure .   The Italian opera composer Giacomo Puccini used an extract of the melody in writing the aria `` Dovunque al mondo ... '' in 1904 for his work Madama Butterfly .   National anthem  Commemorative plaque in Washington , D.C. marking the site at 601 Pennsylvania Avenue where `` The Star - Spangled Banner '' was first publicly sung One of two surviving copies of the 1814 broadside printing of the `` Defence of Fort M'Henry '' , a poem that later became the lyrics of `` The Star - Spangled Banner '' , the national anthem of the United States .  The song gained popularity throughout the 19th century and bands played it during public events , such as July 4th celebrations .   A plaque displayed at Fort Meade , South Dakota , claims that the idea of making `` The Star Spangled Banner '' the national anthem began on their parade ground in 1892 . Colonel Caleb Carlton , Post Commander , established the tradition that the song be played `` at retreat and at the close of parades and concerts . '' Carlton explained the custom to Governor Sheldon of South Dakota who `` promised me that he would try to have the custom established among the state militia . '' Carlton wrote that after a similar discussion , Secretary of War , Daniel E. Lamont issued an order that it `` be played at every Army post every evening at retreat . ''   In 1899 , the US Navy officially adopted `` The Star - Spangled Banner '' . In 1916 , President Woodrow Wilson ordered that `` The Star - Spangled Banner '' be played at military and other appropriate occasions . The playing of the song two years later during the seventh - inning stretch of Game One of the 1918 World Series , and thereafter during each game of the series is often cited as the first instance that the anthem was played at a baseball game , though evidence shows that the `` Star - Spangled Banner '' was performed as early as 1897 at opening day ceremonies in Philadelphia and then more regularly at the Polo Grounds in New York City beginning in 1898 . In any case , the tradition of performing the national anthem before every baseball game began in World War II .   On April 10 , 1918 , John Charles Linthicum , U.S. Congressman from Maryland , introduced a bill to officially recognize `` The Star - Spangled Banner '' as the national anthem . The bill did not pass . On April 15 , 1929 , Linthicum introduced the bill again , his sixth time doing so . On November 3 , 1929 , Robert Ripley drew a panel in his syndicated cartoon , Ripley 's Believe it or Not ! , saying `` Believe It or Not , America has no national anthem '' .   In 1930 , Veterans of Foreign Wars started a petition for the United States to officially recognize `` The Star - Spangled Banner '' as the national anthem . Five million people signed the petition . The petition was presented to the United States House Committee on the Judiciary on January 31 , 1930 . On the same day , Elsie Jorss - Reilley and Grace Evelyn Boudlin sang the song to the Committee to refute the perception that it was too high pitched for a typical person to sing . The Committee voted in favor of sending the bill to the House floor for a vote . The House of Representatives passed the bill later that year . The Senate passed the bill on March 3 , 1931 . President Herbert Hoover signed the bill on March 4 , 1931 , officially adopting `` The Star - Spangled Banner '' as the national anthem of the United States of America . As currently codified , the United States Code states that `` ( t ) he composition consisting of the words and music known as the Star - Spangled Banner is the national anthem . ''   Lyrics   O say can you see , by the dawn 's early light , What so proudly we hailed at the twilight 's last gleaming , Whose broad stripes and bright stars through the perilous fight , O'er the ramparts we watched , were so gallantly streaming ? And the rockets ' red glare , the bombs bursting in air , Gave proof through the night that our flag was still there ; O say does that star - spangled banner yet wave O'er the land of the free and the home of the brave ? On the shore dimly seen through the mists of the deep , Where the foe 's haughty host in dread silence reposes , What is that which the breeze , o'er the towering steep , As it fitfully blows , half conceals , half discloses ? Now it catches the gleam of the morning 's first beam , In full glory reflected now shines in the stream : ' Tis the star - spangled banner , O long may it wave O'er the land of the free and the home of the brave . And where is that band who so vauntingly swore That the havoc of war and the battle 's confusion , A home and a country , should leave us no more ? Their blood has washed out their foul footsteps ' pollution . No refuge could save the hireling and slave From the terror of flight , or the gloom of the grave : And the star - spangled banner in triumph doth wave , O'er the land of the free and the home of the brave . O thus be it ever , when freemen shall stand Between their loved homes and the war 's desolation . Blest with vict'ry and peace , may the Heav'n rescued land Praise the Power that hath made and preserved us a nation ! Then conquer we must , when our cause it is just , And this be our motto : ' In God is our trust . ' And the star - spangled banner in triumph shall wave O'er the land of the free and the home of the brave !  Cover of sheet music for `` The Star - Spangled Banner '' , transcribed for piano by Ch . Voss , Philadelphia : G. Andre &amp; Co. , 1862  Additional Civil War period lyrics   In indignation over the start of the American Civil War , Oliver Wendell Holmes , Sr. added a fifth stanza to the song in 1861 , which appeared in songbooks of the era .   When our land is illumined with Liberty 's smile , If a foe from within strike a blow at her glory , Down , down with the traitor that dares to defile The flag of her stars and the page of her story ! By the millions unchained who our birthright have gained , We will keep her bright blazon forever unstained ! And the Star - Spangled Banner in triumph shall wave While the land of the free is the home of the brave .   Alternative lyrics   In a version hand - written by Francis Scott Key in 1840 , the third line reads `` Whose bright stars and broad stripes , through the clouds of the fight '' .   Modern history  Main article : Performances and adaptations of The Star - Spangled Banner  Performances       This section may contain indiscriminate , excessive , or irrelevant examples . Please improve the article by adding more descriptive text and removing less pertinent examples . See Wikipedia 's guide to writing better articles for further suggestions . ( November 2012 )    Crowd performing the U.S. national anthem before a baseball game at Coors Field  The song is notoriously difficult for nonprofessionals to sing because of its wide range -- a 12th . Humorist Richard Armour referred to the song 's difficulty in his book It All Started With Columbus .   In an attempt to take Baltimore , the British attacked Fort McHenry , which protected the harbor . Bombs were soon bursting in air , rockets were glaring , and all in all it was a moment of great historical interest . During the bombardment , a young lawyer named Francis Off Key ( sic ) wrote `` The Star - Spangled Banner '' , and when , by the dawn 's early light , the British heard it sung , they fled in terror .  -- Richard Armour  Professional and amateur singers have been known to forget the words , which is one reason the song is sometimes pre-recorded and lip - synced . Other times the issue is avoided by having the performer ( s ) play the anthem instrumentally instead of singing it . The pre-recording of the anthem has become standard practice at some ballparks , such as Boston 's Fenway Park , according to the SABR publication The Fenway Project .   `` The Star - Spangled Banner '' is traditionally played at the beginning of public sports events and orchestral concerts in the United States , as well as other public gatherings . The National Hockey League and Major League Soccer both require venues in both the U.S. and Canada to perform both the Canadian and American national anthems at games that involve teams from both countries ( with the `` away '' anthem being performed first ) . It is also usual for both American and Canadian anthems ( done in the same way as the NHL and MLS ) to be played at Major League Baseball and National Basketball Association games involving the Toronto Blue Jays and the Toronto Raptors ( respectively ) , the only Canadian teams in those two major U.S. sports leagues , and in All Star Games on the MLB , NBA , and NHL . The Buffalo Sabres of the NHL , which play in a city on the Canada -- US border and have a substantial Canadian fan base , play both anthems before all home games regardless of where the visiting team is based .   Two especially unusual performances of the song took place in the immediate aftermath of the United States September 11 attacks . On September 12 , 2001 , the Queen broke with tradition and allowed the Band of the Coldstream Guards to perform the anthem at Buckingham Palace , London , at the ceremonial Changing of the Guard , as a gesture of support for Britain 's ally . The following day at a St. Paul 's Cathedral memorial service , the Queen joined in the singing of the anthem , an unprecedented occurrence .   200th anniversary celebrations   The 200th anniversary of the `` Star - Spangled Banner '' occurred in 2014 with various special events occurring throughout the United States . A particularly significant celebration occurred during the week of September 10 -- 16 in and around Baltimore , Maryland . Highlights included playing of a new arrangement of the anthem arranged by John Williams and participation of President Obama on Defender 's Day , September 12 , 2014 , at Fort McHenry . In addition , the anthem bicentennial included a youth music celebration including the presentation of the National Anthem Bicentennial Youth Challenge winning composition written by Noah Altshuler .   Adaptations  See also : The Star Spangled Banner ( Whitney Houston recording ) O'er the ramparts we watch in a 1945 United States Army Air Forces poster  The first popular music performance of the anthem heard by the mainstream U.S. was by Puerto Rican singer and guitarist José Feliciano . He created a nationwide uproar when he strummed a slow , blues - style rendition of the song at Tiger Stadium in Detroit before game five of the 1968 World Series , between Detroit and St. Louis . This rendition started contemporary `` Star - Spangled Banner '' controversies . The response from many in the Vietnam War - era U.S. was generally negative . Despite the controversy , Feliciano 's performance opened the door for the countless interpretations of the `` Star - Spangled Banner '' heard in the years since . One week after Feliciano 's performance , the anthem was in the news again when American athletes Tommie Smith and John Carlos lifted controversial raised fists at the 1968 Olympics while the `` Star - Spangled Banner '' played at a medal ceremony .   Marvin Gaye gave a soul - influenced performance at the 1983 NBA All - Star Game and Whitney Houston gave a soulful rendition before Super Bowl XXV in 1991 , which was released as a single that charted at number 20 in 1991 and number 6 in 2001 ( along with José Feliciano , the only times the anthem has been on the Billboard Hot 100 ) . In 1993 , Kiss did an instrumental rock version as the closing track on their album , Alive III . Another famous instrumental interpretation is Jimi Hendrix 's version , which was a set - list staple from autumn 1968 until his death in September 1970 , including a famous rendition at the Woodstock music festival in 1969 . Incorporating sonic effects to emphasize the `` rockets ' red glare '' , and `` bombs bursting in air '' , it became a late - 1960s emblem . Roseanne Barr gave a controversial performance of the anthem at a San Diego Padres baseball game at Jack Murphy Stadium on July 25 , 1990 . The comedian belted out a screechy rendition of the song , and afterward she attempted a gesture of ball players by spitting and grabbing her crotch as if adjusting a protective cup . The performance offended some , including the sitting U.S. President , George H.W. Bush . Sufjan Stevens has frequently performed the `` Star - Spangled Banner '' in live sets , replacing the optimism in the end of the first verse with a new coda that alludes to the divisive state of the nation today . David Lee Roth both referenced parts of the anthem and played part of a hard rock rendition of the anthem on his song , `` Yankee Rose '' on his 1986 solo album , Eat ' Em and Smile . Steven Tyler also caused some controversy in 2001 ( at the Indianapolis 500 , to which he later issued a public apology ) and again in 2012 ( at the AFC Championship Game ) with a cappella renditions of the song with changed lyrics . A version of Aerosmith 's Joe Perry and Brad Whitford playing part of the song can be heard at the end of their version of `` Train Kept A-Rollin ' '' on the Rockin ' the Joint album . The band Boston gave an instrumental rock rendition of the anthem on their Greatest Hits album . The band Crush 40 made a version of the song as opening track from the album Thrill of the Feel ( 2000 ) .   In March 2005 , a government - sponsored program , the National Anthem Project , was launched after a Harris Interactive poll showed many adults knew neither the lyrics nor the history of the anthem .   References in film , television , literature   Several films have their titles taken from the song 's lyrics . These include two films titled Dawn 's Early Light ( 2000 and 2005 ) ; two made - for - TV features titled By Dawn 's Early Light ( 1990 and 2000 ) ; two films titled So Proudly We Hail ( 1943 and 1990 ) ; a feature ( 1977 ) and a short ( 2005 ) titled Twilight 's Last Gleaming ; and four films titled Home of the Brave ( 1949 , 1986 , 2004 , and 2006 ) . A 1936 short titled `` The Song of a Nation '' from Warner Brothers shows a version of the origin of the song .   Customs and federal law  Plaque detailing how the custom of standing during the Anthem came about in Tacoma , Washington , on October 18 , 1893 , in the Bostwick building  When the National Anthem was first recognized by law in 1932 , there was no prescription as to behavior during its playing . On June 22 , 1942 , the law was revised indicating that those in uniform should salute during its playing , while others should simply stand at attention , men removing their hats . ( The same code also required that women should place their hands over their hearts when the flag is displayed during the playing of the Anthem , but not if the flag was not present . ) On December 23 , 1942 the law was again revised instructing men and women to stand at attention and face in the direction of the music when it was played . That revision also directed men and women to place their hands over their hearts only if the flag was displayed . Those in uniform were required to salute . On July 7 , 1976 , the law was simplified . Men and women were instructed to stand with their hands over their hearts , men removing their hats , irrespective of whether or not the flag was displayed and those in uniform saluting . On August 12 , 1998 , the law was rewritten keeping the same instructions , but differentiating between `` those in uniform '' and `` members of the Armed Forces and veterans '' who were both instructed to salute during the playing whether or not the flag was displayed . Because of the changes in law over the years and confusion between instructions for the Pledge of Allegence versus the National Anthem , throughout most of the 20th century many people simply stood at attention or with their hands folded in front of them during the playing of the Anthem , and when reciting the Pledge they would hold their hand ( or hat ) over their heart . After 9 / 11 , the custom of placing the hand over the heart during the playing of the Anthem became nearly universal .   Since 1998 , federal law ( viz. , the United States Code 36 U.S.C. § 301 ) states that during a rendition of the national anthem , when the flag is displayed , all present including those in uniform should stand at attention ; Non-military service individuals should face the flag with the right hand over the heart ; Members of the Armed Forces and veterans who are present and not in uniform may render the military salute ; Military service persons not in uniform should remove their headdress with their right hand and hold the headdress at the left shoulder , the hand being over the heart ; and Members of the Armed Forces and veterans who are in uniform should give the military salute at the first note of the anthem and maintain that position until the last note . The law further provides that when the flag is not displayed , all present should face toward the music and act in the same manner they would if the flag were displayed . Military law requires all vehicles on the installation to stop when the song is played and all individuals outside to stand at attention and face the direction of the music and either salute , in uniform , or place the right hand over the heart , if out of uniform . The law was amended in 2008 , and since allows military veterans to salute out of uniform , as well .   The text of 36 U.S.C. § 301 is suggestive and not regulatory in nature . Failure to follow the suggestions is not a violation of law . This behavioral requirement for the national anthem is subject to the same First Amendment controversies that surround the Pledge of Allegiance . For example , Jehovah 's Witnesses do not sing the national anthem , though they are taught that standing is an `` ethical decision '' that individual believers must make based on their `` conscience . ''   Protests  Main article : U.S. national anthem protests  1968 Olympics Black Power salute  Main article : 1968 Olympics Black Power Salute  The 1968 Olympics Black Power salute was a political demonstration conducted by African - American athletes Tommie Smith and John Carlos during their medal ceremony at the 1968 Summer Olympics in the Olympic Stadium in Mexico City . After having won gold and bronze medals respectively in the 200 meter running event , they turned on the podium to face their flags , and to hear the American national anthem , `` The Star - Spangled Banner '' . Each athlete raised a black - gloved fist , and kept them raised until the anthem had finished . In addition , Smith , Carlos , and Australian silver medalist Peter Norman all wore human rights badges on their jackets . In his autobiography , Silent Gesture , Smith stated that the gesture was not a `` Black Power '' salute , but a `` human rights salute '' . The event is regarded as one of the most overtly political statements in the history of the modern Olympic Games .   2016 protests  Main article : U.S. national anthem protests ( 2016 -- present )  Politically motivated protests of the national anthem began in the National Football League ( NFL ) after San Francisco 49ers quarterback ( QB ) Colin Kaepernick sat during the anthem , as opposed to the tradition of standing , before his team 's third preseason game of 2016 . Kaepernick also sat during the first two preseason games , but he went unnoticed .   NAACP call remove the National anthem   In November 2017 , the California NAACP called on Congress to remove The Star - Spangled Banner as the national anthem . Alice Huffman , California NCAAP president said `` it 's racist ; it does n't represent our community , it 's anti-black . '' The third stansa of the anthem , which is rarely sung , contain the words , `` No refuge could save the hireling and slave , From the terror of flight , or the gloom of the grave : '' , which some interpret as racist . The organization was still seeking a representative to sponsor the legislation in Congress at the time of their announcement .   Translations   As a result of immigration to the United States and the incorporation of non-English speaking people into the country , the lyrics of the song have been translated into other languages . In 1861 , it was translated into German . The Library of Congress also has record of a Spanish - language version from 1919 . It has since been translated into Hebrew and Yiddish by Jewish immigrants , Latin American Spanish ( with one version popularized during immigration reform protests in 2006 ) , French by Acadians of Louisiana , Samoan , and Irish . The third verse of the anthem has also been translated into Latin .   With regard to the indigenous languages of North America , there are versions in Navajo and Cherokee .   Media       The Star - Spangled Banner ( 1915 ) A 1915 recording of the Star - Spangled Banner as sung by Margaret Woodrow Wilson , daughter of Woodrow Wilson The Star - Spangled Banner ( 1942 ) Fred Waring and His Pennsylvanians sing The Star - Spangled Banner in 1942 The Star - Spangled Banner ( 1953 ) A 1953 instrumental recording by the United States Marine Corps band The Star Spangled Banner ( circa 2000 ) An instrumental recording by the United States Navy Band .     Problems playing these files ? See media help .       Play media ( 1944 )   Play media ( 1940 )     See also    In God We Trust   Sign - on and sign - off     Music portal   United States portal    References    ^ Jump up to : `` '' Star - Spangled Banner '' Is Now Official Anthem `` . The Washington Post . March 5 , 1931 . p. 3 .   Jump up ^ `` Defence of Fort M'Henry Library of Congress '' . Loc.gov . Retrieved 2017 - 04 - 18 .   Jump up ^ `` My country ' tis of thee ( Song Collection ) '' . The Library of Congress . Retrieved 2009 </t>
  </si>
  <si>
    <t xml:space="preserve">where was the author when he wrote the star spangled banner</t>
  </si>
  <si>
    <t xml:space="preserve"> `` The Star - Spangled Banner '' is the national anthem of the United States of America . The lyrics come from `` Defence of Fort M'Henry '' , a poem written on September 14 , 1814 , by the 35 - year - old lawyer and amateur poet Francis Scott Key after witnessing the bombardment of Fort McHenry by British ships of the Royal Navy in Baltimore Harbor during the Battle of Baltimore in the War of 1812 . Key was inspired by the large American flag , the Star - Spangled Banner , flying triumphantly above the fort during the American victory . </t>
  </si>
  <si>
    <r>
      <rPr>
        <sz val="11"/>
        <color rgb="FF000000"/>
        <rFont val="Calibri"/>
        <family val="0"/>
        <charset val="1"/>
      </rPr>
      <t xml:space="preserve">Japanese pagoda - wikipedia  Japanese pagoda            Multi-storied pagodas in wood and stone , and a gorintō  Pagodas in Japan are called tō ( </t>
    </r>
    <r>
      <rPr>
        <sz val="11"/>
        <color rgb="FF000000"/>
        <rFont val="Noto Sans CJK SC"/>
        <family val="2"/>
      </rPr>
      <t xml:space="preserve">塔 </t>
    </r>
    <r>
      <rPr>
        <sz val="11"/>
        <color rgb="FF000000"/>
        <rFont val="Calibri"/>
        <family val="0"/>
        <charset val="1"/>
      </rPr>
      <t xml:space="preserve">, lit . pagoda ) , sometimes buttō ( </t>
    </r>
    <r>
      <rPr>
        <sz val="11"/>
        <color rgb="FF000000"/>
        <rFont val="Noto Sans CJK SC"/>
        <family val="2"/>
      </rPr>
      <t xml:space="preserve">仏塔 </t>
    </r>
    <r>
      <rPr>
        <sz val="11"/>
        <color rgb="FF000000"/>
        <rFont val="Calibri"/>
        <family val="0"/>
        <charset val="1"/>
      </rPr>
      <t xml:space="preserve">, lit . Buddhist pagoda ) or tōba ( </t>
    </r>
    <r>
      <rPr>
        <sz val="11"/>
        <color rgb="FF000000"/>
        <rFont val="Noto Sans CJK SC"/>
        <family val="2"/>
      </rPr>
      <t xml:space="preserve">塔婆 </t>
    </r>
    <r>
      <rPr>
        <sz val="11"/>
        <color rgb="FF000000"/>
        <rFont val="Calibri"/>
        <family val="0"/>
        <charset val="1"/>
      </rPr>
      <t xml:space="preserve">, lit . pagoda ) and historically derive from the Chinese pagoda , itself an interpretation of the Indian stupa . Like the stupa , pagodas were originally used as reliquaries but in many cases they ended up losing this function . Pagodas are quintessentially Buddhist and an important component of Japanese Buddhist temple compounds but , because until the Kami and Buddhas Separation Act of 1868 , a Shinto shrine was normally also a Buddhist temple and vice versa , they are not rare at shrines either . The famous Itsukushima Shrine , for example , has one .   After the Meiji Restoration the word tō , once used exclusively in a religious context , came to mean also `` tower '' in the western sense , as for example in Eiffel tower ( </t>
    </r>
    <r>
      <rPr>
        <sz val="11"/>
        <color rgb="FF000000"/>
        <rFont val="Noto Sans CJK SC"/>
        <family val="2"/>
      </rPr>
      <t xml:space="preserve">エッフェル 塔 </t>
    </r>
    <r>
      <rPr>
        <sz val="11"/>
        <color rgb="FF000000"/>
        <rFont val="Calibri"/>
        <family val="0"/>
        <charset val="1"/>
      </rPr>
      <t xml:space="preserve">, Efferu - tō ) .   Of the Japanese pagoda 's many forms , some are built in wood and are collectively known as mokutō ( </t>
    </r>
    <r>
      <rPr>
        <sz val="11"/>
        <color rgb="FF000000"/>
        <rFont val="Noto Sans CJK SC"/>
        <family val="2"/>
      </rPr>
      <t xml:space="preserve">木 塔 </t>
    </r>
    <r>
      <rPr>
        <sz val="11"/>
        <color rgb="FF000000"/>
        <rFont val="Calibri"/>
        <family val="0"/>
        <charset val="1"/>
      </rPr>
      <t xml:space="preserve">, lit . wood pagoda ) , but most are carved out of stone ( sekitō ( </t>
    </r>
    <r>
      <rPr>
        <sz val="11"/>
        <color rgb="FF000000"/>
        <rFont val="Noto Sans CJK SC"/>
        <family val="2"/>
      </rPr>
      <t xml:space="preserve">石塔 </t>
    </r>
    <r>
      <rPr>
        <sz val="11"/>
        <color rgb="FF000000"/>
        <rFont val="Calibri"/>
        <family val="0"/>
        <charset val="1"/>
      </rPr>
      <t xml:space="preserve">, lit . stone pagoda ) . Wood pagodas are large buildings with either two stories ( like the tahōtō ( </t>
    </r>
    <r>
      <rPr>
        <sz val="11"/>
        <color rgb="FF000000"/>
        <rFont val="Noto Sans CJK SC"/>
        <family val="2"/>
      </rPr>
      <t xml:space="preserve">多宝塔 </t>
    </r>
    <r>
      <rPr>
        <sz val="11"/>
        <color rgb="FF000000"/>
        <rFont val="Calibri"/>
        <family val="0"/>
        <charset val="1"/>
      </rPr>
      <t xml:space="preserve">, lit . Tahō pagoda ) , see photo below ) or an odd number of stories . Extant wood pagodas with more than two storeys have almost always either three storeys ( and are therefore called sanjū - no - tō ( </t>
    </r>
    <r>
      <rPr>
        <sz val="11"/>
        <color rgb="FF000000"/>
        <rFont val="Noto Sans CJK SC"/>
        <family val="2"/>
      </rPr>
      <t xml:space="preserve">三重 塔 </t>
    </r>
    <r>
      <rPr>
        <sz val="11"/>
        <color rgb="FF000000"/>
        <rFont val="Calibri"/>
        <family val="0"/>
        <charset val="1"/>
      </rPr>
      <t xml:space="preserve">, lit . three - storeyed pagoda ) ) or five ( and are called gojū - no - tō ( </t>
    </r>
    <r>
      <rPr>
        <sz val="11"/>
        <color rgb="FF000000"/>
        <rFont val="Noto Sans CJK SC"/>
        <family val="2"/>
      </rPr>
      <t xml:space="preserve">五重塔 </t>
    </r>
    <r>
      <rPr>
        <sz val="11"/>
        <color rgb="FF000000"/>
        <rFont val="Calibri"/>
        <family val="0"/>
        <charset val="1"/>
      </rPr>
      <t xml:space="preserve">, lit . five - storeyed pagoda ) . Stone pagodas are nearly always small , usually well below 3 metres , and as a rule offer no usable space . If they have more than one story , pagodas are called tasōtō ( </t>
    </r>
    <r>
      <rPr>
        <sz val="11"/>
        <color rgb="FF000000"/>
        <rFont val="Noto Sans CJK SC"/>
        <family val="2"/>
      </rPr>
      <t xml:space="preserve">多層 塔 </t>
    </r>
    <r>
      <rPr>
        <sz val="11"/>
        <color rgb="FF000000"/>
        <rFont val="Calibri"/>
        <family val="0"/>
        <charset val="1"/>
      </rPr>
      <t xml:space="preserve">, lit . multi-storied pagoda ) or tajūtō ( </t>
    </r>
    <r>
      <rPr>
        <sz val="11"/>
        <color rgb="FF000000"/>
        <rFont val="Noto Sans CJK SC"/>
        <family val="2"/>
      </rPr>
      <t xml:space="preserve">多重 塔 </t>
    </r>
    <r>
      <rPr>
        <sz val="11"/>
        <color rgb="FF000000"/>
        <rFont val="Calibri"/>
        <family val="0"/>
        <charset val="1"/>
      </rPr>
      <t xml:space="preserve">, lit . multi-storied pagoda ) .   A pagoda 's size is measured in ken , where a ken is the interval between two pillars of a traditional - style building . A tahōtō for example can be either 5x5 ken or 3x3 ken . The word is usually translated in English as `` bay '' and is better understood as an indication of proportions than as a unit of measurement .   Contents    1 History   1.1 Design and structure evolution   1.2 Loss of importance of the pagoda within the garan     2 Stone pagodas   2.1 Tasōtō or tajūtō   2.2 Hōtō   2.3 Gorintō   2.4 Hōkyōintō   2.5 Muhōtō or rantō   2.6 Kasatōba   2.7 Sōrintō     3 Wooden pagodas   3.1 Tasōtō   3.2 Hōtō   3.3 Tahōtō   3.3. 1 Daitō     3.4 Sotōba     4 Gallery of pagodas in Japan   5 See also   6 Notes   7 References   8 Bibliography    History ( edit )  Japan 's oldest three - storeyed pagoda at Hokki - ji , Ikaruga , Nara Pref . It was built in 706 .  The stupa was originally a simple mound containing the Buddha 's ashes which in time became more elaborate , while its finial grew proportionally larger . After reaching China , the stupa met the Chinese watchtower and evolved into the pagoda , a tower with an odd number of storeys . Its use then spread to Korea and , from there , to Japan . Following its arrival in Japan together with Buddhism in the 6th century , the pagoda became one of the focal points of the early Japanese garan . In Japan it evolved in shape , size and function , finally losing its original role as a reliquary . It also became extremely common , while on the Asian continent it is rare .   With the birth of new sects in later centuries , the pagoda lost importance and was consequently relegated to the margins of the garan . Temples of the Jōdo sects rarely have a pagoda . During the Kamakura period the Zen sect arrived in Japan and their temples do not normally include a pagoda .   Pagodas originally were reliquaries and did not contain sacred images , but in Japan many , for example Hōryū - ji 's five - storied pagoda , enshrine statues of various deities . To allow the opening of a room at the ground floor and therefore create some usable space , the pagoda 's central shaft , which originally reached the ground , was shortened to the upper stories , where it rested on supporting beams . In that room are enshrined statues of the temple 's main objects of worship . Inside Shingon pagodas there can be paintings of deities called Shingon Hasso ( </t>
    </r>
    <r>
      <rPr>
        <sz val="11"/>
        <color rgb="FF000000"/>
        <rFont val="Noto Sans CJK SC"/>
        <family val="2"/>
      </rPr>
      <t xml:space="preserve">真言 八 祖 </t>
    </r>
    <r>
      <rPr>
        <sz val="11"/>
        <color rgb="FF000000"/>
        <rFont val="Calibri"/>
        <family val="0"/>
        <charset val="1"/>
      </rPr>
      <t xml:space="preserve">) ; on the ceiling and on the central shaft there can be decorations and paintings .   Design and structure evolution ( edit )   The edge of a pagoda 's eaves forms a straight line , with each following edge being shorter than the other . The more difference in length ( a parameter called teigen ( </t>
    </r>
    <r>
      <rPr>
        <sz val="11"/>
        <color rgb="FF000000"/>
        <rFont val="Noto Sans CJK SC"/>
        <family val="2"/>
      </rPr>
      <t xml:space="preserve">逓減 </t>
    </r>
    <r>
      <rPr>
        <sz val="11"/>
        <color rgb="FF000000"/>
        <rFont val="Calibri"/>
        <family val="0"/>
        <charset val="1"/>
      </rPr>
      <t xml:space="preserve">, gradual diminution ) in Japanese ) between stories , the more solid and secure the pagoda seems to be . Both teigen and the finial are greater in older pagodas , giving them a sense of solidity . Vice versa , recent pagodas tend to be steeper and have shorter finials , creating svelter silhouettes .   From the structural point of view , old pagodas had a stone base ( </t>
    </r>
    <r>
      <rPr>
        <sz val="11"/>
        <color rgb="FF000000"/>
        <rFont val="Noto Sans CJK SC"/>
        <family val="2"/>
      </rPr>
      <t xml:space="preserve">心 礎 </t>
    </r>
    <r>
      <rPr>
        <sz val="11"/>
        <color rgb="FF000000"/>
        <rFont val="Calibri"/>
        <family val="0"/>
        <charset val="1"/>
      </rPr>
      <t xml:space="preserve">, shinso ) over which stood the main pillar ( </t>
    </r>
    <r>
      <rPr>
        <sz val="11"/>
        <color rgb="FF000000"/>
        <rFont val="Noto Sans CJK SC"/>
        <family val="2"/>
      </rPr>
      <t xml:space="preserve">心 柱 </t>
    </r>
    <r>
      <rPr>
        <sz val="11"/>
        <color rgb="FF000000"/>
        <rFont val="Calibri"/>
        <family val="0"/>
        <charset val="1"/>
      </rPr>
      <t xml:space="preserve">, shinbashira ) . Around it would be erected the first story 's supporting pillars , then the beams supporting the eaves and so on . The other stories would be built over the completed one , and on top of the main pillar would at last be inserted the finial . In later eras , all of the supporting structures would be erected at once , and later to them were fixed parts of more cosmetic function .   Early pagodas had a central pillar that penetrated deep into the ground . With the evolution of architectural techniques , it was first put to rest on a base stone at ground level , then it was shortened and put to rest on beams at the second story to allow the opening of a room .   Their role within the temple declined gradually while they were being functionally replaced by main halls ( kondō ) . Originally the centerpiece of the Shingon and Tendai garan , they were moved later to its edges and finally abandoned , in particular by the Zen sects , the last to appear in Japan .   Loss of importance of the pagoda within the garan ( edit )  A reconstruction of Asuka - dera 's original layout with a pagoda at its center  Because of the relics they contained , wooden pagodas used to be the centerpiece of the garan , the seven edifices considered indispensable for a temple . They gradually lost importance and were replaced by the kondō ( golden hall ) , because of the magic powers believed to lie within the images the building housed . This loss of status was so complete that Zen schools , which arrived late in Japan from China , normally do not have any pagoda in their garan . The layout of four early temples clearly illustrates this trend : they are in chronological order Asuka - dera , Shitennō - ji , Hōryū - ji , and Yakushi - ji . In the first , the pagoda was at the very center of the garan surrounded by three small kondō ( see the reconstruction of the temple 's original layout ) . In the second , a single kondō is at the center of the temple and the pagoda lies in front of it . At Hōryū - ji , they are one next to the other . Yakushi - ji has a single , large kondō at the center with two pagodas on the sides . The same evolution can be observed in Buddhist temples in China .   Stone pagodas ( edit )  A rare 16 - story stone pagoda at Chōshō - ji in Kamakura  Stone pagodas ( sekitō ) are usually made of materials like apatite or granite , are much smaller than wooden ones and are finely carved . Often they bear sanskrit inscriptions , Buddhist figurines and Japanese lunar calendar dates nengō . Like wooden ones , they are mostly classifiable on the basis of the number of stories as tasōtō or hōtō , but there are however some styles hardly ever seen in wood , namely the gorintō , the muhōtō , the hōkyōintō and the kasatōba .   Tasōtō or tajūtō ( edit )   With a few very rare exceptions , tasōtō ( also called tajūtō ) have an odd number of stories , normally comprised between three and thirteen . They are usually less than three meters tall , but they can occasionally be much taller . The tallest still extant is a 13 - story pagoda at Hannya - ji in Nara , which is 14.12 m . They are often dedicated to Buddha and offer no usable room , but some have a small space inside which holds a sacred image . In the oldest extant specimen , while the edge of each story are parallel to the ground , each successive story is smaller than the next , resulting in a strongly slanted curve . More modern tasōtō tend to have a less pronounced curve .    Media related to tasōtō at Wikimedia Commons    Hōtō ( edit )  A hōtō at Ankokuron - ji  A hōtō ( </t>
    </r>
    <r>
      <rPr>
        <sz val="11"/>
        <color rgb="FF000000"/>
        <rFont val="Noto Sans CJK SC"/>
        <family val="2"/>
      </rPr>
      <t xml:space="preserve">宝塔 </t>
    </r>
    <r>
      <rPr>
        <sz val="11"/>
        <color rgb="FF000000"/>
        <rFont val="Calibri"/>
        <family val="0"/>
        <charset val="1"/>
      </rPr>
      <t xml:space="preserve">, lit . jewel stupa ) is a pagoda consisting of four parts : a low foundation stone , a cylindrical body with a rounded top , a four - sided roof and a finial . Unlike the similar tahōtō ( see section below ) it has no enclosed pent roof ( mokoshi ) around its circular core . Like the tahōtō it takes its name from Buddhist deity Tahō Nyorai . The hōtō was born during the early Heian period , when the Tendai and Shingon sects first arrived in Japan . Indeed , because it does not exist on the Asian continent , it is believed to have been invented in Japan .   There used to exist full - size hōtō , but almost only miniature ones survive , normally made of stone and / or metal .    Media related to hōtō at Wikimedia Commons    Gorintō ( edit )  Main article : Gorintō A gorintō  The gorintō ( </t>
    </r>
    <r>
      <rPr>
        <sz val="11"/>
        <color rgb="FF000000"/>
        <rFont val="Noto Sans CJK SC"/>
        <family val="2"/>
      </rPr>
      <t xml:space="preserve">五輪塔 </t>
    </r>
    <r>
      <rPr>
        <sz val="11"/>
        <color rgb="FF000000"/>
        <rFont val="Calibri"/>
        <family val="0"/>
        <charset val="1"/>
      </rPr>
      <t xml:space="preserve">, lit . five ring tower ) is a pagoda found almost only in Japan and believed to have been first adopted by the Shingon and Tendai sects during the mid Heian period . It is used as a tomb marker or as a cenotaph , and is therefore a common sight in Buddhist temples and cemeteries . It is also called gorinsotōba ( </t>
    </r>
    <r>
      <rPr>
        <sz val="11"/>
        <color rgb="FF000000"/>
        <rFont val="Noto Sans CJK SC"/>
        <family val="2"/>
      </rPr>
      <t xml:space="preserve">五輪 卒塔婆 </t>
    </r>
    <r>
      <rPr>
        <sz val="11"/>
        <color rgb="FF000000"/>
        <rFont val="Calibri"/>
        <family val="0"/>
        <charset val="1"/>
      </rPr>
      <t xml:space="preserve">) ( `` five - ringed stupa '' ) or goringedatsu ( </t>
    </r>
    <r>
      <rPr>
        <sz val="11"/>
        <color rgb="FF000000"/>
        <rFont val="Noto Sans CJK SC"/>
        <family val="2"/>
      </rPr>
      <t xml:space="preserve">五輪 解脱 </t>
    </r>
    <r>
      <rPr>
        <sz val="11"/>
        <color rgb="FF000000"/>
        <rFont val="Calibri"/>
        <family val="0"/>
        <charset val="1"/>
      </rPr>
      <t xml:space="preserve">) , where the term sotoba is a transliteration of the Sanskrit word stupa .   In all its variations , the gorintō is made of five blocks ( although that number can sometimes be difficult to detect ) , each having one of the five shapes which symbolize of the Five Elements believed to be the basic building blocks of reality : earth ( cube ) , water ( sphere ) , fire ( pyramid ) , air ( crescent ) , and ether , energy , or void ( lotus ) . The last two rings ( air and ether ) are visually and conceptually united into a single subgroup .    Media related to gorintō at Wikimedia Commons    Hōkyōintō ( edit )  Main article : Hōkyōintō A hōkyōintō  The hōkyōintō ( </t>
    </r>
    <r>
      <rPr>
        <sz val="11"/>
        <color rgb="FF000000"/>
        <rFont val="Noto Sans CJK SC"/>
        <family val="2"/>
      </rPr>
      <t xml:space="preserve">宝 篋 印 塔 </t>
    </r>
    <r>
      <rPr>
        <sz val="11"/>
        <color rgb="FF000000"/>
        <rFont val="Calibri"/>
        <family val="0"/>
        <charset val="1"/>
      </rPr>
      <t xml:space="preserve">) is a large stone pagoda so called because it originally contained the Hōkyōin ( </t>
    </r>
    <r>
      <rPr>
        <sz val="11"/>
        <color rgb="FF000000"/>
        <rFont val="Noto Sans CJK SC"/>
        <family val="2"/>
      </rPr>
      <t xml:space="preserve">宝 篋 印 </t>
    </r>
    <r>
      <rPr>
        <sz val="11"/>
        <color rgb="FF000000"/>
        <rFont val="Calibri"/>
        <family val="0"/>
        <charset val="1"/>
      </rPr>
      <t xml:space="preserve">) dharani ( </t>
    </r>
    <r>
      <rPr>
        <sz val="11"/>
        <color rgb="FF000000"/>
        <rFont val="Noto Sans CJK SC"/>
        <family val="2"/>
      </rPr>
      <t xml:space="preserve">陀羅尼 </t>
    </r>
    <r>
      <rPr>
        <sz val="11"/>
        <color rgb="FF000000"/>
        <rFont val="Calibri"/>
        <family val="0"/>
        <charset val="1"/>
      </rPr>
      <t xml:space="preserve">) sūtra . It was originally used as a cenotaph for the King of Wuyue - Qian Liu in China .   The hōkyōintō tradition in Japan is believed to have begun during the Asuka period ( 550 -- 710 CE ) . They used to be made of wood and started to be made in stone only during the Kamakura period . It is also during this period that they started to be used as tombstones and cenotaphs . The hōkyōintō started to be made in its present form during the Kamakura period . Like a gorintō , it is divided in five main sections representing the five elements of Japanese cosmology . The sūtra it sometimes hides contain all the pious deeds of a Tathagata Buddha , and the faithful believe that , by praying in front of the hōkyōintō , their sins will be canceled , during their lives they will be protected from disasters and after death they will go to heaven .    Media related to hōkyōintō at Wikimedia Commons    Muhōtō or rantō ( edit )  A muhōtō  The muhōtō ( </t>
    </r>
    <r>
      <rPr>
        <sz val="11"/>
        <color rgb="FF000000"/>
        <rFont val="Noto Sans CJK SC"/>
        <family val="2"/>
      </rPr>
      <t xml:space="preserve">無 縫 塔 </t>
    </r>
    <r>
      <rPr>
        <sz val="11"/>
        <color rgb="FF000000"/>
        <rFont val="Calibri"/>
        <family val="0"/>
        <charset val="1"/>
      </rPr>
      <t xml:space="preserve">, lit . no stitch tower ) or rantō ( </t>
    </r>
    <r>
      <rPr>
        <sz val="11"/>
        <color rgb="FF000000"/>
        <rFont val="Noto Sans CJK SC"/>
        <family val="2"/>
      </rPr>
      <t xml:space="preserve">卵 塔 </t>
    </r>
    <r>
      <rPr>
        <sz val="11"/>
        <color rgb="FF000000"/>
        <rFont val="Calibri"/>
        <family val="0"/>
        <charset val="1"/>
      </rPr>
      <t xml:space="preserve">, lit . egg tower ) is a pagoda which usually marks the gravesite of a Buddhist priest . It was originally used by just the Zen schools , but it was later adopted by the others too . Its characteristic egg - shaped upper portion is supposed to be a phallic symbol .    Media related to muhōtō at Wikimedia Commons    Kasatōba ( edit )   A kasatōba ( </t>
    </r>
    <r>
      <rPr>
        <sz val="11"/>
        <color rgb="FF000000"/>
        <rFont val="Noto Sans CJK SC"/>
        <family val="2"/>
      </rPr>
      <t xml:space="preserve">笠 塔婆 </t>
    </r>
    <r>
      <rPr>
        <sz val="11"/>
        <color rgb="FF000000"/>
        <rFont val="Calibri"/>
        <family val="0"/>
        <charset val="1"/>
      </rPr>
      <t xml:space="preserve">, umbrella stupa ) ( see photo in the gallery below ) is simply a square stone post placed over a square base and covered by a pyramidal roof . Over the roof stand a bowl - shaped stone and a lotus - shaped stone . The shaft can be carved with Sanskrit words or low - relief images of Buddhist gods . Within the shaft there can be stone wheels which allow the faithful to turn the stupa around while praying as with a prayer wheel .    Media related to kasatōba at Wikimedia Commons    Sōrintō ( edit )   The sōrintō ( </t>
    </r>
    <r>
      <rPr>
        <sz val="11"/>
        <color rgb="FF000000"/>
        <rFont val="Noto Sans CJK SC"/>
        <family val="2"/>
      </rPr>
      <t xml:space="preserve">相輪 橖 </t>
    </r>
    <r>
      <rPr>
        <sz val="11"/>
        <color rgb="FF000000"/>
        <rFont val="Calibri"/>
        <family val="0"/>
        <charset val="1"/>
      </rPr>
      <t xml:space="preserve">) is a type of small pagoda consisting just of a pole and a sōrin .   Wooden pagodas ( edit )   Tasōtō ( edit )  Yakushi - ji 's Eastern Pagoda  Wooden tasōtō are pagodas with an odd number of stories . Some may appear to have an even number because of the presence between stories of purely decorative enclosed pent roofs called mokoshi A famous example is Yakushi - ji 's eastern pagoda ( see photo to the left ) , which seems to have six stories but has in fact only three . Another is the tahōtō ( see below ) , which has a single story , plus a mokoshi under its roof , and seems therefore to have two stories . There existed specimen with seven or nine stories , but all extant ones have either three ( and are therefore called sanjū - no - tō ( </t>
    </r>
    <r>
      <rPr>
        <sz val="11"/>
        <color rgb="FF000000"/>
        <rFont val="Noto Sans CJK SC"/>
        <family val="2"/>
      </rPr>
      <t xml:space="preserve">三重 塔 </t>
    </r>
    <r>
      <rPr>
        <sz val="11"/>
        <color rgb="FF000000"/>
        <rFont val="Calibri"/>
        <family val="0"/>
        <charset val="1"/>
      </rPr>
      <t xml:space="preserve">, lit . three - storied pagoda ) ) or five ( and are called gojū - no - tō ( </t>
    </r>
    <r>
      <rPr>
        <sz val="11"/>
        <color rgb="FF000000"/>
        <rFont val="Noto Sans CJK SC"/>
        <family val="2"/>
      </rPr>
      <t xml:space="preserve">五重塔 </t>
    </r>
    <r>
      <rPr>
        <sz val="11"/>
        <color rgb="FF000000"/>
        <rFont val="Calibri"/>
        <family val="0"/>
        <charset val="1"/>
      </rPr>
      <t xml:space="preserve">, lit . five - storied pagoda ). ( Tanzan Jinja in Sakurai , Nara , has a pagoda having thirteen , which however for structural reasons is classified separately , and is not considered a tasōtō . ) The oldest three - storied pagoda stands at Nara 's Hokki - ji and was built between 685 and 706 . The oldest extant five - storied pagoda belongs to Hōryū - ji and was built some time during the Asuka period ( 538 - 710 ) . The tallest wooden tasōtō belongs to Tō - ji , Kyoto . It has five stories and is 54 m tall .    Media related to tasōtō at Wikimedia Commons    Hōtō ( edit )  A hōtō at Yakuō - ji , Tokushima prefecture  A wooden hōtō is a rare type of pagoda consisting of four parts : a low foundation stone , a cylindrical body with a rounded top , a pyramidal roof and a finial . Unlike the similar tahōtō ( see section below ) it has no square enclosed pent roof ( mokoshi ) around its cylindrical core . Like the tahōtō it takes its name from Buddhist deity Tahō Nyorai . The hōtō was born during the early Heian period , when the Tendai and Shingon Buddhist sects first arrived in Japan .   There used to be many full - size hōtō , but almost only miniature ones survive , normally made of stone and / or metal . A good example of full - size hōtō can be seen at Ikegami Honmon - ji in Nishi - magome , Tokyo . The pagoda is 17.4 meter tall and 5.7 meter wide .    Media related to hōtō at Wikimedia Commons    Tahōtō ( edit )  Main article : Tahōtō Negoro - ji 's daitō  The tahōtō is a type of wooden pagoda unique for having an even number of stories ( two ) , the first square with a rounded core , the second circular . This style of tō was created surrounding the cylindrical base of a hōtō ( see above ) with a square , roofed corridor called mokoshi . The core of the pagoda has just one story with its ceiling below the circular second story , which is inaccessible . Like the tasōtō and the rōmon , in spite of its appearance it therefore offers usable space only at the ground floor .   Because its kind does not exist either in Korea or in China , it is believed to have been invented in Japan during the Heian period ( 794 - 1185 ) . The tahōtō was important enough to be considered one of the seven indispensable buildings ( the so - called shichidō garan ) of a Shingon temple . Kūkai himself is responsible for the construction of the tahōto at Mount Kōya 's Kongōbu - ji .  Daitō ( edit ) The floorplan of Negoro - ji 's daitō  Usually the base of a tahōtō is 3 - ken across with four main , supporting pillars called shitenbashira ( </t>
    </r>
    <r>
      <rPr>
        <sz val="11"/>
        <color rgb="FF000000"/>
        <rFont val="Noto Sans CJK SC"/>
        <family val="2"/>
      </rPr>
      <t xml:space="preserve">四 天 柱 </t>
    </r>
    <r>
      <rPr>
        <sz val="11"/>
        <color rgb="FF000000"/>
        <rFont val="Calibri"/>
        <family val="0"/>
        <charset val="1"/>
      </rPr>
      <t xml:space="preserve">) at the corners ( see drawing ) . The room the shitenbashira form houses a sanctuary where the main objects of worship ( the gohonzon ) are enshrined .   Larger , 5x5 ken tahōtō however exist and are called daitō ( </t>
    </r>
    <r>
      <rPr>
        <sz val="11"/>
        <color rgb="FF000000"/>
        <rFont val="Noto Sans CJK SC"/>
        <family val="2"/>
      </rPr>
      <t xml:space="preserve">大塔 </t>
    </r>
    <r>
      <rPr>
        <sz val="11"/>
        <color rgb="FF000000"/>
        <rFont val="Calibri"/>
        <family val="0"/>
        <charset val="1"/>
      </rPr>
      <t xml:space="preserve">, lit . large pagoda ) because of their dimensions . This is the only type of tahōtō to retain the original structure with a wall separating the corridor ( mokoshi ) from the core of the structure . This type of pagoda used to be common but , of all daitō ever built , only three are still extant . One is at Wakayama prefecture 's Negoro - ji , another at Kongōbu - ji , again in Wakayama , and the last at Kirihata - dera , Tokushima prefecture . The daitō at Kongōbu - ji was founded by Shingon sect 's Kūkai . The specimen found at Negoro - ji ( see photo above ) is 30.85 meters tall and a National Treasure .    Media related to daitō at Wikimedia Commons   Media related to tahōtō at Wikimedia Commons    Sotōba ( edit )   Often offertory strips of wood with five subdivisions and covered with elaborate inscriptions called sotōba ( </t>
    </r>
    <r>
      <rPr>
        <sz val="11"/>
        <color rgb="FF000000"/>
        <rFont val="Noto Sans CJK SC"/>
        <family val="2"/>
      </rPr>
      <t xml:space="preserve">卒塔婆 </t>
    </r>
    <r>
      <rPr>
        <sz val="11"/>
        <color rgb="FF000000"/>
        <rFont val="Calibri"/>
        <family val="0"/>
        <charset val="1"/>
      </rPr>
      <t xml:space="preserve">) can be found at tombs in Japanese cemeteries ( see photo in the gallery below ) . The inscriptions contain sūtra and the posthumous name of the dead person . Their name derives from the Sanskrit stūpa , and they can be also considered pagodas .    Media related to Sotōba at Wikimedia Commons    Gallery of pagodas in Japan ( edit )     A gorintō     A hōkyōintō     A hōtō     A stone tasōtō     Two kasatōba at Hannya - ji , Nara     Ichijō - ji 's sanjū - no - tō ( three storied pagoda ) . It was built in 1171 .     Murō - ji 's gojū - no - tō ( five storied pagoda ) . It was built in 800 .     A pagoda at a Shinto shrine , Itsukushima Shrine     A sotōba . Clearly visible is the division in five sections     A sorintō     See also ( edit )    Shinbashira , the suspended wooden column inside .    Notes ( edit )    Jump up ^ Odd numbers are strongly favoured by Chinese numerology and Buddhism . They are supposed to represent yang , that is , the male and positive principle , and are therefore considered lucky .   Jump up ^ Temple compound , ideally composed of seven buildings .   Jump up ^ Besides being decorative in themselves , they are also used also to hide structural components which would otherwise mar the pagoda 's feel .   Jump up ^ On the subject , see also the articles Hisashi , Mokoshi and Moya .   Jump up ^ For reasons of space , however , the wall separating the mokoshi from the core of the pagoda is present only in large tahōtō called daitō ( see the next section ) .    References ( edit )    ^ Jump up to : Iwanami Kōjien Japanese dictionary   ^ Jump up to : Jaanus , Tou   Jump up ^ Hamashima , Masashi ( 1999 ) . Jisha Kenchiku no Kanshō Kiso Chishiki ( in Japanese ) . Tokyo : Shibundō . p. 88 .   Jump up ^ Fujita Masaya , Koga Shūsaku , ed. ( April 10 , 1990 ) . Nihon Kenchiku - shi ( in Japanese ) ( September 30 , 2008 ed . ) . Shōwa - dō . p. 79 . ISBN 4 - 8122 - 9805 - 9 .   ^ Jump up to : Fujita &amp; Koga 2008 , pp. 79 -- 81   Jump up ^ Scheid , Japanische Pagoden   ^ Jump up to : * Tamura , Yoshiro ( 2000 ) . Japanese Buddhism - A Cultural History ( First ed . ) . Tokyo : Kosei Publishing Company . pp. 40 -- 41 pages . ISBN 4 - 333 - 01684 - 3 .   ^ Jump up to : JAANUS , Sekitou   Jump up ^ JAANUS , Tasoutou   ^ Jump up to : JAANUS , Houtou   ^ Jump up to : JAANUS - Gorintou   ^ Jump up to : Yatsushiro Municipal Museum   Jump up ^ JAANUS - Muhoutou   Jump up ^ JAANUS - Kasatouba   ^ Jump up to : JAANUS , Daitou    Bibliography ( edit )    Iwanami Kōjien ( </t>
    </r>
    <r>
      <rPr>
        <sz val="11"/>
        <color rgb="FF000000"/>
        <rFont val="Noto Sans CJK SC"/>
        <family val="2"/>
      </rPr>
      <t xml:space="preserve">広辞苑 </t>
    </r>
    <r>
      <rPr>
        <sz val="11"/>
        <color rgb="FF000000"/>
        <rFont val="Calibri"/>
        <family val="0"/>
        <charset val="1"/>
      </rPr>
      <t xml:space="preserve">) Japanese dictionary , 6th Edition ( 2008 ) , DVD version   `` JAANUS '' . Japanese Architecture and Art Net Users System . Retrieved 19 August 2010 .   Fujita Masaya , Koga Shūsaku , ed. ( April 10 , 1990 ) . Nihon Kenchiku - shi ( in Japanese ) ( September 30 , 2008 ed . ) . Shōwa - dō . ISBN 4 - 8122 - 9805 - 9 .   Scheid , Bernhard . `` Japanische Pagoden '' ( in German ) . University of Vienna . Retrieved 19 August 2010 .   Shinkō no Katachi - Hōkyōintō , Yatsushiro Municipal Museum , accessed on September 18 , 2008 ( in Japanese )        Wikimedia Commons has media related to Pagodas in Japan .               Elements of Japanese architecture     Styles     Buddhist   Buke   Daibutsuyō   Gassho   Giyōfū   Hachiman   Hirairi   Hiyoshi ( Hie )   Imperial Crown style ( Teikanyōshiki )   Irimoya   Ishi - no - ma   Kasuga   Kibitsu   Nagare   Ōbaku Zen   Setchūyō   Shinden   Shinmei   Shinto   Shoin   Sukiya   Sumiyoshi   Taisha   Wayō   Zenshūyō     Model of Himeji Castle     Types of building     Butsuden   Castle   Chashitsu   Dō   Haiden   Heiden   Hokora   Hōkyōintō   Kura   Kyōzō   Machiya   Main Hall   Minka   Setsumatsusha   Shōrō   Tahōtō   Japanese pagoda   Yagura       Roof styles     Hidden   Irimoya   Karahafu       Structural     Burdock piling   Chigi   Disordered piling   Engawa   Fusuma   Hisashi   Irimoya - zukuri   Irori   Jinmaku   Katōmado   Katsuogi   Kuruwa   Mokoshi   Moya   Nakazonae   Namako wall   Nightingale floor   Onigawara   Ranma   Shōji ( washi )   Sōrin   Tamagaki   Tatami   Tokonoma   Tokyō   Tsumairi   Shibi         Gates   Approaches       Genkan   Kairō   Karamon   Mon   Nijūmon   Niōmon   Rōmon   Sandō   Sanmon   Sōmon   Torii ( Mihashira )       Rooms     Chashitsu   Daidokoro   Mizuya   Shoin   Toilets   Washitsu       Furnishings     Butsudan   Byōbu   Chabudai   Emakimono   Furo   Futon   Getabako   Kaidan dansu   Kamado   Kamidana   Kichō   Kotatsu   Misu   Noren   Sudare   Tamaya   Tansu   Zabuton   Zafu       Outdoor objects     Chōzuya ( Temizuya )   Ishigantō   Komainu   Tōrō       Measurements     Ken   Koku   Ri   Shaku   Sun       Organizations     Architectural Institute of Japan   Japan Institute of Architects   Metabolist Movement       Related topics        Groups of Traditional Buildings   Iki   Japanese garden ( rock ( Zen ) )   Ryokan   Sentō   Wabi - sabi   Yabo       National Treasures     Castles   Residences   Shrines   Temples   Other structures                    Buddhist temples in Japan        Japanese Buddhist architecture     Architectonic elements     hidden roof   hisashi   irimoya   kaerumata : see nakazonae   kairō   karahafu   karesansui   kentozuka : see nakazonae   komainu   katōmado   mokoshi   moya   nakazonae   Niō or Kongōrikishi   sandō   shichidō garan   shōrō   sōrin   tokyō   tōrō   onigawara       Mon ( gates )     karamon   nijūmon   niōmon   rōmon   sanmon   sōmon   torii       Buildings     Chinjusha   chōzuya / temizuya   - dō   main hall ( kon - dō , hon - dō , butsuden )   kuri   kyōzō or kyō - dō   shoin       Japanese pagodas     gorintō   hōkyōintō   hōtō   kasatōba   sotōba   muhōtō   tahōtō       Styles     Daibutsuyō   Wayō   Setchūyō   Shoin - zukuri   Shin - Wayō   Zenshūyō   Ōbaku Zen architecture       Others     A-un   ken             Schools and objects of worship     Major schools     Jōdo   Nichiren   Shingon   Tendai       Zen schools     Sōtō   Ōbaku   Rinzai       Nanto rokushū     Jōjitsu   Hossō   Kusha   Kegon   Ritsu   Sanron       Objects of worship     Amida Nyōrai   Benzaiten   Dainichi Nyorai   Jizō   Kannon   Marishi - ten   Shaka Nyorai   Shitennō ( Four Kings )   Twelve Heavenly Generals ( Jūni Shinshō )   Yakushi Nyorai             Other elements     Implements     kei ( ritual gong )   mokugyō       Others     bussokuseki   butsudan   Glossary of Japanese Buddhism   Japanese Buddhist pantheon   jingū - ji   miyadera   saisenbako         Retrieved from `` https://en.wikipedia.org/w/index.php?title=Japanese_pagoda&amp;oldid=848254482 '' Categories :   Japanese pagodas   Shinto shrines   Japanese architectural history   Buddhist buildings   Buddhism in Japan   Buddhist architecture   Hidden categories :   CS1 Japanese - language sources ( ja )   Articles containing Japanese - language text   Commons category with local link different than on Wikidata   CS1 German - language sources ( de )           Talk                                           Contents                   About Wikipedia                                                 Deutsch   Français   Edit links   This page was last edited on 30 June 2018 , at 19 : 36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</si>
  <si>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reason japanese pagoda roofs decline in size is</t>
  </si>
  <si>
    <r>
      <rPr>
        <sz val="11"/>
        <color rgb="FF000000"/>
        <rFont val="Calibri"/>
        <family val="0"/>
        <charset val="1"/>
      </rPr>
      <t xml:space="preserve"> The edge of a pagoda 's eaves forms a straight line , with each following edge being shorter than the other . The more difference in length ( a parameter called teigen ( </t>
    </r>
    <r>
      <rPr>
        <sz val="11"/>
        <color rgb="FF000000"/>
        <rFont val="Noto Sans CJK SC"/>
        <family val="2"/>
      </rPr>
      <t xml:space="preserve">逓減 </t>
    </r>
    <r>
      <rPr>
        <sz val="11"/>
        <color rgb="FF000000"/>
        <rFont val="Calibri"/>
        <family val="0"/>
        <charset val="1"/>
      </rPr>
      <t xml:space="preserve">, gradual diminution ) in Japanese ) between stories , the more solid and secure the pagoda seems to be . Both teigen and the finial are greater in older pagodas , giving them a sense of solidity . Vice versa , recent pagodas tend to be steeper and have shorter finials , creating svelter silhouettes . </t>
    </r>
  </si>
  <si>
    <r>
      <rPr>
        <sz val="11"/>
        <color rgb="FF000000"/>
        <rFont val="Calibri"/>
        <family val="0"/>
        <charset val="1"/>
      </rPr>
      <t xml:space="preserve">Midnight sun - wikipedia  Midnight sun  For other uses , see Midnight sun ( disambiguation ) .      This article needs additional citations for verification . Please help improve this article by adding citations to reliable sources . Unsourced material may be challenged and removed . ( August 2013 ) ( Learn how and when to remove this template message )    The Altafjord in Alta , Norway , bathed in the midnight sun . Midnight sun at the North Cape on the island of Magerøya in Norway  The midnight sun is a natural phenomenon that occurs in the summer months in places north of the Arctic Circle or south of the Antarctic Circle , when the sun remains visible at the local midnight .   Contents    1 Details   2 Time zones and daylight saving time   3 White nights   4 Duration   5 See also   6 References   7 Further reading   8 External links    Details ( edit )   Around the summer solstice ( approximately 21 June in the Northern Hemisphere and 22 December in the Southern Hemisphere ) , the sun is visible for the full 24 hours , given fair weather . The number of days per year with potential midnight sun increases the closer towards either pole one goes . Although approximately defined by the polar circles , in practice the midnight sun can be seen as much as 55 miles ( 90 km ) outside the polar circle , as described below , and the exact latitudes of the farthest reaches of midnight sun depend on topography and vary slightly year - to - year .  Midnight Sun seen from airplane while passing Greenland  Because there are no permanent human settlements south of the Antarctic Circle , apart from research stations , the countries and territories whose populations experience the midnight sun are limited to those crossed by the Arctic Circle : the Canadian Yukon , Nunavut , and Northwest Territories ; the nations of Iceland , Finland , Norway , Sweden , Denmark ( Greenland ) , Russia ; and the State of Alaska in the United States . A quarter of Finland 's territory lies north of the Arctic Circle , and at the country 's northernmost point the sun does not set at all for 60 days during summer . In Svalbard , Norway , the northernmost inhabited region of Europe , there is no sunset from approximately 19 April to 23 August . The extreme sites are the poles , where the sun can be continuously visible for half the year . The North Pole has midnight sun for 6 months from late March to late September .   The opposite phenomenon , polar night , occurs in winter , when the sun stays below the horizon throughout the day .   Since the axial tilt of the Earth is considerable ( approximately 23 degrees 27 minutes ) , the sun does not set at high latitudes in local summer . The sun remains continuously visible for one day during the summer solstice at the polar circle , for several weeks only 100 km ( 62 mi ) closer to the pole , and for six months at the pole . At extreme latitudes , the midnight sun is usually referred to as polar day .   At the poles themselves , the sun rises and sets only once each year on the equinox . During the six months that the sun is above the horizon , it spends the days continuously moving in circles around the observer , gradually spiralling higher and reaching its highest circuit of the sky at the summer solstice .   Because of atmospheric refraction , and also because the sun is a disc rather than a point , the midnight sun may be experienced at latitudes slightly below the polar circle , though not exceeding one degree ( depending on local conditions ) . For example , Iceland is known for its midnight sun , even though most of it ( Grímsey is the exception ) is slightly south of the Arctic Circle . For the same reasons , the period of sunlight at the poles is slightly longer than six months . Even the northern extremities of Scotland ( and places at similar latitudes , such as St. Petersburg ) experience twilight throughout the night in the northern sky at around the summer solstice .   Observers at heights appreciably above sea level can experience extended periods of midnight sun as a result of the `` dip '' of the horizon viewed from altitude .   Time zones and daylight saving time ( edit )   The term `` midnight sun '' refers to the consecutive 24 - hour periods of sunlight experienced north of the Arctic Circle and south of the Antarctic Circle . Other phenomena are sometimes referred to as `` midnight sun '' , but they are caused by time zones and the observance of daylight saving time . For instance , in Fairbanks , Alaska , which is south of the Arctic Circle , the sun sets at 12 : 47 am at the summer solstice . This is because Fairbanks is 51 minutes ahead of its idealized time zone ( as most of the state is in one time zone ) and Alaska observes daylight saving time . ( Fairbanks is at about 147.72 degrees west , corresponding to UTC − 9 hours 51 minutes , and is on UTC − 9 in winter . ) This means that solar culmination occurs at about 12 : 51 pm instead of at 12 noon .   If a precise moment for the genuine `` midnight sun '' is required , the observer 's longitude , the local civil time and the equation of time must be taken into account . The moment of the sun 's closest approach to the horizon coincides with its passing due north at the observer 's position , which occurs only approximately at midnight in general . Each degree of longitude east of the Greenwich meridian makes the vital moment exactly 4 minutes earlier than midnight as shown on the clock , while each hour that the local civil time is ahead of coordinated universal time ( UTC , also known as GMT ) makes the moment an hour later . These two effects must be added . Furthermore , the equation of time ( which depends on the date ) must be added : a positive value on a given date means that the sun is running slightly ahead of its average position , so the value must be subtracted .   As an example , at the North Cape of Norway at midnight on June 21 / 22 , the longitude of 25.9 degrees east makes the moment 103.2 minutes earlier by clock time ; but the local time , 2 hours ahead of GMT in the summer , makes it 120 minutes later by clock time . The equation of time at that date is - 2.0 minutes . Therefore , the sun 's lowest elevation occurs 120 - 103.2 + 2.0 minutes after midnight : at 00.19 Central European Summer time . On other nearby dates the only thing different is the equation of time , so this remains a reasonable estimate for a considerable period . The sun 's altitude remains within half a degree of the minimum of about 5 degrees for about 45 minutes either side of this time .   White Nights ( edit )  Main article : White Night festivals  Locations where the sun remains less than 6 ( or 7 ) degrees below the horizon -- above 60 ° 34 ' ( or 59 ° 34 ' ) latitude south of the Arctic Circle or north of the Antarctic Circle -- experience midnight twilight instead of midnight sun , so that daytime activities , such as reading , are still possible without artificial light on a clear night .   White Nights have become a common symbol of Saint Petersburg , Russia , where they occur from about 11 June to 2 July , and the last 10 days of June are celebrated with cultural events known as the White Nights Festival .   Duration ( edit )  Map showing the dates of midnight sun at various latitudes ( left ) and the total number of nights .  Even though at the Arctic Circle the center of the sun is , per definition , only visible during one summer night , some part of the midnight sun is visible at the Arctic Circle from approximately 12 June until 1 July . This period extends as one travels north : At Cape Nordkinn , Norway , the northernmost point of Continental Europe , the midnight sun lasts approximately from 14 May to 29 July . On the Svalbard archipelago farther north , it lasts from 20 April to 22 August .   See also ( edit )    Environment portal     Pytheas , ancient Greek geographer from Massalia and first person to describe the midnight sun   Eagle Summit , which , because of its altitude , experiences the midnight sun despite being south of the Arctic Circle   Polar night , the opposite phenomenon experienced in winter : a day without sunrise .   Midnight Sun Solar Race Team : With the midnight sun phenomenon , a solar - powered vehicle can continue driving 24 hours a day .    References ( edit )    Jump up ^ `` What is the Midnight Sun Phenomenon ? Earth Phenomena Planetary Science '' . Scribd . Retrieved 2017 - 08 - 25 .   Jump up ^ H. Spencer Jones , General Astronomy ( Edward Arnold , London , 1922 ) , Chapters I - III   ^ Jump up to : Great Soviet Encyclopedia   Jump up ^ Trygve B. Haugan , ed . Det Nordlige Norge Fra Trondheim Til Midnattssolens Land ( Trondheim : Reisetrafikkforeningen for Trondheim og Trøndelag. 1940 )    Further reading ( edit )    Lutgens F.K. , Tarbuck E.J. ( 2007 ) The Atmosphere , Tenth Edition , page 39 , PEARSON , Prentice Hall , NJ .    External links ( edit )       Wikimedia Commons has media related to Midnight sun .      Midnight sun seen from Fjellheisen Tromsø - 360 panorama              Parts of a day         Dawn -- Twilight -- Sunrise   Morning   Daytime   Evening   Sunset -- Twilight -- Dusk   Night           Related articles :   Belt of Venus   Blue hour   Golden hour   Terminator   Daylight   Forenoon   Noon   Afternoon   Midnight   Midnight sun   Polar night   Zodiacal light      Retrieved from `` https://en.wikipedia.org/w/index.php?title=Midnight_sun&amp;oldid=854635938 '' Categories :   Earth phenomena   Arctic geography terminology   Sun   Hidden categories :   Articles needing additional references from August 2013   All articles needing additional references           Talk                                           Contents                   About Wikipedia                                             Wikivoyage       Afrikaans     Azərbaycanca   Башҡортса   Беларуская   Беларуская ( тарашкевіца ) ‎   Български   Brezhoneg   Català   Čeština   Dansk   Deutsch   Eesti   Ελληνικά   Español   Esperanto   Euskara   فارسی   Français   Gaeilge   Хальмг   </t>
    </r>
    <r>
      <rPr>
        <sz val="11"/>
        <color rgb="FF000000"/>
        <rFont val="Noto Sans CJK SC"/>
        <family val="2"/>
      </rPr>
      <t xml:space="preserve">한국어   </t>
    </r>
    <r>
      <rPr>
        <sz val="11"/>
        <color rgb="FF000000"/>
        <rFont val="Calibri"/>
        <family val="0"/>
        <charset val="1"/>
      </rPr>
      <t xml:space="preserve">Հայերեն   Bahasa Indonesia   Italiano   עברית   Lëtzebuergesch   Magyar   Македонски   Bahasa Melayu   Nederlands   </t>
    </r>
    <r>
      <rPr>
        <sz val="11"/>
        <color rgb="FF000000"/>
        <rFont val="Noto Sans CJK SC"/>
        <family val="2"/>
      </rPr>
      <t xml:space="preserve">日本 語   </t>
    </r>
    <r>
      <rPr>
        <sz val="11"/>
        <color rgb="FF000000"/>
        <rFont val="Calibri"/>
        <family val="0"/>
        <charset val="1"/>
      </rPr>
      <t xml:space="preserve">Norsk   Norsk nynorsk   Oʻzbekcha / ўзбекча   Português   Русский   Scots   Simple English   Slovenčina   Suomi   Svenska   தமிழ்   Татарча / tatarça   ไทย   Türkçe   Українська   اردو   Tiếng Việt   </t>
    </r>
    <r>
      <rPr>
        <sz val="11"/>
        <color rgb="FF000000"/>
        <rFont val="Noto Sans CJK SC"/>
        <family val="2"/>
      </rPr>
      <t xml:space="preserve">吴语   粵語   中文  </t>
    </r>
    <r>
      <rPr>
        <sz val="11"/>
        <color rgb="FF000000"/>
        <rFont val="Calibri"/>
        <family val="0"/>
        <charset val="1"/>
      </rPr>
      <t xml:space="preserve">43 more  Edit links   This page was last edited on 12 August 2018 , at 19 : 44 ( UTC ) .         About Wikipedia                    </t>
    </r>
  </si>
  <si>
    <t xml:space="preserve">when does the arctic circle get 24 hours of daylight</t>
  </si>
  <si>
    <t xml:space="preserve"> The midnight sun is a natural phenomenon that occurs in the summer months in places north of the Arctic Circle or south of the Antarctic Circle , when the sun remains visible at the local midnight . </t>
  </si>
  <si>
    <r>
      <rPr>
        <sz val="11"/>
        <color rgb="FF000000"/>
        <rFont val="Calibri"/>
        <family val="0"/>
        <charset val="1"/>
      </rPr>
      <t xml:space="preserve">Colonel Bogey March - wikipedia  Colonel Bogey March  Jump to : navigation , search For the 1948 film , see Colonel Bogey ( film ) .    `` Colonel Bogey March ''     Composition     Written   1914     Genre   March     Composer ( s )   F.J. Ricketts         Colonel Bogey March The `` Colonel Bogey March '' is the authorized march of The King 's Own Calgary Regiment ( RCAC ) of the Canadian Forces . This version is performed by the United States Navy Band .     Problems playing this file ? See media help .     The `` Colonel Bogey March '' is a popular march that was composed in 1914 by Lieutenant F.J. Ricketts ( 1881 -- 1945 ) ( a.k.a. Kenneth J. Alford ) , a British Army bandmaster who later became the director of music for the Royal Marines at Plymouth .     Contents  ( hide )   1 History   2 Reception   3 The Bridge on the River Kwai   4 References   5 External links      History ( edit )   Since at that time service personnel were not encouraged to have professional lives outside the armed forces , British Army bandmaster F.J. Ricketts published `` Colonel Bogey '' and his other compositions under the pseudonym Kenneth Alford . Supposedly , the tune was inspired by a military man and golfer who whistled a characteristic two - note phrase ( a descending minor third interval Play ( help info ) ) instead of shouting `` Fore ! '' It is this descending interval that begins each line of the melody . The name `` Colonel Bogey '' began in the later 19th century as the imaginary `` standard opponent '' of the Colonel Bogey scoring system , and by Edwardian times the Colonel had been adopted by the golfing world as the presiding spirit of the course . Edwardian golfers on both sides of the Atlantic often played matches against `` Colonel Bogey . '' Bogey is now a golfing term meaning `` one over par . ''   Reception ( edit )   The sheet music was a million - seller , and the march was recorded many times . At the start of World War II , `` Colonel Bogey '' became part of the British way of life when the tune was set to a popular song : `` Hitler Has Only Got One Ball '' ( originally `` Goering Has Only Got One Ball '' after the Luftwaffe leader suffered a grievous groin injury , but later reworded to suit the popular taste ) , with the tune becoming an unofficial national anthem to rudeness . `` Colonel Bogey '' was used as a march - past by the 10th and 50th Battalions of the Canadian Expeditionary Force , the latter perpetuated today by The King 's Own Calgary Regiment ( RCAC ) of the Canadian Forces , who claim `` Colonel Bogey '' as their authorised march - past in quick time .   The Colonel Bogey March melody was used for a song of The Women 's Army Corps , a branch of the U.S. Army from 1943 until its absorption into the regular Army in 1978 . The lyrics written by Major Dorothy E. Nielsen ( USAR ) were this : `` Duty is calling you and me , we have a date with destiny , ready , the WACs are ready , their pulse is steady a world to set free . Service , we 're in it heart and soul , victory is our only goal , we love our country 's honor and we 'll defend it against any foe . ''   In 1951 , during the first computer conference held in Australia , this song was the first music played by a computer , by CSIRAC , a computer developed by the Commonwealth Scientific and Industrial Research Organisation .   The march has been used in German commercials for Underberg digestif bitter since the 1970s , and has become a classic jingle there .   The tune has been used in more than forty films , including The Love Race ( 1931 ) , The Lady Vanishes ( 1938 ) , The Mouse That Roared ( 1959 ) , The Parent Trap ( 1961 ) , and The Breakfast Club ( 1985 ) .   Another parody of the Colonel Bogey March is Comet , a humorous song about the ill effects of consuming the cleaning product of the same name . In The Simpsons episode `` Stark Raving Dad '' , Bart sings a tune reminiscent of the Comet tune with similar lyrics , `` Lisa , her teeth are big and green . Lisa , she smells like gasoline . Lisa , da da da Disa . She is my sister , her birthday , I missed - a . ''   In the opening scene and throughout The Fresh Prince of Bel - Air episode `` I Know Why The Caged Bird Screams '' , Carlton and company sings the tune with alternative lyrics referring to the school mascot , `` Peacocks ! We 're marching down the field . Peacocks ! And we refuse to yield ! No one 's tougher , ' Cause we are rougher ! We are the Peacocks of ULA ! '' The song and `` march '' is called the `` Peacock Strut '' throughout the episode .   The melody was used in a scene in the film Spaceballs as small `` Dinks '' walk the desert singing the tune with only the word , `` Dink '' by themselves and again with the protagonists .   The Bridge on the River Kwai ( edit )   English composer Malcolm Arnold added a counter-march , which he titled `` The River Kwai March , '' for the 1957 dramatic film The Bridge on the River Kwai , set during World War II . The two marches were recorded together by Mitch Miller as `` March from the River Kwai -- Colonel Bogey . '' Consequently , the `` Colonel Bogey March '' is often miscredited as `` River Kwai March . '' While Arnold did use `` Colonel Bogey '' in his score for the film , it was only the first theme and a bit of the second theme of `` Colonel Bogey , '' whistled unaccompanied by the British prisoners several times as they marched into the prison camp . Since the film depicted prisoners of war held under inhumane conditions by the Japanese , Canadian officials were embarrassed in May 1980 , when a military band played `` Colonel Bogey '' during a visit to Ottawa by Japanese prime minister Masayoshi Ōhira .   References ( edit )    Jump up ^ Gene Phillips ( 2006 ) . `` Beyond the Epic : The Life and Films of David Lean '' . p. 306 . University Press of Kentucky .   Jump up ^ The Royal Cornwall Gazette of 10 March 1892 reports the results of the Royal Cornwall Golf Club Ladies vs `` Colonel '' Bogey   Jump up ^ Many references to the Colonel in the press include a letter from a `` golf widow '' to The Times of 3 June 1914 .   Jump up ^ Toronto ; Globe 25 October 1904 p. 10 .   Jump up ^ `` Minor British Institutions : Colonel Bogey '' . The Independent . Retrieved 4 December 2012   Jump up ^ Pegler , Martin , Soldiers ' Songs and Slang of the Great War , Osprey Publishing , 2014 , ISBN 9781427804150 , page 242 .   Jump up ^ `` Duty -- Army WAC Song '' , Women 's Army Corps Veterans ' Association website . Retrieved 1 May 2015 .   Jump up ^ `` CSIRAC -- Australia 's first computer - CSIROpedia '' . CSIROpedia. 2014 - 01 - 24 . Retrieved 2016 - 11 - 23 .   Jump up ^ Christoph Schulte ( 2 March 2011 ) . `` Underberg : Eine Portion Wohlbefinden '' . Falstaff Magazin -- Weine , Restaurants .   Jump up ^ `` Rheinberg : Underberg - Marsch nun als Weihnachts - Jingle '' . RP Online .   Jump up ^ `` Kenneth Alford '' . Internet Movie Database . Retrieved 28 August 2015 .   Jump up ^ MacDonald , Ann - Marie ( 2003 ) . The Way the Crow Flies . HarperCollins . p. 97 . ISBN 0 - 06 - 058637 - 0 .   Jump up ^ The Canadian Press ( 6 May 1980 ) . `` Our band hit sour note for Japan 's prime minister '' . Montreal Gazette . p. 1 . Retrieved 16 October 2010 .      Library resources about Colonel Bogey March       Resources in your library   Resources in other libraries       External links ( edit )    Melody   The real Colonel Bogey from Music &amp; Vision Daily        Wikimedia Commons has media related to Colonel Bogey March .    Retrieved from `` https://en.wikipedia.org/w/index.php?title=Colonel_Bogey_March&amp;oldid=794788081 '' Categories :   1914 compositions   British military marches   Number - one singles in Germany   Songs about the military   Songs of World War I   Songs with music by Kenneth J. Alford   Hidden categories :   Use dmy dates from January 2015   Articles with hAudio microformats   All articles with unsourced statements   Articles with unsourced statements from January 2017   Commons category without a link on Wikidata           Talk                                           Contents                   About Wikipedia                                                   Deutsch   Français   </t>
    </r>
    <r>
      <rPr>
        <sz val="11"/>
        <color rgb="FF000000"/>
        <rFont val="Noto Sans CJK SC"/>
        <family val="2"/>
      </rPr>
      <t xml:space="preserve">한국어   </t>
    </r>
    <r>
      <rPr>
        <sz val="11"/>
        <color rgb="FF000000"/>
        <rFont val="Calibri"/>
        <family val="0"/>
        <charset val="1"/>
      </rPr>
      <t xml:space="preserve">Bahasa Indonesia   Italiano   Nederlands   </t>
    </r>
    <r>
      <rPr>
        <sz val="11"/>
        <color rgb="FF000000"/>
        <rFont val="Noto Sans CJK SC"/>
        <family val="2"/>
      </rPr>
      <t xml:space="preserve">日本 語   </t>
    </r>
    <r>
      <rPr>
        <sz val="11"/>
        <color rgb="FF000000"/>
        <rFont val="Calibri"/>
        <family val="0"/>
        <charset val="1"/>
      </rPr>
      <t xml:space="preserve">Norsk   Русский   Srpskohrvatski / српскохрватски   Suomi   Svenska   ไทย   </t>
    </r>
    <r>
      <rPr>
        <sz val="11"/>
        <color rgb="FF000000"/>
        <rFont val="Noto Sans CJK SC"/>
        <family val="2"/>
      </rPr>
      <t xml:space="preserve">中文   </t>
    </r>
    <r>
      <rPr>
        <sz val="11"/>
        <color rgb="FF000000"/>
        <rFont val="Calibri"/>
        <family val="0"/>
        <charset val="1"/>
      </rPr>
      <t xml:space="preserve">Edit links   This page was last edited on 10 August 2017 , at 01 : 51 .         About Wikipedia                    </t>
    </r>
  </si>
  <si>
    <t xml:space="preserve">what's the song they whistle in breakfast club</t>
  </si>
  <si>
    <t xml:space="preserve"> The tune has been used in more than forty films , including The Love Race ( 1931 ) , The Lady Vanishes ( 1938 ) , The Mouse That Roared ( 1959 ) , The Parent Trap ( 1961 ) , and The Breakfast Club ( 1985 ) . </t>
  </si>
  <si>
    <r>
      <rPr>
        <sz val="11"/>
        <color rgb="FF000000"/>
        <rFont val="Calibri"/>
        <family val="0"/>
        <charset val="1"/>
      </rPr>
      <t xml:space="preserve">Acrosome reaction - wikipedia  Acrosome reaction  Jump to : navigation , search Acrosome reaction on a Sea Urchin cell  During fertilization , a sperm must first fuse with the plasma membrane and then penetrate the female egg in order to fertilize it . Fusing to the egg usually causes little problem , whereas penetrating through the egg 's hard shell or extracellular matrix can present more of a problem to the sperm . Therefore , sperm cells go through a process known as the acrosome reaction which is the reaction that occurs in the acrosome of the sperm as it approaches the egg . The acrosome is a cap - like structure over the anterior half of the sperm 's head .   As the sperm approaches the zona pellucida of the egg , which is necessary for initiating the acrosome reaction , the membrane surrounding the acrosome fuses with the plasma membrane of the sperm 's head , exposing the contents of the acrosome . The contents include surface antigens necessary for binding to the egg 's cell membrane , and numerous enzymes which are responsible for breaking through the egg 's tough coating and allowing fertilization to occur .     Contents  ( hide )   1 Variations among species   1.1 Echinoderms   1.2 Mammals     2 The process   3 In in vitro fertilization   3.1 Assessment     4 See also   5 References   6 External links      Variations among species ( edit )   There are considerable species variations in the morphology and consequences of the acrosome reaction . In several species the trigger for the acrosome reaction has been identified in a layer that surrounds the egg .   Echinoderms ( edit )   In some lower animal species a protuberance ( the acrosomal process ) forms at the apex of the sperm head , supported by a core of actin microfilaments . The membrane at the tip of the acrosomal process fuses with the egg 's plasma membrane .   In some echinoderms , including starfish and sea urchins , a major portion of the exposed acrosomal content contains a protein that temporarily holds the sperm on the egg 's surface .   Mammals ( edit )   In mammals the acrosome reaction releases hyaluronidase and acrosin ; their role in fertilization is not yet clear . The acrosomal reaction does not begin until the sperm comes into contact with the oocyte 's zona pellucida . Upon coming into contact with the zona pellucida , the acrosomal enzymes begin to dissolve and the actin filament comes into contact with the zona pellucida . Once the two meet , a calcium influx occurs , causing a signaling cascade . The cortical granules inside the oocyte then fuse to the outer membrane and a transient fast block reaction occurs .   It also alters a patch of pre-existing sperm plasma membrane so that it can fuse with the egg plasma membrane .   A sperm penetration assay includes an acrosome reaction test that assesses how well a sperm is able to perform during the fertilization process . Sperm that are unable to properly go through the acrosome reaction will not be able to fertilize an egg . However , this problem only occurs in about 5 % of men that have the test done . This test is rather expensive and provides limited information on a man 's fertility .   In other cases , such as in the wood mouse Apodemus sylvaticus , premature acrosome reactions have been found to cause increased motility in aggregates of spermatozoa promoting fertilization   The process ( edit )   The acrosomal reaction normally takes place in the ampulla of the fallopian tube ( site of fertilization ) when the sperm penetrates the secondary oocyte . A few events precede the actual acrosome reaction . The sperm cell acquires a `` hyperactive motility pattern '' by which its flagellum produces vigorous whip - like movements that propel the sperm through the cervical canal and uterine cavity , until it reaches the isthmus of the fallopian tube . The sperm approaches the ovum in the ampulla of the fallopian tube with the help of various mechanisms , including chemotaxis . Glycoproteins on the outer surface of the sperm then bind with glycoproteins on the zona pellucida of the ovum .   The first stage is the penetration of corona radiata , by releasing hyaluronidase from the acrosome to digest cumulus cells surrounding the oocyte and exposing acrosin attached to the inner membrane of the sperm . The cumulus cells are embedded in a gel - like substance made primarily of hyaluronic acid , and developed in the ovary with the egg and support it as it grows . After reaching the zona pellucida the actual acrosome reaction begins .   Acrosin digests the zona pellucida and membrane of the oocyte . Part of the sperm 's cell membrane then fuses with the egg cell 's membrane , and the contents of the head sink into the egg . In the mouse it has been demonstrated that ZP3 , one of the proteins that make up the zona pellucida , binds to a partner molecule ( to the β1 , 4 - galactosyl transferase receptors ) on the sperm . This lock - and - key type mechanism is species - specific and prevents the sperm and egg of different species from fusing . The zona pellucida also releases Ca granules to prevent additional sperm from binding . There is some evidence that this binding is what triggers the acrosome to release the enzymes that allow the sperm to fuse with the egg . It is likely that a similar mechanism occurs in other mammals , but the diversity of zona proteins across species means that the relevant protein and receptor may differ .   Upon penetration , if all is occurring normally , the process of egg - activation occurs and the oocyte is said to have become activated . This is thought to be induced by a specific protein phospholipase c zeta . It undergoes its secondary meiotic division , and the two haploid nuclei ( paternal and maternal ) fuse to form a zygote . In order to prevent polyspermy and minimise the possibility of producing a triploid zygote , several changes to the egg 's cell membranes renders them impenetrable shortly after the first sperm enters the egg .   The aforementioned process describes the physiologically relevant events . One should however bear in mind that a certain percentage of sperm cells will undergo a spontaneous acrosome reaction without the presence of the ovum . Those cells are not able to fertilise the egg , even if they do reach it later . Other cells will spontaneously shed their acrosome during the process of apoptosis / necrosis .   In in vitro fertilization ( edit )   When using intracytoplasmic sperm injection ( ICSI ) for IVF , the implantation rate is higher in oocytes injected with spermatozoa that have undergone acrosome reaction ( ~ 40 % ) vs. those injected with nonreacted spermatozoa ( ~ 10 % ) . The implantation rate is ~ 25 % in when injected with both reacted and nonreacted spermatozoa . The delivery rate per cycle follows the same trend .   The acrosome reaction can be stimulated in vitro by substances a sperm cell may encounter naturally such as progesterone or follicular fluid , as well as the more commonly used calcium ionophore A23187 .   Assessment ( edit )   Birefringence microscopy , flow cytometry or fluorescence microscopy can be used for assessing the shedding of the acrosome or `` acrosome reaction '' of a sperm sample . Flow cytometry and fluorescence microscopy are usually done after staining with a fluoresceinated lectin such as FITC - PNA , FITC - PSA , FITC - ConA , or fluoresceinated antibody such as FITC - CD46 . The antibodies / lectins have a high specificity for different parts of the acrosomal region , and will only bind to a specific site ( acrosomal content / inner / outer membrane ) . If bound to a fluorescent molecule , regions where these probes have bound can be visualised . Sperm cells with artificially induced acrosome reactions may serve as positive controls .   For fluorescence microscopy a smear of washed sperm cells are made , airdried , permealized and then stained . Such a slide is then viewed under light of a wavelength that will cause the probe to fluoresce if it is bound to the acrosomal region . At least 200 cells are viewed in an arbitrary fashion and classified as either acrosome intact ( fluorescing bright green ) or acrosome reacted ( no probe present , or only on the equatorial region ) . It is then expressed as a percentage of the counted cells .   For assessment with flow cytometry the washed cells are incubated with the chosen probe , ( possibly washed again ) and then sampled in a flow cytometer . After gating the cell population according to forward - and side - scatter the resulting data can be analysed ( E.g. mean fluorescences compared ) . With this technique a probe for viability , like propidium iodide ( PI ) could also be included in order to exclude dead cells from the acrosome assessment , since many sperm cells will spontaneously lose their acrosome when they die .   See also ( edit )    Cortical reaction   Hamster zona - free ovum test   ZP3    References ( edit )    Jump up ^ Swiss Virtual Campus . `` Chapter 4 , Fertilization '' . Human Embryology . universities of Fribourg , Lausanne and Bern . Retrieved 18 February 2017 .   Jump up ^ Your path to fertility : Acrosome Reaction . 2007 . doi : http://www.sharedjourney.com/define/mcp.html   Jump up ^ Moore , Harry et al. , Exceptional sperm cooperation in Wood Mouse . Nature 418 , 174 - 177 ( 2002 ) .   ^ Jump up to : Gianaroli L , Magli MC , Ferraretti AP , et al. ( December 2008 ) . `` Birefringence characteristics in sperm heads allow for the selection of reacted spermatozoa for intracytoplasmic sperm injection '' . Fertil . Steril. 93 ( 3 ) : 807 -- 813 . PMID 19064263 . doi : 10.1016 / j. fertnstert. 2008.10. 024 .   Jump up ^ Miyazaki et al. Archives of Andrology 25 : 243 - 251 ( 1990 )   Jump up ^ Carver - Ward et al. Journal of Assisted Reproduction and Genetics , Vol. 14 , no . 2 , 1997    External links ( edit )    Acrosome reaction at the US National Library of Medicine Medical Subject Headings ( MeSH )   Physiology : 5 / 5ch8 / s5ch8_21 - Essentials of Human Physiology   Animation at stanford.edu   Retrieved from `` https://en.wikipedia.org/w/index.php?title=Acrosome_reaction&amp;oldid=766222829 '' Categories :   Andrology   Animal reproductive system           Talk                                           Contents                   About Wikipedia                                           Български   Čeština   Deutsch   Eesti   Español   Қазақша   </t>
    </r>
    <r>
      <rPr>
        <sz val="11"/>
        <color rgb="FF000000"/>
        <rFont val="Noto Sans CJK SC"/>
        <family val="2"/>
      </rPr>
      <t xml:space="preserve">日本 語   </t>
    </r>
    <r>
      <rPr>
        <sz val="11"/>
        <color rgb="FF000000"/>
        <rFont val="Calibri"/>
        <family val="0"/>
        <charset val="1"/>
      </rPr>
      <t xml:space="preserve">Português   Русский   Українська   Edit links   This page was last edited on 18 February 2017 , at 23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</si>
  <si>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does the acrosome do in a sperm cell</t>
  </si>
  <si>
    <t xml:space="preserve"> In mammals the acrosome reaction releases hyaluronidase and acrosin ; their role in fertilization is not yet clear . The acrosomal reaction does not begin until the sperm comes into contact with the oocyte 's zona pellucida . Upon coming into contact with the zona pellucida , the acrosomal enzymes begin to dissolve and the actin filament comes into contact with the zona pellucida . Once the two meet , a calcium influx occurs , causing a signaling cascade . The cortical granules inside the oocyte then fuse to the outer membrane and a transient fast block reaction occurs . </t>
  </si>
  <si>
    <t xml:space="preserve">The Joker ( the Dark Knight ) - wikipedia  The Joker ( the Dark Knight )     This is the current revision of this page , as edited by 2601 : 583 : c002 : 618a : edb9 : 1b9e : 6520 : 2b8e ( talk ) at 22 : 31 , 16 August 2017 . The present address ( URL ) is a permanent link to this version .    Revision as of 22 : 31 , 16 August 2017 by 2601 : 583 : c002 : 618a : edb9 : 1b9e : 6520 : 2b8e ( talk ) ( diff ) ← Previous revision Latest revision ( diff ) Newer revision → ( diff ) Jump to : navigation , search    The Joker     The Dark Knight Trilogy character     Heath Ledger as the Joker     First appearance   The Dark Knight ( 2008 )     Last appearance   The Dark Knight ( 2008 )     Created by   Christopher Nolan David S. Goyer     Portrayed by   Heath Ledger     The Joker is a fictional supervillain from American comic book publisher DC Comics and the main antagonist in Christopher Nolan 's 2008 superhero film The Dark Knight . He was portrayed by late Australian actor Heath Ledger . Ledger 's interpretation of the character is specifically influenced by the graphic novels Batman : The Killing Joke and Arkham Asylum : A Serious House on Serious Earth . In the film , he wears the character 's traditional color palette , while his facial appearance includes clown makeup that covers facial scars of a Glasgow smile .   The film 's interpretation of the Joker embodies themes of chaos , anarchy and obsession : Throughout the film , the character expresses a desire to upset social order through crime , and defines himself by his conflict with Batman . The character also explores techniques found in Ledger 's previous performances , including his clown act in Terry Gilliam 's fantasy film The Brothers Grimm . Further , it references paintings by artist Francis Bacon , Anthony Burgess ' novel A Clockwork Orange and various punk rock musicians .   The Joker is considered Ledger 's finest performance ; he himself regarded it as his most enjoyable . When the film was released in July 2008 , six months after the actor had died from an accidental prescription drug overdose , the performance caused a sensation and received universal acclaim and numerous posthumous accolades , including the Academy Award for Best Supporting Actor .     Contents  ( hide )   1 Fictional character biography   1.1 The Dark Knight     2 Background   3 Performance   3.1 Description   3.2 Development   3.3 Execution   3.3. 1 Effects of Heath Ledger 's death       4 Reception and legacy   4.1 Announcement and early response   4.2 Critical reception     5 See also   6 References      Fictional character biography ( edit )   The Dark Knight ( edit )  Main article : The Dark Knight ( film )  The Joker appears in The Dark Knight ( 2008 ) . In the film 's first scene , he and five accomplices , all wearing clown masks , rob a mob - owned bank . He tricks four of them into killing each other , then kills the last one himself and escapes with the money . Interrupting a videoconference between mob leaders Sal Maroni ( Eric Roberts ) , the Chechen ( Ritchie Coster ) and Gambol ( Michael Jai White ) with their accountant Lau ( Chin Han ) , he offers to kill Batman for half of the mob 's money . Gambol refuses the offer and puts a bounty on the `` clown '' . Later , the Joker kills Gambol and takes over his gang .   After learning that Batman ( Christian Bale ) has retrieved Lau , Maroni and the Chechen accept the Joker 's offer . The Joker announces that people will die each day until Batman reveals his true identity , and makes good on his threat by murdering Gotham Police Commissioner Gillian B. Loeb ( Colin McFarlane ) and mob trial Judge Janet Surillo ( Nydia Rodriguez Terracina ) . When Gotham 's district attorney , Harvey Dent ( Aaron Eckhart ) , attempts to draw him out by identifying himself as Batman , the Joker tries to kidnap him , only to be arrested . Batman interrogates him after Dent goes missing . The Joker also reveals that Dent 's girlfriend ( and Bruce Wayne 's childhood sweetheart ) Rachel Dawes ( Maggie Gyllenhaal ) has also gone missing and reveals their separate locations , both rigged up to time bombs . Switching their whereabouts , the Joker tricks Batman into saving Dent , who is disfigured in the explosion , while Rachel is killed . The Joker then escapes the police station with Lau , who had previously fled to Hong Kong only to be captured by Batman .   The Joker kills Lau and the Chechen , burns his half of the mob 's money , and takes over the Chechen 's gang . Then , to prevent Wayne Enterprises M&amp;A law accountant Coleman Reese ( Joshua Harto ) from revealing Batman 's alter ego on TV , he announces that he will blow up a hospital if Reese is not dead within 60 minutes . During the panic , the Joker sneaks into Gotham General Hospital disguised as a nurse to meet with Dent , and persuades him to take revenge on the people he holds responsible for Rachel 's death . He then blows up the hospital and takes a busload of hostages . He rigs explosives on two of the ferries separately containing citizens and criminals and tells the passengers that he will destroy both boats unless one blows up the other . Ultimately , however , the hostages choose not to blow each other up . Batman subsequently apprehends the Joker , who states that neither will kill each other and believes that they are meant to fight each other forever . The Joker gloats that he has won `` the battle for Gotham 's soul '' , as the city 's inhabitants will lose hope once Dent 's rampage as the murderous vigilante `` Two - Face '' become known . The Joker is then taken into custody as he laughs hysterically . Batman ultimately foils the Joker 's plan by taking the blame for Dent 's crimes .   Background ( edit )  `` ... I feel like this is an opportunity for me to not take myself too seriously , and for some reason I just gravitated towards ( The Joker ) and I knew I had something to give to him . And I just instantly had an idea of how to do it . '' -- Heath Ledger on why he preferred playing the super-villain .  As a starting actor , Heath Ledger did not attach himself seriously to the roles he was playing . This changed , however , when at age 22 he started to watch some of his films . Realizing that they were movies he himself might not actually have wanted to see , it made him more cautious and respectful towards his professional choices . The 2005 fantasy film The Brothers Grimm marked a turning point for the actor as director Terry Gilliam gave Ledger ( and his co-star , Matt Damon ) opportunities to create characters they had not been given before . Gilliam helped Ledger put on a clown act for that film , an experience the actor later acknowledged as an influence for his performance as the Joker .   Director Christopher Nolan had met with Ledger over the years for different roles . While meeting for the part of Batman in Batman Begins , Ledger explained that he was not interested in working on such a film . The actor reflected on his problems with portraying superheroes , saying ; `` I would just feel stupid and silly . I could n't pull it off and there are other people who can perfectly , but I just could n't take myself seriously . '' However , later impressed with Batman Begins , Ledger sought the part of the Joker from Nolan . Impressed with Ledger 's determination , Nolan cast him in the part . `` Heath was just ready to do it , he was ready to do something that big . '' Casting director John Papsidera reflected on the casting choice , saying the filmmakers knew they needed somebody courageous to play the part . Heath Ledger was cast before there was a script .   Performance ( edit )   Heath Ledger described the Joker as a `` psychopathic , mass murdering , schizophrenic clown with zero empathy . '' Highlighting the opportunity for freshness , the actor aimed for a new and different interpretation of the character , separate from previous film incarnations .   Ledger and Christopher Nolan both explained seeing eye - to - eye on the Joker 's appearance in the film , sharing common reference points for who the character was going to be . Based on philosophical ideas of anarchy and chaos , they looked at art by Francis Bacon for visual reference and they talked about Malcolm McDowell 's performance as Alex in Stanley Kubrick 's film A Clockwork Orange , and who Alex is in Anthony Burgess 's novel of the same name . Ledger was given Alan Moore 's graphic novel Batman : The Killing Joke for preparation for the role , as well as Grant Morrison 's graphic novel Arkham Asylum : A Serious House on Serious Earth , which the actor `` really tried to read and put it down '' . In an interview with MTV , Ledger said he regarded the experience playing the Joker as the most fun he ever had , `` and probably will ever have '' .   Description ( edit )  `` Everything about what he does from every gesture , every little facial tick , everything he 's doing with his voice -- it all speaks to the heart of this character . It all speaks to this idea of a character who 's devoted to a concept of pure anarchy and chaos . It 's hard to get a handle on how those elements combine . The physicality reminds me of the great silent comedians . It has a bit of ( Buster ) Keaton and ( Charlie ) Chaplin about it . '' -- Christopher Nolan on Ledger 's performance .  Wearing the character 's traditional color palette , the Joker is dressed with a thin tie and a green waistcoat , topped by a purple overcoat . relating to a feel to New Romanticism . His shoes have an upward swoop at the toe , reminiscent to clown shoes . He carries no identification of any kind and offers no clear details about his true name or background ; when he is arrested by the Gotham City police , they find only knives and lint in his pockets .   The Joker 's hair is stringy , unkempt , and dyed green . His face is covered in a cracked and runny layer of white clown makeup , with his eyes thickly rimmed in black . A sloppy red grin is painted on the Glasgow smile beneath the makeup , extending from the mouth to the cheeks . Film critic Peter Travers wrote about the Joker as having `` grungy hair and yellow teeth of a hound fresh out of hell '' .   The character 's mannerisms carry a quality of unpredictability . His voice frequently shifts in pitch , so that he speaks his dialogue hitting higher notes , followed by an immediate lower voice capable of landing two octaves below . Nolan acknowledges this unpredictability to be part of the character 's slinky physical movements as well , saying that Ledger 's performance `` ( is ) always a surprise '' . About the Joker 's physical appearance , Geoff Boucher wrote for the Los Angeles Times that the character probes the facial scars with his tongue and `` walks with shoulders bowed and his chin out and down , like a hyena '' .   Development ( edit )   Steve Alexander , Heath Ledger 's agent , said the actor had a `` pay - or - play '' deal on The Dark Knight , `` so he felt free to do whatever he wanted to do as the Joker , no matter how crazy . '' According to The Imaginarium of Doctor Parnassus cinematographer Nicola Pecorini , Ledger had talked with him about Johnny Depp 's off - kilter portrayal in Pirates of the Caribbean in relation to The Dark Knight , aiming to make a performance that would be `` so far out he 'd be fired . '' As Ledger was cast early in pre-production , Nolan explained that the actor had `` months and months '' to prepare for the role .  `` Inside . He 's laughing red and black and red and black till there 's nothing left to laugh . Until , almost tenderly , he turns inside out through his mouth . '' -- Scrawlings from Heath Ledger 's Joker diary  During a span of six weeks , Ledger `` locked '' himself away in a hotel room , forming a character diary and experimenting with voices . `` It 's a combination of reading all the comic books I could that were relevant to the script and then just closing my eyes and meditating on it , '' he said about his process . The diary contains scrawling and cuttings inside . Christopher Hooton , writing for The Independent , said that the ' Joker journal ' had several stills from Stanley Kubrick 's film A Clockwork Orange , joker cards , photos of hyenas , unhinged clown makeup and the word `` chaos '' highlighted in green . Furthermore , it contains a list of things the Joker would find funny , such as AIDS , landmines , and geniuses suffering brain damage . It was revealed that Ledger had read Grant Morrison 's writing of The Clown at Midnight ( Batman # 663 ) and based the list upon the Batman writer 's prose .   Ledger highlighted the importance of finding an iconic voice and laugh for the character , relating the voice as `` the key to the demented killer . '' Nolan explained Ledger 's early and `` peculiar '' ambition for the voice of the character , saying that the actor had studied the way ventriloquist dummies talk . The filmmaker also acknowledged that the voice performance was based on the Alexander technique .   Ledger developed the Joker 's voice and mannerism slowly over time and during camera tests . `` Do n't act , just read it '' , Nolan had told Ledger for test screening . In hair and makeup tests , Ledger would start exploring the movements of the character . While test recording without sound , he shared his take on the Joker 's voice and moves , and `` in that way he sort of sneaked up on it . ''   The actor developed the physical appearance of the character , being `` very involved '' with the painting of his face , says prosthetic supervisor Conor O'Sullivan . O'Sullivan acknowledged how Ledger , Nolan and makeup artist John Caglione all gravitated towards a Francis Bacon painting Nolan was referring to . Ledger also got to choose the Joker 's weapon among different rubber knives , and he worked closely with costume designer Lindy Hemming on deciding the look for the character .   Nolan noted , `` We gave a Francis Bacon spin to ( his face ) . This corruption , this decay in the texture of the look itself . It 's grubby . You can almost imagine what he smells like . '' With costume designer Lindy Hemming picking inspiration for the `` chaotic '' look from such countercultural pop culture artists as Iggy Pop , Johnny Rotten , and Sid Vicious . She gave the image for the Joker of someone who is `` very sweaty '' and who `` probably does n't have a proper home . '' She tried to present a backstory for the character `` that he really does n't look after himself . ''   Execution ( edit )   Application of Heath Ledger 's makeup was done with the actor scrunching special facial expressions . Caglione called the application work `` a dance '' . This technique created facial textures for the white paint . As Ledger closed his eyes tight , Caglione put on the black makeup . Then , water was sprayed over the eyes and the actor would squeeze his eyes and shake his head and `` all that black drippy , smudgy stuff would happen '' .   To get in character for filming , Ledger used his Joker diary which he carried with him on set . Between takes , Heath Ledger stayed out of character even as he wore the character costume , just being himself . The actor would goof around , skateboarding while in his Joker costume on set , and smoking cigarettes . John Caglione described Ledger as helping others around to relax , never letting `` the intense nature of the roles overwhelm him . ''   The first sequence shot was the films IMAX opening , the `` prologue '' . As the Joker wears a mask through the scene with minimal dialogue , Nolan set the prologue first in schedule because he wanted to put off performance worries , allowing Ledger to enjoy that relief .   The interrogation scene between Batman and the Joker was the first scene shot with Ledger really showing the full performance all together . The director and his leading actors all liked the idea of shooting the key scene early on . During rehearsals , the actors kept things loose and improvisational , saving for the actual shoot . Bale confirmed that Ledger did not perform the Joker 's voice during rehearsals , waiting to get in character when the cameras rolled . Nolan later acknowledged the scene to be his favorite in the film , saying `` I had never seen anybody sell a punch the way Heath was able to do with Christian . ''   Ledger was allowed to shoot and direct the threat videos the Joker sends out as warnings . Each take Ledger made was different from the last . Nolan was impressed enough with the first video shoot that he chose to not be present when Ledger shot the video with a kidnapped reporter ( Anthony Michael Hall ) .   Heath Ledger always showed up early on set . The first thing he would do , according to Caglione , was to give bear hugs to cast and crew members around the set . `` And no matter how banged - up or bruised Heath was after a long day , after we 'd take off the last drop of makeup , he 'd just hug everybody in the trailer before he left '' . At the end of shooting , on his Joker diary 's final page , Ledger wrote `` BYE BYE '' .  Effects of Heath Ledger 's death ( edit )  On January 22 , 2008 , after he had completed filming The Dark Knight , Ledger died , aged only 28 , of an accidental prescription drug overdose , leading to intense press attention and memorial tributes . `` It was tremendously emotional , right when he passed , having to go back in and look at him every day ( during editing ) , '' Nolan recalled . `` But the truth is , I feel very lucky to have something productive to do , to have a performance that he was very , very proud of , and that he had entrusted to me to finish . '' All of Ledger 's scenes appear as he completed them in the filming ; in editing the film , Nolan added no `` digital effects '' to alter Ledger 's actual performance posthumously . Nolan has dedicated the film in part to Ledger 's memory .   Ledger 's death affected the marketing campaign for The Dark Knight and also both the production and marketing of Terry Gilliam 's film The Imaginarium of Doctor Parnassus ; both Nolan and Gilliam celebrated and paid tribute to Ledger 's work in these films .   Reception and legacy ( edit )   Announcement and early response ( edit )   On July 31 , 2006 , The Dark Knight was officially announced by Warner Bros with the casting of Heath Ledger as the Joker . The casting decision surprised others , and was seen as a controversial move at the time , receiving notable negative reactions on the internet . Nolan remembered the cynicism he endured surrounding Ledger 's casting , saying that `` the whole world turned around and said ' What are you doing ? ' You know , Heath Ledger , Joker , did n't make any sense to people at all . ''   However , with the first trailer released in 2007 , the film and its portrayal of the Joker received very positive response from audiences and entertainment industry professionals alike . Mexican filmmaker Guillermo del Toro gushed of his impression for Ledger 's performance , finding it `` really , really edgy and scary . '' American Batman writers Paul Dini and Jeph Loeb both chimed with the positive reactions . Loeb , otherwise critical of Nicholson 's portrayal of the character , expressed his excitement for Ledger 's interpretation , saying the casting felt `` just about right . I eagerly anticipate more ! ''   Critical reception ( edit )  `` Heath Ledger is magnificent . The Joker , incarnated with chilling authority by the actor , is simply one of the most twisted and mesmerizing creeps in movie history . '' -- Richard Corliss , Time  Heath Ledger 's portrayal of the Joker received critical acclaim , winning numerous posthumous awards for his performance , including the Academy Award for Best Supporting Actor , a Golden Globe Award for Best Supporting Actor in a Motion Picture , the BAFTA Award for Best Actor in a Supporting Role , the Saturn Award for Best Supporting Actor , a Screen Actors Guild Award for Outstanding Performance by a Male Actor in a Supporting Role , and a Best Actor International Award at the 2008 Australian Film Institute Awards .   `` I can only speak superlatives of Ledger , who is mad - crazy - brilliant as the Joker '' , wrote Peter Travers of Rolling Stone , stating that the film is deeper than its predecessor , with a `` deft '' script that refuses to scrutinize the Joker with popular psychology . Travers praised the cast , saying each brings his or her `` ' A ' game '' to the film . '' Travers said Ledger moves the Joker away from Jack Nicholson 's interpretation into darker territory , and expresses his support for any potential campaign to have Ledger nominated for an Academy Award ,   Roger Ebert of the Chicago Sun - Times stated that Heath Ledger 's portrayal is a `` key performance '' and pondered whether he would become the first posthumous Academy Award - winning actor since Peter Finch in 1976 .   Mark Dinning from Empire magazine called Ledger 's performance `` monumental '' and wrote `` The Dark Knight is Ledger 's movie . It is a towering performance ... A force of f * cking nature '' . Kevin Smith commented on Ledger , calling his `` incredible '' performance `` the most frightening , smart and well - played villains ever . Ever . '' Mark Lee , writing for The Daily Telegraph , commented that Ledger accomplished `` a genuinely unsettling , brilliant nuanced portrait of evil '' . Tim Teeman commented for The Times that `` Ledger is so terrifying and unpredictable that his very presence on screen makes you nervous . '' Total Film reviewed that Ledger is `` burning brightly as he embodies an icon ... This is the definitive Joker '' , calling the performance `` a masterpiece '' . For The Hollywood Reporter , Kirk Honeycutt called Ledger 's performance `` a beauty . '' \ Entertainment Weekly put the film on its end - of - the - decade , `` best - of '' list , saying , `` Every great hero needs a great villain . And in 2008 , Christian Bale 's Batman found his in Heath Ledger 's demented dervish , the Joker . '' Emanuel Levy wrote Ledger `` throws himself completely '' into the role . David Denby of The New Yorker , otherwise critical of the film , praised Ledger 's `` sinister and frightening '' performance , which he says is the film 's one element of success . Denby called Ledger `` mesmerising '' and said , `` His performance is a heroic , unsettling final act : this young actor looked into the abyss . '' `` It 's just one of the most iconic movie performances of modern times , '' declared chief film critic of Variety Scott Foundas .   Film critics , co-stars Maggie Gyllenhaal and Michael Caine , and many of Ledger 's colleagues in the film community joined Bale in calling for and predicting a nomination for the 2008 Academy Award for Best Supporting Actor in recognition of Ledger 's performance in The Dark Knight .   See also ( edit )    2000s portal     Joker in other media   Barack Obama `` Joker '' poster    References ( edit )    ^ Jump up to : Collura , Scott . The Dark Knight : Heath Ledger Talks Joker 7 November 2006 . Retrieved 29 September 2015 .   ^ Jump up to : Neumaier , Joe A look at how Heath ledger viewed his career Daily News ( New York ) , 16 November 2006 . Updated on 27 August 2011 . Retrieved 28 September 2015 .   Jump up ^ Otto , Jeff . Interview : Matt Damon and Heath Ledger IGN , 22 August 2005 . Retrieved on 28 September 2015 .   Jump up ^ The Fire Rises : The Creation and Impact of the Dark Knight Trilogy , 2013 . Warner Bros. , Blu - Ray DVD . Time : 00 : 51 : 20 . Director Christopher Nolan talks about meeting and working with Heath Ledger . English , USA .   ^ Jump up to : Christopher Nolan Reflects On His Batman Trilogy , Heath Ledger &amp; More , 3 Dec 2012 . Retrieved on 28 September 2015 .   Jump up ^ ( 1 )   ^ Jump up to : Jolin , Dan . The Making of The Joker Dec 2009 . Retrieved 29 September 2015   Jump up ^ The Fire Rises : The Creation and Impact of the Dark Knight Trilogy , 2013 . Warner Bros. , Blu - Ray DVD . Time : 00 : 51 : 20 . Director Christopher Nolan talks about Heath Ledger and his role of the Joker . English , USA .   Jump up ^ The Fire Rises : The Creation and Impact of the Dark Knight Trilogy , 2013 . Warner Bros. , Blu - Ray DVD . Time : 00 : 50 : 50 . Casting director Papsidera talks about casting the Joker . English , USA .   Jump up ^ Mattina , Eric ( November 29 , 2012 ) . `` Christopher Nolan Spends the ' Knight ' at Lincoln Center : 5 Things Learned About Batman and Beyond '' . Indiewire . Retrieved 5 October 2015 .   Jump up ^ Lyall , Sarah ( November 4 , 2007 ) . `` Movies : In Stetson or Wig , He 's Hard to Pin Down '' . The New York Times . Retrieved January 28 , 2013 .   Jump up ^ The Fire Rises : The Creation and Impact of the Dark Knight Trilogy , 2013 . Warner Bros. , Blu - Ray DVD . Time : 00 : 51 : 20 . Director Christopher Nolan talks about his conversations with Heath Ledger about the Joker . English , USA .   Jump up ^ Lesnick , Silas ( November 10 , 2007 ) . `` IESB Exclusive : Heath Ledger Talks the Joker ! '' . The Movie Reporter . IESB.net . Retrieved November 12 , 2007 .   Jump up ^ Horowitz , Josh . Heath Ledger Discusses Delving Into Dylan For I 'm Not There and Channeling Sid Vicious For The Dark Knight , 12 November 2007 . Retrieved 28 September 2015 .   Jump up ^ ( 2 )   ^ Jump up to : PuppetMaster . `` Redesigning the Bat Suit for The Dark Knight '' Retrieved 29 September 2015 .   Jump up ^ The Dark Knight Set Visit : Lindy Hemming , 2008 . Retrieved 28 September 2015 .   Jump up ^ Travers , Peter . The Dark Knight , 18 July 2008 . Retrieved 28 September 2015 .   Jump up ^ name = `` verbicidemagazine.com ''   Jump up ^ Boucher , Geoff . `` Christopher Nolan 's Knight Vision '' , Los Angeles Times , 6 July 2008 . Retrieved 29 September 2015 .   Jump up ^ Biskind , Peter . The Last of Heath , Hollywood , August 2009 . Retrieved 29 September 2015 .   ^ Jump up to : ( 3 )   ^ Jump up to : Hooton , Christopher . A look inside Heath Ledger 's sinister Joker journal , BST , 10 August 2015 . Retrieved 29 September 2015 .   Jump up ^ Richards , Olly . World Exclusive : The Joker Speaks EMPIRE. 28 November 2007 . Retrieved 22 October 2015 .   Jump up ^ Vineyard , Jennifer . Arkham Asylum Scribe Grant Morrison Opens Up On Heath Ledger 's Joker Diary , 4 August 2008 . Retrieved 29 September 2015 .   Jump up ^ ( 4 )   Jump up ^ Murray , Rebecca . Writer / Director Christopher Nolan Talks About ' The Dark Knight ' And Heath Ledger 's Incredible Performance about entertainment . Retrieved 22 October 2015 .   Jump up ^ James , David ( January 14 , 2008 ) . `` Indy , Batman , Narnia All Return in 2008 '' . MSNBC . Retrieved January 16 , 2008 .   Jump up ^ `` Dressing the Joker '' . IGN . February 25 , 2008 . Retrieved February 26 , 2008 .   Jump up ^ Van Luling , Todd . 5 Stories You 've Never Heard Before About Heath Ledger As The Joker , Posted 4 April 2015 . Updated 4 July 2015 . Retrieved 29 September 2015 .   Jump up ^ Bowles , Scott . Giving voice to the villain presents quite the acting challenge , Posted on 15 July 2008 . Updated on 17 July 2008 . Retrieved on 29 September 2015 .   Jump up ^ Boucher , Geoff . Christopher Nolan revisits his favorite scene in Dark Knight , 28 Oct 2008 . Retrieved on 29 September 2015 .   Jump up ^ `` Merrick '' ( pseudonym ) ( December 5 , 2008 ) . `` Nolan Talks DARK KNIGHT Blu - Ray , a 100,000 Person Screening of the Film ( Featuring Live Q &amp; A w / Nolan ) , TDK Sequel , and More ! ! '' . Ai n't It Cool News . Retrieved December 6 , 2008 ... WebCitation archive .   Jump up ^ Oscar Nominated Make - Up Artist , time , at 53 : 00 . Retrieved 29 September 2015 .   Jump up ^ Heath Ledger 's Creepy Joker Diary Revealed , 31 May 2013 . Retrieved 29 September 2015 .   ^ Jump up to : Carroll , Larry ( March 18 , 2008 ) . `` ' Dark Knight ' Stars , Director Want Film To ' Celebrate ' Heath Ledger 's Work '' . MTV . Retrieved April 27 , 2008 .   Jump up ^ Brown , Scott ( June 24 , 2008 ) . `` Dark Knight Director Shuns Digital Effects for the Real Thing '' . Wired . Retrieved June 24 , 2008 .   Jump up ^ `` Dark Knight Dedicated to Ledger '' . BBC News . June 27 , 2008 . Retrieved June 27 , 2008 .   Jump up ^ Jolin , Dan ( July 2008 ) . `` The Dark Knight '' . Empire . 228 : 92 -- 100 .   ^ Jump up to : Halbfinger , David M. ( March 9 , 2008 ) . `` Batman 's Burden : A Director Confronts Darkness and Death '' . The New York Times . pp. 1 , 16 . Retrieved March 10 , 2008 .   Jump up ^ Kilpatrick , Christine ( January 24 , 2008 ) . `` Production Suspended on Heath Ledger 's Latest Movie '' . People . Retrieved January 24 , 2008 .   Jump up ^ `` Ledger 's Death Puts Last Films in a Bind '' . CNN . January 24 , 2008 . Retrieved January 30 , 2008 .   Jump up ^ Batman sequel title announced 31 July 2006 . Retrieved 28 September 2015 .   Jump up ^ Jolin , Dan . The Making Of The Joker , December 2009 . Retrieved 29 September 2015 .   Jump up ^ Finamore , Brian . Robin Williams ' Batman Near Misses ! The Riddler ? The Joker ? Hugo Stange ? , 15 August 2014 . Retrieved 29 September 2015 .   Jump up ^ Rowles , Dustin . Christopher Nolan Foolishly Casts Heath Ledger Over Paul Bettany as The Joker in Batman Begins Sequel , Posted 3 August 2006 . Reloaded 1 April 2013 . Retrieved on 29 September 2015 .   Jump up ^ Beall , Mark . Nolan Defends Heath Ledger Casting , 11 October 2006 . Retrieved 29 September 2015 .   Jump up ^ Acuna , Kirsten . Everyone Was Also Furious With The Initial Casting Of Heath Ledger As The Joker , 23 Aug 2013 . Retrieved 29 September 2015 .   Jump up ^ The Fire Rises : The Creation and Impact of the Dark Knight Trilogy , 2013 . Warner Bros. , Blu - Ray DVD . Time : 00 : 52 : 35 . Director Christopher Nolan talks about Heath Ledger and his casting as the Joker . English , USA .   Jump up ^ Billington , Alex . Del Toro 's , Dini 's and Loeb 's Reaction to Heath Ledger 's Joker 21 Dec 2007 . Retrieved 22 October 2015 .   Jump up ^ Corliss , Richard . `` Batman Is Back '' , Time , 9 July 2008 . Retrieved 28 September 2015   Jump up ^ Neumaier , Joe . `` Slumdog Millionaire wins Oscar for Best Picture ; the late Heath Ledger is Best Supporting Actor '' , Daily News , 23 Feb 2009 . Retrieved 28 September 2015 .   Jump up ^ Elseworth , Catherine . `` Golden Globes 2009 : Heath Ledger wins best supporting actor for The Dark Knight '' , Telegraph , 12 Jan 2009 . Retrieved 28 September 2009 .   Jump up ^ `` Winslet wins best actress Bafta '' , BBC News , 8 Feb 2009 . Retrieved 28 September 2015 .   Jump up ^ Kilday , Gregg `` Dark Knight tops Saturn Awards '' , Reuters , 24 June 2009 . Retrieved 28 September 2015 .   Jump up ^ Brown , Lane . `` PGA and SAG Bow to Peer Pressure , Name Slumdog Millionaire Best Picture '' , Vulture Retrieved 28 September 2015 .   Jump up ^ `` Heath Ledger honoured by Australian film industry '' , Telegraph , 8 Dec 2008 . Retrieved 28 September 2015 .   ^ Jump up to : Travers , Peter ( July 18 , 2008 ) . `` Dark Knight '' . Rolling Stone . Archived from the original on July 9 , 2008 . Retrieved July 9 , 2008 . ( Postdated )   Jump up ^ Ebert , Roger ( July 16 , 2008 ) . `` The Dark Knight '' . Chicago Sun - Times . Retrieved July 19 , 2008 .   Jump up ^ Dinning , Mark . The Dark Knight , Retrieved 28 September 2015 .   Jump up ^ Smith , Kevin . Kevin 's Review : The Dark Knight , 6 July 2008 . Retrieved 28 September 2015 .   Jump up ^ Davies , Rebecca . `` The critics ' verdict on Heath Ledger in The Dark Knight '' . The Telegraph .   Jump up ^ Geier , Thom ; Jensen , Jeff ; Jordan , Tina ; Lyons , Margaret ; Markovitz , Adam ; Nashawaty , Chris ; Pastorek , Whitney ; Rice , Lynette ; Rottenberg , Josh ; Schwartz , Missy ; Slezak , Michael ; Snierson , Dan ; Stack , Tim ; Stroup , Kate ; Tucker , Ken ; Vary , Adam B. ; Vozick - Levinson , Simon ; Ward , Kate ( December 11 , 2009 ) , `` THE 100 Greatest MOVIES , TV SHOWS , ALBUMS , BOOKS , CHARACTERS , SCENES , EPISODES , SONGS , DRESSES , MUSIC VIDEOS , AND TRENDS THAT ENTERTAINED US OVER THE PAST 10 YEARS . '' Entertainment Weekly . ( 1079 / 1080 ) : 74 - 84   Jump up ^ Levy , Emanuel ( n.d. ) . `` Movie Review : Dark Knight , The : A '' . emanuellevy.com . Retrieved July 9 , 2008 .   Jump up ^ Denby , David ( July 21 , 2008 ) . `` Past Shock '' . The New Yorker . Retrieved July 16 , 2008 . ( Postdated )   Jump up ^ The Fire Rises : The Creation and Impact of the Dark Knight Trilogy , 2013 . Warner Bros. , Blu - Ray DVD . Time : 00 : 54 : 45 . Scott Foundas on Heath Ledger 's acting . English , USA .   Jump up ^ Smith , Nina Hämmerling ( July 28 , 2008 ) . `` Movie News : Ledger 's Knight </t>
  </si>
  <si>
    <t xml:space="preserve">what was joker's plan in the dark knight</t>
  </si>
  <si>
    <t xml:space="preserve"> The film 's interpretation of the Joker embodies themes of chaos , anarchy and obsession : Throughout the film , the character expresses a desire to upset social order through crime , and defines himself by his conflict with Batman . The character also explores techniques found in Ledger 's previous performances , including his clown act in Terry Gilliam 's fantasy film The Brothers Grimm . Further , it references paintings by artist Francis Bacon , Anthony Burgess ' novel A Clockwork Orange and various punk rock musicians . </t>
  </si>
  <si>
    <r>
      <rPr>
        <sz val="11"/>
        <color rgb="FF000000"/>
        <rFont val="Calibri"/>
        <family val="0"/>
        <charset val="1"/>
      </rPr>
      <t xml:space="preserve">Ficus religiosa - wikipedia  Ficus religiosa  Jump to : navigation , search    Sacred fig         Leaves and trunk of a sacred fig . Note the distinctive leaf shape like a heart .     Scientific classification     Kingdom :   Plantae     Clade :   Angiosperms     Clade :   Eudicots     Clade :   Rosids     Order :   Rosales     Family :   Moraceae     Genus :   Ficus     Species :   F. religiosa     Binomial name     Ficus religiosa L. 1753 not Forssk. 1775     Synonyms       Ficus caudata Stokes   Ficus peepul Griff .   Ficus religiosa var . cordata Miq .   Ficus religiosa var . rhynchophylla Miq .   Ficus rhynchophylla Steud .   Ficus superstitiosa Link   Urostigma affine Miq .   Urostigma religiosum ( L . ) Gasp .       Ficus religiosa or sacred fig is a species of fig native to the Indian subcontinent , and Indochina . It belongs to the Moraceae , the fig or mulberry family . It is also known as the bodhi tree , pippala tree , peepul tree , peepal tree or ashwattha tree ( in India and Nepal ) .     Contents  ( hide )   1 Description   2 In religion   2.1 Buddhism   2.2 Hinduism     3 Vernacular names   4 Cultivation   5 Uses   6 See also   7 Notes   8 References   9 External links      Description ( edit )   Ficus religiosa is a large dry season - deciduous or semi-evergreen tree up to 30 metres ( 98 ft ) tall and with a trunk diameter of up to 3 metres ( 9.8 ft ) . The leaves are cordate in shape with a distinctive extended drip tip ; they are 10 -- 17 centimetres ( 3.9 -- 6.7 in ) long and 8 -- 12 centimetres ( 3.1 -- 4.7 in ) broad , with a 6 -- 10 centimetres ( 2.4 -- 3.9 in ) petiole . The fruits are small figs 1 -- 1.5 centimetres ( 0.39 -- 0.59 in ) in diameter , green ripening to purple .   The leaves of this tree move continuously even when the air around is still and no perceptible wind is blowing . This phenomenon can be explained due to the long leaf stalk and the broad leaf structure . However , religious minded people in Hindu / Buddhist religion attribute this movement of the leaves to the fact that `` devas '' or `` gods '' reside on these leaves and make it move continuously .   In religion ( edit )   The Ficus religiosa tree is considered sacred by the followers of Hinduism , Jainism and Buddhism . In the Bhagavad Gita , Krishna says , `` I am the Peepal tree among the trees , Narada among the sages , Chitraaratha among the Gandharvas , And sage Kapila among the Siddhas . ''   Buddhism ( edit )  Main article : Bodhi tree The Bodhi Tree at the Mahabodhi Temple . Propagated from the Sri Maha Bodhi , which in turn is propagated from the original Bodhi Tree at this location .  Gautama Buddha attained enlightenment ( bodhi ) while meditating underneath a Ficus religiosa . The site is in present - day Bodh Gaya in Bihar , India . The original tree was destroyed , and has been replaced several times . A branch of the original tree was rooted in Anuradhapura , Sri Lanka in 288 BCE and is known as Jaya Sri Maha Bodhi ; it is the oldest flowering plant ( angiosperm ) in the world .   In Theravada Buddhist Southeast Asia , the tree 's massive trunk is often the site of Buddhist or animist shrines . Not all Ficus religiosa can be called a Bodhi Tree . A Bodhi Tree must be able to trace its parent to another Bodhi Tree and the line goes on until the first Bodhi Tree under which Gautama is said to have gained enlightenment .   Hinduism ( edit )  Typical example of aerial roots  Sadhus ( Hindu ascetics ) still meditate beneath sacred fig trees , and Hindus do pradakshina ( circumambulation , or meditative pacing ) around the sacred fig tree as a mark of worship . Usually seven pradakshinas are done around the tree in the morning time chanting `` vriksha rajaya namah '' , meaning `` salutation to the king of trees . '' It claimed that the 27 stars ( constellations ) constituting 12 houses ( rasis ) and 9 planets are specifically represented precisely by 27 trees -- one for each star . The Bodhi Tree is said to represent Pushya ( Western star name γ , δ and θ Cancri in the Cancer constellation ) .   Plaksa is a possible Sanskrit term for Ficus religiosa . However , according to Macdonell and Keith ( 1912 ) , it denotes the wavy - leaved fig tree ( Ficus infectoria ) instead . In Hindu texts , the Plaksa tree is associated with the source of the Sarasvati River . The Skanda Purana states that the Sarasvati originates from the water pot of Brahma flows from Plaksa on the Himalayas . According to Vamana Purana 32.1 - 4 , the Sarasvati was rising from the Plaksa tree ( Pipal tree ) . Plaksa Pra - sravana denotes the place where the Sarasvati appears . In the Rigveda Sutras , Plaksa Pra - sravana refers to the source of the Sarasvati .   Vernacular names ( edit )  Example of fruits Typical shape of the leaf of the Ficus religiosa  The Ficus religiosa tree is known by a wide range of vernacular names , including :    in Austroasiatic languages :   Vietnamese -- bồ - đề       in Dravidian languages :   Kannada -- araLi mara ಅರಳಿ ಮರ   Malayalam -- അരയാല് arayaal   Tamil -- அரசு , அரச மரம் arasa maram ( Literally `` king '' or `` king 's tree '' ; arasu or arasan is Tamil for `` king '' )   Telugu -- రావి చెట్టు raavi chettu       in Indic languages :   Bengali language -- অশ্বথ , i.e. ashwath , পিপুল , i.e. pipul   Bhojpuri -- pippar   Gujarati -- પિપળો ( pipdo )   Hindi - Peepal - पीपल   Konkani -- pimpalla rook / jhadd   Mahal -- އަޝްވަތި ގަސް ( aśvati gas )   Maithili ( मैथिली ) -- पीपर ( peepar )   Marathi -- पिंपळ pimpaL ( where L is as in for example Nagold )   Nepali ( नेपाली ) -- पीपल ( peepal or pipal )   Odia -- ଅଶ୍ୱତ୍ଥ ( ashwatth )   Pali -- assattha ; rukkha   Punjabi -- Pippal - ਪਿੱਪਲ / پپل   Sanskrit -- अश्वत्थः aśvatthaḥ vṛksha , pippala vṛksha ( vṛksha means `` tree '' )   Sinhala -- ඇසතු esathu   Urdu -- peepal پیپل       in Japonic languages :   Japanese -- </t>
    </r>
    <r>
      <rPr>
        <sz val="11"/>
        <color rgb="FF000000"/>
        <rFont val="Noto Sans CJK SC"/>
        <family val="2"/>
      </rPr>
      <t xml:space="preserve">印度 菩提樹 </t>
    </r>
    <r>
      <rPr>
        <sz val="11"/>
        <color rgb="FF000000"/>
        <rFont val="Calibri"/>
        <family val="0"/>
        <charset val="1"/>
      </rPr>
      <t xml:space="preserve">( Indo bodaiju )       in Koreanic languages :   Korean -- </t>
    </r>
    <r>
      <rPr>
        <sz val="11"/>
        <color rgb="FF000000"/>
        <rFont val="Noto Sans CJK SC"/>
        <family val="2"/>
      </rPr>
      <t xml:space="preserve">보리수 </t>
    </r>
    <r>
      <rPr>
        <sz val="11"/>
        <color rgb="FF000000"/>
        <rFont val="Calibri"/>
        <family val="0"/>
        <charset val="1"/>
      </rPr>
      <t xml:space="preserve">( bolisu ) ; </t>
    </r>
    <r>
      <rPr>
        <sz val="11"/>
        <color rgb="FF000000"/>
        <rFont val="Noto Sans CJK SC"/>
        <family val="2"/>
      </rPr>
      <t xml:space="preserve">菩提樹       </t>
    </r>
    <r>
      <rPr>
        <sz val="11"/>
        <color rgb="FF000000"/>
        <rFont val="Calibri"/>
        <family val="0"/>
        <charset val="1"/>
      </rPr>
      <t xml:space="preserve">in Italic languages :   Cuban Spanish - alamo       in Malayo - Polynesian languages :   Tagalog - ballete       in Sino - Tibetan languages :   Burmese -- ဗောဓိညောင်ပင် ( Bodhi nyaung pin ) , ဗောဓိပင် ( Bodhi pin )   Chinese -- </t>
    </r>
    <r>
      <rPr>
        <sz val="11"/>
        <color rgb="FF000000"/>
        <rFont val="Noto Sans CJK SC"/>
        <family val="2"/>
      </rPr>
      <t xml:space="preserve">菩提樹 </t>
    </r>
    <r>
      <rPr>
        <sz val="11"/>
        <color rgb="FF000000"/>
        <rFont val="Calibri"/>
        <family val="0"/>
        <charset val="1"/>
      </rPr>
      <t xml:space="preserve">( pútíshù , bodhi tree )       in Tai -- Kadai languages   Thai -- โพธิ์ ( pho )      Cultivation ( edit )   Ficus religiosa is grown by specialty tree plant nurseries for use as an ornamental tree , in gardens and parks in tropical and subtropical climates . Peepal trees are native to India and thrive in hot , humid weather . They prefer full sunlight and can grow in most soil types , though loam is the best . When planting , use soil with a pH of 7 or below . While it is possible for the plant to grow indoors in a pot , it grows best outside . Young peepal needs proper nourishment . It requires full sunlight and proper watering .   Uses ( edit )   Ficus religiosa is used in traditional medicine for about 50 types of disorders including asthma , diabetes , diarrhea , epilepsy , gastric problems , inflammatory disorders , infectious and sexual disorders .   See also ( edit )    Bodhi Tree   Shitala Devi   Sri Maha Bodhi    Notes ( edit )    Jump up ^ The Plant List , Ficus religiosa L .   ^ Jump up to : Chisholm , Hugh , ed. ( 1911 ) . `` Peepul '' . Encyclopædia Britannica. 21 ( 11th ed . ) . Cambridge University Press . p. 45 .   Jump up ^ `` Ficus religiosa '' . Germplasm Resources Information Network ( GRIN ) . Agricultural Research Service ( ARS ) , United States Department of Agriculture ( USDA ) . Retrieved 29 January 2017 .   Jump up ^ Oxford English Dictionary , Oxford University Press , 1971 , p. 1014   Jump up ^ `` Ficus religiosa -- Peepal '' . Flowers of India . Archived from the original on February 14 , 2012 . Retrieved November 3 , 2011 .   Jump up ^ `` The Bhagavad Gita - Chapter 10 - The Yoga of Manifestation '' . santosha.com .   Jump up ^ `` Rocky Mountain Tree - Ring Research , OLDLIST '' . Retrieved July 3 , 2011 .   Jump up ^ Chisholm , Hugh , ed. ( 1911 ) . `` Bo - Tree '' . Encyclopædia Britannica. 4 ( 11th ed . ) . Cambridge University Press . p. 305 .   Jump up ^ D.S. Chauhan in Radhakrishna , B.P. and Merh , S.S. ( editors ) : Vedic Sarasvati , 1999 , p. 35 -- 44   Jump up ^ Pancavimsa Brahmana , Jaiminiya Upanisad Brahmana , Katyayana Srauta Sutra , Latyayana Srauta ; Macdonell and Keith 1912   Jump up ^ Asvalayana Srauta Sutra , Sankhayana Srauta Sutra ; Macdonell and Keith 1912 , II : 55   Jump up ^ Singh D , Singh B , Goel RK `` Traditional uses , phytochemistry and pharmacology of Ficus religiosa : a review . '' J Ethnopharmacol . February 3 , 2011 .   Jump up ^ Damanpreet Singh ; Bikram Singh ; Rajesh Kumar Goela ( April 12 , 2011 ) . `` Journal of Ethnopharmacology : Traditional uses , phytochemistry and pharmacology of Ficus religiosa : A review '' . Journal of Ethnopharmacology . ScienceDirect. 134 ( 3 ) : 565 -- 583 . PMID 21296646 . doi : 10.1016 / j. jep. 2011.01. 046 .    References ( edit )    Keith and Macdonell. 1912 . Vedic Index of Names and Subjects .   Plaksa description    External links ( edit )       Wikimedia Commons has media related to : Ficus religiosa ( category )         Wikispecies has information related to : Ficus religiosa         Wikisource has the text of the 1911 Encyclopædia Britannica article Bo - Tree .        Entry on Bodhi Tree in the Buddhist Dictionary of Pali Proper Names   `` Peepul '' . Encyclopedia Americana. 1920 .              Worship in Hinduism     Main topics     Aarti   Bhajan   Darśana   Deities   Festivals   Homa ( Yajna )   Kirtan   Mantra   Murti   Tilaka   Utsava   Vrata   Yatra       Rituals      Puja     Abhisheka   Bhog   Naivedhya   Panchamakara   Panchamrita   Parikrama   Pranāma   Prasad   Pushpanjali       Homa     Yajna   Agnicayana   Agnihotra   Agnikaryam   Aupasana   Dhuni   Kaamya karma   Pravargya   Purushamedha   Putrakameshti   Viraja Homa       Other     Achamana   Archana   Ashirvad   Ashvamedha   Darśana   Karmkand   Kumbhabhishekham   Nitya karma   Ngejot   Panchayatana puja   Prana pratishta   Sandhyavandanam   Shuddhi   Shrauta   Upakarma            Prayer   Meditation       Ajapa japa   Bhajan   Brahmamuhurtha   Jagran   Jai Sri Ram   Japa   Kirtan   Om   Sandhyavandanam   Shaktipat   Stotra   Third eye   Yoga       Mantras     Om   Hare Krishna   Om Namah Shivaya   Gayatri Mantra       Objects     Puja thali   Altar   Banalinga   Banana leaf   Biruda   Coconut   Dhunachi   Dhuni   Dhupa   Diya   Cāmara   Garland   Ghanta   Joss stick   Kalasha   Kamandalu   Khirapat   Kindi   Paduka   Palki   Panchamrita   Pandal   Pinda   Prayer beads   Rangoli   Shankha   Tilaka   Upanayana   Uthsavar   Yagnopaveetham       Materials     Agarwood   Alta   Camphor   Charu   Ghee   Incense   Kumkuma   Marigold   Milk   Panchagavya   Rudraksha   Sandalwood   Sindoor   Soma   Tulsi   Turmeric   Vibhuti       Instruments     Dholak   Harmonium   Karatalas   Khol   Manjira   Mridangam   Tabla       Iconography     Lingam   Murti   Om   Pindi   Shaligram   Swastika   Yoni   more ...       Places     Ashram   Dwajasthambam   Ghat   Kalyani   Matha   Temple   Pilgrimage sites       Roles     Guru   Pandit   Pujari   Rishi   Sadhu   Sannyasa   Swami   Yogi   more ...       Sacred animals     Nāga   Nag Panchami   Nagaradhane       Sacred plants      Trees     Akshayavat   Ashoka   Banyan   Kadamba   Kalpavriksha   Parijaat   Peepal   Sacred groves       Fruits and other plants     Bael   Kusha grass   Lotus   Tulsi ( Tulasi chaura   Tulsi Vivah )          See also     Firewalking   Sanskara   Temple dance      Retrieved from `` https://en.wikipedia.org/w/index.php?title=Ficus_religiosa&amp;oldid=803082962 '' Categories :   Ficus   Sacred trees   Sacred trees in Hinduism   Trees of the Indian Subcontinent   Trees of Indo - China   Plants described in 1753   National symbols of Nepal   Plants used in traditional Chinese medicine   Epiphytes   Garden plants of Asia   Ornamental trees   Taxa named by Carl Linnaeus   Hidden categories :   Wikipedia articles incorporating a citation from the 1911 Encyclopaedia Britannica with Wikisource reference   Articles with ' species ' microformats   Articles containing Japanese - language text   Articles containing Korean - language text   Wikipedia articles incorporating a citation from the Encyclopedia Americana with a Wikisource reference           Talk                                           Contents                   About Wikipedia                                           Wikimedia Commons   Wikispecies       Alemannisch   অসমীয়া   Asturianu   বাংলা   भोजपुरी   Català   Cebuano   Deutsch   ދިވެހިބަސް   Español   فارسی   Français   ગુજરાતી   </t>
    </r>
    <r>
      <rPr>
        <sz val="11"/>
        <color rgb="FF000000"/>
        <rFont val="Noto Sans CJK SC"/>
        <family val="2"/>
      </rPr>
      <t xml:space="preserve">한국어   </t>
    </r>
    <r>
      <rPr>
        <sz val="11"/>
        <color rgb="FF000000"/>
        <rFont val="Calibri"/>
        <family val="0"/>
        <charset val="1"/>
      </rPr>
      <t xml:space="preserve">हिन्दी   Bahasa Indonesia   Italiano   עברית   ಕನ್ನಡ   Lietuvių   മലയാളം   मराठी   မြန်မာဘာသာ   Nederlands   नेपाली   </t>
    </r>
    <r>
      <rPr>
        <sz val="11"/>
        <color rgb="FF000000"/>
        <rFont val="Noto Sans CJK SC"/>
        <family val="2"/>
      </rPr>
      <t xml:space="preserve">日本 語   </t>
    </r>
    <r>
      <rPr>
        <sz val="11"/>
        <color rgb="FF000000"/>
        <rFont val="Calibri"/>
        <family val="0"/>
        <charset val="1"/>
      </rPr>
      <t xml:space="preserve">Norsk   Norsk nynorsk   ଓଡ଼ିଆ   ਪੰਜਾਬੀ   پنجابی   Polski   Português   Русский   Shqip   සිංහල   سنڌي   Slovenščina   Srpskohrvatski / српскохрватски   Suomi   Svenska   தமிழ்   తెలుగు   ไทย   ತುಳು   Українська   Tiếng Việt   Winaray   </t>
    </r>
    <r>
      <rPr>
        <sz val="11"/>
        <color rgb="FF000000"/>
        <rFont val="Noto Sans CJK SC"/>
        <family val="2"/>
      </rPr>
      <t xml:space="preserve">粵語   中文   </t>
    </r>
    <r>
      <rPr>
        <sz val="11"/>
        <color rgb="FF000000"/>
        <rFont val="Calibri"/>
        <family val="0"/>
        <charset val="1"/>
      </rPr>
      <t xml:space="preserve">Edit links   This page was last edited on 30 September 2017 , at 10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</si>
  <si>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name of arasamaram in english</t>
  </si>
  <si>
    <t xml:space="preserve"> Ficus religiosa or sacred fig is a species of fig native to the Indian subcontinent , and Indochina . It belongs to the Moraceae , the fig or mulberry family . It is also known as the bodhi tree , pippala tree , peepul tree , peepal tree or ashwattha tree ( in India and Nepal ) . </t>
  </si>
  <si>
    <t xml:space="preserve">List of largest wilderness areas in the United States - wikipedia  List of largest wilderness areas in the United States   This is a list of the largest wilderness areas in the National Wilderness Preservation System of the United States . It includes all that are larger than 50,000 acres ( 200 km2 ) . Statistics are as retrieved in September 2009 from Wilderness.net . Where instances of multiple states or agencies occur , they are listed in descending order of included acreage . The last column lists the entities that the wilderness is entirely ( in most cases ) part of , or partially included in ( minority of cases , usually involving parts of the wilderness that are in otherwise unnamed BLM lands ) . They are also listed in descending order of included acreage . Agency abbreviations : BLM = Bureau of Land Management ; FS = Forest Service ; FWS = Fish and Wildlife Service ; NPS = National Park Service .     Name of wilderness   State ( s )   Acreage   Area : km2   Agency / agencies   Located entirely or partly in     Wrangell - Saint Elias Wilderness   Alaska   9,078,675   36,740.1   NPS   Wrangell - St. Elias National Park     Mollie Beattie Wilderness   Alaska   8,000,000   32,374.9   FWS   Arctic National Wildlife Refuge     Gates of the Arctic Wilderness   Alaska   7,167,192   29,004.6   NPS   Gates of the Arctic National Park     Noatak Wilderness   Alaska   5,765,427   23,331.9   NPS   Noatak National Preserve     Katmai Wilderness   Alaska   3,384,358   13,696.0   NPS   Katmai National Park     Death Valley Wilderness   California / Nevada   3,099,770   12,544.3   NPS   Death Valley National Park     Glacier Bay Wilderness   Alaska   2,664,876   10,784.4   NPS   Glacier Bay National Park     Lake Clark Wilderness   Alaska   2,619,550   10,600.9   NPS   Lake Clark National Park     Frank Church - River of No Return Wilderness   Idaho   2,366,757   9,577.9   FS / BLM   Payette National Forest / Challis National Forest / Salmon National Forest / Boise National Forest / Bitterroot National Forest / Nez Perce National Forest     Togiak Wilderness   Alaska   2,274,066   9,202.8   FWS   Togiak National Wildlife Refuge     Misty Fjords National Monument Wilderness   Alaska   2,142,442   8,670.2   FS   Misty Fjords National Monument ( Tongass National Forest )     Denali Wilderness   Alaska   2,124,783   8,598.7   NPS   Denali National Park     Kenai Wilderness   Alaska   1,354,247   5,480.4   FWS   Kenai National Wildlife Refuge     Selway - Bitterroot Wilderness   Idaho / Montana   1,340,502   5,424.8   FS   Nez Perce National Forest / Bitterroot National Forest / Clearwater National Forest / Lolo National Forest     Aleutian Islands Wilderness   Alaska   1,300,000   5,260.9   FWS   Aleutian Islands National Wildlife Refuge     Andreafsky Wilderness   Alaska   1,300,000   5,260.9   FWS   Yukon Delta National Wildlife Refuge     Marjory Stoneman Douglas Wilderness   Florida   1,296,500   5,246.7   NPS   Everglades National Park     Innoko Wilderness   Alaska   1,240,000   5,018.1   FWS   Innoko National Wildlife Refuge     Bob Marshall Wilderness   Montana   1,009,356   4,084.7   FS   Flathead National Forest / Lewis and Clark National Forest     Kootznoowoo Wilderness   Alaska   956,255   3,869.8   FS   Admiralty Island National Monument ( Tongass National Forest )     Absaroka - Beartooth Wilderness   Montana / Wyoming   943,626   3,818.7   FS   Gallatin National Forest / Custer National Forest / Shoshone National Forest     Unimak Wilderness   Alaska   910,000   3,682.6   FWS   Alaska Maritime National Wildlife Refuge     Olympic Wilderness   Washington   876,669   3,547.8   NPS   Olympic National Park     Boundary Waters Canoe Area Wilderness   Minnesota   1,090,000   4,411.1   FS   Superior National Forest     Cabeza Prieta Wilderness   Arizona   803,418   3,251.3   FWS   Cabeza Prieta National Wildlife Refuge     Sequoia - Kings Canyon Wilderness   California   768,222   3,108.9   NPS   Kings Canyon National Park / Sequoia National Park     Yosemite Wilderness   California   704,624   2,851.5   NPS   Yosemite National Park     Washakie Wilderness   Wyoming   704,274   2,850.1   FS   Shoshone National Forest     Mojave Wilderness   California   695,200   2,813.4   NPS   Mojave National Preserve     Tracy Arm - Fords Terror Wilderness   Alaska   653,179   2,643.3   FS   Tongass National Forest     John Muir Wilderness   California   650,734   2,633.4   FS   Sierra National Forest / Inyo National Forest     Stephen Mather Wilderness   Washington   634,614   2,568.2   NPS   North Cascades National Park / Ross Lake National Recreation Area / Lake Chelan National Recreation Area     Nunivak Wilderness   Alaska   600,000   2,428.1   FWS   Yukon Delta National Wildlife Refuge     Joshua Tree Wilderness   California   594,502   2,405.9   NPS   Joshua Tree National Park     Teton Wilderness   Wyoming   585,238   2,368.4   FS   Teton National Forest     Glacier Peak Wilderness   Washington   570,573   2,309.0   FS   Wenatchee National Forest / Mount Baker National Forest     Gila Wilderness   New Mexico   558,014   2,258.2   FS   Gila National Forest     Pasayten Wilderness   Washington   529,477   2,142.7   FS   Okanogan National Forest / Mount Baker National Forest     Trinity Alps Wilderness   California   525,627   2,127.1   FS / BLM   Trinity National Forest / Shasta National Forest / Klamath National Forest / Six Rivers National Forest     Kofa Wilderness   Arizona   516,200   2,089.0   FWS   Kofa National Wildlife Refuge     Weminuche Wilderness   Colorado   488,210   1,975.7   FS   San Juan National Forest / Rio Grande National Forest     High Uintas Wilderness   Utah   456,705   1,848.2   FS   Ashley National Forest / Wasatch National Forest     Stikine - LeConte Wilderness   Alaska   448,926   1,816.7   FS   Tongass National Forest     Bridger Wilderness   Wyoming   428,087   1,732.4   FS   Bridger National Forest     Becharof Wilderness   Alaska   400,000   1,618.7   FWS   Becharof National Wildlife Refuge     Koyukuk Wilderness   Alaska   400,000   1,618.7   FWS   Koyukuk National Wildlife Refuge     Alpine Lakes Wilderness   Washington   362,789   1,468.2   FS   Wenatchee National Forest / Snoqualmie National Forest     Okefenokee Wilderness   Georgia   353,981   1,432.5   FWS   Okefenokee National Wildlife Refuge     North Absaroka Wilderness   Wyoming   350,488   1,418.4   FS   Shoshone National Forest     Eagle Cap Wilderness   Oregon   350,461   1,418.3   FS   Wallowa National Forest / Whitman National Forest     Russell Fjord Wilderness   Alaska   348,701   1,411.1   FS   Tongass National Forest     South Baranof Wilderness   Alaska   319,568   1,293.2   FS   Tongass National Forest     Gros Ventre Wilderness   Wyoming   317,874   1,286.4   FS   Teton National Forest     Black Rock Desert Wilderness   Nevada   314,829   1,274.1   BLM   Black Rock Desert -- High Rock Canyon Emigrant Trails National Conservation Area     Organ Pipe Cactus Wilderness   Arizona   312,600   1,265.0   NPS   Organ Pipe Cactus National Monument     Izembek Wilderness   Alaska   307,982   1,246.4   FWS   Izembek National Wildlife Refuge     Golden Trout Wilderness   California   303,511   1,228.3   FS   Inyo National Forest / Sequoia National Forest     Three Sisters Wilderness   Oregon   286,708   1,160.3   FS   Willamette National Forest / Deschutes National Forest     Great Bear Wilderness   Montana   286,700   1,160.2   FS   Flathead National Forest     Owyhee River Wilderness   Idaho   267,328   1,081.8   BLM       West Chichagof - Yakobi Wilderness   Alaska   265,286   1,073.6   FS   Tongass National Forest     Lee Metcalf Wilderness   Montana   254,288   1,029.1   FS / BLM   Gallatin National Forest / Beaverhead National Forest     White Mountains Wilderness   California   252,597   1,022.2   FS / BLM   Inyo National Forest     Mazatzal Wilderness   Arizona   252,390   1,021.4   FS   Tonto National Forest / Coconino National Forest     Semidi Wilderness   Alaska   250,000   1,011.7   FWS   Alaska Maritime National Wildlife Refuge     Rocky Mountain National Park Wilderness   Colorado   249,339   1,009.0   NPS   Rocky Mountain National Park     Inyo Mountains Wilderness   California   245,320   992.8   BLM / FS   Inyo National Forest     Marble Mountain Wilderness   California   241,744   978.3   FS   Klamath National Forest     Ventana Wilderness   California   240,024   971.3   FS / BLM   Los Padres National Forest     Selawik Wilderness   Alaska   240,000   971.2   FWS   Selawik National Wildlife Refuge     Scapegoat Wilderness   Montana   239,936   971.0   FS   Lewis and Clark National Forest / Helena National Forest / Lolo National Forest     Palen / McCoy Wilderness   California   235,627   953.5   BLM       Flat Tops Wilderness   Colorado   235,214   951.9   FS   White River National Forest / Routt National Forest     Ansel Adams Wilderness   California   231,533   937.0   FS / NPS   Sierra National Forest / Inyo National Forest / Devils Postpile National Monument     Mount Rainier Wilderness   Washington   228,480   924.6   NPS   Mount Rainier National Park     Sangre de Cristo Wilderness   Colorado   228,044   922.9   FS / NPS   San Isabel National Forest / Rio Grande National Forest / Great Sand Dunes National Park     Pecos Wilderness   New Mexico   223,333   903.8   FS   Santa Fe National Forest / Carson National Forest     Sespe Wilderness   California   219,700   889.1   FS   Los Padres National Forest     Sawtooth Wilderness   Idaho   217,088   878.5   FS   Sawtooth National Recreation Area ( Boise National Forest / Sawtooth National Forest / Challis National Forest )     Hells Canyon Wilderness   Oregon / Idaho   214,944   869.8   FS / BLM   Hells Canyon National Recreation Area ( Wallowa National Forest / Nez Perce National Forest / Payette National Forest / Whitman National Forest )     Gospel Hump Wilderness   Idaho   205,796   832.8   FS   Nez Perce National Forest     Aldo Leopold Wilderness   New Mexico   202,016   817.5   FS   Gila National Forest     Kingston Range Wilderness   California   199,444   807.1   BLM       Fitzpatrick Wilderness   Wyoming   198,525   803.4   FS   Shoshone National Forest     San Rafael Wilderness   California   197,380   798.8   FS   Los Padres National Forest     High Peaks Wilderness   New York   192,685   779.8   NYS DEC   Adirondack Park     Cloud Peak Wilderness   Wyoming   189,039   765.0   FS   Bighorn National Forest     Sheephole Valley Wilderness   California   186,673   755.4   BLM       Siskiyou Wilderness   California   182,802   739.8   FS   Six Rivers National Forest / Klamath National Forest / Siskiyou National Forest     Maroon Bells - Snowmass Wilderness   Colorado   181,512   734.6   FS   White River National Forest / Gunnison National Forest     Yolla Bolly - Middle Eel Wilderness   California   180,877   732.0   FS / BLM   Mendocino National Forest / Trinity National Forest / Six Rivers National Forest     Kalmiopsis Wilderness   Oregon   179,755   727.4   FS   Siskiyou National Forest     Wenaha - Tucannon Wilderness   Washington / Oregon   177,423   718.0   FS   Umatilla National Forest     Turtle Mountains Wilderness   California   177,136   716.8   BLM       West Elk Wilderness   Colorado   176,412   713.9   FS   Gunnison National Forest     Kobuk Valley Wilderness   Alaska   174,545   706.4   NPS   Kobuk Valley National Park     Steens Mountain Wilderness   Oregon   170,025   688.1   BLM       William O. Douglas Wilderness   Washington   168,232   680.8   FS   Snoqualmie National Forest / Gifford Pinchot National Forest     Collegiate Peaks Wilderness   Colorado   167,414   677.5   FS   San Isabel National Forest / Gunnison National Forest / White River National Forest     Old Woman Mountains Wilderness   California   162,985   659.6   BLM       Carson - Iceberg Wilderness   California   161,181   652.3   FS   Toiyabe National Forest / Stanislaus National Forest     Mount Zirkel Wilderness   Colorado   159,935   647.2   FS   Routt National Forest     Superstition Wilderness   Arizona   159,757   646.5   FS   Tonto National Forest     South San Juan Wilderness   Colorado   158,790   642.6   FS   Rio Grande National Forest / San Juan National Forest     Anaconda - Pintler Wilderness   Montana   158,615   641.9   FS   Beaverhead National Forest / Deerlodge National Forest / Bitterroot National Forest     Mormon Mountains Wilderness   Nevada   157,938   639.2   BLM       Lake Chelan - Sawtooth Wilderness   Washington   151,435   612.8   FS   Okanogan National Forest / Wenatchee National Forest     Kelso Dunes Wilderness   California   144,262   583.8   BLM       Eagles Nest Wilderness   Colorado   133,471   540.1   FS   White River National Forest     Isle Royale Wilderness   Michigan   132,018   534.3   NPS   Isle Royale National Park     Hawaii Volcanoes Wilderness   Hawaii   130,790   529.3   NPS   Hawaii Volcanoes National Park     Domeland Wilderness   California   130,081   526.4   FS / BLM   Sequoia National Forest     Arrastra Mountain Wilderness   Arizona   129,800   525.3   BLM       La Garita Wilderness   Colorado   129,626   524.6   FS   Gunnison National Forest / Rio Grande National Forest     Hoover Wilderness   California   128,421   519.7   FS   Toiyabe National Forest / Inyo National Forest     Zion Wilderness   Utah   124,406   503.5   NPS   Zion National Park     Meadow Valley Range Wilderness   Nevada   123,488   499.7   BLM       Jedediah Smith Wilderness   Wyoming   123,451   499.6   FS   Targhee National Forest     Holy Cross Wilderness   Colorado   122,884   497.3   FS   White River National Forest / San Isabel National Forest     High Schells Wilderness   Nevada   121,497   491.7   FS   Humboldt National Forest     North Fork John Day Wilderness   Oregon   121,352   491.1   FS   Umatilla National Forest / Whitman National Forest     Lost Creek Wilderness   Colorado   119,790   484.8   FS   Pike National Forest     Mount Baker Wilderness   Washington   117,528   475.6   FS   Mount Baker National Forest     Jim McClure -- Jerry Peak Wilderness   Idaho   116,898   473.1   FS / BLM   Salmon - Challis National Forest     Sky Lakes Wilderness   Oregon   116,300   470.6   FS   Rogue River National Forest / Winema National Forest     Arc Dome Wilderness   Nevada   115,000   465.4   FS   Toiyabe National Forest     Warm Springs Wilderness   Arizona   112,400   454.9   BLM       Emigrant Wilderness   California   112,277   454.4   FS   Stanislaus National Forest     Delamar Mountains Wilderness   Nevada   111,328   450.5   BLM       Jarbidge Wilderness   Nevada   111,087   449.6   FS   Humboldt National Forest     Paria Canyon - Vermilion Cliffs Wilderness   Arizona / Utah   109,400   442.7   BLM   Vermilion Cliffs National Monument / Grand Staircase - Escalante National Monument     Goat Rocks Wilderness   Washington   107,018   433.1   FS   Gifford Pinchot National Forest / Snoqualmie National Forest     Mount Jefferson Wilderness   Oregon   107,008   433.0   FS   Willamette National Forest / Deschutes National Forest / Mount Hood National Forest     Wild Sky Wilderness   Washington   106,577   431.3   FS   Snoqualmie National Forest     Nopah Range Wilderness   California   106,571   431.3   BLM       Uncompahgre Wilderness   Colorado   102,721   415.7   FS / BLM   Uncompahgre National Forest     Popo Agie Wilderness   Wyoming   101,870   412.3   FS   Shoshone National Forest     Henry M. Jackson Wilderness   Washington   100,356   406.1   FS   Snoqualmie National Forest / Mount Baker National Forest / Wenatchee National Forest     Cedar Mountain Wilderness   Utah   100,000   404.7   BLM       Mokelumne Wilderness   California   99,161   401.3   FS   Eldorado National Forest / Stanislaus National Forest / Toiyabe National Forest     Endicott River Wilderness   Alaska   98,729   399.5   FS   Tongass National Forest     Eagletail Mountains Wilderness   Arizona   97,880   396.1   BLM       Chuckwalla Mountains Wilderness   California   97,429   394.3   BLM       San Gorgonio Wilderness   California   94,664   383.1   FS / BLM   San Bernardino National Forest     Cabinet Mountains Wilderness   Montana   94,272   381.5   FS   Kootenai National Forest / Kaniksu National Forest     Ruby Mountains Wilderness   Nevada   93,090   376.7   FS   Humboldt National Forest     Table Mountain Wilderness   Nevada   92,600   374.7   FS   Toiyabe National Forest     South Prince of Wales Wilderness   Alaska   90,968   368.1   FS   Tongass National Forest     Cecil D. Andrus -- White Clouds Wilderness   Idaho   90,769   367.3   FS / BLM   Sawtooth National Forest     Bruneau - Jarbidge Rivers Wilderness   Idaho   89,996   364.2   BLM       Mt . Moriah Wilderness   Nevada   89,790   363.4   FS / BLM   Humboldt National Forest     Paiute Wilderness   Arizona   87,900   355.7   BLM   Grand Canyon - Parashant National Monument     Chiricahua Wilderness   Arizona   87,700   354.9   FS   Coronado National Forest     Chemehuevi Mountains Wilderness   California   85,810   347.3   BLM       Clover Mountains Wilderness   Nevada   85,748   347.0   BLM       Stepladder Mountains Wilderness   California   83,536   338.1   BLM       South Etolin Wilderness   Alaska   82,619   334.3   FS   Tongass National Forest     Hunter - Fryingpan Wilderness   Colorado   82,026   331.9   FS   White River National Forest     Bering Sea Wilderness   Alaska   81,340   329.2   FWS   Alaska Maritime National Wildlife Refuge     Kiavah Wilderness   California   81,247   328.8   BLM / FS   Sequoia National Forest     Shenandoah Wilderness   Virginia   79,579   322.0   NPS   Shenandoah National Park     Lassen Volcanic Wilderness   California   78,982   319.6   NPS   Lassen Volcanic National Park     Mount Grafton Wilderness   Nevada   78,754   318.7   BLM       Indian Peaks Wilderness   Colorado   77,711   314.5   FS / NPS   Arapaho National Forest / Roosevelt National Forest / Rocky Mountain National Park     Galiuro Wilderness   Arizona   76,317   308.8   FS   Coronado National Forest     Resting Spring Range Wilderness   California   76,280   308.7   BLM       Whipple Mountains Wilderness   California   76,032   307.7   BLM       Black Ridge Canyons Wilderness   Colorado / Utah   75,439   305.3   BLM   McInnis Canyons National Conservation Area     Argus Range Wilderness   California   74,890   303.1   BLM       Mount Evans Wilderness   Colorado   74,401   301.1   FS   Arapaho National Forest / Pike National Forest     Chuck River Wilderness   Alaska   74,298   300.7   FS   Tongass National Forest     Owens Peak Wilderness   California   74,060   299.7   BLM       Mission Mountains Wilderness   Montana   73,877   299.0   FS   Flathead National Forest     Rawah Wilderness   Colorado   73,068   295.7   FS   Roosevelt National Forest / Routt National Forest     Piper Mountain Wilderness   California   72,575   293.7   BLM       Pahrump Valley Wilderness   California   72,528   293.5   BLM       Santa Rosa Wilderness   California   72,259   292.4   BLM / FS   San Bernardino National Forest     Saguaro Wilderness   Arizona   70,905   286.9   NPS   Saguaro National Park     South Warner Wilderness   California   70,614   285.8   FS   Modoc National Forest     Kanab Creek Wilderness   Arizona   70,460   285.1   FS / BLM   Kaibab National Forest     Bristol Mountains Wilderness   California   70,028   283.4   BLM       Strawberry Mountain Wilderness   Oregon   69,350   280.6   FS   Malheur National Forest     Highland Ridge Wilderness   Nevada   68,627   277.7   BLM       Hemingway -- Boulders Wilderness   Idaho   67,998   275.2   FS   Sawtooth National Forest     Dick Smith Wilderness   California   67,800   274.4   FS   Los Padres National Forest     Mount Hood Wilderness   Oregon   67,320   272.4   FS   Mt . Hood National Forest     South Egan Range Wilderness   Nevada   67,214   272.0   BLM       Tebenkof Bay Wilderness   Alaska   66,812   270.4   FS   Tongass National Forest     Comanche Peak Wilderness   Colorado   66,791   270.3   FS   Roosevelt National Forest     Dominguez Canyon Wilderness   Colorado   66,280   268.2   BLM   Dominguez - Escalante National Conservation Area     Raggeds Wilderness   Colorado   65,393   264.6   FS   Gunnison National Forest / White River National Forest     Calico Mountains Wilderness   Nevada   64,984   263.0   BLM   Black Rock Desert -- High Rock Canyon Emigrant Trails National Conservation Area     Mark O. Hatfield Wilderness   Oregon   64,960   262.9   FS   Mt . Hood National Forest     Badlands Wilderness   South Dakota   64,144   259.6   NPS   Badlands National Park     Woolsey Peak Wilderness   Arizona   64,000   259.0   BLM       Desolation Wilderness   California   63,475   256.9   FS   Eldorado National Forest     North Maricopa Mountains Wilderness   Arizona   63,200   255.8   BLM   Sonoran Desert National Monument     Powderhorn Wilderness   Colorado   62,050   251.1   BLM / FS   Gunnison National Forest     Cebolla Wilderness   New Mexico   61,500   248.9   BLM       Salmon - Huckleberry Wilderness   Oregon   61,340   248.2   FS   Mt . Hood National Forest     Four Peaks Wilderness   Arizona   61,074   247.2   FS   Tonto National Forest     Kuiu Wilderness   Alaska   60,581   245.2   FS   Tongass National Forest     South Maricopa Mountains Wilderness   Arizona   60,100   243.2   BLM   Sonoran Desert National Monument     South Sierra Wilderness   California   60,084   243.2   FS   Inyo National Forest / Sequoia National Forest     Snow Mountain Wilderness   California   60,076   243.1   FS   Mendocino National Forest     High Rock Lake Wilderness   Nevada   59,094   239.1   BLM   Black Rock Desert -- High Rock Canyon Emigrant Trails National Conservation Area     Mount Charleston Wilderness   Nevada   57,442   232.5   FS / BLM   Spring Mountains National Recreation Area ( Toiyabe National Forest )     Pusch Ridge Wilderness   Arizona   56,933   230.4   FS   Coronado National Forest     Pahute Peak Wilderness   Nevada   56,890   230.2   BLM   Black Rock Desert -- High Rock Canyon Emigrant Trails National Conservation Area     Sycamore Canyon Wilderness   Arizona   55,937   226.4   FS   Prescott National Forest / Coconino National Forest / Kaibab National Forest     South Jackson Mountains Wilderness   Nevada   54,535   220.7   BLM   Black Rock Desert -- High Rock Canyon Emigrant Trails National Conservation Area     Mount Thielsen Wilderness   Oregon   54,267   219.6   FS   Winema National Forest / Umpqua National Forest / Deschutes National Forest     Diamond Peak Wilderness   Oregon   54,185   219.3   FS   Deschutes National Forest / Willamette National Forest     Yuki Wilderness   California   53,887   218.1   FS / BLM   Mendocino National Forest     Big Jacks Creek Wilderness   Idaho   52,826   213.8   BLM       Mount Washington Wilderness   Oregon   52,738   213.4   FS   Willamette National Forest / Deschutes National Forest     East Fork High Rock Canyon Wilderness   Nevada   52,617   212.9   BLM   Black Rock Desert -- High Rock Canyon Emigrant Trails National Conservation Area     Grant Range Wilderness   Nevada   52,600   212.9   FS   Humboldt National Forest     Norse Peak Wilderness   Washington   52,180   211.2   FS   Snoqualmie National Forest     Sacatar Trail Wilderness   California   51,900   210.0   BLM       Weepah Spring Wilderness   Nevada   51,480   208.3   BLM       Little Jacks Creek Wilderness   Idaho   50,929   206.1   BLM       Orocopia Mountains Wilderness   California   50,562   204.6   BLM       Coso Range Wilderness   California   50,520   204.4   BLM       Chama River Canyon Wilderness   New Mexico   50,300   203.6   FS   Santa Fe National Forest / Carson National Forest     Petrified Forest National Wilderness Area   Arizona   50,260   203.4   NPS   Petrified Forest National Park     Pine Valley Mountain Wilderness   Utah   50,232   203.3   FS   Dixie National Forest     See also ( edit )    List of U.S. Wilderness Areas   List of U.S. National Forests   List of largest National Wildlife Refuges    References ( edit )    Jump up ^ Wilderness.net search page     National Wilderness Areas by State U.S. Forest Service report of 14 November 2008   Retrieved from `` https://en.wikipedia.org/w/index.php?title=List_of_largest_wilderness_areas_in_the_United_States&amp;oldid=852705184 '' Categories :   Wilderness Areas of the United States   Lists of protected areas of the United States   United States - related lists of superlatives   IUCN Category Ib           Talk                                                             About Wikipedia                                           Add links   This page was last edited on 30 July 2018 , at 20 : 27 ( UTC ) .         About Wikipedia                    </t>
  </si>
  <si>
    <t xml:space="preserve">largest wilderness area east of the mississippi river</t>
  </si>
  <si>
    <t xml:space="preserve">   Name of wilderness   State ( s )   Acreage   Area : km2   Agency / agencies   Located entirely or partly in     Wrangell - Saint Elias Wilderness   Alaska   9,078,675   36,740.1   NPS   Wrangell - St. Elias National Park     Mollie Beattie Wilderness   Alaska   8,000,000   32,374.9   FWS   Arctic National Wildlife Refuge     Gates of the Arctic Wilderness   Alaska   7,167,192   29,004.6   NPS   Gates of the Arctic National Park     Noatak Wilderness   Alaska   5,765,427   23,331.9   NPS   Noatak National Preserve     Katmai Wilderness   Alaska   3,384,358   13,696.0   NPS   Katmai National Park     Death Valley Wilderness   California / Nevada   3,099,770   12,544.3   NPS   Death Valley National Park     Glacier Bay Wilderness   Alaska   2,664,876   10,784.4   NPS   Glacier Bay National Park     Lake Clark Wilderness   Alaska   2,619,550   10,600.9   NPS   Lake Clark National Park     Frank Church - River of No Return Wilderness   Idaho   2,366,757   9,577.9   FS / BLM   Payette National Forest / Challis National Forest / Salmon National Forest / Boise National Forest / Bitterroot National Forest / Nez Perce National Forest     Togiak Wilderness   Alaska   2,274,066   9,202.8   FWS   Togiak National Wildlife Refuge     Misty Fjords National Monument Wilderness   Alaska   2,142,442   8,670.2   FS   Misty Fjords National Monument ( Tongass National Forest )     Denali Wilderness   Alaska   2,124,783   8,598.7   NPS   Denali National Park     Kenai Wilderness   Alaska   1,354,247   5,480.4   FWS   Kenai National Wildlife Refuge     Selway - Bitterroot Wilderness   Idaho / Montana   1,340,502   5,424.8   FS   Nez Perce National Forest / Bitterroot National Forest / Clearwater National Forest / Lolo National Forest     Aleutian Islands Wilderness   Alaska   1,300,000   5,260.9   FWS   Aleutian Islands National Wildlife Refuge     Andreafsky Wilderness   Alaska   1,300,000   5,260.9   FWS   Yukon Delta National Wildlife Refuge     Marjory Stoneman Douglas Wilderness   Florida   1,296,500   5,246.7   NPS   Everglades National Park     Innoko Wilderness   Alaska   1,240,000   5,018.1   FWS   Innoko National Wildlife Refuge     Bob Marshall Wilderness   Montana   1,009,356   4,084.7   FS   Flathead National Forest / Lewis and Clark National Forest     Kootznoowoo Wilderness   Alaska   956,255   3,869.8   FS   Admiralty Island National Monument ( Tongass National Forest )     Absaroka - Beartooth Wilderness   Montana / Wyoming   943,626   3,818.7   FS   Gallatin National Forest / Custer National Forest / Shoshone National Forest     Unimak Wilderness   Alaska   910,000   3,682.6   FWS   Alaska Maritime National Wildlife Refuge     Olympic Wilderness   Washington   876,669   3,547.8   NPS   Olympic National Park     Boundary Waters Canoe Area Wilderness   Minnesota   1,090,000   4,411.1   FS   Superior National Forest     Cabeza Prieta Wilderness   Arizona   803,418   3,251.3   FWS   Cabeza Prieta National Wildlife Refuge     Sequoia - Kings Canyon Wilderness   California   768,222   3,108.9   NPS   Kings Canyon National Park / Sequoia National Park     Yosemite Wilderness   California   704,624   2,851.5   NPS   Yosemite National Park     Washakie Wilderness   Wyoming   704,274   2,850.1   FS   Shoshone National Forest     Mojave Wilderness   California   695,200   2,813.4   NPS   Mojave National Preserve     Tracy Arm - Fords Terror Wilderness   Alaska   653,179   2,643.3   FS   Tongass National Forest     John Muir Wilderness   California   650,734   2,633.4   FS   Sierra National Forest / Inyo National Forest     Stephen Mather Wilderness   Washington   634,614   2,568.2   NPS   North Cascades National Park / Ross Lake National Recreation Area / Lake Chelan National Recreation Area     Nunivak Wilderness   Alaska   600,000   2,428.1   FWS   Yukon Delta National Wildlife Refuge     Joshua Tree Wilderness   California   594,502   2,405.9   NPS   Joshua Tree National Park     Teton Wilderness   Wyoming   585,238   2,368.4   FS   Teton National Forest     Glacier Peak Wilderness   Washington   570,573   2,309.0   FS   Wenatchee National Forest / Mount Baker National Forest     Gila Wilderness   New Mexico   558,014   2,258.2   FS   Gila National Forest     Pasayten Wilderness   Washington   529,477   2,142.7   FS   Okanogan National Forest / Mount Baker National Forest     Trinity Alps Wilderness   California   525,627   2,127.1   FS / BLM   Trinity National Forest / Shasta National Forest / Klamath National Forest / Six Rivers National Forest     Kofa Wilderness   Arizona   516,200   2,089.0   FWS   Kofa National Wildlife Refuge     Weminuche Wilderness   Colorado   488,210   1,975.7   FS   San Juan National Forest / Rio Grande National Forest     High Uintas Wilderness   Utah   456,705   1,848.2   FS   Ashley National Forest / Wasatch National Forest     Stikine - LeConte Wilderness   Alaska   448,926   1,816.7   FS   Tongass National Forest     Bridger Wilderness   Wyoming   428,087   1,732.4   FS   Bridger National Forest     Becharof Wilderness   Alaska   400,000   1,618.7   FWS   Becharof National Wildlife Refuge     Koyukuk Wilderness   Alaska   400,000   1,618.7   FWS   Koyukuk National Wildlife Refuge     Alpine Lakes Wilderness   Washington   362,789   1,468.2   FS   Wenatchee National Forest / Snoqualmie National Forest     Okefenokee Wilderness   Georgia   353,981   1,432.5   FWS   Okefenokee National Wildlife Refuge     North Absaroka Wilderness   Wyoming   350,488   1,418.4   FS   Shoshone National Forest     Eagle Cap Wilderness   Oregon   350,461   1,418.3   FS   Wallowa National Forest / Whitman National Forest     Russell Fjord Wilderness   Alaska   348,701   1,411.1   FS   Tongass National Forest     South Baranof Wilderness   Alaska   319,568   1,293.2   FS   Tongass National Forest     Gros Ventre Wilderness   Wyoming   317,874   1,286.4   FS   Teton National Forest     Black Rock Desert Wilderness   Nevada   314,829   1,274.1   BLM   Black Rock Desert -- High Rock Canyon Emigrant Trails National Conservation Area     Organ Pipe Cactus Wilderness   Arizona   312,600   1,265.0   NPS   Organ Pipe Cactus National Monument     Izembek Wilderness   Alaska   307,982   1,246.4   FWS   Izembek National Wildlife Refuge     Golden Trout Wilderness   California   303,511   1,228.3   FS   Inyo National Forest / Sequoia National Forest     Three Sisters Wilderness   Oregon   286,708   1,160.3   FS   Willamette National Forest / Deschutes National Forest     Great Bear Wilderness   Montana   286,700   1,160.2   FS   Flathead National Forest     Owyhee River Wilderness   Idaho   267,328   1,081.8   BLM       West Chichagof - Yakobi Wilderness   Alaska   265,286   1,073.6   FS   Tongass National Forest     Lee Metcalf Wilderness   Montana   254,288   1,029.1   FS / BLM   Gallatin National Forest / Beaverhead National Forest     White Mountains Wilderness   California   252,597   1,022.2   FS / BLM   Inyo National Forest     Mazatzal Wilderness   Arizona   252,390   1,021.4   FS   Tonto National Forest / Coconino National Forest     Semidi Wilderness   Alaska   250,000   1,011.7   FWS   Alaska Maritime National Wildlife Refuge     Rocky Mountain National Park Wilderness   Colorado   249,339   1,009.0   NPS   Rocky Mountain National Park     Inyo Mountains Wilderness   California   245,320   992.8   BLM / FS   Inyo National Forest     Marble Mountain Wilderness   California   241,744   978.3   FS   Klamath National Forest     Ventana Wilderness   California   240,024   971.3   FS / BLM   Los Padres National Forest     Selawik Wilderness   Alaska   240,000   971.2   FWS   Selawik National Wildlife Refuge     Scapegoat Wilderness   Montana   239,936   971.0   FS   Lewis and Clark National Forest / Helena National Forest / Lolo National Forest     Palen / McCoy Wilderness   California   235,627   953.5   BLM       Flat Tops Wilderness   Colorado   235,214   951.9   FS   White River National Forest / Routt National Forest     Ansel Adams Wilderness   California   231,533   937.0   FS / NPS   Sierra National Forest / Inyo National Forest / Devils Postpile National Monument     Mount Rainier Wilderness   Washington   228,480   924.6   NPS   Mount Rainier National Park     Sangre de Cristo Wilderness   Colorado   228,044   922.9   FS / NPS   San Isabel National Forest / Rio Grande National Forest / Great Sand Dunes National Park     Pecos Wilderness   New Mexico   223,333   903.8   FS   Santa Fe National Forest / Carson National Forest     Sespe Wilderness   California   219,700   889.1   FS   Los Padres National Forest     Sawtooth Wilderness   Idaho   217,088   878.5   FS   Sawtooth National Recreation Area ( Boise National Forest / Sawtooth National Forest / Challis National Forest )     Hells Canyon Wilderness   Oregon / Idaho   214,944   869.8   FS / BLM   Hells Canyon National Recreation Area ( Wallowa National Forest / Nez Perce National Forest / Payette National Forest / Whitman National Forest )     Gospel Hump Wilderness   Idaho   205,796   832.8   FS   Nez Perce National Forest     Aldo Leopold Wilderness   New Mexico   202,016   817.5   FS   Gila National Forest     Kingston Range Wilderness   California   199,444   807.1   BLM       Fitzpatrick Wilderness   Wyoming   198,525   803.4   FS   Shoshone National Forest     San Rafael Wilderness   California   197,380   798.8   FS   Los Padres National Forest     High Peaks Wilderness   New York   192,685   779.8   NYS DEC   Adirondack Park     Cloud Peak Wilderness   Wyoming   189,039   765.0   FS   Bighorn National Forest     Sheephole Valley Wilderness   California   186,673   755.4   BLM       Siskiyou Wilderness   California   182,802   739.8   FS   Six Rivers National Forest / Klamath National Forest / Siskiyou National Forest     Maroon Bells - Snowmass Wilderness   Colorado   181,512   734.6   FS   White River National Forest / Gunnison National Forest     Yolla Bolly - Middle Eel Wilderness   California   180,877   732.0   FS / BLM   Mendocino National Forest / Trinity National Forest / Six Rivers National Forest     Kalmiopsis Wilderness   Oregon   179,755   727.4   FS   Siskiyou National Forest     Wenaha - Tucannon Wilderness   Washington / Oregon   177,423   718.0   FS   Umatilla National Forest     Turtle Mountains Wilderness   California   177,136   716.8   BLM       West Elk Wilderness   Colorado   176,412   713.9   FS   Gunnison National Forest     Kobuk Valley Wilderness   Alaska   174,545   706.4   NPS   Kobuk Valley National Park     Steens Mountain Wilderness   Oregon   170,025   688.1   BLM       William O. Douglas Wilderness   Washington   168,232   680.8   FS   Snoqualmie National Forest / Gifford Pinchot National Forest     Collegiate Peaks Wilderness   Colorado   167,414   677.5   FS   San Isabel National Forest / Gunnison National Forest / White River National Forest     Old Woman Mountains Wilderness   California   162,985   659.6   BLM       Carson - Iceberg Wilderness   California   161,181   652.3   FS   Toiyabe National Forest / Stanislaus National Forest     Mount Zirkel Wilderness   Colorado   159,935   647.2   FS   Routt National Forest     Superstition Wilderness   Arizona   159,757   646.5   FS   Tonto National Forest     South San Juan Wilderness   Colorado   158,790   642.6   FS   Rio Grande National Forest / San Juan National Forest     Anaconda - Pintler Wilderness   Montana   158,615   641.9   FS   Beaverhead National Forest / Deerlodge National Forest / Bitterroot National Forest     Mormon Mountains Wilderness   Nevada   157,938   639.2   BLM       Lake Chelan - Sawtooth Wilderness   Washington   151,435   612.8   FS   Okanogan National Forest / Wenatchee National Forest     Kelso Dunes Wilderness   California   144,262   583.8   BLM       Eagles Nest Wilderness   Colorado   133,471   540.1   FS   White River National Forest     Isle Royale Wilderness   Michigan   132,018   534.3   NPS   Isle Royale National Park     Hawaii Volcanoes Wilderness   Hawaii   130,790   529.3   NPS   Hawaii Volcanoes National Park     Domeland Wilderness   California   130,081   526.4   FS / BLM   Sequoia National Forest     Arrastra Mountain Wilderness   Arizona   129,800   525.3   BLM       La Garita Wilderness   Colorado   129,626   524.6   FS   Gunnison National Forest / Rio Grande National Forest     Hoover Wilderness   California   128,421   519.7   FS   Toiyabe National Forest / Inyo National Forest     Zion Wilderness   Utah   124,406   503.5   NPS   Zion National Park     Meadow Valley Range Wilderness   Nevada   123,488   499.7   BLM       Jedediah Smith Wilderness   Wyoming   123,451   499.6   FS   Targhee National Forest     Holy Cross Wilderness   Colorado   122,884   497.3   FS   White River National Forest / San Isabel National Forest     High Schells Wilderness   Nevada   121,497   491.7   FS   Humboldt National Forest     North Fork John Day Wilderness   Oregon   121,352   491.1   FS   Umatilla National Forest / Whitman National Forest     Lost Creek Wilderness   Colorado   119,790   484.8   FS   Pike National Forest     Mount Baker Wilderness   Washington   117,528   475.6   FS   Mount Baker National Forest     Jim McClure -- Jerry Peak Wilderness   Idaho   116,898   473.1   FS / BLM   Salmon - Challis National Forest     Sky Lakes Wilderness   Oregon   116,300   470.6   FS   Rogue River National Forest / Winema National Forest     Arc Dome Wilderness   Nevada   115,000   465.4   FS   Toiyabe National Forest     Warm Springs Wilderness   Arizona   112,400   454.9   BLM       Emigrant Wilderness   California   112,277   454.4   FS   Stanislaus National Forest     Delamar Mountains Wilderness   Nevada   111,328   450.5   BLM       Jarbidge Wilderness   Nevada   111,087   449.6   FS   Humboldt National Forest     Paria Canyon - Vermilion Cliffs Wilderness   Arizona / Utah   109,400   442.7   BLM   Vermilion Cliffs National Monument / Grand Staircase - Escalante National Monument     Goat Rocks Wilderness   Washington   107,018   433.1   FS   Gifford Pinchot National Forest / Snoqualmie National Forest     Mount Jefferson Wilderness   Oregon   107,008   433.0   FS   Willamette National Forest / Deschutes National Forest / Mount Hood National Forest     Wild Sky Wilderness   Washington   106,577   431.3   FS   Snoqualmie National Forest     Nopah Range Wilderness   California   106,571   431.3   BLM       Uncompahgre Wilderness   Colorado   102,721   415.7   FS / BLM   Uncompahgre National Forest     Popo Agie Wilderness   Wyoming   101,870   412.3   FS   Shoshone National Forest     Henry M. Jackson Wilderness   Washington   100,356   406.1   FS   Snoqualmie National Forest / Mount Baker National Forest / Wenatchee National Forest     Cedar Mountain Wilderness   Utah   100,000   404.7   BLM       Mokelumne Wilderness   California   99,161   401.3   FS   Eldorado National Forest / Stanislaus National Forest / Toiyabe National Forest     Endicott River Wilderness   Alaska   98,729   399.5   FS   Tongass National Forest     Eagletail Mountains Wilderness   Arizona   97,880   396.1   BLM       Chuckwalla Mountains Wilderness   California   97,429   394.3   BLM       San Gorgonio Wilderness   California   94,664   383.1   FS / BLM   San Bernardino National Forest     Cabinet Mountains Wilderness   Montana   94,272   381.5   FS   Kootenai National Forest / Kaniksu National Forest     Ruby Mountains Wilderness   Nevada   93,090   376.7   FS   Humboldt National Forest     Table Mountain Wilderness   Nevada   92,600   374.7   FS   Toiyabe National Forest     South Prince of Wales Wilderness   Alaska   90,968   368.1   FS   Tongass National Forest     Cecil D. Andrus -- White Clouds Wilderness   Idaho   90,769   367.3   FS / BLM   Sawtooth National Forest     Bruneau - Jarbidge Rivers Wilderness   Idaho   89,996   364.2   BLM       Mt . Moriah Wilderness   Nevada   89,790   363.4   FS / BLM   Humboldt National Forest     Paiute Wilderness   Arizona   87,900   355.7   BLM   Grand Canyon - Parashant National Monument     Chiricahua Wilderness   Arizona   87,700   354.9   FS   Coronado National Forest     Chemehuevi Mountains Wilderness   California   85,810   347.3   BLM       Clover Mountains Wilderness   Nevada   85,748   347.0   BLM       Stepladder Mountains Wilderness   California   83,536   338.1   BLM       South Etolin Wilderness   Alaska   82,619   334.3   FS   Tongass National Forest     Hunter - Fryingpan Wilderness   Colorado   82,026   331.9   FS   White River National Forest     Bering Sea Wilderness   Alaska   81,340   329.2   FWS   Alaska Maritime National Wildlife Refuge     Kiavah Wilderness   California   81,247   328.8   BLM / FS   Sequoia National Forest     Shenandoah Wilderness   Virginia   79,579   322.0   NPS   Shenandoah National Park     Lassen Volcanic Wilderness   California   78,982   319.6   NPS   Lassen Volcanic National Park     Mount Grafton Wilderness   Nevada   78,754   318.7   BLM       Indian Peaks Wilderness   Colorado   77,711   314.5   FS / NPS   Arapaho National Forest / Roosevelt National Forest / Rocky Mountain National Park     Galiuro Wilderness   Arizona   76,317   308.8   FS   Coronado National Forest     Resting Spring Range Wilderness   California   76,280   308.7   BLM       Whipple Mountains Wilderness   California   76,032   307.7   BLM       Black Ridge Canyons Wilderness   Colorado / Utah   75,439   305.3   BLM   McInnis Canyons National Conservation Area     Argus Range Wilderness   California   74,890   303.1   BLM       Mount Evans Wilderness   Colorado   74,401   301.1   FS   Arapaho National Forest / Pike National Forest     Chuck River Wilderness   Alaska   74,298   300.7   FS   Tongass National Forest     Owens Peak Wilderness   California   74,060   299.7   BLM       Mission Mountains Wilderness   Montana   73,877   299.0   FS   Flathead National Forest     Rawah Wilderness   Colorado   73,068   295.7   FS   Roosevelt National Forest / Routt National Forest     Piper Mountain Wilderness   California   72,575   293.7   BLM       Pahrump Valley Wilderness   California   72,528   293.5   BLM       Santa Rosa Wilderness   California   72,259   292.4   BLM / FS   San Bernardino National Forest     Saguaro Wilderness   Arizona   70,905   286.9   NPS   Saguaro National Park     South Warner Wilderness   California   70,614   285.8   FS   Modoc National Forest     Kanab Creek Wilderness   Arizona   70,460   285.1   FS / BLM   Kaibab National Forest     Bristol Mountains Wilderness   California   70,028   283.4   BLM       Strawberry Mountain Wilderness   Oregon   69,350   280.6   FS   Malheur National Forest     Highland Ridge Wilderness   Nevada   68,627   277.7   BLM       Hemingway -- Boulders Wilderness   Idaho   67,998   275.2   FS   Sawtooth National Forest     Dick Smith Wilderness   California   67,800   274.4   FS   Los Padres National Forest     Mount Hood Wilderness   Oregon   67,320   272.4   FS   Mt . Hood National Forest     South Egan Range Wilderness   Nevada   67,214   272.0   BLM       Tebenkof Bay Wilderness   Alaska   66,812   270.4   FS   Tongass National Forest     Comanche Peak Wilderness   Colorado   66,791   270.3   FS   Roosevelt National Forest     Dominguez Canyon Wilderness   Colorado   66,280   268.2   BLM   Dominguez - Escalante National Conservation Area     Raggeds Wilderness   Colorado   65,393   264.6   FS   Gunnison National Forest / White River National Forest     Calico Mountains Wilderness   Nevada   64,984   263.0   BLM   Black Rock Desert -- High Rock Canyon Emigrant Trails National Conservation Area     Mark O. Hatfield Wilderness   Oregon   64,960   262.9   FS   Mt . Hood National Forest     Badlands Wilderness   South Dakota   64,144   259.6   NPS   Badlands National Park     Woolsey Peak Wilderness   Arizona   64,000   259.0   BLM       Desolation Wilderness   California   63,475   256.9   FS   Eldorado National Forest     North Maricopa Mountains Wilderness   Arizona   63,200   255.8   BLM   Sonoran Desert National Monument     Powderhorn Wilderness   Colorado   62,050   251.1   BLM / FS   Gunnison National Forest     Cebolla Wilderness   New Mexico   61,500   248.9   BLM       Salmon - Huckleberry Wilderness   Oregon   61,340   248.2   FS   Mt . Hood National Forest     Four Peaks Wilderness   Arizona   61,074   247.2   FS   Tonto National Forest     Kuiu Wilderness   Alaska   60,581   245.2   FS   Tongass National Forest     South Maricopa Mountains Wilderness   Arizona   60,100   243.2   BLM   Sonoran Desert National Monument     South Sierra Wilderness   California   60,084   243.2   FS   Inyo National Forest / Sequoia National Forest     Snow Mountain Wilderness   California   60,076   243.1   FS   Mendocino National Forest     High Rock Lake Wilderness   Nevada   59,094   239.1   BLM   Black Rock Desert -- High Rock Canyon Emigrant Trails National Conservation Area     Mount Charleston Wilderness   Nevada   57,442   232.5   FS / BLM   Spring Mountains National Recreation Area ( Toiyabe National Forest )     Pusch Ridge Wilderness   Arizona   56,933   230.4   FS   Coronado National Forest     Pahute Peak Wilderness   Nevada   56,890   230.2   BLM   Black Rock Desert -- High Rock Canyon Emigrant Trails National Conservation Area     Sycamore Canyon Wilderness   Arizona   55,937   226.4   FS   Prescott National Forest / Coconino National Forest / Kaibab National Forest     South Jackson Mountains Wilderness   Nevada   54,535   220.7   BLM   Black Rock Desert -- High Rock Canyon Emigrant Trails National Conservation Area     Mount Thielsen Wilderness   Oregon   54,267   219.6   FS   Winema National Forest / Umpqua National Forest / Deschutes National Forest     Diamond Peak Wilderness   Oregon   54,185   219.3   FS   Deschutes National Forest / Willamette National Forest     Yuki Wilderness   California   53,887   218.1   FS / BLM   Mendocino National Forest     Big Jacks Creek Wilderness   Idaho   52,826   213.8   BLM       Mount Washington Wilderness   Oregon   52,738   213.4   FS   Willamette National Forest / Deschutes National Forest     East Fork High Rock Canyon Wilderness   Nevada   52,617   212.9   BLM   Black Rock Desert -- High Rock Canyon Emigrant Trails National Conservation Area     Grant Range Wilderness   Nevada   52,600   212.9   FS   Humboldt National Forest     Norse Peak Wilderness   Washington   52,180   211.2   FS   Snoqualmie National Forest     Sacatar Trail Wilderness   California   51,900   210.0   BLM       Weepah Spring Wilderness   Nevada   51,480   208.3   BLM       Little Jacks Creek Wilderness   Idaho   50,929   206.1   BLM       Orocopia Mountains Wilderness   California   50,562   204.6   BLM       Coso Range Wilderness   California   50,520   204.4   BLM       Chama River Canyon Wilderness   New Mexico   50,300   203.6   FS   Santa Fe National Forest / Carson National Forest     Petrified Forest National Wilderness Area   Arizona   50,260   203.4   NPS   Petrified Forest National Park     Pine Valley Mountain Wilderness   Utah   50,232   203.3   FS   Dixie National Forest   </t>
  </si>
  <si>
    <r>
      <rPr>
        <sz val="11"/>
        <color rgb="FF000000"/>
        <rFont val="Calibri"/>
        <family val="0"/>
        <charset val="1"/>
      </rPr>
      <t xml:space="preserve">Laureus World Sports Awards - Wikipedia  Laureus World Sports Awards  Jump to : navigation , search    Laureus World Sports Awards     Cartier statuette presented to each winner     Awarded for   men and women from the world of sport along with their achievements from the previous calendar year     Country   Monaco ( 2017 )     Presented by   Laureus Sport for Good Foundation     Hosted by   Hugh Grant ( 2017 )     Most awards   Roger Federer , Usain Bolt , Kelly Slater ( all four )     Website   www.laureus.com     The Laureus World Sports Awards is an annual award ceremony honouring individuals from the world of sports along with sporting achievements throughout the year . It was established in 1999 by Laureus Sport for Good Foundation founding patrons Daimler and Richemont and supported by its global partners Mercedes - Benz and IWC Schaffhausen . The awards support the work of Laureus Sport for Good , which supports over 100 community projects in around 40 countries . These projects aim to use the power of sport to end violence , discrimination and disadvantage , and prove that sport has the power to change the world . The name `` Laureus '' is derived from the Greek word for laurel , considered a traditional symbol of victory in athletics .   The first ceremony was held on 25 May 2000 in Monte Carlo at which Nelson Mandela gave the keynote speech . As of 2017 , awards are made annually in eight categories , with a number of discretionary categories irregularly recognised . The recipient of each award is presented with a Laureus statuette , created by Cartier , at an annual ceremony held in various locations around the world . As of 2017 , the ceremonies have been held in ten cities around the world , and are broadcast in at least 160 countries .   Swiss tennis player Roger Federer , Jamaican sprinter Usain Bolt , and American surfer Kelly Slater jointly hold the record for the most awards with four each . A number of awards have been rescinded , namely those presented to American cyclist Lance Armstrong , American sprinter Marion Jones and Canadian amputee sprinter Earle Connor , all of whom were subsequently found to have doped .   Contents  ( hide )   1 History   2 Categories   3 Ceremony   4 Winners by category   4.1 Regular awards   4.1. 1 Sportsman and Sportswoman of the Year   4.1. 2 Team of the Year   4.1. 3 Breakthrough of the Year   4.1. 4 Comeback of the Year   4.1. 5 Sportsperson with a Disability of the Year   4.1. 6 Action Sportsperson of the Year   4.1. 7 Best Sporting Moment     4.2 Discretionary awards     5 Winners by year   5.1 Regular awards   5.2 Discretionary awards     6 See also   7 References   8 External links    History ( edit )  Sport has the power to change the world . It has the power to inspire . It has the power to unite people in a way that little else does . It speaks to youth in a language they understand . Sport can create hope , where once there was only despair . Nelson Mandela , 2000  South African businessman Johann Rupert , chairman of Richemont , proposd that an organisation be created `` based on the principle that sport can bridge the gaps in society and change the way people look at the world . '' The organisation , established in 1998 by a partnership of Richemont and Daimler became known as `` Laureus '' , name being derived from the Greek word for laurel , considered a traditional symbol of victory in athletics . The first Laureus World Sports Awards ceremony was held two years later , at which the patron , Nelson Mandela , delivered a speech which Edwin Moses has described as `` iconic '' . Awards were made in seven regular categories and two discretionary categories at the inaugural ceremony , hosted by Jeff Bridges and Dylan McDermott . Two of those awards would later be rescinded : both Lance Armstrong and Marion Jones were found to have used performance - enhancing drugs and had their accolades removed . Earle Connor 's Laureus World Sportsperson of the Year with a Disability Award which he won in 2004 was also later rescinded .   The awards are considered highly prestigious and are frequently referred to as the sporting equivalent of an `` Oscar '' . Despite this , the awards have come in for some criticism , particularly in the manner in which athletes are selected for inclusion .   Categories ( edit )   In order to determine the winners of the Awards , the Laureus Nominations Panel , composed of professional sports editors , writers and broadcasters from more than 100 countries , vote to create a shortlist of six nominations in five categories :    Laureus World Sportsman of the Year   Laureus World Sportswoman of the Year   Laureus World Team of the Year   Laureus World Comeback of the Year   Laureus World Breakthrough of the Year    The nominees of two categories are chosen by specialist panels :    Laureus Action Sportsperson of the Year   Laureus World Sportsperson of the Year with a Disability    The Laureus World Sports Academy is an association of 65 retired sportspeople who volunteer their time to support the work of the Laureus Sport for Good Foundation . They also vote each year to decide the winners of the Laureus World Sports Awards . As of 2017 , the chairman of the Academy is New Zealand former rugby player Sean Fitzpatrick . The members of the Academy select the winners by voting in a secret ballot .   One category is voted for by the public :    The Laureus Best Sporting Moment of the Year    The Academy also makes discretionary awards , including :    Lifetime Achievement Award   Sport for Good Award   Spirit of Sport Award   Exceptional Achievement Award   Sporting Inspiration Award    Ceremony ( edit )   The Lareus World Sports Awards ceremony is held annually at various venues in various locations around the world . The inaugural ceremony took place at the Sporting Club in Monaco on 25 May 2000 . As of 2017 , the ceremonies have been held in ten cities around the world , and are broadcast in at least 160 countries . Each Laureus World Sports Award winner receives a gold Cartier Laureus statuette which features a `` representation of the striving human form '' . The award weighs approximately 2.5 kilograms ( 5.5 lb ) ( with 670 grams ( 24 oz ) of solid silver and a 650 - gram ( 23 oz ) gold - finish base ) and is 30 centimetres ( 12 in ) tall .  The ceremony has been held at the Grimaldi Forum in Monaco on three occasions . The 2015 ceremony took place at the Shanghai Grand Theatre , China .  Locations of Laureus World Sports Awards ceremonies   Year   Location   Venue   Notes   Ref ( s )     2000   Monaco   Sporting Club   Patron was Nelson Mandela       2001   Grimaldi Forum   Patron was Prince Albert       2002         2003           Lisbon , Portugal   Cultural Centre of Belém   Patron was José Manuel Barroso       2005   Estoril , Portugal   Casino Estoril         2006   Barcelona , Spain   Parque del Fórum         2007   Palau Sant Jordi   Patron was Juan Carlos I of Spain       2008   Saint Petersburg , Russia   Mariinsky Theatre   Attended by President Vladimir Putin       2009   Ceremony cancelled due to world economic crisis ; awards presented to winners individually at other events from May to June .         Abu Dhabi , United Arab Emirates   Emirates Palace         2011         2012   London , United Kingdom   Central Hall Westminster         2013   Rio de Janeiro , Brazil   Theatro Municipal         2014   Kuala Lumpur , Malaysia   Istana Budaya         2015   Shanghai , China   Shanghai Grand Theatre         2016   Berlin , Germany   Palais am Funkturm         2017   Monaco   Sporting Club         2018         Winners by category ( edit )  Serena Williams ( three ) and Roger Federer ( four ) have the most Sportswoman and Sportsmen of the Year awards . Daniel Dias has won the Sportsperson with a Disability of the Year Award three times .  Regular Awards ( edit )  Sportsman and Sportswoman of the Year ( edit ) Main articles : Laureus World Sports Award for Sportsman of the Year and Laureus World Sports Award for Sportswoman of the Year Team of the Year ( edit ) Main article : Laureus World Sports Award for Team of the Year Breakthrough of the year ( edit ) Main article : Laureus World Sports Award for Breakthrough of the Year  Prior to 2007 , this award was called Newcomer of the Year .  Comeback of the Year ( edit ) Main article : Laureus World Sports Award for Comeback of the Year Sportsperson with a Disability of the Year ( edit ) Main article : Laureus World Sports Award for Sportsperson of the Year with a Disability Action Sportsperson of the year ( edit ) Main article : Laureus World Sports Award for Action Sportsperson of the Year  Prior to 2007 , this award was called Alternative Sportsperson of the Year .  Best Sporting Moment ( edit )  The Best Sporting Moment Award , inaugurated in 2017 , and voted for by the public , was won by the FC Barcelona under - 12 ( Infantil - B ) side for their sportsmanship in consoling a defeated opposition team .   Discretionary Awards ( edit )  Main articles : Laureus Lifetime Achievement Award , Laureus Sport for Good Award , and Laureus Spirit of Sport Award  Since 2000 , the Laureus World Sports Awards have included a number of accolades given by the Academy at their discretion . At the first ceremony in 2000 , Brazilian footballer Pelé became the first recipient of the Lifetime Achievement Award , while American Eunice Kennedy Shriver , founder of the Special Olympics was presented with the inaugural Laureus Sport for Good Award . The first Spirit of Sport award was presented in 2005 to the Boston Red Sox who had won the World Series for the first time in 86 years . In 2013 , American swimmer Michael Phelps became the first recipient of the Exceptional Achievement Award . As of 2017 , Chinese tennis player Li Na ( 2015 ) is the only other person to be honoured with that award . In 2017 , the Refugee Olympic Team , comprising ten athletes from Syria , Congo , Ethiopia and South Sudan , awarded the first and only Sporting Inspiration Award .   Winners by year ( edit )   Regular awards ( edit )   Key   *   Indicates individual whose award or nomination was later rescinded     N / A   Not awarded       Year   Sportsman   Sportswoman   Team   Breakthrough   Comeback   Disability   Action   Moment   Ref     2000   Woods , Tiger Tiger Woods   Jones , Marion Marion Jones *   Manchester United F.C.   García , Sergio Sergio García   Armstrong , Lance Lance Armstrong *   Sauvage , Louise Louise Sauvage   Palmer , Shaun Shaun Palmer   N / A       2001   Woods , Tiger Tiger Woods   Freeman , Cathy Cathy Freeman   France national football team   Safin , Marat Marat Safin   Capriati , Jennifer Jennifer Capriati   Lauwers , Vinny Vinny Lauwers   Horn , Mike Mike Horn   N / A       2002   Schumacher , Michael Michael Schumacher   Capriati , Jennifer Jennifer Capriati   Australia national cricket team   Montoya , Juan Pablo Juan Pablo Montoya   Ivanišević , Goran Goran Ivanišević   Vergeer , Esther Esther Vergeer   Burnquist , Bob Bob Burnquist   N / A       2003   Armstrong , Lance Lance Armstrong *   Williams , Serena Serena Williams   Brazil national football team   Ming , Yao Yao Ming   Ronaldo   Milton , Michael Michael Milton   Potter , Dean Dean Potter   N / A         Schumacher , Michael Michael Schumacher   Sörenstam , Annika Annika Sörenstam   England national rugby union team   Wie , Michelle Michelle Wie   Maier , Hermann Hermann Maier   Connor , Earle Earle Connor *   Beachley , Layne Layne Beachley   N / A       2005   Federer , Roger Roger Federer   Holmes , Kelly Kelly Holmes   Greece national football team   Xiang , Liu Liu Xiang   Zanardi , Alex Alex Zanardi   Petitclerc , Chantal Chantal Petitclerc   McArthur , Ellen Ellen McArthur   N / A       2006   Federer , Roger Roger Federer   Kostelić , Janica Janica Kostelić   Renault F1 team   Nadal , Rafael Rafael Nadal   Hingis , Martina Martina Hingis   van Dyk , Ernst Ernst van Dyk   d'Arrigo , Angelo Angelo d'Arrigo   N / A       2007   Federer , Roger Roger Federer   Isinbayeva , Yelena Yelena Isinbayeva   Italy national football team   Williams , Serena Serena Williams   Braxenthaler , Martin Martin Braxenthaler   Mauresmo , Amélie Amélie Mauresmo   Slater , Kelly Kelly Slater   N / A       2008   Federer , Roger Roger Federer   Henin , Justine Justine Henin   South Africa national rugby union team   Radcliffe , Paula Paula Radcliffe   Vergeer , Esther Esther Vergeer   Hamilton , Lewis Lewis Hamilton   White , Shaun Shaun White   N / A       2009   Bolt , Usain Usain Bolt   Isinbayeva , Yelena Yelena Isinbayeva   China Olympic team   Klitschko , Vitali Vitali Klitschko   Dias , Daniel Daniel Dias   Adlington , Rebecca Rebecca Adlington   Slater , Kelly Kelly Slater   N / A         Bolt , Usain Usain Bolt   Williams , Serena Serena Williams   Brawn F1 team   Clijsters , Kim Kim Clijsters   du Toit , Natalie Natalie du Toit   Button , Jenson Jenson Button   Gilmore , Stephanie Stephanie Gilmore   N / A       2011   Nadal , Rafael Rafael Nadal   Vonn , Lindsey Lindsey Vonn   Spain national football team   Rossi , Valentino Valentino Rossi   Bentele , Verena Verena Bentele   Kaymer , Martin Martin Kaymer   Slater , Kelly Kelly Slater   N / A       2012   Djokovic , Novak Novak Djokovic   Cheruiyot , Vivian Vivian Cheruiyot   Barcelona FC Barcelona   Clarke , Darren Darren Clarke   Pistorius , Oscar Oscar Pistorius   McIlroy , Rory Rory McIlroy   Slater , Kelly Kelly Slater   N / A       2013   Bolt , Usain Usain Bolt   Ennis , Jessica Jessica Ennis   Ryder European Ryder Cup team   Sánchez , Félix Félix Sánchez   Dias , Daniel Daniel Dias   Murray , Andy Andy Murray   Baumgartner , Felix Felix Baumgartner   N / A       2014   Vettel , Sebastian Sebastian Vettel   Franklin , Missy Missy Franklin   Bayern FC Bayern Munich   Nadal , Rafael Rafael Nadal   Bochet , Marie Marie Bochet   Márquez , Marc Marc Márquez   Bestwick , Jamie Jamie Bestwick   N / A       2015   Djokovic , Novak Novak Djokovic   Dibaba , Genzebe Genzebe Dibaba   Germany national football team   Burger , Schalk Schalk Burger   McFadden , Tatyana Tatyana McFadden   Ricciardo , Daniel Daniel Ricciardo   Eustace , Alan Alan Eustace   N / A       2016   Djokovic , Novak Novak Djokovic   Williams , Serena Serena Williams   New Zealand national rugby union team   Carter , Dan Dan Carter   Dias , Daniel Daniel Dias   Spieth , Jordan Jordan Spieth   Frodeno , Jan Jan Frodeno   N / A       2017   Bolt , Usain Usain Bolt   Biles , Simone Simone Biles   Chicago Cubs   Phelps , Michael Michael Phelps   Vio , Beatrice Beatrice Vio   Rosberg , Nico Nico Rosberg   Atherton , Rachel Rachel Atherton   Barca FC Barcelona under - 12s       Discretionary awards ( edit )   Key     Indicates posthumous award     N / A   Not awarded       Year   Lifetime   Sport for Good   Spirit of Sport   Exceptional Achivement   Sporting Inspiration   Ref     2000   Pelé   Shriver , Eunice Kennedy Eunice Kennedy Shriver   N / A   N / A   N / A       2001   Redgrave , Steve Steve Redgrave   Keino , Kip Kip Keino   N / A   N / A   N / A       2002   Blake , Peter Peter Blake   Blake , Peter Peter Blake   N / A   N / A   N / A       20003   Player , Gary Gary Player   Schwarzenegger , Arnold Arnold Schwarzenegger   N / A   N / A   N / A         Næss Jr. , Arne Arne Næss Jr .   Mathare Youth Sports Association   N / A   N / A   N / A       India national cricket team Pakistan national cricket team       2005   N / A   Storey , Gerry Gerry Storey   Boston Red Sox   N / A   N / A       2006   Cruyff , Johan Johan Cruyff   Griesbeck , Jürgen Jürgen Griesbeck   Rossi , Valentino Valentino Rossi   N / A   N / A       2007   Beckenbauer , Franz Franz Beckenbauer   Dowdney , Luke Luke Dowdney   Bar FC Barcelona   N / A   N / A       2008   Bubka , Sergey Sergey Bubka   Tuo Brendan and Sean Tuohy   Pound , Dick Dick Pound   N / A   N / A       2009   N / A   N / A   N / A   N / A   N / A         El Moutawakel , Nawal Nawal El Moutawakel   Mutombo , Dikembe Dikembe Mutombo   N / A   N / A   N / A       2011   Zidane , Zinedine Zinedine Zidane   El - Khalil , May May El - Khalil   Ryder European Ryder Cup team   N / A   N / A       2012   Charlton , Bobby Bobby Charlton   N / A   Raí   N / A   N / A       2013   Coe , Sebastian Sebastian Coe   N / A   N / A   Phelps , Michael Michael Phelps   N / A       2014   N / A   Afghanistan national cricket team   Magic Bus   N / A   N / A       2015   N / A   Skateistan   Ming , Yao Yao Ming   Na , Li Li Na   N / A       2016   Lauda , Niki Niki Lauda   Moving the Goalposts   Cruyff , Johan Johan Cruyff   N / A   N / A       2017   N / A   Waves for Change   Leicester City F.C.   N / A   Refugee Olympic Team       See also ( edit )    Taste of Tennis , another Laureus Sport for Good Foundation activity    References ( edit )    Jump up ^ `` Hugh Grant to host Laureus Awards '' . The Times of India . 27 January 2017 . Archived from the original on 9 November 2017 . Retrieved 9 November 2017 .   Jump up ^ `` The Mission '' . Laureus . Archived from the original on 9 November 2017 . Retrieved 9 November 2017 .   Jump up ^ `` Our History '' . Laureus . Archived from the original on 21 July 2017 . Retrieved 9 November 2017 .   Jump up ^ Swart , Sharon ( 15 May 2001 ) . `` Good sports '' . Variety . Archived from the original on 7 November 2017 . Retrieved 9 November 2017 .   Jump up ^ `` Laureus World Sports Academy '' . International Council of Sport Science and Physical Education . 24 February 2014 . Archived from the original on 30 July 2016 . Retrieved 9 November 2017 .   ^ Jump up to : `` Laureus World Sports Awards ( 2000 ) '' . Turner Classic Movies . Retrieved 8 November 2017 .   ^ Jump up to : `` The winners for the year 2000 were : '' . Laureus . Retrieved 8 November 2017 .   ^ Jump up to : `` The winners for the year 2004 were : '' . Laureus . Retrieved 8 November 2017 .   Jump up ^ Lewis , Aimee ( 15 February 2017 ) . `` Usain Bolt and Simone Biles dominate at ' Sport 's Oscars ' '' . CNN . Archived from the original on 8 March 2017 . Retrieved 18 October 2017 .   Jump up ^ `` Nico Rosberg mit dem Sport - Oscar geehrt '' . Die Welt ( in German ) . 15 February 2017 . Archived from the original on 18 October 2017 . Retrieved 18 October 2017 .   Jump up ^ `` Schumacher wins sporting ' Oscar ' '' . BBC Sport. 14 May 2002 . Retrieved 19 October 2017 .   Jump up ^ Gallagher , Jack ( 28 May 2004 ) . `` World Sports Awards a great but flawed concept '' . The Japan Times . Archived from the original on 9 November 2017 . Retrieved 9 November 2017 .   Jump up ^ `` Who will be # LaureusWorthy '' . Laureus . Archived from the original on 12 December 2015 . Retrieved 9 November 2017 .   Jump up ^ `` Laureus World Sports Academy Members '' . Laureus . Archived from the original on 10 September 2017 . Retrieved 8 November 2017 .   Jump up ^ `` The Academy and Ambassadors '' . Laureus . Archived from the original on 9 November 2017 . Retrieved 9 November 2017 .   ^ Jump up to : `` The Awards '' . Laureus . Archived from the original on 9 November 2017 . Retrieved 9 November 2017 .   Jump up ^ `` 15 years of Laureus : The anniversary of a very special speech '' . Laureus. 25 May 2014 . Archived from the original on 6 August 2017 . Retrieved 8 November 2017 .   ^ Jump up to : `` Did you know about the Laureus World Sports Awards ? '' . Laureus . Archived from the original on 9 November 2017 . Retrieved 8 November 2017 .   Jump up ^ Thyagarajan , S. ( 25 May 2000 ) . `` All set for Laureus Sports Awards gala '' . The Hindu . Retrieved 8 November 2017 .   Jump up ^ Baker , Andrew ( 23 May 2001 ) . `` Today in Sport : Laureus good in public relations exercise '' . The Daily Telegraph . Archived from the original on 28 February 2016 . Retrieved 8 November 2017 .   Jump up ^ `` Hines to host Laureus Sports Awards '' . Variety . 15 May 2001 . Archived from the original on 9 November 2017 . Retrieved 8 November 2017 .   Jump up ^ `` Eriq la Salle '' . Getty Images . Retrieved 8 November 2017 .   Jump up ^ Swart , Sharon . `` Schumacher takes Laureus '' . Variety . Retrieved 8 November 2017 .   Jump up ^ `` Jones and Radcliffe are grand slammed by Williams at the World Sports Awards '' . International Association of Athletics Federations. 21 May 2003 . Retrieved 8 November 2017 .   Jump up ^ `` Prestigious sports awards for Pakistan , India '' . Dawn. 20 May 2004 . Archived from the original on 9 November 2017 . Retrieved 8 November 2017 .   Jump up ^ Mohan , K.P. ( 10 May 2004 ) . `` Stars gather for Laureus extravaganza '' . The Hindu . Retrieved 8 November 2017 .   Jump up ^ Kelner , Martin ( 13 June 2005 ) . `` And the award for silliest focus goes to ... '' The Guardian . Archived from the original on 19 September 2014 . Retrieved 8 November 2017 .   Jump up ^ `` Showbiz Laureus '' . Getty Images . Retrieved 8 November 2017 .   Jump up ^ `` Laureus Sports Awards announces nominatee '' . China Daily . Reuters. 28 February 2007 . Archived from the original on 8 March 2007 . Retrieved 8 November 2017 .   Jump up ^ `` Speech given at the Ceremony for Awarding the Laureus World Sports Awards '' . Moscow Kremlin . 18 February 2008 . Archived from the original on 23 December 2016 . Retrieved 8 November 2017 .   Jump up ^ `` Laureus World Sports Awards gala falls victim to economic climate '' . The Guardian . 17 April 2009 . Archived from the original on 14 August 2016 . Retrieved 8 November 2017 .   Jump up ^ `` 2010 Laureus World Sports Awards in Abu Dhabi : You Just Gotta Get Here '' . Bleacher Report . 8 March 2010 . Archived from the original on 13 March 2010 . Retrieved 8 November 2017 .   Jump up ^ Xiaochen , Sun ( 7 February 2011 ) . `` Sports stars set to sparkle in Laureus awards ceremony '' . China Daily . Retrieved 8 November 2017 .   Jump up ^ `` London to host 2012 Laureus World Sports Awards '' . BBC Sport. 29 November 2011 . Archived from the original on 9 November 2017 . Retrieved 8 November 2017 .   Jump up ^ Faratin , Pejman ( 12 March 2013 ) . `` Gallery : Laureus World Sports Awards 2013 '' . Metro . Archived from the original on 5 November 2015 . Retrieved 8 November 2017 .   Jump up ^ `` In this difficult time , draw strength from perseverence and endurance shown by sportsmen , says Najib '' . The Star . Petaling Jaya. 28 March 2014 . Archived from the original on 1 April 2014 . Retrieved 8 November 2017 .   Jump up ^ `` Great sporting legends to attend Laureus World Sports Awards '' . Laureus. 26 March 2015 . Archived from the original on 9 November 2017 . Retrieved 8 November 2017 .   Jump up ^ `` IAAF President Coe attends Laureus Sport for Good Jam in Berlin '' . International Associaion of Athletics Federations. 17 April 2016 . Retrieved 8 November 2017 .   Jump up ^ Bose , Soumitra ( 15 February 2017 ) . `` Usain Bolt , Simone Biles , Michael Phelps lead Olympian sweep of Laureus Awards '' . Hindustan Times . Archived from the original on 28 July 2017 . Retrieved 8 November 2017 .   Jump up ^ `` Venue '' . Laureus . Retrieved 9 November 2017 .   Jump up ^ `` Bolt delighted to be alongside ' great ' Federer '' . beIN Sports . 15 February 2017 . Archived from the original on 20 October 2017 . Retrieved 19 October 2017 .   Jump up ^ Swales , Andy ( 19 April 2016 ) . `` Novak Djokovic and Serena Williams win Laureus awards '' . Sky Sports . Archived from the original on 18 October 2017 . Retrieved 18 October 2017 .   Jump up ^ `` Daniel Dias '' . International Paralympic Committee . Archived from the original on 21 March 2017 . Retrieved 9 November 2017 .   ^ Jump up to : `` The winners for the year 2006 were : '' . Laureus . Retrieved 8 November 2017 .   ^ Jump up to : `` The winners for the year 2007 were : '' . Laureus . Retrieved 8 November 2017 .   Jump up ^ `` The FC Barcelona Infantil B side win Laureus Award ' Best Sporting Moment of the Year ' '' . FC Barcelona. 14 February 2017 . Archived from the original on 29 October 2017 . Retrieved 9 November 2017 .   Jump up ^ `` Federer is Laureus sportsman of the year '' . The Hindu . 18 May 2005 . Archived from the original on 24 October 2017 . Retrieved 8 November 2017 .   Jump up ^ `` China 's Li Na was honored at the Laureus World Sports Awards in Shanghai for her inspirational career , receiving the Laureus Academy Exceptional Achievement Award '' . Women 's Tennis Association . Archived from the original on 11 July 2017 . Retrieved 9 November 2017 .   Jump up ^ `` Olympics : 2016 refugee team wins Laureus award '' . Reuters. 13 February 2017 . Retrieved 9 November 2017 .   ^ Jump up to : `` The winners for the year 2001 were : '' . Laureus . Retrieved 8 November 2017 .   ^ Jump up to : `` The winners for the year 2002 were : '' . Laureus . Retrieved 8 November 2017 .   ^ Jump up to : `` The winners for the year 2003 were : '' . Laureus . Retrieved 8 November 2017 .   ^ Jump up to : `` The winners for the year 2005 were : '' . Laureus . Retrieved 8 November 2017 .   ^ Jump up to : `` The winners for the year 2008 were : '' . Laureus . Retrieved 8 November 2017 .   ^ Jump up to : `` The winners for the year 2009 were : '' . Laureus . Retrieved 8 November 2017 .   ^ Jump up to : `` The winners for the year 2010 were : '' . Laureus . Retrieved 8 November 2017 .   ^ Jump up to : `` The winners for the year 2011 were : '' . Laureus . Retrieved 8 November 2017 .   ^ Jump up to : `` The winners for the year 2012 were : '' . Laureus . Retrieved 8 November 2017 .   ^ Jump up to : `` The winners for the year 2013 were : '' . Laureus . Retrieved 8 November 2017 .   ^ Jump up to : `` The winners for the year 2014 were : '' . Laureus . Retrieved 8 November 2017 .   ^ Jump up to : `` The winners for the year 2015 were : '' . Laureus . Retrieved 8 November 2017 .   ^ Jump up to : `` The winners for the year 2016 were : '' . Laureus . Retrieved 8 November 2017 .   ^ Jump up to : `` The winners for the year 2017 were : '' . Laureus . Retrieved 8 November 2017 .    External links ( edit )       Wikimedia Commons has media related to Laureus World Sports Awards .      Official website      ( hide )         Laureus World Sports Awards       Sportsman   Sportswoman   Team   Breakthrough   Comeback   Sportsperson with a Disability   Action Sportsperson         Lifetime Achievement   Sport for Good   Spirit of Sport      Retrieved from `` https://en.wikipedia.org/w/index.php?title=Laureus_World_Sports_Awards&amp;oldid=809499199 '' Categories :   Laureus World Sports Awards   Sports trophies and awards   International awards   Awards established in 2000   Hidden categories :   CS1 German - language sources ( de )   Pages using deprecated image syntax   Articles containing potentially dated statements from 2017   All articles containing potentially dated statements   Articles with hCards   Official website different in Wikidata and Wikipedia           Talk                                           Contents                   About Wikipedia                                                   Български   Català   Čeština   Deutsch   Español   فارسی   Français   </t>
    </r>
    <r>
      <rPr>
        <sz val="11"/>
        <color rgb="FF000000"/>
        <rFont val="Noto Sans CJK SC"/>
        <family val="2"/>
      </rPr>
      <t xml:space="preserve">한국어   </t>
    </r>
    <r>
      <rPr>
        <sz val="11"/>
        <color rgb="FF000000"/>
        <rFont val="Calibri"/>
        <family val="0"/>
        <charset val="1"/>
      </rPr>
      <t xml:space="preserve">Bahasa Indonesia   Italiano   Magyar   Nederlands   </t>
    </r>
    <r>
      <rPr>
        <sz val="11"/>
        <color rgb="FF000000"/>
        <rFont val="Noto Sans CJK SC"/>
        <family val="2"/>
      </rPr>
      <t xml:space="preserve">日本 語   </t>
    </r>
    <r>
      <rPr>
        <sz val="11"/>
        <color rgb="FF000000"/>
        <rFont val="Calibri"/>
        <family val="0"/>
        <charset val="1"/>
      </rPr>
      <t xml:space="preserve">Português   Русский   Suomi   Svenska   ไทย   Українська   </t>
    </r>
    <r>
      <rPr>
        <sz val="11"/>
        <color rgb="FF000000"/>
        <rFont val="Noto Sans CJK SC"/>
        <family val="2"/>
      </rPr>
      <t xml:space="preserve">中文   </t>
    </r>
    <r>
      <rPr>
        <sz val="11"/>
        <color rgb="FF000000"/>
        <rFont val="Calibri"/>
        <family val="0"/>
        <charset val="1"/>
      </rPr>
      <t xml:space="preserve">Edit links   This page was last edited on 9 November 2017 , at 14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</si>
  <si>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won the sports person of the year award 2017</t>
  </si>
  <si>
    <t xml:space="preserve">   Year   Sportsman   Sportswoman   Team   Breakthrough   Comeback   Disability   Action   Moment   Ref     2000   Woods , Tiger Tiger Woods   Jones , Marion Marion Jones *   Manchester United F.C.   García , Sergio Sergio García   Armstrong , Lance Lance Armstrong *   Sauvage , Louise Louise Sauvage   Palmer , Shaun Shaun Palmer   N / A       2001   Woods , Tiger Tiger Woods   Freeman , Cathy Cathy Freeman   France national football team   Safin , Marat Marat Safin   Capriati , Jennifer Jennifer Capriati   Lauwers , Vinny Vinny Lauwers   Horn , Mike Mike Horn   N / A       2002   Schumacher , Michael Michael Schumacher   Capriati , Jennifer Jennifer Capriati   Australia national cricket team   Montoya , Juan Pablo Juan Pablo Montoya   Ivanišević , Goran Goran Ivanišević   Vergeer , Esther Esther Vergeer   Burnquist , Bob Bob Burnquist   N / A       2003   Armstrong , Lance Lance Armstrong *   Williams , Serena Serena Williams   Brazil national football team   Ming , Yao Yao Ming   Ronaldo   Milton , Michael Michael Milton   Potter , Dean Dean Potter   N / A         Schumacher , Michael Michael Schumacher   Sörenstam , Annika Annika Sörenstam   England national rugby union team   Wie , Michelle Michelle Wie   Maier , Hermann Hermann Maier   Connor , Earle Earle Connor *   Beachley , Layne Layne Beachley   N / A       2005   Federer , Roger Roger Federer   Holmes , Kelly Kelly Holmes   Greece national football team   Xiang , Liu Liu Xiang   Zanardi , Alex Alex Zanardi   Petitclerc , Chantal Chantal Petitclerc   McArthur , Ellen Ellen McArthur   N / A       2006   Federer , Roger Roger Federer   Kostelić , Janica Janica Kostelić   Renault F1 team   Nadal , Rafael Rafael Nadal   Hingis , Martina Martina Hingis   van Dyk , Ernst Ernst van Dyk   d'Arrigo , Angelo Angelo d'Arrigo   N / A       2007   Federer , Roger Roger Federer   Isinbayeva , Yelena Yelena Isinbayeva   Italy national football team   Williams , Serena Serena Williams   Braxenthaler , Martin Martin Braxenthaler   Mauresmo , Amélie Amélie Mauresmo   Slater , Kelly Kelly Slater   N / A       2008   Federer , Roger Roger Federer   Henin , Justine Justine Henin   South Africa national rugby union team   Radcliffe , Paula Paula Radcliffe   Vergeer , Esther Esther Vergeer   Hamilton , Lewis Lewis Hamilton   White , Shaun Shaun White   N / A       2009   Bolt , Usain Usain Bolt   Isinbayeva , Yelena Yelena Isinbayeva   China Olympic team   Klitschko , Vitali Vitali Klitschko   Dias , Daniel Daniel Dias   Adlington , Rebecca Rebecca Adlington   Slater , Kelly Kelly Slater   N / A         Bolt , Usain Usain Bolt   Williams , Serena Serena Williams   Brawn F1 team   Clijsters , Kim Kim Clijsters   du Toit , Natalie Natalie du Toit   Button , Jenson Jenson Button   Gilmore , Stephanie Stephanie Gilmore   N / A       2011   Nadal , Rafael Rafael Nadal   Vonn , Lindsey Lindsey Vonn   Spain national football team   Rossi , Valentino Valentino Rossi   Bentele , Verena Verena Bentele   Kaymer , Martin Martin Kaymer   Slater , Kelly Kelly Slater   N / A       2012   Djokovic , Novak Novak Djokovic   Cheruiyot , Vivian Vivian Cheruiyot   Barcelona FC Barcelona   Clarke , Darren Darren Clarke   Pistorius , Oscar Oscar Pistorius   McIlroy , Rory Rory McIlroy   Slater , Kelly Kelly Slater   N / A       2013   Bolt , Usain Usain Bolt   Ennis , Jessica Jessica Ennis   Ryder European Ryder Cup team   Sánchez , Félix Félix Sánchez   Dias , Daniel Daniel Dias   Murray , Andy Andy Murray   Baumgartner , Felix Felix Baumgartner   N / A       2014   Vettel , Sebastian Sebastian Vettel   Franklin , Missy Missy Franklin   Bayern FC Bayern Munich   Nadal , Rafael Rafael Nadal   Bochet , Marie Marie Bochet   Márquez , Marc Marc Márquez   Bestwick , Jamie Jamie Bestwick   N / A       2015   Djokovic , Novak Novak Djokovic   Dibaba , Genzebe Genzebe Dibaba   Germany national football team   Burger , Schalk Schalk Burger   McFadden , Tatyana Tatyana McFadden   Ricciardo , Daniel Daniel Ricciardo   Eustace , Alan Alan Eustace   N / A       2016   Djokovic , Novak Novak Djokovic   Williams , Serena Serena Williams   New Zealand national rugby union team   Carter , Dan Dan Carter   Dias , Daniel Daniel Dias   Spieth , Jordan Jordan Spieth   Frodeno , Jan Jan Frodeno   N / A       2017   Bolt , Usain Usain Bolt   Biles , Simone Simone Biles   Chicago Cubs   Phelps , Michael Michael Phelps   Vio , Beatrice Beatrice Vio   Rosberg , Nico Nico Rosberg   Atherton , Rachel Rachel Atherton   Barca FC Barcelona under - 12s     </t>
  </si>
  <si>
    <t xml:space="preserve">Amyotrophic lateral sclerosis - wikipedia  Amyotrophic lateral sclerosis  `` ALS '' redirects here . For other uses , see ALS ( disambiguation ) .    Amyotrophic lateral sclerosis     Synonyms   Lou Gehrig 's disease , Charcot 's disease , motor neurone disease ( MND )         An MRI with increased signal in the posterior part of the internal capsule which can be tracked to the motor cortex , consistent with the diagnosis of ALS     Specialty   Neurology     Symptoms   Stiff muscles , muscle twitching , gradually worsening weakness     Complications   Difficulty in speaking , swallowing , breathing     Usual onset   50s -- 60s     Causes   Unknown ( most ) , inherited ( few )     Diagnostic method   Based on symptoms     Treatment   Non-invasive ventilation     Medication   Riluzole , edaravone     Prognosis   Life expectancy 2 -- 4 years     Frequency   ~ 2.5 per 100,000 per year     Amyotrophic lateral sclerosis ( ALS ) , also known as motor neurone disease ( MND ) , and Lou Gehrig 's disease , is a specific disease which causes the death of neurons controlling voluntary muscles . Some also use the term motor neuron disease for a group of conditions of which ALS is the most common . ALS is characterized by stiff muscles , muscle twitching , and gradually worsening weakness due to muscles decreasing in size . This results in difficulty speaking , swallowing , and eventually breathing .   The cause is not known in 90 % to 95 % of cases . The remaining 5 -- 10 % of cases are inherited from a person 's parents . About half of these genetic cases are due to one of two specific genes . The underlying mechanism involves damage to both upper and lower motor neurons . The diagnosis is based on a person 's signs and symptoms , with testing done to rule out other potential causes .   No cure for ALS is known . A medication called riluzole may extend life by about two to three months . Non-invasive ventilation may result in both improved quality and length of life . The disease can affect people of any age , but usually starts around the age of 60 and in inherited cases around the age of 50 . The average survival from onset to death is two to four years . About 10 % survive longer than 10 years . Most die from respiratory failure . In much of the world , rates of ALS are unknown . In Europe and the United States the disease affects about two to three people per 100,000 per year .   Descriptions of the disease date back to at least 1824 by Charles Bell . In 1869 , the connection between the symptoms and the underlying neurological problems was first described by Jean - Martin Charcot , who in 1874 began using the term amyotrophic lateral sclerosis . It became well known in the United States in the 20th century when in 1939 it affected the baseball player Lou Gehrig and later worldwide following the 1963 diagnosis of cosmologist Stephen Hawking . In 2014 , videos of the Ice Bucket Challenge went viral on the Internet and increased public awareness of the condition .   Contents  ( hide )   1 Classification   2 Signs and symptoms   2.1 Initial symptoms   2.2 Progression   2.3 Late stages     3 Cause   3.1 Genetics   3.2 Head injury   3.3 Other factors     4 Pathophysiology   5 Diagnosis   5.1 Differential diagnosis     6 Management   6.1 Medications   6.2 Breathing support   6.3 Therapy   6.4 Nutrition   6.5 End - of - life care     7 Epidemiology   8 History   8.1 Name     9 Society and culture   10 Research   10.1 Treatments   10.2 Cause     11 References   12 External links    Classification ( edit )   ALS is a motor neuron disease , also spelled `` motor neurone disease '' , which is a group of neurological disorders that selectively affect motor neurons , the cells that control voluntary muscles of the body , including amyotrophic lateral sclerosis ( ALS ) , primary lateral sclerosis , progressive muscular atrophy , progressive bulbar palsy , pseudobulbar palsy , and spinal muscular atrophy .   ALS itself can be classified a few different ways : by how fast the disease progresses ( slow vs fast progressors ) , by whether it is inherited or sporadic , and by where it starts . Most commonly ( ~ 70 % of the time ) the limbs are affected first . In this case , neurons in the brain ( upper motor neurons ) and in the spinal cord ( lower motor neurons ) are dying and this form is called `` limb onset '' . In about 25 % of cases , muscles in the face , mouth , and throat are affected first , because motor neurons in the part of the brain stem called the medulla oblongata ( formerly called the `` bulb '' ) start to die first along with lower motor neurons . This form is called `` bulbar onset '' . In about 5 % of cases muscles in the trunk of the body are affected first . In all cases the disease spreads and affects other regions . The symptoms may also be limited to one spinal region .   Those with leg amyotrophic diplegia and brachial amyotrophic diplegia have a longer survival compared to classic onset ALS .   Signs and symptoms ( edit )   The disorder causes muscle weakness , atrophy , and muscle spasms throughout the body due to the degeneration of the upper motor and lower motor neurons . Individuals affected by the disorder may ultimately lose the ability to initiate and control all voluntary movement , although bladder and bowel function and the muscles responsible for eye movement are usually spared until the final stages of the disorder .   Cognitive or behavioral dysfunction is present in 30 -- 50 % of individuals with ALS . Around half of people with ALS will experience mild changes in cognition and behavior , and 10 -- 15 % will show signs of frontotemporal dementia . Repeating phrases or gestures , apathy , and loss of inhibition are frequently reported behavioral features of ALS . Language dysfunction , executive dysfunction , and troubles with social cognition and verbal memory are the most commonly reported cognitive symptoms in ALS ; a meta - analysis found no relationship between dysfunction and disease severity . However , cognitive and behavioral dysfunctions have been found to correlate with reduced survival in people with ALS and increased caregiver burden ; this may be due in part to deficits in social cognition . About half the people who have ALS experience emotional lability , in which they cry or laugh for no reason .   Sensory nerves and the autonomic nervous system are generally unaffected , meaning the majority of people with ALS maintain hearing , sight , touch , smell , and taste .   Initial symptoms ( edit )   The start of ALS may be so subtle that the symptoms are overlooked . The earliest symptoms of ALS are muscle weakness or muscle atrophy . Other presenting symptoms include trouble swallowing or breathing , cramping , or stiffness of affected muscles ; muscle weakness affecting an arm or a leg ; or slurred and nasal speech . The parts of the body affected by early symptoms of ALS depend on which motor neurons in the body are damaged first .   In limb - onset ALS , people first experience awkwardness when walking or running or even tripping over or stumbling may be experienced and often this is marked by walking with a `` dropped foot '' which drags gently on the ground . Or if arm - onset , difficulty with tasks requiring manual dexterity such as buttoning a shirt , writing , or turning a key in a lock may be experienced .   In bulbar - onset ALS , initial symptoms will mainly be of difficulty speaking clearly or swallowing . Speech may become slurred , nasal in character , or quieter . There may be difficulty in swallowing and loss of tongue mobility . A smaller proportion of people experience `` respiratory - onset '' ALS , where the intercostal muscles that support breathing are affected first .   Over time , people experience increasing difficulty moving , swallowing ( dysphagia ) , and speaking or forming words ( dysarthria ) . Symptoms of upper motor neuron involvement include tight and stiff muscles ( spasticity ) and exaggerated reflexes ( hyperreflexia ) including an overactive gag reflex . An abnormal reflex commonly called Babinski 's sign also indicates upper motor neuron damage . Symptoms of lower motor neuron degeneration include muscle weakness and atrophy , muscle cramps , and fleeting twitches of muscles that can be seen under the skin ( fasciculations ) although twitching is not a diagnostic symptom and more of a side effect so twitching would either occur after or accompany weakness and atrophy .   Progression ( edit )   Although the order and rate of symptoms vary from person to person , the disease eventually spreads to unaffected regions and the affected regions become more affected . Most people eventually are not able to walk or use their hands and arms , lose the ability to speak and swallow food and their own saliva , and begin to lose the ability to cough and to breathe on their own .   The rate of progression can be measured using an outcome measure called the `` ALS Functional Rating Scale Revised ( ALSFRS - R ) '' , a 12 - item instrument administered as a clinical interview or self - reported questionnaire that produces a score between 48 ( normal function ) and 0 ( severe disability ) ; it is the most commonly used outcome measure in clinical trials and is used by doctors to track disease progression . Though the degree of variability is high and a small percentage of people have a much slower disorder , on average , people with ALS lose about 0.9 FRS points per month . A survey - based study among clinicians showed that they rated a 20 % change in the slope of the ALSFRS - R as being clinically meaningful .   Disorder progression tends to be slower in people who are younger than 40 at onset , are mildly obese , have disorder restricted primarily to one limb , and those with primarily upper motor neuron symptoms . Conversely , progression is faster and prognosis poorer in people with bulbar - onset disorder , respiratory - onset disorder , and frontotemporal dementia .   The CX3CR1 allelic variants have also been shown to have an effect on the disorder 's progression and life expectancy .   Late stages ( edit )   Difficulty in chewing and swallowing makes eating very difficult and increases the risk of choking or of aspirating food into the lungs . In later stages of the disorder , aspiration pneumonia can develop , and maintaining a healthy weight can become a significant problem that may require the insertion of a feeding tube . As the diaphragm and intercostal muscles of the rib cage that support breathing weaken , measures of lung function such as vital capacity and inspiratory pressure diminish . In respiratory - onset ALS , this may occur before significant limb weakness is apparent . Most people with ALS die of respiratory failure or pneumonia .   Although respiratory support can ease problems with breathing and prolong survival , it does not affect the progression of ALS . Most people with ALS die between two and four years after the diagnosis . Around half of people with ALS die within 30 months of their symptoms beginning , and about 20 % of people with ALS live between five and 10 years after symptoms begin . Guitarist Jason Becker has lived since 1989 with the disorder , while cosmologist Stephen Hawking lived for 55 more years following his diagnosis , but they are considered unusual cases .   Most people with ALS die in their own home , with their breath stopping while they sleep .   Cause ( edit )   Genetics ( edit )  Main article : Genetics of amyotrophic lateral sclerosis  About 5 -- 10 % of cases are directly inherited from a person 's parents . Overall , first - degree relatives of an individual with ALS have a 1 % risk of developing ALS .   A defect on chromosome 21 , which codes for superoxide dismutase , is associated with about 20 % of familial cases of ALS , or about 2 % of ALS cases overall . This mutation is believed to be transmitted in an autosomal dominant manner , and has over a hundred different forms of mutation . The most common ALS - causing mutation is a mutant SOD1 gene , seen in North America ; this is characterized by an exceptionally rapid progression from onset to death . The most common mutation found in Scandinavian countries , D90A - SOD1 , is more slowly progressive than typical ALS , and people with this form of the disorder survive for an average of 11 years .   Mutations in C9orf72 are reported to cause 25 - 40 % of familial cases of ALS , as well as a small percentage of sporadic cases .   Mutations in TDP - 43 , FUS , C9orf72 and other genes can cause ALS as well as related forms of frontotemporal dementia ( FTD / ALS ) . Proteins made by these genes appear have prion - like activity and form inclusion bodies in some instances of ALS .   Head injury ( edit )   While moderate to severe traumatic brain injury is a risk for ALS , if mild traumatic brain injury increases rates is unclear .   In 1994 the National Institute for Occupational Safety and Health reported an insignificant increase in nervous system disorders due to four cases of ALS among National Football League ( NFL ) players . Whether this was due to chance or not is unknown . Another study from 2012 also found a possible increase in ALS in NFL football players . An older study did not find an increased risk among high school football players . A 2007 review found an increased risk among soccer players . ALS may also occur more often among the US military veterans , but the reason is unknown . This may be due to head injury .   After the 2012 report was released , some NFL players involved in the legal settlement with the NFL complained that the NFL , which initially agreed to pay $765 million , was not doing enough to help players . The judge in the case concurred , and the NFL then agreed to pay an unlimited amount of damages for players found to have ALS , Parkinson 's disease , Alzheimer 's disease , and dementia .   Other factors ( edit )   Where no family history of the disease is present -- around 90 % of cases -- no cause is known . Possible associations for which evidence is inconclusive include military service and smoking . Although studies on military history and ALS frequency are inconsistent , there is weak evidence for a positive correlation . Various proposed factors include exposure to environmental toxins ( inferred from geographical deployment studies ) , as well as alcohol and tobacco use during military service .   In a 2017 study by the United States Centers for Disease Control and Prevention analyzing U.S. deaths from 1985 to 2011 , occupations correlated with ALS deaths were white collar , such as in management , financial , architectural , computing , legal , and education jobs . Other potential risk factors remain unconfirmed , including chemical exposure , electromagnetic field exposure , occupation , physical trauma , and electric shock . There is a tentative association with exposure to various pesticides , including the organochlorine insecticides aldrin , dieldrin , DDT , and toxaphene .   Pathophysiology ( edit )   The defining feature of ALS is the death of both upper and lower motor neurons in the motor cortex of the brain , the brain stem , and the spinal cord . Prior to their destruction , motor neurons develop protein - rich inclusions in their cell bodies and axons . This may be partly due to defects in protein degradation . These inclusions often contain ubiquitin , and generally incorporate one of the ALS - associated proteins : SOD1 , TAR DNA binding protein ( TDP - 43 , or TARDBP ) , or FUS . The mutant SOD1 may also contribute to motor neuron cell death through generating free radicals .   Excitotoxicity , or cell death caused by high levels of intracellular calcium caused by excessive activity of excitatory neurotransmitters , may be a mechanism of ALS . This concept has been supported by increased glutamate and dysfunctional glutamate transporter -- RNA in cerebrospinal fluid of those with ALS . This is further supported by the only effective treatment being an anti-glutaminergic drug ( Riluzole ) , as well as the poor ability to buffer calcium in motor neurons relative to other neurons .   Neurofilament accumulation in axons has been observed in sporadic cases of ALS , as well as in SOD1 patients , possibly interfering with axonal transport , leading to cell death from SOD1 toxicity .   Diagnosis ( edit )  MRI ( axial FLAIR ) demonstrates increased T signal within the posterior part of the internal capsule , consistent with the diagnosis of ALS .  No test can provide a definite diagnosis of ALS , although the presence of upper and lower motor neuron signs in a single limb is strongly suggestive . Instead , the diagnosis of ALS is primarily based on the symptoms and signs the physician observes in the person and a series of tests to rule out other diseases . Physicians obtain the person 's full medical history and usually conduct a neurologic examination at regular intervals to assess whether symptoms such as muscle weakness , atrophy of muscles , hyperreflexia , and spasticity are worsening . A number of biomarkers are being studied for the condition , but so far are not in general medical use .   Differential diagnosis ( edit )   Because symptoms of ALS can be similar to those of a wide variety of other , more treatable diseases or disorders , appropriate tests must be conducted to exclude the possibility of other conditions . One of these tests is electromyography ( EMG ) , a special recording technique that detects electrical activity in muscles . Certain EMG findings can support the diagnosis of ALS . Another common test measures nerve conduction velocity ( NCV ) . Specific abnormalities in the NCV results may suggest , for example , that the person has a form of peripheral neuropathy ( damage to peripheral nerves ) or myopathy ( muscle disease ) rather than ALS . While a magnetic resonance imaging ( MRI ) is often normal in people with early stage ALS , it can reveal evidence of other problems that may be causing the symptoms , such as a spinal cord tumor , multiple sclerosis , a herniated disk in the neck , syringomyelia , or cervical spondylosis .   Based on the person 's symptoms and findings from the examination and from these tests , the physician may order tests on blood and urine samples to eliminate the possibility of other diseases , as well as routine laboratory tests . In some cases , for example , if a physician suspects the person may have a myopathy rather than ALS , a muscle biopsy may be performed .   Viral infectious diseases such as human immunodeficiency virus ( HIV ) , human T - lymphotropic virus ( HTLV ) , Lyme disease , syphilis and tick - borne encephalitis can in some cases cause ALS - like symptoms . Neurological disorders such as multiple sclerosis , post-polio syndrome , multifocal motor neuropathy , CIDP , spinal muscular atrophy , and spinal and bulbar muscular atrophy can also mimic certain aspects of the disease and should be considered .   ALS must be differentiated from the `` ALS mimic syndromes '' which are unrelated disorders that may have a similar presentation and clinical features to ALS or its variants . Because of the prognosis carried by this diagnosis and the variety of diseases or disorders that can resemble ALS in the early stages of the disease , people with ALS symptoms should always obtain a specialist neurological opinion in order to rule out alternative diagnoses . Myasthenic syndrome , also known as Lambert -- Eaton syndrome , can mimic ALS , and its initial presentation can be similar to that of myasthenia gravis ( MG ) , a treatable autoimmune disease sometimes mistaken for ALS . Benign fasciculation syndrome is another condition that mimics some of the early symptoms of ALS , but is accompanied by normal EMG readings and no major disablement .   Most cases of ALS , however , are correctly diagnosed , with the error rate of diagnosis in large ALS clinics is less than 10 % . One study examined 190 people who met the MND / ALS diagnostic criteria , complemented with laboratory research in compliance with both research protocols and regular monitoring . Thirty of these people ( 16 % ) had their diagnosis completely changed during the clinical observation development period . In the same study , three people had a false negative diagnosis of MG , which can mimic ALS and other neurological disorders , leading to a delay in diagnosis and treatment . MG is eminently treatable ; ALS is not .   Management ( edit )   Management of ALS attempts to relieve symptoms and extend life expectancy . This supportive care is best provided by multidisciplinary teams of healthcare professionals working with the person and their caregivers to keep them as mobile and comfortable as possible .   Medications ( edit )   Riluzole has been found to modestly prolong survival by about 2 - 3 months . It may have a greater survival benefit for those with a bulbar onset . It is approved by the United States Food and Drug Administration and recommended by the National Institute for Health and Care Excellence in England and Wales ) . Riluzole does not reverse damage already done to motor neurons , but affects neurons by reducing their activity through blocking Na+ entrance into the neurons , thus blocking the release of the chemicals that cause the activity of the motor neurons . The reduction in activity prevents the ruining of the neuronal muscle and so the drug can act as a protective chemical . The function of this drug is dependent on the amount taken at a given time . The higher the concentration , the better the drug will protect the neurons from ruin . The recommended dosage of riluzole is 50 mg , twice a day for people with known ALS for more than five years .   A number of side effects are caused by the drug including the feeling of weakness in muscles , but this is normal due to the function of the drug . Studies have shown that people on the drug are not likely to stop responding to it or develop symptoms that might cause the activity of neurons to rise again , making it an effective drug for prolonging survival .   In 2015 , edaravone was approved in Japan for treatment of ALS after studying how and whether it works on 137 people with ALS and has obtained orphan drug status in the European Union and United States . On May 5 , 2017 , the FDA approved edaravone to extend the survival period of people with ALS . It costs about US $145,000 per year in the United States and US $35,000 per year in Japan .   Other medications may be used to help reduce fatigue , ease muscle cramps , control spasticity , and reduce excess saliva and phlegm . Drugs also are available to help people with pain , such as nonsteroidal and anti-inflammatory drugs and opioids , depression , sleep disturbances , dysphagia , and constipation . Baclofen and diazepam are often prescribed to control the spasticity caused by ALS , and trihexyphenidyl , amitriptyline or most commonly glycopyrrolate may be prescribed when people with ALS begin having trouble swallowing their saliva . There is no evidence that medications are effective at reducing muscle cramps experienced by people with ALS .   Breathing support ( edit )   Respiratory failure is the most common cause of death in people with ALS and is the most prominent symptom , second to the destruction of motor neurons and weakening of muscle . When the muscles that assist in breathing weaken , several symptoms start to arise including shortness of breath when undergoing physical activity or talking , fatigue , morning headaches , poor concentration and depression . The use of ventilatory assistance ( intermittent positive pressure ventilation , bilevel positive airway pressure ( BiPAP ) , or biphasic cuirass ventilation ( BCV ) may be used to aid breathing . Such devices artificially inflate the person 's lungs from various external sources that are applied directly to the face or body . When muscles are no longer able to maintain oxygen and carbon dioxide levels , these devices may be used full - time . BCV has the added advantage of being able to assist in clearing secretions by using high - frequency oscillations followed by several positive expiratory breaths . People may eventually consider forms of mechanical ventilation ( respirators ) in which a machine inflates and deflates the lungs . To be effective , this may require a tube that passes from the nose or mouth to the windpipe ( trachea ) and for long - term use , an operation such as a tracheotomy , in which a plastic breathing tube is inserted directly in the person 's windpipe through an opening in the neck .   Persons and their families should consider several factors when deciding whether and when to use one of these options . Ventilation devices differ in their effect on the person 's quality of life and in cost . Although ventilation support can ease problems with breathing and prolong survival , it does not affect the progression of ALS . People need to be fully informed about these considerations and the long - term effects of life without movement before they make decisions about ventilation support and have deep discussions on quality of life . Some persons under long - term tracheostomy intermittent positive pressure ventilation with deflated cuffs or cuffless tracheostomy tubes ( leak ventilation ) are able to speak , provided their bulbar muscles are strong enough , though in all cases speech will be lost as the disease progresses . This technique preserves speech in some persons with long - term mechanical ventilation . Other persons may be able to use a speaking valve such as a Passey - Muir speaking valve with the assistance and guidance of a speech - language pathologist .   External ventilation machines that use the ventilation mode of BiPAP are frequently used to treat respiratory insufficiency at night , and later during the daytime . The use of BPAP ( more often referred to as noninvasive ventilation , NIV ) has shown to prolong survival and slow down the progression of forced vital capacity , but long before BPAP stops being effective , persons should decide whether to have a tracheotomy and long - term mechanical ventilation . At this point , some persons choose palliative hospice care .   Therapy ( edit )  A man with ALS communicates by pointing to letters and words using a head mounted laser pointer .  Physical therapy plays a large role in rehabilitation for individuals with ALS . Specifically , physical , occupational , and speech therapists can set goals and promote benefits for individuals with ALS by delaying loss of strength , maintaining endurance , limiting pain , improving speech and swallowing , preventing complications , and promoting functional independence .   Occupational therapy and special equipment such as assistive technology can also enhance people 's independence and safety throughout the course of ALS . Gentle , low - impact aerobic exercise such as performing activities of daily living , walking , swimming , and stationary bicycling can strengthen unaffected muscles , improve cardiovascular health , and help people fight fatigue and depression . Range of motion and stretching exercises can help prevent painful spasticity and shortening ( contracture ) of muscles . Physical and occupational therapists can recommend exercises that provide these benefits without overworking muscles , because muscle exhaustion can lead to worsening of symptoms associated with ALS , rather than providing help to people with ALS . They can suggest devices such as ramps , braces , walkers , bathroom equipment ( shower chairs , toilet risers , etc . ) , and wheelchairs that help people remain mobile . Occupational therapists can provide or recommend equipment and adaptations to enable ALS people to retain as much safety and independence in activities of daily living as possible .   People with ALS who have difficulty speaking may benefit from working with a speech - language pathologist . These health professionals can teach people adaptive strategies such as techniques to help them speak louder and more clearly . As ALS progresses , speech - language pathologists can recommend the use of augmentative and alternative communication such as voice amplifiers , speech - generating devices ( or voice output communication devices ) or low - tech communication techniques such as head mounted laser pointers , alphabet boards or yes / no signals .   Nutrition ( edit )   People with ALS and caregivers can learn from dieticians how to plan and prepare numerous small meals throughout the day that provide enough calories , fiber and fluid , and how to avoid foods that are difficult to swallow . Providing meals with vitamin E and taking vitamin E supplements have shown to slow down the progression of ALS . People may begin using suction devices to remove excess fluids or saliva and prevent choking . Occupational therapists can assist with recommendations for adaptive equipment to ease the physical task of self - feeding . Speech - language pathologists make food choice recommendations that are more conducive to their unique deficits and abilities . When people with ALS can no longer get enough nourishment from eating , doctors may advise inserting a feeding tube into the stomach .   End - of - life care ( edit )   Social workers and home care and hospice nurses help people with ALS , their families , and caregivers with the medical , emotional , and financial challenges of coping , particularly during the final stages of the disease . Social workers provide support such as assistance in obtaining financial aid , arranging durable power of attorney , preparing a living will , and finding support groups for patients and caregivers . Home nurses are available not only to provide medical care , but also to teach caregivers about tasks such as maintaining respirators , giving feedings , and moving people to avoid painful skin problems and contractures . Home hospice nurses work in consultation with physicians to ensure proper medication , pain control , and other care affecting the quality of life of people with ALS who wish to remain at home . The home hospice team can also counsel people with ALS and caregivers about end - of - life issues .   Epidemiology. ( edit )   In much of the world , rates of ALS are unknown . In Europe , the disease affects about 2.6 people per 100,000 per year . In the United States , more than 5,600 are diagnosed every year ( over 1.5 per 100,000 per year ) , and up to 30,000 Americans are currently affected . ALS is responsible for two deaths per 100,000 Americans per year .   ALS is classified as a rare disease designated by the FDA as an `` orphan '' disease ( affecting fewer than 200,000 people in the United States ) , but is the most common motor neuron disease . One or two of 100,000 people develop ALS each year . ALS cases are estimated at 1.2 -- 4.0 per 100,000 individuals in Caucasian populations with a lower rate in other ethnic populations . People of all races and ethnic backgrounds may be affected . Filipinos are second to Caucasians in terms of ALS prevalence , with 1.1 - 2.8 per 100,000 individuals . The disease can affect people at any age , but usually starts around the ages of 58 to 63 years for sporadic disease and 47 to 52 years for familial disease .   History ( edit )   Descriptions of the disease date back to at least 1824 by Charles Bell .   English scientist Augustus Waller described the appearance of shriveled nerve fibers in 1850 . In 1869 , the connection between the symptoms and the underlying neurological problems were first described by Jean - Martin Charcot , who initially introduced the term amyotrophic lateral sclerosis in his 1874 paper . In 1881 , the article was translated into English and published in a three - volume edition of Lectures on the Diseases of the Nervous System .   ALS became a cause célèbre in the United States in 1939 when baseball legend Lou Gehrig 's career , and two years later , his life , were ended by the disease .   In the 1950s , an epidemic occurred among the Chamorro people on Guam , which bore similarities to many conditions , including ALS .   By 1991 , researchers had linked chromosome 21 to familial ALS ( FALS ) . In 1993 , the SOD1 gene on chromosome 21 was found to play a role in some cases of FALS . In 1996 , riluzole became the first FDA - approved drug for ALS .   In 1998 , the El Escorial criteria were developed as the standard for classifying people with ALS in clinical research . The next year , the revised ALS Functional Rating Scale was published and soon becomes a gold standard for clinical research . Nonc</t>
  </si>
  <si>
    <t xml:space="preserve">what is the full form of als disease</t>
  </si>
  <si>
    <t xml:space="preserve"> Amyotrophic lateral sclerosis ( ALS ) , also known as motor neurone disease ( MND ) , and Lou Gehrig 's disease , is a specific disease which causes the death of neurons controlling voluntary muscles . Some also use the term motor neuron disease for a group of conditions of which ALS is the most common . ALS is characterized by stiff muscles , muscle twitching , and gradually worsening weakness due to muscles decreasing in size . This results in difficulty speaking , swallowing , and eventually breathing . </t>
  </si>
  <si>
    <t xml:space="preserve">The Chronicles of Narnia - wikipedia  The Chronicles of Narnia  `` Narnia '' redirects here . For other uses , see Narnia ( disambiguation ) . This article is about the book series . For the film series , see The Chronicles of Narnia ( film series ) .  The Chronicles of Narnia   The Chronicles of Narnia boxed set       ( in publication order )   The Lion , the Witch and the Wardrobe ( 1950 )   Prince Caspian ( 1951 )   The Voyage of the Dawn Treader ( 1952 )   The Silver Chair ( 1953 )   The Horse and His Boy ( 1954 )   The Magician 's Nephew ( 1955 )   The Last Battle ( 1956 )       Author   C.S. Lewis     Illustrator   Pauline Baynes     Country   United Kingdom     Language   English     Genre   Fantasy Children 's literature     Publisher   HarperCollins     Published   16 October 1950 -- 4 September 1956     Media type   Print ( hardcover and paperback )     The Chronicles of Narnia is a series of seven fantasy novels by C.S. Lewis . It is considered a classic of children 's literature and is the author 's best - known work , having sold over 100 million copies in 47 languages . Written by Lewis , illustrated by Pauline Baynes , and originally published in London between 1950 and 1956 , The Chronicles of Narnia has been adapted several times , complete or in part , for radio , television , the stage , and film .   Set in the fictional realm of Narnia , a fantasy world of magic , mythical beasts , and talking animals , the series narrates the adventures of various children who play central roles in the unfolding history of that world . Except in The Horse and His Boy , the protagonists are all children from the real world , magically transported to Narnia , where they are called upon by the lion Aslan to protect Narnia from evil and restore the throne to its rightful line . The books span the entire history of Narnia , from its creation in The Magician 's Nephew to its eventual destruction in The Last Battle .   Inspiration for the series was taken from multiple sources ; in addition to adapting numerous traditional Christian themes , Lewis freely borrowed characters and ideas from Greek and Roman mythology as well as from traditional British and Irish fairy tales .   The books have profoundly influenced adult and children 's fantasy literature since World War II . Lewis 's exploration of themes not usually present in children 's literature , such as religion , as well as the books ' perceived treatment of issues including race and gender , has caused some controversy .   Contents  ( hide )   1 Background and conception   1.1 Name     2 Publication history   3 Books   3.1 The Lion , the Witch and the Wardrobe ( 1950 )   3.2 Prince Caspian : The Return to Narnia ( 1951 )   3.3 The Voyage of the Dawn Treader ( 1952 )   3.4 The Silver Chair ( 1953 )   3.5 The Horse and His Boy ( 1954 )   3.6 The Magician 's Nephew ( 1955 )   3.7 The Last Battle ( 1956 )     4 Reading order   5 Main characters   5.1 Aslan   5.2 Pevensie family   5.2. 1 Lucy Pevensie   5.2. 2 Edmund Pevensie   5.2. 3 Susan Pevensie   5.2. 4 Peter Pevensie     5.3 Eustace Scrubb   5.4 Jill Pole   5.5 Digory Kirke   5.6 Polly Plummer   5.7 ( Mr ) Tumnus   5.8 Prince Caspian / Caspian X   5.9 Trumpkin   5.10 Reepicheep   5.11 Puddleglum   5.12 Shasta / Cor   5.13 Aravis   5.14 Bree   5.15 King Tirian   5.16 Antagonists   5.16. 1 White Witch / Jadis   5.16. 2 King Miraz   5.16. 3 Lady of the Green Kirtle   5.16. 4 Prince Rabadash of Calormen   5.16. 5 Shift the Ape     5.17 Title characters   5.18 Appearances of main characters     6 Narnian universe   6.1 Inhabitants   6.2 Geography   6.3 Cosmology   6.4 History     7 Influences   7.1 Lewis 's life   7.2 Influences from mythology and cosmology   7.3 Influences from literature     8 Influences on other works   8.1 Influences on literature   8.2 Influences on popular culture   8.3 Influences on music     9 Christian themes   10 Criticism   10.1 Accusations of gender stereotyping   10.2 Accusations of racism     11 Adaptations of The Chronicles of Narnia   11.1 Television   11.2 Radio   11.3 Stage   11.4 Film     12 See also   13 Notes   14 References   15 Further reading   16 External links    Background and conception ( edit )   Although Lewis originally conceived what would become The Chronicles of Narnia in 1939 ( the picture of a Faun with parcels in a snowy wood has a history dating to 1914 ) , he did not finish writing the first book The Lion , the Witch and the Wardrobe until 1949 . The Magician 's Nephew , the penultimate book to be published , but the last to be written , was completed in 1954 . Lewis did not write the books in the order in which they were originally published , nor were they published in their current chronological order of presentation . The original illustrator , Pauline Baynes , created pen and ink drawings for the Narnia books that are still used in the editions published today . Lewis was awarded the 1956 Carnegie Medal for The Last Battle , the final book in the saga . Fellow children 's author Roger Lancelyn Green first referred to the series as The Chronicles of Narnia , in March 1951 , after he had read and discussed with Lewis his recently completed fourth book The Silver Chair , originally entitled Night under Narnia .   Lewis described the origin of The Lion , the Witch and the Wardrobe in an essay entitled `` It All Began with a Picture '' :    The Lion all began with a picture of a Faun carrying an umbrella and parcels in a snowy wood . This picture had been in my mind since I was about sixteen . Then one day , when I was about forty , I said to myself : ' Let 's try to make a story about it . '    Shortly before the start of World War II , many children were evacuated to the English countryside in anticipation of attacks on London and other major urban areas by Nazi Germany . As a result , on 2 September 1939 , three school girls , Margaret , Mary and Katherine , came to live at The Kilns in Risinghurst , Lewis 's home three miles east of Oxford city centre . Lewis later suggested that the experience gave him a new appreciation of children and in late September he began a children 's story on an odd sheet of paper which has survived as part of another manuscript :    This book is about four children whose names were Ann , Martin , Rose and Peter . But it is most about Peter who was the youngest . They all had to go away from London suddenly because of Air Raids , and because Father , who was in the Army , had gone off to the War and Mother was doing some kind of war work . They were sent to stay with a kind of relation of Mother 's who was a very old professor who lived all by himself in the country .    In `` It All Began With a Picture '' C.S. Lewis continues :    At first I had very little idea how the story would go . But then suddenly Aslan came bounding into it . I think I had been having a good many dreams of lions about that time . Apart from that , I do n't know where the Lion came from or why he came . But once he was there , he pulled the whole story together , and soon he pulled the six other Narnian stories in after him .    The manuscript for The Lion , the Witch and the Wardrobe was complete by the end of March 1949 .   Name ( edit )   The name Narnia is based on Narni , Italy , written in Latin as Narnia . Green wrote :    When Walter Hooper asked ( C.S. Lewis ) where he found the word ' Narnia ' , Lewis showed him Murray 's Small Classical Atlas , ed . G.B. Grundy ( 1904 ) , which he acquired when he was reading the classics with Mr Kirkpatrick at Great Bookham ( 1914 -- 1917 ) . On plate 8 of the Atlas is a map of ancient Italy . Lewis had underscored the name of a little town called Narnia , simply because he liked the sound of it . Narnia -- or ' Narni ' in Italian -- is in Umbria , halfway between Rome and Assisi .    Publication history ( edit )   The Chronicles of Narnia 's seven books have been in continuous publication since 1956 , selling over 100 million copies in 47 languages and with editions in Braille .   The first five books were originally published in the United Kingdom by Geoffrey Bles . The first edition of The Lion , the Witch and the Wardrobe was released in London on 16 October 1950 . Although three more books , Prince Caspian , The Voyage of the Dawn Treader and The Horse and His Boy , were already complete , they were not released immediately at that time , but appeared ( along with The Silver Chair ) one at a time in each of the subsequent years ( 1951 -- 1954 ) . The last two books ( The Magician 's Nephew and The Last Battle ) were published in the United Kingdom originally by The Bodley Head in 1955 and 1956 .   In the United States , the publication rights were first owned by Macmillan Publishers , and later by HarperCollins . The two issued both hardcover and paperback editions of the series during their tenure as publishers , while at the same time Scholastic , Inc. produced paperback versions for sale primarily through direct mail order , book clubs , and book fairs. Harper Collins also published several one - volume collected editions containing the full text of the series . As noted below ( see reading order ) , the first American publisher , Macmillan , numbered the books in publication sequence , but when Harper Collins won the rights in 1994 , at the suggestion of Lewis 's stepson they used the series ' internal chronological order . Scholastic switched the numbering of its paperback editions in 1994 to mirror that of Harper Collins .   Books ( edit )   The seven books that make up The Chronicles of Narnia are presented here in order of original publication date :   The Lion , the Witch and the Wardrobe ( 1950 ) ( edit )  Main article : The Lion , the Witch and the Wardrobe  The Lion , the Witch and the Wardrobe , completed by the end of March 1949 and published by Geoffrey Bles in the United Kingdom on 16 October 1950 , tells the story of four ordinary children : Peter , Susan , Edmund , and Lucy Pevensie , who have been evacuated to the English countryside from London in 1940 following the outbreak of World War II . They discover a wardrobe in Professor Digory Kirke 's house that leads to the magical land of Narnia . The Pevensie children help Aslan , a talking lion , save Narnia from the evil White Witch , who has reigned over the land of Narnia for a century of perpetual winter with no Christmas . The children become kings and queens of this new - found land and establish the Golden Age of Narnia , leaving a legacy to be rediscovered in later books .   Prince Caspian : the return to Narnia ( 1951 ) ( edit )  Main article : Prince Caspian  Completed after Christmas 1949 and published on 15 October 1951 , Prince Caspian : The Return to Narnia tells the story of the Pevensie children 's second trip to Narnia . They are drawn back by the power of Susan 's horn , blown by Prince Caspian to summon help in his hour of need . Narnia , as they knew it , is no more , as 1,300 years have passed and their castle is in ruins , while all Narnians have retreated so far within themselves that only Aslan 's magic can wake them . Caspian has fled into the woods to escape his uncle , Miraz , who has usurped the throne . The children set out once again to save Narnia .   The Voyage of the Dawn Treader ( 1952 ) ( edit )  Main article : The Voyage of the Dawn Treader  Written between January and February 1950 and published on 15 September 1952 , The Voyage of the Dawn Treader sees Edmund and Lucy Pevensie , along with their priggish cousin , Eustace Scrubb , return to Narnia . Once there , they join Caspian 's voyage on the ship Dawn Treader to find the seven lords who were banished when Miraz took over the throne . This perilous journey brings them face to face with many wonders and dangers as they sail toward Aslan 's country at the edge of the world .   The Silver Chair ( 1953 ) ( edit )  Main article : The Silver Chair  Completed at the beginning of March 1951 and published 7 September 1953 , The Silver Chair is the first Narnia book not involving the Pevensie children , focusing instead on Eustace . Several months after The Voyage of the Dawn Treader Aslan calls Eustace back to Narnia along with his classmate Jill Pole . They are given four signs to aid them in the search for Prince Caspian 's son Rilian , who disappeared ten years earlier on a quest to avenge his mother 's death . Fifty years have passed in Narnia ; Eustace is still a child , but Caspian , barely an adult in The Voyage of the Dawn Treader , is now an old man . Eustace and Jill , with the help of Puddleglum the Marsh - wiggle , face danger and betrayal on their quest to find Rilian .   The Horse and his Boy ( 1954 ) ( edit )  Main article : The Horse and His Boy  Begun in March and completed at the end of July 1950 , The Horse and His Boy was published on 6 September 1954 . The story takes place during the reign of the Pevensies in Narnia , an era which begins and ends in the last chapter of The Lion , the Witch and the Wardrobe . A young boy named Shasta and a talking horse named Bree , both of whom are in bondage in the country of Calormen , are the protagonists . By `` chance '' , they meet and plan their return to Narnia and freedom . Along the way they meet Aravis and her talking horse Hwin who are also fleeing to Narnia .   The Magician 's Nephew ( 1955 ) ( edit )  Main article : The Magician 's Nephew  Completed in February 1954 and published by Bodley Head in London on 2 May 1955 , the prequel The Magician 's Nephew brings the reader back to the origins of Narnia where we learn how Aslan created the world and how evil first entered it . Digory Kirke and his friend Polly Plummer stumble into different worlds by experimenting with magic rings made by Digory 's uncle . In the dying world of Charn they awaken Queen Jadis , and they witness the creation of Narnian world ( where Jadis later becomes the White Witch ) . Many long - standing questions about the world are answered as a result . The story is set in 1900 , when Digory was a 12 - year - old boy . He is a middle - aged professor by the time he hosts the Pevensie children in The Lion , the Witch and the Wardrobe 40 years later .   The Last Battle ( 1956 ) ( edit )  Main article : The Last Battle  Completed in March 1953 and published 4 September 1956 , The Last Battle chronicles the end of the world of Narnia . Jill and Eustace return to save Narnia from Shift , an ape , who tricks Puzzle , a donkey , into impersonating the lion Aslan , precipitating a showdown between the Calormenes and King Tirian . This leads to the end of Narnia , revealing the true Narnia to which Aslan brings them .   Reading order ( edit )   Fans of the series often have strong opinions over the order in which the books should be read . The issue revolves around the placement of The Magician 's Nephew and The Horse and His Boy in the series . Both are set significantly earlier in the story of Narnia than their publication order and fall somewhat outside the main story arc connecting the others . The reading order of the other five books is not disputed .  A 1970 Collier - Macmillan edition paperback boxed set ( cover art by Roger Hane ) , where the books are presented in order of original publication    Original publication order   Harper Collins order ( internally chronological )     The Lion , the Witch and the Wardrobe   The Magician 's Nephew     Prince Caspian   The Lion , the Witch and the Wardrobe     The Voyage of the Dawn Treader   The Horse and His Boy     The Silver Chair   Prince Caspian     The Horse and His Boy   The Voyage of the Dawn Treader     The Magician 's Nephew   The Silver Chair     The Last Battle   The Last Battle     When first published , the books were not numbered . The first American publisher , Macmillan , enumerated them according to their original publication order , while some early British editions specified the internal chronological order . When Harper Collins took over the series rights in 1994 , they adopted the internal chronological order . To make the case for the internal chronological order , Lewis 's stepson , Douglas Gresham , quoted Lewis 's 1957 reply to a letter from an American fan who was having an argument with his mother about the order :    I think I agree with your ( chronological ) order for reading the books more than with your mother 's . The series was not planned beforehand as she thinks . When I wrote The Lion I did not know I was going to write any more . Then I wrote P. Caspian as a sequel and still did n't think there would be any more , and when I had done The Voyage I felt quite sure it would be the last , but I found I was wrong . So perhaps it does not matter very much in which order anyone read them . I 'm not even sure that all the others were written in the same order in which they were published .    In the 2005 Harper Collins adult editions of the books , the publisher cites this letter to assert Lewis 's preference for the numbering they adopted by including this notice on the copyright page :    Although The Magician 's Nephew was written several years after C.S. Lewis first began The Chronicles of Narnia , he wanted it to be read as the first book in the series . Harper Collins is happy to present these books in the order in which Professor Lewis preferred .    Paul Ford cites several scholars who have weighed in against this view , and continues , `` most scholars disagree with this decision and find it the least faithful to Lewis 's deepest intentions '' . Scholars and readers who appreciate the original order believe that Lewis was simply being gracious to his youthful correspondent and that he could have changed the books ' order in his lifetime had he so desired . They maintain that much of the magic of Narnia comes from the way the world is gradually presented in The Lion , the Witch and the Wardrobe -- that the mysterious wardrobe , as a narrative device , is a much better introduction to Narnia than The Magician 's Nephew , where the word `` Narnia '' appears in the first paragraph as something already familiar to the reader . Moreover , they say , it is clear from the texts themselves that The Lion , the Witch and the Wardrobe was intended to be read first . When Aslan is first mentioned in The Lion , the Witch and the Wardrobe , for example , the narrator says that `` None of the children knew who Aslan was , any more than you do '' -- which is nonsensical if one has already read The Magician 's Nephew . Other similar textual examples are also cited .   Doris Meyer , author of C.S. Lewis in Context and Bareface : A guide to C.S. Lewis , writes that rearranging the stories chronologically `` lessens the impact of the individual stories '' and `` obscures the literary structures as a whole '' . Peter Schakel devotes an entire chapter to this topic in his book Imagination and the Arts in C.S. Lewis : Journeying to Narnia and Other Worlds , and in Reading with the Heart : The Way into Narnia he writes :    The only reason to read The Magician 's Nephew first ( ... ) is for the chronological order of events , and that , as every story teller knows , is quite unimportant as a reason . Often the early events in a sequence have a greater impact or effect as a flashback , told after later events which provide background and establish perspective . So it is ( ... ) with the Chronicles . The artistry , the archetypes , and the pattern of Christian thought all make it preferable to read the books in the order of their publication .    Main characters ( edit )  Further information : List of The Chronicles of Narnia characters  Aslan ( edit )  Main article : Aslan  Aslan , the Great Lion , is the eponymous lion of The Lion , the Witch and the Wardrobe , and his role in Narnia is developed throughout the remaining books . He is also the only character to appear in all seven books . Aslan is a talking lion , the King of Beasts , son of the Emperor - Over-the - Sea . He is a wise , compassionate , magical authority ( both temporal and spiritual ) who serves as mysterious and benevolent guide to the human children who visit , as well as being the guardian and saviour of Narnia . C.S. Lewis described Aslan as an alternative version of Jesus as the form in which Christ might have appeared in an alternative reality .   Pevensie family ( edit )   The four Pevensie siblings are the main human protagonists of The Chronicles of Narnia . Varying combinations of some or all of them appear in five of the seven novels . They are introduced in The Lion , the Witch and the Wardrobe ( although we do not learn their surname until The Voyage of the Dawn Treader ) , and eventually become Kings and Queens of Narnia reigning as a tetrarchy . Although introduced in the series as children , the siblings grow up into adults while reigning in Narnia . They go back to being children once they get back to their own world , but feature as adults in The Horse and His Boy during their Narnian reign .   All four appear in The Lion , the Witch , and the Wardrobe and Prince Caspian ; in the latter , however , Aslan tells Peter and Susan that they will not return , as they are getting too old . Susan , Lucy , and Edmund appear in The Horse and His Boy -- Peter is said to be away fighting giants on the other side of Narnia . Lucy and Edmund appear in The Voyage of the Dawn Treader , where Aslan tells them , too , that they are getting too old . Peter , Edmund , and Lucy appear as Kings and Queens in Aslan 's Country in The Last Battle ; Susan does not . Asked by a child in 1958 if he would please write another book entitled `` Susan of Narnia '' so that the entire Pevensie family would be reunited , C.S. Lewis replied : `` I am so glad you like the Narnian books and it was nice of you to write and tell me . There 's no use just asking me to write more . When stories come into my mind I have to write them , and when they do n't I ca n't ! ... ''  Lucy Pevensie ( edit ) Main article : Lucy Pevensie  Lucy is the youngest of the four Pevensie siblings . Of all the Pevensie children , Lucy is the closest to Aslan , and of all the human characters who visit Narnia , Lucy is perhaps the one who believes in Narnia the most . In The Lion , the Witch , and the Wardrobe she initiates the story by entering Narnia through the wardrobe , and ( with Susan ) witnesses Aslan 's execution and resurrection . She is named Queen Lucy the Valiant . In Prince Caspian she is the first to see Aslan when he comes to guide them . In The Voyage of the Dawn Treader , it is Lucy who breaks the spell of invisibility on the Dufflepuds . As an adult in The Horse and His Boy she helps fight the Calormenes at Anvard . Although a minor character in The Last Battle , much of the closing chapter is seen from her point of view .  Edmund Pevensie ( edit ) Main article : Edmund Pevensie  Edmund is the second child to enter Narnia in The Lion , the Witch , and the Wardrobe , where he falls under the White Witch 's spell . Instantiating that book 's Christian theme of betrayal , repentance , and subsequent redemption via blood sacrifice , he betrays his siblings to her , but quickly realizes her true nature and her evil intentions , and is redeemed by the sacrifice of Aslan 's life . He is named King Edmund the Just . In Prince Caspian and The Voyage of the Dawn Treader he supports Lucy ; in The Horse and His Boy he leads the Narnian delegation to Calormen and , later , the Narnian army breaking the siege at Anvard .  Susan Pevensie ( edit ) Main article : Susan Pevensie  In The Lion , the Witch , and the Wardrobe Susan accompanies Lucy to see Aslan die and rise again . She is named Queen Susan the Gentle . In Prince Caspian , however , she is the last of the four to believe and follow Lucy when the latter is called by Aslan to guide them . As an adult queen in The Horse and His Boy she is courted by Prince Rabadash of Calormen but refuses his marriage proposal , and his angry response leads the story to its climax . In The Last Battle , we are told that she has stopped believing in Narnia and remembers it only as a childhood game .  Peter Pevensie ( edit ) Main article : Peter Pevensie  Peter is the eldest of the Pevensies . In The Lion , the Witch , and the Wardrobe he kills a Talking Wolf to save Susan , and leads the Narnian army against the White Witch . Aslan names him High King , and he is known as Peter the Magnificent . In Prince Caspian he duels the usurper King Miraz to restore Caspian 's throne . In The Last Battle it is Peter whom Aslan entrusts with the duty of closing the door on Narnia for the final time .   Eustace Scrubb ( edit )  Main article : Eustace Scrubb  Eustace Clarence Scrubb is a cousin of the Pevensies , and a classmate of Jill Pole at their school Experiment House . He is portrayed at first as a brat and a bully , but comes to improve his nasty behaviour when his greed turns him into a dragon for a while . His distress at having to live as a dragon causes him to reflect upon how horrible he has been , and he soon becomes a better person so Aslan changes him back into a boy . In the later books , Eustace comes across as a much nicer person , although he is still rather grumpy and argumentative . Nonetheless , he becomes a hero along with Jill Pole when the pair succeed in freeing the lost Prince Rilian from the clutches of an evil witch . He appears in The Voyage of the Dawn Treader , The Silver Chair , and The Last Battle .   Jill Pole ( edit )  Main article : Jill Pole  Jill Pole is not related to any of the other children who enter Narnia . She is a classmate and neighbour of Eustace Scrubb . She appears in The Silver Chair , where she is the viewpoint character for most of the action , and returns in The Last Battle . In The Silver Chair Eustace introduces her to the Narnian world , where Aslan gives her the task of memorising a series of signs that will help her and Eustace on their quest to find Caspian 's lost son . In The Last Battle she and Eustace accompany King Tirian in his ill - fated defence of Narnia against the Calormenes .   Digory Kirke ( edit )  Main article : Digory Kirke  Digory Kirke is the character referred to in the title of The Magician 's Nephew . He first appears as a minor character in The Lion , the Witch and the Wardrobe , known only as `` The Professor '' , who hosts the Pevensie children when they are evacuated from London and defends Lucy 's story of having found a country in the back of the wardrobe . In The Magician 's Nephew the young Digory , thanks to his uncle 's magical experimentation , inadvertently brings Jadis from her dying homeworld of Charn to the newly - created world of Narnia ; to fix his mistake Aslan sends him to fetch a magical apple which will protect Narnia and heal his dying mother . He returns in The Last Battle .   Polly Plummer ( edit )  Main article : Polly Plummer  Polly Plummer appears in The Magician 's Nephew and The Last Battle . She is the next - door neighbour of the young Digory Kirke . She is tricked by a wicked magician ( who is Digory 's uncle ) into touching a magic ring which transports her to the Wood between the Worlds and leaves her there stranded . The wicked uncle persuades Digory to follow her with a second magic ring that has the power to bring her back . This sets up the pair 's adventures into other worlds , and they witness the creation of Narnia as described in The Magician 's Nephew .   ( Mr ) Tumnus ( edit )  Main article : Mr. Tumnus  Tumnus , called `` Mr Tumnus '' by Lucy , is a faun who is featured prominently in The Lion , the Witch and the Wardrobe and also appears in The Horse and His Boy and The Last Battle . He is the first creature Lucy meets in Narnia , as well as the first Narnian to be introduced in the series ; he invites her to his home with the intention of betraying her to Jadis , but quickly repents and befriends her . In The Horse and His Boy he devises the Narnian delegation 's plan of escape from Calormen . He returns for a brief dialogue at the end of The Last Battle . Tumnus is the faun in the snowy wood the mental image of which , according to Lewis , was the initial inspiration for the entire Narnia series .   Prince Caspian / Caspian X ( edit )  Main article : Caspian X  Prince Caspian , later to become King Caspian X of Narnia , Lord of Cair Paravel and Emperor of The Lone Islands -- also called `` Caspian the Seafarer '' and `` Caspian the Navigator '' -- is the title character of the second book in the series , first introduced as the young nephew and heir of King Miraz of Narnia . Prince Caspian : The Return to Narnia is set 1300 years after the rule of High King Peter and his siblings , when Old Narnians have been driven into hiding by Caspian 's ancestors the Telmarines . Caspian is also a central character in The Voyage of the Dawn Treader , and appears briefly at the beginning and end of The Silver Chair .   Trumpkin ( edit )  Main article : Trumpkin  Trumpkin the Dwarf is the narrator of several chapters of Prince Caspian ; he is one of Caspian 's rescuers and a leading figure in the `` Old Narnian '' rebellion , and accompanies the Pevensie children from the ruins of Cair Paravel to the Old Narnian camp . In The Voyage of the Dawn Treader we learn that Caspian has made him his Regent in Narnia while he is away at sea , and he appears briefly in this role ( now elderly and very deaf ) in The Silver Chair .   Reepicheep ( edit )  Main article : Reepicheep  Reepicheep the Mouse is the leader of the Talking Mice of Narnia in Prince Caspian . Utterly fearless , infallibly courteous , obsessed with honour , he is badly wounded in the final battle but healed by Lucy and Aslan . In The Voyage of the Dawn Treader his role is greatly expanded ; he becomes a visionary as well as a warrior , and ultimately his willing self - exile to Aslan 's Country breaks the enchantment on the last three of the Lost Lords , thus achieving the final goal of the quest . Lewis identified Reepicheep as `` specially '' exemplifying the latter book 's theme of `` the spiritual life '' .   Puddleglum ( edit )  Main article : Puddleglum  Puddleglum the Marsh - wiggle guides Eustace and Jill on their quest in The Silver Chair . Though always comically pessimistic , he provides the voice of reason and as such intervenes critically in the climactic enchantment scene .   Shasta / Cor ( edit )  Main article : Shasta ( Narnia )  Shasta , later known as Cor of Archenland , is the principal character in The Horse and His Boy . Born the eldest son and heir of King Lune of Archenland , and elder twin of Prince Corin , Cor was kidnapped as an infant and raised as a fisherman 's son in the country of Calormen . Learning that he is about to be sold into slavery at the beginning of The Horse and His Boy , Shasta escapes to freedom , saves Archenland and Narnia from invasion , learns of his true identity , and is restored to his heritage . Shasta grows up to become King of Archenland , marries the Calormene Tarkheena Aravis , and fathers the next ( and most famous ) king of Archenland , Ram the Great .   Aravis ( edit )  Main article : Aravis  Aravis , daughter of Kidrash Tarkaan , is a character in The Horse and His Boy . Escaping a forced betrothal to the loathsome Ahoshta , she joins Shasta on his journey and inadvertently overhears a plot by Rabadash , crown prince of Calormen , to invade Archenland . She later marries Shasta , now known as Prince Cor , and becomes queen of Archenland at his side .   Bree ( edit )  Main article : Bree ( Narnia )  Bree ( Breehy - hinny - brinny - hoohy - hah ) is Shasta 's mount and mentor in The Horse and His Boy . A Talking Horse of Narnia , he wandered into Calormen as a foal and was captured . He first appears as a Calormene nobleman 's war - horse ; when the nobleman buys Shasta as a slave , Bree organises and carries out their joint escape . Though friendly , he is also vain and a braggart until his encounter with Aslan late in the story .   King Tirian ( edit )  Main article : Tirian  The last King of Narnia is the viewpoint character for much of The Last Battle . Having rashly killed a Calormene for mistreating a Narnian Talking Horse , he is imprisoned by the villainous ape Shift but released by Eustace and Jill . Together they fight faithfully to the last and are welcomed into Aslan 's Kingdom .   Antagonists ( edit )  White Witch / Jadis ( edit ) Main article : White Witch  Jadis , commonly known during her rule of Narnia as the White Witch , is the main villain of The Lion , The Witch and the Wardrobe and The Magician 's Nephew -- the only antagonist to appear in more than one Narnia book . In T</t>
  </si>
  <si>
    <t xml:space="preserve">how many books are in the narnia series</t>
  </si>
  <si>
    <t xml:space="preserve"> The Chronicles of Narnia is a series of seven fantasy novels by C.S. Lewis . It is considered a classic of children 's literature and is the author 's best - known work , having sold over 100 million copies in 47 languages . Written by Lewis , illustrated by Pauline Baynes , and originally published in London between 1950 and 1956 , The Chronicles of Narnia has been adapted several times , complete or in part , for radio , television , the stage , and film . </t>
  </si>
  <si>
    <t xml:space="preserve">Marcus Alvarez - wikipedia  Marcus Alvarez     Marcus Álvarez     Sons of Anarchy / Mayans M.C. character         First appearance     Sons of Anarchy :   `` Pilot '' ( 2008 )   Mayans M.C. :   `` Perro / Oc '' ( 2018 )       Last appearance     Sons of Anarchy :   `` Papa 's Goods '' ( 2014 )       Created by   Kurt Sutter     Portrayed by   Emilio Rivera     Information     Gender   Male     Occupation   Outlaw motorcyclist Gun runner Drug trafficker     Title   El Padrino ( The Godfather )     Family   Esai Álvarez ( son ) Tessa Álvarez ( daughter ) Obispo `` Bishop '' Losa ( cousin )     Nationality   Mexican - American     Marcus Álvarez is a fictional character on the FX television series Sons of Anarchy and its spinoff Mayans MC , played by Emilio Rivera . He initially serves as an antagonist on the show but gradually comes to a less hostile relation with the Sons of Anarchy . He is the leader of the Mayans , a Mexican - American outlaw motorcycle club .   Contents    1 Biography   2 Sons of Anarchy   2.1 Season 1   2.2 Season 2   2.3 Season 3   2.4 Season 4   2.5 Season 5   2.6 Season 6   2.7 Season 7     3 Mayans M.C.   3.1 Season 1     4 External links   5 References    Biography ( edit )   Álvarez , who is of Mexican descent , is the President of the Mayans Motorcycle Club 's Oakland , California chapter and seems to be their national president . His son , Esai , was also a member of the club but had a hit placed on him by Marcus in 2008 as punishment for failing his mission . Most of his , and his gang 's , income is made through dealing heroin and methamphetamine , and prostitution . For some time , he was a prisoner in Chino , but was released some time before the beginning of Season One .   On his colours , he wears patches reading `` Los Asesinos de Dios '' ( Spanish for `` God 's Assassins '' ) and `` Mayans Oakland '' . However , his `` President '' patch is later changed to `` El Padrino '' . He also has the Mayan Calendar tattooed on his chest .   Sons of Anarchy ( edit )   Season 1 ( edit )  See also : Sons of Anarchy ( season 1 )  At the beginning of the first series , Marcus Álvarez and his gang broke into the Sons of Anarchy 's warehouse where they store their weapons . They stole the guns then burned the building down . The Sons of Anarchy eventually got revenge , however , by stealing the guns back and destroying a Mayans heroin factory .   Ernest Darby , the leader of the Nordics , called a meeting with him to discuss taking out the Sons of Anarchy . He proposed that they team because ; the Nords want to sell meth in Charming but are unable to because of the SOA , and the SOA sell weapons to the Mayans ' rivals . Álvarez refused the offer but did give his backing by offering Mayan security .   After Josh Kohn , a rogue ATF agent , sent Darby information on IRA and SOA weapon deals , he called another meeting with Álvarez . Darby told him to kill Clay Morrow and afterward , the Nords could take Charming and the Mayans could take over the gun business . Marcus then told his son , Esai , to kill both Morrow and Darby . Later , when Clay was making a deal with the IRA at a bar , the Mayans attacked but were killed before they could get to him . They simultaneously assaulted Darby 's home , but also failed to kill him . They broke in and shot a Nord footsoldier and two women , but Darby hid and escaped death .   When Clay Morrow was arrested for questioning about the shootings , he asked his associate and corrupt cop Wayne Unser to bring Álvarez in so that they could hold a meeting a halt any further violence . Clay told him that he would begin selling weapons to the Mayans if all SOA - Mayan disputes ended in the SOA 's favour , to which he agreed . Later , one of Clay 's men was ordered to kill Esai at a Mayan gathering for retaliation for his failed assassination attempt .   When the Mayans eventually set up a deal with the Sons in Oakland , it was attacked by the One - Niners . A shoot - out ensued , and gang members from the One - Niners and Mayans were killed , but the Sons of Anarchy escaped . Álvarez was also shot in the leg and wounded . The deal was , in fact , a set - up organized by the Niners and SOA . The Niners were supposed to attack the Mayans after the Sons had left and would keep the weapons as payment . However , they tried to take out the SOA as well .   Season 2 ( edit )  See also : Sons of Anarchy ( season 2 )  At the beginning of Season 2 , Clay had Opie murder a member of the Mayans , who Clay had framed as the guy who murdered Donna . After Opie murdered the Mayan , he carved the Anarchy symbol in his chest as a message to the Mayans . Jax Teller dropped off the body in Mayan Territory in Oakland after shooting the gang member multiple times in the body to destroy the symbol . He then arranged the Mayan 's hands to hold up 9 fingers to implicate the One - Niners as the culprits . Alvarez later found the body and gave Clay a call asking to buy weapons . Clay turned Alvarez down on the weapons transaction , telling him that the club was still under suspicion of the ATF ; Clay then told Tig to call Laroy of the One - Niners to arrange a meeting to supply Niners with weapons so that they could defend themselves when the Mayans attacked . During the weapons transaction between SAMCRO and the Niners , the Mayans ambushed the deal and stole all the Niner 's AKs , and Bobby Elvis was shot in the shoulder during the ambush . After the ambush , Alvarez was seen making a phone call to Ethan Zobelle of LOAN telling him his intel was correct and that he owed him . Zobelle responded , `` Yes , you do , '' and then told AJ Weston that it was his friend from church on the phone . Clay blamed the whole ambush and Bobby getting shot in the shoulder on Jax , as Jax changed the plan and set the Niners up for the hit instead of leaving Anarchy symbol on the dead Mayan 's chest .   In the episode `` Service '' , Zobelle met with Marcus Alvarez offering the Mayans the exclusive business of having their heroin distributed to all the local prisons . Alvarez is hesitant about the deal because Zobelle wants to keep 50 % of the profits , but has no choice when Zobelle tells him that he wo n't supply the Mayans with any more weapons if they do n't go along with the new arrangement .   In the second - season finale , Marcus and the Mayans provided protection to Ethan Zobelle and Zobelle 's daughter who were attempting to flee Charming . Marcus was eventually able to convince Zobelle to leave his cigar shop , but the Mayan convoy they attempted to escape in was ambushed by SAMCRO . Marcus survived the attack uninjured and Clay spared his life .   Season 3 ( edit )  See also : Sons of Anarchy ( season 3 )  During the season Alvarez hired a low ranked MC , the Calaveras , to help guard his shipment of heroin , with the promise to patch them over , but after SAMCRO stole them he decided not to patch them over and then returned Juice 's kutte . At the advice of Clay , Alvarez decided to drop the war between them and in return the Grim Bastards MC , a friendly club to SAMCRO , would protect Alvarez 's drug shipments . As a favor to the Mayans , Tig and Kozik killed the Calaveras member who was caught during the drive - by at Half - Sack 's wake .   When a member of the Grim Bastards MC is found murdered and evidence points to the Calaveras , SAMCRO and the Bastards ' President T.O. Cross go to Marcus Alvarez for help . The Mayans and SAMCRO confront the Calaveras members in a park restroom and give the president of the Calaveras , Hector Salazar , the option of telling them which of his lieutenants killed the Bastards member or to die himself . He gives up his Sgt - At - Arms , who is then promptly shot in the head by the enraged T.O. A disgusted Alvarez strips Salazar of his position and kutte and then kicks him out of the Calaveras . He then appoints Salazar 's V.P as president and advises him to keep a tighter hold on his men then Salazar did .   When Tara Knowles and Margaret Murphy are taken hostage by Hector Salazar , Salazar demands that SAMCRO kill Alvarez and retrieve $250,000 worth of Mayans MC money . Tig , Kozik , and Piney are able to convince Alvarez to play dead for 24 hours so that they can come up with a plan to get the women back . Marcus tells the Sons that the $250,000 does not exist .   Season 4 ( edit )  See also : Sons of Anarchy ( season 4 )  He is seen at Opie 's wedding talking with Clay and thanking him for protection during their sentence . He says he was just `` looking out for my investments . '' Unlike previous seasons Álvarez now has a President 's patch on his cut . He is also seen throughout the season forming an alliance between SOA and the Mayans in light of the Galindo Cartel who has connections to the Mayans . Alvarez helped set up a deal between the SOA and Galindo to mule their cocaine while the Mayans distribute and sell . He is also shown giving Mayans to help guard the cocaine in the Son 's warehouse . When one of the bricks is stolen , he assures Jax and Clay his man was not responsible . He is later injured in a shootout with rival cartel Lobos Sonoras . He is brought to the clubhouse and treated by Tara .   Season 5 ( edit )  See also : Sons of Anarchy ( season 5 )  Alvarez was last seen in a street meeting with Jax , Henry Lin , and the Oakland One - Niner 's leader Tyler to discuss allowing the Galindo Cartel 's cocaine to move through their territory . Alvarez agrees as long as they `` keep black ( the Niners ) in line '' . It is later stated the Mayans will take over the muling as well , as SAMCRO wants out of the de al ardilla preciosa   Season 6 ( edit )  See also : Sons of Anarchy ( season 6 )  Alvarez and the Mayans only appear at the end of the sixth season ( `` You Are My Sunshine '' and `` A Mother 's Work '' ) , expressing their unhappiness with SAMCRO 's decision to hand over the IRA gun business to August Marks . He also informs Jax of the Mayans ' intention of setting up a charter in Stockton . Alvarez is also shown to be a friend of Nero Padilla ; having served time in Chino together . Alvarez tells Nero that soon it might end up being `` brown and yellow against black and white '' . When he arrives at the gun deal with the Sons , Nero , and the Niners . Alvarez is disappointed that August Marks was n't present during the transaction . When SAMCRO and Tyler departs , Alvarez and his men gun down the Niners and steal the guns .   Season 7 ( edit )  See also : Sons of Anarchy ( season 7 )  At the beginning of the seventh season , the Mayans have set up their Stockton charter with Oscar El Oso Ramos as president . Alvarez and the Mayans seem to be on the same side as Henry Lin and the Lin Triad against SAMCRO and the Niners . However , Alvarez joins SAMCRO 's side when they believe the Triads are to blame for Tara 's death and they help both SAMCRO and the One - Niners deal with both the Triads and August Marks . Alvarez is shown to be fully on SAMCRO 's side when Juice approaches him offering information on SAMCRO in exchange for passage to Mexico . Alvarez hands Juice over to SAMCRO , saying he would never make a deal with a rat . When it is revealed that it was Gemma who killed Tara and not the Triads , Alvarez sympathizes with Jax and helps him clean up the mess with the Chinese . Later , the Mayans , One - Niners , SAMCRO and the Byz Lats discuss territories and business . One of Jax 's final acts as president of SAMCRO is to set the Mayans up with Connor Malone as their new gun source , finally giving Alvarez the gun business he wanted .   Mayans MC ( edit )   Season 1 ( edit )   Alvarez now wearing an `` El Padrino '' patch which in English translates to `` Godfather '' . Goes down to Santo Padre Charter with members of the Mayans Motorcycle Club 's Oakland , California chapter to help the Santo Padre charter deal with the Galindo Cartel . It is revealed that he and José Galindo ; the founder of the Galindo Cartel , had a mutual respect for one another . Alvarez later suspects that a mule in the Santo Padre charter is working with Los Olividados ( `` The Forgotten Ones '' ) .   External links ( edit )    Emilio Rivera Official at Facebook.com   Emilio Rivera at Twitter.com    References ( edit )    Jump up ^ Sons of Anarchy at IMDb   Jump up ^ Hunnam , Glenn and Sagal in FX 's Anarchy   Jump up ^ Pilot - Recap   Jump up ^ Seeds - Recap   Jump up ^ Hell Followed - Recap   Jump up ^ The Sleep of Babies - Recap              Sons of Anarchy     Created by : Kurt Sutter     Episodes      Season 1     `` Pilot ''   `` Seeds ''   `` Fun Town ''   `` Patch Over ''   Giving Back   AK - 51   Old Bones   The Pull   Hell Followed   Better Half   Capybara   The Sleep of Babies   The Revelator       Season 2     Albification   Small Tears   Fix   Eureka   Smite   Falx Cerebri   Gilead   Potlatch   Fa Guan   Balm   Service   The Culling   Na Trioblóidí       Season 3     SO   Oiled   Caregiver   Turning and Turning   Home   The Push   Widening Gyre   Lochán Mór   Turas   Fírinne   Bainne   June Wedding   NS       Season 4       Season 5       Season 6       Season 7          Characters     Clay Morrow   Jax Teller   Gemma Teller Morrow   Tara Knowles   Bobby Munson   Tig Trager   Chibs Telford   Piney Winston   Juice Ortiz   Half - Sack Epps   Happy   Wayne Unser   David Hale   June Stahl   Josh Kohn   Ernest Darby   Marcus Álvarez   Ethan Zobelle       Universe     Sons of Anarchy MC   Charming , CA   List of gangs   Mayans M.C.       Music     `` This Life ''   Songs of Anarchy   Songs of Anarchy Volume 2              Retrieved from `` https://en.wikipedia.org/w/index.php?title= Marcus_Álvarez&amp;oldid = 863336118 '' Categories :   Sons of Anarchy characters   Fictional bikers   Fictional businesspeople   Fictional crime bosses   Fictional drug dealers   Fictional gang members   Fictional gangsters   Fictional American people of Mexican descent   Fictional murderers   Fictional pimps   Fictional characters introduced in 2008   Hidden categories :   Pages using infobox character with unknown parameters           Talk                                           Contents                   About Wikipedia                                           Add links   This page was last edited on 10 October 2018 , at 04 : 24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</si>
  <si>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plays sons of anarchy president in mayans</t>
  </si>
  <si>
    <t xml:space="preserve"> Marcus Álvarez is a fictional character on the FX television series Sons of Anarchy and its spinoff Mayans MC , played by Emilio Rivera . He initially serves as an antagonist on the show but gradually comes to a less hostile relation with the Sons of Anarchy . He is the leader of the Mayans , a Mexican - American outlaw motorcycle club . </t>
  </si>
  <si>
    <t xml:space="preserve">Atmosphere of Earth - wikipedia  Atmosphere of Earth  Jump to : navigation , search `` Air '' redirects here . For other uses , see Air ( disambiguation ) . `` Qualities of air '' redirects here . It is not to be confused with Air quality . Blue light is scattered more than other wavelengths by the gases in the atmosphere , surrounding Earth in a visibly blue layer when seen from space onboard the ISS at an altitude of 335 km ( 208 mi ) . Composition of Earth 's atmosphere by volume . Lower pie represents trace gases that together compose about 0.038 % of the atmosphere ( 0.043 % with CO at 2014 concentration ) . Numbers are mainly from 1987 , with CO and methane from 2009 , and do not represent any single source .  The atmosphere of Earth is the layer of gases , commonly known as air , that surrounds the planet Earth and is retained by Earth 's gravity . The atmosphere of Earth protects life on Earth by creating pressure allowing for liquid water to exist on the Earth 's surface , absorbing ultraviolet solar radiation , warming the surface through heat retention ( greenhouse effect ) , and reducing temperature extremes between day and night ( the diurnal temperature variation ) .   By volume , dry air contains 78.09 % nitrogen , 20.95 % oxygen , 0.93 % argon , 0.04 % carbon dioxide , and small amounts of other gases . Air also contains a variable amount of water vapor , on average around 1 % at sea level , and 0.4 % over the entire atmosphere . Air content and atmospheric pressure vary at different layers , and air suitable for use in photosynthesis by terrestrial plants and breathing of terrestrial animals is found only in Earth 's troposphere and in artificial atmospheres .   The atmosphere has a mass of about 5.15 × 10 kg , three quarters of which is within about 11 km ( 6.8 mi ; 36,000 ft ) of the surface . The atmosphere becomes thinner and thinner with increasing altitude , with no definite boundary between the atmosphere and outer space . The Kármán line , at 100 km ( 62 mi ) , or 1.57 % of Earth 's radius , is often used as the border between the atmosphere and outer space . Atmospheric effects become noticeable during atmospheric reentry of spacecraft at an altitude of around 120 km ( 75 mi ) . Several layers can be distinguished in the atmosphere , based on characteristics such as temperature and composition .   The study of Earth 's atmosphere and its processes is called atmospheric science ( aerology ) . Early pioneers in the field include Léon Teisserenc de Bort and Richard Assmann .     Contents  ( hide )   1 Composition   2 Structure of the atmosphere   2.1 Principal layers   2.1. 1 Exosphere   2.1. 2 Thermosphere   2.1. 3 Mesosphere   2.1. 4 Stratosphere   2.1. 5 Troposphere     2.2 Other layers     3 Physical properties   3.1 Pressure and thickness   3.2 Temperature and speed of sound   3.3 Density and mass     4 Optical properties   4.1 Scattering   4.2 Absorption   4.3 Emission   4.4 Refractive index     5 Circulation   6 Evolution of Earth 's atmosphere   6.1 Earliest atmosphere   6.2 Second atmosphere   6.3 Third atmosphere   6.4 Air pollution     7 Images from space   8 See also   9 References   10 External links      Composition  Main article : Atmospheric chemistry Mean atmospheric water vapor  The three major constituents of Earth 's atmosphere , are nitrogen , oxygen , and argon . Water vapor accounts for roughly 0.25 % of the atmosphere by mass . The concentration of water vapor ( a greenhouse gas ) varies significantly from around 10 ppm by volume in the coldest portions of the atmosphere to as much as 5 % by volume in hot , humid air masses , and concentrations of other atmospheric gases are typically quoted in terms of dry air ( without water vapor ) . The remaining gases are often referred to as trace gases , among which are the greenhouse gases , principally carbon dioxide , methane , nitrous oxide , and ozone . Filtered air includes trace amounts of many other chemical compounds . Many substances of natural origin may be present in locally and seasonally variable small amounts as aerosols in an unfiltered air sample , including dust of mineral and organic composition , pollen and spores , sea spray , and volcanic ash . Various industrial pollutants also may be present as gases or aerosols , such as chlorine ( elemental or in compounds ) , fluorine compounds and elemental mercury vapor . Sulfur compounds such as hydrogen sulfide and sulfur dioxide ( SO ) may be derived from natural sources or from industrial air pollution .   Major constituents of dry air , by volume   Gas   Volume     Name   Formula   in ppmv   in %     Nitrogen     780,840   78.084     Oxygen   O   209,460   20.946     Argon   Ar   9,340   0.9340     Carbon dioxide   CO   400   0.04     Neon   Ne   18.18   0.001818     Helium   He   5.24   0.000524     Methane   CH   1.79   0.000179     Not included in above dry atmosphere :     Water vapor   H O   10 -- 50,000   0.001 % -- 5 %     notes :  volume fraction is equal to mole fraction for ideal gas only , also see volume ( thermodynamics ) ppmv : parts per million by volume Water vapor is about 0.25 % by mass over full atmosphere Water vapor strongly varies locally      The relative concentration of gasses remains constant until about 10,000 m ( 33,000 ft ) .   Structure of the atmosphere  Earth 's atmosphere Lower 4 layers of the atmosphere in 3 dimensions as seen diagonally from above the exobase . Layers drawn to scale , objects within the layers are not to scale . Aurorae shown here at the bottom of the thermosphere can actually form at any altitude in this atmospheric layer .  Principal layers   In general , air pressure and density decrease with altitude in the atmosphere . However , temperature has a more complicated profile with altitude , and may remain relatively constant or even increase with altitude in some regions ( see the temperature section , below ) . Because the general pattern of the temperature / altitude profile is constant and measurable by means of instrumented balloon soundings , the temperature behavior provides a useful metric to distinguish atmospheric layers . In this way , Earth 's atmosphere can be divided ( called atmospheric stratification ) into five main layers . Excluding the exosphere , the atmosphere has four primary layers , which are the troposphere , stratosphere , mesosphere , and thermosphere . From highest to lowest , the five main layers are :    Exosphere : 700 to 10,000 km ( 440 to 6,200 miles )   Thermosphere : 80 to 700 km ( 50 to 440 miles )   Mesosphere : 50 to 80 km ( 31 to 50 miles )   Stratosphere : 12 to 50 km ( 7 to 31 miles )   Troposphere : 0 to 12 km ( 0 to 7 miles )   Exosphere Main article : Exosphere  The exosphere is the outermost layer of Earth 's atmosphere ( i.e. the upper limit of the atmosphere ) . It extends from the exobase , which is located at the top of the thermosphere at an altitude of about 700 km above sea level , to about 10,000 km ( 6,200 mi ; 33,000,000 ft ) where it merges into the solar wind .   This layer is mainly composed of extremely low densities of hydrogen , helium and several heavier molecules including nitrogen , oxygen and carbon dioxide closer to the exobase . The atoms and molecules are so far apart that they can travel hundreds of kilometers without colliding with one another . Thus , the exosphere no longer behaves like a gas , and the particles constantly escape into space . These free - moving particles follow ballistic trajectories and may migrate in and out of the magnetosphere or the solar wind .   The exosphere is located too far above Earth for any meteorological phenomena to be possible . However , the aurora borealis and aurora australis sometimes occur in the lower part of the exosphere , where they overlap into the thermosphere . The exosphere contains most of the satellites orbiting Earth .  Thermosphere Main article : Thermosphere  The thermosphere is the second - highest layer of Earth 's atmosphere . It extends from the mesopause ( which separates it from the mesosphere ) at an altitude of about 80 km ( 50 mi ; 260,000 ft ) up to the thermopause at an altitude range of 500 -- 1000 km ( 310 -- 620 mi ; 1,600,000 -- 3,300,000 ft ) . The height of the thermopause varies considerably due to changes in solar activity . Because the thermopause lies at the lower boundary of the exosphere , it is also referred to as the exobase . The lower part of the thermosphere , from 80 to 550 kilometres ( 50 to 342 mi ) above Earth 's surface , contains the ionosphere .   The temperature of the thermosphere gradually increases with height . Unlike the stratosphere beneath it , wherein a temperature inversion is due to the absorption of radiation by ozone , the inversion in the thermosphere occurs due to the extremely low density of its molecules . The temperature of this layer can rise as high as 1500 ° C ( 2700 ° F ) , though the gas molecules are so far apart that its temperature in the usual sense is not very meaningful . The air is so rarefied that an individual molecule ( of oxygen , for example ) travels an average of 1 kilometre ( 0.62 mi ; 3300 ft ) between collisions with other molecules . Although the thermosphere has a high proportion of molecules with high energy , it would not feel hot to a human in direct contact , because its density is too low to conduct a significant amount of energy to or from the skin .   This layer is completely cloudless and free of water vapor . However , non-hydrometeorological phenomena such as the aurora borealis and aurora australis are occasionally seen in the thermosphere . The International Space Station orbits in this layer , between 350 and 420 km ( 220 and 260 mi ) .  Mesosphere Main article : Mesosphere  The mesosphere is the third highest layer of Earth 's atmosphere , occupying the region above the stratosphere and below the thermosphere . It extends from the stratopause at an altitude of about 50 km ( 31 mi ; 160,000 ft ) to the mesopause at 80 -- 85 km ( 50 -- 53 mi ; 260,000 -- 280,000 ft ) above sea level .   Temperatures drop with increasing altitude to the mesopause that marks the top of this middle layer of the atmosphere . It is the coldest place on Earth and has an average temperature around − 85 ° C ( − 120 ° F ; 190 K ) .   Just below the mesopause , the air is so cold that even the very scarce water vapor at this altitude can be sublimated into polar - mesospheric noctilucent clouds . These are the highest clouds in the atmosphere and may be visible to the naked eye if sunlight reflects off them about an hour or two after sunset or a similar length of time before sunrise . They are most readily visible when the Sun is around 4 to 16 degrees below the horizon . Lightning - induced discharges known as transient luminous events ( TLEs ) occasionally form in the mesosphere above tropospheric thunderclouds . The mesosphere is also the layer where most meteors burn up upon atmospheric entrance . It is too high above Earth to be accessible to jet - powered aircraft and balloons , and too low to permit orbital spacecraft . The mesosphere is mainly accessed by sounding rockets and rocket - powered aircraft .  Stratosphere Main article : Stratosphere  The stratosphere is the second - lowest layer of Earth 's atmosphere . It lies above the troposphere and is separated from it by the tropopause . This layer extends from the top of the troposphere at roughly 12 km ( 7.5 mi ; 39,000 ft ) above Earth 's surface to the stratopause at an altitude of about 50 to 55 km ( 31 to 34 mi ; 164,000 to 180,000 ft ) .   The atmospheric pressure at the top of the stratosphere is roughly 1 / 1000 the pressure at sea level . It contains the ozone layer , which is the part of Earth 's atmosphere that contains relatively high concentrations of that gas . The stratosphere defines a layer in which temperatures rise with increasing altitude . This rise in temperature is caused by the absorption of ultraviolet radiation ( UV ) radiation from the Sun by the ozone layer , which restricts turbulence and mixing . Although the temperature may be − 60 ° C ( − 76 ° F ; 210 K ) at the tropopause , the top of the stratosphere is much warmer , and may be near 0 ° C .   The stratospheric temperature profile creates very stable atmospheric conditions , so the stratosphere lacks the weather - producing air turbulence that is so prevalent in the troposphere . Consequently , the stratosphere is almost completely free of clouds and other forms of weather . However , polar stratospheric or nacreous clouds are occasionally seen in the lower part of this layer of the atmosphere where the air is coldest . The stratosphere is the highest layer that can be accessed by jet - powered aircraft .  Troposphere Main article : Troposphere  The troposphere is the lowest layer of Earth 's atmosphere . It extends from Earth 's surface to an average height of about 12 km , although this altitude actually varies from about 9 km ( 30,000 ft ) at the poles to 17 km ( 56,000 ft ) at the equator , with some variation due to weather . The troposphere is bounded above by the tropopause , a boundary marked in most places by a temperature inversion ( i.e. a layer of relatively warm air above a colder one ) , and in others by a zone which is isothermal with height .   Although variations do occur , the temperature usually declines with increasing altitude in the troposphere because the troposphere is mostly heated through energy transfer from the surface . Thus , the lowest part of the troposphere ( i.e. Earth 's surface ) is typically the warmest section of the troposphere . This promotes vertical mixing ( hence the origin of its name in the Greek word τρόπος , tropos , meaning `` turn '' ) . The troposphere contains roughly 80 % of the mass of Earth 's atmosphere . The troposphere is denser than all its overlying atmospheric layers because a larger atmospheric weight sits on top of the troposphere and causes it to be most severely compressed . Fifty percent of the total mass of the atmosphere is located in the lower 5.6 km ( 18,000 ft ) of the troposphere .   Nearly all atmospheric water vapor or moisture is found in the troposphere , so it is the layer where most of Earth 's weather takes place . It has basically all the weather - associated cloud genus types generated by active wind circulation , although very tall cumulonimbus thunder clouds can penetrate the tropopause from below and rise into the lower part of the stratosphere . Most conventional aviation activity takes place in the troposphere , and it is the only layer that can be accessed by propeller - driven aircraft .  Space Shuttle Endeavour orbiting in the thermosphere . Because of the angle of the photo , it appears to straddle the stratosphere and mesosphere that actually lie more than 250 km below . The orange layer is the troposphere , which gives way to the whitish stratosphere and then the blue mesosphere .  Other layers   Within the five principal layers that are largely determined by temperature , several secondary layers may be distinguished by other properties :    The ozone layer is contained within the stratosphere . In this layer ozone concentrations are about 2 to 8 parts per million , which is much higher than in the lower atmosphere but still very small compared to the main components of the atmosphere . It is mainly located in the lower portion of the stratosphere from about 15 -- 35 km ( 9.3 -- 21.7 mi ; 49,000 -- 115,000 ft ) , though the thickness varies seasonally and geographically . About 90 % of the ozone in Earth 's atmosphere is contained in the stratosphere .   The ionosphere is a region of the atmosphere that is ionized by solar radiation . It is responsible for auroras . During daytime hours , it stretches from 50 to 1,000 km ( 31 to 621 mi ; 160,000 to 3,280,000 ft ) and includes the mesosphere , thermosphere , and parts of the exosphere . However , ionization in the mesosphere largely ceases during the night , so auroras are normally seen only in the thermosphere and lower exosphere . The ionosphere forms the inner edge of the magnetosphere . It has practical importance because it influences , for example , radio propagation on Earth .   The homosphere and heterosphere are defined by whether the atmospheric gases are well mixed . The surface - based homosphere includes the troposphere , stratosphere , mesosphere , and the lowest part of the thermosphere , where the chemical composition of the atmosphere does not depend on molecular weight because the gases are mixed by turbulence . This relatively homogeneous layer ends at the turbopause found at about 100 km ( 62 mi ; 330,000 ft ) , the very edge of space itself as accepted by the FAI , which places it about 20 km ( 12 mi ; 66,000 ft ) above the mesopause .     Above this altitude lies the heterosphere , which includes the exosphere and most of the thermosphere . Here , the chemical composition varies with altitude . This is because the distance that particles can move without colliding with one another is large compared with the size of motions that cause mixing . This allows the gases to stratify by molecular weight , with the heavier ones , such as oxygen and nitrogen , present only near the bottom of the heterosphere . The upper part of the heterosphere is composed almost completely of hydrogen , the lightest element .     The planetary boundary layer is the part of the troposphere that is closest to Earth 's surface and is directly affected by it , mainly through turbulent diffusion . During the day the planetary boundary layer usually is well - mixed , whereas at night it becomes stably stratified with weak or intermittent mixing . The depth of the planetary boundary layer ranges from as little as about 100 metres ( 330 ft ) on clear , calm nights to 3,000 m ( 9,800 ft ) or more during the afternoon in dry regions .    The average temperature of the atmosphere at Earth 's surface is 14 ° C ( 57 ° F ; 287 K ) or 15 ° C ( 59 ° F ; 288 K ) , depending on the reference .   Physical properties  Comparison of the 1962 US Standard Atmosphere graph of geometric altitude against air density , pressure , the speed of sound and temperature with approximate altitudes of various objects .  Pressure and thickness  Main article : Atmospheric pressure  The average atmospheric pressure at sea level is defined by the International Standard Atmosphere as 101325 pascals ( 760.00 Torr ; 14.6959 psi ; 760.00 mmHg ) . This is sometimes referred to as a unit of standard atmospheres ( atm ) . Total atmospheric mass is 5.1480 × 10 kg ( 1.135 × 10 lb ) , about 2.5 % less than would be inferred from the average sea level pressure and Earth 's area of 51007.2 megahectares , this portion being displaced by Earth 's mountainous terrain . Atmospheric pressure is the total weight of the air above unit area at the point where the pressure is measured . Thus air pressure varies with location and weather .   If the entire mass of the atmosphere had a uniform density from sea level , it would terminate abruptly at an altitude of 8.50 km ( 27,900 ft ) . It actually decreases exponentially with altitude , dropping by half every 5.6 km ( 18,000 ft ) or by a factor of 1 / e every 7.64 km ( 25,100 ft ) , the average scale height of the atmosphere below 70 km ( 43 mi ; 230,000 ft ) . However , the atmosphere is more accurately modeled with a customized equation for each layer that takes gradients of temperature , molecular composition , solar radiation and gravity into account .   In summary , the mass of Earth 's atmosphere is distributed approximately as follows :    50 % is below 5.6 km ( 18,000 ft ) .   90 % is below 16 km ( 52,000 ft ) .   99.99997 % is below 100 km ( 62 mi ; 330,000 ft ) , the Kármán line . By international convention , this marks the beginning of space where human travelers are considered astronauts .    By comparison , the summit of Mt . Everest is at 8,848 m ( 29,029 ft ) ; commercial airliners typically cruise between 10 km ( 33,000 ft ) and 13 km ( 43,000 ft ) where the thinner air improves fuel economy ; weather balloons reach 30.4 km ( 100,000 ft ) and above ; and the highest X-15 flight in 1963 reached 108.0 km ( 354,300 ft ) .   Even above the Kármán line , significant atmospheric effects such as auroras still occur . Meteors begin to glow in this region , though the larger ones may not burn up until they penetrate more deeply . The various layers of Earth 's ionosphere , important to HF radio propagation , begin below 100 km and extend beyond 500 km . By comparison , the International Space Station and Space Shuttle typically orbit at 350 -- 400 km , within the F - layer of the ionosphere where they encounter enough atmospheric drag to require reboosts every few months . Depending on solar activity , satellites can experience noticeable atmospheric drag at altitudes as high as 700 -- 800 km .   Temperature and speed of sound  Main articles : Atmospheric temperature and Speed of sound Temperature trends in two thick layers of the atmosphere as measured between January 1979 and December 2005 by Microwave Sounding Units and Advanced Microwave Sounding Units on NOAA weather satellites . The instruments record microwaves emitted from oxygen molecules in the atmosphere . Source :  The division of the atmosphere into layers mostly by reference to temperature is discussed above . Temperature decreases with altitude starting at sea level , but variations in this trend begin above 11 km , where the temperature stabilizes through a large vertical distance through the rest of the troposphere . In the stratosphere , starting above about 20 km , the temperature increases with height , due to heating within the ozone layer caused by capture of significant ultraviolet radiation from the Sun by the dioxygen and ozone gas in this region . Still another region of increasing temperature with altitude occurs at very high altitudes , in the aptly - named thermosphere above 90 km .   Because in an ideal gas of constant composition the speed of sound depends only on temperature and not on the gas pressure or density , the speed of sound in the atmosphere with altitude takes on the form of the complicated temperature profile ( see illustration to the right ) , and does not mirror altitudinal changes in density or pressure .   Density and mass  Temperature and mass density against altitude from the NRLMSISE - 00 standard atmosphere model ( the eight dotted lines in each `` decade '' are at the eight cubes 8 , 27 , 64 , ... , 729 ) Main article : Density of air  The density of air at sea level is about 1.2 kg / m ( 1.2 g / L , 0.0012 g / cm ) . Density is not measured directly but is calculated from measurements of temperature , pressure and humidity using the equation of state for air ( a form of the ideal gas law ) . Atmospheric density decreases as the altitude increases . This variation can be approximately modeled using the barometric formula . More sophisticated models are used to predict orbital decay of satellites .   The average mass of the atmosphere is about 5 quadrillion ( 5 × 10 ) tonnes or 1 / 1,200,000 the mass of Earth . According to the American National Center for Atmospheric Research , `` The total mean mass of the atmosphere is 5.1480 × 10 kg with an annual range due to water vapor of 1.2 or 1.5 × 10 kg , depending on whether surface pressure or water vapor data are used ; somewhat smaller than the previous estimate . The mean mass of water vapor is estimated as 1.27 × 10 kg and the dry air mass as 5.1352 ± 0.0003 × 10 kg . ''   Optical properties       This section does not cite any sources . Please help improve this section by adding citations to reliable sources . Unsourced material may be challenged and removed . ( October 2013 ) ( Learn how and when to remove this template message )    See also : Sunlight  Solar radiation ( or sunlight ) is the energy Earth receives from the Sun . Earth also emits radiation back into space , but at longer wavelengths that we can not see . Part of the incoming and emitted radiation is absorbed or reflected by the atmosphere . In May 2017 , glints of light , seen as twinkling from an orbiting satellite a million miles away , were found to be reflected light from ice crystals in the atmosphere .   Scattering  Main article : Scattering  When light passes through Earth 's atmosphere , photons interact with it through scattering . If the light does not interact with the atmosphere , it is called direct radiation and is what you see if you were to look directly at the Sun . Indirect radiation is light that has been scattered in the atmosphere . For example , on an overcast day when you can not see your shadow there is no direct radiation reaching you , it has all been scattered . As another example , due to a phenomenon called Rayleigh scattering , shorter ( blue ) wavelengths scatter more easily than longer ( red ) wavelengths . This is why the sky looks blue ; you are seeing scattered blue light . This is also why sunsets are red . Because the Sun is close to the horizon , the Sun 's rays pass through more atmosphere than normal to reach your eye . Much of the blue light has been scattered out , leaving the red light in a sunset .   Absorption  Main article : Absorption ( electromagnetic radiation ) Rough plot of Earth 's atmospheric transmittance ( or opacity ) to various wavelengths of electromagnetic radiation , including visible light .  Different molecules absorb different wavelengths of radiation . For example , O and O absorb almost all wavelengths shorter than 300 nanometers . Water ( H O ) absorbs many wavelengths above 700 nm . When a molecule absorbs a photon , it increases the energy of the molecule . This heats the atmosphere , but the atmosphere also cools by emitting radiation , as discussed below .   The combined absorption spectra of the gases in the atmosphere leave `` windows '' of low opacity , allowing the transmission of only certain bands of light . The optical window runs from around 300 nm ( ultraviolet - C ) up into the range humans can see , the visible spectrum ( commonly called light ) , at roughly 400 -- 700 nm and continues to the infrared to around 1100 nm . There are also infrared and radio windows that transmit some infrared and radio waves at longer wavelengths . For example , the radio window runs from about one centimeter to about eleven - meter waves .   Emission  Main article : Emission ( electromagnetic radiation )  Emission is the opposite of absorption , it is when an object emits radiation . Objects tend to emit amounts and wavelengths of radiation depending on their `` black body '' emission curves , therefore hotter objects tend to emit more radiation , with shorter wavelengths . Colder objects emit less radiation , with longer wavelengths . For example , the Sun is approximately 6,000 K ( 5,730 ° C ; 10,340 ° F ) , its radiation peaks near 500 nm , and is visible to the human eye . Earth is approximately 290 K ( 17 ° C ; 62 ° F ) , so its radiation peaks near 10,000 nm , and is much too long to be visible to humans .   Because of its temperature , the atmosphere emits infrared radiation . For example , on clear nights Earth 's surface cools down faster than on cloudy nights . This is because clouds ( H O ) are strong absorbers and emitters of infrared radiation . This is also why it becomes colder at night at higher elevations .   The greenhouse effect is directly related to this absorption and emission effect . Some gases in the atmosphere absorb and emit infrared radiation , but do not interact with sunlight in the visible spectrum . Common examples of these are CO and H O .   Refractive index  See also : Scintillation ( astronomy )  The refractive index of air is close to , but just greater than 1 . Systematic variations in refractive index can lead to the bending of light rays over long optical paths . One example is that , under some circumstances , observers onboard ships can see other vessels just over the horizon because light is refracted in the same direction as the curvature of Earth 's surface .   The refractive index of air depends on temperature , giving rise to refraction effects when the temperature gradient is large . An example of such effects is the mirage .   Circulation  Main article : Atmospheric circulation An idealised view of three large circulation cells .  Atmospheric circulation is the large - scale movement of air through the troposphere , and the means ( with ocean circulation ) by which heat is distributed around Earth . The large - scale structure of the atmospheric circulation varies from year to year , but the basic structure remains fairly constant because it is determined by Earth 's rotation rate and the difference in solar radiation between the equator and poles .   Evolution of Earth 's atmosphere  See also : History of Earth and Paleoclimatology  Earliest atmosphere   The first atmosphere consisted of gases in the solar nebula , primarily hydrogen . There were probably simple hydrides such as those now found in the gas giants ( Jupiter and Saturn ) , notably water vapor , methane and ammonia .   Second atmosphere   Outgassing from volcanism , supplemented by gases produced during the late heavy bombardment of Earth by huge asteroids , produced the next atmosphere , consisting largely of nitrogen plus carbon dioxide and inert gases . A major part of carbon - dioxide emissions dissolved in water and reacted with metals such as calcium and magnesium during weathering of crustal rocks to form carbonates that were deposited as sediments . Water - related sediments have been found that date from as early as 3.8 billion years ago .   About 3.4 billion years ago , nitrogen formed the major part of the then stable `` second atmosphere '' . The influence of life has to be taken into account rather soon in the history of the atmosphere , because hints of early life - forms appear as early as 3.5 billion years ago . How Earth at that time maintained a climate warm enough for liquid water and life , if the early Sun put out 30 % lower solar radiance than today , is a puzzle known as the `` faint young Sun paradox '' .   The geological record however shows a continuous relatively warm surface during the complete early temperature record of Earth -- with the exception of one cold glacial phase about 2.4 billion years ago . In the late Archean Eon an oxygen - containing atmosphere began to develop , apparently produced by photosynthesizing cyanobacteria ( see Great Oxygenation Event ) , which have been found as stromatolite fossils from 2.7 billion years ago . The early basic carbon isotopy ( isotope ratio proportions ) strongly suggests conditions similar to the current , and that the fundamental features of the carbon cycle became established as early as 4 billion years ago .   Ancient sediments in the Gabon dating from between about 2,150 and 2,080 million years ago provide a record of Earth 's dynamic oxygenation evolution . These fluctuations in oxygenation were likely driven by the Lomagundi carbon isotope excursion .   Third atmosphere  Oxygen content of the atmosphere over the last billion years  The constant re-arrangement of continents by plate tectonics influences the long - term evolution of the atmosphere by transferring carbon dioxide to and from large continental carbonate stores . Free oxygen did not exist in the atmosphere until about 2.4 billion years ago during the Great Oxygenation Event and its appearance is indicated by the end of the banded iron formations .   Before this time , any oxygen produced by photosynthesis was consumed by oxidation of reduced materials , notably iron . Molecules of free oxygen did not start to accumulate in the atmosphere until the rate of production of oxygen began to exceed the availability of reducing materials that removed oxygen . This point signifies a shift from a reducing atmosphere to an oxidizing atmosphere . O showed major variations until reaching a steady state of more than 15 % by the end of the Precambrian . The following time span from 541 million years ago to the present day is the Phanerozoic Eon , during the earliest period of which , the Cambrian , oxygen - requiring metazoan life forms began to appear .   The amount of oxygen in the atmosphere has fluctuated over the last 600 million years , reaching a peak of about 30 % around 280 million years ago , significantly higher than today 's 21 % . Two main processes govern changes in the atmosphere : Plants use carbon dioxide from the atmosphere , releasing oxygen . Breakdown of pyrite and volcanic eruptions release sulfur into the atmosphere , which oxid</t>
  </si>
  <si>
    <t xml:space="preserve">make a list of the gases present in the earth atmosphere</t>
  </si>
  <si>
    <t xml:space="preserve"> Major constituents of dry air , by volume   Gas   Volume     Name   Formula   in ppmv   in %     Nitrogen     780,840   78.084     Oxygen   O   209,460   20.946     Argon   Ar   9,340   0.9340     Carbon dioxide   CO   400   0.04     Neon   Ne   18.18   0.001818     Helium   He   5.24   0.000524     Methane   CH   1.79   0.000179     Not included in above dry atmosphere :     Water vapor   H O   10 -- 50,000   0.001 % -- 5 %     notes :  volume fraction is equal to mole fraction for ideal gas only , also see volume ( thermodynamics ) ppmv : parts per million by volume Water vapor is about 0.25 % by mass over full atmosphere Water vapor strongly varies locally    </t>
  </si>
  <si>
    <t xml:space="preserve">List of Michigan sport championships - wikipedia  List of Michigan sport championships  Jump to : navigation , search      This article is an orphan , as no other articles link to it . Please introduce links to this page from related articles ; try the Find link tool for suggestions . ( November 2009 )     The following are Michigan 's professional sports league champions , NCAA Division I basketball and hockey champions , and NCAA Division II football champions :    1887 The Detroit Wolverines win the National League baseball pennant and defeat the American Association 's St. Louis Browns in the World Series .   1895 The Page Fence Giants , based in Adrian , are the Western Negro baseball league champions .   1896 The Page Fence Giants , based in Adrian , win the Negro World Series .   1897 The Page Fence Giants , based in Adrian , are the Western Negro baseball league champions .   1898 The Page Fence Giants , based in Adrian , claim the Western Negro baseball league championship .   1932 The Detroit Wolves are the Negro East - West League champions .   1935 The Detroit Tigers win their first World Series .   1935 The Detroit Lions win their first National Football League championship .   1936 The Detroit Red Wings win their first Stanley Cup .   1937 The Detroit Red Wings win their second Stanley Cup .   1941 The Detroit Eagles basketball team wins the World Professional Tournament in Chicago .   1943 The Detroit Red Wings win their third Stanley Cup .   1945 The Detroit Tigers win their second World Series .   1946 The Detroit Auto Club of the International Hockey League win the first Joseph Turner Memorial Cup IHL championship .   1947 The Grand Rapids Chicks are the All - American Girls Professional Baseball League Play - Off Champions .   1948 The University of Michigan Wolverines win their first NCAA Division I hockey title .   1950 The Detroit Red Wings win their fourth Stanley Cup .   1951 The University of Michigan Wolverines win their second NCAA hockey title .   1952 The Detroit Red Wings win their fifth Stanley Cup .   1952 The Detroit Lions win their second National Football League championship .   1952 The University of Michigan Wolverines win their third NCAA hockey title .   1953 The Grand Rapids Chicks are the All - American Girls Professional Baseball League Play - Off Champions for the second time .   1953 The Detroit Lions win their third National Football League championship .   1953 The University of Michigan Wolverines win their fourth NCAA hockey title .   1954 The Detroit Red Wings win their sixth Stanley Cup .   1954 The Kalamazoo Lassies are the last All - American Girls Professional Baseball League Play - Off Champions .   1955 The Detroit Red Wings win their seventh Stanley Cup . ( They would not win another for 42 years . )   1955 The University of Michigan Wolverines win their fifth NCAA hockey title .   1956 The Detroit Stars win the Negro American League pennant .   1956 The University of Michigan Wolverines win their sixth NCAA hockey title in nine years .   1957 The Detroit Lions win their fourth National Football League championship .   1962 The Muskegon Zephyrs of the International Hockey League win Muskegon 's first Joseph Turner Memorial Cup IHL championship .   1962 The Michigan Technological University Huskies win their first NCAA hockey title .   1964 The Grand Rapids Tackers win the Mid-West Professional Basketball League championship .   1964 The University of Michigan Wolverines win their seventh NCAA hockey title ( their last for 32 years ) .   1965 The Grand Rapids Tackers win their first North American Basketball League championship .   1965 The Michigan Tech Huskies win their second NCAA hockey title .   1966 The Port Huron Flags of the International Hockey League win Port Huron 's first Joseph Turner Memorial Cup IHL championship .   1966 The Michigan State University Spartans win their first NCAA hockey title .   1968 The Grand Rapids Tackers win their second North American Basketball League championship .   1968 The Muskegon Mohawks of the International Hockey League win Muskegon 's second Joseph Turner Memorial Cup IHL championship .   1968 The Detroit Tigers win the World Series for the third time .   1971 The Port Huron Flags of the International Hockey League win Port Huron 's second Joseph Turner Memorial Cup IHL championship .   1972 The Port Huron Wings of the International Hockey League win Port Huron 's third and final Joseph Turner Memorial Cup IHL championship .   1974 The Central Michigan University Chippewas win the NCAA Division II Football Championship .   1975 The Northern Michigan University Wildcats win their first NCAA Division II Football Championship .   1975 The Michigan Tech Huskies win their third NCAA hockey title .   1977 The Grand Rapids Blades win the United States Hockey League championship in their only season of play .   1977 The Saginaw Gears of the International Hockey League win their first Joseph Turner Memorial Cup IHL championship .   1977 The Detroit Caesars win their first American Professional Slow Pitch League world series .   1978 The Detroit Caesars win their second and last American Professional Slow Pitch League world series .   1979 The Michigan State University Spartans become the first college in the state to win the NCAA Men 's Division I Basketball Championship .   1979 The Kalamazoo Wings win their first Joseph Turner Memorial Cup IHL Championship .   1980 The Kalamazoo Wings win their second and final Joseph Turner Memorial Cup IHL Championship .   1981 The Saginaw Gears of the International Hockey League win their second and final Joseph Turner Memorial Cup IHL championship .   1983 The Detroit Spirits win the Continental Basketball Association championship series .   1983 The Michigan Panthers win the first United States Football League championship .   1984 The Flint Generals win their only Joseph Turner Memorial Cup IHL Championship .   1984 The Detroit Tigers win the World Series for the fourth time .   1986 The Muskegon Lumberjacks of the International Hockey League win Muskegon 's third Joseph Turner Memorial Cup IHL championship .   1986 The Michigan State University Spartans win their second NCAA hockey title .   1987 The Grand Rapids Pacers win the National Wheelchair Basketball Association championship .   1988 The Arena Football League Detroit Drive win ArenaBowl II and their first ArenaBowl championship .   1988 The Lake Superior State University Lakers win their first NCAA hockey title .   1989 The University of Michigan Wolverines win their first NCAA Men 's Division I Basketball Championship .   1989 The Muskegon Lumberjacks of the International Hockey League win Muskegon 's fourth and final Joseph Turner Memorial Cup IHL championship .   1989 The Detroit Pistons win their first NBA Championship .   1989 The Arena Football League Detroit Drive win ArenaBowl III and their second ArenaBowl championship .   1990 The Detroit Pistons win their second NBA Championship .   1990 The Arena Football League Detroit Drive win ArenaBowl IV and their third ArenaBowl championship .   1991 The Detroit Turbos win the National Lacrosse League championship ( indoor lacrosse ) .   1991 The Northern Michigan University Wildcats win their first NCAA hockey title .   1992 The Detroit Rockers win the National Professional Soccer League championship ( indoor soccer ) .   1992 The Arena Football League Detroit Drive win ArenaBowl VI and their fourth and final ArenaBowl championship .   1992 The Lake Superior State University Lakers win their second NCAA hockey title .   1994 The Lake Superior State University Lakers win their third NCAA hockey title .   1995 The Detroit Junior Red Wings win the Ontario Hockey League Championship Series and receive the J. Ross Robertson Cup .   1996 The Class A Minor League West Michigan Whitecaps ( Grand Rapids ) win their first Midwest League Championship Series .   1996 The Flint Generals of the Colonial Hockey League win their first Colonial Cup .   1996 The University of Michigan Wolverines win their eighth NCAA hockey title .   1997 The Detroit Red Wings bring home the Stanley Cup after a 42 - year drought dating back to 1955 .   1997 The Detroit Vipers of the International Hockey League win their only Joseph Turner Memorial Cup IHL championship . It marked the first time two professional hockey teams from the same metropolitan area won championships in the same year .   1997 The Class A Minor League Lansing Lugnuts win their first Midwest League Championship Series .   1998 The Detroit Red Wings claim their ninth Stanley Cup .   1998 The Class A Minor League West Michigan Whitecaps ( Grand Rapids ) win their second Midwest League Championship Series .   1998 The University of Michigan Wolverines win their ninth NCAA hockey title .   1999 The Muskegon Fury of the United Hockey League with their first Colonial Cup .   2000 The Michigan State University Spartans win their second NCAA Men 's Division I Basketball Championship .   2000 The Flint Generals of the United Hockey League win their second Colonial Cup .   2000 The Class A Minor League Michigan Battle Cats ( Battle Creek ) win their first Midwest League Championship Series .   2001 The Detroit Dogs are the American Basketball Association ( ABA 2000 ) champions .   2001 The Arena Football League Grand Rapids Rampage win ArenaBowl XV and their first ArenaBowl championship .   2002 The Muskegon Fury of the United Hockey League with their second Colonial Cup .   2002 The Detroit Red Wings win their tenth Stanley Cup .   2002 The Detroit Demolition ( known as the Detroit Danger at the time ) win their first National Women 's Football Association ( NWFA ) championship .   2002 The Grand Valley State University Lakers win their first NCAA Division II Football Championship .   2003 The Detroit Shock win their first WNBA Championship in the WNBA Finals .   2003 The Class A Minor League Lansing Lugnuts win their second Midwest League Championship Series .   2003 The Detroit Demolition win their second NWFA Championship .   2003 The Grand Valley State University Lakers win their second NCAA Division II Football Championship .   2004 The Muskegon Fury of the United Hockey League skate to their third Colonial Cup league championship .   2004 The Detroit Pistons win their third NBA Championship .   2004 The Class A Minor League West Michigan Whitecaps ( Grand Rapids ) win their third Midwest League Championship Series .   2004 The Detroit Demolition win their third NWFA Championship .   2005 The Muskegon Fury of the United Hockey League win their fourth Colonial Cup .   2005 The Kalamazoo Kings achieve their first League Championship in the independent professional baseball Frontier League .   2005 The Detroit Demolition win their fourth NWFA Championship .   2005 The Grand Valley State University Lakers win their third NCAA Division II Football Championship .   2006 The Kalamazoo Wings of the United Hockey League earn their first Colonial Cup .   2006 The Port Huron Pirates win their first Great Lakes Indoor Football League championship .   2006 The Detroit Shock win their second WNBA Championship in the WNBA Finals .   2006 The West Michigan Whitecaps from Grand Rapids prevail in the Midwest League Championship Series for the fourth time .   2006 The Grand Valley State University Lakers claim their fourth NCAA Division II Football Championship in five years .   2007 The West Michigan Whitecaps from Grand Rapids win their fifth Midwest League Championship Series in twelve seasons .   2007 The Michigan State University Spartans win their third NCAA hockey title .   2008 The Detroit Red Wings win the Stanley Cup -- their eleventh National Hockey League championship and fourth in twelve seasons .   2008 The Detroit Shock earn their third WNBA Championship in the WNBA Finals . It is the team 's third title in six seasons .    The following are other Michigan sports team champions :    1902 The University of Michigan Wolverines win the first Rose Bowl ( game ) .   1983 The Livonia United premier soccer team wins MSYSA premier championship .   1996 Michigan Madness win USISL Midwest division regular season championship .   1997 The Michigan Wolverines won a share of the NCAA Division I-A National Football Championship ; Shared with Nebraska   2006 The Michigan Bucks win their first USL Premier Development League championship .   Retrieved from `` https://en.wikipedia.org/w/index.php?title=List_of_Michigan_sport_championships&amp;oldid=726111652 '' Categories :   Sports in Michigan   Michigan sports - related lists   Hidden categories :   Orphaned articles from November 2009   All orphaned articles           Talk                                                             About Wikipedia                                           Add links   This page was last edited on 20 June 2016 , at 03 : 14 .         About Wikipedia                    </t>
  </si>
  <si>
    <t xml:space="preserve">when was the last time a detroit sports team won a championship</t>
  </si>
  <si>
    <t xml:space="preserve"> 2008 The Detroit Shock earn their third WNBA Championship in the WNBA Finals . It is the team 's third title in six seasons . </t>
  </si>
  <si>
    <t xml:space="preserve">List of Premier League players with 100 or more goals - wikipedia  List of Premier League players with 100 or more goals  This is the latest accepted revision , reviewed on 8 June 2018 . See also : List of footballers in England and Scotland by number of league goals Alan Shearer was the first player to score 200 Premier League goals , and only player to score 100 goals for two clubs . Wayne Rooney is the second Premier League player to score 200 goals or more , behind only Shearer and the only active player as of 2018 to do so . Frank Lampard is the Premier League 's highest scoring midfielder of all time . Thierry Henry scored 175 Premier League goals , the most by a foreign player . He has also scored the most goals for a single club . Ryan Giggs is the only player to have scored in each of the first 21 Premier League seasons . Didier Drogba is the only African player to score 100 Premier League goals .  Since the Premier League 's formation at the start of the 1992 -- 93 season , 28 players have managed to accrue 100 or more goals in the competition .   During the 1995 -- 96 season , Alan Shearer became the first player to score 100 Premier League goals , and holds the record for the fewest games taken to reach 100 , doing so in 124 appearances . He also holds the record for most goals scored in the Premier League . After Shearer , Harry Kane is the second - fastest to 100 goals , doing so in 141 games .   Players ( edit )    As of 13 May 2018 . Sources :    List of Premier League players with 100 or more goals   Rank   Player   Premier League club ( s )   Goals   Played   Ratio       Shearer , Alan Alan Shearer   Blackburn Rovers , Newcastle United   260   441   0.59       Rooney , Wayne Wayne Rooney   Everton , Manchester United   208   491   0.42       Cole , Andy Andy Cole   Newcastle United , Manchester United , Blackburn Rovers , Fulham , Manchester City , Portsmouth   187   414   0.45       Lampard , Frank Frank Lampard   West Ham United , Chelsea , Manchester City   177   609   0.29       Henry , Thierry Thierry Henry   Arsenal   175   258   0.68     6   Fowler , Robbie Robbie Fowler   Liverpool , Leeds United , Manchester City   163   379   0.43     7   Defoe , Jermain Jermain Defoe   West Ham United , Portsmouth , Tottenham Hotspur , Sunderland , Bournemouth   162   491   0.33     8   Owen , Michael Michael Owen   Liverpool , Newcastle United , Manchester United , Stoke City   150   326   0.46     9   Ferdinand , Les Les Ferdinand   Queens Park Rangers , Newcastle United , Tottenham Hotspur , West Ham United , Leicester City , Bolton Wanderers   149   351   0.42     10   Sheringham , Teddy Teddy Sheringham   Nottingham Forest , Tottenham Hotspur , Manchester United , Portsmouth , West Ham United   146   418   0.35     11   van Persie , Robin Robin van Persie   Arsenal , Manchester United   144   280   0.51     12   Agüero , Sergio Sergio Agüero   Manchester City   143   206   0.69     13   Hasselbaink , Jimmy Floyd Jimmy Floyd Hasselbaink   Leeds United , Chelsea , Middlesbrough , Charlton Athletic   127   288   0.44     14   Keane , Robbie Robbie Keane   Coventry City , Leeds United , Tottenham Hotspur , Liverpool , West Ham United , Aston Villa   126   349   0.36     15   Anelka , Nicolas Nicolas Anelka   Arsenal , Liverpool , Manchester City , Bolton Wanderers , Chelsea , West Bromwich Albion   125   364   0.34     16   Yorke , Dwight Dwight Yorke   Aston Villa , Manchester United , Blackburn Rovers , Birmingham City , Sunderland   123   375   0.33     17   Gerrard , Steven Steven Gerrard   Liverpool   120   504   0.24     18   Wright , Ian Ian Wright   Arsenal , West Ham United   113   213   0.53     19   Dublin , Dion Dion Dublin   Manchester United , Coventry City , Aston Villa   111   312   0.36     20   Heskey , Emile Emile Heskey   Leicester City , Liverpool , Birmingham City , Wigan Athletic , Aston Villa   110   516   0.21     21   Giggs , Ryan Ryan Giggs   Manchester United   109   632   0.17     22   Kane , Harry Harry Kane   Tottenham Hotspur   108   153   0.71     23   Crouch , Peter Peter Crouch   Aston Villa , Southampton , Liverpool , Portsmouth , Tottenham Hotspur , Stoke City   108   462   0.23     23   Scholes , Paul Paul Scholes   Manchester United   107   499   0.21     25   Bent , Darren Darren Bent   Ipswich Town , Charlton Athletic , Tottenham Hotspur , Sunderland , Aston Villa , Fulham   106   276   0.38     26   Drogba , Didier Didier Drogba   Chelsea   104   254   0.41     27   Lukaku , Romelu Romelu Lukaku   West Bromwich Albion , Everton , Manchester United   101   220   0.46     28   Le Tissier , Matt Matt Le Tissier   Southampton   100   270   0.37     Italics show players still playing professional football ; Bold shows players still playing in the Premier League .     See also ( edit )    English football first tier top scorers   List of top Premier League goal scorers by season   List of Premier League players with 500 or more appearances    References ( edit )    Jump up ^ `` Bent poised to join 100 club '' . PremierLeague.com . Premier League . 30 January 2012 . Archived from the original on 20 October 2013 . Retrieved 2 February 2012 .   Jump up ^ `` Bent delighted to join 100 goals club '' . PremierLeague.com . Premier League . 2 February 2012 . Retrieved 2 February 2012 .   Jump up ^ Dan Kilpatrick ( 4 February 2018 ) . `` Tottenham striker Harry Kane scores 100th Premier League goal '' . ESPN .   ^ Jump up to : `` Premier League Player Stats : Goals '' . PremierLeague.com . Premier League . Retrieved 10 December 2017 .   Jump up ^ `` Premier League Players -- Overview and Stats '' . PremierLeague.com . Premier League . Retrieved 10 December 2017 .              Premier League     Seasons     1992 -- 93   1993 -- 94   1994 -- 95   1995 -- 96   1996 -- 97   1997 -- 98   1998 -- 99   1999 -- 2000   2000 -- 01   2001 -- 02   2002 -- 03   2003 -- 04   2004 -- 05   2005 -- 06   2006 -- 07   2007 -- 08   2008 -- 09   2009 -- 10   2010 -- 11   2011 -- 12   2012 -- 13   2013 -- 14   2014 -- 15   2015 -- 16   2016 -- 17   2017 -- 18   2018 -- 19       Clubs      2018 -- 19     Arsenal   Brighton &amp; Hove Albion   Bournemouth   Burnley   Cardiff City   Chelsea   Crystal Palace   Everton   Fulham   Huddersfield Town   Leicester City   Liverpool   Manchester City   Manchester United   Newcastle United   Southampton   Tottenham Hotspur   Watford   West Ham United   Wolverhampton Wanderers       Former     Aston Villa   Barnsley   Birmingham City   Blackburn Rovers   Blackpool   Bolton Wanderers   Bradford City   Charlton Athletic   Coventry City   Derby County   Hull City   Ipswich Town   Leeds United   Middlesbrough   Norwich City   Nottingham Forest   Oldham Athletic   Portsmouth   Queens Park Rangers   Reading   Sheffield United   Sheffield Wednesday   Stoke City   Sunderland   Swansea City   Swindon Town   West Bromwich Albion   Wigan Athletic   Wimbledon ( defunct )          Competition     Teams   winners     Players   foreign   foreign scorers   winners     Managers       Stadia   Founding   Broadcasting foundation   Broadcasters   Referees       Statistics and awards     Records   All - time table   Hat - tricks   Highest scores   Golden Boot   Golden Glove   Manager of the Season   Player of the Season   Goal of the Season   Playmaker of the Season   Manager of the Month   Player of the Month   Goal of the Month   Players with 500 + appearances   Players with 100 + goals   Top scorers by season   Goalkeepers with 100 + clean sheets   10 Seasons Awards   20 Seasons Awards       Finances     Richest clubs :   Deloitte list   Forbes ' list     Team owners   Transfer records   Game 39   Premier League -- Football League gulf       Associated competitions     Asia Trophy   FA Community Shield   FA Cup   EFL Cup   UEFA Champions League   UEFA Europa League   Premier League 2   U18 Premier League   Premier League International Cup              Retrieved from `` https://en.wikipedia.org/w/index.php?title=List_of_Premier_League_players_with_100_or_more_goals&amp;oldid=845016149 '' Categories :   Lists of Premier League players   Association football records and statistics   Hidden categories :   Wikipedia pending changes protected pages   Use dmy dates from March 2012   Articles with hCards           Talk                                                             About Wikipedia                                           Bosanski   Dansk   Español   Italiano   Shqip   Українська   Edit links   This page was last edited on 8 June 2018 , at 18 : 57 .         About Wikipedia                    </t>
  </si>
  <si>
    <t xml:space="preserve">who has scored the most goals in the english premier league</t>
  </si>
  <si>
    <t xml:space="preserve"> List of Premier League players with 100 or more goals   Rank   Player   Premier League club ( s )   Goals   Played   Ratio       Shearer , Alan Alan Shearer   Blackburn Rovers , Newcastle United   260   441   0.59       Rooney , Wayne Wayne Rooney   Everton , Manchester United   208   491   0.42       Cole , Andy Andy Cole   Newcastle United , Manchester United , Blackburn Rovers , Fulham , Manchester City , Portsmouth   187   414   0.45       Lampard , Frank Frank Lampard   West Ham United , Chelsea , Manchester City   177   609   0.29       Henry , Thierry Thierry Henry   Arsenal   175   258   0.68     6   Fowler , Robbie Robbie Fowler   Liverpool , Leeds United , Manchester City   163   379   0.43     7   Defoe , Jermain Jermain Defoe   West Ham United , Portsmouth , Tottenham Hotspur , Sunderland , Bournemouth   162   491   0.33     8   Owen , Michael Michael Owen   Liverpool , Newcastle United , Manchester United , Stoke City   150   326   0.46     9   Ferdinand , Les Les Ferdinand   Queens Park Rangers , Newcastle United , Tottenham Hotspur , West Ham United , Leicester City , Bolton Wanderers   149   351   0.42     10   Sheringham , Teddy Teddy Sheringham   Nottingham Forest , Tottenham Hotspur , Manchester United , Portsmouth , West Ham United   146   418   0.35     11   van Persie , Robin Robin van Persie   Arsenal , Manchester United   144   280   0.51     12   Agüero , Sergio Sergio Agüero   Manchester City   143   206   0.69     13   Hasselbaink , Jimmy Floyd Jimmy Floyd Hasselbaink   Leeds United , Chelsea , Middlesbrough , Charlton Athletic   127   288   0.44     14   Keane , Robbie Robbie Keane   Coventry City , Leeds United , Tottenham Hotspur , Liverpool , West Ham United , Aston Villa   126   349   0.36     15   Anelka , Nicolas Nicolas Anelka   Arsenal , Liverpool , Manchester City , Bolton Wanderers , Chelsea , West Bromwich Albion   125   364   0.34     16   Yorke , Dwight Dwight Yorke   Aston Villa , Manchester United , Blackburn Rovers , Birmingham City , Sunderland   123   375   0.33     17   Gerrard , Steven Steven Gerrard   Liverpool   120   504   0.24     18   Wright , Ian Ian Wright   Arsenal , West Ham United   113   213   0.53     19   Dublin , Dion Dion Dublin   Manchester United , Coventry City , Aston Villa   111   312   0.36     20   Heskey , Emile Emile Heskey   Leicester City , Liverpool , Birmingham City , Wigan Athletic , Aston Villa   110   516   0.21     21   Giggs , Ryan Ryan Giggs   Manchester United   109   632   0.17     22   Kane , Harry Harry Kane   Tottenham Hotspur   108   153   0.71     23   Crouch , Peter Peter Crouch   Aston Villa , Southampton , Liverpool , Portsmouth , Tottenham Hotspur , Stoke City   108   462   0.23     23   Scholes , Paul Paul Scholes   Manchester United   107   499   0.21     25   Bent , Darren Darren Bent   Ipswich Town , Charlton Athletic , Tottenham Hotspur , Sunderland , Aston Villa , Fulham   106   276   0.38     26   Drogba , Didier Didier Drogba   Chelsea   104   254   0.41     27   Lukaku , Romelu Romelu Lukaku   West Bromwich Albion , Everton , Manchester United   101   220   0.46     28   Le Tissier , Matt Matt Le Tissier   Southampton   100   270   0.37     Italics show players still playing professional football ; Bold shows players still playing in the Premier League .   </t>
  </si>
  <si>
    <t xml:space="preserve">Hierarchy of the Catholic Church - wikipedia  Hierarchy of the Catholic Church         Part of a series on the     Hierarchy of the Catholic Church     Saint Peter     Ecclesiastical titles ( order of precedence )       Pope   Cardinal   Cardinal Vicar     Moderator of the curia   Chaplain of His Holiness   Papal legate   Papal majordomo   Apostolic Nuncio   Apostolic Delegate   Apostolic Syndic   Apostolic visitor   Vicar Apostolic   Apostolic Exarch   Apostolic Prefect   Assistant at the Pontifical Throne   Eparch   Metropolitan   Patriarch   Bishop   Archbishop   Bishop Emeritus   Diocesan bishop   Major archbishop   Primate   Suffragan bishop   Titular bishop   Coadjutor bishop   Auxiliary bishop     Territorial prelate   Territorial abbot       Liturgical titles ( show )   Acolyte   Consecrator   Lector   Reader   Subdeacon       Administrative and pastoral titles ( show )   Auditor   Brother   Chancellor   Chaplain   Military chaplain   Military ordinary     Coarb   Confessor   Consultor   Curate   Deacon   Defender of the Bond   Definitor   Devil 's advocate   Diocesan administrator   Ecclesiastical judge   Episcopal vicar   Exorcist   Judicial vicar   Lay brother   Lay cardinal   Monsignor   Officialis   Pastor   Assistant pastor     Personal prelate   Preacher   Prefect   Presbyter   Priest   Protonotary Apostolic   Saint   Blessed   Venerable     Seminarian   Vicar forane   Vicar general       Consecrated and professed titles ( show )   Abbess   Abbot   Consecrated virgin   Corrector   Custos   Friar   Dean   Grand Master   Hermit   Master general   Master of novices   Monk   Novice   Nun   Postulant     Oblate   Prior   Provincial superior   Rector   Religious   Superior general       Additional titles ( show )   Almoner   Altar server   Archimandrite   Archpriest   Archdeacon   Canon   Captain General of the Church   Chorbishop   Commissary Apostolic   Datarius   Honorary Prelate   Minor canon   Notarius   Ostiarius   Peritus   Postulator   Precentor   Prince - bishop   Promotor Fidei   Protopriest   Protodeacon   Protosyncellus   Regionarius       Organization titles ( show )   Grand Master   Sovereign Military Order of Malta   Order of the Holy Sepulchre   Teutonic Knights           Catholicism portal                         Part of a series on the     Catholic Church     St. Peter 's Basilica , Vatican City     Overview       Pope : Francis   Hierarchy   History ( Timeline )   Theology   Liturgy   Sacraments   Mary       Background ( show )   Jesus   Crucifixion   Resurrection   Ascension     Early Christianity   History of the Catholic Church   History of the papacy   Ecumenical Councils   Four Marks of the Church   One true church   Apostolic succession       Organisation ( show )   Holy See   College of Cardinals   Ecumenical Councils   Episcopal polity   Latin Church   Eastern Churches   Canon law       Theology ( show )   Trinity   Father   Son   Holy Spirit       Ten Commandments   Three States of the Church   Purgatory       Paschal Mystery   Passion   Crucifixion   Harrowing of Hell   Resurrection   Ascension       Mary   Mariology   Veneration   Immaculate Conception   Theotokos   Perpetual virginity   Assumption   Titles       Morality   Body   Lectures     Sexuality   Apologetics   Divine grace   Salvation   Original sin   Saints   Dogma   Catechism       Philosophy ( show )   Natural law   Catholic ethics   Personalism   Social teaching   Philosophers       Worship ( show )   Liturgy   Mass   Divine Office   Liturgical year       Sacraments   Baptism   Penance   Eucharist   Confirmation   Anointing of the Sick   Matrimony   Holy Orders       Prayer   Devotions   Bible   Biblical canon       Rites ( show )   Latin     Roman   Ordinary form   Tridentine   Anglican Use   Zaire Use       Gallican   Ambrosian   Braga   Mozarabic       Eastern     Antiochian   Maronite   West Syriac   Syro - Malankara       Chaldean   East Syriac   Syro - Malabar       Byzantine   Armenian       Alexandrian   Ethiopic         Controversies ( show )   Antipopes   Anti-Catholicism   Criticism   Homosexuality   Sex and gender roles   Sexual abuse cases       Other topics ( show )   Art   Ecumenism   Evolution   Health care   Monasticism   Music   Science   Role in civilization       Links and resources ( show )   Index   Outline   Glossary   Category   Media   Templates   WikiProject   Book   Pope portal   Vatican City portal       Catholicism portal                 The hierarchy of the Catholic Church consists of its bishops , priests , and deacons . In the ecclesiological sense of the term , `` hierarchy '' strictly means the `` holy ordering '' of the Church , the Body of Christ , so to respect the diversity of gifts and ministries necessary for genuine unity . ( 1 Cor 12 )   In canonical and general usage , it refers to those who exercise authority within a Christian church . In the Catholic Church , authority rests chiefly with the bishops , while priests and deacons serve as their assistants , co-workers or helpers . Accordingly , `` hierarchy of the Catholic Church '' is also used to refer to the bishops alone .   As of 31st of December 2014 , the Catholic Church consisted of 2,998 dioceses or equivalent jurisdictions , each overseen by a bishop . Dioceses are divided into individual communities called parishes , each staffed by one or more priest , deacon , or lay ecclesial minister . Ordinarily , care of a parish is entrusted to a priest , though there are exceptions . Approximately 22 % of all parishes do not have a resident pastor , and 3,485 parishes worldwide are entrusted to a deacon or lay ecclesial minister .   All clergy , including deacons , priests , and bishops , may preach , teach , baptize , witness marriages , and conduct funeral liturgies . Only priests and bishops can celebrate the sacraments of the Eucharist ( though others may be ministers of Holy Communion ) , Penance ( Reconciliation , Confession ) , Confirmation ( priests may administer this sacrament with prior ecclesiastical approval ) , and Anointing of the Sick . Only bishops can administer the sacrament of Holy Orders , by which men are ordained as bishops , priests or deacons .   Contents    1 Bishop   1.1 Pope ( Bishop of Rome )   1.1. 1 Offices and titles   1.1. 2 Election     1.2 Patriarchs   1.3 Major archbishops   1.4 Cardinals   1.5 Primates   1.6 Metropolitan bishops   1.7 Archbishops   1.8 Diocesan bishops   1.8. 1 Equivalents of diocesan bishops in law     1.9 Other bishops     2 Ordinaries and local ordinaries   3 Presbyterate   3.1 In general   3.2 Priests in service outside their diocese   3.3 Positions within a diocese at diocesan level   3.4 Vicars Forane or Deans   3.5 Parish priest / pastor   3.6 Assistant priests / parochial vicars   3.7 Honorary titles     4 Diaconate   5 Laity   6 Religious   7 See also   8 References   9 External links    Bishop ( edit )  Main article : Bishop ( Catholic Church )  The bishops , who possess the fullness of orders , and therefore the fullness of both priesthood and diaconate , are as a body ( the College of Bishops ) considered the successors of the Apostles and are `` constituted Pastors in the Church , to be the teachers of doctrine , the priests of sacred worship and the ministers of governance '' and `` represent the Church . '' In the year 2012 , there were 5,133 Catholic bishops ; at the end of 2014 , there were 5,237 Catholic bishops . The Pope himself is a bishop ( the bishop of Rome ) and traditionally uses the title `` Venerable Brother '' when writing formally to another bishop .   The typical role of a bishop is to provide pastoral governance for a diocese . Bishops who fulfill this function are known as diocesan ordinaries , because they have what canon law calls ordinary ( i.e. not delegated ) authority for a diocese . These bishops may be known as hierarchs in the Eastern Catholic Churches . Other bishops may be appointed to assist ordinaries ( auxiliary bishops and coadjutor bishops ) or to carry out a function in a broader field of service to the Church , such as appointments as papal nuncios or as officials in the Roman Curia .   Bishops of a country or region may form an episcopal conference and meet periodically to discuss current problems . Decisions in certain fields , notably liturgy , fall within the exclusive competence of these conferences . The decisions of the conferences are binding on the individual bishops only if agreed to by at least two - thirds of the membership and confirmed by the Holy See .   Bishops are normally ordained to the episcopate by at least three other bishops , though for validity only one is needed and a mandatum from the Holy See is required . Ordination to the episcopate is considered the completion of the sacrament of Holy Orders ; even when a bishop retires from his active service , he remains a bishop , since the ontological effect of Holy Orders is permanent . On the other hand , titles such as archbishop or patriarch imply no ontological alteration , and existing bishops who rise to those offices do not require further ordination .   Sacramentally , all bishops are equal . According to jurisdiction , office , and privileges , however , various ranks are distinguished , as indicated below . All bishops are `` vicars of Christ '' .   Pope ( bishop of Rome ) ( edit )  Main article : Pope Pope Francis , bishop of Rome  The pope is the bishop of Rome . He is also , by virtue of that office :   Vicar of Jesus Christ , Successor of the Prince of the Apostles , Supreme Pontiff of the Universal Church , Patriarch of the Latin Church , Primate of Italy , Archbishop and Metropolitan of the Roman Province , Sovereign of the Vatican City State , Servant of the servants of God .  Offices and titles ( edit )  `` Pope '' is a pronominal honorific , not an office or a title , meaning `` Father '' ( the common honorific for all clergy ) . The honorific `` pope '' was from the early 3rd century used for any bishop in the West , and is known in Greek as far back as Homer 's Odyssey ( 6 : 57 ). ( 18 ) In the East , `` pope '' is still a common form of address for clergy in the Russian Orthodox Church , and is the style of the Bishop of Alexandria . Pope Marcellinus ( d . 304 ) is the first Bishop of Rome shown in sources to have had the title `` pope '' used of him . From the 6th century , the imperial chancery of Constantinople normally reserved this designation for the Bishop of Rome. ( 18 ) From the early 6th century , it began to be confined in the West to the Bishop of Rome , a practice that was firmly in place by the 11th century , when Pope Gregory VII declared it reserved for the Bishop of Rome .   As bishop of the Church of Rome , he is successor to the co-patrons of that local Church , Saint Peter and Saint Paul . As such , the Church of Rome , and its bishop , has always had a prominence in the Catholic communion and at least to some degree primacy among his peers , the other bishops , as Peter had a certain primacy among his peers , the other apostles . The exact nature of that primacy is one of the most significant ecumenical issues of the age , and has developed as a doctrine throughout the entire history of the Church .   The Catechism of the Catholic Church , quoting the Second Vatican Council 's document Lumen gentium , states : `` The pope , Bishop of Rome and Peter 's successor , ' is the perpetual and visible source and foundation of the unity both of the bishops and of the whole company of the faithful . ' '' Communion with bishop of Rome has become such a significant identifier of Catholic identity that at times the Catholic Church has been known in its entirety as `` Roman Catholic '' , though this is inaccurate in Catholic theology ( ecclesiology ) .   Three other of the pope 's offices stem directly from his office as bishop of the Church of Rome . As the Latin Church owes its identity and development to its origins in the liturgical , juridical , and theological patrimony of Rome , the bishop of Rome is de facto the patriarch of the Latin Church . According to no less than Pope Benedict XVI , there has been much ' confusion ' between the pope 's primacy as patriarch of the western church and his primacy as first patriarch among equals , that this `` failure to distinguish '' between the roles and responsibilities of these two distinct positions lead in time to the `` extreme centralization of the Catholic Church '' and the schism between East and West .   As the first local Church of Italy , the bishop of Rome is the Primate of Italy and is empowered to appoint the president of the Italian Bishops ' Conference .   The Church of Rome is also the principal church of the Province of Rome , so the bishop of Rome is Archbishop and Metropolitan of the Roman province .   As a bishop , the pope is referred to as a Vicar of Christ . This title was common to all bishops from the fourth through twelfth centuries , reserved to the bishop of Rome from the twelfth through early twentieth centuries , and restored to all bishops at the Second Vatican Council .   The pope resides in Vatican City , an independent state within the city of Rome , set up by the 1929 Lateran Pacts between the Holy See and Italy . As popes were sovereigns of the papal states ( 754 -- 1870 ) , so do they exercise absolute civil authority in the microstate of Vatican City since 1929 .   Ambassadors are accredited not to Vatican City State but to the Holy See , which was a subject of international law even before the state was instituted . The body of officials that assist the Pope in governance of the Church as a whole is known as the Roman curia . The term `` Holy See '' ( i.e. of Rome ) is generally used only of Pope and curia , because the Code of Canon Law , which concerns governance of the Latin Church as a whole and not internal affairs of the see ( diocese ) of Rome itself , necessarily uses the term in this technical sense .   Finally , the title `` Servant of the servants of God '' was an addition of Pope Gregory the Great , a reminder that in Christianity , leadership is always about service / ministry ( diakonia ) .   The style of address for the bishop of Rome is `` His Holiness '' .  Election ( edit )  The present rules governing the election of a pope are found in the apostolic constitution Universi Dominici Gregis . This deals with the powers , from the death of a pope to the announcement of his successor 's election , of the cardinals and the departments of the Roman curia ; with the funeral arrangements for the dead pope ; and with the place , time and manner of voting of the meeting of the cardinal electors , a meeting known as a conclave . This word is derived from Latin com - ( together ) and clavis ( key ) and refers to the locking away of the participants from outside influences , a measure that was introduced first as a means instead of forcing them to reach a decision .   Like all bishops , the pope has the option of resigning , though unlike other bishops , it is not required . The best known cases are those of Pope Celestine V in 1294 , Pope Gregory XII in 1415 and Pope Benedict XVI in 2013 . Approximately 10 % of all popes left or were removed from office before death .   Patriarchs ( edit )   The heads of some autonomous ( in Latin , sui iuris ) particular Churches consisting of several local Churches ( dioceses ) have the title of Patriarch .   The pope , as patriarch of the Latin Church , is the head of the only sui iuris Church in the West , leading to the relatively short - lived title Patriarch of the West ( in use 1863 -- 2006 ) . Eastern patriarchs are elected by the synod of bishops of their particular Church .   The Patriarchs who head autonomous particular Churches are :    The Coptic Catholic Patriarch of Alexandria ( Coptic Catholic Church )   The Melkite Greek Catholic Patriarch of Antioch ( Melkite Greek Catholic Church )   The Maronite Patriarch of Antioch ( Maronite Church )   The Syriac Catholic Patriarch of Antioch ( Syriac Catholic Church )   The Armenian Catholic Patriarch of Cilicia ( Armenian Catholic Church )   The Chaldean Catholic Patriarch of Babylonia ( Chaldean Catholic Church )    These have authority not only over the bishops of their particular Church , including metropolitans , but also directly over all the faithful . Eastern Catholic patriarchs have precedence over all other bishops , with the exceptions laid down by the Pope . The honorary title prefixed to their names is `` His Beatitude '' .   There are also titular patriarchs in the Latin Church , who , for various historical reasons , were granted the title , but never the corresponding office and responsibilities , of `` patriarch '' . They include the Latin Patriarch of Jerusalem , the Patriarch of Venice , the Patriarch of Lisbon , and the Patriarch of the East Indies . All of these offices are honorary , and the patriarchs are not the heads of autonomous particular Churches . The Patriarch of the East Indies is the archbishop of Goa , while the other patriarchs are the archbishops of the named cities . The title of Patriarch of the West Indies was in the past granted to some Spanish bishops ( not always of the same see ) , but is long in abeyance .   Current and historical Catholic patriarchates   Type   Church   Patriarchate   Patriarch     Patriarchs of sui iuris Churches   Coptic   Alexandria   Patriarch Ibrahim Isaac Sidrak     Greek - Melkite   Antioch   Patriarch Youssef Absi     Maronite   Antioch   Patriarch Bechara Boutros al - Rahi     Syriac   Antioch   Patriarch Ignatius Joseph III Younan     Armenian   Cilicia   Patriarch Gregory Petros XX Gabroyan     Chaldean   Babylon   Patriarch Louis Raphaël I Sako     Titular Patriarchs   Latin   Jerusalem   Sede vacante     Latin   East Indies   Patriarch Filipe Neri Ferrão     Latin   Lisbon   Cardinal Manuel Clemente     Latin   Venice   Patriarch Francesco Moraglia     Suppressed or vacant titles   Latin   Alexandria   suppressed in 1964     Latin   Antioch   suppressed in 1964     Latin   Constantinople   suppressed in 1964     Latin   West Indies   vacant from 1963     Latin   Aquileia   suppressed in 1751     Latin   Grado   transferred to Venice in 1451     Major archbishops ( edit )  Sviatoslav Shevchuk , the Major Archbishop of Kiev -- Galicia  Other autonomous particular Churches are headed by a major archbishop . The Syro - Malankara Catholic Church uses the title Catholicos for their major archbishop . With few exceptions , the authority of a major archbishop in his sui iuris Church is equivalent to that of a patriarch in his Church . This less prestigious office was established in 1963 for those Eastern Catholic Churches which have developed in size and stability to allow full self - governance if historical , ecumenical , or political conditions do not allow their elevation to a patriarchate .   At present , there are four major archbishops :     Major archdiocese   Country   Church   Archbishop     Ernakulam - Angamaly   India   Syro - Malabar   Cardinal George Alencherry     Făgăraş and Alba Iulia   Romania   Romanian   Cardinal Lucian Mureșan     Kiev -- Galicia   Ukraine   Ukrainian   Major Archbishop Sviatoslav Shevchuk     Trivandrum   India   Syro - Malankara   Cardinal Baselios Cleemis     Cardinals ( edit )  Main article : Cardinal ( Catholicism ) A cardinal ( second from left ) and bishops  Cardinals are princes of the Church appointed by the Pope . He generally chooses bishops who head departments of the Roman Curia or important episcopal sees throughout the world . As a whole , the cardinals compose a College of Cardinals which advises the Pope , and those cardinals under the age of 80 at the death or resignation of a Pope elect his successor . Their heraldic achievement is surmounted by the red galero and tassels as a form of martyred position in the Church .   Not all cardinals are bishops . Domenico Bartolucci , Karl Josef Becker , Roberto Tucci and Albert Vanhoye are examples of 21st - century non-bishop cardinals . The 1917 Code of Canon Law introduced the requirement that a cardinal must be at least a priest . Previously , they need only be in minor orders and not even deacons . Teodolfo Mertel , who died in 1899 , was the last non-priest cardinal . In 1962 , Pope John XXIII made it a rule that a man who has been nominated a cardinal is required to be consecrated a bishop , if not one already , but some ask for and obtain dispensation from this requirement . It is rare that the Pope will appoint Cardinals who are priests only and not consecrated as a bishop .   The 1917 Code of Canon Law , continuing the tradition observed , for instance , at the First Vatican Council , laid down that cardinals have precedence over all other prelates , even patriarchs . The 1983 Code of Canon Law did not deal with questions of precedence .   The cardinalate is not an integral part of the theological structure of the Catholic Church , but largely an honorific distinction that has its origins in the 1059 assignation of the right of electing the Pope exclusively to the principal clergy of Rome and the bishops of the seven suburbicarian dioceses . Because of their resulting importance , the term cardinal ( from Latin cardo , meaning `` hinge '' ) was applied to them . In the 12th century the practice of appointing ecclesiastics from outside Rome as cardinals began . Each cardinal is still assigned a church in Rome as his `` titular church '' or is linked with one of the suburbicarian dioceses . Of these sees , the Dean of the College of Cardinals holds that of Ostia , while keeping his preceding link with one of the other six sees . Traditionally , only six cardinals held the rank of Cardinal Bishop , but when Eastern patriarchs are made cardinals , they too hold the rank of Cardinal Bishop , without being assigned a suburbicarian see . The other cardinals have the rank either of Cardinal Priest or Cardinal Deacon , the former rank being normally assigned to bishops in charge of dioceses , and the latter to officials of the Curia and to priests raised to the cardinalate .   Primates ( edit )   The Latin Church title of primate has in some countries been granted to the bishop of a particular ( usually metropolitan ) see . It once involved authority over all the other sees in the country or region , but now only gives a `` prerogative of honor '' with no power of governance unless an exception is made in certain matters by a privilege granted by the Holy See or by an approved custom . The title is usually assigned to the ordinary of the first diocese or the oldest archdiocese in the country . Thus in Poland , the primate is the archbishop of the oldest archdiocese ( Gniezno , founded in 1000 ) , and not the oldest diocese ( Poznań , founded in 968 ) .   Notably , the Archbishop of Baltimore is not formally considered a primate of the Catholic Church in the United States , but `` prerogative of the place '' .   The closest equivalent position in Eastern Orthodoxy is an exarch holding authority over other bishops without being a patriarch . In the Eastern Catholic Churches , exarchs , whether apostolic or patriarchal , do not hold authority over other bishops ( see below , # Equivalents of diocesan bishops in law ) .   Metropolitan bishops ( edit )  Archbishop Robert Carlson , Metropolitan Archbishop of St. Louis . Note he is wearing the pallium .  A Latin Church Metropolitan is the bishop of the principal ( the `` metropolitan '' ) see of an ecclesiastical province composed of several dioceses . The metropolitan receives a pallium from the pope as a symbol of his office . The metropolitan bishop has limited oversight authority over the suffragan dioceses in their province , including ensuring that the faith and ecclesiastical discipline are properly observed . He also has the power to name a diocesan administrator for a vacant suffragan see if the diocesan council of consultors fails to properly elect one . His diocesan tribunal additionally serves by default as the ecclesiastical court of appeal for suffragans ( court of second instance ) , and the metropolitan has the option of judging those appeals personally .   Eastern metropolitans in patriarchal or major archiepiscopal churches have a level of authority similar to that of Latin metropolitans , subject to the specific laws and customs of their sui iuris church . Eastern metropolitans who head a metropolitan sui iuris church have much greater authority within their church , although it is less than that of a major archbishop or patriarch .   All metropolitans have the title of Archbishop , and the metropolitan see is usually referred to as an archdiocese or archeparchy , a title held not only by the 553 metropolitan sees but also by 77 other sees . An exception is the metropolitan Diocese of Rome .   Archbishops ( edit )   The title of archbishop is held not only by bishops who head metropolitan sees , but also by those who head archdioceses that are not metropolitan sees ( most of these are in Europe and the Levant ) . In addition , it is held by certain other bishops , referred to as `` Titular Archbishops '' ( see `` Other Bishops '' below ) who have been given no - longer - residential archdioceses as their titular sees -- many of these in administrative or diplomatic posts , for instance as papal nuncios or secretaries of curial congregations . The bishop of a non-archiepiscopal see may be given the personal title of archbishop without also elevating his see ( such a bishop is known as an archbishop ad personam ) , though this practice has seen significantly reduced usage since the Second Vatican Council .   Diocesan bishops ( edit )   The bishop or eparch of a see , even if he does not also hold a title such as Archbishop , Metropolitan , Major Archbishop , Patriarch or Pope , is the centre of unity for his diocese or eparchy , and , as a member of the College of Bishops , shares in responsibility for governance of the whole Church ( cf . Catechism of the Catholic Church , 886 ) . As each local particular Church is an embodiment of the whole Catholic Church , not just an administrative subdivision of something larger , the bishop who is its head is not a delegate of the Pope . Instead , he has of himself primary teaching , governance and sanctifying responsibility for the see for which he has been ordained bishop .   Within each diocese , even if the Eucharist is celebrated by another bishop , the necessary communion with the Bishop of the diocese is signified by the mention of his name . In Eastern eparchies the name of the patriarch , major archbishop or metropolitan is also mentioned , because these also have direct responsibility within all the eparchies of the particular Church in question . For the same reason , every Catholic celebration of the Eucharist has a mention of the Pope by name .   Ordination to the episcopate is the fullness of the priesthood and the completion of the sacrament of Holy Orders . Bishops are considered the successors of the apostles .   Within the Catholic Church the following posts have similarities to that of a diocesan bishop , but are not necessarily held by a bishop .  Equivalents of diocesan bishops in Law ( edit )  Canon 368 of the Code of Canon Law lists five Latin Church jurisdictional areas that are considered equivalent to a diocese . These are headed by :    A Territorial Prelate , formerly called a Prelate nullius dioceseos ( of no diocese ) , in charge of a geographical area that has not yet been raised to the level of diocese   A Territorial Abbot , in charge of an area , which in mission countries can be quite vast , associated with an abbey   A Vicar Apostolic ( normally a bishop of a titular see ) , in charge of an apostolic vicariate , usually in a mission country , not yet ready to be made a diocese   A Prefect Apostolic ( usually not a bishop ) , in charge of an apostolic prefecture , not yet ready to be made an apostolic vicariate   A Permanent Apostolic Administrator , in charge of a geographical area that for serious reasons can not be made a diocese .    To these may be added :    An Apostolic Exarch ( normally a bishop of a titular see ) , in charge of an apostolic exarchate -- not yet ready to be made an eparchy -- for the faithful of an Eastern Catholic Church in an area that is situated outside the home territory of that Eastern Church .   A Patriarchal Exarch , a bishop in charge of a patriarchal exarchate -- not yet ready to be made an eparchy -- for the faithful of an Eastern Catholic Church in an area situated within the home territory of that patriarchal Eastern Church .   A Military Ordinary , serving Catholics in a country 's armed forces   A Personal Prelate , in charge of a group of persons without regard to geography : the only personal prelature existing is that of Opus Dei .   An Apostolic Administrator of a Personal Apostolic Administration : only one exists , the Personal Apostolic Administration of Saint John Mary Vianney   An Ordinary of a personal ordinariate for former Anglicans   A Superior of an autonomous mission    Of somewhat similar standing is the Diocesan Administrator ( formerly called a Vicar Capitular ) elected to govern a diocese during a vacancy . Apart from certain limitations of nature and law , he has , on a caretaker basis , the same obligations and powers as a Diocesan Bishop ( canons 427 -- 429 of the Code of Canon Law ) . Occasionally an Apostolic Administrator is appointed by the Holy See to run a vacant diocese , or even a diocese whose bishop is incapacitated or otherwise impeded .   Other bishops ( edit )   A Diocesan Bishop may have bishops who assist in his ministry . The Coadjutor Bishop of a see has the right of succession on the death or resignation of the Diocesan Bishop , and , if the see is an archdiocese , holds the title of Archbishop . Similarly , a retired Diocesan Bishop keeps his connection with the see to which he was appointed , and is known as Bishop ( or Archbishop ) Emeritus of that see . On the other hand , an Auxiliary Bishop , who may also hold posts such as vicar general or episcopal vicar , is appointed bishop of a titular see , a see that in the course of history has ceased to exist as an actual jurisdictional unit .   The titular sees -- which may be archiepiscopal or simply episcopal -- assigned to such bishops were once known as sees in partibus infidelium , because they were situated in areas lost to Christianity as a result of Muslim conquests . Now former sees even in Christian countries are assigned as titular sees . These sees are also assigned to bishops who serve in the Roman Curia , as Papal Nuncios , or as equivalents of Diocesan Bishops in law ( see above ) , such as Vicars Apostolic and Apostolic Exarchs .   The term `` Titular Bishop '' is frequently used for such bishops , but is , strictly speaking , inaccurate , since they are indeed bishops , even if they do not serve the see to which they are appointed , and are not merely holders of an honorary title of bishop . They are members of the College of Bishops as much as the Diocesan Bishops .   In most English - speaking countries , the honorary title prefixed to the name of a bishop is `` The Most Reverend '' . However , in the United Kingdom and in those countries most strongly influenced by English ( not Irish ) practice , `` The Most Reverend '' is reserved for archbishops , and other bishops are called `` The Right Reverend '' .   Important titles or functions usually , but not necessarily , held by ( arch ) bishops who are not in charge of a diocese or an equivalent community include those of Apostolic Delegate , Apostolic Nuncio , Papal Legate , Patriarchal Vicar , Pontifical Delegate .   Ordinaries and local ordinaries ( edit )    Main article : Ordinary ( officer )  Local ordinaries are placed over or exercise ordinary executive power in particular churches or equivalent communities .    The Supreme Pontiff ( the Pope ) is a local ordinary for the whole Catholic Church .   In Eastern Catholic Churches , Patriarchs , major archbishops , and metropolitans have ordinary power of governance for the whole territory of their respective autonomous particular churches .   Diocesan / eparchial bishops / eparchs   Other prelates who head , even if only temporarily , a particular church or a community equivalent to it ( see above # Equivalents of diocesan bishops in law )   Vicars general and protosyncelli     Main article : Vicar general     Episcopal vicars and syncelli     Main article : Vicar general    Major superiors of religious institutes ( including abbots ) and of societies of apostolic life are ordinaries of their respective memb</t>
  </si>
  <si>
    <t xml:space="preserve">what is the difference between priest and bishop</t>
  </si>
  <si>
    <t xml:space="preserve"> All clergy , including deacons , priests , and bishops , may preach , teach , baptize , witness marriages , and conduct funeral liturgies . Only priests and bishops can celebrate the sacraments of the Eucharist ( though others may be ministers of Holy Communion ) , Penance ( Reconciliation , Confession ) , Confirmation ( priests may administer this sacrament with prior ecclesiastical approval ) , and Anointing of the Sick . Only bishops can administer the sacrament of Holy Orders , by which men are ordained as bishops , priests or deacons . </t>
  </si>
  <si>
    <t xml:space="preserve">Uluru - Wikipedia  Uluru  Jump to : navigation , search `` Ayers Rock '' redirects here . For the band , see Ayers Rock ( band ) . For the site in California , see Archeological Site CA - INY - 134 .    Uluru ( Uluṟu )     Ayers Rock         Aerial view of Uluru     Country   Australia     State   Northern Territory         Elevation   863 m ( 2,831 ft )     Prominence   348 m ( 1,142 ft )     Coordinates   25 ° 20 ′ 42 '' S 131 ° 02 ′ 10 '' E ﻿ / ﻿ 25.34500 ° S 131.03611 ° E ﻿ / - 25.34500 ; 131.03611 Coordinates : 25 ° 20 ′ 42 '' S 131 ° 02 ′ 10 '' E ﻿ / ﻿ 25.34500 ° S 131.03611 ° E ﻿ / - 25.34500 ; 131.03611         Geology   arkose     Orogeny   Petermann         UNESCO World Heritage Site     Name   Uluṟu -- Kata Tjuṯa National Park     Year   1987 ( # 11 )     Number   447     Criteria   v , vi , vii , ix         Location in Australia     Wikimedia Commons : Uluru     Website : www.environment.gov.au/         Uluru / ˌuːləˈruː / ( Pitjantjatjara : Uluṟu ) , also known as Ayers Rock / ˌɛərz ˈrɒk / and officially gazetted as `` Uluru / Ayers Rock '' , is a large sandstone rock formation in the southern part of the Northern Territory in central Australia . It lies 335 km ( 208 mi ) south west of the nearest large town , Alice Springs , 450 km ( 280 mi ) by road .   Uluru is sacred to the Pitjantjatjara Anangu , the Aboriginal people of the area . The area around the formation is home to an abundance of springs , waterholes , rock caves and ancient paintings . Uluru is listed as a UNESCO World Heritage Site . Uluru and Kata Tjuta , also known as the Olgas , are the two major features of the Uluṟu - Kata Tjuṯa National Park .     Contents  ( hide )   1 Name   2 Description   3 Geology   3.1 Composition   3.2 Age and origin     4 Fauna and flora   5 Climate and five seasons   6 Aboriginal myths , legends and traditions   7 History   8 Tourism   8.1 Admission   8.2 Climbing   8.3 Photography     9 See also   10 References   11 External links      Name   The local Anangu , the Pitjantjatjara people , call the landmark Uluṟu ( Pitjantjatjara ( uluɻu ) ) . This word is a proper noun , with no further particular meaning in the Pitjantjatjara dialect , although it is used as a local family name by the senior Traditional Owners of Uluru .   On 19 July 1873 , the surveyor William Gosse sighted the landmark and named it Ayers Rock in honour of the then Chief Secretary of South Australia , Sir Henry Ayers . Since then , both names have been used .   In 1993 , a dual naming policy was adopted that allowed official names that consist of both the traditional Aboriginal name and the English name . On 15 December 1993 , it was renamed `` Ayers Rock / Uluru '' and became the first official dual - named feature in the Northern Territory . The order of the dual names was officially reversed to `` Uluru / Ayers Rock '' on 6 November 2002 following a request from the Regional Tourism Association in Alice Springs .   Description   Uluru is one of Australia 's most recognisable natural landmarks . The sandstone formation stands 348 m ( 1,142 ft ) high , rising 863 m ( 2,831 ft ) above sea level with most of its bulk lying underground , and has a total circumference of 9.4 km ( 5.8 mi ) . Both Uluru and the nearby Kata Tjuta formation have great cultural significance for the Aṉangu people , the traditional inhabitants of the area , who lead walking tours to inform visitors about the local flora and fauna , bush food and the Aboriginal dreamtime stories of the area .   Uluru is notable for appearing to change colour at different times of the day and year , most notably when it glows red at dawn and sunset .   Kata Tjuta , also called Mount Olga or the Olgas , lies 25 km ( 16 mi ) west of Uluru . Special viewing areas with road access and parking have been constructed to give tourists the best views of both sites at dawn and dusk .  Panorama of Uluru around sunset , showing its distinctive red colouration at dusk .  Geology  Uluru rock formations Panorama from the top of Uluru , showing a typical gully Close - up view of Uluru 's surface , composed of arkose  Uluru is an inselberg , literally `` island mountain '' . An inselberg is a prominent isolated residual knob or hill that rises abruptly from and is surrounded by extensive and relatively flat erosion lowlands in a hot , dry region . Uluru is also often referred to as a monolith , although this is a somewhat ambiguous term that is generally avoided by geologists . The remarkable feature of Uluru is its homogeneity and lack of jointing and parting at bedding surfaces , leading to the lack of development of scree slopes and soil . These characteristics led to its survival , while the surrounding rocks were eroded . For the purpose of mapping and describing the geological history of the area , geologists refer to the rock strata making up Uluru as the Mutitjulu Arkose , and it is one of many sedimentary formations filling the Amadeus Basin .   Composition   Uluru is dominantly composed of coarse - grained arkose ( a type of sandstone characterized by an abundance of feldspar ) and some conglomerate . Average composition is 50 % feldspar , 25 -- 35 % quartz and up to 25 % rock fragments ; most feldspar is K - feldspar with only minor plagioclase as subrounded grains and highly altered inclusions within K - feldspar . The grains are typically 2 -- 4 millimetres ( 0.079 -- 0.157 in ) in diameter , and are angular to subangular ; the finer sandstone is well sorted , with sorting decreasing with increasing grain size . The rock fragments include subrounded basalt , invariably replaced to various degrees by chlorite and epidote . The minerals present suggest derivation from a predominantly granite source , similar to the Musgrave Block exposed to the south . When relatively fresh , the rock has a grey colour , but weathering of iron - bearing minerals by the process of oxidation gives the outer surface layer of rock a red - brown rusty colour . Features related to deposition of the sediment include cross-bedding and ripples , analysis of which indicated deposition from broad shallow high energy fluvial channels and sheet flooding , typical of alluvial fans .   Age and origin  Rain water flows off Uluru along channels marked by dark algae , forming small ponds at the base  The Mutitjulu Arkose is believed to be of about the same age as the conglomerate at Kata Tjuta , and to have a similar origin despite the rock type being different , but it is younger than the rocks exposed to the east at Mount Conner , and unrelated to them . The strata at Uluru are nearly vertical , dipping to the south west at 85 ° , and have an exposed thickness of at least 2,400 m ( 7,900 ft ) . The strata dip below the surrounding plain and no doubt extend well beyond Uluru in the subsurface , but the extent is not known .   The rock was originally sand , deposited as part of an extensive alluvial fan that extended out from the ancestors of the Musgrave , Mann and Petermann Ranges to the south and west , but separate from a nearby fan that deposited the sand , pebbles and cobbles that now make up Kata Tjuta .   The similar mineral composition of the Mutitjulu Arkose and the granite ranges to the south is now explained . The ancestors of the ranges to the south were once much larger than the eroded remnants we see today . They were thrust up during a mountain building episode referred to as the Petermann Orogeny that took place in late Neoproterozoic to early Cambrian times ( 550 -- 530 Ma ) , and thus the Mutitjulu Arkose is believed to have been deposited at about the same time .   The arkose sandstone which makes up the formation is composed of grains that show little sorting based on grain size , exhibit very little rounding and the feldspars in the rock are relatively fresh in appearance . This lack of sorting and grain rounding is typical of arkosic sandstones and is indicative of relatively rapid erosion from the granites of the growing mountains to the south . The layers of sand were nearly horizontal when deposited , but were tilted to their near vertical position during a later episode of mountain building , possibly the Alice Springs Orogeny of Palaeozoic age ( 400 -- 300 Ma ) .   Fauna and flora  Black - flanked rock - wallaby ( Petrogale lateralis )  Historically , 46 species of native mammals are known to have been living near Uluru ; according to recent surveys there are currently 21 . Aṉangu acknowledge that a decrease in the number has implications for the condition and health of the landscape . Moves are supported for the reintroduction of locally extinct animals such as malleefowl , common brushtail possum , rufous hare - wallaby or mala , bilby , burrowing bettong , and the black - flanked rock - wallaby .   The mulgara , the only mammal listed as vulnerable , is mostly restricted to the transitional sand plain area , a narrow band of country that stretches from the vicinity of Uluru to the northern boundary of the park and into Ayers Rock Resort . This area also contains the marsupial mole , woma python , and great desert skink .  Trees at the base of Uluru  The bat population of the park comprises at least seven species that depend on day roosting sites within caves and crevices of Uluru and Kata Tjuta . Most of the bats forage for aerial prey within 100 m ( 330 ft ) or so from the rock face . The park has a very rich reptile fauna of high conservation significance , with 73 species having been reliably recorded . Four species of frogs are abundant at the base of Uluru and Kata Tjuta following summer rains . The great desert skink is listed as vulnerable .   Aṉangu continue to hunt and gather animal species in remote areas of the park and on Aṉangu land elsewhere . Hunting is largely confined to the red kangaroo , bush turkey , emu , and lizards such as the sand goanna and perentie .   Of the 27 mammal species found in the park , six are introduced : the house mouse , camel , fox , cat , dog , and rabbit . These species are distributed throughout the park , but their densities are greatest near the rich water run - off areas of Uluru and Kata Tjuta .   Uluṟu -- Kata Tjuṯa National Park flora represents a large portion of plants found in Central Australia . A number of these species are considered rare and restricted in the park or the immediate region . Many rare and endemic plants are found in the park .   The growth and reproduction of plant communities rely on irregular rainfall . Some plants are able to survive fire and some are dependent on it to reproduce . Plants are an important part of Tjukurpa , and ceremonies are held for each of the major plant foods . Many plants are associated with ancestral beings .   Flora in Uluṟu -- Kata Tjuṯa National Park can be broken into these categories :    Punu -- trees   Puti -- shrubs   Tjulpun - tjulpunpa -- flowers   Ukiri -- grasses    Trees such as the mulga and centralian bloodwood are used to make tools such as spearheads , boomerangs , and bowls . The red sap of the bloodwood is used as a disinfectant and an inhalant for coughs and colds .   Several rare and endangered species are found in the park . Most of them , like adder 's tongue ferns , are restricted to the moist areas at the base of the formation , which are areas of high visitor use and subject to erosion .   Since the first Europeans arrived , 34 exotic plant species have been recorded in the park , representing about 6.4 % of the total park flora . Some , such as perennial buffel grass ( Cenchrus ciliaris ) , were introduced to rehabilitate areas damaged by erosion . It is the most threatening weed in the park and has spread to invade water - and nutrient - rich drainage lines . A few others , such as burrgrass , were brought in accidentally , carried on cars and people .   Climate and five seasons   The park has a hot desert climate and receives an average rainfall of 284.6 mm ( 11.2 in ) per year . The average high temperature in summer ( December -- January ) is 37.8 ° C ( 100.0 ° F ) , and the average low temperature in winter ( June -- July ) is 4.7 ° C ( 40.5 ° F ) . Temperature extremes in the park have been recorded at 46 ° C ( 115 ° F ) during the summer and − 5 ° C ( 23 ° F ) during winter . UV levels are extreme between October and March , averaging between 11 and 15 on the UV index .   Local Aboriginal people recognise five seasons :    Wanitjunkupai ( April / May ) -- Cooler weather   Wari ( June / July ) -- Cold season bringing morning frosts   Piriyakutu ( August / September / October ) -- Animals breed and food plants flower   Mai Wiyaringkupai ( November / December ) -- The hot season when food becomes scarce   Itjanu ( January / February / March ) -- Sporadic storms can roll in suddenly      ( hide ) Climate data for Yulara Aero     Month   Jan   Feb   Mar   Apr   May   Jun   Jul   Aug   Sep   Oct   Nov   Dec   Year     Record high ° C ( ° F )   46.4 ( 115.5 )   45.8 ( 114.4 )   42.9 ( 109.2 )   39.6 ( 103.3 )   35.7 ( 96.3 )   36.4 ( 97.5 )   31.1 ( 88 )   35.0 ( 95 )   38.7 ( 101.7 )   42.3 ( 108.1 )   45.0 ( 113 )   47.0 ( 116.6 )   47.0 ( 116.6 )     Average high ° C ( ° F )   38.4 ( 101.1 )   36.9 ( 98.4 )   34.4 ( 93.9 )   29.8 ( 85.6 )   24.2 ( 75.6 )   20.4 ( 68.7 )   20.4 ( 68.7 )   23.7 ( 74.7 )   28.8 ( 83.8 )   32.4 ( 90.3 )   35.1 ( 95.2 )   36.5 ( 97.7 )   30.1 ( 86.2 )     Average low ° C ( ° F )   22.7 ( 72.9 )   22.1 ( 71.8 )   19.3 ( 66.7 )   14.4 ( 57.9 )   9.3 ( 48.7 )   5.6 ( 42.1 )   4.4 ( 39.9 )   5.9 ( 42.6 )   10.7 ( 51.3 )   15.0 ( 59 )   18.4 ( 65.1 )   20.8 ( 69.4 )   14.1 ( 57.4 )     Record low ° C ( ° F )   12.7 ( 54.9 )   12.1 ( 53.8 )   8.0 ( 46.4 )   1.3 ( 34.3 )   ( 34 )   − 1.8 ( 28.8 )   − 3.6 ( 25.5 )   − 2.2 ( 28 )   − 1.0 ( 30.2 )   4.5 ( 40.1 )   6.5 ( 43.7 )   9.9 ( 49.8 )   − 3.6 ( 25.5 )     Average rainfall mm ( inches )   25.8 ( 1.016 )   39.6 ( 1.559 )   35.1 ( 1.382 )   14.7 ( 0.579 )   13.0 ( 0.512 )   17.4 ( 0.685 )   18.4 ( 0.724 )   4.3 ( 0.169 )   7.4 ( 0.291 )   20.7 ( 0.815 )   34.2 ( 1.346 )   40.2 ( 1.583 )   274.6 ( 10.811 )     Average rainy days ( ≥ 1 mm )   3.2   2.9   2.0   1.7   1.8   1.6   1.9   1.0   1.4   2.7   3.9   4.7   28.8     Source : Bureau of Meteorology     Aboriginal myths , legends and traditions   According to the Aṉangu , traditional landowners of Uluru :   The world was once a featureless place . None of the places we know existed until creator beings , in the forms of people , plants and animals , traveled widely across the land . Then , in a process of creation and destruction , they formed the landscape as we know it today . Aṉangu land is still inhabited by the spirits of dozens of these ancestral creator beings which are referred to as Tjukuritja or Waparitja .   There are a number of differing accounts given , by outsiders , of Aboriginal ancestral stories for the origins of Uluru and its many cracks and fissures . One such account , taken from Robert Layton 's ( 1989 ) Uluru : An Aboriginal history of Ayers Rock , reads as follows :   Uluru was built up during the creation period by two boys who played in the mud after rain . When they had finished their game they travelled south to Wiputa ... Fighting together , the two boys made their way to the table topped Mount Conner , on top of which their bodies are preserved as boulders . ( Page 5 )   Two other accounts are given in Norbert Brockman 's ( 1997 ) Encyclopedia of Sacred Places . The first tells of serpent beings who waged many wars around Uluru , scarring the rock . The second tells of two tribes of ancestral spirits who were invited to a feast , but were distracted by the beautiful Sleepy Lizard Women and did not show up . In response , the angry hosts sang evil into a mud sculpture that came to life as the dingo . There followed a great battle , which ended in the deaths of the leaders of both tribes . The earth itself rose up in grief at the bloodshed , becoming Uluru .   The Commonwealth Department of Environment 's webpage advises :   Many ... Tjukurpa such as Kalaya ( Emu ) , Liru ( poisonous snake ) , Lungkata ( blue tongue lizard ) , Luunpa ( kingfisher ) and Tjintir - tjintirpa ( willie wagtail ) travel through Uluṟu - Kata Tjuṯa National Park . Other Tjukurpa affect only one specific area .   Kuniya , the woma python , lived in the rocks at Uluru where she fought the Liru , the poisonous snake .   It is sometimes reported that those who take rocks from the formation will be cursed and suffer misfortune . There have been many instances where people who removed such rocks attempted to mail them back to various agencies in an attempt to remove the perceived curse .   History  Petroglyphs on Uluru Aerial view of Uluru  Archaeological findings to the east and west indicate that humans settled in the area more than 10,000 years ago . Europeans arrived in the Australian Western Desert in the 1870s . Uluru and Kata Tjuta were first mapped by Europeans in 1872 during the expeditionary period made possible by the construction of the Australian Overland Telegraph Line . In separate expeditions , Ernest Giles and William Gosse were the first European explorers to this area .   While exploring the area in 1872 , Giles sighted Kata Tjuta from a location near Kings Canyon and called it Mount Olga , while the following year Gosse observed Uluru and named it Ayers Rock , in honour of the Chief Secretary of South Australia , Sir Henry Ayers . Further explorations followed with the aim of establishing the possibilities of the area for pastoralism . In the late 19th century , pastoralists attempted to establish themselves in areas adjoining the Southwestern / Petermann Reserve and interaction between Aṉangu and white people became more frequent and more violent . Due to the effects of grazing and drought , bush food stores became depleted . Competition for these resources created conflict between the two groups , resulting in more frequent police patrols . Later , during the depression in the 1930s , Aṉangu became involved in dingo scalping with ' doggers ' who introduced Aṉangu to European foods and ways .   Between 1918 and 1921 , large adjoining areas of South Australia , Western Australia , and the Northern Territory were declared as Aboriginal reserves , sanctuaries for nomadic people who had virtually no contact with European settlers . In 1920 , part of Uluṟu -- Kata Tjuṯa National Park was declared an Aboriginal Reserve ( commonly known as the South - Western or Petermann Reserve ) by the Australian government under the Aboriginals Ordinance .   The first tourists arrived in the Uluru area in 1936 . Beginning in the 1940s , permanent European settlement of the area for reasons of the Aboriginal welfare policy and to help promote tourism of Uluru . This increased tourism prompted the formation of the first vehicular tracks in 1948 and tour bus services began early in the 1950s . In 1958 , the area that would become the Uluṟu -- Kata Tjuṯa National Park was excised from the Petermann Reserve ; it was placed under the management of the Northern Territory Reserves Board and named the Ayers Rock -- Mount Olga National Park . The first ranger was Bill Harney , a well - recognised central Australian figure . By 1959 , the first motel leases had been granted and Eddie Connellan had constructed an airstrip close to the northern side of Uluru .   On 26 October 1985 , the Australian government returned ownership of Uluru to the local Pitjantjatjara Aborigines , with one of the conditions being that the Aṉangu would lease it back to the National Parks and Wildlife agency for 99 years and that it would be jointly managed . An agreement originally made between the community and Prime Minister Bob Hawke that the climb to the top by tourists would be stopped was later broken . The Aboriginal community of Mutitjulu , with a population of approximately 300 , is located near the eastern end of Uluru . From Uluru it is 17 km ( 11 mi ) by road to the tourist town of Yulara , population 3,000 , which is situated just outside the national park .   On 8 October 2009 , the Talinguru Nyakuntjaku viewing area opened to public visitation . The A $ 21 million project about 3 kilometres ( 1.9 mi ) on the east side of Uluru involved design and construction supervision by the Aṉangu traditional owners , with 11 kilometres ( 6.8 mi ) of roads and 1.6 kilometres ( 1 mi ) of walking trails being built for the area .   Tourism  Driving on Lasseter Highway from Uluṟu -- Kata Tjuṯa National Park , April 2007  The development of tourism infrastructure adjacent to the base of Uluru that began in the 1950s soon produced adverse environmental impacts . It was decided in the early 1970s to remove all accommodation - related tourist facilities and re-establish them outside the park . In 1975 , a reservation of 104 square kilometres ( 40 sq mi ) of land beyond the park 's northern boundary , 15 kilometres ( 9 mi ) from Uluru , was approved for the development of a tourist facility and an associated airport , to be known as Yulara . The camp ground within the park was closed in 1983 and the motels closed in late 1984 , coinciding with the opening of the Yulara resort . In 1992 , the majority interest in the Yulara resort held by the Northern Territory Government was sold and the resort was renamed Ayers Rock Resort .   Since the park was listed as a World Heritage Site , annual visitor numbers rose to over 400,000 visitors by the year 2000 . Increased tourism provides regional and national economic benefits . It also presents an ongoing challenge to balance conservation of cultural values and visitor needs .   Admission   Admission to the park costs A $25 per person and provides a three - day pass . Passes are non-transferable and all passes are checked by park rangers .   Climbing  Climbers and a warning sign  The local Aṉangu do not climb Uluru because of its great spiritual significance . They request that visitors do not climb the rock , partly due to the path crossing a sacred traditional Dreamtime track , and also due to a sense of responsibility for the safety of visitors . The visitors guide says `` the climb is not prohibited , but we prefer that , as a guest on Aṉangu land , you will choose to respect our law and culture by not climbing . ''   Despite being discouraged by its traditional owners , over one third of visitors climb Uluru . A chain handhold added in 1964 and extended in 1976 makes the hour - long climb easier , but it is still a steep , 800 m ( 0.5 mi ) hike to the top , where it can be quite windy . It is recommended individuals drink plenty of water while climbing , and those who are unfit , suffer from vertigo or medical conditions restricting exercise , do not attempt it . Climbing Uluru is generally closed to the public when high winds are present at the top . There have been at least 35 deaths relating to recreational climbing since such incidents began being recorded .   On 11 December 1983 , the Prime Minister of Australia , Bob Hawke , promised to hand back the land title to the Aṉangu traditional custodians and caretakers and agreed to the community 's 10 - point plan which included forbidding the climbing of Uluru . The government , however , set access to climb Uluru and a 99 - year lease , instead of the previously agreed upon 50 - year lease , as conditions before the title was officially given back to the Aṉangu on 26 October 1985 .   The Aboriginal traditional owners of Uluṟu -- Kata Tjuṯa National Park ( Nguraritja ) and the Federal Government 's National Parks share decision - making on the management of Uluṟu -- Kata Tjuṯa National Park . Under their joint Uluṟu -- Kata Tjuṯa National Park Management Plan 2010 -- 20 , issued by the Director of National Parks under the Environment Protection and Biodiversity Conservation Act 1999 , clause 6.3. 3 provides that the Director and the Uluṟu -- Kata Tjuṯa Board of Management work towards closure of the climb and , additionally , provides that it will close upon any of three conditions being met : there are `` adequate new visitor experiences '' , less than 20 per cent of visitors make the climb or the `` critical factors '' in decisions to visit are `` cultural and natural experiences '' . Despite cogent evidence the second condition was met by July 2013 , the climb remains open .   Several controversial incidents on top of Uluru in 2010 , including a striptease , golfing and nudity , led to renewed calls for banning the climb .     Prince Charles and Diana , The Princess of Wales returning from photo session on Uluru , March 1983     Sign informing tourists that the climb is closed due to strong winds     Photography   The Aṉangu also request that visitors do not photograph certain sections of Uluru , for reasons related to traditional Tjukurpa beliefs . These areas are the sites of gender - linked rituals and are forbidden ground for Aṉangu of the opposite sex to those participating in the rituals in question . The photographic restriction is intended to prevent Aṉangu from inadvertently violating this taboo by encountering photographs of the forbidden sites in the outside world .   See also    Northern Territory portal   Mountains portal     List of mountains of the Northern Territory   Mount Augustus National Park   Indigenous Australian art   Pitjantjatjara § Recognition of sacred sites   Protected areas of the Northern Territory    References    Notes     Jump up ^ `` Place Names Register Extract : Uluru / Ayers Rock '' . Northern Territory Place Names Register . Northern Territory Government . 6 November 2002 . Retrieved 12 July 2013 .   Jump up ^ Issacs , Jennifer ( 1980 ) . Australian Dreaming : 40,000 Years of Aboriginal History . Sydney : Lansdowne Press . pp. 40 -- 41 . ISBN 0 - 7018 - 1330 - X . OCLC 6578832 .   ^ Jump up to : `` Uluṟu -- Kata Tjuṯa National Park -- Early European history '' . Australian Department of the Environment and Water Resources . Retrieved 7 October 2008 .   Jump up ^ `` Dual Naming of Features '' . NT.gov.au . Retrieved 7 October 2008 .   ^ Jump up to : Welcome to Aboriginal land : Uluṟu -- Kata Tjuṯa National Park -- Visitor guide and maps ( PDF ) . Canberra : Australian Department of the Environment and Water Resources . October 2005 . OCLC 754614279 . Archived from the original ( PDF ) on 30 October 2008 . Retrieved 3 April 2007 .   ^ Jump up to : Young , David N. ; Duncan , N. ; Camacho , A. ; Ferenczi , P.A. ; Madigan , T.L.A. ( 2002 ) . Ayers Rock , Northern Territory , Map Sheet GS52 - 8 ( 2nd edition ) ( Map ) . 1 : 250 000 . Northern Territory Geological Survey . Geological Map Series Explanatory Notes .   Jump up ^ Twidale , C.R. ; Campbell , Elizabeth M. ( 2005 ) . Australian Landforms . Rosenberg . p. 141 . ISBN 1 - 877058 - 32 - 7 .   Jump up ^ Quinn , Joyce Ann ; Woodward , Susan L. , eds. ( 2015 ) . Earth 's Landscape : An Encyclopedia of the World 's Geographic Features . ABC - CLIO . pp. 719 -- 720 . ISBN 978 - 1 - 61069 - 446 - 9 .   Jump up ^ Neuendorf , Klaus K.E. ; Mehl , Jr. , James P. ; Jackson , Julia A. , eds. ( 2005 ) . Glossary of Geology ( 5th ed . ) . Alexandria , VA : American Geological Institute . ISBN 0 - 922152 - 76 - 4 .   ^ Jump up to : Sweet , I.P. ; Crick , I.H. ( 1992 ) . Uluru &amp; Kata Tjuta : A Geological History ( Monograph ) format = requires url = ( help ) . Canberra : Australian Geological Survey Organisation . ISBN 0 - 644 - 25681 - 8 .   Jump up ^ `` Uluṟu -- Kata Tjuṯa National Park -- Geology '' . Australian Department of the Environment and Water Resources . Retrieved 3 April 2007 .   ^ Jump up to : Uluṟu -- Kata Tjuṯa Board of Management ( 2000 ) . Uluṟu -- Kata Tjuṯa National Park Plan of Management ( PDF ) ( 4th ed . ) . Canberra : Environment Australia . ISBN 0 - 642 - 54673 - 8 . OCLC 57667136 .   ^ Jump up to : `` Yulara Aero '' . Climate statistics for Australian locations . Bureau of Meteorology . Retrieved 14 May 2016 .   Jump up ^ Yulara Ultraviolet ( UV ) Index Forecast Graph . Australian Bureau of Meteorology . Retrieved 20 April 2014 .   Jump up ^ `` Australian Climate Averages : Ultra violet index ( Climatology 1979 -- 2007 ) '' . Bureau of Meteorology , Australian Government . 21 March 2012 . Retrieved 17 April 2014 .   ^ Jump up to : `` The Creation Period '' . Department of the Environment , Water , Heritage and the Arts . Archived from the original on 17 January 2010 .   ^ Jump up to : Layton , Robert ( August 2001 ) . Uluru : An Aboriginal History of Ayers Rock ( 2001 revised ed . ) . Canberra : Aboriginal Studies Press . ISBN 0 - 85575 - 202 - 5 .   Jump up ^ Brockman , Norbert C ( June 1997 ) . Encyclopedia of Sacred Places . Santa Barbara , California : ABC - Clio Inc . pp. 292 -- 93 . ISBN 0 - 19 - 512739 - 0 .   Jump up ^ `` Rock theft brings bad luck '' . The Age . 7 March 2003 . Retrieved 3 April 2007 .   Jump up ^ Marks , Kathy ( 12 May 2008 ) . `` Uluru tourists return ' cursed ' souvenirs '' . New Zealand Herald . Retrieved 14 May 2008 .   Jump up ^ Tlozek , Eric ( 8 October 2009 ) . `` ' Spectacular ' sunrise platform at Uluru '' . ABC News . Retrieved 8 October 2009 .   Jump up ^ Hall , Lex ( 8 October 2009 ) . `` New Uluru view spares desert songlines '' . The Australian . Retrieved 8 October 2009 .   Jump up ^ `` World Heritage and International Significance '' . Department of the Environment , Water , Heritage and the Arts . Retrieved 17 May 2010 .   Jump up ^ Uluṟu -- Kata Tjuṯa National Park -- Management Plan 2010 -- 2020 . Canberra : Department of the Environment , Water , Heritage and the Arts . 2010 . p. 90 . ISBN 978 - 0 - 9807460 - 1 - 3 .   Jump up ^ Toyne , Phillip ; Vachon , Daniel ( 1984 ) . Growing Up the Country : the Pitjantjatjara Struggle for Their Land . Fitzroy , Victoria : McPhee Gribble . p. 137 . ISBN 0 - 14 - 007641 - 7 . OCLC 12611425 .   Jump up ^ Swallow , Julian ( 26 October 2010 ) . `` On this day : Aboriginal Australians get Uluru back '' . Australian Geographic . Retrieved 27 August 2017 .   Jump up ^ Uluṟu -- Kata Tjuṯa National Park -- Management Plan 2010 -- 2020 . Canberra : Department of the Environment , Water , Heritage and the Arts . 2010 . p. 102 . ISBN 978 - 0 - 9807460 - 1 - 3 .   Jump up ^ Laughland , Oliver ( 8 July 2013 ) . `` People still climbing Uluru despite closure condition being met '' . The Guardian . Retrieved 13 November 2015 .   Jump up ^ `` Rock rage rolls on '' . Northern Territory News . 30 June 2010 . Retrieved 28 February 2011 .   Jump up ^ Shears , Richard ( 28 June 2010 ) . `` Stripper sparks fury among Aboriginals after YouTube exotic dance on sacred Ayers Rock '' . Daily Mail . Retrieved 1 March 2011 .   Jump up ^ `` Uluṟu -- Kata Tjuṯa National Park -- Tjukurpa '' . Australian Department of the Environment and Water Resources . Archived from the original on 7 March 2007 . Retrieved 3 April 2007 .     Bibliography     Breeden , Stanley ( 1995 ) . Growing Up at Uluru , Australia . Fortitude Valley , Queensland : Steve Parish Publishing . ISBN 0 - 947263 - 89 - 6 . OCLC 34351662 .   Breeden , Stanley ( 2000 ) ( 1994 ) . Uluru : Looking After Uluru -- Kata Tjuta , the Anangu Way . Roseville Chase , NSW : Simon &amp; Schuster Australia . ISBN 0 - 7318 - 0359 - 0 . OCLC 32470148 .   Hill , Barry ( 1 November 1994 ) . The Rock : Travelling to Uluru . St Leonards , NSW : Allen &amp; Unwin . ISBN 1 - 86373 - 778 - 2 . OCLC 33146858 .   Mountford , Charles P. ( 1977 ) ( 1965 ) . Ayers Rock : Its People , Their Beliefs and Their Art . Adelaide : Rigby Publishing . ISBN 0 - 7270 - 0215 - 5 . OCLC 6844898 .    External links       Wikimedia Commons has media related to Uluru .      Uluṟu -- Kata Tjuṯa National Park -- Australian Department of the Environment and Water Resources   Northern Territory official tourism site   Retrieved from `` https://en.wikipedia.org/w/index.php?title=Uluru&amp;oldid=797525538 '' Categories :   Australian Aboriginal culture   Inselbergs   Monoliths of Australia   Mountains of the Northern Territory   Sacred mountains   Sacred rocks   Tourist attractions in the Northern Territory   Hidden categories :   Pages using citations with format and no URL   Wikipedia indefinitely move - protected pages   Use Australian English from August 2013   All Wikipedia articles written in Australian English   Use dmy dates from December 2016   Coordinates on Wikidata   Geobox usage tracking for other type   Articles containing Pitjantjatjara - language text           Talk                           View source                 Contents                   About Wikipedia                                                 Afrikaans     Azərbaycanca   Български   Brezhoneg   Català   Cebuano   Čeština   Cymraeg   Dansk   Deutsch   Eesti   Ελλη</t>
  </si>
  <si>
    <t xml:space="preserve">what is the elevation of uluru-kata (in meters) in australia</t>
  </si>
  <si>
    <t xml:space="preserve">   Uluru ( Uluṟu )     Ayers Rock         Aerial view of Uluru     Country   Australia     State   Northern Territory         Elevation   863 m ( 2,831 ft )     Prominence   348 m ( 1,142 ft )     Coordinates   25 ° 20 ′ 42 '' S 131 ° 02 ′ 10 '' E ﻿ / ﻿ 25.34500 ° S 131.03611 ° E ﻿ / - 25.34500 ; 131.03611 Coordinates : 25 ° 20 ′ 42 '' S 131 ° 02 ′ 10 '' E ﻿ / ﻿ 25.34500 ° S 131.03611 ° E ﻿ / - 25.34500 ; 131.03611         Geology   arkose     Orogeny   Petermann         UNESCO World Heritage Site     Name   Uluṟu -- Kata Tjuṯa National Park     Year   1987 ( # 11 )     Number   447     Criteria   v , vi , vii , ix         Location in Australia     Wikimedia Commons : Uluru     Website : www.environment.gov.au/       </t>
  </si>
  <si>
    <r>
      <rPr>
        <sz val="11"/>
        <color rgb="FF000000"/>
        <rFont val="Calibri"/>
        <family val="0"/>
        <charset val="1"/>
      </rPr>
      <t xml:space="preserve">A Great Day in Harlem ( photograph ) - wikipedia  A Great Day in Harlem ( photograph )  Jump to : navigation , search  A Great Day in Harlem or Harlem 1958 is a 1958 black - and - white group portrait of 57 notable jazz musicians photographed in front of a brownstone in Harlem , New York City . The photo has remained an important object in the study of the history of jazz .   A rt Kane , a freelance photographer working for Esquire magazine , took the picture around 10 a.m. on August 12 in the summer of 1958 . The musicians had gathered at 17 East 126th Street , between Fifth and Madison Avenues in Harlem . Esquire published the photo in its January 1959 issue . Kane calls it `` the greatest picture of that era of musicians ever taken . ''   As of 2018 , only two of the 57 musicians who participated are still living ( Benny Golson and Sonny Rollins ) .     Contents  ( hide )   1 Musicians in the photograph   2 Children in the picture   3 Film   4 Homages   5 References   6 External links      Musicians in the photograph ( edit )  A Great Day in Harlem .      Red Allen   Buster Bailey   Count Basie   Emmett Berry   Art Blakey   Lawrence Brown   Scoville Browne   Buck Clayton   Bill Crump   Vic Dickenson   Roy Eldridge   Art Farmer       Bud Freeman   Dizzy Gillespie   Tyree Glenn   Benny Golson   Sonny Greer   Johnny Griffin   Gigi Gryce   Coleman Hawkins   J.C. Heard   Jay C. Higginbotham   Milt Hinton   Chubby Jackson       Hilton Jefferson   Osie Johnson   Hank Jones   Jo Jones   Jimmy Jones   Taft Jordan   Max Kaminsky   Gene Krupa   Eddie Locke   Marian McPartland   Charles Mingus   Miff Mole       Thelonious Monk   Gerry Mulligan   Oscar Pettiford   Rudy Powell   Luckey Roberts   Sonny Rollins   Jimmy Rushing   Pee Wee Russell   Sahib Shihab   Horace Silver   Zutty Singleton   Stuff Smith       Rex Stewart   Maxine Sullivan   Joe Thomas   Wilbur Ware   Dickie Wells   George Wettling   Ernie Wilkins   Mary Lou Williams   Lester Young       Children in the picture ( edit )   Count Basie , having grown tired of standing , sat down on the curb , and gradually a dozen children followed . Most of the children were neighborhood residents , although the second child from the right , Taft Jordan , Jr. , had accompanied his father , Taft Jordan , to the photo session . The photography crew was already having trouble directing the adults , and the presence of the children added to the chaos : one of the children appearing in the window kept yelling at a sibling on the curb ; another kept playing with Basie 's hat ; Taft Jordan , Jr. had been scuffling with the older child seated to his left . Ultimately , Art Kane realized that any further attempt to organize the proceedings would be futile , and he decided to incorporate the subjects ' actions .   Film ( edit )   Jean Bach , a radio producer of New York , recounted the story behind the photograph in her 1994 documentary film , A Great Day in Harlem . The film was nominated in 1995 for an Academy Award for Documentary Feature . Bach described how , upon the film 's release , a number of similar photographs employed the `` A Great Day in ... '' theme . Hugh Hefner assembled Hollywood - area musicians for `` A Great Day in Hollywood '' in conjunction with a sneak preview of A Great Day in Harlem . Soon after , `` A Great Day in Philadelphia '' included musicians such as Jimmy Heath , Benny Golson and Ray Bryant . During the filming of Kansas City ( 1996 ) , musicians including Jay McShann posed for `` A Great Day in Kansas City '' . A multi-page supplement in The Star - Ledger featured `` A Great Day in Jersey , '' while a Dutch photograph was titled `` A Great Day in Haarlem . '' In 1998 `` Great Day in St Paul '' , was taken by Byron Nelson .   The trend spread to other styles of music , with Houston blues musicians posing for `` A Great Day in Houston . '' `` A Great Day in Hip Hop '' was followed by XXL 's `` The Greatest Day in Hip Hop . '' An Atlanta radio station gathered musicians for `` A Great Day in Doo - Wop . '' A New York cellist , inspired by both the original photograph and the film , assembled chamber musicians for `` A Great Day in New York . '' The New York Post ran `` A Great Day in Spanish Harlem . ''   The photograph was a key plot point in Steven Spielberg 's 2004 film The Terminal . The film starred Tom Hanks as Viktor Navorski , a character who comes to the United States in search of Benny Golson 's autograph , with which he can complete his deceased father 's collection of autographs from the musicians pictured in the photo .   Homages ( edit )    1998 : `` A Great Day in Hip - Hop '' -- for this photograph by Gordon Parks , commissioned by XXL magazine , 177 hip - hop artists gathered on the stoop of number 17 as well as those of the buildings on either side .   2004 : `` A Great Day in London '' -- in an initiative inspired by Art Kane 's photograph , 50 writers of Caribbean , Asian and African descent making a significant contribution to contemporary British literature gathered to be photographed on the steps of the British Museum in London .   2008 : `` A Great Day in Paris '' -- more than 50 musicians from the US who were then residing in Paris , France , took part in a historic photo session . The project was initiated by Ricky Ford , who has said : `` 2008 was the 50th anniversary of the photo `` A Great Day in Harlem '' that Art Kane had taken in 1958 of all those jazz musicians in Harlem . I thought it would be a good idea to do the same thing with the American jazz musicians that lived in France . It took a year to prepare . Musicians from all over France came . Philippe Lévy - Stab took a group photo on the steps of Montmartre and Michka Saäl started to work on a documentary film of those musicians . ''   2016 : `` A Great Day in Hackney '' -- in the spirit of Art Kane 's photograph , British jazz musicians assembled to celebrate the 30th anniversary of The Premises Studios in Hackney .    References ( edit )    Jump up ^ `` Marian McPartland -- A Great Day in Harlem '' . Clarehansson.com . Archived from the original on April 24 , 2012 . Retrieved 2012 - 04 - 12 .   Jump up ^ Allmusic Bill Crump biography   ^ Jump up to : Bach , Jean ( 2005 ) ( 1994 ) . A Great Day in Harlem ( DVD ) . Event occurs at 34 : 55 .   ^ Jump up to : Jean Bach , Susan Peehl , and Matthew Seig ( 2005 ) ( 1994 ) . `` The Copycat Photos '' . A Great Day in Harlem ( DVD ) . Image Entertainment .   Jump up ^ Andrea Canter , `` Attention All Twin Cities Jazz Artists ! `` Great Day in St Paul '' Photo Shoot May 22 ! `` , Jazz Police , May 9 , 2016 .   Jump up ^ Lorne Graham , `` A Great Day in Harlem / The Terminal '' , NEMC article .   Jump up ^ `` The Terminal - Jazz Scenes - Benny Golson and A Great Day in Harlem '' . YouTube .   Jump up ^ Michael A. Gonzales , `` XXL 's A Great Day in Hip Hop : 16 Years Later '' , Red Bull Music Academy Daily , September 29 , 2014 .   Jump up ^ Sarah Goodyear , `` Stoop Summit -- How a Harlem brownstone was immortalized when the living legends of jazz assembled there for an iconic photograph '' , New York Daily News , August 12 , 2016 .   Jump up ^ Andrea Levy , `` Made in Britain . To celebrate the impact of their different perspectives , 50 writers of Caribbean , Asian and African descent gathered to be photographed ... '' , The Guardian , September 18 , 2004 .   Jump up ^ Kevin Le Gendre , `` Books : A great day for a family get together ; Who are the movers and shakers in black British writing ? And can they all fit on one staircase ? '' , The Independent on Sunday , October 17 , 2004 .   Jump up ^ `` A Great Day in Paris - Trailer '' on YouTube .   Jump up ^ Mathieu Perez , `` Ricky Ford : Five or Six Shades of Jazz '' ( interview ) , Jazz Hot # 668 , Summer 2014 .   Jump up ^ `` NEWS : `` Great Day in Hackney '' Photo taken to celebrate 30 Years of Premises Studios `` , London Jazz News , October 18 , 2016 .    External links ( edit )    Sarah Goodyear , `` Stoop Summit -- How a Harlem brownstone was immortalized when the living legends of jazz assembled there for an iconic photograph '' , New York Daily News , 12 August 2016 ( including interactive photo leading to performance clips by each musician ) . Retrieved August 29 , 2016 .   `` Art Kane : Harlem 1958 '' . Archived from the original on May 28 , 2015 . Retrieved 2014 - 07 - 16 .   `` Jazz 's Most Iconic Photo is Half a Century Old '' by Alan Kurtz ( Jazz.com )   An interactive version of A Great Day in Harlem showing the musicians ' names    Coordinates : 40 ° 48 ′ 25 '' N 73 ° 56 ′ 27 '' W ﻿ / ﻿ 40.80694 ° N 73.94083 ° W ﻿ / 40.80694 ; - 73.94083  Retrieved from `` https://en.wikipedia.org/w/index.php?title=A_Great_Day_in_Harlem_(photograph)&amp;oldid=837751518 '' Categories :   Jazz publications   1958 photographs   1958 in New York ( state )   Black - and - white photographs   Works originally published in Esquire ( magazine )   Photographs of the United States   Harlem   Hidden categories :   Use mdy dates from January 2015   Articles containing potentially dated statements from 2018   All articles containing potentially dated statements   Coordinates on Wikidata           Talk                                           Contents                   About Wikipedia                                           Deutsch   فارسی   Français   Italiano   </t>
    </r>
    <r>
      <rPr>
        <sz val="11"/>
        <color rgb="FF000000"/>
        <rFont val="Noto Sans CJK SC"/>
        <family val="2"/>
      </rPr>
      <t xml:space="preserve">日本 語   </t>
    </r>
    <r>
      <rPr>
        <sz val="11"/>
        <color rgb="FF000000"/>
        <rFont val="Calibri"/>
        <family val="0"/>
        <charset val="1"/>
      </rPr>
      <t xml:space="preserve">Norsk   Norsk nynorsk   Русский   ไทย   Українська  3 more  Edit links   This page was last edited on 22 April 2018 , at 20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</si>
  <si>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 great day in harlem who is who</t>
  </si>
  <si>
    <t xml:space="preserve">     Red Allen   Buster Bailey   Count Basie   Emmett Berry   Art Blakey   Lawrence Brown   Scoville Browne   Buck Clayton   Bill Crump   Vic Dickenson   Roy Eldridge   Art Farmer       Bud Freeman   Dizzy Gillespie   Tyree Glenn   Benny Golson   Sonny Greer   Johnny Griffin   Gigi Gryce   Coleman Hawkins   J.C. Heard   Jay C. Higginbotham   Milt Hinton   Chubby Jackson       Hilton Jefferson   Osie Johnson   Hank Jones   Jo Jones   Jimmy Jones   Taft Jordan   Max Kaminsky   Gene Krupa   Eddie Locke   Marian McPartland   Charles Mingus   Miff Mole       Thelonious Monk   Gerry Mulligan   Oscar Pettiford   Rudy Powell   Luckey Roberts   Sonny Rollins   Jimmy Rushing   Pee Wee Russell   Sahib Shihab   Horace Silver   Zutty Singleton   Stuff Smith       Rex Stewart   Maxine Sullivan   Joe Thomas   Wilbur Ware   Dickie Wells   George Wettling   Ernie Wilkins   Mary Lou Williams   Lester Young     </t>
  </si>
  <si>
    <t xml:space="preserve">Knight Rider ( franchise ) - wikipedia  Knight Rider ( franchise )  Jump to : navigation , search      It has been requested that the title of this article be changed to Knight Rider . Please see the relevant discussion on the discussion page . Do not move the page until the discussion has reached consensus for the change and is closed .         ( hide ) This article has multiple issues . Please help improve it or discuss these issues on the talk page . ( Learn how and when to remove these template messages )      This article may require cleanup to meet Wikipedia 's quality standards . The specific problem is : empty sections Please help improve this article if you can . ( March 2012 ) ( Learn how and when to remove this template message )         This article relies largely or entirely on a single source . Relevant discussion may be found on the talk page . Please help improve this article by introducing citations to additional sources . ( March 2012 )    ( Learn how and when to remove this template message )       Knight Rider     Franchise logo     Created by   Glen A. Larson     Original work   Original series ( 1982 )     Films and television     Film ( s )   Knight Rider 2000 ( 1991 ) Knight Rider 2010 ( 1994 ) Knight Rider ( 2008 )     Television series   Knight Rider ( 1982 -- 1986 ) Team Knight Rider ( 1997 -- 1998 ) Knight Rider ( 2008 -- 2009 ) Code of Vengeance ( 1985 -- 1986 )     Knight Rider is an American entertainment franchise created by Glen A. Larson . The core of Knight Rider is its three television series : Knight Rider ( 1982 -- 1986 ) ; Team Knight Rider ( 1997 -- 1998 ) ; and Knight Rider ( 2008 -- 2009 ) . The franchise also includes three television films , computer and video games , and novels , as well as KnightCon , a Knight Rider convention . Beginning with the original television series and continuing with the subsequent films and series , the franchise has developed a cult following and spawned many pop culture references .   The original Knight Rider series followed the adventures of Michael Knight , a modern - day crime fighter who uses a technologically advanced , artificially intelligent automobile . This car is virtually indestructible , due to a high - tech coating applied to it . This series debuted in 1982 and ran for four seasons on NBC . These adventures were continued with the television films Knight Rider 2000 and Knight Rider 2010 and the short - lived Team Knight Rider . One other television movie , Knight Rider , served as a pilot for the 2008 television series Knight Rider . In 1985 , a spin - off series , Code of Vengeance , also premiered .     Contents  ( hide )   1 Conception and setting   2 Television series   2.1 Main series   2.1. 1 Knight Rider ( 1982 -- 1986 )   2.1. 2 Team Knight Rider ( 1997 -- 1998 )   2.1. 3 Knight Rider ( 2008 -- 2009 )   2.1. 4 Knight Rider ( 2017 )     2.2 Spin - off series   2.2. 1 Code of Vengeance ( 1985 -- 1986 )       3 Television films   4 Spin - off media   5 References      Conception and setting ( edit )   Knight Rider stories usually depict either average citizens , or ethical heads of corporations , being bullied into subservience to an overbearing or ruthless criminal organization . The protagonist ( s ) of each particular series is instructed by the Foundation for Law and Government ( FLAG ) to assist in some manner . The protagonist ( s ) has the assistance of a high - tech , self - aware , and nearly indestructible vehicle .   Television series ( edit )   Three television series make up the bulk of the Knight Rider mythos : Knight Rider ( 1982 -- 1986 ) , Team Knight Rider ( 1997 -- 1998 ) , and Knight Rider ( 2008 -- 2009 ) . There also was a spin - off series , Code of Vengeance , that ran for one season ( 1985 -- 1986 ) . In total , 133 Knight Rider episodes have been produced across the 7 seasons of the four various TV series .   Main series ( edit )  Knight Rider ( 1982 -- 1986 ) ( edit ) Main article : Knight Rider ( 1982 TV series )      This section needs expansion . You can help by adding to it . ( March 2012 )     The original Knight Rider series saw Michael Knight , a crime fighter who uses a high tech , artificially intelligent automobile , the Knight Industries Two Thousand ( KITT ) . This car is a virtually indestructible weapon that fights for justice .  Team Knight Rider ( 1997 -- 1998 ) ( edit ) Main article : Team Knight Rider      This section needs expansion . You can help by adding to it . ( March 2012 )     This series , set ten years after the original series , sees that the Foundation of Law and Government ( FLAG ) has used a team of five `` highly skilled operatives '' to do the job that Michael Knight used to do . They each drive a high tech vehicle .  Knight Rider ( 2008 -- 2009 ) ( edit ) Main article : Knight Rider ( 2008 TV series )  This series followed Michael Traceur , the estranged son of Michael Knight , as he takes up the mantle of the FLAG driver . This time , he is driving the Knight Industries Three Thousand , also known as `` KITT '' . The series stars Justin Bruening as Mike Traceur , the estranged son of Michael Knight , and Deanna Russo as Sarah Graiman , Traceur 's former girlfriend and love interest . Sarah is the daughter of Charles Graiman . Graiman , played by Bruce Davison , is the creator of a new generation of KITT ( Knight Industries Three Thousand ) , which is voiced by Val Kilmer . The series was in production for just one season .  Knight Rider ( 2017 ) ( edit )  It was announced that Machinima , YOMYOMF and NBCUniversal Brand Development are developing a Knight Rider reboot with Justin Lin producing and directing the series .   Spin - off series ( edit )  Code of Vengeance ( 1985 -- 1986 ) ( edit ) Main article : Code of Vengeance      This section needs expansion . You can help by adding to it . ( March 2012 )     The Knight Rider episode `` Mouth of the Snake '' , was a backdoor pilot for this series . In it , David Dalton , a Vietnam veteran - turned - drifter , travels across the United States in a camper van , with only his dog for company . Dalton involves himself in the personal lives of people he meets . In a similar fashion to Knight Rider , he uses his fighting skills to help them gain justice over their enemies .   Television films ( edit )  Main articles : Knight Rider 2000 , Knight Rider 2010 , and Knight Rider ( 2008 film )    Number   Title   Original air date       Knight Rider 2000   May 19 , 1991       Knight Rider 2010   February 13 , 1994       Knight Rider   February 17 , 2008     Spin - off media ( edit )   The Knight Rider franchise has a number of novels , video games , and other materials that cover many aspects of the various series and films .   References ( edit )    Jump up ^ Perry , Spencer ( October 25 , 2016 ) . `` Knight Rider Reboot Coming from Justin Lin and Machinima '' . ComingSoon.net .   Jump up ^ Terrace , Vincent ( November 1985 ) . Encyclopedia of Television Series , Pilots and Specials : 1974 -- 1984 . 2 . Baseline Books . p. 12 . ISBN 978 - 0918432612 . Retrieved March 22 , 2010 .   Jump up ^ `` KNIGHT RIDER Rides Again In New Comic Series '' .   Jump up ^ Dulin , Ron ( April 25 , 2003 ) . `` Knight Rider Review '' .      ( hide )         Knight Rider     TV series     Knight Rider ( 1982 -- 1986 )   Episodes   Season 1   Season 2   Season 3   Season 4       Team Knight Rider ( 1997 -- 1998 )   Knight Rider ( 2008 -- 2009 )       TV films     Knight Rider 2000 ( 1991 )   Knight Rider 2010 ( 1994 )   Knight Rider ( 2008 )       Video games     Knight Rider   Knight Rider Special   Knight Rider : The Game       Spin - off     Code of Vengeance ( 1985 -- 1986 )       Characters     Michael Knight   KITT   KARR   Guest stars      Retrieved from `` https://en.wikipedia.org/w/index.php?title=Knight_Rider_(franchise)&amp;oldid=801305296 '' Categories :   Knight Rider   Television franchises   Artificial intelligence in fiction   Hidden categories :   Use mdy dates from July 2017   Articles needing cleanup from March 2012   All pages needing cleanup   Cleanup tagged articles with a reason field from March 2012   Wikipedia pages needing cleanup from March 2012   Articles needing additional references from March 2012   All articles needing additional references   Articles to be expanded from March 2012   All articles to be expanded   Articles using small message boxes           Talk                                           Contents                   About Wikipedia                                           Add links   This page was last edited on 18 September 2017 , at 22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</si>
  <si>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seasons are there of knight rider</t>
  </si>
  <si>
    <t xml:space="preserve"> The original Knight Rider series followed the adventures of Michael Knight , a modern - day crime fighter who uses a technologically advanced , artificially intelligent automobile . This car is virtually indestructible , due to a high - tech coating applied to it . This series debuted in 1982 and ran for four seasons on NBC . These adventures were continued with the television films Knight Rider 2000 and Knight Rider 2010 and the short - lived Team Knight Rider . One other television movie , Knight Rider , served as a pilot for the 2008 television series Knight Rider . In 1985 , a spin - off series , Code of Vengeance , also premiered . </t>
  </si>
  <si>
    <t xml:space="preserve">Somebody That I Used to Know - Wikipedia  Somebody That I Used to Know  For the 2000 song by Elliott Smith , see Figure 8 ( album ) . For the True Blood episode , see Somebody That I Used to Know ( True Blood ) .      `` Somebody That I Used to Know ''         Single by Gotye featuring Kimbra     from the album Making Mirrors     Released   5 July 2011 ( 2011 - 07 - 05 )     Format   CD single , digital download , 7 '' vinyl ( promotional only )     Recorded   January -- May 2011 The Barn ( Merricks , Australia ) , Lucas Taranto 's lounge room ( Melbourne , Australia )     Genre   Art pop     Length   4 : 04 ( Album version ) 3 : 33 ( Radio mix )     Label   Eleven     Songwriter ( s )   Wally de Backer     Producer ( s )   De Backer     Gotye singles chronology        `` Eyes Wide Open '' ( 2010 )   `` Somebody That I Used to Know '' ( 2011 )   `` I Feel Better '' ( 2011 )             `` Eyes Wide Open '' ( 2010 )   `` Somebody That I Used to Know '' ( 2011 )   `` I Feel Better '' ( 2011 )            Kimbra singles chronology        `` Cameo Lover '' ( 2011 ) Cameo Lover 2011   `` Somebody That I Used to Know '' ( 2011 ) Somebody That I Used to Know2011   `` Good Intent '' ( 2011 ) Good Intent 2011            `` Somebody That I Used to Know '' is a song written by Belgian - Australian singer - songwriter Gotye , featuring New Zealand singer Kimbra . The song was released in Australia and New Zealand by Eleven Music on 5 July 2011 as the second single from Gotye 's third studio album , Making Mirrors ( 2011 ) . It was later released by Universal Music in December 2011 in the United Kingdom , and in January 2012 in the United States and Ireland . `` Somebody That I Used To Know '' was written and recorded by Gotye at his parents ' house on the Mornington Peninsula in Victoria and is lyrically related to the experiences he has had with relationships .   `` Somebody That I Used to Know '' is a mid-tempo ballad . It samples Luiz Bonfá 's instrumental `` Seville '' from his 1967 album Luiz Bonfa Plays Great Songs . The song received a positive reception from critics , who noted the similarities between the song and works by Sting , Peter Gabriel , and American folk band Bon Iver . In Australia , the song won the Triple J Hottest 100 poll at the end of 2011 , as well as ARIA Awards for song of the year and best video , while Kimbra was voted best female artist and Gotye was named best male artist and producer of the year . The song came ninth in the Triple J Hottest 100 of the Past 20 Years , 2013 . In 2013 , the song won two Grammy Awards for Best Pop Duo / Group Performance and Record of the Year .   Commercially , `` Somebody That I Used to Know '' is Gotye 's most successful and signature song . It has topped charts in the US , UK , and Australia , as well as 23 other national charts , and reached the top 10 in more than 30 countries around the world . The song has sold more than 13 million copies worldwide , becoming one of the best - selling digital singles of all time . It was also placed at the top of a number of year - end charts by Billboard Magazine ( including the Hot 100 , Adult Pop Songs , and Alternative Songs ) and other record chart companies around the world .   `` Somebody That I Used To Know '' has been performed several times on major US TV shows such as The Voice , American Idol , and Saturday Night Live . It was covered by Canadian indie rock group Walk off the Earth using a single guitar played simultaneously by all five band members and by actors Darren Criss and Matt Bomer in the Glee episode `` Big Brother '' . The hit song 's accompanying music video was directed by Australian artist Natasha Pincus . The video , which has received over 1.1 billion views on YouTube as of August 2018 , premiered on 5 July 2011 . It shows Gotye and Kimbra naked against a white backdrop . While they sing , a pattern of paint gradually covers their skin and the backdrop via stop motion animation .   Contents    1 Composition and recording   2 Critical reception   3 Commercial performance   4 Accolades   5 Music video   6 Cover versions and media appearances   7 Track listing   8 Credits and personnel   9 Charts   9.1 Weekly charts   9.2 Year - end charts   9.3 All - time charts     10 Certifications and sales   11 Release history   12 Walk Off the Earth version   12.1 Track listing   12.2 Charts   12.3 Certifications     13 Glee Cast version   13.1 Charts     14 Mayday Parade version   14.1 Charts     15 See also   16 References   17 External links    Composition and Recording ( edit )   Gotye discussed writing `` Somebody That I Used to Know '' in an interview with Sound on Sound :   `` Writing ' Somebody ' was a gradual and linear process . I started with the Luiz Bonfa sample , then I found the drums , and after that I started working on the lyric and the melody , and added the wobbly guitar - sample melody . After that , I took a break , and a few weeks later I came back to the session and decided on the chorus chord progression , wrote the chorus melody , and combined that with sounds like the Latin loop and some of the percussion and the flute sounds that further filled the space . At that point I hit a brick wall . I was thinking : ' This is pretty good , how can I get to the end really quickly ? ' and I was trying to take lazy decisions to finish the song . I considered repeating the chorus , an instrumental bridge , a change in tempo or key , I even considered finishing the song after the first chorus . But nothing felt like it was strong enough . So the third session was all about writing the female part and changing the perspective . The arrangement of ' Somebody ' is reflective of me moving towards using sounds that provide me with inspiration for a texture or a platform for an idea , and then through sonic manipulation and coming up with original melodies and harmonic ideas to make it my own . I guess the balance of sounds taken from records and samples I created myself is perhaps 50 - 50 . ''       `` Somebody That I Used to Know '' ( 2011 ) A 23 - second sample of `` Somebody That I Used to Know '' , featuring the first chorus as sung by Gotye , showing the octave leap in respect to the previous verse .     Problems playing this file ? See media help .     `` Somebody That I Used to Know '' is an art pop song and has a length of four minutes and five seconds long . Gotye uses a sample of Brazilian jazz guitarist Luiz Bonfá 's 1967 instrumental song `` Seville '' , with additional instrumentations of beats and a xylophone . It was written and produced by Gotye himself , while in his parents ' barn on the Mornington Peninsula , Victoria . Gotye commented that he wrote the song `` in quite a linear way '' , explaining that `` I wrote the first verse , the second verse , and I 'd got to the end of the first chorus and for the first time ever I thought , ' There 's no interesting way to add to this guy 's story ' . It felt weak . ''   The track was recorded between January and May 2011 with Gotye struggling to find a suitable female vocalist , as a `` ' high profile ' female vocalist '' cancelled the collaboration at the last minute , and Kimbra `` lucked out as the replacement '' . He tested his girlfriend , Tash Parker , but `` somehow their happiness meant that it did n't work out '' so he followed the recommendation of the song 's mixer and used Kimbra 's vocals . Martin Davies from Click Music considered the song `` instantly captivating '' , and named Kimbra 's voice `` clean and sugar - soaked '' , further commenting that it bears an `` uncanny resemblance '' to singer Katy Perry .   Gotye stated that the song was `` definitely drawn from various experiences I 've had in relationships breaking up , and in the parts of the more reflective parts of the song , in the aftermath and the memory of those different relationships and what they were and how they broke up and what 's going on in everyone 's minds . Yeah , so it 's an amalgam of different feelings but not completely made up as such '' . In an interview with Rolling Stone ( Australia ) , he described the song as `` a curated reflection of multiple past relationships '' .     Critical reception ( edit )   The song received generally positive reviews , winning the Grammy for Record of the Year . Take 40 Australia elaborated on the audience 's reception at the July 2011 Splendour in the Grass festival , `` Gotye 's latest song featuring Kimbra ' Somebody That I Used To Know ' had become somewhat of an unofficial anthem for the festival ... every car was cranking it over their speakers all day , every day ... and the question on everyone 's lips was whether or not Kimbra would join him on the track . Fortunately , dreams came true ... he smashed out an incredible set climaxing with a version of the song with Kimbra on co-lead vocals that people could n't stop talking about all weekend long '' . Allmusic 's Jon O'Brien felt the track was an `` unexpected chart - topper ... ( it ) is an oddball break - up song whose stuttering rhythms , reggae hooks , and hushed vocals sound like The Police as remixed by the XX '' .   Writing for Digital Spy , Lewis Corner rated the song four stars out of five and described it as `` a Bon Iver - styled ballad for the music - buying masses '' . Martin Davies from Click Music gave the song five stars out of five and stated that the song is `` that rare example of a track that hits you squarely between the eyes '' .   In November 2011 , music blog This Must Be Pop predicted the song as a post-Christmas UK hit . John Watson , who co-manages Gotye with Danny Rogers , said of the single 's success : `` We 've never seen any song make a deeper or more immediate connection with so many people . It 's a really special recording and video '' . Talking about the overwhelming reception and the amount of coverage received , Gotye commented that `` I do n't really feel like it ( the song ) belongs to me anymore . '' He further explained that `` sometimes I feel like I 'm a bit sick of it . My inbox , on any given day , has at least five covers or parodies or remixes of it and there 's only so many times you can listen to the one song . ''   Commercial performance ( edit )   In the week commencing 18 July 2011 , `` Somebody That I Used To Know '' debuted at number 27 on the ARIA Singles Chart . It was released on 5 July 2011 in Australia and New Zealand by Eleven Music as the second single from his third studio album , Making Mirrors ( 2011 ) . Despite an initial lack of airplay on major radio stations , the song reached number 1 in the week ending 15 August , becoming the first single by either artist to do so and their most successful single . Until 2014 , the song was one of the two second - longest - running Australian number - one songs , with eight weeks at the top , tied with Savage Garden 's 1997 song `` Truly Madly Deeply '' , and behind Daddy Cool 's 1971 hit `` Eagle Rock '' , which stayed there for ten weeks . On August 2011 the song was released in Belgium and the Netherlands . After a few weeks in the charts , it reached number 1 in both countries , topping the Belgian Singles Chart for 12 weeks . Also in August , `` Somebody That I Used To Know '' debuted at number 4 in New Zealand on the RIANZ Singles Chart , reaching number 1 three weeks later , thus making Gotye the first Australian artist to reach number 1 since Guy Sebastian did so in February 2011 with `` Who 's That Girl '' . The song debuted on the Irish Singles Chart on 13 January 2012 at number 47 , later reaching number 1 position . In the United Kingdom , `` Somebody That I Used To Know '' spent five non-consecutive weeks at number 1 .   In the United States , it debuted at number 91 on the Billboard Hot 100 on 14 January 2012 . In its fifteenth week on the chart -- after it was performed by Matt Bomer and Darren Criss on Glee on 10 April ; by Phillip Phillips and Elise Testone on the eleventh season of American Idol before more than 16 million viewers on 11 April ; and by Gotye and Kimbra on Saturday Night Live on 14 April -- the song rose to number 1 , where it stayed for eight consecutive weeks . thus becoming the longest - running number 1 by a solo male artist since Flo Rida 's `` Low '' led for ten weeks in 2008 . The song had the fourth highest - selling single week ever with 542,000 digital downloads sold , and was the first Australian single to top the Hot 100 since Savage Garden 's `` I Knew I Loved You '' in 2000 . The song also topped the Alternative Songs chart for twelve weeks tying with Fuel 's Hemorrhage ( In My Hands ) and Linkin Park 's Numb and New Divide , as well as topping the Radio Songs , Digital Songs , On - Demand Songs , Pop Songs , Adult Pop Songs , Adult Contemporary , and Hot Dance Club Songs charts in that country . On 2 May 2012 the song became the first to reach digital sales of at least 400,000 for three consecutive weeks , and the following week it became the first to simultaneously top the Alternative Songs , Hot Dance Club Songs , and Dance Mix Show Airplay charts . It also became the number 1 song of 2012 on the Alternative Songs , Adult Pop Songs , and Billboard Hot 100 charts . By 22 February 2013 , the song became the tenth longest - charting song in the history of the Billboard Hot 100 , at 59 weeks on the chart . As of October 2015 , the song has sold 7.9 million copies in the US , making it the country 's fourth all - time best - selling digital single .   `` Somebody That I Used To Know '' reached number one in more than 23 national charts and charted inside the top ten in more than 30 countries around the world . By the end of 2012 , the song became the best - selling song of that year with 11.8 million copies sold , ranking among the best - selling digital singles of all time . As of April 2012 , it is the most downloaded song ever in Belgium , as well as being the third best - selling digital single in Germany with sales between 500,000 and 600,000 copies , and the most successful song in the history of the Dutch charts . As of January 2013 it has received eleven Platinum certifications in Australia , accounting for shipments exceeding 770,000 units . In New Zealand , it was certified four times Platinum . The song was the best - selling single of 2012 in the UK with 1,318,000 copies sold .   Accolades ( edit )   On 15 July 2011 , the song finished third in the 2011 Vanda &amp; Young Songwriting Competition , with the winning song , `` Cameo Lover '' , by Kimbra . Earlier that year , Gotye had first noticed Kimbra when both were short - listed as finalists for the competition . At the ARIA Music Awards of 2011 , `` Somebody That I Used To Know '' won Single of the Year , Best Pop Release , Best Video ( for Natasha Pincus ) , Engineer of the Year ( for François Tétaz ) and Producer of the Year ( for Gotye ) . Gotye also won Best Male Artist for the song while Kimbra won Best Female Artist for her previous single , `` Cameo Lover '' . At the APRA Music Awards of 2012 , `` Somebody That I Used To Know '' won Most Played Australian Work and Song of the Year and Gotye won Songwriter of the Year . It was also nominated at the 2012 Teen Choice Awards for `` Choice Rock Song '' and `` Choice Break - Up Song '' . The song was nominated at the 55th Grammy Awards for Record of the Year and Best Pop Duo / Group Performance , winning both awards . The Village Voice 's Pazz &amp; Jop annual critics ' poll ranked `` Somebody That I Used to Know '' at number eight to find the best music of 2012 .   Music video ( edit )  Gotye and Kimbra sing while painted to blend with the background .  The music video for `` Somebody That I Used to Know '' was produced , directed and edited by Australian artist Natasha Pincus and filmed by Australian cinematographer Warwick Field . It shows Gotye and Kimbra naked throughout the clip , and as they sing , his skin is gradually painted into the backdrop via stop motion animation . In the director 's cut , it features concealed nudity . The director 's cut was never posted . The painting used in the video 's background , painted by Howard Clark , is based on a 1980s artwork created by Gotye 's father , Frank de Backer , who also designed the cover art for the related album , Making Mirrors . Emma Hack , an Australian artist and skin illustrator based in Adelaide , was hired by Pincus to work on the body paintings for Gotye and Kimbra . Melbourne Scenic Artist Howard Clark painted the backdrop . According to Hack , it took more than 23 hours to paint both Gotye and Kimbra to fit with Howard 's background . Their painting symbolises their combined relationship .   Before its official premiere , the music video was leaked on Take 40 Australia 's website . According to Pincus , `` It was stolen out of our system . I guess it 's always wanted to get out there . Within five minutes it was everywhere '' . On 30 July 2011 it was officially premiered on YouTube and on the Australian music show Rage . The music video was well received for its artistic style , picking up 200,000 views in its first two weeks , as well as receiving promotion on Twitter by actor Ashton Kutcher and Katy Perry .   `` What a video ! '' Snow Patrol 's Gary Lightbody enthused to Q. `` I have become obsessed with it and not just because I 'm in love with Kimbra . Gotye himself is an engaging character for sure ... his solemnly expressive eyes finish a journey his lyrics only begin . ' Told myself that you were right for me but felt so lonely in your company ' -- simple , pure , and devastating . None more than the title line when it speaks of the end of love with prosaic brutality : ' Now you 're just somebody that I used to know . ' Great video , powerful lyrics , and a stunning voice . Oh , and Kimbra ... my poor heart ... ''   As of August 2018 , the video has been viewed over 1.1 billion times on YouTube . The video for `` Somebody That I Used to Know '' was voted number 1 in the annual Rage Fifty countdown . Andy Samberg and Taran Killam parodied the video in a Saturday Night Live `` digital short '' that coincided with Gotye 's 14 April 2012 performance on the show . The video was nominated for Video of the Year and Best Editing in a Video at the 2012 MTV Video Music Awards . As of January 2015 , Billboard named the video as one of the 20 best of the 2010s ( so far ) .   Cover versions and Media appearances ( edit )   `` Somebody That I Used To Know '' has been covered by several artists including a cappella group Pentatonix who created a viral YouTube video in February 2012 and released the track on their EP , `` PTX Volume 1 '' on 26 June 2012 In addition Ingrid Michaelson , The Fergies , and Sam Tsui have covered the song . In February 2012 , Rita Ora covered the song at BBC Radio 1 's Live Lounge . A cover by Right the Stars featuring Karmina , which was also uploaded to YouTube , was recommended by Miley Cyrus . Dutch DJ Tiësto remixed the song for his album Club Life : Volume Two Miami . Phillip Phillips and Elise Testone covered the song on the eleventh season of American Idol on 11 April 2012 .   In February 2012 , Gotye made his American television debut on Jimmy Kimmel Live ! where he performed the song . The song has since been featured on the TV series 90210 , Gossip Girl , and The Voice of Ireland by Andy Mac Unfraidh . The song was featured in the film Boyhood . On 16 May 2012 , fun . along with Paramore 's front vocalist Hayley Williams covered the song at BBC Radio 1 's Live Lounge . On 23 May 2012 , Internet cartoon band Your Favorite Martian did a cover of the song . `` Somebody That I Used To Know '' was also first played live by Coheed and Cambria on 29 April 2012 , as a frequent feature on their 2012 headlining tour . In May 2012 , American duo Karmin made a cover of the song on Sirius XM Hits .   The song was covered in the Glee episode `` Big Brother '' and performed by Darren Criss ( as Blaine Anderson ) and Matt Bomer ( as Cooper Anderson ) . It sold 152,000 digital downloads in its first week of release and debuted on the Digital Songs chart at number 10 and the Hot 100 at number 26 .   Samples of the song were also used in ODESZA 's Without You .   Gotye paid tribute to the overwhelming number of cover versions of the song by personally creating a video remix , released in August 2012 , using segments from hundreds of online covers to create a new , unique version of the track , titled `` Somebodies : A YouTube Orchestra '' . Gotye states the concept `` was directly inspired here by Kutiman 's Thru - You project '' , released in March 2009 , which edited numerous YouTube videos to create a new cohesive song . A similar mixing style is seen in the performance of `` Since U Been Gone '' in the September 2012 film release Pitch Perfect . `` Weird Al '' Yankovic recorded a cover as part of his polka medley `` NOW That 's What I Call Polka ! '' for his 2014 album Mandatory Fun .   Track listing ( edit )       Digital download     `` Somebody That I Used to Know '' ( Gotye featuring Kimbra ) -- 4 : 04   `` Somebody That I Used to Know '' ( Radio Mix ) ( Gotye featuring Kimbra ) -- 3 : 33   `` Somebody That I Used To Know '' ( Instrumental ) ( Gotye ) -- 4 : 04     Digital download -- Remix     `` Somebody That I Used to Know '' ( Gotye featuring Kimbra ) ( Tiësto Remix ) -- 4 : 33         7 '' Vinyl single     `` Somebody That I Used to Know '' ( Gotye featuring Kimbra ) -- 4 : 04   `` Bronte '' -- 3 : 13     CD single     `` Somebody That I Used to Know '' ( Gotye featuring Kimbra ) -- 4 : 04   `` Easy Way Out '' -- 1 : 57         Credits and personnel ( edit )    Wally de Backer -- songwriter , producer , assistant mixer , recording , lead and backing vocals , guitar , synthesizer , xylophone , flutes , percussion , samples   François Tétaz -- mixer , engineer   Lucas Taranto -- bass guitar   Kimbra -- lead and backing vocals   William Bowden -- mastering   Frank de Backer -- artwork ( back and inside cover painting , handwriting )   Kat Kallady -- artwork ( front cover painting )    Credits adapted from `` Somebody That I Used to Know '' CD single liner notes .   Charts ( edit )      Weekly charts ( edit )     Chart ( 2011 -- 13 )   Peak position     Australia ( ARIA )       Austria ( Ö3 Austria Top 40 )       Belgium ( Ultratop 50 Flanders )       Belgium ( Ultratop 50 Wallonia )       Bulgaria ( IFPI )       Canada ( Canadian Hot 100 )       Czech Republic ( Rádio Top 100 )       Denmark ( Tracklisten )       Finland ( Suomen virallinen lista )       France ( SNEP )       Germany ( Media Control Charts )       Germany ( Airplay Chart )       Greece Digital Songs ( Billboard )       Hungary ( Dance Top 40 )       Hungary ( Rádiós Top 40 )       Ireland ( IRMA )       Honduras ( Honduras Top 50 )   33     Israel ( Media Forest )       Italy ( FIMI )       Japan ( Billboard Japan Hot 100 )   10     Mexico Top Inglés ( Monitor Latino )       Mexican Airplay Chart ( Billboard International )   8     Portugal ( Billboard )       Netherlands ( Dutch Top 40 )       Netherlands ( Single Top 100 )       New Zealand ( Recorded Music NZ )       Norway ( VG - lista )       Poland ( Polish Airplay Top 100 )       Romania ( Airplay 100 )       Scotland ( Official Charts Company )       Slovakia ( Rádio Top 100 )       Slovenia ( SloTop50 )   17     Spain ( PROMUSICAE )       Sweden ( Sverigetopplistan )       Switzerland ( Schweizer Hitparade )       UK Singles ( Official Charts Company )       US Billboard Hot 100       US Adult Alternative Songs ( Billboard )       US Adult Contemporary ( Billboard )       US Adult Top 40 ( Billboard )       US Alternative Songs ( Billboard )       US Dance / Mix Show Airplay ( Billboard )       US Dance Club Songs ( Billboard )       US Hot Rock Songs ( Billboard )       US Mainstream Top 40 ( Billboard )       Venezuela Pop Rock General ( Record Report )           Year - end charts ( edit )     Chart ( 2011 )   Position     Australia ( ARIA )       Belgium ( Ultratop 50 Flanders )       Belgium ( Ultratop 50 Wallonia )   73     Germany ( Media Control Charts )   32     Netherlands ( Mega Single Top 100 )       New Zealand ( RIANZ )         Chart ( 2012 )   Position     Australia ( ARIA )   40     Austrian Singles Chart       Belgian ( Ultratop 50 Flanders )   10     Belgian ( Ultratop 50 Wallonia )       Canada ( Canadian Hot 100 )       Germany ( Media Control Charts )       Hungary ( Rádiós Top 40 )       Israel ( Media Forest )       Italy ( FIMI )       Netherlands ( Mega Single Top 100 )   13     New Zealand ( RIANZ )   11     Poland ( ZPAV )       Romania ( Romanian Top 100 )       Spain ( PROMUSICAE )   6     UK Singles ( Official Charts Company )       US Billboard Hot 100       US Adult Contemporary   6     US Adult Pop Songs       US Alternative Songs       US Hot Dance Club Songs   6     US Mainstream Top 40   8     US Rock Songs         Chart ( 2013 )   Position     Hungary ( Rádiós Top 40 )   100     Slovenia ( SloTop50 )   33     All - time charts ( edit )     Chart   Position     Australia ( ARIA )   6     UK Singles ( Official Charts Company )   45     US Billboard Hot 100   32          Certifications and sales ( edit )     Region   Certification   Certified units / Sales     Australia ( ARIA )   11 × Platinum   770,000     Austria ( IFPI Austria )   2 × Platinum   60,000     Belgium ( BEA )   4 × Platinum   120,000     Canada     653,000     Denmark ( IFPI Denmark )   3 × Platinum   90,000     Finland ( Musiikkituottajat )   Gold   6,774     Germany ( BVMI )   3 × Platinum   900,000     Italy ( FIMI )   2 × Platinum   60,000     New Zealand ( RMNZ )   5 × Platinum   75,000     Spain ( PROMUSICAE )   Platinum   40,000     Switzerland ( IFPI Switzerland )   3 × Platinum   90,000     Sweden ( GLF )   Platinum   40,000     United Kingdom ( BPI )   3 × Platinum   1,800,000     United States ( RIAA )   8 × Platinum   7,900,000      sales figures based on certification alone shipments figures based on certification alone sales + streaming figures based on certification alone      Release history ( edit )     Country   Date   Format   Label   Version     Australia   5 July 2011   Digital download   Samples ' n ' Seconds Records / Eleven Music   Album Version     New Zealand     Belgium   29 July 2011   Samples ' n ' Seconds Records / V2 Benelux     Netherlands     Germany   11 November 2011   Samples ' n ' Seconds Records / Universal Music     United Kingdom   30 December 2011   Samples ' n ' Seconds Records / Universal Island Records     United States   20 January 2012   Samples ' n ' Seconds Records / Universal Music     12 March 2012   Contemporary hit radio   Fairfax Records / Universal Republic Records     17 April 2012   Digital download   Samples ' n ' Seconds Records / Universal Music   Tiesto Remix     United Kingdom   4 May 2012   Samples ' n ' Seconds Records / Universal Island Records     Walk off the Earth version ( edit )     `` Somebody That I Used to Know ''         Single by Walk Off the Earth     from the album R.E.V.O.     Released   6 January 2012 ( 2012 - 01 - 06 )     Format   CD single , digital download     Recorded   2012     Genre     Indie rock   acoustic rock       Length   4 : 08     Label   Columbia     Songwriter ( s )   Wally de Backer     Producer ( s )   Gianni Luminati     Walk Off the Earth singles chronology          `` Somebody That I Used to Know '' ( 2012 )   `` Red Hands '' ( 2012 )               `` Somebody That I Used to Know '' ( 2012 )   `` Red Hands '' ( 2012 )        In January 2012 , Canadian indie rock group Walk Off the Earth uploaded a cover of `` Somebody That I Used To Know '' to YouTube . Their version uses a single guitar played simultaneously by all five band members . As of April 2012 , the song had sold 187,000 units in the United States .   Track listing ( edit )    CD single     `` Somebody That I Used To Know '' -- 4 : 08   `` Somebody That I Used To Know '' ( Music video ) -- 4 : 25     CD maxi - single     `` Somebody That I Used To Know '' -- 4 : 08   `` Money Tree '' -- 3 : 13   `` Joan and Bobby '' -- 3 : 38   `` From Me to You '' -- 1 : 48   `` Somebody That I Used To Know '' ( Video ) -- 4 : 25       Charts ( edit )     Chart ( 2012 )   Peak position     Austria ( Ö3 Austria Top 40 )   30     Belgium ( Ultratop 50 Flanders )   30     Belgium ( Ultratop 50 Wallonia )   28     Canada ( Canadian Hot 100 )   13     Denmark ( Tracklisten )   12     France ( SNEP )   80     Germany ( Official German Charts )   41     Netherlands ( Single Top 100 )   9     Sweden ( Sverigetopplistan )   45     Switzerland ( Schweizer Hitparade )   54     UK Singles ( Official Charts Company )   80     United States ( Bubbling Under Hot 100 Singles )   9         Certifications ( edit )     Region   Certification   Certified units / Sales     Canada ( Music Canada )   Platinum   80,000      sales figures based on certification alone shipments figures based on certification alone           Glee cast version ( edit )     `` Somebody That I Used to Know ''         Single by Glee Cast     Released   10 April 2012     Format   Digital download     Recorded   2012     Genre   Pop     Length   4 : 06     Label   Columbia     Songwriter ( s )   Wally de Backer     The song was covered in the Glee episode `` Big Brother '' and performed by Darren Criss ( as Blaine Anderson ) and Matt Bomer ( as Cooper Anderson ) . It sold 152,000 digital downloads in its first week of release and debuted on the Digital Songs chart at number 10 and the Hot 100 at number 26 .   Charts ( edit )     Chart ( 2012 )   Peak position     Canada ( Canadian Hot 100 )   21     UK Singles ( Official Charts Company )   48     US Billboard Hot 100   26     Mayday Parade version ( edit )     `` Somebody That I Used to Know ''         Single by Mayday Parade featuring Vic Fuentes     from the album Punk Goes Pop 5     Released   16 October 2012 ( 2012 - 10 - 16 )     Format   digital download , radio airplay     Recorded   2012     Genre     Alternative rock   pop punk       Length   3 : 24     Label   Fearless     Songwriter ( s )   Wally de Backer     Mayday Parade singles chronology        `` When You See My Friends '' ( 2011 )   `` Somebody That I Used to Know '' ( 2012 )   `` Ghosts '' ( 2013 )             `` When You See My Friends '' ( 2011 )   `` Somebody That I Used to Know '' ( 2012 )   `` Ghosts '' ( 2013 )        The alternative rock band Mayday Parade released a cover of this song for fifth edition of the compilation album Punk Goes Pop , which features bands of the punk , alternative , and hardcore genres covering hit pop songs . Their cover became the first single from a Punk Goes ... compilation album to chart on a Billboard chart , reaching number 18 on US Rock Songs .   Charts ( edit )     Chart ( 2012 )   Peak position     US Rock Songs   18     US Heatseekers Songs   19     See also ( edit )    List of Airplay 100 number ones of the 2010s   List of best - selling singles   List of best - selling singles in Australia   List of best - selling singles in the United States   List of million - selling singles in the United Kingdom   List of number - one singles of 2011 ( Australia )   List of Ultratop 50 number - one singles of 2011   List of number - one singles from the 2010s ( New Zealand )   List of Dutch Top 40 number - one singles of 2011   List of number - one hits of 2011 ( Germany )   List of number - one hits of 2012 ( Austria )   List of number - one singles of 2012 ( Poland )   List of number - one singles of 2012 ( Ireland )   List of number - one singles of 2012 ( UK )   List of number - one Billboard Alternative Songs of 2012   List of number - one dance singles of 2012 ( U.S. )   List of number - one dance airplay hits of 2012 ( U.S. )   List of number - one digital songs of 2012 ( U.S. )   List of Hot 100 number - one singles of 2012 ( U.S. )   List of Hot 100 number - one singles of 2012 ( Canada )   List of Danish number - one hits of 2012   List of number - one hits of 2012 ( Italy )   List of number - one hits of 2012 ( France )   List of number - one singles of 2012 ( Finland )   List of number - one singles of 2012 ( Sweden )   List of Mainstream Top 40 number - one hits of 2012 ( U.S. )   List of Adult Top 40 number - one singles of 2012   List of number - one adult contemporary singles of 2012 ( U.S. )    References ( edit )    ^ Jump up to : Tris McCall ( 2012 - 02 - 10 ) . `` Song of the Week : ' Somebody That I Used to Know , ' Gotye '' . NJ.com . Retrieved 2017 - 07 - 03 .   Jump up ^ `` My Secret Life : Gotye , 32 , singer - songwriter '' . London : The Independent . 1 September 2012 . Retrieved 1 September 2012 .   Jump up ^ Tingen , Paul ( Jul</t>
  </si>
  <si>
    <t xml:space="preserve">who the girl in somebody that i used to know</t>
  </si>
  <si>
    <t xml:space="preserve"> `` Somebody That I Used To Know '' has been performed several times on major US TV shows such as The Voice , American Idol , and Saturday Night Live . It was covered by Canadian indie rock group Walk off the Earth using a single guitar played simultaneously by all five band members and by actors Darren Criss and Matt Bomer in the Glee episode `` Big Brother '' . The hit song 's accompanying music video was directed by Australian artist Natasha Pincus . The video , which has received over 1.1 billion views on YouTube as of August 2018 , premiered on 5 July 2011 . It shows Gotye and Kimbra naked against a white backdrop . While they sing , a pattern of paint gradually covers their skin and the backdrop via stop motion animation . </t>
  </si>
  <si>
    <t xml:space="preserve">United States Declaration of Independence - Wikipedia  United States Declaration of Independence  Jump to : navigation , search    United States Declaration of Independence     1823 facsimile of the engrossed copy     Created   June -- July 1776     Ratified   July 4 , 1776     Location   Engrossed copy : National Archives Rough draft : Library of Congress     Author ( s )   Thomas Jefferson et al. ( engrosser : probably Timothy Matlack )     Signatories   56 delegates to the Continental Congress     Purpose   To announce and explain separation from Great Britain     The United States Declaration of Independence is the statement adopted by the Second Continental Congress meeting at the Pennsylvania State House ( now known as Independence Hall ) in Philadelphia on July 4 , 1776 . The Declaration announced that the thirteen American colonies at war with the Kingdom of Great Britain would now regard themselves as thirteen independent sovereign states no longer under British rule . With the Declaration , these states formed a new nation -- the United States of America .   The Declaration was passed on July 2 with no opposing votes . A committee of five had drafted it to be ready when Congress voted on independence . John Adams , a leader in pushing for independence , had persuaded the committee to select Thomas Jefferson to compose the original draft of the document , which Congress edited to produce the final version . The Declaration was a formal explanation of why Congress had voted on July 2 to declare independence from Great Britain , more than a year after the outbreak of the American Revolutionary War . Adams wrote to his wife Abigail , `` The Second Day of July 1776 , will be the most memorable Epocha , in the History of America '' -- although Independence Day is actually celebrated on July 4 , the date that the wording of the Declaration of Independence was approved .   After ratifying the text on July 4 , Congress issued the Declaration of Independence in several forms . It was initially published as the printed Dunlap broadside that was widely distributed and read to the public . The source copy used for this printing has been lost and may have been a copy in Thomas Jefferson 's hand . Jefferson 's original draft is preserved at the Library of Congress , complete with changes made by John Adams and Benjamin Franklin , as well as Jefferson 's notes of changes made by Congress . The best - known version of the Declaration is a signed copy that is displayed at the National Archives in Washington , D.C. , and which is popularly regarded as the official document . This engrossed copy was ordered by Congress on July 19 and signed primarily on August 2 .   The sources and interpretation of the Declaration have been the subject of much scholarly inquiry . The Declaration justified the independence of the United States by listing colonial grievances against King George III , and by asserting certain natural and legal rights , including a right of revolution . Having served its original purpose in announcing independence , references to the text of the Declaration were few in the following years . Abraham Lincoln made it the centerpiece of his policies and his rhetoric , as in the Gettysburg Address of 1863 . Since then , it has become a well - known statement on human rights , particularly its second sentence :   We hold these truths to be self - evident , that all men are created equal , that they are endowed by their Creator with certain unalienable Rights , that among these are Life , Liberty and the pursuit of Happiness .   This has been called `` one of the best - known sentences in the English language '' , containing `` the most potent and consequential words in American history '' . The passage came to represent a moral standard to which the United States should strive . This view was notably promoted by Lincoln , who considered the Declaration to be the foundation of his political philosophy and argued that it is a statement of principles through which the United States Constitution should be interpreted .   The U.S. Declaration of Independence inspired many similar documents in other countries , the first being the 1789 Declaration of Flanders issued during the Brabant Revolution in the Austrian Netherlands ( modern - day Belgium ) . It also served as the primary model for numerous declarations of independence in Europe and Latin America , as well as Africa ( Liberia ) and Oceania ( New Zealand ) during the first half of the 19th century .     Contents  ( hide )   1 Background   1.1 Congress convenes     2 Toward independence   2.1 Revising instructions   2.2 May 15 preamble   2.3 Lee 's resolution   2.4 The final push     3 Draft and adoption   4 Annotated text of the engrossed declaration   5 Influences and legal status   6 Signing   7 Publication and reaction   8 History of the documents   9 Legacy   9.1 Influence in other countries   9.2 Revival of interest   9.3 John Trumbull 's Declaration of Independence ( 1817 -- 1826 )   9.4 Slavery and the Declaration   9.5 Lincoln and the Declaration   9.6 Women 's suffrage and the Declaration   9.7 Twentieth century and later   9.8 Popular culture     10 References   11 Bibliography   12 External links      Background  Thomas Jefferson , the principal author of the Declaration  Believe me , dear Sir : there is not in the British empire a man who more cordially loves a union with Great Britain than I do . But , by the God that made me , I will cease to exist before I yield to a connection on such terms as the British Parliament propose ; and in this , I think I speak the sentiments of America .  -- Thomas Jefferson , November 29 , 1775  By the time that the Declaration of Independence was adopted in July 1776 , the Thirteen Colonies and Great Britain had been at war for more than a year . Relations had been deteriorating between the colonies and the mother country since 1763 . Parliament enacted a series of measures to increase revenue from the colonies , such as the Stamp Act of 1765 and the Townshend Acts of 1767 . Parliament believed that these acts were a legitimate means of having the colonies pay their fair share of the costs to keep them in the British Empire .   Many colonists , however , had developed a different conception of the empire . The colonies were not directly represented in Parliament , and colonists argued that Parliament had no right to levy taxes upon them . This tax dispute was part of a larger divergence between British and American interpretations of the British Constitution and the extent of Parliament 's authority in the colonies . The orthodox British view , dating from the Glorious Revolution of 1688 , was that Parliament was the supreme authority throughout the empire , and so , by definition , anything that Parliament did was constitutional . In the colonies , however , the idea had developed that the British Constitution recognized certain fundamental rights that no government could violate , not even Parliament . After the Townshend Acts , some essayists even began to question whether Parliament had any legitimate jurisdiction in the colonies at all . Anticipating the arrangement of the British Commonwealth , by 1774 American writers such as Samuel Adams , James Wilson , and Thomas Jefferson were arguing that Parliament was the legislature of Great Britain only , and that the colonies , which had their own legislatures , were connected to the rest of the empire only through their allegiance to the Crown .   Congress convenes   The issue of Parliament 's authority in the colonies became a crisis after Parliament passed the Coercive Acts ( known as the Intolerable Acts in the colonies ) in 1774 to punish the Province of Massachusetts for the Boston Tea Party of 1773 . Many colonists saw the Coercive Acts as a violation of the British Constitution and thus a threat to the liberties of all of British America . In September 1774 , the First Continental Congress convened in Philadelphia to coordinate a response . Congress organized a boycott of British goods and petitioned the king for repeal of the acts . These measures were unsuccessful because King George and the ministry of Prime Minister Lord North were determined not to retreat on the question of parliamentary supremacy . As the king wrote to North in November 1774 , `` blows must decide whether they are to be subject to this country or independent '' .   Most colonists still hoped for reconciliation with Great Britain , even after fighting began in the American Revolutionary War at Lexington and Concord in April 1775 . The Second Continental Congress convened at the Pennsylvania State House in Philadelphia in May 1775 , and some delegates hoped for eventual independence , but no one yet advocated declaring it . Many colonists no longer believed that Parliament had any sovereignty over them , yet they still professed loyalty to King George , who they hoped would intercede on their behalf . They were disappointed in late 1775 , when the king rejected Congress 's second petition , issued a Proclamation of Rebellion , and announced before Parliament on October 26 that he was considering `` friendly offers of foreign assistance '' to suppress the rebellion . A pro-American minority in Parliament warned that the government was driving the colonists toward independence .   Toward Independence   Thomas Paine 's pamphlet Common Sense was published in January 1776 , just as it became clear in the colonies that the king was not inclined to act as a conciliator . Paine had only recently arrived in the colonies from England , and he argued in favor of colonial independence , advocating republicanism as an alternative to monarchy and hereditary rule . Common Sense introduced no new ideas and probably had little direct effect on Congress 's thinking about independence ; its importance was in stimulating public debate on a topic that few had previously dared to openly discuss . Public support for separation from Great Britain steadily increased after the publication of Paine 's enormously popular pamphlet .  The Assembly Room in Philadelphia 's Independence Hall , where the Second Continental Congress adopted the Declaration of Independence  Some colonists still held out hope for reconciliation , but developments in early 1776 further strengthened public support for independence . In February 1776 , colonists learned of Parliament 's passage of the Prohibitory Act , which established a blockade of American ports and declared American ships to be enemy vessels . John Adams , a strong supporter of independence , believed that Parliament had effectively declared American independence before Congress had been able to . Adams labeled the Prohibitory Act the `` Act of Independency '' , calling it `` a compleat Dismemberment of the British Empire '' . Support for declaring independence grew even more when it was confirmed that King George had hired German mercenaries to use against his American subjects .   Despite this growing popular support for independence , Congress lacked the clear authority to declare it . Delegates had been elected to Congress by thirteen different governments , which included extralegal conventions , ad hoc committees , and elected assemblies , and they were bound by the instructions given to them . Regardless of their personal opinions , delegates could not vote to declare independence unless their instructions permitted such an action . Several colonies , in fact , expressly prohibited their delegates from taking any steps towards separation from Great Britain , while other delegations had instructions that were ambiguous on the issue . As public sentiment grew for separation from Great Britain , advocates of independence sought to have the Congressional instructions revised . For Congress to declare independence , a majority of delegations would need authorization to vote for independence , and at least one colonial government would need to specifically instruct ( or grant permission for ) its delegation to propose a declaration of independence in Congress . Between April and July 1776 , a `` complex political war '' was waged to bring this about .   Revising instructions   In the campaign to revise Congressional instructions , many Americans formally expressed their support for separation from Great Britain in what were effectively state and local declarations of independence . Historian Pauline Maier identifies more than ninety such declarations that were issued throughout the Thirteen Colonies from April to July 1776 . These `` declarations '' took a variety of forms . Some were formal written instructions for Congressional delegations , such as the Halifax Resolves of April 12 , with which North Carolina became the first colony to explicitly authorize its delegates to vote for independence . Others were legislative acts that officially ended British rule in individual colonies , such as the Rhode Island legislature declaring its independence from Great Britain on May 4 , the first colony to do so . Many `` declarations '' were resolutions adopted at town or county meetings that offered support for independence . A few came in the form of jury instructions , such as the statement issued on April 23 , 1776 , by Chief Justice William Henry Drayton of South Carolina : `` the law of the land authorizes me to declare ... that George the Third , King of Great Britain ... has no authority over us , and we owe no obedience to him . '' Most of these declarations are now obscure , having been overshadowed by the declaration approved by Congress on July 2 , and signed July 4 .   Some colonies held back from endorsing independence . Resistance was centered in the middle colonies of New York , New Jersey , Maryland , Pennsylvania , and Delaware . Advocates of independence saw Pennsylvania as the key ; if that colony could be converted to the pro-independence cause , it was believed that the others would follow . On May 1 , however , opponents of independence retained control of the Pennsylvania Assembly in a special election that had focused on the question of independence . In response , Congress passed a resolution on May 10 which had been promoted by John Adams and Richard Henry Lee , calling on colonies without a `` government sufficient to the exigencies of their affairs '' to adopt new governments . The resolution passed unanimously , and was even supported by Pennsylvania 's John Dickinson , the leader of the anti-independence faction in Congress , who believed that it did not apply to his colony .   May 15 preamble  This Day the Congress has passed the most important Resolution , that ever was taken in America . -- John Adams , May 15 , 1776  As was the custom , Congress appointed a committee to draft a preamble to explain the purpose of the resolution . John Adams wrote the preamble , which stated that because King George had rejected reconciliation and was hiring foreign mercenaries to use against the colonies , `` it is necessary that the exercise of every kind of authority under the said crown should be totally suppressed '' . Adams 's preamble was meant to encourage the overthrow of the governments of Pennsylvania and Maryland , which were still under proprietary governance . Congress passed the preamble on May 15 after several days of debate , but four of the middle colonies voted against it , and the Maryland delegation walked out in protest . Adams regarded his May 15 preamble effectively as an American declaration of independence , although a formal declaration would still have to be made .   Lee 's resolution  Main article : Lee Resolution  On the same day that Congress passed Adams 's radical preamble , the Virginia Convention set the stage for a formal Congressional declaration of independence . On May 15 , the Convention instructed Virginia 's congressional delegation `` to propose to that respectable body to declare the United Colonies free and independent States , absolved from all allegiance to , or dependence upon , the Crown or Parliament of Great Britain '' . In accordance with those instructions , Richard Henry Lee of Virginia presented a three - part resolution to Congress on June 7 . The motion was seconded by John Adams , calling on Congress to declare independence , form foreign alliances , and prepare a plan of colonial confederation . The part of the resolution relating to declaring independence read :   Resolved , that these United Colonies are , and of right ought to be , free and independent States , that they are absolved from all allegiance to the British Crown , and that all political connection between them and the State of Great Britain is , and ought to be , totally dissolved .   Lee 's resolution met with resistance in the ensuing debate . Opponents of the resolution conceded that reconciliation was unlikely with Great Britain , while arguing that declaring independence was premature , and that securing foreign aid should take priority . Advocates of the resolution countered that foreign governments would not intervene in an internal British struggle , and so a formal declaration of independence was needed before foreign aid was possible . All Congress needed to do , they insisted , was to `` declare a fact which already exists '' . Delegates from Pennsylvania , Delaware , New Jersey , Maryland , and New York were still not yet authorized to vote for independence , however , and some of them threatened to leave Congress if the resolution were adopted . Congress , therefore , voted on June 10 to postpone further discussion of Lee 's resolution for three weeks . Until then , Congress decided that a committee should prepare a document announcing and explaining independence in the event that Lee 's resolution was approved when it was brought up again in July .   The final push  This idealized depiction of ( left to right ) Franklin , Adams , and Jefferson working on the Declaration was widely reprinted ( by Jean Leon Gerome Ferris , 1900 ) .  Support for a Congressional declaration of independence was consolidated in the final weeks of June 1776 . On June 14 , the Connecticut Assembly instructed its delegates to propose independence and , the following day , the legislatures of New Hampshire and Delaware authorized their delegates to declare independence . In Pennsylvania , political struggles ended with the dissolution of the colonial assembly , and a new Conference of Committees under Thomas McKean authorized Pennsylvania 's delegates to declare independence on June 18 . The Provincial Congress of New Jersey had been governing the province since January 1776 ; they resolved on June 15 that Royal Governor William Franklin was `` an enemy to the liberties of this country '' and had him arrested . On June 21 , they chose new delegates to Congress and empowered them to join in a declaration of independence .   Only Maryland and New York had yet to authorize independence towards the end of June . Previously , Maryland 's delegates had walked out when the Continental Congress adopted Adams 's radical May 15 preamble , and had sent to the Annapolis Convention for instructions . On May 20 , the Annapolis Convention rejected Adams 's preamble , instructing its delegates to remain against independence . But Samuel Chase went to Maryland and , thanks to local resolutions in favor of independence , was able to get the Annapolis Convention to change its mind on June 28 . Only the New York delegates were unable to get revised instructions . When Congress had been considering the resolution of independence on June 8 , the New York Provincial Congress told the delegates to wait . But on June 30 , the Provincial Congress evacuated New York as British forces approached , and would not convene again until July 10 . This meant that New York 's delegates would not be authorized to declare independence until after Congress had made its decision .   Draft and adoption  Main article : Physical history of the United States Declaration of Independence  Political maneuvering was setting the stage for an official declaration of independence even while a document was being written to explain the decision . On June 11 , 1776 , Congress appointed a `` Committee of Five '' to draft a declaration , consisting of John Adams of Massachusetts , Benjamin Franklin of Pennsylvania , Thomas Jefferson of Virginia , Robert R. Livingston of New York , and Roger Sherman of Connecticut . The committee left no minutes , so there is some uncertainty about how the drafting process proceeded ; contradictory accounts were written many years later by Jefferson and Adams , too many years to be regarded as entirely reliable -- although their accounts are frequently cited . What is certain is that the committee discussed the general outline which the document should follow and decided that Jefferson would write the first draft . The committee in general , and Jefferson in particular , thought that Adams should write the document , but Adams persuaded the committee to choose Jefferson and promised to consult with him personally . Considering Congress 's busy schedule , Jefferson probably had limited time for writing over the next seventeen days , and likely wrote the draft quickly . He then consulted the others and made some changes , and then produced another copy incorporating these alterations . The committee presented this copy to the Congress on June 28 , 1776 . The title of the document was `` A Declaration by the Representatives of the United States of America , in General Congress assembled . ''  Portable writing desk that Jefferson used to draft and write the Declaration of Independence  Congress ordered that the draft `` lie on the table '' . For two days , Congress methodically edited Jefferson 's primary document , shortening it by a fourth , removing unnecessary wording , and improving sentence structure . They removed Jefferson 's assertion that Britain had forced slavery on the colonies in order to moderate the document and appease persons in Britain who supported the Revolution . Jefferson wrote that Congress had `` mangled '' his draft version , but the Declaration that was finally produced was `` the majestic document that inspired both contemporaries and posterity , '' in the words of his biographer John Ferling .   Congress tabled the draft of the declaration on Monday , July 1 , and resolved itself into a committee of the whole , with Benjamin Harrison of Virginia presiding , and they resumed debate on Lee 's resolution of independence . John Dickinson made one last effort to delay the decision , arguing that Congress should not declare independence without first securing a foreign alliance and finalizing the Articles of Confederation . John Adams gave a speech in reply to Dickinson , restating the case for an immediate declaration .   A vote was taken after a long day of speeches , each colony casting a single vote , as always . The delegation for each colony numbered from two to seven members , and each delegation voted amongst themselves to determine the colony 's vote . Pennsylvania and South Carolina voted against declaring independence . The New York delegation abstained , lacking permission to vote for independence . Delaware cast no vote because the delegation was split between Thomas McKean ( who voted yes ) and George Read ( who voted no ) . The remaining nine delegations voted in favor of independence , which meant that the resolution had been approved by the committee of the whole . The next step was for the resolution to be voted upon by Congress itself . Edward Rutledge of South Carolina was opposed to Lee 's resolution but desirous of unanimity , and he moved that the vote be postponed until the following day .  `` Declaration House '' , the boarding house at Market and S. 7th Street where Jefferson wrote the Declaration  On July 2 , South Carolina reversed its position and voted for independence . In the Pennsylvania delegation , Dickinson and Robert Morris abstained , allowing the delegation to vote three - to - two in favor of independence . The tie in the Delaware delegation was broken by the timely arrival of Caesar Rodney , who voted for independence . The New York delegation abstained once again since they were still not authorized to vote for independence , although they were allowed to do so a week later by the New York Provincial Congress . The resolution of independence had been adopted with twelve affirmative votes and one abstention . With this , the colonies had officially severed political ties with Great Britain .   John Adams predicted in a famous letter , written to his wife on the following day , that July 2 would become a great American holiday . He thought that the vote for independence would be commemorated ; he did not foresee that Americans -- including himself -- would instead celebrate Independence Day on the date when the announcement of that act was finalized .   `` I am apt to believe that ( Independence Day ) will be celebrated , by succeeding Generations , as the great anniversary Festival . It ought to be commemorated , as the Day of Deliverance by solemn Acts of Devotion to God Almighty . It ought to be solemnized with Pomp and Parade , with shews , Games , Sports , Guns , Bells , Bonfires and Illuminations from one End of this Continent to the other from this Time forward forever more . ''   After voting in favor of the resolution of independence , Congress turned its attention to the committee 's draft of the declaration . Over several days of debate , they made a few changes in wording and deleted nearly a fourth of the text and , on July 4 , 1776 , the wording of the Declaration of Independence was approved and sent to the printer for publication .  The opening of the original printing of the Declaration , printed on July 4 , 1776 , under Jefferson 's supervision . The engrossed copy was made later ( shown at the top of this article ) . Note that the opening lines differ between the two versions .  There is a distinct change in wording from this original broadside printing of the Declaration and the final official engrossed copy . The word `` unanimous '' was inserted as a result of a Congressional resolution passed on July 19 , 1776 :   Resolved , That the Declaration passed on the 4th , be fairly engrossed on parchment , with the title and stile of `` The unanimous declaration of the thirteen United States of America , '' and that the same , when engrossed , be signed by every member of Congress .   Historian George Billias says :    Independence amounted to a new status of interdependence : the United States was now a sovereign nation entitled to the privileges and responsibilities that came with that status . America thus became a member of the international community , which meant becoming a maker of treaties and alliances , a military ally in diplomacy , and a partner in foreign trade on a more equal basis .    Annotated text of the engrossed Declaration   The declaration is not divided into formal sections ; but it is often discussed as consisting of five parts : introduction , preamble , indictment of King George III , denunciation of the British people , and conclusion .     Introduction  Asserts as a matter of Natural Law the ability of a people to assume political independence ; acknowledges that the grounds for such independence must be reasonable , and therefore explicable , and ought to be explained .    In CONGRESS , July 4 , 1776 . The unanimous Declaration of the thirteen united States of America ,  When in the Course of human events , it becomes necessary for one people to dissolve the political bands which have connected them with another , and to assume among the powers of the earth , the separate and equal station to which the Laws of Nature and of Nature 's God entitle them , a decent respect to the opinions of mankind requires that they should declare the causes which impel them to the separation .      Preamble  Outlines a general philosophy of government that justifies revolution when government harms natural rights .     We hold these truths to be self - evident , that all men are created equal , that they are endowed by their Creator with certain unalienable Rights , that among these are Life , Liberty and the pursuit of Happiness .   That to secure these rights , Governments are instituted among Men , deriving their just powers from the consent of the governed , That whenever any Form of Government becomes destructive of these ends , it is the Right of the People to alter or to abolish it , and to institute new Government , laying its foundation on such principles and organizing its powers in such form , as to them shall seem most likely to effect their Safety and Happiness . Prudence , indeed , will dictate that Governments long established should not be changed for light and transient causes ; and accordingly all experience hath shewn , that mankind are more disposed to suffer , while evils are sufferable , than to right themselves by abolishing the forms to which they are accustomed . But when a long train of abuses and usurpations , pursuing invariably the same Object evinces a design to reduce them under absolute Despotism , it is their right , it is their duty , to throw off such Government , and to provide new Guards for their future security .      Indictment  A bill of particulars documenting the king 's `` repeated injuries and usurpations '' of the Americans ' rights and liberties .     Such has been the patient sufferance of these Colonies ; and such is now the necessity which constrains them to alter their former Systems of Government . The history of the present King of Great Britain is a history of repeated injuries and usurpations , all having in direct object the establishment of an absolute Tyranny over these States . To prove this , let Facts be submitted to a candid world .   He has refused his Assent to Laws , the most wholesome and necessary for the public good .   He has forbidden his Governors to pass Laws of immediate and pressing importance , unless suspended in their operation till his Assent should be obtained ; and when so suspended , he has utterly neglected to attend to them .   He has refused to pass other Laws for the accommodation of large districts of people , unless those people would relinquish the right of Representation in the Legislature , a right inestimable to them and formidable to tyrants only .   He has called together legislative bodies at places unusual , uncomfortable , and distant from the depository of their Public Records , for the sole purpose of fatiguing them into compliance with his measures .   He has dissolved Representative Houses repeatedly , for opposing with manly firmness of his invasions on the rights of the people .   He has refused for a long time , after such dissolutions , to cause others to be elected , whereby the Legislative Powers , incapable of Annihilation , have returned to the People at large for their exercise ; the State remaining in the mean time exposed to all the dangers of invasion from without , and convulsions within .   He has endeavoured to prevent the population of these States ; for that purpose obstructing the Laws for Naturalization of Foreigners ; refusing to pass others to encourage their migrations hither , and raising the conditions of new Appropriations of Lands .   He has obstructed the Administration of Justice by refusing his Assent to Laws for establishing Judiciary Powers .   He has made Judges dependent on his Will alone for the tenure of their offices , and the amount and payment of their salaries .   He has erected a multitude of New Offices , and sent hither swarms of Officers to harass our people and eat out their substance .   He has kept among us , in times of peace , Standing Armies without the Consent of our legislatures .   He has affected to render the Military independent of and superior to the Civil Power .   He has combined with others to subject us to a jurisdiction foreign to our constitution , and unacknowledged by our laws ; giving his Assent to their Acts of pretended Legislation :   For quartering large bodies of armed troops among us :   For protecting them , by a mock Trial from punishment for any Murders which they should commit on the Inhabitants of these States :   For cutting off our Trade with all parts of the world :   For imposing Taxes on us without our Consent :   For depriving us in many cases , of the benefit of Trial by Jury :   For transporting us beyond Seas to be tried for pretended offences :   For abolishing the free System of English Laws in a neighbouring Province , establi</t>
  </si>
  <si>
    <t xml:space="preserve">what does the 5th paragraph of the declaration of independence mean</t>
  </si>
  <si>
    <t xml:space="preserve">   Introduction  Asserts as a matter of Natural Law the ability of a people to assume political independence ; acknowledges that the grounds for such independence must be reasonable , and therefore explicable , and ought to be explained .    In CONGRESS , July 4 , 1776 . The unanimous Declaration of the thirteen united States of America ,  When in the Course of human events , it becomes necessary for one people to dissolve the political bands which have connected them with another , and to assume among the powers of the earth , the separate and equal station to which the Laws of Nature and of Nature 's God entitle them , a decent respect to the opinions of mankind requires that they should declare the causes which impel them to the separation .      Preamble  Outlines a general philosophy of government that justifies revolution when government harms natural rights .     We hold these truths to be self - evident , that all men are created equal , that they are endowed by their Creator with certain unalienable Rights , that among these are Life , Liberty and the pursuit of Happiness .   That to secure these rights , Governments are instituted among Men , deriving their just powers from the consent of the governed , That whenever any Form of Government becomes destructive of these ends , it is the Right of the People to alter or to abolish it , and to institute new Government , laying its foundation on such principles and organizing its powers in such form , as to them shall seem most likely to effect their Safety and Happiness . Prudence , indeed , will dictate that Governments long established should not be changed for light and transient causes ; and accordingly all experience hath shewn , that mankind are more disposed to suffer , while evils are sufferable , than to right themselves by abolishing the forms to which they are accustomed . But when a long train of abuses and usurpations , pursuing invariably the same Object evinces a design to reduce them under absolute Despotism , it is their right , it is their duty , to throw off such Government , and to provide new Guards for their future security .      Indictment  A bill of particulars documenting the king 's `` repeated injuries and usurpations '' of the Americans ' rights and liberties .     Such has been the patient sufferance of these Colonies ; and such is now the necessity which constrains them to alter their former Systems of Government . The history of the present King of Great Britain is a history of repeated injuries and usurpations , all having in direct object the establishment of an absolute Tyranny over these States . To prove this , let Facts be submitted to a candid world .   He has refused his Assent to Laws , the most wholesome and necessary for the public good .   He has forbidden his Governors to pass Laws of immediate and pressing importance , unless suspended in their operation till his Assent should be obtained ; and when so suspended , he has utterly neglected to attend to them .   He has refused to pass other Laws for the accommodation of large districts of people , unless those people would relinquish the right of Representation in the Legislature , a right inestimable to them and formidable to tyrants only .   He has called together legislative bodies at places unusual , uncomfortable , and distant from the depository of their Public Records , for the sole purpose of fatiguing them into compliance with his measures .   He has dissolved Representative Houses repeatedly , for opposing with manly firmness of his invasions on the rights of the people .   He has refused for a long time , after such dissolutions , to cause others to be elected , whereby the Legislative Powers , incapable of Annihilation , have returned to the People at large for their exercise ; the State remaining in the mean time exposed to all the dangers of invasion from without , and convulsions within .   He has endeavoured to prevent the population of these States ; for that purpose obstructing the Laws for Naturalization of Foreigners ; refusing to pass others to encourage their migrations hither , and raising the conditions of new Appropriations of Lands .   He has obstructed the Administration of Justice by refusing his Assent to Laws for establishing Judiciary Powers .   He has made Judges dependent on his Will alone for the tenure of their offices , and the amount and payment of their salaries .   He has erected a multitude of New Offices , and sent hither swarms of Officers to harass our people and eat out their substance .   He has kept among us , in times of peace , Standing Armies without the Consent of our legislatures .   He has affected to render the Military independent of and superior to the Civil Power .   He has combined with others to subject us to a jurisdiction foreign to our constitution , and unacknowledged by our laws ; giving his Assent to their Acts of pretended Legislation :   For quartering large bodies of armed troops among us :   For protecting them , by a mock Trial from punishment for any Murders which they should commit on the Inhabitants of these States :   For cutting off our Trade with all parts of the world :   For imposing Taxes on us without our Consent :   For depriving us in many cases , of the benefit of Trial by Jury :   For transporting us beyond Seas to be tried for pretended offences :   For abolishing the free System of English Laws in a neighbouring Province , establishing therein an Arbitrary government , and enlarging its Boundaries so as to render it at once an example and fit instrument for introducing the same absolute rule into these Colonies   For taking away our Charters , abolishing our most valuable Laws and altering fundamentally the Forms of our Governments :   For suspending our own Legislatures , and declaring themselves invested with power to legislate for us in all cases whatsoever .   He has abdicated Government here , by declaring us out of his Protection and waging War against us .   He has plundered our seas , ravaged our coasts , burnt our towns , and destroyed the lives of our people .   He is at this time transporting large Armies of foreign Mercenaries to compleat the works of death , desolation , and tyranny , already begun with circumstances of Cruelty &amp; Perfidy scarcely paralleled in the most barbarous ages , and totally unworthy the Head of a civilized nation .   He has constrained our fellow Citizens taken Captive on the high Seas to bear Arms against their Country , to become the executioners of their friends and Brethren , or to fall themselves by their Hands .   He has excited domestic insurrections amongst us , and has endeavoured to bring on the inhabitants of our frontiers , the merciless Indian Savages whose known rule of warfare , is an undistinguished destruction of all ages , sexes and conditions .   In every stage of these Oppressions We have Petitioned for Redress in the most humble terms : Our repeated Petitions have been answered only by repeated injury . A Prince , whose character is thus marked by every act which may define a Tyrant , is unfit to be the ruler of a free people .      Denunciation  This section essentially finishes the case for independence . The conditions that justified revolution have been shown .     Nor have We been wanting in attentions to our British brethren . We have warned them from time to time of attempts by their legislature to extend an unwarrantable jurisdiction over us . We have reminded them of the circumstances of our emigration and settlement here . We have appealed to their native justice and magnanimity , and we have conjured them by the ties of our common kindred to disavow these usurpations , which , would inevitably interrupt our connections and correspondence . They too have been deaf to the voice of justice and of consanguinity . We must , therefore , acquiesce in the necessity , which denounces our Separation , and hold them , as we hold the rest of mankind , Enemies in War , in Peace Friends .      Conclusion  The signers assert that there exist conditions under which people must change their government , that the British have produced such conditions and , by necessity , the colonies must throw off political ties with the British Crown and become independent states . The conclusion contains , at its core , the Lee Resolution that had been passed on July 2 .     We , therefore , the Representatives of the united States of America , in General Congress , Assembled , appealing to the Supreme Judge of the world for the rectitude of our intentions , do , in the Name , and by Authority of the good People of these Colonies , solemnly publish and declare , That these united Colonies are , and of Right ought to be Free and Independent States ; that they are Absolved from all Allegiance to the British Crown , and that all political connection between them and the State of Great Britain , is and ought to be totally dissolved ; and that as Free and Independent States , they have full Power to levy War , conclude Peace , contract Alliances , establish Commerce , and to do all other Acts and Things which Independent States may of right do . And for the support of this Declaration , with a firm reliance on the protection of divine Providence , we mutually pledge to each other our Lives , our Fortunes and our sacred Honor .      Signatures  The first and most famous signature on the engrossed copy was that of John Hancock , President of the Continental Congress . Two future presidents ( Thomas Jefferson and John Adams ) and a father and great - grandfather of two other presidents ( Benjamin Harrison ) were among the signatories . Edward Rutledge ( age 26 ) was the youngest signer , and Benjamin Franklin ( age 70 ) was the oldest signer . The fifty - six signers of the Declaration represented the new states as follows ( from north to south ) :      New Hampshire : Josiah Bartlett , William Whipple , Matthew Thornton   Massachusetts : Samuel Adams , John Adams , John Hancock , Robert Treat Paine , Elbridge Gerry   Rhode Island : Stephen Hopkins , William Ellery   Connecticut : Roger Sherman , Samuel Huntington , William Williams , Oliver Wolcott   New York : William Floyd , Philip Livingston , Francis Lewis , Lewis Morris   New Jersey : Richard Stockton , John Witherspoon , Francis Hopkinson , John Hart , Abraham Clark   Pennsylvania : Robert Morris , Benjamin Rush , Benjamin Franklin , John Morton , George Clymer , James Smith , George Taylor , James Wilson , George Ross   Delaware : George Read , Caesar Rodney , Thomas McKean   Maryland : Samuel Chase , William Paca , Thomas Stone , Charles Carroll of Carrollton   Virginia : George Wythe , Richard Henry Lee , Thomas Jefferson , Benjamin Harrison , Thomas Nelson Jr. , Francis Lightfoot Lee , Carter Braxton   North Carolina : William Hooper , Joseph Hewes , John Penn   South Carolina : Edward Rutledge , Thomas Heyward Jr. , Thomas Lynch Jr. , Arthur Middleton   Georgia : Button Gwinnett , Lyman Hall , George Walton     </t>
  </si>
  <si>
    <t xml:space="preserve">Scarecrow ( Oz ) - wikipedia  Scarecrow ( Oz )     The Scarecrow     Oz character     Illustration by W.W. Denslow from The Wonderful Wizard of Oz     First appearance   The Wonderful Wizard of Oz ( 1900 )     Created by   L. Frank Baum     Portrayed by   Ray Bolger     Voiced by   Paul Scheer ( Once Upon a Time )     Information     Aliases   Socrates Strawman Chang Wang Woe Fiyero Tigelaar     Species   Scarecrow     Gender   Male     Occupation   Ruler of Oz Tin Woodman 's treasurer Corn farmer     Title   His Majesty the Scarecrow Royal Treasurer Emperor of the Silver Islands     Spouse ( s )   Tsing Tsing ( in his former incarnation )     Children   3 sons 15 grandsons ( from his former incarnation )     The Scarecrow is a character in the fictional Land of Oz created by American author L. Frank Baum and illustrator W.W. Denslow . In his first appearance , the Scarecrow reveals that he lacks a brain and desires above all else to have one . In reality , he is only two days old and merely ignorant . Throughout the course of the novel , he demonstrates that he already has the brains he seeks and is later recognized as `` the wisest man in all of Oz , '' although he continues to credit the Wizard for them . He is , however , wise enough to know his own limitations and all too happy to hand the rulership of Oz , passed to him by the Wizard , to Princess Ozma , to become one of her trusted advisors , though he typically spends more time playing games than advising .   Contents    1 In The Wonderful Wizard of Oz   2 In Wicked Musical   3 In the Novel `` Wicked '' by Gregory Maguire   4 In the Novel `` Son of a Witch '' by Gregory Maguire   5 Scholarly interpretations   6 Later Oz books   7 Film portrayals   7.1 Early films   7.2 The Wizard of Oz   7.3 The Oz Kids   7.4 Oz the Great and Powerful   7.5 Other adaptations     8 Modern works   9 References    In the Wonderful Wizard of Oz ( edit )   In Baum 's classic 1900 novel The Wonderful Wizard of Oz , the living scarecrow encounters Dorothy Gale in a field in the Munchkin Country while she is on her way to the Emerald City . He tells her about his creation and of how he at first scared away the crows , before an older one realised he was a straw man , causing the other crows to start eating the corn . The old crow then told the Scarecrow of the importance of brains . The `` mindless '' Scarecrow joins Dorothy in the hope that The Wizard will give him a brain . They are later joined by the Tin Woodman and the Cowardly Lion . When the group goes to the West , he kills the Witch 's crows by twisting their necks . He is taken apart by the Flying Monkeys and his clothes thrown up a tree , but when his clothes are filled with straw he is back again . After Dorothy and her friends have completed their mission to kill the Wicked Witch of the West , the Wizard gives the Scarecrow brains ( made out of bran , pins and needles -- in reality a placebo , as he has been the most intelligent of the travelers all along ) . Before he leaves Oz in a balloon , the Wizard appoints the Scarecrow to rule the Emerald City in his stead . He accompanies Dorothy and the others to the palace of the Good Witch of the South Glinda , and she uses the Golden Cap to summon the Winged Monkeys , who take the Scarecrow back to the Emerald City .   His desire for a brain notably contrasts with the Tin Woodman 's desire for a heart , reflecting a common debate between the relative importance of the mind and the emotions . Indeed , both believe they have neither . This occasions philosophical debate between the two friends as to why their own choices are superior ; neither convinces the other , and Dorothy , listening , is unable to decide which one is right . Symbolically , because they remain with Dorothy throughout her quest , she is provided with both and need not select .   In Wicked musical ( edit )   In the musical of Gregory Maguire 's interpretation of the Oz franchise , this version of the Scarecrow was Fiyero Tigelaar , the love interest of Elphaba Thropp . Fiyero attends school with Elphaba and Glinda the Good , while they were all still young . Fiyero takes a special interest in Elphaba . However , he is highly sought after by Elphaba 's roommate , Glinda . Fiyero and Elphaba share a secret romance , and when she leaves for the Emerald City , he gives her a long and meaningful goodbye .   Many years later , after Elphaba goes into hiding , we are shown that Glinda and Fiyero are to be wed . However this is not because of love , at least not on Fiyero 's part , for he still loves Elphaba . Once she reappears in the Emerald City , they escape together , much to Glinda 's discontent . Elphaba then goes to the site of her sister 's death ( Dorothy 's arrival into Oz ) . Here she is ambushed by guards , and about to be taken away , when Fiyero saves her , but he is merely sacrificing himself to save her . Elphaba in a fit of rage and heartbreak reads a spell to keep Fiyero safe , with the words of the spell including pleas to let him feel no pain and never die however they try to destroy him . Although Elphaba abandons the spell as she believes it is not working , it is not until the end of the production that we are shown that Fiyero is still alive , and has been transformed into the Scarecrow from `` The Wonderful Wizard of Oz '' .   In the novel `` Wicked '' by Gregory Maguire ( edit )   In Gregory Maguire 's novel `` Wicked : The Life and Times of the Wicked Witch of the West '' The Scarecrow is a companion of Dorothy . When the quartet of Dorothy , The Scarecrow , Tin Woodman , and Lion approach Elphaba 's home in Fiyero 's castle , she thinks for a moment that maybe Fiyero is the Scarecrow , having not died earlier in the novel . She sends minions after him to tear him apart to see if Fiyero is inside , but he is not . In the novel he is NOT Fiyero , but this is probably where they got the idea for the stage version .   In the novel `` son of a Witch '' by Gregory Maguire ( edit )   The Scarecrow appears briefly in this novel , first giving Liir advice . When he appears at Glinda 's induction Liir notes that it is an obvious impostor and not the same Scarecrow that he once knew .   Scholarly interpretations ( edit )  Main article : Political interpretations of The Wonderful Wizard of Oz    Denslow 's drawing of scarecrow hung up on pole and helpless , from first edition of book , 1900   July 1896 Puck cartoon shows farmer hung up on pole and helpless ; was this Denslow 's inspiration ? The hat says `` silverite '' ; the locomotive is gold     Economics and history professors have published scholarly studies that indicate the images and characters used by Baum and Denslow closely resembled political images that were well known in the 1890s . The Scarecrow , like other characters and elements in The Wonderful Wizard of Oz , was a common theme found in editorial cartoons of the previous decade . Baum and Denslow , like most writers , used the materials at hand that they knew best . They built a story around them , added Dorothy , and added a series of lessons to the effect that everyone possesses the resources they need ( such as brains , a heart and courage ) if only they had self - confidence . Although it was a children 's book , of course , Baum noted in the preface that it was a `` modernized '' fairy tale as well .   Those who interpret The Wonderful Wizard of Oz as a political allegory often see the Scarecrow , a central figure , as a reflection of the popular image of the American farmer -- although he has been persuaded that he is only a dumb hick , he possesses a strong common sense , remarkable insight and quick - wittedness that needs only to be reinforced by self - confidence .   The blackface minstrel star , Fred Stone , was the first to play the Scarecrow on stage , and he brought his minstrel style of performance to the role of the Scarecrow . Baum was delighted with Stone 's performance , and he wrote subsequent Oz books with Stone 's minstrel - style in mind .   Later Oz books ( edit )  Cover of The Scarecrow of Oz ( 1915 ) by L. Frank Baum ; illustration by John R. Neill  The Scarecrow also appears in other Oz books , sharing further adventures with Dorothy and her friends . His reign as king of the Emerald City ends in The Marvelous Land of Oz when General Jinjur and her Army of Revolt oust him in a coup . He manages to escape the palace and joins Tip and his companions in seeking the aid of Glinda the Good .   He spars with H.M. Woggle - Bug T.E. on the value of education . Although he claims to be educated himself and to value education , he finds the Woggle - Bug 's learning rote and without wisdom . Although he can not eat , he tells Billina that she might be better cooked and generally seems to favor the use of animals as food , sometimes making snide remarks to that effect to his animal companions , although he himself only gathers nuts and fruit for his traveling companions , such as Dorothy and Tip , to eat .   By The Road to Oz he is acknowledged , at least by the Tin Woodman , to be `` probably the wisest man in all Oz , '' and this is the caption of an illustration , suggesting that the reader take his comment at face value . Dorothy herself , in Dorothy and the Wizard in Oz , praises the Scarecrow 's wisdom and says the Scarecrow seemed just as wise before the Wizard gave him brains as after .   In The Emerald City of Oz , the Scarecrow lives in a house shaped like an ear of corn in Winkie Country . In The Scarecrow of Oz , the Scarecrow travels to Jinxland , where he helps Cap'n Bill , Trot and Button - Bright overthrow the villainous King Krewl .   In Glinda of Oz the Scarecrow serves as Regent to Ozma of Oz , demonstrating that he is Ozma 's third in command . Mostly all he does is play croquet until Ozma 's advisers , including himself , band together for a rescue operation .   In The Royal Book of Oz by Ruth Plumly Thompson , Baum 's authorized successor as `` Royal Historian of Oz '' , Professor Woggle - Bug accused the Scarecrow of having no ancestry , so he returns to the pole at the cornfield where he was once hung . Sliding down it and descending underground , he first encounters the Midlings and then the Silver Islands , whose people believe themselves to be the ancestors of the Chinese . Apparently , when Emperor Chang Wang Woe defeated the king of the Golden Islands in battle , the king hired a sorcerer to sneak into the palace and transform the Emperor into a crocus , which later sprouted into a bean pole , preceding a prophecy that the first being to touch the bean pole would become possessed by the spirit of the Emperor . As it turned out , the first thing to touch the pole was the straw - stuffed human , which would become the Scarecrow . This account is not consistent with the Scarecrow 's story in The Wonderful Wizard of Oz of becoming aware of each sense as the relevant organs were painted on his head .   Film portrayals ( edit )   Early films ( edit )   The Scarecrow has appeared in nearly every early Oz film , portrayed by different actors each time .    The Fairylogue and Radio - Plays ( 1908 ) : Frank Burns   The Wonderful Wizard of Oz ( 1910 ) : Robert Z . Leonard   The Patchwork Girl of Oz ( 1914 ) : Herbert Glennon   His Majesty , the Scarecrow of Oz ( 1914 ) : Frank Moore   Wizard of Oz ( 1925 ) : Larry Semon ( just a man in disguise )   The Land of Oz ( 1932 ) : Donald Henderson    The Wizard of Oz ( edit )  Ray Bolger , as the Scarecrow , `` The Wizard of Oz '' 1939 .  In the 1939 film The Wizard of Oz , the Scarecrow was played by Ray Bolger in what is arguably the actor 's most famous role . He was originally cast as the Tin Woodsman , but Bolger had always wanted to play the Scarecrow , so he was upset about it since he wanted to switch roles with Buddy Ebsen , who was originally going to play the Scarecrow . Ebsen did n't mind the swap , so Bolger and Ebsen swapped roles . While Ray was pleased with his role as the Scarecrow , the aluminum dust from Ebsen 's Tin Man make - up nearly choked him to the edge of death ( causing Ebsen to have to give up that role ) . Ebsen was replaced by Jack Haley for his role of the Tin Man . Bolger 's costume consisted of a straw - stuffed suit and a light face mask of rubber designed to simulate burlap . The mask was fragile , and usually had to be completely replaced at the start of each new day of filming . Bolger 's Scarecrow costume , minus the mask , is part of the collections of the National Museum of American History at the Smithsonian Institution . Bolger was a talented dancer , so The Scarecrow was given an extended dance sequence in the movie . However , to shorten the movie , much of this sequence was edited out since it would slow down the film . While Bolger admitted in a 1939 radio broadcast that he was too young to have seen Fred Stone play the Scarecrow in the 1902 musical extravaganza , he told Stone on the broadcast that the first play he was allowed to see was The Red Mill featuring Stone , and that his performance in that play was an inspiration .   During the scene where the Wizard gives him his brains , the Scarecrow makes a mistake in his first educated pronouncement . He recites the Pythagorean theorem stating that it applies to an isosceles triangle , which is incorrect , as it applies to a right triangle ; he also refers to square roots , not to squares . This probably reflects ignorance by the scriptwriters , not the Scarecrow .   Bolger also portrayed the Scarecrow 's Kansas counterpart , Hunk ( one of Aunt Em and Uncle Henry 's farmworkers ) , newly created for the film by screenwriter Noel Langley . A scene which was written in the script , but dropped before filming commenced , ended the movie by sending Hunk off to agricultural college , with Dorothy promising to write . The scene implied the potential for a romance between the two characters .   He helps Zeke ( Cowardly Lion 's alter ego ) and Hickory ( Tin Man 's alter ego ) repair a wagon . Unlike Zeke , Hickory and Hunk lose their hats with Uncle Henry as they struggle to open the cellar when the tornado approaches their farm . He closes and locks the cellar with Zeke when Dorothy arrives at the farmhouse . Hunk reunites with Dorothy when she awakens from being unconscious . He is seen with Aunt Em , Uncle Henry , Zeke , Hickory , and Professor Marvel ( The Wizard 's alter ego ) .   The Oz Kids ( edit )   In 1996 , they made a cartoon animated The Oz Kids . He has a son named Scarecrow , Jr . His son is smart and knows everything just like him . Scarecrow , Sr. is voiced by Andy Milder .   Oz the Great and Powerful ( edit )   In the 2013 film Oz the Great and Powerful , the Scarecrow 's origins are explained ; being fabricated by the townspeople of Oz as a diversionary tactic during the retaliatory attack on the Emerald City .   Other adaptations ( edit )   In the 1925 film , Wizard of Oz , the Scarecrow and the Tin Man were actually human farmhands , who were blown to Oz by the tornado along with Dorothy . Dorothy , in another major departure from the novel , turns out to be the rightful ruler of Oz , having been exiled to Kansas as a baby .   Hinton Battle originated the role of the Scarecrow in the 1975 Broadway musical The Wiz , and Michael Jackson played the Scarecrow in the 1978 film adaptation . This version of the Scarecrow was a more tragic character before Dorothy rescues him ; while hung on his pole , the crows he is unable to scare , who force him to humiliate himself and entertain them , torment him day and night . They force him to sing the song , `` You Ca n't Win '' , meaning that he can not escape the crows ' rule and his bad luck . While Stan Winston created Jackson 's makeup , it was applied to Jackson 's face by Michael R. Thomas who portrayed the Scarecrow in Barry Mahon 's The Wonderful Land of Oz ( 1969 ) , as well as doing the makeup for that film . Elijah Kelley portrayed the Scarecrow in the TV special The Wiz Live ! , as well as the farmhand Sticks .   In the animated film Journey Back to Oz ( produced in 1964 but not released until the 1970s ) , the Scarecrow was voiced by Mickey Rooney .   In an episode of The World 's Greatest Super Friends , Aquaman temporarily became the Scarecrow after a tornado took him , Superman and Wonder Woman to Mister Mxyzptlk 's planet of Oz .   In a 1981 episode of Scooby - Doo and Scrappy - Doo , Shaggy is dressed as the Scarecrow after a tornado took him , Scooby , and Scrappy to `` Ahz '' , a direct spoof of Oz with a different spelling by its enunciation .   Justin Case , an English bicycle acrobat , appeared briefly as the Scarecrow in the 1985 film Return to Oz .   American voice actor Michael Gough voices the Scarecrow in 2011 's direct - to - DVD animated film Tom and Jerry and the Wizard of Oz .   The Scarecrow appeared in Legends of Oz : Dorothy 's Return ( which is based on Dorothy of Oz ) voiced by Dan Aykroyd .   The Scarecrow appeared in the Once Upon a Time episode `` Our Decay '' voiced by Paul Scheer . Many years ago , Zelena the Wicked Witch of the West targeted him for his brain as part of her attempt to create a time - travel spell . Before she can remove Scarecrow 's brain , Dorothy and Toto arrived where they managed to get away from Zelena . With help from Hades who enchanted a bicycle that was found at the remains of Dorothy 's house , Zelena was able to locate where Dorothy and Scarecrow are hiding . After magically freezing Dorothy , Zelena successfully removed Scarecrow 's brain and was about to show it to Hades only to find that he is not there .   Modern works ( edit )    The Scarecrow is also a minor character in author Gregory Maguire 's revisionist novel Wicked : The Life and Times of the Wicked Witch of the West and is made a more prominent character in its Broadway musical adaptation Wicked . In the musical , the Scarecrow is revealed to be the remnants of Fiyero after he was captured by the Wizard 's officials , but made impervious to injury by Elphaba 's incomplete spell . The Fiyero - Scarecrow executes a plan to save Elphaba through using the rumor that water will melt her ; thus she stays alive and the two move out of Oz . This has no basis in the book other than that in the final scenes Elphaba hopes that the Scarecrow is really her beloved Fiyero in disguise , which is proven to be a false hope when he is attacked and she sees that he is nothing but straw . The Scarecrow is featured more prominently in Son of a Witch , Maguire 's sequel to Wicked . In that novel , the Scarecrow helps the Witch 's son Liir avoid political turmoil in the Emerald City after the Wizard 's departure . Later , various powerful interests place a different Scarecrow on the throne of Oz to serve as a puppet ruler ; the suggestion is that most residents of Oz are unable to distinguish one Scarecrow from another . In the musical , the Fiyero - Scarecrow 's appearance and style of walking are based on Bolger 's portrayal of the Scarecrow in the 1939 film .   In the Dorothy Must Die series by Danielle Paige , the Scarecrow and Dorothy 's other companions have been corrupted by their gifts and Dorothy 's use of magic . The Scarecrow has become a twisted ' mad scientist ' , performing various experiments on the animals to turn them into spies or warriors for Dorothy 's army , as well as extracting their brains to increase his own . He is ' killed ' in the second novel in the series , The Wicked Will Rise , when the Wizard takes his brains as part of a plan to bring Oz and Kansas together .   Jackson Browne performed this character in the 1995 television special The Wizard of Oz in Concert : Dreams Come True . The Kansas farmworker Hunk does not appear in this production . Browne sang a folk music tempo of If I Only Had a Brain and the bridge verses sung by the Scarecrow in Nathan Lane 's longer version of If I Only Had the Nerve .   In the 2005 ABC television movie The Muppets ' Wizard of Oz , Kermit the Frog plays the role of the Scarecrow . Kermit 's other role was himself . Prior to Dorothy 's journey , he organizes a talent scout for a star for a new show . After Dorothy 's return , he hires her .   In the VeggieTales episode The Wonderful Wizard of Ha 's , the Scarecrow and his Kansas counterpart from the 1939 film were played by Mr. Lunt the Gourd .   In the 2007 Sci Fi television miniseries Tin Man , the Scarecrow is re-imagined as the character named `` Glitch '' ( played by Alan Cumming ) . Formerly a chief adviser to the queen of the Outer Zone ( O.Z. ) named Ambrose , he resists her usurper ( and daughter ) , the evil sorceress Azkadellia and has his brain removed by the physician as a reeducation measure . In the series , he wanders the O.Z. searching for his brain and becomes a companion of the protagonist , a girl named DG .   The Scarecrow appears in Dorothy and the Witches of Oz played by Ari Zigaris . He appears on Earth in the form of a man named Allen Denslow who works as the illustrator of Dorothy Gale 's books .   A commercial for GE smart - grid technology , which first aired during the Super Bowl XLIII , featured a computerized Scarecrow dancing clumsily on a radio tower singing `` If I Only Had a Brain '' .   A character inspired by the Scarecrow appears in Alan Moore 's Lost Girls . In the work , a young farmboy becomes Dorothy Gale 's first sex partner . However , she soon grows bored of him because of his lack of intelligence and imagination , comparing it to having sex with something you use to scare the crows . The `` scarecrow '' tries to prove to Dorothy that he does have a brain and writes her a poem .   The Scarecrow ( along with his other friends from OZ ) are playable in the Nintendo 3DS game Code Name : S.T.E.A.M.   In Emerald City , a more modern retelling of the series , the Scarecrow equivalent in the series is `` Lucas '' ( portrayed by Oliver Jackson - Cohen ) and is an amnesic man who is rescued by Dorothy when she finds him being crucified at the start of her journey . In the course of the film it is revealed that he is actually Rowan , the husband of Glinda , with his amnesia the result of a spell Glinda casts so that he could n't betray her secrets if he was captured , but the restoration of his memory puts him and Dorothy at odds , as his devotion to Glinda leaves him incapable of recognizing Dorothy 's real objections to Glinda 's extreme methods to train younger witches . Psychologically torn between his memories as Rowan and his new relationships as Lucas , he eventually forces Dorothy to stab him to stop himself strangling her , culminating in Dorothy leaving him strung up like a scarecrow to symbolically reflect his desire to have never met her . Despite this , he appears in Kansas in the season finale , accompanied by Toto , to ask Dorothy to return with him to Oz .    References ( edit )    Jump up ^ L. Frank Baum , Michael Patrick Hearn , The Annotated Wizard of Oz , p 141 , ISBN 0 - 517 - 50086 - 8   Jump up ^ Robin Bernstein , Racial Innocence : Performing American Childhood from Slavery to Civil Rights , ( New York : New York University Press , 2011 ) , 159 - 168 .   Jump up ^ `` Scarecrow from `` The Wizard of Oz '' `` . National Museum of American History . Retrieved 2008 - 05 - 22 .   Jump up ^ `` Treasures of American History : The Wizard of Oz '' . National Museum of American History . Retrieved 2011 - 06 - 29 .   Jump up ^ http://www.witness.co.za/index.php?showcontent&amp;global%5B_id%5D=73897   Jump up ^ Allport , Lee ( 8 March 2013 ) . `` Oz the Great and Powerful : A Prequel at Its Best '' . Retrieved 10 March 2013 . There are other interesting `` that explains it '' moments as well . We get up close and personal with The Cowardly Lion and find out what spooked him into being afraid of his own shadow . We get to know the Tin Man 's father and the creators of the Scarecrow and learn more about Munchkinland .     Culver , Stuart ( 1988 ) . `` What Manikins Want : The Wonderful Wizard of Oz and The Art of Decorating Dry Goods Windows and Interiors '' . Representations. 21 : 97 -- 116 . doi : 10.1525 / rep. 1988.21. 1.99 p02045 .   Dighe , Ranjit S. , ed. ( 2002 ) . The historian 's Wizard of Oz : reading L. Frank Baum 's classic as a political and Monetary Allegory . ISBN 0 - 275 - 97418 - 9 .   Green , David L. and Dick Martin . ( 1977 ) The Oz Scrapbook . Random House .   Hearn , Michael Patrick , ed. ( 2000 ) . The Annotated Wizard of Oz . W.W. Norton &amp; Company . ISBN 0 - 393 - 04992 - 2 .   Riley , Michael O. ( 1997 ) . Oz and Beyond : The Fantasy World of L. Frank Baum . University of Kansas Press . ISBN 0 - 7006 - 0832 - X .   Ritter , Gretchen ( August 1997 ) . `` Silver slippers and a golden cap : L. Frank Baum 's The Wonderful Wizard of Oz and historical memory in American politics '' . Journal of American Studies . 31 ( 2 ) : 171 -- 203 . doi : 10.1017 / s0021875897005628 . JSTOR 27556260 .   Rockoff , Hugh ( August 1990 ) . `` The ' Wizard of Oz ' as a Monetary Allegory '' . Journal of Political Economy. 98 ( 4 ) . doi : 10.1086 / 261704 . JSTOR 2937766 .   Sunshine , Linda . All Things Oz ( 2003 )   Swartz , Mark Evan ( 2000 ) . Oz Before the Rainbow : L. Frank Baum 's `` The Wonderful Wizard of Oz '' on Stage and Screen to 1939 . The Johns Hopkins University Press . ISBN 0 - 8018 - 6477 - 1 .   Velde , Francois R. `` Following the Yellow Brick Road : How the United States Adopted the Gold Standard '' Economic Perspectives . Volume : 26 . Issue : 2 . 2002 . also online here   Ziaukas , Tim . `` 100 Years of Oz : Baum 's ' Wizard of Oz ' as Gilded Age Public Relations '' in Public Relations Quarterly , Fall 1998        Wikimedia Commons has media related to Scarecrow ( Oz ) .       Preceded by The Wizard of Oz   Monarch of Oz   Succeeded by Jinjur               The Wonderful Wizard of Oz     Canonical books      L. Frank Baum     The Wonderful Wizard of Oz ( 1900 )   The Marvelous Land of Oz ( 1904 )   Ozma of Oz ( 1907 )   Dorothy and the Wizard in Oz ( 1908 )   The Road to Oz ( 1909 )   The Emerald City of Oz ( 1910 )   The Patchwork Girl of Oz ( 1913 )   Tik - Tok of Oz ( 1914 )   The Scarecrow of Oz ( 1915 )   Rinkitink in Oz ( 1916 )   The Lost Princess of Oz ( 1917 )   The Tin Woodman of Oz ( 1918 )   The Magic of Oz ( 1919 )   Glinda of Oz ( 1920 )       Ruth Plumly Thompson     The Royal Book of Oz ( 1921 )   Kabumpo in Oz ( 1922 )   The Cowardly Lion of Oz ( 1923 )   Grampa in Oz ( 1924 )   The Lost King of Oz ( 1925 )   The Hungry Tiger of Oz ( 1926 )   The Gnome King of Oz ( 1927 )   The Giant Horse of Oz ( 1928 )   Jack Pumpkinhead of Oz ( 1929 )   The Yellow Knight of Oz ( 1930 )   Pirates in Oz ( 1931 )   The Purple Prince of Oz ( 1932 )   Ojo in Oz ( 1933 )   Speedy in Oz ( 1934 )   The Wishing Horse of Oz ( 1935 )   Captain Salt in Oz ( 1936 )   Handy Mandy in Oz ( 1937 )   The Silver Princess in Oz ( 1938 )   Ozoplaning with the Wizard of Oz ( 1939 )       Others     The Wonder City of Oz ( 1940 )   The Scalawagons of Oz ( 1941 )   Lucky Bucky in Oz ( 1942 )   The Magical Mimics in Oz ( 1946 )   The Shaggy Man of Oz ( 1949 )   The Hidden Valley of Oz ( 1951 )   Merry Go Round in Oz ( 1963 )   Yankee in Oz ( 1972 )   The Enchanted Island of Oz ( 1976 )   The Forbidden Fountain of Oz ( 1980 )   The Ozmapolitan of Oz ( 1986 )   The Wicked Witch of Oz ( 1993 )   The Giant Garden of Oz ( 1993 )   The Runaway in Oz ( 1995 )   The Rundelstone of Oz ( 2000 )   The Emerald Wand of Oz ( 2005 )   Trouble Under Oz ( 2006 )       Alternate     Dorothy of Oz ( 1989 )   Lion of Oz and the Badge of Courage ( 1995 )          Locations and elements     Land of Oz   Emerald City   Munchkin Country   Gillikin Country   Winkie Country   Quadling Country   Yellow brick road   Oogaboo     Deadly Desert   Nonestica   Forest of Burzee   Land of Ev   Merryland   Mo   Ix   Nome Kingdom   Noland     Ruby slippers   Silver Shoes   The Oz Film Manufacturing Company       Characters     Dorothy Gale   Toto   Princess Ozma   The Wizard of Oz   Scarecrow   Tin Woodman   Cowardly Lion   Jack Pumpkinhead   Tik - Tok   Sawhorse   Hungry Tiger   Good Witch of the North   Glinda , the Good Witch of the South   Wicked Witch of the West   Wicked Witch of the East   Aunt Em   Uncle Henry   Betsy Bobbin   Billina   Boq   Button - Bright   Cap'n Bill   Eureka   Glass Cat   Jellia Jamb   Jinjur   Jinnicky the Red Jinn   John Dough   Kabumpo   Mombi   Munchkins   Nine Tiny Piglets   Nome King   Ojo the Lucky   Pastoria   Patchwork Girl   Peter Brown   Pigasus   Polychrome   Queen Lurline   Shaggy Man   Soldier with the Green Whiskers   Trot   Winged monkeys   Woggle - Bug       Other writers      Authors     John R. Neill   Jack Snow   Rachel Cosgrove Payes   Eloise Jarvis McGraw   Dick Martin   Alexander Volkov   Gregory Maguire   Sherwood Smith   Roger S. Baum       Illustrators     William Wallace Denslow   Frank Kramer   Dirk Gringhuis   Dick Martin   Eric Shanower   William Stout             Adaptations and other derivative works     Films     The Fairylogue and Radio - Plays ( 1908 )   The Wonderful Wizard of Oz ( 1910 )   Dorothy and the Scarecrow in Oz ( 1910 )   The Land of Oz ( 1910 )   John Dough and the Cherub ( 1910 )   The Patchwork Girl of Oz ( 1914 )   The Magic Cloak of Oz ( 1914 )   His Majesty , the Scarecrow of Oz ( 1914 )   The Wizard of Oz ( 1925 )   The Wizard of Oz ( 1933 )   The Wizard of Oz ( 1939 )   Return to Oz ( 1964 )   The Wonderful Land of Oz ( 1969 )   Ayşecik ve Sihirli Cüceler Rüyalar Ülkesinde ( 1971 )   Journey Back to Oz ( 1974 )   The Wonderful Wizard of Oz ( 1975 )   The Wiz ( 1978 )   The Wizard of Oz ( 1982 )   Return to Oz ( 1985 )   Dorothy Meets Ozma of Oz ( 1987 )   The Dreamer of Oz : The L. Frank Baum Story ( 1990 )   Lion of Oz ( 2000 )   The Muppets ' Wizard of Oz ( 2005 )   Tom and Jerry and the Wizard of Oz ( 2011 )   Dorothy and the Witches of Oz ( 2011 )   After the Wizard ( 2011 )   Oz the Great and Powerful ( 2013 )   Legends of Oz : Dorothy 's Return ( 2014 )   Ozland ( 2014 )   Guardians of Oz ( 2015 )   Tom and Jerry : Back to Oz ( 2016 )       Stage     The Wizard of Oz ( 1902 )   The Woggle - Bug ( 1905 )   The Tik - Tok Man of Oz ( 1913 )   The Wizard of Oz ( 1942 )   The Wiz ( 1974 )   The Marvelous Land of Oz ( 1981 )   The Wizard of Oz ( 1987 )   The Wonderful Wizard of Oz ( 2000 )   The Wizard of Oz ( 2011 )   The Woodsman ( 2012 )       Television     Tales of the Wizard of Oz ( 1961 )   Off to See the Wizard ( 1967 )   The Wonderful Wizard of Oz ( 1986 )   The Wizard of Oz ( 1990 )   The Oz Kids ( 1996 )   Lost in Oz ( 2002 )   Once Upon a Time ( since 2011 )   The Wiz Live ! ( 2015 )   Lost In Oz ( 2015 )   Emerald City ( 2017 )   Dorothy and the Wizard of Oz ( 2017 )       Comics     Queer Visitors from the Marvelous Land of Oz ( 1904 -- 05 )   Adventures in Oz ( 1986 -- 92 )   The Enchanted Apples of Oz ( 1986 )   Oz Squad ( 1991 )   Lost Girls ( 1991 -- 92 )   Oz ( 1994 )   Dorothy of Oz ( 2006 )   The Wonderful Wizard of Oz ( 2009 )       Video games     The Wizard of Oz ( 1993 )   The Wizard of Oz : Beyond the Yellow Brick Road ( 2008 )   Emerald City Confidential ( 2009 )       Parodies     The Wozard of Iz   Os Trapalhões eo Mágico de Oróz   The Wonderful Wizard of Ha 's   Wizard of Odd       Reimagining     The Wizard of Mars ( 1965 )   Hunter ( 1973 )   Zardoz ( 1974 )   Oz ( 1976 )   The Number of the Beast ( 1980 )   A Barnstormer in Oz ( 1982 )   The Wizard of A.I.D.S. ( 1987 )   The Wonderful Galaxy of Oz ( 1990 )   Twister ( 1994 )   The Dark Tower IV : Wizard and Glass ( 1997 )   Tin Man ( 2007 )   Dorothy Must Die ( 2014 )   The Wicked Will Rise ( 2015 )       The Wicked Years     Wicked   Son of a Witch   A Lion Among Men   Out of Oz   Wicked ( musical )   Characters       Others     Rainbow Road to Oz   MÄR   The Wizard of Oz ( pinball )   The Wizard of Oz ( arcade game )   Ozma ( album )       Related     The International Wizard of Oz Club   The Baum Bugle                Portal      Retrieved from `` https://en.wikipedia.org/w/index.php?title=Scarecrow_(Oz)&amp;oldid=841241847 '' Categories :   Oz ( franchise ) characters   Fictional scarecrows   Fictional characters introduced in 1900   Male characters in film   Male characters in literature   Male characters in television   Once Upon a Time ( TV series ) characters   Hidden categories :   Pages using deprecated image syntax   All articles with unsourced statements   Articles with unsourced statements from December 2012           Talk                                           Contents                   About Wikipedia                                                 Italiano   Port</t>
  </si>
  <si>
    <t xml:space="preserve">when does scarecrow appear in wizard of oz</t>
  </si>
  <si>
    <t xml:space="preserve"> In Baum 's classic 1900 novel The Wonderful Wizard of Oz , the living scarecrow encounters Dorothy Gale in a field in the Munchkin Country while she is on her way to the Emerald City . He tells her about his creation and of how he at first scared away the crows , before an older one realised he was a straw man , causing the other crows to start eating the corn . The old crow then told the Scarecrow of the importance of brains . The `` mindless '' Scarecrow joins Dorothy in the hope that The Wizard will give him a brain . They are later joined by the Tin Woodman and the Cowardly Lion . When the group goes to the West , he kills the Witch 's crows by twisting their necks . He is taken apart by the Flying Monkeys and his clothes thrown up a tree , but when his clothes are filled with straw he is back again . After Dorothy and her friends have completed their mission to kill the Wicked Witch of the West , the Wizard gives the Scarecrow brains ( made out of bran , pins and needles -- in reality a placebo , as he has been the most intelligent of the travelers all along ) . Before he leaves Oz in a balloon , the Wizard appoints the Scarecrow to rule the Emerald City in his stead . He accompanies Dorothy and the others to the palace of the Good Witch of the South Glinda , and she uses the Golden Cap to summon the Winged Monkeys , who take the Scarecrow back to the Emerald City . </t>
  </si>
  <si>
    <r>
      <rPr>
        <sz val="11"/>
        <color rgb="FF000000"/>
        <rFont val="Calibri"/>
        <family val="0"/>
        <charset val="1"/>
      </rPr>
      <t xml:space="preserve">Jaren Jackson - wikipedia  Jaren Jackson  For his son , who is also a basketball player , see Jaren Jackson Jr .  Jaren Jackson         ( 1967 - 10 - 27 ) October 27 , 1967 ( age 50 ) New Orleans , Louisiana     Nationality   American     Listed height   6 ft 4 in ( 1.93 m )     Listed weight   190 lb ( 86 kg )     Career information     High school   Walter Cohen ( New Orleans , Louisiana )     College   Georgetown ( 1985 -- 1989 )     NBA draft   1989 / Undrafted     Playing career   1989 -- 2002     Position   Shooting guard     Number   14 , 11 , 8 , 21 , 12 , 32 , 2     Coaching career   2007 -- 2015     Career history     As player :     1989 -- 1990   New Jersey Nets     1990 -- 1991   Wichita Falls Texans     1991 -- 1992   La Crosse Catbirds     1992   Golden State Warriors     1992   La Crosse Catbirds     1992 -- 1993   Los Angeles Clippers       La Crosse Catbirds     1993 -- 1994   Portland Trail Blazers     1994 -- 1995   Philadelphia 76ers     1995   Pittsburgh Piranhas     1995 -- 1996   ASVEL Lyon - Villeurbanne       Houston Rockets       Fort Wayne Fury     1997   Washington Bullets     1997 -- 2001   San Antonio Spurs     2002   Orlando Magic     As coach :     2007 -- 2009   Fort Wayne Mad Ants ( assistant )     2011 -- 2012   Saint John Mill Rats     2013 -- 2014   Ottawa SkyHawks     2014 -- 2015   Fort Wayne Mad Ants ( assistant )         Career highlights and awards       NBA champion ( 1999 )           Career NBA statistics     Points   2,370     Rebounds   786     Assists   500         Stats at Basketball-Reference.com         Jaren Jackson Sr. ( born October 27 , 1967 ) is an American professional basketball coach and former professional basketball player . A 6'4 '' ( 1.93 m ) shooting guard born in New Orleans , Louisiana , Jackson played at Georgetown University from 1985 to 1989 and graduated with a bachelor 's degree in finance . He was never drafted into the NBA but played 13 seasons for multiple teams . He is best known for his tenure with the San Antonio Spurs , who he helped win their first NBA championship in 1999 .   Contents    1 NBA career   1.1 Traveling swingman ( 1989 -- 1997 )   1.2 San Antonio Spurs ( 1997 -- 2001 )   1.3 Retirement     2 Coaching career   3 Personal   4 References   5 External links    NBA career ( edit )   Traveling swingman ( 1989 -- 1997 ) ( edit )   Upon graduating , Jackson was not drafted , but was first signed as a free agent by the New Jersey Nets in 1989 . That year he played in only 28 games , and the following season would play in the Continental Basketball Association and the World Basketball League . He had a very short stint with the Golden State Warriors before signing with the Los Angeles Clippers for whom he played just 34 games in the 1992 -- 93 season . The following year , he was signed and played just 29 games for the Portland Trail Blazers , but he was waived by Portland and picked up by the Philadelphia 76ers , where he started his first NBA game on December 17 , 1994 . Jackson would again be waived and would n't return to action until the following year for another very short stint with the Houston Rockets before being signed by the Washington Bullets prior to the 1996 -- 97 season .   It was with the Bullets that Jackson played his longest NBA season , as he played in 75 games for the season as backup to Calbert Cheaney , with an average of 5 points a game and a career high 53 three - point field goals .   San Antonio Spurs ( 1997 -- 2001 ) ( edit )   In the offseason , following a playoff loss to the eventual champion Chicago Bulls , Jackson signed with the San Antonio Spurs , who had suffered a lottery season the previous year but featured superstar David Robinson and the first pick in the 1997 draft , Tim Duncan . The 1997 -- 98 season would prove to be a personal best for Jackson , as he started in 45 of 82 games and averaged a career high 8.8 points a game and a new career high of 112 three pointers for the year . Jackson also saw his most significant playoff action , as the Spurs won in the first round of the playoffs before losing in the conference semifinals . Jackson started in 8 of 9 playoff games and increased his scoring average to 10.2 points for the postseason .   The following year would be shortened to 50 games as a result of a league lockout , but the Spurs would continue to use Jackson as its main back up shooting guard behind veteran Mario Elie. Jackson would play in 47 games , starting in 13 and averaged 6.4 points a game . The Spurs would win the number one seed in the playoffs led by Robinson and Duncan , and open the playoffs with a 3 - 1 first round win over the Minnesota Timberwolves , before dominating and sweeping the Los Angeles Lakers in 4 games of the conference semifinals . Against the Lakers Jackson played well , scoring 22 points in game 3 followed by 20 points in game 4 to close the series in which he hit 6 three - point shots . The Spurs would next faced Portland in the conference finals , but were once again dominant , with teammate Sean Elliott hitting a crucial three - point shot to win game 2 and Jackson scoring 19 points in game 3 . The Spurs completed another sweep , and would face the New York Knicks in the NBA Finals. Jackson scored 17 points in his first Finals game , and the Spurs would win both games in San Antonio before heading to New York . Despite a win by the Knicks at home in game 3 , the Spurs proved simply too dominating , and would win the next two games in Madison Square Garden to win the series and the NBA Championship . Jackson scored 11 points in the title clinching 5th game , and averaged 8.2 points throughout the title run .   Jackson would once again serve as the main backup at shooting guard for the defending champion Spurs the following season , playing in 81 games and starting in 12 . The Spurs would end up losing in the first round of the playoffs to the Phoenix Suns mostly due to a season - ending injury to Duncan , and Jackson only played two games in the series . In the 2000 -- 01 season , the Spurs won the best record in the league before losing in the conference finals , but Jackson only played in 16 games for the season and did not play in the postseason as the team had brought in younger guards such as Derek Anderson .   Retirement ( edit )   Jackson was signed to play for the Orlando Magic for the latter portion of the 2001 -- 02 season , and played in 9 regular season games and 3 playoff games before retiring .   Coaching career ( edit )   Since retiring as a player , Jackson has held several basketball coaching positions at both the college and minor league level . He has been the head coach of the Saint John Millrats of the National Basketball League of Canada .   Jackson was named the head coach of the National Basketball League of Canada 's Ottawa SkyHawks on November 25 , 2013 .   Personal ( edit )   Jackson married fellow Hoya Terri Carmichael Jackson , the director of operations at the Women 's National Basketball Players Association . They are the parents of Jaren Jackson Jr. , who played college basketball for Michigan State before moving to the Memphis Grizzlies of the NBA .   References ( edit )    Jump up ^ `` Ottawa SkyHawks Announce New Head Coach '' . OttawaSkyHawks.com . November 25 , 2013 . Archived from the original on December 2 , 2013 .   Jump up ^ `` Strictly Business - By Jaren Jackson Jr '' . The Players ' Tribune . Retrieved 29 January 2018 .   Jump up ^ `` Jaren Jackson Jr . Bio : : Michigan State : : Official Athletic Site '' . Retrieved 29 January 2018 .    External links ( edit )    Career statistics              Saint John Mill Rats / Riptide head coaches       Jaren Jackson ( 2011 -- 2012 )   David Cooper ( 2012 -- 2013 )   Rob Spon ( 2013 -- 2014 )   Julian King ( 2014 -- 2015 )   Rob Spon ( 2015 -- )    Pound sign ( # ) denotes interim head coach .                San Antonio Spurs 1998 -- 99 NBA champions       2 Jackson   4 Kerr   6 Johnson   10 Gaze   11 Williams   17 Elie   21 Duncan ( Finals MVP )   25 Kersey   31 Rose   32 Elliott   33 Daniels   41 Perdue   50 Robinson   54 King         Head coach Popovich         Assistant coaches Budenholzer   Egan   Pressey         Regular season   Playoffs      Retrieved from `` https://en.wikipedia.org/w/index.php?title=Jaren_Jackson&amp;oldid=850100927 '' Categories :   1967 births   Living people   African - American basketball coaches   African - American basketball players   American basketball coaches   American expatriate basketball people in France   American men 's basketball players   ASVEL Basket players   Basketball players from Louisiana   Continental Basketball Association coaches   Fort Wayne Fury players   Fort Wayne Mad Ants coaches   Georgetown Hoyas men 's basketball coaches   Georgetown Hoyas men 's basketball players   Golden State Warriors players   Houston Rockets players   La Crosse Catbirds players   Los Angeles Clippers players   New Jersey Nets players   Orlando Magic players   Philadelphia 76ers players   Portland Trail Blazers players   San Antonio Spurs players   Sportspeople from New Orleans   Undrafted National Basketball Association players   Washington Bullets players   Wichita Falls Texans players   Hidden categories :   Articles which use infobox templates with no data rows           Talk                                           Contents                   About Wikipedia                                             Español   Français   Italiano   </t>
    </r>
    <r>
      <rPr>
        <sz val="11"/>
        <color rgb="FF000000"/>
        <rFont val="Noto Sans CJK SC"/>
        <family val="2"/>
      </rPr>
      <t xml:space="preserve">日本 語   </t>
    </r>
    <r>
      <rPr>
        <sz val="11"/>
        <color rgb="FF000000"/>
        <rFont val="Calibri"/>
        <family val="0"/>
        <charset val="1"/>
      </rPr>
      <t xml:space="preserve">Polski   Português   </t>
    </r>
    <r>
      <rPr>
        <sz val="11"/>
        <color rgb="FF000000"/>
        <rFont val="Noto Sans CJK SC"/>
        <family val="2"/>
      </rPr>
      <t xml:space="preserve">中文   </t>
    </r>
    <r>
      <rPr>
        <sz val="11"/>
        <color rgb="FF000000"/>
        <rFont val="Calibri"/>
        <family val="0"/>
        <charset val="1"/>
      </rPr>
      <t xml:space="preserve">Edit links   This page was last edited on 13 July 2018 , at 16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</si>
  <si>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jaren jackson senior play college basketball</t>
  </si>
  <si>
    <t xml:space="preserve"> Jaren Jackson Sr. ( born October 27 , 1967 ) is an American professional basketball coach and former professional basketball player . A 6'4 '' ( 1.93 m ) shooting guard born in New Orleans , Louisiana , Jackson played at Georgetown University from 1985 to 1989 and graduated with a bachelor 's degree in finance . He was never drafted into the NBA but played 13 seasons for multiple teams . He is best known for his tenure with the San Antonio Spurs , who he helped win their first NBA championship in 1999 . </t>
  </si>
  <si>
    <t xml:space="preserve">History of time in the United States - wikipedia  History of time in the United States  Jump to : navigation , search 1913 Map of U.S. time zones between April 2 , 2006 , and March 11 , 2007 . The current situation is different only in that six Indiana counties have since been moved from the Central time zone to the Eastern time zone .  The history of standard time in the United States began November 18 , 1883 , when United States and Canadian railroads instituted standard time in time zones . Before then , time of day was a local matter , and most cities and towns used some form of local solar time , maintained by some well - known clock ( for example , on a church steeple or in a jeweler 's window ) . The new standard time system was not immediately embraced by all .   Use of standard time gradually increased because of its obvious practical advantages for communication and travel . Standard time in time zones was not established in U.S. law until the Standard Time Act of 1918 of March 19 , 1918 , also known as the Calder Act ( 15 USC 260 ) . The act also established daylight saving time , itself a contentious idea .   Daylight saving time was repealed in 1919 , but standard time in time zones remained in law , with the Interstate Commerce Commission ( ICC ) having the authority over time zone boundaries . Daylight time became a local matter . It was re-established nationally early in World War II , and was continuously observed until the end of the war .   After the war its use varied among states and localities . The Uniform Time Act of 1966 provided standardization in the dates of beginning and end of daylight time in the U.S. but allowed for local exemptions from its observance . The act also continued the authority of the ICC over time zone boundaries . In subsequent years , the United States Congress transferred the authority over time zones to the U.S. Department of Transportation ( DOT ) , modified ( several times ) the beginning date of daylight time , and renamed the three westernmost time zones .   Time zone boundaries have changed greatly since their original introduction and changes still occasionally occur . DOT issues press releases when these changes are made . Generally , time zone boundaries have tended to shift westward . Places on the eastern edge of a time zone can effectively move sunset an hour later ( by the clock ) by shifting to the time zone immediately to their east .   If they do so , the boundary of that zone is locally shifted to the west ; the accumulation of such changes results in the long - term westward trend . The process is not inexorable , however , since the late sunrises experienced by such places during the winter may be regarded as too undesirable . Furthermore , under the law , the principal standard for deciding on a time zone change is the `` convenience of commerce '' . Proposed time zone changes have been both approved and rejected based on this criterion , although most such proposals have been accepted .     Contents  ( hide )   1 War Time 1918 and 1942   2 Daylight Saving Time 1945 to 1966   3 DST 1966   4 DST 2007   5 Start and end dates of United States Daylight Saving Time   6 See also   7 Notes   8 References   9 External links      War time 1918 and 1942 ( edit )  `` War Time '' redirects here . This usage refers to the changes of the US War Time Act , not a general period of war .  Daylight saving time was established by the Standard Time Act of 1918 . The Act was intended to save electricity for seven months of the year , during World War I. DST was repealed in 1919 over a Presidential veto , but standard time in time zones remained in law , with the Interstate Commerce Commission ( ICC ) having the authority over time zone boundaries . Daylight time became a local matter .   During World War II , Congress enacted the War Time Act ( 56 Stat. 9 ) on January 20 , 1942 . Year - round DST was reinstated in the United States on February 9 , 1942 , again as a wartime measure to conserve energy resources . This remained in effect until after the end of the war . The Amendment to the War Time Act ( 59 Stat. 537 ) , enacted September 25 , 1945 , ended DST as of September 30 , 1945 . During this period , the official designation War Time was used for year - round DST . For example , Eastern War Time ( EWT ) would be the equivalent of Eastern Daylight Time during this period .   Daylight saving time 1945 to 1966 ( edit )   From 1945 to 1966 U.S. federal law did not address DST . States and cities were free to observe DST or not , and most places that did observe DST did so from the last Sunday in April to the last Sunday in September . In the mid-1950s many areas in the northeastern United States began extending DST to the last Sunday in October . The lack of standardization led to a patchwork where some areas observed DST while adjacent areas did not , and it was not unheard of to have to reset a clock several times during a short trip ( e.g. , bus drivers operating on West Virginia Route 2 between Moundsville , West Virginia , and Steubenville , Ohio had to reset their watches seven times over 35 miles ) .   In summer 1960 April -- October Daylight Time was nearly universal in Pennsylvania , Maryland , Delaware and states east and north of there . In Minnesota , Iowa , Missouri , Kentucky and Virginia and states north and east of there , some areas had it and some did not . Except for California and Nevada , which had April - Sept Daylight Time , 99 % of the rest of the country used Standard Time year - round . ( The Official Guide says `` State law prohibits the observance of `` Daylight Saving '' time in Kentucky but Anchorage , Louisville and Shelbyville will advance their clocks one hour from Central Standard time for the period April 24 to October 29 , inclusive. `` )   In the middle 1960s the airline and other transportation industries lobbied for uniformity of Daylight dates in the United States .   DST 1966 ( edit )   The U.S. federal Uniform Time Act became law on April 13 , 1966 and it mandated that DST begin nationwide on the last Sunday in April and end on the last Sunday in October , effective in 1967 . The act explicitly preempted all previously enacted state laws related to the beginning and ending of DST . Any state that wanted to be exempt from DST could do so by passing a state law , provided that it exempted the entire state , and Alaska , Arizona , Hawaii , Indiana , and Michigan chose to do so . However , Alaska , Indiana , and Michigan subsequently chose to observe DST . The law was amended in 1972 to permit states that straddle a time zone boundary to exempt the entire area of the state lying in one time zone . Indiana chose to exempt the portion of the state lying in the Eastern Time Zone ; however , that exemption was eliminated in 2006 and the entire state of Indiana now observes DST , leaving Arizona ( with the exception of the Navajo Indian Reservation ) and Hawaii as the only two states not to observe DST . On July 8 , 1986 , President Ronald Reagan signed the Federal Fire Prevention and Control Act of 1986 into law that contained a daylight saving rider authored by Senator Slade Gorton ( R - WA ) . The starting date of DST was amended to the first Sunday in April effective in 1987 . DST continued to end on the last Sunday in October . While the states retain the capability to exempt themselves from DST , they are forbidden by the 1966 federal law ( 15 USC 260a ( b ) ) from increasing a state 's time spent on DST , unless the United States Congress does this for the entire nation .   In response to the 1973 energy crisis , DST in the United States began earlier in both 1974 and 1975 , commencing on the first Sunday in January ( January 6 ) in the former year and the last Sunday in February ( February 23 ) in the latter . The extension of daylight saving time was not continued due to public opposition to late sunrise times during the winter months . In 1976 , the United States reverted to the schedule set in the Uniform Time Act .   DST 2007 ( edit )   Starting March 11 , 2007 , DST was extended another four to five weeks , from the second Sunday of March to the first Sunday of November . The change was introduced by Representatives Fred Upton ( R - MI ) and Edward Markey ( D - MA ) and added to the Energy Policy Act of 2005 ; the House had originally approved a motion that would have extended DST even farther from the first Sunday in March to the last Sunday in November , but Senators Jeff Bingaman ( D - NM ) and Pete Domenici ( R - NM ) agreed to scale back the proposal in conference committee due to complaints from farmers and the airline industry . Proponents claimed that the extension would save `` the equivalent of '' 10,000 barrels ( 1,600 m ) of oil per day , but this figure was based on U.S. Department of Energy information from the 1970s , the accuracy and relevance of which the DoE no longer stands by . Later studies by the U.S. Department of Energy and the California Energy Commission have predicted much smaller energy benefits . There is very little recent research on what the actual positive effects , if any , might be .   Since DST moves sunrise one hour later by the clock , late sunrise times become a problem when DST is observed either too far before the vernal equinox or too far after the autumnal equinox . Because of this , the extension was greeted with criticism by those concerned for the safety of children who would have been forced to travel to school before sunrise , especially in the month of March . In addition , the airline industry was especially concerned if DST were to be extended through to the last Sunday in November , as this is very often ( 6 out of every 7 years ) the Sunday after Thanksgiving . This is one of the busiest travel days at American airports , and could have resulted in much havoc among travelers who forgot that the clocks were changing that day .   If the original proposal to extend DST through the last Sunday in November had been adopted , the entire United States , with the exception of the states that exempted themselves , would have experienced the latest sunrises of the year during the month of November , which would have approached the extremely late sunrise times when DST went into effect on January 6 , 1974 due to the 1973 energy crisis creeping after 9 am in places like New Salem , North Dakota at the northwestern edges of time zones .   Start and end dates of United States Daylight Saving Time ( edit )   Key to colors   future date     2nd Sunday March 1st Sunday November     1st Sunday April last Sunday October     last Sunday April last Sunday October       Year   Begins ( local )   Ends ( local )   Notes     2020   Sun March 8 02 : 00   Sun November 1 02 : 00       2019   Sun March 10 02 : 00   Sun November 3 02 : 00       2018   Sun March 11 02 : 00   Sun November 4 02 : 00       2017   Sun March 12 02 : 00   Sun November 5 02 : 00       2016   Sun March 13 02 : 00   Sun November 6 02 : 00       2015   Sun March 8 02 : 00   Sun November 1 02 : 00       2014   Sun March 9 02 : 00   Sun November 2 02 : 00       2013   Sun March 10 02 : 00   Sun November 3 02 : 00       2012   Sun March 11 02 : 00   Sun November 4 02 : 00       2011   Sun March 13 02 : 00   Sun November 6 02 : 00         Sun March 14 02 : 00   Sun November 7 02 : 00       2009   Sun March 8 02 : 00   Sun November 1 02 : 00       2008   Sun March 9 02 : 00   Sun November 2 02 : 00       2007   Sun March 11 02 : 00   Sun November 4 02 : 00   Energy Policy Act of 2005     2006   Sun April 2 02 : 00   Sun October 29 02 : 00   All of Indiana now on DST     2005   Sun April 3 02 : 00   Sun October 30 02 : 00         Sun April 4 02 : 00   Sun October 31 02 : 00       2003   Sun April 6 02 : 00   Sun October 26 02 : 00       2002   Sun April 7 02 : 00   Sun October 27 02 : 00         Sun April 1 02 : 00   Sun October 28 02 : 00       2000   Sun April 2 02 : 00   Sun October 29 02 : 00       1999   Sun April 4 02 : 00   Sun October 31 02 : 00       1998   Sun April 5 02 : 00   Sun October 25 02 : 00         Sun April 6 02 : 00   Sun October 26 02 : 00         Sun April 7 02 : 00   Sun October 27 02 : 00       1995   Sun April 2 02 : 00   Sun October 29 02 : 00         Sun April 3 02 : 00   Sun October 30 02 : 00         Sun April 4 02 : 00   Sun October 31 02 : 00         Sun April 5 02 : 00   Sun October 25 02 : 00       1991   Sun April 7 02 : 00   Sun October 27 02 : 00         Sun April 1 02 : 00   Sun October 28 02 : 00         Sun April 2 02 : 00   Sun October 29 02 : 00         Sun April 3 02 : 00   Sun October 30 02 : 00         Sun April 5 02 : 00   Sun October 25 02 : 00   Federal Fire Prevention and Control Act of 1986     1986   Sun April 27 02 : 00   Sun October 26 02 : 00       1985   Sun April 28 02 : 00   Sun October 27 02 : 00       1984   Sun April 29 02 : 00   Sun October 28 02 : 00         Sun April 24 02 : 00   Sun October 30 02 : 00   Alaska time zones changed Sun October 30 02 : 00     1982   Sun April 25 02 : 00   Sun October 31 02 : 00       1981   Sun April 26 02 : 00   Sun October 25 02 : 00       1980   Sun April 27 02 : 00   Sun October 26 02 : 00       1979   Sun April 29 02 : 00   Sun October 28 02 : 00       1978   Sun April 30 02 : 00   Sun October 29 02 : 00       1977   Sun April 24 02 : 00   Sun October 30 02 : 00       1976   Sun April 25 02 : 00   Sun October 31 02 : 00         Sun February 23 02 : 00   Sun October 26 02 : 00   Emergency Daylight Time Act Michigan exempted , began DST Sun April 27 02 : 00       Sun January 6 02 : 00   Sun October 27 02 : 00   Emergency Daylight Time Act Southern Idaho and eastern Oregon ( Mountain time zone ) began DST Sun February 3 02 : 00     1973   Sun April 29 02 : 00   Sun October 28 02 : 00   All of Michigan now on DST     1972   Sun April 30 02 : 00   Sun October 29 02 : 00       1971   Sun April 25 02 : 00   Sun October 31 02 : 00   Indiana ( Eastern time zone ) opts out     1970   Sun April 26 02 : 00   Sun October 25 02 : 00       1969   Sun April 27 02 : 00   Sun October 26 02 : 00   All of Alaska and Indiana now on DST     1968   Sun April 28 02 : 00   Sun October 27 02 : 00   Arizona and Michigan opt out     1967   Sun April 30 02 : 00   Sun October 29 02 : 00   Uniform Time Act of 1966 Alaska , Hawaii , Indiana and territories opt out     1946 -- 66       Local decision , various dates     1945     Sun September 30 02 : 00   War Time ends     1944       War Time all year Arizona War Time not observed Sat January 1 02 : 00 -- Sat April 1 02 : 00 Arizona War Time ends Sat September 30 02 : 00     1943       War Time all year     1942   Mon February 9 02 : 00     War Time begins year round     1920 -- 41       Local decision , various dates     1919   Sun March 30 02 : 00   Sun October 26 02 : 00   War Time ends     1918   Sun March 31 02 : 00   Sun October 27 02 : 00   War Time begins summer only     See also ( edit )    Time in the United States   Time in Indiana   Daylight saving time in the United States - gives a list of future daylight saving dates    Notes ( edit )    Jump up ^ United States statutes at large : containing the laws and concurrent resolutions enacted during the second session of the one hundred fifth congress of the United States of America 1998 and proclamations . Government Printing Office . 1999 . p. 599 .   Jump up ^ History of Daylight Time in the U.S. , United States Naval Observatory   ^ Jump up to : A Time - Change Timeline , National Public Radio , March 8 , 2007   Jump up ^ An Act For the repeal of the daylight - saving law , Pub. L. 66 -- 40 , 41 Stat. 280 , enacted August 20 , 1919   Jump up ^ 24 / 7 : A Resource Guide to the Law of Time Standards '' Archived 2006 - 06 - 18 at the Wayback Machine. , June 3 , 2002   Jump up ^ Daylight Saving Time : Early adoption in law   Jump up ^ 15 USC 260a   Jump up ^ Energy Concerns Push Clocks Forward this Weekend by Nell Boyce . Morning Edition , National Public Radio , 9 March 2007 .   Jump up ^ Daylight Saving Time in Arizona    References ( edit )    Prerau , David . Seize the Daylight : The Curious and Contentious Story of Daylight Saving Time ( Thunder 's Mouth Press ; ISBN 1 - 56025 - 655 - 9 ) Discusses the establishment of standard time and daylight saving time .    External links ( edit )    U.S. Navy time zone page   Standard Time Zone Boundaries 49CFR71   U.S. Law 15USC260 - 267   History of Daylight Saving Time at WebExhibits   Congressional Research on Daylight Saving Time   History of DST in Arizona   A Resource Guide to the Law of Time Standards   1918 and 1942 Acts   Indiana Time Zone Article   Retrieved from `` https://en.wikipedia.org/w/index.php?title=History_of_time_in_the_United_States&amp;oldid=810691610 '' Categories :   Economic history of the United States   History of science and technology in the United States   Time in the United States   Hidden categories :   Webarchive template wayback links           Talk                                           Contents                   About Wikipedia                                           Türkçe   Edit links   This page was last edited on 16 November 2017 , at 21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</si>
  <si>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 us first start using daylight savings time</t>
  </si>
  <si>
    <t xml:space="preserve"> Daylight saving time was established by the Standard Time Act of 1918 . The Act was intended to save electricity for seven months of the year , during World War I. DST was repealed in 1919 over a Presidential veto , but standard time in time zones remained in law , with the Interstate Commerce Commission ( ICC ) having the authority over time zone boundaries . Daylight time became a local matter . </t>
  </si>
  <si>
    <t xml:space="preserve">List of National Basketball Association annual scoring Leaders - wikipedia  List of National Basketball Association annual scoring Leaders  Michael Jordan has won a record ten scoring titles in his career .  In basketball , points are accumulated through free throws or field goals . The National Basketball Association 's ( NBA ) scoring title is awarded to the player with the highest points per game average in a given season . The scoring title was originally determined by total points scored through the 1968 -- 69 season , after which points per game was used to determine the leader instead . Players who earned scoring titles before the 1979 -- 80 season did not record any three point field goals because the three - point line had just been implemented in the NBA at the start of that season . To qualify for the scoring title , the player must appear in at least 70 games ( out of 82 ) or have at least 1,400 points . These have been the entry criteria since the 1974 -- 75 season .   Wilt Chamberlain holds the all - time records for total points scored ( 4,029 ) and points per game ( 50.4 ) in a season ; both records were achieved in the 1961 -- 62 season . He also holds the rookie records for points per game when he averaged 37.6 points in the 1959 -- 60 season . Among active players , Kevin Durant has the highest point total ( 2,593 ) and the highest scoring average ( 32.0 ) in a season ; both were achieved in the 2013 -- 14 season .   Michael Jordan has won the most scoring titles , with ten . Jordan and Chamberlain are the only players to have won seven consecutive scoring titles ( this was also Chamberlain 's career total ) . George Gervin , Allen Iverson and Durant have won four scoring titles in their career , and George Mikan , Neil Johnston and Bob McAdoo have achieved it three times . Paul Arizin , Bob Pettit , Kareem Abdul - Jabbar , Shaquille O'Neal , Tracy McGrady , Kobe Bryant , and Russell Westbrook have each won the scoring title twice . Since the 1946 -- 47 season , five players have won both the scoring title and the NBA championship in the same season : Fulks in 1947 with the Philadelphia Warriors , Mikan from 1949 to 1950 with the Minneapolis Lakers , Abdul - Jabbar ( then Lew Alcindor ) in 1971 with the Milwaukee Bucks , Jordan from 1991 to 1993 and from 1996 to 1998 with the Chicago Bulls , and O'Neal in 2000 with the Los Angeles Lakers . Since the introduction of the three - point field goal , O'Neal is the only scoring leader to have made no three - pointers in his winning season .   At 21 years and 197 days , Durant is the youngest scoring leader in NBA history , averaging 30.1 points in the 2009 -- 10 season . Russell Westbrook led the league with an average of 31.6 points in the 2016 -- 17 season , when he also became the second NBA player to average a triple - double in a season . The most recent champion is James Harden .   Contents    1 Key   2 Scoring leaders   2.1 Multiple - time leaders     3 See also   4 Notes   5 References    Key ( edit )       Denotes player who is still active in the NBA     *   Inducted into the Naismith Memorial Basketball Hall of Fame       Denotes player who won the MVP award that year     Player ( X )   Denotes the number of times the player had been the scoring leader up to and including that season       Guard     Forward     Center     Scoring Leaders ( edit )  Joe Fulks won the first scoring title in 1947 . Wilt Chamberlain won seven consecutive scoring titles from 1960 to 1966 . Jerry West won the scoring title in 1970 , averaging 31.2 points per game . Kareem Abdul - Jabbar won scoring titles in 1971 and 1972 . Allen Iverson won scoring titles in 1999 , 2001 , 2002 and 2005 . Kobe Bryant won scoring titles in 2006 and 2007 . LeBron James won the scoring title in 2008 . Kevin Durant became the youngest scoring champion in 2010 . He won another three in 2011 , 2012 and 2014 . Russell Westbrook won in 2015 , following teammate Durant 's win a year earlier , and again in 2017 . Stephen Curry won the scoring title in 2016 .    Season   Player   Age   Pos   Team   Games played   Field goals made   3 - point field goals made   Free throws made   Total points   Points per game   Ref     1946 -- 47   Joe Fulks *   25   F / C   Philadelphia Warriors   60   475   --   439   1,389   23.2       1947 -- 48   Max Zaslofsky   22   G / F   Chicago Stags   48   373   --   261   1,007   21.0       1948 -- 49   George Mikan *   24     Minneapolis Lakers   60   583   --   532   1,698   28.3       1949 -- 50   George Mikan * ( 2 )   25     Minneapolis Lakers   68   649   --   567   1,865   27.4       1950 -- 51   George Mikan * ( 3 )   26     Minneapolis Lakers   68   678   --   576   1,932   28.4       1951 -- 52   Paul Arizin *   23   F / G   Philadelphia Warriors   66   548   --   578   1,674   25.4       1952 -- 53   Neil Johnston *   23     Philadelphia Warriors   70   504   --   556   1,564   22.3       1953 -- 54   Neil Johnston * ( 2 )   24     Philadelphia Warriors   72   591   --   577   1,759   24.5       1954 -- 55   Neil Johnston * ( 3 )   25     Philadelphia Warriors   72   521   --   589   1,631   22.7       1955 -- 56   Bob Pettit *   23   F / C   St. Louis Hawks   72   646   --   557   1,849   25.7       1956 -- 57   Paul Arizin * ( 2 )   28   F / G   Philadelphia Warriors   71   613   --   591   1,817   25.6       1957 -- 58   George Yardley *   29   F / G   Detroit Pistons   72   673   --   655   2,001   27.8       1958 -- 59   Bob Pettit * ( 2 )   26   F / C   St. Louis Hawks   72   719   --   667   2,105   29.2       1959 -- 60   Wilt Chamberlain *   23     Philadelphia Warriors   72   1,065   --   577   2,707   37.6       1960 -- 61   Wilt Chamberlain * ( 2 )   24     Philadelphia Warriors   79   1,251   --   531   3,033   38.4       1961 -- 62   Wilt Chamberlain * ( 3 )   25     Philadelphia Warriors   80   1,597   --   835   4,029   50.4       1962 -- 63   Wilt Chamberlain * ( 4 )   26     San Francisco Warriors   80   1,463   --   660   3,586   44.8       1963 -- 64   Wilt Chamberlain * ( 5 )   27     San Francisco Warriors   80   1,204   --   540   2,948   36.9       1964 -- 65   Wilt Chamberlain * ( 6 )   28     San Francisco Warriors Philadelphia 76ers   73   1,063   --   408   2,534   34.7       1965 -- 66   Wilt Chamberlain * ( 7 )   29     Philadelphia 76ers   79   1,074   --   501   2,649   33.5       1966 -- 67   Rick Barry *   22     San Francisco Warriors   78   1,011   --   753   2,775   35.6       1967 -- 68   Dave Bing *   24     Detroit Pistons   79   835   --   472   2,142   27.1       1968 -- 69   Elvin Hayes *   23   F / C   San Diego Rockets   82   930   --   467   2,327   28.4       1969 -- 70   Jerry West *   31     Los Angeles Lakers   74   831   --   647   2,309   31.2       1970 -- 71   Lew Alcindor *   23     Milwaukee Bucks   82   1,063   --   470   2,596   31.7       1971 -- 72   Kareem Abdul - Jabbar * ( 2 )   24     Milwaukee Bucks   81   1,159   --   504   2,822   34.8       1972 -- 73   Nate Archibald *   24     Kansas City - Omaha Kings   80   1,028   --   663   2,719   34.0       1973 -- 74   Bob McAdoo *   22   C / F   Buffalo Braves   74   901   --   459   2,261   30.6       1974 -- 75   Bob McAdoo * ( 2 )   23   C / F   Buffalo Braves   82   1,095   --   641   2,831   34.5       1975 -- 76   Bob McAdoo * ( 3 )   24   C / F   Buffalo Braves   78   934   --   559   2,427   31.1       1976 -- 77   Pete Maravich *   29     New Orleans Jazz   73   886   --   501   2,273   31.1       1977 -- 78   George Gervin *   25   G / F   San Antonio Spurs   82   864   --   504   2,232   27.2       1978 -- 79   George Gervin * ( 2 )   26   G / F   San Antonio Spurs   80   947   --   471   2,365   29.6       1979 -- 80   George Gervin * ( 3 )   27   G / F   San Antonio Spurs   78   1,024   32   505   2,585   33.1       1980 -- 81   Adrian Dantley *   24   F / G   Utah Jazz   80   909     632   2,452   30.7       1981 -- 82   George Gervin * ( 4 )   29   G / F   San Antonio Spurs   79   993   10   555   2,551   32.3       1982 -- 83   Alex English *   29     Denver Nuggets   82   959     406   2,326   28.4       1983 -- 84   Adrian Dantley * ( 2 )   27   F / G   Utah Jazz   79   802     813   2,418   30.6       1984 -- 85   Bernard King *   28     New York Knicks   55   691     426   1,809   32.9       1985 -- 86   Dominique Wilkins *   26     Atlanta Hawks   78   888   13   577   2,366   30.3       1986 -- 87   Michael Jordan *   23     Chicago Bulls   82   1,098   12   833   3,041   37.1       1987 -- 88   Michael Jordan * ( 2 )   24     Chicago Bulls   82   1,069   7   723   2,868   35.0       1988 -- 89   Michael Jordan * ( 3 )   25     Chicago Bulls   81   966   27   674   2,633   32.5       1989 -- 90   Michael Jordan * ( 4 )   26     Chicago Bulls   82   1,034   92   593   2,753   33.6       1990 -- 91   Michael Jordan * ( 5 )   27     Chicago Bulls   82   990   29   571   2,580   31.5       1991 -- 92   Michael Jordan * ( 6 )   28     Chicago Bulls   80   943   27   491   2,404   30.1       1992 -- 93   Michael Jordan * ( 7 )   29     Chicago Bulls   78   992   81   476   2,541   32.6       1993 -- 94   David Robinson *   28     San Antonio Spurs   80   840   10   693   2,383   29.8       1994 -- 95   Shaquille O'Neal *   22     Orlando Magic   79   930   0   455   2,315   29.3       1995 -- 96   Michael Jordan * ( 8 )   32     Chicago Bulls   82   916   111   548   2,491   30.4       1996 -- 97   Michael Jordan * ( 9 )   33     Chicago Bulls   82   920   111   480   2,431   29.6       1997 -- 98   Michael Jordan * ( 10 )   34     Chicago Bulls   82   881   30   565   2,357   28.7       1998 -- 99   Allen Iverson *   23     Philadelphia 76ers   48   435   58   356   1,284   26.8       1999 -- 00   Shaquille O'Neal * ( 2 )   27     Los Angeles Lakers   79   956   0   432   2,344   29.7       2000 -- 01   Allen Iverson * ( 2 )   25     Philadelphia 76ers   71   762   98   585   2,207   31.1       2001 -- 02   Allen Iverson * ( 3 )   26     Philadelphia 76ers   60   665   78   475   1,883   31.4       2002 -- 03   Tracy McGrady *   23   G / F   Orlando Magic   75   829   173   576   2,407   32.1       2003 -- 04   Tracy McGrady * ( 2 )   24   G / F   Orlando Magic   67   653   174   398   1,878   28.0       2004 -- 05   Allen Iverson * ( 4 )   29     Philadelphia 76ers   75   771   104   656   2,302   30.7       2005 -- 06   Kobe Bryant   27     Los Angeles Lakers   80   978   180   696   2,832   35.4       2006 -- 07   Kobe Bryant ( 2 )   28     Los Angeles Lakers   77   813   137   667   2,430   31.6       2007 -- 08   LeBron James ^   23     Cleveland Cavaliers   75   794   113   549   2,250   30.0       2008 -- 09   Dwyane Wade ^   27     Miami Heat   79   854   88   590   2,386   30.2       2009 -- 10   Kevin Durant ^   21     Oklahoma City Thunder   82   794   128   756   2,472   30.1       2010 -- 11   Kevin Durant ^ ( 2 )   22     Oklahoma City Thunder   78   711   145   594   2,161   27.7       2011 -- 12   Kevin Durant ^ ( 3 )   23     Oklahoma City Thunder   66   643   133   431   1,850   28.0       2012 -- 13   Carmelo Anthony ^   28     New York Knicks   67   669   157   425   1,920   28.7       2013 -- 14   Kevin Durant ^ ( 4 )   25     Oklahoma City Thunder   81   849   192   703   2,593   32.0       2014 -- 15   Russell Westbrook ^   26     Oklahoma City Thunder   67   627   86   546   1,886   28.1       2015 -- 16   Stephen Curry ^   28     Golden State Warriors   79   805   402   363   2,375   30.1       2016 -- 17   Russell Westbrook ^ ( 2 )   28     Oklahoma City Thunder   81   824   200   710   2,558   31.6       2017 -- 18   James Harden   28     Houston Rockets   72   651   265   624   2,191   30.4       Multiple - time leaders ( edit )     Ranking   Player   Team   Times leader   Years       Michael Jordan   Chicago Bulls   10   1987 , 1988 , 1989 , 1990 , 1991 , 1992 , 1993 , 1996 , 1997 , 1998       Wilt Chamberlain   Philadelphia Warriors / San Francisco Warriors ( 5 ) / Philadelphia 76ers ( 2 )   7   1960 , 1961 , 1962 , 1963 , 1964 , 1965 , 1966       Kevin Durant George Gervin Allen Iverson   Oklahoma City Thunder San Antonio Spurs Philadelphia 76ers     2010 , 2011 , 2012 , 2014 1978 , 1979 , 1980 , 1982 1999 , 2001 , 2002 , 2005     6   Neil Johnston Bob McAdoo George Mikan   Philadelphia Warriors Buffalo Braves Minneapolis Lakers     1953 , 1954 , 1955 1974 , 1975 , 1976 1949 , 1950 , 1951     9   Kareem Abdul - Jabbar Paul Arizin Kobe Bryant Adrian Dantley Tracy McGrady Shaquille O'Neal Bob Pettit Russell Westbrook   Milwaukee Bucks Philadelphia Warriors Los Angeles Lakers Utah Jazz Orlando Magic Orlando Magic ( 1 ) / Los Angeles Lakers ( 1 ) St. Louis Hawks Oklahoma City Thunder     1971 , 1972 1952 , 1957 2006 , 2007 1981 , 1984 2003 , 2004 1995 , 2000 1956 , 1959 2015 , 2017     See also ( edit )    List of National Basketball Association career scoring leaders    Notes ( edit )    Jump up ^ At the start of February 1st of that season .   Jump up ^ The player 's primary position is listed first .   Jump up ^ In the 1947 -- 48 season , Joe Fulks averaged the most points ( 22.1 ) but had only played in 43 games and totaled 949 points , the second - highest total .   Jump up ^ Wilt Chamberlain holds the all - time rookie record for points per game .   Jump up ^ Wilt Chamberlain holds the all - time record for total points scored and points per game in a single season .   Jump up ^ In the 1967 -- 68 season , Oscar Robertson averaged the most points ( 29.2 ) but had only played in 65 games and totaled 1,896 points , the sixth - highest total .   Jump up ^ Elvin Hayes is the last rookie to lead the league in scoring average .   Jump up ^ In the 1969 -- 70 season , rookie Lew Alcindor had the highest point total ( 2,361 ) but was second in scoring average ( 28.8 ) .   Jump up ^ Before the 1971 -- 72 season , Lew Alcindor changed his name to Kareem Abdul - Jabbar .   Jump up ^ In the 1977 -- 78 season , George Gervin defeated David Thompson for the scoring title in the closest scoring duel ever ( 27.21 to 27.15 ) where Thompson scored 73 on the last day of the season and Gervin answered with 63 ( Gervin also broke Thompson 's record of 32 points set earlier on the same day in the first quarter by scoring a record 33 points in the second quarter ) . Both Thompson 's and Gervin 's games were losses .   Jump up ^ In the 1984 -- 85 season , rookie Michael Jordan had the highest point total ( 2,313 ) but was third in scoring average ( 28.2 ) . Bernard King tied for the twelfth - highest point total ( 1,809 ) but had the highest scoring average ( 32.9 ) .   Jump up ^ In the 1985 -- 86 season Alex English had the highest point total ( 2,414 ) but was third in scoring average ( 29.8 ) .   Jump up ^ In the 1993 -- 94 season , David Robinson scored 71 points in the final game of the season to edge Shaquille O'Neal ( 29.3 ) for the scoring title .   Jump up ^ In the 1997 -- 98 season , Michael Jordan defeated Shaquille O'Neal for the scoring title in the third - closest race ever ( 28.7 to 28.3 ) . Jordan , at 35 years and 60 days old , is the oldest scoring leader in NBA history .   Jump up ^ The 1998 -- 99 season was shortened to 50 games due to the league 's lockout . The qualification of this season 's scoring title is to appear in at least 43 games ( out of 50 ) or to have at least 854 points .   Jump up ^ In the lockout - shortened 1998 -- 99 season , Shaquille O'Neal had the highest point total ( 1,289 ) but was second in scoring average ( 26.3 ) .   Jump up ^ In the 2000 -- 01 season , Jerry Stackhouse had the highest point total ( 2,380 ) but was second in scoring average ( 29.8 ) .   Jump up ^ In the 2001 -- 02 season , Paul Pierce had the highest point total ( 2,144 ) but was third in scoring average ( 26.1 ) .   Jump up ^ In the 2002 -- 03 season , Kobe Bryant had the highest point total ( 2,461 ) but was second in scoring average ( 30.0 ) .   Jump up ^ In the 2003 -- 04 season , Kevin Garnett had the highest point total ( 1,987 ) but was third in scoring average ( 24.2 ) .   Jump up ^ In the 2007 -- 08 season , Kobe Bryant had the highest point total ( 2,323 ) but was second in scoring average ( 28.3 ) .   Jump up ^ In the 2009 -- 10 season , Kevin Durant defeated LeBron James for the scoring title ( 30.1 to 29.7 ) . Durant , at 21 years and 197 days old , is also the youngest scoring leader in NBA history .   Jump up ^ The 2011 -- 12 season was shortened to 66 games due to the league 's lockout . The qualification of this season 's scoring title is to appear in at least 56 games ( out of 66 ) or to have at least 1127 points .   Jump up ^ In the 2011 -- 12 season , Kevin Durant defeated Kobe Bryant for the scoring title in the second - closest scoring race ever ( 28.03 to 27.86 ) . Bryant , who needed to score 38 points in the final game to win , decided to sit out .   Jump up ^ In the 2012 -- 13 season , Kevin Durant had the highest point total ( 2,280 ) but was second in scoring average ( 28.1 ) .   Jump up ^ In the 2014 -- 15 season , James Harden had the highest point total ( 2,217 ) but was second in scoring average ( 27.4 ) .   Jump up ^ In the 2015 -- 16 season , James Harden had the highest point total ( 2,376 ) but was second in scoring average ( 29.0 ) .   Jump up ^ In the 2017 -- 18 season , LeBron James had the highest point total ( 2,251 ) but was third in scoring average ( 27.5 ) .    References ( edit )    General     `` Yearly Leaders and Records for Points Per Game '' . basketball-reference.com . Retrieved February 20 , 2009 .   `` Yearly Leaders and Records for Points '' . basketball-reference.com . Retrieved February 20 , 2009 .     Specific     Jump up ^ `` Basketball glossary '' . FIBA.com . Retrieved March 6 , 2010 .   ^ Jump up to : Robbins , Liz ( January 15 , 2006 ) . `` Around the N.B.A. ; In the N.B.A. , Scoring Titles Rarely Equal Championships '' . The New York Times . Retrieved February 22 , 2009 .   Jump up ^ Brown , Clifton ( February 5 , 1990 ) . `` 3 - Pointer Adds Dimension To N.B.A '' . The New York Times . Retrieved February 21 , 2009 .   Jump up ^ Haubner , Mark ( January 2 , 2003 ) . `` The trey is the thing in today 's NBA '' . ESPN.com . Retrieved February 21 , 2009 .   ^ Jump up to : `` Rate Statistic Requirements '' . basketball-reference.com . Retrieved March 6 , 2010 .   ^ Jump up to : `` Wilt Chamberlain '' . NBA.com . Turner Sports Interactive , Inc . Retrieved March 2 , 2009 .   ^ Jump up to : `` Michael Jordan '' . NBA.com . Turner Sports Interactive , Inc . Retrieved February 25 , 2009 .   Jump up ^ Smith , Brian ( April 20 , 2005 ) . `` Iverson Wins Fourth Scoring Title '' . NBA.com . Turner Sports Interactive , Inc . Archived from the original on April 19 , 2014 . Retrieved February 25 , 2009 .   Jump up ^ Carr , Janis ( April 2 , 2000 ) . `` Jackson aware of the score with O'Neal '' . The Orange County Register . p . D11 . access - date = requires url = ( help )   ^ Jump up to : Latzke , Jeff ( April 15 , 2010 ) . `` Durant Becomes NBA 's Youngest Scoring Champ '' . ABC News Internet Ventures . Retrieved April 15 , 2010 .   Jump up ^ `` League Leaders : Points - 1946 - 47 '' . NBA.com . Turner Sports Interactive , Inc . Retrieved February 20 , 2009 .   ^ Jump up to : `` Joe Fulks Stats '' . basketball-reference.com . Retrieved February 21 , 2009 .   Jump up ^ `` 1947 - 48 BAA Season Summary '' . basketball-reference.com . Retrieved February 24 , 2009 .   Jump up ^ `` League Leaders : Points - 1947 - 48 '' . NBA.com . Turner Sports Interactive , Inc . Retrieved February 20 , 2009 .   Jump up ^ `` Max Zaslofsky Stats '' . basketball-reference.com . Retrieved February 21 , 2009 .   Jump up ^ `` League Leaders : Points - 1948 - 49 '' . NBA.com . Turner Sports Interactive , Inc . Retrieved February 20 , 2009 .   ^ Jump up to : `` George Mikan Stats '' . basketball-reference.com . Retrieved February 21 , 2009 .   Jump up ^ `` League Leaders : Points - 1949 - 50 '' . NBA.com . Turner Sports Interactive , Inc . Retrieved February 20 , 2009 .   Jump up ^ `` League Leaders : Points - 1950 - 51 '' . NBA.com . Turner Sports Interactive , Inc . Retrieved February 20 , 2009 .   Jump up ^ `` League Leaders : Points - 1951 - 52 '' . NBA.com . Turner Sports Interactive , Inc . Retrieved February 20 , 2009 .   ^ Jump up to : `` Paul Arizin Stats '' . basketball-reference.com . Retrieved February 21 , 2009 .   Jump up ^ `` League Leaders : Points - 1952 - 53 '' . NBA.com . Turner Sports Interactive , Inc . Retrieved February 20 , 2009 .   ^ Jump up to : `` Neil Johnston Stats '' . basketball-reference.com . Retrieved February 21 , 2009 .   Jump up ^ `` League Leaders : Points - 1953 - 54 '' . NBA.com . Turner Sports Interactive , Inc . Retrieved February 20 , 2009 .   Jump up ^ `` League Leaders : Points - 1954 - 55 '' . NBA.com . Turner Sports Interactive , Inc . Retrieved February 20 , 2009 .   Jump up ^ `` League Leaders : Points - 1955 - 56 '' . NBA.com . Turner Sports Interactive , Inc . Retrieved February 20 , 2009 .   ^ Jump up to : `` Bob Pettit Stats '' . basketball-reference.com . Retrieved February 21 , 2009 .   Jump up ^ `` League Leaders : Points - 1956 - 57 '' . NBA.com . Turner Sports Interactive , Inc . Retrieved February 20 , 2009 .   Jump up ^ `` League Leaders : Points - 1957 - 58 '' . NBA.com . Turner Sports Interactive , Inc . Retrieved February 20 , 2009 .   Jump up ^ `` George Yardley Stats '' . basketball-reference.com . Retrieved February 21 , 2009 .   Jump up ^ `` League Leaders : Points - 1958 - 59 '' . NBA.com . Turner Sports Interactive , Inc . Retrieved February 20 , 2009 .   Jump up ^ `` League Leaders : Points - 1959 - 60 '' . NBA.com . Turner Sports Interactive , Inc . Retrieved February 20 , 2009 .   ^ Jump up to : `` Wilt Chamberlain Stats '' . basketball-reference.com . Retrieved February 21 , 2009 .   Jump up ^ `` League Leaders : Points - 1960 - 61 '' . NBA.com . Turner Sports Interactive , Inc . Retrieved February 20 , 2009 .   Jump up ^ `` League Leaders : Points - 1961 - 62 '' . NBA.com . Turner Sports Interactive , Inc . Retrieved February 20 , 2009 .   Jump up ^ `` League Leaders : Points - 1962 - 63 '' . NBA.com . Turner Sports Interactive , Inc . Retrieved February 20 , 2009 .   Jump up ^ `` League Leaders : Points - 1963 - 64 '' . NBA.com . Turner Sports Interactive , Inc . Retrieved February 20 , 2009 .   Jump up ^ `` League Leaders : Points - 1964 - 65 '' . NBA.com . Turner Sports Interactive , Inc . Retrieved February 20 , 2009 .   Jump up ^ `` League Leaders : Points - 1965 - 66 '' . NBA.com . Turner Sports Interactive , Inc . Retrieved February 20 , 2009 .   Jump up ^ `` League Leaders : Points - 1966 - 67 '' . NBA.com . Turner Sports Interactive , Inc . Retrieved February 20 , 2009 .   Jump up ^ `` Rick Barry Stats '' . basketball-reference.com . Retrieved February 21 , 2009 .   Jump up ^ `` 1967 - 68 NBA Season Summary '' . basketball-reference.com . Retrieved February 24 , 2009 .   Jump up ^ `` Oscar Robertson '' . basketball-reference.com . Retrieved February 21 , 2009 .   Jump up ^ `` League Leaders : Points - 1967 - 68 '' . NBA.com . Turner Sports Interactive , Inc . Retrieved February 20 , 2009 .   Jump up ^ `` Dave Bing Stats '' . basketball-reference.com . Retrieved February 21 , 2009 .   Jump up ^ `` League Leaders : Points - 1968 - 69 '' . NBA.com . Turner Sports Interactive , Inc . Retrieved February 20 , 2009 .   Jump up ^ `` Elvin Hayes Stats '' . basketball-reference.com . Retrieved February 21 , 2009 .   Jump up ^ `` 1969 - 70 NBA Season Summary '' . basketball-reference.com . Retrieved February 24 , 2009 .   Jump up ^ `` League Leaders : Points - 1969 - 70 '' . NBA.com . Turner Sports Interactive , Inc . Retrieved February 20 , 2009 .   Jump up ^ `` Jerry West Stats '' . basketball-reference.com . Retrieved February 21 , 2009 .   Jump up ^ `` Kareem Abdul - Jabbar '' . NBA.com . Turner Sports Interactive , Inc . Retrieved March 8 , 2009 .   Jump up ^ `` League Leaders : Points - 1970 - 71 '' . NBA.com . Turner Sports Interactive , Inc . Retrieved February 20 , 2009 .   ^ Jump up to : `` Kareem Abdul - Jabbar Stats '' . basketball-reference.com . Retrieved February 21 , 2009 .   Jump up ^ `` League Leaders : Points - 1971 - 72 '' . NBA.com . Turner Sports Interactive , Inc . Retrieved February 20 , 2009 .   Jump up ^ `` League Leaders : Points - 1972 - 73 '' . NBA.com . Turner Sports Interactive , Inc . Retrieved February 20 , 2009 .   Jump up ^ `` Nate Archibald Stats '' . basketball-reference.com . Retrieved February 21 , 2009 .   Jump up ^ `` League Leaders : Points - 1973 - 74 '' . NBA.com . Turner Sports Interactive , Inc . Retrieved February 20 , 2009 .   ^ Jump up to : `` Bob McAdoo Stats '' . basketball-reference.com . Retrieved February 21 , 2009 .   Jump up ^ `` League Leaders : Points - 1974 - 75 '' . NBA.com . Turner Sports Interactive , Inc . Retrieved February 20 , 2009 .   Jump up ^ `` League Leaders : Points - 1975 - 76 '' . NBA.com . Turner Sports Interactive , Inc . Retrieved February 20 , 2009 .   Jump up ^ `` League Leaders : Points - 1976 - 77 '' . NBA.com . Turner Sports Interactive , Inc . Retrieved February 20 , 2009 .   Jump up ^ `` Pete Maravich Stats '' . basketball-reference.com . Retrieved February 21 , 2009 .   Jump up ^ `` April 9 , 1978 : Gervin beats Thompson in NBA scoring title duel '' . History Channel . A&amp;E Television Networks . Retrieved February 22 , 2009 .   Jump up ^ `` David Thompson '' . NBA.com . Turner Sports Interactive . Retrieved February 22 , 2009 .   Jump up ^ `` George Gervin '' . NBA.com . Turner Sports Interactive , Inc . Retrieved February 22 , 2009 .   Jump up ^ Vecsey , George ( February 7 , 1996 ) . `` Sports of The Times ; Giant Leap For Gervin , Thompson '' . The New York Times . Retrieved February 22 , 2009 .   Jump up ^ `` 1977 - 78 NBA Game Results '' . basketball-reference.com . Retrieved February 22 , 2009 .   Jump up ^ `` League Leaders : Points - 1977 - 78 '' . NBA.com . Turner Sports Interactive , Inc . Retrieved February 20 , 2009 .   ^ Jump up to : `` George Gervin Stats '' . basketball-reference.com . Retrieved February 21 , 2009 .   Jump up ^ `` League Leaders : Points - 1978 - 79 '' . NBA.com . Turner Sports Interactive , Inc . Retrieved February 20 , 2009 .   Jump up ^ `` League Leaders : Points - 1979 - 80 '' . NBA.com . Turner Sports Interactive , Inc . Retrieved February 20 , 2009 .   Jump up ^ `` League Leaders : Points - 1980 - 81 '' . NBA.com . Turner Sports Interactive , Inc . Retrieved February 20 , 2009 .   ^ Jump up to : `` Adrian Dantley Stats '' . basketball-reference.com . Retrieved February 22 , 2009 .   Jump up ^ `` League Leaders : Points - 1981 - 82 '' . NBA.com . Turner Sports Interactive , Inc . Retrieved February 20 , 2009 .   Jump up ^ `` League Leaders : Points - 1982 - 83 '' . NBA.com . Turner Sports Interactive , Inc . Retrieved February 20 , 2009 .   Jump up ^ `` Alex English Stats '' . basketball-reference.com . Retrieved February 22 , 2009 .   Jump up ^ `` League Leaders : Points - 1983 - 84 '' . NBA.com . Turner Sports Interactive , Inc . Retrieved February 20 , 2009 .   Jump up ^ `` 1984 - 85 NBA Season Summary '' . basketball-reference.com . Retrieved February 23 , 2009 .   Jump up ^ `` League Leaders : Points - 1984 - 85 '' . NBA.com . Turner Sports Interactive , Inc . Retrieved February 20 , 2009 .   Jump up ^ `` Bernard King Stats '' . basketball-reference.com . Retrieved February 22 , 2009 .   Jump up ^ `` 1985 - 86 NBA Season Summary '' . basketball-reference.com . Retrieved February 23 , 2009 .   Jump up ^ `` League Leaders : Points - 1985 - 86 '' . NBA.com . Turner Sports Interactive , Inc . Retrieved February 20 , 2009 .   Jump up ^ `` Dominique Wilkins Stats '' . basketball-reference.com . Retrieved February 22 , 2009 .   Jump up ^ `` League Leaders : Points - 1986 - 87 '' . NBA.com . Turner Sports Interactive , Inc . Retrieved February 20 , 2009 .   ^ Jump up to : `` Michael Jordan Stats '' . basketball-reference.com . Retrieved February 22 , 2009 .   Jump up ^ `` League Leaders : Points - 1987 - 88 '' . NBA.com . Turner Sports Interactive , Inc . Retrieved February 20 , 2009 .   Jump up ^ `` League Leaders : Points - 1988 - 89 '' . NBA.com . Turner Sports Interactive , Inc . Retrieved February 20 , 2009 .   Jump up ^ `` League Leaders : Points - 1989 - 90 '' . NBA.com . Turner Sports Interactive , Inc . Retrieved February 20 , 2009 .   Jump up ^ `` League Leaders : Points - 1990 - 91 '' . NBA.com . Turner Sports Interactive , Inc . Retrieved February 20 , 2009 .   Jump up ^ `` League Leaders : Points - 1991 - 92 '' . NBA.com . Turner Sports Interactive , Inc . Retrieved February 20 , 2009 .   Jump up ^ `` League Leaders : Points - 1992 - 93 '' . NBA.com . Turner Sports Interactive , Inc . Retrieved February 20 , 2009 .   Jump up ^ `` David Robinson '' . NBA.com . Turner Sports Interactive , Inc . Retrieved February 20 , 2009 .   Jump up ^ `` League Leaders : Points - 1993 - 94 '' . NBA.com . Turner Sports Interactive , Inc . Retrieved February 20 , 2009 .   Jump up ^ `` David Robinson Stats '' . basketball-reference.com . Retrieved February 22 , 2009 .   Jump up ^ `` League Leaders : Points - 1994 - 9 '' . NBA.com . Turner Sports Interactive , Inc . Retrieved February 20 , 2009 .   ^ Jump up to : `` Shaquille O'Neal Stats '' . basketball-reference.com . Retrieved February 22 , 2009 .   Jump up ^ `` League Leaders : Points - 1995 - 96 '' . NBA.com . Turner Sports Interactive , Inc . Retrieved February 20 , 2009 .   Jump up ^ `` League Leaders : Points - 1996 - 97 '' . NBA.com . Turner Sports Interactive , Inc . Retrieved February 20 , 2009 .   ^ Jump up to : `` Durant , Bryant take scoring race to wire '' . ESPN.com. April 26 , 2012 . Retrieved April 27 , 2012 .   Jump up ^ `` Michael Jordan 1997 - 98 game log '' . basketball - reference . Retrieved 24 May 2016 .   Jump up ^ `` League Leaders : Points - 1997 - 98 '' . NBA.com . Turner Sports Interactive , Inc . Retrieved February 20 , 2009 .   Jump up ^ Beck , Howard ( February 14 , 2009 ) . `` N.B.A. and Union Are Discussing New Labor Deal '' . The New York Times . Retrieved February 22 , 2009 .   Jump up ^ `` 1998 - 99 NBA Season Summary '' . basketball-reference.com . Retrieved February 20 , 2009 .   Jump up ^ `` League Leaders : Points - 1998 - 99 '' . NBA.com . Turner Sports Interactive , Inc . Retrieved February 20 , 2009 .   ^ Jump up to : `` Allen Iverson Stats '' . basketball-reference.com . Retrieved February 22 , 2009 .   Jump up ^ `` League Leaders : Points - 1999 - 2000 '' . NBA.com . Turner Sports Interactive , Inc . Retrieved February 20 , 2009 .   Jump up ^ `` 2000 - 01 NBA Season Summary '' . basketball-reference.com . Retrieved February 20 , 2009 .   Jump up ^ `` League Leaders : Points - 2000 - 01 '' . NBA.com . Turner Sports Interactive , Inc . Retrieved February 20 , 2009 .   Jump up ^ `` 2001 - 02 NBA Season Summary '' . basketball-reference.com . Retrieved February 20 , 2009 .   Jump up ^ `` League Leaders : Points - 2001 - 02 '' . NBA.com . Turner Sports Interactive , Inc . Retrieved February 20 , 2009 .   Jump up ^ `` 2002 - 03 NBA Season Summary '' . basketball-reference.com . Retrieved February 20 , 2009 .   Jump up ^ `` League Leaders : Points - 2002 - 03 '' . NBA.com . Turner Sports Interactive , Inc . Retrieved February 20 , 2009 .   ^ Jump up to : `` Tracy McGrady Stats '' . basketball-reference.com . Retrieved February 22 , 2009 .   Jump up ^ `` 2003 - 04 NBA Season Summary '' . basketball-reference.com . Retrieved February 20 , 2009 .   ^ Jump up to : `` Kobe Bryant Stats '' . basketball-reference.com . Retrieved February 22 , 2009 .   Jump up ^ `` 2007 - 08 NBA Season Summary '' . basketball-reference.com . Retrieved February 20 , 2009 .   Jump up ^ `` LeBron James Stats '' . basketball-reference.com . Retrieved February 22 , 2009 .   Jump up ^ `` Dwyane Wade Stats '' . basketball-reference.com . Retrieved April 14 , 2010 .   Jump up ^ Beck , Howard ( April 9 , 2010 ) . `` Tight N.B.A. Scoring Race Comes Down to James and Durant '' . The New York Times . Retrieved April 30 , 2010 .   ^ Jump up to : `` Kevin Durant Stats '' . basketball-reference.com . Retrieved April 17 , 2014 .   Jump up ^ Beck , Howard ( November 28 , 2011 ) . `` Two Exhibition Games for N.B.A. Teams '' . The New York Times . Retrieved November 28 , 2011 .   ^ Jump up to : McMenamin , Dave ( April 26 , 2012 ) . `` Kobe Bryant sits ; Kevin Durant wins '' . ESPN.com . Retrieved April 26 , 2012 .   Jump up ^ `` 2012 - 13 NBA Season Summary '' . basketball-reference.com . Retrieved April 17 , 2014 .   Jump up ^ `` Carmelo Anthony Stats '' . basketball-refe</t>
  </si>
  <si>
    <t xml:space="preserve">who led the nba in scoring last year</t>
  </si>
  <si>
    <t xml:space="preserve">   Season   Player   Age   Pos   Team   Games played   Field goals made   3 - point field goals made   Free throws made   Total points   Points per game   Ref     1946 -- 47   Joe Fulks *   25   F / C   Philadelphia Warriors   60   475   --   439   1,389   23.2       1947 -- 48   Max Zaslofsky   22   G / F   Chicago Stags   48   373   --   261   1,007   21.0       1948 -- 49   George Mikan *   24     Minneapolis Lakers   60   583   --   532   1,698   28.3       1949 -- 50   George Mikan * ( 2 )   25     Minneapolis Lakers   68   649   --   567   1,865   27.4       1950 -- 51   George Mikan * ( 3 )   26     Minneapolis Lakers   68   678   --   576   1,932   28.4       1951 -- 52   Paul Arizin *   23   F / G   Philadelphia Warriors   66   548   --   578   1,674   25.4       1952 -- 53   Neil Johnston *   23     Philadelphia Warriors   70   504   --   556   1,564   22.3       1953 -- 54   Neil Johnston * ( 2 )   24     Philadelphia Warriors   72   591   --   577   1,759   24.5       1954 -- 55   Neil Johnston * ( 3 )   25     Philadelphia Warriors   72   521   --   589   1,631   22.7       1955 -- 56   Bob Pettit *   23   F / C   St. Louis Hawks   72   646   --   557   1,849   25.7       1956 -- 57   Paul Arizin * ( 2 )   28   F / G   Philadelphia Warriors   71   613   --   591   1,817   25.6       1957 -- 58   George Yardley *   29   F / G   Detroit Pistons   72   673   --   655   2,001   27.8       1958 -- 59   Bob Pettit * ( 2 )   26   F / C   St. Louis Hawks   72   719   --   667   2,105   29.2       1959 -- 60   Wilt Chamberlain *   23     Philadelphia Warriors   72   1,065   --   577   2,707   37.6       1960 -- 61   Wilt Chamberlain * ( 2 )   24     Philadelphia Warriors   79   1,251   --   531   3,033   38.4       1961 -- 62   Wilt Chamberlain * ( 3 )   25     Philadelphia Warriors   80   1,597   --   835   4,029   50.4       1962 -- 63   Wilt Chamberlain * ( 4 )   26     San Francisco Warriors   80   1,463   --   660   3,586   44.8       1963 -- 64   Wilt Chamberlain * ( 5 )   27     San Francisco Warriors   80   1,204   --   540   2,948   36.9       1964 -- 65   Wilt Chamberlain * ( 6 )   28     San Francisco Warriors Philadelphia 76ers   73   1,063   --   408   2,534   34.7       1965 -- 66   Wilt Chamberlain * ( 7 )   29     Philadelphia 76ers   79   1,074   --   501   2,649   33.5       1966 -- 67   Rick Barry *   22     San Francisco Warriors   78   1,011   --   753   2,775   35.6       1967 -- 68   Dave Bing *   24     Detroit Pistons   79   835   --   472   2,142   27.1       1968 -- 69   Elvin Hayes *   23   F / C   San Diego Rockets   82   930   --   467   2,327   28.4       1969 -- 70   Jerry West *   31     Los Angeles Lakers   74   831   --   647   2,309   31.2       1970 -- 71   Lew Alcindor *   23     Milwaukee Bucks   82   1,063   --   470   2,596   31.7       1971 -- 72   Kareem Abdul - Jabbar * ( 2 )   24     Milwaukee Bucks   81   1,159   --   504   2,822   34.8       1972 -- 73   Nate Archibald *   24     Kansas City - Omaha Kings   80   1,028   --   663   2,719   34.0       1973 -- 74   Bob McAdoo *   22   C / F   Buffalo Braves   74   901   --   459   2,261   30.6       1974 -- 75   Bob McAdoo * ( 2 )   23   C / F   Buffalo Braves   82   1,095   --   641   2,831   34.5       1975 -- 76   Bob McAdoo * ( 3 )   24   C / F   Buffalo Braves   78   934   --   559   2,427   31.1       1976 -- 77   Pete Maravich *   29     New Orleans Jazz   73   886   --   501   2,273   31.1       1977 -- 78   George Gervin *   25   G / F   San Antonio Spurs   82   864   --   504   2,232   27.2       1978 -- 79   George Gervin * ( 2 )   26   G / F   San Antonio Spurs   80   947   --   471   2,365   29.6       1979 -- 80   George Gervin * ( 3 )   27   G / F   San Antonio Spurs   78   1,024   32   505   2,585   33.1       1980 -- 81   Adrian Dantley *   24   F / G   Utah Jazz   80   909     632   2,452   30.7       1981 -- 82   George Gervin * ( 4 )   29   G / F   San Antonio Spurs   79   993   10   555   2,551   32.3       1982 -- 83   Alex English *   29     Denver Nuggets   82   959     406   2,326   28.4       1983 -- 84   Adrian Dantley * ( 2 )   27   F / G   Utah Jazz   79   802     813   2,418   30.6       1984 -- 85   Bernard King *   28     New York Knicks   55   691     426   1,809   32.9       1985 -- 86   Dominique Wilkins *   26     Atlanta Hawks   78   888   13   577   2,366   30.3       1986 -- 87   Michael Jordan *   23     Chicago Bulls   82   1,098   12   833   3,041   37.1       1987 -- 88   Michael Jordan * ( 2 )   24     Chicago Bulls   82   1,069   7   723   2,868   35.0       1988 -- 89   Michael Jordan * ( 3 )   25     Chicago Bulls   81   966   27   674   2,633   32.5       1989 -- 90   Michael Jordan * ( 4 )   26     Chicago Bulls   82   1,034   92   593   2,753   33.6       1990 -- 91   Michael Jordan * ( 5 )   27     Chicago Bulls   82   990   29   571   2,580   31.5       1991 -- 92   Michael Jordan * ( 6 )   28     Chicago Bulls   80   943   27   491   2,404   30.1       1992 -- 93   Michael Jordan * ( 7 )   29     Chicago Bulls   78   992   81   476   2,541   32.6       1993 -- 94   David Robinson *   28     San Antonio Spurs   80   840   10   693   2,383   29.8       1994 -- 95   Shaquille O'Neal *   22     Orlando Magic   79   930   0   455   2,315   29.3       1995 -- 96   Michael Jordan * ( 8 )   32     Chicago Bulls   82   916   111   548   2,491   30.4       1996 -- 97   Michael Jordan * ( 9 )   33     Chicago Bulls   82   920   111   480   2,431   29.6       1997 -- 98   Michael Jordan * ( 10 )   34     Chicago Bulls   82   881   30   565   2,357   28.7       1998 -- 99   Allen Iverson *   23     Philadelphia 76ers   48   435   58   356   1,284   26.8       1999 -- 00   Shaquille O'Neal * ( 2 )   27     Los Angeles Lakers   79   956   0   432   2,344   29.7       2000 -- 01   Allen Iverson * ( 2 )   25     Philadelphia 76ers   71   762   98   585   2,207   31.1       2001 -- 02   Allen Iverson * ( 3 )   26     Philadelphia 76ers   60   665   78   475   1,883   31.4       2002 -- 03   Tracy McGrady *   23   G / F   Orlando Magic   75   829   173   576   2,407   32.1       2003 -- 04   Tracy McGrady * ( 2 )   24   G / F   Orlando Magic   67   653   174   398   1,878   28.0       2004 -- 05   Allen Iverson * ( 4 )   29     Philadelphia 76ers   75   771   104   656   2,302   30.7       2005 -- 06   Kobe Bryant   27     Los Angeles Lakers   80   978   180   696   2,832   35.4       2006 -- 07   Kobe Bryant ( 2 )   28     Los Angeles Lakers   77   813   137   667   2,430   31.6       2007 -- 08   LeBron James ^   23     Cleveland Cavaliers   75   794   113   549   2,250   30.0       2008 -- 09   Dwyane Wade ^   27     Miami Heat   79   854   88   590   2,386   30.2       2009 -- 10   Kevin Durant ^   21     Oklahoma City Thunder   82   794   128   756   2,472   30.1       2010 -- 11   Kevin Durant ^ ( 2 )   22     Oklahoma City Thunder   78   711   145   594   2,161   27.7       2011 -- 12   Kevin Durant ^ ( 3 )   23     Oklahoma City Thunder   66   643   133   431   1,850   28.0       2012 -- 13   Carmelo Anthony ^   28     New York Knicks   67   669   157   425   1,920   28.7       2013 -- 14   Kevin Durant ^ ( 4 )   25     Oklahoma City Thunder   81   849   192   703   2,593   32.0       2014 -- 15   Russell Westbrook ^   26     Oklahoma City Thunder   67   627   86   546   1,886   28.1       2015 -- 16   Stephen Curry ^   28     Golden State Warriors   79   805   402   363   2,375   30.1       2016 -- 17   Russell Westbrook ^ ( 2 )   28     Oklahoma City Thunder   81   824   200   710   2,558   31.6       2017 -- 18   James Harden   28     Houston Rockets   72   651   265   624   2,191   30.4     </t>
  </si>
  <si>
    <t xml:space="preserve">Crimean war - wikipedia  Crimean war  Jump to : navigation , search For other uses , see Crimean War ( disambiguation ) . `` Eastern War '' redirects here . Not to be confused with the Eastern Front or the name of several wars throughout Eastern Europe and Africa in modern history or the Pacific War which is the Asia - Pacific theatre of World War 2 .    Crimean War     Part of the Ottoman wars in Europe and the Russo - Turkish wars     Detail of Franz Roubaud 's panoramic painting The Siege of Sevastopol ( 1904 )        Date   16 October 1853 -- 30 March 1856 ( 1853 - 10 - 16 -- 1856 - 03 - 30 )     Location   Crimean Peninsula , Caucasus , Balkans , Black Sea , Baltic Sea , White Sea , Far East     Result   Allied victory ; Treaty of Paris        Belligerents       Ottoman Empire   French Empire ( from 1854 )   British Empire ( from 1854 )   Kingdom of Sardinia ( from 1855 ) Caucasian Imamate ( until 1855 )   Circassia   Abkhazian insurgents ( from 1855 )       Russian Empire   Principality of Mingrelia ( vassal ) Kingdom of Greece ( until 1854 )       Commanders and leaders       Abdulmejid I   Omar Pasha   Iskender Pasha   Çırpanlı Nadir Pasha   Ismail Pasha   Napoléon III   Jacques Leroy de Saint Arnaud #   Maréchal Canrobert   Aimable Pélissier   François Achille Bazaine   Patrice de Mac - Mahon   Queen Victoria   Earl of Aberdeen   Viscount Palmerston   Lord Raglan #   Lord Lyons   Sir James Simpson   Sir William Codrington   Victor Emmanuel II   Alfonso La Màrmora   Imam Shamil   Magomet - Amin   Sefer Bey Zanuko   Mikhail ( Hamud Bey ) Chachba       Nicholas I #   Alexander II   Prince Menshikov   Prince Gorchakov   Pavel Nakhimov †   Ivane Andronikashvili   Vasily Zavoyko   Nikolay Muravyov   Yevfimy Putyatin   Vladimir Istomin †   Count Tolstoy   Ekaterine Dadiani   Grigol Dadiani   Otto I       Strength     Total : 603,132   165,000   309,268   107,864   21,000     Total : 889,000   888,000 mobilized 324,478 deployed   1,000 Greek legion       Casualties and losses      223,513 Ottoman Empire 45,400 10,100 killed in action 10,800 died of wounds 24,500 died of disease French Empire 135,485 8,490 killed in action ; 11,750 died of wounds ; 75,375 died of disease 39,870 wounded British Empire 40,462 2,755 killed in action 1,847 died of wounds 17,580 died of disease 18,280 wounded  Kingdom of Sardinia 2,166 28 killed in action 2,138 died of disease   530,125 35,671 killed in action 37,454 died of wounds 377,000 died from non-combat causes 80,000 wounded               Crimean War       Balkans     Oltenița   Sinop   Cetate   Calafat   Silistra     Caucasus     Kurekdere   Kars     Naval Operations     Suomenlinna   Bomarsund   Petropavlovsk     Crimea     Alma   Sevastopol   Balaclava   Inkerman   Eupatoria   Taganrog   Chernaya   Malakoff   Great Redan   Kinburn                 Russo - Ottoman Wars       1568 -- 70   1676 -- 81   1686 -- 1700   1710 -- 11   1735 -- 39   1768 -- 74   1787 -- 92   1806 -- 12   1828 -- 29   1853 -- 56   1877 -- 78   1914 -- 18       Russo - Crimean Wars     The Crimean War ( French : Guerre de Crimée ; Russian : Кры́мская война́ , translit . Krymskaya voina or Russian : Восто́чная война́ , translit . Vostochnaya voina , lit . ' Eastern War ' ; Turkish : Kırım Savaşı ; Italian : Guerra di Crimea ) was a military conflict fought from October 1853 to February 1856 in which the Russian Empire lost to an alliance of the Ottoman Empire , France , Britain and Sardinia . The immediate cause involved the rights of Christian minorities in the Holy Land , which was a part of the Ottoman Empire . The French promoted the rights of Roman Catholics , while Russia promoted those of the Eastern Orthodox Church . The longer - term causes involved the decline of the Ottoman Empire and the unwillingness of Britain and France to allow Russia to gain territory and power at Ottoman expense . It has widely been noted that the causes , in one case involving an argument over a key , have never revealed a `` greater confusion of purpose '' , yet led to a war noted for its `` notoriously incompetent international butchery '' .   While the churches eventually worked out their differences and came to an agreement , Nicholas I of Russia and the French Emperor Napoleon III refused to back down . Nicholas issued an ultimatum that the Orthodox subjects of the Empire be placed under his protection . Britain attempted to mediate and arranged a compromise that Nicholas agreed to . When the Ottomans demanded changes , Nicholas refused and prepared for war . Having obtained promises of support from France and Britain , the Ottomans declared war on Russia in October 1853 .   The war started in the Balkans , where in July 1853 Russian troops occupied the Danubian Principalities , ( part of modern Romania ) which were under Ottoman suzerainty , then began to cross the Danube . Led by Omar Pasha , the Ottomans fought a strong defensive campaign and stopped the advance at Silistra . A separate action on the fort town of Kars in eastern Anatolia led to a siege , and a Turkish attempt to reinforce the garrison was destroyed by a Russian fleet at Sinop . Fearing an Ottoman collapse , France and Britain rushed forces to Gallipoli . They then moved north to Varna in June , arriving just in time for the Russians to abandon Silistra . Aside from a minor skirmish at Köstence ( today Constanța ) , there was little for the allies to do . Karl Marx quipped , `` there they are , the French doing nothing and the British helping them as fast as possible '' .   Frustrated by the wasted effort , and with demands for action from their citizens , the allied force decided to attack Russia 's main naval base in the Black Sea at Sevastopol on the Crimean peninsula . After extended preparations , the forces landed on the peninsula in September 1854 and marched their way to a point south of Sevastopol after the successful Battle of the Alma . The Russians counterattacked on 25 October in what became the Battle of Balaclava and were repulsed , but at the cost of seriously depleting the British Army forces . A second counterattack , at Inkerman , ended in stalemate . The front settled into a siege and led to brutal conditions for troops on both sides . Smaller actions were carried out in the Baltic , the Caucasus , the White Sea and in the North Pacific .   Sevastopol fell after eleven months , and neutral countries began to join the Allied cause . Isolated and facing a bleak prospect of invasion from the west if the war continued , Russia sued for peace in March 1856 . This was welcomed by France and Britain , as their subjects were beginning to turn against their governments as the war dragged on . The war was ended by the Treaty of Paris , signed on 30 March 1856 . Russia was forbidden from hosting warships in the Black Sea . The Ottoman vassal states of Wallachia and Moldavia became largely independent . Christians there were granted a degree of official equality , and the Orthodox Church regained control of the Christian churches in dispute .   The Crimean War was one of the first conflicts to use modern technologies such as explosive naval shells , railways and telegraphs . The war was one of the first to be documented extensively in written reports and photographs . As the legend of the `` Charge of the Light Brigade '' demonstrates , the war quickly became an iconic symbol of logistical , medical and tactical failures and mismanagement . The reaction in the UK was a demand for professionalisation , most famously achieved by Florence Nightingale , who gained worldwide attention for pioneering modern nursing while treating the wounded .     Contents  ( hide )   1 The `` Eastern Question ''   1.1 Weakening of the Ottoman Empire in 1820 -- 1840s   1.2 Russian expansionism   1.3 Immediate causes of the war   1.4 First hostilities   1.4. 1 Battle of Sinop     1.5 Dardanelles   1.6 Peace attempts     2 Battles   2.1 Danube campaign   2.2 Black Sea theatre   2.3 Crimean campaign   2.4 Battle of Balaclava   2.5 Winter of 1854 -- 55   2.6 Siege of Sevastopol   2.7 Azov campaign   2.8 Caucasus theatre   2.9 Baltic theatre   2.10 White Sea theatre   2.11 Pacific theatre   2.12 Piedmontese Involvement   2.13 Greece   2.14 Kiev Cossack revolt and national awakening in Ukraine     3 End of the war   3.1 British position   3.2 Peace negotiations   3.3 Aftermath in Russia     4 Historical analysis   5 Documentation   6 Criticisms and reform   7 Chronology of major battles of the war   8 Prominent military commanders   9 Last veterans   10 In popular culture   11 See also   12 Notes   13 Further reading   13.1 Historiography and memory   13.2 Contemporary sources        The `` Eastern Question '' ( edit )  See also : Eastern Question  As the Ottoman Empire steadily weakened decade after decade , Russia stood poised to take advantage by expanding south . In the 1850s , the British and the French , who were allied with the Ottoman Empire , were determined not to allow this to happen . A.J.P. Taylor argues that the war resulted not from aggression but from the interacting fears of the major players :   In some sense the Crimean war was predestined and had deep - seated causes . Neither Nicholas I nor Napoleon III nor the British government could retreat in the conflict for prestige once it was launched . Nicholas needed a subservient Turkey for the sake of Russian security ; Napoleon needed success for the sake of his domestic position ; the British government needed an independent Turkey for the security of the Eastern Mediterranean ... Mutual fear , not mutual aggression , caused the Crimean war .   Weakening of the Ottoman Empire in 1820 -- 1840s ( edit )  Serbian Uprising against the Ottoman Empire  In the early 1800s , the Ottoman Empire suffered a number of setbacks which challenged the existence of the country . It first became evident with the Serbian Revolution in 1804 , which resulted in the self - liberation of the first Balkan Christian nation under the Ottoman occupation . The Greek War of Independence , which began in the spring of 1821 , provided further evidence of the internal and military weakness of the Ottoman Empire , and the commission of atrocities by Ottoman military forces ( see Chios massacre ) also failed to help the Ottomans . The disbandment of the centuries - old Janissary corps by Sultan Mahmud II on 15 June 1826 ( Auspicious Incident ) helped the Ottoman Empire in the longer term , but in the short term it deprived the country of its existing standing army . In 1828 , the allied Anglo - Franco - Russian fleet destroyed almost all the Ottoman naval forces during the Battle of Navarino . In 1830 , Greece became an independent state after 10 years of war and the Russo - Turkish War of 1828 -- 29 . According to the 1829 Treaty of Adrianople , Russian and Western European commercial ships were authorized to freely pass through the Black Sea straits , Serbia received autonomy , and the Danubian Principalities ( Moldavia and Wallachia ) became territories under Russian protection .   France took the opportunity to occupy Algeria in 1830 . In 1831 Muhammad Ali of Egypt , who was the most powerful vassal of the Ottoman Empire , claimed independence . Ottoman forces were defeated in a number of battles , and the Egyptians were ready to capture Constantinople , which forced Sultan Mahmud II to seek Russian military aid . A Russian army of 10,000 landed on the Bosphorus shores in 1833 and helped to prevent the capture of Constantinople .  Naval Battle of Navarino , 1827  As the result of that Russian military operation , the Treaty of Unkiar Skelessi was signed . Russia benefited greatly from this treaty . It provided for a military alliance between Russia and the Ottoman Empire , if one of them were to be attacked . A secret additional clause allowed the Ottomans to opt out of sending troops but to close the Straits to foreign warships if Russia was under threat .   In 1838 the situation was similar to 1831 . Muhammad Ali of Egypt was not happy about his lack of control and power in Syria , and he resumed military action . The Ottoman Army lost to the Egyptians at the Battle of Nezib on 24 June 1839 . The Ottoman Empire was saved by Britain , Austria , Prussia and Russia , who signed a convention in London on 15 July 1840 granting Muhammad Ali and his descendants the right to inherit power in Egypt in exchange for removal of Egyptian armed forces from Syria and Lebanon . Moreover , Muhammad Ali had to admit a formal dependence to the Ottoman sultan . After Muhammad Ali refused to obey the requirements of the London convention , the allied Anglo - Austrian fleet blockaded the Nile Delta , bombarded Beirut and captured Acre . Muhammad Ali accepted the conditions of the London convention in 1840 .   On 13 July 1841 , after the expiry of the Treaty of Unkiar Skelessi , the London Straits Convention was signed under pressure from European countries . The new treaty deprived Russia of its right to block warships from passing into the Black Sea in case of war . Thus the way to the Black Sea was open for British and French warships in case of a possible Russo - Ottoman conflict .   Assistance from Western European powers had twice saved the Ottoman Empire from destruction , but the Ottomans had now lost their independence in external policy . Britain and France desired more than any other states to preserve the integrity of the Ottoman Empire because they did not want to see Russia gaining access to the Mediterranean Sea . Austria had fears for the same reasons .   Russian expansionism ( edit )   Russia , as a member of the Holy Alliance , had operated as the `` police of Europe '' , maintaining the balance of power that had been established in the Treaty of Vienna in 1815 . Russia had assisted Austria 's efforts in suppressing the Hungarian Revolution of 1848 , and expected gratitude ; it wanted a free hand in settling its problems with the Ottoman Empire , the `` sick man of Europe '' . Britain could not tolerate Russian dominance of Ottoman affairs , as that would challenge its domination of the eastern Mediterranean .  Russian siege of Kars , Russo - Turkish War of 1828 -- 29  Starting with Peter the Great , after centuries of Ottoman northward expansion and Crimean - Nogai raids , Russia had been expanding southwards across the sparsely populated `` Wild Fields '' toward the warm water ports of the Black Sea , which did not freeze over like the handful of ports it controlled in the north . The goal was to promote year - round trade and a year - round navy . Pursuit of this goal brought the emerging Russian state into conflict with the Ukrainian Cossacks and then with the Tatars of the Crimean Khanate and Circassians . When Russia conquered these groups and gained possession of their territories , the Ottoman Empire lost its buffer zone against Russian expansion , and Russia and the Ottoman Empire came into direct conflict . The conflict with the Ottoman Empire also presented a religious issue of importance , as Russia saw itself as the protector of Orthodox Christians , many of whom lived under Ottoman control and were treated as second - class citizens .   Britain 's immediate fear was Russian expansion at the expense of the Ottoman Empire , which the UK desired to preserve . The British were also concerned that Russia might make advances toward India , or move toward Scandinavia or Western Europe . The Royal Navy also wanted to forestall the threat of a powerful Russian navy .   Taylor says that from the British perspective :   The Crimean war was fought for the sake of Europe rather than for the Eastern question ; it was fought against Russia , not in favour of Turkey ... The British fought Russia out of resentment and supposed that her defeat would strengthen the European Balance of Power .   It is often said that Russia was militarily weak , technologically backward and administratively incompetent . Despite its grand ambitions toward the south , it had not built its railway network in that direction , and communications were poor . The bureaucracy was riddled with graft , corruption and inefficiency and was unprepared for war . Its navy was weak and technologically backward ; its army , although very large , suffered from colonels who pocketed their men 's pay , poor morale and was out of touch with the latest technology developed by Britain and France . By the war 's end , everyone realised the profound weaknesses of the Russian armed forces , and the Russian leadership was determined to reform it .   Because of `` British commercial and strategic interests in the Middle East and India , '' the British joined the French , `` cement ( ing ) an alliance with Britain and ... reassert ( ing ) its military power . ''   Immediate causes of the war ( edit )   The immediate chain of events leading to France and Britain declaring war on Russia on 27 and 28 March 1854 came from the ambition of the French emperor Napoleon III to restore the grandeur of France . He wanted Catholic support that would come his way if he attacked Eastern Orthodoxy , as sponsored by Russia . The Marquis Charles de La Valette was a zealous Catholic and a leading member of the `` clerical party , '' which demanded French protection of the Roman Catholic rights to the holy places in Palestine . In May 1851 , Napoleon appointed La Valette as his ambassador to the Porte ( the Ottoman Empire ) . The appointment was made with the intent of forcing the Ottomans to recognise France as the `` sovereign authority '' over the Christian population . Russia disputed this attempted change in authority . Pointing to two more treaties , one in 1757 and the 1774 Treaty of Küçük Kaynarca , the Ottomans reversed their earlier decision , renouncing the French treaty and insisting that Russia was the protector of the Orthodox Christians in the Ottoman Empire .  Two French Zouaves officers and one private  Napoleon III responded with a show of force , sending the ship of the line Charlemagne to the Black Sea . This action was a violation of the London Straits Convention . Thus , France 's show of force presented a real threat , and when combined with aggressive diplomacy and money , induced the Ottoman Sultan Abdülmecid I to accept a new treaty , confirming France and the Roman Catholic Church as the supreme Christian authority with control over the Roman Catholic holy places and possession of the keys to the Church of the Nativity , previously held by the Greek Orthodox Church .   Tsar Nicholas I then deployed his 4th and 5th army corps along the River Danube in Wallachia , as a direct threat to the Ottoman lands south of the river , and had Count Karl Nesselrode , his foreign minister , undertake talks with the Ottomans . Nesselrode confided to Sir George Hamilton Seymour , the British ambassador in Saint Petersburg :   ( The dispute over the holy places ) had assumed a new character -- that the acts of injustice towards the Greek church which it had been desired to prevent had been perpetrated and consequently that now the object must be to find a remedy for these wrongs . The success of French negotiations at Constantinople was to be ascribed solely to intrigue and violence -- violence which had been supposed to be the ultima ratio of kings , being , it had been seen , the means which the present ruler of France was in the habit of employing in the first instance .   As conflict emerged over the issue of the holy places , Nicholas I and Nesselrode began a diplomatic offensive , which they hoped would prevent either British or French interference in any conflict between Russia and the Ottomans , as well as to prevent an anti-Russian alliance of the two .  Cornet assistant surgeon Henry Wilkin , 11th Hussars . He survived the Charge of the Light Brigade . Photographed by Roger Fenton .  Nicholas began courting Britain by means of conversations with the British ambassador , George Hamilton Seymour , in January and February 1853 . Nicholas insisted that he no longer wished to expand Imperial Russia but that he had an obligation to the Christian communities in the Ottoman Empire . The Tsar next dispatched a highly abrasive diplomat , Prince Menshikov , on a special mission to the Ottoman Sublime Porte in February 1853 . By previous treaties , the sultan was committed `` to protect the ( Eastern Orthodox ) Christian religion and its churches . '' Menshikov demanded a Russian protectorate over all 12 million Orthodox Christians in the Empire , with control of the Orthodox Church 's hierarchy . A compromise was reached regarding Orthodox access to the Holy Land , but the Sultan , strongly supported by the British ambassador , rejected the more sweeping demands .   The British and French sent in naval task forces to support the Ottomans , as Russia prepared to seize the Danubian Principalities .   First hostilities ( edit )  The Russian destruction of the Turkish fleet at the Battle of Sinop on 30 November 1853 sparked the war ; painting by Ivan Aivazovsky  In February 1853 , the British government of Lord Aberdeen , the prime minister , re-appointed Stratford Canning as British ambassador to the Ottoman Empire . Having resigned the ambassadorship in January , he had been replaced by Colonel Rose as chargé d'affaires . Lord Stratford then turned around and sailed back to Constantinople , arriving there on 5 April 1853 . There he convinced the Sultan to reject the Russian treaty proposal , as compromising the independence of the Turks . The Leader of the Opposition in the British House of Commons , Benjamin Disraeli , blamed Aberdeen and Stratford 's actions for making war inevitable , thus starting the process which would eventually force the Aberdeen government to resign in January 1855 , over the war .   Shortly after he learned of the failure of Menshikov 's diplomacy toward the end of June 1853 , the Tsar sent armies under the commands of Field Marshal Ivan Paskevich and General Mikhail Gorchakov across the River Pruth into the Ottoman - controlled Danubian Principalities of Moldavia and Wallachia . Fewer than half of the 80,000 Russian soldiers who crossed the Pruth in 1853 survived . By far , most of the deaths would result from sickness rather than action , for the Russian army still suffered from medical services that ranged from bad to none .   Russia had obtained recognition from the Ottoman Empire of the Tsar 's role as special guardian of the Orthodox Christians in Moldavia and Wallachia . Now Russia used the Sultan 's failure to resolve the issue of the protection of the Christian sites in the Holy Land as a pretext for Russian occupation of these Danubian provinces . Nicholas believed that the European powers , especially Austria , would not object strongly to the annexation of a few neighbouring Ottoman provinces , especially considering that Russia had assisted Austria 's efforts in suppressing the Hungarian Revolution in 1849 .  Russo - French skirmish during the Crimean War  In July 1853 , the Tsar sent his troops into the Danubian Principalities . The United Kingdom , hoping to maintain the Ottoman Empire as a bulwark against the expansion of Russian power in Asia , sent a fleet to the Dardanelles , where it joined another fleet sent by France .   Sultan Abdulmecid I declared war on Russia and proceeded to the attack , his armies moving on the Russian Army near the Danube later that month . Russia and the Ottoman Empire massed forces on two main fronts , the Caucasus and the Danube . Ottoman leader Omar Pasha managed to achieve some victories on the Danubian front . In the Caucasus , the Ottomans were able to stand ground with the help of Chechen Muslims led by Imam Shamil .  Battle of Sinop ( edit ) Main article : Battle of Sinop  The European powers continued to pursue diplomatic avenues . The representatives of the four neutral Great Powers -- the United Kingdom , France , Austria and Prussia -- met in Vienna , where they drafted a note that they hoped would be acceptable to both the Russians and the Ottomans . The peace terms arrived at by the four powers at the Vienna Conference ( 1853 ) were delivered to the Russians by the Austrian Foreign Minister Count Karl von Buol on 5 December 1853 . The note met with the approval of Nicholas I ; however , Abdülmecid I rejected the proposal , feeling that the document 's poor phrasing left it open to many different interpretations . The United Kingdom , France and Austria united in proposing amendments to mollify the Sultan , but the court of St. Petersburg ignored their suggestions . The UK and France then set aside the idea of continuing negotiations , but Austria and Prussia did not believe that the rejection of the proposed amendments justified the abandonment of the diplomatic process .   The Russians sent a fleet to Sinop in northern Anatolia . In the Battle of Sinop on 30 November 1853 they destroyed a patrol squadron of Ottoman frigates and corvettes while they were anchored in port . Public opinion in the UK and France was outraged and demanded war . Sinop provided the United Kingdom and France with the casus belli ( `` cause for war '' ) for declaring war against Russia . On 28 March 1854 , after Russia ignored an Anglo - French ultimatum to withdraw from the Danubian Principalities , the UK and France declared war .   Dardanelles ( edit )   Britain was concerned about Russian activity and Sir John Burgoyne , senior advisor to Lord Aberdeen , urged that the Dardanelles should be occupied and throw up works of sufficient strength to block any Russian move to capture Constantinople and gain access to the Mediterranean Sea . The Corps of Royal Engineers sent men to the Dardanelles while Burgoyne went to Paris , meeting the British Ambassador and the French Emperor . Lord Cowley wrote on 8 February to Burgoyne `` Your visit to Paris has produced a visible change in the Emperor 's views , and he is making every preparation for a land expedition in case the last attempt at negotiation should break down . ''   Burgoyne and his team of engineers inspected and surveyed the Dardanelles area in February , being fired on by Russian riflemen when they went to Varna . A team of sappers arrived in March and major building works commenced on a seven - mile line of defence designed to block the Gallipoli peninsula . French sappers were working on one half of the line which was finished in May .   Peace attempts ( edit )  Valley of the Shadow of Death , by Roger Fenton . One of the most famous pictures of the Crimean War  Nicholas felt that , because of Russian assistance in suppressing the Hungarian revolution of 1848 , Austria would side with him , or at the very least remain neutral . Austria , however , felt threatened by the Russian troops in the Balkans . On 27 February 1854 , the United Kingdom and France demanded the withdrawal of Russian forces from the principalities ; Austria supported them and , though it did not declare war on Russia , it refused to guarantee its neutrality . Russia 's rejection of the ultimatum proved to be the justification used by UK and France to enter the war .   Russia soon withdrew its troops from the Danubian principalities , which were then occupied by Austria for the duration of the war . This removed the original grounds for war , but the UK and France continued with hostilities . Determined to address the Eastern Question by putting an end to the Russian threat to the Ottoman Empire , the allies in August 1854 proposed the `` Four Points '' for ending the conflict , in addition to the Russian withdrawal :    Russia was to give up its protectorate over the Danubian Principalities ;   The Danube was to be opened up to foreign commerce ;   The Straits Convention of 1841 , which allowed only Ottoman and Russian warships in the Black Sea , was to be revised ;   Russia was to abandon any claim granting it the right to interfere in Ottoman affairs on behalf of Orthodox Christians .    These points ( particularly the third ) would require clarification through negotiation , but Russia refused to negotiate . The allies including Austria therefore agreed that the UK and France should take further military action to prevent further Russian aggression against the Ottoman Empire . The United Kingdom and France agreed on the invasion of the Crimean peninsula as the first step .   Battles ( edit )  Map of Crimean War ( in Russian ) Черное Море = Black Sea , Российская Империя = Russian Empire ( yellow ) , Австрийская Империя = Austrian Empire ( pink ) , Османская Империя = Ottoman Empire ( dark grey )  Danube campaign ( edit )  Mahmudiye ( 1829 ) participated in numerous important naval battles , including the Siege of Sevastopol French zouaves and Russian soldiers engaged in hand - to - hand combat at Malakhov Kurgan See also : Wallachian Revolution of 1848 , 1848 Moldavian revolution , and Convention of Balta Liman  The Danube campaign opened when the Russians occupied the Danubian Principalities of Moldavia and Wallachia in May 1853 , bringing their forces to the north bank of the River Danube . In response , the Ottoman Empire also moved its forces up to the river . It established strongholds at Vidin in the west and Silistra , which was located in the east , near the mouth of the Danube .   The Turkish / Ottoman move up the River Danube was also of concern to the Austrians , who moved forces into Transylvania in response . However , the Austrians had begun to fear the Russians more than the Turks . Indeed , like the British , the Austrians were now coming to see that an intact Ottoman Empire was necessary as a bulwark against the Russians . Accordingly , the Austrians resisted Russian diplomatic attempts to join the war on the Russian side . Austria remained neutral in the Crimean War .   Following the Ottoman ultimatum in September 1853 , forces under the Ottoman general Omar Pasha crossed the Danube at Vidin and captured Calafat in October 1853 . Simultaneously , in the east , the Ottomans crossed the Danube at Silistra and attacked the Russians at Oltenița . The resulting Battle of Oltenița was the first engagement following the declaration of war . The Russians counterattacked , but were beaten back . On 31 December 1853 , the Ottoman forces at Calafat moved against the Russian force at Chetatea or Cetate , a small village nine miles north of Calafat , and engaged them on 6 January 1854 . The battle began when the Russians made a move to recapture Calafat . Most of the heavy fighting , however , took place in and around Chetatea until the Russians were driven out of the village . Despite the setback at Chetatea , on 28 January 1854 , Russian forces laid siege to Calafat . The siege would continue until May 1854 when the Russians lifted the siege . The Ottomans would also later beat the Russians in battle at Caracal .   In the spring of 1854 the Russians again advanced , crossing the River Danube into the Turkish province of Dobruja . By April 1854 , the Russians had reached the lines of Trajan 's Wall where they were finally halted . In the centre , the Russian forces crossed the Danube and laid siege to Silistra from 14 April with 60,000 troops , the defenders with 15,000 had supplies for three months . The siege was lifted on 23 June 1854 . The English and French forces at this time were unable to take the field for lack of equipment .   In the west , the Russians were dissuaded from attacking Vidin by the presence of the Austrian forces , which had swelled to 280,000 men . On 28 May 1854 a protocol of the Vienna Conference was signed by Austria and Russia . One of the aims of the Russian advance had been to encourage the Orthodox Christian Serbs and Bulgarians living under Ottoman rule to rebel . However , when the Russian troops actually crossed the River Pruth into Moldavia , the Orthodox Christians still showed no interest in rising up against the Turks . Adding to the worries of Nicholas I was the concern that Austria would enter the war against the Russians and attack his armies on the western flank . Indeed , after attempting to mediate a peaceful settlement between Russia and Turkey , the Austrians entered the war on the side of Turkey with an attack against the Russians in the Principalities which threatened to cut off the Russian supply lines . Accordingly , the Russians were forced to raise the siege of Silistra on 23 June 1854 , and begin abandoning the Principalities . The lifting of the siege reduced the threat of a Russian advance into Bulgaria .   In June 1854 , the Allied expeditionary force landed at Varna , a city on the Black Sea 's western coast . They made little advance from their base there </t>
  </si>
  <si>
    <t xml:space="preserve">what countries were involved in the crimean war what were the causes of the war</t>
  </si>
  <si>
    <t xml:space="preserve"> The Crimean War ( French : Guerre de Crimée ; Russian : Кры́мская война́ , translit . Krymskaya voina or Russian : Восто́чная война́ , translit . Vostochnaya voina , lit . ' Eastern War ' ; Turkish : Kırım Savaşı ; Italian : Guerra di Crimea ) was a military conflict fought from October 1853 to February 1856 in which the Russian Empire lost to an alliance of the Ottoman Empire , France , Britain and Sardinia . The immediate cause involved the rights of Christian minorities in the Holy Land , which was a part of the Ottoman Empire . The French promoted the rights of Roman Catholics , while Russia promoted those of the Eastern Orthodox Church . The longer - term causes involved the decline of the Ottoman Empire and the unwillingness of Britain and France to allow Russia to gain territory and power at Ottoman expense . It has widely been noted that the causes , in one case involving an argument over a key , have never revealed a `` greater confusion of purpose '' , yet led to a war noted for its `` notoriously incompetent international butchery '' . </t>
  </si>
  <si>
    <t xml:space="preserve">Cross ( surname ) - wikipedia  Cross ( surname )  Jump to : navigation , search      Look up Cross , cross , or cross - in Wiktionary , the free dictionary .         This article does not cite any sources . Please help improve this article by adding citations to reliable sources . Unsourced material may be challenged and removed . ( November 2014 ) ( Learn how and when to remove this template message )     Cross is an English topographic surname for someone who lived on a road near a stone cross .   Notable persons with the surname Cross include :   Contents  ( hide )   1 By given name   1.1 A -- C   1.2 D -- F   1.3 G -- I   1.4 J -- N   1.5 O -- R   1.6 S -- Z     2 Characters    By given name ( edit )   A -- C ( edit )    Alan Cross , Canadian radio broadcaster and author   Alex Cross ( footballer ) ( 1919 -- 1998 ) , Scottish footballer   Alexander Cross ( 1903 - 1973 ) , Welsh actor   A.F. Cross ( 1863 -- 1940 ) , English poet , playwright , journalist and author   Amanda Cross , pen name of Carolyn Gold Heilbrun , an American academic and author   Amos Cross ( 1860 -- 1888 ) , American baseball player   Art Cross ( 1918 -- 2005 ) , American race car driver   Arthur Henry Cross ( 1884 -- 1965 ) , English recipient of the Victoria Cross   Ben Cross ( born 1947 ) , English actor   Ben Cross ( rugby league ) ( born 1978 ) , Australian rugby league footballer   Benny Cross ( born 1898 ) , English footballer   Bernice Cross ( 1912 -- 1996 ) , American artist   Billy Cross ( born 1946 ) , American musician   Billy Cross ( American football ) ( 1929 -- 2013 ) , American football player   Burton M. Cross ( 1902 -- 1998 ) , American politician   Charles Frederick Cross ( 1855 -- 1935 ) , English chemist   Charles R. Cross , American journalist and author   Charles Wilson Cross ( 1872 -- 1928 ) , Canadian politician   Chris Cross ( born 1952 ) , English musician   Christopher Cross ( born 1951 ) , American musician   Cory Cross ( born 1971 ) , Canadian ice hockey player    D -- F ( edit )    Daniel Cross ( filmmaker ) , Canadian documentary filmmaker and producer   Daniel Cross ( footballer ) ( born 1983 ) , Australian rules footballer   David Cross ( born 1964 ) , American actor and comedian   David Cross ( footballer born 1950 ) , English footballer   David Cross ( footballer born 1982 ) , English footballer   David Cross ( musician ) ( born 1949 ) , English musician   David Cross ( artist ) , British artist   Dennis Cross ( 1924 -- 1991 ) , American actor   Dolores Cross , American educator and university administrator   Douglas Cross ( 1892 -- 1970 ) , Australian politician   Dorothy Cross ( born 1956 ) , British artist   Edith Cross , American tennis player   Edward Cross ( politician ) ( 1798 -- 1887 ) , American politician   Edward E. Cross ( 1832 -- 1863 ) , American Army General   Eliska Cross ( born 1986 ) , French actress   Emily Cross ( born 1986 ) , American fencer   Frank Cross ( baseball ) ( 1873 -- 1932 ) , American baseball player   Frank Leslie Cross ( 1900 -- 1968 ) , English theologian   Frank Moore Cross ( 1921 -- 2012 ) , American scholar    G -- I ( edit )    Garvin Cross , stuntman and actor   George Lynn Cross ( 1905 -- 1998 ) , American educator   Gillian Cross ( born 1945 ) , English author   Graham Cross ( born 1943 ) , English - born footballer   H. Morrey Cross   Hardy Cross ( 1885 -- 1959 ) , American engineer   Helen Cross ( author ) ( born 1967 ) , English author   Helen Cross ( politician ) , Australian politician   Henri - Edmond Cross ( 1856 -- 1910 ) , French pointillist painter   Howard Cross ( born 1967 ) , American football player   Hugh Cross ( 1925 -- 1989 ) , British actor   Hugh W. Cross ( 1896 -- 1972 ) , American politician   Ian Cross ( rugby league ) ( born 1989 ) , Irish rugby footballer   Irv Cross ( born 1939 ) , American football player and commentator    J -- N ( edit )    James Cross , a British former diplomat in Canada who was kidnapped by militants in 1970   James Albert Cross , a lawyer and political figure in Saskatchewan , Canada   James B. Cross ( 1819 -- 1876 ) , American lawyer and politician   James U. Cross ( 1925 -- 2015 ) , a retired United States Air Force brigadier general and author   Jason Cross ( born 1979 ) , American professional wrestler   Jeff Cross ( basketball ) ( born 1961 ) , American basketball player   Joan Cross ( born 1900 ) , English singer   John Kynaston Cross ( 1832 -- 1887 ) , British cotton spinner and Liberal Party Member of Parliament for Bolton   Jonathan Cross ( born 1975 ) , English footballer   Joseph Cross ( actor ) ( born 1986 ) , American actor   Kathryn Cross ( born 1991 ) , English cricketer   Karen Cross ( born 1974 ) , English tennis player   Kendall Cross ( wrestler ) ( born 1968 ) , American wrestler   Kenneth Cross ( 1911 -- 2003 ) , Royal Air Force commander   Lave Cross ( 1866 -- 1927 ) , American baseball player   Lloyd Cross , American physicist and holographer   Malcolm Cross , Scottish rugby footballer   Manfred Cross ( born 1929 ) , Australian politician   Marcia Cross ( born 1962 ) , American actress   Mark Cross ( disambiguation )   Martin Cross ( born 1957 ) , British oarsman   Merv Cross , Australian doctor and former rugby league footballer   Mike Cross ( disambiguation )   Milton Cross ( 1897 -- 1975 ) , American radio announcer , opera expert   Monte Cross ( 1869 -- 1934 ) , American baseball player   Neil Cross ( born 1969 ) , British novelist and scriptwriter   Niki Cross ( born 1985 ) , American footballer   Nicky Cross ( born 1961 ) , English footballer    O -- R ( edit )    Paul Cross ( disambiguation )   Philip Cross ( 1826 -- 1888 ) , British murderer   R.A. Cross , 1st Viscount Cross ( 1823 -- 1914 ) , British statesman and Conservative politician   Randy Cross ( born 1954 ) , American football analyst and former NFL lineman   Richard Cross ( disambiguation )   Rob Cross ( basketball ) , basketball coach   Rob Cross ( darts player ) ( born 1990 ) , English darts player   Robert Thomas Cross ( 1850 -- 1923 ) , English astrologer   Roger Cross ( born 1969 ) , Canadian actor   Sir Ronald Cross , 1st Baronet ( 1896 -- 1968 ) , English politician and diplomat   Ronald Anthony Cross ( 1937 -- 2006 ) , American author   Roy Cross ( footballer ) ( born 1947 ) , English footballer   Rupert Cross ( 1912 -- 1980 ) , English jurist   Ryan Cross ( born 1979 ) , Australian rugby footballer    S -- Z ( edit )    Stan Cross ( 1888 -- 1977 ) , Australian strip and political cartoonist   Steve Cross ( footballer ) ( born 1959 ) , English footballer   Tara Cross-Battle ( born 1968 ) , American volleyball player   Terry M. Cross , American Coast Guard Admiral 2004 -- 2006   Tim Cross ( born 1951 ) , retired British Army officer   Tom Cross ( politician ) ( born 1958 ) , American politician   Tom Cross ( rugby ) ( born 1876 ) , New Zealand rugby footballer   Tom Peete Cross ( 1897 -- 1951 ) , American Celticist and folklorist   Tracy L. Cross ( born 1958 ) , American psychologist and academic   Travis Cross ( born 1980 ) , Canadian wrestler   Ulric Cross ( 1917 -- 2013 ) , Trinidadian lawyer , diplomat and RAF navigator   Veronica Ann Cross , English beauty queen   Wilbur Lucius Cross ( 1862 -- 1948 ) , American educator and politician   Wilbur Cross , American author   William Cross ( disambiguation )   Zora Cross ( 1890 -- 1964 ) , Australian poet    Characters ( edit )    Angela Cross , a fictional character from 2003 video game Ratchet &amp; Clank : Going Commando   Alex Cross , a fictional character and the protagonist in the James Patterson Alex Cross series of novels   Carland Cross , a fictional character and the protagonist of the Carland Cross TV series and novels   Cora Cross , a fictional character from the BBC soap opera EastEnders   Gina Cross , a fictional character in the Half Life video game series   Gideon Cross , a fictional character in the book series Crossfire , series by Sylvia Day   Jack Cross , a fictional character from the comic book series of the same name   James Cross , a fictional character in the TV series Callan   Noah Cross , a fictional character and villain in the 1974 film Chinatown   Rainie Cross , a fictional character from the BBC soap opera EastEnders   Sergeant Cross , a fictional character featured in the Need for Speed : Most Wanted and Need for Speed : Carbon video games        This page lists people with the surname Cross . If an internal link intending to refer to a specific person led you to this page , you may wish to change that link by adding the person 's given name ( s ) to the link .    Retrieved from `` https://en.wikipedia.org/w/index.php?title=Cross_(surname)&amp;oldid=818152166 '' Categories :   Surnames   Hidden categories :   Articles lacking sources from November 2014   All articles lacking sources   All set index articles           Talk                                           Contents                   About Wikipedia                                           Brezhoneg   Deutsch   Edit links   This page was last edited on 1 January 2018 , at 22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</si>
  <si>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last name cross come from</t>
  </si>
  <si>
    <t xml:space="preserve"> Cross is an English topographic surname for someone who lived on a road near a stone cross . </t>
  </si>
  <si>
    <t xml:space="preserve">2017 FIFA U-17 World Cup - wikipedia  2017 FIFA U-17 World Cup  Jump to : navigation , search  2017 FIFA U-17 World Cup   २०१७ फीफा अंडर - १७ विश्व कप         Tournament details     Host country   India     Dates   6 -- 28 October     Teams   24 ( from 6 confederations )     Venue ( s )   6 ( in 6 host cities )     Final positions     Champions   England ( 1st title )     Runners - up   Spain     Third place   Brazil     Fourth place   Mali     Tournament statistics     Matches played   52     Goals scored   183 ( 3.52 per match )     Attendance   1,347,133 ( 25,906 per match )     Top scorer ( s )   Rhian Brewster ( 8 goals )     Best player   Phil Foden     Best goalkeeper   Gabriel Brazão     Fair play award   Brazil     ← 2015 2019 →     The 2017 FIFA U-17 World Cup was the 17th FIFA U-17 World Cup , a biennial international football tournament contested by men 's under - 17 national teams . Organized by FIFA , the tournament took place in India between 6 and 28 October 2017 , after the country was awarded the hosting rights on 5 December 2013 . The tournament marked the first time India have hosted a FIFA tournament and the first Asian hosted U-17 World Cup since 2013 . The attendance for this World Cup was a record 1,347,133 surpassing China 's 1985 edition where it was 1,230,976 .   The matches were played in six stadiums in six host cities around the country , with the final taking place at the Salt Lake Stadium in Kolkata , West Bengal . Twenty - three teams , besides the host India , managed to qualify for the tournament via participating in their various continental under - 17 tournaments . In the first round of the tournament finals , the teams competed in round - robin groups of four for points , where the top two teams in each group along with the top four third placed teams would advance to the next round . These 16 teams will advance to the knockout stage , where three rounds of play will decide which teams would participate in the final .   The reigning FIFA U-17 World Cup champions , Nigeria , did not have the opportunity to defend their title after failing to qualify for this edition . In failing to qualify , Nigeria became the first incumbent title holder since Switzerland in 2009 to fail to qualify for the subsequent edition .   England won the U-17 World Cup for the first time after coming back from a two - goal deficit and beating Spain 5 -- 2 in the final . This meant England became the second nation , after Brazil in 2003 , to win both of FIFA 's under - age ( U-20 and U-17 ) World Cup tournaments in the same calendar year . England has also become the third country , after Brazil and North Korea , to win both U-17 and U-20 World Cup in their respective gender tournaments on the same year , as North Korea had also won both U-17 and U-20 Women 's World Cup last year. The Official Match Ball of the Tournament is Adidas Krasava .     Contents  ( hide )   1 Host selection   2 Qualified teams   3 Organization   3.1 Preparation   3.2 Emblem   3.3 Tickets     4 Attendance   5 Venues   6 Draw   7 Referees   8 Squads   9 Group stage   9.1 Group A   9.2 Group B   9.3 Group C   9.4 Group D   9.5 Group E   9.6 Group F   9.7 Ranking of third - placed teams     10 Knockout stage   10.1 Bracket   10.2 Round of 16   10.3 Quarter - finals   10.4 Semi-finals   10.5 Third place play - off   10.6 Final     11 Awards   12 Final ranking   13 Goalscorers   14 Broadcasting   15 Notes   16 References   17 External links      Host selection ( edit )   The bids for the 2017 FIFA U-17 World Cup had to be submitted by 15 November 2013 . On 28 May 2013 it was announced by FIFA that Azerbaijan , India , Republic of Ireland , and Uzbekistan would bid for the hosting rights .   Finally , on 5 December 2013 , FIFA announced that India had won the 2017 FIFA U-17 World Cup hosting rights. goal   Qualified teams ( edit )   As host , India made their first ever appearance at the FIFA U-17 World Cup and their first appearance in the World Cup at any age level . As well as India , New Caledonia and Niger also made their first appearance in the FIFA U-17 World Cup .   The previous U-17 World Cup title holders , Nigeria , failed to qualify for this edition . In failing to qualify , Nigeria became the first nation since Switzerland in 2009 to fail to qualify for the next edition of the FIFA U-17 World Cup after winning the previous edition .   A total of 24 teams qualified for the final tournament . In addition to India , the other 23 teams qualified from six separate continental competitions . Starting from 2017 , the Oceania Football Confederation ( OFC ) will receive an additional spot ( in total two spots ) , while UEFA will have five instead of six spots .     Confederation   Qualifying Tournament   Qualifier ( s )     AFC ( Asia )   Host Nation   India     2016 AFC U-16 Championship   Iraq Iran Japan North Korea     CAF ( Africa )   2017 Africa U-17 Cup of Nations   Ghana Guinea Mali Niger     CONCACAF ( Central , North America and Caribbean )   2017 CONCACAF U-17 Championship   Costa Rica Honduras Mexico United States     CONMEBOL ( South America )   2017 South American Under - 17 Championship   Brazil Chile Colombia Paraguay     OFC ( Oceania )   2017 OFC U-17 Championship   New Caledonia New Zealand     UEFA ( Europe )   2017 UEFA European Under - 17 Championship   England France Germany Spain Turkey      1. ^ Teams that will make their debut .    Organization ( edit )   Preparation ( edit )   The six venues selected for the tournament were given major renovations prior to the FIFA U-17 World Cup . All the stadiums were given new bucket seats , new dressing rooms , new evacuation exits for fans , and new training grounds . Javier Ceppi , the Local Organising Committee director , stated that despite work starting slowly , things eventually became quicker . `` It has been a long process in the last two and half years . In India , it takes time to start things but once things start it kind of picks its own pace and in terms of implementation I always say that India is a very good country when it comes to implementation . ''   Emblem ( edit )   The official emblem for the tournament was launched on 27 September 2016 at a hotel in Goa during the 2016 AFC U-16 Championship . According to the press release from FIFA the emblem was designed `` as a celebration of the country 's richness and diversity of cultures , with the main elements of the Indian Ocean , the banyan tree , the kite and the starburst , which is an interpretation of the Ashoka Chakra , an integral part of the national identity . ''   Tickets ( edit )   Sales of tickets for the FIFA U-17 World Cup began on 16 May 2017 during a function in Delhi . Carles Puyol was present during the ticket sales launch as special guest . General ticket sales officially began on 17 May 2017 at 19 : 11 . The time was selected as a tribute to when Mohun Bagan defeated East Yorkshire Regiment in the IFA Shield in 1911 , marking the first time an Indian football club defeated a British side in British India . Tickets for the tournament were sold in four phases : Phase one only sold tickets for categories 1 to 3 at each venue with a 60 % discount while phase two allowed people to buy tickets for all categories , but only if you are a Visa card holder , at a 50 % discount . Phase three allowed anyone to buy tickets with a 25 % discount while phase four had tickets at full price . The attendance for matches breached the million mark in the final match of the Round of 16 , which made India only the third nation after China and Mexico to register an attendance of over a million for the event . On 28 October 2017 , in the 3rd place match - up between Brazil and Mali , India finally beat the existing record of 1,230,976 set in the 1985 FIFA U-16 World Championship edition in China on October 28 , 2017 . The final attendance figures were 1,347,133 .   Attendance ( edit )   Attendance for each game is listed below .     Date   Venue   Match   Attendance     6 October   New Delhi   Colombia vs Ghana   24,300     6 October   Navi Mumbai   New Zealand vs Turkey   9,727     6 October   New Delhi   India vs USA   46,351     6 October   Navi Mumbai   Paraguay vs Mali   25,342     7 October   Goa   Germany vs Costa Rica   12,329     7 October   Kochi   Brazil vs Spain   21,362     7 October   Goa   Iran vs Guinea   12,329     7 October   Kochi   Korea DPR vs Niger   2,754     8 October   Guwahati   New Caledonia vs France   12,640     8 October   Kolkata   Chile vs England   46,154     8 October   Guwahati   Honduras vs Japan   13,285     8 October   Kolkata   Iraq vs Mexico   55,800     9 October   Delhi   Ghana vs USA   17,500     9 October   Navi Mumbai   Turkey vs Mali   18,323     9 October   Delhi   India vs Colombia   48,184     9 October   Navi Mumbai   Paraguay vs New Zealand   20,887     10 October   Goa   Costa Rica vs Guinea   6,717     10 October   Kochi   Spain vs Niger   7,926     10 October   Goa   Iran vs Germany   8,267     10 October   Kochi   Korea DPR vs Brazil   15,314     11 October   Guwahati   France vs Japan   9,575     11 October   Kolkata   England vs Mexico   48,620     11 October   Guwahati   Honduras vs New Caledonia   11,002     11 October   Kolkata   Iraq vs Chile   50,286     12 October   New Delhi   Mali vs New Zealand   23,112     12 October   Navi Mumbai   Turkey vs Paraguay   8,895     12 October   New Delhi   Ghana vs India   52,614     12 October   Navi Mumbai   USA vs Colombia   22,263     13 October   Goa   Costa Rica vs Iran   8,549     13 October   Kochi   Guinea vs Germany   9,250     13 October   Goa   Niger vs Brazil   15,830     13 October   Kochi   Spain vs Korea DPR   14,544     14 October   Guwahati   France vs Honduras   12,831     14 October   Kolkata   Japan vs New Caledonia   44,665     14 October   Guwahati   Mexico vs Chile   15,794     14 October   Kolkata   England vs Iraq   56,372     16 October   New Delhi   Colombia vs Germany   19,477     16 October   New Delhi   Paraguay vs USA   34,895     17 October   Goa   Iran vs Mexico   5,529     17 October   Guwahati   France vs Spain   13,316     17 October   Kolkata   England vs Japan   53,302     17 October   Goa   Mali vs Iraq   9,240     18 October   Navi Mumbai   Ghana vs Niger   21,286     18 October   Kochi   Brazil vs Honduras   20,668     21 October   Guwahati   Mali vs Ghana   3,706     21 October   Goa   USA vs England   16,148     22 October   Kochi   Spain vs Iran   28,436     22 October   Kolkata   Germany vs Brazil   66,613     25 October   Kolkata   Brazil vs England   63,881     25 October   Navi Mumbai   Spain vs Mali   37,847     28 October   Kolkata   Mali vs Brazil   56,422     28 October   Kolkata   England vs Spain   66,684     Venues ( edit )   After being awarded the hosting rights for the FIFA U-17 World Cup , eight locations were shortlisted : Bangalore , Delhi , Goa , Guwahati , Kochi , Kolkata , Mumbai , and Pune . On 29 May 2015 , Bangalore , Chennai , Delhi , Goa , and Pune were provisionally selected as host locations . On 27 October 2016 , FIFA officially announced Delhi , Goa , Guwahati , Kochi , Kolkata , and New Mumbai as the official host cities for the FIFA U-17 World Cup .     Kolkata   Kochi   New Delhi     Salt Lake Stadium   Jawaharlal Nehru Stadium   Jawaharlal Nehru Stadium     Capacity : 66,600   Capacity : 29,000   Capacity : 58,000             Navi Mumbai New Delhi Kolkata Kochi Margao Guwahati 2017 FIFA U-17 World Cup ( India )     Navi Mumbai   Guwahati   Margao     DY Patil Stadium   Indira Gandhi Athletic Stadium   Fatorda Stadium     Capacity : 41,000   Capacity : 23,800   Capacity : 16,200             Draw ( edit )   The draw for the FIFA U-17 World Cup was held on 7 July 2017 in Mumbai . The draw was attended by former U-17 World Cup champions Nwankwo Kanu ( Nigeria ) and Esteban Cambiasso ( Argentina ) , as well as India senior international Sunil Chhetri and badminton player P.V. Sindhu .   The 24 teams were drawn into six groups of four teams , with hosts India being allocated to position A1 . The rest of the teams were allocated into their respective pots based on a ranking which was built according to past performances during the last five FIFA U-17 World Cups . Importance was given to the most recent U-17 World Cups .     Pot 1   Pot 2   Pot 3   Pot 4       India   Mexico   Brazil   Germany   Mali   France       Spain   Japan   New Zealand   England   Iran   United States       Costa Rica   North Korea   Honduras   Iraq   Turkey   Colombia       Chile   Paraguay   Ghana   Guinea   Niger   New Caledonia       Referees ( edit )   FIFA 's Referees ' Committee selected 21 referees , representing all six confederations , to officiate at the U-17 World Cup : Seven from UEFA , four from CONMEBOL , three each from the AFC , CAF , and CONCACAF , and one from the OFC . No referee from host country India were selected to officiate .     Confederation   Referee   Assistant referees   Support referee     AFC   Muhammad Taqi   Lee Tzu Liang Koh Min Kiat   Ri Hyang - ok     Ryuji Sato   Toru Sagara Hiroshi Yamauchi     Nawaf Shukralla   Yaser Tulefat Ebrahim Saleh     CAF   Mehdi Abid Charef   Albdelhak Etchiali Anouar Hmila   Gladys Lengwe     Hamada Nampiandraza   Arsenio Marengula Yahaya Mahamadou     Bamlak Tessema Weyesa   Olivier Safari Mark Ssonko     CONCACAF   Jair Marrufo   Frank Anderson Corey Rockwell   Carol Chenard     Ricardo Montero   Octavio Jara Juan Carlos Mora     John Pitti   Gabriel Victoria Christian Ramírez     CONMEBOL   José Argote   Luis Murillo Carlos López   Claudia Umpierrez     Enrique Cáceres   Eduardo Cardozo Juan Zorrilla     Sandro Ricci   Emerson de Carvalho Marcelo Van Gasse     Gery Vargas   Juan Pablo Montaño Jose Alberto Antelo     OFC   Abdelkader Zitouni   Folio Moeaki Bernard Mutukera   Anna - Marie Keighley     UEFA   Ovidiu Hațegan   Octavian Șovre Sebastian Gheorghe   Kateryna Monzul Esther Staubli     Bobby Madden   David McGeachie Alastair Mather     Anastasios Sidiropoulos   Polychronis Kostaras Lazaros Dimitriadis     Artur Soares Dias   Rui Barbosa Tavares Paulo Alexandre Santos Soares     Anthony Taylor   Gary Beswick Adam Nunn     Clément Turpin   Nicolas Danos Cyril Gringore     Slavko Vinčić   Tomaz Klancnik Andraz Kovacic     Squads ( edit )  For more details on this topic , see 2017 FIFA U-17 World Cup squads .  Each team 's squad for the FIFA U-17 World Cup will consist of 21 players . Each participating national association had to confirm their final 21 - player squad by 21 September 2017 . A total of 504 players will be participating in the tournament . The squads were announced by FIFA on 26 September 2017 .   Group stage ( edit )   The top two teams of each group and the four best third - placed teams advance to the round of 16 . The rankings of teams in each group are determined as follows ( regulations Article 17.7 ) :    points obtained in all group matches ;   goal difference in all group matches ;   number of goals scored in all group matches ;    If two or more teams are equal on the basis of the above three criteria , their rankings are determined as follows :    points obtained in the group matches between the teams concerned ;   goal difference in the group matches between the teams concerned ;   number of goals scored in the group matches between the teams concerned ;   fair play points :   first yellow card : minus 1 point ;   indirect red card ( second yellow card ) : minus 3 points ;   direct red card : minus 4 points ;   yellow card and direct red card : minus 5 points ;     drawing of lots by the FIFA Organising Committee .    All times are local , IST ( UTC + 5 : 30 ) .   Group A ( edit )     Pos   Team           Pld         GF   GA   GD   Pts   Qualification       Ghana       0     5     + 4   6   Knockout stage       Colombia       0     5     + 2   6       United States       0     5     + 2   6       India ( H )     0   0       9   − 8   0      Source : FIFA ( H ) Host .  Colombia v Ghana     6 October 2017 ( 2017 - 10 - 06 ) 17 : 00       Colombia   0 -- 1   Ghana       Report     Ibrahim 39 '         Jawaharlal Nehru Stadium , New Delhi Attendance : 24,300 Referee : Clément Turpin ( France )     India v United States     6 October 2017 ( 2017 - 10 - 06 ) 20 : 00       India   0 -- 3   United States       Report     Sargent 30 ' ( pen . )   Durkin 51 '   Carleton 84 '         Jawaharlal Nehru Stadium , New Delhi Attendance : 46,351 Referee : Gery Vargas ( Bolivia )     Ghana v United States     9 October 2017 ( 2017 - 10 - 09 ) 17 : 00       Ghana   0 -- 1   United States       Report     Akinola 75 '         Jawaharlal Nehru Stadium , New Delhi Attendance : 17,500 Referee : Anastasios Sidiropoulos ( Greece )     India v Colombia     9 October 2017 ( 2017 - 10 - 09 ) 20 : 00       India   1 -- 2   Colombia       Thounaojam 82 '     Report     Peñaloza 49 ' , 83 '         Jawaharlal Nehru Stadium , New Delhi Attendance : 48,184 Referee : Ricardo Montero ( Costa Rica )     Ghana v India     12 October 2017 ( 2017 - 10 - 12 ) 20 : 00       Ghana   4 -- 0   India       Ayiah 43 ' , 52 '   Danso 86 '   Toku 87 '     Report         Jawaharlal Nehru Stadium , New Delhi Attendance : 52,614 Referee : Abdelkader Zitouni ( Tahiti )     United States v Colombia     12 October 2017 ( 2017 - 10 - 12 ) 20 : 00       United States   1 -- 3   Colombia       Acosta 24 '     Report     Vidal 3 '   Peñaloza 67 '   D. Caicedo 87 '         DY Patil Stadium , Navi Mumbai Attendance : 22,263 Referee : Artur Soares Dias ( Portugal )     Group B ( edit )     Pos   Team           Pld         GF   GA   GD   Pts   Qualification       Paraguay       0   0   10   5   + 5   9   Knockout stage       Mali       0     8     + 4   6       New Zealand     0         8   − 4           Turkey     0         7   − 5      Source : FIFA  New Zealand v Turkey     6 October 2017 ( 2017 - 10 - 06 ) 17 : 00       New Zealand   1 -- 1   Turkey       Mata 58 '     Report     Kutucu 18 '         DY Patil Stadium , Navi Mumbai Attendance : 9,727 Referee : John Pitti ( Panama )     Paraguay v Mali     6 October 2017 ( 2017 - 10 - 06 ) 20 : 00       Paraguay   3 -- 2   Mali       Galeano 12 '   Sánchez 17 '   Rodríguez 55 ' ( pen . )     Report     Dramé 20 '   Ndiaye 34 '         DY Patil Stadium , Navi Mumbai Attendance : 25,342 Referee : Artur Soares Dias ( Portugal )     Turkey v Mali     9 October 2017 ( 2017 - 10 - 09 ) 17 : 00       Turkey   0 -- 3   Mali       Report     D. Traoré 38 '   Ndiaye 68 '   Konaté 86 '         DY Patil Stadium , Navi Mumbai Attendance : 18,323 Referee : Muhammad Taqi ( Singapore )     Paraguay v New Zealand     9 October 2017 ( 2017 - 10 - 09 ) 20 : 00       Paraguay   4 -- 2   New Zealand       Rodríguez 2 '   Vega 75 ' , 78 '   Armoa 90 + 1 '     Report     Duarte 20 ' ( o.g. ) , 34 ' ( o.g. )         DY Patil Stadium , Navi Mumbai Attendance : 20,877 Referee : Bamlak Tessema Weyesa ( Ethiopia )     Turkey v Paraguay     12 October 2017 ( 2017 - 10 - 12 ) 17 : 00       Turkey   1 -- 3   Paraguay       Kesgin 90 + 3 '     Report     Bogado 41 '   Cardozo 43 '   Galeano 61 '         DY Patil Stadium , Navi Mumbai Attendance : 8,895 Referee : Ryuji Sato ( Japan )     Mali v New Zealand     12 October 2017 ( 2017 - 10 - 12 ) 17 : 00       Mali   3 -- 1   New Zealand       Salam 18 '   D. Traoré 50 '   Ndiaye 82 '     Report     Spragg 72 '         Jawaharlal Nehru Stadium , New Delhi Attendance : 23,112 Referee : Anastasios Sidiropoulos ( Greece )     Group C ( edit )     Pos   Team           Pld         GF   GA   GD   Pts   Qualification       Iran       0   0   10     + 9   9   Knockout stage       Germany       0     5   6   − 1   6       Guinea     0         8   − 4           Costa Rica     0         7   − 4      Source : FIFA  Germany v Costa Rica     7 October 2017 ( 2017 - 10 - 07 ) 17 : 00       Germany   2 -- 1   Costa Rica       Arp 21 '   Awuku 89 '     Report     Gómez 64 '         Fatorda Stadium , Margao Attendance : 12,329 Referee : Mehdi Abid Charef ( Algeria )     Iran v Guinea     7 October 2017 ( 2017 - 10 - 07 ) 20 : 00       Iran   3 -- 1   Guinea       Sayyad 59 '   Sharifi 70 ' ( pen . )   Karimi 90 '     Report     Touré 90 + 1 '         Fatorda Stadium , Margao Attendance : 12,329 Referee : José Argote ( Venezuela )     Costa Rica v Guinea     10 October 2017 ( 2017 - 10 - 10 ) 17 : 00       Costa Rica   2 -- 2   Guinea       Jarquin 26 '   Gómez 67 '     Report     Touré 30 '   I. Soumah 81 '         Fatorda Stadium , Margao Attendance : 6,717 Referee : Bobby Madden ( Scotland )     Iran v Germany     10 October 2017 ( 2017 - 10 - 10 ) 20 : 00       Iran   4 -- 0   Germany       Delfi 6 ' , 42 '   Sayyad 49 '   Namdari 75 '     Report         Fatorda Stadium , Margao Attendance : 8,267 Referee : Jair Marrufo ( United States )     Costa Rica v Iran     13 October 2017 ( 2017 - 10 - 13 ) 17 : 00       Costa Rica   0 -- 3   Iran       Report     Ghobeishavi 25 ' ( pen . )   Shariati 29 ' ( pen . )   Sardari 89 '         Fatorda Stadium , Margao Attendance : 8,549 Referee : Hamada Nampiandraza ( Madagascar )     Guinea v Germany     13 October 2017 ( 2017 - 10 - 13 ) 17 : 00       Guinea   1 -- 3   Germany       I. Soumah 26 '     Report     Arp 8 '   Kühn 62 '   Cetin 90 + 2 ' ( pen . )         Jawaharlal Nehru Stadium , Kochi Attendance : 9,250 Referee : John Pitti ( Panama )     Group D ( edit )     Pos   Team           Pld         GF   GA   GD   Pts   Qualification       Brazil       0   0   6     + 5   9   Knockout stage       Spain       0     7     + 5   6       Niger       0       6   − 5         North Korea     0   0     0   5   − 5   0      Source : FIFA  Brazil v Spain     7 October 2017 ( 2017 - 10 - 07 ) 17 : 00       Brazil   2 -- 1   Spain       Lincoln 25 '   Paulinho 45 + 1 '     Report     Wesley 5 ' ( o.g. )         Jawaharlal Nehru Stadium , Kochi Attendance : 21,362 Referee : Nawaf Shukralla ( Bahrain )     North Korea v Niger     7 October 2017 ( 2017 - 10 - 07 ) 20 : 00       North Korea   0 -- 1   Niger       Report     Abdourahmane 59 '         Jawaharlal Nehru Stadium , Kochi Attendance : 2,754 Referee : Abdelkader Zitouni ( Tahiti )     Spain v Niger     10 October 2017 ( 2017 - 10 - 10 ) 17 : 00       Spain   4 -- 0   Niger       A. Ruiz 21 ' , 41 '   César 45 + 1 '   Gómez 82 '     Report         Jawaharlal Nehru Stadium , Kochi Attendance : 7,926 Referee : Enrique Cáceres ( Paraguay )     North Korea v Brazil     10 October 2017 ( 2017 - 10 - 10 ) 20 : 00       North Korea   0 -- 2   Brazil       Report     Lincoln 56 '   Paulinho 61 '         Jawaharlal Nehru Stadium , Kochi Attendance : 15,314 Referee : Slavko Vinčić ( Slovenia )     Spain v North Korea     13 October 2017 ( 2017 - 10 - 13 ) 20 : 00       Spain   2 -- 0   North Korea       Moha 4 '   César 71 '     Report         Jawaharlal Nehru Stadium , Kochi Attendance : 14,544 Referee : José Argote ( Venezuela )     Niger v Brazil     13 October 2017 ( 2017 - 10 - 13 ) 20 : 00       Niger   0 -- 2   Brazil       Report     Lincoln 4 '   Brenner 34 '         Fatorda Stadium , Margao Attendance : 15,830 Referee : Bobby Madden ( Scotland )     Group E ( edit )     Pos   Team           Pld         GF   GA   GD   Pts   Qualification       France       0   0   14     + 11   9   Knockout stage       Japan           8     + 4         Honduras       0     7   11   − 4         New Caledonia     0         13   − 11        Source : FIFA  New Caledonia v France     8 October 2017 ( 2017 - 10 - 08 ) 17 : 00       New Caledonia   1 -- 7   France       Wadenges 90 '     Report     Iwa 5 ' ( o.g. )   Gouiri 19 ' , 33 '   Gomes 30 '   Caqueret 40 '   Wanesse 43 ' ( o.g. )   Isidor 90 + 1 '         Indira Gandhi Athletic Stadium , Guwahati Attendance : 12,640 Referee : Hamada Nampiandraza ( Madagascar )     Honduras v Japan     8 October 2017 ( 2017 - 10 - 08 ) 20 : 00       Honduras   1 -- 6   Japan       Palacios 36 '     Report     Nakamura 22 ' , 30 ' , 43 '   Kubo 45 '   Miyashiro 51 '   Suzuki 90 '         Indira Gandhi Athletic Stadium , Guwahati Attendance : 13,285 Referee : Anthony Taylor ( England )     France v Japan     11 October 2017 ( 2017 - 10 - 11 ) 17 : 00       France   2 -- 1   Japan       Gouiri 13 ' , 71 '     Report     Miyashiro 73 ' ( pen . )         Indira Gandhi Athletic Stadium , Guwahati Attendance : 9,575 Referee : Gery Vargas ( Bolivia )     Honduras v New Caledonia     11 October 2017 ( 2017 - 10 - 11 ) 20 : 00       Honduras   5 -- 0   New Caledonia       Mejía 25 ' , 42 '   Canales 27 '   Palacios 51 ' , 88 '     Report         Indira Gandhi Athletic Stadium , Guwahati Attendance : 11,002 Referee : Mehdi Abid Charef ( Algeria )     France v Honduras     14 October 2017 ( 2017 - 10 - 14 ) 17 : 00       France   5 -- 1   Honduras       Isidor 14 '   Flips 23 ' , 64 '   Gouiri 86 '   Adli 90 + 6 '     Report     Mejía 10 '         Indira Gandhi Athletic Stadium , Guwahati Attendance : 12,831 Referee : Muhammad Taqi ( Singapore )     Japan v New Caledonia     14 October 2017 ( 2017 - 10 - 14 ) 17 : 00       Japan   1 -- 1   New Caledonia       Nakamura 7 '     Report     Jeno 83 '         Salt Lake Stadium , Kolkata Attendance : 44,665 Referee : Esther Staubli ( Switzerland )     Group F ( edit )     Pos   Team           Pld         GF   GA   GD   Pts   Qualification       England       0   0   11     + 9   9   Knockout stage       Iraq             5   − 1         Mexico     0           − 1         Chile     0       0   7   − 7        Source : FIFA  Chile v England     8 October 2017 ( 2017 - 10 - 08 ) 17 : 00       Chile   0 -- 4   England       Report     Hudson - Odoi 5 '   Sancho 51 ' , 60 '   Gomes 81 '         Salt Lake Stadium , Kolkata Attendance : 46,154 Referee : Ryuji Sato ( Japan )     Iraq v Mexico     8 October 2017 ( 2017 - 10 - 08 ) 20 : 00       Iraq   1 -- 1   Mexico       Dawood 16 '     Report     De la Rosa 51 '         Salt Lake Stadium , Kolkata Attendance : 55,800 Referee : Ovidiu Hațegan ( Romania )     England v Mexico     11 October 2017 ( 2017 - 10 - 11 ) 17 : 00       England   3 -- 2   Mexico       Brewster 39 '   Foden 48 '   Sancho 55 ' ( pen . )     Report     Lainez 65 ' , 72 '         Salt Lake Stadium , Kolkata Attendance : 48,620 Referee : Nawaf Shukralla ( Bahrain )     Iraq v Chile     11 October 2017 ( 2017 - 10 - 11 ) 20 : 00       Iraq   3 -- 0   Chile       Dawood 6 ' , 68 '   D. Valencia 81 ' ( o.g. )     Report         Salt Lake Stadium , Kolkata Attendance : 50,286 Referee : Clément Turpin ( France )     England v Iraq     14 October 2017 ( 2017 - 10 - 14 ) 20 : 00       England   4 -- 0   Iraq       Gomes 11 '   Smith - Rowe 57 '   Loader 59 ' , 71 '     Report         Salt Lake Stadium , Kolkata Attendance : 56,372 Referee : Jair Marrufo ( United States )     Mexico v Chile     14 October 2017 ( 2017 - 10 - 14 ) 20 : 00       Mexico   0 -- 0   Chile       Report         Indira Gandhi Athletic Stadium , Guwahati Attendance : 15,794 Referee : Slavko Vinčić ( Slovenia )     Ranking of third - placed teams ( edit )   The four best teams among those ranked third are determined as follows ( regulations Article 17.7 ) :    points obtained in all group matches ;   goal difference in all group matches ;   number of goals scored in all group matches ;   fair play points ;   drawing of lots by the FIFA Organising Committee .      Pos   Grp   Team           Pld         GF   GA   GD   Pts   Qualification         United States       0     5     + 2   6   Knockout stage         Honduras       0     7   11   − 4           Niger       0       6   − 5           Mexico     0           − 1       5     New Zealand     0         8   − 4         6     Guinea     0         8   − 4      Source : FIFA Notes :   ^ Jump up to : Ranked by disciplinary points ( New Zealand : -- 6 pts ; Guinea : -- 9 pts ) .     Combinations of matches in the Round of 16    The specific match - ups involving the third - placed teams depend on which four third - placed teams qualified for the round of 16 :  Combination according to the four qualified teams    Third - placed teams qualify from groups     1A vs   1B vs   1C vs   1D vs                 3C   3D   3A   3B                 3C   3A   3B   3E                 3C   3A   3B   3F                 3D   3A   3B   3E                 3D   3A   3B   3F                 3E   3A   3B   3F                 3C   3D   3A   3E                 3C   3D   3A   3F                 3C   3A   3F   3E                 3D   3A   3F   3E                 3C   3D   3B   3E                 3C   3D   3B   3F                 3E   3C   3B   3F                 3E   3D   3B   3F                 3C   3D   3F   3E     Knockout stage ( edit )   In the knockout stages , if a match is level at the end of normal playing time , no extra time shall be played and the winner shall be determined by a penalty shoot - out .   Bracket ( edit )       Round of 16     Quarter - finals     Semi-finals     Final                                       16 October -- New Delhi                           Colombia   0       22 October -- Kolkata       Germany           Germany         18 October -- Kochi         Brazil           Brazil           25 October -- Kolkata       Honduras   0         Brazil         16 October -- New Delhi         England           Paraguay   0       21 October -- Margao         United States   5         United States         17 October -- Kolkata         England           England ( pen . )   0 ( 5 )         28 October -- Kolkata       Japan   0 ( 3 )         England   5       17 October -- Margao         Spain         Mali   5       21 October -- Guwahati         Iraq           Mali         18 October -- New Mumbai         Ghana           Ghana           25 October -- New Mumbai       Niger   0         Mali         17 October -- Guwahati         Spain       Third place play - off       France         22 October -- Kochi     28 October -- Kolkata       Spain           Spain     Brazil         17 October -- Margao         Iran       Mali   0       Iran                 Mexico             Round of 16 ( edit )   Colombia v Germany     16 October 2017 ( 2017 - 10 - 16 ) 17 : 00       Colombia   0 -- 4   Germany       Report     Arp 7 ' , 65 '   Bisseck 39 '   Yeboah 49 '         Jawaharlal Nehru Stadium , New Delhi Attendance : 19,477 Referee : Nawaf Shukralla ( Bahrain )     Paraguay v United States     16 October 2017 ( 2017 - 10 - 16 ) 20 : 00       Paraguay   0 -- 5   United States       Report     Weah 19 ' , 53 ' , 77 '   Carleton 63 '   Sargent 74 '         Jawaharlal Nehru Stadium , New Delhi Attendance : 34,895 Referee : Ovidiu Hațegan ( Romania )     Iran v Mexico     17 October 2017 ( 2017 - 10 - 17 ) 17 : 00       Iran   2 -- 1   Mexico       Sharifi 7 ' ( pen . )   Sayyad 11 '     Report     De la Rosa 37 '         Fatorda Stadium , Margao Attendance : 5,529 Referee : Anthony Taylor ( England )     France v Spain     17 October 2017 ( 2017 - 10 - 17 ) 17 : 00       France   1 -- 2   Spain       Pintor 34 '     Report     Miranda 44 '   A. Ruiz 90 ' ( pen . )         Indira Gandhi Athletic Stadium , Guwahati Attendance : 13,316 Referee : Enrique Cáceres ( Paraguay )     England v Japan     17 October 2017 ( 2017 - 10 - 17 ) 20 : 00       England   0 -- 0   Japan       Report         Penalties         Brewster   Hudson - Odoi   Foden   Anderson   Kirby     5 -- 3     Sugawara   Miyashiro   Kida   Kozuki         Salt Lake Stadium , Kolkata Attendance : 53,302 Referee : José Argote ( Venezuela )     Mali v Iraq     17 October 2017 ( 2017 - 10 - 17 ) 20 : 00       Mali   5 -- 1   Iraq       Dramé 25 '   Ndiaye 33 ' , 90 + 4 '   Konaté 73 '   S. Camara 87 '     Report     Kareem 85 '         Fatorda Stadium , Margao Attendance : 9,240 Referee : Ricardo Montero ( Costa Rica )     Ghana v Niger     18 October 2017 ( 2017 - 10 - 18 ) 17 : 00       Ghana   2 -- 0   Niger       Ayiah 45 + 4 ' ( pen . )   Danso 90 '     Report         DY Patil Stadium , New Mumbai Attendance : 21,286 Referee : Artur Soares Dias ( Portugal )     Brazil v Honduras     18 October 2017 ( 2017 - 10 - 18 ) 20 : 00       Brazil   3 -- 0   Honduras       Brenner 11 ' , 56 '   Marcos Antônio 44 '     Report         Jawaharlal Nehru Stadium , Cochin Attendance : 20,668 Referee : Bamlak Tessema Weyesa ( Ethiopia )     Quarter - finals ( edit )   Mali v Ghana     21 October 2017 ( 2017 - 10 - 21 ) 17 : 00       Mali   2 -- 1   Ghana       Dramé 15 '   D. Traoré 61 '     Report     Mohammed K. 70 ' ( pen . )         Indira Gandhi Athletic Stadium , Guwahati Attendance : 3,706 Referee : Mehdi Abid Charef ( Algeria )     United States v England     21 October 2017 ( 2017 - 10 - 21 ) 20 : 00       United S</t>
  </si>
  <si>
    <t xml:space="preserve">which country's team has won the 2017 fifa under 17 worldcup</t>
  </si>
  <si>
    <t xml:space="preserve"> 2017 FIFA U-17 World Cup   २०१७ फीफा अंडर - १७ विश्व कप         Tournament details     Host country   India     Dates   6 -- 28 October     Teams   24 ( from 6 confederations )     Venue ( s )   6 ( in 6 host cities )     Final positions     Champions   England ( 1st title )     Runners - up   Spain     Third place   Brazil     Fourth place   Mali     Tournament statistics     Matches played   52     Goals scored   183 ( 3.52 per match )     Attendance   1,347,133 ( 25,906 per match )     Top scorer ( s )   Rhian Brewster ( 8 goals )     Best player   Phil Foden     Best goalkeeper   Gabriel Brazão     Fair play award   Brazil     ← 2015 2019 →   </t>
  </si>
  <si>
    <t xml:space="preserve">The Flash ( season 4 ) - wikipedia  The Flash ( season 4 )  Jump to : navigation , search    The Flash ( season 4 )     Promotional poster     Starring     Grant Gustin   Candice Patton   Danielle Panabaker   Carlos Valdes   Keiynan Lonsdale   Neil Sandilands   Tom Cavanagh   Jesse L. Martin       Country of origin   United States     No. of episodes   9     Release     Original network   The CW     Original release   October 10 , 2017 ( 2017 - 10 - 10 ) -- present ( present )     Season chronology     ← Previous Season 3     List of The Flash episodes     The fourth season of the American television series The Flash , which is based on the DC Comics character Barry Allen / Flash , follows a crime scene investigator with superhuman speed who fights criminals , including others who have also gained superhuman abilities . It is set in the Arrowverse , sharing continuity with the other television series of the universe , and is a spin - off of Arrow . The season is produced by Berlanti Productions , Warner Bros. Television , and DC Entertainment , with Andrew Kreisberg and Todd Helbing serving as showrunners .   The season was ordered in January 2017 , and filming began that July . Grant Gustin stars as Barry , with principal cast members Candice Patton , Danielle Panabaker , Carlos Valdes , Keiynan Lonsdale , Tom Cavanagh , and Jesse L. Martin also returning from previous seasons , and are joined by Neil Sandilands .   The fourth season began airing on October 10 , 2017 , on The CW .     Contents  ( hide )   1 Episodes   2 Cast and characters   2.1 Main   2.2 Recurring   2.3 Guest     3 Production   3.1 Development   3.2 Writing   3.3 Casting   3.4 Filming   3.5 Music   3.6 Arrowverse tie - ins     4 Release   4.1 Broadcast   4.2 Marketing     5 Reception   5.1 Ratings   5.2 Critical response     6 References   7 External links      Episodes ( edit )  See also : List of The Flash episodes    No . overall   No. in season   Title   Directed by   Written by   Original air date   Prod . code   U.S. viewers ( millions )     70     `` The Flash Reborn ''   Glen Winter   Story by : Andrew Kreisberg Teleplay by : Todd Helbing &amp; Eric Wallace   October 10 , 2017 ( 2017 - 10 - 10 )   T27. 13401   2.84     Iris has been aiding Team Flash in Central City for six months , but refusing to grieve Barry . A flying Samurai with superpowers appears in Central City , threatening to destroy the city if the real Flash does not face him . Cisco reveals he has formulated a way to bring back Barry without destabilizing the Speed Force , and tracks down Caitlin for help . Against Iris ' direction , Team Flash successfully returns Barry , who appears rambling random statements and continually writing symbols on walls . Wally engages the Samurai , but is defeated . Cisco deciphers Barry 's writings and finds an apparently meaningless sentence . In an attempt to recover Barry 's memories , Iris gives herself up to the Samurai . The plan works and Barry speeds away , rescuing Iris and defeating the Samurai , who is revealed to be a robot . Caitlin rejoins Team Flash , but is revealed to have been working for a mobster called Amunet at the bar , while also continuing to prevent the Killer Frost personality from emerging . The `` Samuroid '' is revealed to have been controlled by the Thinker , whose plan was to draw out the Flash for his next schemes .     71     `` Mixed Signals ''   Alexandra La Roche   Jonathan Butler &amp; Gabriel Garza   October 17 , 2017 ( 2017 - 10 - 17 )   T27. 13402   2.54     When Barry , Joe , and Cisco report to a crime scene , they discover remnants of a mysterious code . Cisco presents Barry with a technologically advanced suit , intended to facilitate his activities . He tests it out , trying to save someone from a haywire car , caused by metahuman Ramsey Deacon . Gypsy arrives on Earth - 1 for a date with Cisco , who is forced to cancel it so as to focus on Deacon . Acting on a suggestion from Caitlin , Iris signs her and Barry up for couples therapy to sort out their relationship . Deacon kidnaps a witness , who was previously a member of a tech team who sold him out of his idea . Barry and Wally go to save him , but Deacon uses his abilities to send Barry 's suit haywire . On Iris 's instructions , Barry throws lightning at himself , shorting out his suit . He then incapacitates Deacon , who is locked up in the meta wing of Iron Heights , revealed to be part of the Thinker 's plan . Cisco finally goes out with Gypsy . Wondering how Deacon gained his powers being absent during the particle accelerator incident , Barry and Joe learn from Deacon that there are `` others '' .     72     `` Luck Be a Lady ''   Armen V. Kevorkian   Sam Chalsen &amp; Judalina Neira   October 24 , 2017 ( 2017 - 10 - 24 )   T27. 13403   2.62     In flashbacks , the Thinker observes Becky Sharpe , a woman with seemingly unending bad luck , and determines that she will be easily manipulated . In the present , Becky robs a bank , and gets away when Barry slips on marbles . Harry arrives from Earth - 2 , and tells Wally that Jesse has decided to break up in order to focus on her vigilantism . Cisco deduces that Becky is a metahuman with the power of favorable luck while inducing misfortune to others . Barry realizes that the portal he used to escape the Speed Force exposed an entire busload of people , including Becky and Deacon , to transformative dark matter . Harry informs Cisco that Jesse has expelled him from her crime - fighting team due to his attitude . Becky 's powers expand out of control , reactivating the particle accelerator , which Harry deliberately allows , nullifying Becky 's powers and leading to her incarceration . Cisco and Harry identify twelve new metahumans created on the bus , and the latter suspects that an unknown party has manipulated events surrounding Barry 's return . Wally decides to leave on a journey to find himself . The Thinker is revealed to be spying on S.T.A.R. Labs through the `` Samuroid '' helmet . Joe learns Cecile is pregnant .     73     `` Elongated Journey Into Night ''   Tom Cavanagh   Sterling Gates &amp; Thomas Pound   October 31 , 2017 ( 2017 - 10 - 31 )   T27. 13404   1.99     Gypsy 's father , Breacher , attacks Cisco , vowing to hunt and kill him in 24 hours , allowing the romance should he survive . Team Flash learns that the bus driver was murdered and tracks down another passenger , Ralph Dibny , former corrupt CCPD detective exposed by Barry and currently an infamous private investigator . As two thugs attack Dibny , he is revealed to have the power to stretch . Caitlin stabilizes his powers with a serum . The team learns that Ralph has been blackmailing Mayor Bellows for adultery , with the latter revealed to have hired the thugs . Barry confronts Ralph for his actions while the latter scolds him , claiming to have been a `` good cop '' . He later stops blackmailing Bellows , who still attempts to kill him while Breacher mistakes the former for a Plastoid , the species that invaded Earth - 19 previously , and attacks him . Cisco intervenes and saves Ralph , whom Barry , having revealed his alter - ego , convinces to help arrest an escaping Bellows . Admiring Cisco 's gallantry , Breacher allows the relationship . Barry recruits Ralph for Team Flash and learns that someone named DeVoe instructed Ralph to watch Bellows . Barry remembers that Abra Kadabra and Savitar both mentioned DeVoe . Meanwhile , Caitlin finds a message on her apartment door .     74   5   `` Girls Night Out ''   Laura Belsey   Lauren Certo &amp; Kristen Kim   November 7 , 2017 ( 2017 - 11 - 07 )   T27. 13405   2.38     While failing to track DeVoe , Team Flash is visited by Felicity , who joins Iris 's bachelorette party . Mocking Cisco 's plans for Barry 's bachelor party , Ralph takes the men to a strip club , where they learn that Cecile 's daughter , Joanie , is working . Joe confronts her , who states she is only doing feminist research . Ralph incites a brawl , leading to the men 's arrest until Harry posts bail . Meanwhile , Amunet 's enforcer , Norvock , demands Caitlin 's return and attacks the women when she refuses . Killer Frost emerges and repels him , later telling Iris that Caitlin accepted Amunet 's employment in exchange for the means to control Frost . Learning that Amunet is holding a metahuman she calls `` the Weeper '' , whose tears are a strong narcotic , prisoner and intends to sell him , Iris 's party decides to stop her . Though Caitlin refuses to join , she attacks Amunet when seeing her friends in danger . Using a strong magnet , the team robs Amunet 's metal shards , leaving her powerless . Iris dissuades Frost from killing Amunet , who promises revenge . Both parties refuse to tell each other about their adventures . Iris asks Caitlin to be her maid of honor while Joe convinces Joanie to tell Cecile about her research . DeVoe captures the Weeper .     75   6   `` When Harry Met Harry ... ''   Brent Crowell   Jonathan Butler &amp; Gabriel Garza   November 14 , 2017 ( 2017 - 11 - 14 )   T27. 13406   2.46     Barry trains Ralph to use his abilities , with Cisco making a stretchable suit for him . Another bus metahuman , a Lakota Sioux Native named Mina Chayton , who can animate statues , starts attacking Central City &amp; stealing pieces of a Black Bison necklace , which she claims belongs to her tribe . When Barry and Ralph catch up to her , she attacks Barry with a caveman statue and attempts a getaway . Ralph chooses to stop her , but a little girl is injured in the process . Ralph regrets his actions , but is comforted by Barry . Chayton escapes CCPD , going after the last necklace piece held at the museum . When Barry and Ralph confront her , she brings a dinosaur skeleton to life . Barry arrests Chayton while Ralph saves a security guard from the skeleton . Later , Ralph reveals he mailed the necklace back to Chayton 's tribe , before visiting the little girl in the hospital , using his abilities to entertain her . Meanwhile , Harry , trying to make friends , works with his doppelgangers of alternate Earths , The Council of Wells . They figure out that DeVoe is a man named Clifford DeVoe . Barry and Joe head to DeVoe 's house , to find that he is a middle - aged man in a wheelchair .     76   7   `` Therefore I Am ''   David McWhirter   Eric Wallace &amp; Thomas Pound   November 21 , 2017 ( 2017 - 11 - 21 )   T27. 13407   2.20     Barry and Joe interrogate DeVoe and his wife to try and get more information . In flashbacks , DeVoe and his wife build a thinking cap to improve his brain capacity , powering it through the particle accelerator explosion . DeVoe 's increased brain power accelerates his amyotrophic lateral sclerosis , forcing his wife to build him a special chair to keep him alive . Barry discovers the camera in the Samuroid head and confronts DeVoe , who reveals his true identity , leading to Cisco dubbing him `` The Thinker '' . Wally returns to Team Flash from Blue Valley .     77   8   `` Crisis on Earth - X , Part 3 ''   Dermott Downs   Story by : Andrew Kreisberg &amp; Marc Guggenheim Teleplay by : Todd Helbing   November 28 , 2017 ( 2017 - 11 - 28 )   T27. 13408   2.82      Barry , Oliver , Sara , Alex , Martin and Jax wake up in a Nazi concentration camp on Earth - X , with power dampening handcuffs . The leader of the concentration camp is revealed to be the Earth - X doppelgänger of Quentin Lance , who takes them away for execution , before they are saved by Citizen Cold ( the Earth - X doppelgänger of Leonard Snart ) . Snart takes them to a resistance bunker , where the team meets fellow resistance fighters Ray Terrill and General Schott ( Winn Schott 's Earth - X doppelgänger ) . It is revealed the only way back to Earth - 1 is through a temporal gateway in a Nazi facility , which Winn plans to blow up to strand Dark Arrow ( Oliver 's Earth - X doppelgänger ) on Earth - 1 . Oliver disguises himself as Dark Arrow to infiltrate the facility , discovers the Nazi 's doomsday device against parallel Earths is a militarized timeship called Wellenreiter , and saves a prisoner ( who is Felicity 's Earth - X doppelgänger ) from Quentin . Barry and Ray battle the Earth - X Red Tornado , while the rest of the team enters the facility . In attempting to reactivate the gateway 's portal , Stein is shot and gravely wounded . Back on Earth - 1 , Thawne prepares to perform surgery on Kara to save Overgirl at S.T.A.R. Labs . Felicity and Iris try to stop him , but are captured .  This episode continues a crossover event that begins on Supergirl season 3 episode 8 and Arrow season 6 episode 8 , and concludes on Legends of Tomorrow season 3 episode 8 .     78   9   `` Do n't Run ''   Stefan Pleszczynski   Sam Chalsen &amp; Judalina Neira   December 5 , 2017 ( 2017 - 12 - 05 )   T27. 13409   2.22     While out Christmas shopping , Barry is ambushed and kidnapped by DeVoe while Caitlin is kidnapped from Jitters by Amunet . Iris claims they have to look for both of them , despite Wells ' claim that they have insufficient time and resources and that they can only afford to search for one . Barry is held in DeVoe 's lair . Caitlin is forced by Amunet to perform surgery on a metahuman named Dominic Lanse , who can read minds . They try to escape , but Amunet blocks their exit . Caitlin manages to briefly incapacitate Amunet , and she and Dominic flee the building they are being held in . Once outside , they are rescued by Cisco and Ralph , as Iris has chosen to focus on finding Caitlin . Barry manages to escape from DeVoe . Team Flash celebrates Christmas at the West house and Dominic joins them . Barry gets a security alert from his apartment . When he arrives , he receives a phone call from Dominic , who reveals that Amunet re-kidnapped Dominic and DeVoe has transferred his consciousness into Dominic 's body . Barry discovers DeVoe 's original body dead on his apartment floor and he realizes DeVoe has framed him for his `` murder '' ; the police arrive , and Barry lets himself get arrested , not wanting to leave Iris again .     79   10   `` The Trial of The Flash ''   TBA   TBA   January 16 , 2018 ( 2018 - 01 - 16 )   TBA   TBD     Kevin Smith will direct an episode of the season .   Cast and characters ( edit )  Main article : List of The Flash characters  Main ( edit )    Grant Gustin as Barry Allen / Flash   Candice Patton as Iris West   Danielle Panabaker as Caitlin Snow / Killer Frost   Carlos Valdes as Cisco Ramon / Vibe   Keiynan Lonsdale as Wally West / Kid Flash   Neil Sandilands as Clifford DeVoe / Thinker   Tom Cavanagh as Harrison `` Harry '' Wells   Jesse L. Martin as Joe West    Recurring ( edit )    Danielle Nicolet as Cecile Horton   Kim Engelbrecht as Marlize DeVoe / Mechanic   Jessica Camacho as Cynthia / Gypsy   Richard Brooks as Gregory Wolfe   Hartley Sawyer as Ralph Dibny / Elongated Man   Katee Sackhoff as Amunet Black / Blacksmith    Guest ( edit )    Britne Oldford as Shawna Baez / Peek - a-Boo   Mark Sweatman as Norvok   Patrick Sabongui as David Singh   Dominic Burgess as Ramsey Deacon / Kilg % re   Donna Pescow as Sharon Finkle   Sugar Lyn Beard as Rebecca Sharpe / Hazard   Chelsea Kurtz as Mina Chayton / Black Bison   Violett Beane as Jesse Chambers Wells / Jesse Quick   Danny Trejo as Josh / Breacher   Emily Bett Rickards as Felicity Smoak   Riley Jade Berglund as Joanie   Matt Afonso as Weeper   Stephen Amell as Oliver Queen / Green Arrow and Dark Arrow   Victor Garber as Martin Stein / Firestorm   Caity Lotz as Sara Lance / White Canary   Chyler Leigh as Alex Danvers   Franz Drameh as Jefferson Jackson / Firestorm   Paul Blackthorne as Quentin Lance / Sturmbannführer   Jeremy Jordan as General Schott   Juliana Harkavy as Dinah Drake / Black Canary   Melissa Benoist as Kara Zor - El / Kara Danvers / Supergirl and Overgirl   Wentworth Miller as Leonard Snart / Citizen Cold   Russell Tovey as Ray Terrill / The Ray   Frederick Schmidt voices Metallo - X   Kendrick Sampson as Dominic Lanse / Brainstorm   Anne Dudek as Tracy Brand    Production ( edit )   Development ( edit )   The series was renewed for a fourth season on January 8 , 2017 , earlier than usual for the series . Executive producer Andrew Kreisberg said on this , `` The great thing about our dear friends at The CW and Mark Pedowitz picking the shows up as early as they did has allowed us to start building the schedules for next season . '' In May 2017 , it was announced that Aaron Helbing would not return as an executive producer for season four , with only Greg Berlanti , Andrew Kreisberg , Sarah Schechter , and Todd Helbing returning from previous seasons . Todd Helbing and Kreisberg were slated to serve as the season 's showrunners . In November 2017 , Kreisberg was suspended from his role as executive producer and showrunner on The Flash over allegations of sexual harassment . By the end of the month , he had been fired , with his name eventually being removed from the credits from all shows he worked on . In addition , Berlanti would take additional responsibilities working with Helbing to co-showrun the season .   Writing ( edit )  The way I see it is , time is non-linear and everything is happening at once in the Speed Force . In some ways he 's had an awakening and he 's had a rebirth . Our first episode is called ' Reborn , ' and it is a rebirth for Barry , but he 's kind of scrambled , too , because he 's experienced so much so quick over the course of six months , even though for him it was an eternity . He 's not Barry when we see him for the first time . -- Grant Gustin on the rebirth of Barry in season four .  In March 2017 , Kreisberg confirmed that the main villain for the fourth season would not be a speedster , like the previous three seasons . Executive producers Aaron and Todd Helbing also mentioned that there would be less time travel in the season , with Aaron saying , `` We like playing with the timelines and the different time periods and future and past . For now , I think we 're going to focus on the present . '' In June 2017 , Clifford DeVoe / Thinker was reported to be the main antagonist of the season . He was first hinted in the third season episode `` Abra Kadabra '' when the titular villain mentions him among the Flash 's greatest enemies , and again in the season finale `` Finish Line '' when Savitar mentions facing DeVoe but states that the Flash has not dealt with him yet . At the series ' San Diego Comic - Con panel , the speculation was confirmed , with Todd Helbing saying , `` With three Speedsters in a row , this year it 's the fastest man alive against the fastest mind alive . '' He added that the writers were `` making a conscious effort this year to get the fun quotient back up '' .   Regarding the possibility of Wally West taking on the mantle of the Flash in Barry 's absence , Keiynan Lonsdale said that `` It 's not something that 's on my radar . I feel as though there is so much story to tell and Wally has so much growing to do ... We need to see how these character realistically get to where they are headed for . '' With the action picking up six months after season three , Kid Flash and Vibe are left to protect Central City , with Carlos Valdes saying `` the team is sort of clutching at straws to keep the city together , ... there is a unanimous feeling amongst the remaining members that it 's just not the same without Barry ... So in light of that , Cisco does whatever it takes to get his friends back . '' Valdes also confirmed the return of Cisco 's more lighthearted joking manner . Candice Patton explained Iris West 's larger role within Team Flash as `` a way of distracting herself , '' adding that `` ( Iris ) is forced to deal with that anger and resentment and abandonment by kind of focusing on protecting Central City ... We 're seeing a very different Iris , almost a very hardened Iris . '' Kreisberg also hinted at some major growth for Iris this season , and noted that `` the season premiere is all about Iris and Cisco , not Barry '' .   In July 2017 , Sterling Gates , DC Comics comic book writer , joined as a member of the fourth season 's writing staff . At the Television Critics Association press tour in August 2017 , Pedowitz stated that the fourth season of The Flash is `` going to try to find the lightness ... of the Barry Allen of the first two seasons , '' and said that the show was likely `` done with Speedster villains '' . Later in the month , Kreisberg confirmed the return of Harry Wells from Earth - 2 , saying that `` season 4 for Harry is really realizing what he 's missing in his life and what it is he needs to become a better , more complete person , and so he 's going to be going on a fairly epic emotional journey this season that is tied to the Thinker 's plan , '' in addition to confirming the introduction of a new version of the Wells character .   In September 2017 , Helbing noted `` There 's a lot of love in the air this season , '' and compared Barry and Iris ' reunion to `` somebody going off to war for six months and coming back . There 's a lot that Iris experienced that Barry did n't when he was gone , and it 's really ( about ) the fun and the emotional component of making up that time when they were n't together . '' Helbing also explained that the Speed Force `` let ( Barry ) deal with all of the baggage ( from the past three seasons ) . When he comes out , he 's sort of left that all behind . '' That month , Kreisberg also confirmed that Barry and Iris will be getting married this season , while also revealing that the pair will be going to couples therapy since `` ( they ) keep comically clashing inadvertently because ( both are ) used to being in charge , and so they wind up going ... to work through it . '' He added , `` The two of them with the therapist is some of the funniest stuff we have ever done on this show , but it also leads to a deepening of their relationship . ''   Casting ( edit )   Main cast members Grant Gustin , Candice Patton , Danielle Panabaker , Carlos Valdes , Keiynan Lonsdale , Tom Cavanagh , and Jesse L. Martin return from previous seasons as Barry Allen / The Flash , Iris West , Caitlin Snow / Killer Frost , Cisco Ramon / Vibe , Wally West / Kid Flash , Harrison Wells , and Joe West , respectively . Cavanagh will portray Harry Wells from Earth - 2 at the start of the season , without ruling out the possibility of introducing another incarnation of the Wells character later on . Teasing the arrival of a new Harrison Wells , Cavanagh said , `` We 're going to start with Harry and then find a way , I think , to try and get a different version of Wells in there , be it some version of Harry or whatnot as the season 's gaps present themselves . '' Also returning from earlier in the series are Jessica Camacho as Gypsy , and Anne Dudek as Tracy Brand . Tom Felton , who joined the cast as Julian Albert in the third season , was revealed not to be returning to the series , although there is a possibility he could return if the storyline demanded it and Felton 's availability permits . Julian 's absence will be addressed `` pretty quickly -- there 's a reason why he 's no longer with the team , '' said Helbing . In the season premiere , Julian is revealed to have returned to London . Kreisberg also confirmed that he had put on hold the planned return of Violett Beane as Jesse Quick due to the high number of speedsters on the show , but did not rule out a possible return in the future . Beane eventually appeared as Jesse on the episode `` Luck Be a Lady '' . Britne Oldford , who previously appeared as Shawna Baez / Peek - a-Boo in the first season and the web series The Chronicles of Cisco , reprised her role in the season premiere .   In July 2017 , Neil Sandilands was announced to be cast as Clifford DeVoe , a metahuman genius who embarks on a seasonlong battle with the Flash in order to fix all that he deems wrong with humanity ; while Kim Engelbrecht was announced as The Mechanic , Devoe 's right hand and a highly intelligent engineer who designs devices for him ; and Danny Trejo as Breacher , a bounty hunter from Earth - 19 and the father of Gypsy . Also in June , the series was looking to cast a role that `` should put the visual effects department to the test '' , with the role later revealed to be Ralph Dibny / Elongated Man , a metahuman with the ability to stretch his body to superhuman lengths and sizes . Hartley Sawyer was cast in the recurring role that July as the fast - talking private investigator who after discovering his abilities will help Team Flash solve one of Central City 's greatest mysteries . The character was previously mentioned in the first season , as one of the fourteen people who seemingly died as a result of the particle accelerator explosion . The next month , Katee Sackhoff was announced in the recurring role of Amunet Black / Blacksmith , who operates an underground black market of metahuman supervillains .   Filming ( edit )   Filming for the season began on July 4 , 2017 , in Vancouver , British Columbia , and is set to conclude on April 21 , 2018 . Kevin Smith will return to direct an episode in January 2018 .   Music ( edit )   In August 2017 , series composer Blake Neely and Nathaniel Blume began to compose the music for the fourth season .   Arrowverse tie - ins ( edit )   In May 2017 , The CW president Mark Pedowitz officially announced plans for a four - show Arrowverse crossover event , crossing over episodes of the television series Supergirl , The Flash , Legends of Tomorrow , and Arrow . The crossover will begin with Supergirl and a special airing of Arrow on November 27 , 2017 , and conclude on The Flash and Legends of Tomorrow on November 28 . In August 2017 , Berlanti noted that it would be `` a big life event for a few different people '' that would bring them all together for the crossover , adding `` There are many life events that happen . '' Arrow actress Emily Bett Rickards appears as Felicity Smoak in the fifth episode of the season .   Release ( edit )   Broadcast ( edit )   The season began airing on October 10 , 2017 , on The CW in the United States , and on CTV in Canada .   Marketing ( edit )   In July 2017 , cast from the series appeared at San Diego Comic - Con International to promote the season , where exclusive footage was shown . During the panel , a trailer for the season was shown , with James Whitbrook at io9 feeling that despite the `` grim '' tone , there was `` some fun signs of the team coming together to protect the city without ( Barry ) , ... Sprinkle in a few wacky things , like , say a goddamn Samuroid ripped straight from the comics , and ladies and gents , you 've got a good season of The Flash lined up . '' Ben Pearson with / Film felt seeing Iris West deal with the absence of Barry was `` a nice change of pace for that character '' , but anticipated that `` Barry ( would ) be back two or three episodes in at the latest . '' Collider.com 's Allison Keene also noted Iris `` getting an actual storyline '' with Barry gone , and similarly presumed that he `` ( would ) be back in the fold by the end of the first episode '' alike to Flashpoint in the third season . She added , `` There are some new foes , lots of action , plenty of tech -- it 's great ! ''   Reception ( edit )   Ratings ( edit )     No .   Title   Air date   Rating / share ( 18 -- 49 )   Viewers ( millions )   DVR ( 18 -- 49 )   DVR viewers ( millions )   Total ( 18 -- 49 )   Total viewers ( millions )       `` The Flash Reborn ''   October 10 , 2017   1.1 / 4   2.84   0.7   1.92   1.8   4.77       `` Mixed Signals ''   October 17 , 2017   0.9 / 4   2.54   0.8   1.82   1.7   4.36       `` Luck Be a Lady ''   October 24 , 2017   1.0 / 4   2.62   0.8   1.84   1.8   4.46       `` Elongated Journey Into Night ''   October 31 , 2017   0.7 / 3   1.99   0.7   1.79   1.4   3.79     5   `` Girls Night Out ''   November 7 , 2017   0.9 / 4   2.38   0.8   1.84   1.7   4.22     6   `` When Harry Met Harry ... ''   November 14 , 2017   1.0 / 4   2.46   0.7   1.83   1.7   4.29     7   `` Therefore I Am ''   November 21 , 2017   0.8 / 3   2.20   0.8   2.08   1.6   4.28     8   `` Crisis on Earth - X , Part 3 ''   November 28 , 2017   1.0 / 4   2.82   0.7   1.83   1.7   4.64     9   `` Do n't Run ''   December 5 , 2017   0.8 / 3   2.22   TBD   TBD   TBD   TBD     Critical response ( edit )   The review aggregator website Rotten Tomatoes reported a 100 % approval rating with an average rating of 7.36 / 10 based on 13 reviews .   Reviewing the first two episodes of the season , Allison Keene writing for Collider.com , felt the premiere `` wipes the slate clean , fixing a lot of the issues that plagued the end of the last season , and setting up a much more toned - down storyline . Most importantly , it 's brought back some fun . '' She added that with a `` streamlined team , '' the core characters now have time to interact and have meaningful plot lines . On the second episode , Keene described it as `` truly a delight '' with the show taking `` the time to focus on character relationships , and not just romantic relationships '' and each character `` feeling like a refreshed version of themselves , with new narrative purpose '' . She also highlighted the setup of the Thinker `` as an Alchemy - like villain who manipulates evil metas into the Flash 's path as part of some kind of masterplan '' , saying `` The Flash is a series that truly works best as a procedural , with the team finding creative ways to bring down Villains of the Week . ''   References ( edit )    ^ Jump up to : Porter , Rick ( October 11 , 2017 ) . `` ' Voice ' , ' Flash ' , ' Lethal Weapon ' &amp; ' The Mick ' adjust up , ' NCIS : New Orleans ' down : Tuesday final ratings '' . TV by the Numbers . Archived from the original on October 11 , 2017 . Retrieved October 11 , 2017 .   ^ Jump up to : Porter , Rick ( October 18 , 2017 ) . `` ' NCIS , ' ' Voice ' and ' This Is Us ' adjust up , ' Black - ish ' and ' L&amp;O True Crime ' down : Tuesday final ratings '' . TV by the Numbers . Archived from the original on October 18 , 2017 . Retrieved October 18 , 2017 .   ^ Jump up to : Porter , Rick ( October 25 , 2017 ) . `` ' This Is Us , ' ' Fresh Off the Boat , ' ' Kevin ' &amp; World Series adjust up , ' L&amp;O True Crime ' down : Tuesday final ratings '' . TV by the Numbers . Archived from the original on October 26 , 2017 . Retrieved October 25 , 2017 .   ^ Jump up to : Porter , Rick ( November 1 , 2017 ) . `` ' The Middle ' and World Series adjust up , ' Law &amp; Order True Crime ' down : Tuesday final ratings '' . TV by the Numbers . Archived from the original on November 1 , 2017 . Retrieved November 1 , 2017 .   ^ Jump up to : Porter , Rick ( November 8 , 2017 ) . `` ' The Middle ' adjusts up , ' The Mayor ' adjusts down : Tuesday final ratings '' . TV by the Numbers . Retrieved November 8 , 2017 .   ^ Jump up to : Porter , Rick ( November 15 , 2017 ) . `` ' Fresh Off the Boat , ' ' The Flash ' and ' Kevin ' adjust up , ' Bull ' and ' L&amp;O True Crime ' adjust down : Tuesday final ratings '' . TV by the Numbers . Retrieved November 15 , 2017 .   ^ Jump up to : Porter , Rick ( November 22 , 2017 ) . `` ' Dancing With the Stars , ' ' This Is Us , ' all others hold : Tuesday final ratings '' . TV by the Numbers . Retrieved November 22 , 2017 .   ^ Jump up to : Porter , Rick ( November 30 , 2017 ) . `` ' The Flash , ' ' This Is Us ' and ' Rudolph ' adjust up : Tuesday final ratings '' . TV by the Numbers . Archived from the original on November 30 , 2017 . Retrieved November 30 , 2017 .   ^ Jump up to : Porter , Rick ( December 6 , 2017 ) . `` ' Chicago Med ' adjusts up : Tuesday final ratings '' . TV by the Numbers . Retrieved December 6 , 2017 .   Jump up ^ Drum , Nicole ( December 12 , 2017 ) . `` ' The Flash ' Midseason Premiere Gets a Title '' . Comicbook.com . Retrieved December 13 , 2017 .   ^ Jump up to : Sobon , Nicole ( October 18 , 2017 ) . `` Kevin Smith Wants To Direct Arrow , But Says He Wo n't Be Allowed To '' . Comic Book Resources . Archived from the original on October 19 , 2017 . Retrieved October 19 , 2017 .   ^ Jump up to : Cave , Rob ( May 18 , 2017 ) . `` The CW Releases Fall Season Synopses for Arrow , Flash , Supergirl &amp; More '' . Comic Book Resources . Archived from the original on May 28 , 2017 . Retrieved May 28 , 2017 .   Jump up ^ Erao , Matthew ( May 1 , 2017 ) . `` Killer Frost Will Menace The Flash in Season 4 '' . Screen Rant . Archived from the original on May 3 , 2017 . Retrieved May 3 , 2017 .   ^ Jump up to : Petski , Denise ( July 22 , 2017 ) . `` ' The Flash ' : Neil Sandilands To Play The Thinker ; Danny Trejo &amp; Kim Engelbrecht Also </t>
  </si>
  <si>
    <t xml:space="preserve">when is season 4 of the flash coming</t>
  </si>
  <si>
    <t xml:space="preserve"> The fourth season began airing on October 10 , 2017 , on The CW . </t>
  </si>
  <si>
    <r>
      <rPr>
        <sz val="11"/>
        <color rgb="FF000000"/>
        <rFont val="Calibri"/>
        <family val="0"/>
        <charset val="1"/>
      </rPr>
      <t xml:space="preserve">Chief technology officer - wikipedia  Chief technology officer  Jump to : navigation , search      This article needs additional citations for verification . Please help improve this article by adding citations to reliable sources . Unsourced material may be challenged and removed . ( August 2017 ) ( Learn how and when to remove this template message )     A chief technology officer ( CTO ) , sometimes known as a chief technical officer , is an executive - level position in a company or other entity whose occupation is focused on scientific and technological issues within an organization .     Contents  ( hide )   1 Overview   2 See also   3 References   4 Further reading      Overview ( edit )   A Chief Technology Officer ( CTO ) , `` examines the short and long term needs of an organization , and utilizes capital to make investments designed to help the organization reach its objectives ... ( the CTO ) is the highest technology executive position within a company and leads the technology or engineering department '' . The role became prominent with the ascent of the information technology ( IT ) industry , but has since become prevalent in technology - based industries of all types -- including computer based technologies ( such as game developer , e-commerce , and social networking service ) and other / non-computer - focused technology ( such as biotech / pharma , defense , and automotive ) . In non-technical organizations as a corporate officer position , the CTO typically reports directly to the chief information officer ( CIO ) and is primarily concerned with long - term and `` big picture '' issues ( while still having deep technical knowledge of the relevant field ) . In technology - focused organizations , the CIO and CTO positions can be at the same level , with the CIO focused on the information technology and the CTO focused on the core company and other supporting technologies .   Depending on company structure and hierarchy , there may also be positions such as director of R&amp;D and vice president of engineering whom the CTO interacts with or oversees . The CTO also needs a working familiarity with regulatory ( e.g. U.S. Food and Drug Administration , Environmental Protection Agency , Consumer Product Safety Commission , as applicable ) and intellectual property ( IP ) issues ( e.g. patents , trade secrets , license contracts ) , and an ability to interface with legal counsel to incorporate those considerations into strategic planning and inter-company negotiations .   In many older industries ( whose existence may predate IT automation ) such as manufacturing , shipping or banking , an executive role of the CTO would often arise out of the process of automating existing activities ; in these cases , any CTO - like role would only emerge if and when efforts would be made to develop truly novel technologies ( either for facilitating internal operations or for enhancing products / services being provided ) , perhaps through `` intrapreneuring '' .   See also ( edit )    Chief innovation officer ( CINO ) or ( CTIO )    References ( edit )    Jump up ^ Smith , Roger D . The Chief Technology Officer : Strategic Responsibilities and Relationships .   Jump up ^ Staff , Investopedia ( 2011 - 07 - 11 ) . `` Chief Technology Officer - CTO '' . Investopedia . Retrieved 2017 - 12 - 12 .    Further reading ( edit )    Pratt , Mary K . `` The CTO : IT 's Chameleon '' , Computerworld.com , 22 January 2007   Berray , Tom &amp; Sampath , Raj ( 2002 ) `` The Role of the CTO , four models for success ''   Medcof , John W. and Yousofpourfard , Haniyeh ( 2006 ) `` The CTO and Organizational Power and Influence '' , International Association for Management of Technology      ( hide )         Corporate titles     Chief officers     Administrative   Analytics   Audit   Brand   Business   Channel   Commercial   Chief communications   Compliance   Content   Creative   Data   Design   Digital   Diversity   Executive ( CEO )   Experience   Financial   Human resources   Information   Information security   Innovation   Investment   Knowledge   Learning   Legal   Marketing   Medical   Networking   Operating   Privacy   Procurement   Product   Quality   Research   Restructuring   Revenue   Risk   Science   Security   Strategy   Sustainability   Technology   Visionary   Web       Senior executives     Chairman   Chief managing director   Creative director   Development director   General counsel   Executive director   Non-executive director   President   Vice president       Mid-level executives     General manager   Divisional manager   Regional manager       First - level executives     Departmental manager   Manager       Related topics     Board of directors   Corporate governance   Executive pay   Senior management   Supervisory board   Talent management      Retrieved from `` https://en.wikipedia.org/w/index.php?title=Chief_technology_officer&amp;oldid=826806754 '' Categories :   American chief technologists   Chief technology officers   Corporate executives   Management occupations   Women chief technology officers   Iranian chief technology officers   Hidden categories :   Articles needing additional references from August 2017   All articles needing additional references           Talk                                           Contents                   About Wikipedia                                             Беларуская ( тарашкевіца ) ‎   Català   Deutsch   Español   فارسی   Français   </t>
    </r>
    <r>
      <rPr>
        <sz val="11"/>
        <color rgb="FF000000"/>
        <rFont val="Noto Sans CJK SC"/>
        <family val="2"/>
      </rPr>
      <t xml:space="preserve">한국어   </t>
    </r>
    <r>
      <rPr>
        <sz val="11"/>
        <color rgb="FF000000"/>
        <rFont val="Calibri"/>
        <family val="0"/>
        <charset val="1"/>
      </rPr>
      <t xml:space="preserve">Italiano   עברית   Монгол   Nederlands   </t>
    </r>
    <r>
      <rPr>
        <sz val="11"/>
        <color rgb="FF000000"/>
        <rFont val="Noto Sans CJK SC"/>
        <family val="2"/>
      </rPr>
      <t xml:space="preserve">日本 語   </t>
    </r>
    <r>
      <rPr>
        <sz val="11"/>
        <color rgb="FF000000"/>
        <rFont val="Calibri"/>
        <family val="0"/>
        <charset val="1"/>
      </rPr>
      <t xml:space="preserve">Norsk   Português   Română   Српски / srpski   Suomi   Svenska   Türkçe   Українська   Tiếng Việt   </t>
    </r>
    <r>
      <rPr>
        <sz val="11"/>
        <color rgb="FF000000"/>
        <rFont val="Noto Sans CJK SC"/>
        <family val="2"/>
      </rPr>
      <t xml:space="preserve">中文  </t>
    </r>
    <r>
      <rPr>
        <sz val="11"/>
        <color rgb="FF000000"/>
        <rFont val="Calibri"/>
        <family val="0"/>
        <charset val="1"/>
      </rPr>
      <t xml:space="preserve">14 more  Edit links   This page was last edited on 21 February 2018 , at 02 : 59 .         About Wikipedia                    </t>
    </r>
  </si>
  <si>
    <t xml:space="preserve">role of a cto in an it company</t>
  </si>
  <si>
    <t xml:space="preserve"> A chief technology officer ( CTO ) , sometimes known as a chief technical officer , is an executive - level position in a company or other entity whose occupation is focused on scientific and technological issues within an organization . </t>
  </si>
  <si>
    <r>
      <rPr>
        <sz val="11"/>
        <color rgb="FF000000"/>
        <rFont val="Calibri"/>
        <family val="0"/>
        <charset val="1"/>
      </rPr>
      <t xml:space="preserve">Consumer ( food chain ) - wikipedia  Consumer ( food chain )   Consumers are organisms that eat organisms from a different population . These organisms are formally referred to as heterotrophs , which include animals , some bacteria and fungi . Such organisms may consume by various means , including predation , parasitization , and biodegradation .   Contents    1 Classification   2 Levels of the food chain   3 Importance to the ecosystem   4 See also   5 References    Classification ( edit )   Consumers are typically viewed as predatory animals such as the wolf and hyena . However , herbivorous animals and parasitic fungi are also consumers. Some carnivorous plants , like the Venus flytrap , are classified as both . So are omnivorous animals .   Levels of the food chain ( edit )   Within an ecological food chain , Consumers are categorized into primary consumers , secondary consumers , and the tertiary consumers . Primary consumers are herbivores , feeding on plants . Secondary consumers , on the other hand , are carnivores , and prey on other animals . Omnivores , who feed on both plants and animals , can also be considered a secondary consumer . Tertiary consumers , sometimes also known as apex predators , are usually at the top of food chains , capable of feeding on secondary consumers and primary consumers . Tertiary consumers can be either fully carnivorous or omnivorous . Humans are one such example of a tertiary consumer .   Importance to the ecosystem ( edit )   Consumers have important roles to play within an ecosystem such as balancing the food chain by keeping plant populations at a reasonable number . Without proper balance , an ecosystem can collapse and cause the decline of all affected species . This will lead to a severely disrupted ecosystem and a nonfunctional consumer web .   See also ( edit )    Food web   Primary producers   Autotroph    References ( edit )    Jump up ^ `` Venus flytraps ' carnivorous ways enable it to do photosynthesis better '' . Cornell Center for Materials Research . 5 March 2008 . Archived from the original on 22 June 2010 . Retrieved 9 February 2012 .   Jump up ^ `` Archived copy '' . Archived from the original on 2009 - 10 - 07 . Retrieved 2009 - 09 - 03 .              Ecology : Modelling ecosystems : Trophic components     General     Abiotic component   Abiotic stress   Behaviour   Biogeochemical cycle   Biomass   Biotic component   Biotic stress   Carrying capacity   Competition   Ecosystem   Ecosystem ecology   Ecosystem model   Keystone species   List of feeding behaviours   Metabolic theory of ecology   Productivity   Resource       Producers     Autotrophs   Chemosynthesis   Chemotrophs   Foundation species   Mixotrophs   Myco - heterotrophy   Mycotroph   Organotrophs   Photoheterotrophs   Photosynthesis   Photosynthetic efficiency   Phototrophs   Primary nutritional groups   Primary production       Consumers     Apex predator   Bacterivore   Carnivores   Chemoorganotroph   Foraging   Generalist and specialist species   Intraguild predation   Herbivores   Heterotroph   Heterotrophic nutrition   Insectivore   Mesopredators   Mesopredator release hypothesis   Omnivores   Optimal foraging theory   Planktivore   Predation   Prey switching       Decomposers     Chemoorganoheterotrophy   Decomposition   Detritivores   Detritus       Microorganisms     Archaea   Bacteriophage   Environmental microbiology   Lithoautotroph   Lithotrophy   Microbial cooperation   Microbial ecology   Microbial food web   Microbial intelligence   Microbial loop   Microbial mat   Microbial metabolism   Phage ecology       Food webs     Biomagnification   Ecological efficiency   Ecological pyramid   Energy flow   Food chain   Trophic level       Example webs     Cold seeps   Hydrothermal vents   Intertidal   Kelp forests   Lakes   North Pacific Subtropical Gyre   Rivers   San Francisco Estuary   Soil   Tide pool       Processes     Ascendency   Bioaccumulation   Cascade effect   Climax community   Competitive exclusion principle   Consumer - resource systems   Copiotrophs   Dominance   Ecological network   Ecological succession   Energy quality   Energy Systems Language   f - ratio   Feed conversion ratio   Feeding frenzy   Mesotrophic soil   Nutrient cycle   Oligotroph   Paradox of the plankton   Trophic cascade   Trophic mutualism   Trophic state index       Defense , counter     Animal coloration   Antipredator adaptations   Camouflage   Deimatic behaviour   Herbivore adaptations to plant defense   Mimicry   Plant defense against herbivory   Predator avoidance in schooling fish                 Ecology : Modelling ecosystems : Other components     Population ecology     Abundance   Allee effect   Depensation   Ecological yield   Effective population size   Intraspecific competition   Logistic function   Malthusian growth model   Maximum sustainable yield   Overpopulation in wild animals   Overexploitation   Population cycle   Population dynamics   Population modeling   Population size   Predator -- prey ( Lotka -- Volterra ) equations   Recruitment   Resilience   Small population size   Stability       Species     Biodiversity   Density - dependent inhibition   Ecological effects of biodiversity   Ecological extinction   Endemic species   Flagship species   Gradient analysis   Indicator species   Introduced species   Invasive species   Latitudinal gradients in species diversity   Minimum viable population   Neutral theory   Occupancy -- abundance relationship   Population viability analysis   Priority effect   Rapoport 's rule   Relative abundance distribution   Relative species abundance   Species diversity   Species homogeneity   Species richness   Species distribution   Species - area curve   Umbrella species       Species interaction     Antibiosis   Biological interaction   Commensalism   Community ecology   Ecological facilitation   Interspecific competition   Mutualism   Parasitism   Storage effect   Symbiosis       Spatial ecology     Biogeography   Cross-boundary subsidy   Ecocline   Ecotone   Ecotype   Disturbance   Edge effects   Foster 's rule   Habitat fragmentation   Ideal free distribution   Intermediate Disturbance Hypothesis   Island biogeography   Landscape ecology   Landscape epidemiology   Landscape limnology   Metapopulation   Patch dynamics   r / K selection theory   Resource selection function   Source -- sink dynamics       Niche     Ecological niche   Ecological trap   Ecosystem engineer   Environmental niche modelling   Guild   Habitat   Marine habitats   Limiting similarity   Niche apportionment models   Niche construction   Niche differentiation       Other networks     Assembly rules   Bateman 's principle   Bioluminescence   Ecological collapse   Ecological debt   Ecological deficit   Ecological energetics   Ecological indicator   Ecological threshold   Ecosystem diversity   Emergence   Extinction debt   Kleiber 's law   Liebig 's law of the minimum   Marginal value theorem   Thorson 's rule   Xerosere       Other     Allometry   Alternative stable state   Balance of nature   Biological data visualization   Ecocline   Ecological economics   Ecological footprint   Ecological forecasting   Ecological humanities   Ecological stoichiometry   Ecopath   Ecosystem based fisheries   Endolith   Evolutionary ecology   Functional ecology   Industrial ecology   Macroecology   Microecosystem   Natural environment   Regime shift   Systems ecology   Urban ecology   Theoretical ecology       List of ecology topics    Retrieved from `` https://en.wikipedia.org/w/index.php?title=Consumer_(food_chain)&amp;oldid=845021018 '' Categories :   Trophic ecology           Talk                                           Contents                   About Wikipedia                                           Azərbaycanca   Dansk   Eesti   Ελληνικά   Español   Euskara   Italiano   Қазақша   Kreyòl ayisyen   Кыргызча   Nederlands   Norsk   Русский   Slovenščina   Suomi   Svenska   Türkçe   Українська   Tiếng Việt   </t>
    </r>
    <r>
      <rPr>
        <sz val="11"/>
        <color rgb="FF000000"/>
        <rFont val="Noto Sans CJK SC"/>
        <family val="2"/>
      </rPr>
      <t xml:space="preserve">中文  </t>
    </r>
    <r>
      <rPr>
        <sz val="11"/>
        <color rgb="FF000000"/>
        <rFont val="Calibri"/>
        <family val="0"/>
        <charset val="1"/>
      </rPr>
      <t xml:space="preserve">11 more  Edit links   This page was last edited on 8 June 2018 , at 19 : 39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</si>
  <si>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are the consumers in a food chain</t>
  </si>
  <si>
    <t xml:space="preserve"> Consumers are organisms that eat organisms from a different population . These organisms are formally referred to as heterotrophs , which include animals , some bacteria and fungi . Such organisms may consume by various means , including predation , parasitization , and biodegradation . </t>
  </si>
  <si>
    <t xml:space="preserve">Space Race - Wikipedia  Space Race  This article is about the Cold War rivalry between the United States and Soviet Union . For various space races , see List of space races . For other uses of the term , see Space Race ( disambiguation ) .   The Soviet Union achieved an early lead in the Space Race by launching the first artificial satellite Sputnik 1 ( replica shown ) in 1957 . The United States led during the `` Moon race '' by landing Neil Armstrong ( pictured ) and Buzz Aldrin on the Moon , July 20 , 1969 . Astronaut Thomas P. Stafford and cosmonaut Aleksei Leonov shake hands in space to ease Cold War tensions .  The Space Race refers to the 20th - century competition between two Cold War rivals , the Soviet Union ( USSR ) and the United States ( US ) , for dominance in spaceflight capability . It had its origins in the missile - based nuclear arms race between the two nations that occurred following World War II , aided by captured German missile technology and personnel from the Aggregat program . The technological superiority required for such dominance was seen as necessary for national security , and symbolic of ideological superiority . The Space Race spawned pioneering efforts to launch artificial satellites , uncrewed space probes of the Moon , Venus , and Mars , and human spaceflight in low Earth orbit and to the Moon .   The Space Race began on August 2 , 1955 , when the Soviet Union responded to the US announcement four days earlier of intent to launch artificial satellites for the International Geophysical Year , by declaring they would also launch a satellite `` in the near future '' . The Soviet Union beat the US to this , with the October 4 , 1957 , orbiting of Sputnik 1 , and later beat the US to the first human in space , Yuri Gagarin , on April 12 , 1961 . The `` race '' peaked with the July 20 , 1969 , US landing of the first humans on the Moon with Apollo 11 . The USSR tried but failed crewed lunar missions , and eventually canceled them and concentrated on Earth orbital space stations .   A period of détente followed with the April 1972 agreement on a co-operative Apollo -- Soyuz Test Project , resulting in the July 1975 rendezvous in Earth orbit of a US astronaut crew with a Soviet cosmonaut crew . The end of the Space Race is harder to pinpoint than its beginning , but it was over by the December 1991 dissolution of the Soviet Union , after which true spaceflight cooperation between the US and Russia began .   The Space Race has left a legacy of Earth communications and weather satellites , and continuing human space presence on the International Space Station . It has also sparked increases in spending on education and research and development , which led to beneficial spin - off technologies .   Contents    1 Early rocket development   1.1 Germany during World War II   1.2 Soviet rocket development   1.3 American rocket development   1.4 Cold War missile race     2 The Race begins   2.1 First artificial satellite   2.2 US reaction     3 Uncrewed lunar probes   4 First human in space   5 First American in space   6 Kennedy directs the Race toward the Moon   7 Completion of Vostok and Mercury programs   7.1 Mercury   7.2 Vostok     8 Kennedy proposes a joint US - USSR program   9 Gemini and Voskhod   9.1 Voskhod program   9.2 Project Gemini     10 Soviet crewed Moon programs   11 Outer space treaty   12 Disaster strikes both sides   13 Onward to the Moon   14 Apollo 11   15 The Race winds down   15.1 Salyuts and Skylab   15.2 Apollo -- Soyuz Test Project     16 Legacy   16.1 Human spaceflight after Apollo     17 See also   18 Notes   19 References   20 External links    Early rocket development ( edit )   Germany during World War II ( edit )  Wernher von Braun ( 1912 -- 1977 ) , technical director of Nazi Germany 's missile program , became the United States ' lead rocket engineer during the 1950s and 1960s  The origins of the Space Race can be traced to Germany , beginning in the 1930s and continuing during World War II when Nazi Germany researched and built operational ballistic missiles capable of sub-orbital spaceflight . Starting in the early 1930s , during the last stages of the Weimar Republic , German aerospace engineers experimented with liquid - fueled rockets , with the goal that one day they would be capable of reaching high altitudes and traversing long distances . The head of the German Army 's Ballistics and Munitions Branch , Lieutenant Colonel Karl Emil Becker , gathered a small team of engineers that included Walter Dornberger and Leo Zanssen , to figure out how to use rockets as long - range artillery in order to get around the Treaty of Versailles ' ban on research and development of long - range cannons . Wernher von Braun , a young engineering prodigy , was recruited by Becker and Dornberger to join their secret army program at Kummersdorf - West in 1932 . Von Braun dreamed of conquering outer space with rockets and did not initially see the military value in missile technology .   During the Second World War , General Dornberger was the military head of the army 's rocket program , Zanssen became the commandant of the Peenemünde army rocket center , and von Braun was the technical director of the ballistic missile program . They led the team that built the Aggregate - 4 ( A-4 ) rocket , which became the first vehicle to reach outer space during its test flight program in 1942 and 1943 . By 1943 , Germany began mass - producing the A-4 as the Vergeltungswaffe 2 ( `` Vengeance Weapon '' 2 , or more commonly , V2 ) , a ballistic missile with a 320 kilometers ( 200 mi ) range carrying a 1,130 kilograms ( 2,490 lb ) warhead at 4,000 kilometers per hour ( 2,500 mph ) . Its supersonic speed meant there was no defense against it , and radar detection provided little warning . Germany used the weapon to bombard southern England and parts of Allied - liberated western Europe from 1944 until 1945 . After the war , the V - 2 became the basis of early American and Soviet rocket designs .   At war 's end , American , British , and Soviet scientific intelligence teams competed to capture Germany 's rocket engineers along with the German rockets themselves and the designs on which they were based . Each of the Allies captured a share of the available members of the German rocket team , but the United States benefited the most with Operation Paperclip , recruiting von Braun and most of his engineering team , who later helped develop the American missile and space exploration programs . The United States also acquired a large number of complete V2 rockets .   Soviet rocket development ( edit )  Further information : Soviet rocketry `` Chief Designer '' Sergei Korolev ( left ) , with the `` father of the Soviet atomic bomb '' Igor Kurchatov , and `` Chief Theoretician '' Mstislav Keldysh in 1956  The German rocket center in Peenemünde was located in the eastern part of Germany , which became the Soviet zone of occupation . On Stalin 's orders , the Soviet Union sent its best rocket engineers to this region to see what they could salvage for future weapons systems . The Soviet rocket engineers were led by Sergei Korolev . He had been involved in space clubs and early Soviet rocket design in the 1930s , but was arrested in 1938 during Joseph Stalin 's Great Purge and imprisoned for six years in Gulag . After the war , he became the USSR 's chief rocket and spacecraft engineer , essentially the Soviet counterpart to von Braun . His identity was kept a state secret throughout the Cold War , and he was identified publicly only as `` the Chief Designer . '' In the West , his name was only officially revealed when he died in 1966 .   After almost a year in the area around Peenemünde , Soviet officials conducted Operation Osoaviakhim and later moved more than 170 of the top captured German rocket specialists to Gorodomlya Island on Lake Seliger , about 240 kilometers ( 150 mi ) northwest of Moscow . They were not allowed to participate in final Soviet missile design , but were used as problem - solving consultants to the Soviet engineers . They helped in the following areas : the creation of a Soviet version of the A-4 ; work on `` organizational schemes '' ; research in improving the A-4 main engine ; development of a 100 - ton engine ; assistance in the `` layout '' of plant production rooms ; and preparation of rocket assembly using German components . With their help , particularly Helmut Gröttrup 's group , Korolev reverse - engineered the A-4 and built his own version of the rocket , the R - 1 , in 1948 . Later , he developed his own distinct designs , though many of these designs were influenced by the Gröttrup Group 's G4 - R10 design from 1949 . The Germans were eventually repatriated in 1951 -- 53 .   American rocket development ( edit )   The American professor Robert H. Goddard had worked on developing solid - fuel rockets since 1914 , and demonstrated a light battlefield rocket to the US Army Signal Corps only five days before the signing of the armistice that ended World War I. He also started developing liquid - fueled rockets in 1921 , yet he had not been taken seriously by the public .   Von Braun and his team were sent to the United States Army 's White Sands Proving Ground , located in New Mexico , in 1945 . They set about assembling the captured V2s and began a program of launching them and instructing American engineers in their operation . These tests led to the first rocket to take photos from outer space , and the first two - stage rocket , the WAC Corporal - V2 combination , in 1949 . The German rocket team was moved from Fort Bliss to the Army 's new Redstone Arsenal , located in Huntsville , Alabama , in 1950 . From here , von Braun and his team developed the Army 's first operational medium - range ballistic missile , the Redstone rocket , that in slightly modified versions , launched both America 's first satellite , and the first piloted Mercury space missions . It became the basis for both the Jupiter and Saturn family of rockets .   Cold War missile Race ( edit )  Main article : Nuclear arms race The cold war would become the great engine , the supreme catalyst , that sent rockets and their cargoes far above Earth and worlds away . If Tsiolkovsky , Oberth , Goddard , and others were the fathers of rocketry , the competition between capitalism and communism was its midwife .  William E. Burrows , This New Ocean , `` The Other World Series '' , p. 147   The Cold War ( 1947 -- 1991 ) developed between two former allies , the Soviet Union and the United States , soon after the end of the Second World War . It involved a continuing state of political conflict , military tension , proxy wars , and economic competition , primarily between the Soviet Union and its satellite states ( often referred to as the Eastern Bloc ) , and the powers of the Western world , particularly the United States . The primary participants ' military forces never clashed directly , but expressed this conflict through military coalitions , strategic conventional force deployments , extensive aid to states deemed vulnerable , proxy wars , espionage , propaganda , a nuclear arms race , and economic and technological competitions , such as the Space Race .   In simple terms , the Cold War could be viewed as an expression of the ideological struggle between communism and capitalism . The United States faced a new uncertainty beginning in September 1949 , when it lost its monopoly on the atomic bomb . American intelligence agencies discovered that the Soviet Union had exploded its first atomic bomb , with the consequence that the United States potentially could face a future nuclear war that , for the first time , might devastate its cities . Given this new danger , the United States participated in an arms race with the Soviet Union that included development of the hydrogen bomb , as well as intercontinental strategic bombers and intercontinental ballistic missiles ( ICBMs ) capable of delivering nuclear weapons . A new fear of communism and its sympathizers swept the United States during the 1950s , which devolved into paranoid McCarthyism . With communism spreading in China , Korea , and Eastern Europe , Americans came to feel so threatened that popular and political culture condoned extensive `` witch - hunts '' to expose communist spies . Part of the American reaction to the Soviet atomic and hydrogen bomb tests included maintaining a large Air Force , under the control of the Strategic Air Command ( SAC ) . SAC employed intercontinental strategic bombers , as well as medium - bombers based close to Soviet airspace ( in western Europe and in Turkey ) that were capable of delivering nuclear payloads .   For its part , the Soviet Union harbored fears of invasion . Having suffered at least 27 million casualties during World War II after being invaded by Nazi Germany in 1941 , the Soviet Union was wary of its former ally , the United States , which until late 1949 was the sole possessor of atomic weapons . The United States had used these weapons operationally during World War II , and it could use them again against the Soviet Union , laying waste to its cities and military centers . Since the Americans had a much larger air force than the Soviet Union , and the United States maintained advance air bases near Soviet territory , in 1947 Stalin ordered the development of intercontinental ballistic missiles ( ICBMs ) in order to counter the perceived American threat .  Soviet R - 7 ICBM , and its derivative launch vehicles for Sputnik , Vostok , Voskhod , and Soyuz  In 1953 , Korolev was given the go - ahead to develop the R - 7 Semyorka rocket , which represented a major advance from the German design . Although some of its components ( notably boosters ) still resembled the German G - 4 , the new rocket incorporated staged design , a completely new control system , and a new fuel . It was successfully tested on August 21 , 1957 , and became the world 's first fully operational ICBM the following month . It was later used to launch the first satellite into space , and derivatives launched all piloted Soviet spacecraft .   The United States had multiple rocket programs divided among the different branches of the American armed services , which meant that each force developed its own ICBM program . The Air Force initiated ICBM research in 1945 with the MX - 774 . However , its funding was cancelled and only three partially successful launches were conducted in 1947 . In 1950 , von Braun began testing the Air Force PGM - 11 Redstone rocket family at Cape Canaveral . In 1951 , the Air Force began a new ICBM program called MX - 1593 , and by 1955 this program was receiving top - priority funding . The MX - 1593 program evolved to become the Atlas - A , with its maiden launch occurring June 11 , 1957 , becoming the first successful American ICBM . Its upgraded version , the Atlas - D rocket , later served as a nuclear ICBM and as the orbital launch vehicle for Project Mercury and the remote - controlled Agena Target Vehicle used in Project Gemini .   With the Cold War as an engine for change in the ideological competition between the United States and the Soviet Union , a coherent space policy began to take shape in the United States during the late 1950s . Korolev took inspiration from the competition as well , achieving many firsts to counter the possibility that the United States might prevail .   The Race begins ( edit )  Further information : Soviet space program and Space policy of the United States  First artificial satellite ( edit )   In 1955 , with both the United States and the Soviet Union building ballistic missiles that could be utilized to launch objects into space , the `` starting line '' was drawn for the Space Race . In separate announcements four days apart , both nations publicly announced that they would launch artificial Earth satellites by 1957 or 1958 . On July 29 , 1955 , James C. Hagerty , president Dwight D. Eisenhower 's press secretary , announced that the United States intended to launch `` small Earth circling satellites '' between July 1 , 1957 , and December 31 , 1958 , as part of their contribution to the International Geophysical Year ( IGY ) . Four days later , at the Sixth Congress of International Astronautical Federation in Copenhagen , scientist Leonid I. Sedov spoke to international reporters at the Soviet embassy , and announced his country 's intention to launch a satellite as well , in the `` near future '' . On August 30 , 1955 , Korolev managed to get the Soviet Academy of Sciences to create a commission whose purpose was to beat the Americans into Earth orbit : this was the de facto start date for the Space Race . The Council of Ministers of the Soviet Union began a policy of treating development of its space program as a classified state secret .   Initially , President Eisenhower was worried that a satellite passing above a nation at over 100 kilometers ( 62 mi ) , might be construed as violating that nation 's sovereign airspace . He was concerned that the Soviet Union would accuse the Americans of an illegal overflight , thereby scoring a propaganda victory at his expense . Eisenhower and his advisors believed that a nation 's airspace sovereignty did not extend into outer space , acknowledged as the Kármán line , and he used the 1957 -- 58 International Geophysical Year launches to establish this principle in international law . Eisenhower also feared that he might cause an international incident and be called a `` warmonger '' if he were to use military missiles as launchers . Therefore , he selected the untried Naval Research Laboratory 's Vanguard rocket , which was a research - only booster . This meant that von Braun 's team was not allowed to put a satellite into orbit with their Jupiter - C rocket , because of its intended use as a future military vehicle . On September 20 , 1956 , von Braun and his team did launch a Jupiter - C that was capable of putting a satellite into orbit , but the launch was used only as a suborbital test of nose cone reentry technology .   Korolev received word about von Braun 's 1956 Jupiter - C test , but thinking it was a satellite mission that failed , he expedited plans to get his own satellite in orbit . Since his R - 7 was substantially more powerful than any of the American boosters , he made sure to take full advantage of this capability by designing Object D as his primary satellite . It was given the designation ' D ' , to distinguish it from other R - 7 payload designations ' A ' , ' B ' , ' V ' , and ' G ' which were nuclear weapon payloads . Object D dwarfed the proposed American satellites , by having a weight of 1,400 kilograms ( 3,100 lb ) , of which 300 kilograms ( 660 lb ) would be composed of scientific instruments that would photograph the Earth , take readings on radiation levels , and check on the planet 's magnetic field . However , things were not going along well with the design and manufacturing of the satellite , so in February 1957 , Korolev sought and received permission from the Council of Ministers to create a prosteishy sputnik ( PS - 1 ) , or simple satellite . The Council also decreed that Object D be postponed until April 1958 . The new sputnik was a shiny sphere that would be a much lighter craft , weighing 83.8 kilograms ( 185 lb ) and having a 58 - centimeter ( 23 in ) diameter . The satellite would not contain the complex instrumentation that Object D had , but had two radio transmitters operating on different short wave radio frequencies , the ability to detect if a meteoroid were to penetrate its pressure hull , and the ability to detect the density of the Earth 's thermosphere .       Beep ... beep ... beep The signals of Sputnik 1 continued for 22 days     Problems playing this file ? See media help .     Korolev was buoyed by the first successful launches of his R - 7 rocket in August and September , which paved the way for him to launch his sputnik . Word came that the Americans were planning to announce a major breakthrough at an International Geophysical Year conference at the National Academy of Sciences in Washington D.C. , with a paper entitled `` Satellite Over the Planet '' , on October 6 , 1957 . Korolev anticipated that von Braun might launch a Jupiter - C with a satellite payload on or around October 4 or 5 , in conjunction with the paper . He hastened the launch , moving it to October 4 . The launch vehicle for PS - 1 , was a modified R - 7 -- vehicle 8K71PS number M1 - PS -- without much of the test equipment and radio gear that was present in the previous launches . It arrived at the Soviet missile base Tyura - Tam in September and was prepared for its mission at launch site number one . On Friday , October 4 , 1957 , at exactly 10 : 28 : 34 pm Moscow time , the R - 7 , with the now named Sputnik 1 satellite , lifted off the launch pad , and placed this artificial `` moon '' into an orbit a few minutes later . This `` fellow traveler , '' as the name is translated in English , was a small , beeping ball , less than two feet in diameter and weighing less than 200 pounds . But the celebrations were muted at the launch control center until the down - range far east tracking station at Kamchatka received the first distinctive beep ... beep ... beep sounds from Sputnik 1 's radio transmitters , indicating that it was on its way to completing its first orbit . About 95 minutes after launch , the satellite flew over its launch site , and its radio signals were picked up by the engineers and military personnel at Tyura - Tam : that 's when Korolev and his team celebrated the first successful artificial satellite placed into Earth - orbit .   US reaction ( edit )  Main article : Sputnik crisis  The Soviet success raised a great deal of concern in the United States . For example , economist Bernard Baruch wrote in an open letter titled `` The Lessons of Defeat '' to the New York Herald Tribune : `` While we devote our industrial and technological power to producing new model automobiles and more gadgets , the Soviet Union is conquering space ... It is Russia , not the United States , who has had the imagination to hitch its wagon to the stars and the skill to reach for the moon and all but grasp it . America is worried . It should be . ''   Eisenhower ordered project Vanguard to move up its timetable and launch its satellite much sooner than originally planned . The December 6 , 1957 Project Vanguard launch failure occurred at Cape Canaveral Air Force Station in Florida , broadcast live in front of a US television audience . It was a monumental failure , exploding a few seconds after launch , and it became an international joke . The satellite appeared in newspapers under the names Flopnik , Stayputnik , Kaputnik , and Dudnik . In the United Nations , the Russian delegate offered the US representative aid `` under the Soviet program of technical assistance to backwards nations . '' Only in the wake of this very public failure did von Braun 's Redstone team get the go - ahead to launch their Jupiter - C rocket as soon as they could . In Britain , the US 's Western Cold War ally , the reaction was mixed : some celebrated the fact that the Soviets had reached space first , while others feared the destructive potential that military uses of spacecraft might bring .  William Hayward Pickering , James Van Allen , and Wernher von Braun display a full - scale model of Explorer 1 at a Washington , DC news conference after confirmation the satellite was in orbit  On January 31 , 1958 , nearly four months after the launch of Sputnik 1 , von Braun and the United States successfully launched its first satellite on a four - stage Juno I rocket derived from the US Army 's Redstone missile , at Cape Canaveral . The satellite Explorer 1 was 30.66 pounds ( 13.91 kg ) in mass . The payload of Explorer 1 weighed 18.35 pounds ( 8.32 kg ) . It carried a micrometeorite gauge and a Geiger - Müller tube . It passed in and out of the Earth - encompassing radiation belt with its 194 - by - 1,368 - nautical - mile ( 360 by 2,534 km ) orbit , therefore saturating the tube 's capacity and proving what Dr. James Van Allen , a space scientist at the University of Iowa , had theorized . The belt , named the Van Allen radiation belt , is a doughnut - shaped zone of high - level radiation intensity around the Earth above the magnetic equator. Van Allen was also the man who designed and built the satellite instrumentation of Explorer 1 . The satellite measured three phenomena : cosmic ray and radiation levels , the temperature in the spacecraft , and the frequency of collisions with micrometeorites . The satellite had no memory for data storage , therefore it had to transmit continuously . In March 1958 a second satellite was sent into orbit with augmented cosmic ray instruments .   On April 2 , 1958 , President Eisenhower reacted to the Soviet space lead in launching the first satellite , by recommending to the US Congress that a civilian agency be established to direct nonmilitary space activities . Congress , led by Senate Majority Leader Lyndon B. Johnson , responded by passing the National Aeronautics and Space Act , which Eisenhower signed into law on July 29 , 1958 . This law turned the National Advisory Committee on Aeronautics into the National Aeronautics and Space Administration ( NASA ) . It also created a Civilian - Military Liaison Committee , chaired by the President , responsible for coordinating the nation 's civilian and military space programs .   On October 21 , 1959 , Eisenhower approved the transfer of the Army 's remaining space - related activities to NASA . On July 1 , 1960 , the Redstone Arsenal became NASA 's George C. Marshall Space Flight Center , with von Braun as its first director . Development of the Saturn rocket family , which when mature , gave the US parity with the Soviets in terms of lifting capability , was thus transferred to NASA .   Uncrewed lunar probes ( edit )   In 1958 , Korolev upgraded the R - 7 to be able to launch a 400 - kilogram ( 880 lb ) payload to the Moon . Three secret 1958 attempts to launch Luna E-1 - class impactor probes failed . The fourth attempt , Luna 1 , launched successfully on January 2 , 1959 , but missed the Moon . The fifth attempt on June 18 also failed at launch . The 390 - kilogram ( 860 lb ) Luna 2 successfully impacted the Moon on September 14 , 1959 . The 278.5 - kilogram ( 614 lb ) Luna 3 successfully flew by the Moon and sent back pictures of its far side on October 6 , 1959 .   The US reacted to the Luna program by embarking on the Ranger program in 1959 , managed by NASA 's Jet Propulsion Laboratory . The Block I Ranger 1 and Ranger 2 suffered Atlas - Agena launch failures in August and November 1961 . The 727 - pound ( 330 kg ) Block II Ranger 3 launched successfully on January 26 , 1962 , but missed the Moon . The 730 - pound ( 330 kg ) Ranger 4 became the first US spacecraft to reach the Moon , but its solar panels and navigational system failed near the Moon and it impacted the far side without returning any scientific data . Ranger 5 ran out of power and missed the Moon by 725 kilometers ( 391 nmi ) on October 21 , 1962 . The first successful Ranger mission was the 806 - pound ( 366 kg ) Block III Ranger 7 which impacted on July 31 , 1964 .   First human in space ( edit )  Yuri Gagarin , the first person in space , 1961  By 1959 , American observers believed that the Soviet Union would be the first to get a human into space , because of the time needed to prepare for Mercury 's first launch . On April 12 , 1961 , the USSR surprised the world again by launching Yuri Gagarin into a single orbit around the Earth in a craft they called Vostok 1 . They dubbed Gagarin the first cosmonaut , roughly translated from Russian and Greek as `` sailor of the universe '' . Although he had the ability to take over manual control of his capsule in an emergency by opening an envelope he had in the cabin that contained a code that could be typed into the computer , it was flown in an automatic mode as a precaution ; medical science at that time did not know what would happen to a human in the weightlessness of space . Vostok 1 orbited the Earth for 108 minutes and made its reentry over the Soviet Union , with Gagarin ejecting from the spacecraft at 7,000 meters ( 23,000 ft ) , and landing by parachute . The Fédération Aéronautique Internationale ( International Federation of Aeronautics ) credited Gagarin with the world 's first human space flight , although their qualifying rules for aeronautical records at the time required pilots to take off and land with their craft . For this reason , the Soviet Union omitted from their FAI submission the fact that Gagarin did not land with his capsule . When the FAI filing for Gherman Titov 's second Vostok flight in August 1961 disclosed the ejection landing technique , the FAI committee decided to investigate , and concluded that the technological accomplishment of human spaceflight lay in the safe launch , orbiting , and return , rather than the manner of landing , and revised their rules , keeping Gagarin 's and Titov 's records intact .   Gagarin became a national hero of the Soviet Union and the Eastern Bloc , and a worldwide celebrity . Moscow and other cities in the USSR held mass demonstrations , the scale of which was second only to the World War II Victory Parade of 1945 . April 12 was declared Cosmonautics Day in the USSR , and is celebrated today in Russia as one of the official `` Commemorative Dates of Russia . '' In 2011 , it was declared the International Day of Human Space Flight by the United Nations .       Poyekhali ! Gagarin 's voice     Problems playing this file ? See media help .     The radio communication between the launch control room and Gagarin included the following dialogue at the moment of rocket launch :   Korolev : `` Preliminary stage ... intermediate ... main ... lift off ! We wish you a good flight . Everything is all right . ''   Gagarin : `` Поехали ! '' ( Poyekhali ! - Let 's go ! ) .   Gagarin 's informal poyekhali ! became a historical phrase in the Eastern Bloc , used to refer to the beginning of the human space flight era .   First American in space ( edit )  Alan Shepard , the first American in space , 1961  The US Air Force had been developing a program to launch the first man in space , named Man in Space Soonest . This program studied several different types of one - man space vehicles , settling on a ballistic re-entry capsule launched on a derivative Atlas missile , and selecting a group of nine candidate pilots . After NASA 's creation , the program was transferred over to the civilian agency and renamed Project Mercury on November 26 , 1958 . NASA selected a new group of astronaut ( from the Greek for `` star sailor '' ) candidates from Navy , Air Force and Marine test pilots , and narrowed this down to a group of seven for the program . Capsule design and astronaut training began immediately , working toward preliminary suborbital flights on the Redstone missile , followed by orbital flights on the Atlas . Each flight series would first start uncrewed , then carry a non-human primate , then finally humans .   On May 5 , 1961 , Alan Shepard became the first American in space , launched in a ballistic trajectory on Mercury - Redstone 3 , in a spacecraft he named Freedom 7 . Though he did not achieve orbit like Gagarin , he was the first person to exercise manual control over his spacecraft 's attitude and retro - rocket firing . After his successful return , Shepard was celebrated as a national hero , honored with parades in Washington , New York and Los Angeles , and received the NASA Distinguished Service Medal from President John F. Kennedy .   Kennedy directs the Race toward the Moon ( edit )  See also : Moon landing These are extraordinary times . And we face an extraordinary challenge . Our strength , as well as our convictions , have imposed upon this nation the role of leader in freedom 's cause .  ... if we are to win the battle that is now going on around the world between freedom and tyranny , the dramatic achievements in space which occurred in recent weeks should have made clear to us all , as did the Sputnik in 1957 , the impact of this adventure on the minds of men everywhere , who are attempting to make a determination of which road they should take ... Now it is time to take longer strides -- time for a great new American enterprise -- time for this nation to take a clearly leading role in space achievement , which in many ways may hold the key</t>
  </si>
  <si>
    <t xml:space="preserve">who were the two superpowers during the cold war space race</t>
  </si>
  <si>
    <t xml:space="preserve"> The Space Race refers to the 20th - century competition between two Cold War rivals , the Soviet Union ( USSR ) and the United States ( US ) , for dominance in spaceflight capability . It had its origins in the missile - based nuclear arms race between the two nations that occurred following World War II , aided by captured German missile technology and personnel from the Aggregat program . The technological superiority required for such dominance was seen as necessary for national security , and symbolic of ideological superiority . The Space Race spawned pioneering efforts to launch artificial satellites , uncrewed space probes of the Moon , Venus , and Mars , and human spaceflight in low Earth orbit and to the Moon . </t>
  </si>
  <si>
    <t xml:space="preserve">Gone for a Burton - wikipedia  Gone for a Burton  Jump to : navigation , search  Gone for a Burton is a British English expression meaning to be missing or to die . The term was popularised by the RAF around the time of World War II . It migrated to the USA quickly and in June 1943 a story titled Husky Goes Down for a Burton appeared in Boys ' Life , the magazine of the Boy Scouts of America . The etymology is disputed .   References ( edit )    Jump up ^ `` The meaning and origin of the expression : Gone for a burton '' . The Phrase Finder . Retrieved 30 October 2015 .   Jump up ^ Cox , JR ( July 1943 ) . `` Husky Goes Down for a Burton '' . Boys ' Life . Retrieved 30 October 2015 .   Jump up ^ `` burton '' . Retrieved 30 October 2015 .     Retrieved from `` https://en.wikipedia.org/w/index.php?title=Gone_for_a_Burton&amp;oldid=810008531 '' Categories :   British English idioms   Euphemisms           Talk                                                             About Wikipedia                                           Add links   This page was last edited on 12 November 2017 , at 21 : 44 .         About Wikipedia                    </t>
  </si>
  <si>
    <t xml:space="preserve">where does the saying gone for a burton come from</t>
  </si>
  <si>
    <t xml:space="preserve"> Gone for a Burton is a British English expression meaning to be missing or to die . The term was popularised by the RAF around the time of World War II . It migrated to the USA quickly and in June 1943 a story titled Husky Goes Down for a Burton appeared in Boys ' Life , the magazine of the Boy Scouts of America . The etymology is disputed . </t>
  </si>
  <si>
    <t xml:space="preserve">Ai n't - wikipedia  Ai n't  Jump to : navigation , search  Ai n't is a contraction for am not , is not , are not , has not , and have not in the common English language vernacular . In some dialects ai n't is also used as a contraction of do not , does not , and did not . The development of ai n't for the various forms of to be not , to have not , and to do not occurred independently , at different times . The usage of ai n't for the forms of to be not was established by the mid-18th century , and for the forms of to have not by the early 19th century .   The usage of ai n't is a continuing subject of controversy in English . Ai n't is commonly used by many speakers in oral and informal settings , especially in certain regions and dialects . Its usage is often highly stigmatized , and it can be used by the general public as a marker of low socio - economic or regional status or education level . Its use is generally considered non-standard by dictionaries and style guides except when used for rhetorical effect .     Contents  ( hide )   1 Etymology   1.1 Contractions of to be not   1.2 Contractions of to have not   1.3 Contractions of to do not     2 Linguistic characteristics   3 Prescription and stigma   4 Regional usage and dialects   5 Rhetorical and popular usage   6 Notable usage   7 See also   8 References   9 Further reading      Etymology ( edit )   Ai n't has several antecedents in English , corresponding to the various forms of to be not and to have not that ai n't contracts . The development of ai n't for to be not and to have not is a diachronic coincidence ; in other words , they were independent developments at different times .   Contractions of to be not ( edit )   Am n't as a contraction of am not is known from 1618 . As the `` mn '' combination of two nasal consonants is disfavoured by many English speakers , the `` m '' of am n't began to be elided , reflected in writing with the new form a n't . Are n't as a contraction for are not first appeared in 1675 . In non-rhotic dialects , are n't lost its `` r '' sound , and began to be pronounced as a n't .   A n't ( sometimes a' n't ) arose from am not and are not almost simultaneously . A n't first appears in print in the work of English Restoration playwrights . In 1695 a n't was used as a contraction of `` am not '' , in William Congreve 's play Love for Love : `` I can hear you farther off , I a n't deaf '' . But as early as 1696 Sir John Vanbrugh uses a n't to mean `` are not '' in The Relapse : `` Hark thee shoemaker ! These shoes a n't ugly , but they do n't fit me '' .   A n't for is not may have developed independently from its use for am not and are not . Is n't was sometimes written as i n't or e n't , which could have changed into a n't . A n't for is not may also have filled a gap as an extension of the already - used conjugations for to be not . Jonathan Swift used a n't to mean is not in Letter 19 of his Journal to Stella ( 1710 -- 13 ) : It a n't my fault , ' tis Patrick 's fault ; pray now do n't blame Presto .   A n't with a long `` a '' sound began to be written as ai n't , which first appears in writing in 1749 . By the time ai n't appeared , a n't was already being used for am not , are not , and is not . A n't and ai n't coexisted as written forms well into the nineteenth century -- Charles Dickens used the terms interchangeably , as in Chapter 13 , Book the Second of Little Dorrit ( 1857 ) : `` ' I guessed it was you , Mr Pancks '' , said she , ' for it 's quite your regular night ; ai n't it ? ... A n't it gratifying , Mr Pancks , though ; really ? ' `` . In the English lawyer William Hickey 's memoirs ( 1808 -- 1810 ) , ai n't appears as a contraction of are n't ; `` thank God we 're all alive , ai n't we ... ''   Contractions of to have not ( edit )   Ha n't or ha' n't , an early contraction for has not and have not , developed from the elision of the `` s '' of has not and the `` v '' of have not . Ha n't appeared in the work of English Restoration playwrights , as in The Country Wife ( 1675 ) by William Wycherley : Gentlemen and Ladies , ha n't you all heard the late sad report / of poor Mr. Horner . Much like a n't , ha n't was sometimes pronounced with a long `` a '' , yielding hai n't . With H - dropping , the `` h '' of ha n't or hai n't gradually disappeared in most dialects , and became ai n't .   Ai n't as a contraction for has not / have not first appeared in dictionaries in the 1830s , and appeared in 1819 in Niles ' Weekly Register : Strike ! Why I ai n't got nobody here to strike ... Charles Dickens likewise used ai n't to mean have n't in Chapter 28 of Martin Chuzzlewit ( 1844 ) : `` You ai n't got nothing to cry for , bless you ! He 's righter than a trivet ! ''   Like with a n't , ha n't and ai n't were found together late into the nineteenth century , as in Chapter 12 of Dickens ' Our Mutual Friend : `` ' Well , have you finished ? ' asked the strange man . ' No , ' said Riderhood , ' I ai n't ' ... ' You sir ! You ha n't said what you want of me . ' ''   Contractions of to do not ( edit )   Ai n't meaning did n't is widely considered a feature unique to African American Vernacular English , although it can be found in some dialects of Caribbean English as well . It may function not as a true variant of did n't , but as a creole - like tense - neutral negator ( sometimes termed `` generic ai n't '' ) . Its origin may have been due to approximation when early African Americans acquired English as a second language ; it is also possible that early African Americans inherited this variation from colonial European - Americans , and later kept the variation when it largely passed out of wider usage . Ai n't is rarely attested for the present - tense constructions do not or does not .   Linguistic characteristics ( edit )   Linguistically , ai n't is formed by the same rule that English speakers use to form are n't and other contractions of auxiliary verbs . Most linguists consider usage of ai n't to be grammatical , as long as its users convey their intended meaning to their audience . In other words , a sentence such as `` She ai n't got no sense '' is grammatical because it generally follows a native speaker 's word order , and because a native speaker would recognize the meaning of that sentence . Linguists draw a distinction , however , between grammaticality and acceptability : what may be considered grammatical across all dialects may nevertheless be considered not acceptable in certain dialects or contexts . The usage of ai n't is socially unacceptable in some situations .   Functionally , ai n't has operated in part to plug what is known as the `` am n't gap '' -- the anomalous situation in standard English whereby there are standard contractions for other forms of to be not ( are n't for are not , and is n't for is not ) , but no standard contraction for am not . Historically , ai n't has filled the gap where one might expect am n't , even in contexts where other uses of ai n't were disfavored . Standard dialects that regard ai n't as non-standard often substitute are n't for am not in tag questions ( e.g. , `` I 'm doing okay , are n't I ? '' ) , while leaving the `` am n't gap '' open in declarative statements .   Prescription and stigma ( edit )   Ai n't has been called `` the most stigmatized word in the language '' , as well as `` the most powerful social marker '' in English . It is a prominent example in English of a shibboleth -- a word used to determine inclusion in , or exclusion from , a group .   Historically , this was not the case . For most of its history , ai n't was acceptable across many social and regional contexts . Throughout the 17th , 18th , and 19th centuries , ai n't and its predecessors were part of normal usage for both educated and uneducated English speakers , and was found in the correspondence and fiction of , among others , Jonathan Swift , Lord Byron , Henry Fielding , and George Eliot . For Victorian English novelists William Makepeace Thackeray and Anthony Trollope , the educated and upper classes in 19th century England could use ai n't freely , but in familiar speech only . Ai n't continued to be used without restraint by many upper middle class speakers in southern England into the beginning of the 20th century .   Ai n't was a prominent target of early prescriptivist writers . In the 18th and early 19th centuries , some writers began to propound the need to establish a `` pure '' or `` correct '' form of English . Contractions in general were disapproved of , but ai n't and its variants were seen as particularly `` vulgar '' . This push for `` correctness '' was driven mainly by the middle class , which led to an incongruous situation in which non-standard constructions continued to be used by both lower and upper classes , but not by the middle class . The reason for the strength of the prescription against ai n't is not entirely clear .   The strong prescription against ai n't in standard English has led to many misconceptions , often expressed jocularly ( or ironically ) , as `` ai n't ai n't a word '' or `` ai n't ai n't in the dictionary . '' Ai n't is listed in most dictionaries , including the Oxford Dictionary of English and Merriam - Webster . However , Oxford states `` it does not form part of standard English and should never be used in formal or written contexts '' , and Merriam - Webster states it is `` widely disapproved as non-standard and more common in the habitual speech of the less educated '' .   Webster 's Third New International Dictionary , published in 1961 , went against then - standard practice when it included the following usage note in its entry on ai n't : `` though disapproved by many and more common in less educated speech , used orally in most parts of the U.S. by many cultivated speakers esp. in the phrase ai n't I . '' Many commentators disapproved of the dictionary 's relatively permissive attitude toward the word , which was inspired , in part , by the belief of its editor , Philip Gove , that `` distinctions of usage were elitist and artificial '' .   Regional usage and dialects ( edit )  From Mark Twain , Life on the Mississippi , 1883  Ai n't is found throughout the English - speaking world across regions and classes , and is among the most pervasive nonstandard terms in English . It is one of two negation features ( the other being the double negative ) that are known to appear in all nonstandard English dialects . Ai n't is used throughout the United Kingdom , with its geographical distribution increasing over time . It is also found throughout the United States , including in Appalachia , the South , New England , the Mid-Atlantic , and the Upper Midwest . In its geographical ubiquity , ai n't is to be contrasted with other folk usages such as y'all , which is confined to the South region of the United States .   In England , ai n't is generally considered a non-standard or illiterate usage , as it is used by speakers of a lower socio - economic class , or by educated people in an informal manner . In the nineteenth century , ai n't was often used by writers to denote regional dialects such as Cockney English . Ai n't is a non-standard feature commonly found in mainstream Australian English , and in New Zealand , ai n't is a feature of Māori - influenced English . In American English , usage of ai n't corresponds to a middle level of education , although it is widely believed that its use establishes of lack of education or social standing in the speaker .   The usage of ai n't in the southern United States is distinctive , however , in the continued usage of the word by well - educated , cultivated speakers . Ai n't is in common usage of educated Southerners . In the South , the use of ai n't can be used as a marker to separate cultured speakers from those who lack confidence in their social standing and thus avoid its use entirely .  An American propaganda poster from World War II , using ai n't for rhetorical effect  Rhetorical and popular usage ( edit )   Ai n't can be used in both speech and writing to catch attention and to give emphasis , as in `` Ai n't that a crying shame '' , or `` If it ai n't broke , do n't fix it . '' Merriam - Webster 's Collegiate Dictionary gives an example from film critic Richard Schickel : `` the wackiness of movies , once so deliciously amusing , ai n't funny anymore . '' It can also be used deliberately for what The Oxford Dictionary of American Usage and Style describes as `` tongue - in - cheek '' or `` reverse snobbery '' . Star baseball pitcher Dizzy Dean , a member of the Baseball Hall of Fame and later a popular announcer , once said , `` A lot of people who do n't say ai n't , ai n't eatin ' . ''   Although ai n't is seldom found in formal writing , it is frequently used in more informal written settings , such as popular song lyrics . In genres such as traditional country music , blues , rock n ' roll , and hip - hop , lyrics often include nonstandard features such as ai n't . This is principally due to the use of such features as markers of `` covert identity and prestige '' .   Ai n't is standard in some fixed phrases , such as `` You ai n't seen nothing yet '' .   Notable usage ( edit )  `` You Ai n't Heard Nothing Yet '' , 1919   `` Ai n't I a Woman ? '' , 1851 speech by abolitionist Sojourner Truth .   `` If you want to know who we are '' , from The Mikado lyrics by W.S. Gilbert `` We figure in lively paint : Our attitude 's queer and quaint -- You 're wrong if you think it ai n't . '' ( 1885 ) .   George Bernard Shaw 's play Pygmalion `` I ai n't done nothing wrong by speaking to the gentleman '' said Cockney flower girl Eliza Doolittle .   Great baseball hitter Willie Keeler 's advice to young hitters was : `` Keep your eye on the ball , and hit ' em where they ai n't . ''   `` Say it ai n't so , Joe '' , apocryphal quote from a young baseball fan to Shoeless Joe Jackson after the fan learned about the Black Sox scandal involving throwing the 1919 World Series . `` Say it ai n't so '' was subsequently used as the title of a song by Weezer and an album by Murray Head , and an opera about the 2008 US vice presidential debate .   `` You ai n't heard nothing yet ! '' spoken by Al Jolson in The Jazz Singer ( 1927 ) , the first feature - length motion picture with synchronized dialogue sequences . That spoken line , and others in the film , introduced the `` talkies '' and revolutionized the movie industry .   `` It Ai n't Necessarily So '' , song from Porgy and Bess ( 1935 ) ; music by George Gershwin , words by Ira Gershwin .   `` He ai n't heavy , he 's my brother '' has been used as the motto of Boys Town since 1943 , and inspired a song He Ai n't Heavy , He 's My Brother , written by Bobby Scott and Bob Russell , and recorded by The Hollies , Neil Diamond , and other artists .   `` Ai n't That a Shame '' is a song written by Fats Domino and Dave Bartholomew , released by Imperial Records in 1955 , which went on to sell over a million copies and introduced Fats Domino to a wider audience .   Winston Churchill , commenting on the 1954 portrait by Graham Sutherland said `` It makes me look half - witted , which I ai n't '' .   Ai n't No Mountain High Enough sung by Marvin Gaye and Tammi Terrell .    See also ( edit )    English auxiliaries and contractions   English usage controversies    References ( edit )    Jump up ^ Cheshire , Jenny ( 2009 ) . Variation in an English Dialect . Cambridge University Press . p. 53 . ISBN 0 - 521 - 11715 - 1 .   Jump up ^ `` Am n't '' , Merriam - Webster . Accessed 29 July 2014 .   ^ Jump up to : Denham , Kristin , Anne Lobeck . Linguistics for Everyone : An Introduction . 2009 . p. 171 .   Jump up ^ `` Are n't '' , Merriam - Webster . Accessed 29 July 2014 .   Jump up ^ Algeo , John and Carmen Acevedo Butcher . The Origins and Development of the English Language . Cengage Learning . 2014 . p. 192 .   ^ Jump up to : Merriam - Webster , Inc. `` ai n't '' . The Merriam - Webster New Book of Word Histories. 1991 . pp. 7 -- 9 .   Jump up ^ Congreve , William . Love for Love . J. and R. Tonson . London . 1756 . p. 55 .   Jump up ^ Vanbrugh , Sir John . The Relapse. J. and R. Tonson ; G. Kearsly . London . 1761 . p. 13 .   Jump up ^ Swift , Jonathan . The Journal to Stella. J. Nichols . London . 1808 . p. 417 .   Jump up ^ `` Ai n't '' , Merriam - Webster . Accessed 29 July 2014 .   Jump up ^ Alfred Spencer Memoirs of William Hickey ( 1749 -- 1775 ) READ BOOKS , 2008   Jump up ^ Wycherley , William . The Country Wife. C. Bathurst . London . 1751 . p. 82 .   Jump up ^ Niles ' weekly register . Vol. 16 . 1819 . p. 190 .   Jump up ^ Dickens , Charles . Martin Chuzzlewit . Wordsworth Editions. 1994 . p. 443 .   Jump up ^ Dickens , Charles . Our Mutual Friend . P.F. Collier &amp; Son . 1911 . pp. 375 -- 76 .   ^ Jump up to : Howe , Darin . `` Negation in African American Vernacular English '' , from Aspects of English Negation . p. 185 .   Jump up ^ Anderwald , Liselotte . Negation in varieties of English , from Areal Features of the Anglophone World , Raymond Hickey , ed. p. 311 . 2012 .   Jump up ^ Peoples , James and Garrick Bailey . Humanity : An Introduction to Cultural Anthropology . Cengage. 2011 . p. 52 .   Jump up ^ Clark , Irene L. Concepts in Composition : Theory and Practice in the Teaching of Writing . Routledge. 2011 . p. 283 .   Jump up ^ Aarts , Bart , Sylvia Chalker , and Edmund Weiner . The Oxford Dictionary of English Grammar . Oxford University Press . 2014 . p. 5 .   Jump up ^ Wolfram , Walt . Vernacular Dialects of English , from Languages and Dialects in the U.S. : An Introduction to the Linguistics of Diversity . Marianna Di Paolo , Arthur K. Spears , eds . Routledge . p. 86 .   Jump up ^ Hudson , Richard . `` * I am n't '' . Language , Vol 76 , No 2 . pp. 297 -- 323 . 308 -- 09 , 311 .   Jump up ^ Wilson , Kenneth G . The Columbia Guide to Standard American English . Columbia University Press . 1993 . p. 22 .   ^ Jump up to : Lynch , Jack . The Lexicographer 's Dilemma . Bloomsbury Publishing USA . 2009 . pp. 15 -- 16 .   ^ Jump up to : Dillard , Joey Lee . Toward a Social History of American English . Walter de Gruyter. 1985 . p. 86 .   Jump up ^ O'Conner , Patricia T. and Stewart Kellerman . Origins of the Specious : Myths and Misconceptions of the English Language . Random House . 2010 . p. 48 .   ^ Jump up to : Görlach , Manfred . English in nineteenth - century England : an introduction Cambridge University Press . 1999 .   Jump up ^ Williams , Joseph M. Origins of the English Language . Simon and Schuster . 1986 . p. 277 .   Jump up ^ Wolfram , Walt and Donna Christian . Appalachian Speech . Center for Applied Linguistics. 1976 . p. 114 .   Jump up ^ Pahta , Päivi , Minna Palander - Collin , Minna Nevala , and Arja Nurmi . Language practices in the construction of social roles in Late Modern English , from Social Roles and Language Practices in Late Modern English . Päivi Pahta , Minna Nevala , Minna Palander - Collin , and Arja Nurmi , eds. 2010 . pp. 18 -- 19 .   Jump up ^ See also Tieken - Boone van Ostade , Ingrid . An Introduction to Late Modern English . Edinburgh University Press . 2009 . pp. 82 -- 83 .   Jump up ^ Spears , Richard A. ( 2007 ) . `` Dictionary of American Slang and Colloquial Expressions : Saying `` Ai n't ai n't in the dictionary '' ai n't so. `` '' . Dictionary of American Slang , cited at dictionary.reference.com . McGraw Hill Education . Retrieved 27 April 2014 .   ^ Jump up to : `` Ai n't '' , entry in Oxford English Dictionary . Accessed 5 June 2015 .   ^ Jump up to : `` Ai n't '' , entry in Merriam Webster 's Dictionary of English Usage , E. Ward Gilman , ed. , Merriam - Webster . 1989 . ISBN 0 - 87779 - 132 - 5 .   Jump up ^ For an in - depth discussion , see Skinner David . The Story of Ai n't . 2014 .   Jump up ^ Kovecses , Zoltan . American English : An Introduction . Broadview Press . 2000 . p. 224 .   Jump up ^ See , e.g. , Anderwald , Liselotte . Negation in varieties of English , from Areal Features of the Anglophone World , Raymond Hickey , ed . Walter de Gruyter. 2012 . p. 314 .   Jump up ^ Ian Hancock , Lorento Todd eds . International English Usage . Routledge. 2005 . p. 31 .   Jump up ^ Kortmann , Bernd . Syntactic Variation in English : A Global Perspective , from The Handbook of English Linguistics , Bas Aarts and April McMahon , eds . John Wiley &amp; Sons . 2008 . p. 610 .   Jump up ^ Anderwald , Liselotte . Non-standard English and typological principles , from Determinants of Grammatical Variation in English , Günter Rohdenburg , Britta Mondorf , eds . Walter de Gruyter. 2003 . pp. 517 -- 518 .   Jump up ^ Jan Harold Brunvand , ed . American Folklore : An Encyclopedia . Routledge. 1998 . p. 581 .   ^ Jump up to : Castillo González , Maria del Pilar . Uncontracted Negatives and Negative Contractions in Contemporary English . Universidad de Santiago de Compostela . p. 34 .   Jump up ^ Crystal , David . The Story of English in 100 Words. 2011 .   Jump up ^ Leitner , Gerhard . Australian English -- The National Language . 2004 . p. 245 .   Jump up ^ Kachru , Yamuna and Cecil Nelson . World Englishes in Asian Contexts. 2006 . p. 280 .   Jump up ^ Kachru , Yamuna and Cecil Nelson . World Englishes in Asian Contexts. 2006 . pp. 211 -- 212 .   Jump up ^ Hendrickson , Robert . The Facts on File Dictionary of American Regionalisms . Infobase Publishing . 2000 . p. 6 .   Jump up ^ McDavid , Raven . `` The Dialects of Negro Americans '' ( 1972 ) , from Varieties of American English , Stanford University Press . 1980 . p. 85 .   Jump up ^ McDavid , Raven . `` The Dialects of Negro Americans '' ( 1972 ) , from Varieties of American English , Stanford University Press . 1980 . p. 32 .   Jump up ^ Merriam - Webster 's Collegiate Dictionary . Merriam - Webster . 2003 . p. 27 .   Jump up ^ Garner , Bryan . The Oxford Dictionary of American Usage and Style . 2000 . p. 14 .   Jump up ^ Bartlett 's Book of Anecdotes . Clifton Fadiman and Andre Bernard , eds. 2000 . p. 159 .   ^ Jump up to : German , Gary D. Appalachian and African American Lyrical Traditions , from Aspects linguistiques du texte poetique , David Banks , ed . L'Harmattan. 2011 . p. 154 .   Jump up ^ `` Modern History Sourcebook : Sojourner Truth : `` Ai n't I a Woman ? '' , December 1851 `` . Fordham University . Retrieved 13 July 2014 .   Jump up ^ Batiste , Stephanie Leigh . Darkening Mirrors. 2011 . p. 120 .   Jump up ^ Shaw , George Bernard . `` Pygmalion / Act I '' . Retrieved 19 June 2016 -- via Wikisource .   Jump up ^ `` Willie Keeler '' . Baseball Hall of Fame . Retrieved 30 September 2017 .   Jump up ^ The Gigantic Book of Baseball Quotations . Wayne Stewart , ed. 2007 . p. 8 .   Jump up ^ The Yale Book of Quotations . Shapiro , Fred . R. , ed. 2006 . p. 406 .   Jump up ^ Freedland , Michael ( September 27 , 2007 ) . `` You ai n't heard nothing ' yet : How one sentence uttered by Al Jolson changed the movie industry '' . The Independent . Retrieved 30 September 2017 .   Jump up ^ Rimler , Walter . George Gershwin. 2009 . p. 97 .   Jump up ^ `` The story behind `` He ai n't heavy ... '' `` . Boys Town . Archived from the original on 27 July 2014 . Retrieved 19 July 2014 .   Jump up ^ `` The Story Of Fats Domino 's ' Ai n't That A Shame ' '' . npr.org . Retrieved 19 June 2016 .   Jump up ^ `` Goldsmiths , Art and Winston Churchill '' . Retrieved 18 March 2018 .        Look up ai n't in Wiktionary , the free dictionary .     Further reading ( edit )    Anderwald , Liselotte . Negation in Non-Standard British English . Routledge. 2003 .   `` ai n't '' , Merriam - Webster 's dictionary of English usage ( 1995 ) pp. 60 -- 64 online   Retrieved from `` https://en.wikipedia.org/w/index.php?title=Ain%27t&amp;oldid=832167780 '' Categories :   American slang   British slang   Nonstandard English grammar   Slang of the Southern United States   Hidden categories :   Use dmy dates from August 2014   Good articles           Talk                                           Contents                   About Wikipedia                                           فارسی   Suomi   ไทย   Edit links   This page was last edited on 24 March 2018 , at 07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</si>
  <si>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they add ain't to the dictionary</t>
  </si>
  <si>
    <t xml:space="preserve"> Webster 's Third New International Dictionary , published in 1961 , went against then - standard practice when it included the following usage note in its entry on ai n't : `` though disapproved by many and more common in less educated speech , used orally in most parts of the U.S. by many cultivated speakers esp. in the phrase ai n't I . '' Many commentators disapproved of the dictionary 's relatively permissive attitude toward the word , which was inspired , in part , by the belief of its editor , Philip Gove , that `` distinctions of usage were elitist and artificial '' . </t>
  </si>
  <si>
    <r>
      <rPr>
        <sz val="11"/>
        <color rgb="FF000000"/>
        <rFont val="Calibri"/>
        <family val="0"/>
        <charset val="1"/>
      </rPr>
      <t xml:space="preserve">Sing ( 2016 American film ) - wikipedia  Sing ( 2016 American film )  Jump to : navigation , search This article is about the 2016 animated American film . For 2016 Oscar - winning Hungarian short film , see Sing ( 2016 Hungarian film ) .    Sing     Theatrical release poster     Directed by   Garth Jennings     Produced by     Chris Meledandri   Janet Healy       Written by   Garth Jennings     Starring     Matthew McConaughey   Reese Witherspoon   Seth MacFarlane   Scarlett Johansson   John C. Reilly   Taron Egerton   Tori Kelly       Music by   Joby Talbot     Edited by   Gregory Perler     Production company   Universal Pictures Illumination Entertainment     Distributed by   Universal Pictures     Release date     September 11 , 2016 ( 2016 - 09 - 11 ) ( TIFF )   December 21 , 2016 ( 2016 - 12 - 21 ) ( United States )             Running time   108 minutes     Country   United States     Language   English     Budget   $75 million     Box office   $632.4 million     Sing is a 2016 American 3D computer - animated musical comedy film produced by Illumination Entertainment . It was directed and written by Garth Jennings , co-directed by Christophe Lourdelet , and starring the voices of Matthew McConaughey , Reese Witherspoon , Seth MacFarlane , Scarlett Johansson , John C. Reilly , Taron Egerton , and Tori Kelly . The film is about a group of anthropomorphic animals that enter a singing competition , hosted by a koala hoping to save his theater .   The film includes more than 60 songs from famous artists and also has an original song by Stevie Wonder and Ariana Grande called `` Faith , '' which was nominated for a Golden Globe . It screened on the Toronto International Film Festival on September 11 , 2016 , premiered at Microsoft Theater on December 3 , 2016 and was released in the United States on December 21 , 2016 , by Universal Pictures . The film received generally positive reviews , and grossed $632 million worldwide . Along with The Secret Life of Pets , it marked the first time that Illumination Entertainment released two feature films in the same year .   A sequel , entitled Sing 2 , has been announced for a release on December 25 , 2020 .     Contents  ( hide )   1 Plot   2 Voice cast   3 Production   4 Soundtrack   5 Release   5.1 Home media     6 Reception   6.1 Box office   6.2 Critical response   6.3 Accolades     7 Sequel   8 References   9 External links      Plot ( edit )   In a world of anthropomorphic animals , koala Buster Moon owns a theater , having been interested in show business since his father took him to his first music show as a child . Following financial problems brought up by the bank representative Judith , he tells his wealthy friend Eddie that he will host a singing competition with a prize of $1,000 . But Buster 's assistant , Miss Crawly , accidentally appends two extra zeroes , and the promotional fliers showing $100,000 are blown out of Buster 's office into the city streets .   Animals from all around the city gather for auditions . Those selected include : housewife and mother of 25 piglets Rosita ; street musician mouse Mike ; mobster 's son gorilla Johnny ; punk - rock porcupine Ash ; a trio of frogs ; and a camel named Pete . Shy teenage elephant Meena fails her audition out of stage fright , while Ash 's boyfriend Lance is dismissed from the contest . Rosita is paired with another contestant , an exuberant pig named Gunter , for a dancing routine . Although Buster discovers the flyers show a prize of $100,000 , money he does not have , he remains optimistic . Buster convinces Eddie to arrange a visit with Eddie 's grandmother , former opera singer and theater actress Nana Noodleman , to persuade her to sponsor the prize money . She is hesitant to contribute , but agrees to see a private screening of the show .   Encouraged by her grandfather , Meena tries to ask Buster for another chance , but becomes his stage hand instead . When the frogs quit , and Pete is injured , Meena is added as an act . The performers ' individual problems begin to hinder rehearsals : Rosita flounders in her dance routine with Gunter , after having been distracted by her parenting duties that have fallen into disarray . After discovering Lance with a new girlfriend and evicting them from her apartment , Ash is devastated and can no longer sing her assigned song , Carly Rae Jepsen 's `` Call Me Maybe . '' Johnny is torn between having to help his father as the driver of a getaway car in a heist and making the practices . When he tries to do both , he does not show up for the planned pickup in time , and his father and his gang are arrested . Meena does not get any help in overcoming her stage fright , and Mike , certain that the prize money is as good as his , buys a fancy car to impress a female mouse , and then swindles a group of bears in a card game in a nightclub .   The day of the screening , the bears interrupt the show , demanding the money from Mike , who in turn , points to Buster . The bears open the chest containing the prize money , but it is nowhere near $100,000 . The glass tank full of luminescent squids that Buster got to light up the theater breaks under all their weight , flooding the theater , which then comes crashing down . With the lot repossessed by Judith , Buster , who had been living in his theater 's office desk , takes up residence at Eddie 's place ( his parents ' pool house ) . Although the contestants ( besides Mike , who saw Buster as a fraud ) visit him and try to cheer him up , Buster is too despondent to listen to them . He tries to start over by opening a car wash , using the same bucket that his father had used to earn money for Buster 's theater .   When Meena goes to the theater 's rubble lot and sings Leonard Cohen 's `` Hallelujah , '' Buster hears her and is inspired to reinstate the show without the prize money . They perform on a makeshift stage on the lot in front of Rosita and Meena 's family members . As Rosita and Gunter perform Taylor Swift 's `` Shake It Off , '' more animals are attracted to the scene as the show is broadcast on the news . Johnny 's rendition of Elton John 's `` I 'm Still Standing '' impresses his father , who then escapes from prison to reconcile with him . Despite interruption by Judith , Ash sings her original rock song `` Set It All Free . '' Mike returns to the show and sings Frank Sinatra 's `` My Way . '' Meena finally overcomes her fears and sings Stevie Wonder 's `` Do n't You Worry ' bout a Thing , '' which literally brings down the house . The show becomes a success and impresses Nana , who was in the audience . Nana buys the lot and the theater is rebuilt and reopened .   Voice cast ( edit )  Matthew McConaughey , Reese Witherspoon , Scarlett Johansson , Tori Kelly , Taron Egerton , and Nick Kroll at the film 's premiere at the Toronto International Film Festival .   Matthew McConaughey as Buster Moon , an optimistic koala who plans to save his theater from closure by holding a singing competition .   Reese Witherspoon as Rosita , a pig who gave up her teenage music dreams to become a devoted wife to Norman , and mother to their 25 piglets .   Seth MacFarlane as Mike , a white mouse with a big Frank Sinatra-esque voice and an arrogant attitude .   Scarlett Johansson as Ash , a teen porcupine and punk rocker who takes part in an alternative - rock music duo with her boyfriend Lance .   John C. Reilly as Eddie , a sheep and Buster 's friend who doubts the future of the theater .   Tori Kelly as Meena , a teenage elephant with an exquisite voice and severe stage fright .   Taron Egerton as Johnny , a teenage gorilla who wants to sing , though his father would rather have him follow his criminal footsteps .   Jennifer Saunders as Nana Noodleman , a sheep and Eddie 's grandmother who was a singer in her glory days .   Jennifer Hudson as Young Nana   Garth Jennings as Miss Crawly , an elderly iguana with a glass eye who is Buster 's administrative assistant .   Peter Serafinowicz as Big Daddy , a gorilla gang leader who wants his son Johnny to follow in his crime business .   Nick Kroll as Gunter , a passionate dancing pig who is partnered with Rosita for the show .   Beck Bennett as Lance , a porcupine and Ash 's boyfriend .   Jay Pharoah as Meena 's grandfather who pressures her to overcome her stage fright .   Nick Offerman as Norman , a pig and Rosita 's husband .   Leslie Jones as Meena 's mother   Rhea Perlman as Judith , a brown llama from the bank who warns Buster that his theater will be repossessed if he does not pay .   Laraine Newman as Meena 's grandmother   Adam Buxton as Stan , a gorilla who is a member of Big Daddy 's gang .   Brad Morris as a Baboon , whom Mike attacks for not donating more money to his street performances .   Bill Farmer as News Reporter Dog , who documents Buster 's singing competition .   Oscar , Leo , Caspar , and Asa Jennings as Piglets .    Production ( edit )   In January 2014 , it was announced that Garth Jennings would write and direct an animated comedy film for Universal Pictures and Illumination Entertainment , about `` courage , competition and carrying a tune , '' which was originally titled Lunch , and then retitled as Sing .   On January 14 , 2015 , Matthew McConaughey was cast in the film 's lead voice role . Chris Meledandri and Janet Healy produced the film . On June 17 , 2015 , it was confirmed that McConaughey 's character is named Buster and that John C. Reilly would voice Eddie , a sheep and Buster 's best friend . In November 2015 , it was announced that Reese Witherspoon , Seth MacFarlane , Scarlett Johansson , Tori Kelly and Taron Egerton had joined the cast of the film .   The film features 65 pop songs , the rights to which cost 15 percent of the film 's $75 million budget . The animation was created entirely in France by Illumination MacGuff .   Soundtrack ( edit )  Main article : Sing : Original Motion Picture Soundtrack  A soundtrack album for the film was released on December 21 , 2016 .   Release ( edit )   The almost complete film was screened as a work in progress beginning September 11 , 2016 at the Toronto International Film Festival . Universal Studios released the film on December 21 , 2016 .   Home Media ( edit )   Sing was released on Blu - ray , Blu - ray 3D , Ultra HD Blu - ray and DVD on March 21 , 2017 . It includes three short films : Gunter Babysits , Love at First Sight , and Eddie 's Life Coach .    In Gunter Babysits , Gunter offers to watch over Rosita and Norman 's piglets while they are away as he works to prove himself to be a good babysitter .   In Love at First Sight , Johnny sets Miss Crawly up with an online dating website where she manages to score a date with a lizard named Herman .   In Eddie 's Life Coach , Eddie 's mother sets Eddie up for a digital training seminar where he will be assigned to a dachshund named Garry `` The Winner '' Wishman .    Reception ( edit )   Box office ( edit )   Sing grossed $270.3 million in the U.S. and Canada and $362.1 million in other territories for a worldwide total of $632.4 million , against a production budget of $75 million . Deadline.com calculated the net profit of the film to be $194.2 million , when factoring together all expenses and revenue for the film , making it the 7th most profitable release of 2016 .   In North America , the film opened alongside Passengers and Assassin 's Creed , and was expected to gross around $70 million from 4,022 theaters over its first six days of release . The film made $1.7 million during its Tuesday night previews . It went on to gross $35.3 million in its opening weekend ( a six - day total of $75.5 million ) , finishing second at the box office behind Rogue One : A Star Wars Story , which was in its second week . Sing holds the record for being the highest - grossing film to never finish first at the North American box office , besting My Big Fat Greek Wedding ( $241.4 million in 2002 ) .   Critical response ( edit )   Sing received positive reviews from critics . On the aggregate site Rotten Tomatoes , the film has an approval rating of 73 % based on 157 reviews ; the average rating is 6.5 / 10 . The site 's critical consensus reads , `` Sing delivers colorfully animated , cheerfully undemanding entertainment with a solid voice cast and a warm - hearted -- albeit familiar -- storyline that lives up to its title . '' On Metacritic , the film has a weighted average score of 59 out of 100 based on 37 critics , indicating `` mixed or average reviews . '' Audiences polled by CinemaScore gave the film an average grade of `` A '' on an A+ to F scale .   Brian Truitt of USA Today gave the film three - and - a-half out of four stars and wrote , `` In a year full of talking - animal hits , Sing is n't quite as strong a number . It 's a tale that might not be particularly thought - provoking but sure is toe - tapping . '' In her review for the Los Angeles Times , Katie Walsh called Sing , `` a cute movie with genuinely funny moments ( keep an eye out for the koala car wash ) , and some great tunes to boot . '' The Arizona Republic 's Bill Goodykoontz was rather mixed about the movie in his review and overall said , `` Sing is like an album with a good song here and there , but too much filler and not enough hits . '' Reviewing the version of the film screened at the Toronto International Film Festival , Stefan Pape of the British website HeyUGuys gave the film a mixed review of 2 / 5 , stating that `` Garth Jennings 's Sing effectively acknowledges early on that it 's following a completely unoriginal formula , and yet carries on regardless . '' While Peter Debruge of Variety , who also saw the film during the same festival , did not find the subplots to have any `` profound life lessons , '' he overall praised Jennings ' direction , the cast 's voice performances and the film 's silliness .   Accolades ( edit )     List of awards and nominations     Award   Date of ceremony     Recipient ( s )   Result   Ref ( s )     AARP Annual Movies for Grownups Awards   February 6 , 2017   Best Movie for Grownups who Refuse to Grow Up   Sing   Nominated       Annie Awards   February 4 , 2017   Outstanding Achievement , Music in an Animated Feature Production   Joby Talbot       Golden Globe Awards   January 8 , 2017   Best Animated Feature Film   Sing       Best Original Song   `` Faith '' -- Ryan Tedder , Stevie Wonder and Francis Farewell Starlite     Hollywood Music in Media Awards   November 17 , 2016   Best Song -- Animated Film       Best Soundtrack Album   Sing : Original Motion Picture Soundtrack     Outstanding Music Supervision -- Film   Jojo Villanueva   Won     Nickelodeon Kids ' Choice Awards   March 11 , 2017   Favorite Animated Movie   Sing   Nominated       Favorite Voice From an Animated Movie   Reese Witherspoon     Most Wanted Pet     Favorite Soundtrack   Sing     Saturn Awards   June 28 , 2017   Best Animated Film   Nominated       Sequel ( edit )   Universal and Illumination have announced plans for a Sing 2 , slated for December 25 , 2020 .   References ( edit )    ^ Jump up to : Felperin , Leslie ( September 11 , 2016 ) . `` ' Sing ' : Film Review '' . The Hollywood Reporter . Retrieved September 12 , 2016 .   ^ Jump up to : `` Sing ( 2016 ) '' . Box Office Mojo . May 29 , 2017 . Retrieved July 10 , 2017 .   ^ Jump up to : Kit , Borys ( January 14 , 2015 ) . `` Matthew McConaughey to Star in Illumination Animated Film ( Exclusive ) '' . The Hollywood Reporter . Retrieved August 3 , 2015 .   Jump up ^ Amidi , Amid ( September 9 , 2016 ) . `` A Complete List of Every Song in Illumination 's ' Sing ' '' . Cartoon Brew . Retrieved December 28 , 2016 .   ^ Jump up to : Truitt , Brian ( November 10 , 2015 ) . `` Sneak peek : A-list animals ' SING ' together '' . USA Today . Retrieved November 11 , 2015 .   ^ Jump up to : Hopewell , John ( June 17 , 2015 ) . `` Annecy : Chris Meledandri on Matthew McConaughey as a Koala Legit Theater Owner , ' The Grinch ' '' . Variety . Retrieved August 3 , 2015 .   ^ Jump up to : Trumbore , Dave ( November 11 , 2015 ) . `` Meet the Animated Animals of Illumination Entertainment 's 2016 Musical Comedy , ' Sing ' '' . Collider . Retrieved November 12 , 2015 .   Jump up ^ Buxton , Adam ( April 14 , 2016 ) . `` EP. 16 - Pub Walk With Garth Jennings '' . soundcloud.com . Retrieved April 17 , 2016 .   Jump up ^ Yuen , Jenny ( September 11 , 2016 ) . `` TIFF 2016 : Matthew McConaughey optimistic about ' Sing ' '' . Toronto Sun . Retrieved September 12 , 2016 .   Jump up ^ `` Sing - Full Cast and Credits '' . Hollywood.com . Retrieved November 30 , 2016 .   Jump up ^ `` ' Despicable Me 3 ′ Set For June 2017 Release ; ' Dr. Seuss ' How The Grinch Stole Christmas ' Arrives Five Months Later '' . Deadline . January 15 , 2014 . Retrieved January 16 , 2014 .   Jump up ^ Hopewell , John ( January 8 , 2014 ) . `` France Fights Bidding War to Lure Hollywood Filmmakers '' . Variety . Retrieved January 9 , 2014 . Universal now has `` Max '' and `` Lunch '' set up at Illumination MacGuff .   Jump up ^ Kilday , Gregg ( December 9 , 2016 ) . `` Illumination 's Chris Meledandri Talks Success Secrets , Rumors He 'll Head DreamWorks '' . The Hollywood Reporter . Retrieved January 22 , 2017 .   Jump up ^ Keslassy , Elsa ( 2 December 2016 ) . `` Oscar 's French Animation Connection Draws on Deep Talent Pool '' .   Jump up ^ Grobar , Matt ( December 5 , 2016 ) . `` ' Sing ' Director Garth Jennings On Working With `` Wizards , '' The Learning Curve Of His Feature Animation Debut `` . Deadline . Retrieved December 7 , 2016 .   Jump up ^ Hammond , Pete ( August 23 , 2016 ) . `` Universal &amp; Illumination To Launch ' Sing ' With Live Jennifer Hudson And Tori Kelly Performances At Toronto '' . Deadline . Retrieved September 11 , 2016 .   Jump up ^ McClintock , Pamela ( January 15 , 2014 ) . `` Universal Dates ' Despicable Me 3 , ' New ' Grinch Who Stole Christmas ' '' . The Hollywood Reporter . Retrieved August 3 , 2015 .   Jump up ^ Wolfe , Jennifer ( February 14 , 2017 ) . `` Illumination Entertainment 's ' Sing ' Headed to Retail '' . Animation World Network . Retrieved February 15 , 2017 .   Jump up ^ Fleming Jr , Mike ( March 28 , 2017 ) . `` No. 7 ' Sing ' Box Office Profits -- 2016 Most Valuable Movie Blockbuster Tournament '' . Deadline.com . Retrieved March 28 , 2017 .   Jump up ^ `` Will ' Rogue One ' Vanquish The Christmas B.O. Competition ? '' . Deadline.com .   Jump up ^ `` ' Sing 's ' Box - Office Debut Tops ' Assassin 's Creed , ' ' Passengers ' in Tuesday Night Previews '' . The Hollywood Reporter .   Jump up ^ `` With ' Fences , ' ' La La Land ' Enter Top 10 As ' Rogue One ' &amp; ' Sing ' Rule Holiday -- Monday AM Update '' . Deadline.com .   Jump up ^ `` Top Grossing Movies that never hit # 1 '' . Box Office Mojo . Retrieved 2017 - 01 - 31 .   Jump up ^ `` Sing ( 2016 ) '' . Rotten Tomatoes . Retrieved June 26 , 2017 .   Jump up ^ `` Sing reviews '' . Metacritic . Retrieved February 11 , 2017 .   Jump up ^ `` CinemaScore '' . cinemascore.com .   Jump up ^ Brian Truitt ( December 20 , 2016 ) . `` Review : Animated ' Sing ' is a poppy treat ( and Matthew McConaughey sings ! ) '' . USA Today . Retrieved March 19 , 2017 .   Jump up ^ Katie Walsh ( December 20 , 2016 ) . `` Packed with pop tunes , ' Sing ' discovers the simple fun in putting on a show '' . Los Angeles Times . Retrieved March 19 , 2017 .   Jump up ^ Bill Goodykoontz ( December 21 , 2016 ) . `` ' Sing ' has too much filler , not enough hits '' . The Arizona Republic . Retrieved March 19 , 2017 .   Jump up ^ `` TIFF 2016 : Sing Review - HeyUGuys '' . Retrieved September 21 , 2016 .   Jump up ^ Peter Debruge ( September 11 , 2016 ) . `` Film Review : ' Sing ' '' . Variety . Retrieved March 19 , 2017 .   Jump up ^ Rahman , Abid ( December 15 , 2016 ) . `` Denzel Washington 's ' Fences ' Leads Nominations for AARP 's Movies for Grownups Awards '' . The Hollywood Reporter . Retrieved December 26 , 2016 .   Jump up ^ `` 44th Annie Award Nominees '' . International Animated Film Society . November 28 , 2016 . Retrieved November 29 , 2016 .   Jump up ^ `` Golden Globes 2017 : The Complete List of Nominations '' . The Hollywood Reporter . December 12 , 2016 . Retrieved December 12 , 2016 .   Jump up ^ `` Justin Timberlake &amp; Alexandre Desplat Among Winners At Hollywood Music In Media Awards '' . Deadline . November 18 , 2016 . Retrieved November 18 , 2016 .   Jump up ^ McNary , Dave ( November 2 , 2016 ) . `` ' La La Land ' Scores Three Hollywood Music in Media Nominations '' . Variety . Retrieved November 3 , 2016 .   Jump up ^ `` Justin Timberlake and Kevin Hart Lead Nickelodeon 's Kids ' Choice Awards Nominations '' . Variety . February 24 , 2017 . Retrieved February 24 , 2017 .   Jump up ^ McNary , Dave ( March 2 , 2017 ) . `` Saturn Awards Nominations 2017 : ' Rogue One , ' ' Walking Dead ' Lead '' . Variety . Retrieved March 3 , 2017 .   Jump up ^ Kilday , Gregg ( January 25 , 2017 ) . `` ' Sing ' Sequel Coming From Illumination and Universal '' . The Hollywood Reporter . Retrieved January 25 , 2017 .    External links ( edit )       Wikiquote has quotations related to : Sing ( 2016 film )         Wikimedia Commons has media related to Sing ( 2016 film ) .      Official website   Sing on IMDb   Sing at The Big Cartoon DataBase              Illumination Entertainment     Feature films      Released     Despicable Me ( 2010 )   Hop ( 2011 )   Dr. Seuss ' The Lorax ( 2012 )   Despicable Me 2 ( 2013 )   Minions ( 2015 )   The Secret Life of Pets ( 2016 )   Sing ( 2016 )   Despicable Me 3 ( 2017 )       Upcoming     Dr. Seuss ' How the Grinch Stole Christmas ( 2018 )   The Secret Life of Pets 2 ( 2019 )   Minions 2 ( 2020 )   Sing 2 ( 2020 )          Franchises     Despicable Me ( 2010 -- present )   The Secret Life of Pets ( 2016 - present )   Sing ( 2016 - present )       People     Chris Meledandri       See also     Despicable Me : Minion Mayhem   Mac Guff   Illumination Mac Guff                 Films directed by Garth Jennings       The Hitchhiker 's Guide to the Galaxy ( 2005 )   Son of Rambow ( 2007 )   Sing ( 2016 )        2010s portal   Cartoon portal   Animation portal   Film in the United States portal   Retrieved from `` https://en.wikipedia.org/w/index.php?title=Sing_(2016_American_film)&amp;oldid=800848175 '' Categories :   2016 films   English - language films   American films   2010s American animated films   2010s musical comedy films   2016 3D films   2016 computer - animated films   American children 's animated films   American children 's comedy films   American computer - animated films   American musical comedy films   Animated films about animals   Films about competitions   Films set in a theatre   Films featuring anthropomorphic characters   Films directed by Garth Jennings   Jukebox musicals   Illumination Entertainment animated films   Universal Pictures animated films           Talk                                           Contents                   About Wikipedia                                             Wikiquote         Català   Čeština   Deutsch   Español   فارسی   Français   </t>
    </r>
    <r>
      <rPr>
        <sz val="11"/>
        <color rgb="FF000000"/>
        <rFont val="Noto Sans CJK SC"/>
        <family val="2"/>
      </rPr>
      <t xml:space="preserve">한국어   </t>
    </r>
    <r>
      <rPr>
        <sz val="11"/>
        <color rgb="FF000000"/>
        <rFont val="Calibri"/>
        <family val="0"/>
        <charset val="1"/>
      </rPr>
      <t xml:space="preserve">Հայերեն   हिन्दी   Bahasa Indonesia   Italiano   עברית   Magyar   Македонски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Suomi   Svenska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16 September 2017 , at 01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</si>
  <si>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the koala in the movie sing</t>
  </si>
  <si>
    <t xml:space="preserve"> Matthew McConaughey as Buster Moon , an optimistic koala who plans to save his theater from closure by holding a singing competition . </t>
  </si>
  <si>
    <r>
      <rPr>
        <sz val="11"/>
        <color rgb="FF000000"/>
        <rFont val="Calibri"/>
        <family val="0"/>
        <charset val="1"/>
      </rPr>
      <t xml:space="preserve">Thalamus - wikipedia  Thalamus  Jump to : navigation , search    Thalamus     thalamus marked ( MRI cross-section )     anterolateral view     Details     Part of   Diencephalon     Components   See List of thalamic nuclei     Artery   Posterior cerebral artery and branches     Identifiers     Latin   thalamus dorsalis     MeSH   D013788     NeuroNames   hier - 283     NeuroLex ID   Thalamus     TA   A14. 1.08. 101 A14. 1.08. 601     TE   E5. 14.3. 4.2. 1.8     FMA   62007     Anatomical terms of neuroanatomy ( edit on Wikidata )     The thalamus ( from Greek θάλαμος , `` chamber '' ) is the large mass of gray matter in the dorsal part of the diencephalon of the brain with several functions such as relaying of sensory signals , including motor signals , to the cerebral cortex , and the regulation of consciousness , sleep , and alertness .   It is a midline symmetrical structure of two halves , within the vertebrate brain , situated between the cerebral cortex and the midbrain .   It is the main product of the embryonic diencephalon , as first assigned by Wilhelm His , Sr. in 1893 .     Contents  ( hide )   1 Anatomy   1.1 Blood supply   1.2 Thalamic nuclei   1.3 Connections     2 Function   3 Development   3.1 Early brain development   3.2 Formation of progenitor domains   3.3 The formation of the mid-diencephalic organiser ( MDO )   3.4 Maturation and parcellation of the thalamus     4 Clinical significance   5 Additional images   6 See also   7 References   8 External links      Anatomy ( edit )  The thalamus in a 360 ° rotation  The thalamus is located in the forebrain which is superior to the midbrain , near the center of the brain , with nerve fibers projecting out to the cerebral cortex in all directions . The medial surface of the thalamus constitutes the upper part of the lateral wall of the third ventricle , and is connected to the corresponding surface of the opposite thalamus by a flattened gray band , the interthalamic adhesion .   Blood supply ( edit )   The thalamus derives its blood supply from a number of arteries : the polar artery ( posterior communicating artery ) , paramedian thalamic - subthalamic arteries , inferolateral ( thalamogeniculate ) arteries , and posterior ( medial and lateral ) choroidal arteries . These are all branches of the posterior cerebral artery .   Some people have the artery of Percheron , which is a rare anatomic variation in which a single arterial trunk arises from the posterior cerebral artery to supply both parts of the thalamus .   Thalamic nuclei ( edit )  See also : List of thalamic nuclei Nuclei of the thalamus  The thalamus is part of a nuclear complex structured of four parts , the hypothalamus , epithalamus , prethalamus ( formerly called ventral thalamus ) , and dorsal thalamus .   Derivatives of the diencephalon also include the dorsally - located epithalamus ( essentially the habenula and annexes ) and the perithalamus ( prethalamus ) containing the zona incerta and the thalamic reticular nucleus . Due to their different ontogenetic origins , the epithalamus and the perithalamus are formally distinguished from the thalamus proper .   The thalamus comprises a system of lamellae ( made up of myelinated fibers ) separating different thalamic subparts . Other areas are defined by distinct clusters of neurons , such as the periventricular nucleus , the intralaminar elements , the `` nucleus limitans '' , and others . These latter structures , different in structure from the major part of the thalamus , have been grouped together into the allothalamus as opposed to the isothalamus . This distinction simplifies the global description of the thalamus .   Connections ( edit )  The thalamus is connected to the spinal cord via the spinothalamic tract .  The thalamus is manifoldly connected to the hippocampus via the mammillo - thalamic tract , this tract comprises the mammillary bodies and fornix .   The thalamus is connected to the cerebral cortex via the thalamocortical radiations .   The spinothalamic tract is a sensory pathway originating in the spinal cord . It transmits information to the thalamus about pain , temperature , itch and crude touch . There are two main parts : the lateral spinothalamic tract , which transmits pain and temperature , and the anterior ( or ventral ) spinothalamic tract , which transmits crude touch and pressure .   Function ( edit )   The thalamus has multiple functions , generally believed to act as a relay station , or hub , relaying information between different subcortical areas and the cerebral cortex . In particular , every sensory system ( with the exception of the olfactory system ) includes a thalamic nucleus that receives sensory signals and sends them to the associated primary cortical area . For the visual system , for example , inputs from the retina are sent to the lateral geniculate nucleus of the thalamus , which in turn projects to the visual cortex in the occipital lobe . The thalamus is believed to both process sensory information as well as relay it -- each of the primary sensory relay areas receives strong feedback connections from the cerebral cortex . Similarly the medial geniculate nucleus acts as a key auditory relay between the inferior colliculus of the midbrain and the primary auditory cortex . The ventral posterior nucleus is a key somatosensory relay , which sends touch and proprioceptive information to the primary somatosensory cortex .   The thalamus also plays an important role in regulating states of sleep and wakefulness . Thalamic nuclei have strong reciprocal connections with the cerebral cortex , forming thalamo - cortico - thalamic circuits that are believed to be involved with consciousness . The thalamus plays a major role in regulating arousal , the level of awareness , and activity . Damage to the thalamus can lead to permanent coma .   The role of the thalamus in the more anterior pallidal and nigral territories in the basal ganglia system disturbances is recognized but still poorly understood . The contribution of the thalamus to vestibular or to tectal functions is almost ignored . The thalamus has been thought of as a `` relay '' that simply forwards signals to the cerebral cortex . Newer research suggests that thalamic function is more selective . Many different functions are linked to various regions of the thalamus . This is the case for many of the sensory systems ( except for the olfactory system ) , such as the auditory , somatic , visceral , gustatory and visual systems where localized lesions provoke specific sensory deficits . A major role of the thalamus is support of motor and language systems , and much of the circuitry implicated for these systems is shared . The thalamus is functionally connected to the hippocampus as part of the extended hippocampal system at the thalamic anterior nuclei with respect to spatial memory and spatial sensory datum they are crucial for human episodic memory and rodent event memory . There is support for the hypothesis that thalamic regions connection to particular parts of the mesio - temporal lobe provide differentiation of the functioning of recollective and familiarity memory .   The neuronal information processes necessary for motor control were proposed as a network involving the thalamus as a subcortical motor center . Through investigations of the anatomy of the brains of primates the nature of the interconnected tissues of the cerebellum to the multiple motor cortices suggested that the thalamus fulfills a key function in providing the specific channels from the basal ganglia and cerebellum to the cortical motor areas . In an investigation of the saccade and antisaccade motor response in three monkeys , the thalamic regions were found to be involved in the generation of antisaccade eye - movement ( that is , the ability to inhibit the reflexive jerking movement of the eyes in the direction of a presented stimulus ) .   Recent research suggests that the mediodorsal thalamus may play a broader role in cognition . Specifically , the mediodorsal thalamus may `` amplify the connectivity ( signaling strength ) of just the circuits in the cortex appropriate for the current context and thereby contribute to the flexibility ( of the mammalian brain ) to make complex decisions by wiring the many associations on which decisions depend into weakly connected cortical circuits . '' Researchers founds that `` enhancing MD activity magnified the ability of mice to `` think , '' driving down by more than 25 percent their error rate in deciding which conflicting sensory stimuli to follow to find the reward . ''   Development ( edit )   The thalamic complex is composed of the perithalamus ( or prethalamus , previously also known as ventral thalamus ) , the mid-diencephalic organiser ( which forms later the zona limitans intrathalamica ( ZLI ) ) and the thalamus ( dorsal thalamus ) . The development of the thalamus can be subdivided into three steps . The thalamus is the largest structure deriving from the embryonic diencephalon , the posterior part of the forebrain situated between the midbrain and the cerebrum .   Early brain development ( edit )   After neurulation the anlage of the prethalamus and the thalamus is induced within the neural tube . Data from different vertebrate model organisms support a model in which the interaction between two transcription factors , Fez and Otx , are of decisive importance . Fez is expressed in the prethalamus , and functional experiments show that Fez is required for prethalamus formation . Posteriorly , Otx1 and Otx2 abut the expression domain of Fez and are required for proper development of the thalamus .   Formation of progenitor domains ( edit )   Early in thalamic development two progenitor domains form , a caudal domain ( TH - C ) and a rostral domain ( TH - R ) . The caudal domain gives rise to all of the glutamatergic neurons in the adult thalamus while the rostral domain gives rise to all of the GABAergic neurons in the adult thalamus .   The formation of the mid-diencephalic organiser ( MDO ) ( edit )   At the interface between the expression domains of Fez and Otx , the mid-diencephalic organizer ( MDO , also called the ZLI organiser ) is induced within the thalamic anlage . The MDO is the central signalling organizer in the thalamus . A lack of the organizer leads to the absence of the thalamus . The MDO matures from ventral to dorsal during development . Members of the SHH family and of the Wnt family are the main principal signals emitted by the MDO .   Besides its importance as signalling center , the organizer matures into the morphological structure of the zona limitans intrathalamica ( ZLI ) .   Maturation and parcellation of the thalamus ( edit )   After its induction , the MDO starts to orchestrate the development of the thalamic anlage by release of signalling molecules such as SHH . In mice , the function of signaling at the MDO has not been addressed directly due to a complete absence of the diencephalon in SHH mutants .   Studies in chicks have shown that SHH is both necessary and sufficient for thalamic gene induction . In zebrafish , it was shown that the expression of two SHH genes , SHH - a and SHH - b ( formerly described as twhh ) mark the MDO territory , and that SHH signaling is sufficient for the molecular differentiation of both the prethalamus and the thalamus but is not required for their maintenance and SHH signaling from the MDO / alar plate is sufficient for the maturation of prethalamic and thalamic territory while ventral Shh signals are dispensable .   The exposure to SHH leads to differentiation of thalamic neurons . SHH signaling from the MDO induces a posterior - to - anterior wave of expression the proneural gene Neurogenin1 in the major ( caudal ) part of the thalamus , and Ascl1 ( formerly Mash1 ) in the remaining narrow stripe of rostral thalamic cells immediately adjacent to the MDO , and in the prethalamus .   This zonation of proneural gene expression leads to the differentiation of glutamatergic relay neurons from the Neurogenin1+ precursors and of GABAergic inhibitory neurons from the Ascl1+ precursors . In fish , selection of these alternative neurotransmitter fates is controlled by the dynamic expression of Her6 the homolog of HES1 . Expression of this hairy - like bHLH transcription factor , which represses Neurogenin but is required for Ascl1 , is progressively lost from the caudal thalamus but maintained in the prethalamus and in the stripe of rostral thalamic cells . In addition , studies on chick and mice have shown that blocking the Shh pathway leads to absence of the rostral thalamus and substantial decrease of the caudal thalamus . The rostral thalamus will give rise to the reticular nucleus mainly whereby the caudal thalamus will form the relay thalamus and will be further subdivided in the thalamic nuclei .   In humans , a common genetic variation in the promotor region of the serotonin transporter ( the SERT - long and - short allele : 5 - HTTLPR ) has been shown to affect the development of several regions of the thalamus in adults . People who inherit two short alleles ( SERT - ss ) have more neurons and a larger volume in the pulvinar and possibly the limbic regions of the thalamus . Enlargement of the thalamus provides an anatomical basis for why people who inherit two SERT - ss alleles are more vulnerable to major depression , posttraumatic stress disorder , and suicide .   Clinical significance ( edit )   A cerebrovascular accident ( stroke ) can lead to the thalamic syndrome , which involves a one - sided burning or aching sensation often accompanied by mood swings . Bilateral ischemia of the area supplied by the paramedian artery can cause serious problems including akinetic mutism , and be accompanied by oculomotor problems . A related concept is thalamocortical dysrhythmia . The occlusion of the artery of Percheron can lead to a bilateral thalamus infarction .   Korsakoff 's syndrome stems from damage to the mammillary body , the mammillothalamic fasciculus or the thalamus .   Fatal familial insomnia is a hereditary prion disease in which degeneration of the thalamus occurs , causing the patient to gradually lose his ability to sleep and progressing to a state of total insomnia , which invariably leads to death . In contrast , damage to the thalamus can result in coma .   Additional images ( edit )   Drawings are by Gray and Carter ( 1858 ) .     The left optic nerve and the optic tracts .     Coronal section of lateral and 3rd ventricles .     Dissection showing the ventricles of the brain .     Section of brain showing upper surface of temporal lobe .     Horizontal section of right cerebral hemisphere .     Mesal aspect of a brain sectioned in the median sagittal plane .     Schematic representation of the chief ganglionic categories ( I to V ) .     Scheme showing the course of the fibers of the lemniscus ; medial lemniscus in blue , lateral in red .     Deep dissection of brain - stem . Lateral view .     Deep dissection of brain - stem . Ventral view .     Coronal section of brain immediately in front of pons .     Coronal section of brain through intermediate mass of third ventricle .     Human brain frontal ( coronal ) section       Thalamus     Ventricles of brain and basal ganglia . Superior view . Horizontal section . Deep dissection     Ventricles of brain and basal ganglia . Superior view . Horizontal section . Deep dissection     See also ( edit )    List of regions in the human brain   List of thalamic nuclei   Neothalamus   Primate basal ganglia system   Thalamic stimulator   Thalamotomy   5 - HT7 receptor   Nonmotor region of the ventral nuclear group of the thalamus    References ( edit )    Jump up ^ Harper - index &amp; University of Washington Faculty Web Server &amp; Search engine search page + Perseus Project tufts.edu Retrieved 2012 - 02 - 09   Jump up ^ Sherman , S. ( 2006 ) . `` Thalamus '' . Scholarpedia. 1 ( 9 ) : 1583 . doi : 10.4249 / scholarpedia. 1583 .   Jump up ^ Sherman , S. Murray ; Guillery , R.W. ( 2000 ) . Exploring the Thalamus . Academic Press . ISBN 978 - 0 - 12 - 305460 - 9 .   Jump up ^ `` What you can learn from Einsteins quirky habits ''   Jump up ^ The Thalamus - Springer . doi : 10.1007 / 978 - 1 - 4615 - 1749 - 8 .   Jump up ^ Percheron , G. ( 1982 ) . `` The arterial supply of the thalamus '' . In Schaltenbrand ; Walker , A.E. Stereotaxy of the human brain . Stuttgart : Thieme . pp. 218 -- 32 .   Jump up ^ Knipe , H Jones , J et al. Thalamus http://radiopaedia.org/articles/thalamus   Jump up ^ Herrero , María - Trinidad ; Barcia , Carlos ; Navarro , Juana ( 2002 ) . `` Functional anatomy of thalamus and basal ganglia '' . Child 's Nervous System . 18 ( 8 ) : 386 -- 404 . doi : 10.1007 / s00381 - 002 - 0604 - 1 .   Jump up ^ Jones Edward G. ( 2007 ) `` The Thalamus '' Cambridge Uni . Press   Jump up ^ Percheron , G. ( 2003 ) . `` Thalamus '' . In Paxinos , G. ; May , J. The human nervous system ( 2nd ed . ) . Amsterdam : Elsevier . pp. 592 -- 675 .   ^ Jump up to : Carlesimo , GA ; Lombardi , MG ; Caltagirone , C ( 2011 ) . `` Vascular thalamic amnesia : A reappraisal '' . Neuropsychologia. 49 ( 5 ) : 777 -- 89 . doi : 10.1016 / j. neuropsychologia. 2011.01. 026 . PMID 21255590 .   Jump up ^ University of Washington ( 1991 ) . `` Thalamocortical radiations '' . washington.edu .   Jump up ^ Gazzaniga ; Ivry ; Mangun , Michael , S. ; Richard B. ; George R. ( 2014 ) . Cognitive Neuroscience - The Biology of The Mind . New York : W.W. Norton . p. 45 . ISBN 978 - 0 - 393 - 91348 - 4 . CS1 maint : Multiple names : authors list ( link )   Jump up ^ Steriade , Mircea ; Llinás , Rodolfo R. ( 1988 ) . `` The Functional States of the Thalamus and the Associated Neuronal Interplay '' . Physiological Reviews . 68 ( 3 ) : 649 -- 742 . PMID 2839857 .   Jump up ^ Leonard , Abigail W. ( August 17 , 2006 ) . `` Your Brain Boots Up Like a Computer '' . LiveScience .   Jump up ^ Stein , Thor ; Moritz , Chad ; Quigley , Michelle ; Cordes , Dietmar ; Haughton , Victor ; Meyerand , Elizabeth ( 2000 ) . `` Functional Connectivity in the Thalamus and Hippocampus Studied with Functional MR Imaging '' . American Journal of Neuroradiology. 21 ( 8 ) : 1397 -- 401 . PMID 11003270 .   Jump up ^ Aggleton , John P. ; Brown , Malcolm W. ( 1999 ) . `` Episodic memory , amnesia , and the hippocampal -- anterior thalamic axis '' . Behavioral and Brain Sciences . 22 ( 3 ) : 425 -- 44 ; discussion 444 -- 89 . doi : 10.1017 / S0140525X99002034 . PMID 11301518 .   Jump up ^ Aggleton , John P. ; O'Mara , Shane M. ; Vann , Seralynne D. ; Wright , Nick F. ; Tsanov , Marian ; Erichsen , Jonathan T. ( 2010 ) . `` Hippocampal - anterior thalamic pathways for memory : Uncovering a network of direct and indirect actions '' . European Journal of Neuroscience. 31 ( 12 ) : 2292 -- 307 . doi : 10.1111 / j. 1460 - 9568.2010. 07251. x . PMC 2936113 . PMID 20550571 .   Jump up ^ Burgess , Neil ; Maguire , Eleanor A ; O'Keefe , John ( 2002 ) . `` The Human Hippocampus and Spatial and Episodic Memory '' . Neuron. 35 ( 4 ) : 625 -- 41 . doi : 10.1016 / S0896 - 6273 ( 02 ) 00830 - 9 . PMID 12194864 .   Jump up ^ Evarts , EV ; Thach , WT ( 1969 ) . `` Motor Mechanisms of the CNS : Cerebrocerebellar Interrelations '' . Annual Review of Physiology. 31 : 451 -- 98 . doi : 10.1146 / annurev. ph. 31.030169. 002315 . PMID 4885774 .   Jump up ^ Orioli , PJ ; Strick , PL ( 1989 ) . `` Cerebellar connections with the motor cortex and the arcuate premotor area : An analysis employing retrograde transneuronal transport of WGA - HRP '' . The Journal of Comparative Neurology . 288 ( 4 ) : 612 -- 26 . doi : 10.1002 / cne. 902880408 . PMID 2478593 .   Jump up ^ Asanuma C , Thach WT , Jones EG ( May 1983 ) . `` Cytoarchitectonic delineation of the ventral lateral thalamic region in the monkey '' . Brain Research . 286 ( 3 ) : 219 -- 35 . doi : 10.1016 / 0165 - 0173 ( 83 ) 90014 - 0 . PMID 6850357 .   Jump up ^ Kurata , K ( 2005 ) . `` Activity properties and location of neurons in the motor thalamus that project to the cortical motor areas in monkeys '' . Journal of Neurophysiology. 94 ( 1 ) : 550 -- 66 . doi : 10.1152 / jn. 01034.2004 . PMID 15703228 .   Jump up ^ http://www.optomotorik.de/blicken/anti-rev.htm   Jump up ^ Kunimatsu , J ; Tanaka , M ( 2010 ) . `` Roles of the primate motor thalamus in the generation of antisaccades '' . Journal of Neuroscience. 30 ( 14 ) : 5108 -- 17 . doi : 10.1523 / JNEUROSCI. 0406 - 10.2010 . PMID 20371831 .   ^ Jump up to : `` New Role Discovered For Brain Region '' . Neuroscience News . 2017 - 05 - 03 . Retrieved 2017 - 12 - 03 .   Jump up ^ Schmitt , L. Ian ; Wimmer , Ralf D. ; Nakajima , Miho ; Happ , Michael ; Mofakham , Sima ; Halassa , Michael M. ( 11 May 2017 ) . `` Thalamic amplification of cortical connectivity sustains attentional control '' . Nature . 545 ( 7653 ) : 219 -- 223 . doi : 10.1038 / nature22073 . ISSN 1476 - 4687 . PMC 5570520 . PMID 28467827 .   Jump up ^ Kuhlenbeck , Hartwig ( 1937 ) . `` The ontogenetic development of the diencephalic centers in a bird 's brain ( chick ) and comparison with the reptilian and mammalian diencephalon '' . The Journal of Comparative Neurology . 66 : 23 -- 75 . doi : 10.1002 / cne. 900660103 .   Jump up ^ Shimamura , K ; Hartigan , DJ ; Martinez , S ; Puelles , L ; Rubenstein , JL ( 1995 ) . `` Longitudinal organization of the anterior neural plate and neural tube '' . Development . 121 ( 12 ) : 3923 -- 33 . PMID 8575293 .   ^ Jump up to : Scholpp , Steffen ; Lumsden , Andrew ( 2010 ) . `` Building a bridal chamber : Development of the thalamus '' . Trends in Neurosciences. 33 ( 8 ) : 373 -- 80 . doi : 10.1016 / j. tins. 2010.05. 003 . PMC 2954313 . PMID 20541814 .   Jump up ^ Hirata , T. ; Nakazawa , M ; Muraoka , O ; Nakayama , R ; Suda , Y ; Hibi , M ( 2006 ) . `` Zinc - finger genes Fez and Fez - like function in the establishment of diencephalon subdivisions '' . Development . 133 ( 20 ) : 3993 -- 4004 . doi : 10.1242 / dev. 02585 . PMID 16971467 .   Jump up ^ Jeong , J. - Y. ; Einhorn , Z. ; Mathur , P. ; Chen , L. ; Lee , S. ; Kawakami , K. ; Guo , S. ( 2007 ) . `` Patterning the zebrafish diencephalon by the conserved zinc - finger protein Fezl '' . Development . 134 ( 1 ) : 127 -- 36 . doi : 10.1242 / dev. 02705 . PMID 17164418 .   Jump up ^ Acampora , D ; Avantaggiato , V ; Tuorto , F ; Simeone , A ( 1997 ) . `` Genetic control of brain morphogenesis through Otx gene dosage requirement '' . Development . 124 ( 18 ) : 3639 -- 50 . PMID 9342056 .   Jump up ^ Scholpp , S. ; Foucher , I. ; Staudt , N. ; Peukert , D. ; Lumsden , A. ; Houart , C. ( 2007 ) . `` Otx1l , Otx2 and Irx1b establish and position the ZLI in the diencephalon '' . Development . 134 ( 17 ) : 3167 -- 76 . doi : 10.1242 / dev. 001461 . PMID 17670791 .   Jump up ^ Song , Hobeom ; Lee , Bumwhee ; Pyun , Dohoon ; Guimera , Jordi ; Son , Youngsook ; Yoon , Jaeseung ; Baek , Kwanghee ; Wurst , Wolfgang ; Jeong , Yongsu ( 2015 - 02 - 15 ) . `` Ascl1 and Helt act combinatorially to specify thalamic neuronal identity by repressing Dlxs activation '' . Developmental Biology . 398 ( 2 ) : 280 -- 291 . doi : 10.1016 / j. ydbio. 2014.12. 003 . ISSN 1095 - 564X . PMID 25512300 .   Jump up ^ Puelles , L ; Rubenstein , JL ( 2003 ) . `` Forebrain gene expression domains and the evolving prosomeric model '' . Trends in Neurosciences. 26 ( 9 ) : 469 -- 76 . doi : 10.1016 / S0166 - 2236 ( 03 ) 00234 - 0 . PMID 12948657 .   Jump up ^ Ishibashi , M ; McMahon , AP ( 2002 ) . `` A sonic hedgehog - dependent signaling relay regulates growth of diencephalic and mesencephalic primordia in the early mouse embryo '' . Development . 129 ( 20 ) : 4807 -- 19 . PMID 12361972 .   Jump up ^ Kiecker , C ; Lumsden , A ( 2004 ) . `` Hedgehog signaling from the ZLI regulates diencephalic regional identity '' . Nature Neuroscience. 7 ( 11 ) : 1242 -- 9 . doi : 10.1038 / nn1338 . PMID 15494730 .   Jump up ^ Scholpp , S. ; Wolf , O ; Brand , M ; Lumsden , A ( 2006 ) . `` Hedgehog signalling from the zona limitans intrathalamica orchestrates patterning of the zebrafish diencephalon '' . Development . 133 ( 5 ) : 855 -- 64 . doi : 10.1242 / dev. 02248 . PMID 16452095 .   Jump up ^ Scholpp , S. ; Delogu , A. ; Gilthorpe , J. ; Peukert , D. ; Schindler , S. ; Lumsden , A. ( 2009 ) . `` Her6 regulates the neurogenetic gradient and neuronal identity in the thalamus '' . Proceedings of the National Academy of Sciences . 106 ( 47 ) : 19895 -- 900 . doi : 10.1073 / pnas. 0910894106 . PMC 2775703 . PMID 19903880 .   Jump up ^ Vue , Tou Yia ; Bluske , Krista ; Alishahi , Amin ; Yang , Lin Lin ; Koyano - Nakagawa , Naoko ; Novitch , Bennett ; Nakagawa , Yasushi ( 2009 ) . `` Sonic Hedgehog Signaling Controls Thalamic Progenitor Identity and Nuclei Specification in Mice '' . Journal of Neuroscience. 29 ( 14 ) : 4484 -- 97 . doi : 10.1523 / JNEUROSCI. 0656 - 09.2009 . PMC 2718849 . PMID 19357274 .   Jump up ^ Young , Keith A. ; Holcomb , Leigh A. ; Bonkale , Willy L. ; Hicks , Paul B. ; Yazdani , Umar ; German , Dwight C. ( 2007 ) . `` 5HTTLPR Polymorphism and Enlargement of the Pulvinar : Unlocking the Backdoor to the Limbic System '' . Biological Psychiatry . 61 ( 6 ) : 813 -- 8 . doi : 10.1016 / j. biopsych. 2006.08. 047 . PMID 17083920 .   Jump up ^ Dejerine , J. ; Roussy , G. ( 1906 ) . `` Le syndrome thalamique '' . Revue Neurologique. 14 : 521 -- 32 .   Jump up ^ Gray , H. &amp; Carter , H.V. ( 1858 ) , Anatomy Descriptive and Surgical , London : John W. Parker and Son , Retrieved ( 16 October 2011 ) ( 2012 - 02 - 10 ) → ( 1 )    External links ( edit )       Wikimedia Commons has media related to Thalamus .      Stained brain slice images which include the `` thalamus '' at the BrainMaps project      ( hide )         Anatomy of the diencephalon of the human brain     Epithalamus      Surface     Pineal gland   Habenula   Habenular trigone   Habenular commissure       Grey matter     Pretectal area   Habenular nuclei   Subcommissural organ          Thalamus      Surface     Stria medullaris of thalamus   Thalamic reticular nucleus   Taenia thalami       Grey matter / nuclei     paired : AN   Ventral   VA / VL   VP / VPM / VPL     Lateral   LD   LP   Pulvinar nuclei     Metathalamus   MG   LG   P cell   M cell   K cell         midline : MD   Intralaminar   Centromedian     Midline nuclear group   Interthalamic adhesion       White matter     Mammillothalamic fasciculus   Pallidothalamic tracts   Ansa lenticularis   Lenticular fasciculus   Thalamic fasciculus     PCML   Medial lemniscus   Trigeminal lemniscus     Spinothalamic tract   Lateral lemniscus   Dentatothalamic tract   Acoustic radiation   Optic radiation   Subthalamic fasciculus   Anterior trigeminothalamic tract     Medullary laminae          Hypothalamus      Surface     Median eminence / Tuber cinereum   Mammillary body   Infundibulum       Grey matter      Autonomic zones     Anterior ( parasympathetic / heat loss )   Posterior ( sympathetic / heat conservation )       Endocrine     posterior pituitary : Paraventricular   Magnocellular neurosecretory cell   Parvocellular neurosecretory cell     Supraoptic   oxytocin / vasopressin       other : Arcuate ( dopamine / GHRH )   Preoptic ( GnRH )   Suprachiasmatic ( melatonin )       Emotion     Lateral   Ventromedial   Dorsomedial          White matter     afferent   Medial forebrain bundle   Retinohypothalamic tract     efferent   Mammillothalamic fasciculus   Stria terminalis   Dorsal longitudinal fasciculus         Pituitary     Posterior is diencephalon , but anterior is glandular          Subthalamus     Subthalamic nucleus   Zona incerta   Nuclei campi perizonalis ( Fields of Forel )                 Brain and spinal cord : neural tracts and fasciculi     Sensory / ascending      PCML      1 ° :     Pacinian corpuscle / Meissner 's corpuscle → Posterior column ( Gracile fasciculus / Cuneate fasciculus ) → Gracile nucleus / Cuneate nucleus       2 ° :     → sensory decussation / arcuate fibers ( Posterior external arcuate fibers , Internal arcuate fibers ) → Medial lemniscus / Trigeminal lemniscus → Thalamus ( VPL , VPM )       3 ° :     → Posterior limb of internal capsule → Postcentral gyrus          Anterolateral / pain      Fast / lateral     1 ° ( Free nerve ending → A delta fiber ) → 2 ° ( Anterior white commissure → Lateral and Anterior Spinothalamic tract → Spinal lemniscus → VPL of Thalamus ) → 3 ° ( Postcentral gyrus ) → 4 ° ( Posterior parietal cortex )    2 ° ( Spinomesencephalic tract → Superior colliculus of Midbrain tectum )      Slow / medial     1 ° ( Group C nerve fiber → Spinoreticular tract → Reticular formation ) → 2 ° ( MD of Thalamus ) → 3 ° ( Cingulate cortex )             Motor / descending      Pyramidal     flexion : Primary motor cortex → Posterior limb of internal capsule → Decussation of pyramids → Corticospinal tract ( Lateral , Anterior ) → Neuromuscular junction       Extrapyramidal      flexion :     Primary motor cortex → Genu of internal capsule → Corticobulbar tract → Facial motor nucleus → Facial muscles       flexion :     Red nucleus → Rubrospinal tract       extension :     Vestibulocerebellum → Vestibular nuclei → Vestibulospinal tract       extension :     Vestibulocerebellum → Reticular formation → Reticulospinal tract         Midbrain tectum → Tectospinal tract → muscles of neck          Basal ganglia      direct :   1 ° ( Motor cortex → Striatum ) → 2 ° ( GPi ) → 3 ° ( Lenticular fasciculus / Ansa lenticularis → Thalamic fasciculus → VL of Thalamus ) → 4 ° ( Thalamocortical radiations → Supplementary motor area ) → 5 ° ( Motor cortex )     indirect :   1 ° ( Motor cortex → Striatum ) → 2 ° ( GPe ) → 3 ° ( Subthalamic fasciculus → Subthalamic nucleus ) → 4 ° ( Subthalamic fasciculus → GPi ) → 5 ° ( Lenticular fasciculus / Ansa lenticularis → Thalamic fasciculus → VL of Thalamus ) → 6 ° ( Thalamocortical radiations → Supplementary motor area ) → 7 ° ( Motor cortex )     nigrostriatal pathway :     Pars compacta → Striatum             Cerebellar      Afferent     Vestibular nuclei → Vestibulocerebellar tract → ICP → Cerebellum → Granule cell     Pontine nuclei → Pontocerebellar fibers → MCP → Deep cerebellar nuclei → Granule cell     Inferior olivary nucleus → Olivocerebellar tract → ICP → Hemisphere → Purkinje cell → Deep cerebellar nuclei       Efferent     Dentate nucleus in Lateral hemisphere / pontocerebellum → SCP → Dentatothalamic tract → Thalamus ( VL ) → Motor cortex     Interposed nucleus in Intermediate hemisphere / spinocerebellum → SCP → Reticular formation , or → Cerebellothalamic tract → Red nucleus → Thalamus ( VL ) → Motor cortex     Fastigial nucleus in Flocculonodular lobe / vestibulocerebellum → Vestibulocerebellar tract → Vestibular nuclei       Bidirectional : Spinocerebellar      Unconscious proprioception     lower limb → 1 ° ( muscle spindles → DRG ) → 2 ° ( Posterior thoracic nucleus → Dorsal / posterior spinocerebellar tract → ICP → Cerebellar vermis )     upper limb → 1 ° ( muscle spindles → DRG ) → 2 ° ( Accessory cuneate nucleus → Cuneocerebellar tract → ICP → Anterior lobe of cerebellum )       Reflex arc     lower limb → 1 ° ( Golgi tendon organ ) → 2 ° ( Ventral / anterior spinocerebellar tract → SCP → Cerebellar vermis )     upper limb → 1 ° ( Golgi tendon organ ) → 2 ° ( Rostral spinocerebellar tract → ICP → Cerebellum )            Retrieved from `` https://en.wikipedia.org/w/index.php?title=Thalamus&amp;oldid=825694980 '' Categories :   Thalamus   Motor system   Sensory systems   Hidden categories :   Wikipedia articles needing page number citations from February 2012   CS1 maint : Multiple names : authors list   Articles needing more detailed references   Infobox brain using components parameter   Wikipedia articles needing factual verification from January 2017   All articles with unsourced statements   Articles with unsourced statements from October 2016           Talk                                           Contents                   About Wikipedia                                                   বাংলা   Беларуская   Беларуская ( тарашкевіца ) ‎   Български   Bosanski   Català   Čeština   Cymraeg   Dansk   Deutsch   Eesti   Ελληνικά   Español   Euskara   فارسی   Français   Galego   </t>
    </r>
    <r>
      <rPr>
        <sz val="11"/>
        <color rgb="FF000000"/>
        <rFont val="Noto Sans CJK SC"/>
        <family val="2"/>
      </rPr>
      <t xml:space="preserve">한국어   </t>
    </r>
    <r>
      <rPr>
        <sz val="11"/>
        <color rgb="FF000000"/>
        <rFont val="Calibri"/>
        <family val="0"/>
        <charset val="1"/>
      </rPr>
      <t xml:space="preserve">हिन्दी   Bahasa Indonesia   Italiano   עברית   Қазақша   Latviešu   Lietuvių   Magyar   Bahasa Melayu   Nederlands   </t>
    </r>
    <r>
      <rPr>
        <sz val="11"/>
        <color rgb="FF000000"/>
        <rFont val="Noto Sans CJK SC"/>
        <family val="2"/>
      </rPr>
      <t xml:space="preserve">日本 語   </t>
    </r>
    <r>
      <rPr>
        <sz val="11"/>
        <color rgb="FF000000"/>
        <rFont val="Calibri"/>
        <family val="0"/>
        <charset val="1"/>
      </rPr>
      <t xml:space="preserve">Norsk   Oʻzbekcha / ўзбекча   Polski   Português   Română   Русский   Simple English   Slovenščina   کوردی   Српски / srpski   Srpskohrvatski / српскохрватски   Suomi   Svenska   ไทย   Türkçe   Українська   اردو   Tiếng Việt   </t>
    </r>
    <r>
      <rPr>
        <sz val="11"/>
        <color rgb="FF000000"/>
        <rFont val="Noto Sans CJK SC"/>
        <family val="2"/>
      </rPr>
      <t xml:space="preserve">中文   </t>
    </r>
    <r>
      <rPr>
        <sz val="11"/>
        <color rgb="FF000000"/>
        <rFont val="Calibri"/>
        <family val="0"/>
        <charset val="1"/>
      </rPr>
      <t xml:space="preserve">Edit links   This page was last edited on 14 Febr</t>
    </r>
  </si>
  <si>
    <t xml:space="preserve">where is the thalmus located in the brain</t>
  </si>
  <si>
    <t xml:space="preserve"> The thalamus ( from Greek θάλαμος , `` chamber '' ) is the large mass of gray matter in the dorsal part of the diencephalon of the brain with several functions such as relaying of sensory signals , including motor signals , to the cerebral cortex , and the regulation of consciousness , sleep , and alertness . </t>
  </si>
  <si>
    <t xml:space="preserve">1967 -- 68 Football League - wikipedia  1967 -- 68 Football League  Jump to : navigation , search  The Football League   Season   1967 -- 68     Champions   Manchester City     ← 1966 -- 67 1968 -- 69 →     The 1967 -- 1968 season was the 69th completed season of the English Football League .   For the first time since 1937 Manchester City won the league title , finishing two points clear of their local rivals Manchester United . Fulham finished bottom of the league and were relegated along with Sheffield United . Coventry City , in their first ever top flight season escaped relegation by one point and would go on to stay in the top division until their eventual relegation at the end of the 2000 -- 01 season .   Bill McGarry 's Ipswich Town team won the Second Division by one point from Queens Park Rangers , with both teams promoted . Blackpool finished third on goal average and so missed out . Rotherham United and bottom club Plymouth Argyle were both relegated to the Third Division .   Oxford United won their first divisional title and achieved what was then their highest ever finish in only their sixth season as a league club in the Third Division . Runners - up Bury joined them in promotion . Grimsby Town , Colchester United and Scunthorpe United were relegated , although the biggest story concerned bottom placed Peterborough United who were docked 19 points for offering irregular bonuses to their players . Had the points been restored the club would have finished in the top half . As a result of the ruling Mansfield Town escaped relegation .   Luton Town won the Fourth Division and were promoted along with Barnsley , Hartlepool United and Crewe Alexandra . No clubs were voted out of the league .     Contents  ( hide )   1 Final league tables and results   2 First Division   2.1 Results   2.2 Maps     3 Second Division   3.1 Results   3.2 Maps     4 Third Division   4.1 Results   4.2 Maps     5 Fourth Division   5.1 Results   5.2 Maps     6 See also   7 References      Final League tables and results ( edit )   Beginning with the season 1894 -- 95 , clubs finishing level on points were separated according to goal average ( goals scored divided by goals conceded ) , or more properly put , goal ratio . In case one or more teams had the same goal difference , this system favoured those teams who had scored fewer goals . The goal average system was eventually replaced by goal difference , beginning with the 1976 -- 77 season .   Since the Fourth Division was established in the 1958 -- 59 season , the re-election process has concerned the bottom four clubs in that division .   First Division ( edit )   Football League First Division   Season   1967 -- 68     Champions   Manchester City ( 2nd English title )     Relegated   Sheffield United Fulham     1968 -- 69 European Cup   Manchester City Manchester United ( defending champions )     FA Cup winners 1968 -- 69 European Cup Winners ' Cup   West Bromwich Albion ( 5th FA Cup title )     1967 -- 68 Inter-Cities Fairs Cup   Leeds United Liverpool Nottingham Forest     Matches played   462     Goals scored   1,398 ( 3.03 per match )     Top goalscorer   George Best ( Manchester United ) , 28 Ron Davies ( Southampton ) , 28     Longest winning run   Everton ( 7 )     Longest unbeaten run   Leeds United ( 14 )     Longest losing run   Stoke City ( 7 )     ← 1966 -- 67 1968 -- 69 →       Pos   Team   Pld         GF   GA   GD   Pts   Qualification or relegation       Manchester City ! Manchester City ( C )   42   26   6   10   86   43     58   1968 -- 69 European Cup       Manchester United ! Manchester United   42   24   8   10   89   55   1.618   56       Liverpool ! Liverpool   42   22   11   9   71   40   1.775   55   01967 -- 68 Inter-Cities Fairs Cup 0       Leeds United ! Leeds United   42   22   9   11   71   41   1.732   53     5   Everton ! Everton   42   23   6   13   67   40   1.675   52     6   Chelsea ! Chelsea   42   18   12   12   62   68   0.912   48     7   Tottenham Hotspur ! Tottenham Hotspur   42   19   9   14   70   59   1.186   47     8   West Bromwich Albion ! West Bromwich Albion   42   17   12   13   75   62   1.21   46   01968 -- 69 European Cup Winners ' Cup 0     9   Arsenal ! Arsenal   42   17   10   15   60   56   1.071   44     10   Newcastle United ! Newcastle United   42   13   15   14   54   67   0.806   41     11   Nottingham Forest ! Nottingham Forest   42   14   11   17   52   64   0.813   39   1967 -- 68 Inter-Cities Fairs Cup     12   West Ham United ! West Ham United   42   14   10   18   73   69   1.058   38     13   Leicester City ! Leicester City   42   13   12   17   64   69   0.928   38     14   Burnley ! Burnley   42   14   10   18   64   71   0.901   38     15   Sunderland ! Sunderland   42   13   11   18   51   61   0.836   37     16   Southampton ! Southampton   42   13   11   18   66   83   0.795   37     17   Wolverhampton Wanderers ! Wolverhampton Wanderers   42   14   8   20   66   75   0.88   36     18   Stoke City ! Stoke City   42   14   7   21   50   73   0.685   35     19   Sheffield Wednesday ! Sheffield Wednesday   42   11   12   19   51   63   0.81   34     20   Coventry City ! Coventry City   42   9   15   18   51   71   0.718   33     21   Sheffield United ! Sheffield United ( R )   42   11   10   21   49   70   0.7   32   Relegation to 1968 -- 69 Second Division     22   Fulham ! Fulham ( R )   42   10   7   25   56   98   0.571   27     Source : rsssf.com Rules for classification : 1 ) points ; 2 ) goal difference ; 3 ) number of goals scored ( C ) = Champion ; ( R ) = Relegated ; ( P ) = Promoted ; ( E ) = Eliminated ; ( O ) = Play - off winner ; ( A ) = Advances to a further round . Only applicable when the season is not finished : ( Q ) = Qualified to the phase of tournament indicated ; ( TQ ) = Qualified to tournament , but not yet to the particular phase indicated ; ( RQ ) = Qualified to the relegation tournament indicated ; ( DQ ) = Disqualified from tournament .   Results ( edit )  `` The template below ( Fb r header ) is being considered for deletion . See templates for discussion to help reach a consensus . ''    Home ╲ Away   Arsenal ! ARS   Burnley ! BUR   Chelsea ! CHE   Coventry City ! COV   Everton ! EVE   Fulham ! FUL   Leeds United ! LEE   Leicester City ! LEI   Liverpool ! LIV   Manchester City ! MCI   Manchester United ! MUN   Newcastle United ! NEW   Nottingham Forest ! NOT   Sheffield United ! SHU   Sheffield Wednesday ! SHW   Southampton ! SOU   Stoke City ! STK   Sunderland ! SUN   Tottenham Hotspur ! TOT   West Bromwich Albion ! WBA   West Ham United ! WHU   Wolverhampton Wanderers ! WOL     Arsenal ! Arsenal     2 -- 0   1 -- 1   1 -- 1   2 -- 2   5 -- 3   4 -- 3   2 -- 1   2 -- 0   1 -- 0   0 -- 2   0 -- 0   3 -- 0   1 -- 1   3 -- 2   0 -- 3   2 -- 0   2 -- 1   4 -- 0   2 -- 1   0 -- 0   0 -- 2     Burnley ! Burnley   1 -- 0     1 -- 1   2 -- 1   2 -- 1   2 -- 0   3 -- 0   1 -- 1   1 -- 1   0 -- 1   2 -- 1   2 -- 0   1 -- 1   0 -- 2   2 -- 1   2 -- 0   4 -- 0   3 -- 0   5 -- 1   0 -- 0   3 -- 3   1 -- 1     Chelsea ! Chelsea   2 -- 1   2 -- 1     1 -- 1   1 -- 1   1 -- 1   0 -- 0   4 -- 1   3 -- 1   1 -- 0   1 -- 1   1 -- 1   1 -- 0   4 -- 2   3 -- 0   2 -- 6   2 -- 2   1 -- 0   2 -- 0   0 -- 3   1 -- 3   1 -- 0     Coventry City ! Coventry City   1 -- 1   5 -- 1   2 -- 1     0 -- 2   0 -- 3   0 -- 1   0 -- 1   1 -- 1   0 -- 3   2 -- 0   1 -- 4   1 -- 3   2 -- 2   3 -- 0   2 -- 1   2 -- 0   2 -- 2   2 -- 3   4 -- 2   1 -- 1   1 -- 0     Everton ! Everton   2 -- 0   2 -- 0   2 -- 1   3 -- 1     5 -- 1   0 -- 1   2 -- 1   1 -- 0   1 -- 1   3 -- 1   1 -- 0   1 -- 0   1 -- 0   1 -- 0   4 -- 2   3 -- 0   3 -- 0   0 -- 1   2 -- 1   2 -- 0   4 -- 2     Fulham ! Fulham   1 -- 3   4 -- 3   2 -- 2   1 -- 1   2 -- 1     0 -- 5   0 -- 1   1 -- 1   2 -- 4   0 -- 4   2 -- 0   2 -- 0   0 -- 1   2 -- 0   2 -- 2   0 -- 2   3 -- 2   1 -- 2   1 -- 2   0 -- 3   1 -- 2     Leeds United ! Leeds United   3 -- 1   2 -- 1   7 -- 0   1 -- 1   2 -- 0   2 -- 0     3 -- 2   1 -- 2   2 -- 0   1 -- 0   2 -- 0   1 -- 1   3 -- 0   3 -- 2   5 -- 0   2 -- 0   1 -- 1   1 -- 0   3 -- 1   2 -- 1   2 -- 1     Leicester City ! Leicester City   2 -- 2   0 -- 2   2 -- 2   0 -- 0   0 -- 2   1 -- 2   2 -- 2     2 -- 1   1 -- 0   2 -- 2   2 -- 2   4 -- 2   3 -- 1   3 -- 0   4 -- 1   0 -- 0   0 -- 2   2 -- 3   2 -- 3   2 -- 4   3 -- 1     Liverpool ! Liverpool   2 -- 0   3 -- 2   3 -- 1   1 -- 0   1 -- 0   4 -- 1   2 -- 0   3 -- 1     1 -- 1   1 -- 2   6 -- 0   6 -- 1   1 -- 2   1 -- 0   2 -- 0   2 -- 1   2 -- 1   1 -- 1   4 -- 1   3 -- 1   2 -- 1     Manchester City ! Manchester City   1 -- 1   4 -- 2   1 -- 0   3 -- 1   2 -- 0   5 -- 1   1 -- 0   6 -- 0   0 -- 0     1 -- 2   2 -- 0   2 -- 0   5 -- 2   1 -- 0   4 -- 2   4 -- 2   1 -- 0   4 -- 1   0 -- 2   3 -- 0   2 -- 0     Manchester United ! Manchester United   1 -- 0   2 -- 2   1 -- 3   4 -- 0   3 -- 1   3 -- 0   1 -- 0   1 -- 1   1 -- 2   1 -- 3     6 -- 0   3 -- 0   1 -- 0   4 -- 2   3 -- 2   1 -- 0   1 -- 2   3 -- 1   2 -- 1   3 -- 1   4 -- 0     Newcastle United ! Newcastle United   2 -- 1   1 -- 0   5 -- 1   3 -- 2   1 -- 0   2 -- 1   1 -- 1   0 -- 0   1 -- 1   3 -- 4   2 -- 2     0 -- 0   1 -- 0   4 -- 0   3 -- 0   1 -- 1   2 -- 1   1 -- 3   2 -- 2   1 -- 0   2 -- 0     Nottingham Forest ! Nottingham Forest   2 -- 0   1 -- 0   3 -- 0   3 -- 3   1 -- 0   2 -- 2   0 -- 2   2 -- 1   0 -- 1   0 -- 3   3 -- 1   4 -- 0     1 -- 0   0 -- 0   2 -- 2   3 -- 0   0 -- 3   0 -- 0   3 -- 2   1 -- 1   3 -- 1     Sheffield United ! Sheffield United   2 -- 4   1 -- 0   1 -- 2   2 -- 0   0 -- 1   2 -- 3   1 -- 0   0 -- 0   1 -- 1   0 -- 3   0 -- 3   2 -- 1   1 -- 3     0 -- 1   4 -- 1   1 -- 0   1 -- 2   3 -- 2   1 -- 1   1 -- 2   1 -- 1     Sheffield Wednesday ! Sheffield Wednesday   1 -- 2   2 -- 1   2 -- 2   4 -- 0   0 -- 0   4 -- 2   0 -- 1   2 -- 1   1 -- 2   1 -- 1   1 -- 1   1 -- 1   0 -- 0   1 -- 1     2 -- 0   1 -- 1   0 -- 1   1 -- 2   2 -- 2   4 -- 1   2 -- 2     Southampton ! Southampton   2 -- 0   2 -- 2   3 -- 5   0 -- 0   3 -- 2   2 -- 1   1 -- 1   1 -- 5   1 -- 0   3 -- 2   2 -- 2   0 -- 0   2 -- 1   3 -- 3   2 -- 0     1 -- 2   3 -- 2   1 -- 2   4 -- 0   0 -- 0   1 -- 1     Stoke City ! Stoke City   0 -- 1   0 -- 2   0 -- 1   3 -- 3   1 -- 0   0 -- 1   3 -- 2   3 -- 2   2 -- 1   3 -- 0   2 -- 4   2 -- 1   1 -- 3   1 -- 1   0 -- 1   3 -- 2     2 -- 1   2 -- 1   0 -- 0   2 -- 0   0 -- 2     Sunderland ! Sunderland   2 -- 0   2 -- 2   2 -- 3   1 -- 1   1 -- 0   3 -- 0   2 -- 2   0 -- 2   1 -- 1   1 -- 0   1 -- 1   3 -- 3   1 -- 0   2 -- 1   0 -- 2   0 -- 3   3 -- 1     0 -- 1   0 -- 0   1 -- 5   2 -- 0     Tottenham Hotspur ! Tottenham Hotspur   1 -- 0   5 -- 0   2 -- 0   4 -- 2   1 -- 1   2 -- 2   2 -- 1   0 -- 1   1 -- 1   1 -- 3   1 -- 2   1 -- 1   1 -- 1   1 -- 1   2 -- 1   6 -- 1   3 -- 0   3 -- 0     0 -- 0   5 -- 1   2 -- 1     West Bromwich Albion ! West Bromwich Albion   1 -- 3   8 -- 1   0 -- 1   0 -- 1   2 -- 6   2 -- 1   2 -- 0   0 -- 0   0 -- 2   3 -- 2   6 -- 3   2 -- 0   2 -- 1   4 -- 1   1 -- 1   0 -- 0   3 -- 0   0 -- 0   2 -- 0     3 -- 1   4 -- 1     West Ham United ! West Ham United   1 -- 1   4 -- 2   0 -- 1   0 -- 0   1 -- 1   7 -- 2   0 -- 0   4 -- 2   1 -- 0   2 -- 3   1 -- 3   5 -- 0   3 -- 0   3 -- 0   2 -- 3   0 -- 1   3 -- 4   1 -- 1   2 -- 1   2 -- 3     1 -- 2     Wolverhampton Wanderers ! Wolverhampton Wanderers   3 -- 2   3 -- 2   3 -- 0   2 -- 0   1 -- 3   3 -- 2   2 -- 0   1 -- 3   1 -- 1   0 -- 0   2 -- 3   2 -- 2   6 -- 1   1 -- 3   2 -- 3   2 -- 0   3 -- 4   2 -- 1   2 -- 1   3 -- 3   1 -- 2       Source : Ian Laschke : Rothmans Book of Football League Records 1888 -- 89 to 1978 -- 79 . Macdonald and Jane 's , London &amp; Sydney , 1980 . 1 The home team is listed in the left - hand column . Colours : Blue = home team win ; Yellow = draw ; Red = away team win .   Maps ( edit )  Arsenal Burnley Chelsea Coventry Everton Fulham Leeds United Leicester City Liverpool Manchester City Manchester United Newcastle Nottingham Forest Sheffield United Sheffield Wednesday Southampton Stoke Sunderland Tottenham West Bromwich Albion West Ham Wolverhampton Wanderers Locations of the Football League First Division 1967 -- 1968 teams Arsenal Chelsea Fulham Tottenham West Ham Locations of the Football League First Division London teams 1967 -- 1968  Second Division ( edit )   Football League Second Division   Season   1967 -- 68     Champions   Ipswich Town ( 2nd title )     Promoted   Queens Park Rangers     Relegated   Plymouth Argyle , Rotherham United     Matches played   462     Goals scored   1,303 ( 2.82 per match )     Top goalscorer   John Hickton ( Middlesbrough ) , 24     ← 1966 -- 67 1968 -- 69 →       Pos   Team   Pld         GF   GA   GD   Pts   Promotion or relegation       Ipswich Town ! Ipswich Town ( C ) ( P )   42   22   15   5   79   44   1.795   59   Promotion to 1968 -- 69 First Division       Queens Park Rangers ! Queens Park Rangers ( P )   42   25   8   9   67   36   1.861   58       Blackpool ! Blackpool   42   24   10   8   71   43   1.651   58       Birmingham City ! Birmingham City   42   19   14   9   83   51   1.627   52     5   Portsmouth ! Portsmouth   42   18   13   11   68   55   1.236   49     6   Middlesbrough ! Middlesbrough   42   17   12   13   60   54   1.111   46     7   Millwall ! Millwall   42   14   17   11   62   50   1.24   45     8   Blackburn Rovers ! Blackburn Rovers   42   16   11   15   56   49   1.143   43     9   Norwich City ! Norwich City   42   16   11   15   60   65   0.923   43     10   Carlisle United ! Carlisle United   42   14   13   15   58   52   1.115   41     11   Crystal Palace ! Crystal Palace   42   14   11   17   56   56     39     12   Bolton Wanderers ! Bolton Wanderers   42   13   13   16   60   63   0.952   39     13   Cardiff City ! Cardiff City   42   13   12   17   60   66   0.909   38   1968 -- 69 European Cup Winners ' Cup     14   Huddersfield Town ! Huddersfield Town   42   13   12   17   46   61   0.754   38     15   Charlton Athletic ! Charlton Athletic   42   12   13   17   63   68   0.926   37     16   Aston Villa ! Aston Villa   42   15   7   20   54   64   0.844   37     17   Hull City ! Hull City   42   12   13   17   58   73   0.795   37     18   Derby County ! Derby County   42   13   10   19   71   78   0.91   36     19   Bristol City ! Bristol City   42   13   10   19   48   62   0.774   36     20   Preston North End ! Preston North End   42   12   11   19   43   65   0.662   35     21   Rotherham United ! Rotherham United ( R )   42   10   11   21   42   76   0.553   31   Relegation to 1968 -- 69 Third Division     22   Plymouth Argyle ! Plymouth Argyle ( R )   42   9   9   24   38   72   0.528   27     Source : rsssf.com Rules for classification : 1 ) points ; 2 ) goal difference ; 3 ) number of goals scored ( C ) = Champion ; ( R ) = Relegated ; ( P ) = Promoted ; ( E ) = Eliminated ; ( O ) = Play - off winner ; ( A ) = Advances to a further round . Only applicable when the season is not finished : ( Q ) = Qualified to the phase of tournament indicated ; ( TQ ) = Qualified to tournament , but not yet to the particular phase indicated ; ( RQ ) = Qualified to the relegation tournament indicated ; ( DQ ) = Disqualified from tournament .   Results ( edit )  `` The template below ( Fb r header ) is being considered for deletion . See templates for discussion to help reach a consensus . ''    Home ╲ Away   Aston Villa ! AST   Birmingham ! BIR   Blackburn Rovers ! BLB   Blackpool ! BLP   Bolton Wanderers ! BOL   Bristol City ! BRI   Cardiff City ! CAR   Carlisle United ! CRL   Charlton Athletic ! CHA   Crystal Palace ! CRY   Derby County ! DER   Huddersfield Town ! HUD   Hull City ! HUL   Ipswich Town ! IPS   Middlesbrough ! MID   Millwall ! MIL   Norwich City ! NWC   Plymouth Argyle ! PLY   Portsmouth ! POR   Preston North End ! PNE   Queens Park Rangers ! QPR   Rotherham United ! ROT     Aston Villa ! Aston Villa     2 -- 4   1 -- 2   3 -- 2   1 -- 1   2 -- 4   2 -- 1   1 -- 0   4 -- 1   0 -- 1   2 -- 1   0 -- 0   2 -- 3   2 -- 2   0 -- 1   3 -- 1   4 -- 2   0 -- 1   1 -- 0   1 -- 0   1 -- 2   3 -- 1     Birmingham ! Birmingham   2 -- 1     1 -- 1   1 -- 2   4 -- 0   4 -- 1   0 -- 0   1 -- 3   4 -- 0   1 -- 0   3 -- 1   6 -- 1   6 -- 2   0 -- 0   6 -- 1   2 -- 3   0 -- 0   2 -- 2   2 -- 2   3 -- 0   2 -- 0   4 -- 1     Blackburn Rovers ! Blackburn Rovers   2 -- 1   1 -- 2     2 -- 1   2 -- 1   2 -- 0   1 -- 1   1 -- 0   3 -- 2   2 -- 1   3 -- 0   0 -- 0   2 -- 0   2 -- 1   3 -- 0   2 -- 0   0 -- 0   1 -- 1   2 -- 2   0 -- 1   0 -- 1   3 -- 1     Blackpool ! Blackpool   1 -- 0   1 -- 0   2 -- 1     1 -- 1   1 -- 1   3 -- 1   1 -- 1   2 -- 0   2 -- 0   1 -- 1   2 -- 0   3 -- 1   0 -- 0   3 -- 0   1 -- 4   0 -- 2   2 -- 0   2 -- 0   4 -- 1   0 -- 1   1 -- 1     Bolton Wanderers ! Bolton Wanderers   2 -- 3   1 -- 1   2 -- 1   1 -- 2     1 -- 0   1 -- 1   2 -- 3   2 -- 0   2 -- 2   5 -- 3   3 -- 1   6 -- 1   1 -- 2   2 -- 0   1 -- 1   2 -- 0   1 -- 2   1 -- 2   0 -- 0   1 -- 1   0 -- 2     Bristol City ! Bristol City   0 -- 0   3 -- 1   0 -- 0   2 -- 4   1 -- 1     1 -- 1   1 -- 0   0 -- 2   2 -- 1   1 -- 0   2 -- 3   3 -- 3   1 -- 1   0 -- 0   0 -- 2   0 -- 2   2 -- 0   3 -- 0   4 -- 1   0 -- 2   0 -- 1     Cardiff City ! Cardiff City   3 -- 0   1 -- 3   3 -- 2   1 -- 3   1 -- 3   0 -- 1     1 -- 0   0 -- 0   4 -- 2   1 -- 5   0 -- 0   2 -- 3   1 -- 1   3 -- 0   2 -- 2   3 -- 1   1 -- 1   3 -- 0   2 -- 0   1 -- 0   2 -- 2     Carlisle United ! Carlisle United   1 -- 2   1 -- 1   1 -- 0   1 -- 3   3 -- 0   0 -- 0   1 -- 3     0 -- 0   3 -- 0   1 -- 1   2 -- 1   1 -- 1   4 -- 1   2 -- 2   1 -- 1   2 -- 2   2 -- 0   1 -- 1   4 -- 1   3 -- 1   4 -- 1     Charlton Athletic ! Charlton Athletic   3 -- 0   3 -- 1   3 -- 0   0 -- 2   2 -- 0   1 -- 2   1 -- 1   2 -- 2     0 -- 1   1 -- 2   4 -- 2   5 -- 1   0 -- 1   2 -- 2   1 -- 0   3 -- 3   1 -- 0   4 -- 1   0 -- 0   3 -- 3   4 -- 1     Crystal Palace ! Crystal Palace   0 -- 1   0 -- 0   1 -- 0   3 -- 1   0 -- 3   2 -- 0   2 -- 1   1 -- 1   3 -- 0     1 -- 0   0 -- 1   0 -- 1   1 -- 3   1 -- 3   2 -- 2   6 -- 0   5 -- 0   2 -- 2   2 -- 0   1 -- 0   1 -- 0     Derby County ! Derby County   3 -- 1   2 -- 2   2 -- 2   1 -- 3   2 -- 1   3 -- 1   3 -- 4   0 -- 1   3 -- 2   1 -- 1     1 -- 0   1 -- 2   2 -- 3   2 -- 4   3 -- 3   1 -- 1   1 -- 0   0 -- 1   1 -- 2   4 -- 0   4 -- 1     Huddersfield Town ! Huddersfield Town   0 -- 0   2 -- 3   2 -- 1   1 -- 3   1 -- 1   0 -- 3   1 -- 0   1 -- 1   4 -- 1   1 -- 1   3 -- 1     2 -- 0   1 -- 4   1 -- 0   1 -- 0   2 -- 0   0 -- 1   2 -- 2   1 -- 1   1 -- 0   2 -- 0     Hull City ! Hull City   3 -- 0   0 -- 1   1 -- 1   0 -- 1   1 -- 2   4 -- 2   1 -- 2   1 -- 0   1 -- 1   1 -- 1   3 -- 0   1 -- 1     1 -- 1   0 -- 2   1 -- 1   0 -- 2   0 -- 2   1 -- 1   1 -- 1   2 -- 0   2 -- 1     Ipswich Town ! Ipswich Town   2 -- 1   2 -- 1   1 -- 1   1 -- 1   1 -- 1   5 -- 0   4 -- 2   3 -- 1   3 -- 2   2 -- 2   4 -- 0   2 -- 0   2 -- 0     1 -- 2   2 -- 1   0 -- 0   1 -- 1   1 -- 2   4 -- 0   2 -- 2   2 -- 0     Middlesbrough ! Middlesbrough   1 -- 1   1 -- 1   0 -- 0   0 -- 0   1 -- 2   2 -- 1   2 -- 3   4 -- 0   1 -- 1   3 -- 0   2 -- 2   3 -- 2   2 -- 1   0 -- 2     0 -- 1   2 -- 0   5 -- 0   1 -- 0   5 -- 0   3 -- 1   1 -- 1     Millwall ! Millwall   1 -- 2   1 -- 1   1 -- 2   1 -- 1   3 -- 0   1 -- 1   3 -- 1   1 -- 0   0 -- 0   5 -- 1   1 -- 1   1 -- 1   1 -- 1   1 -- 1   4 -- 0     1 -- 0   3 -- 0   3 -- 2   2 -- 0   1 -- 1   0 -- 0     Norwich City ! Norwich City   1 -- 0   4 -- 2   1 -- 0   1 -- 2   3 -- 1   3 -- 2   1 -- 0   2 -- 1   1 -- 1   2 -- 1   3 -- 2   0 -- 1   2 -- 2   3 -- 4   2 -- 1   5 -- 0     2 -- 0   1 -- 3   1 -- 3   0 -- 0   2 -- 2     Plymouth Argyle ! Plymouth Argyle   2 -- 1   1 -- 2   2 -- 1   2 -- 2   1 -- 2   0 -- 1   0 -- 0   3 -- 1   1 -- 4   2 -- 1   3 -- 4   1 -- 1   2 -- 5   0 -- 1   0 -- 1   2 -- 1   2 -- 2     1 -- 2   1 -- 2   0 -- 1   0 -- 1     Portsmouth ! Portsmouth   2 -- 2   1 -- 2   2 -- 1   3 -- 1   3 -- 0   2 -- 0   3 -- 1   2 -- 1   4 -- 0   2 -- 2   3 -- 2   3 -- 1   3 -- 0   1 -- 2   2 -- 0   0 -- 0   3 -- 0   0 -- 0     2 -- 1   1 -- 1   1 -- 1     Preston North End ! Preston North End   2 -- 1   0 -- 0   3 -- 5   0 -- 2   1 -- 1   0 -- 1   3 -- 0   0 -- 2   4 -- 1   0 -- 0   1 -- 1   3 -- 1   3 -- 2   1 -- 1   0 -- 0   0 -- 1   1 -- 0   2 -- 0   3 -- 1     0 -- 2   2 -- 2     Queens Park Rangers ! Queens Park Rangers   3 -- 0   2 -- 0   3 -- 1   2 -- 0   1 -- 0   3 -- 1   1 -- 0   1 -- 0   2 -- 1   2 -- 1   0 -- 1   3 -- 0   1 -- 1   1 -- 0   1 -- 1   3 -- 1   2 -- 0   4 -- 1   2 -- 0   2 -- 0     6 -- 0     Rotherham United ! Rotherham United   0 -- 2   1 -- 1   1 -- 0   1 -- 2   2 -- 2   1 -- 0   3 -- 2   1 -- 2   1 -- 1   0 -- 3   1 -- 3   1 -- 0   1 -- 3   1 -- 3   0 -- 1   2 -- 0   1 -- 3   1 -- 0   1 -- 1   1 -- 0   1 -- 3       Source : Ian Laschke : Rothmans Book of Football League Records 1888 -- 89 to 1978 -- 79 . Macdonald and Jane 's , London &amp; Sydney , 1980 . 1 The home team is listed in the left - hand column . Colours : Blue = home team win ; Yellow = draw ; Red = away team win .   Maps ( edit )  Aston Villa Birmingham Blackpool Blackburn Rovers Bolton Bristol City Carlisle United Cardiff City Charlton Crystal Palace Derby County Huddersfield Hull Ipswich Town Middlesbrough Millwall Norwich City Plymouth Argyle Portsmouth Preston North End QPR Rotherham Locations of the Football League Second Division 1967 -- 1968 teams Charlton Athletic Crystal Palace Millwall Queens Park Rangers Locations of the Football League Second Division London teams 1967 -- 1968  Third Division ( edit )   Football League Third Division   Season   1967 -- 68     Champions   Oxford United ( 1st title )     Promoted   Bury     Relegated   Colchester United , Grimsby Town , Peterborough United , Scunthorpe United     Matches played   552     Goals scored   1,531 ( 2.77 per match )     Top goalscorer   Don Rogers ( Swindon Town ) , 25     ← 1966 -- 67 1968 -- 69 →         Pos   Team   Pld         GF   GA   GD   Pts   Promotion or relegation       Oxford United ! Oxford United ( C ) ( P )   46   22   13   11   69   47   1.468   57   Promotion to 1968 -- 69 Second Division       Bury ! Bury ( P )   46   24   8   14   91   66   1.379   56       Shrewsbury Town ! Shrewsbury Town   46   20   15   11   61   49   1.245   55       Torquay United ! Torquay United   46   21   11   14   81   51   1.588   53     5   Reading ! Reading   46   21   9   16   70   60   1.167   51     6   Watford ! Watford   46   21   8   17   74   50   1.48   50     7   Walsall ! Walsall   46   19   12   15   74   61   1.213   50     8   Barrow ! Barrow   46   21   8   17   65   54   1.204   50     9   Swindon Town ! Swindon Town   46   16   17   13   74   51   1.451   49     10   Brighton &amp; Hove Albion ! Brighton &amp; Hove Albion   46   16   16   14   57   55   1.036   48     11   Gillingham ! Gillingham   46   18   12   16   59   63   0.937   48     12   Bournemouth &amp; Boscombe Athletic ! Bournemouth &amp; Boscombe Athletic   46   16   15   15   56   51   1.098   47     13   Stockport County ! Stockport County   46   19   9   18   70   75   0.933   47     14   Southport ! Southport   46   17   12   17   65   65     46     15   Bristol Rovers ! Bristol Rovers   46   17   9   20   72   78   0.923   43     16   Oldham Athletic ! Oldham Athletic   46   18   7   21   60   65   0.923   43     17   Northampton Town ! Northampton Town   46   14   13   19   58   72   0.806   41     18   Orient ! Orient   46   12   17   17   46   62   0.742   41     19   Tranmere Rovers ! Tranmere Rovers   46   14   12   20   62   74   0.838   40     20   Mansfield Town ! Mansfield Town   46   12   13   21   51   67   0.761   37     21   Grimsby Town ! Grimsby Town ( R )   46   14   9   23   52   69   0.754   37   Relegation to 1968 -- 69 Fourth Division     22   Colchester United ! Colchester United ( R )   46   9   15   22   50   87   0.575   33     23   Scunthorpe United ! Scunthorpe United ( R )   46   10   12   24   56   87   0.644   32     24   Peterborough United ! Peterborough United ( R )   46   20   10   16   79   67   1.179   31     Source : rsssf.com Rules for classification : 1 ) points ; 2 ) goal difference ; 3 ) number of goals scored ( C ) = Champion ; ( R ) = Relegated ; ( P ) = Promoted ; ( E ) = Eliminated ; ( O ) = Play - off winner ; ( A ) = Advances to a further round . Only applicable when the season is not finished : ( Q ) = Qualified to the phase of tournament indicated ; ( TQ ) = Qualified to tournament , but not yet to the particular phase indicated ; ( RQ ) = Qualified to the relegation tournament indicated ; ( DQ ) = Disqualified from tournament .    Peterborough deducted 19 points for making irregular payments to players .      Results ( edit )  `` The template below ( Fb r header ) is being considered for deletion . See templates for discussion to help reach a consensus . ''    Home ╲ Away   Barrow ! BRW   Bournemouth &amp; Boscombe Athletic ! B&amp;BA   Brighton &amp; Hove Albion ! B&amp;HA   Bristol Rovers ! BRR   Bury ! Bury   Colchester United ! COL   Gillingham ! GIL   Grimsby Town ! GRI   Mansfield Town ! MAN   Northampton Town ! NOR   Oldham Athletic ! OLD   Orient ! ORI   Oxford United ! OXF   Peterborough United ! PET   Reading ! REA   Scunthorpe United ! SCU   Shrewsbury Town ! SHR   Southport ! SOU   Stockport County ! STP   Swindon Town ! SWI   Torquay United ! TOR   Tranmere ! TRA   Walsall ! WAL   Watford ! WAT     Barrow ! Barrow     1 -- 1   1 -- 1   1 -- 0   1 -- 1   5 -- 0   0 -- 1   2 -- 0   0 -- 1   4 -- 0   4 -- 1   1 -- 0   3 -- 0   1 -- 2   1 -- 0   2 -- 1   3 -- 0   3 -- 1   3 -- 0   1 -- 1   3 -- 0   2 -- 1   1 -- 1   0 -- 0     Bournemouth &amp; Boscombe Athletic ! Bournemouth &amp; Boscombe Athletic   3 -- 0     2 -- 2   3 -- 1   1 -- 0   1 -- 2   4 -- 0   1 -- 0   3 -- 0   0 -- 2   0 -- 0   0 -- 0   2 -- 1   3 -- 3   2 -- 0   1 -- 0   1 -- 1   4 -- 1   1 -- 0   2 -- 1   1 -- 1   3 -- 0   1 -- 1   0 -- 1     Brighton &amp; Hove Albion ! Brighton &amp; Hove Albion   1 -- 1   2 -- 3     1 -- 1   1 -- 0   0 -- 0   3 -- 0   3 -- 1   3 -- 0   0 -- 2   0 -- 1   1 -- 1   0 -- 0   1 -- 1   1 -- 1   3 -- 1   3 -- 0   1 -- 0   3 -- 0   0 -- 0   0 -- 1   2 -- 0   1 -- 0   1 -- 0     Bristol Rovers ! Bristol Rovers   1 -- 0   2 -- 0   3 -- 1     3 -- 1   1 -- 1   1 -- 1   3 -- 0   2 -- 0   2 -- 0   4 -- 3   0 -- 2   1 -- 1   2 -- 1   1 -- 0   4 -- 0   4 -- 1   1 -- 3   0 -- 2   1 -- 2   1 -- 0   3 -- 1   2 -- 3   0 -- 2     Bury ! Bury   1 -- 2   4 -- 0   4 -- 0   4 -- 2     2 -- 0   3 -- 2   2 -- 0   3 -- 1   3 -- 1   3 -- 1   1 -- 0   1 -- 1   4 -- 0   2 -- 0   4 -- 3   2 -- 0   3 -- 2   5 -- 3   1 -- 1   5 -- 1   3 -- 3   2 -- 1   2 -- 0     Colchester United ! Colchester United   3 -- 2   0 -- 1   0 -- 0   2 -- 0   0 -- 0     2 -- 2   1 -- 3   1 -- 2   2 -- 1   0 -- 0   1 -- 1   1 -- 2   1 -- 5   2 -- 5   1 -- 0   0 -- 3   1 -- 1   1 -- 1   2 -- 1   3 -- 5   1 -- 2   2 -- 2   2 -- 1     Gillingham ! Gillingham   3 -- 0   0 -- 0   1 -- 1   0 -- 0   2 -- 0   1 -- 0     1 -- 0   2 -- 1   2 -- 0   1 -- 0   2 -- 3   2 -- 1   3 -- 2   3 -- 0   3 -- 1   0 -- 1   1 -- 4   3 -- 1   3 -- 1   1 -- 1   1 -- 1   0 -- 1   0 -- 0     Grimsby Town ! Grimsby Town   0 -- 1   2 -- 1   4 -- 2   3 -- 2   3 -- 1   1 -- 2   1 -- 1     0 -- 0   0 -- 0   0 -- 1   0 -- 0   0 -- 1   1 -- 1   1 -- 1   2 -- 1   0 -- 1   2 -- 0   3 -- 1   3 -- 2   1 -- 1   3 -- 0   3 -- 0   0 -- 1     Mansfield Town ! Mansfield Town   1 -- 2   1 -- 1   1 -- 3   3 -- 0   1 -- 1   2 -- 1   0 -- 1   1 -- 1     3 -- 2   1 -- 1   0 -- 0   1 -- 0   2 -- 3   2 -- 2   3 -- 0   0 -- 1   4 -- 2   1 -- 0   2 -- 2   2 -- 0   0 -- 3   0 -- 3   1 -- 2     Northampton Town ! Northampton Town   3 -- 0   1 -- 0   2 -- 2   4 -- 5   0 -- 1   2 -- 2   1 -- 1   3 -- 0   1 -- 1     1 -- 2   2 -- 1   1 -- 1   3 -- 1   1 -- 2   1 -- 0   2 -- 2   1 -- 1   4 -- 1   2 -- 0   1 -- 0   0 -- 1   3 -- 0   1 -- 1     Oldham Athletic ! Oldham Athletic   3 -- 1   1 -- 1   3 -- 0   3 -- 5   1 -- 2   2 -- 1   0 -- 1   2 -- 1   1 -- 0   2 -- 0     2 -- 2   3 -- 1   0 -- 2   1 -- 3   3 -- 4   0 -- 0   2 -- 0   4 -- 1   0 -- 2   0 -- 1   2 -- 1   0 -- 3   2 -- 0     Orient ! Orient   4 -- 2   1 -- 0   1 -- 2   2 -- 2   1 -- 0   1 -- 1   0 -- 4   1 -- 0   0 -- 0   1 -- 3   0 -- 2     1 -- 0   3 -- 0   1 -- 0   2 -- 1   1 -- 1   3 -- 0   2 -- 2   0 -- 0   0 -- 2   0 -- 1   2 -- 0   0 -- 1     Oxford United ! Oxford United   3 -- 1   3 -- 2   2 -- 0   0 -- 2   5 -- 4   3 -- 1   3 -- 0   2 -- 1   2 -- 0   1 -- 0   3 -- 1   2 -- 0     3 -- 1   2 -- 0   2 -- 3   2 -- 2   1 -- 0   2 -- 2   0 -- 0   2 -- 0   1 -- 0   4 -- 0   1 -- 0     Peterborough United ! Peterborough United   0 -- 1   2 -- 0   2 -- 3   4 -- 1   0 -- 2   3 -- 1   3 -- 0   3 -- 2   2 -- 0   4 -- 0   2 -- 1   3 -- 2   1 -- 1     2 -- 3   1 -- 1   0 -- 1   1 -- 0   2 -- 0   1 -- 1   2 -- 0   1 -- 1   2 -- 1   5 -- 1     Reading ! Reading   3 -- 0   1 -- 0   1 -- 0   2 -- 1   3 -- 4   1 -- 0   3 -- 1   3 -- 0   2 -- 1   0 -- 0   0 -- 1   4 -- 2   1 -- 1   0 -- 1     2 -- 1   0 -- 0   1 -- 1   3 -- 0   2 -- 1   4 -- 0   3 -- 0   2 -- 2   2 -- 0     Scunthorpe United ! Scunthorpe United   2 -- 4   1 -- 1   1 -- 3   1 -- 1   3 -- 1   5 -- 1   2 -- 1   0 -- 3   3 -- 3   1 -- 1   2 -- 0   1 -- 1   1 -- 1   2 -- 1   1 -- 2     0 -- 0   1 -- 0   0 -- 2   3 -- 1   2 -- 0   1 -- 1   2 -- 5   1 -- 1     Shrewsbury Town ! Shrewsbury Town   1 -- 0   1 -- 0   0 -- 0   0 -- 0   1 -- 0   4 -- 0   1 -- 2   3 -- 2   2 -- 1   2 -- 0   4 -- 2   2 -- 2   2 -- 0   1 -- 1   2 -- 1   4 -- 0     3 -- 2   0 -- 0   0 -- 1   5 -- 0   1 -- 1   0 -- 1   3 -- 1     Southport ! Southport   1 -- 0   1 -- 1   1 -- 0   2 -- 1   2 -- 2   2 -- 3   4 -- 1   0 -- 1   3 -- 1   1 -- 3   1 -- 0   0 -- 0   1 -- 0   2 -- 1   2 -- 1   1 -- 1   0 -- 0     4 -- 3   1 -- 1   0 -- 2   2 -- 0   2 -- 0   2 -- 0     Stockport County ! Stockport County   1 -- 0   3 -- 1   2 -- 0   3 -- 1   4 -- 2   1 -- 0   1 -- 1   1 -- 1   1 -- 0   4 -- 0   0 -- 2   2 -- 0   0 -- 4   2 -- 2   3 -- 0   4 -- 1   4 -- 2   4 -- 3     2 -- 0   0 -- 0   5 -- 2   0 -- 0   2 -- 0     Swindon Town ! Swindon Town   0 -- 1   4 -- 0   2 -- 1   4 -- 1   2 -- 3   1 -- 1   2 -- 2   5 -- 0   1 -- 1   4 -- 0   0 -- 0   4 -- 0   1 -- 1   0 -- 0   5 -- 1   2 -- 0   0 -- 0   3 -- 3   2 -- 0     1 -- 0   3 -- 1   3 -- 0   2 -- 0     Torquay United ! Torquay United   0 -- 2   2 -- 1   1 -- 1   2 -- 0   3 -- 0   3 -- 0   2 -- 1   1 -- 0   0 -- 2   0 -- 0   2 -- 1   1 -- 1   1 -- 1   3 -- 1   2 -- 1   2 -- 1   3 -- 0   2 -- 2   3 -- 0   1 -- 1     1 -- 0   4 -- 1   1 -- 0     Tranmere ! Tranmere   0 -- 0   0 -- 0   2 -- 2   3 -- 3   2 -- 0   4 -- 2   2 -- 1   1 -- 2   1 -- 1   2 -- 2   1 -- 0   3 -- 0   1 -- 1   0 -- 1   1 -- 2   2 -- 0   4 -- 1   0 -- 2   2 -- 1   3 -- 2   2 -- 3     2 -- 0   1 -- 2     Walsall ! Walsall   4 -- 0   1 -- 1   1 -- 2   2 -- 1   2 -- 1   1 -- 1   3 -- 0   2 -- 0   2 -- 1   4 -- 0   3 -- 1   5 -- 0   0 -- 1   3 -- 2   2 -- 2   0 -- 0   1 -- 2   1 -- 1   0 -- 1   3 -- 2   1 -- 1   5 -- 1     1 -- 1     Watford ! Watford   3 -- 2   0 -- 2   4 -- 0   4 -- 0   1 -- 1   1 -- 1   3 -- 0   7 -- 1   1 -- 2   5 -- 1   1 -- 2   1 -- 1   2 -- 0   4 -- 1   3 -- 0   4 -- 0   2 -- 0   0 -- 1   5 -- 0   2 -- 0   2 -- 1   3 -- 2   1 -- 2       Source : Ian Laschke : Rothmans Book of Football League Records 1888 -- 89 to 1978 -- 79 . Macdonald and Jane 's , London &amp; Sydney , 1980 . 1 The home team is listed in the left - hand column . Colours : Blue = home team win ; Yellow = draw ; Red = away team win .   Maps ( edit )  Barrow Brighton &amp; Hove Bournemouth Bristol Rovers Bury Colchester Gillingham Grimsby Town Orient Mansfield Town Northampton Town Oldham Oxford Peterborough Reading Scunthorpe &amp; Lindsey Shrewsbury Southport Stockport Swindon Tranmere Torquay Watford Walsall Locations of the Football League Third Division teams 1967 -- 1968  Fourth Division ( edit )   Football League Fourth Division   Season   1967 -- 68     Champions   Luton Town ( 1st title )     Promoted   Barnsley , Crewe Alexandra , Hartlepools United     Failed re-election   none     Matches played   552     Goals scored   1,485 ( 2.69 per match )     Top goalscorer   Les Massie ( Halifax Town ) , 25 Roy Chapman ( Port Vale ) , 25     ← 1966 -- 67 1968 -- 69 →       Pos   Team   Pld         GF   GA   GD   Pts   Promotion or relegation       Luton Town ! Luton Town ( C ) ( P )   46   27   12   7   87   44   1.977   66   Promotion to 1968 -- 69 Third Division       Barnsley ! Barnsley ( P )   46   24   13   9   68   46   1.478   61       Hartlepools United ! Hartlepools United ( P )   46   25   10   11   60   46   1.304   60       Crewe Alexandra ! Crewe Alexandra</t>
  </si>
  <si>
    <t xml:space="preserve">who won the football league championship in 1968</t>
  </si>
  <si>
    <t xml:space="preserve"> The Football League   Season   1967 -- 68     Champions   Manchester City     ← 1966 -- 67 1968 -- 69 →   </t>
  </si>
  <si>
    <t xml:space="preserve">History of Texas ( 1845 -- 1860 ) - wikipedia  History of Texas ( 1845 -- 1860 )  Jump to : navigation , search    Part of a series on the     History of Texas         Timeline        French Texas   1684 -- 1689     Spanish Texas   1690 -- 1821     Mexican Texas   1821 -- 1836     Republic of Texas   1836 -- 1845     Statehood   1845 -- 1860     Civil War Era   1861 -- 1865     Reconstruction   1865 -- 1899    State of Texas     Texas portal                 In 1845 , the Republic of Texas was annexed to the United States of America , becoming the 28th U.S. state . Border disputes between the new state and Mexico , which had never recognized Texas independence and still considered the area a renegade Mexican state , led to the Mexican -- American War ( 1846 -- 1848 ) . When the war concluded , Mexico relinquished its claim on Texas , as well as other regions in what is now the southwestern United States . Texas ' annexation as a state that tolerated slavery had caused tension in the United States among slave states and those that did not allow slavery . The tension was partially defused with the Compromise of 1850 , in which Texas ceded some of its territory to the federal government to become non-slave - owning areas but gained El Paso .     Contents  ( hide )   1 Annexation   2 Mexican -- American War   3 Compromise of 1850   4 Settlement   5 Indian wars   6 References   7 Sources   8 External links      Annexation ( edit )  Main article : Texas Annexation  The Republic of Texas had formed in 1836 , after breaking away from Mexico in the Texas Revolution . The following year , an ambassador from Texas approached the United States about the possibility of becoming an American state . Fearing a war with Mexico , which did not recognize Texas independence , the United States declined the offer . In 1844 , James K. Polk was elected the United States president after promising to annex Texas . Before he assumed office , the outgoing president , John Tyler , entered negotiations with Texas . On February 26 , 1845 , six days before Polk took office , the U.S. Congress approved the annexation . The Texas legislature approved annexation in July 1845 and constructed a state constitution . In October , Texas residents approved the annexation and the new constitution , and Texas was officially inducted into the United States on December 29 , 1845 .   Mexican -- American war ( edit )  Main article : Mexican -- American War  When Texas was annexed , Mexico broke diplomatic relations with the United States . The annexation bill did not specifically define the boundaries of Texas . The former republic claimed the Rio Grande as its southern border , while Mexican authorities had always considered the Nueces River , situated further north , to be the boundary of Mexican Texas . The United States sent John Slidell to negotiate with the Mexican government , offering l $25 million ( $692,019,231 today ) to set the Texas border at the Rio Grande and to purchase Mexico 's provinces of Alta California and Santa Fe de Nuevo México . Popular sentiment in Mexico was against any sale , and the army deposed President José Joaquín de Herrera when he appeared inclined to negotiate with Slidell .   The United States positioned troops along the Rio Grande . On April 25 , 1846 , in an event known as the Thornton Affair , a large contingent of Mexican cavalry attacked an American patrol in the area between the Rio Grande and the Nueces , killing 16 Americans . On May 3 , Mexican troops initiated the siege of Fort Texas , bombarding a makeshift American fort along the Rio Grande . On May 8 , Zachary Taylor led 2,500 U.S. troops to relieve the fort . He was intercepted by Mexican troops , leading to the Battle of Palo Alto . Mexican troops retreated a short distance to regroup , and the following day the two sides fought fiercely in the Battle of Resaca de la Palma . The U.S. cavalry captured the Mexican artillery , and the Mexican soldiers retreated .   The United States officially declared war against Mexico on May 13 . Mexico declared war against the U.S. on July 7 . Throughout the official hostilities , the United States maintained two fronts -- one in the Mexican interior south of the Rio Grande , and one in California . There was no further fighting in Texas .   The war ended on February 2 , 1848 with the signing of the Treaty of Guadalupe Hidalgo . Mexico ceded claims to Texas , and the border was set at the Rio Grande .   Compromise of 1850 ( edit )   The expansion of the United States after the Mexican -- American War led to tensions between the slave and free states as to how to maintain the balance between the opposing viewpoints . Texas had been admitted to the United States as a slave state , yet Texas claimed territory north of the 36 ° 30 ' demarcation line for slavery set by the 1820 Missouri Compromise . According to the annexation agreement , if Texas were to be subdivided into multiple states , those north of the compromise line would become free states . Following the conclusion of the Mexican -- American War , Texas also tried to exert control over much of New Mexico .   In an effort to avoid some states seceding from the United States , Congress passed the Compromise of 1850 . Texas gave up much of the western territories it had claimed in exchange for $10 million to pay off previous debts .   Settlement ( edit )   Post-war Texas grew rapidly as migrants poured into the cotton lands of the state . German immigrants started to arrive in the early 1840s because of economic , social and political conditions in their states . In 1842 , German nobles organized the Adelsverein , banding together to buy land in central Texas to enable German settlement . The Revolutions of 1848 acted as another catalyst for so many immigrants that they became known as the `` Forty - Eighters . '' Many were educated artisans and businessmen . Germans continued to arrive in considerable numbers until 1890 .   The first Czech immigrants started their journey to Texas on August 19 , 1851 headed by Jozef Šilar . The rich farmland of Central Texas attracted the Czech immigrants . The counties of Austin , Fayette , Lavaca , and Washington had early Czech settlements . The Czech - American communities are characterized by a strong sense of community and social clubs were a dominant theme of Czech - American life in Texas . By 1865 , the Czech population numbered 700 and climbed to over 60,000 Czech - Americans by 1940 .   With their investments in cotton cultivation , Texas planters imported enslaved blacks from the earliest years of settlement . They established cotton plantations mostly in the eastern part of the state , where labor was done by enslaved African Americans . The central area of the state had more subsistence farmers .   Indian wars ( edit )  Further information : Texas -- Indian Wars  In the late 1850s , settlers continued to push west and north , and by 1856 had begun settling , parts of the Comancheria in large numbers . Angry at the loss of their traditional hunting grounds , several bands of Comanche conducted raids on Texas settlers . In an effort to stop the violence and subdue the Comanche , in 1858 the Texas Rangers paired with members of the Tonkawa tribe -- traditionally , enemies of the Comanche -- for the Antelope Hills Expedition . Federal law promised Indian tribes safety in Indian Territory , located just north of Texas . Nevertheless , the Rangers crossed into Indian Territory and attacked a Comanche village at the Battle of Little Robe Creek . This was the first time any American forces had penetrated to the heart of the Comancheria , attacked Comanche villages with impunity , and successfully made it home . The expedition exhausted the annual Texas defense budget , and the governor disbanded the Rangers .   References ( edit )    Jump up ^ Richard Bruce Winders , Crisis in the Southwest : The United States , Mexico , and the Struggle over Texas ( Lanham : Rowman &amp; Littlefield , 2002 ) , p. 41 .   Jump up ^ Fehrenbach , Lone Star , pp. 264 -- 267   Jump up ^ Cotton Culture from the Handbook of Texas Online   Jump up ^ `` German Immigration in Texas '' , accessed April 27 , 2008   Jump up ^ Handbook of Texas Online Czechs accessed July 28 , 2008    Sources ( edit )    T.R. Fehrenbach , Lone Star : A History of Texas and Texans ( Cambridge : Da Capo Press , 2000 )    External links ( edit )    A Continent Divided : The U.S. - Mexico War , Center for Greater Southwestern Studies , the University of Texas at Arlington   Retrieved from `` https://en.wikipedia.org/w/index.php?title=History_of_Texas_(1845 -- 1860 ) &amp;oldid = 799080616 '' Categories :   History of Texas by period           Talk                                           Contents                   About Wikipedia                                           Add links   This page was last edited on 5 September 2017 , at 14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</si>
  <si>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just before texas became a us state in 1845 texas was</t>
  </si>
  <si>
    <t xml:space="preserve"> In 1845 , the Republic of Texas was annexed to the United States of America , becoming the 28th U.S. state . Border disputes between the new state and Mexico , which had never recognized Texas independence and still considered the area a renegade Mexican state , led to the Mexican -- American War ( 1846 -- 1848 ) . When the war concluded , Mexico relinquished its claim on Texas , as well as other regions in what is now the southwestern United States . Texas ' annexation as a state that tolerated slavery had caused tension in the United States among slave states and those that did not allow slavery . The tension was partially defused with the Compromise of 1850 , in which Texas ceded some of its territory to the federal government to become non-slave - owning areas but gained El Paso . </t>
  </si>
  <si>
    <t xml:space="preserve">A Song of Ice and Fire - wikipedia  A Song of Ice and Fire  Jump to : navigation , search This article is about the series of novels . For the television adaptation , see Game of Thrones .  A Song of Ice and Fire   A Song of Ice and Fire book collection box set cover       A Game of Thrones ( 1996 )   A Clash of Kings ( 1998 )   A Storm of Swords ( 2000 )   A Feast for Crows ( 2005 )   A Dance with Dragons ( 2011 )   The Winds of Winter ( forthcoming )   A Dream of Spring ( forthcoming )       Author   George R.R. Martin     Country   United States     Language   English     Genre   Epic fantasy     Publisher     Bantam Books ( US , Canada )   Voyager Books ( UK , Australia )       Published   August 1996 -- present     Media type   Print ( hardback &amp; paperback ) audiobook     A Song of Ice and Fire is a series of epic fantasy novels by the American novelist and screenwriter George R.R. Martin . He began the first volume of the series , A Game of Thrones , in 1991 and had it published in 1996 . Martin , who initially envisioned the series as a trilogy , has published five out of a planned seven volumes . The fifth and most recent volume of the series published in 2011 , A Dance with Dragons , took Martin six years to write . He is still writing the sixth novel , The Winds of Winter .   A Song of Ice and Fire takes place on the fictional continents Westeros and Essos . The point of view of each chapter in the story is a limited perspective of a range of characters growing from nine , in the first novel , to thirty - one by the fifth . Three main stories interweave a dynastic war among several families for control of Westeros , the rising threat of the supernatural Others in the northernmost reaches of Westeros , and the ambition of Daenerys Targaryen , the deposed king 's exiled daughter , to assume the Iron Throne .   Martin 's inspirations included the Wars of the Roses and the French historical novels The Accursed Kings by Maurice Druon . A Song of Ice and Fire received praise for its diverse portrayal of women and religion , as well as its realism . An assortment of disparate and subjective points of view confronts the reader , and the success or survival of point of view characters is never assured . Within the often morally ambiguous world of A Song of Ice and Fire , questions concerning loyalty , pride , human sexuality , piety , and the morality of violence frequently arise .   As of April 2015 , the books have sold more than 60 million copies worldwide and , as of January 2017 , have been translated into 47 languages . The fourth and fifth volumes reached the top of The New York Times Best Seller lists upon their releases . Among the many derived works are several prequel novellas , a TV series , a comic book adaptation , and several card , board , and video games .     Contents  ( hide )   1 Plot synopsis   2 Publishing history   2.1 Overview   2.2 First three novels ( 1991 -- 2000 )   2.3 Bridging the timeline gap ( 2000 -- 2011 )   2.4 Planned novels and future   2.4. 1 The Winds of Winter   2.4. 2 A Dream of Spring   2.4. 3 TV series and other writings       3 Inspiration and writing   3.1 Genre   3.2 Writing process   3.3 Narrative structure   3.4 Character development     4 Themes   5 Reception   5.1 Critical response   5.2 Sales   5.3 Fandom   5.4 Awards and nominations     6 Derived works   6.1 Novellas   6.2 TV series   6.3 Other works     7 See also   8 References   9 External links      Plot synopsis ( edit )  Further information : List of A Song of Ice and Fire characters and World of A Song of Ice and Fire  A Song of Ice and Fire takes place in a fictional world in which seasons last for years and end unpredictably . Nearly three centuries before the events of the first novel ( see backstory ) , the Seven Kingdoms of Westeros were united under the Targaryen dynasty by Aegon I and his sisters Visenya and Rhaenys , with Aegon Targaryen becoming the first king of the whole of the continent of Westeros , save for the southerly Dorne . At the beginning of A Game of Thrones , 15 peaceful years have passed since the rebellion led by Robert Baratheon deposed and killed the last Targaryen king , Aerys II , and proclaimed Robert king of the Seven Kingdoms , with a nine year long summer coming to an end .   The principal story chronicles the power struggle for the Iron Throne among the great Houses of Westeros following the death of King Robert in A Game of Thrones . Robert 's heir apparent , the 13 - year old Joffrey , is immediately proclaimed king through the machinations of his mother , Queen Cersei Lannister . When Lord Eddard `` Ned '' Stark , Robert 's chief advisor , discovers that Joffrey and his siblings are the product of incest between Cersei and her twin brother Jaime `` The Kingslayer '' Lannister , Eddard attempts to unseat Joffrey but is betrayed and executed for treason . In response , Robert 's brothers Stannis and Renly both lay separate claims to the throne . During this period of instability , two of the Seven Kingdoms of Westeros attempt to become independent from the Iron Throne : Eddard 's eldest son Robb is proclaimed King in the North , while Balon Greyjoy desires to recover the sovereignty of his region , the Iron Islands . The so - called `` War of the Five Kings '' is in full progress by the middle of the second book , A Clash of Kings .   The second story takes place in the far north of Westeros , where an 8,000 - year - old wall of ice , simply called `` the Wall '' , defends the Seven Kingdoms from the Others . The Wall 's sentinels , the Sworn Brotherhood of the Night 's Watch , also protect the realm from the incursions of the `` wildlings '' or `` Free Folk '' , who are humans living north of the Wall . The Night 's Watch story is told primarily through the point of view of Jon Snow , Eddard 's bastard son . Jon follows the footsteps of his uncle Benjen Stark and joins the Watch at a young age , rising quickly through the ranks , eventually becoming Lord Commander of the Night 's Watch . In the third volume , A Storm of Swords , the Night 's Watch storyline becomes increasingly entangled with the War of the Five Kings .   The third story follows Daenerys Targaryen , daughter of Aerys , the last Targaryen king . On the continent of Essos , east of Westeros across the Narrow Sea , Daenerys is married off by her elder brother Viserys Targaryen to a powerful warlord , but slowly becomes an independent and intelligent ruler in her own right . Her rise to power is aided by the historic birth of three dragons , hatched from eggs given to her as wedding gifts . The three dragons soon become not only a symbol of her bloodline and her legitimate claim to the throne , but also devastating weapons of war .   Publishing history ( edit )   Overview ( edit )   Books in the Ice and Fire series are first published in hardcover and are later re-released as paperback editions . In the UK , Harper Voyager publishes special slipcased editions . The series has also been translated into more than 30 languages . All page totals given below are for the US first editions .     #   Title   Pages   Chapters   Words   Audio   US release       A Game of Thrones   694   73   292,727   33h 53m   August 1996       A Clash of Kings   768   70   318,903   37h 17m   February 1999       A Storm of Swords   973   82   414,604   47h 37m   November 2000       A Feast for Crows   753   46   295,032   31h 10m   November 2005     5   A Dance with Dragons   1040   73   414,788   48h 56m   July 2011     6   The Winds of Winter   Forthcoming     7   A Dream of Spring   Forthcoming       Total   4,228   344   1,736,054   198h 53m       First three novels ( 1991 -- 2000 ) ( edit )  George R.R. Martin at Archipelacon in Mariehamn , 2015 .  George R.R. Martin was already a successful fantasy and sci - fi author and TV writer before writing his A Song of Ice and Fire book series . Martin had published his first short story in 1971 and his first novel in 1977 . By the mid-1990s , he had won three Hugo Awards , two Nebula Awards , and other awards for his short fiction . Although his early books were well received within the fantasy fiction community , his readership remained relatively small and Martin took on jobs as a writer in Hollywood in the mid-1980s . He worked principally on the revival of The Twilight Zone throughout 1986 and on Beauty and the Beast until 1990 , but he also developed his own TV pilots and wrote feature film scripts . He grew frustrated that his pilots and screenplays were not getting made and that TV - related production limitations like budgets and episode lengths were forcing him to cut characters and trim battle scenes . This pushed Martin back towards writing books , where he did not have to worry about compromising the size of his imagination . Admiring the works of J.R.R. Tolkien in his childhood , he wanted to write an epic fantasy , though he did not have any specific ideas .   When Martin was between Hollywood projects in the summer of 1991 , he started writing a new science fiction novel called Avalon . After three chapters , he had a vivid idea of a boy seeing a man 's beheading and finding direwolves in the snow , which would eventually become the first non-prologue chapter of A Game of Thrones . Putting Avalon aside , Martin finished this chapter in a few days and grew certain that it was part of a longer story . After a few more chapters , Martin perceived his new book as a fantasy story and started making maps and genealogies . However , the writing of this book was interrupted for a few years when Martin returned to Hollywood to produce his TV series Doorways that ABC had ordered but ultimately never aired .  `` The first scene ... chapter one of the first book , the chapter where they find the direwolf pups ... just came to me out of nowhere . I was ... at work on a different novel , and suddenly I saw that scene . It did n't belong in the novel I was writing , but it came to me so vividly that I had to sit down and write it , and by the time I did , it led to a second chapter , and the second chapter was the Catelyn chapter where Ned has just come back . '' -- George R.R. Martin in 2014  In 1994 , Martin gave to his agent , Kirby McCauley , the first 200 pages and a two - page story projection as part of a planned trilogy with the novels A Dance with Dragons and The Winds of Winter intended to follow . When Martin had still not reached the novel 's end at 1400 manuscript pages , he felt that the series needed to be four and eventually six books long , which he imagined as two linked trilogies of one long story . Martin chose A Song of Ice and Fire as the overall series title : Martin saw the struggle of the cold Others and the fiery dragons as one possible meaning for `` Ice and Fire '' , whereas the word `` song '' had previously appeared in Martin 's book titles A Song for Lya and Songs the Dead Men Sing , stemming from his obsessions with songs . Martin also named Robert Frost 's 1920 poem `` Fire and Ice '' and cultural associations such as passion versus betrayal as possible influences for the series ' title .   The revised finished manuscript for A Game of Thrones was 1088 pages long ( without the appendices ) , with the publication following in August 1996 . Wheel of Time author Robert Jordan had written a short endorsement for the cover that was influential in ensuring the book 's and hence series ' early success with fantasy readers . Blood of the Dragon , a pre-release sample novella drawn from Daenerys 's chapters , went on to win the 1997 Hugo Award for Best Novella .   The 300 pages removed from the A Game of Thrones manuscript served as the opening of the second book , entitled A Clash of Kings . It was released in February 1999 in the United States , with a manuscript length ( without appendices ) of 1184 pages . A Clash of Kings was the first book of the Ice and Fire series to make the best - seller lists , reaching 13 on The New York Times Best Seller list in 1999 . After the success of The Lord of the Rings films , Martin received his first inquiries to the rights of the Ice and Fire series from various producers and filmmakers .   Martin was several months late turning in the third book , A Storm of Swords . The last chapter he had written was about the `` Red Wedding '' , a pivotal scene notable for its violence ( see Themes : Violence and death ) . A Storm of Swords was 1521 pages in manuscript ( without appendices ) , causing problems for many of Martin 's publishers around the world . Bantam Books published A Storm of Swords in a single volume in the United States in November 2000 , whereas some other - language editions were divided into two , three , or even four volumes . A Storm of Swords debuted at number 12 in the New York Times bestseller list .   Bridging the timeline gap ( 2000 -- 2011 ) ( edit )   After A Game of Thrones , A Clash of Kings , and A Storm of Swords , Martin originally intended to write three more books . The fourth book , tentatively titled A Dance with Dragons , was to focus on Daenerys Targaryen 's return to Westeros and the associated conflicts . Martin wanted to set this story five years after A Storm of Swords so that the younger characters could grow older and the dragons grow larger . Agreeing with his publishers early on that the new book should be shorter than A Storm of Swords , Martin set out to write the novel closer in length to A Clash of Kings . A long prologue was to establish what had happened in the meantime , initially just as one chapter of Aeron Damphair on the Iron Islands at the Kingsmoot . Since the events on the Iron Islands were to have an impact in the book and could not be told with existing POV characters , Martin eventually introduced three new viewpoints .   In 2001 , Martin was still optimistic that the fourth installment might be released in the last quarter of 2002 . However , the five - year gap did not work for all characters during writing . On one hand , Martin was unsatisfied with covering the events during the gap solely through flashbacks and internal retrospection . On the other hand , it was implausible to have nothing happen for five years . After working on the book for about a year , Martin realized he needed an additional interim book , which he called A Feast for Crows . The book would pick up the story immediately after the third book , and Martin scrapped the idea of a five - year gap . The material of the written 250 - page prologue was mixed in as new viewpoint characters from Dorne and the Iron Islands . These expanded storylines and the resulting story interactions complicated the plot for Martin .   The manuscript length of A Feast for Crows eventually surpassed A Storm of Swords . Martin was reluctant to make the necessary deep cuts to get the book down to publishable length , as that would have compromised the story he had in mind . Printing the book in `` microtype on onion skin paper and giving each reader a magnifying glass '' was also not an option for him . On the other hand , Martin rejected the publishers ' idea of splitting the narrative chronologically into A Feast for Crows , Parts One and Two . Being already late with the book , Martin had not even started writing all characters ' stories and also objected to ending the first book without any resolution for its many viewpoint characters as in previous books .   With the characters spread out across the world , a friend suggested that Martin divide the story geographically into two volumes , of which A Feast for Crows would be the first . This approach would give Martin the room to complete his commenced story arcs as he had originally intended , which he still felt was the best approach years later . Martin moved the unfinished characters ' stories set in the east ( Essos ) and north ( Winterfell and the Wall ) into the next book , A Dance with Dragons , and left A Feast for Crows to cover the events on Westeros , King 's Landing , the Riverlands , Dorne , and the Iron Islands . Both books begin immediately after the end of A Storm of Swords , running in parallel instead of sequentially , and involve different casts of characters with only little overlap . Martin split Arya 's chapters into both books after having already moved the three other most popular characters ( Jon Snow , Tyrion , and Daenerys ) into A Dance with Dragons .   Upon its release in October 2005 in the UK and November 2005 in the US , A Feast for Crows went straight to the top of The New York Times bestseller list . Among the positive reviewers was Lev Grossman of Time , who dubbed Martin `` the American Tolkien '' . However , fans and critics alike were disappointed with the story split that left the fates of several popular characters unresolved after A Storm of Swords ' cliffhanger ending . With A Dance with Dragons said to be half - finished , Martin mentioned in the epilogue of A Feast for Crows that the next volume would be released by the next year . However , planned release dates were repeatedly pushed back . Meanwhile , HBO acquired the rights to turn Ice and Fire into a dramatic series in 2007 and aired the first of ten episodes covering A Game of Thrones in April 2011 .   With around 1600 pages in manuscript length , A Dance with Dragons was eventually published in July 2011 after six years of writing , longer in page count and writing time than any of the preceding four novels . The story of A Dance with Dragons catches up and goes beyond A Feast for Crows around two - thirds into the book , but nevertheless covers less story than Martin had intended , omitting at least one planned large battle sequence and leaving several character threads ending in cliff - hangers . Martin attributed the delay mainly to his untangling `` the Meereenese knot '' , which the interviewer understood as `` making the chronology and characters mesh up as various threads converged on ( Daenerys ) '' . Martin also acknowledged spending too much time on rewriting and perfecting the story , but soundly rejected the theories of some of his critics that he had lost interest in the series or would bide his time to make more money .   Planned novels and future ( edit )   Martin believes the last two volumes of the series will be big books of 1500 manuscript pages each . The sixth book will be called The Winds of Winter , taking the title of the last book of the originally planned trilogy . Displeased with the provisional title A Time for Wolves for the final volume , Martin ultimately announced A Dream of Spring as the title for the seventh book in 2006 . Martin said in March 2012 that the final two novels will take readers farther north than any of the previous books , and that the Others will appear in the book .  The Winds of Winter ( edit ) Further information : The Winds of Winter  The Winds of Winter will resolve the Dance with Dragons cliffhangers early on and `` will open with the two big battles that ( the fifth book ) was building up to , the battle in the ice and the battle ( ... ) of Slaver 's Bay . And then take it from there . '' By the middle of 2010 , Martin had already finished five chapters of The Winds of Winter from the viewpoints of Sansa Stark , Arya Stark , Arianne Martell , and Aeron Greyjoy , accumulating to around 100 completed pages . After the publication of A Dance with Dragons in 2011 , Martin announced he would return to writing in January 2012 . He spent the meantime on book tours , conventions , and continued working on his The World of Ice &amp; Fire companion guide and a new Tales of Dunk and Egg novella .   In December 2011 , Martin posted a chapter from The Winds of Winter from the viewpoint of Theon Greyjoy ; several other chapters have been made public since . Four hundred pages of the sixth novel have been written as of October 2012 , although Martin considers only 200 as `` really finished '' ; the rest needs revising . In 2011 , Martin gave three years as a realistic estimate for finishing the sixth book at a good pace , but said ultimately the book `` will be done when it 's done '' , acknowledging that his publication estimates had been too optimistic in the past . Martin did not intend to separate the characters geographically again .   In 2015 there were indications that the book would be published before the sixth season of the HBO show but in early January 2016 Martin confirmed that he had not met an end - of - year deadline that he had established with his publisher for release of the book before the sixth season . He added that there was `` a lot still left to write '' and that completion of the book was `` months away still ... if the writing goes well . '' Martin also revealed there had been a previous deadline of October 2015 that he had considered achievable in May 2015 , and that in September 2015 he had still considered the end - of - year deadline achievable . He further confirmed that some of the plot of the book might be revealed in the upcoming season of Game of Thrones . In February 2016 , Martin stated that he dropped all his editing projects except for Wild Cards , and that he would not be writing any teleplays , screenplays , short stories , introductions or forewords before delivering The Winds of Winter .   During the Guadalajara International Book Fair in Mexico in early December 2016 , Martin offered the following hint as to the tone of this book :   There are a lot of dark chapters right now ... I 've been telling you for 20 years that winter was coming . Winter is the time when things die , and cold and ice and darkness fill the world , so this is not going to be the happy feel - good that people may be hoping for . Some of the characters ( are ) in very dark places .  A Dream of Spring ( edit )  Martin is firm about ending the series with the seventh novel `` until I decide not to be firm '' . With his stated goal of telling the story from beginning to end , he will not truncate the story to fit into an arbitrary number of volumes . He knows the ending in broad strokes as well as the future of the main characters , and will finish the series with bittersweet elements where not everyone will live happily ever after . Martin hopes to write an ending similar to The Lord of the Rings that he felt gave the story a satisfying depth and resonance . On the other hand , Martin noted the challenge to avoid a situation like the finale of the TV series Lost , which left some fans disappointed by deviating too far from their own theories and desires . In 2015 , Martin said that he was not writing A Dream of Spring together with The Winds of Winter , and in early 2016 , he said he did not believe A Dream of Spring would be published before the last season of the HBO show .   Martin offered the following hint as to how the series would conclude during a Q&amp;A at the Guadalajara International Book Fair . `` I 'm not going to tell you how I 'm going to end my book , but I suspect the overall flavor is going to be as much bittersweet as it is happy . ''  TV series and other writings ( edit )  Early during the development of the TV series , Martin told major plot points to producers David Benioff and D.B. Weiss . ( The New York Times reported in 2011 that , at age 62 , Martin was by all accounts in robust health . ) Martin was confident he would have published at least The Winds of Winter before the TV series overtook him . Nevertheless , there was general concern about whether Martin would be able to stay ahead of the show . As a result , head writers Benioff and Weiss learned more future plot points from Martin in 2013 to help them set up the show 's new possible seasons . This included the end stories for all the core characters . Deviations from the books ' storylines are also being considered , but a two - year show hiatus to wait for new books is not an option for them as the child actors continue to grow and the show 's popularity would wane . Martin indicated he would not permit another writer to finish the book series . On January 2 , 2016 , Martin confirmed that the sixth volume would not be published before the start of the sixth season of the HBO series .   Regarding A Song of Ice and Fire as his magnum opus , Martin is certain never to write anything on this scale again and would only return to this fictional universe in the context of stand - alone novels . He prefers to write stories about characters from other Ice and Fire periods of history such as his Tales of Dunk and Egg project , instead of continuing the series directly . A possible future side project is a prequel set during Aegon 's conquest of Westeros . Martin said he would love to return to writing short stories , novellas , novelettes , and stand - alone novels from diverse genres such as science fiction , horror , fantasy , or even a murder mystery . However , he will see if his audience follows him after publishing his next project .   Inspiration and writing ( edit )   Genre ( edit )  Further information : Themes in A Song of Ice and Fire  George R.R. Martin believes the most profound influences to be the ones experienced in childhood . Having read H.P. Lovecraft , Robert E. Howard , Robert A. Heinlein , Eric Frank Russell , Andre Norton , Isaac Asimov , Fritz Leiber , and Mervyn Peake in his youth , Martin never categorized these authors ' literature into science fiction , fantasy , or horror and will write from any genre as a result . Martin classified A Song of Ice and Fire as `` epic fantasy '' , and specifically named Tad Williams as very influential for the writing of the series . One of his favorite authors is Jack Vance , although Martin considered the series not particularly Vancean .  `` ( Martin 's Ice and Fire series ) was groundbreaking ( at least for me ) in all kinds of ways . Above all , the books were extremely unpredictable , especially in a genre where readers have come to expect the intensely predictable . ( ... ) A Game of Thrones was profoundly shocking when I first read it , and fundamentally changed my notions about what could be done with epic fantasy . '' -- Fantasy writer Joe Abercrombie in 2008  The medieval setting has been the traditional background for epic fantasy . However , where historical fiction leaves versed readers knowing the historical outcome , original characters may increase suspense and empathy for the readers . Yet Martin felt historical fiction , particularly when set during the Middle Ages , had an excitement , grittiness , and a realness to it that was absent in fantasy with a similar backdrop . Thus , he wanted to combine the realism of historical fiction with the magic appeal of the best fantasies , subduing magic in favor of battles and political intrigue . He also decided to avoid the conventional good versus evil setting typical for the genre , using the fight between Achilles and Hector in Homer 's Iliad , where no one stands out as either a hero or a villain , as an example of what he wants to achieve with his books .   Martin is widely credited with broadening the fantasy fiction genre for adult content , including incest , paedophilia , and adultery . For The Washington Post 's Writing for The Atlantic , Amber Taylor assessed the novels as hard fantasy with vulnerable characters to which readers become emotionally attached . CNN found in 2000 that Martin 's mature descriptions were `` far more frank than those found in the works of other fantasy authors '' , although Martin assessed the fantasy genre to have become rougher - edged a decade later and that some writers ' work was going beyond the mature themes of his novels . Adam Roberts called Martin 's series the most successful and popular example of the emerging subgenre of grimdark fantasy , influencing other writers associated with that style , such as Joe Abercrombie .   Writing process ( edit )   Setting out to write something on an epic scale , Martin projected to write three books of 800 manuscript pages in the very early stages of the series . His original 1990s contract specified one - year deadlines for his previous literary works , but Martin only realized later that his new books were longer and hence required more writing time . In 2000 , Martin planned to take 18 months to two years for each volume and projected the last of the planned six books to be released five or six years later . However , with the Ice and Fire series evolving into the biggest and most ambitious story he has ever attempted writing , he still has two more books to write as of 2016 . Martin said he needed to be in his own office in Santa Fe , New Mexico to immerse himself in the fictional world and write . As of 2011 , Martin was still typing his fiction on a DOS computer with WordStar 4.0 software . He begins each day at 10 am with rewriting and polishing the previous day 's work , and may write all day or struggle to write anything . Excised material and previous old versions are saved to be possibly re-inserted at a later time .  The Ice and Fire series was partly inspired by the Wars of the Roses , a series of dynastic civil wars for the throne of England . This painting by Richard Burchett portrays Edward IV demanding that his defeated enemies be taken from Tewkesbury Abbey .  Martin set the Ice and Fire story in a secondary world inspired by Tolkien 's writing . Unlike Tolkien , who created entire languages , mythologies , and histories for Middle - earth long before writing The Lord of the Rings , Martin usually starts with a rough sketch of an imaginary world that he improvises into a workable fictional setting along the way . He described his writing as coming from a subconscious level in `` almost a daydreaming process '' , and his stories , which have a mythic rather than a scientific core , draw from emotion instead of rationality . Martin employs maps and a cast list topping 60 pages in the fourth volume , but keeps most information in his mind . His imagined backstory remains subject to change until published , and only the novels count as canon . Martin does not intend to publish his private notes after the series is finished .   Martin drew much inspiration from actual history for the series , having several bookcases filled with medieval history for research and visiting historic European landmarks . For an American who speaks only English , the history of England proved the easiest source of medieval history for him , giving the series a British rather than a German or Spanish historic flavor . For example , Ned and Robb Stark resemble Richard , 3rd Duke of York and his son Edward IV , and Queen Cersei resembles both Margaret of Anjou and Elizabeth Woodville . Martin immersed himself in many diverse medieval topics such as clothing , food , feasting , and tournaments , to have the facts at hand if needed during writing . The series was in particular influenced by the Hundred Years ' War , the Crusades , the Albigensian Crusade , and the Wars of the Roses , although Martin refrained from making any direct adaptations . Martin was also inspired by the French historical novels The Accursed Kings by Maurice Druon , which are about the French monarchy in the 13th and 14th centuries .   The story is written to follow principal landmarks with an ultimate destination , but leaves Martin room for improvisation . On occasion , improvised details significantly affected the planned story . By the fourth book , Martin kept more private notes than ever before to keep track of the many subplots , which became so detailed and sprawling by the fifth book as to be unwieldy . Martin 's editors , copy editors , and readers monitor for accidental mistakes , although some errors have slipped into publication . For instance , Martin has inconsistently referred to certain characters ' eye colors , and has described a horse as being of one sex and then another .   Narrative structure ( edit )   Number of chapters per point - of - view character   ( hide ) POV character   Game   Clash   Storm   Feast   Dance   ( Winds )   Sum     Bran Stark   7   7     --       21     Catelyn Stark   11   7   7   --   --     25     Daenerys Targaryen   10   5   6   --   10     31     Eddard Stark   15   --   --   --   --     15     Jon Snow   9   8   12   --   13     42     Arya Stark   5   10   13       ≥ 1   33     Tyrion Lannister   9   15   11   --   12   ≥ 2   47     Sansa Stark   6   8   7     --   ≥ 1   24     Davos Seaworth   --     6   --       13     Theon Greyjoy   --   6   --   --   7   ≥ 1   13     Jaime Lannister   --   --   9   7       17     Samwell Tarly   --   --   5   5   --     10     Cersei Lannister   --   --   --   10       12     Brienne of Tarth   --   --   </t>
  </si>
  <si>
    <t xml:space="preserve">which is the last game of thrones book</t>
  </si>
  <si>
    <t xml:space="preserve"> A Song of Ice and Fire is a series of epic fantasy novels by the American novelist and screenwriter George R.R. Martin . He began the first volume of the series , A Game of Thrones , in 1991 and had it published in 1996 . Martin , who initially envisioned the series as a trilogy , has published five out of a planned seven volumes . The fifth and most recent volume of the series published in 2011 , A Dance with Dragons , took Martin six years to write . He is still writing the sixth novel , The Winds of Winter . </t>
  </si>
  <si>
    <t xml:space="preserve">List of presidents of the United States by age - wikipedia  List of presidents of the United States by age  Jump to : navigation , search  This is a list of presidents of the United States by age . The first table charts the age of each United States president at the time of presidential inauguration ( first inauguration if elected to multiple and consecutive terms ) , upon leaving office , and at the time of death . Each president 's lifespan ( age at death ) is measured in two ways , to allow for the differing number of leap days that each experienced . The first figure is the number of days between the president 's date of birth and date of death , allowing for leap days ; in parentheses , the same period is given in years and days , with the years being the number of whole years that the president lived , and the days being the number of days since the last birthday . Where the president is still living , their lifespan is calculated up to September 18 , 2017 . The second table includes those presidents who had the distinction among their peers of being the oldest living president , and charts both when they became and ceased to be oldest living .     Contents  ( hide )   1 Overview   2 List of presidents by age   2.1 Notes     3 Timeline of oldest living presidents   4 Sources      Overview ( edit )  See also : Lifespan timeline of Presidents of the United States Age of presidents when assuming office approximately follows a bell curve ( mean age marked by red line , c. 55.5 years )  The median age at accession to the presidency is roughly 55 years and 6 months , which is about how old Benjamin Harrison was at the time of his inauguration . The youngest person to assume the office was Theodore Roosevelt , who became president following William McKinley 's assassination , at the age of 7004156620000000000 ♠ 42 years , 322 days . The youngest person elected president was John F. Kennedy , who was inaugurated into office at the age of 7004159420000000000 ♠ 43 years , 236 days . Assassinated three years into his term , he became the youngest at the time of leaving office ( 7004169780000000000 ♠ 46 years , 177 days ) ; the youngest person at the time of leaving office after serving a full four - year term was Theodore Roosevelt ( 7004183900000000000 ♠ 50 years , 128 days ) . The oldest person at the time of entering office was Donald Trump , at the age of 7004257880000000000 ♠ 70 years , 220 days ; Ronald Reagan was the oldest person in office , at the age of 7004284730000000000 ♠ 77 years , 349 days when his presidency ended in January 1989 .   The oldest living president is George H.W. Bush , born June 12 , 1924 ( age 7004340660000000000 ♠ 93 years , 98 days ) . The second oldest living president , Jimmy Carter , has the distinction of having the longest post-presidency in U.S. history , currently at 7004133900000000000 ♠ 36 years , 241 days . The youngest living president is Barack Obama , born August 4 , 1961 ( age 7004204990000000000 ♠ 56 years , 45 days ) .   The longest - lived president was Gerald Ford , who died at the age of 7004341330000000000 ♠ 93 years , 165 days . He surpassed Ronald Reagan for this distinction on November 11 , 2006 , 45 days prior to his death . ( Reagan had surpassed the longevity of the nation 's second president , John Adams , on October 12 , 2001 . ) The shortest - lived president to have died by natural causes ( excluding John Kennedy and James A. Garfield -- who , like Kennedy , was assassinated ) was James K. Polk , who died at the age of 7004195830000000000 ♠ 53 years , 225 days ; only 103 days after leaving office .   Since 1797 , when George Washington 's service as president ended , there have been five periods in American history where the only living president was the incumbent president .    John Adams , December 14 , 1799 to March 4 , 1801 , between the death of George Washington , and the first inauguration of Thomas Jefferson   Ulysses S. Grant , July 31 , 1875 to March 4 , 1877 , between the death of Andrew Johnson and the inauguration of Rutherford B. Hayes   Theodore Roosevelt , June 24 , 1908 to March 4 , 1909 , between the death of Grover Cleveland and the inauguration of William Howard Taft   Herbert Hoover , January 5 , 1933 to March 4 , 1933 , between the death of Calvin Coolidge and the first inauguration of Franklin D. Roosevelt   Richard Nixon , January 22 , 1973 to August 9 , 1974 , between the death of Lyndon B. Johnson and the inauguration of Gerald Ford .    The greatest number of presidents -- former presidents plus the incumbent -- alive at any given time is six , which has happened four times .    Including : Martin Van Buren , John Tyler , Millard Fillmore , Franklin Pierce , James Buchanan , and Abraham Lincoln ; between March 4 , 1861 ( Abraham Lincoln 's first inauguration ) and January 18 , 1862 ( John Tyler 's death )   Including : Richard Nixon , Gerald Ford , Jimmy Carter , Ronald Reagan , George H.W. Bush , and Bill Clinton ; between January 20 , 1993 ( Bill Clinton 's first inauguration ) and April 22 , 1994 ( Richard Nixon 's death )   Including : Gerald Ford , Jimmy Carter , Ronald Reagan , George H.W. Bush , Bill Clinton and George W. Bush ; between January 20 , 2001 ( George W. Bush 's first inauguration ) and June 5 , 2004 ( Ronald Reagan 's death )   Including : Jimmy Carter , George H.W. Bush , Bill Clinton , George W. Bush , Barack Obama and Donald Trump ; began on January 20 , 2017 ( Donald Trump 's inauguration ) and is ongoing .    Six U.S. presidents have lived into their 90s . They are ( in order of birth ) :            John Adams ( 1735 -- 1826 )           Herbert Hoover ( 1874 -- 1964 )           Ronald Reagan ( 1911 -- 2004 )           Gerald Ford ( 1913 -- 2006 )           George H.W. Bush ( born 1924 )           Jimmy Carter ( born 1924 )        List of presidents by age ( edit )     #   President   Birth date   Presidency start date   Age at start date   Presidency end date   Age at end date   Post-presidency timespan   Death date   Lifespan       Washington , George George Washington   000000001732 - 02 - 22 - 0000 Feb 22 , 1732   000000001789 - 04 - 30 - 0000 Apr 30 , 1789   7004208870000000000 ♠ 57 years , 67 days   000000001797 - 03 - 04 - 0000 Mar 4 , 1797   7004237520000000000 ♠ 65 years , 10 days   01,015 1,015 days ( 7003101500000000000 ♠ 2 years , 285 days )   000000001799 - 12 - 14 - 0000 Dec 14 , 1799   7004247670000000000 ♠ 67 years , 295 days ( 24,767 days )       Adams , John A. John Adams   000000001735 - 10 - 30 - 0000 Oct 30 , 1735   000000001797 - 03 - 04 - 0000 Mar 4 , 1797   7004224060000000000 ♠ 61 years , 125 days   000000001801 - 03 - 04 - 0000 Mar 4 , 1801   7004238660000000000 ♠ 65 years , 125 days   09,253 9,253 days ( 7003925300000000000 ♠ 25 years , 122 days )   000000001826 - 07 - 04 - 0000 Jul 4 , 1826   7004331190000000000 ♠ 90 years , 247 days ( 33,119 days )       Jefferson , Thomas Thomas Jefferson   000000001743 - 04 - 13 - 0000 Apr 13 , 1743   000000001801 - 03 - 04 - 0000 Mar 4 , 1801   7004211440000000000 ♠ 57 years , 325 days   000000001809 - 03 - 04 - 0000 Mar 4 , 1809   7004240660000000000 ♠ 65 years , 325 days   06,331 6,331 days ( 7003633100000000000 ♠ 17 years , 122 days )   000000001826 - 07 - 04 - 0000 Jul 4 , 1826   7004303970000000000 ♠ 83 years , 82 days ( 30,397 days )       Madison , James James Madison   000000001751 - 03 - 16 - 0000 Mar 16 , 1751   000000001809 - 03 - 04 - 0000 Mar 4 , 1809   7004211720000000000 ♠ 57 years , 353 days   000000001817 - 03 - 04 - 0000 Mar 4 , 1817   7004240940000000000 ♠ 65 years , 353 days   07,056 7,056 days ( 7003705600000000000 ♠ 19 years , 116 days )   000000001836 - 06 - 28 - 0000 Jun 28 , 1836   7004311500000000000 ♠ 85 years , 104 days ( 31,150 days )       Monroe , James James Monroe   000000001758 - 04 - 28 - 0000 Apr 28 , 1758   000000001817 - 03 - 04 - 0000 Mar 4 , 1817   7004214940000000000 ♠ 58 years , 310 days   000000001825 - 03 - 04 - 0000 Mar 4 , 1825   7004244160000000000 ♠ 66 years , 310 days   02,313 2,313 days ( 7003231300000000000 ♠ 6 years , 122 days )   000000001831 - 07 - 04 - 0000 Jul 4 , 1831   7004267290000000000 ♠ 73 years , 67 days ( 26,729 days )     6   Adams , John Q. John Q. Adams   000000001767 - 07 - 11 - 0000 Jul 11 , 1767   000000001825 - 03 - 04 - 0000 Mar 4 , 1825   7004210550000000000 ♠ 57 years , 236 days   000000001829 - 03 - 04 - 0000 Mar 4 , 1829   7004225160000000000 ♠ 61 years , 236 days   06,930 6,930 days ( 7003693000000000000 ♠ 18 years , 356 days )   000000001848 - 02 - 23 - 0000 Feb 23 , 1848   7004294460000000000 ♠ 80 years , 227 days ( 29,446 days )     7   Jackson , Andrew Andrew Jackson   000000001767 - 03 - 15 - 0000 Mar 15 , 1767   000000001829 - 03 - 04 - 0000 Mar 4 , 1829   7004226340000000000 ♠ 61 years , 354 days   000000001837 - 03 - 04 - 0000 Mar 4 , 1837   7004255560000000000 ♠ 69 years , 354 days   03,018 3,018 days ( 7003301800000000000 ♠ 8 years , 96 days )   000000001845 - 06 - 08 - 0000 Jun 8 , 1845   7004285740000000000 ♠ 78 years , 85 days ( 28,574 days )     8   Van Buren , Martin Martin Van Buren   000000001782 - 12 - 05 - 0000 Dec 5 , 1782   000000001837 - 03 - 04 - 0000 Mar 4 , 1837   7004198120000000000 ♠ 54 years , 89 days   000000001841 - 03 - 04 - 0000 Mar 4 , 1841   7004212730000000000 ♠ 58 years , 89 days   07,812 7,812 days ( 7003781200000000000 ♠ 21 years , 142 days )   000000001862 - 07 - 24 - 0000 Jul 24 , 1862   7004290850000000000 ♠ 79 years , 231 days ( 29,085 days )     9   Harrison , William H. William H. Harrison   000000001773 - 02 - 09 - 0000 Feb 9 , 1773   000000001841 - 03 - 04 - 0000 Mar 4 , 1841   7004248590000000000 ♠ 68 years , 23 days   000000001841 - 04 - 04 - 0000 Apr 4 , 1841   7004248900000000000 ♠ 68 years , 54 days   00,000 0 days   000000001841 - 04 - 04 - 0000 Apr 4 , 1841   7004248900000000000 ♠ 68 years , 54 days ( 24,890 days )     10   Tyler , John John Tyler   000000001790 - 03 - 29 - 0000 Mar 29 , 1790   000000001841 - 04 - 04 - 0000 Apr 4 , 1841   7004186330000000000 ♠ 51 years , 6 days   000000001845 - 03 - 04 - 0000 Mar 4 , 1845   7004200630000000000 ♠ 54 years , 340 days   06,164 6,164 days ( 7003616400000000000 ♠ 16 years , 320 days )   000000001862 - 01 - 18 - 0000 Jan 18 , 1862   7004262270000000000 ♠ 71 years , 295 days ( 26,227 days )     11   Polk , James K. James K. Polk   000000001795 - 11 - 02 - 0000 Nov 2 , 1795   000000001845 - 03 - 04 - 0000 Mar 4 , 1845   7004180190000000000 ♠ 49 years , 122 days   000000001849 - 03 - 04 - 0000 Mar 4 , 1849   7004194800000000000 ♠ 53 years , 122 days   00,103 103 days   000000001849 - 06 - 15 - 0000 Jun 15 , 1849   7004195830000000000 ♠ 53 years , 225 days ( 19,583 days )     12   Taylor , Zachary Zachary Taylor   000000001784 - 11 - 24 - 0000 Nov 24 , 1784   000000001849 - 03 - 04 - 0000 Mar 4 , 1849   7004234750000000000 ♠ 64 years , 100 days   000000001850 - 07 - 09 - 0000 Jul 9 , 1850   7004239670000000000 ♠ 65 years , 227 days   00,000 0 days   000000001850 - 07 - 09 - 0000 Jul 9 , 1850   7004239670000000000 ♠ 65 years , 227 days ( 23,967 days )     13   Fillmore , Millard Millard Fillmore   000000001800 - 01 - 07 - 0000 Jan 7 , 1800   000000001850 - 07 - 09 - 0000 Jul 9 , 1850   7004184450000000000 ♠ 50 years , 183 days   000000001853 - 03 - 04 - 0000 Mar 4 , 1853   7004194140000000000 ♠ 53 years , 56 days   07,674 7,674 days ( 7003767400000000000 ♠ 21 years , 4 days )   000000001874 - 03 - 08 - 0000 Mar 8 , 1874   7004270880000000000 ♠ 74 years , 60 days ( 27,088 days )     14   Pierce , Franklin Franklin Pierce   000000001804 - 11 - 23 - 0000 Nov 23 , 1804   000000001853 - 03 - 04 - 0000 Mar 4 , 1853   7004176330000000000 ♠ 48 years , 101 days   000000001857 - 03 - 04 - 0000 Mar 4 , 1857   7004190940000000000 ♠ 52 years , 101 days   04,601 4,601 days ( 7003460100000000000 ♠ 12 years , 218 days )   000000001869 - 10 - 08 - 0000 Oct 8 , 1869   7004236950000000000 ♠ 64 years , 319 days ( 23,695 days )     15   Buchanan , James James Buchanan   000000001791 - 04 - 23 - 0000 Apr 23 , 1791   000000001857 - 03 - 04 - 0000 Mar 4 , 1857   7004240560000000000 ♠ 65 years , 315 days   000000001861 - 03 - 04 - 0000 Mar 4 , 1861   7004255170000000000 ♠ 69 years , 315 days   02,646 2,646 days ( 7003264600000000000 ♠ 7 years , 89 days )   000000001868 - 06 - 01 - 0000 Jun 1 , 1868   7004281630000000000 ♠ 77 years , 39 days ( 28,163 days )     16   Lincoln , Abraham Abraham Lincoln   000000001809 - 02 - 12 - 0000 Feb 12 , 1809   000000001861 - 03 - 04 - 0000 Mar 4 , 1861   7004190130000000000 ♠ 52 years , 20 days   000000001865 - 04 - 15 - 0000 Apr 15 , 1865   7004205160000000000 ♠ 56 years , 62 days   00,000 0 days   000000001865 - 04 - 15 - 0000 Apr 15 , 1865   7004205160000000000 ♠ 56 years , 62 days ( 20,516 days )     17   Johnson , Andrew Andrew Johnson   000000001808 - 12 - 29 - 0000 Dec 29 , 1808   000000001865 - 04 - 15 - 0000 Apr 15 , 1865   7004205610000000000 ♠ 56 years , 107 days   000000001869 - 03 - 04 - 0000 Mar 4 , 1869   7004219800000000000 ♠ 60 years , 65 days   02,340 2,340 days ( 7003234000000000000 ♠ 6 years , 149 days )   000000001875 - 07 - 31 - 0000 Jul 31 , 1875   7004243200000000000 ♠ 66 years , 214 days ( 24,320 days )     18   Grant , Ulysses S. Ulysses S. Grant   000000001822 - 04 - 27 - 0000 Apr 27 , 1822   000000001869 - 03 - 04 - 0000 Mar 4 , 1869   7004171130000000000 ♠ 46 years , 311 days   000000001877 - 03 - 04 - 0000 Mar 4 , 1877   7004200350000000000 ♠ 54 years , 311 days   03,063 3,063 days ( 7003306300000000000 ♠ 8 years , 141 days )   000000001885 - 07 - 23 - 0000 Jul 23 , 1885   7004230980000000000 ♠ 63 years , 87 days ( 23,098 days )     19   Hayes , Rutherford B. Rutherford B. Hayes   000000001822 - 10 - 04 - 0000 Oct 4 , 1822   000000001877 - 03 - 04 - 0000 Mar 4 , 1877   7004198750000000000 ♠ 54 years , 151 days   000000001881 - 03 - 04 - 0000 Mar 4 , 1881   7004213360000000000 ♠ 58 years , 151 days   04,337 4,337 days ( 7003433700000000000 ♠ 11 years , 319 days )   000000001893 - 01 - 17 - 0000 Jan 17 , 1893   7004256730000000000 ♠ 70 years , 105 days ( 25,673 days )     20   Garfield , James A. James A. Garfield   000000001831 - 11 - 19 - 0000 Nov 19 , 1831   000000001881 - 03 - 04 - 0000 Mar 4 , 1881   7004180030000000000 ♠ 49 years , 105 days   000000001881 - 09 - 19 - 0000 Sep 19 , 1881   7004182020000000000 ♠ 49 years , 304 days   00,000 0 days   000000001881 - 09 - 19 - 0000 Sep 19 , 1881   7004182020000000000 ♠ 49 years , 304 days ( 18,202 days )     21   Arthur , Chester A. Chester A. Arthur   000000001829 - 10 - 05 - 0000 Oct 5 , 1829   000000001881 - 09 - 19 - 0000 Sep 19 , 1881   7004189770000000000 ♠ 51 years , 349 days   000000001885 - 03 - 04 - 0000 Mar 4 , 1885   7004202390000000000 ♠ 55 years , 150 days   00,624 624 days ( 7002624000000000000 ♠ 1 year , 259 days )   000000001886 - 11 - 18 - 0000 Nov 18 , 1886   7004208630000000000 ♠ 57 years , 44 days ( 20,863 days )     22   Cleveland , Grover Grover Cleveland   000000001837 - 03 - 18 - 0000 Mar 18 , 1837   000000001885 - 03 - 04 - 0000 Mar 4 , 1885   7004175180000000000 ♠ 47 years , 351 days   000000001889 - 03 - 04 - 0000 Mar 4 , 1889   7004189790000000000 ♠ 51 years , 351 days   05,590 5,590 days ( 15 years , 112 days )   000000001908 - 06 - 24 - 0000 Jun 24 , 1908   7004260300000000000 ♠ 71 years , 98 days ( 26,030 days )     23   Harrison , Benjamin Benjamin Harrison   000000001833 - 08 - 20 - 0000 Aug 20 , 1833   000000001889 - 03 - 04 - 0000 Mar 4 , 1889   7004202850000000000 ♠ 55 years , 196 days   000000001893 - 03 - 04 - 0000 Mar 4 , 1893   7004217460000000000 ♠ 59 years , 196 days   02,930 2,930 days ( 7003293000000000000 ♠ 8 years , 9 days )   000000001901 - 03 - 13 - 0000 Mar 13 , 1901   7004246760000000000 ♠ 67 years , 205 days ( 24,676 days )     24   Cleveland , Grover Grover Cleveland   000000001837 - 03 - 18 - 0000 Mar 18 , 1837   000000001893 - 03 - 04 - 0000 Mar 4 , 1893   7004204400000000000 ♠ 55 years , 351 days   000000001897 - 03 - 04 - 0000 Mar 4 , 1897   7004219010000000000 ♠ 59 years , 351 days   05,590 5,590 days ( 15 years , 112 days )   000000001908 - 06 - 24 - 0000 Jun 24 , 1908   7004260300000000000 ♠ 71 years , 98 days ( 26,030 days )     25   McKinley , William William McKinley   000000001843 - 01 - 29 - 0000 Jan 29 , 1843   000000001897 - 03 - 04 - 0000 Mar 4 , 1897   7004197580000000000 ♠ 54 years , 34 days   000000001901 - 09 - 14 - 0000 Sep 14 , 1901   7004214120000000000 ♠ 58 years , 228 days   00,000 0 days   000000001901 - 09 - 14 - 0000 Sep 14 , 1901   7004214120000000000 ♠ 58 years , 228 days ( 21,412 days )     26   Roosevelt , Theodore Theodore Roosevelt   000000001858 - 10 - 27 - 0000 Oct 27 , 1858   000000001901 - 09 - 14 - 0000 Sep 14 , 1901   7004156620000000000 ♠ 42 years , 322 days   000000001909 - 03 - 04 - 0000 Mar 4 , 1909   7004183900000000000 ♠ 50 years , 128 days   03,595 3,595 days ( 7003359500000000000 ♠ 9 years , 308 days )   000000001919 - 01 - 06 - 0000 Jan 6 , 1919   7004219850000000000 ♠ 60 years , 71 days ( 21,985 days )     27   Taft , William H. William H. Taft   000000001857 - 09 - 15 - 0000 Sep 15 , 1857   000000001909 - 03 - 04 - 0000 Mar 4 , 1909   7004187970000000000 ♠ 51 years , 170 days   000000001913 - 03 - 04 - 0000 Mar 4 , 1913   7004202580000000000 ♠ 55 years , 170 days   06,213 6,213 days ( 7003621300000000000 ♠ 17 years , 4 days )   000000001930 - 03 - 08 - 0000 Mar 8 , 1930   7004264710000000000 ♠ 72 years , 174 days ( 26,471 days )     28   Wilson , Woodrow Woodrow Wilson   000000001856 - 12 - 28 - 0000 Dec 28 , 1856   000000001913 - 03 - 04 - 0000 Mar 4 , 1913   7004205190000000000 ♠ 56 years , 66 days   000000001921 - 03 - 04 - 0000 Mar 4 , 1921   7004234410000000000 ♠ 64 years , 66 days   01,066 1,066 days ( 7003106600000000000 ♠ 2 years , 336 days )   000000001924 - 02 - 03 - 0000 Feb 3 , 1924   7004245070000000000 ♠ 67 years , 37 days ( 24,507 days )     29   Harding , Warren G. Warren G. Harding   000000001865 - 11 - 02 - 0000 Nov 2 , 1865   000000001921 - 03 - 04 - 0000 Mar 4 , 1921   7004202100000000000 ♠ 55 years , 122 days   000000001923 - 08 - 02 - 0000 Aug 2 , 1923   7004210910000000000 ♠ 57 years , 273 days   00,000 0 days   000000001923 - 08 - 02 - 0000 Aug 2 , 1923   7004210910000000000 ♠ 57 years , 273 days ( 21,091 days )     30   Coolidge , Calvin Calvin Coolidge   000000001872 - 07 - 04 - 0000 Jul 4 , 1872   000000001923 - 08 - 02 - 0000 Aug 2 , 1923   7004186550000000000 ♠ 51 years , 29 days   000000001929 - 03 - 04 - 0000 Mar 4 , 1929   7004206960000000000 ♠ 56 years , 243 days   01,403 1,403 days ( 7003140300000000000 ♠ 3 years , 307 days )   000000001933 - 01 - 05 - 0000 Jan 5 , 1933   7004220990000000000 ♠ 60 years , 185 days ( 22,099 days )     31   Hoover , Herbert Herbert Hoover   000000001874 - 08 - 10 - 0000 Aug 10 , 1874   000000001929 - 03 - 04 - 0000 Mar 4 , 1929   7004199290000000000 ♠ 54 years , 206 days   000000001933 - 03 - 04 - 0000 Mar 4 , 1933   7004213900000000000 ♠ 58 years , 206 days   11,553 11,553 days ( 7004115530000000000 ♠ 31 years , 230 days )   000000001964 - 10 - 20 - 0000 Oct 20 , 1964   7004329430000000000 ♠ 90 years , 71 days ( 32,943 days )     32   Roosevelt , Franklin D. Franklin D. Roosevelt   000000001882 - 01 - 30 - 0000 Jan 30 , 1882   000000001933 - 03 - 04 - 0000 Mar 4 , 1933   7004186600000000000 ♠ 51 years , 33 days   000000001945 - 04 - 12 - 0000 Apr 12 , 1945   7004230820000000000 ♠ 63 years , 72 days   00,000 0 days   000000001945 - 04 - 12 - 0000 Apr 12 , 1945   7004230820000000000 ♠ 63 years , 72 days ( 23,082 days )     33   Truman , Harry S. Harry S. Truman   000000001884 - 05 - 08 - 0000 May 8 , 1884   000000001945 - 04 - 12 - 0000 Apr 12 , 1945   7004222530000000000 ♠ 60 years , 339 days   000000001953 - 01 - 20 - 0000 Jan 20 , 1953   7004250930000000000 ♠ 68 years , 257 days   07,280 7,280 days ( 7003728000000000000 ♠ 19 years , 341 days )   000000001972 - 12 - 26 - 0000 Dec 26 , 1972   7004323730000000000 ♠ 88 years , 232 days ( 32,373 days )     34   Eisenhower , Dwight D. Dwight D. Eisenhower   000000001890 - 10 - 14 - 0000 Oct 14 , 1890   000000001953 - 01 - 20 - 0000 Jan 20 , 1953   7004227430000000000 ♠ 62 years , 98 days   000000001961 - 01 - 20 - 0000 Jan 20 , 1961   7004256650000000000 ♠ 70 years , 98 days   02,989 2,989 days ( 7003298900000000000 ♠ 8 years , 67 days )   000000001969 - 03 - 28 - 0000 Mar 28 , 1969   7004286540000000000 ♠ 78 years , 165 days ( 28,654 days )     35   Kennedy , John F. John F. Kennedy   000000001917 - 05 - 29 - 0000 May 29 , 1917   000000001961 - 01 - 20 - 0000 Jan 20 , 1961   7004159420000000000 ♠ 43 years , 236 days   000000001963 - 11 - 22 - 0000 Nov 22 , 1963   7004169780000000000 ♠ 46 years , 177 days   00,000 0 days   000000001963 - 11 - 22 - 0000 Nov 22 , 1963   7004169780000000000 ♠ 46 years , 177 days ( 16,978 days )     36   Johnson , Lyndon B. Lyndon B. Johnson   000000001908 - 08 - 27 - 0000 Aug 27 , 1908   000000001963 - 11 - 22 - 0000 Nov 22 , 1963   7004201750000000000 ♠ 55 years , 87 days   000000001969 - 01 - 20 - 0000 Jan 20 , 1969   7004220610000000000 ♠ 60 years , 146 days   01,463 1,463 days ( 7003146300000000000 ♠ 4 years , 2 days )   000000001973 - 01 - 22 - 0000 Jan 22 , 1973   7004235240000000000 ♠ 64 years , 148 days ( 23,524 days )     37   Nixon , Richard Richard Nixon   000000001913 - 01 - 09 - 0000 Jan 9 , 1913   000000001969 - 01 - 20 - 0000 Jan 20 , 1969   7004204650000000000 ♠ 56 years , 11 days   000000001974 - 08 - 09 - 0000 Aug 9 , 1974   7004224920000000000 ♠ 61 years , 212 days   07,196 7,196 days ( 7003719600000000000 ♠ 19 years , 256 days )   000000001994 - 04 - 22 - 0000 Apr 22 , 1994   7004296880000000000 ♠ 81 years , 103 days ( 29,688 days )     38   Ford , Gerald Gerald Ford   000000001913 - 07 - 14 - 0000 Jul 14 , 1913   000000001974 - 08 - 09 - 0000 Aug 9 , 1974   7004223060000000000 ♠ 61 years , 26 days   000000001977 - 01 - 20 - 0000 Jan 20 , 1977   7004232010000000000 ♠ 63 years , 190 days   10,932 10,932 days ( 7004109320000000000 ♠ 29 years , 340 days )   000000002006 - 12 - 26 - 0000 Dec 26 , 2006   7004341330000000000 ♠ 93 years , 165 days ( 34,133 days )     39   Carter , Jimmy Jimmy Carter   000000001924 - 10 - 01 - 0000 Oct 1 , 1924   000000001977 - 01 - 20 - 0000 Jan 20 , 1977   7004191040000000000 ♠ 52 years , 111 days   000000001981 - 01 - 20 - 0000 Jan 20 , 1981   7004205650000000000 ♠ 56 years , 111 days   13,390 13,390 days ( 7004133900000000000 ♠ 36 years , 241 days )   2017 - 09 - 18   7004339550000000000 ♠ 92 years , 352 days ( 33,955 days )     40   Reagan , Ronald Ronald Reagan   000000001911 - 02 - 06 - 0000 Feb 6 , 1911   000000001981 - 01 - 20 - 0000 Jan 20 , 1981   7004255510000000000 ♠ 69 years , 349 days   000000001989 - 01 - 20 - 0000 Jan 20 , 1989   7004284730000000000 ♠ 77 years , 349 days   05,615 5,615 days ( 7003561500000000000 ♠ 15 years , 137 days )   000000002004 - 06 - 05 - 0000 Jun 5 , 2004   7004340880000000000 ♠ 93 years , 120 days ( 34,088 days )     41   Bush , George H.W. George H.W. Bush   000000001924 - 06 - 12 - 0000 Jun 12 , 1924   000000001989 - 01 - 20 - 0000 Jan 20 , 1989   7004235980000000000 ♠ 64 years , 222 days   000000001993 - 01 - 20 - 0000 Jan 20 , 1993   7004250590000000000 ♠ 68 years , 222 days   09,007 9,007 days ( 7003900700000000000 ♠ 24 years , 241 days )   2017 - 09 - 18   7004340660000000000 ♠ 93 years , 98 days ( 34,066 days )     42   Clinton , Bill Bill Clinton   000000001946 - 08 - 19 - 0000 Aug 19 , 1946   000000001993 - 01 - 20 - 0000 Jan 20 , 1993   7004169560000000000 ♠ 46 years , 154 days   000000002001 - 01 - 20 - 0000 Jan 20 , 2001   7004198780000000000 ♠ 54 years , 154 days   06,085 6,085 days ( 7003608500000000000 ♠ 16 years , 241 days )   2017 - 09 - 18   7004259630000000000 ♠ 71 years , 30 days ( 25,963 days )     43   Bush , George W. George W. Bush   000000001946 - 07 - 06 - 0000 Jul 6 , 1946   000000002001 - 01 - 20 - 0000 Jan 20 , 2001   7004199220000000000 ♠ 54 years , 198 days   000000002009 - 01 - 20 - 0000 Jan 20 , 2009   7004228440000000000 ♠ 62 years , 198 days   03,163 3,163 days ( 7003316300000000000 ♠ 8 years , 241 days )   2017 - 09 - 18   7004260070000000000 ♠ 71 years , 74 days ( 26,007 days )     44   Obama , Barack Barack Obama   000000001961 - 08 - 04 - 0000 Aug 4 , 1961   000000002009 - 01 - 20 - 0000 Jan 20 , 2009   7004173360000000000 ♠ 47 years , 169 days   000000002017 - 01 - 20 - 0000 Jan 20 , 2017   7004202580000000000 ♠ 55 years , 169 days   00 , 134241 241 days   2017 - 09 - 18   7004204990000000000 ♠ 56 years , 45 days ( 20,499 days )     45   Trump , Donald Donald Trump   000000001946 - 06 - 14 - 0000 Jun 14 , 1946   000000002017 - 01 - 20 - 0000 Jan 20 , 2017   7004257880000000000 ♠ 70 years , 220 days   2017 - 09 - 18   7004288540000000000 ♠ 78 years , 364 days   24,732   2017 - 09 - 18   7004260290000000000 ♠ 71 years , 96 days ( 26,029 days )     #   President   Birth date   Presidency start date   Age at start date   Presidency end date   Age at end date   Post-presidency timespan   Death date   Lifespan     Notes ( edit )    ^ Jump up to : Birthdate as changed to New Style .   ^ Jump up to : Died in office .   ^ Jump up to : Cleveland was retired for 1,461 days between his two terms ( 1889 -- 1893 ) , and then another 4,129 days from the end of his 2nd term ( 1897 ) until his death ( 1908 ) .   Jump up ^ Resigned from office .   ^ Jump up to : Ongoing .    Timeline of oldest living presidents ( edit )  See also : Living Presidents of the United States  Of the 44 persons who have served as president , 24 have become the oldest such individual of their time . Herbert Hoover became the oldest living president ( while still president himself ) when Calvin Coolidge died in January 1933 , and retained this distinction until his death 31 years later . Lyndon B. Johnson became the oldest living president upon the death of Harry S. Truman in December 1972 but held this distinction for only 27 days .   On three occasions the oldest living president lost this distinction not by his death , but by the election of a president who was older . Theodore Roosevelt ( born 1858 ) lost this distinction when William Taft ( born 1857 ) was inaugurated , then four years later Taft lost it when Woodrow Wilson ( born 1856 ) was inaugurated . More recently , Richard Nixon ( born 1913 ) ceased being the oldest living president when Ronald Reagan ( born 1911 ) was inaugurated . Furthermore , although Theodore Roosevelt was the youngest ever to become both the oldest living president ( at age 50 ) and a former president ( at age 51 ) , he was the only living president or former president by the end of his term . Consequently , Taft was the oldest living president twice : first during his presidency ( having succeeded the younger Roosevelt ) , and a second time after Wilson ( his successor as president but an older man ) died . Gerald Ford was the oldest individual to acquire this distinction at the age of 90 .   On seven occasions , the oldest living president has acquired this distinction during his term in office . In the cases of John Adams , Ulysses S. Grant , Theodore Roosevelt , Herbert Hoover and Richard Nixon , this happened at the same time as their becoming the only living president ; in the cases of Andrew Jackson and Benjamin Harrison , the only other living president at the time was a younger predecessor ( John Quincy Adams and Grover Cleveland respectively ) .     President   Became oldest living president   Ceased to be oldest living president   Age at start date   Age at end date   Duration ( years , days )   Duration ( days )     Washington , George George Washington   000000001789 - 04 - 30 - 0000 April 30 , 1789   000000001799 - 12 - 14 - 0000 December 14 , 1799   7004208870000000000 ♠ 57 years , 67 days   7004247670000000000 ♠ 67 years , 295 days   7003388000000000000 ♠ 10 years , 228 days   03,880 3,880 days     Adams , John John Adams   000000001799 - 12 - 14 - 0000 December 14 , 1799   000000001826 - 07 - 04 - 0000 July 4 , 1826   7004234210000000000 ♠ 64 years , 45 days   7004331190000000000 ♠ 90 years , 247 days   7003969800000000000 ♠ 26 years , 202 days   09,698 9,698 days     Madison , James James Madison   000000001826 - 07 - 04 - 0000 July 4 , 1826   000000001836 - 06 - 28 - 0000 June 28 , 1836   7004275030000000000 ♠ 75 years , 110 days   7004311500000000000 ♠ 85 years , 104 days   7003364700000000000 ♠ 9 years , 360 days   03,647 3,647 days     Jackson , Andrew Andrew Jackson   000000001836 - 06 - 28 - 0000 June 28 , 1836   000000001845 - 06 - 08 - 0000 June 8 , 1845   7004253070000000000 ♠ 69 years , 105 days   7004285740000000000 ♠ 78 years , 85 days   7003326700000000000 ♠ 8 years , 345 days   03,267 3,267 days     Adams , John Quincy John Quincy Adams   000000001845 - 06 - 08 - 0000 June 8 , 1845   000000001848 - 02 - 23 - 0000 February 23 , 1848   7004284560000000000 ♠ 77 years , 332 days   7004294460000000000 ♠ 80 years , 227 days   7002990000000000000 ♠ 2 years , 260 days   00,990 990 days     Van Buren , Martin Martin Van Buren   000000001848 - 02 - 23 - 0000 February 23 , 1848   000000001862 - 07 - 24 - 0000 July 24 , 1862   7004238200000000000 ♠ 65 years , 80 days   7004290850000000000 ♠ 79 years , 231 days   7003526500000000000 ♠ 14 years , 151 days   05,265 5,265 days     Buchanan , James James Buchanan   000000001862 - 07 - 24 - 0000 July 24 , 1862   000000001868 - 06 - 01 - 0000 June 1 , 1868   7004260240000000000 ♠ 71 years , 92 days   7004281630000000000 ♠ 77 years , 39 days   7003213900000000000 ♠ 5 years , 313 days   02,139 2,139 days     Fillmore , Millard Millard Fillmore   000000001868 - 06 - 01 - 0000 June 1 , 1868   000000001874 - 03 - 08 - 0000 March 8 , 1874   7004249820000000000 ♠ 68 years , 146 days   7004270880000000000 ♠ 74 years , 60 days   7003210600000000000 ♠ 5 years , 280 days   02,106 2,106 days     Johnson , Andrew Andrew Johnson   000000001874 - 03 - 08 - 0000 March 8 , 1874   000000001875 - 07 - 31 - 0000 July 31 , 1875   7004238100000000000 ♠ 65 years , 69 days   7004243200000000000 ♠ 66 years , 214 days   7002510000000000000 ♠ 1 year , 145 days   00,510 510 days     Grant , Ulysses S. Ulysses S. Grant   000000001875 - 07 - 31 - 0000 July 31 , 1875   000000001885 - 07 - 23 - 0000 July 23 , 1885   7004194530000000000 ♠ 53 years , 95 days   7004230980000000000 ♠ 63 years , 87 days   7003364500000000000 ♠ 9 years , 357 days   03,645 3,645 days     Hayes , Rutherford B. Rutherford B. Hayes   000000001885 - 07 - 23 - 0000 July 23 , 1885   000000001893 - 01 - 17 - 0000 January 17 , 1893   7004229380000000000 ♠ 62 years , 292 days   7004256730000000000 ♠ 70 years , 105 days   7003273500000000000 ♠ 7 years , 178 days   02,735 2,735 days     Harrison , Benjamin Benjamin Harrison   000000001893 - 01 - 17 - 0000 January 17 , 1893   000000001901 - 03 - 13 - 0000 March 13 , 1901   7004217000000000000 ♠ 59 years , 150 days   7004246760000000000 ♠ 67 years , 205 days   7003297600000000000 ♠ 8 years , 55 days   02,976 2,976 days     Cleveland , Grover Grover Cleveland   000000001901 - 03 - 13 - 0000 March 13 , 1901   000000001908 - 06 - 24 - 0000 June 24 , 1908   7004233700000000000 ♠ 63 years , 360 days   7004260300000000000 ♠ 71 years , 98 days   7003266000000000000 ♠ 7 years , 103 days   02,660 2,660 days     Roosevelt , Theodore Theodore Roosevelt   000000001908 - 06 - 24 - 0000 June 24 , 1908   000000001909 - 03 - 04 - 0000 March 4 , 1909   7004181370000000000 ♠ 49 years , 241 days   7004183900000000000 ♠ 50 years , 128 days   7002253000000000000 ♠ 253 days   00,253 253 days     Taft , William Howard William Howard Taft   000000001909 - 03 - 04 - 0000 March 4 , 1909   000000001913 - 03 - 04 - 0000 March 4 , 1913   7004187970000000000 ♠ 51 years , 170 days   7004202580000000000 ♠ 55 years , 170 days   7003146100000000000 ♠ 4 years , 0 days   01,461 1,461 days     Wilson , Woodrow Woodrow Wilson   000000001913 - 03 - 04 - 0000 March 4 , 1913   000000001924 - 02 - 03 - 0000 February 3 , 1924   7004205190000000000 ♠ 56 years , 66 days   7004245070000000000 ♠ 67 years , 37 days   7003398800000000000 ♠ 10 years , 336 days   03,988 3,988 days     Taft , William Howard William Howard Taft   000000001924 - 02 - 03 - 0000 February 3 , 1924   000000001930 - 03 - 08 - 0000 March 8 , 1930   7004242460000000000 ♠ 66 years , 141 days   7004264710000000000 ♠ 72 years , 174 days   7003222500000000000 ♠ 6 years , 33 days   02,225 2,225 days     Coolidge , Calvin Calvin Coolidge   000000001930 - 03 - 08 - 0000 March 8 , 1930   000000001933 - 01 - 05 - 0000 January 5 , 1933   7004210650000000000 ♠ 57 years , 247 days   7004220990000000000 ♠ 60 years , 185 days   7003103400000000000 ♠ 2 years , 303 days   01,034 1,034 days </t>
  </si>
  <si>
    <t xml:space="preserve">who is the youngest elected president of usa</t>
  </si>
  <si>
    <t xml:space="preserve"> The median age at accession to the presidency is roughly 55 years and 6 months , which is about how old Benjamin Harrison was at the time of his inauguration . The youngest person to assume the office was Theodore Roosevelt , who became president following William McKinley 's assassination , at the age of 7004156620000000000 ♠ 42 years , 322 days . The youngest person elected president was John F. Kennedy , who was inaugurated into office at the age of 7004159420000000000 ♠ 43 years , 236 days . Assassinated three years into his term , he became the youngest at the time of leaving office ( 7004169780000000000 ♠ 46 years , 177 days ) ; the youngest person at the time of leaving office after serving a full four - year term was Theodore Roosevelt ( 7004183900000000000 ♠ 50 years , 128 days ) . The oldest person at the time of entering office was Donald Trump , at the age of 7004257880000000000 ♠ 70 years , 220 days ; Ronald Reagan was the oldest person in office , at the age of 7004284730000000000 ♠ 77 years , 349 days when his presidency ended in January 1989 . </t>
  </si>
  <si>
    <t xml:space="preserve">Super Dancer - Wikipedia  Super Dancer  Jump to : navigation , search    Super Dancer         Genre   Dance Reality     Created by   Ashish Golwalkar Ranjeet Thakur Ujjwal Anand Arvind Rao     Presented by   Jay Bhanushali Paritosh Tripathi Rithvik Dhanjani ( former )     Judges   Shilpa Shetty Kundra Geeta Kapoor Anurag Basu     Country of origin   India     Original language ( s )   Hindi     No. of seasons   02     No. of episodes   52     Production     Producer ( s )   Ranjeet Thakur Hemant Ruprell     Location ( s )   Mumbai , India     Camera setup   Multi-camera     Running time   70 minutes approx .     Production company ( s )   Frames Production     Distributor   Sony Pictures Networks     Release     Original network   Sony Entertainment Television Sony Entertainment Television Asia     Picture format   576i ( SDTV ) 1080i ( HDTV )     Original release   10 September 2016 -- 24 March 2018     External links     Website     Super Dancer is an Indian Hindi kids dance reality television series , which airs on Sony Entertainment Television and Sony Entertainment Television Asia. The winner of season 1 of this series is Ditya Bhande and Bishal Sharma is the winner of Super Dancer Chapter 2 . The series is produced by Ranjeet Thakur and Hemant Ruprell for their production house Frames Production .     Contents  ( hide )   1 Concept   2 Season 1   2.1 Participants   2.2 Power Card Entry     3 Season 2   3.1 Participants   3.2 Power Card Entry   3.3 Robo Girl Trend   3.4 5 - Year Old Dancers   3.5 Varun 's Kind Gesture     4 See also   5 References   6 External links      Concept ( edit )   The show Super Dancer - Dance Ka Kal aims to find a kid prodigy who has the potential to be the future of dance . The kids are aged between 4 and 13 years of age . They are not only required to have 3Ds of dancing - Desire , Discipline and Determination - but also should be a keen learner , adaptable to all dance styles and circumstances and should be a passionate dancer with a unique personality . This show is an ideal opportunity for every kid to hone their talent and dancing skills .   After the initial auditions and mega auditions , 12 Super Dancers are selected to be competing for the title of Dance Ka Kal ( future of dance ) . They are each paired with one choreographer ( Super Guru ) who has a unique style similar to theirs . These Super Gurus train them , choreograph acts for them and also perform with them . The Super Dancers perform on Saturdays and along with their choreographers on Sunday . The performances are voted by the audience every week on the website or the SonyLiv App . On the basis of the number of votes , one kid is being eliminated every week .   Season 1 ( edit )   Participants ( edit )     Contestant   From   Choreographer   Notes     Ditya Sagar Bhande   Mumbai   Ruel Dausan   WINNER     Dipali Borkar   Pune   Sonali Kar   Finalist     Masoom Narzary   Guwahati   Palden Lama Mawroh   Finalist     Yogesh Sharma   Mathura   Vaibhav Ghughe   Finalist     Laxman Kumbhar   Raipur   Paul Marshal   Finalist  Eliminated on 23 October 2016   Power Card entry on 30 October 2016      Siddhanth Damedhar   Aurangabad   Shyam Yadav   Eliminated on 23 October 2016  Power Card entry on 30 October 2016   Eliminated on 26 November 2016      Ashish Das   Guwahati   Lipsa Acharya   Eliminated on 19 November 2016     Ananya Choksi   Raipur   Amrita Maitra   Eliminated on 12 November 2016     Varsha Mishra   Agra   Nishant Bhat   Eliminated on 16 October 2016     Harsh Prajapati   Jaipur   Anuja   Eliminated on 16 October 2016     Mahi Soni   Chattarpur   Sneha Kapoor   Eliminated on 9 October 2016     Lakshay Sinha   Malda   Biki Das   Eliminated     Power Card Entry ( edit )   Five contestants - Laxman Kumbhar , Siddhanth Damedhar ( both of whom were eliminated from the show earlier ) , Lakshay Sinha ( who could n't perform earlier in the competition due to his injury ) , Tiyash Saha &amp; Harsh Dhara ( both standby contestants ) were called back on 30 October 2016 to gain a Power Card Entry into the competition . The judges chose Laxman Kumbhar &amp; Siddhanth Damedhar and they Re-entered the competition .   Winner   Ditya Sagar Bhande from Mumbai won the first season of Super dancer . Her choreographer was Ruel Dausan .   Season 2 ( edit )   Participants ( edit )     Contestant   From   Choreographer   Notes     Bishal Sharma   Jorhat , Assam   Vaibhav Ghuge   Winner     Vaishnavi Prajapati   Panipat , Haryana   Manan Sachdeva   Finalist Power card entry on 26 November 2017     Ritik Diwaker   Kanpur , Uttar Pradesh   Pratik Utekar   Finalist     Akash Thapa   Dehradun , Uttarakhand   Vivek Chachere   Finalist     Shagun Singh   Bhilai , Chhattisgarh   Aishwarya Radhakrishnan   Eliminated on 18 March 2018     Akash Mitra   Patna , Bihar   Rishikaysh Jogadaand   Power card entrant ( Eliminated on February 2018 )     Muskan Sharma   Indore , Madhya Pradesh   Paul Marshal   Eliminated on 11 February 2018     Mishti Sinha   Ahmednagar , Maharashtra   Omkar Shinde  Palden Lama Mawroh    Left the show due to injury on 26 January 2018  Power card entry on 26 November 2017   Eliminated on 12 November 2017      Arushi Saxena   Ludhiana , Punjab   Nishant Bhat   Eliminated on 14 January 2018     Vivek Jogdande   Aurangabad , Maharashtra   Ruel Dausan Varindani   Eliminated on 19 November 2017     Jyoti Ranjan Sahu   Bhubaneswar , Odisha   Anuradha Iyengar   Eliminated on 19 November 2017     Abir Rahman   Kolkata , West Bengal   Sonali Kar   Eliminated on 12 November 2017     Kunal Jyoti Rabha   Guwahati , Assam   Palden Lama Mawroh   Eliminated on 29 October 2017     Chandresh Delwar   Indore , Madhya Pradesh   Khushboo Gupta   Eliminated on 29 October 2017     Power Card Entry ( edit )   Three contestants , Vaishnavi Prajapati from Panipat with her Super Guru Manan , Akash Mitra from Patna with his Super Guru Rishikesh Jogdand and Mishti Sinha from Ahmednagar with her Super Guru Palden Lama Mowroh took a return on Power Card Entry . With top 9 , voting started . For almost 6 weeks at a stretch , there was not a single elimination on the show . Firstly , Arushi Saxena ( known as all rounder of the show ) had to leave the show by normal elimination and provided the show Super 8 . Mishti Sinha had to bid goodbye to the show due to an injury in her leg . Doctors suggested her to have respite and show got Super 7 .   Robo girl trend ( edit )   Muskan Sharma termed as `` robotic girl '' of the show had set a trend of perfect indomitable robotics . She pursued such a different and tough dance form making many persons her fan . She performed robotics with contemporary and salsa which gave her a distinct look . Appreciated , she was said as trendsetter by shilpa shetty as the incredible girl invigorated and emboldened many other girls to chase robotics . Her Super Guru Paul always tried to present a message in her dance in which they were invincible . But voted less till super 7 , she was eliminated .   5 - year old Dancers ( edit )   Akash Mitra is an amazing child on the show . He is super cute and seems to be Anurag Basu 's favorite . He is always indifferent to all the situations and is termed as `` God Ka Favourite Bachcha '' . With his Super Guru Rishikesh , this 5 year old showcase his talent in many styles . He is majorly seen in feud with his friend Vaishnavi. he later got eliminated just before top 5 .   Vaishnavi is a 5 year old talented girl on the show who gets tickled easily . Judges were shocked when they come to know about her handicapped but willing mentor . She and her Super Guru Manan does simple but effective acts on the stage without getting encumbered .   Varun 's kind gesture ( edit )   Moved by the plight of one of the contestants Ritik Diwaker , bollywood actor Varun Dhawan decides to sponsor the 11 - year - old boy 's education .   In the day of grand finale , Ritik danced on a medley of songs , including `` Bulleya '' , `` Dil Diyan Gallan '' and the title track of Dangal , and Varun was impressed . He 's seen some of his earlier acts too and was bowled over by his happy feet . When he learnt that Ritik 's father , Gaurishankar Diwaker , is unable to work as his left hand is nonfunctional , Varun decided to help the child as he did n't want his studies to suffer .   See also ( edit )   Super Dancer Season 2 : Winner Name 2018   References ( edit )    Jump up ^ `` Super Dancer Chapter 2 : Bishal Sharma from Assam wins the show , '' The GenX Times , 24 March 2018 .   Jump up ^ `` Sony 's four new shows from different genres '' . Indian Television . 14 May 2016 . Retrieved 16 May 2016 .   Jump up ^ `` Super Dancer Official Site '' . superdancer.sonyliv.com . Retrieved 2016 - 09 - 23 .   Jump up ^ `` VARUN DHAWAN TO SPONSOR SUPER DANCER 2 CONTESTANT RITIK DIWAKER 'S EDUCATION '' . Mumbai Mirror . Indian Times . Retrieved 4 April 2018 .    External links ( edit )     ( hide )         Current broadcasts on Sony Entertainment Television India     Mystery     CID   Crime Patrol       Drama     Ek Deewaana Tha   Rishta Likhenge Hum Naya   Yeh Pyaar Nahi Toh Kya Hai   Yeh Un Dinon Ki Baat Hai       History and mythology     Mere Sai   Porus   Prithvi Vallabh - Itihaas Bhi , Rahasya Bhi   Vighnaharta Ganesha       List of former shows    Retrieved from `` https://en.wikipedia.org/w/index.php?title=Super_Dancer&amp;oldid=841002431 '' Categories :   2010s Indian television series   2016 Indian television series debuts   Hindi - language television programs   Indian dance television shows   Indian reality television series   Television shows set in Mumbai   Sony Entertainment Television series   Frames Production series   Hidden categories :   Use Indian English from May 2016   All Wikipedia articles written in Indian English   Use dmy dates from May 2016           Talk                                           Contents                   About Wikipedia                                           Add links   This page was last edited on 13 May 2018 , at 12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</si>
  <si>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names of super gurus of super dancer 2</t>
  </si>
  <si>
    <t xml:space="preserve">   Contestant   From   Choreographer   Notes     Bishal Sharma   Jorhat , Assam   Vaibhav Ghuge   Winner     Vaishnavi Prajapati   Panipat , Haryana   Manan Sachdeva   Finalist Power card entry on 26 November 2017     Ritik Diwaker   Kanpur , Uttar Pradesh   Pratik Utekar   Finalist     Akash Thapa   Dehradun , Uttarakhand   Vivek Chachere   Finalist     Shagun Singh   Bhilai , Chhattisgarh   Aishwarya Radhakrishnan   Eliminated on 18 March 2018     Akash Mitra   Patna , Bihar   Rishikaysh Jogadaand   Power card entrant ( Eliminated on February 2018 )     Muskan Sharma   Indore , Madhya Pradesh   Paul Marshal   Eliminated on 11 February 2018     Mishti Sinha   Ahmednagar , Maharashtra   Omkar Shinde  Palden Lama Mawroh    Left the show due to injury on 26 January 2018  Power card entry on 26 November 2017   Eliminated on 12 November 2017      Arushi Saxena   Ludhiana , Punjab   Nishant Bhat   Eliminated on 14 January 2018     Vivek Jogdande   Aurangabad , Maharashtra   Ruel Dausan Varindani   Eliminated on 19 November 2017     Jyoti Ranjan Sahu   Bhubaneswar , Odisha   Anuradha Iyengar   Eliminated on 19 November 2017     Abir Rahman   Kolkata , West Bengal   Sonali Kar   Eliminated on 12 November 2017     Kunal Jyoti Rabha   Guwahati , Assam   Palden Lama Mawroh   Eliminated on 29 October 2017     Chandresh Delwar   Indore , Madhya Pradesh   Khushboo Gupta   Eliminated on 29 October 2017   </t>
  </si>
  <si>
    <r>
      <rPr>
        <sz val="11"/>
        <color rgb="FF000000"/>
        <rFont val="Calibri"/>
        <family val="0"/>
        <charset val="1"/>
      </rPr>
      <t xml:space="preserve">The Stand ( miniseries ) - wikipedia  The Stand ( miniseries )     The Stand     Television miniseries poster     Genre   Apocalyptic , Drama , Horror , Fantasy     Based on   The Stand by Stephen King     Screenplay by   Stephen King     Directed by   Mick Garris     Starring   Gary Sinise Molly Ringwald Jamey Sheridan Rob Lowe Laura San Giacomo Miguel Ferrer Ruby Dee Bill Fagerbakke Corin Nemec Adam Storke Ray Walston Matt Frewer Ossie Davis Shawnee Smith     Theme music composer   W.G. Snuffy Walden     Country of origin   United States     Original language ( s )   English     No. of episodes       Production     Producer ( s )   Stephen King Mitchell Galin     Cinematography   Edward J. Pei     Editor ( s )   Patrick McMahon     Running time   366 minutes     Production company ( s )   Laurel Entertainment Greengrass Productions     Budget   $28,000,000 USD ( equivalent to $46,230,804 in 2017 )     Release     Original network   ABC     Original release   May 8 ( 1994 - 05 - 08 ) -- May 12 , 1994 ( 1994 - 05 - 12 )     The Stand is a 1994 American television horror miniseries based on the novel of the same name by Stephen King . King also wrote the teleplay and has a minor role in the series . It was directed by Mick Garris and stars Gary Sinise , Miguel Ferrer , Rob Lowe , Ossie Davis , Ruby Dee , Jamey Sheridan , Laura San Giacomo , Molly Ringwald , Corin Nemec , Adam Storke , Ray Walston , and Matt Frewer . It originally aired on ABC starting on May 8 , 1994 .   Contents  ( hide )   1 Plot   2 Cast   3 Production   4 Releases   4.1 Original broadcast     5 Soundtrack   5.1 Credits and personnel     6 Reception   7 Awards and nominations   7.1 1994 Casting Society of America ( Artios )   7.2 1994 Emmy Awards   7.3 1995 Screen Actors Guild Awards     8 See also   9 References   10 External links    Plot ( edit )   On June 13 , at a top - secret government laboratory in rural California , a weaponized version of influenza is accidentally released . A guard escapes the lab and begins traveling across the country to his family home in East Texas , unintentionally spreading the virus along the way . On June 17th , he crashes his car into a gas station in the town of Arnette , where Stu Redman ( Gary Sinise ) and some friends have gathered . As the man lays dying , he warns Redman that he had been pursued by a `` Dark Man . '' The next day , the U.S. military arrives to quarantine the town .   The townspeople are taken to a CDC facility in Vermont . All but Stu succumb to the superflu , which kills 99.4 % of the world 's population in two weeks . The scattered survivors include would - be rock star Larry Underwood ( Adam Storke ) ; deaf mute Nick Andros ( Rob Lowe ) ; Frannie Goldsmith ( Molly Ringwald ) and her unborn child from Jesse , her boyfriend prior to the plague ; her teenaged neighbor Harold Lauder ( Corin Nemec ) ; imprisoned criminal Lloyd Henreid ( Miguel Ferrer ) ; and `` Trashcan Man '' ( Matt Frewer ) , a mentally ill arsonist and scavenger . The survivors soon begin having visions , either from kindly Mother Abagail ( Ruby Dee ) or from the demonic Randall Flagg ( Jamey Sheridan ) . The two sets of survivors are instructed in dreams to either travel to Nebraska to meet Abagail , or to Las Vegas to join Flagg .   As their journeys begin , Lloyd is freed from prison by Flagg in exchange for becoming his second in command . Trashcan Man , a pyromaniac , destroys fuel tanks across the Midwest and is directed to Las Vegas . Larry escapes New York City with a mysterious woman named Nadine Cross ( Laura San Giacomo ) . Despite their mutual attraction , Nadine is unable to consummate a relationship with Larry because of her visions of Flagg , who commands her to join him ; she leaves Larry to travel on her own . After escaping the CDC facility , Stu gathers a group of survivors , including Frannie , Harold , and Glen Bateman ( Ray Walston ) . They are later joined by various other immune survivors .   As the group travels toward Nebraska , Harold is consumed with jealousy over Stu 's leadership of the group and his growing relationship with Frannie , on whom Harold has an unrequited crush . Meanwhile , Nick makes his way across the Midwest , eventually meeting Tom Cullen ( Bill Fagerbakke ) , a mentally challenged man . The two men encounter Julie Lawry ( Shawnee Smith ) , a vicious girl who vows to kill them when they refuse to let her join them . Eventually Nick 's group reaches Abagail 's farm in Hemingford Home , Nebraska . She warns that a great conflict is imminent and they must all travel on to Boulder , Colorado . There , the survivors form a new community called the Boulder Free Zone , where they begin restoring civilization .   Flagg sets up an autocratic regime in Las Vegas , with the intent of defeating the Boulder survivors using salvaged nuclear weapons . Frannie feels increasing anxiety because she is unsure whether her baby will be immune to the superflu . Harold 's resentment towards Stu and Frannie intensifies , causing him to be seduced by Nadine and join forces with Flagg . Abagail , convinced that she has fallen into the sin of pride , leaves Boulder to walk in the wilderness . Three Boulder survivors are chosen to infiltrate Las Vegas : Tom , Dayna Jurgens ( Kellie Overbey ) , and Judge Farris ( Ossie Davis ) . They hypnotize Tom to follow a set of instructions , including that he leave Las Vegas at the next full moon .   Harold and Nadine plant a bomb in Frannie and Stu 's home , planning to set it off during a meeting of the Free Zone council . A weakened Abagail returns to town and gives a psychic warning to the council members at the meeting . The warning allows most of the council to escape the explosion , but Nick is killed . Before she passes away , Abagail tells Stu , Larry , Glen , Frannie and fellow council member Ralph Brentner that they must travel to Las Vegas to confront Flagg . When Nadine and Harold flee , Flagg causes Harold to be seriously injured in a motorcycle accident . Nadine leaves him with broken legs . He kills himself with a gun the next day . Flagg calls Nadine to him . She tries to escape and tells him no when he wants to consummate their relationship . Flagg tells her it is too late to say no and forces himself on her . Nadine is unresponsive following the attack by Flagg . Upon returning to Las Vegas , an increasingly unstable Flagg finds Dayna , who kills herself rather than give up information . He intercepts Farris , who is accidentally killed before he can be tortured .   Tom leaves Las Vegas when the moon is full , but Julie recognizes him ; she tries to alert Flagg , but Tom escapes into the desert and hides from Flagg and his men . Shortly afterwards , a crazed Nadine taunts Flagg and commits suicide with the unholy fetus he conceived in her . With winter fast approaching , Stu , Larry , Glen , and Ralph leave Boulder to set out on their quest . Stu breaks his leg and must stay behind . The remaining three are captured by Flagg 's forces . Glen is separated from Larry and Ralph . Flagg orders Lloyd to kill Glen after he taunts Flagg . As Larry and Ralph endure a show trial on Fremont Street , Trashcan Man arrives with a stolen nuclear weapon . Flagg is unable to stop a spectral hand from detonating the bomb as the voice of Abagail declares that God 's promise has been kept . Las Vegas is destroyed and Flagg is apparently killed .   Stu is rescued by Tom , who takes him to a nearby cabin to heal his leg as winter sets in . They eventually return to Boulder in the midst of a blinding snow storm . Frannie gives birth to a baby which is determined to have the superflu , but the infant survives . Assured that the immune survivors can safely reproduce , the inhabitants of Boulder set to work rebuilding the world .   Cast ( edit )  Main article : List of The Stand characters   Gary Sinise as Stu Redman   Molly Ringwald as Frannie Goldsmith   Jamey Sheridan as Randall Flagg   Laura San Giacomo as Nadine Cross   Ruby Dee as Mother Abagail Freemantle   Ossie Davis as Judge Richard Farris   Miguel Ferrer as Lloyd Henreid   Corin Nemec as Harold Lauder   Matt Frewer as Trashcan Man   Adam Storke as Larry Underwood   Ray Walston as Glen Bateman   Rob Lowe as Nick Andros   Bill Fagerbakke as Tom Cullen   Peter Van Norden as Ralph Brentner   Bridgit Ryan as Lucy Swann   Rick Aviles as Rat Man   Max Wright as Dr. Herbert Denninger   Shawnee Smith as Julie Lawry   Cynthia Garris as Susan Stern   Richard Jewkes as Dick Ellis   Sarah Schaub as Gina McKone   William Newman as Dr. Soames   Kareem Abdul - Jabbar as The Monster Shouter   Warren Frost as Dr. George Richardson   John Bloom as Deputy Joe - Bob   Troy Evans as Sheriff Johnny Baker   Stephen King as Teddy Weizak   John Landis as Russ Dorr   Dan Martin as Rich Moffat   John Dunbar as Dave Roberts   Sam Raimi as Bobby Terry   Chuck Adamson as Barry Dorgan   Kellie Overbey as Dayna Jurgens   Ray McKinnon as Charlie D. Campion   Tom Holland as Carl Hough   David Kirk Chambers as Brad Kitchner   Kathy Bates as Rae Flowers ( uncredited )   Ed Harris as Gen. Bill Starkey ( uncredited )   Sherman Howard as Dr. Dietz   Ken Jenkins as Peter Goldsmith   Richard Lineback as Poke Freeman   Sam Anderson as Whitney Horgan   Leo Geter as Chad Norris   Patrick Kilpatrick as Ray Booth   Jordan Lund as Bill Hapscomb   Jesse Bennett as Vic Palfrey   Jim Haynie as Deputy Kingsolving   Billy L. Sullivan as Joe   Hope Marie Carlton as Sally Campion   Mary Ethel Gregory as Alice Underwood   Britney Lewis as Arlene    Moses Gunn had originally been cast as Judge Farris , but shortly after filming had commenced his health declined , and he died shortly after that . Ossie Davis , who was present at the filming because his wife , Ruby Dee , was playing Mother Abagail , took over the role of Judge Farris .   Having both starred in previous film adaptations of King 's works , Ed Harris and Kathy Bates both had small , uncredited roles in the early parts of the series . Bates 's character , Rae Flowers , was originally a man ( Ray Flowers ) , but when Bates became available , King - who wanted her to play the part - rewrote the role as a woman . Harris plays the Army general in charge of the original bio-weapons project who kills himself after the failure of the disease containment .   Rob Lowe had been originally considered for the role of Larry Underwood , but Garris felt that having him in the more unusual role of the deaf and mute Nick Andros would better suit the production ( Lowe has been deaf in his right ear since childhood ) . Adam Storke ended up with the role of Underwood , where his musical skills were an asset .   Miguel Ferrer , who played Lloyd Henreid , was originally interested in the role of Randall Flagg , but the sights for that part were initially set on actors such as Christopher Walken , Jeff Goldblum , Willem Dafoe , and James Woods . Stephen King wanted someone the audience `` was n't terribly familiar with '' . After Ferrer heard that Jamey Sheridan had been offered the part but was n't sure it was something he wanted to do , Ferrer convinced him to take the part .   Production ( edit )   Production Designer Nelson Coates , who garnered an Emmy nomination for his design work , created all 225 sets for the miniseries . Faced with prices of $40 per stalk for New York - made fake cornstalks , Coates opted instead to grow 3,250 cornstalks as a cost - cutting measure ; when a winter storm hit Utah , the reproduction of a Nebraska house with cornfield became complicated by the fact that the harsh weather did not allow the corn crop to grow taller than 4 feet .   Signs at Rae Flowers ' radio station feature the logo of WZON , a real - life radio station in Bangor , Maine , owned by King .   Originally , parts of the miniseries were to be filmed on location in Boulder , Colorado . After the passage of Colorado Amendment 2 , which nullified local gay rights laws , the production was moved to Utah due to protests .   Releases ( edit )   Original broadcast ( edit )     Part   Title   Directed by   Written by   Original air date       `` The Plague ''   Mick Garris   Stephen King   May 8 , 1994 ( 1994 - 05 - 08 )       `` The Dreams ''   Mick Garris   Stephen King   May 9 , 1994 ( 1994 - 05 - 09 )       `` The Betrayal ''   Mick Garris   Stephen King   May 11 , 1994 ( 1994 - 05 - 11 )       `` The Stand ''   Mick Garris   Stephen King   May 12 , 1994 ( 1994 - 05 - 12 )     Soundtrack ( edit )     Stephen King 's The Stand ( Original Television Soundtrack )         Soundtrack album ( Digital download ) / Audio CD by W.G. Snuffy Walden     Released   May 24 , 1994     Length   46 : 40     Label   Varèse Sarabande     Credits and personnel ( edit )    Music composed by W.G. Snuffy Walden   Executive producer : Robert Townson   Produced by W.G. Snuffy Walden   Music recorded and mixed by Ray Pyle and Avram Kipper at O'Henry Studios , Devonshire Studios and Taylor Made Studios   Music editor : Allan K. Rosen   Synclavier programming by Mark Morgan   Orchestrations by Don Davis and John Dickson   Scoring contractors : Paul Zimmitti and Debbi Datz   Principal musicians :   Guitar : W.G. Snuffy Walden and Dean Parks   Piano : Randy Kerber   Percussion : Michael Fisher   Woodwinds : Jon Clarke   Violin : Charlie Bisharat      Reception ( edit )   The film was met with generally positive reviews .   John J. O'Connor at the New York Times wrote , `` A great deal of time and money has gone into this production , and it 's right up there on the screen ... The nagging problem at the heart of `` The Stand '' is that once the story settles early on into its schematic oppositions of good versus evil , sweet old Mother Abagail versus satanic Flagg , monotony begins to seep through the superstructure ... Muddled , certainly , but Stephen King 's ' The Stand ' is clever enough to keep you wondering what could possibly happen next . ''   Awards and nominations ( edit )       This section does not cite any sources . Please help improve this section by adding citations to reliable sources . Unsourced material may be challenged and removed . ( September 2014 ) ( Learn how and when to remove this template message )     1994 Casting Society of America ( Artios ) ( edit )    Won -- Best Mini Series Casting : Lynn Kressel    1994 Emmy Awards ( edit )    Won -- Outstanding Makeup For A Miniseries , Movie Or A Special : Steve Johnson , Bill Corso , David Dupuis , Joel Harlow , Camille Calvet   Won -- Outstanding Sound Mixing For A Miniseries or a Movie : Grand Maxwell , Michael Ruschak , Richard Schexnayder , Don Summer   Nominated -- Outstanding Art Direction For A Miniseries , Or Movie : Nelson Coates , Burton Rencher , Michael Perry , Susan Benjamin   Nominated -- Outstanding Cinematography For A Miniseries Or Movie : Edward J. Pei   Nominated -- Outstanding Miniseries : Richard P. Rubinstein , Stephen King , Mitchell Galin , Peter R. McIntosh   Nominated -- Outstanding Music Composition for a Miniseries , Movie or a Special ( Dramatic Underscore ) : W.G. Walden    1995 Screen Actors Guild Awards ( edit )    Nominated -- Outstanding Performance by a Male Actor in a Television Movie or Miniseries : Gary Sinise    See also ( edit )    State of nature    References ( edit )    ^ Jump up to : O'Connor , John J. ( May 6 , 1994 ) . `` TV Weekend ; A Plague and Its Effects '' . New York Times .   ^ Jump up to : Stephen King , Mick Garris ( 1999 ) . Stephen King 's The Stand ( DVD ) . Artisan .   Jump up ^ Michael Booth. `` 5 Points a star : Hollywood action invades Denver neighborhood '' , The Denver Post , August 27 , 1994 , page A1 .   Jump up ^ Dusty Saundes . `` Amendment 2 Drives Film 's Makers Away '' Rocky Mountain News , May 8 , 1994    External links ( edit )    The Stand on IMDb                Films directed by Mick Garris       Fuzzbucket ( 1986 )   Critters 2 : The Main Course ( 1988 )   Psycho IV : The Beginning ( 1990 )   Sleepwalkers ( 1992 )   The Stand ( 1994 )   The Shining ( 1997 )   Quicksilver Highway ( 1997 )   Virtual Obsession ( 1998 )   Lost in Oz ( 2002 )   Riding the Bullet ( 2004 )   Stephen King 's Desperation ( 2006 )   Stephen King 's Bag of Bones ( 2011 )   Nightmare Cinema ( 2018 )                 Stephen King       Bibliography   Short fiction   Unpublished and uncollected   Awards and nominations       Novels     Carrie ( 1974 )   ' Salem 's Lot ( 1975 )   The Shining ( 1977 )   The Stand ( 1978 )   The Dead Zone ( 1979 )   Firestarter ( 1980 )   Cujo ( 1981 )   Christine ( 1983 )   Pet Sematary ( 1983 )   Cycle of the Werewolf ( 1983 )   The Talisman ( 1984 )   It ( 1986 )   The Eyes of the Dragon ( 1987 )   Misery ( 1987 )   The Tommyknockers ( 1987 )   The Dark Half ( 1989 )   Needful Things ( 1991 )   Gerald 's Game ( 1992 )   Dolores Claiborne ( 1992 )   Insomnia ( 1994 )   Rose Madder ( 1995 )   The Green Mile ( 1996 )   Desperation ( 1996 )   Bag of Bones ( 1998 )   The Girl Who Loved Tom Gordon ( 1999 )   The Plant ( 2000 ; unfinished )   Dreamcatcher ( 2001 )   Black House ( 2001 )   From a Buick 8 ( 2002 )   The Colorado Kid ( 2005 )   Cell ( 2006 )   Lisey 's Story ( 2006 )   Duma Key ( 2008 )   Under the Dome ( 2009 )   11 / 22 / 63 ( 2011 )   Joyland ( 2013 )   Doctor Sleep ( 2013 )   Mr. Mercedes ( 2014 )   Revival ( 2014 )   Finders Keepers ( 2015 )   End of Watch ( 2016 )   Gwendy 's Button Box ( 2017 )   Sleeping Beauties ( 2017 )   The Outsider ( 2018 )   Elevation ( 2018 )      The Dark Tower series     The Gunslinger ( 1982 )   The Drawing of the Three ( 1987 )   The Waste Lands ( 1991 )   Wizard and Glass ( 1997 )   Wolves of the Calla ( 2003 )   Song of Susannah ( 2004 )   The Dark Tower ( 2004 )   The Wind Through the Keyhole ( 2012 )       Richard Bachman novels     Rage ( 1977 )   The Long Walk ( 1979 )   Roadwork ( 1981 )   The Running Man ( 1982 )   Thinner ( 1984 )   The Bachman Books ( 1985 )   The Regulators ( 1996 )   Blaze ( 2007 )          Short fiction collections     Night Shift ( 1978 )   Different Seasons ( 1982 )   Skeleton Crew ( 1985 )   Four past Midnight ( 1990 )   Nightmares &amp; Dreamscapes ( 1993 )   Hearts in Atlantis ( 1999 )   Everything 's Eventual ( 2002 )   Just After Sunset ( 2008 )   Full Dark , No Stars ( 2010 )   The Bazaar of Bad Dreams ( 2015 )       Non-fiction     Danse Macabre ( 1981 )   Nightmares in the Sky ( 1988 )   On Writing ( 2000 )   Secret Windows ( 2000 )   Faithful ( 2004 )   `` Guns '' ( 2013 )       Screenplays     Creepshow ( 1982 )   Cat 's Eye ( 1985 )   Silver Bullet ( 1985 )   Maximum Overdrive ( 1986 ; also director )   Pet Sematary ( 1989 )   Sleepwalkers ( 1992 )   A Good Marriage ( 2014 )   Cell ( 2016 )       Teleplays     `` Sorry , Right Number '' ( 1987 )   Golden Years ( 1991 )   The Stand ( 1994 )   The Shining ( 1997 )   `` Chinga '' ( 1998 )   Storm of the Century ( 1999 )   Rose Red ( 2002 )   Kingdom Hospital ( 2004 )   Desperation ( 2006 )   `` Heads Will Roll '' ( 2014 )       Comics     Heroes for Hope ( 1985 )   American Vampire ( 2010 )       Musical collaborations     Michael Jackson 's Ghosts ( 1997 )   Black Ribbons ( 2010 )   Ghost Brothers of Darkland County ( 2012 )       Anthologies edited     The Best American Short Stories 2007 ( 2007 )   Six Scary Stories ( 2016 )   Flight or Fright ( 2018 )       Worlds and concepts     Dollar Baby   Fictional books   Fictional locations in Maine   Castle Rock   Derry   Jerusalem 's Lot     Multiverse   All - World         Related articles     List of adaptations   Books about Stephen King   Rock Bottom Remainders   Philtrum Press   Six Stories   Stephen King Goes to the Movies   Charlie the Choo - Choo   Hearts in Suspension   Tabitha King ( wife )   Joe Hill ( son )   Owen King ( son )         Book                   Adaptations of works by Stephen King           Films       The Shining ( 1980 )   Cujo ( 1983 )   The Dead Zone ( 1983 )   Christine ( 1983 )   Cat 's Eye ( 1985 )   Silver Bullet ( 1985 )   The Running Man ( 1987 )   Tales from the Darkside : The Movie ( 1990 )   Graveyard Shift ( 1990 )   Misery ( 1990 )   Sleepwalkers ( 1992 )   Needful Things ( 1993 )   The Dark Half ( 1993 )   Dolores Claiborne ( 1995 )   Thinner ( 1996 )   The Night Flier ( 1997 )   The Green Mile ( 1999 )   Hearts in Atlantis ( 2001 )   Dreamcatcher ( 2003 )   Secret Window ( 2004 )   Riding the Bullet ( 2004 )   1408 ( 2007 )   The Mist ( 2007 )   Dolan 's Cadillac ( 2009 )   A Good Marriage ( 2014 )   Mercy ( 2014 )   Cell ( 2016 )   The Dark Tower ( 2017 )   Gerald 's Game ( 2017 )   1922 ( 2017 )             Carrie     Carrie ( 1976 )   The Rage : Carrie 2 ( 1999 )   Carrie ( 2002 )   Carrie ( 2013 )       Creepshow     Creepshow ( 1982 )   Creepshow 2 ( 1987 )   Creepshow 3 ( 2007 )       Children of the Corn     Disciples of the Crow ( 1983 )   Children of the Corn ( 1984 )   The Final Sacrifice ( 1992 )   Urban Harvest ( 1995 )   The Gathering ( 1996 )   Fields of Terror ( 1998 )   Isaac 's Return ( 1999 )   Revelation ( 2001 )   Children of the Corn ( 2009 )   Genesis ( 2011 )   Runaway ( 2018 )       Different Seasons     Stand by Me ( 1986 )   The Shawshank Redemption ( 1994 )   Apt Pupil ( 1998 )       Firestarter     Firestarter ( 1984 )   Rekindled ( 2002 )       Trucks     Maximum Overdrive ( 1986 )   Trucks ( 1997 )       Pet Sematary     Pet Sematary ( 1989 )   Pet Sematary Two ( 1992 )   Pet Sematary ( 2019 )       The Mangler     The Mangler ( 1995 )   The Mangler 2 ( 2002 )   Reborn ( 2005 )       The Lawnmower Man     The Lawnmower Man ( 1992 )   Beyond Cyberspace ( 1996 )       It     It ( 2017 )   It : Chapter Two ( 2019 )                   TV films , episodes , and miniseries       `` The Word Processor of the Gods '' ( 1984 )   `` Gramma '' ( 1986 )   `` Sorry , Right Number '' ( 1987 )   It ( 1990 )   Golden Years ( 1991 )   The Tommyknockers ( 1993 )   The Stand ( 1994 )   The Langoliers ( 1995 )   The Shining ( 1997 )   Quicksilver Highway ( 1997 )   `` The Revelations of ' Becka Paulson '' ( 1997 )   Storm of the Century ( 1999 )   Stephen King 's Desperation ( 2006 )   Nightmares &amp; Dreamscapes : From the Stories of Stephen King ( 2006 )   Bag of Bones ( 2011 )   Big Driver ( 2014 )             Salem 's Lot     Salem 's Lot ( 1979 )   A Return to Salem 's Lot ( 1987 )   Salem 's Lot ( 2004 )       Sometimes They Come Back     Sometimes They Come Back ( 1991 )   Sometimes They Come Back ... Again ( 1996 )   Sometimes They Come Back ... for More ( 1998 )       Rose Red     Rose Red ( 2002 )   The Diary of Ellen Rimbauer ( 2003 )             TV series       The Dead Zone ( 2002 -- 2007 )   Kingdom Hospital ( 2004 )   Haven ( 2010 -- 2015 )   Under the Dome ( 2013 -- 2015 )   11.22. 63 ( 2016 )   The Mist ( 2017 )   Mr. Mercedes ( 2017 -- present )   Castle Rock ( 2018 )             Operas       Dolores Claiborne ( 2013 )   The Shining ( 2016 )             Book    Retrieved from `` https://en.wikipedia.org/w/index.php?title=The_Stand_(miniseries)&amp;oldid=841242828 '' Categories :   1994 films   1994 horror films   1994 television films   1994 American television series debuts   1994 American television series endings   1990s American television miniseries   Horror television films   1990s science fiction films   American Broadcasting Company network shows   Biological weapons in popular culture   Demons in television   Demons in film   Films based on horror novels   Films about viral outbreaks   Films set in Arkansas   Films set in Colorado   Films set in the Las Vegas Valley   Films set in Maine   Films set in Nebraska   Films set in New York City   Films set in Texas   Post-apocalyptic films   Religious horror films   1990s road movies   American road movies   Screenplays by Stephen King   Television programs based on works by Stephen King   Television series by CBS Television Studios   Television series about viral outbreaks   Hidden categories :   Pages using infobox television with editor parameter   Articles with hAudio microformats   Music infoboxes with deprecated parameters   All articles with unsourced statements   Articles with unsourced statements from September 2014   Articles needing additional references from September 2014   All articles needing additional references           Talk                                           Contents                   About Wikipedia                                           Wikiquote       Deutsch   Español   Euskara   Français   Italiano   Norsk   Português   Română   Русский   Suomi   Svenska   Українська   </t>
    </r>
    <r>
      <rPr>
        <sz val="11"/>
        <color rgb="FF000000"/>
        <rFont val="Noto Sans CJK SC"/>
        <family val="2"/>
      </rPr>
      <t xml:space="preserve">中文  </t>
    </r>
    <r>
      <rPr>
        <sz val="11"/>
        <color rgb="FF000000"/>
        <rFont val="Calibri"/>
        <family val="0"/>
        <charset val="1"/>
      </rPr>
      <t xml:space="preserve">4 more  Edit links   This page was last edited on 14 May 2018 , at 18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</si>
  <si>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did rob lowe play in the stand</t>
  </si>
  <si>
    <t xml:space="preserve"> The townspeople are taken to a CDC facility in Vermont . All but Stu succumb to the superflu , which kills 99.4 % of the world 's population in two weeks . The scattered survivors include would - be rock star Larry Underwood ( Adam Storke ) ; deaf mute Nick Andros ( Rob Lowe ) ; Frannie Goldsmith ( Molly Ringwald ) and her unborn child from Jesse , her boyfriend prior to the plague ; her teenaged neighbor Harold Lauder ( Corin Nemec ) ; imprisoned criminal Lloyd Henreid ( Miguel Ferrer ) ; and `` Trashcan Man '' ( Matt Frewer ) , a mentally ill arsonist and scavenger . The survivors soon begin having visions , either from kindly Mother Abagail ( Ruby Dee ) or from the demonic Randall Flagg ( Jamey Sheridan ) . The two sets of survivors are instructed in dreams to either travel to Nebraska to meet Abagail , or to Las Vegas to join Flagg . </t>
  </si>
  <si>
    <t xml:space="preserve">Special district ( United States ) - wikipedia  Special district ( United States )  Jump to : navigation , search  Special districts ( also known as special service districts , special district governments , limited purpose entities , or special - purpose districts in the United States ) are independent , special - purpose governmental units that exist separately from local governments such as county , municipal , and township governments , with substantial administrative and fiscal independence . They are formed to perform a single function or a set of related functions . The term special district governments as defined by the U.S. Census Bureau excludes school districts . In 2007 , the U.S. had more than 39,000 special district governments .     Contents  ( hide )   1 Definition of `` Special District '' by the United States Census   2 Characteristics   2.1 Areas served   2.2 Governing body   2.3 Functions     3 Legal basis   3.1 English custom   3.2 State law   3.3 Public foundation   3.4 Civil office   3.5 Accountability     4 History   5 Trends   6 Examples   7 See also   8 References   9 Further reading   10 External links      Definition of `` special district '' by the United States Census ( edit )   The United States Census counts government units across all States . This includes `` special districts . '' To count the special districts the Census must define the special districts so as to address all such governmental entities across the broad spectrum of 50 states ' definitions and interpretations . The Census 's full definition is :   Special district governments are independent , special purpose governmental units , other than school district governments , that exist as separate entities with substantial administrative and fiscal independence from general purpose local governments . As defined for Census Bureau statistics on governments , the term ' ' special district governments ' ' excludes school district governments as they are defined as a separate governmental type .   Special district governments provide specific services that are not being supplied by existing general purpose governments . Most perform a single function , but in some instances , their enabling legislation allows them to provide several , usually related , types of services . The services provided by these districts range from such basic social needs as hospitals and fire protection , to the less conspicuous tasks of mosquito abatement and upkeep of cemeteries .   The Census Bureau classification of special district governments covers a wide variety of entities , most of which are officially called districts or authorities . Not all public agencies so termed , however , represent separate governments . Many entities that carry the designation ' ' district ' ' or ' ' authority ' ' are , by law , so closely related to county , municipal , town or township , or state governments that they are classified as subordinate agencies of those governments in Census Bureau statistics on governments , and are not counted as separate special district governments .   In order to be classified as a special district government , rather than as a subordinate agency , an entity must possess three attributes -- existence as an organized entity , governmental character , and substantial autonomy . Each state description also lists various statutory authorities , commissions , corporations , and other forms of organizations that have certain governmental characteristics , but are subject by law to administrative or fiscal control by the state or by independent local governments ; therefore , they are classified as subordinate agencies of those governments .   Characteristics ( edit )   Special districts serve limited areas and have governing boards that accomplish legislatively assigned functions using public funds .   Areas served ( edit )       This section does not cite any sources . Please help improve this section by adding citations to reliable sources . Unsourced material may be challenged and removed . ( July 2016 ) ( Learn how and when to remove this template message )         This section may not provide balanced geographical coverage on special districts in states other than New York . Please improve this article or discuss the issue on the talk page . ( July 2016 )       Special districts provide specialized services to persons living within the designated geographic area and may contract to provide services outside the area . Special districts often cross the lines of towns , villages , and hamlets but less frequently cross city or county lines . Increasingly , however , regional special districts are being created that may serve a large portion of a state or portions of more than one state .   Governing body ( edit )   Each district is governed by a board of directors , commissioners , board of supervisors , or the like . These boards may be appointed by public officials , appointed by private entities , popularly elected , or elected by benefited citizens ( typically , property owners ) . Sometimes , one or more public officials will serve as an ex officio member on the board .   The board of a special district serves primarily as a managing board and often appoints a chief executive for day - to - day operations and decision making and policy implementation . In the New England states , special districts are often run in the same town meeting fashion as other local governments . Most districts have employees , but some districts exist solely to raise funds by issuing bonds and / or by providing tax increment financing .   Functions ( edit )   Special districts perform many functions including airports , ports , highways , mass transit , parking facilities , fire protection , libraries , parks , cemeteries , hospitals , irrigation , conservation , sewerage , wastewater treatment , solid waste , fiber optic systems , stadiums , water supply , electric power , and natural gas utility .   Legal basis ( edit )   Originated from English custom , special districts are authorized by state law and must have public foundation , civil office , and public accountability .   English custom ( edit )   Special districts in the United States follow the English custom . The earliest known general law in England authorizing special purpose authorities was the Statute of Sewers of 1532 . Single purpose authorities created by individual charters also existed at the time . However , the early authorities were temporary and unconnected to local government structure . The first laws authorizing permanent authorities connected to local governments were the Incorporated Guardians of the Poor , which were created by special acts in the 17th century . Turnpike trusts were an early and popular special purpose authority in England . Internal drainage boards are current examples in parts of England and Wales .   State law ( edit )   Special districts in the United States are founded by some level of government in accordance with state law ( either constitutional amendment , general law , or special acts ) and exist in all states . Special districts are legally separate entities with at least some corporate powers . Districts are created by legislative action , court action , or public referendum . The procedures for creating a special district may include procedures such as petitions , hearings , voter or landowner approval , or government approval . Tribal governments may create special districts pursuant to state law and may serve on the boards of special districts .   Public foundation ( edit )   Special districts , like all public entities , have public foundation . The landmark case of the U.S. Supreme Court addressing public versus private charters was Dartmouth College v. Woodward in 1819 . Dartmouth established the fundamental differences between public and private organizations . Critically , a government must be founded by all of the people of a governmental area or by their governmental representatives .   Civil office ( edit )   Special districts possess some form of civil office , that is , the board has received a delegation of sovereign power from the state . Some boards may be appointed by only landowners . Private entities may appoint some or all of the members of a special district ; however , there must be evidence of civil office . In addition to special districts with privately appointed boards , a special district may have a privately founded board ; however , such a board could not be given the power to set a tax .   Accountability ( edit )   There is a citizen - government fiscal accountability relationship . To maintain accountability for special districts , states must maintain ultimate control ( the power to repeal the authorizing law at any time ) . Due to public foundation and , thus , ultimate control , the state can freely delegate sovereign power ( such as the power to tax ) to special districts and can allow them to act autonomously with little supervision .   History ( edit )   There is little information available on the earliest special districts in the United States . It is known that park districts existed in the 18th century . Toll road and canal corporations existed in the 19th century . The first general statute authorizing irrigation districts was adopted by California in 1887 . The U.S. Census Bureau began identifying and collecting data on special districts in 1942 .   Trends ( edit )   The state of Illinois leads the nation in the number of special districts with California close behind . State counts of their special districts may differ from the federal count because the states may have different definitions of a special district than the U.S. Census Bureau .   Examples ( edit )   All of the following examples have been found by the U.S. Census Bureau to be special districts . See the Census of Governments Government Organization publications at a depository library or visit https://www.census.gov and select Governments Division .    Alabama : Alabama Municipal Electric Authority ( special act )   Alaska : regional electrical authorities ( general law )   Arizona : drainage districts ( general law )   Arkansas : fire ant abatement districts ( general law )   California : Golden Gate Bridge , Highway and Transportation District   Colorado : ambulance districts ( general law )   Connecticut : Pomperaug Valley Water Authority ( special act )   Delaware : tax ditches ( general law )   Florida : Daytona Beach Racing and Recreational Facilities District ( special act ) ; Reedy Creek Improvement District , which includes the Walt Disney Resort and the cities of Bay Lake and Lake Buena Vista ( special act ) ; The Tohopekaliga Water Authority ( TWA , or Toho for short ) , which provides the majority of the public water , wastewater , and reclaimed water services for Osceola County and some small parts of Polk and Orange Counties ( special act )   Georgia : airport authorities ( special acts )   Hawaii : Office of Hawaiian Affairs ( constitutional amendment )   Idaho : auditorium districts ( general law )   Illinois : Chicago Transit Authority ( special act )   Indiana : Northwest Indiana Regional Development Authority ( special act )   Iowa : library districts ( joint or regional ) ( general law )   Kansas : industrial districts ( general law )   Kentucky : Louisville - Jefferson County Air Pollution Control District ( general law with special application )   Louisiana : Abbeville Film and Visitors Commission District ( special act )   Maine : cemetery districts ( special acts )   Maryland : water and sewer authorities ( general law )   Massachusetts : Goose Pond Maintenance District ( special act )   Michigan : recreation authorities ( general law )   Minnesota : Metropolitan Mosquito Control District ( special act )   Mississippi : lighting districts ( special acts )   Missouri : Jackson County Sports Complex Authority ( special act )   Montana : county rail authorities ( general law )   Nebraska : Omaha Metropolitan Utilities District ( general law with special application )   New Hampshire : housing authorities ( general law )   New Jersey : Port Authority of New York and New Jersey and New Jersey Turnpike Authority - 1948 law ( joint or regional ) ( general law )   New Mexico : cotton boll weevil control districts ( general law )   New York : Hyde Park Fire and Water District ( special act )   North Carolina : Research Triangle Regional Public Transit Authority ( special act )   North Dakota : vector control districts ( general law )   Ohio : new community authorities , special improvement districts , transportation improvement districts ( general law )   Oklahoma : public library systems ( general law )   Oregon : geothermal heating districts , port authorities - 1909 ( general law )   Pennsylvania : Philadelphia Regional Port Authority ( special act )   Rhode Island : East Providence Special Development District Commission ( special act )   South Carolina : Myrtle Beach Air Base Redevelopment Authority ( executive order )   South Dakota : television translator districts ( general law )   Tennessee : utility districts ( general law )   Texas : Palacios Seawall Commission ( special act )   Utah : irrigation districts ( general law )   Vermont : Vermont Public Power Supply Authority ( special act )   Virginia : Buchanan County Tourist Train Development Authority ( special act )   Washington : hydroelectric resources authorities ( general law )   West Virginia : Hatfield - McCoy Regional Recreation Authority ( special act )   Wisconsin : local professional baseball park districts ( general law )   Wyoming : resort districts ( general law )    See also ( edit )    District   FOCJ   Joint powers authority   Local government in the United States   Public - benefit corporation   Special districts in Illinois    References ( edit )    ^ Jump up to : U.S. Census Bureau ( 2002 ) . 2002 Census of Governments , Vol 1 , Number 1 , Government Organization , GC02 ( 1 ) - 1 ( PDF ) . Washington , DC : U.S. Government Printing Office . pp. vii -- viii .   Jump up ^ `` United States Census Bureau '' . census.gov . Archived from the original on 2012 - 02 - 24 .   Jump up ^ `` 2007 United States Census - Individual State Descriptions - Census of Government '' ( PDF ) . p. 6 . Retrieved 2017 - 06 - 22 .   Jump up ^ Mitzanry , K , &amp; Manatt , A. ( 2002 , February ). What 's so special about special districts ? A citizen 's guide to special districts in California . 3rd . ed. p. 2 .   Jump up ^ https://www.census.gov/prod/2004pubs/gc023x2.pdf   Jump up ^ https://www.census.gov/prod/2003pubs/gc021x1.pdf   Jump up ^ Burns , N. The formation of American local governments : Private values in public institutions . Oxford University Press , 1994 , p. 14 .   ^ Jump up to : Webb , S. ( 1922 ) . English local government : Statutory authorities for special purposes . p. 61 .   Jump up ^ Webb , S. ( 1922 ) . English local government : Statutory authorities for special purposes . p. 300 .   Jump up ^ Webb , S. ( 1922 ) . English local government : Statutory authorities for special purposes . p. 299 .   Jump up ^ Webb , S. ( 1922 ) . English local government : Statutory authorities for special purposes .   Jump up ^ U.S. Advisory Commission on Intergovernmental Relations . ( 1993 , March ) . State laws governing local government structure and administration . page 7 .   Jump up ^ Mitzanry , K , &amp; Manatt , A. ( 2002 , February ) What 's so special about special districts ? A citizen 's guide to special districts in California . 3rd . ed. p. 4 .   Jump up ^ U.S. Census Bureau ( 2002 ) . 2002 Census of Governments , Vol 1 , Number 1 , Government Organization , GC02 ( 1 ) - 1 ( PDF ) . Washington , DC : U.S. Government Printing Office . p. ix .   Jump up ^ 15A Am Jur 2d Colleges and Universities § 2   Jump up ^ 16B Am Jur 2d Constitutional Law § 723   Jump up ^ 4B M.J. CORPORATIONS § 26   ^ Jump up to : Newmyer , R.K. John Marshall and heroic age of the Supreme Court . Louisiana State University Press : Baton Rouge , 2001 , pp. 244 - 253 .   Jump up ^ Allen v. McKean , 1 F. Cas. 489 ( 1833 )   Jump up ^ Louisville v. University of Louisville , 54 Ky. 642 ( June 1855 )   Jump up ^ Ohio v. Neff , 52 Ohio St. 375 , 40 N.E. 720 ( 1895 )   Jump up ^ Currie , D.P. ( 1982 , Fall ) . The Constitution in the Supreme Court : State and Congressional powers , 1801 - 1835 . University of Chicago Law Review . 49 U. Chi . L. Rev. 887 .   Jump up ^ Opinion No. 84 - 134 , 1984 Okla . AG LEXIS 17   Jump up ^ Opinion No. 1007 , 1994 Minn . AG LEXIS 2   Jump up ^ Commissioner v. Shamberg 's Estate , 144 F. 2d 998 ( 1945 )   Jump up ^ Mitzanry , K , &amp; Manatt , A. ( 2002 , February ). What 's so special about special districts ? A citizen 's guide to special districts in California . 3rd . ed. p. 7 ( box ) .   Jump up ^ Burns , N. The formation of American local governments : Private values in public institutions . Oxford University Press , 1994 , p. 12 .   Jump up ^ Scholle v. Maryland 90 Md. 729 , 46 A. 736 ( 1900 )   Jump up ^ Marks v. Frantz , 179 Ky. 638 ( 1956 )   Jump up ^ Palm Beach County Health Care District v. Everglades Memorial Hospital 658 So . 2d 577 ( Fla. 1995 )   Jump up ^ Sharpless v. Mayor 21 Pa. 147 ( 1853 )   Jump up ^ Mead , D.M. ( Winter 2002 ) . The role of GASB 34 in the citizen - government accountability relationship . State and Local Government Review . Vol 34 , No. 1 51 - 63 .   Jump up ^ Hess V. Port Authority Trans - Hudson Corporation , 513 U.S. 30 , 115 S. Ct. 394 , 130 L. Ed . 2d 245 ( 1994 )   Jump up ^ Meriwether v. Garrett , 102 U.S. 472 , 26 L. Ed . 197 ( 1880 )   Jump up ^ Palm Beach County Health Care District v. Everglades Memorial Hospital , 658 So . 2d 577 ( Fla. 1995 )   Jump up ^ Hess v. Port Authority Trans - Hudson Corporation , 513 U.S. 30,115 S. Ct. 394 , 130 L. Ed . 2d 245 ( 1994 )   Jump up ^ Vogt v. Orleans Levee District , 294 F. 3d 684 ( 5th Cir. 2002 )   Jump up ^ Reynolds v. Sims , 377 U.S. 533 , 84 S. Ct. 136 , 12 L. Ed . 2d 506 ( 1964 )   ^ Jump up to : Advisory Commission on Intergovernmental Relations . ( 1964 , May ) . The problem special districts in American government . Washington , DC UNT Digital Library   Jump up ^ Bollens , J.C. ( 1957 ) . Special district government in the United States . University of California Press , pp. 142 - 144 .   Jump up ^ under construction   ^ Jump up to : U.S. Census Bureau 2012 Census of Governments Governments Organization   Jump up ^ `` Lawriter - ORC 1710 '' . ohio.gov .   Jump up ^ `` Lawriter - ORC 5540 '' . ohio.gov .    Further reading ( edit )    Friedman , L.M. A history of American law . ( 3rd ) . Simon &amp; Schuster : New York . 2005 .   Krane , D. , Rigos , P.N. , and Hill , M.B. Home rule in America : A fifty - state handbook . CQ Press . 2001 .   Mergent 's Municipal and Government Manual   Zimmerman , J.F. The New England town meeting . Greenwood Publishing Group . 1997 .    External links ( edit )    A Citizen 's Guide to Special Districts in California   California Special Districts Association   U.S. Census Bureau   U.S. Census Bureau / Governments Organization / Volume 1   Government Accounting Standards Board   2006 Government Finance and Employment Classification Manual , U.S. Census Bureau   2007 Governments Integrated Directory , U.S. Census Bureau   IRS tax - exempt bond information   Municipal Research and Services Center of Washington   Florida Department of Economic Opportunity , Special District Accountability Program   State and Local Government Review - current and past issues   Bloomberg News   Last Week Tonight with John Oliver : Special Districts ( HBO )   Retrieved from `` https://en.wikipedia.org/w/index.php?title=Special_district_(United_States)&amp;oldid=843118794 '' Categories :   Types of country subdivisions   Special administrative structures in the United States   Hidden categories :   All articles with failed verification   Articles with failed verification from January 2017   Articles needing additional references from July 2016   All articles needing additional references   Articles with limited geographic scope from July 2016   Articles with failed verification from March 2018           Talk                                           Contents                   About Wikipedia                                           Deutsch   Edit links   This page was last edited on 27 May 2018 , at 00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</si>
  <si>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local governments that provide a single service or a closely related set of services are</t>
  </si>
  <si>
    <t xml:space="preserve"> Special districts ( also known as special service districts , special district governments , limited purpose entities , or special - purpose districts in the United States ) are independent , special - purpose governmental units that exist separately from local governments such as county , municipal , and township governments , with substantial administrative and fiscal independence . They are formed to perform a single function or a set of related functions . The term special district governments as defined by the U.S. Census Bureau excludes school districts . In 2007 , the U.S. had more than 39,000 special district governments . </t>
  </si>
  <si>
    <t xml:space="preserve">Rift valley - wikipedia  Rift valley  Jump to : navigation , search Not to be confused with Rift zone . For other uses , see Rift valley ( disambiguation ) . African Rift Valley . From left to right : Lake Upemba , Lake Mweru , Lake Tanganyika ( largest ) , and Lake Rukwa . A rift valley near Quilotoa , Ecuador . The Ottawa - Bonnechere Graben Þingvallavatn  A rift valley is a linear - shaped lowland between several highlands or mountain ranges created by the action of a geologic rift or fault . A rift valley is formed on a divergent plate boundary , a crustal extension , a spreading apart of the surface , which is subsequently further deepened by the forces of erosion . When the tensional forces were strong enough to cause the plate to split apart , a center block dropped between the two blocks at its flanks , forming a graben . The drop of the center creates the nearly parallel steeply dipping walls of a rift valley when it is new . That feature is the beginning of the rift valley , but as the process continues , the valley widens , until it becomes a large basin that fills with sediment from the rift walls and the surrounding area . One of the best known examples of this process is the East African Rift . On Earth , rifts can occur at all elevations , from the sea floor to plateaus and mountain ranges in continental crust or in oceanic crust . They are often associated with a number of adjoining subsidiary or co-extensive valleys , which are typically considered part of the principal rift valley geologically .     Contents  ( hide )   1 Earth 's rift valleys   1.1 Rift valley lakes     2 Extraterrestrial rift valleys   3 References   4 Further reading      Earth 's rift valleys ( edit )   The most extensive rift valley is located along the crest of the mid-ocean ridge system and is the result of sea floor spreading . Examples of this type of rift include the Mid-Atlantic Ridge and the East Pacific Rise .   Many existing continental rift valleys are the result of a failed arm ( aulacogen ) of a triple junction , although there are two , the East African Rift and the Baikal Rift Zone , which are currently active , as well as a third which may be , the West Antarctic Rift . In these instances , not only the crust , but also entire tectonic plates , are in the process of breaking apart to create new plates . If they continue , continental rifts will eventually become oceanic rifts .   Other rift valleys are the result of bends or discontinuities in horizontally - moving ( strike - slip ) faults . When these bends or discontinuities are in the same direction as the relative motions along the fault , extension occurs . For example , for a right lateral - moving fault , a bend to the right will result in stretching and consequent subsidence in the area of the irregularity . In the view of many geologists today , the Dead Sea lies in a rift which results from a leftward discontinuity in the left lateral - moving Dead Sea Transform fault . Where a fault breaks into two strands , or two faults run close to each other , crustal extension may also occur between them , as a result of differences in their motions . Both types of fault - caused extension commonly occur on a small scale , producing such features as sag ponds or landslides .   Rift valley lakes ( edit )  Main article : Rift lake  Many of the world 's largest lakes are located in rift valleys . Lake Baikal in Siberia , a World Heritage Site , lies in an active rift valley . Baikal is both the deepest lake in the world and , with 20 % of all of the liquid freshwater on earth , has the greatest volume . Lake Tanganyika , second by both measures , is in the Albertine Rift , the westernmost arm of the active East African Rift . Lake Superior in North America , the largest freshwater lake by area , lies in the ancient and dormant Midcontinent Rift . The largest subglacial lake , Lake Vostok , may also lie in an ancient rift valley . Lake Nipissing and Lake Timiskaming in Ontario and Quebec , Canada lie inside a rift valley called the Ottawa - Bonnechere Graben . Þingvallavatn , Iceland 's largest natural lake , is also an example of a rift lake .   Extraterrestrial rift valleys ( edit )   Extraterrestrial rift valleys are also known to occur on other terrestrial planets and natural satellites . The 4,000 km long Valles Marineris on Mars is believed by planetary geologists to be a large rift system . Some features of Venus , most notably , the 4000 km Devana Chasma and a part of the western Eistla , and possibly also Alta and Bell Regio have been interpreted by some planetary geologists as a rift valleys . Some natural satellites also have prominent rift valleys . The 2,000 km long Ithaca Chasma on Tethys in the Saturn system is a prominent example . Charon 's Nostromo Chasma is the first confirmed in the Pluto system , however large chasms up to 950 km wide observed on the Charon have also been tentatively interpreted by some as giant rifts and similar formations have also been noted on Pluto . A recent study suggests a complex system of ancient lunar rift valleys including Vallis Rheita and Vallis Alpes . The Uranus system also has prominent examples , with large ' chasma ' believed to be giant rift valley systems , most notably the 1492 km long Messina Chasma on Titania , 622 km Kachina Chasmata on Ariel , Verona Rupes on Miranda , and Mommur Chasma on Oberon .   References ( edit )    Jump up ^ `` The Ethiopian Rift Valley '' . Giacomo Corti - CNR .   Jump up ^ `` The World 's Greatest Lakes '' . Archived from the original on 2006 - 11 - 27 . Retrieved 2007 - 01 - 07 .   Jump up ^ `` Lake Baikal -- World Heritage Site '' . World Heritage . Retrieved 2007 - 01 - 13 .   Jump up ^ `` The Oddities of Lake Baikal '' . Alaska Science Forum . Retrieved 2007 - 01 - 07 .   Jump up ^ Siegert , Martin J. ( 1999 ) . `` Antarctica 's Lake Vostok '' . American Scientist. 87 ( 6 ) : 510 . Bibcode : 1999AmSci ... 87 ... 510S . doi : 10.1511 / 1999.6. 510 . The best explanation is that Lake Vostok may lie in a rift valley , as does Lake Tanganyika in East Africa and Lake Baikal in Russia . The geography of Lake Vostok is indeed consistent with this notion , in that the lake has a crescent shape , just like Tanganyika and Baikal , and the side walls of the lake are relatively steep , at least on one side .   Jump up ^ John Grotzinger ... ( 2006 ) . Understanding Earth . New York : W.H. Freeman . ISBN 0 - 7167 - 7696 - 0 .   Jump up ^ Anderson , Scott ; Grimm , Robert E. ( 1998 ) . `` Rift processes at the Valles Marineris , Mars : Constraints from gravity on necking and rate - dependent strength evolution '' . Journal of Geophysical Research . 103 ( E5 ) : 11113 . Bibcode : 1998JGR ... 10311113A . doi : 10.1029 / 98JE00740 . ISSN 0148 - 0227 .   Jump up ^ Andrews - Hanna , Jeffrey C. ( 2012 ) . `` The formation of Valles Marineris : 3 . Trough formation through super-isostasy , stress , sedimentation , and subsidence '' . Journal of Geophysical Research . 117 ( E6 ) . Bibcode : 2012JGRE ... 117.6002 A . doi : 10.1029 / 2012JE004059 . ISSN 0148 - 0227 .   Jump up ^ Kiefer , W.S. ; Swafford , L.C. ( 2006 ) . `` Topographic Analysis Of Devana Chasma , Venus ; Implications For Rift System Segmentation And Propagation '' . Journal of Structural Geology. 28 ( 12 ) : 2144 -- 2155 . doi : 10.1016 / j. jsg. 2005.12. 002 .   Jump up ^ Senske , D.A. ; Schaber , G.G. ; Stofan , E.R. ( 1992 ) . `` Regional topographic rises on Venus : Geology of Western Eistla Regio and comparison to Beta Regio and Atla Regio '' . Journal of Geophysical Research . 97 ( E8 ) : 13395 . Bibcode : 1992JGR ... 9713395S . doi : 10.1029 / 92JE01167 . ISSN 0148 - 0227 .   Jump up ^ Solomon , Sean C. ; Smrekar , Suzanne E. ; Bindschadler , Duane L. ; Grimm , Robert E. ; Kaula , William M. ; McGill , George E. ; Phillips , Roger J. ; Saunders , R. Stephen ; Schubert , Gerald ; Squyres , Steven W. ; Stofan , Ellen R. ( 1992 ) . `` Venus tectonics : An overview of Magellan observations '' . Journal of Geophysical Research . 97 ( E8 ) : 13199 . Bibcode : 1992JGR ... 9713199S . doi : 10.1029 / 92JE01418 . ISSN 0148 - 0227 .   Jump up ^ Dunn , Marcia ( 16 July 2015 ) . `` ' Blowing my mind ' : Peaks on Pluto , canyons on Charon '' . PhysOrg .   Jump up ^ Andrews - Hanna , Jeffrey C. ; Besserer , Jonathan ; Head III , James W. ; Howett , Carly J.A. ; Kiefer , Walter S. ; Lucey , Paul J. ; McGovern , Patrick J. ; Melosh , H. Jay ; Neumann , Gregory A. ; Phillips , Roger J. ; Schenk , Paul M. ; Smith , David E. ; Solomon , Sean C. ; Zuber , Maria T. ( 2014 ) . `` Structure and evolution of the lunar Procellarum region as revealed by GRAIL gravity data '' . Nature . 514 ( 7520 ) : 68 -- 71 . doi : 10.1038 / nature13697 . ISSN 0028 - 0836 . PMID 25279919 .   Jump up ^ Chaikin , Andrew ( 2001 - 10 - 16 ) . `` Birth of Uranus ' provocative moon still puzzles scientists '' . space.com . Imaginova Corp. p. 1 . Archived from the original on July 9 , 2008 . Retrieved 2007 - 07 - 23 .   Jump up ^ Smith , B.A. ; Soderblom , L.A. ; Beebe , A. ; Bliss , D. ; Boyce , J.M. ; Brahic , A. ; Briggs , G.A. ; Brown , R.H. ; Collins , S.A. ( 4 July 1986 ) . `` Voyager 2 in the Uranian System : Imaging Science Results '' . Science . 233 ( 4759 ) : 43 -- 64 . Bibcode : 1986Sci ... 233 ... 43S . doi : 10.1126 / science. 233.4759. 43 . PMID 17812889 .    Further reading ( edit )    Bonatti , E ( 1985 ) . `` Punctiform initiation of seafloor spreading in the Red Sea during transition from a continental to an oceanic rift '' . Nature . 316 : 33 -- 37 . doi : 10.1038 / 316033a0 .   Mart , Y. ; Dauteuil , O. ( 2000 ) . `` Analogue experiments of propagation of oblique rifts '' . Tectonophysics. 316 : 121 -- 132 . doi : 10.1016 / s0040 - 1951 ( 99 ) 00231 - 0 .   Retrieved from `` https://en.wikipedia.org/w/index.php?title=Rift_valley&amp;oldid=831813856 '' Categories :   Rifts and grabens   Tectonic landforms           Talk                                           Contents                   About Wikipedia                                                   Azərbaycanca   Eesti   Euskara   فارسی   Français   Gaeilge   हिन्दी   Italiano   עברית   Kiswahili   Bahasa Melayu   Nederlands   Norsk   Polski   Slovenščina   Svenska   ไทย   Українська   Vèneto   Tiếng Việt  12 more  Edit links   This page was last edited on 22 March 2018 , at 09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</si>
  <si>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a rift valley is evidence of which kind of plate boundary</t>
  </si>
  <si>
    <t xml:space="preserve"> A rift valley is a linear - shaped lowland between several highlands or mountain ranges created by the action of a geologic rift or fault . A rift valley is formed on a divergent plate boundary , a crustal extension , a spreading apart of the surface , which is subsequently further deepened by the forces of erosion . When the tensional forces were strong enough to cause the plate to split apart , a center block dropped between the two blocks at its flanks , forming a graben . The drop of the center creates the nearly parallel steeply dipping walls of a rift valley when it is new . That feature is the beginning of the rift valley , but as the process continues , the valley widens , until it becomes a large basin that fills with sediment from the rift walls and the surrounding area . One of the best known examples of this process is the East African Rift . On Earth , rifts can occur at all elevations , from the sea floor to plateaus and mountain ranges in continental crust or in oceanic crust . They are often associated with a number of adjoining subsidiary or co-extensive valleys , which are typically considered part of the principal rift valley geologically . </t>
  </si>
  <si>
    <t xml:space="preserve">Merlot - Wikipedia  Merlot  Jump to : navigation , search For other uses , see Merlot ( disambiguation ) .    Merlot     Grape ( Vitis )     Merlot grapes on the vine     Color of berry skin   Black     Also called   Picard , Langon     Notable regions   Bordeaux , Long Island , Napa Valley , Sonoma County , Chilean Central Valley , Australia and Hungary     Notable wines   Saint - Émilion , Pomerol     Ideal soil   Clay     Wine characteristics     General   Medium tannins     Cool climate   Strawberry , red berry , plum , cedar , tobacco     Medium climate   Blackberry , black plum , black cherry     Hot climate   Fruitcake , chocolate     Merlot is a dark blue - colored wine grape variety , that is used as both a blending grape and for varietal wines . The name Merlot is thought to be a diminutive of merle , the French name for the blackbird , probably a reference to the color of the grape . Its softness and `` fleshiness '' , combined with its earlier ripening , makes Merlot a popular grape for blending with the sterner , later - ripening Cabernet Sauvignon , which tends to be higher in tannin .   Along with Cabernet Sauvignon , Cabernet Franc , Malbec and Petit Verdot , Merlot is one of the primary grapes used in Bordeaux wine , and it is the most widely planted grape in the Bordeaux wine regions . Merlot is also one of the most popular red wine varietals in many markets . This flexibility has helped to make it one of the world 's most planted grape varieties . As of 2004 , Merlot was estimated to be the third most grown variety at 260,000 hectares ( 640,000 acres ) globally , with an increasing trend . This puts Merlot just behind Cabernet Sauvignon 's 262,000 hectares ( 650,000 acres ) .   While Merlot is made across the globe , there tends to be two main styles . The `` International style '' favored by many New World wine regions tends to emphasize late harvesting to gain physiological ripeness and produce inky , purple colored wines that are full in body with high alcohol and lush , velvety tannins with intense , plum and blackberry fruit . While this international style is practiced by many Bordeaux wine producers , the traditional `` Bordeaux style '' of Merlot involves harvesting Merlot earlier to maintain acidity and producing more medium - bodied wines with moderate alcohol levels that have fresh , red fruit flavors ( raspberries , strawberries ) and potentially leafy , vegetal notes .     Contents  ( hide )   1 History and name   1.1 Parentage and relationship to other grapes     2 Viticulture   3 Wine regions   3.1 France   3.2 Italy   3.3 Spain and Portugal   3.4 Central Europe   3.5 Rest of Europe   3.6 United States   3.6. 1 California   3.6. 2 Washington State     3.7 Canada   3.8 Mexico   3.9 South America   3.10 Oceania , South Africa and Asia     4 Wines   4.1 White Merlot     5 Food pairing   6 Synonyms   7 See also   8 References   9 External links      History and name ( edit )  A main and attached `` wing cluster '' of Merlot grapes with its characteristic dark - blue color .  The earliest recorded mention of Merlot ( under the synonym of Merlau ) was in the notes of a local Bordeaux official who in 1784 labeled wine made from the grape in the Libournais region as one of the area 's best . In 1824 , the word Merlot itself appeared in an article on Médoc wine where it was described that the grape was named after the local black bird ( called merlau in the local variant of Occitan language , mèrle in standard ) who liked eating the ripe grapes on the vine . Other descriptions of the grape from the 19th century called the variety lou seme doù flube ( meaning `` the seedling from the river '' ) with the grape thought to have originated on one of the islands found along the Garonne river .   By the 19th century it was being regularly planted in the Médoc on the `` Left Bank '' of the Gironde . After a series of setbacks that includes a severe frost in 1956 and several vintages in the 1960s lost to rot , French authorities in Bordeaux banned new plantings of Merlot vines between 1970 and 1975 .   It was first recorded in Italy around Venice under the synonym Bordò in 1855 . The grape was introduced to the Swiss , from Bordeaux , sometime in the 19th century and was recorded in the Swiss canton of Ticino between 1905 and 1910 . In the 1990s , Merlot saw an upswing of popularity in the United States . Red wine consumption , in general , increased in the US following the airing of the 60 Minutes report on the French Paradox and the potential health benefits of wine and , possibly , the chemical resveratrol . The popularity of Merlot stemmed in part from the relative ease in pronouncing the name of the wine as well as its softer , fruity profile that made it more approachable to some wine drinkers .   Parentage and relationship to other grapes ( edit )  Cabernet Franc , one of the parent varieties of Merlot .  In the late 1990s , researchers at University of California , Davis showed that Merlot is an offspring of Cabernet Franc and is a half - sibling of Carménère , Malbec and Cabernet Sauvignon . The identity of the second parent of Merlot would n't be discovered till the late 2000s when an obscure and unnamed variety , first sampled in 1996 from vines growing in an abandoned vineyard in Saint - Suliac in Brittany , was shown by DNA analysis to be the mother of Merlot .   This grape , later discovered in front of houses as a decorative vine in the villages of Figers , Mainxe , Saint - Savinien and Tanzac in the Poitou - Charentes was colloquially known as Madeleina or Raisin de La Madeleine due to its propensity to be fully ripe and ready for harvest around the July 22nd feast day of Mary Magdalene . As the connection to Merlot became known , the grape was formally registered under the name Magdeleine Noire des Charentes . Through its relationship with Magdeleine Noire des Charentes Merlot is related to the Southwest France wine grape Abouriou , though the exact nature of that relationship ( with Abouriou potentially being either a parent of Magdeleine Noire or an offspring ) is not yet known .   Grape breeders have used Merlot crossed with other grapes to create several new varieties including Carmine ( an Olmo grape made by crossing a Carignan x Cabernet Sauvignon cross with Merlot ) , Ederena ( with Abouriou ) , Evmolpia ( with Mavrud ) , Fertilia ( with Raboso Veronese ) , Mamaia ( a Romanian wine grape made by crossing a Muscat Ottonel x Babeasca negra cross with Merlot ) , Nigra ( with Barbera ) , Prodest ( with Barbera ) and Rebo ( with Teroldego ) .   Over the years , Merlot has spawned a color mutation that is used commercially , a pink - skinned variety known as Merlot gris . However , unlike the relationship between Grenache noir and Grenache blanc or Pinot noir and Pinot blanc , the variety known as Merlot blanc is not a color mutation but rather an offspring variety of Merlot crossing with Folle blanche .   Viticulture ( edit )       The image caption in this section requires cleanup to comply with Wikipedia guidelines for trivial wording . See Wikipedia 's picture tutorial and image help pages -- review policy on image use and check the talk page -- visit the Graphics Lab and improve this article if you can . ( June 2017 )    Merlot leaf  Merlot grapes are identified by their loose bunches of large berries . The color has less of a blue / black hue than Cabernet Sauvignon grapes and with a thinner skin and fewer tannins per unit volume . It normally ripens up to two weeks earlier than Cabernet Sauvignon . Also compared to Cabernet , Merlot grapes tend to have a higher sugar content and lower malic acid . Ampelographer J.M. Boursiquot has noted that Merlot has seemed to inherit some of the best characteristics from its parent varieties -- its fertility and easy ripening ability from Magdeleine Noire des Charentes and its color , tannin and flavor phenolic potential from Cabernet Franc .   Merlot thrives in cold soil , particularly ferrous clay . The vine tends to bud early which gives it some risk to cold frost and its thinner skin increases its susceptibility to the viticultural hazard of Botrytis bunch rot . If bad weather occurs during flowering , the Merlot vine is prone to develop coulure . The vine can also be susceptible to downy mildew ( though it has better resistance to powdery mildew than other Bordeaux varieties ) and to infection by leafhopper insect varieties .   Water stress is important to the vine with it thriving in well drained soil more so than at base of a slope . Pruning is a major component to the quality of the wine that is produced with some producing believing it is best to prune the vine `` short '' ( cutting back to only a few buds ) . Wine consultant Michel Rolland is a major proponent of reducing the yields of Merlot grapes to improve quality . The age of the vine is also important , with older vines contributing character to the resulting wine .   A characteristic of the Merlot grape is the propensity to quickly overripen once it hits its initial ripeness level , sometimes in a matter of a few days . There are two schools of thought on the right time to harvest Merlot . The wine makers of Château Pétrus favor early picking to best maintain the wine 's acidity and finesse as well as its potential for aging . Others , such as Rolland , favor late picking and the added fruit body that comes with a little bit of over-ripeness .   Wine regions ( edit )   Merlot is one of the world 's most widely planted grape variety with plantings of the vine outpacing even the more well - known Cabernet Sauvignon in many regions , including the grape 's homeland of France . Here , France is home to nearly two thirds of the world 's total plantings of Merlot . Beyond France it is also grown in Italy ( where it is the country 's 5th most planted grape ) , Algeria , California , Romania , Australia , Argentina , Bulgaria , Canada , Chile , Greece , New Zealand , South Africa , Switzerland , Croatia , Hungary , Montenegro , Slovenia , Mexico and other parts of the United States such as Washington , Virginia and Long Island . It grows in many regions that also grow Cabernet Sauvignon but tends to be cultivated in the cooler portions of those areas . In areas that are too warm , Merlot will ripen too early .   In places like Israel , Merlot is the second most widely planted grape variety after Cabernet Sauvignon with 1,000 hectares ( 2,500 acres ) in cultivation , making very `` New World - style '' wines . The grape can also be found in Turkey with 429 hectares ( 1,060 acres ) in 2010 as well as Malta and Cyprus .   France ( edit )  Vineyards and winery exterior of Château Pétrus  Merlot is the most commonly grown grape variety in France . In 2004 , total French plantations stood at 115,000 hectares ( 280,000 acres ) . By 2009 , that number had risen slightly to 115,746 hectares ( 286,010 acres ) . It is most prominent in Southwest France in regions like Bordeaux , Bergerac and Cahors where it is often blended with Malbec . The largest recent increase in Merlot plantations has occurred in the south of France , such as Languedoc - Roussillon , where it is often made under the designation of Vin de Pays wine . Here , Merlot accounted for 29,914 hectares ( 73,920 acres ) , more than doubling the 11,000 hectares ( 27,000 acres ) devoted to Cabernet Sauvignon in the Languedoc .  Berries of Merlot being sorted at Chateau Kirwan in a process that removes shot berries and MOG .  In the traditional Bordeaux blend , Merlot 's role is to add body and softness . Despite accounting for 50 - 60 % of overall plantings in Bordeaux , the grape tends to account for an average of 25 % of the blends -- especially in the Bordeaux wine regions of Graves and Médoc . Of these Left Bank regions , the commune of St - Estephe uses the highest percentage of Merlot in the blends . However , Merlot is much more prominent on the Right Bank of the Gironde in the regions of Pomerol and Saint - Émilion , where it will commonly comprise the majority of the blend . One of the most famous and rare wines in the world , Château Pétrus , is almost all Merlot . In Pomerol , where Merlot usually accounts for around 80 % of the blend , the iron - clay soils of the region give Merlot more of a tannic backbone than what is found in other Bordeaux regions . It was in Pomerol that the garagistes movement began with small - scale production of highly sought after Merlot - based wines . In the sandy , clay - limestone - based soils of Saint - Émilion , Merlot accounts for around 60 % of the blend and is usually blended with Cabernet Franc . In limestone , Merlot tends to develop more perfume notes while in sandy soils the wines are generally softer than Merlot grown in clay dominant soils .   Merlot can also be found in significant quantities in Provence , Loire Valley , Savoie , Ardèche , Charente , Corrèze , Drôme , Isère and Vienne .   Italy ( edit )   In Italy , there were 25,614 hectares ( 63,290 acres ) of the grape planted in 2000 with more than two - thirds of Italian Merlot being used in Indicazione geografica tipica ( IGT ) blends ( such as the so - called `` Super Tuscans '' ) versus being used in classified Denominazione di origine controllata ( DOC ) or Denominazione di Origine Controllata e Garantita ( DOCG ) wines . A large portion of Merlot is planted in the Friuli wine region where it is made as a varietal or sometimes blended with Cabernet Sauvignon or Cabernet Franc . In other parts of Italy , such as the Maremma coast in Tuscany , it is often blended with Sangiovese to give the wine a similar softening effect as the Bordeaux blends .   Italian Merlots are often characterized by their light bodies and herbal notes . Merlot 's low acidity serves as a balance for the higher acidity in many Italian wine grapes with the grape often being used in blends in the Veneto , Alto Adige and Umbria . Global warming is potentially having an influence on Italian Merlot as more cooler - climate regions in northern Italy are being able to ripen the grape successfully while other regions already planted are encountering issues with over-ripeness .   According to Master of Wine Jancis Robinson , some of the higher quality Italian Merlots are often from vineyards planted with cuttings sourced from France . Robinson describes the style of Fruili Merlots from regarded estates as having potentially a `` Pomerol - quality '' to them while Merlots from the warm plains of the Veneto can often be over-ripe with high yields giving them a `` sweet and sour '' quality . Robinson notes that the Merlots from Trentino - Alto - Adige can fall somewhere between those of Friuli and the Veneto .   The Strada del Merlot is a popular tourist route through Italian Merlot regions along the Isonzo river .   Spain and Portugal ( edit )   In the hot continental climate of many of Spain 's major wine region , Merlot is less valued than it is in the damp maritime climate of Bordeaux or the warm Mediterranean climate of the Tuscan coast . But as the popularity of international varieties continue to grow on the world wine market , Spanish wine producers have been experimenting with the variety with even winemakers in Rioja petitioning authorities to allow Merlot to be a permitted grape to be blended with Tempranillo in the red wines of the region .   In 2008 , there were 13,325 hectares ( 32,930 acres ) of Merlot , a significant increase from the 8,700 hectares ( 21,000 acres ) that were being cultivated in the country only 4 years earlier . The largest concentration of the grape is in the Mediterranean climate of Catalunya with 3,360 hectares ( 8,300 acres ) in 2008 with the grape also showing some potential in the cooler - climate wine region of Conca de Barberà in Tarragona .   In Costers del Segre , the grape is often used in Bordeaux - style blend while in Aragon ( with 2,218 hectares ( 5,480 acres ) in 2008 ) , Navarra ( 2,450 hectares ( 6,100 acres ) in 2008 ) and Castilla - La Mancha ( 2,894 hectares ( 7,150 acres ) ) sometimes blending with Tempranillo and other local Spanish wine grape varieties . Spain 's neighbor on the Iberian peninsula , Portugal , has only a very limited amount of Merlot compared to the abundance of native Portuguese grape varieties with 556 hectares ( 1,370 acres ) planted in 2010 , mostly in the Portuguese wine regions along the Tagus river .   Central europe ( edit )   In Germany , there were 450 hectares ( 1,100 acres ) of Merlot growing in 2008 with the grape mostly planted in the warmer German wine regions of the Palatinate and Rheinhessen .   In Switzerland , Merlot accounts for nearly 85 % of the wine production in Ticino where it is often made in a pale `` white Merlot '' style . In 2009 , there were 1,028 hectares ( 2,540 acres ) plantings of Swiss Merlot .   Plantings of Merlot have increased in recent years in the Austrian wine region of Burgenland where vineyards previously growing Welschriesling are being uprooted to make room for more plantings . The grape still lags behind its parent variety , Cabernet Franc , with 112 hectares ( 280 acres ) in cultivation in 2008 . Outside of Burgenland , nearly half of all Austrian Merlot plantings are found in Lower Austria .   Rest of europe ( edit )   In the Eastern European countries of Bulgaria , Moldova , Croatia and Romania , Merlot is often produced as a full bodied wine that can be very similar to Cabernet Sauvignon . In Bulgaria , plantings of Merlot lag slightly behind Cabernet Sauvignon with 15,202 hectares ( 37,560 acres ) in 2009 while Croatia had 1,105 hectares ( 2,730 acres ) . In the Czech Republic , most of the country 's 87 hectares ( 210 acres ) were found in Moravia while Moldova had 8,123 hectares ( 20,070 acres ) in 2009 .   In Slovenia , Merlot was the most widely planted grape variety of any color in the Vipava Valley in the Slovene Littoral and the second most widely planted variety in the Gorizia Hills located across the Italian border from Friuli . In the Slovene Littoral , collectively , Merlot accounts for around 15 % of total vineyard plantings with 1,019 hectares ( 2,520 acres ) of Merlot in cultivation across Slovenia in 2009 .   In Hungary , Merlot complements Kékfrankos , Kékoportó and Kadarka as a component in Bull 's Blood . It is also made into varietal wine known as Egri Médoc Noir which is noted for its balanced acid levels and sweet taste . In 2009 , there were 1,791 hectares ( 4,430 acres ) of Merlot planted across Hungary . Most of these hectares can be found in the wine regions of Szekszárd and Villány on the warm Pannonian Basin with significant plantings also found in Kunság , Eger and Balaton .   In Romania , Merlot is the most widely exported red wine grape variety with 10,782 hectares ( 26,640 acres ) in cultivation in 2008 . Most of these plantings are found along the Black Sea in Dobruja , further inland in the Muntenia region of Dealu Mare and in the western Romanian wine region of Drăgășani . Here the grape is often made a varietal but is sometimes blended with other international varieties such as Cabernet Sauvignon and with local grape varieties such as Fetească neagră .   In 2009 , Ukraine had 2,820 hectares ( 7,000 acres ) of Merlot in cultivation .   Russia had 1,588 hectares ( 3,920 acres ) .   In Greece , Merlot is one of the top six grape varieties planted in the eastern wine regions of Macedonia ( 86 hectares ( 210 acres ) ) and Western Thrace ( 243 hectares ( 600 acres ) ) . In central Greece , there were 74 hectares ( 180 acres ) of Merlot in cultivation as of 2012 .   United States ( edit )   Merlot is grown across the United States with California and Washington growing the most . Other regions producing significant quantities of Merlot include New York State with 365 hectares ( 900 acres ) in 2006 with most of it in the maritime climate of the Long Island AVA and mulitple regions in Ohio . In Texas , Merlot is the second most widely planted red wine grape after Cabernet Sauvignon with 117 hectares ( 290 acres ) . In Virginia , the grape was the widely most widely planted red variety with 136 hectares ( 340 acres ) in 2010 , most of it in the Monticello AVA and Shenandoah Valley AVA , while Oregon had 206 hectares ( 510 acres ) in 2008 with most planted in the Rogue Valley AVA .  California ( edit ) The style of Merlot in California can vary with the grape being found all across the state in both warmer and cooler climate regions . While regional examples of California Merlot exist from places like Napa Valley and Sonoma , many bottles are labeled simply as California Merlot .  In the early history of California wine , Merlot was used primarily as a 100 % varietal wine until winemaker Warren Winiarski encouraged taking the grape back to its blending roots with Bordeaux style blends . Following the `` Merlot wine craze '' of the 1990s sparked by 60 Minutes French Paradox report , sales of Merlot spiked with the grape hitting its peak plantings of over 20,640 hectares ( 51,000 acres ) in 2004 . The 2004 movie Sideways , where the lead character is a Pinot noir fan who expresses his disdain of Merlot , has been connected with declining Merlot sales in the US after its release ( and an even larger spike of interest in Pinot noir ) . By 2010 , plantings of California Merlot had dropped slightly to 18,924 hectares ( 46,760 acres ) .   In California , Merlot can range from very fruity simple wines ( sometimes referred to by critics as a `` red Chardonnay '' ) to more serious , barrel aged examples . It can also be used as a primary component in Meritage blends .   While Merlot is grown throughout the state , it is particularly prominent in Napa , Monterey and Sonoma County . In Napa , examples from Los Carneros , Mount Veeder , Oakville and Rutherford tend to show ripe blackberry and black raspberry notes . Sonoma Merlots from Alexander Valley , Carneros and Dry Creek Valley tend to show plum , tea leaf and black cherry notes .  Washington state ( edit )  In the 1980s , Merlot helped put the Washington wine industry on the world 's wine map . Prior to this period there was a general perception that the climate of Washington State was too cold to produce red wine varietals . Merlots from Leonetti Cellar , Andrew Will , Columbia Crest and Chateau Ste . Michelle demonstrated that areas of the Eastern Washington were warm enough for red wine production . Today it is the second most widely grown red wine grape in the state ( after Cabernet Sauvignon ) , following many years of being the most widely planted variety , and accounts for nearly one fifth of the state 's entire production . In 2011 , there were 3,334 hectares ( 8,240 acres ) of Washington Merlot in cultivation .  Washington Merlots from the Columbia Valley are often noted for their deep color .  It is widely planted throughout the Columbia Valley AVA but has earned particular notice from plantings grown in Walla Walla , Red Mountain and the Horse Heaven Hills . Washington Merlots are noted for their deep color and balanced acidity . The state 's climate lends itself towards long days and hours of sunshine with cool nights that contributes to a significant diurnal temperature variation and produces wines with New World fruitiness and Old World structure .   Canada ( edit )   In Canada , Merlot can be found across the country from Ontario , where there were 498 hectares ( 1,230 acres ) of the grape in 2008 , to British Columbia , where the grape is the most widely planted wine grape variety of either color at 641 hectares ( 1,580 acres ) . Here Merlot accounts for almost a third of all red wine grape plantings and is used for both varietal and Bordeaux - style blends .   Mexico ( edit )   In Mexico , Merlot is cultivated primarily in the Valle de Guadalupe of Baja California , the country 's main wine - producing area . Plantings have increased substantially since the 1980s , and cultivation has spread into the nearby areas of Ojos Negros and Santo Tomás . The grape can also be found in the north eastern Mexican wine region of Coahuila , across the border from Texas .   South america ( edit )   In Chile , Merlot thrives in the Apalta region of Colchagua Province . It is also grown in significant quantities in Curicó , Casablanca and the Maipo Valley . Until the early 1990s , the Chilean wine industry mistakenly sold a large quantity of wine made from the Carménère grape as Merlot . Following the discovery that many Chilean vineyards thought to be planted with Sauvignon blanc was actually Sauvignonasse , the owners of the Chilean winery Domaine Paul Bruno ( who previously worked with Château Margaux and Château Cos d'Estournel ) invited ampelographers to comb through their vineyards to make sure that their wines were properly identified . Genetic studies discovered that much of what had been grown as Merlot was actually Carménère , an old French variety that had gone largely extinct in France due to its poor resistance to phylloxera . While the vines , leaves and grapes look very similar , both grapes produce wines with distinct characteristics -- Carménère being more strongly flavored with green pepper notes and Merlot having softer fruit with chocolate notes .   Today , `` true '' Merlot is the third most widely planted grape variety in Chile after Cabernet Sauvignon and Listán Prieto with 13,280 hectares ( 32,800 acres ) in 2009 . Most of these planting are in the Central Valley with Colchagua leading the way with 3,359 hectares ( 8,300 acres ) followed by Maule Valley with 3,019 hectares ( 7,460 acres ) and Curicó with 2,911 hectares ( 7,190 acres ) .   In Argentina , Merlot plantings have been increasing in the Mendoza region with the grape showing an affinity to the Tupungato region of the Uco Valley . Argentine Merlots grown in the higher elevations of Tunpungato have shown a balance of ripe fruit , tannic structure and acidity . The grape is not as widely planted here due to the natural fruity and fleshiness of the popular Malbec and Douce noir / Bonarda grapes that often do n't need to be `` mellowed '' by Merlot as Cabernet Sauvignon and Cabernet Franc may benefit from . In 2008 , there were 7,142 hectares ( 17,650 acres ) of Merlot growing in Argentina , most of it in the Mendoza region and in the San Juan Province .   In Uruguay , Merlot is often blended with Tannat and is the 2nd most widely planted red grape variety , representing around 10 % of total vineyard plantings . More widely planted than Cabernet Sauvignon , there were 853 hectares ( 2,110 acres ) of the grape in cultivation in 2009 . Brazil is home to 1,089 hectares ( 2,690 acres ) of Merlot ( as of 2007 ) with most of them in the Rio Grande do Sul region that is across the border with Uruguay . Other South American wine regions growing Merlot include Bolivia with 30 hectares ( 74 acres ) as of 2012 and Peru .   Oceania , South Africa and Asia ( edit )   In New Zealand , plantings of Merlot have increased in the Hawke 's Bay region , particularly in Gimblett Gravels where the grape has shown the ability to produce Bordeaux - style wine . The grape has been growing in favor among New Zealand producers due to its ability to ripen better , with less green flavors , than Cabernet Sauvignon . Other regions with significant plantings include Auckland , Marlborough and Martinborough . In 2008 , Merlot was the second most widely red grape variety ( after Pinot noir ) in New Zealand and accounted for nearly 5 % of all the country 's plantings with 1,363 hectares ( 3,370 acres ) in cultivation .   In Australia , some vineyards labeled as `` Merlot '' were discovered to actually be Cabernet Franc . Merlot vines can also be found growing in the Barossa Valley , McLaren Vale and Wrattonbully in South Australia . In 2008 , it was the third most widely planted red grape variety after Syrah and Cabernet Sauvignon with 10,537 hectares ( 26,040 acres ) . As in California , the global `` Merlot craze '' spurred an increase of plantings , most of it in the warm , irrigated regions of Murray Darling , Riverina and Riverland where the grape variety could be mass - produced . Recent plantings , such as those in the Margaret River area of Western Australia have been focusing on making more Bordeaux - style blends .   In South Africa , plantings of Merlot have focused on cooler sites within the Paarl and Stellenbosch regions . Here the grape is the third most widely planted red grape variety , accounting for nearly 15 % of all red wine grape plantings , with 6,614 hectares ( 16,340 acres ) of Merlot in cultivation in 2008 . The majority of these plantings are found in the Stellenbosch region with 2,105 hectares ( 5,200 acres ) and Paarl with 1,289 hectares ( 3,190 acres ) . According to wine expert Jancis Robinson , South African Merlot tend to be made as a varietal in a `` chocolately , glossy California style '' .   In Asia , Merlot is planted in emerging wine regions in India . It can also be found in Japan with 816 hectares ( 2,020 acres ) in 2009 and in China with 3,204 hectares ( 7,920 acres ) .   Wines ( edit )   As a varietal wine , Merlot can make soft , velvety wines with plum flavors . While Merlot wines tend to mature faster than Cabernet Sauvignon , some examples can continue to develop in the bottle for decades . There are three main styles of Merlot -- a soft , fruity , smooth wine with very little tannins , a fruity wine with more tannic structure and , finally , a brawny , highly tannic style made in the profile of Cabernet Sauvignon . Some of the fruit notes commonly associated with Merlot include cassis , black and red cherries , blackberry , blueberry , boysenberry , mulberry , ollalieberry and plum . Vegetable and earthy notes include black and green olives , cola nut , bell pepper , fennel , humus , leather , mushrooms , rhubarb and tobacco . Floral and herbal notes commonly associated with Merlot include green and black tea , eucalyptus , laurel , mint , oregano , pine , rosemary , sage , sarsaparilla and thyme . When Merlot has spent significant time in oak , the wine may show notes of caramel , chocolate , coconut , coffee bean , dill weed , mocha , molasses , smoke , vanilla and walnut .   White Merlot ( edit )   White Merlot is made the same way as White Zinfandel . The grapes are crushed , and after very brief skin contact , the resulting pink juice is run off the must and is then fermented . It normally has a hint of raspberry . White Merlot was reputedly first marketed in the late 1990s . In Switzerland , a type of White Merlot is made in the Ticino region but has been considered more a rosé .   White Merlot should not be confused with the grape variety Merlot blanc , which is a cross between Merlot and Folle blanche that was discovered in 1891 , nor should it be confused with the white mutant variety of the Merlot grape .   Food pairing ( edit )   In food and wine pairings , the diversity of Merlot can lend itself to a wide array of matching options . Cabernet - like Merlots pair well with many of the same things that Cabernet Sauvignon would pair well with , such as grilled and charred meats . Softer , fruitier Merlots ( particularly those with higher acidity from cooler climate regions like Washington State and Northeastern Italy ) share many of the same food - pairing affinities with Pinot noir and go well with dishes like salmon , mushroom - based dishes and greens like chard and radicchio . Light - bodied Merlots can go well with shellfish like prawns or scallops , especially if wrapped in a protein - rich food such as bacon or prosciutto . Merlot tends not to go well with strong and blue - veined cheeses that can overwhelm the fruit flavors of the wine . The capsaicins of spicy foods can accentuate the perception of alcohol in Merlot and make it taste more tannic and bitter .   Synonyms ( edit )   Over the years , Merlot has been known under many synonyms across the globe including : Alicante , Alicante noir , Bégney , Bidal , Bidalhe , Bigney , Bigney rouge , Bini , Bini Ruzh , Bioney , Black Alicante , Bordeleza belcha , Crabutet , Crabutet noir , Crabutet noir merlau , Hebigney , Higney , Higney rouge , Langon , Lecchumskij , Médoc noir , Merlau , Merlaut , Merlaut noir , Merle , Merle Petite , Merleau , Merlô , Merlot noir , Merlot black , Merlot blauer , Merlot crni , Merlot nero , Merlott , Merlou , Odzalesi , Odzhaleshi , Odzhaleshi Legkhumskii , Petit Merle , Picard , Pikard , Plan medre , Planet Medok , Plant du Médoc , Plant Médoc , Saint - Macaire , Same de la Canan , Same dou Flaube , Sème de la Canau , Sème Dou Flube , Semilhon rouge , Semilhoum rouge , Semilhoun rouge , Sémil</t>
  </si>
  <si>
    <t xml:space="preserve">where was the merlot wine grape originally grown</t>
  </si>
  <si>
    <t xml:space="preserve"> The earliest recorded mention of Merlot ( under the synonym of Merlau ) was in the notes of a local Bordeaux official who in 1784 labeled wine made from the grape in the Libournais region as one of the area 's best . In 1824 , the word Merlot itself appeared in an article on Médoc wine where it was described that the grape was named after the local black bird ( called merlau in the local variant of Occitan language , mèrle in standard ) who liked eating the ripe grapes on the vine . Other descriptions of the grape from the 19th century called the variety lou seme doù flube ( meaning `` the seedling from the river '' ) with the grape thought to have originated on one of the islands found along the Garonne river . </t>
  </si>
  <si>
    <r>
      <rPr>
        <sz val="11"/>
        <color rgb="FF000000"/>
        <rFont val="Calibri"/>
        <family val="0"/>
        <charset val="1"/>
      </rPr>
      <t xml:space="preserve">Stations of the Cross - wikipedia  Stations of the Cross  For other uses , see Stations of the Cross ( disambiguation ) . The 12th Station of the Cross -- Jesus dies on the Cross . St. Raphael 's Cathedral , Dubuque , Iowa .        Part of a series on     Devotions to Jesus in the Catholic Church     Jesus Christ in the Catacombs of Rome ( 4th century )     Devotions       Holy Wounds   Sacred Heart   Holy Face   Divine Mercy   Eucharistic adoration   Holy Name   Holy Hour   Acts of Reparation   Stations of the Cross   Precious Blood   Infant of Prague       Prayers       Anima Christi   Shoulder Wound   Morning offering   Sacred Heart prayer   Sacred Heart Consecration   You are Christ   Vianney 's prayer   Perboyre 's prayer   Montfort 's prayer   Crucifix prayer       Catholicism portal                 The Stations of the Cross or the Way of the Cross , also known as the Way of Sorrows or the Via Crucis , refers to a series of images depicting Jesus Christ on the day of his crucifixion and accompanying prayers . The stations grew out of imitations of Via Dolorosa in Jerusalem which is believed to be the actual path Jesus walked to Mount Calvary . The object of the stations is to help the Christians faithful to make a spiritual pilgrimage through contemplation of the Passion of Christ . It has become one of the most popular devotions and the stations can be found in many Western Christian churches , including Anglican , Lutheran , Methodist , and Roman Catholic ones .   Commonly , a series of 14 images will be arranged in numbered order along a path and the faithful travel from image to image , in order , stopping at each station to say the selected prayers and reflections . This will be done individually or in a procession most commonly during Lent , especially on Good Friday , in a spirit of reparation for the sufferings and insults that Jesus endured during his passion .   The style , form , and placement of the stations vary widely . The typical stations are small plaques with reliefs or paintings placed around a church nave . Modern minimalist stations can be simple crosses with a numeral in the centre . Occasionally the faithful might say the stations of the cross without there being any image , such as when the pope leads the stations of the cross around the Colosseum in Rome on Good Friday .     Contents  ( hide )   1 History   2 Stations   2.1 Scriptural form     3 Modern usage   4 Debates   4.1 Place of Christ 's resurrection     5 Music   6 Literature   7 Via Dolorosa sites   8 See also   9 References   10 External links      History ( edit )  Three chapels of Verkiai Calvary Station of the Cross in the Shrine of Our Lady of Fátima , in Portugal Outdoor station in Jiřetín pod Jedlovou Typical indoor placement along the nave ( Hong Kong Catholic Cathedral of the Immaculate Conception )  The Stations of the Cross originated in pilgrimages to Jerusalem and a desire to reproduce Via Dolorosa . Imitating holy places was not a new concept . For example , the religious complex of Santo Stefano in Bologna , Italy , replicated the Church of the Holy Sepulchre and other religious sites , including Mount of Olives and Valley of Josaphat .   After the siege of 1187 , Jerusalem fell to Muslims . Forty years later Franciscans were allowed back into the Holy Land . Their founder , Saint Francis of Assisi , held the Passion of Christ in special veneration and was the first person to receive stigmata . In 1217 , St. Francis also founded the Custody of the Holy Land to guard and promote the devotion to holy places . Their efforts were recognized when Franciscans were officially proclaimed custodians of holy places by Pope Clement VI in 1342 . Although several travelers who visited the Holy Land during the 12 -- 14th centuries ( e.g. Riccoldo da Monte di Croce , Burchard of Mount Sion , James of Verona ) , mention a `` Via Sacra '' , i.e. a settled route that pilgrims followed , there is nothing in their accounts to identify this with the Way of the Cross , as we understand it . The earliest use of the word `` stations '' , as applied to the accustomed halting - places in the Via Sacra at Jerusalem , occurs in the narrative of an English pilgrim , William Wey , who visited the Holy Land in the mid-15th century , and described pilgrims following the footsteps of Christ to the cross . In 1521 , a book called Geystlich Strass ( German : `` spiritual road '' ) was printed with illustrations of the stations in the Holy Land .   During the 15th and 16th centuries the Franciscans began to build a series of outdoor shrines in Europe to duplicate their counterparts in the Holy Land . The number of stations varied between seven and thirty ; seven was common . These were usually placed , often in small buildings , along the approach to a church , as in a set of 1490 by Adam Kraft , leading to the Johanneskirche in Nuremberg . A number of rural examples were established as attractions in their own right , usually on attractive wooded hills . These include the Sacro Monte di Domodossola ( 1657 ) and Sacro Monte di Belmonte ( 1712 ) , and form part of the Sacri Monti of Piedmont and Lombardy World Heritage Site , together with other examples on different devotional themes . In these the sculptures are often approaching life - size and very elaborate . Remnants of these are often referred to as calvary hills .   In 1686 , in answer to their petition , Pope Innocent XI granted to the Franciscans the right to erect stations within their churches . In 1731 , Pope Clement XII extended to all churches the right to have the stations , provided that a Franciscan father erected them , with the consent of the local bishop . At the same time the number was fixed at fourteen . In 1857 , the bishops of England were allowed to erect the stations by themselves , without the intervention of a Franciscan priest , and in 1862 this right was extended to bishops throughout the church .   Stations ( edit )  A set of the traditional 14 scenes from Portuguese Church , Kolkata A set of the traditional 14 scenes in Limoges enamel Outdoor set at Camp Zimmerman , an ecumenical retreat center rooted in the Methodist and Moravian traditions ( Gnadenhutten ) The 15th station ( Resurrection of Jesus ) in the Saint Mary Rawaseneng Prayer Garden , in the Monastery of Saint Mary Rawaseneng ( id ) complex , Temanggung , Indonesia  The early set of seven scenes was usually numbers 2 , 3 , 4 , 6 , 7 , 11 and 14 from the list below . The standard set from the 17th to 20th centuries has consisted of 14 pictures or sculptures depicting the following scenes :    Pilate condemns Jesus to die   Jesus accepts his cross   Jesus falls for the first time   Jesus meets his mother , Mary   Simon of Cyrene helps carry the cross   Veronica wipes the face of Jesus   Jesus falls for the second time   Jesus meets the women of Jerusalem   Jesus falls for the third time   Jesus is stripped of his clothes   Jesus is nailed to the cross   Jesus dies on the cross   Jesus is taken down from the cross   Jesus is placed in the tomb    Although not traditionally part of the Stations , the Resurrection of Jesus is , in very rare instances , included as a fifteenth station .   Scriptural form ( edit )  Main article : Scriptural Way of the Cross  Out of the fourteen traditional Stations of the Cross , only eight have clear scriptural foundation . Stations 3 , 4 , 6 , 7 , and 9 are not specifically attested to in the gospels ( in particular , no evidence exists of station 6 ever being known before medieval times ) and Station 13 ( representing Jesus 's body being taken down off the cross and laid in the arms of his mother Mary ) seems to embellish the gospels ' record , which states that Joseph of Arimathea took Jesus down from the cross and buried him . To provide a version of this devotion more closely aligned with the biblical accounts , Pope John Paul II introduced a new form of devotion , called the Scriptural Way of the Cross on Good Friday 1991 . He celebrated that form many times but not exclusively at the Colosseum in Rome .   In 2007 , Pope Benedict XVI approved an overlapping but distinct set of stations for meditation and public celebration ; they follow this sequence :    Jesus in the Garden of Gethsemane ;   Jesus is betrayed by Judas and arrested ;   Jesus is condemned by the Sanhedrin ;   Jesus is denied by Peter ;   Jesus is judged by Pilate ;   Jesus is scourged and crowned with thorns ;   Jesus takes up his cross ;   Jesus is helped by Simon of Cyrene to carry his cross ;   Jesus meets the women of Jerusalem ;   Jesus is crucified ;   Jesus promises his kingdom to the repentant thief ;   Jesus entrusts Mary and John to each other ;   Jesus dies on the cross ; and   Jesus is laid in the tomb .    Modern usage ( edit )  Station 5 : Simon of Cyrene helps Jesus carry the Cross , Good Friday procession 2011 at Ulm , Germany  In the Roman Catholic Church , the devotion may be conducted personally by the faithful , making their way from one station to another and saying the prayers , or by having an officiating celebrant move from cross to cross while the faithful make the responses . The stations themselves must consist of , at the very least , fourteen wooden crosses , pictures alone do not suffice , and they must be blessed by someone with the authority to erect stations .   Pope John Paul II led an annual public prayer of the Stations of the Cross at the Roman Colosseum on Good Friday . Originally , the pope himself carried the cross from station to station , but in his last years when age and infirmity limited his strength , John Paul presided over the celebration from a stage on the Palatine Hill , while others carried the cross . Just days prior to his death in 2005 , Pope John Paul II observed the Stations of the Cross from his private chapel . Each year a different person is invited to write the meditation texts for the Stations . Past composers of the Papal Stations include several non-Catholics . The pope himself wrote the texts for the Great Jubilee in 2000 and used the traditional Stations .   The celebration of the Stations of the Cross is especially common on the Fridays of Lent , especially Good Friday . Community celebrations are usually accompanied by various songs and prayers . Particularly common as musical accompaniment is the Stabat Mater . At the end of each station the Adoramus Te is sometimes sung . The Alleluia is also sung , except during Lent .   Structurally , Mel Gibson 's 2004 film , The Passion of the Christ , follows the Stations of the Cross . The fourteenth and last station , the Burial , is not prominently depicted ( compared to the other thirteen ) but it is implied since the last shot before credit titles is Jesus resurrected and about to leave the tomb .   Debates ( edit )   Place of Christ 's Resurrection ( edit )   Some modern liturgists say the traditional Stations of the Cross are incomplete without a final scene depicting the empty tomb and / or the resurrection of Jesus , because Jesus ' rising from the dead was an integral part of his salvific work on Earth . Advocates of the traditional form of the Stations ending with the body of Jesus being placed in the tomb say the Stations are intended as a meditation on the atoning death of Jesus , and not as a complete picture of his life , death , and resurrection . Another point of contention , at least between some ranking liturgists vs. traditionalists , is ( the use of ) the `` New Way of the Cross '' being recited exclusively in the Philippines and by Filipinos abroad .   The Stations of the Resurrection ( also known by the Latin name of Via Lucis , Way of Light ) are used in some churches at Eastertide to meditate on the Resurrection and Ascension of Jesus Christ .   Music ( edit )   Franz Liszt wrote a Via crucis for choir , soloists and piano or organ or harmonium in 1879 . In 1931 , French organist Marcel Dupré improvised and transcribed musical meditations based on fourteen poems by Paul Claudel , one for each station . Peter Maxwell Davies 's Vesalii Icones ( 1969 ) , for male dancer , solo cello and instrumental ensemble , brings together the Stations of the Cross and a series of drawings from the anatomical treatise De humani corporis fabrica ( 1543 ) by the Belgian physician Andreas van Wesel ( Vesalius ) . In Davies 's sequence , the final `` station '' represents the Resurrection , but of Antichrist , the composer 's moral point being the need to distinguish what is false from what is real . David Bowie regarded his 1976 song `` Station to Station '' as `` very much concerned with the stations of the cross '' . Michael Valenti ( known primarily as a Broadway composer ) wrote , with librettist Diane Seymour , an oratorio depicting the fourteen Stations of the Cross entitled `` The Way '' . It was premiered in 1991 . Paweł_Łukaszewski wrote Via Crucis in 2000 and it was premiered by the Wrocław_Opera on Good Friday March 30 , 2018 and transmitted on TVP_Kultura . Stefano Vagnini 's 2002 modular oratorio , Via Crucis , a composition for organ , computer , choir , string orchestra and brass quartet , depicts the fourteen Stations of the Cross .   In 2009 , U2 released Moment of Surrender , mentioning the Stations of the Cross .   As the Stations of the Cross are prayed during the season of Lent in Catholic churches , each station is traditionally followed by a verse of the Stabat Mater , composed in the 13th century by Franciscan Jacopone da Todi . James Matthew Wilson 's poetic sequence , The Stations of the Cross , is written in the same meter as da Todi 's poem .   Literature ( edit )   Dimitris Lyacos ' third part of the Poena Damni trilogy , The First Death , is divided in fourteen sections in order to emphasise the `` Via Dolorosa '' of its marooned protagonist during his ascent on the mount of the island which constitutes the setting of the work .   Via Dolorosa sites ( edit )   These fourteen sites along the Via Dolorosa are where the events of the Stations of the Cross happened , according to tradition . These 14 stops form a route ending at the Church of the Holy Sepulcher that pilgrims have walked for centuries and are the inspiration for the Stations of the Cross in many churches today .     1st Station , Jesus is condemned to death     2nd Station , Jesus carries his cross     3rd Station , Jesus falls for the first time     4th Station , Jesus meets his mother     5th Station , Simon of Cyrene helps Jesus carry the cross     6th Station , Veronica wipes the face of Jesus     7th Station , Jesus falls for the second time     8th Station , Jesus meets the women of Jerusalem     9th Station , Jesus falls for the third time     10th Station , Jesus is stripped of his garments     11th Station , Crucifixion : Jesus is nailed to the cross     12th Station , Jesus dies on the cross     13th Station , Jesus is taken down from the cross     14th Station , Jesus is laid in the tomb     See also ( edit )       Wikimedia Commons has media related to Stations of the Cross .      Acts of Reparation to Jesus Christ   Life of Jesus in the New Testament   Sayings of Jesus on the cross   Seven Sorrows of Mary    References ( edit )    Jump up ^ `` Lent '' ( PDF ) . Church of England . 236 . Retrieved 20 October 2017 .   Jump up ^ `` Stations of the Cross '' . Holy Trinity Lutheran Church . Retrieved 20 October 2017 .   Jump up ^ `` Stations of the Cross '' . Trinity UMC. 24 March 2013 . Archived from the original on 17 April 2015 . Retrieved 17 April 2015 .   ^ Jump up to : `` Stations of the Cross '' . St. Michael 's Episcopal Church . 2012 . Retrieved 3 March 2015 .   Jump up ^ Ann Ball , 2003 Encyclopedia of Catholic Devotions and Practices ISBN 0 - 87973 - 910 - X   Jump up ^ Chryssides , George D. ; Wilkins , Margaret Z. ( 11 September 2014 ) . Christians in the Twenty - First Century . Taylor &amp; Francis . p. 51 . ISBN 978 - 1 - 317 - 54557 - 6 .   Jump up ^ `` Frommer 's Events -- Event Guide : Good Friday Procession in Rome ( Palatine Hill , Italy ) '' . Frommer 's . Archived from the original on 7 January 2009 . Retrieved 8 April 2008 .   Jump up ^ Ousterhout , Robert G. ( 1981 ) . `` The Church of Santo Stefano : A `` Jerusalem '' in Bologna `` . Gesta. 2 ( 20 ) : 311 . doi : 10.2307 / 766940 . ISSN 0016 - 920X . JSTOR 766940 .   ^ Jump up to : Weitzel Gibbons , Mary ( 1995 ) . Giambologna : Narrator of the Catholic Reformation . University of California Press . pp. 72 -- 73 . ISBN 9780520082137 .   ^ Jump up to : Thurston , Herbert ( 1914 ) . The Stations of the Cross : an account of their history and devotional purpose . London : Burns &amp; Oates . pp. 20 -- 21 , 46 . OCLC 843213 .   ^ Jump up to : Schiller , Gertrud , Iconography of Christian Art , Vol. II , p. 82 , 1972 ( English trans from German ) , Lund Humphries , London , ISBN 0 - 85331 - 324 - 5   Jump up ^ The Catholic Encyclopedia ( 1907 ) . s.v. `` The Way of the Cross '' .   Jump up ^ `` The Official Web Site for the Archdiocese of Detroit '' ( PDF ) . Archived from the original ( PDF ) on 2010 - 12 - 23 . Retrieved 2012 - 02 - 13 . In some contemporary Stations of the Cross , a fifteenth station has been added to commemorate the Resurrection of the Lord .   Jump up ^ `` Fr . William Saunders '' . Retrieved 2009 - 04 - 04 . Because of the intrinsic relationship between the passion and death of our Lord with His resurrection , several of the devotional booklets now include a 15th station , which commemorates the Resurrection .   Jump up ^ Joseph M Champlin , The Stations of the Cross With Pope John Paul II Liguori Publications , 1994 , ISBN 0 - 89243 - 679 - 4   Jump up ^ Pope John Paul II , Meditation and Prayers for the Stations of the Cross at the Colosseum , Good Friday , 2000   Jump up ^ Office for the Liturgical Celebrations of the Supreme Pontiff ( April 6 , 2007 ) . `` Way of the Cross at the Colosseum '' . Vatican.va . Archived from the original on July 7 , 2013 . Retrieved February 18 , 2018 .   Jump up ^ `` CATHOLIC ENCYCLOPEDIA : Way of the Cross '' . Newadvent.org. 1912 - 10 - 01 . Retrieved 2014 - 07 - 03 .   Jump up ^ Review Archived 2012 - 04 - 30 at the Wayback Machine. , United States Conference of Catholic Bishops , 2004   Jump up ^ McBrien , Richard P. ; Harold W. Attridge ( 1995 ) . The HarperCollins encyclopedia of Catholicism . p. 1222 . ISBN 978 - 0 - 06 - 065338 - 5 .   Jump up ^ Composer 's note in the published score ( Boosey and Hawkes , B &amp; H 20286 ) .   Jump up ^ Cavanagh , David ( February 1997 ) . `` ChangesFiftyBowie '' . Q magazine : 52 -- 59 .   Jump up ^ Falcon Valley Music Ed. , Stefano Vagnini , Via Crucis , Rome , 2002 .   Jump up ^ `` The Stations of the Cross : Clarion Review '' . www.clarionreview.org . Retrieved 2017 - 12 - 16 .    External links ( edit )    `` Way of the Cross '' article from The Catholic Encyclopedia   A list of recent Via Crucis used by The Vatican on Good Fridays from the Official Vatican website .   Scriptural Stations of the Cross from the United States Conference of Catholic Bishops      hide         Prayers of the Catholic Church     Prayers of the Mass     Agnus Dei   Confiteor   Creeds   Apostles ' Creed   Athanasian Creed   Nicene Creed     Gloria in excelsis Deo   Gloria Patri   Kyrie Eleison   Pater Noster   Sanctus   Signum Crucis         Marian prayers     Alma Redemptoris Mater   Angelus   Ave Maria   Ave Maris Stella   Ave Regina Caelorum   Fatima Prayer   Litany   Loreto     Magnificat   Maria Mater Gratiae   Memorare   Regina Coeli   Rosary   Salve Regina   Sub Tuum Praesidium   Three Hail Marys       Other prayers     Act of Contrition   Adoro te devote   Angele Dei   Anima Christi   Ave Verum Corpus   Benedictus   Chaplets   Come , Holy Spirit   Jesus Prayer   Mental prayer     Laudes Divinae   Litanies   Litany of the Saints     Morning offering   Novena   Nunc Dimittis   O Salutaris Hostia   Penitential Psalms   51 : Miserere mei   130 : De Profundis     Prayer before a Crucifix   Prayer of Saint Francis   Prayer to Saint Joseph   Prayer to Saint Michael   Requiem Aeternam   Spiritual Communion   Tantum Ergo   Te Deum   Thanksgiving after Communion   Veni Creator Spiritus   Veni Sancte Spiritus   Visit to the Blessed Sacrament   Way of the Cross         Note : For prayers listed in italics , indulgences are normally granted .   Catholicism portal           hide         Liturgical year of the Catholic Church     Based on the General Roman Calendar ( 1969 )     Advent     Advent Sunday   Immaculate Conception ^   Gaudete Sunday   ( O Antiphons )         Christmastide     Christmas ( Nativity of Jesus ) ^   Holy Family   Solemnity of Mary , Mother of God ^   Epiphany ^   Baptism of the Lord       Ordinary Time I     Presentation of Jesus at the Temple ( Candlemas )   Feast of the Annunciation   ( Carnival )       Lent     Ash Wednesday   Saint Joseph 's Day ^   Laetare Sunday   Holy Week : Palm Sunday , Holy Wednesday , Maundy Thursday ( Mass of the Chrism )       Paschal Triduum     Maundy Thursday ( Mass of the Lord 's Supper )   Good Friday   Liturgy of the Word , Adoration of the Cross , Holy Communion     Holy Saturday   Easter Vigil       Eastertide     Easter Sunday : Resurrection of Jesus   Octave of Easter ( Divine Mercy Sunday )   Feast of the Ascension ^   Pentecost       Ordinary Time II     Trinity Sunday   Corpus Christi ^   Sacred Heart   Visitation of Mary   Saint John the Baptist   Feast of Saints Peter and Paul ^   Transfiguration of Jesus   Assumption of Mary ^   Nativity of Mary   Feast of the Cross   All Saints ' Day ^   All Souls ' Day   Presentation of Mary   Feast of Christ the King         Legend   ^ = Holy days of obligation ( 10 )   Catholicism portal   See also : Computus   Liturgical colours   Solemnity     Older calendars : General Roman Calendar of 1960   General Roman Calendar of Pope Pius XII of 1950   General Roman Calendar of 1954   Tridentine Calendar      Retrieved from `` https://en.wikipedia.org/w/index.php?title=Stations_of_the_Cross&amp;oldid=838894815 '' Categories :   Stations of the Cross   Christian iconography   Christian terminology   Cross symbols   Crucifixion of Jesus in art   Franciscan spirituality   Roman Catholic Church art by subject   Roman Catholic devotions   Sorrowful Mysteries   Hidden categories :   CS1 : Julian -- Gregorian uncertainty   Webarchive template wayback links   Interlanguage link template link number   All articles lacking reliable references   Articles lacking reliable references from April 2017           Talk                                           Contents                   About Wikipedia                                             Wikisource       Alemannisch     Bikol Central   Български   Brezhoneg   Català   Cebuano   Čeština   Deutsch   Español   Esperanto   Euskara   Français   Frysk   Galego   गोंयची कोंकणी / Gõychi Konknni   </t>
    </r>
    <r>
      <rPr>
        <sz val="11"/>
        <color rgb="FF000000"/>
        <rFont val="Noto Sans CJK SC"/>
        <family val="2"/>
      </rPr>
      <t xml:space="preserve">한국어   </t>
    </r>
    <r>
      <rPr>
        <sz val="11"/>
        <color rgb="FF000000"/>
        <rFont val="Calibri"/>
        <family val="0"/>
        <charset val="1"/>
      </rPr>
      <t xml:space="preserve">Hrvatski   Bahasa Indonesia   Italiano   Kaszëbsczi   Kiswahili   Latina   Lëtzebuergesch   Lietuvių   Limburgs   Lumbaart   Magyar   മലയാളം   Nederlands   </t>
    </r>
    <r>
      <rPr>
        <sz val="11"/>
        <color rgb="FF000000"/>
        <rFont val="Noto Sans CJK SC"/>
        <family val="2"/>
      </rPr>
      <t xml:space="preserve">日本 語   </t>
    </r>
    <r>
      <rPr>
        <sz val="11"/>
        <color rgb="FF000000"/>
        <rFont val="Calibri"/>
        <family val="0"/>
        <charset val="1"/>
      </rPr>
      <t xml:space="preserve">Norsk   Norsk nynorsk   Polski   Português   Русский   Sardu   Slovenčina   Slovenščina   Srpskohrvatski / српскохрватски   Svenska   Tagalog   தமிழ்   ไทย   Українська   Tiếng Việt   </t>
    </r>
    <r>
      <rPr>
        <sz val="11"/>
        <color rgb="FF000000"/>
        <rFont val="Noto Sans CJK SC"/>
        <family val="2"/>
      </rPr>
      <t xml:space="preserve">中文  </t>
    </r>
    <r>
      <rPr>
        <sz val="11"/>
        <color rgb="FF000000"/>
        <rFont val="Calibri"/>
        <family val="0"/>
        <charset val="1"/>
      </rPr>
      <t xml:space="preserve">38 more  Edit links   This page was last edited on 29 April 2018 , at 23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</si>
  <si>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is the station of the cross done</t>
  </si>
  <si>
    <t xml:space="preserve"> Commonly , a series of 14 images will be arranged in numbered order along a path and the faithful travel from image to image , in order , stopping at each station to say the selected prayers and reflections . This will be done individually or in a procession most commonly during Lent , especially on Good Friday , in a spirit of reparation for the sufferings and insults that Jesus endured during his passion . </t>
  </si>
  <si>
    <t xml:space="preserve">Wheel of Fortune ( U.S. game show ) - Wikipedia  Wheel of Fortune ( U.S. game show )  This is the latest accepted revision , reviewed on 27 March 2018 . Jump to : navigation , search    Wheel of Fortune         Genre   Game show     Created by   Merv Griffin     Directed by   Jeff Goldstein ( 1975 -- 78 ) Dick Carson ( 1978 -- 99 ) Mark Corwin ( 1999 -- 2013 ) Bob Cisneros ( 2013 -- 15 ) Robert Ennis ( 2015 -- present )     Presented by   Network Host Chuck Woolery ( 1975 -- 81 ) Pat Sajak ( 1981 -- 89 ) Rolf Benirschke ( 1989 ) Bob Goen ( 1989 -- 91 ) Hostess Susan Stafford ( 1975 -- 82 ) Vanna White ( 1982 -- 91 ) Syndication Host Pat Sajak Hostess Vanna White     Narrated by   Charlie O'Donnell ( 1975 -- 80 , 1989 -- 2010 ) Jack Clark ( 1980 -- 88 ) M.G. Kelly ( 1988 -- 89 ) Jim Thornton ( 2011 -- present )     Theme music composer   Alan Thicke ( 1975 -- 83 ) Merv Griffin ( 1983 -- 97 ) Steve Kaplan ( 1997 -- 2006 ) Frankie Blue ( 2006 -- 16 ) John Hoke ( 2007 -- present )     Country of origin   United States     Original language ( s )   English     No. of episodes   Syndicated version : 6,000 ( as of April 11 , 2014 )     Production     Executive producer ( s )   Merv Griffin ( 1975 -- 2000 ) Harry Friedman ( 1999 -- present )     Producer ( s )   John Rhinehart ( 1975 -- 76 ) Nancy Jones ( 1976 -- 95 ) Harry Friedman ( 1995 -- 99 ) Karen Griffith ( 1997 -- present ) Steve Schwartz ( 1997 -- present )     Location ( s )   NBC Studios ( Burbank ) ( 1975 -- 89 ) CBS Television City ( 1989 -- 95 ) Sony Pictures Studios , Culver City , California ( 1995 -- present )     Running time   approx. 22 minutes     Production company ( s )   Merv Griffin Productions ( 1975 -- 84 ) Merv Griffin Enterprises ( 1984 -- 94 ) Columbia TriStar Television ( 1994 -- 2002 ) Sony Pictures Television ( 2002 -- present ) Califon Productions , Inc .     Distributor   King World Productions ( 1983 -- 2007 ) CBS Television Distribution ( 2007 -- present )     Release     Original network   Daytime : NBC ( 1975 -- 89 , 1991 ) CBS ( 1989 -- 91 ) Evening : Syndicated ( 1983 -- present )     Picture format   480i ( SDTV ) ( 1975 -- 2006 ) 1080i ( HDTV ; downgraded to 720p locally in some markets ) ( 2006 -- present )     Audio format   Stereo     Original release   Network January 6 , 1975 ( 1975 - 01 - 06 ) -- June 30 , 1989 ( 1989 - 06 - 30 ) ( NBC ) July 17 , 1989 ( 1989 - 07 - 17 ) -- January 11 , 1991 ( 1991 - 01 - 11 ) ( CBS ) January 14 , 1991 ( 1991 - 01 - 14 ) -- September 20 , 1991 ( 1991 - 09 - 20 ) ( NBC ) Syndication September 19 , 1983 ( 1983 - 09 - 19 ) -- present     Chronology     Related shows   Wheel 2000     External links     Website     Wheel of Fortune ( often known simply as Wheel ) is an American television game show created by Merv Griffin . The show features a competition in which contestants solve word puzzles , similar to those used in Hangman , to win cash and prizes determined by spinning a giant carnival wheel .   Wheel originally aired as a daytime series on NBC from January 6 , 1975 , to June 30 , 1989 . After some changes were made to its format , the daytime series moved to CBS from July 17 , 1989 , to January 11 , 1991 . It then returned to NBC from January 14 , 1991 , until it was cancelled on September 20 , 1991 . The popularity of the daytime series led to a nightly syndicated edition being developed , which premiered on September 19 , 1983 , and continues to air to this day .   The network version was originally hosted by Chuck Woolery and Susan Stafford , with Charlie O'Donnell as its announcer . O'Donnell left in 1980 and was replaced by Jack Clark . After Clark 's death in 1988 , M.G. Kelly took over briefly as announcer until O'Donnell returned in 1989 . O'Donnell remained on the network version until its cancellation , and continued to announce on the syndicated show until his death in 2010 , when Jim Thornton succeeded him . Woolery left in 1981 , and was replaced by Pat Sajak . Sajak left the network version in January 1989 to host his own late - night talk show , and was replaced on that version by Rolf Benirschke . Bob Goen replaced Benirschke when the network show moved to CBS , then remained as host until the network show was canceled altogether . Stafford left in 1982 , and was replaced by Vanna White , who remained on the network show for the rest of its run . The syndicated version has been hosted continuously by Sajak and White since its inception .   Wheel of Fortune ranks as the longest - running syndicated game show in the United States , with over 6,000 episodes aired . TV Guide named it the `` top - rated syndicated series '' in a 2008 article , and in 2013 , the magazine ranked it at No. 2 in its list of the 60 greatest game shows ever . The program has also come to gain a worldwide following with sixty international adaptations . The syndicated series ' 35th season premiered on September 11 , 2017 .     Contents  ( hide )   1 Gameplay   1.1 Main game   1.2 Bonus round   1.3 Previous rules     2 Conception and development   3 Personnel   3.1 Hosts and hostesses   3.2 Announcers   3.3 Production staff     4 Production   4.1 Set   4.2 Music   4.3 Audition process     5 Broadcast history   6 Reception   7 Merchandise   8 Notes   9 References   9.1 Footnotes   9.2 Works cited     10 External links      Gameplay ( edit )   Main game ( edit )  The template for round one since the syndicated version 's 32nd season ( 2014 -- 15 )  The core game is based on Hangman . Each round has a category and a blank word puzzle , with each blank representing a letter in the answer , and punctuation revealed as needed . Most puzzles are straightforward figures of speech that fit within a mostly static list of categories , and this list has evolved over the course of the series . Crossword puzzles were added to the rotation in 2016 . In such rounds , a clue bonding the words in the puzzle is given instead of a traditional category , and contestants win by solving all the words in the crossword . The titular Wheel of Fortune is a roulette - style wheel mechanism with 24 spaces , most of which are labeled with dollar amounts ranging from $500 to $900 , plus a top dollar value : $2,500 in round 1 , $3,500 in rounds 2 and 3 , and $5,000 for round 4 and any subsequent rounds . The wheel also features two Bankrupt wedges and one Lose a Turn , both of which forfeit the contestant 's turn , with the former also eliminating any cash or prizes the contestant has accumulated within the round . Each game features three contestants , or occasionally , three two - contestant teams positioned behind a single scoreboard with its own flipper . The left scoreboard from the viewer 's perspective is colored red , the center yellow , and the right blue , with the contestants ' positions determined by a random selection prior to taping .   A contestant spins the wheel to determine a dollar value and guess a consonant . Calling a correct letter earns the value before the corresponding flipper , multiplied by the number of times that the letter appears in the puzzle . Calling a correct letter keeps the wheel in the contestant 's control , allowing the contestant to spin again , buy a vowel for a flat rate of $250 , or attempt to solve the puzzle . Contestants may continue to buy vowels so long as they have enough money to keep doing so , until all of the vowels in the puzzle have been revealed . Control passes to the next contestant clockwise if the wheel lands on Lose a Turn or Bankrupt , if the contestant calls a letter that is not in the puzzle , calls a letter that has already been called in that round , fails to call a letter within five seconds of the wheel stopping , or attempts unsuccessfully to solve the puzzle . The only exception is the Free Play wedge , on which the contestant may call a consonant for $500 per occurrence , call a free vowel , or solve the puzzle , with no penalty for an incorrect letter or answer .   In the first three rounds , the wheel contains a Wild Card and a Gift Tag , while two 1⁄2 Car tags are present in rounds two and three only ( except on episodes with two - player teams ) . The Wild Card may be used to call an additional consonant after any turn ( for the amount that the contestant has just spun ) or taken to the bonus round to call an extra consonant there . The Gift Tag offers either a $1,000 credit toward purchases from , or $1,000 in cash courtesy of , the sponsoring company , and the 1⁄2 Car tags award a car if the contestant wins the round ( s ) in which he or she claims both . Unlike the other tags , the 1⁄2 Car tags are replaced in subsequent rounds unless the car is won . A special wedge in the first two rounds awards a prize which is described by the announcer if won . All of the tags and the prize wedge are located over the $500 wedges , so calling a letter that appears in the puzzle when landed upon awards both the tag / wedge and $500 per every occurrence of that letter in the puzzle . The first three rounds also contain a special wedge which , if won and taken to the bonus round , offers an opportunity to play that round for $1,000,000 . A contestant must solve the puzzle in order to keep any cash , prizes , or extras accumulated during that round except for the Wild Card , which is kept until the contestant either loses it to Bankrupt or uses it . Bankrupt does not affect score from previous rounds , but it does take away the Wild Card , individual 1⁄2 Car tags , and / or million dollar wedge if any was claimed in a previous round . Contestants who solve a round for less than $1,000 in cash and prizes ( $2,000 on weeks with two - contestant teams ) have their scores increased to that amount .   Each game also features three toss - up puzzles , which reveal the puzzle one random letter at a time , and award cash to whoever rings in with the right answer . The first determines who is interviewed first by the host , the second determines who starts round 1 , and the third determines who starts round 4 . Respectively , the toss - ups are valued at $1,000 , $2,000 , and $3,000 . In addition to these , each game has a minimum of four rounds , with more played if time permits . Rounds 2 and 3 are respectively started by the next two contestants clockwise from the contestant who began round 1 .   Round 2 features two `` mystery wedges '' . Calling a correct letter after landing upon one offers the contestant the chance to accept its face value of $1,000 per letter , or forfeit that amount to flip over the wedge and see whether its reverse side contains a $10,000 cash prize or Bankrupt . Once either mystery wedge is flipped over , the other becomes a standard $1,000 space and can not be flipped . Round 3 is a prize puzzle , which offers a prize ( usually a trip ) to the contestant who solves it . Starting with season 31 in 2013 , an `` Express '' wedge is also placed on the wheel in round 3 . A contestant who lands on this space and calls a consonant that appears in the puzzle receives $1,000 per appearance . The contestant can then either `` pass '' and continue the round normally , or `` play '' and keep calling consonants for $1,000 each ( without spinning ) and buying vowels for $250 . The Express play ends when the contestant either calls an incorrect letter ( which has the same effect as landing on a Bankrupt wedge ) or solves the puzzle .   The final round is always played at least in part in a `` speed - up '' format , in which the host spins the wheel to determine the value of each consonant , with $1,000 being added to the value on which the wheel stops before the red contestant 's arrow . Vowels do not add or deduct money from the contestants ' scores in the speed - up round . The contestant in control calls one letter , and if it appears in the puzzle , the contestant is given three seconds to attempt to solve . Play proceeds clockwise , starting with the contestant who was in control at the time of the final spin , until the puzzle is solved . The three - second timer does not begin until the hostess has revealed all instances of a called letter and moved aside from the puzzle board , and the contestant may offer multiple guesses on his / her turn . After the speed - up round , the total winnings of the three contestants are compared . The contestant with the highest total winnings wins the game and advances to the bonus round . Contestants who fail to earn any cash or prizes in the game are awarded a consolation prize of $1,000 ( or $2,000 on weeks with two - contestant teams ) .   If a tie for first place occurs after the speed - up round , an additional toss - up puzzle is played between the tied contestants . The contestant who solves the toss - up puzzle wins $1,000 and advances to the bonus round .   Bonus round ( edit )   Before the bonus round begins , the winning contestant chooses one of three categories for his or her puzzle ( prior to season 35 , the puzzle and category were predetermined ) . After doing so , the contestant spins a smaller wheel with 24 envelopes to determine the prize . He or she is then shown a puzzle in the chosen category , and every instance of R , S , T , L , N , and E is revealed . The contestant provides three more consonants ( four if he / she is holding the Wild Card ) and one more vowel , then has 10 seconds to solve the puzzle after his or her other letters ( if any ) are revealed . The contestant may make as many guesses as necessary , so long as the contestant begins the correct answer before time expires . Whether or not the contestant solves the puzzle , the host opens the envelope at the end of the round to reveal the prize at stake . Prizes in the bonus round include various cash amounts ( with the lowest being the season number multiplied by $1,000 ) , a vehicle ( or two vehicles during weeks with two - contestant teams ) , and a top prize of $100,000 .   If the contestant has the Million Dollar Wedge , the $100,000 envelope is replaced with a $1,000,000 envelope . The $1,000,000 prize has been awarded three times : to Michelle Loewenstein ( on the episode that aired October 14 , 2008 ) , to Autumn Erhard ( May 30 , 2013 ) , and to Sarah Manchester ( September 17 , 2014 ) . Contestants who win the $1,000,000 may receive it in installments over 20 years , or in a lump sum of that amount 's present value . At the end of the Bonus Round , Sajak will reveal where the $1,000,000 wedge was on the prize wheel if the contestant failed to land on it .   Previous rules ( edit )   Originally , after winning a round , contestants spent their winnings on prizes that were presented onstage . At any time during a shopping round , most often if the contestant did not have enough left to buy another prize , a contestant could choose to put his or her winnings on a gift certificate , or he or she could put the winnings `` on account '' for use in a later shopping round . However , a contestant lost any money on account by landing on Bankrupt or failing to claim it by not winning subsequent rounds . The shopping element was eliminated from the syndicated version on the episode that aired October 5 , 1987 , both to speed up gameplay and to alleviate the taxes paid by contestants . However , the network version continued to use the shopping element until the end of its first NBC run on June 30 , 1989 .   Before the introduction of toss - up puzzles at the start of the 18th syndicated season in 2000 , the contestant at the red arrow always started round 1 , with the next contestant clockwise starting each subsequent round . In addition , if a tie for first place occurred , an additional speed - up round was played between the tied contestants for the right to go to the bonus round . The wheel formerly featured a Free Spin wedge , which automatically awarded a token that the contestant could turn in after a lost turn to keep control of the wheel . It was replaced in 1989 with a single Free Spin token placed over a selected cash wedge . Free Spin was retired , and Free Play introduced , at the start of the 27th syndicated season in 2009 . Between September 16 , 1996 and the end of season 30 in 2013 , the show featured a progressive Jackpot wedge , which had been in several different rounds in its history . The jackpot started at $5,000 and had the value of every spin within the round added to it . To claim the jackpot , a contestant had to land on the wedge , call a correct letter , and solve the puzzle all in the same turn . In later years , it also offered $500 per correct letter and $500 to the jackpot , regardless of whether or not it was won in that turn .   The network version allowed champions to appear for up to five days originally , which was later reduced to three . The syndicated version , which originally retired contestants after one episode , adopted the three - day champion rule at the start of the seventh season in 1989 . In later years , the top three winners from the week 's first four shows returned to compete in the `` Friday Finals '' . When the jackpot wedge was introduced , it began at $10,000 instead of $5,000 on Fridays . The rules allowing champions to return after their initial appearances were eliminated permanently beginning with the syndicated episode aired September 21 , 1998 , and contestants appear only on a single episode .   Before December 1981 , the show did not feature a bonus round . Under the bonus round 's original rules , no letters were provided automatically . The contestant asked for five consonants and a vowel , and then had fifteen seconds to attempt solving the puzzle . Also , bonus prizes were selected by the contestant at the start of the round . The current time limit and rules for letter selection were introduced on October 3 , 1988 . Starting on September 4 , 1989 , the first episode of the seventh syndicated season , bonus prizes were selected by the contestant choosing from one of five envelopes labeled W , H , E , E , and L. One prize was always $25,000 in cash , and the rest were changed weekly . Any prize that was won was taken out of rotation for the rest of the week . During seasons 16 through 18 ( 1998 -- 2001 ) , the $25,000 remained in - place the entire week of shows regardless if it was won . At the start of season 19 in 2001 , there were three car envelopes and two $25,000 envelopes , which were available the entire week of shows . These envelopes were replaced with the bonus wheel on October 22 , 2001 .   Conception and Development ( edit )   Merv Griffin conceived Wheel of Fortune just as the original version of Jeopardy ! , another show he had created , was ending its 11 - year run on NBC with Art Fleming as its host . Griffin decided to create a Hangman - style game after recalling long car trips as a child , on which he and his sister played Hangman . After he discussed the idea with Merv Griffin Enterprises ' staff , they thought that the idea would work as a game show if it had a `` hook '' . He decided to add a roulette - style wheel because he was always `` drawn to '' such wheels when he saw them in casinos . He and MGE 's then - president Murray Schwartz consulted an executive of Caesars Palace to find out how to build such a wheel .   When Griffin pitched the idea for the show to Lin Bolen , then the head of NBC 's daytime programming division , she approved , but wanted the show to have more glamour to attract the female audience . She suggested that Griffin incorporate a shopping element into the gameplay , and so , in 1973 , he created a pilot episode titled Shopper 's Bazaar , with Chuck Woolery as host and Mike Lawrence as announcer . The pilot started with the three contestants being introduced individually , with Lawrence describing the prizes that they chose to play for . The main game was played to four rounds , with the values on the wheel wedges increasing after the second round . Unlike the show it evolved into , Shopper 's Bazaar had a vertically mounted wheel , which was spun automatically rather than by the contestants . This wheel lacked the Bankrupt wedge and featured a wedge where a contestant could call a vowel for free , as well as a `` Your Own Clue '' wedge that allowed contestants to pick up a rotary telephone and hear a private clue about the puzzle . At the end of the game , the highest - scoring contestant played a bonus round called the `` Shopper 's Special '' where all the vowels in the puzzle were already there , and the contestant had 30 seconds to call out consonants in the puzzle .   Edd Byrnes , an actor from 77 Sunset Strip , served as host for the second and third pilots , both titled Wheel of Fortune . These pilots were directed by Marty Pasetta , who gave the show a `` Vegas '' feel that more closely resembled the look and feel that the actual show ended up having , a wheel that was now spun by the contestants themselves , and a lighted mechanical puzzle board with letters that were now manually turnable . Showcase prizes on these pilots were located behind the puzzle board , and during shopping segments a list of prizes and their price values scrolled on the right of the screen . By the time production began in December 1974 , Woolery was selected to host , the choice being made by Griffin after he reportedly heard Byrnes reciting `` A-E-I-O-U '' to himself in an effort to remember the vowels . Susan Stafford turned the letters on Byrnes ' pilot episodes , a role that she also held when the show was picked up as a series .   Personnel ( edit )   Hosts and hostesses ( edit )  Chuck Woolery was the show 's host from 1975 to 1981 .  The original host of Wheel of Fortune was Chuck Woolery , who hosted the series from its 1975 premiere until December 25 , 1981 , save for one week in August 1980 when Alex Trebek hosted in his place . Woolery 's departure came over a salary dispute with show creator Merv Griffin , and his contract was not renewed . On December 28 , 1981 , Pat Sajak made his debut as the host of Wheel . Griffin said that he chose Sajak for his `` odd '' sense of humor . NBC president and CEO Fred Silverman objected as he felt Sajak , who at the time of his hiring was the weatherman for KNBC - TV , was `` too local '' for a national audience . Griffin countered by telling Silverman he would stop production if Sajak was not allowed to become host , and Silverman acquiesced .  Pat Sajak ( right ) and Vanna White have hosted the syndicated version since 1983 .  Sajak hosted the daytime series until January 9 , 1989 , when he left to host a late - night talk show for CBS . Rolf Benirschke , a former placekicker in the National Football League , was chosen as his replacement and hosted for a little more than five months . Benirschke 's term as host came to an end due to NBC 's cancellation of the daytime Wheel after fourteen years , with its final episode airing on June 30 , 1989 . When the newly formatted daytime series returned on CBS on July 17 , 1989 , Bob Goen became its host . The daytime program continued for a year and a half on CBS , then returned to NBC on January 14 , 1991 and continued until September 20 , 1991 when it was cancelled for a second and final time .   Susan Stafford was the original hostess , serving in that role from the premiere until October 1982 . Stafford was absent for two extended periods , once in 1977 after fracturing two vertebrae in her back and once in 1979 after an automobile accident . During these two extended absences , former Miss USA Summer Bartholomew was Stafford 's most frequent substitute , with model Cynthia Washington and comedian Arte Johnson also filling in for Stafford .   After Stafford left to become a humanitarian worker , over two hundred applicants signed up for a nationwide search to be her replacement . Griffin eventually narrowed the list to three finalists , which consisted of Summer Bartholomew , former Playboy centerfold Vicki McCarty , and Vanna White . Griffin gave each of the three women an opportunity to win the job by putting them in a rotation for several weeks after Stafford 's departure . In December 1982 , Griffin named White as Stafford 's successor , saying that he felt she was capable of activating the puzzle board letters ( which is the primary role of the Wheel hostess ) better than anyone else who had auditioned . White became highly popular among the young female demographic , and also gained a fanbase of adults interested in her daily wardrobe , in a phenomenon that has been referred to as `` Vannamania '' . White remained on the daytime series for the rest of the time it was on the air .   Sajak and White have starred on the syndicated version continuously as host and hostess , respectively , since it began , except for very limited occasions . During two weeks in January 1991 , Tricia Gist , the girlfriend and future wife of Griffin 's son Tony , filled in for White when she and her new husband , restaurateur George San Pietro , were honeymooning . Gist returned for the week of episodes airing March 11 through 15 , 1991 , because White had a cold at the time of taping . On an episode in November 1996 , when Sajak proved unable to host the bonus round segment because of laryngitis , he and White traded places for that segment . On the March 4 , 1997 episode , Rosie O'Donnell co-hosted the third round with White after O'Donnell's name was used in a puzzle .   On April 1 , 1997 , Sajak and Alex Trebek traded jobs for the day . Sajak hosted that day 's edition of Jeopardy ! in place of Trebek , who presided over a special two - contestant Wheel celebrity match between Sajak and White , who were playing for the Boy Scouts of America and the American Cancer Society , respectively ; Lesly Sajak , Pat 's wife , was the guest hostess for the day . In January and February 2011 , the show held a `` Vanna for a Day '' contest in which home viewers submitted video auditions to take White 's place for one episode , with the winner determined by a poll on the show 's website ; the winner of this contest , Katie Cantrell of Wooster , Ohio ( a student at the Savannah College of Art and Design ) , took White 's place for the second and third rounds on the episode that aired March 24 , 2011 .   Announcers ( edit )  Jim Thornton has been the show 's announcer since 2011 .  Charlie O'Donnell was the program 's first and longest tenured announcer . In 1980 , NBC was discussing cancelling Wheel and O'Donnell agreed to take the position as announcer on The Toni Tennille Show . The network decided against the cancellation but O'Donnell decided to honor his commitment and left the series . His replacement was Jack Clark , who added the syndicated series to his responsibilities when it premiered in 1983 and announced for both series until his death in July 1988 . Los Angeles radio personality M.G. Kelly was Clark 's replacement , starting on the daytime series in August 1988 and on the syndicated series when its new season launched a month later . Kelly held these positions until O'Donnell was able to return to the announcer position , doing so after his duties with Barris Industries came to an end at the end of the 1988 -- 89 television season . O'Donnell remained with the series until shortly before his death in November 2010 . Don Pardo , Don Morrow , and Johnny Gilbert have occasionally served as substitute announcers .   After O'Donnell's death , the producers sought a permanent replacement , and a series of substitutes filled out the rest of the season , including Gilbert , John Cramer , Joe Cipriano , Rich Fields , Lora Cain and Jim Thornton . For the show 's twenty - ninth season , which began in 2011 , Thornton was chosen to be the new announcer for Wheel , and has been with the show ever since .   Production staff ( edit )   Wheel of Fortune typically employs a total of 100 in - house production personnel , with 60 to 100 local staff joining them for those episodes that are taped on location . Griffin was the executive producer of the network version throughout its entire run , and served as the syndicated version 's executive producer until his retirement in 2000 . Since 1999 , the title of executive producer has been held by Harry Friedman , who had shared his title with Griffin for his first year , and had earlier served as a producer starting in 1995 .   John Rhinehart was the program 's first producer , but departed in August 1976 to become NBC 's West Coast Daytime Program Development Director . Afterwards , his co-producer , Nancy Jones , was promoted to sole producer , and served as such until 1995 , when Friedman succeeded her . In the 15th syndicated season in 1997 , Karen Griffith and Steve Schwartz joined Friedman as producers . Tthey were later promoted to supervising producers , with Amanda Stern occupying Griffith 's and Schwartz 's former position .   The show 's original director was Jeff Goldstein , who was succeeded by Dick Carson ( a brother of Johnny Carson ) in 1978 . Mark Corwin , who had served as associate director under Carson , took over for him upon his retirement at the end of the 1998 -- 99 season , and served as such until he himself died in July 2013 ( although episodes already taped before his death continued airing until late 2013 ) . Jeopardy ! director Kevin McCarthy , Corwin 's associate director Bob Cisneros , and Wheel and Jeopardy ! technical director Robert Ennis filled in at various points until Cisneros became full - time director in November 2013 . Ennis returned as guest director for the weeks airing October 13 through 17 and November 17 through 21 , 2014 , as Cisneros was recovering from neck surgery at the time of taping . With the start of the 33rd season on September 14 , 2015 , Ennis was promoted to full - time director .   Production ( edit )   Wheel of Fortune is owned by Sony Pictures Television ( previously known as Columbia TriStar Television , the successor company to original producer Merv Griffin Enterprises ) . The production company and copyright holder of all episodes to date is Califon Productions , Inc. , which like SPT has Sony Pictures for its active registered agent , and whose name comes from a New Jersey town where Griffin once owned a farm . The rights to distribute the show worldwide are owned by CBS Television Distribution , into which original distributor King World Productions was folded in 2007 .   The show was originally taped in Studio 4 at NBC Studios in Burbank . Upon NBC 's 1989 cancellation of the network series , production moved to Studio 33 at CBS Television City in Los Angeles , where it remained until 1995 . Since then , the show has occupied Stage 11 at Sony Pictures Studios in Culver City . Some episodes are also recorded on location , a tradition which began with two weeks of episodes taped at Radio City Music Hall in late 1988 . Recording sessions usually last for five or six episodes in one day .   Set ( edit )  The current design of the Wheel of Fortune set , as seen on a Season 30 episode The show 's current puzzle board , as seen on a Season 30 episode  Various changes have been made to the basic set since the syndicated version 's premiere in 1983 . In 1996 , a large video display was added center stage , which was then upgraded in 2003 as the show began the transition into high - definition broadcasting . In the mid-1990s , the show began a long - standing tradition of nearly every week coming with its own unique theme . As a result , in addition to its generic design , the set also uses many alternate designs , which are unique to specific weekly sets of themed programs . The most recent set design was conceived by production designer Renee Hoss - Johnson , with later modifications by Jody Vaclav . Previous set designers included Ed Flesh and Dick Stiles .   The first pilot used a vertically mounted wheel which was often difficult to see on - screen . Flesh , who also designed the sets for The $25,000 Pyramid and Jeopardy ! , designed the wheel mechanism . Originally made mostly of paint and cardboard , the modern wheel mechanism is framed on a steel tube surrounded with Plexiglas and more than 200 lighting instruments , and is held by a stainless steel shaft with roller bearings . Altogether , the wheel weighs approximately 2,400 pounds ( 1,100 kg ) .   The show 's original puzzle board had three rows of 13 manually operated trilons , for a total of 39 spaces . On December 21 , 1981 , a larger board with 48 trilons in four rows ( 11 , 13 , 13 and 11 trilons ) was adopted . This board was surrounded by a double - arched border of lights which flashed at the beginning and end of the round . Each trilon had three sides : a green side to represent spaces not used by the puzzle , a bl</t>
  </si>
  <si>
    <t xml:space="preserve">which is older jeopardy or wheel of fortune</t>
  </si>
  <si>
    <t xml:space="preserve"> Merv Griffin conceived Wheel of Fortune just as the original version of Jeopardy ! , another show he had created , was ending its 11 - year run on NBC with Art Fleming as its host . Griffin decided to create a Hangman - style game after recalling long car trips as a child , on which he and his sister played Hangman . After he discussed the idea with Merv Griffin Enterprises ' staff , they thought that the idea would work as a game show if it had a `` hook '' . He decided to add a roulette - style wheel because he was always `` drawn to '' such wheels when he saw them in casinos . He and MGE 's then - president Murray Schwartz consulted an executive of Caesars Palace to find out how to build such a wheel . </t>
  </si>
  <si>
    <t xml:space="preserve">National Heroes Acre ( Zimbabwe ) - wikipedia  National Heroes Acre ( Zimbabwe )  Looking down to the statue of the unknown soldier  National Heroes Acre or simply Heroes Acre is a burial ground and national monument in Harare , Zimbabwe . The 57 - acre ( 230,000 m ) site is situated on a ridge seven kilometres from Harare , towards Norton . Its stated purpose is to commemorate Patriotic Front guerrillas killed during the Rhodesian Bush War , and contemporary Zimbabweans whose dedication or commitment to their country justify their interment at the shrine . Persons buried here are considered heroes by the incumbent Zimbabwe African National Union - Patriotic Front regime , which has administered the country since independence at 1980 . Indeed , most of the recipients of the ' hero status ' were known to be Zanu - PF sympathisers . The actual monument itself is modeled after two AK - 47s lying back - to - back ; the graves are meant to resemble their magazines . The monument is an early example of work of the North Korean firm Mansudae Overseas Projects . It closely mirrors the design of the Revolutionary Martyrs ' Cemetery in Taesong - guyŏk , just outside Pyongyang , North Korea .   Contents    1 Construction   1.1 National Heroes     2 Features   2.1 The Tomb of the Unknown Soldier   2.2 The Eternal Flame   2.3 Wall Murals   2.4 Museum     3 References    Construction ( edit )   Work was initiated on the National Heroes ' Acre in September 1981 , a year after Zimbabwean independence . Ten Zimbabwean and seven North Korean architects and artists were recruited to map the site 's layout. 250 local workers were involved in the project at the height of its construction . Black granite used for the main structures was quarried from Mutoko , about 140 kilometres northeast of the capital , then known as Salisbury .   National Heroes ( edit )     ``   Those heroes subordinated their personal interests to the collective interest of Zimbabwe . They accepted and endured pain , suffering and brutality with fortitude even unto death .   ''     National Hero Status is the highest honour that can be conferred to an individual by Zimbabwe and the recipient is entitled to be buried at the National Heroes ' Acre . As of 7 August 2001 , 47 persons had been interred on site .   Features ( edit )   The Tomb of the Unknown Soldier ( edit )  The statue of the unknown soldier  The Tomb of the Unknown Soldier recognises unidentified insurgents who lost their lives during the liberation war . Included is a bronze statue of three guerrillas -- one female , two male -- a flagpole , and an ornate artifice .   The Eternal Flame ( edit )   The Eternal Flame rests atop a tower measuring some forty metres . It was lit at independence celebrations in 1982 and embodies the spirit of Zimbabwean independence . The tower is the highest point at Heroes ' Acre ; it can readily be viewed from Harare .   Wall murals ( edit )   Two walls on either side of the monument carry murals depicting the history of Zimbabwe , from pre-colonial times through the Chimurenga , the Rhodesian Bush War , and independence under national hero Robert Mugabe .   Museum ( edit )   Near the entrance of Heroes ' Acre is a museum dedicated to the rise of African nationalism in Zimbabwe and the anti-colonial struggle , showcasing artifacts , photographs , documents and other paraphernalia from the war and the period shortly after independence Zimbabwe National heroes buried at the shrine .    Cephas Cele   Felix Ngwarati Muchemwa   sabina mugabe   Edgar Tekere   Samuel `` Mayor Urimbo '' Mamutse   dzingai mutumbuka   Lameck Makanda   Daniel Nyamayaro Madzimbamuto   stanford shamu ( solo maimbodei )   Joshua Mqabuko Nyongolo Nkomo   Simon C. Mazorodze   Josiah Magama Tongogara   Sally Hayfron Mugabe   Jason Ziyaphapha Moyo   Alfred Nikita Mangena   Herbert Wiltshire Chitepo   Leopold Takawira   Masotsha Ndlovu   T.M. George Silundika   Johanna `` Mama '' MaFuyana   Major General Charlse Njodzi Dauramanzi   Edson Jonasi Mudadirwa Zvobgo   Julia Tukai Zvobgo   Simon Vengai Muzenda   Lookout Masuku   Herbert Sylvester Masiyiwa Ushewokunze   Moven Mahachi   Ernest R. Kadungure   Sydney Donald Malunga   Joseph Culverwell   General Solomon Rex Nhongo Mutusva - Mujuru   Brig General John Zingoni   Josiah Tungamirai   Brigadier General Gumbo   Zororo Duri   Christopher Machingura Ushewokunze   Sikwili Kohli Moyo   Vitalis Zvinavashe   Chenjerai Hunzvi   Border Gezi   Robson Manyika   Josiah Mushore Chinamano   Swithun Mombeshora   Sabina Mugabe   Maurice Nyagumbo   Bernard Chidzero   Elliot Manyika   David Ishemunyoro Karimanzira   Livingstone Mernard Negidi Muzariri   Brig. Gen. Armstrong Gunda   Misheck `` Makasha '' Chando   Guy Clutton - Brock   John Landa Nkomo   Herbert Mahlaba   Lt. Gen. ( Rtd ) Amoth Chingombe   Edson Ncube   Elias Kanengoni   Nathan Shamuyarira   Kantibhai Gordanbhai   George Lifa ( Maj. Gen )   Cornelius Nhloko   Lieutenant Colonel Harold Chirenda   Mike Karakadzai   Kumbirayi Kangai   Enos Nkala   Solomon Chirume Tawengwa   George Bodzo Nyandoro   Joseph Msika   Witness Mangwende   Gary Settled Tamayi Hlomayi Magadzire   Vivian Mwashita   Victoria Chitepo   Charles Utete   Cephas G. Msipa   Peter Chanetsa   Shuvai Mahofa    References ( edit )    Jump up ^ `` National Heroes Acre losing significance ? '' . The Financial Gazette . October 8 , 2010 . Archived from the original on March 21 , 2012 . Retrieved August 22 , 2011 .   Jump up ^ `` Mugabe says National Heroes Acre is solely for Zanu PF members '' . Zimbabwe Metro . October 1 , 2010 . Archived from the original on June 26 , 2011 . Retrieved August 22 , 2011 .   ^ Jump up to : `` Things you did n't know about the Heroes ' Acre in Harare '' . Zimbabwe Metro . Archived from the original on June 26 , 2011 . Retrieved April 30 , 2017 .   Jump up ^ Farai , Christopher ( August 22 , 2011 ) . `` Heroes Acre : bastionof patriotism , tourist attraction '' . The New Zealand Herald . Retrieved April 30 , 2017 .   Jump up ^ Kirkwood , Meghan L.E. ( 2013 ) . `` Postindependence Architecture through North Korean Modes : Namibian Commissions of the Mansudae Overseas Project '' . A companion to Modern African Art . Chichester , West Sussex : Wiley Blackwell . ISBN 9781444338379 .   Jump up ^ https://www.herald.co.zw/heroes-acre-bastion-of-patriotism-tourist-attraction/   Jump up ^ https://www.herald.co.zw/heroes-acre-bastion-of-patriotism-tourist-attraction/    Coordinates : 17 ° 50 ′ 04 '' S 30 ° 59 ′ 14 '' E ﻿ / ﻿ 17.83444 ° S 30.98722 ° E ﻿ / - 17.83444 ; 30.98722  Retrieved from `` https://en.wikipedia.org/w/index.php?title=National_Heroes_Acre_(Zimbabwe)&amp;oldid=865040366 '' Categories :   Buildings and structures in Harare   Cemeteries in Zimbabwe   Tourist attractions in Harare   Mansudae Overseas Projects   National Heroes of Zimbabwe               Talk                                           Contents                   About Wikipedia                                                 Español   Русский   Edit links   This page was last edited on 21 October 2018 , at 09 : 00 ( UTC ) .         About Wikipedia                    </t>
  </si>
  <si>
    <t xml:space="preserve">names of heroines buried at zimbabwe national heroes acre</t>
  </si>
  <si>
    <t xml:space="preserve">  Cephas Cele   Felix Ngwarati Muchemwa   sabina mugabe   Edgar Tekere   Samuel `` Mayor Urimbo '' Mamutse   dzingai mutumbuka   Lameck Makanda   Daniel Nyamayaro Madzimbamuto   stanford shamu ( solo maimbodei )   Joshua Mqabuko Nyongolo Nkomo   Simon C. Mazorodze   Josiah Magama Tongogara   Sally Hayfron Mugabe   Jason Ziyaphapha Moyo   Alfred Nikita Mangena   Herbert Wiltshire Chitepo   Leopold Takawira   Masotsha Ndlovu   T.M. George Silundika   Johanna `` Mama '' MaFuyana   Major General Charlse Njodzi Dauramanzi   Edson Jonasi Mudadirwa Zvobgo   Julia Tukai Zvobgo   Simon Vengai Muzenda   Lookout Masuku   Herbert Sylvester Masiyiwa Ushewokunze   Moven Mahachi   Ernest R. Kadungure   Sydney Donald Malunga   Joseph Culverwell   General Solomon Rex Nhongo Mutusva - Mujuru   Brig General John Zingoni   Josiah Tungamirai   Brigadier General Gumbo   Zororo Duri   Christopher Machingura Ushewokunze   Sikwili Kohli Moyo   Vitalis Zvinavashe   Chenjerai Hunzvi   Border Gezi   Robson Manyika   Josiah Mushore Chinamano   Swithun Mombeshora   Sabina Mugabe   Maurice Nyagumbo   Bernard Chidzero   Elliot Manyika   David Ishemunyoro Karimanzira   Livingstone Mernard Negidi Muzariri   Brig. Gen. Armstrong Gunda   Misheck `` Makasha '' Chando   Guy Clutton - Brock   John Landa Nkomo   Herbert Mahlaba   Lt. Gen. ( Rtd ) Amoth Chingombe   Edson Ncube   Elias Kanengoni   Nathan Shamuyarira   Kantibhai Gordanbhai   George Lifa ( Maj. Gen )   Cornelius Nhloko   Lieutenant Colonel Harold Chirenda   Mike Karakadzai   Kumbirayi Kangai   Enos Nkala   Solomon Chirume Tawengwa   George Bodzo Nyandoro   Joseph Msika   Witness Mangwende   Gary Settled Tamayi Hlomayi Magadzire   Vivian Mwashita   Victoria Chitepo   Charles Utete   Cephas G. Msipa   Peter Chanetsa   Shuvai Mahofa  </t>
  </si>
  <si>
    <t xml:space="preserve">King James Version - wikipedia  King James Version  Jump to : navigation , search `` KJB '' redirects here . For other uses , see KJB ( disambiguation ) and King James Version ( disambiguation ) .    King James Version     The title page to the 1611 first edition of the Authorized Version of the Bible by Cornelis Boel shows the Apostles Peter and Paul seated centrally above the central text , which is flanked by Moses and Aaron . In the four corners sit Matthew , Mark , Luke and John , authors of the four gospels , with their symbolic animals . The rest of the Apostles ( with Judas facing away ) stand around Peter and Paul . At the very top is the Tetragrammaton `` יְהֹוָה '' written with Hebrew diacritics .     Abbreviation   KJV , KJB , or AV     Complete Bible published   1611     Online as   King James Version at Wikisource     Textual basis   OT : Masoretic Text , some LXX and Vulgate influence . NT : Textus Receptus , similar to the Byzantine text - type ; some readings derived from the Vulgate . Apocrypha : Greek Septuagint and Latin Vulgate .     Reading level   US and Canada Grade 8 -- 10     Copyright   Public domain due to age , publication restrictions in the United Kingdom ( See Copyright status )     Genesis 1 : 1 -- 3 ( show ) In the beginning God created the heaven and the earth . And the earth was without form , and void ; and darkness was upon the face of the deep . And the Spirit of God moved upon the face of the waters . And God said , Let there be light : and there was light . Genesis 1 : 1 in other translations John 3 : 16 ( show ) For God so loved the world , that he gave his only begotten Son , that whosoever believeth in him should not perish , but have everlasting life . John 3 : 16 in other translations       The Bible in English     Title page to the King James Version       List of English Bible translations   Old English ( pre-1066 )   Middle English ( 1066 -- 1500 )   Early Modern English ( 1500 -- 1800 )   Modern Christian ( 1800 -- )   Modern Jewish ( 1853 -- )   Miscellaneous       Main category : Bible translations into English Bible portal                 The King James Version ( KJV ) , also known as the King James Bible ( KJB ) or simply the Authorized Version ( AV ) , is an English translation of the Christian Bible for the Church of England begun in 1604 and completed in 1611 . The books of the King James Version include the 39 books of the Old Testament , an intertestamental section containing 14 books of the Apocrypha ( most of which correspond to books in the Vulgate Deuterocanon adhered to by Roman Catholics ) , and the 27 books of the New Testament .   It was first printed by the King 's Printer Robert Barker and was the third translation into English approved by the English Church authorities . The first had been the Great Bible , commissioned in the reign of King Henry VIII ( 1535 ) , and the second had been the Bishops ' Bible of 1568 . In January 1604 , James VI and I convened the Hampton Court Conference , where a new English version was conceived in response to the problems of the earlier translations perceived by the Puritans , a faction of the Church of England . The translation is noted for its `` majesty of style '' , and has been described as one of the most important books in English culture and a driving force in the shaping of the English - speaking world .   James gave the translators instructions intended to ensure that the new version would conform to the ecclesiology and reflect the episcopal structure of the Church of England and its belief in an ordained clergy . The translation was done by 47 scholars , all of whom were members of the Church of England . In common with most other translations of the period , the New Testament was translated from Greek , the Old Testament from Hebrew and Aramaic , and the Apocrypha from Greek and Latin . In the Book of Common Prayer ( 1662 ) , the text of the Authorized Version replaced the text of the Great Bible for Epistle and Gospel readings ( but not for the Psalter , which substantially retained Coverdale 's Great Bible version ) and as such was authorised by Act of Parliament .   By the first half of the 18th century , the Authorized Version had become effectively unchallenged as the English translation used in Anglican and English Protestant churches , except for the Psalms and some short passages in the Book of Common Prayer of the Church of England . Over the course of the 18th century , the Authorized Version supplanted the Latin Vulgate as the standard version of scripture for English - speaking scholars . With the development of stereotype printing at the beginning of the 19th century , this version of the Bible became the most widely printed book in history , almost all such printings presenting the standard text of 1769 extensively re-edited by Benjamin Blayney at Oxford , and nearly always omitting the books of the Apocrypha . Today the unqualified title `` King James Version '' usually indicates that this Oxford standard text is meant .     Contents  ( hide )   1 Name   2 History   2.1 Earlier English translations   2.2 Considerations for a new version   2.3 Translation committees   2.4 Printing   2.5 Authorized Version   2.6 Standard text of 1769   2.7 Editorial criticism     3 Literary attributes   3.1 Translation   3.1. 1 Old Testament   3.1. 2 New Testament   3.1. 3 Apocrypha   3.1. 4 Sources     3.2 Variations from recent translations   3.3 Style and criticism   3.4 Mistranslations     4 Influence   4.1 Copyright status   4.1. 1 Permission     4.2 Apocrypha   4.3 King James Only movement     5 See also   6 Notes   7 References   8 Further reading   9 External links      Name ( edit )  1612 First KJV bible in quarto size  The title of the first edition of the translation , in Early Modern English , was `` THE HOLY BIBLE , Conteyning the Old Testament , AND THE NEW : Newly Translated out of the Originall tongues : &amp; with the former Translations diligently compared and reuised , by his Maiesties speciall Comandement '' . The title page carries the words `` Appointed to be read in Churches '' , and F.F. Bruce suggests it was `` probably authorised by order in council '' but no record of the authorisation survives `` because the Privy Council registers from 1600 to 1613 were destroyed by fire in January 1618 / 19 '' .   For many years it was common not to give the translation any specific name . In his Leviathan of 1651 , Thomas Hobbes referred to it as the English Translation made in the beginning of the Reign of King James . A 1761 `` Brief Account of the various Translations of the Bible into English '' refers to the 1611 version merely as a new , compleat , and more accurate Translation , despite referring to the Great Bible by its name , and despite using the name `` Rhemish Testament '' for the Douay - Rheims Bible version . Similarly , a `` History of England '' , whose fifth edition was published in 1775 , writes merely that ( a ) new translation of the Bible , viz. , that now in Use , was begun in 1607 , and published in 1611 .   King James 's Bible is used as the name for the 1611 translation ( on a par with the `` Genevan Bible '' or the `` Rhemish Testament '' ) in Charles Butler 's Horae Biblicae ( first published 1797 ) . Other works from the early 19th century confirm the widespread use of this name on both sides of the Atlantic : it is found both in a `` Historical sketch of the English translations of the Bible '' published in Massachusetts in 1815 , and in an English publication from 1818 , which explicitly states that the 1611 version is `` generally known by the name of King James 's Bible '' . This name was also found as King James ' Bible ( without the final `` s '' ) : for example in a book review from 1811 . The phrase `` King James 's Bible '' is used as far back as 1715 , although in this case it is not clear whether this is a name or merely a description .   The use of Authorized Version or Authorised Version , capitalized and used as a name , is found as early as 1814 . For some time before this , descriptive phrases such as `` our present , and only publicly authorised version '' ( 1783 ) , `` our Authorised version '' ( 1792 ) , and `` the authorized version '' ( 1801 , uncapitalized ) are found . The Oxford English Dictionary records a usage in 1824 . In Britain , the 1611 translation is generally known as the `` Authorised Version '' today .   As early as 1814 , we find King James ' version , evidently a descriptive phrase , being used . `` The King James Version '' is found , unequivocally used as a name , in a letter from 1855 . The next year King James Bible , with no possessive , appears as a name in a Scottish source . In the United States , the `` 1611 translation '' ( actually editions following the standard text of 1769 , see below ) is generally known as the King James Version today .   History ( edit )   Earlier English translations ( edit )  See also : English translations of the Bible  The followers of John Wycliffe undertook the first complete English translations of the Christian scriptures in the 14th century . These translations were banned in 1409 due to their association with the Lollards . The Wycliffe Bible pre-dated the printing press but was circulated very widely in manuscript form , often inscribed with a date earlier than 1409 to avoid the legal ban . As the text translated in the various versions of the Wycliffe Bible was the Latin Vulgate , and as it contained no heterodox readings , there was in practice no way by which the ecclesiastical authorities could distinguish the banned version ; consequently many Catholic commentators of the 15th and 16th centuries ( such as Thomas More ) took these manuscript English Bibles to represent an anonymous earlier orthodox translation .  William Tyndale translated the New Testament into English in 1525 .  In 1525 , William Tyndale , an English contemporary of Martin Luther , undertook a translation of the New Testament . Tyndale 's translation was the first printed Bible in English . Over the next ten years , Tyndale revised his New Testament in the light of rapidly advancing biblical scholarship , and embarked on a translation of the Old Testament . Despite some controversial translation choices , and in spite of Tyndale 's execution on charges of heresy for having made the translated bible , the merits of Tyndale 's work and prose style made his translation the ultimate basis for all subsequent renditions into Early Modern English . With these translations lightly edited and adapted by Myles Coverdale , in 1539 , Tyndale 's New Testament and his incomplete work on the Old Testament became the basis for the Great Bible . This was the first `` authorised version '' issued by the Church of England during the reign of King Henry VIII . When Mary I succeeded to the throne in 1553 , she returned the Church of England to the communion of the Roman Catholic faith and many English religious reformers fled the country , some establishing an English - speaking colony at Geneva . Under the leadership of John Calvin , Geneva became the chief international centre of Reformed Protestantism and Latin biblical scholarship .   These English expatriates undertook a translation that became known as the Geneva Bible . This translation , dated to 1560 , was a revision of Tyndale 's Bible and the Great Bible on the basis of the original languages . Soon after Elizabeth I took the throne in 1558 , the flaws of both the Great Bible and the Geneva Bible ( namely , that the Geneva Bible did not `` conform to the ecclesiology and reflect the episcopal structure of the Church of England and its beliefs about an ordained clergy '' ) became painfully apparent . In 1568 , the Church of England responded with the Bishops ' Bible , a revision of the Great Bible in the light of the Geneva version . While officially approved , this new version failed to displace the Geneva translation as the most popular English Bible of the age -- in part because the full Bible was only printed in lectern editions of prodigious size and at a cost of several pounds . Accordingly , Elizabethan lay people overwhelmingly read the Bible in the Geneva Version -- small editions were available at a relatively low cost . At the same time , there was a substantial clandestine importation of the rival Douay -- Rheims New Testament of 1582 , undertaken by exiled Roman Catholics . This translation , though still derived from Tyndale , claimed to represent the text of the Latin Vulgate .   In May 1601 , King James VI of Scotland attended the General Assembly of the Church of Scotland at St Columba 's Church in Burntisland , Fife , at which proposals were put forward for a new translation of the Bible into English . Two years later , he ascended to the throne of England as King James I of England .   Considerations for a New Version ( edit )   The newly crowned King James convened the Hampton Court Conference in 1604 . That gathering proposed a new English version in response to the perceived problems of earlier translations as detected by the Puritan faction of the Church of England . Here are three examples of problems the Puritans perceived with the Bishops and Great Bibles :   First , Galatians iv. 25 ( from the Bishops ' Bible ) . The Greek word susoichei is not well translated as now it is , bordereth neither expressing the force of the word , nor the apostle 's sense , nor the situation of the place . Secondly , psalm cv. 28 ( from the Great Bible ) , ' They were not obedient ; ' the original being , ' They were not disobedient . ' Thirdly , psalm cvi. 30 ( also from the Great Bible ) , ' Then stood up Phinees and prayed , ' the Hebrew hath , ' executed judgment . '   Instructions were given to the translators that were intended to limit the Puritan influence on this new translation . The Bishop of London added a qualification that the translators would add no marginal notes ( which had been an issue in the Geneva Bible ) . King James cited two passages in the Geneva translation where he found the marginal notes offensive to the principles of divinely ordained royal supremacy : Exodus 1 : 19 , where the Geneva Bible notes had commended the example of civil disobedience to the Egyptian Pharaoh showed by the Hebrew midwives , and also II Chronicles 15 : 16 , where the Geneva Bible had criticized King Asa for not having executed his idolatrous ' mother ' , Queen Maachah ( Maachah had actually been Asa 's grandmother , but James considered the Geneva Bible reference as sanctioning the execution of his own mother Mary , Queen of Scots ) . Further , the King gave the translators instructions designed to guarantee that the new version would conform to the ecclesiology of the Church of England . Certain Greek and Hebrew words were to be translated in a manner that reflected the traditional usage of the church . For example , old ecclesiastical words such as the word `` church '' were to be retained and not to be translated as `` congregation '' . The new translation would reflect the episcopal structure of the Church of England and traditional beliefs about ordained clergy .   James ' instructions included several requirements that kept the new translation familiar to its listeners and readers . The text of the Bishops ' Bible would serve as the primary guide for the translators , and the familiar proper names of the biblical characters would all be retained . If the Bishops ' Bible was deemed problematic in any situation , the translators were permitted to consult other translations from a pre-approved list : the Tyndale Bible , the Coverdale Bible , Matthew 's Bible , the Great Bible , and the Geneva Bible . In addition , later scholars have detected an influence on the Authorized Version from the translations of Taverner 's Bible and the New Testament of the Douay -- Rheims Bible . It is for this reason that the flyleaf of most printings of the Authorized Version observes that the text had been `` translated out of the original tongues , and with the former translations diligently compared and revised , by His Majesty 's special commandment . '' As the work proceeded , more detailed rules were adopted as to how variant and uncertain readings in the Hebrew and Greek source texts should be indicated , including the requirement that words supplied in English to ' complete the meaning ' of the originals should be printed in a different type face .   The task of translation was undertaken by 47 scholars , although 54 were originally approved . All were members of the Church of England and all except Sir Henry Savile were clergy . The scholars worked in six committees , two based in each of the University of Oxford , the University of Cambridge , and Westminster . The committees included scholars with Puritan sympathies , as well as High Churchmen . Forty unbound copies of the 1602 edition of the Bishops ' Bible were specially printed so that the agreed changes of each committee could be recorded in the margins . The committees worked on certain parts separately and the drafts produced by each committee were then compared and revised for harmony with each other . The scholars were not paid directly for their translation work , instead a circular letter was sent to bishops encouraging them to consider the translators for appointment to well - paid livings as these fell vacant . Several were supported by the various colleges at Oxford and Cambridge , while others were promoted to bishoprics , deaneries and prebends through royal patronage .   The committees started work towards the end of 1604 . King James I of England , on 22 July 1604 , sent a letter to Archbishop Bancroft asking him to contact all English churchmen requesting that they make donations to his project .   Right trusty and well beloved , we greet you well . Whereas we have appointed certain learned men , to the number of 4 and 50 , for the translating of the Bible , and in this number , divers of them have either no ecclesiastical preferment at all , or else so very small , as the same is far unmeet for men of their deserts and yet we in ourself in any convenient time can not well remedy it , therefor we do hereby require you , that presently you write in our name as well to the Archbishop of York , as to the rest of the bishops of the province of Cant. ( erbury ) signifying unto them , that we do well and straitly charge everyone of them ... that ( all excuses set apart ) when a prebend or parsonage ... shall next upon any occasion happen to be void ... we may commend for the same some such of the learned men , as we shall think fit to be preferred unto it ... Given unto our signet at our palace of West. ( minister ) on 2 and 20 July , in the 2nd year of our reign of England , France , and of Ireland , and of Scotland xxxvii . ''   They had all completed their sections by 1608 , the Apocrypha committee finishing first . From January 1609 , a General Committee of Review met at Stationers ' Hall , London to review the completed marked texts from each of the six committees . The General Committee included John Bois , Andrew Downes and John Harmar , and others known only by their initials , including `` AL '' ( who may be Arthur Lake ) , and were paid for their attendance by the Stationers ' Company . John Bois prepared a note of their deliberations ( in Latin ) -- which has partly survived in two later transcripts . Also surviving of the translators ' working papers are a bound - together set of marked - up corrections to one of the forty Bishops ' Bibles -- covering the Old Testament and Gospels , and also a manuscript translation of the text of the Epistles , excepting those verses where no change was being recommended to the readings in the Bishops ' Bible . Archbishop Bancroft insisted on having a final say making fourteen further changes , of which one was the term `` bishopricke '' at Acts 1 : 20 .   Translation committees ( edit )    First Westminster Company , translated Genesis to 2 Kings :       Lancelot Andrewes , John Overall , Hadrian à Saravia , Richard Clarke , John Layfield , Robert Tighe , Francis Burleigh , Geoffrey King , Richard Thomson , William Bedwell ;       First Cambridge Company , translated 1 Chronicles to the Song of Solomon :       Edward Lively , John Richardson , Lawrence Chaderton , Francis Dillingham , Roger Andrewes , Thomas Harrison , Robert Spaulding , Andrew Bing ;       First Oxford Company , translated Isaiah to Malachi :       John Harding , John Rainolds ( or Reynolds ) , Thomas Holland , Richard Kilby , Miles Smith , Richard Brett , Daniel Fairclough , William Thorne ;       Second Oxford Company , translated the Gospels , Acts of the Apostles , and the Book of Revelation :       Thomas Ravis , George Abbot , Richard Eedes , Giles Tomson , Sir Henry Savile , John Peryn , Ralph Ravens , John Harmar , John Aglionby , Leonard Hutten ;       Second Westminster Company , translated the Epistles :       William Barlow , John Spenser , Roger Fenton , Ralph Hutchinson , William Dakins , Michael Rabbet , Thomas Sanderson ( who probably had already become Archdeacon of Rochester ) ;       Second Cambridge Company , translated the Apocrypha :       John Duport , William Branthwaite , Jeremiah Radcliffe , Samuel Ward , Andrew Downes , John Bois , Robert Ward , Thomas Bilson , Richard Bancroft .      Printing ( edit )  Archbishop Richard Bancroft was the `` chief overseer '' of the production of the Authorized Version .  The original printing of the Authorized Version was published by Robert Barker , the King 's Printer , in 1611 as a complete folio Bible . It was sold looseleaf for ten shillings , or bound for twelve . Robert Barker 's father , Christopher , had , in 1589 , been granted by Elizabeth I the title of royal Printer , with the perpetual Royal Privilege to print Bibles in England . Robert Barker invested very large sums in printing the new edition , and consequently ran into serious debt , such that he was compelled to sub-lease the privilege to two rival London printers , Bonham Norton and John Bill . It appears that it was initially intended that each printer would print a portion of the text , share printed sheets with the others , and split the proceeds . Bitter financial disputes broke out , as Barker accused Norton and Bill of concealing their profits , while Norton and Bill accused Barker of selling sheets properly due to them as partial Bibles for ready money . There followed decades of continual litigation , and consequent imprisonment for debt for members of the Barker and Norton printing dynasties , while each issued rival editions of the whole Bible . In 1629 the Universities of Oxford and Cambridge successfully managed to assert separate and prior royal licences for Bible printing , for their own university presses -- and Cambridge University took the opportunity to print revised editions of the Authorized Version in 1629 , and 1638 . The editors of these editions included John Bois and John Ward from the original translators . This did not , however , impede the commercial rivalries of the London printers , especially as the Barker family refused to allow any other printers access to the authoritative manuscript of the Authorized Version .   Two editions of the whole Bible are recognized as having been produced in 1611 , which may be distinguished by their rendering of Ruth 3 : 15 ; the first edition reading `` he went into the city '' , where the second reads `` she went into the city . '' ; these are known colloquially as the `` He '' and `` She '' Bibles .  The opening of the Epistle to the Hebrews of the 1611 edition of the Authorized Version shows the original typeface . Marginal notes reference variant translations and cross references to other Bible passages . Each chapter is headed by a précis of contents . There are decorative initial letters for each Chapter , and a decorated headpiece to each Biblical Book , but no illustrations in the text .  The original printing was made before English spelling was standardized , and when printers , as a matter of course , expanded and contracted the spelling of the same words in different places , so as to achieve an even column of text . They set v for initial u and v , and u for u and v everywhere else . They used long s for non-final s . The glyph j occurs only after i , as in the final letter in a Roman numeral . Punctuation was relatively heavy , and differed from current practice . When space needed to be saved , the printers sometimes used ye for the , ( replacing the Middle English thorn with the continental y ) , set ã for an or am ( in the style of scribe 's shorthand ) , and set &amp; for and . On the contrary , on a few occasions , they appear to have inserted these words when they thought a line needed to be padded . Later printings regularized these spellings ; the punctuation has also been standardized , but still varies from current usage norms .   The first printing used a black letter typeface instead of a roman typeface , which itself made a political and a religious statement . Like the Great Bible and the Bishops ' Bible , the Authorized Version was `` appointed to be read in churches '' . It was a large folio volume meant for public use , not private devotion ; the weight of the type mirrored the weight of establishment authority behind it . However , smaller editions and roman - type editions followed rapidly , e.g. quarto roman - type editions of the Bible in 1612 . This contrasted with the Geneva Bible , which was the first English Bible printed in a roman typeface ( although black - letter editions , particularly in folio format , were issued later ) .   In contrast to the Geneva Bible and the Bishops ' Bible , which had both been extensively illustrated , there were no illustrations at all in the 1611 edition of the Authorized Version , the main form of decoration being the historiated initial letters provided for books and chapters -- together with the decorative title pages to the Bible itself , and to the New Testament .   In the Great Bible , readings derived from the Vulgate but not found in published Hebrew and Greek texts had been distinguished by being printed in smaller roman type . In the Geneva Bible , a distinct typeface had instead been applied to distinguish text supplied by translators , or thought needful for English grammar but not present in the Greek or Hebrew ; and the original printing of the Authorized Version used roman type for this purposed , albeit sparsely and inconsistently . This results in perhaps the most significant difference between the original printed text of the King James Bible and the current text . When , from the later 17th century onwards , the Authorized Version began to be printed in roman type , the typeface for supplied words was changed to italics , this application being regularised and greatly expanded . This was intended to de-emphasise the words .   The original printing contained two prefatory texts ; the first was a formal Epistle Dedicatory to `` the most high and mighty Prince '' King James . Many British printings reproduce this , while most non-British printings do not .   The second preface was called Translators to the Reader , a long and learned essay that defends the undertaking of the new version . It observes the translators ' stated goal , that they , `` never thought from the beginning that ( they ) should need to make a new translation , nor yet to make of a bad one a good one , ... but to make a good one better , or out of many good ones , one principal good one , not justly to be excepted against ; that hath been our endeavour , that our mark . '' They also give their opinion of previous English Bible translations , stating , `` We do not deny , nay , we affirm and avow , that the very meanest translation of the Bible in English , set forth by men of our profession , ( for we have seen none of theirs ( Roman Catholics ) of the whole Bible as yet ) containeth the word of God , nay , is the word of God . '' As with the first preface , some British printings reproduce this , while most non-British printings do not . Almost every printing that includes the second preface also includes the first . The first printing contained a number of other apparatus , including a table for the reading of the Psalms at matins and evensong , and a calendar , an almanac , and a table of holy days and observances . Much of this material became obsolete with the adoption of the Gregorian Calendar by Britain and its colonies in 1752 , and thus modern editions invariably omit it .   So as to make it easier to locate a particular passage , each chapter was headed by a brief precis of its contents with verse numbers . Later editors freely substituted their own chapter summaries , or omitted such material entirely . Pilcrow marks are used to indicate the beginnings of paragraphs except after the book of Acts .   Authorized Version ( edit )   The Authorized Version was meant to replace the Bishops ' Bible as the official version for readings in the Church of England . No record of its authorization exists ; it was probably effected by an order of the Privy Council but the records for the years 1600 to 1613 were destroyed by fire in January 1618 / 19 and it is commonly known as the Authorized Version in the United Kingdom . The King 's Printer issued no further editions of the Bishops ' Bible , so necessarily the Authorized Version replaced it as the standard lectern Bible in parish church use in England .   In the 1662 Book of Common Prayer , the text of the Authorized Version finally supplanted that of the Great Bible in the Epistle and Gospel readings -- though the Prayer Book Psalter nevertheless continues in the Great Bible version .   The case was different in Scotland , where the Geneva Bible had long been the standard church bible . It was not until 1633 that a Scottish edition of the Authorized Version was printed -- in conjunction with the Scots coronation in that year of Charles I . The inclusion of illustrations in the edition raised accusations of Popery from opponents of the religious policies of Charles and William Laud , Archbishop of Canterbury . However , official policy favoured the Authorized Version , and this favour returned during the Commonwealth -- as London printers succeeded in re-asserting their monopoly on Bible printing with support from Oliver Cromwell -- and the `` New Translation '' was the only edition on the market . F.F. Bruce reports that the last recorded instance of a Scots parish continuing to use the `` Old Translation '' ( i.e. Geneva ) as being in 1674 .   The Authorized Version 's acceptance by the general public took longer . The Geneva Bible continued to be popular , and large numbers were imported from Amsterdam , where printing continued up to 1644 in editions carrying a false London imprint . However , few if any genuine Geneva editions appear to have been printed in London after 1616 , and in 1637 Archbishop Laud prohibited their printing or importation . In the period of the English Civil War , soldiers of the New Model Army were issued a book of Geneva selections called `` The Soldiers ' Bible '' . In the first half of the 17th century the Authorized Version is most commonly referred to as `` The Bible without notes '' , thereby distinguishing it from the Geneva `` Bible with notes '' . There were several printings of the Authorized Version in Amsterdam -- one as late as 1715 which combined the Authorized Version translation text with the Geneva marginal notes ; one such edition was printed in London in 1649 . During the Commonwealth a commission was established by Parliament to recommend a revision of the Authorized Version with acceptably Protestant explanatory notes , but the project was abandoned when it became clear that these would nearly double the bulk of the Bible text . After the English Restoration , the Geneva Bible was held to be politically suspect and a reminder of the repudiated Puritan era . Furthermore , disputes over the lucrative rights to print the Authorized Version dragged on through the 17th century , so none of the printers involved saw any commercial advantage in marketing a rival translation . The Authorized Version became the only current version circulating among English - speaking people .   A small minority of critical scholars were slow to accept the latest translation . Hugh Broughton , the most highly regarded English Hebraist of his time ( but who had been excluded from the panel of translators because of his utterly uncongenial temperament ) , issued in 1611 a total condemnati</t>
  </si>
  <si>
    <t xml:space="preserve">who translated the king james bible to english</t>
  </si>
  <si>
    <t xml:space="preserve"> James gave the translators instructions intended to ensure that the new version would conform to the ecclesiology and reflect the episcopal structure of the Church of England and its belief in an ordained clergy . The translation was done by 47 scholars , all of whom were members of the Church of England . In common with most other translations of the period , the New Testament was translated from Greek , the Old Testament from Hebrew and Aramaic , and the Apocrypha from Greek and Latin . In the Book of Common Prayer ( 1662 ) , the text of the Authorized Version replaced the text of the Great Bible for Epistle and Gospel readings ( but not for the Psalter , which substantially retained Coverdale 's Great Bible version ) and as such was authorised by Act of Parliament . </t>
  </si>
  <si>
    <t xml:space="preserve">Meant to Be ( Bebe Rexha song ) - wikipedia  Meant to Be ( Bebe Rexha song )     `` Meant to Be ''         Single by Bebe Rexha featuring Florida Georgia Line     from the album All Your Fault : Pt. 2     Released   October 24 , 2017 ( 2017 - 10 - 24 )     Format   Digital download     Genre   Country pop     Length   2 : 43     Label   Warner Bros .     Songwriter ( s )     Bleta Rexha   Tyler Hubbard   Josh Miller   David Garcia       Producer ( s )   Wilshire     Bebe Rexha singles chronology        `` Back to You '' ( 2017 )   `` Meant to Be '' ( 2017 )   `` Home '' ( 2017 )             `` Back to You '' ( 2017 )   `` Meant to Be '' ( 2017 )   `` Home '' ( 2017 )            Florida Georgia Line singles chronology        `` Let Me Go '' ( 2017 ) Let Me Go 2017   `` Meant to Be '' ( 2017 ) Meant to Be2017   `` Up Down '' ( 2017 ) Up Down 2017            `` Meant to Be '' is a song recorded by American singer Bebe Rexha featuring vocals from American country music duo Florida Georgia Line , from Rexha 's third extended play ( EP ) All Your Fault : Pt. 2 and debut studio album Expectations . It was released to American contemporary hit radio on October 24 , 2017 , by Warner Bros. Records as the second single from the EP .   Contents    1 Music video   2 Commercial performance   3 Track listing   4 Charts   5 Certifications   6 Release history   7 References   8 External links    Music video ( edit )   The music video was filmed in Albuquerque , New Mexico and directed by Sophie Muller . It was released on October 23 , 2017 . As of August 2018 the video has over 550 million views on YouTube .   Commercial performance ( edit )   `` Meant to Be '' entered the US Billboard Hot 100 at number 61 on the chart dated November 11 , 2017 . It has since peaked at number two behind Drake 's `` God 's Plan '' , becoming Rexha 's third top ten hit and her first as a solo lead artist , as well as the second top ten hit for Florida Georgia Line . It is Rexha 's highest - charting single on the chart , surpassing `` Me , Myself &amp; I '' .   It also debuted atop the Hot Country Songs chart , becoming Rexha 's first entry on that chart and Florida Georgia Line 's sixth number one . Rexha also became the first female artist to ever debut atop the chart , while `` Meant to Be '' is the third song overall to start at the summit since 2012 , when the chart transitioned to a hybrid data list , blending airplay , streaming and sales . When the song spent an eleventh week in the top spot in February 2018 , it surpassed Taylor Swift 's `` We Are Never Ever Getting Back Together '' as the longest - running number one song on the chart for a lead female artist . In August 2018 , the song broke the record previously held by 2017 's `` Body Like a Back Road '' by Sam Hunt for the most weeks at number one on the Hot Country Songs chart and as of the issue of Billboard dated August 25 has spent 38 weeks at the top . The song has sold 1,183,000 copies in the United States as of July 2018 .   Track listing ( edit )    Digital download     `` Meant to Be '' ( Acoustic ) -- 2 : 38    Charts ( edit )     Chart ( 2017 -- 18 )   Peak position     Australia ( ARIA )       Austria ( Ö3 Austria Top 40 )   49     Belgium ( Ultratop 50 Flanders )   34     Belgium ( Ultratip Wallonia )   12     Brazil ( Brasil Hot 100 Airplay )       Canada ( Canadian Hot 100 )   7     Canada AC ( Billboard )   14     Canada CHR / Top 40 ( Billboard )   13     Canada Country ( Billboard )   7     Canada Hot AC ( Billboard )       Czech Republic ( Rádio Top 100 )   61     Czech Republic ( Singles Digitál Top 100 )   23     Denmark ( Tracklisten )   38     Germany ( Official German Charts )   57     Greece ( IFPI Greece )   40     Hungary ( Stream Top 40 )   28     Ireland ( IRMA )   22     Israel ( Media Forest TV Airplay )       Latvia ( Latvijas Top 40 )   31     Malaysia Streaming ( RIM )   20     Netherlands ( Dutch Top 40 )   7     Netherlands ( Single Top 100 )   18     New Zealand ( Recorded Music NZ )   5     Norway ( VG - lista )   5     Philippines ( Philippine Hot 100 )   37     Portugal ( AFP )   54     Scotland ( Official Charts Company )   5     Singapore ( RIAS )   28     Slovakia ( Rádio Top 100 )   57     Slovakia ( Singles Digitál Top 100 )   28     Sweden ( Sverigetopplistan )   8     Switzerland ( Schweizer Hitparade )   34     UK Singles ( Official Charts Company )   11     US Billboard Hot 100       US Adult Contemporary ( Billboard )       US Adult Top 40 ( Billboard )       US Country Airplay ( Billboard )       US Dance / Mix Show Airplay ( Billboard )   11     US Hot Country Songs ( Billboard )       US Mainstream Top 40 ( Billboard )       US Rhythmic ( Billboard )   32     Certifications ( edit )     Region   Certification   Certified units / Sales     Australia ( ARIA )   4 × Platinum   280,000     Belgium ( BEA )   Gold   0     Denmark ( IFPI Denmark )   Gold   45,000     New Zealand ( RMNZ )   2 × Platinum   60,000     Norway ( IFPI Norway )   Platinum   10,000     Sweden ( GLF )   2 × Platinum   80,000     Switzerland ( IFPI Switzerland )   Gold   15,000     United Kingdom ( BPI )   Platinum   600,000     United States ( RIAA )   3 × Platinum   1,183,000      sales figures based on certification alone shipments figures based on certification alone sales + streaming figures based on certification alone      Release history ( edit )     Country   Date   Format   Label   Ref .     United States   October 24 , 2017   Contemporary hit radio   Warner Bros .       November 20 , 2017   Country radio     Warner Bros .   BMLG         Italy   February 2 , 2018   Contemporary hit radio   Warner       References ( edit )    Jump up ^ `` All Your Fault : Pt. 2 -- EP by Bebe Rexha on iTunes '' . iTunes Store ( US ) . Retrieved December 7 , 2017 . Jamaica 's Kranium sings on the dancehall duet `` Comfortable '' and Florida Georgia Line lend their radiant harmonies to `` Meant to Be , '' a country - pop smash designed to cross over .   ^ Jump up to : `` Bebe Rexha -- Meant to Be ( feat . Florida Georgia Line ) ( Official Music Video ) '' . YouTube . Retrieved June 13 , 2018 .   ^ Jump up to : `` Bebe Rexha Chart History ( Hot 100 ) '' . Billboard . Retrieved March 27 , 2018 .   ^ Jump up to : `` Top 40 / M Future Releases '' . All Access Media Group . Archived from the original on October 31 , 2017 .   Jump up ^ Wass , Mike ( October 23 , 2017 ) . `` Bebe Rexha &amp; Florida Georgia Line 's ' Meant To Be ' Video Is A Slice Of Americana '' . Idolator . Retrieved October 31 , 2017 .   Jump up ^ `` Drake 's ' God 's Plan ' Rules Billboard Hot 100 for Seventh Week ; Zedd , Maren Morris &amp; Grey 's ' The Middle ' Hits Top 10 '' . Billboard . Retrieved 2018 - 03 - 12 .   Jump up ^ Asker , Jim ; Trust , Gary ( December 4 , 2017 ) . `` Bebe Rexha &amp; Florida Georgia Line Are ' Meant to Be ' Atop Hot Country Songs Chart '' . Billboard . Retrieved December 5 , 2017 .   Jump up ^ `` On the Charts : Bebe Rexha , Florida Georgia Line Achieve Rare Country Feat '' . Rolling Stone . December 5 , 2017 . Retrieved December 17 , 2017 .   Jump up ^ Trust , Gary ( December 12 , 2017 ) . `` Drake 's ' God 's Plan ' Dominates Billboard Hot 100 for Third Week &amp; Three Songs Enter Top 10 '' . Billboard . Retrieved December 16 , 2017 .   Jump up ^ Asker , Jim ( July 30 , 2018 ) . `` Bebe Rexha &amp; Florida Georgia Line 's ' Meant to Be ' Breaks Record For Longest Rule in Hot Country Songs Chart 's History '' . Billboard . Retrieved July 31 , 2018 .   ^ Jump up to : Bjorke , Matt ( July 3 , 2018 ) . `` Top 30 Digital Country Singles : July 3 , 2018 '' . Roughstock . Retrieved July 5 , 2018 .   Jump up ^ `` iTunes - Music - Meant to Be ( Acoustic ) - Single by Bebe Rexha '' . iTunes Store .   Jump up ^ `` Australian-charts.com -- Bebe Rexha feat . Florida Georgia Line -- Meant to Be '' . ARIA Top 50 Singles . Retrieved January 27 , 2018 .   Jump up ^ `` Austriancharts.at -- Bebe Rexha feat . Florida Georgia Line -- Meant to Be '' ( in German ) . Ö3 Austria Top 40 . Retrieved February 28 , 2018 .   Jump up ^ `` Ultratop.be -- Bebe Rexha feat . Florida Georgia Line -- Meant to Be '' ( in Dutch ) . Ultratop 50 . Retrieved June 22 , 2018 .   Jump up ^ `` Ultratop.be -- Bebe Rexha feat . Florida Georgia Line -- Meant to Be '' ( in French ) . Ultratip . Retrieved January 13 , 2018 .   Jump up ^ `` Rankings '' . Billboard Brasil ( in Portuguese ) . Archived from the original on May 18 , 2018 . Retrieved May 18 , 2018 .   Jump up ^ `` Bebe Rexha Chart History ( Canadian Hot 100 ) '' . Billboard . Retrieved April 24 , 2018 .   Jump up ^ `` Bebe Rexha Chart History ( Canada AC ) '' . Billboard . Retrieved May 14 , 2018 .   Jump up ^ `` Bebe Rexha Chart History ( Canada CHR / Top 40 ) '' . Billboard . Retrieved May 8 , 2018 .   Jump up ^ `` Bebe Rexha Chart History ( Canada Country ) '' . Billboard . Retrieved April 24 , 2018 .   Jump up ^ `` Bebe Rexha Chart History ( Canada Hot AC ) '' . Billboard . Retrieved May 8 , 2018 .   Jump up ^ `` ČNS IFPI '' ( in Czech ) . Hitparáda -- Radio Top 100 Oficiální . IFPI Czech Republic . Note : insert 201809 into search . Retrieved March 6 , 2018 .   Jump up ^ `` ČNS IFPI '' ( in Czech ) . Hitparáda -- Digital Top 100 Oficiální . IFPI Czech Republic . Note : insert 201814 into search . Retrieved April 12 , 2018 .   Jump up ^ `` Danishcharts.com -- Bebe Rexha feat . Florida Georgia Line -- Meant to Be '' . Tracklisten . Retrieved January 31 , 2018 .   Jump up ^ `` Offiziellecharts.de -- Bebe Rexha feat . Florida Georgia Line -- Meant to Be '' . GfK Entertainment Charts . Retrieved April 13 , 2018 .   Jump up ^ `` Greece Official IFPI Charts Digital Singles Chart : Feb 5 , 2018 '' . IFPI Charts . Retrieved March 8 , 2018 .   Jump up ^ `` Archívum -- Slágerlisták -- MAHASZ '' ( in Hungarian ) . Stream Top 40 slágerlista . Magyar Hanglemezkiadók Szövetsége . Retrieved December 7 , 2017 .   Jump up ^ `` IRMA -- Irish Charts '' . Irish Recorded Music Association . Retrieved April 14 , 2018 .   Jump up ^ `` מדיה פורסט - לדעת שאתה באוויר '' . Mediaforest.biz . Retrieved December 31 , 2017 .   Jump up ^ `` Latvijas Top 40 '' . Latvijas Radio . Retrieved April 17 , 2018 .   Jump up ^ `` Top 20 Most Streamed International &amp; Domestic Singles in Malaysia : Week 49 ( 1 / 12 / 2017 -- 7 / 12 / 2017 ) '' ( PDF ) . Recording Industry Association of Malaysia . Retrieved February 16 , 2018 .   Jump up ^ `` Nederlandse Top 40 -- week 10 , 2018 '' ( in Dutch ) . Dutch Top 40 Retrieved March 10 , 2018 .   Jump up ^ `` Dutchcharts.nl -- Bebe Rexha feat . Florida Georgia Line -- Meant to Be '' ( in Dutch ) . Single Top 100 . Retrieved March 24 , 2018 .   Jump up ^ `` Charts.nz -- Bebe Rexha feat . Florida Georgia Line -- Meant to Be '' . Top 40 Singles . Retrieved January 26 , 2018 .   Jump up ^ `` Norwegiancharts.com -- Bebe Rexha feat . Florida Georgia Line -- Meant to Be '' . VG - lista . Retrieved January 6 , 2018 .   Jump up ^ `` BillboardPH Hot 100 '' . Billboard Philippines . Retrieved January 9 , 2018 .   Jump up ^ `` Portuguesecharts.com -- Bebe Rexha feat . Florida Georgia Line -- Meant to Be '' . AFP Top 100 Singles . Retrieved April 3 , 2018 .   Jump up ^ `` Official Scottish Singles Sales Chart Top 100 '' . Official Charts Company . Retrieved March 24 , 2018 .   Jump up ^ `` Singapore Top 30 Digital Streaming Chart Week 2 '' ( PDF ) . Recording Industry Association ( Singapore ) . Archived from the original ( PDF ) on January 19 , 2018 .   Jump up ^ `` SNS IFPI '' ( in Slovak ) . Hitparáda -- Radio Top 100 Oficiálna . IFPI Czech Republic . Note : insert 201816 into search . Retrieved April 26 , 2018 .   Jump up ^ `` SNS IFPI '' ( in Slovak ) . Hitparáda -- Singles Digital Top 100 Oficiálna . IFPI Czech Republic . Note : insert 201748 into search . Retrieved December 4 , 2017 .   Jump up ^ `` Swedishcharts.com -- Bebe Rexha feat . Florida Georgia Line -- Meant to Be '' . Singles Top 100 . Retrieved February 10 , 2018 .   Jump up ^ `` Swisscharts.com -- Bebe Rexha feat . Florida Georgia Line -- Meant to Be '' . Swiss Singles Chart . Retrieved February 26 , 2018 .   Jump up ^ `` Official Singles Chart Top 100 '' . Official Charts Company . Retrieved March 31 , 2018 .   Jump up ^ `` Bebe Rexha Chart History ( Adult Contemporary ) '' . Billboard . Retrieved June 19 , 2018 .   Jump up ^ `` Bebe Rexha Chart History ( Adult Pop Songs ) '' . Billboard . Retrieved April 17 , 2018 .   Jump up ^ `` Bebe Rexha Chart History ( Country Airplay ) '' . Billboard . Retrieved April 24 , 2018 .   Jump up ^ `` Bebe Rexha Chart History ( Dance Mix / Show Airplay ) '' . Billboard . Retrieved May 8 , 2018 .   Jump up ^ `` Bebe Rexha Chart History ( Hot Country Songs ) '' . Billboard . Retrieved December 5 , 2017 .   Jump up ^ `` Bebe Rexha Chart History ( Pop Songs ) '' . Billboard . Retrieved April 10 , 2018 .   Jump up ^ `` Bebe Rexha Chart History ( Rhythmic ) '' . Billboard . Retrieved May 8 , 2018 .   Jump up ^ `` ARIA Australian Top 50 Singles '' . Australian Recording Industry Association . June 4 , 2018 . Retrieved June 2 , 2018 .   Jump up ^ `` Ultratop − Goud en Platina -- singles 2018 '' . Ultratop . Hung Medien . Retrieved June 24 , 2018 .   Jump up ^ `` Bebe Rexha &amp; Florida Georgia Line `` Mean to Be '' `` . IFPI Denmark . April 17 , 2018 . Retrieved April 24 , 2018 .   Jump up ^ `` New Zealand single certifications -- Bebe Rexha and Florida Georgia Line -- Meant to Be '' . Recorded Music NZ . Retrieved May 18 , 2018 .   Jump up ^ `` Norwegian single certifications -- Bebe Rexha -- Meant to Be '' ( in Norwegian ) . IFPI Norway . Retrieved April 7 , 2018 .   Jump up ^ `` Guld - och Platinacertifikat '' ( in Swedish ) . IFPI Sweden . Retrieved April 6 , 2018 . Type Bebe Rexha in the top right search bar . Click on `` Sok '' and select Meant to Be and see certification .   Jump up ^ `` The Official Swiss Charts and Music Community : Awards ( Bebe Rexha ; ' Meant to Be ' ) '' . IFPI Switzerland . Hung Medien . Retrieved February 28 , 2018 .   Jump up ^ `` British single certifications -- Bebe Rexha Ft Florida Georgia Line -- Meant to Be '' . British Phonographic Industry . Retrieved August 28 , 2018 . Select singles in the Format field . Select Platinum in the Certification field . Enter Meant to Be in the search field and then press Enter .   Jump up ^ `` American single certifications -- Bebe Rexha -- Meant to Be '' . Recording Industry Association of America . Retrieved June 7 , 2018 . If necessary , click Advanced , then click Format , then select Single , then click SEARCH   Jump up ^ `` Future Releases for Country Radio Stations '' . All Access Media Group . Archived from the original on November 19 , 2017 . Retrieved November 19 , 2017 .   Jump up ^ http://radiodate.it/radio-date/bebe-rexha-feat-florida-georgia-line-meant-to-be-177349-02-02-2018-radiodate/    External links ( edit )    Music video on YouTube   Lyrics of this song at MetroLyrics              Bebe Rexha     Studio albums     Expectations       Extended plays     I Do n't Wanna Grow Up   All Your Fault : Pt. 1   All Your Fault : Pt. 2       Singles     `` I Ca n't Stop Drinking About You ''   `` I 'm Gonna Show You Crazy ''   `` Gone ''   `` Me , Myself &amp; I ''   `` No Broken Hearts ''   `` In the Name of Love ''   `` I Got You ''   `` The Way I Are ( Dance with Somebody ) ''   `` Meant to Be ''   `` Home ''   `` Push Back ''   `` I 'm a Mess ''       Featured singles     `` Take Me Home ''   `` Hey Mama ''   `` That 's How You Know ''   `` Battle Cry ''   `` Back to You ''   `` Girls ''       Concert tours     All Your Fault Tour       Related articles     Discography   Black Cards                 Florida Georgia Line       Tyler Hubbard   Brian Kelley       Studio albums     Here 's to the Good Times ( 2012 )   Anything Goes ( 2014 )   Dig Your Roots ( 2016 )       EPs     It'z Just What We Do ( 2012 )       Singles     `` Cruise ''   `` Get Your Shine On ''   `` Round Here ''   `` Stay ''   `` This Is How We Roll ''   `` Dirt ''   `` Sun Daze ''   `` Sippin ' on Fire ''   `` Anything Goes ''   `` Confession ''   `` H.O.L.Y. ''   `` May We All ''   `` God , Your Mama , and Me ''   `` Smooth ''   `` Simple ''       Featured singles     `` The South ''   `` Let Me Go ''   `` Meant to Be ''   `` Up Down ''       Concert tours     Anything Goes Tour   Dig Your Roots Tour   Smooth Tour       Related articles     Discography   Joey Moi      Retrieved from `` https://en.wikipedia.org/w/index.php?title=Meant_to_Be_(Bebe_Rexha_song)&amp;oldid=856967694 '' Categories :   2017 songs   2017 singles   Warner Bros. Records singles   Bebe Rexha songs   Florida Georgia Line songs   Music videos directed by Sophie Muller   Songs written by Bebe Rexha   Vocal duets   Billboard Adult Top 40 number - one singles   Billboard Hot Country Songs number - one singles   Songs written by Tyler Hubbard   Billboard Country Airplay number - one singles   Hidden categories :   CS1 Portuguese - language sources ( pt )   CS1 Norwegian - language sources ( no )   CS1 Swedish - language sources ( sv )   Music infoboxes with deprecated parameters   Articles with hAudio microformats   Singlechart usages for Australia   Singlechart usages for Austria   Singlechart usages for Flanders   Singlechart usages for Wallonia Tip   Singlechart usages for Canada   Singlechart called without song   Singlechart usages for Billboardcanadaac   Singlechart usages for Billboardcanadachrtop40   Singlechart usages for Billboardcanadacountry   Singlechart usages for Billboardcanadahotac   Singlechart usages for Czech Republic   Singlechart called without artist   Singlechart usages for Czechdigital   Singlechart usages for Denmark   Singlechart usages for Germany2   Singlechart usages for Hungarystream   Singlechart usages for Dutch40   Singlechart usages for Dutch100   Singlechart usages for New Zealand   Singlechart usages for Norway   Singlechart usages for Philippines   Singlechart usages for Portugal   Singlechart usages for Scotland   Singlechart usages for Slovakia   Singlechart usages for Slovakdigital   Singlechart usages for Sweden   Singlechart usages for Switzerland   Singlechart usages for UK   Singlechart usages for Billboardhot100   Singlechart making named ref   Singlechart usages for Billboardadultcontemporary   Singlechart usages for Billboardadultpopsongs   Singlechart usages for Billboardcountryairplay   Singlechart usages for Billboarddanceairplay   Singlechart usages for Billboardcountrysongs   Singlechart usages for Billboardpopsongs   Singlechart usages for Billboardrhythmic   Certification Table Entry usages for Australia   Certification Table Entry usages for Belgium   Pages using Certification Table Entry - Sales with missing information   Certification Table Entry usages for Denmark   Certification Table Entry usages for New Zealand   Certification Table Entry usages for Norway   Certification Table Entry usages for Sweden   Certification Table Entry usages for Switzerland   Certification Table Entry usages for United Kingdom   Certification Table Entry usages for United States           Talk                                           Contents                   About Wikipedia                                           Español   Français   Հայերեն   Italiano   Nederlands   Português   Русский   Edit links   This page was last edited on 28 August 2018 , at 17 : 54 ( UTC ) .         About Wikipedia                    </t>
  </si>
  <si>
    <t xml:space="preserve">who sang the song if it's meant to be</t>
  </si>
  <si>
    <t xml:space="preserve"> `` Meant to Be '' is a song recorded by American singer Bebe Rexha featuring vocals from American country music duo Florida Georgia Line , from Rexha 's third extended play ( EP ) All Your Fault : Pt. 2 and debut studio album Expectations . It was released to American contemporary hit radio on October 24 , 2017 , by Warner Bros. Records as the second single from the EP . </t>
  </si>
  <si>
    <t xml:space="preserve">Do n't throw the baby out with the bathwater - wikipedia  Do n't throw the baby out with the bathwater  Jump to : navigation , search  Do n't throw the baby out with the bathwater is an idiomatic expression for an avoidable error in which something good is eliminated when trying to get rid of something bad , or in other words , rejecting the favorable along with the unfavorable .   A slightly different explanation suggests that this flexible catchphrase has to do with discarding the essential while retaining the superfluous because of excessive zeal . In other words , the idiom is applicable not only when throwing out the baby with the bathwater , but also when someone might throw out the baby and keep the bathwater .     Contents  ( hide )   1 History   2 Alternative expressions   3 Notes   4 References   5 External links      History ( edit )  Earliest record of the phrase from Narrenbeschwörung ( Appeal to Fools ) by Thomas Murner , 1512  This idiom derives from a German proverb , das Kind mit dem Bade ausschütten . The earliest record of this phrase is in 1512 , in Narrenbeschwörung ( Appeal to Fools ) by Thomas Murner ; and this book includes a woodcut illustration showing a woman tossing a baby out with waste water . It is a common catchphrase in German , with examples of its use in work by Martin Luther , Johannes Kepler , Johann Wolfgang von Goethe , Otto von Bismarck , Thomas Mann , and Günter Grass .   Thomas Carlyle adapted the concept in an 1849 essay on slavery :   And if true , it is important for us , in reference to this Negro Question and some others . The Germans say , `` you must empty - out the bathing - tub , but not the baby along with it . '' Fling - out your dirty water with all zeal , and set it careening down the kennels ; but try if you can keep the little child !   Carlyle is urging his readers to join in the struggle to end slavery , but he also encourages them to be mindful of the need to try to avoid harming the slaves themselves in the process .   Some claim the phrase originates from a time when the whole household shared the same bath water . The head of household ( Lord ) would bathe first , followed by the men , then the Lady and the women , then the children , followed lastly by the baby . The water would be so black from dirt that a baby could be accidentally `` tossed out with the bathwater '' . Others state there is no historical evidence that there is any connection with the practice of several family members using the same bath water , the baby being bathed last .   Alternative expressions ( edit )   The meaning and intent of the English idiomatic expression is sometimes presented in different terms .    Throw out the champagne with the cork   Empty the baby out with the bath    Notes ( edit )    Jump up ^ Cheng Lim Tan . ( 2002 ) . Advanced English Idioms for Effective Communication , p. 52 .   Jump up ^ `` What Does `` Throwing the Baby out with the Bath Water '' Mean ? `` . Wisegeek.com . Retrieved May 31 , 2013 .   Jump up ^ Jewell , Elizabeth , ed. ( 2006 ) . The Pocket Oxford Dictionary and Thesaurus ( 2nd edition ) , p. 53 .   Jump up ^ The World Book Dictionary , ' Vol. 1 , p. 146 .   Jump up ^ Nichols , James . ( 1995 ) . Assessment Case Studies : Common Issues in Implementation with Various Campus Approaches to Resolution , p. 16 .   Jump up ^ Wilton , David . ( 2004 ) . Word Myths : Debunking Linguistic Urban Legends , pp. 66 - 67 .   ^ Jump up to : Quinion , Michael ( 6 April 2013 ) . `` Do n't throw the baby out with the bath water '' . Newsletter . World Wide Words . Retrieved 6 April 2013 .   ^ Jump up to : Wilton , p. 67 .   ^ Jump up to : Pilkington , Karl ; Marchant , Stephen ; Gervais , Ricky ( May -- June 2005 ) . `` Explanation , throw the baby out with the bathwater '' ( Audio ) . XFM . Retrieved November 8 , 2013 .   Jump up ^ http://mentalfloss.com/article/55503/7-tall-tales-about-life-1500s-and-origins-phrases   Jump up ^ Shaw Bernard and Edwin Wilson . ( 1961 ) . Shaw on Shakespeare : an Anthology of Bernard Shaw 's Writings on Plays and Production of Shakespeare , p. xvii .   Jump up ^ Kirkpatrick , Betty. ( 1999 ) . Clichés : Over 1500 Phrases Explored and Explained , pp. 180 - 181 , citing George Bernard Shaw 's `` Parent 's and Children '' ( 1914 ) .    References ( edit )    Ammer , Christine ( 1997 ) . Throw out the baby with the bath water . The American Heritage dictionary of idioms . Boston , Massachusetts : Houghton Mifflin Harcourt . ISBN 0 - 395 - 72774 - X . ISBN 978 - 0 - 395 - 72774 - 4   Cheng Lim Tan . ( 2002 ) . Advanced English Idioms for Effective Communication . Singapore : Singapore Asian Publications . ISBN 978 - 981 - 4122 - 35 - 1 ; OCLC 226051976   Nichols , James . ( 1995 ) . Assessment Case Studies : Common Issues in Implementation with Various Campus Approaches to Resolution . New York : Agathon Press . ISBN 978 - 0 - 87586 - 112 - 8 ; OCLC 33132059   Quinion , Michael ( 6 April 2013 ) . `` Do n't throw the baby out with the bath water '' . Newsletter . World Wide Words . Retrieved 6 April 2013 .   Shaw Bernard and Edwin Wilson . ( 1961 ) . Shaw on Shakespeare : an Anthology of Bernard Shaw 's Writings on Plays and Production of Shakespeare . New York : E.F. Dutton . reprinted in 2002 by Applause Theatre &amp; Cinema Books , New York . ISBN 978 - 1 - 55783 - 561 - 1 ; OCLC 49690475   Wilton , David . ( 2004 ) . Word Myths : Debunking Linguistic Urban Legends . New York : Oxford University Press . ISBN 978 - 0 - 19 - 517284 - 3 ; ISBN 978 - 0 - 7394 - 5593 - 7 ; OCLC 54767339    External links ( edit )       Look up throw the baby out with the bathwater in Wiktionary , the free dictionary .      Pilkington , Karl ; Merchant , Stephen ; Gervais , Ricky ( May -- June 2005 ) . `` Explanation , throw the baby out with the bathwater '' . XFM . Retrieved November 8 , 2013 .   Retrieved from `` https://en.wikipedia.org/w/index.php?title=Don%27t_throw_the_baby_out_with_the_bathwater&amp;oldid=835584323 '' Categories :   English - language idioms   Bathing           Talk                                           Contents                   About Wikipedia                                           Simple English   Edit links   This page was last edited on 9 April 2018 , at 15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</si>
  <si>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don't throw the baby out with the bath water origin</t>
  </si>
  <si>
    <t xml:space="preserve"> Some claim the phrase originates from a time when the whole household shared the same bath water . The head of household ( Lord ) would bathe first , followed by the men , then the Lady and the women , then the children , followed lastly by the baby . The water would be so black from dirt that a baby could be accidentally `` tossed out with the bathwater '' . Others state there is no historical evidence that there is any connection with the practice of several family members using the same bath water , the baby being bathed last . </t>
  </si>
  <si>
    <t xml:space="preserve">Pulling Double Booty - wikipedia  Pulling Double Booty  Jump to : navigation , search    `` Pulling Double Booty ''     American Dad ! episode     Episode no .   Season 5 Episode 6     Directed by   John Aoshima     Written by   Brian Boyle     Production code   3AJN21     Original air date   November 16 , 2008     Guest appearance ( s )       Mike Barker as Saunders / Saunders ' Double   Leslie Bega   Chris Diamantopoulos   Michael Dunn   Erik Durbin   Jon Fener   Jeff Fischer as Jeff   Josh Gad   Steve Hely   Patrick Stewart as Bullock   John Viener   Gedde Watanabe   Keone Young       Episode chronology        ← Previous `` Escape from Pearl Bailey ''   Next → `` Phantom of the Telethon ''        American Dad ! ( season 5 ) List of American Dad ! episodes     `` Pulling Double Booty '' is the sixth episode of the fifth season of the animated comedy series American Dad ! , an episode produced for Season 3 . It first aired in the United States on Fox on November 16 , 2008 . This story centers around Hayley , who goes on a rampage shortly after Jeff breaks up with her . Francine and Stan try to help their daughter get through the grief , as the police have informed them that she will go to jail if she has another rampage . Francine later peeps into Hayley 's room one night , only to find her making out with a person that closely resembles Stan . Disturbed and horrified , she confronts Stan only for the look - alike to come out with Hayley . The look - alike , named Bill , is later caught by Stan after an attempt to have sex with Francine . They kick him out of the house , and Stan vows to act as Bill to prevent Hayley from going on another rampage . Meanwhile , Roger and Steve get summer jobs of determining the sex of baby chicks .   This episode was written by Brian Boyle and directed by John Aoshima . It received mixed reception from television critics upon its release , with much of the praise going on to the delivery of the main storyline . It features guest appearances from Mike Barker , Leslie Bega , Chris Diamantopoulos , Michael Dunn , Erik Durbin , Jon Fener , Jeff Fischer , Josh Gad , Steve Hely , Patrick Stewart , John Viener , Gedde Watanabe , and Keone Young .     Contents  ( hide )   1 Plot   2 Reception   3 References   4 External links      Plot ( edit )   Stan sneaks the cookie dough Francine tells him not to eat and hides it before she finds out . Hayley and Jeff then announce that they are going to the store to buy beads so Jeff could open his own bead store . Hayley says good - bye and `` I love you '' but Stan just says `` OK '' . Francine asks why he ca n't admit he loves Hayley . Stan says he can but only plans to when she is in last moment of incurable cancer so she dies happy . At the CIA , Bullock gives a lecture that body doubles are for work purposes only after Saunders ' double reveals the ruse of him making love with a stewardess while intoxicated . At the mall , Hayley goes on a destructive rampage after Jeff ends their relationship . Stan rushes to the mall and reprimands Jeff , also explaining Hayley goes on a rampage every time a boyfriend breaks up with her . Stan eventually stops her with 19 tranquilizer darts and brings her home . He informs Francine that the police officers will make Hayley go to jail if she goes on another rampage after this .   To prevent this , he starts to dictate who Hayley gets to date with or not , airlifting guys she is interested in . Back home , Stan excuses himself to `` feed Klaus '' downstairs , and Francine follows him . On the way down , she peeks into Hayley 's room , only to pass out after seeing Hayley and Stan make out and attack Stan for having sex with his own daughter . Hayley comes downstairs with Bill , his CIA body double , whom she was making out with earlier , rather than with Stan . Francine is relieved that Stan is n't in an incestuous relationship with his daughter , but she still throws up over the thought . Hayley explains to everyone : After throwing a salad at Bill 's face at the CIA cafeteria , thinking he was her father , they engage in a conversation , finding a lot of things in common , and started dating . Stan realizes Bill is perfect for Hayley , but if he dumps her , she 'd go maximum insane : She would kill Bill , burn down the neighborhood , and rape Roger . The couple go on a date at a beach with Stan and Francine , and in the water , Stan gives Bill a detailed description of how hot Francine is , leading Bill to later make out with her in the house kitchen and attempt to sleep with her in the bedroom . Angered , Stan defenestrates him and threatens to kill him if he ever sees Hayley again , which raises back the concern of Hayley 's outburst , this time due to Bill 's disappearance .   Stan disguises himself as Bill and goes on a date with Hayley . He tells Francine that if `` Bill '' annoys and offends her enough , Hayley will dump him and there would not be any rampages or jail time . At a hotel , Stan attempts to convince her to break up with him , by making her carry all the bags , belching at her face , and hitting on an attractive diner waitress . Rather than bothering her , all this excites her , much to his fear as she wants to go `` all the way '' with him . He takes her to the middle of a forest , where she starts complaining about how her father never says he loves her . Still acting as Bill , Stan tells her that her father puts a candy in her mouth every night so she gets `` sweet dreams '' and kisses a photo of her on his desk before each CIA mission , all of which seem to be all Hayley wants to know . Relieved , Hayley calls Stan , ringing on his cell phone and revealing the ruse . Enraged at the thought of Stan lying to her , Hayley burns down the forest they were hiking in .   Meanwhile , Roger convinces Steve to go to Chinatown for their `` summer of exotic adventure '' . The latter acquires a summer job of determining the sex of baby chicks and takes the former with him . But Roger is disappointed because he wanted a memorable summer vacation with him rather than working . When he learns the male chicks are being made into slurry , Steve rescues as many as he can , confines them in a tool shed , and raises them to adulthood . However , Roger kidnaps the chickens and holds a cockfight as way to earn extra money , much to Steve 's anger . Steve makes a deal with Roger that the winner of the fight gets to keep the chickens . After a brief skirmish , Steve frees the whole brood , who all run into the street , where they are fatally struck by oncoming cars . Roger proceeds to clock Steve with a folding chair when he mourns .   Reception ( edit )   `` Pulling Double Booty '' was met with mixed response from television critics and fans alike .   Steve Heisler of The A.V. Club gave it a positive review , going on to write , `` I never thought I 'd be writing the following words : I ... thought they did an okay job with the whole `` incest '' thing . Yeah , Hayley falls for a guy who 's Stan 's exact double , but Francine 's reenactment of prison shanking ( ... ) , Stan and Hayley 's uncomfortable dinner and even Stan 's momentary excitement that Hayley had found someone of whom he ( ... ) approved worked in the episode 's favor . They did n't hammer us with the Stan - lookalike aspect , only played it for maximum ( ... ) comedic effect . '' Heisler also praised the subplot of the episode , saying , `` I enjoyed Steve 's momentary career as a chicken sexer , complete with Roger 's cock - fighting hijack -- wow , I guess I never thought I 'd be writing those words either . '' He went on to give the episode a B - , the lowest grade of the night , tying with King of the Hill episode `` A Bill Full of Dollars '' , but scoring lower than The Simpsons episode `` Homer and Lisa Exchange Cross Words '' and Family Guy episode `` Tales of a Third Grade Nothing '' .   The Parents Television Council , a conservative media watchdog group that are frequent critics of American Dad , as well as all other television programs produced by Seth MacFarlane - including Family Guy and The Cleveland Show - named `` Pulling Double Booty '' the `` Worst TV Show of the Week '' for the week of November 22 , 2008 . In a negative review for the episode , the group criticized the episode for `` sexually explicit dialogue and a nauseating incestuous plot '' , and went on to write , `` So far , nothing has been more disturbing than the repugnant plot of the November 16th ( ... ) episode of American Dad . '' In conclusion of their review , they wrote , `` Thankfully , Stan never sleeps with his own daughter . And technically , sleeping with Bill would n't have been incest . Yet , no amount of hair - splitting will make this episode any less cringe - inducing . ''   References ( edit )    ^ Jump up to : Pulling Double Booty on IMDb   ^ Jump up to : Steve Heisler . `` '' Homer and Lisa Exchange Cross Words `` / '' A Bill Full of Dollars `` / '' Tales of a Third Grade Nothing `` / '' Pulling Double Booty `` '' . AV Club .   ^ Jump up to : `` American Dad on Fox '' . Retrieved 6 December 2011 .   Jump up ^ `` Best and Worst Family TV Shows of The Week - Parents Television Council '' . Retrieved 6 December 2011 .    External links ( edit )    `` Pulling Double Booty '' on IMDb   `` Pulling Double Booty '' at TV.com      ( hide )         American Dad !     Characters     Stan Smith   Francine Smith   Steve Smith   Hayley Smith   Roger   Klaus       Episodes      Season 1     `` Pilot ''       Season 2     `` All About Steve ''   `` Stan of Arabia : Part 1 ''   `` Stan of Arabia : Part 2 ''   `` Stannie Get Your Gun ''   `` Finances with Wolves ''       Season 3     `` Camp Refoogee ''   `` The American Dad After School Special ''   `` Lincoln Lover ''       Season 4     `` The Vacation Goo ''   `` Surro-Gate ''   `` Tearjerker ''       Season 5     `` The One That Got Away ''   `` Pulling Double Booty ''       Season 6     `` In Country ... Club ''   `` Moon Over Isla Island ''   `` My Morning Straitjacket ''   `` G - String Circus ''   `` Rapture 's Delight ''   `` Do n't Look a Smith Horse in the Mouth ''   `` Cops and Roger ''   `` Bully for Steve ''       Season 7     `` Best Little Horror House in Langley Falls ''   `` Stan 's Food Restaurant ''   `` White Rice ''   `` For Whom the Sleigh Bell Tolls ''   `` Fart - Break Hotel ''   `` Stanny Boy and Frantastic ''   `` A Piñata Named Desire ''   `` You Debt Your Life ''   `` I Am the Walrus ''   `` Jenny Fromdabloc ''   `` Home Wrecker ''   `` Flirting with Disaster ''       Season 8     `` Hot Water ''   `` Hurricane ! ''   `` A Ward Show ''   `` Virtual In - Stanity ''   `` The Scarlett Getter ''   `` Ricky Spanish ''   `` Toy Whorey ''       Season 9     `` National Treasure 4 : Baby Franny : She 's Doing Well : The Hole Story ''   `` The Missing Kink ''   `` Lost in Space ''   `` Da Flippity Flop ''       Season 10     `` Minstrel Krampus ''       Season 11     `` Blagsnarst , a Love Story ''       Season 12           Season 13     `` The Two Hundred ''       Season 14           Season 15              Related     Night of the Hurricane   Family Guy   The Cleveland Show   Animation Domination      Retrieved from `` https://en.wikipedia.org/w/index.php?title=Pulling_Double_Booty&amp;oldid=840070337 '' Categories :   2008 American television episodes   American Dad ! ( season 5 ) episodes           Talk                                           Contents                   About Wikipedia                                           Add links   This page was last edited on 7 May 2018 , at 14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</si>
  <si>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american dad jeff breaks up with hayley episode</t>
  </si>
  <si>
    <t xml:space="preserve"> Stan sneaks the cookie dough Francine tells him not to eat and hides it before she finds out . Hayley and Jeff then announce that they are going to the store to buy beads so Jeff could open his own bead store . Hayley says good - bye and `` I love you '' but Stan just says `` OK '' . Francine asks why he ca n't admit he loves Hayley . Stan says he can but only plans to when she is in last moment of incurable cancer so she dies happy . At the CIA , Bullock gives a lecture that body doubles are for work purposes only after Saunders ' double reveals the ruse of him making love with a stewardess while intoxicated . At the mall , Hayley goes on a destructive rampage after Jeff ends their relationship . Stan rushes to the mall and reprimands Jeff , also explaining Hayley goes on a rampage every time a boyfriend breaks up with her . Stan eventually stops her with 19 tranquilizer darts and brings her home . He informs Francine that the police officers will make Hayley go to jail if she goes on another rampage after this . </t>
  </si>
  <si>
    <t xml:space="preserve">Tigris -- Euphrates river system - wikipedia  Tigris -- Euphrates river system     Tigris -- Euphrates river system         Ecology     Realm   Palearctic     Biome   Flooded grasslands and savannas     Geography     Area   35,600 km ( 13,700 sq mi )     Countries   Turkey , Syria , Iraq , Iran , Kuwait     Oceans or seas   None     Rivers   Tigris , Euphrates , Greater Zab , Lesser Zab .     Climate type   Subtropical , hot and arid     Conservation     Conservation status   Critical / endangered     The Tigris and Euphrates , with their tributaries , form a major river system in Western Asia . From sources originating in the Armenian Highlands of eastern Turkey they flow by / through Syria through Iraq into the Persian Gulf . The system is part of the Palearctic Tigris -- Euphrates ecoregion , which includes Iraq and parts of Turkey , Syria , Iran , Saudi Arabia , Kuwait , and Jordan .   From their sources and upper courses in the mountains of eastern Anatolia , the rivers descend through valleys and gorges to the uplands of Syria and northern Iraq and then to the alluvial plain of central Iraq . The rivers flow in a south - easterly direction through the central plain and combine at Al - Qurnah to form the Shatt al - Arab and discharge into the Persian Gulf .   The region has historical importance as part of the Fertile Crescent region , in which civilization is believed to have first emerged .   Contents    1 Geography   2 General description   3 Ecological threats   4 Water dispute   5 Conservation   6 In media   7 See also   8 References   9 External links    Geography ( edit )   The ecoregion is characterized by two large rivers , the Tigris and Euphrates . The rivers have several small tributaries which feed into the system from shallow freshwater lakes , swamps , and marshes , all surrounded by desert . The hydrology of these vast marshes is extremely important to the ecology of the entire upper Persian Gulf . Historically , the area is known as Mesopotamia . As part of the larger Fertile Crescent , it saw the earliest emergence of literate urban civilization in the Uruk period , for which reason it is often described as a `` Cradle of Civilization '' .   In the 1980s , this ecoregion was put in grave danger as the Iran -- Iraq War raged within its boundaries . The wetlands of Iraq , which were inhabited by the Marsh Arabs , were almost completely dried out , and have only recently shown signs of recovery .   The Tigris -- Euphrates Basin is shared by Turkey , Syria , Iraq , Iran and Kuwait . Many Tigris tributaries originate in Iran and a Tigris -- Euphrates confluence forms part of the Kuwait -- Iraq border . Since the 1960s and in the 1970s , when Turkey began the GAP project in earnest , water disputes have regularly occurred in addition to the associated dam 's effects on the environment . In addition , Syrian and Iranian dam construction has also contributed to political tension within the basin , particularly during drought .   General description ( edit )  Marsh Arabs poling a mashoof in the marshes of southern Iraq  The general climate of the region is subtropical , hot and arid . At the northern end of the Persian Gulf is the vast floodplain of the Euphrates , Tigris , and Karun Rivers , featuring huge permanent lakes , marshes , and forest . The aquatic vegetation includes reeds , rushes , and papyrus , which support numerous species . Areas around the Tigris and the Euphrates are very fertile . Marshy land is home to water birds , some stopping here while migrating , and some spending the winter in these marshes living off the lizards , snakes , frogs , and fish . Other animals found in these marshes are water buffalo , two endemic rodent species , antelopes and gazelles and small animals such as the jerboa and several other mammals .   Ecological threats ( edit )  Play media This visualization shows variations in total water storage from normal , in millimeters , in the Tigris and Euphrates river basins , from January 2003 through December 2009 . Reds represent drier conditions , while blues represent wetter conditions . The effects of the seasons are evident , as is the major drought that hit the region in 2007 . The majority of the water lost was due to reductions in groundwater caused by human activities .  Iraq suffers from desertification and soil salination due in large part to thousands of years of agricultural activity . Water and plant life are sparse . Saddam Hussein 's government water - control projects drained the inhabited marsh areas east of An Nasiriyah by drying up or diverting streams and rivers . Shi'a Muslims were displaced under the Ba'athist regime . The destruction of the natural habitat poses serious threats to the area 's wildlife populations . There are also inadequate supplies of potable water .   The marshlands were an extensive natural wetlands ecosystem which developed over thousands of years in the Tigris -- Euphrates basin and once covered 15 -- 20,000 square kilometers . According to the United Nations Environmental Program and the AMAR Charitable Foundation , between 84 % and 90 % of the marshes have been destroyed since the 1970s . In 1994 , 60 percent of the wetlands were destroyed by Hussein 's regime -- drained to permit military access and greater political control of the native Marsh Arabs . Canals , dykes and dams were built routing the water of the Tigris and Euphrates Rivers around the marshes , instead of allowing water to move slowly through the marshland . After part of the Euphrates was dried up due to re-routing its water to the sea , a dam was built so water could not back up from the Tigris and sustain the former marshland . Some marshlands were burned and pipes buried underground helped to carry away water for quicker drying .   The drying of the marshes led to the disappearance of the salt - tolerant vegetation ; the plankton rich waters that fertilized surrounding soils ; 52 native fish species ; the wild boar , red fox , buffalo and water birds of the marsh habitat .   Water dispute ( edit )   The issue of water rights became a point of contention for Iraq , Turkey and Syria beginning in the 1960s when Turkey implemented a public - works project ( the GAP project ) aimed at harvesting the water from the Tigris and Euphrates rivers through the construction of 22 dams , for irrigation and hydroelectric energy purposes . Although the water dispute between Turkey and Syria was more problematic , the GAP project was also perceived as a threat by Iraq . The tension between Turkey and Iraq about the issue was increased by the effect of Syria and Turkey 's participation in the UN embargo against Iraq following the Gulf War . However , the issue had never become as significant as the water dispute between Turkey and Syria .   The 2008 drought in Iraq sparked new negotiations between Iraq and Turkey over trans - boundary river flows . Although the drought affected Turkey , Syria and Iran as well , Iraq complained regularly about reduced water flows . Iraq particularly complained about the Euphrates River because of the large amount of dams on the river . Turkey agreed to increase the flow several times , beyond its means in order to supply Iraq with extra water . Iraq has seen significant declines in water storage and crop yields because of the drought . To make matters worse , Iraq 's water infrastructure has suffered from years of conflict and neglect .   In 2008 , Turkey , Iraq and Syria agreed to restart the Joint Trilateral Committee on water for the three nations for better water resources management . Turkey , Iraq and Syria signed a memorandum of understanding on September 3 , 2009 , in order to strengthen communication within the Tigris -- Euphrates Basin and to develop joint water - flow - monitoring stations . On September 19 , 2009 , Turkey formally agreed to increase the flow of the Euphrates River to 450 to 500 m3 / s , but only until October 20 , 2009 . In exchange , Iraq agreed to trade petroleum with Turkey and help curb Kurdish militant activity in their border region . One of Turkey 's last large GAP dams on the Tigris -- the Ilisu Dam -- is strongly opposed by Iraq and is the source of political strife .   Conservation ( edit )   The Mesopotamian Marshes in southern Iraq were historically the largest wetland ecosystem of Western Eurasia . Their drainage began in the 1950s , to reclaim land for agriculture and oil exploration . Saddam Hussein extended this work in the late 1980s and early 1990s , as part of ecological warfare against the Marsh Arabs , a rebellious group of people in Baathist Iraq . However , with the breaching of the dikes by local communities after the 2003 invasion of Iraq and the ending of a four - year drought that same year , the process has been reversed and the marshes have experienced a substantial rate of recovery . The permanent wetlands now cover more than 50 % of pre-1970s levels , with a remarkable regrowth of the Hammar and Hawizeh Marshes and some recovery of the Central Marshes .       This table is in a list format that may be better presented using prose . You can help by converting this table to prose , if appropriate . Editing help is available . ( July 2016 )      Conservation status : critical / endangered   Protected area   Endemic species : Basra reed warbler ( Acrocephalus griseldis ) , Iraq babbler ( Turdoides altirostris )   Threatened species : Basra reed warbler ( Acrocephalus griseldis ) - endangered   Possibly extinct species : Bunn 's short - tailed bandicoot rat ( Nesokia bunnii )    In media ( edit )    Dawn of the World , film , 2008 .   Zaman , The Man From The Reeds , film , 2003    See also ( edit )    Wetlands portal     Soil salinity   Mesopotamian Marshes   Shatt al - Arab    References ( edit )    Jump up ^ Matthew Zentner ( 2012 ) . Design and impact of water treaties : Managing climate change . p. 144 . The Tigris - Euphrates - Shatt al Arab is shared between Iraq , Iran , Syria , Kuwait and Turkey .   Jump up ^ `` Lower Tigris &amp; Euphrates '' . feow.org. 2013 .   Jump up ^ `` Mesopotamia ( 2 / 3 / 2003 ) '' .   ^ Jump up to : Deniz Bozkurt ; Omer Lutfi Sen ( 2012 ) . `` Hydrological response of past and future climate changes in the Euphrates - Tigris Basin '' ( PDF ) . p. 1 . The Euphrates - Tigris Basin , covering areas in five countries ( Turkey , Iraq , Syria , Iran and Kuwait ) , is a major water resource of the Middle East .   ^ Jump up to : `` Euphrates River '' . Encyclopædia Britannica. 17 December 2017 . Retrieved 17 December 2017 .   Jump up ^ Gibson , McGuire ( 17 March 2014 ) . `` Tigris - Euphrates river system '' . Encyclopædia Britannica . Retrieved 11 May 2014 .   Jump up ^ Dan Caldwel ( 2011 ) . Vortex of Conflict : U.S. Policy Toward Afghanistan , Pakistan , and Iraq . p. 60 .   Jump up ^ Uzgel I. , 1992 . GÜVENSİZLİK ÜÇGENİ : TÜRKİYE , SURİYE , IRAK VE SU SORUNU , MÜLKİYELİLER BİRLİĞİ DERGİSİ , 162 , p. 47 - 52   Jump up ^ https://www.reuters.com/article/environmentNews/idUSTRE54M0XG20090523 Turkey lets more water out of dams to Iraq : MP   Jump up ^ https://web.archive.org/web/20101231233038/http://www.google.com/hostednews/afp/article/ALeqM5giDgd3ukLR8UcfziUQcNToKyM_tw Turkey to up Euphrates flow to Iraq   Jump up ^ Iraqi Marshlands : Steady Progress to Recovery Archived 2011 - 06 - 08 at the Wayback Machine . ( UNEP )    External links ( edit )       Wikiquote has quotations related to : Tigris -- Euphrates river system         Wikivoyage has a travel guide for Mesopotamia ( Middle East ) .      Persian Gulf image   BBC : Iraq marshes ' recovery ' in doubt '              Ancient Mesopotamia     Geography      Modern     Euphrates   Upper Mesopotamia   Mesopotamian Marshes   Persian Gulf   Syrian Desert   Taurus Mountains   Tigris   Zagros Mountains       Ancient     Akkad   Assyria   Babylonia   Chaldea   Elam   Hittites   Media   Mitanni   Sumer   Urartu   Cities            History      Pre - / Protohistory     Acheulean   Mousterian   Trialetian   Zarzian   Natufian   Nemrikian   Khiamian   Pre-Pottery Neolithic A ( PPNA )   Pre-Pottery Neolithic B ( PPNB )   Hassuna / Samarra   Halaf   Ubaid   Uruk   Jemdet Nasr   Kish civilization       History     Early Dynastic   Akkadian   Ur III   Old Babylonian   Kassite   Neo-Assyrian   Neo-Babylonian   Achaemenid   Seleucid   Parthian   Roman   Sasanian   Muslim conquest   Timeline of the Assyrian Empire          Languages     Akkadian   Amorite   Aramaic   Eblaite   Elamite   Gutian   Hittite   Hurrian   Luwian   Middle Persian   Old Persian   Parthian   Proto - Armenian   Sumerian   Urartian       Culture / Society     Architecture   Art   Cuneiform script   Akkadian literature   Sumerian literature   Music   Religion       Archaeology     Looting   Destruction by ISIL   Tell       Portal       Palearctic flooded grasslands and savannas             Amur meadow steppe   China , Russia     Bohai Sea saline meadow   China     Nenjiang River grassland   China     Nile Delta flooded savanna   Egypt     Saharan halophytics   Algeria , Egypt , Mauritania , Tunisia , Western Sahara     Tigris -- Euphrates alluvial salt marsh   Iraq , Iran     Ussuri - Wusuli meadow and forest meadow   China , Russia     Yellow Sea saline meadow   China      Retrieved from `` https://en.wikipedia.org/w/index.php?title=Tigris -- Euphrates_river_system&amp;oldid = 846727973 '' Categories :   Euphrates   Tigris River   Flooded grasslands and savannas   Ecoregions of Asia   Wetlands of Iraq   Grasslands of Iraq   Grasslands of Iran   Environment of Iraq   Environment of Iran   Mesopotamia   Shatt al - Arab basin   Swamps of Asia   Wetlands of Iran   Palearctic ecoregions   Hidden categories :   Webarchive template wayback links   All articles with vague or ambiguous time   Vague or ambiguous time from December 2012   Articles needing cleanup from July 2016   All pages needing cleanup   Articles with sections that need to be turned into prose from July 2016   Iraq articles missing geocoordinate data   All articles needing coordinates   Articles containing video clips           Talk                                           Contents                   About Wikipedia                                           Wikiquote   Wikivoyage    Languages    Español   Esperanto   فارسی   Français   Norsk nynorsk   Türkçe   Edit links   This page was last edited on 20 June 2018 , at 14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</si>
  <si>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area between the tigris and euphrates rivers</t>
  </si>
  <si>
    <t xml:space="preserve"> The ecoregion is characterized by two large rivers , the Tigris and Euphrates . The rivers have several small tributaries which feed into the system from shallow freshwater lakes , swamps , and marshes , all surrounded by desert . The hydrology of these vast marshes is extremely important to the ecology of the entire upper Persian Gulf . Historically , the area is known as Mesopotamia . As part of the larger Fertile Crescent , it saw the earliest emergence of literate urban civilization in the Uruk period , for which reason it is often described as a `` Cradle of Civilization '' . </t>
  </si>
  <si>
    <t xml:space="preserve">APA Ethics code - wikipedia  APA Ethics code  Jump to : navigation , search  The American Psychological Association ( APA ) Ethical Principles of Psychologists and Code of Conduct ( for short , the Ethics Code , as referred to by the APA ) includes an introduction , preamble , a list of five aspirational principles and a list of ten enforceable standards that psychologists use to guide ethical decisions in practice , research , and education . The principles and standards are written , revised , and enforced by the APA . The code of conduct is applicable to psychologists in a variety of areas across a variety of contexts . In the event of a violation of the code of conduct , the APA may take action ranging from termination of the APA membership to the loss of licensure , depending on the violation . Other professional organizations and licensing boards may adopt and enforce the code .   The first version was published by the APA in 1953 . The need for such a document came after psychologists were taking on more professional and public roles post-World War II . A committee was developed and reviewed situations submitted by psychologists in the field who felt they had encountered ethical dilemmas . The committee organized these situations into themes and included them in the first document which was 170 pages in length . Over the years , a distinction was made between aspirational principles and enforceable standards . Since , there have been nine revisions with the most recent published in 2002 and amended in 2010 .   Despite the development and use of a complete ethical code , there have still been ethical violations and controversies . For instance , although the APA takes an explicit stance against conversion therapy , this treatment remains controversial amongst many psychologists and religious groups and is still being practiced by some . There is also some disagreement within the field about the ethical implications of using a treatment that may be less effective than another known treatment , although some psychologists argue that all therapy treatments are equally effective ( see : the Dodo bird verdict ) . The APA has also been implicated in helping the Central Intelligence Agency to continue `` enhanced interrogation techniques '' of detainees under the Bush administration . This presented an obvious violation of the organization 's code of ethics and has been addressed by the APA in the form of reports , responses to media outlets , amendments to policies , and rejections of the allegations .     Contents  ( hide )   1 Content   1.1 Introduction and preamble   1.2 General ethical principles   1.2. 1 Principle A : Beneficence and nonmaleficence   1.2. 2 Principle B : Fidelity and responsibility   1.2. 3 Principle C : Integrity   1.2. 4 Principle D: Justice   1.2. 5 Principle E : Respect for people 's rights and dignity     1.3 Ethical standards   1.3. 1 Resolving ethical issues   1.3. 2 Competence   1.3. 3 Human relations   1.3. 4 Privacy and confidentiality   1.3. 5 Advertising and other public statements   1.3. 6 Record keeping and fees   1.3. 7 Education and training   1.3. 8 Research and publication   1.3. 9 Assessment   1.3. 10 Therapy       2 History   2.1 Origins   2.2 Revision history     3 Ethical controversies   3.1 Conversion therapy   3.2 Animal research   3.3 Evidence - based practice   3.4 Psychologists involved in torture     4 Further reading   5 References      Content ( edit )       This article is written like a manual or guidebook . Please help rewrite this article from a descriptive , neutral point of view , and remove advice or instruction . ( June 2015 ) ( Learn how and when to remove this template message )     Introduction and preamble ( edit )   The introduction of the Ethical Principles of Psychologists and Code of Conduct is designed to describe the document 's purpose . It also informs the reader of its organization , applicability , and procedural matters . The introduction states that the code applies to psychologists ' scientific , educational , and professional roles , that may include `` clinical psychology ; counseling psychology ; school psychology ; research ; teaching ; supervision ; public service ; policy development ; social intervention ; development of assessment instruments ; conducting assessments ; educational counseling ; organizational counseling ; forensic activities ; program design and evaluation ; and administration , '' ( pg. 2 ) The introduction also includes information on what contexts these situations apply to , including electronic and face - to - face communication . It provides information on the procedures for filing an ethical complaint , along with a description the investigation process and possible outcomes . The preamble is a description of aspirations which the American Psychological Association expects of psychologists , and reviews the main purpose for having such an ethical code .   General ethical principles ( edit )   There are five general principles that serve as the ideals to which psychologists should aspire within the profession . The principles represent ethical goals but do not explicitly inform or instruct adherence to the goals ; instead , the principles aim to influence and to guide professional behavior with respect to the psychologist , research subjects , students , and the individuals who seek psychological services .  Principle a : beneficence and nonmaleficence ( edit )  The beneficence and non maleficence principle of the APA general principles guides psychologists to perform work that is beneficial to others yet does not hurt anyone in the process of carrying out that work . Psychologists are to remain aware of their professional influence and the potential consequences therein on individuals and groups who seek counsel with the psychologist , especially with respect to preventing misuse or abuse , while additionally maintaining awareness of how the psychologist 's own physical and mental health may influence their work . Among professional interactions and research , psychologists ought to respect and protect the rights and welfare of patients and participants .  Principle B. : fidelity and responsibility ( edit )  The fidelity and responsibility principle of the APA general principles inspires psychologists to cultivate a professional and scientific environment built upon trust , accountability , and ethical considerations . Psychologists are bound to the community by way of their profession and must conduct themselves in a responsible and ethical manner while also maintaining a similar check on colleagues . Furthermore , psychologists are expected to altruistically devote some of their time to the community .  Principle c : integrity ( edit )  The integrity principle of the APA general principles aims to encourage psychologists to engage in honest , transparent practices within all aspects of the field of psychology . That is , psychologists should not engage in behavior that could be misconstrued as dishonest , exploitative , or otherwise malicious . When deception is appropriately used ( most likely during psychological research ) , psychologists have a responsibility to mitigate the effects of its use on the overall field .  Principle d: Justice ( edit )  The justice principle of the APA general principles states that people are entitled to the advances made within the field of psychology and to the services offered by professionals within the field . Furthermore , psychologists should prevent unjust practices by remaining aware of their biases , level of competence , and area and limits of expertise .  Principle e : respect for people 's rights and dignity ( edit )  The APA general principle concerning respect for people 's rights and dignity recognizes individuals ' rights to privacy and confidentiality . Psychologists are to respect the individuals ' rights while also acknowledging the worth of the individual by taking judicious precautions and engaging in positive , professional interactions , avoiding the influence of any personal bias towards the individual or group . This entails awareness of the vulnerabilities experienced by any particular population of people and necessitates understanding of and respect for diversity , including , but not limited to , factors concerning gender , race , religion , disability , and socioeconomic status .   Ethical standards ( edit )   The ethical principles of psychologists and code of conduct put forth by the APA consists of ten ethical standards . The ethical standards are enforceable rules applicable for psychologists in academia and practice . These are written broadly to guide psychologists in varied areas and roles , addressing situations most psychologists may encounter in their professional roles . The types of situations include those related to resolving ethical issues , competence , human relations , privacy and confidentiality , advertising and public statements , record keeping and fees , education and training , research and publication , assessment , and therapy . The ethical standards are enforced for the benefit of the psychologists , clients , students , and other individuals that work with psychologists . Any psychologist that is a member of the APA is expected to adhere to the ethical standards . Any violation of an ethical standard may result in sanctions ranging from termination of APA membership to loss of licensure .  Resolving ethical issues ( edit )  The resolving ethical issues section of the APA Ethical Standards is broadly designed to guide psychologists through a variety of ethical issues . One of the first sections describes how to approach when the work of psychologists ' is misused or misrepresented , such as happens in the popular press . Psychological research is often misrepresented . Two of the sections describe how to resolve conflicts between the ethical code of psychologists and a variety of governing bodies , laws , or regulations as well as organizational demands related to working as a psychologist . There is a section related to informal resolution of ethical violations for situations where such a resolution is possible while protecting confidentiality . If the incident extends beyond being able to be resolved informally , there are guidelines for reporting ethical violations as well as working with and cooperating with ethics committees . In regards to ethical complaints , there is also a section outlining what might be considered an improper complaint . Lastly , the Resolving Ethical Issues section describes unfair discrimination against complainants and respondents to protect those involved in ethics related investigations .  Competence ( edit )  The competence section of the APA Ethical Standards is designed to guide psychologists in how to define their own competence and how to approach clients or patients that might fall outside of that area of expertise . This ethical standard begins by helping psychologists define the boundaries of their own competence . The different types of mental health related problems and potential treatments are highly varied . It is impossible for a psychologists to be competent in all areas , and in fact , unethical to attempt to portray themselves in such a way . If a psychologist feels that he / she has not been trained to ensure competence in a specific area to treat a client , he / she should make an appropriate referral . This ethical standard also provides psychologists with guidelines on providing services in emergency situations . Although psychologists should refrain from providing service outside of their area of competence , in times of emergency the psychologist is obligated to help where possible . Psychologists are also required to maintain competence . This is usually done through the completion of continuing education credits . This standard also provides the psychologist with a bases from which to make scientific and professional judgment in an ethically consistent manner . Outlines are also provided for delegating work to others and resolving personal problems and conflicts .  Human relations ( edit )  The human relations section of the APA Ethical Standards provides psychologists guidance with how to approach situations related to the process of working with people in a helping field . This section outlines how to identify and avoid unfair discrimination , sexual harassment , and other types of verbal and nonverbal harassment . These types of behavior have strong adverse influences on mental health . As such , psychologists must be particularly vigilant in identifying and avoiding these kinds of behavior . This section also outlines how to avoid harm when treating patients . Some treatments have been shown to cause harm , and as such , should be avoided . The section also provides guidance for navigating and avoiding a number of multiple relationships . Situations where a clinician has more than one relationship with the client beyond just being a client can be difficult to navigate , which can also lead to conflicts of interest , which are also covered . Guidance is also provided for how to approach requests for service from third - parties , that is , when someone other than the patient is requesting services for the said patient . Exploitative relationships are also covered and should be avoided , according to the ethical standards . This section provides guidance for cooperating with other professionals , which is often a situation faced in multi-disciplinary treatment teams . Guidance is provided for providing and obtaining informed consent for treatment . Another section outlines how to provide psychological services to or through organizations . And lastly , guidance is provided for how to navigate situations in which there is an interruption of psychological services for various reasons .  Privacy and confidentiality ( edit )  The privacy and confidentiality section of the APA Ethical Standards is written to help provide psychologists with guidelines for maintaining appropriate confidentiality and respecting the privacy of the clients and patients under their care . Specific guidelines are provided for maintaining confidentiality for the psychologist 's patients as well as discussing the limits of confidentiality with them . In certain situations where the safety of the patient or others is at risk , confidentiality must be broken as law enforcement needs to be motivated . Guidelines are also provided for how to ethically record therapy sessions for various reasons including training . Steps are covered for the psychologist to minimize intrusions on privacy for patients . Sections on disclosures and consultations provide guidance on how and when psychologists should disclose information and how to ethically consult with other professionals while maintaining appropriate levels of confidentiality . Lastly , this section guides psychologists on how and when to use confidential information for didactic or other purposes while protecting confidentiality of the client .  Advertising and other public statements ( edit )  The advertising and other public statements section of the APA Ethical Standards is designed to guide psychologists through the process of advertising their practice and making other types of public statements . This section begins by outlining how to avoid false and deceptive statements , in specific of one 's level of competence . As described in the competence section , it is unethical to provide services outside of your area of expertise . The section also outlines statements by others regarding a psychologist 's work and competence . The section goes on to outline how to accurately and honestly describe workshops and non-degree granting educational programs . Media presentations and testimonials regarding one 's work , and how to do so ethically and accurately , is also covered . This section also states that obtaining testimonials from past or current clients is not acceptable . The section closes by outlining how to ethically navigate situations of in - person solicitation of services .  Record keeping and fees ( edit )  The record keeping and fees standard of the APA ethical standards is developed to guide psychologists in maintaining records of professional and scientific work in confidentiality . This standard states that maintaining records allow professionals to share information with other professionals if needed , help replicate research findings , and abide by the requirements of the institution and the law . In an event of an emergency , psychologists are not allowed to withhold records of clients who have failed to make payments . Psychologists are expected to arrange fees and financial arrangements in compliance with the law and accept barter only in situations that doing so , does not negatively impact the treatment . Psychologists are also expected to maintain and provide accurate reports of treatment , funding , and diagnostic details . This standard also emphasizes that psychologists should receive payment based on the services provided rather than the referral .  Education and training ( edit )  The education and training standard of the APA ethical standards is designed to help psychologists create high - quality programmes that train future psychologists with appropriate knowledge and practice . Psychologists creating education and training programmes are responsible for presenting clear descriptions of the programmes , including the pre-requirements for acceptance and the requirements for completion of the programme . Psychologists are expected to teach accurate and current material supported by scientific evidence . Psychologists should not require students to disclose any personal information , unless it is listed as a programme requirement , or to evaluate whether such experiences are negatively impacting a student 's performance . If individual or group therapy is a requirement of the programme , the psychologists are responsible for allowing students to attend individual or group therapy outside of the programme . Furthermore , faculty members are not allowed to provide therapy services to the students . Supervisors are required to provide timely feedback to the students and supervisees based on their performance and the requirements of the programme . Psychologists involved in the programme are prohibited from engaging in sexual relationships with students and supervisees .  Research and publication ( edit )  The research and publication standard of the APA ethical standards is developed to highlight research and publication ethics that psychologists are expected to adhere to . This standard emphasizes the necessity of approval by the institute prior to carrying out the research , providing accurate information about the research study , and carrying out the research in accordance with the approval . When obtaining informed consent , details of the study should be presented to the participants , including but not limited to , the objective of the study , the procedures , benefits and potential risks associated with the study , and the participants ' right to decline to participate and withdraw from the study without any penalty . However , studies which are not expected to cause any harm , such as observing in a naturalistic environment , using anonymous questionnaires , or if permitted by the law , informed consent may not be necessary to be obtained . Compensation for participation should not be used to persuade an unwilling participant . At the conclusion of the study , each participant should be presented with a summary of the study and the participant should be provided with an opportunity to ask any questions he / she has . Further , if there has been some harm caused to the participant due to participation in the study , necessary steps should be followed to minimize the harm . This standard also provides guidelines and instructions on animal research . Psychologists are responsible for reporting accurate findings and taking necessary steps to correct any errors in research and publication . Psychologists are also required to only present original data as their work and share publication credits based on the contributions rather than authority . Psychologists are also expected to be willing to share research data when required for verification , and maintain confidentiality of the participants during the review process .  Assessment ( edit )  The assessment standard of the APA ethical standards is developed to broadly address guidelines on assessments . This standard states that the psychologist 's views should be supported by findings from assessments , while reporting the limitations of assessments . If a viewpoint is not based on assessment results , psychologists should provide evidence to justify their judgment . Psychologists are responsible for using valid and reliable assessments that are administered in a preferred language by the client . Informed consent is expected to be obtained in accordance to the guidelines on the `` Informed Consent '' standard , unless the assessment is required by the law , a routine practice or required to test for the ability to make decisions . Psychologists using an interpreter are expected to obtain informed consent from the client for the use of an interpreter as well as maintain confidentiality and test security . Psychologists may refrain from releasing test data in order to protect a participant . Psychologists are also responsible for developing valid and reliable assessments and interpreting test results by taking other factors that may influence the interpretations while also indicating any limitations associated with the interpretations . Psychologists are required to be appropriately trained in order to administer assessments and are responsible for using current tests . Psychologists are also responsible for providing necessary information when outsourcing interpretation and the interpretation of test results . Psychologists are required to explain the test results to the client or other identified persons , unless otherwise specified . Psychologists are also required to maintain security and integrity in regards to all test material .  Therapy ( edit )  The therapy section of the APA ethical standards is broadly written to guide psychologists through various aspects of providing psychological services . Psychologists are required to obtain informed consent from clients prior to treatment by presenting sufficient details about the therapy technique , including how established the treatment is and whether a psychologist in training will be assisting the client . When psychologists are required to provide services in a group setting , psychologists are required to identify the role of the psychologist and notify the clients of the limitations of confidentiality . If a psychologist is required to provide services for a client already receiving mental health services from another professional , the psychologist is required to discuss with the client or other identified persons to minimize conflict and harm . Psychologists should not engage in sexual relationships with current clients or with those closely related to clients . Psychologists should not be sexually engaged with past clients within two years of termination and even after two years of termination , psychologists will have to provide enough details to ensure that this ethical standard is not violated by being involved with a past client . In the event of a termination of employment , necessary steps should be taken in order to ensure client care . Termination of therapy should occur when the client shows significant improvements , does not benefit further from treatment , is being harmed by the treatment , or the clinician is threatened by the client or a person related to the client . Psychologists are expected to prepare clients for termination and provide sources for alternative services .   History ( edit )   Origins ( edit )   `` These rules should do much more than help the unethical psychologist keep out of trouble ; they should be of palpable aid to the ethical psychologist in making daily decisions . '' -- Nicholas Hobbs ( 1948 , p. 81 )   The first committee on Ethical Standards for Psychologists was developed in 1947 and chaired by Edward Tolman . The committee was created because psychologists were becoming more involved in professional activities and public works during and following World War II . To gain insight on what to include , the committee sought information from psychologists in the field . Psychologists discussed situations in which they felt they encountered ethical dilemmas .   A second committee was formed and headed by Nicholas Hobbs . This 8 - member committee was responsible for the creation of the first document . The committee used contributions from over 2,000 psychologists to create the first principles . The committee reviewed the situations submitted by psychologists to the first committee and attempted to organize the situations into themes . Themes that emerged reflected many of the political and social issues of the time including racial segregation , post-war politics , and the testing industry . The first version of the Ethical Standards of Psychologists was adopted in 1952 and published in 1953 by the American Psychological Association ( APA ) . The document was over 170 pages in length . The first version contained many ethical dilemmas that psychologists had written about and submitted to the first committee as case examples .   Revision History ( edit )   Revisions to the 1953 version continued over the decades until the most recent version which was published in 2002 and amended in 2010 . Each revision has been guided by a set of objectives put forth by Hobbs in 1948 : `` to express the best ethical practices in the field as judged by a large representative sample of members of the APA ; to reflect an explicit value system as well as clearly articulated decisional and behavioral rules ; to be applicable to the full range of activities and role relationships encountered in the work of psychologists ; to have the broadest possible participation among psychologists in its development and revisions ; and to influence the ethical conduct of psychologists by meriting widespread identification and acceptance among members of the discipline '' .   Revisions occurred over the years pertaining to many changes in society . Culture , politics , the legal system , the economy and the healthcare system have all been influential in the development of the past and current ethical codes . The case examples were also removed . Prior to 1981 , there was no principle or standard that addressed conflict between law and ethics . One of the biggest changes occurred with the 1992 version of the code . Before this version , there was no distinction between principles and standards . This version was the first to make that distinction . The principles are considered to be aspirational while the standards are enforceable by agencies adopting them , including the APA .   The current version of the code was developed in 2002 , became effective in 2003 , and was amended in 2010 . Amendments were made to the Introduction and Applicability Sections along with Standard 1.02 Conflicts Between Ethics and Law , Regulations , or Other Governing Legal Authority and Standard 1.03 Conflicts Between Ethics and Organizational Demands . / green /    Previous revisions with changes indicated :    American Psychological Association . ( 1953 ) . Ethical standards of psychologists . Washington , DC : Author . ( first version ; no reference to legal standards )   American Psychological Association . ( 1959 ) . Ethical standards of psychologists . American Psychologist , 14 , 279 - 282 . ( change to Principle 3 : Moral and Legal Standards )   American Psychological Association . ( 1963 ) . Ethical standards of psychologists . American Psychologist , 18 , 56 - 60 . ( no change in language )   American Psychological Association . ( 1968 ) . Ethical standards of psychologists . American Psychologist , 23 , 357 - 361 . ( no change in language )   American Psychological Association . ( 1977 , March ) . Ethical standards of psychologists . APA Monitor , 22 - 23 . ( change to Principle 3 : Moral and Legal Standards )   American Psychological Association . ( 1979 ) . Ethical standards of psychologists . Washington , DC : Author . ( no change in language )   American Psychological Association . ( 1981 ) . Ethical principles of psychologists . American Psychologist , 36 , 633 - 638 . ( change to Principle 3 : Moral and Legal Standards )   American Psychological Association . ( 1990 ) . Ethical principles of psychologists ( Amended June 2 , 1989 ) . American Psychologist , 45 , 390 - 395 . ( no change in language )   American Psychological Association . ( 1992 ) . Ethical principles of psychologists and code of conduct . American Psychologist , 47 , 1597 - 1611 . ( change to Introduction to the 1992 Ethics Code ( paragraph 5 ) ( aspirational ) ; change to Ethical Standard 1.02 Relationship of Ethics and Law ( enforceable ) )   American Psychological Association . ( 2002 ) . Ethical principles of psychologists and code of conduct ( Amended February 20 , 2010 ) . American Psychologist , 57 , 1060 - 1073 . ( change to Introduction and Applicability ( paragraph 7 ) ( aspirational ) ; change to 1.02 Conflicts Between Ethics and Law , Regulations , or Other Governing Legal Authority ( enforceable ) )    Ethical controversies ( edit )       It has been suggested that portions of this section be split out into another article titled American Psychological Association . ( Discuss ) ( August 2015 )     Conversion therapy ( edit )  See also : Conversion therapy  Conversion therapy ( also referred to as reparative therapy ) is the practice of attempting to change the patient 's sexual orientation to heterosexual . Among the most prominent supporters of conversion therapy is the National Association for Research &amp; Therapy of Homosexuality ( NARTH ) , which continues to characterize homosexuality as a mental disorder , despite the declassification of homosexuality as a disorder in the Diagnostic and Statistical Manual of Mental Disorders ( DSM ) in 1973 . One of the most notable members of NARTH is founder and former president Dr. Joseph Nicolosi , who practices conversion therapy and has published case studies some of his clients .   The American Psychological Association ( APA ) task force report on appropriate therapeutic responses to sexual orientation concluded that conversion therapy was `` unlikely to be successful '' and involved `` some risk of harm '' . Likewise , the U.S. Surgeon General issued a call to action in 2001 , concluding that `` there is no valid scientific evidence that sexual orientation can be changed '' .   In the task force 's report , the APA recommends that therapists adopt an affirmative , supportive approach for clients who present for therapy to change their sexual orientation rather than attempting to convert their sexual orientation .   Animal research ( edit )  See also : Animal testing  Currently , the APA enforces ethical standards to protect nonhuman animal subjects from unnecessary harm during the research process . Some of the requirements for using nonhuman animals in research include : proper justification of the research , maintenance and inspection of appropriate housing for the animals , minimizing discomfort and stress whenever possible , and preference of noninvasive measures .   Despite these guidelines , however , many advocacy groups exist to either reduce or eliminate animal research , arguing that it is unethical to capture animals and subject them to research procedures . Indeed , a recent study showed that only 52 % of the public approves of animal research . Some scientists believe that this low approval rate is primarily the result of receiving manipulative misinformation from anti-animal research groups .   Evidence - based practice ( edit )  See also : Dodo bird verdict  A current controversy among mental health professionals is the use of specific psychological treatments which are not strongly supported by research . Proponents of the evidence - based practice ( EBP ) movement argue that it is unethical to administer a therapeutic intervention with questionable research support ( such as psychoanalysis ) when another treatment 's effectiveness has been demonstrated for the client 's condition , particularly when the intervention in question is potentially harmful ( such as conversion therapy ) .</t>
  </si>
  <si>
    <t xml:space="preserve">the most recent revision of the apa ethics code was published in</t>
  </si>
  <si>
    <t xml:space="preserve"> The first version was published by the APA in 1953 . The need for such a document came after psychologists were taking on more professional and public roles post-World War II . A committee was developed and reviewed situations submitted by psychologists in the field who felt they had encountered ethical dilemmas . The committee organized these situations into themes and included them in the first document which was 170 pages in length . Over the years , a distinction was made between aspirational principles and enforceable standards . Since , there have been nine revisions with the most recent published in 2002 and amended in 2010 . </t>
  </si>
  <si>
    <r>
      <rPr>
        <sz val="11"/>
        <color rgb="FF000000"/>
        <rFont val="Calibri"/>
        <family val="0"/>
        <charset val="1"/>
      </rPr>
      <t xml:space="preserve">An apple a day keeps the doctor away - wikipedia  An apple a day keeps the doctor away  Jump to : navigation , search It is commonly believed that apple consumption has health benefits .  `` An apple a day keeps the doctor away '' is a common English - language proverb of Welsh origin . It espouses the folk - wisdom that apple consumption ( or consumption of fruits and vegetables in general ) has identifiable health benefits .   Origin ( edit )   First recorded in the 1860s , the proverb originated in Wales , and was particularly prevalent in Pembrokshire . The first English version of the saying was `` Eat an apple on going to bed , and you 'll keep the doctor from earning his bread . '' The current phrasing ( `` An apple a day keeps the doctor away '' ) was first used in print in 1922 .   Scientific evaluation ( edit )  A red apple with a heart - shaped bite .  A 2011 study found that consumption of apples and pears might prevent strokes . A 2012 study found that apple consumption significantly lowered bad cholesterol levels in middle - aged adults . In 2013 , the BMJ published a study as part of its humorous Christmas issue comparing the effects of prescribing everyone in the UK over age 50 either an apple or a statin a day . The study concluded that both interventions would be similarly effective .   A 2015 study looked directly at the relationship between apple consumption and physician visits and found no evidence that the proverb was true . The study did , however , find that people who ate an apple a day did use fewer prescription medications .   However , a 2011 study found that adding one ' Golden Delicious ' apple to the daily diet of a small group of overweight men led to higher levels of LDL cholesterol and triglycerides . The higher sugar and low - phenolic content of ' Golden Delicious ' apples was blamed for the results .   References ( edit )    ^ Jump up to : Ely , Margaret ( 24 September 2013 ) . `` History behind ' An apple a day ' '' . Washington Post . Retrieved 5 December 2015 .   Jump up ^ `` An apple a day keeps the doctor away '' .   Jump up ^ Briggs , A.D.M. ; Mizdrak , A. ; Scarborough , P. ( 17 December 2013 ) . `` A statin a day keeps the doctor away : comparative proverb assessment modelling study '' . BMJ. 347 ( dec17 2 ) : f7267 -- f7267 . doi : 10.1136 / bmj. f7267 . Lay summary .   Jump up ^ Davis , Matthew A. ; Bynum , Julie P.W. ; Sirovich , Brenda E. ( 1 May 2015 ) . `` Association Between Apple Consumption and Physician Visits '' . JAMA Internal Medicine . 175 ( 5 ) : 777 . doi : 10.1001 / jamainternmed. 2014.5466 . Lay summary .   Jump up ^ James , Wong ( 4 October 2015 ) . `` Gardens : the truth about apples '' . The Guardian . Retrieved 16 April 2016 .   Retrieved from `` https://en.wikipedia.org/w/index.php?title=An_apple_a_day_keeps_the_doctor_away&amp;oldid=805434402 '' Categories :   English proverbs   Apples   Nutrition           Talk                                                             About Wikipedia                                           Deutsch   </t>
    </r>
    <r>
      <rPr>
        <sz val="11"/>
        <color rgb="FF000000"/>
        <rFont val="Noto Sans CJK SC"/>
        <family val="2"/>
      </rPr>
      <t xml:space="preserve">日本 語   </t>
    </r>
    <r>
      <rPr>
        <sz val="11"/>
        <color rgb="FF000000"/>
        <rFont val="Calibri"/>
        <family val="0"/>
        <charset val="1"/>
      </rPr>
      <t xml:space="preserve">தமிழ்   </t>
    </r>
    <r>
      <rPr>
        <sz val="11"/>
        <color rgb="FF000000"/>
        <rFont val="Noto Sans CJK SC"/>
        <family val="2"/>
      </rPr>
      <t xml:space="preserve">中文   </t>
    </r>
    <r>
      <rPr>
        <sz val="11"/>
        <color rgb="FF000000"/>
        <rFont val="Calibri"/>
        <family val="0"/>
        <charset val="1"/>
      </rPr>
      <t xml:space="preserve">Edit links   This page was last edited on 15 October 2017 , at 11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</si>
  <si>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an apple a day keeps the doctor away come from</t>
  </si>
  <si>
    <t xml:space="preserve"> First recorded in the 1860s , the proverb originated in Wales , and was particularly prevalent in Pembrokshire . The first English version of the saying was `` Eat an apple on going to bed , and you 'll keep the doctor from earning his bread . '' The current phrasing ( `` An apple a day keeps the doctor away '' ) was first used in print in 1922 . </t>
  </si>
  <si>
    <t xml:space="preserve">ICC awards - wikipedia  ICC awards  Jump to : navigation , search The ICC Awards Logo , used for the ninth ceremony in 2012 .  The ICC Awards are a set of sports awards for cricket . The awards recognise and honor the best international cricket players of the previous 12 months . The awards have been institutionalised by International Cricket Council since 2004 . Between 2011 and 2014 the awards were known , for sponsorship reasons , as the LG ICC Awards .     Contents  ( hide )   1 Award categories   2 ICC Development Programme Awards   3 Methodology   4 2004 awards   5 2005 awards   6 2006 awards   7 2007 awards   8 2008 awards   9 2009 awards   10 2010 awards   11 2011 awards   12 2012 awards   13 2013 awards   14 2014 awards   15 2015 awards   16 2016 awards   17 2017 awards   18 References      Award categories ( edit )   The following awards have been or currently are presented :    Sir Garfield Sobers Trophy ( Cricketer of the Year )   Test Player of the Year   ODI Player of the Year   Twenty20 International Performance of the Year   Emerging Player of the Year         Players eligible for this award must be under 26 years of age at the start of the voting period and have played no more than five Tests and / or ten ODIs before that date .         Associate Player of the Year   David Shepherd Trophy ( Umpire of the Year )   Captain of the Year   Women 's Cricketer of the Year   Women 's ODI Cricketer of the Year   Women 's T20I Cricketer of the Year   Women 's Emerging Player of the Year   Spirit of Cricket       Described by the ICC as being awarded to the team most notable for `` upholding the ' Spirit of the Game ' '' , involving respect for :   Their opponents   Their own captain and team   The role of the umpires   The game 's traditional values         LG People 's Choice Award   Fan 's Moment of the Year   World Test XI   World one - day XI   Women 's one - day XI   Women 's T20I XI    ICC Development Programme awards ( edit )   In December 2016 , ICC Development Programme Awards was announced for ICC 's Associate and Affiliate Members aimed at creating improving structures within the 95 member federations .   Methodology ( edit )   The judging / voting period was originally from 1 August of the current year to 31 July of the next year . It has since undergone two changes and now takes place presently between September of the current year and September of the next year .   The ICC Selection committee comprises eminent former players and select the finalists for the ICC Cricketer of the Year , ICC Test Player of the Year , ICC ODI Player of the Year , ICC Emerging Player of the Year . The committee selects the final ICC World Test XI and ICC World one - day XI .     Selection Committee     Year   Chairman   Committee Members       Sunil Gavaskar   Richie Benaud   Michael Holding   Ian Botham   Barry Richards     2005   Sunil Gavaskar   David Gower   Richard Hadlee   Rod Marsh   Courtney Walsh     2006   Sunil Gavaskar   Allan Donald   Ian Healy   Arjuna Ranatunga   Waqar Younis     2007   Sunil Gavaskar   Chris Cairns   Gary Kirsten   Iqbal Qasim   Alec Stewart     2008   Clive Lloyd   Greg Chappell   Shaun Pollock   Sidath Wettimuny   Athar Ali Khan     2009   Clive Lloyd   Anil Kumble   Mudassar Nazar   Stephen Fleming   Bob Taylor       Clive Lloyd   Angus Fraser   Matthew Hayden   Ravi Shastri   Duncan Fletcher     2011   Clive Lloyd   Zaheer Abbas   Mike Gatting   Paul Adams   Danny Morrison     2012   Clive Lloyd   Marvan Atapattu   Tom Moody   Carl Hooper   Clare Connor     2013   Anil Kumble   Alec Stewart   Waqar Younis   Catherine Campbell   Graeme Pollock     2014   Anil Kumble   Jonathan Agnew   Russel Arnold   Stephen Fleming   Betty Timmer     2015   Anil Kumble   Ian Bishop   Mark Butcher   Belinda Clark   Gundappa Viswanath     The final selection for the award is voted for by an academy of 56 ( expanded from 50 in 2004 ) , which includes current national team captains of Test playing nations ( 10 ) , members of the Elite panel of ICC umpires and referees ( 18 ) , prominent former players and cricket correspondents ( 28 ) . In the event of a tie in the voting , the award is shared .   2004 awards ( edit )  Main article : 2004 ICC Awards  The inaugural ICC awards ceremony was held on 7 September 2004 , in London . The judging period covered was from 1 August 2003 to 31 July 2004 and included all Test matches and One Day Internationals played during that period .   Award winners were :    Cricketer of the Year : Rahul Dravid ( India )   Test Player of the Year : Rahul Dravid ( India )   ODI Player of the Year : Andrew Flintoff ( England )   Emerging Player of the Year : Irfan Pathan ( India )   Umpire of the Year : Simon Taufel ( Australia )   Spirit of Cricket : New Zealand   World Test XI : Matthew Hayden ( Aus ) , Herschelle Gibbs ( SA ) , Ricky Ponting ( Aus , captain ) , Rahul Dravid ( Ind ) , Brian Lara ( WI ) , Jacques Kallis ( SA ) , Adam Gilchrist ( Aus , wicket - keeper ) , Chaminda Vaas ( SL ) , Shane Warne ( Aus ) , Jason Gillespie ( Aus ) , Steve Harmison ( Eng ) 12th man : Sachin Tendulkar   World one - day XI : Adam Gilchrist ( Aus , wicket - keeper ) , Sachin Tendulkar ( Ind ) , Chris Gayle ( WI ) , Ricky Ponting ( Aus , captain ) , Brian Lara ( WI ) , Jacques Kallis ( SA ) , Virender Sehwag ( Ind ) , Andrew Flintoff ( Eng ) , Shaun Pollock ( SA ) , Chaminda Vaas ( SL ) , Jason Gillespie ( Aus )    2005 awards ( edit )  Main article : 2005 ICC Awards  The second ICC awards ceremony was held at the Four Seasons Hotel in Sydney , Australia , on 11 October 2005 . The judging period covered was from 1 August 2004 to 31 July 2005 . This did not include the whole of the 2005 Ashes Series , since the final four matches of this series were played in August and September .   Award winners were :    Cricketer of the Year : Awarded jointly to Andrew Flintoff ( England ) and Jacques Kallis ( South Africa )   Test Player of the Year : Jacques Kallis ( South Africa )   ODI Player of the Year : Kevin Pietersen ( England )   Emerging Player of the Year : Kevin Pietersen ( England )   Umpire of the Year : Simon Taufel ( Australia )   Spirit of Cricket : England   World Test XI : Virender Sehwag ( Ind ) , Graeme Smith ( SA ) , Ricky Ponting ( Aus , captain ) , Jacques Kallis ( SA ) , Brian Lara ( WI ) , Inzamam - ul - Haq ( Pak ) , Andrew Flintoff ( Eng ) , Adam Gilchrist ( Aus , wicket - keeper ) , Shane Warne ( Aus ) , Chaminda Vaas ( SL ) , Glenn McGrath ( Aus ) , 12th man : Anil Kumble ( Ind )   World one - day XI : Marvan Atapattu ( SL , captain ) , Adam Gilchrist ( Aus , wicket - keeper ) , Rahul Dravid ( Ind ) , Kevin Pietersen ( Eng ) , Andrew Symonds ( Aus ) , Inzamam - ul - Haq ( Pak ) , Andrew Flintoff ( Eng ) , Daniel Vettori ( NZ ) , Brett Lee ( Aus ) , Naved - ul - Hasan ( Pak ) , Glenn McGrath ( Aus ) , 12th man : Jacques Kallis ( SA )   List of nominees for 2005 awards    2006 awards ( edit )  Main article : 2006 ICC Awards  The third ICC awards ceremony was held in Mumbai , India on 3 November 2006 , during the 2006 ICC Champions Trophy . The judging period was from 1 August 2005 to 8 August 2006 , thus including three of the four Tests between Pakistan and England , and the Test series between South Africa and Sri Lanka . For the first time , honors for both Women 's Cricketer of the Year and Captain of the Year were awarded .   Award winners were :    Cricketer of the Year : Ricky Ponting ( Australia )   Test Player of the Year : Ricky Ponting ( Australia )   ODI Player of the Year : Michael Hussey ( Australia )   Emerging Player of the Year : Ian Bell ( England )   Umpire of the Year : Simon Taufel ( Australia )   Captain of the Year : Mahela Jayawardene ( Sri Lanka )   Women 's Cricketer of the Year : Karen Rolton ( Australia )   Spirit of Cricket : England   World Test XI : Matthew Hayden ( Aus ) , Michael Hussey ( Aus ) , Ricky Ponting ( Aus ) , Rahul Dravid ( Ind , captain ) , Mohammad Yousuf ( Pak ) , Kumar Sangakkara ( SL , wicket - keeper ) , Andrew Flintoff ( Eng ) , Shane Warne ( Aus ) , Makhaya Ntini ( SA ) , Muttiah Muralitharan ( SL ) , Glenn McGrath ( Aus ) , 12th man : Brett Lee ( Aus )   World one - day XI : Adam Gilchrist ( Aus , wicket - keeper ) , MS Dhoni ( Ind ) , Ricky Ponting ( Aus ) , Mahela Jayawardene ( SL , captain ) , Yuvraj Singh ( Ind ) , Andrew Flintoff ( Eng ) , Michael Hussey ( Aus ) , Irfan Pathan ( Ind ) , Brett Lee ( Aus ) , Shane Bond ( NZ ) , Muttiah Muralitharan ( SL ) , 12th man : Andrew Symonds ( Aus )   List of nominees for 2006 awards    2007 awards ( edit )   The fourth ICC awards ceremony was held in Johannesburg , South Africa . For the first time , honor for Associate Player of the Year was awarded .   Award winners were :    Cricketer of the Year : Ricky Ponting ( Australia )   Test Player of the Year : Mohammad Yousuf ( Pakistan )   ODI Player of the Year : Matthew Hayden ( Australia )   Emerging Player of the Year : Shaun Tait ( Australia )   Associate Player of the Year : Thomas Odoyo ( Kenya )   Umpire of the Year : Simon Taufel ( Australia )   Captain of the Year : Ricky Ponting ( Australia )   Women 's Cricketer of the Year : Jhulan Goswami ( India )   Spirit of Cricket : Sri Lanka   World Test XI : Michael Vaughan ( Eng ) , Matthew Hayden ( Aus ) , Ricky Ponting ( Aus , captain ) , Mohammad Yousuf ( Pak ) , Kevin Pietersen ( Eng ) , Michael Hussey ( Aus ) , Kumar Sangakkara ( SL , wicket - keeper ) , Stuart Clark ( Aus ) , Makhaya Ntini ( SA ) , Mohammad Asif ( Pak ) , Muttiah Muralitharan ( SL ) , 12th man : Zaheer Khan ( Ind )   World one - day XI : Matthew Hayden ( Aus ) , Sachin Tendulkar ( Ind ) , Ricky Ponting ( Aus , captain ) , Kevin Pietersen ( Eng ) , Jacques Kallis ( SA ) , Shivnarine Chanderpaul ( WI ) , Mark Boucher ( SA , wicket - keeper ) , Chaminda Vaas ( SL ) , Shane Bond ( NZ ) , Muttiah Muralitharan ( SL ) , Glenn McGrath ( Aus ) , 12th man : Michael Hussey ( Aus )    2008 awards ( edit )   The fifth ICC awards ceremony was held in Dubai , U.A.E. on 10 September 2008 and saw the Twenty20 International Performance of the Year award inaugurated .   Award winners were :    Cricketer of the Year : Shivnarine Chanderpaul ( West Indies )   Test Player of the Year : Dale Steyn ( South Africa )   ODI Player of the Year : MS Dhoni ( India )   Twenty20 International Performance of the Year : Yuvraj Singh ( India )   Emerging Player of the Year : Ajantha Mendis ( Sri Lanka )   Associate Player of the Year : Ryan ten Doeschate ( Netherlands )   Umpire of the Year : Simon Taufel ( Australia )   Women 's Cricketer of the Year : Charlotte Edwards ( England )   Spirit of Cricket : Sri Lanka   World Test XI : Graeme Smith ( SA , captain ) , Virender Sehwag ( Ind ) , Mahela Jayawardene ( SL ) , Shivnarine Chanderpaul ( WI ) , Kevin Pietersen ( Eng ) , Jacques Kallis ( SA ) , Kumar Sangakkara ( SL , wicket - keeper ) , Brett Lee ( Aus ) , Ryan Sidebottom ( Eng ) , Dale Steyn ( SA ) , Muttiah Muralitharan ( SL ) , 12th man : Stuart Clark ( Aus )   World one - day XI : Herschelle Gibbs ( SA ) , Sachin Tendulkar ( Ind ) , Ricky Ponting ( Aus , captain ) , Ajantha Mendis ( SL ) , Farveez Maharoof ( SL ) , MS Dhoni ( Ind , wicket - keeper ) , Andrew Symonds ( Aus ) , Daniel Vettori ( NZ ) , Brett Lee ( Aus ) , Mitchell Johnson ( Aus ) , Nathan Bracken ( Aus ) , 12th man : Salman Butt ( Pak )    2009 awards ( edit )  Main article : 2009 ICC Awards  The sixth ICC awards ceremony was held in Johannesburg , South Africa on 1 October 2009 .   Award winners were :    Cricketer of the Year : Mitchell Johnson ( Australia )   Test Player of the Year : Gautam Gambhir ( India )   ODI Player of the Year : MS Dhoni ( India )   Twenty20 International Performance of the Year : Tillakaratne Dilshan ( Sri Lanka )   Emerging Player of the Year : Peter Siddle ( Australia )   Associate Player of the Year : William Porterfield ( Ireland )   Umpire of the Year : Aleem Dar ( Pakistan )   Women 's Cricketer of the Year : Claire Taylor ( England )   Spirit of Cricket : New Zealand   World Test XI : Gautam Gambhir ( Ind ) , Andrew Strauss ( Eng ) , AB de Villiers ( SA ) , Sachin Tendulkar ( Ind ) , Thilan Samaraweera ( SL ) , Michael Clarke ( Aus ) , MS Dhoni ( Ind , captain , wicket - keeper ) , Shakib Al Hasan ( Ban ) , Mitchell Johnson ( Aus ) , Stuart Broad ( Eng ) , Dale Steyn ( SA ) , 12th man : Harbhajan Singh ( Ind )   World one - day XI : Martin Guptill ( NZ ) , Chris Gayle ( WI ) , Kevin Pietersen ( Eng ) , Tillakaratne Dilshan ( SL ) , Yuvraj Singh ( Ind ) , MS Dhoni ( Ind , captain , wicket - keeper ) , Virender Sehwag ( Ind ) , Andrew Flintoff ( Eng ) , Nuwan Kulasekara ( SL ) , Ajantha Mendis ( SL ) , Umar Gul ( Pak ) , 12th man : Thilan Thushara ( SL )   List of nominees for 2009 awards    2010 awards ( edit )  Main article : 2010 ICC Awards  The seventh ICC awards ceremony was held in Bengaluru , India on 6 October 2010 .   Award winners were :    Cricketer of the Year : Sachin Tendulkar ( India )   Test Player of the Year : Virender Sehwag ( India )   Test Team of the Year : India   ODI Player of the Year : AB de Villiers ( South Africa )   ODI Team of the Year : Australia   Twenty20 International Performance of the Year : Brendon McCullum ( New Zealand )   Emerging Player of the Year : Steven Finn ( England )   Associate Player of the Year : Ryan ten Doeschate ( Netherlands )   Umpire of the Year : Aleem Dar ( Pakistan )   Women 's Cricketer of the Year : Shelley Nitschke ( Australia )   Spirit of Cricket : New Zealand   LG People 's Choice Award : Sachin Tendulkar ( India )   World Test XI : Virender Sehwag ( Ind ) , Simon Katich ( Aus ) , Hashim Amla ( SA ) , Sachin Tendulkar ( Ind ) , Kumar Sangakkara ( SL ) , Jacques Kallis ( SA ) , MS Dhoni ( Ind , captain , wicket - keeper ) , Graeme Swann ( Eng ) , James Anderson ( Eng ) , Dale Steyn ( SA ) , Doug Bollinger ( Aus ) , 12th man : Steve Harmison ( Eng )   World one - day XI : Sachin Tendulkar ( Ind ) , Shane Watson ( Aus ) , Michael Hussey ( Aus ) , AB de Villiers ( SA ) , Paul Collingwood ( Eng ) , MS Dhoni ( Ind , wicket - keeper ) , Ricky Ponting ( Aus , captain ) , Daniel Vettori ( NZ ) , Stuart Broad ( Eng ) , Doug Bollinger ( Aus ) , Ryan Harris ( Aus )    2011 awards ( edit )  Main article : 2011 LG ICC Awards  The eighth ICC awards ceremony was held in London , England on 12 September 2011 .   Award winners were :    Cricketer of the Year : Jonathan Trott ( England )   Test Player of the Year : Alastair Cook ( England )   ODI Player of the Year : Kumar Sangakkara ( Sri Lanka )   Twenty20 International Performance of the Year : Tim Southee ( New Zealand )   Emerging Player of the Year : Devendra Bishoo ( West Indies )   Associate Player of the Year : Ryan ten Doeschate ( Netherlands )   Umpire of the Year : Aleem Dar ( Pakistan )   Women 's Cricketer of the Year : Stafanie Taylor ( West Indies )   Spirit of Cricket : MS Dhoni ( India )   LG People 's Choice Award : Kumar Sangakkara ( Sri Lanka )   World Test XI : Alastair Cook ( Eng ) , Hashim Amla ( SA ) , Jonathan Trott ( Eng ) , Sachin Tendulkar ( Ind ) , Kumar Sangakkara ( SL , captain , wicket - keeper ) , AB de Villiers ( SA ) , Jacques Kallis ( SA ) , Stuart Broad ( Eng ) , Graeme Swann ( Eng ) , Dale Steyn ( SA ) , James Anderson ( Eng ) , 12th man : Zaheer Khan ( Ind )   World one - day XI : Tillakaratne Dilshan ( SL ) , Virender Sehwag ( Ind ) , Shane Watson ( Aus ) , Kumar Sangakkara ( SL ) , AB de Villiers ( SA ) , Yuvraj Singh ( Ind ) , MS Dhoni ( Ind , captain , wicket - keeper ) , Graeme Swann ( Eng ) , Umar Gul ( Pak ) , Dale Steyn ( SA ) , Zaheer Khan ( Ind ) , 12th man : Lasith Malinga ( SL )    2012 awards ( edit )  Main article : 2012 LG ICC Awards  The ninth ICC awards ceremony was held in Colombo , Sri Lanka on 15 September 2012 .   Award winners were :    Cricketer of the Year : Kumar Sangakkara ( Sri Lanka )   Test Player of the Year : Kumar Sangakkara ( Sri Lanka )   ODI Player of the Year : Virat Kohli ( India )   Twenty20 International Performance of the Year : Richard Levi ( South Africa )   Emerging Player of the Year : Sunil Narine ( West Indies )   Associate Player of the Year : George Dockrell ( Ireland )   Umpire of the Year : Kumar Dharmasena ( Sri Lanka )   Women 's ODI Cricketer of the Year : Stafanie Taylor ( West Indies )   Women 's T20I Cricketer of the Year : Sarah Taylor ( England )   Spirit of Cricket : Daniel Vettori ( New Zealand )   LG People 's Choice Award : Kumar Sangakkara ( Sri Lanka )   World Test XI : Alastair Cook ( Eng ) , Hashim Amla ( SA ) , Kumar Sangakkara ( SL ) , Jacques Kallis ( SA ) , Michael Clarke ( Aus , captain ) , Shivnarine Chanderpaul ( WI ) , Matt Prior ( Eng , wicket - keeper ) , Stuart Broad ( Eng ) , Saeed Ajmal ( Pak ) , Vernon Philander ( SA ) , Dale Steyn ( SA ) , 12th man : AB de Villiers ( SA )   World one - day XI : Gautam Gambhir ( Ind ) , Alastair Cook ( Eng ) , Virat Kohli ( Ind ) , Kumar Sangakkara ( SL ) , Shahid Afridi ( Pak ) , Michael Clarke ( Aus ) , MS Dhoni ( Ind , captain , wicket - keeper ) , Morne Morkel ( SA ) , Steven Finn ( Eng ) , Lasith Malinga ( SL ) , Saeed Ajmal ( Pak ) , 12th man : Shane Watson ( Aus )    2013 awards ( edit )   The 2013 edition of the awards were replaced by a TV show . Rather than a formal event , the winners were broadcast in a special TV show which was aired on 14 December 2013 .   Award winners were :    Cricketer of the Year : Michael Clarke ( Australia )   Test Player of the Year : Michael Clarke ( Australia )   ODI Player of the Year : Kumar Sangakkara ( Sri Lanka )   Twenty20 International Performance of the Year : Umar Gul ( Pakistan )   Emerging Player of the Year : Cheteshwar Pujara ( India )   Associate Player of the Year : Kevin O'Brien ( Ireland )   Umpire of the Year : Richard Kettleborough ( England )   Women 's ODI Cricketer of the Year : Suzie Bates ( New Zealand )   Women 's T20I Cricketer of the Year : Sarah Taylor ( England )   Spirit of Cricket : Mahela Jayawardene ( Sri Lanka )   LG People 's Choice Award : MS Dhoni ( India )   World Test XI : Alastair Cook ( Eng , captain ) , Hashim Amla ( SA ) , Cheteshwar Pujara ( Ind ) , Michael Clarke ( Aus ) , Michael Hussey ( Aus ) , AB de Villiers ( SA ) , MS Dhoni ( Ind , wicket - keeper ) , Graeme Swann ( Eng ) , Dale Steyn ( SA ) , James Anderson ( Eng ) , Vernon Philander ( SA ) , 12th man : Ravichandran Ashwin ( Ind )   World one - day XI : Hashim Amla ( SA ) , Shikhar Dhawan ( Ind ) , Kumar Sangakkara ( SL ) , Tillakaratne Dilshan ( SL ) , AB de Villiers ( SA ) , MS Dhoni ( Ind , captain , wicket - keeper ) , Ravindra Jadeja ( Ind ) , Saeed Ajmal ( Pak ) , Mitchell Starc ( Aus ) , James Anderson ( Eng ) , Lasith Malinga ( SL ) , 12th man : Mitchell McClenaghan ( NZ )    2014 awards ( edit )   The 2014 edition of the LG ICC Awards followed the same formal event which was implemented in 2013 as a TV show . The voting panel took into account players ' performance between 26 August 2013 and 17 September 2014 . The show was broadcast globally on 15 / 16 November .   Award winners were :    Cricketer of the Year : Mitchell Johnson ( Australia )   Test Player of the Year : Mitchell Johnson ( Australia )   ODI Player of the Year : AB de Villiers ( South Africa )   Twenty20 International Performance of the Year : Aaron Finch ( Australia )   Emerging Player of the Year : Gary Ballance ( England )   Associate Player of the Year : Preston Mommsen ( Scotland )   Umpire of the Year : Richard Kettleborough ( England )   Women 's ODI Cricketer of the Year : Sarah Taylor ( England )   Women 's T20I Cricketer of the Year : Meg Lanning ( Australia )   Spirit of Cricket : Katherine Brunt ( England )   LG People 's Choice Award : Bhuvneshwar Kumar ( India )   World Test XI : David Warner ( Aus ) , Kane Williamson ( NZ ) , Kumar Sangakkara ( SL ) , AB de Villiers ( SA , wicket - keeper ) , Joe Root ( Eng ) , Angelo Mathews ( SL , captain ) , Mitchell Johnson ( Aus ) , Stuart Broad ( Eng ) , Dale Steyn ( SA ) , Rangana Herath ( SL ) , Tim Southee ( NZ ) , 12th man : Ross Taylor ( NZ )   World one - day XI : Mohammad Hafeez ( Pak ) , Quinton de Kock ( SA ) , George Bailey ( Aus ) , Virat Kohli ( Ind ) , AB de Villiers ( SA ) , MS Dhoni ( Ind , captain , wicket - keeper ) , Dwayne Bravo ( WI ) , James Faulkner ( Aus ) , Dale Steyn ( SA ) , Mohammed Shami ( Ind ) , Ajantha Mendis ( SL ) , 12th man : Rohit Sharma ( Ind )    2015 awards ( edit )  Main article : 2015 ICC Awards  The voting panel took into account players ' performance between 18 September 2014 and 13 September 2015 .   Award winners were :    Cricketer of the Year : Steve Smith ( Australia )   Test Player of the Year : Steve Smith ( Australia )   ODI Player of the Year : AB de Villiers ( South Africa )   Twenty20 International Performance of the Year : Faf du Plessis ( South Africa )   Emerging Player of the Year : Josh Hazlewood ( Australia )   Associate Player of the Year : Khurram Khan ( United Arab Emirates )   Umpire of the Year : Richard Kettleborough ( England )   Women 's ODI Cricketer of the Year : Meg Lanning ( Australia )   Women 's T20I Cricketer of the Year : Stafanie Taylor ( West Indies )   Spirit of Cricket : Brendon McCullum ( New Zealand )   World Test XI : David Warner ( Aus ) , Alastair Cook ( Eng , captain ) , Kane Williamson ( NZ ) , Younus Khan ( Pak ) , Steve Smith ( Aus ) , Joe Root ( Eng ) , Sarfraz Ahmed ( Pak , wicket - keeper ) , Stuart Broad ( Eng ) , Trent Boult ( NZ ) , Yasir Shah ( Pak ) , Josh Hazlewood ( Aus ) , 12th man : Ravichandran Ashwin ( Ind )   World one - day XI : Tillakaratne Dilshan ( SL ) , Hashim Amla ( SA ) , Kumar Sangakkara ( SL , wicket - keeper ) , AB de Villiers ( SA , captain ) , Steve Smith ( Aus ) , Ross Taylor ( NZ ) , Trent Boult ( NZ ) , Mohammed Shami ( Ind ) , Mitchell Starc ( Aus ) , Mustafizur Rahman ( Ban ) , Imran Tahir ( SA ) , 12th man : Joe Root ( Eng )    2016 awards ( edit )   The voting panel took into account players ' performance between 14 September 2015 and 20 September 2016 . The announcement of the World Test XI and World one - day XI , along with the winners of the men 's individual ICC awards , was made on 21 December 2016 .   Award winners were :    Cricketer of the Year : Ravichandran Ashwin ( India )   Test Player of the Year : Ravichandran Ashwin ( India )   ODI Player of the Year : Quinton de Kock ( South Africa )   Twenty20 International Performance of the Year : Carlos Brathwaite ( West Indies )   Emerging Player of the Year : Mustafizur Rahman ( Bangladesh )   Associate Player of the Year : Mohammad Shahzad ( Afghanistan )   Umpire of the Year : Marais Erasmus ( South Africa )   Women 's ODI Cricketer of the Year : Suzie Bates ( New Zealand )   Women 's T20I Cricketer of the Year : Suzie Bates ( New Zealand )   Spirit of Cricket : Misbah - ul - Haq ( Pakistan )   World Test XI : David Warner ( Aus ) , Alastair Cook ( Eng , captain ) , Kane Williamson ( NZ ) , Joe Root ( Eng ) , Ben Stokes ( Eng ) , Adam Voges ( Aus ) , Jonny Bairstow ( Eng , wicket - keeper ) , Ravichandran Ashwin ( Ind ) , Rangana Herath ( SL ) , Mitchell Starc ( Aus ) , Dale Steyn ( SA ) , 12th man : Steve Smith ( Aus )   World one - day XI : David Warner ( Aus ) , Quinton de Kock ( SA , wicket - keeper ) , Rohit Sharma ( Ind ) , Virat Kohli ( Ind , captain ) , AB de Villiers ( SA ) , Jos Buttler ( Eng ) , Mitchell Marsh ( Aus ) , Ravindra Jadeja ( Ind ) , Mitchell Starc ( Aus ) , Kagiso Rabada ( SA ) , Sunil Narine ( WI ) , 12th man : Imran Tahir ( SA )   Women 's World XI : Suzie Bates ( NZ ) , Rachel Priest ( NZ , wicket - keeper ) , Smriti Mandhana ( Ind ) , Stafanie Taylor ( WI , captain ) , Meg Lanning ( Aus ) , Ellyse Perry ( Aus ) , Heather Knight ( Eng ) , Deandra Dottin ( WI ) , Sune Luus ( SA ) , Anya Shrubsole ( Eng ) , Leigh Kasperek ( NZ ) , 12th woman : Kim Garth ( Ire )    2017 awards ( edit )   The voting panel took into account players ' performance between 21 September 2016 and 31 December 2017 . The announcement of the World Test XI and World one - day XI , along with the winners of the men 's individual ICC awards , was made on 18 January 2018 .   Award winners were :    Cricketer of the Year : Virat Kohli ( India )   Test Player of the Year : Steve Smith ( Australia )   ODI Player of the Year : Virat Kohli ( India )   Twenty20 International Performance of the Year : Yuzvendra Chahal ( India )   Emerging Player of the Year : Hasan Ali ( Pakistan )   Associate Player of the Year : Rashid Khan ( Afghanistan )   Umpire of the Year : Marais Erasmus ( South Africa )   Women 's Cricketer of the Year : Ellyse Perry ( Australia )   Women 's ODI Cricketer of the Year : Amy Satterthwaite ( New Zealand )   Women 's T20I Cricketer of the Year : Beth Mooney ( Australia )   Women 's Emerging Player of the Year : Beth Mooney ( Australia )   Spirit of Cricket : Anya Shrubsole ( England )   Fan 's Moment of the Year : Pakistan stun India to win the ICC Champions Trophy 2017   World Test XI : Dean Elgar ( SA ) , David Warner ( Aus ) , Virat Kohli ( Ind , captain ) , Steve Smith ( Aus ) , Cheteshwar Pujara ( Ind ) , Ben Stokes ( Eng ) , Quinton de Kock ( SA , wicket - keeper ) , Ravichandran Ashwin ( Ind ) , Mitchell Starc ( Aus ) , Kagiso Rabada ( SA ) , James Anderson ( Eng )   World one - day XI : David Warner ( Aus ) , Rohit Sharma ( Ind ) , Virat Kohli ( Ind , captain ) , Babar Azam ( Pak ) , AB de Villiers ( SA ) , Quinton de Kock ( SA , wicket - keeper ) , Ben Stokes ( Eng ) , Trent Boult ( NZ ) , Hasan Ali ( Pak ) , Rashid Khan ( Afghan ) , Jasprit Bumrah ( Ind )   Women 's one - day XI : Tammy Beaumont ( Eng ) , Meg Lanning ( Aus ) , Mithali Raj ( Ind ) , Amy Satterthwaite ( NZ ) , Ellyse Perry ( Aus ) , Heather Knight ( Eng , captain ) , Sarah Taylor ( Eng , wicket - keeper ) , Dane van Niekerk ( SA ) , Marizanne Kapp ( SA ) , Ekta Bisht ( Ind ) , Alex Hartley ( Eng )   Women 's T20I XI : Beth Mooney ( Aus , wicket - keeper ) , Danni Wyatt ( Eng ) , Harmanpreet Kaur ( Ind ) , Stafanie Taylor ( WI , captain ) , Sophie Devine ( NZ ) , Deandra Dottin ( WI ) , Hayley Matthews ( WI ) , Megan Schutt ( Aus ) , Amanda - Jade Wellington ( Aus ) , Lea Tahuhu ( NZ ) , Ekta Bisht ( Ind )    References ( edit )    Jump up ^ `` Live Cricket Scores &amp; News International Cricket Council '' . Retrieved 25 April 2017 .   Jump up ^ NDTVSports.com . `` Virat Kohli is ICC ODI Player of the Year -- NDTV Sports '' . Retrieved 25 April 2017 .   Jump up ^ `` Dhoni , Kohli nominated for ICC People 's Choice award -- Times of India '' . Retrieved 25 April 2017 .   Jump up ^ `` Mitchell Johnson claims top ICC awards '' . ABC News ( Australia ) . Australian Broadcasting Corporation . 23 December 2015 . Retrieved 23 December 2015 .   Jump up ^ `` Johnson , Sangakkara lead ICC awards nominees '' .   Jump up ^ `` LG ICC Awards '' . International Cricket Council . Retrieved 23 October 2014 .   Jump up ^ `` Steve Smith , Meg Lanning win ICC player of the year awards '' . ABC News ( Australia ) . Australian Broadcasting Corporation . 23 December 2015 . Retrieved 23 December 2015 .   Jump up ^ `` Virat Kohli did not make the ICC Test Team of the Year -- and there 's a perfectly logical explanation '' .   Jump up ^ `` Suzie Bates scoops ICC Women 's ODI and T20I Player of the Year awards '' .   Jump up ^ `` Smriti lone Indian in ICC women 's team '' .   Jump up ^ `` Live Cricket Scores &amp; News International Cricket Council '' . Retrieved 25 April 2017 .   Jump up ^ `` Ashwin named ICC Cricketer of the Year , Test Player of the Year '' .   Jump up ^ `` ICC Awards 2016 : Howzat ! R Ashwin Named Cricketer of the Year '' .   Jump up ^ `` Live Cricket Scores &amp; News International Cricket Council '' . Retrieved 25 April 2017 .   Jump up ^ `` Ashwin named ICC Cricketer of the Year , Test Player of the Year '' .      ( hide )         ICC Awards       2004 , London   2005 , Sydney   2006 , Mumbai   2007 , Johannesburg   2008 , Dubai   2009 , Johannesburg   2010 , Bengaluru   2011 , London   2012 , Colombo   2013 LG ICC Awards   2014 LG ICC Awards   2015 ICC Awards   2016 ICC Awards   2017 ICC Awards                 International cricket       International Cricket Council ( ICC )   ICC Awards   ICC members       Forms     Test ( women 's )   One Day International ( women 's )   Twenty20 International ( women 's )         Global events     World Cup ( qualifier )   World Twenty20 ( qualifier )   Women 's World Cup ( qualifier )   Women 's World Twenty20 ( qualifier )   Under - 19 World Cup   Champions Trophy   Intercontinental Cup   World Cricket League   Olympics       Asia     ACC -- Asia Cup   ACC Trophy ( List A )   ACC Premier League   ACC Twenty20 Cup       Africa     ACA -- WCL Africa       Americas     ICC Americas -- Americas Championship   South American Championship       East Asia and Pacific     EAP -- ICC EAP Cricket Trophy ( One day )   ICC EAP Cricket Trophy ( Twenty20 )       Europe     ECC -- European Championship   Women 's European Championship      Retrieved from `` https://en.wikipedia.org/w/index.php?title=ICC_Awards&amp;oldid=835871371 '' Categories :   Cricket awards and rankings   International Cricket Council awards and rankings   Hidden categories :   Use British English from February 2013   Use dmy dates from February 2013           Talk                                           Contents                   About Wikipedia                                           বাংলা   Français   हिन्दी   Edit links   This page was last edited on 11 April 2018 , at 08 : 18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</si>
  <si>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icc award 2008 for twenty20 international performance of the year</t>
  </si>
  <si>
    <t xml:space="preserve">  Cricketer of the Year : Shivnarine Chanderpaul ( West Indies )   Test Player of the Year : Dale Steyn ( South Africa )   ODI Player of the Year : MS Dhoni ( India )   Twenty20 International Performance of the Year : Yuvraj Singh ( India )   Emerging Player of the Year : Ajantha Mendis ( Sri Lanka )   Associate Player of the Year : Ryan ten Doeschate ( Netherlands )   Umpire of the Year : Simon Taufel ( Australia )   Women 's Cricketer of the Year : Charlotte Edwards ( England )   Spirit of Cricket : Sri Lanka   World Test XI : Graeme Smith ( SA , captain ) , Virender Sehwag ( Ind ) , Mahela Jayawardene ( SL ) , Shivnarine Chanderpaul ( WI ) , Kevin Pietersen ( Eng ) , Jacques Kallis ( SA ) , Kumar Sangakkara ( SL , wicket - keeper ) , Brett Lee ( Aus ) , Ryan Sidebottom ( Eng ) , Dale Steyn ( SA ) , Muttiah Muralitharan ( SL ) , 12th man : Stuart Clark ( Aus )   World one - day XI : Herschelle Gibbs ( SA ) , Sachin Tendulkar ( Ind ) , Ricky Ponting ( Aus , captain ) , Ajantha Mendis ( SL ) , Farveez Maharoof ( SL ) , MS Dhoni ( Ind , wicket - keeper ) , Andrew Symonds ( Aus ) , Daniel Vettori ( NZ ) , Brett Lee ( Aus ) , Mitchell Johnson ( Aus ) , Nathan Bracken ( Aus ) , 12th man : Salman Butt ( Pak )  </t>
  </si>
  <si>
    <t xml:space="preserve">List of Academy Award records - wikipedia  List of Academy Award records  Jump to : navigation , search  This is a list of Academy Award records . This list is current as of the 89th Academy Awards ceremony held on February 27 , 2017 .     Contents  ( hide )   1 Most awards   2 Awards for debut acting or directing performances on film   3 Big Five winners   4 Most consecutive awards   5 Academy Award firsts   6 Age - related records   7 Film records   8 Acting records   9 Miscellaneous records   10 Oscar speeches   11 Tied winners   12 See also   13 References   14 External links      Most Awards ( edit )    Most awards won by a single film   Three films have won 11 Academy Awards :   Ben - Hur ( 1959 ) -- 15 categories available for nomination ; nominated for 12   Titanic ( 1997 ) -- 17 categories available for nomination ; nominated for 14   The Lord of the Rings : The Return of the King ( 2003 ) -- 17 categories available for nomination ; nominated for 11       Most nominations received by a single film   Three films have received 14 nominations :   All About Eve ( 1950 ) -- 16 categories available for nomination ; won 6 awards   Titanic ( 1997 ) -- 17 categories available for nomination ; won 11 awards   La La Land ( 2016 ) -- 17 categories available for nomination ; won 6 awards       Largest sweep ( winning awards in every nominated category )   The Lord of the Rings : The Return of the King ( 2003 ) won all 11 categories for which it was nominated : Best Picture , Director , Adapted Screenplay , Original Score , Original Song , Sound Mixing , Art Direction , Makeup , Costume Design , Film Editing , and Visual Effects     Most awards won by an individual   Walt Disney won 22 Oscars .     Most awards won by a woman   Edith Head won eight Oscars , all for Costume Design     Most nominations in a single year / Most awards in a single year   In 1954 , Walt Disney won four awards out of six nominations , both records . He won Best Documentary , Features for The Living Desert ; Best Documentary , Short Subjects for The Alaskan Eskimo ; Best Short Subject , Cartoons for Toot Whistle Plunk and Boom ; and Best Short Subject , Two - reel for Bear Country . He had two additional nominations in Best Short Subject , Cartoons for Rugged Bear ; and Best Short Subject , Two - reel for Ben and Me .     Most awards won by a person who is still living   Visual Effects Supervisor Dennis Muren has won nine Academy Awards -- six competitive awards , two `` Special Achievement '' awards , and one `` Technical Achievement '' award     Most competitive awards won by a person who is still living   Composer Alan Menken has won eight competitive Academy Awards     Acting   Katharine Hepburn won four awards , all for Best Actress     Directing   John Ford won the most directing awards , with four     Cinematography   The highest number of Academy Awards won by a cinematographer is four :   Joseph Ruttenberg , in 1938 , 1942 , 1956 , and 1958   Leon Shamroy , in 1942 , 1944 , 1945 , and 1963       Art Direction   Cedric Gibbons , who designed the Oscar statuette , won 11 awards out of a total of 39 nominations .     Makeup   Rick Baker won seven Academy Awards ( all for Best Makeup )     Most awards won by a country for Best Foreign Language Film   Italy won 14 awards in this category and received in total 32 nominations     Most nominations received by a country for Best Foreign Language Film   France received 40 nominations and won the award 12 times     Most awards won by a foreign - language film   Two foreign - language films have won four Academy Awards :   Fanny and Alexander ( 1982 ) won Best Foreign Language Film , Best Cinematography , Best Art Direction , and Best Costume Design   Crouching Tiger , Hidden Dragon ( 2000 ) won Best Foreign Language Film , Best Art Direction , Best Original Score , and Best Cinematography       Most nominations received by a foreign - language film   Crouching Tiger , Hidden Dragon ( 2000 ) received ten nominations : Best Foreign Language Film , Best Picture , Best Director , Best Adapted Screenplay , Best Original Song , Best Costume Design , Best Art Direction , Best Film Editing , Best Original Score , and Best Cinematography      Awards for debut acting or directing performances on film ( edit )   The following individuals won Academy Awards for their film debut acting performances :    Best Actor   None     Best Actress   Shirley Booth ( Come Back , Little Sheba , 1952 )   Julie Andrews ( Mary Poppins , 1964 )   Barbra Streisand ( Funny Girl , 1968 )   Marlee Matlin ( Children of a Lesser God , 1986 )     Best Supporting Actor   Harold Russell ( The Best Years of Our Lives , 1946 )   Timothy Hutton ( Ordinary People , 1980 )   Haing S. Ngor ( The Killing Fields , 1984 )     Best Supporting Actress   Gale Sondergaard ( Anthony Adverse , 1936 )   Katina Paxinou ( For Whom the Bell Tolls , 1943 )   Mercedes McCambridge ( All the King 's Men , 1949 )   Eva Marie Saint ( On the Waterfront , 1954 )   Jo Van Fleet ( East of Eden , 1955 )   Tatum O'Neal ( Paper Moon , 1973 )   Anna Paquin ( The Piano , 1993 )   Jennifer Hudson ( Dreamgirls , 2006 )   Lupita Nyong'o ( 12 Years a Slave , 2013 )     Academy Juvenile Award   Claude Jarman Jr . ( The Yearling , 1946 )   Vincent Winter ( The Little Kidnappers , 1954 )      The following individuals won Academy Awards for their film debut direction .    Best Director   Delbert Mann ( Marty , 1955 )   Jerome Robbins ( West Side Story , 1961 )   Robert Redford ( Ordinary People , 1980 )   James L. Brooks ( Terms of Endearment , 1983 )   Kevin Costner ( Dances with Wolves , 1990 )   Sam Mendes ( American Beauty , 1999 )      Big five winners ( edit )   Three films have received the Big Five Academy Awards : Best Picture , Director , Actor , Actress , and Screenplay ( Original or Adapted ) .    It Happened One Night ( 1934 )   One Flew Over the Cuckoo 's Nest ( 1975 )   The Silence of the Lambs ( 1991 )    Most consecutive Awards ( edit )    Any awards   Walt Disney was awarded a record of 10 awards in the eight consecutive years from 1931 / 32 through 1939 . Eight ( listed below ) are for Short Subject ( Cartoon ) , and two were Special Awards : one for the creation of Mickey Mouse , and one recognizing the innovation of Snow White and the Seven Dwarfs .     Best Actress   Two actresses have won two consecutive awards :   Luise Rainer ( The Great Ziegfeld , 1936 and The Good Earth , 1937 )   Katharine Hepburn ( Guess Who 's Coming to Dinner , 1967 and The Lion in Winter , 1968 )       Best Actor   Two actors have won two consecutive awards :   Spencer Tracy -- Captains Courageous ( 1937 ) and Boys Town ( 1938 )   Tom Hanks -- Philadelphia ( 1993 ) and Forrest Gump ( 1994 )       Best Director   Three directors have won two consecutive awards :   John Ford -- The Grapes of Wrath ( 1940 ) and How Green Was My Valley ( 1941 )   Joseph L. Mankiewicz -- A Letter to Three Wives ( 1949 ) and All About Eve ( 1950 )   Alejandro G. Iñárritu -- Birdman or ( The Unexpected Virtue of Ignorance ) ( 2014 ) and The Revenant ( 2015 )       Best Supporting Actor   Jason Robards won two consecutive awards for All the President 's Men in 1976 and Julia in 1977     Best Supporting Actress   No consecutive winner for Best Supporting Actress     Best Picture   David O. Selznick produced two consecutive Best Picture winners Gone with the Wind in 1939 and Rebecca in 1940 . ( He himself was not awarded the Oscars as at the time the statuette went to the studio instead of the producer . )     Best Original Screenplay   No consecutive winner for Best Original Screenplay     Best Adapted Screenplay   Joseph L. Mankiewicz won two consecutive adapted screenplay awards for A Letter to Three Wives in 1949 and All About Eve in 1950   Robert Bolt won for Doctor Zhivago in 1965 and A Man for All Seasons in 1966     Best Cinematography   Emmanuel Lubezki has won three consecutive awards for Gravity in 2013 , Birdman or ( The Unexpected Virtue of Ignorance ) in 2014 and The Revenant in 2015     Best Art Direction   Robert Stromberg won for Avatar in 2009 and Alice In Wonderland in 2010     Best Film Editing   Angus Wall and Kirk Baxter won for The Social Network in 2010 and The Girl with the Dragon Tattoo in 2011     Best Original Score   Roger Edens won three consecutive awards for composing the scores for Easter Parade ( 1948 ) , On the Town ( 1949 ) , and Annie Get Your Gun ( 1950 )     Best Original Song   Three composers have won two consecutive awards for best original song , but under different award names :   Henry Mancini ( music ) and Johnny Mercer ( lyrics ) shared the awards for Best Music ( Song ) for `` Moon River '' from Breakfast at Tiffany 's in 1961 and `` Days of Wine and Roses '' from Days of Wine and Roses in 1962   Alan Menken ( music ) won twice consecutively for Best Music ( Original Song ) for `` Beauty and the Beast '' from Beauty and the Beast ( lyrics by Howard Ashman ) in 1991 and `` A Whole New World '' from Aladdin ( lyrics by Tim Rice ) in 1992       Best Visual Effects   Jim Rygiel and Randall William Cook won 3 consecutive visual effects Oscars for The Lord of the Rings : The Fellowship of the Ring , The Lord of the Rings : The Two Towers , and The Lord of the Rings : The Return of the King in 2001 , 2002 , and 2003 respectively .     Best Sound Mixing   Thomas Moulton won three consecutive awards for The Snake Pit in 1948 , Twelve O'Clock High in 1949 , and All About Eve in 1950 .     Best Costume Design   Edith Head won three consecutive awards for The Heiress in 1949 , All About Eve in 1950 , and A Place in the Sun in 1951 .     Best Short Subject ( Cartoon )   Walt Disney won eight consecutive awards for Flowers and Trees in 1931 / 32 , Three Little Pigs in 1932 / 33 , The Tortoise and the Hare in 1934 , Three Orphan Kittens in 1935 , The Country Cousin in 1936 , The Old Mill in 1937 , Ferdinand the Bull in 1938 , and The Ugly Duckling in 1939     Best Short Subject ( Two - Reel )   Walt Disney won four consecutive awards for In Beaver Valley in 1950 , Nature 's Half Acre in 1951 , Water Birds in 1952 , and Bear Country in 1953     Best Documentary ( Feature )   Walt Disney won two consecutive awards for The Living Desert in 1953 and The Vanishing Prairie in 1954      Academy Award firsts ( edit )    First woman to win Best Picture   Julia Phillips for The Sting ( 1973 )     First woman to win Best Director   Kathryn Bigelow for The Hurt Locker ( 2009 )     First woman to win Best Animated Feature   Brenda Chapman for Brave ( 2012 )     First woman to receive an Honorary Award   6 year old Shirley Temple received a Special Award in 1934   Greta Garbo received an Honorary Award in 1954     First foreign - language film to be nominated for Best Picture   Grand Illusion ( 1937 ) , in French     First science fiction film to be nominated for Best Picture   A Clockwork Orange ( 1971 )     First horror film to be nominated for Best Picture   The Exorcist ( 1973 )     First animated film to be nominated for Best Picture   Beauty and the Beast ( 1991 )     First fantasy film to win Best Picture   The Lord of the Rings : The Return of the King ( 2003 )     First 3 - D films to be nominated for Best Picture   Avatar and Up ( 2009 )     First film with an entirely non-white cast to win Best Picture   Slumdog Millionaire ( 2008 )     First film with an all - black cast to win Best Picture   Moonlight ( 2016 )     First animated film to be nominated for Best Foreign Language Film   Waltz with Bashir ( 2008 ) , representing Israel     First animated film to be nominated for Best Original Screenplay and for a Best Screenplay award in general   Toy Story ( 1995 )     First animated film to be nominated for Best Adapted Screenplay   Shrek ( 2001 )     First actress to be nominated for a performance in a 3 - D film   Sandra Bullock for Gravity ( 2013 )     First actor to be nominated for a performance in a 3 - D film   Matt Damon for The Martian ( 2015 )     First film to receive the most nominations of its year without receiving a Best Picture nomination   Dreamgirls ( 2006 ) , with eight nominations     First X-rated film to win Best Picture   Midnight Cowboy ( 1969 ) . It was also the first X-rated film to be nominated for Best Picture and the only one to date to have won it .     First actor to receive ten nominations for acting   Jack Nicholson received his tenth nomination ( for Best Actor and Best Supporting Actor ) for the film A Few Good Men ( 1992 )     First actress to receive ten nominations for acting   Bette Davis received her tenth official nomination ( all for Best Actress ) for the film What Ever Happened to Baby Jane ? ( 1962 )     First actress to receive twenty nominations for acting   Meryl Streep received her twentieth nomination ( for Best Actress and Best Supporting Actress ) for the film Florence Foster Jenkins ( 2016 )     First posthumous nomination for acting   Jeanne Eagels , nominated for Best Actress for The Letter ( 1929 )     First posthumous nomination for a male actor   James Dean , nominated for Best Actor for East of Eden ( 1955 )     First posthumous win for acting   Peter Finch won Best Actor for Network ( 1976 )     First actress to be nominated for performing in a language other than English   Melina Mercouri was nominated for Best Actress for Never on Sunday ( 1960 ) , performing in Greek     First actor to be nominated for performing in a language other than English   Marcello Mastroianni was nominated for Best Actor for Divorce , Italian Style ( 1962 ) , performing in Italian     First actress to win for performing in a language other than English   Sophia Loren won Best Actress for Two Women ( 1961 ) , performing in Italian     First actor to win for performing in a language other than English   Robert De Niro won Best Supporting Actor for The Godfather Part II ( 1974 ) , performing in Italian     First actress to win for performing in a sign language   Marlee Matlin won Best Actress for Children of a Lesser God ( 1986 ) , performing in American Sign Language     First French actress to be nominated for performing in the French language   Anouk Aimée was nominated for Best Actress for A Man and a Woman ( 1966 )     First French actress to win for performing in the French language   Marion Cotillard won Best Actress for La Vie en rose ( 2007 ) . She 's the only one to date to have won it .     First Nordic actress to be nominated for acting   Greta Garbo ( from Sweden ) was nominated for Best Actress for Anna Christie ( 1930 )     First Nordic actor to be nominated for acting   Max von Sydow ( from Sweden ) was nominated for Best Actor for Pelle the Conqueror ( 1988 )     First Nordic actress to win for acting   Ingrid Bergman ( from Sweden ) won Best Actress for Gaslight ( 1944 )     First actor from Africa to be nominated for acting   Basil Rathbone ( from South Africa ) , nominated for Best Supporting Actor for Romeo and Juliet ( 1936 )     First actress from Africa to win for acting   Charlize Theron ( from South Africa ) , won Best Actress for Monster ( 2003 )     First actress from Asia to win for acting   Miyoshi Umeki ( from Japan ) , won Best Supporting Actress for Sayonara ( 1957 )     First Asian ( and non-Caucasian ) to win Best Director   Ang Lee ( from Taiwan ) for Brokeback Mountain ( 2005 )     First Australian actress to win Best Actress   Nicole Kidman for The Hours ( 2002 ) -- Born in the U.S.     First Australian actor to win Best Actor   Peter Finch for Network ( 1976 )     First French actress to win Best Actress   Claudette Colbert for It Happened One Night ( 1934 )     First French actor to win Best Actor   Jean Dujardin for The Artist ( 2011 )     First Italian actress to win Best Actress   Anna Magnani for The Rose Tattoo ( 1955 )     First Italian actor to win Best Actor   Roberto Benigni for Life Is Beautiful ( 1998 )     First German actress to win Best Actress   Luise Rainer for The Great Ziegfeld ( 1937 )     First German actor to win Best Actor   Emil Jannings ( born in Switzerland ) for The Way of All Flesh ( 1927 ) and The Last Command ( 1928 )     First Austrian actor to win twice for acting   Christoph Waltz won Best Supporting Actor for Inglorious Basterds ( 2009 ) and Django Unchained ( 2012 )     First persons from India to win in any music category   A.R. Rahman won Best Original Score and Best Original Song ( `` Jai Ho '' ) for Slumdog Millionaire ( 2008 )   Gulzar also won Best Original Song ( `` Jai Ho '' ) for Slumdog Millionaire ( 2008 )     First Middle Eastern / North African actor to be nominated for acting   Omar Sharif , nominated for Best Supporting Actor for Lawrence of Arabia ( 1962 )     First Middle Eastern movie to win Best Foreign Language Film   A Separation ( 2011 ) , representing Iran     First foreign actress to be nominated twice for Best Actress for foreign - language films without the films receiving a Best Foreign Language Film nomination   Marion Cotillard ( from France ) won Best Actress for La Vie en Rose ( 2007 ) and was nominated for Two Days , One Night ( 2014 )     First black filmmaker to win Best Picture   Steve McQueen won for producing 12 Years a Slave ( 2013 )     First black filmmaker to be nominated for Best Director   John Singleton for Boyz n the Hood ( 1991 )     First black actress to win for acting   Hattie McDaniel won Best Supporting Actress for Gone with the Wind ( 1939 )     First black actor to win for acting   Sidney Poitier won Best Actor for Lilies of the Field ( 1963 )     First black actress to win Best Actress   Halle Berry for Monster 's Ball ( 2001 )     First black actress to win for film acting debut   Jennifer Hudson won Best Supporting Actress for Dreamgirls ( 2006 )     First year in which two black actors / actresses won for acting   74th Academy Awards ( in 2002 , for 2001 ) : Denzel Washington won Best Actor for Training Day ; Halle Berry won Best Actress for Monster 's Ball     First black African actor to be nominated for acting   Djimon Hounsou ( born in Benin , U.S. - Benin dual citizen ) , nominated for Best Supporting Actor for In America ( 2003 )     First black writer to win for screenwriting   Geoffrey S. Fletcher won Best Adapted Screenplay for Precious : Based on the Novel `` Push '' by Sapphire ( 2009 )     First African American to receive an Honorary Award   James Baskett received a Special Award for his portrayal of Uncle Remus in Song of the South ( 1946 )     First Latin American director to win Best Director   Alfonso Cuarón from Mexico won for Gravity in 2014     First Latin American actress to be nominated for Best Actress   Fernanda Montenegro from Brazil was nominated for Best Actress for Central Station ( 1998 )     First Latin American actor to win Best Actor   José Ferrer from Puerto Rico won for Cyrano de Bergerac in 1950     First Muslim actor to win in an acting category   Mahershala Ali for Moonlight in 2016     First child actor to receive an Academy Award nomination   Jackie Cooper , age 9 , was nominated for Best Actor for Skippy ( 1931 )     First short film to win an Academy Award outside of the Short Film categories   The Red Balloon ( 1956 ) for Best Original Screenplay      Age - related records ( edit )    Youngest winner of an acting award   Tatum O'Neal , age 10 ( Best Supporting Actress , Paper Moon , 1973 )     Youngest nominee for an acting award   Justin Henry , age 8 ( Best Supporting Actor , Kramer vs. Kramer , 1979 )     Youngest female winner of a lead acting award   Marlee Matlin , age 21 ( Best Actress , Children of a Lesser God , 1986 )     Youngest male winner of a lead acting award   Adrien Brody , age 29 ( Best Actor , The Pianist , 2002 )     Youngest male nominee for a lead acting award   Jackie Cooper , age 9 ( Best Actor , Skippy , 1931 )     Youngest female nominee for a lead acting award   Quvenzhané Wallis , age 9 ( Best Actress , Beasts of the Southern Wild , 2012 ) ( also first person born in the 21st century to be nominated for an Academy Award )     Youngest winner of an Oscar   Shirley Temple , age 6 , who was awarded the inaugural ( now retired ) non-competitive Academy Juvenile Award in 1934     Youngest winner of Best Director   Damien Chazelle , age 32 ( La La Land , 2016 )     Youngest nominee for Best Director   John Singleton , age 24 ( Boyz n the Hood , 1991 )     Oldest winner of Best Director   Clint Eastwood , age 74 ( Million Dollar Baby , 2004 )     Oldest nominee for Best Director   John Huston , age 79 ( Prizzi 's Honor , 1985 )     Oldest winner of an acting award   Christopher Plummer , age 82 ( Best Supporting Actor , Beginners , 2011 )     Oldest woman to win best Actress Award   Jessica Tandy , age 80 ( Best Actress , Driving Miss Daisy , 1989 )     Oldest man to win Best Actor Award   Henry Fonda , age 76 ( Best Actor , On Golden Pond , 1981 )     Oldest nominee for an acting award   Gloria Stuart , age 87 ( Best Supporting Actress , Titanic , 1997 )     Oldest nominee for a lead acting award   Emmanuelle Riva , age 85 ( Best Actress , Amour , 2012 )     Oldest competitive Oscar winner   Ennio Morricone , age 87 ( Best Original Score , The Hateful Eight , 2015 )         Youngest multiple nominees for an acting award ( best actor or best supporting actor )      Nomination   Name   Age   Film   Year   Date of Birth   Date of Nomination     2nd   Mineo , Sal Sal Mineo   7003805300000000000 ♠ 22 years , 17 days   Exodus   1960   000000001939 - 01 - 10 - 0000 January 10 , 1939   000000001961 - 01 - 27 - 0000 January 27 , 1961     3rd   Brando , Marlon Marlon Brando   7004109100000000000 ♠ 29 years , 318 days   Julius Caesar   1953   000000001924 - 04 - 03 - 0000 April 3 , 1924   000000001954 - 02 - 15 - 0000 February 15 , 1954     4th   Marlon Brando   7004112720000000000 ♠ 30 years , 315 days   On the Waterfront   1954   000000001924 - 04 - 03 - 0000 April 3 , 1924   000000001955 - 02 - 12 - 0000 February 12 , 1955     5th   Marlon Brando   7004123740000000000 ♠ 33 years , 321 days   Sayonara   1957   000000001924 - 04 - 03 - 0000 April 3 , 1924   000000001958 - 02 - 18 - 0000 February 18 , 1958     6th   Burton , Richard Richard Burton   7004161690000000000 ♠ 44 years , 98 days   Anne of the Thousand Days   1969   000000001925 - 11 - 10 - 0000 November 10 , 1925   000000001970 - 02 - 16 - 0000 February 16 , 1970     7th   Nicholson , Jack Jack Nicholson   7004171010000000000 ♠ 46 years , 300 days   Terms of Endearment     000000001937 - 04 - 22 - 0000 April 22 , 1937   000000001984 - 02 - 16 - 0000 February 16 , 1984     8th   Jack Nicholson   7004178210000000000 ♠ 48 years , 289 days   Prizzi 's Honor   1985   000000001937 - 04 - 22 - 0000 April 22 , 1937   000000001986 - 02 - 05 - 0000 February 5 , 1986     9th   Jack Nicholson   7004185630000000000 ♠ 50 years , 301 days   Ironweed     000000001937 - 04 - 22 - 0000 April 22 , 1937   000000001988 - 02 - 17 - 0000 February 17 , 1988     10th   Jack Nicholson   7004203910000000000 ♠ 55 years , 302 days   A Few Good Men   1992   000000001937 - 04 - 22 - 0000 April 22 , 1937   000000001993 - 02 - 18 - 0000 February 18 , 1993      Youngest multiple nominees for an acting award ( best actress or best supporting actress )      Nomination   Name   Age   Film   Year   Date of Birth   Date of Nomination     2nd   Lansbury , Angela Angela Lansbury   7003740800000000000 ♠ 20 years , 103 days   The Picture of Dorian Gray   1945   000000001925 - 10 - 16 - 0000 October 16 , 1925   000000001946 - 01 - 27 - 0000 January 27 , 1946     3rd   Lawrence , Jennifer Jennifer Lawrence   7003855500000000000 ♠ 23 years , 154 days   American Hustle   2013   000000001990 - 08 - 15 - 0000 August 15 , 1990   000000002014 - 01 - 16 - 0000 January 16 , 2014     4th   Lawrence , Jennifer Jennifer Lawrence   7003928300000000000 ♠ 25 years , 152 days   Joy   2015   000000001990 - 08 - 15 - 0000 August 15 , 1990   000000002016 - 01 - 14 - 0000 January 14 , 2016     5th   Winslet , Kate Kate Winslet   7004114330000000000 ♠ 31 years , 110 days   Little Children   2006   000000001975 - 10 - 05 - 0000 October 5 , 1975   000000002007 - 01 - 23 - 0000 January 23 , 2007     6th   Winslet , Kate Kate Winslet   7004121630000000000 ♠ 33 years , 109 days   The Reader   2008   000000001975 - 10 - 05 - 0000 October 5 , 1975   000000002009 - 01 - 22 - 0000 January 22 , 2009     7th   Davis , Bette Bette Davis   7004134530000000000 ♠ 36 years , 304 days   Mr. Skeffington   1944   000000001908 - 04 - 05 - 0000 April 5 , 1908   000000001945 - 02 - 03 - 0000 February 3 , 1945     8th   Streep , Meryl Meryl Streep   7004144830000000000 ♠ 39 years , 238 days   A Cry in the Dark   1988   000000001949 - 06 - 22 - 0000 June 22 , 1949   000000001989 - 02 - 15 - 0000 February 15 , 1989     9th   Meryl Streep   7004152110000000000 ♠ 41 years , 236 days   Postcards from the Edge   1990   000000001949 - 06 - 22 - 0000 June 22 , 1949   000000001991 - 02 - 13 - 0000 February 13 , 1991     10th   Meryl Streep   7004170370000000000 ♠ 46 years , 236 days   The Bridges of Madison County   1995   000000001949 - 06 - 22 - 0000 June 22 , 1949   000000001996 - 02 - 13 - 0000 February 13 , 1996     Film records ( edit )    Most nominations for a single film   Three films received 14 nominations :   All About Eve ( 1950 )   Titanic ( 1997 )   La La Land ( 2016 )       Most Oscars without winning Best Picture   Cabaret won 8 awards ( 1972 )     Most nominations without winning Best Picture   La La Land ( 2016 ) with 14 nominations     Most nominations without any wins   Two films received 11 nominations without winning any awards :   The Turning Point ( 1977 )   The Color Purple ( 1985 )       Most nominations without a Best Picture nomination   They Shoot Horses , Do n't They ? ( 1969 ) with 9 nominations     Most Oscars without a nomination for Best Picture   The Bad and the Beautiful ( 1952 ) with 5 wins     Fewest nominations for a Best Picture winner   Grand Hotel ( 1932 ) received only the Best Picture nomination .     Nominations in the most different technical categories   Five films have been nominated in all 7 technical categories ( Cinematography , Costume Design , Film Editing , Production Design / Art Direction , Sound Editing , Sound Mixing , and Visual Effects ) :   Titanic ( 1997 )   Master and Commander : The Far Side of the World ( 2003 )   Hugo ( 2011 )   Mad Max : Fury Road ( 2015 )   The Revenant ( 2015 )       Most nominations without a major nomination ( Picture , Director , Acting and Screenplay )   These 6 films got 6 nominations with no major nominations :   The Rains Came ( 1939 )   Hans Christian Andersen ( 1952 )   It 's a Mad , Mad , Mad , Mad World ( 1963 )   Empire of the Sun ( 1987 )   Who Framed Roger Rabbit ( 1988 ) ( note : received 7 nominations when you include a `` special achievement '' )   Terminator 2 : Judgment Day ( 1991 )       Best picture nominees that won every nomination except Best Picture   These 14 films were nominated for Best Picture and won in every category they were nominated for except Best Picture :   Bad Girl ( 1931 ) , 2 / 3   The Private Life of Henry VIII ( 1932 ) , 1 / 2   Naughty Marietta ( 1935 ) , 1 / 2   The Story of Louis Pasteur ( 1936 ) , 3 / 4   The Adventures of Robin Hood ( 1938 ) , 3 / 4   Miracle on 34th Street ( 1947 ) , 3 / 4   The Treasure of the Sierra Madre ( 1948 ) , 3 / 4   A Letter to Three Wives ( 1949 ) , 2 / 3   King Solomon 's Mines ( 1950 ) , 2 / 3   Three Coins in the Fountain ( 1954 ) , 2 / 3   Jaws ( 1975 ) , 3 / 4   Traffic ( 2000 ) , 4 / 5   The Blind Side ( 2009 ) , 1 / 2   Selma ( 2014 ) , 1 / 2       Films nominated for Best Picture with no other major nominations   These 28 films were nominated for Best Picture but had no other major nominations ( this does not include films that were only nominated for Best Picture and nothing else ) :   Wings ( 1927 ) , 2 nominations ( winner )   42nd Street ( 1933 ) , 2 nominations   A Farewell to Arms ( 1933 ) , 4 nominations   Cleopatra ( 1934 ) , 5 nominations   Flirtation Walk ( 1934 ) , 2 nominations   The Gay Divorcee ( 1934 ) , 5 nominations   Imitation of Life ( 1934 ) , 3 nominations   The White Parade ( 1934 ) , 2 nominations   David Copperfield ( 1935 ) , 3 nominations   Les Misérables ( 1935 ) , 4 nominations   A Midsummer Night 's Dream ( 1935 ) , 4 nominations ( note : really had 2 , but 2 more were write in noms )   Naughty Marietta ( 1935 ) , 2 nominations   Top Hat ( 1935 ) , 4 nominations   A Tale of Two Cities ( 1936 ) , 2 nominations   The Adventures of Robin Hood ( 1938 ) , 4 nominations   Of Mice and Men ( 1939 ) , 4 nominations   The Wizard of Oz ( 1939 ) , 6 nominations   King Solomon 's Mines ( 1950 ) , 3 nominations   Decision Before Dawn ( 1951 ) , 2 nominations   Three Coins in the Fountain ( 1954 ) , 3 nominations   The Music Man ( 1962 ) , 6 nominations   Doctor Dolittle ( 1967 ) , 9 nominations   Hello , Dolly ! ( 1969 ) , 7 nominations   Jaws ( 1975 ) , 4 nominations   Beauty and the Beast ( 1991 ) , 6 nominations   The Lord of the Rings : The Two Towers ( 2002 ) , 6 nominations   War Horse ( 2011 ) , 6 nominations   Selma ( 2014 ) , 2 nominations       Stories made into multiple Best Picture nominees   6 sets of Best Picture nominees share either original source material or were revised versions of the same story ( * = winner ) :   Cleopatra ( 1934 ) , Cleopatra ( 1963 )   Mutiny on the Bounty ( 1935 ) * , Mutiny on the Bounty ( 1962 )   Romeo and Juliet ( 1936 ) , West Side Story ( 1960 ) * , Romeo and Juliet ( 1968 ) . ( The plot of another Best Picture winner , Shakespeare in Love , revolves around the original production of Romeo and Juliet )   Les Misérables ( 1935 ) , Les Misérables ( 2012 )   Pygmalion ( 1938 ) , My Fair Lady ( 1964 ) *   Here Comes Mr. Jordan ( 1941 ) , Heaven Can Wait ( 1978 )        Acting records ( edit )    Most awards for leading actress   Katharine Hepburn with 4 awards ( 1933 , 1967 , * 1968 , 1981 ) ( * Tied with Barbra Streisand . )     Most awards for leading actor   Daniel Day - Lewis with 3 awards ( 1989 , 2007 , 2012 )     Most awards for supporting actor   Walter Brennan with 3 awards ( 1936 , 1938 , 1940 )     Most consecutive leading actress nominations   Two actresses have been nominated 5 years in a row :   Bette Davis ( 1938 -- 1942 )   Greer Garson ( 1941 -- 1945 )       Most consecutive leading actor nominations   Marlon Brando with four nominations ( 1951 to 1954 )     Actress with most total nominations for acting   Meryl Streep with 20 nominations     Actor with most total nominations for acting   Jack Nicholson with 12 nominations     Most acting nominations without an award   Peter O'Toole with 8 nominations ( He received an Honorary Award in 2002 )     Most nominations for an actor performing in a foreign language   Marcello Mastroianni with 3 nominations . He was nominated for Best Actor for Divorce , Italian Style ( 1962 ) ; A Special Day ( 1977 ) and Dark Eyes ( 1987 ) , performing in Italian     Longest gap between first and second award   Helen Hayes won in 1932 for The Sin of Madelon Claudet and in 1971 for Airport , a 39 - year gap     Longest time span between first and last nomination and between first and last award   Katharine Hepburn : 48 years from Morning Glory ( 1933 , in the 1932 / 33 awards ) until On Golden Pond ( 1981 )     Most acting nominations before first award   Both Geraldine Page and Al Pacino won on their 8th nomination     Most posthumous nominations   James Dean with 2 ( 1955 for East of Eden and 1956 for Giant )     Shortest performance to win an acting Oscar   Beatrice Straight in Network ( 1976 ) -- 5 minutes and 2 seconds     Shortest performance to win a lead acting Oscar   Patricia Neal in Hud ( 1963 ) -- 21 minutes and 51 seconds     Shortest performance to be nominated for an acting Oscar   Hermione Baddeley in Room at the Top ( 1959 ) -- 2 minutes and 19 seconds     Shortest performance to be nominated for a lead acting Oscar   Spencer Tracy in San Francisco ( 1936 ) -- 14 minutes and 58 seconds     Longest performance to win an acting Oscar   Vivien Leigh in Gone with the Wind ( 1939 ) -- 2 hours , 23 minutes and 32 seconds     Longest performance to win a supporting acting Oscar   Tatum O'Neal in Paper Moon ( 1973 ) -- 1 hour , 6 minutes and 58 seconds     Longest performance to be nominated for an acting Oscar   Vivien Leigh in Gone with the Wind ( 1939 ) -- 2 hours , 23 minutes and 32 seconds     Longest performance to be nominated for a supporting acting Oscar   Frank Finlay in Othello ( 1965 ) -- 1 hour , 30 minutes and 43 seconds     Most awards by a black actor   Denzel Washington with 2 , winning Best Supporting Actor for Glor</t>
  </si>
  <si>
    <t xml:space="preserve">who won the most oscars of all time</t>
  </si>
  <si>
    <t xml:space="preserve">  Most awards won by a single film   Three films have won 11 Academy Awards :   Ben - Hur ( 1959 ) -- 15 categories available for nomination ; nominated for 12   Titanic ( 1997 ) -- 17 categories available for nomination ; nominated for 14   The Lord of the Rings : The Return of the King ( 2003 ) -- 17 categories available for nomination ; nominated for 11       Most nominations received by a single film   Three films have received 14 nominations :   All About Eve ( 1950 ) -- 16 categories available for nomination ; won 6 awards   Titanic ( 1997 ) -- 17 categories available for nomination ; won 11 awards   La La Land ( 2016 ) -- 17 categories available for nomination ; won 6 awards       Largest sweep ( winning awards in every nominated category )   The Lord of the Rings : The Return of the King ( 2003 ) won all 11 categories for which it was nominated : Best Picture , Director , Adapted Screenplay , Original Score , Original Song , Sound Mixing , Art Direction , Makeup , Costume Design , Film Editing , and Visual Effects     Most awards won by an individual   Walt Disney won 22 Oscars .     Most awards won by a woman   Edith Head won eight Oscars , all for Costume Design     Most nominations in a single year / Most awards in a single year   In 1954 , Walt Disney won four awards out of six nominations , both records . He won Best Documentary , Features for The Living Desert ; Best Documentary , Short Subjects for The Alaskan Eskimo ; Best Short Subject , Cartoons for Toot Whistle Plunk and Boom ; and Best Short Subject , Two - reel for Bear Country . He had two additional nominations in Best Short Subject , Cartoons for Rugged Bear ; and Best Short Subject , Two - reel for Ben and Me .     Most awards won by a person who is still living   Visual Effects Supervisor Dennis Muren has won nine Academy Awards -- six competitive awards , two `` Special Achievement '' awards , and one `` Technical Achievement '' award     Most competitive awards won by a person who is still living   Composer Alan Menken has won eight competitive Academy Awards     Acting   Katharine Hepburn won four awards , all for Best Actress     Directing   John Ford won the most directing awards , with four     Cinematography   The highest number of Academy Awards won by a cinematographer is four :   Joseph Ruttenberg , in 1938 , 1942 , 1956 , and 1958   Leon Shamroy , in 1942 , 1944 , 1945 , and 1963       Art Direction   Cedric Gibbons , who designed the Oscar statuette , won 11 awards out of a total of 39 nominations .     Makeup   Rick Baker won seven Academy Awards ( all for Best Makeup )     Most awards won by a country for Best Foreign Language Film   Italy won 14 awards in this category and received in total 32 nominations     Most nominations received by a country for Best Foreign Language Film   France received 40 nominations and won the award 12 times     Most awards won by a foreign - language film   Two foreign - language films have won four Academy Awards :   Fanny and Alexander ( 1982 ) won Best Foreign Language Film , Best Cinematography , Best Art Direction , and Best Costume Design   Crouching Tiger , Hidden Dragon ( 2000 ) won Best Foreign Language Film , Best Art Direction , Best Original Score , and Best Cinematography       Most nominations received by a foreign - language film   Crouching Tiger , Hidden Dragon ( 2000 ) received ten nominations : Best Foreign Language Film , Best Picture , Best Director , Best Adapted Screenplay , Best Original Song , Best Costume Design , Best Art Direction , Best Film Editing , Best Original Score , and Best Cinematography    </t>
  </si>
  <si>
    <r>
      <rPr>
        <sz val="11"/>
        <color rgb="FF000000"/>
        <rFont val="Calibri"/>
        <family val="0"/>
        <charset val="1"/>
      </rPr>
      <t xml:space="preserve">Labor Day - Wikipedia  Labor Day  This is the latest accepted revision , reviewed on 29 August 2018 . This article is about the U.S. holiday . For the similarly named holiday in other countries , see Labour Day . For other uses , see Labor Day ( disambiguation ) .      Labor Day     Labor Day Parade in New York 's Union Square , 1882     Observed by   United States     Type   National     Celebrations   Parades , barbecues     Date   First Monday in September     2017 date   September 4     2018 date   September 3     2019 date   September 2     2020 date   September 7     Frequency   Annual     Related to   Labour Day     Labor Day in the United States is a public holiday celebrated on the first Monday in September . It honors the American labor movement and the contributions that workers have made to the strength , prosperity , laws and well - being of the country . It is the Monday of the long weekend known as Labor Day Weekend and it is considered the unofficial end of summer in the United States . It is recognized as a federal holiday .   Beginning in the late 19th century , as the trade union and labor movements grew , trade unionists proposed that a day be set aside to celebrate labor . `` Labor Day '' was promoted by the Central Labor Union and the Knights of Labor , which organized the first parade in New York City . In 1887 , Oregon was the first state of the United States to make it an official public holiday . By the time it became an official federal holiday in 1894 , thirty states in the United States officially celebrated Labor Day .   Canada 's Labour Day is also celebrated on the first Monday of September . More than 80 countries celebrate International Workers ' Day on May 1 -- the ancient European holiday of May Day -- and several countries have chosen their own dates for Labour Day .   Contents    1 History   1.1 Origin   1.2 Legal recognition     2 Labor Day vs. May Day   3 Unofficial end of summer   4 Labor Day sales   5 Dates   6 See also   7 Footnotes   8 References   9 Bibliography   10 External links    History ( edit )   Origin ( edit )   Beginning in the late 19th century , as the trade union and labor movements grew , different groups of trade unionists chose a variety of days on which to celebrate labor . In the United States , a September holiday called Labor Day was first proposed in the early 1880s . Alternate stories of the event 's origination exist .   According to one early history of Labor Day , the event originated in connection with a General Assembly of the Knights of Labor convened in New York City in September 1882 . In connection with this clandestine Knights assembly , a public parade of various labor organizations was held on September 5 under the auspices of the Central Labor Union ( CLU ) of New York . Secretary of the CLU Matthew Maguire is credited for first proposing that a national Labor Day holiday subsequently be held on the first Monday of each September in the aftermath of this successful public demonstration .  P.J. McGuire , Vice President of the American Federation of Labor , is frequently credited as the father of Labor Day in the United States .  An alternative thesis is maintained that the idea of Labor Day was the brainchild of Peter J. McGuire , a vice president of the American Federation of Labor , who put forward the initial proposal in the spring of 1882 . According to McGuire , on May 8 , 1882 , he made a proposition to the fledgling Central Labor Union in New York City that a day be set aside for a `` general holiday for the laboring classes '' . According to McGuire he further recommended that the event should begin with a street parade as a public demonstration of organized labor 's solidarity and strength , with the march followed by a picnic , to which participating local unions could sell tickets as a fundraiser . According to McGuire he suggested the first Monday in September as an ideal date for such a public celebration , owing to optimum weather and the date 's place on the calendar , sitting midway between the Fourth of July and Thanksgiving public holidays .   Labor Day picnics and other public gatherings frequently featured speeches by prominent labor leaders .   In 1909 the American Federation of Labor convention designated the Sunday preceding Labor Day as `` Labor Sunday '' , to be dedicated to the spiritual and educational aspects of the labor movement . This secondary date failed to gain significant traction in popular culture .   Legal recognition ( edit )   In 1887 Oregon became the first state of the United States to make Labor Day an official public holiday . By the time it became an official federal holiday in 1894 , thirty U.S. states officially celebrated Labor Day . All U.S. states , the District of Columbia , and the United States territories have subsequently made Labor Day a statutory holiday .   Labor Day vs. May Day ( edit )   The date of May 1 ( an ancient European folk holiday known as May Day ) emerged in 1886 as an alternative holiday for the celebration of labor , later becoming known as International Workers ' Day . The date had its origins at the 1885 convention of the American Federation of Labor , which passed a resolution calling for adoption of the eight - hour day effective May 1 , 1886 . While negotiation was envisioned for achievement of the shortened work day , use of the strike to enforce this demand was recognized , with May 1 advocated as a date for coordinated strike action . The proximity of the date to the bloody Haymarket affair of May 4 , 1886 , further accentuated May First 's radical reputation .   There was disagreement among labor unions at this time about when a holiday celebrating workers should be , with some advocating for continued emphasis of the September march - and - picnic date while others sought the designation of the more politically - charged date of May 1 . Conservative Democratic President Grover Cleveland was one of those concerned that a labor holiday on May 1 would tend to become a commemoration of the Haymarket Affair and would strengthen socialist and anarchist movements that backed the May 1 commemoration around the globe . In 1887 , he publicly supported the September Labor Day holiday as a less inflammatory alternative . The date was formally adopted as a United States federal holiday in 1894 .   Unofficial end of summer ( edit )   Labor Day is called the `` unofficial end of summer '' because it marks the end of the cultural summer season . Many take their two - week vacations during the two weeks ending Labor Day weekend . Many fall activities , such as school and sports begin about this time .   In the United States , many school districts resume classes around the Labor Day holiday weekend ( see First day of school ) . Many begin the week before , making Labor Day weekend the first three - day weekend of the school calendar , while others return the Tuesday following Labor Day , allowing families one final getaway before the school year begins . Many districts across the Midwest are opting to begin school after Labor Day .   In the U.S. state of Virginia , the amusement park industry has successfully lobbied for legislation requiring most school districts in the state to have their first day of school after Labor Day , in order to give families another weekend to visit amusement parks in the state . The relevant statute has been nicknamed the `` Kings Dominion law '' after one such park .   In Minnesota the State Fair ends on Labor Day . Under state law public schools normally do not begin until after the holiday . Allowing time for school children to show 4 - H projects at the Fair has been given as one reason for this timing .   In U.S. sports , Labor Day weekend marks the beginning of many fall sports . National Collegiate Athletic Association ( NCAA ) teams usually play their first games that weekend and the National Football League ( NFL ) traditionally play their kickoff game the Thursday following Labor Day . The Southern 500 NASCAR auto race has been held on Labor Day weekend at Darlington Raceway in Darlington , South Carolina from 1950 to 2003 and since 2015 . At Indianapolis Raceway Park , the National Hot Rod Association hold their finals of the NHRA U.S. Nationals drag race that weekend . Labor Day is the middle point between weeks one and two of the U.S. Open Tennis Championships held in Flushing Meadows , New York .   In fashion , Labor Day is ( or was ) considered the last day when it is acceptable to wear white or seersucker .   In big cities , people try to go outside and enjoy beaches and barbecues over the Labor Day Weekend . There are also numerous events and activities organized in the cities . For example , New York offers fantastic Labor Day Carnival , fireworks over Coney Island , happy hours in restaurants , 12 - hour dance parties , and many other fun activities . In Washington , one of the favorites is the Labor Day Concert at the U.S. Capitol featuring the National Symphony Orchestra with free attendance .   Labor Day sales ( edit )   To take advantage of large numbers of potential customers with time to shop , Labor Day has become an important weekend for discounts and allowances by many retailers in the United States , especially for back - to - school sales . Some retailers claim it is one of the largest sale dates of the year , second only to the Christmas season 's Black Friday .   Dates ( edit )     Year   Labor Day     1900   1928   1956   1984   2012   2040   2068   2096   September 3     1901   1929   1957   1985   2013   2041   2069   2097   September 2     1902   1930   1958   1986   2014   2042   2070   2098   September 1     1903   1931   1959     2015   2043   2071   2099   September 7     1904   1932   1960     2016   2044   2072     September 5     1905   1933   1961     2017   2045   2073     September 4     1906   1934   1962     2018   2046   2074     September 3     1907   1935   1963   1991   2019   2047   2075     September 2     1908   1936   1964     2020   2048   2076     September 7     1909   1937   1965     2021   2049   2077     September 6     1910   1938   1966     2022   2050   2078     September 5     1911   1939   1967   1995   2023   2051   2079     September 4     1912   1940   1968     2024   2052   2080     September 2     1913   1941   1969     2025   2053   2081     September 1     1914   1942   1970   1998   2026   2054   2082     September 7     1915   1943   1971   1999   2027   2055   2083     September 6     1916   1944   1972   2000   2028   2056   2084     September 4     1917   1945   1973     2029   2057   2085     September 3     1918   1946     2002   2030   2058   2086     September 2     1919   1947     2003   2031   2059   2087     September 1     1920   1948   1976     2032   2060   2088   2100   September 6     1921   1949   1977   2005   2033   2061   2089   2101   September 5     1922   1950   1978   2006   2034   2062   2090   2102   September 4     1923   1951   1979   2007   2035   2063   2091   2103   September 3     1924   1952   1980   2008   2036   2064   2092   2104   September 1     1925   1953   1981   2009   2037   2065   2093   2105   September 7     1926   1954   1982     2038   2066   2094   2106   September 6     1927   1955     2011   2039   2067   2095   2107   September 5     See also ( edit )    Labor history of the United States   Labor unions in the United States   United States labor law   Workers ' Memorial Day    Footnotes ( edit )    Jump up ^ The gap is caused by the fact that , under the Gregorian Calendar , the year 2100 is not a leap year , not being divisible by 400 .    References ( edit )    Jump up ^ `` Dates for Labor Day '' . timeanddate.com . Retrieved 2018 - 08 - 27 -- via Calendar date and Labor Day. js .   ^ Jump up to : The Bridgemen 's magazine . International Association of Bridge , Structural and Ornamental Iron Workers . 1921 . pp. 443 -- 444 . Archived from the original on October 9 , 2013 . Retrieved September 4 , 2011 .   ^ Jump up to : `` Origin of Labor Day '' , Cincinnati Tribune , September 1 , 1895 , Special Labor Day supplement , p. 26 .   ^ Jump up to : `` United States Department of Labor : The History of Labor Day '' . Archived from the original on September 25 , 2017 . Retrieved November 3 , 2017 .   ^ Jump up to : P.J. McGuire , `` Labor Day -- Its Birth and Significance '' , The Union Agent ( Kentucky ) , vol. 3 , no . 9 ( Sept. 1898 ) , p. 1 .   ^ Jump up to : Philip S. Foner , May Day : A Short History of the International Workers ' Holiday . New York : International Publishers , 1986 ; pg. 19 .   Jump up ^ Sally Kohn ( September 1 , 2014 ) . Why Labor Day was a political move . CNN . Retrieved August 3 , 2018 .   Jump up ^ `` Knights of Labor '' . Progressive Historians . September 3 , 2007 . Archived from the original on September 30 , 2007 .   Jump up ^ `` Labor Day marks unofficial end of rainy summer '' . WBIR - TV10 . September 2 , 2013 . Retrieved March 23 , 2016 .   Jump up ^ `` Labor Day : The Last ( and Best ) Chance for a Summer Vacation '' . Travelocity .   Jump up ^ Charles , C.M. ; Senter , Gail W. ( 2008 ) . Elementary classroom management . Pearson / Allyn and Bacon . p. 20 . ISBN 978 - 0 - 205 - 51071 - 9 . Archived from the original on January 7 , 2014 . Retrieved September 4 , 2011 .   Jump up ^ Freed , Benjamin ( August 25 , 2014 ) . `` '' Kings Dominion Law '' Still Reigns in Virginia `` . Washingtonian . Archived from the original on September 13 , 2016 . Retrieved September 5 , 2016 .   Jump up ^ `` Commonly asked questions '' . www.mpls.k12.mn.us . Archived from the original on September 4 , 2017 . Retrieved November 27 , 2017 .   Jump up ^ Laura FitzPatrick ( September 8 , 2009 ) . `` Why We Ca n't Wear White After Labor Day '' . Time Magazine . Archived from the original on March 3 , 2011 . Retrieved February 25 , 2011 .   Jump up ^ Bell , Johnathan ( May 9 , 2011 ) . `` An Introduction to Seersucker for Men '' . Guy Style Guide . Archived from the original on April 19 , 2012 . Retrieved May 2 , 2012 .   Jump up ^ O'Brien , Glenn . `` Daytime wedding after Labor Day : Is it OK to wear a light beige suit to a daytime wedding after Labor Day ? '' . GQ . The Style Guy . Archived from the original on January 31 , 2012 . Retrieved May 2 , 2012 .   Jump up ^ `` Labor Day Weekend '' . rove.me .   Jump up ^ `` 20 + Ways to Celebrate Labor Day Weekend in Washington , DC '' . Destination DC .   Jump up ^ `` Labor Day Intention Still Holds Meaning '' . Tri Parish Times . August 30 , 2012 . Retrieved August 31 , 2012 .    Bibliography ( edit )    Green , James ( 2007 ) . Death In the Haymarket : A Story of Chicago , the First Labor Movement and the Bombing that Divided Gilded Age America . Anchor . ISBN 1 - 4000 - 3322 - 5 .    External links ( edit )       Wikimedia Commons has media related to Labor Day in the United States .      History of Labor Day , History of Artists and Writers Unions , Rare Labor Related Comic Books   Labor Day is May 1 : Today is a boss 's holiday . Jacobin . September 7 , 2015 .   Today Belongs to Workers . Jacobin . September 5 , 2016 .   `` Labor Day '' . New International Encyclopedia . 1905 .              Federal holidays in the United States     Current     New Year 's Day   Birthday of Martin Luther King Jr .   Washington 's Birthday   Memorial Day   Independence Day   Labor Day   Columbus Day   Veterans Day   Thanksgiving Day   Christmas Day       Proposed     Flag Day ( 1950 )   Election Day ( 1993 )   Malcolm X Day ( 1993 -- 1994 )   Democracy Day ( 2005 , 2014 )   Cesar Chavez Day ( 2008 )   Susan B. Anthony Day ( 2011 )   Native American Day ( 2013 )                 Holidays , observances , and celebrations in the United States     January     New Year 's Day ( federal )   Martin Luther King Jr . Day ( federal )     Confederate Heroes Day ( TX )   Fred Korematsu Day ( CA , FL , HI , VA )   Idaho Human Rights Day ( ID )   Inauguration Day ( federal quadrennial , DC area )   Kansas Day ( KS )   Lee -- Jackson Day ( formerly Lee -- Jackson -- King Day ) ( VA )   Robert E. Lee Day ( FL )   Stephen Foster Memorial Day ( 36 )   The Eighth ( LA )       January -- February    Super Bowl Sunday      February American Heart Month Black History Month     Washington 's Birthday / Presidents ' Day ( federal )   Valentine 's Day     Georgia Day ( GA )   Groundhog Day   Lincoln 's Birthday ( CA , CT , IL , IN , MO , NJ , NY , WV )   National Girls and Women in Sports Day   National Freedom Day ( 36 )   Primary Election Day ( WI )   Ronald Reagan Day ( CA )   Rosa Parks Day ( CA , MO )   Susan B. Anthony Day ( CA , FL , NY , WI , WV , proposed federal )       February -- March    Mardi Gras    Ash Wednesday ( religious )   Courir de Mardi Gras ( religious )   Super Tuesday       March Irish - American Heritage Month National Colon Cancer Awareness Month Women 's History Month    St. Patrick 's Day ( religious )   Spring break ( week )    Casimir Pulaski Day ( IL )   Cesar Chavez Day ( CA , CO , TX , proposed federal )   Evacuation Day ( Suffolk County , MA )   Harriet Tubman Day ( NY )   Holi ( NY , religious )   Mardi Gras ( AL ( in two counties ) , LA )   Maryland Day ( MD )   National Poison Prevention Week ( week )   Prince Jonah Kūhiō Kalanianaʻole Day ( HI )   Saint Joseph 's Day ( religious )   Seward 's Day ( AK )   Texas Independence Day ( TX )   Town Meeting Day ( VT )       March -- April    Easter ( religious )    Palm Sunday ( religious )   Passover ( religious )   Good Friday ( CT , NC , PR , religious )   Easter Monday ( religious )       April Confederate History Month    420 Day   April Fools ' Day   Arbor Day   Confederate Memorial Day ( AL , MS )   Days of Remembrance of the Victims of the Holocaust ( week )   Earth Day   Emancipation Day ( DC )   Thomas Jefferson 's Birthday ( AL )   Pascua Florida ( FL )   Patriots ' Day ( MA , ME )   San Jacinto Day ( TX )   Siblings Day   Walpurgis Night ( religious )      May Asian Pacific American Heritage Month Jewish American Heritage Month     Memorial Day ( federal )   Mother 's Day ( 36 )   Cinco de Mayo     Harvey Milk Day ( CA )   Law Day ( 36 )   Loyalty Day ( 36 )   Malcolm X Day ( CA , IL , proposed federal )   May Day   Military Spouse Day   National Day of Prayer ( 36 )   National Defense Transportation Day ( 36 )   National Maritime Day ( 36 )   Peace Officers Memorial Day ( 36 )   Truman Day ( MO )       June Lesbian , Gay , Bisexual and Transgender Pride Month    Father 's Day ( 36 )    Bunker Hill Day ( Suffolk County , MA )   Carolina Day ( SC )   Emancipation Day In Texas / Juneteenth ( TX )   Flag Day ( 36 , proposed federal )   Helen Keller Day ( PA )   Honor America Days ( 3 weeks )   Jefferson Davis Day ( AL , FL )   Kamehameha Day ( HI )   Odunde Festival ( Philadelphia , PA )   Senior Week ( week )   West Virginia Day ( WV )       July    Independence Day ( federal )    Lā Hoʻihoʻi Ea ( HI , unofficial )   Parents ' Day ( 36 )   Pioneer Day ( UT )       July -- August    Summer vacation      August     American Family Day ( AZ )   Barack Obama Day ( IL )   Bennington Battle Day ( VT )   Hawaii Admission Day / Statehood Day ( HI )   Lyndon Baines Johnson Day ( TX )   National Aviation Day ( 36 )   Service Reduction Day ( MD )   Victory Day ( RI )   Women 's Equality Day ( 36 )       September Prostate Cancer Awareness Month     Labor Day ( federal )     California Admission Day ( CA )   Carl Garner Federal Lands Cleanup Day ( 36 )   Constitution Day ( 36 )   Constitution Week ( week )   Defenders Day ( MD )   Gold Star Mother 's Day ( 36 )   National Grandparents Day ( 36 )   National Payroll Week ( week )   Native American Day ( CA , TN , proposed federal )   Patriot Day ( 36 )       September -- October Hispanic Heritage Month    Oktoberfest    Rosh Hashanah ( religious )   Yom Kippur ( religious )       October Breast Cancer Awareness Month Disability Employment Awareness Month Filipino American History Month LGBT History Month    Columbus Day ( federal )   Halloween    Alaska Day ( AK )   Child Health Day ( 36 )   General Pulaski Memorial Day   German - American Day   Indigenous Peoples ' Day ( VT )   International Day of Non-Violence   Leif Erikson Day ( 36 )   Missouri Day ( MO )   National School Lunch Week   Native American Day ( SD )   Nevada Day ( NV )   Sweetest Day   White Cane Safety Day ( 36 )       October -- November    Diwali ( religious )      November Native American Indian Heritage Month     Veterans Day ( federal )   Thanksgiving ( federal )     Day after Thanksgiving ( 24 )   Election Day ( CA , DE , HI , KY , MT , NJ , NY , OH , PR , WV , proposed federal )   Family Day ( NV )   Hanukkah ( religious )   Lā Kūʻokoʻa ( HI , unofficial )   Native American Heritage Day ( MD , WA )   Barack Obama Day ( Perry County , AL )       December    Christmas ( religious , federal )    Alabama Day ( AL )   Christmas Eve ( KY , NC , SC )   Day after Christmas ( KY , NC , SC , TX )   Festivus   Hanukkah ( religious , week )   Indiana Day ( IN )   Kwanzaa ( religious , week )   National Pearl Harbor Remembrance Day ( 36 )   New Year 's Eve   Pan American Aviation Day ( 36 )   Rosa Parks Day ( OH , OR )   Wright Brothers Day ( 36 )       Varies ( year round )    Eid al - Adha ( religious )   Eid al - Fitr ( religious )   Ramadan ( religious , month )      Legend :  ( federal ) = federal holidays , ( state ) = state holidays , ( religious ) = religious holidays , ( week ) = weeklong holidays , ( month ) = monthlong holidays , ( 36 ) = Title 36 Observances and Ceremonies Bold indicates major holidays commonly celebrated in the United States , which often represent the major celebrations of the month .  See also : Lists of holidays , Hallmark holidays , public holidays in the United States , New Jersey , New York , Puerto Rico and the United States Virgin Islands .           NARA : 10665370      Retrieved from `` https://en.wikipedia.org/w/index.php?title=Labor_Day&amp;oldid=857135014 '' Categories :   1882 establishments in the United States   Federal holidays in the United States   Labor in the United States   September observances   Public holidays in the United States   Recurring events established in 1882   Fall events in the United States   Hidden categories :   All articles with dead external links   Articles with dead external links from December 2017   Articles with permanently dead external links   Wikipedia pending changes protected pages   Use American English from September 2017   All Wikipedia articles written in American English   Use mdy dates from November 2017   Holidays and observances by scheduling ( nth weekday of the month )   Infobox holiday with missing field   Infobox holiday ( other )   Wikipedia articles incorporating a citation from the New International Encyclopedia   Wikipedia articles with NARA identifiers           Talk                                           Contents                   About Wikipedia                                                 Deutsch   Español   فارسی   </t>
    </r>
    <r>
      <rPr>
        <sz val="11"/>
        <color rgb="FF000000"/>
        <rFont val="Noto Sans CJK SC"/>
        <family val="2"/>
      </rPr>
      <t xml:space="preserve">한국어   </t>
    </r>
    <r>
      <rPr>
        <sz val="11"/>
        <color rgb="FF000000"/>
        <rFont val="Calibri"/>
        <family val="0"/>
        <charset val="1"/>
      </rPr>
      <t xml:space="preserve">Bahasa Indonesia   Italiano   עברית   Nederlands   नेपाली   </t>
    </r>
    <r>
      <rPr>
        <sz val="11"/>
        <color rgb="FF000000"/>
        <rFont val="Noto Sans CJK SC"/>
        <family val="2"/>
      </rPr>
      <t xml:space="preserve">日本 語   </t>
    </r>
    <r>
      <rPr>
        <sz val="11"/>
        <color rgb="FF000000"/>
        <rFont val="Calibri"/>
        <family val="0"/>
        <charset val="1"/>
      </rPr>
      <t xml:space="preserve">Norsk   Português   Русский   Simple English   Suomi   Svenska   தமிழ்   Türkçe   Українська   ייִדיש   </t>
    </r>
    <r>
      <rPr>
        <sz val="11"/>
        <color rgb="FF000000"/>
        <rFont val="Noto Sans CJK SC"/>
        <family val="2"/>
      </rPr>
      <t xml:space="preserve">粵語   中文  </t>
    </r>
    <r>
      <rPr>
        <sz val="11"/>
        <color rgb="FF000000"/>
        <rFont val="Calibri"/>
        <family val="0"/>
        <charset val="1"/>
      </rPr>
      <t xml:space="preserve">13 more  Edit links   This page was last edited on 29 August 2018 , at 19 : 52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</si>
  <si>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day does labor day fall on in 2018</t>
  </si>
  <si>
    <t xml:space="preserve">   Year   Labor Day     1900   1928   1956   1984   2012   2040   2068   2096   September 3     1901   1929   1957   1985   2013   2041   2069   2097   September 2     1902   1930   1958   1986   2014   2042   2070   2098   September 1     1903   1931   1959     2015   2043   2071   2099   September 7     1904   1932   1960     2016   2044   2072     September 5     1905   1933   1961     2017   2045   2073     September 4     1906   1934   1962     2018   2046   2074     September 3     1907   1935   1963   1991   2019   2047   2075     September 2     1908   1936   1964     2020   2048   2076     September 7     1909   1937   1965     2021   2049   2077     September 6     1910   1938   1966     2022   2050   2078     September 5     1911   1939   1967   1995   2023   2051   2079     September 4     1912   1940   1968     2024   2052   2080     September 2     1913   1941   1969     2025   2053   2081     September 1     1914   1942   1970   1998   2026   2054   2082     September 7     1915   1943   1971   1999   2027   2055   2083     September 6     1916   1944   1972   2000   2028   2056   2084     September 4     1917   1945   1973     2029   2057   2085     September 3     1918   1946     2002   2030   2058   2086     September 2     1919   1947     2003   2031   2059   2087     September 1     1920   1948   1976     2032   2060   2088   2100   September 6     1921   1949   1977   2005   2033   2061   2089   2101   September 5     1922   1950   1978   2006   2034   2062   2090   2102   September 4     1923   1951   1979   2007   2035   2063   2091   2103   September 3     1924   1952   1980   2008   2036   2064   2092   2104   September 1     1925   1953   1981   2009   2037   2065   2093   2105   September 7     1926   1954   1982     2038   2066   2094   2106   September 6     1927   1955     2011   2039   2067   2095   2107   September 5   </t>
  </si>
  <si>
    <t xml:space="preserve">Electronegativity - wikipedia  Electronegativity  Jump to : navigation , search `` Electronegative '' redirects here . For the Nightfall EP , see Electronegative ( EP ) . Electrostatic potential map of a water molecule , where the oxygen atom has a more negative charge ( red ) than the positive ( blue ) hydrogen atoms  Electronegativity , symbol χ , is a chemical property that describes the tendency of an atom to attract electrons ( or electron density ) towards itself . An atom 's electronegativity is affected by both its atomic number and the distance at which its valence electrons reside from the charged nucleus . The higher the associated electronegativity number , the more an element or compound attracts electrons towards it .   The term `` electronegativity '' was introduced by Jöns Jacob Berzelius in 1811 , though the concept was known even before that and was studied by many chemists including Avogadro . In spite of its long history , an accurate scale of electronegativity was not developed until 1932 , when Linus Pauling proposed an electronegativity scale , which depends on bond energies , as a development of valence bond theory . It has been shown to correlate with a number of other chemical properties . Electronegativity can not be directly measured and must be calculated from other atomic or molecular properties . Several methods of calculation have been proposed , and although there may be small differences in the numerical values of the electronegativity , all methods show the same periodic trends between elements .   The most commonly used method of calculation is that originally proposed by Linus Pauling . This gives a dimensionless quantity , commonly referred to as the Pauling scale ( χ ) , on a relative scale running from around 0.7 to 3.98 ( hydrogen = 2.20 ) . When other methods of calculation are used , it is conventional ( although not obligatory ) to quote the results on a scale that covers the same range of numerical values : this is known as an electronegativity in Pauling units .   As it is usually calculated , electronegativity is not a property of an atom alone , but rather a property of an atom in a molecule . Properties of a free atom include ionization energy and electron affinity . It is to be expected that the electronegativity of an element will vary with its chemical environment , but it is usually considered to be a transferable property , that is to say that similar values will be valid in a variety of situations .   On the most basic level , electronegativity is determined by factors like the nuclear charge ( the more protons an atom has , the more `` pull '' it will have on electrons ) and the number / location of other electrons present in the atomic shells ( the more electrons an atom has , the farther from the nucleus the valence electrons will be , and as a result the less positive charge they will experience -- both because of their increased distance from the nucleus , and because the other electrons in the lower energy core orbitals will act to shield the valence electrons from the positively charged nucleus ) .   The opposite of electronegativity is electropositivity : a measure of an element 's ability to donate electrons .   Caesium is the least electronegative element in the periodic table ( = 0.79 ) , while fluorine is most electronegative ( = 3.98 ) . Francium and caesium were originally both assigned 0.7 ; caesium 's value was later refined to 0.79 , but no experimental data allows a similar refinement for francium . However , francium 's ionization energy is known to be slightly higher than caesium 's , in accordance with the relativistic stabilization of the 7s orbital , and this in turn implies that francium is in fact more electronegative than caesium .     Contents  ( hide )   1 Electronegativities of the elements   2 Methods of calculation   2.1 Pauling electronegativity   2.2 Mulliken electronegativity   2.3 Allred -- Rochow electronegativity   2.4 Sanderson electronegativity equalization   2.5 Allen electronegativity     3 Correlation of electronegativity with other properties   4 Trends in electronegativity   4.1 Periodic trends   4.2 Variation of electronegativity with oxidation number     5 Group electronegativity   6 Electropositivity   7 See also   8 References   9 Bibliography   10 External links      Electronegativities of the elements ( edit )             Periodic table of electronegativity by Pauling scale     → Atomic radius decreases → Ionization energy increases → Electronegativity increases →                 5   6   7   8   9   10   11   12   13   14   15   16   17   18     Group →     ↓ Period       2.20     He       Li 0.98   Be 1.57     2.04   2.55   3.04   O 3.44   3.98   Ne       Na 0.93   Mg 1.31     Al 1.61   Si 1.90   2.19   2.58   Cl 3.16   Ar       0.82   Ca 1.00   Sc 1.36     Ti 1.54   V 1.63   Cr 1.66   Mn 1.55   Fe 1.83   Co 1.88   Ni 1.91   Cu 1.90   Zn 1.65   Ga 1.81   Ge 2.01   As 2.18   Se 2.55   Br 2.96   Kr 3.00     5   Rb 0.82   Sr 0.95   Y 1.22     Zr 1.33   Nb 1.6   Mo 2.16   Tc 1.9   Ru 2.2   Rh 2.28   Pd 2.20   Ag 1.93   Cd 1.69   In 1.78   Sn 1.96   Sb 2.05   Te 2.1   2.66   Xe 2.60     6   Cs 0.79   Ba 0.89   La 1.1     Hf 1.3   Ta 1.5   2.36   Re 1.9   Os 2.2   Ir 2.20   Pt 2.28   Au 2.54   Hg 2.00   Tl 1.62   Pb 1.87   Bi 2.02   Po 2.0   At 2.2   Rn 2.2     7   Fr 0.7   Ra 0.9   Ac 1.1     Rf   Db   Sg   Bh   Hs   Mt   Ds   Rg   Cn   Nh   Fl   Mc   Lv   Ts   Og           Ce 1.12   Pr 1.13   Nd 1.14   Pm 1.13   Sm 1.17   Eu 1.2   Gd 1.2   Tb 1.1   Dy 1.22   Ho 1.23   Er 1.24   Tm 1.25   Yb 1.1   Lu 1.27       Th 1.3   Pa 1.5   U 1.38   Np 1.36   Pu 1.28   Am 1.13   Cm 1.28   Bk 1.3   Cf 1.3   Es 1.3   Fm 1.3   Md 1.3   No 1.3   Lr 1.3     Values are given for the elements in their most common and stable oxidation states . See also : Electronegativities of the elements ( data page )   Jump up ^ Electronegativity of francium was chosen by Pauling as 0.7 , close to that of caesium ( also assessed 0.7 at that point ) . The base value of hydrogen was later increased by 0.10 and caesium 's electronegativity was later refined to 0.79 ; however , no refinements have been made for francium as no experiment has been conducted and the old value was kept . However , francium is expected and , to a small extent , observed to be more electronegative than caesium . See francium for details .   Jump up ^ See Brown , Geoffrey ( 2012 ) . The Inaccessible Earth : An integrated view to its structure and composition . Springer Science &amp; Business Media . p. 88 . ISBN 9789401115162 .       Methods of calculation ( edit )   Pauling electronegativity ( edit )   Pauling first proposed the concept of electronegativity in 1932 as an explanation of the fact that the covalent bond between two different atoms ( A -- B ) is stronger than would be expected by taking the average of the strengths of the A -- A and B -- B bonds . According to valence bond theory , of which Pauling was a notable proponent , this `` additional stabilization '' of the heteronuclear bond is due to the contribution of ionic canonical forms to the bonding .   The difference in electronegativity between atoms A and B is given by :      χ A − χ B = ( e V ) − 1 / 2 E d ( A B ) − ( E d ( A A ) + E d ( B B ) ) / 2 ( \ displaystyle \ chi _ ( \ rm ( A ) ) - \ chi _ ( \ rm ( B ) ) = ( ( \ rm ( eV ) ) ) ^ ( - 1 / 2 ) ( \ sqrt ( E_ ( \ rm ( d ) ) ( ( \ rm ( AB ) ) ) - ( E_ ( \ rm ( d ) ) ( ( \ rm ( AA ) ) ) + E_ ( \ rm ( d ) ) ( ( \ rm ( BB ) ) ) ) / 2 ) ) )      where the dissociation energies , E , of the A -- B , A -- A and B -- B bonds are expressed in electronvolts , the factor ( eV ) being included to ensure a dimensionless result . Hence , the difference in Pauling electronegativity between hydrogen and bromine is 0.73 ( dissociation energies : H -- Br , 3.79 eV ; H -- H , 4.52 eV ; Br -- Br 2.00 eV )   As only differences in electronegativity are defined , it is necessary to choose an arbitrary reference point in order to construct a scale . Hydrogen was chosen as the reference , as it forms covalent bonds with a large variety of elements : its electronegativity was fixed first at 2.1 , later revised to 2.20 . It is also necessary to decide which of the two elements is the more electronegative ( equivalent to choosing one of the two possible signs for the square root ) . This is usually done using `` chemical intuition '' : in the above example , hydrogen bromide dissolves in water to form H and Br ions , so it may be assumed that bromine is more electronegative than hydrogen . However , in principle , since the same electronegativities should be obtained for any two bonding compounds , the data are in fact overdetermined , and the signs are unique once a reference point is fixed ( usually , for H or F ) .   To calculate Pauling electronegativity for an element , it is necessary to have data on the dissociation energies of at least two types of covalent bond formed by that element . A.L. Allred updated Pauling 's original values in 1961 to take account of the greater availability of thermodynamic data , and it is these `` revised Pauling '' values of the electronegativity that are most often used .   The essential point of Pauling electronegativity is that there is an underlying , quite accurate , semi-empirical formula for dissociation energies , namely :      E d ( A B ) = ( E d ( A A ) + E d ( B B ) ) / 2 + ( χ A − χ B ) 2 e V ( \ displaystyle E_ ( \ rm ( d ) ) ( ( \ rm ( AB ) ) ) = ( E_ ( \ rm ( d ) ) ( ( \ rm ( AA ) ) ) + E_ ( \ rm ( d ) ) ( ( \ rm ( BB ) ) ) ) / 2 + ( \ chi _ ( \ rm ( A ) ) - \ chi _ ( \ rm ( B ) ) ) ^ ( 2 ) eV )      or sometimes , a more accurate fit      E d ( A B ) = E d ( A A ) E d ( B B ) + 1.3 ( χ A − χ B ) 2 e V ( \ displaystyle E_ ( \ rm ( d ) ) ( ( \ rm ( AB ) ) ) = ( \ sqrt ( E_ ( \ rm ( d ) ) ( ( \ rm ( AA ) ) ) E_ ( \ rm ( d ) ) ( ( \ rm ( BB ) ) ) ) ) + 1.3 ( \ chi _ ( \ rm ( A ) ) - \ chi _ ( \ rm ( B ) ) ) ^ ( 2 ) eV )      This is an approximate equation , but holds with good accuracy . Pauling obtained it by noting that a bond can be approximately represented as a quantum mechanical superposition of a covalent bond and two ionic bond - states . The covalent energy of a bond is approximately , by quantum mechanical calculations , the geometric mean of the two energies of covalent bonds of the same molecules , and there is an additional energy that comes from ionic factors , i.e. polar character of the bond .   The geometric mean is approximately equal to the arithmetic mean - which is applied in the first formula above - when the energies are of the similar value , e.g. , except for the highly electropositive elements , where there is a larger difference of two dissociation energies ; the geometric mean is more accurate and almost always gives a positive excess energy , due to ionic bonding . The square root of this excess energy , Pauling notes , is approximately additive , and hence one can introduce the electronegativity . Thus , it is this semi-empirical formula for bond energy that underlies Pauling electronegativity concept .   The formulas are approximate , but this rough approximation is in fact relatively good and gives the right intuition , with the notion of polarity of the bond and some theoretical grounding in quantum mechanics . The electronegativities are then determined to best fit the data .   In more complex compounds , there is additional error since electronegativity depends on the molecular environment of an atom . Also , the energy estimate can be only used for single , not for multiple bonds . The energy of formation of a molecule containing only single bonds then can be approximated from an electronegativity table , and depends on the constituents and sum of squares of differences of electronegativities of all pairs of bonded atoms . Such a formula for estimating energy typically has relative error of order of 10 % , but can be used to get a rough qualitative idea and understanding of a molecule .   Mulliken electronegativity ( edit )  The correlation between Mulliken electronegativities ( x-axis , in kJ / mol ) and Pauling electronegativities ( y - axis ) .  Robert S. Mulliken proposed that the arithmetic mean of the first ionization energy ( E ) and the electron affinity ( E ) should be a measure of the tendency of an atom to attract electrons . As this definition is not dependent on an arbitrary relative scale , it has also been termed absolute electronegativity , with the units of kilojoules per mole or electronvolts .      χ = ( E i + E e a ) / 2 ( \ displaystyle \ chi = ( E_ ( \ rm ( i ) ) + E_ ( \ rm ( ea ) ) ) / 2 \ , )      However , it is more usual to use a linear transformation to transform these absolute values into values that resemble the more familiar Pauling values . For ionization energies and electron affinities in electronvolts ,      χ = 0.187 ( E i + E e a ) + 0.17 ( \ displaystyle \ chi = 0.187 ( E_ ( \ rm ( i ) ) + E_ ( \ rm ( ea ) ) ) + 0.17 \ , )      and for energies in kilojoules per mole ,      χ = ( 1.97 × 10 − 3 ) ( E i + E e a ) + 0.19. ( \ displaystyle \ chi = ( 1.97 \ times 10 ^ ( - 3 ) ) ( E_ ( \ rm ( i ) ) + E_ ( \ rm ( ea ) ) ) + 0.19 . )      The Mulliken electronegativity can only be calculated for an element for which the electron affinity is known , fifty - seven elements as of 2006 . The Mulliken electronegativity of an atom is sometimes said to be the negative of the chemical potential . By inserting the energetic definitions of the ionization potential and electron affinity into the Mulliken electronegativity , it is possible to show that the Mulliken chemical potential is a finite difference approximation of the electronic energy with respect to the number of electrons. , i.e. ,      μ ( M u l l i k e n ) = − χ ( M u l l i k e n ) = − ( E i + E e a ) / 2 ( \ displaystyle \ mu ( ( \ rm ( Mulliken ) = - \ chi ( ( \ rm ( Mulliken ) = - ( E_ ( \ rm ( i ) ) + E_ ( \ rm ( ea ) ) ) / 2 \ , ) ) ) ) )      Allred -- Rochow electronegativity ( edit )  The correlation between Allred -- Rochow electronegativities ( x-axis , in Å ) and Pauling electronegativities ( y - axis ) .  A. Louis Allred and Eugene G. Rochow considered that electronegativity should be related to the charge experienced by an electron on the `` surface '' of an atom : The higher the charge per unit area of atomic surface the greater the tendency of that atom to attract electrons . The effective nuclear charge , Z , experienced by valence electrons can be estimated using Slater 's rules , while the surface area of an atom in a molecule can be taken to be proportional to the square of the covalent radius , r . When r is expressed in picometres ,      χ = 3590 Z e f f r c o v 2 + 0.744 ( \ displaystyle \ chi = 3590 ( ( Z_ ( \ rm ( eff ) ) ) \ over ( r_ ( \ rm ( cov ) ) ^ ( 2 ) ) ) + 0.744 )      Sanderson electronegativity equalization ( edit )  The correlation between Sanderson electronegativities ( x-axis , arbitrary units ) and Pauling electronegativities ( y - axis ) .  R.T. Sanderson has also noted the relationship between Mulliken electronegativity and atomic size , and has proposed a method of calculation based on the reciprocal of the atomic volume . With a knowledge of bond lengths , Sanderson 's model allows the estimation of bond energies in a wide range of compounds . Sanderson 's model has also been used to calculate molecular geometry , s - electrons energy , NMR spin - spin constants and other parameters for organic compounds . This work underlies the concept of electronegativity equalization , which suggests that electrons distribute themselves around a molecule to minimize or to equalize the Mulliken electronegativity . This behavior is analogous to the equalization of chemical potential in macroscopic thermodynamics .   Allen electronegativity ( edit )  The correlation between Allen electronegativities ( x-axis , in kJ / mol ) and Pauling electronegativities ( y - axis ) .  Perhaps the simplest definition of electronegativity is that of Leland C. Allen , who has proposed that it is related to the average energy of the valence electrons in a free atom , , ,    χ = n s ε s + n p ε p n s + n p ( \ displaystyle \ chi = ( n_ ( \ rm ( s ) ) \ varepsilon _ ( \ rm ( s ) ) + n_ ( \ rm ( p ) ) \ varepsilon _ ( \ rm ( p ) ) \ over n_ ( \ rm ( s ) ) + n_ ( \ rm ( p ) ) ) )    where ε are the one - electron energies of s - and p - electrons in the free atom and n are the number of s - and p - electrons in the valence shell . It is usual to apply a scaling factor , 1.75 × 10 for energies expressed in kilojoules per mole or 0.169 for energies measured in electronvolts , to give values that are numerically similar to Pauling electronegativities .   The one - electron energies can be determined directly from spectroscopic data , and so electronegativities calculated by this method are sometimes referred to as spectroscopic electronegativities . The necessary data are available for almost all elements , and this method allows the estimation of electronegativities for elements that can not be treated by the other methods , e.g. francium , which has an Allen electronegativity of 0.67 . However , it is not clear what should be considered to be valence electrons for the d - and f - block elements , which leads to an ambiguity for their electronegativities calculated by the Allen method .   In this scale neon has the highest electronegativity of all elements , followed by fluorine , helium , and oxygen .             Electronegativity using the Allen scale     Group →           5   6   7   8   9   10   11   12   13   14   15   16   17   18     ↓ Period       2.300     He 4.160       Li 0.912   Be 1.576     2.051   2.544   3.066   O 3.610   4.193   Ne 4.787       Na 0.869   Mg 1.293     Al 1.613   Si 1.916   2.253   2.589   Cl 2.869   Ar 3.242       0.734   Ca 1.034   Sc 1.19   Ti 1.38   V 1.53   Cr 1.65   Mn 1.75   Fe 1.80   Co 1.84   Ni 1.88   Cu 1.85   Zn 1.59   Ga 1.756   Ge 1.994   As 2.211   Se 2.424   Br 2.685   Kr 2.966     5   Rb 0.706   Sr 0.963   Y 1.12   Zr 1.32   Nb 1.41   Mo 1.47   Tc 1.51   Ru 1.54   Rh 1.56   Pd 1.58   Ag 1.87   Cd 1.52   In 1.656   Sn 1.824   Sb 1.984   Te 2.158   2.359   Xe 2.582     6   Cs 0.659   Ba 0.881   Lu 1.09   Hf 1.16   Ta 1.34   1.47   Re 1.60   Os 1.65   Ir 1.68   Pt 1.72   Au 1.92   Hg 1.76   Tl 1.789   Pb 1.854   Bi 2.01   Po 2.19   At 2.39   Rn 2.60     7   Fr 0.67   Ra 0.89     See also : Electronegativities of the elements ( data page )     Correlation of electronegativity with other properties ( edit )  The variation of the isomer shift ( y - axis , in mm / s ) of ( SnX ) anions , as measured by Sn Mössbauer spectroscopy , against the sum of the Pauling electronegativities of the halide substituents ( x-axis ) .  The wide variety of methods of calculation of electronegativities , which all give results that correlate well with one another , is one indication of the number of chemical properties which might be affected by electronegativity . The most obvious application of electronegativities is in the discussion of bond polarity , for which the concept was introduced by Pauling . In general , the greater the difference in electronegativity between two atoms the more polar the bond that will be formed between them , with the atom having the higher electronegativity being at the negative end of the dipole . Pauling proposed an equation to relate `` ionic character '' of a bond to the difference in electronegativity of the two atoms , although this has fallen somewhat into disuse .   Several correlations have been shown between infrared stretching frequencies of certain bonds and the electronegativities of the atoms involved : however , this is not surprising as such stretching frequencies depend in part on bond strength , which enters into the calculation of Pauling electronegativities . More convincing are the correlations between electronegativity and chemical shifts in NMR spectroscopy or isomer shifts in Mössbauer spectroscopy ( see figure ) . Both these measurements depend on the s - electron density at the nucleus , and so are a good indication that the different measures of electronegativity really are describing `` the ability of an atom in a molecule to attract electrons to itself '' .   Trends in electronegativity ( edit )   Periodic trends ( edit )  The variation of Pauling electronegativity ( y - axis ) as one descends the main groups of the periodic table from the second period to the sixth period  In general , electronegativity increases on passing from left to right along a period , and decreases on descending a group . Hence , fluorine is the most electronegative of the elements ( not counting noble gases ) , whereas caesium is the least electronegative , at least of those elements for which substantial data is available . This would lead one to believe that caesium fluoride is the compound whose bonding features the most ionic character .   There are some exceptions to this general rule . Gallium and germanium have higher electronegativities than aluminium and silicon , respectively , because of the d - block contraction . Elements of the fourth period immediately after the first row of the transition metals have unusually small atomic radii because the 3d - electrons are not effective at shielding the increased nuclear charge , and smaller atomic size correlates with higher electronegativity ( see Allred - Rochow electronegativity , Sanderson electronegativity above ) . The anomalously high electronegativity of lead , in particular when compared to thallium and bismuth , appears to be an artifact of data selection ( and data availability ) -- methods of calculation other than the Pauling method show the normal periodic trends for these elements .   Variation of electronegativity with oxidation number ( edit )   In inorganic chemistry it is common to consider a single value of the electronegativity to be valid for most `` normal '' situations . While this approach has the advantage of simplicity , it is clear that the electronegativity of an element is not an invariable atomic property and , in particular , increases with the oxidation state of the element .   Allred used the Pauling method to calculate separate electronegativities for different oxidation states of the handful of elements ( including tin and lead ) for which sufficient data was available . However , for most elements , there are not enough different covalent compounds for which bond dissociation energies are known to make this approach feasible . This is particularly true of the transition elements , where quoted electronegativity values are usually , of necessity , averages over several different oxidation states and where trends in electronegativity are harder to see as a result .     Acid   Formula   Chlorine oxidation state   pK     Hypochlorous acid   HClO   + 1   + 7.5     Chlorous acid   HClO   + 3   + 2.0     Chloric acid   HClO   + 5   -- 1.0     Perchloric acid   HClO   + 7   -- 10     The chemical effects of this increase in electronegativity can be seen both in the structures of oxides and halides and in the acidity of oxides and oxoacids . Hence CrO and Mn O are acidic oxides with low melting points , while Cr O is amphoteric and Mn O is a completely basic oxide .   The effect can also be clearly seen in the dissociation constants of the oxoacids of chlorine . The effect is much larger than could be explained by the negative charge being shared among a larger number of oxygen atoms , which would lead to a difference in pK of log ( ⁄ ) = -- 0.6 between hypochlorous acid and perchloric acid . As the oxidation state of the central chlorine atom increases , more electron density is drawn from the oxygen atoms onto the chlorine , reducing the partial negative charge on the oxygen atoms and increasing the acidity .   Group electronegativity ( edit )   In organic chemistry , electronegativity is associated more with different functional groups than with individual atoms . The terms group electronegativity and substituent electronegativity are used synonymously . However , it is common to distinguish between the inductive effect and the resonance effect , which might be described as σ - and π - electronegativities , respectively . There are a number of linear free - energy relationships that have been used to quantify these effects , of which the Hammett equation is the best known . Kabachnik parameters are group electronegativities for use in organophosphorus chemistry .   Electropositivity ( edit )   Electropositivity is a measure of an element 's ability to donate electrons , and therefore form positive ions ; thus , it is opposed to electronegativity .   Mainly , this is an attribute of metals , meaning that , in general , the greater the metallic character of an element the greater the electropositivity . Therefore , the alkali metals are most electropositive of all . This is because they have a single electron in their outer shell and , as this is relatively far from the nucleus of the atom , it is easily lost ; in other words , these metals have low ionization energies .   While electronegativity increases along periods in the periodic table , and decreases down groups , electropositivity decreases along periods ( from left to right ) and increases down groups .   See also ( edit )    Electronegativities of the elements ( data page )   Chemical polarity    References ( edit )    ^ Jump up to : IUPAC , Compendium of Chemical Terminology , 2nd ed. ( the `` Gold Book '' ) ( 1997 ) . Online corrected version : ( 2006 -- ) `` Electronegativity '' .   ^ Jump up to : Jensen , W.B. ( 1996 ) . `` Electronegativity from Avogadro to Pauling : Part 1 : Origins of the Electronegativity Concept '' . Journal of Chemical Education . 73 ( 1 ) : 11 -- 20 . Bibcode : 1996JChEd ... 73 ... 11J . doi : 10.1021 / ed073p11 .   ^ Jump up to : Pauling , L. ( 1932 ) . `` The Nature of the Chemical Bond . IV . The Energy of Single Bonds and the Relative Electronegativity of Atoms '' . Journal of the American Chemical Society . 54 ( 9 ) : 3570 -- 3582 . Bibcode : 1932JAChS ... 54.2610 C . doi : 10.1021 / ja01348a011 .   ^ Jump up to : Pauling , Linus ( 1960 ) . Nature of the Chemical Bond . Cornell University Press . pp. 88 -- 107 . ISBN 0 - 8014 - 0333 - 2 .   Jump up ^ Greenwood , N.N. ; Earnshaw , A. ( 1984 ) . Chemistry of the Elements . Pergamon . p. 30 . ISBN 0 - 08 - 022057 - 6 .   Jump up ^ More details and sources for this point can be found in the article on francium .   ^ Jump up to : Allred , A.L. ( 1961 ) . `` Electronegativity values from thermochemical data '' . Journal of Inorganic and Nuclear Chemistry . 17 ( 3 -- 4 ) : 215 -- 221 . doi : 10.1016 / 0022 - 1902 ( 61 ) 80142 - 5 .   Jump up ^ Mulliken , R.S. ( 1934 ) . `` A New Electroaffinity Scale ; Together with Data on Valence States and on Valence Ionization Potentials and Electron Affinities '' . Journal of Chemical Physics. 2 ( 11 ) : 782 -- 793 . Bibcode : 1934JChPh ... 2 ... 782M . doi : 10.1063 / 1.1749394 .   Jump up ^ Mulliken , R.S. ( 1935 ) . `` Electronic Structures of Molecules XI . Electroaffinity , Molecular Orbitals and Dipole Moments '' . J. Chem. Phys. 3 ( 9 ) : 573 -- 585 . Bibcode : 1935JChPh ... 3 ... 573M . doi : 10.1063 / 1.1749731 .   Jump up ^ Pearson , R.G. ( 1985 ) . `` Absolute electronegativity and absolute hardness of Lewis acids and bases '' . J. Am. Chem. Soc. 107 ( 24 ) : 6801 -- 6806 . doi : 10.1021 / ja00310a009 .   Jump up ^ Huheey , J.E. ( 1978 ) . Inorganic Chemistry ( 2nd Edn . ) . New York : Harper &amp; Row . p. 167 .   Jump up ^ This second relation has been recalculated using the best values of the first ionization energies and electron affinities available in 2006 .   Jump up ^ Allred , A.L. ; Rochow , E.G. ( 1958 ) . `` A scale of electronegativity based on electrostatic force '' . Journal of Inorganic and Nuclear Chemistry . 5 ( 4 ) : 264 -- 268 . doi : 10.1016 / 0022 - 1902 ( 58 ) 80003 - 2 .   Jump up ^ Housecroft C.E. and Sharpe A.G. Inorganic Chemistry ( 2nd ed. , Pearson Prentice - Hall 2005 ) p. 38   Jump up ^ Sanderson , R.T. ( 1983 ) . `` Electronegativity and bond energy '' . Journal of the American Chemical Society . 105 ( 8 ) : 2259 -- 2261 . doi : 10.1021 / ja00346a026 .   Jump up ^ Sanderson , R.T. ( 1983 ) . Polar Covalence . New York : Academic Press . ISBN 0 - 12 - 618080 - 6 .   Jump up ^ Zefirov , N.S. ; M.A. Kirpichenok ; F.F. Izmailov ; M.I. Trofimov ( 1987 ) . Doklady Akademii Nauk SSSR. 296 : 883 . Missing or empty title = ( help )   Jump up ^ Trofimov , M.I. ; Smolenskii , E.A. ( 2005 ) . `` Application of the electronegativity indices of organic molecules to tasks of chemical informatics '' . Russian Chemical Bulletin . 54 ( 9 ) : 2235 -- 2246 . doi : 10.1007 / s11172 - 006 - 0105 - 6 .   Jump up ^ SW Rick ; SJ Stuart ( 2002 ) . `` Electronegativity equalization models '' . In Kenny B. Lipkowitz ; Donald B. Boyd . Reviews in computational chemistry . Wiley . p. 106 . ISBN 0 - 471 - 21576 - 7 .   Jump up ^ Robert G. Parr ; Weitao Yang ( 1994 ) . Density - functional theory of atoms and molecules . Oxford University Press . p. 91 . ISBN 0 - 19 - 509276 - 7 .   Jump up ^ Allen , Leland C. ( 1989 ) . `` Electronegativity is the average one - electron energy of the valence - shell electrons in ground - state free atoms '' . Journal of the American Chemical Society . 111 ( 25 ) : 9003 -- 9014 . doi : 10.1021 / ja00207a003 .   Jump up ^ Mann , Joseph B. , Meek , Terry L. , Allen , Leland C. ( 2000 ) . `` Configuration Energies of the Main Group Elements '' . Journal of the American Chemical Society . 122 ( 12 ) : 2780 -- 2783 . doi : 10.1021 / ja992866e . CS1 maint : Multiple names : authors list ( link )   Jump up ^ Mann , Joseph B. , Meek , Terry L. , Knight , Eugene T. , Capitani , Joseph F. , Allen , Leland C. ( 2000 ) . `` Configuration energies of the d - block elements '' . Journal of the American Chemical Society . 122 ( 21 ) : 5132 -- 5137 . doi : 10.1021 / ja9928677 . CS1 maint : Multiple names : authors list ( link )   ^ Jump up to : The widely quoted Pauling electronegativity of 0.7 for francium is an extrapolated value of uncertain provenance . The Allen electronegativity of caesium is 0.66 .   Jump up ^ See , e.g. , Bellamy , L.J. ( 1958 ) . The Infra - Red Spectra of Complex Molecules . New York : Wiley . p. 392 . ISBN 0 - 412 - 13850 - 6 .   Jump up ^ Spieseke , H. ; Schneider , W.G. ( 1961 ) . `` Effect of Electronegativity and Magnetic Anisotropy of Substituents on C13 and H1 Chemical Shifts in CH3X and CH3CH2X Compounds '' . Journal of Chemical Physics. 35 ( 2 ) : 722 . Bibcode : 1961JChPh ... 35 ... 722S . doi : 10.1063 / 1.1731992 .   Jump up ^ Clasen , C.A. ; Good , M.L. ( 1970 ) . `` Interpretation of the Moessbauer spectra of mixed - hexahalo complexes of tin ( IV ) '' . Inorganic Chemistry . 9 ( 4 ) : 817 -- 820 . doi : 10.1021 / ic50086a025 .   Jump up ^ `` Electropositivity , '' Microsoft Encarta Online Encyclopedia 2009 . ( Archived 2009 - 10 - 31 ) .    Bibliography ( edit )    Jolly , William L. ( 1991 ) . Modern Inorganic Chemistry ( 2nd ed . ) . New York : McGraw - Hill . pp. 71 -- 76 . ISBN 0 - 07 - 112651 - 1 .   Mullay , J. ( 1987 ) . `` Estimation of atomic and group electronegativities '' . Structure and Bonding . Structure and Bonding. 66 : 1 -- 25 . ISBN 3 - 540 - 17740 - X . doi : 10.1007 / BFb0029834 .    External links ( edit )       Wikimedia Commons has media related to Electronegativity .      WebElements , lists values of electronegativities by a number of different methods of calculation   Video explaining electronegativity      ( hide )         Periodic table     Periodic table forms      Standard     18 - column   18 - column , large cells   32 - column , large cells       Alternative     Alternatives   Chemical Galaxy   Janet 's left step table       Extended     Extension beyond the 7th period   Fricke model   large cells     Pyykkö model            Sets of elements      By periodic table structure      Groups     1 ( Alkali metals )   2 ( Alkaline earth metals )       5   6   7   8   9   10   11   12   13   14   15 ( Pnictogens )   16 ( Chalcogens )   17 ( Halogens )   18 ( Noble gases )       Periods             5   6   7   8 +   Aufbau   Fricke   Pyykkö         Blocks     s - block   p - block   d - block   f - block   g - block   Aufbau principle          By metallicity      Metals     Alkali metals   Alkaline earth metals   Lanthanides   Actinides   Superactinides   Eka - superactinides   Transition metals   Post-transition metals       Metalloids     Lists of metalloids by source   Dividing line       Nonmetals     Polyatomic nonmetals</t>
  </si>
  <si>
    <t xml:space="preserve">the ability of an atom to attract electron towards itself is called</t>
  </si>
  <si>
    <t xml:space="preserve"> Electronegativity , symbol χ , is a chemical property that describes the tendency of an atom to attract electrons ( or electron density ) towards itself . An atom 's electronegativity is affected by both its atomic number and the distance at which its valence electrons reside from the charged nucleus . The higher the associated electronegativity number , the more an element or compound attracts electrons towards it . </t>
  </si>
  <si>
    <r>
      <rPr>
        <sz val="11"/>
        <color rgb="FF000000"/>
        <rFont val="Calibri"/>
        <family val="0"/>
        <charset val="1"/>
      </rPr>
      <t xml:space="preserve">Degrassi : Next Class - wikipedia  Degrassi : Next Class  Jump to : navigation , search For other series , see Degrassi ( franchise ) . Not to be confused with Degrassi : The Next Generation .    Degrassi : Next Class     Degrassi : Next Class 2nd current official logo     Genre   Teen drama     Created by   Linda Schuyler Yan Moore Stephen Stohn Sarah Glinski Matt Huether     Starring   Main Cast     Theme music composer   Jody Colero Jim McGrath Shobha Stephen Stohn Rob Wells     Opening theme   `` Whatever It Takes ''     Composer ( s )   Jim McGrath Tim Welch     Country of origin   Canada     Original language ( s )   English     No. of seasons       No. of episodes   40 ( list of episodes )     Production     Executive producer ( s )   Linda Schuyler Stephen Stohn Brendon Yorke Sarah Glinski Matt Huether     Producer ( s )   Stefan Brogren Courtney Jane Walker Stephanie Williams     Location ( s )   Toronto , Ontario     Editor ( s )   Jason B. Irvine Nicholas Wong     Running time   24 minutes     Production company ( s )   Epitome Pictures DHX Media     Distributor   Entertainment One ( Canada ) DHX Media ( International )     Release     Original network   Family ( F2N ) / Family Channel App ( Canada ) Netflix ( International )     Picture format   HDTV     Original release   January 4 , 2016 -- present     Chronology     Preceded by   Degrassi : The Next Generation School 's Out Degrassi High Degrassi Junior High     Related shows   The Kids of Degrassi Street Degrassi Talks     External links     Website   www.degrassi.tv     Degrassi : Next Class is a Canadian teen drama television series set in the Degrassi Universe , which was originally created by Linda Schuyler and Kit Hood in 1979 . It is the fifth series in the Degrassi franchise , following The Kids of Degrassi Street , Degrassi Junior High , Degrassi High , and Degrassi : The Next Generation . The series was created by Linda Schuyler , Stephen Stohn , Sarah Glinksi , and Matt Huether and is produced by Epitome Pictures ( a subsidiary of DHX Media ) . The current executive producers are Schuyler , her husband Stephen Stohn , Sarah Glinski , and Matt Huether . The series is filmed at Epitome 's studios in Toronto , Ontario , rather than on the real De Grassi Street from which the franchise takes its name .   Like its predecessors , the series follows an ensemble cast of students at Degrassi Community School who face various challenges often seen as taboo such as sex , teen pregnancy , date rape , drug abuse , self image , homosexuality , self - injury , suicide , abortion , domestic violence , death , racism and many other issues . The first season of Next Class premiered on January 4 , 2016 on Family 's new teen programming block , F2N in Canada . The series saw its U.S. ( and international ) debut January 15 , 2016 , on Netflix . In Australia the show premiered on ABC3 on May 16 , 2016 . Season one ended on January 17 , 2016 for both the Family Channel 's two weeks or a fortnight run and Netflix 's five hours to three days run .   The fourth season was streamed on the Family Channel App on June 30 , 2017 with the episodes beginning to air daily on July 3 , 2017 . The series was then released on Netflix on July 7 , 2017 .   Although not officially confirmed by the networks , series co-creator Linda Schuyler has stated that brainstorming is underway for seasons five and six of Next Class . New series leads and recurring characters were also cast to join the series .     Contents  ( hide )   1 Episodes   1.1 Main roles   1.2 Guest roles     2 Production   2.1 Concept   2.2 Executive producers , script - writers and directors   2.3 Episode format   2.4 Opening sequence   2.5 Filming locations     3 Broadcast   4 Notes   5 References   6 External links      Episodes ( edit )  Main article : List of Degrassi : Next Class episodes    Season   Episodes   Netflix   Canadian release     Released   First aired   Last aired         10   January 15 , 2016   January 4 , 2016   January 15 , 2016         10   July 22 , 2016   July 19 , 2016   September 20 , 2016         10   January 6 , 2017   January 9 , 2017   January 20 , 2017         10   July 7 , 2017   July 3 , 2017   July 14 , 2017     ^ a Season 4 of Degrassi : Next Class streamed on the Family Channel App on June 30 , 2017 , four days before its debut on the channel .   Main roles ( edit )  Main article : List of Degrassi : Next Class characters  Starting with season 1 of Next Class , none of the characters who debuted during the changes happening in seasons eight and nine of The Next Generation remain . The students featured were introduced starting in seasons eleven , thirteen , and fourteen of the previous incarnation along with several new characters for the follow - up series . The first and second seasons featured 19 regular roles , with 14 cast members returning from season 14 of Degrassi . Keeping ties to the early seasons of the previous incarnation and the franchise as a whole , Stefan Brogren 's character remains the Principal of Degrassi Community School . According to Amir Bageria , the currently renewed season four will be the last season for a majority of the first cast of Next Class as their characters graduate . Seasons three and four added two regulars to the cast , as casting calls were made public through Larissa Mair Casting .   On October 21 , 2016 , it was confirmed that the cast members in a photo executive producer Stephen Stohn posted were the ones leaving the cast at the end of season four . This includes : Eric Osborne ( Miles Hollingsworth III ) , Ricardo Hoyos ( Zig Novak ) , Andre Kim ( Winston Chu ) , Ehren Kassam ( Jonah Haak ) , Ana Golja ( Zoe Rivas ) , Lyle Lettau ( Tristan Milligan ) , Nikki Gould ( Grace Cardinal ) , Olivia Scriven ( Maya Matlin ) , Richard Walters ( Tiny Bell ) and Soma Bhatia ( Goldi Nahir ) .   Guest roles ( edit )   Several recurring cast members from the previous incarnation continued their roles in Degrassi : Next Class , a majority being the parents and teachers of the students at Degrassi Community School . David Sutcliffe of Gilmore Girls fame appeared in a season one episode as himself . In season two , several cast members from the first incarnation made guest appearances for the 500th episode of the Degrassi franchise . These cast members include Adamo Ruggiero as Marco Del Rossi , Miriam McDonald as Emma Nelson , Lauren Collins as Paige Michalchuk , Shane Kippel as Gavin `` Spinner '' Mason , and Sarah Barrable - Tishauer as Liberty Van Zandt . Jamie Johnston , who portrayed Peter Stone in seasons five through ten of Degrassi : The Next Generation , also made his return for the second season , appearing in several episodes . Other previous cast members that appeared include Raymond Ablack as Sav Bhandari , Charlotte Arnold as Holly J. Sinclair , Jake Epstein as Craig Manning , and Jacob Neayem as Mo Mashkour . In season 3 and 4 , Chloe Rose reprised her role for two episodes as Katie Matlin . Epstein also made a return guest appearance in season 4 .   Production ( edit )   Concept ( edit )   The original idea for `` Degrassi : Next Class '' was to be the fifteenth season of Degrassi : The Next Generation , but under a new title . In an interview with Vice , Linda Schuyler , founder of Epitome and one of the producers of the original The Kids of Degrassi Street said `` We realized that the kids we 're talking to today are a new generation from the kids we talked to in 2001 when we came out with Degrassi : The Next Generation . Then , we were very much talking to millennials . There 's a new generation , Generation Z , who were n't even born when we started that show . That was a very sobering fact ... We 've done a lot of research into Generation Z and decided we need a reboot . ''   When the Degrassi : The Next Generation series ended its run on TeenNick in the United States , the producers sought out other means to distribute the Next Class series and later made a deal with Netflix .   Executive producers , script - writers and directors ( edit )   Epitome Pictures , DHX Media , and Netflix jointly produce the series with funding from the Shaw Rocket Fund , Royal Bank of Canada and the Cogeco Program Development Fund .   Franchise co-creator Linda Schuyler and her husband Stephen Stohn serve as executive producers for the series . Other executive producers include Sarah Glinkski , Matt Huether and Brendon Yorke .   Continuing with Next Class , Sarah Glinksi and Matt Huether serve as head story editors for the show . Other writers include Courtney Jane Walker , Alejandro Alcoba , Cole Bastedo . Jennifer Kassabian and Ian MacIntyre . Current directors for the series include series star and producer Stefan Brogren , Eleanor Lindo , Phil Earnshaw , and Rt ! .   Episode format ( edit )   Each episode of Degrassi : Next Class is written following the same formula with three storylines ( Plot A , Plot B and Plot C ) . The problems and issues presented in the episode are not always resolved by the end of the episode , and are carried over throughout the season , creating a mini-arc . With `` Next Class '' , some episodes have the plots follow a common theme . This concept was featured in Degrassi Junior High and Degrassi High . Episode titles feature a `` # '' in the front of each episode title and occasionally refer to current social media trends .   Opening sequence ( edit )   The opening sequence of `` Next Class '' returned to the longer openings that was featured in the first twelve seasons of `` The Next Generation '' but was cut to 31 seconds . The opening comes after a two - to three - minute cold open but does not follow the characters around the school . Instead , a montage of videos and pictures from the characters social media accounts cycle across the screen . Like the final two seasons of `` Degrassi '' , instead of listing every ensemble actor in the opening , episodes only credit the regular actors appearing in that episode . The theme music , `` Whatever It Takes '' , was composed by Jim McGrath , with lyrics written by Jody Colero and Stephen Stohn . The lyrics for the theme music for the first four seasons of `` Next Class '' were the same as theme music for `` The Next Generation . '' The `` Next Class '' opening sequence featured a rearranged version of `` Whatever It Takes '' composed by Jody Colero , Jim McGrath , Stephen Stohn , Rob Wells , and Shobha . Shobha also recorded the song .   Filming locations ( edit )   The Degrassi universe is set on De Grassi Street in Toronto , Ontario . The four previous series were filmed on and near that street . However , Degrassi is currently filmed at Epitome Pictures ' four soundstages and backlot located at the company 's 100,000 - square - foot ( 9,300 m ) production studios in Toronto . The facade of Degrassi Community School is the exterior of Studio C , and uses the same colours and glass pattern as Centennial College , which was used to depict the school during Degrassi High .   The area in front of this facade features a `` hoarding area '' where students gather , a street , and a bus stop across the road . The studio 's backlot is used for exterior shots of the characters ' houses , which is one unit dressed differently for each house , and The Dot Grill . The building for The Dot is the only one on the backlot large enough to allow filming inside ; scenes taking places inside the school and house interiors are filmed on one of four sound stages .   Studio A contains sets for the school 's hallways , washrooms , cafeteria and classrooms . The hallways are stenciled with phrases such as `` the perfect human being is all human '' , which were found at the Etobicoke School for the Arts , one of the many schools that set designers used during their original research . The washroom set is used for the girls ' and boys ' room ; urinals are installed and removed as needed . '' It is also used as the studio 's cafeteria where the cast and crew eat .   In addition to being used as the exterior of the school , Studio C holds sets for the school 's entrance foyer , the gymnasium , the media lab and a hallway with lockers . As the franchise progressed and the budget increased , a stairway and balcony was installed in the foyer in an attempt to get characters off the floor and not all appear in the same geometric plane . For the first few seasons of The Next Generation , the gym floor was made of real wooden floorboards ; due to warping , it was replaced by concrete painted to look like wood .   Studio B contains the sets for the characters ' houses . The fourth studio , Studio D , houses all the production offices , dressing rooms , and make - up and hair departments .   For the new series , Next Class , the interior of the school set saw a major facelift . New doors were added for all classrooms , room numbers were placed on doors , classrooms were remodeled to be more modern which included new `` smart - boards '' and high - definition television sets ( also placed throughout the hallways , cafeteria and gym ) , and the lockers were repainted for a more `` retro '' look . Several new sets were also added which include : a new student lounge room , an area called the `` conversation pit '' , a remodeled classroom for Digital arts , and a restaurant called `` Lola 's Cantina '' .   Broadcast ( edit )  See also : List of Degrassi : Next Class episodes  In Canada , the series premiered on January 4 , 2016 , on Family 's new teen programing block , F2N . In the United States ( and internationally ) , first - run episodes began streaming internationally on Netflix on January 15 , 2016 ( excluding Canada , Australia and France ) . Episodes will be available on Netflix in Canada , Australia and France following the conclusion of the first season . Season two premiered on the Family Channel on July 19 , 2016 and on Netflix on July 22 , 2016 .   In Australia , the series premiered on ABC3 on May 16 , 2016 . The second season immediately followed the first season on ABC3 in Australia on May 30 . On January 6 , 2017 , Netflix added seasons 1 -- 3 to the Australian catalogue . Season 3 began streaming online on Netflix before its debut on ABC3 , starting April 22 , 2017 .   Notes ( edit )    ^ Jump up to : `` Family Channel 's new teen block F2N launches January 4 with the premiere of Degrassi : Next ... - TORONTO , Nov. 30 , 2015 '' . Newswire.ca . Retrieved 2015 - 12 - 05 .   Jump up ^ `` Degrassi : Next Class - TV Show , Episode Guide &amp; Schedule '' . TWC Central .   Jump up ^ ( ( `` TV Listings Grid , TV Guide and TV Schedule , Where to Watch TV Shows - Screener '' . tvlistings.zap2it.com .   Jump up ^ `` Degrassi : Next Class Season 4 Release Date and Trailers '' . denofgeek.com . Retrieved 30 June 2017 .   Jump up ^ `` Degrassiland - Canadaland '' . Canadalandshow.com. 2016 - 11 - 23 . Retrieved 2017 - 01 - 30 .   Jump up ^ `` Archived copy '' . Archived from the original on December 5 , 2016 . Retrieved December 2 , 2016 .   Jump up ^ Peltz , Jonathan ( 2015 - 08 - 03 ) . `` High School Never Ends : An Interview with the Creators of ' Degrassi ' VICE United States '' . VICE . Retrieved 2015 - 08 - 11 .   Jump up ^ `` REPORT : Degrassi Next Class Debuts January 15th Kary 's Degrassi Blog '' . Degrassiblog.com. 2015 - 11 - 22 . Retrieved 2015 - 12 - 05 .   Jump up ^ `` F2N '' . F2n.ca . Retrieved 2015 - 12 - 05 .   Jump up ^ Swift , Andy ( 2016 - 04 - 11 ) . `` ' Degrassi : Next Class ' Season 2 Premiere Date -- Renewed By Netflix '' . TVLine.com . Retrieved 2016 - 05 - 27 .   Jump up ^ Yan Moore ; Linda Schuyler ; Kit Hood ( 2016 - 01 - 15 ) . `` Watch Degrassi : Next Class Online '' . Netflix.com . Retrieved 2017 - 01 - 26 .   Jump up ^ `` TV Listings Grid , TV Guide and TV Schedule , Where to Watch TV Shows - Screener '' . Tvlistings.zap2it.com . Retrieved 2017 - 01 - 26 .   Jump up ^ `` Degrassi : Next Class Season 4 Release Date and Trailers '' . denofgeek.com . Retrieved June 30 , 2017 .   Jump up ^ `` Degrassi : Next Class Season 4 Release Date and Trailers '' . Den of Geek . Retrieved 2017 - 07 - 11 .   Jump up ^ `` Amir Bageria '' . Twitter . Retrieved May 30 , 2016 .   Jump up ^ `` Audition Info For Degrassi : Next Class Season 3 '' . Degrassiblog.com . March 21 , 2016 . Retrieved May 30 , 2016 .   Jump up ^ `` Exclusive Tour of the Degrassi Set , ( Epitome Picture ) At DHX Media '' . YouTube . 2016 - 10 - 21 . Retrieved 2017 - 01 - 30 .   Jump up ^ `` Instagram '' . Instagram. 2016 - 08 - 19 . Retrieved 2017 - 01 - 30 .   Jump up ^ `` ' Degrassi : Next Class ' : Get a first look at the big reunion '' . Ew.com . Retrieved May 30 , 2016 .   Jump up ^ `` Degrassi on Twitter : `` They 're back . Feel free to fan out . And Keenan Neal as Kizzie # DegrassiReunion `` '' . Twitter . 2016 - 07 - 15 . Retrieved 2016 - 08 - 19 .   Jump up ^ Peltz , Jonathan ( 2015 - 08 - 03 ) . `` High School Never Ends : An Interview with the Creators of ' Degrassi ' VICE United States '' . VICE . Retrieved 2015 - 08 - 11 .   Jump up ^ Chan , Melissa . `` Watch the New Trailer for ' Degrassi : Next Class ' '' . Time . Retrieved 2017 - 09 - 21 .   Jump up ^ LaScala , Marisa . `` The ' Degrassi : Next Class ' Theme Song Updates The Classic `` Whatever It Takes '' For A New Generation `` . Retrieved 2017 - 09 - 21 .   Jump up ^ `` Degrassi : Next Class Opening Sequence '' . YouTube . 2015 - 11 - 30 . Retrieved 2016 - 01 - 31 .   Jump up ^ Ellis 2005 , pp. 106 -- 111   ^ Jump up to : `` Epitome Pictures '' ( Flash ( User must select the `` Studios '' link ) ) . Epitome Pictures . Retrieved October 21 , 2007 .   Jump up ^ Ellis 2005 , pp. 116 -- 117   ^ Jump up to : Ellis 2005 , p. 115   Jump up ^ Ellis 2005 , pp. 112 -- 114   Jump up ^ `` Inside The Studio with Ana Golja and Dante Scott - Degrassi : Next Class '' . YouTube . 2016 - 01 - 15 . Retrieved 2016 - 01 - 31 .   Jump up ^ `` Behind - The - Scenes Of Degrassi : Next Class With Ana Golja &amp; Sara Waisglass '' . YouTube . 2017 - 01 - 08 . Retrieved 2017 - 01 - 30 .   Jump up ^ `` DHX Media buys Degrassi TV studio '' . The Globe and Mail . Retrieved 9 June 2015 .   Jump up ^ `` Degrassi : Next Class to debut on Family Channel , Netflix '' . CBC News . June 9 , 2015 . Retrieved June 9 , 2015 .   Jump up ^ Knox , David ( May 16 , 2016 ) . `` Airdate : Degrassi : Next Class '' . TV Tonight . Retrieved May 16 , 2016 .   Jump up ^ `` Degrassi : Next Class '' . Abc.net.au . Retrieved May 30 , 2016 .    References ( edit )    Ellis , Kathryn ( September 2005 ) . `` Degrassi : Generations - The Official 411 '' . New York , New York : Pocket Books . ISBN 978 - 1 - 4165 - 1680 - 4 .    External links ( edit )       Wikiquote has quotations related to : Degrassi : The Next Generation         Wikimedia Commons has media related to Degrassi : The Next Generation .      Official MTV Canada website ( Canada )   Official TeenNick website ( United States )   Degrassi : The Next Generation on IMDb              Degrassi franchise     The Kids of Degrassi Street     Ida Makes a Movie       Degrassi Junior High Degrassi High        Characters   Joey Jeremiah   Caitlin Ryan     Episodes   Degrassi Talks   School 's Out          Degrassi : The Next Generation Degrassi      Seasons             5   6   7   8   9   10   11   12   13   14       Episodes     `` Mother and Child Reunion ''   `` Accidents Will Happen ''   `` Time Stands Still ''   `` High Fidelity ''   `` Paradise City ''   `` The Rest of My Life ''   `` My Body Is a Cage ''       Films     Degrassi Goes Hollywood   Degrassi Takes Manhattan       See also     Characters   J.T. Yorke     Soundtracks          Degrassi : Next Class     Episodes   Season             Characters       See also     Awards and nominations   Locations   De Grassi Street                   Netflix original series     Current      Since 2013     House of Cards   Orange Is the New Black       Since 2014     BoJack Horseman   All Hail King Julien       Since 2015     The Adventures of Puss in Boots   Unbreakable Kimmy Schmidt   Chef 's Table   Between   Daredevil   Grace and Frankie   Sense8   Club de Cuervos   Project Mc   Dinotrux   Narcos   The Mr. Peabody &amp; Sherman Show   Master of None   W / Bob &amp; David   Jessica Jones   Atelier   F Is for Family   Making a Murderer   Dawn of the Croods   Real Rob       Since 2016     Degrassi : Next Class   Chelsea Does   Love   Fuller House   Lego Friends : The Power of Friendship   Flaked   Netflix Presents : The Characters   Lost &amp; Found Music Studios   The Ranch   Kong : King of the Apes   Marseille   Chelsea   Lady Dynamite   Hibana : Spark   Voltron : Legendary Defender   Word Party   World of Winx   Stranger Things   Home : Adventures with Tip &amp; Oh   Last Chance U   Beat Bugs   Ask the StoryBots   Kulipari : An Army of Frogs   Easy   Luke Cage   StoryBots Super Songs   Haters Back Off   Skylanders Academy   The Crown   Roman Empire : Reign of Blood   Paranoid   3 %   Captive   Luna Petunia   White Rabbit Project   Dirk Gently 's Holistic Detective Agency   The OA   Travelers   DreamWorks Trollhunters   Chasing Cameron       Since 2017     One Day at a Time   Edgar Rice Burroughs ' Tarzan and Jane   We 're Lalaloopsy   A Series of Unfortunate Events   Frontier   Santa Clarita Diet   Abstract : The Art of Design   Ultimate Beastmaster   VeggieTales in the City   Legend Quest   Buddy Thunderstruck   Iron Fist   Julie 's Greenroom   Ingobernable   13 Reasons Why   Five Came Back   Bill Nye Saves the World   Dear White People   Las chicas del cable   Spirit Riding Free   Anne with an E   The Keepers   El Chapo   Free Rein   GLOW   Castlevania   Friends from College   Ozark   The Worst Witch   Wet Hot American Summer : Ten Years Later   Atypical   True and the Rainbow Kingdom   The Defenders   Disjointed   Greenhouse Academy   The Confession Tapes   American Vandal   Neo Yokio   Jack Whitehall : Travels with My Father       Continuations     Arrested Development ( season 4 , 2013 )   The Killing ( season 4 , 2014 )   Star Wars : The Clone Wars ( season 6 , 2014 )   Trailer Park Boys ( seasons 8 -- 11 , 2014 -- 17 )   DreamWorks Dragons ( seasons 3 -- 7 , 2015 -- 17 )   Longmire ( seasons 4 -- 5 , 2015 -- 16 )   Black Mirror ( season 3 , 2016 )   Lovesick ( season 2 , 2016 )   Mystery Science Theater 3000 ( season 11 , 2017 )   The Last Kingdom ( season 2 , 2017 )          Former     Lilyhammer ( 2012 -- 14 )   Hemlock Grove ( 2013 -- 15 )   Turbo FAST ( 2013 -- 16 )   VeggieTales in the House ( 2014 -- 16 )   Marco Polo ( 2014 -- 16 )   Richie Rich ( 2015 )   Bloodline ( 2015 -- 17 )   Wet Hot American Summer : First Day of Camp ( 2015 )   Popples ( 2015 -- 16 )   Care Bears and Cousins ( 2015 -- 16 )   Lego Bionicle : The Journey to One ( 2016 )   The Get Down ( 2016 -- 17 )   Gilmore Girls : A Year in the Life ( 2016 )   Crazyhead ( 2016 )   Girlboss ( 2017 )   Gypsy ( 2017 )       Upcoming     Big Mouth ( 2017 )   The Magic School Bus Rides Again ( 2017 )   Suburra ( 2017 )   Mindhunter ( 2017 )   Alias Grace ( 2017 )   Godless ( 2017 )   She 's Gotta Have It ( 2017 )   Glitch ( season 2 , 2017 )   Dark ( 2017 )   Comedians in Cars Getting Coffee ( season 10 , 2017 )   Damnation ( 2017 )   Kiss Me First ( 2017 )   Queer Eye ( 2017 )   Stretch Armstrong and the Flex Fighters ( 2017 )   The End of the F * * * ing World ( 2017 )   The Punisher ( 2017 )   Watership Down ( 2017 )   Alexa &amp; Katie ( 2018 )   Disenchantment ( 2018 )   Everything Sucks ( 2018 )   Dr. Seuss ' Green Eggs and Ham ( 2018 )   Insatiable ( 2018 )   Kingdom ( 2018 )   Lost in Space ( 2018 )   Maniac ( 2018 )   O Mecanismo ( 2018 )   Safe ( 2018 )   Samantha ! ( 2018 )   Spy Kids : Mission Critical ( 2018 )   The Ballad of Buster Scruggs ( 2018 )   The Legend of Monkey ( 2018 )   Carmen Sandiego ( 2019 )   Altered Carbon ( TBA )   Black Earth Rising ( TBA )   Collateral ( TBA )   Ratched ( TBA )   Requiem ( TBA )   Seven Seconds ( TBA )   The Dark Crystal : Age of Resistance ( TBA )   The Eddy ( TBA )   The Good Cop ( TBA )   The Green Beret 's Guide to Surviving the Apocalypse ( TBA )   The Kominsky Method ( TBA )   The Letdown ( TBA )   The Spy ( TBA )   Troy : Fall of a City ( TBA )      Retrieved from `` https://en.wikipedia.org/w/index.php?title=Degrassi:_Next_Class&amp;oldid=801667759 '' Categories :   2016 Canadian television series debuts   2010s Canadian television series   Canadian children 's television series   Canadian LGBT - related television shows   Degrassi ( franchise )   English - language television programs   Canadian high school television series   Teen dramas   Teenage pregnancy in television   Sequel television series   Peabody Award - winning television programs   Television series produced in Toronto   Television series by DHX Media   Television series by Entertainment One   Netflix original programming   Transgender - related television programs   Serial drama television series   Hidden categories :   Pages using infobox television with editor parameter   Commons category without a link on Wikidata   Use mdy dates from June 2012           Talk                                           Contents                   About Wikipedia                                           Deutsch   Français   </t>
    </r>
    <r>
      <rPr>
        <sz val="11"/>
        <color rgb="FF000000"/>
        <rFont val="Noto Sans CJK SC"/>
        <family val="2"/>
      </rPr>
      <t xml:space="preserve">한국어   </t>
    </r>
    <r>
      <rPr>
        <sz val="11"/>
        <color rgb="FF000000"/>
        <rFont val="Calibri"/>
        <family val="0"/>
        <charset val="1"/>
      </rPr>
      <t xml:space="preserve">Italiano   Polski   Português   Edit links   This page was last edited on 21 September 2017 , at 02 : 42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</si>
  <si>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will there be a season 5 for degrassi</t>
  </si>
  <si>
    <t xml:space="preserve"> Although not officially confirmed by the networks , series co-creator Linda Schuyler has stated that brainstorming is underway for seasons five and six of Next Class . New series leads and recurring characters were also cast to join the series . </t>
  </si>
  <si>
    <r>
      <rPr>
        <sz val="11"/>
        <color rgb="FF000000"/>
        <rFont val="Calibri"/>
        <family val="0"/>
        <charset val="1"/>
      </rPr>
      <t xml:space="preserve">John Parr ( British army soldier ) - wikipedia  John Parr ( British army soldier )       John Parr     The grave of John Parr in St Symphorien cemetery       ( 1897 - 07 - 19 ) 19 July 1897 Church End , England       21 August 1914 ( 1914 - 08 - 21 ) ( aged 17 ) Obourg , Belgium     Allegiance   United Kingdom     Service / branch   British Army     Rank   Private     Unit   4th Battalion , ( Duke of Cambridge 's ) Middlesex Regiment     Battles / wars   First World War    Parr 's former home in Lodge Lane , Finchley . The plaque to Parr 's memory in Lodge Lane , Finchley .  Private John Henry Parr ( 19 July 1897 -- 21 August 1914 ) was a British soldier . He is believed to be the first soldier of the British Commonwealth to be killed by enemy action in the First World War .   Contents    1 Early years   2 Military activity   3 Fate   4 See also   5 References   6 Further reading    Early years ( edit )   Parr was born in Lichfield Grove , Finchley , now in the London Borough of Barnet . His father was a milkman . He lived most of his life at 52 Lodge Lane , North Finchley , the youngest of eleven children of Edward and Alice Parr . Many of his siblings died before their fourth birthday .   Upon leaving school , he took a job working as a butcher 's boy , and then as a caddie at North Middlesex Golf Club . Then , like many other young men at the time , he was attracted to the army as a potentially better way of life , and one where he would at least get two meals a day and a chance to see the world . The 5'3 '' tall Parr joined the 4th Battalion of the Middlesex Regiment in 1912 , aged fifteen , but claimed to be eighteen years and one month old to meet the minimum age requirement . He was nicknamed `` Ole Parr '' , possibly after Old Tom Parr .   Military activity ( edit )   Private Parr specialised in becoming a reconnaissance cyclist , riding ahead to uncover information then returning with all possible speed to update the commanding officer . At the start of World War I in August 1914 Parr 's battalion was shipped from Southampton to Boulogne - sur - Mer , France . With the German army marching into Belgium , Parr 's unit took up positions near a village called Bettignies , beside the canal running through the town of Mons approximately 8 miles ( 13 km ) away . On 21 August , Parr and another cyclist were sent to the village of Obourg , just north east of Mons , and slightly over the border in Belgium , with a mission to locate the enemy . It is believed that they encountered a cavalry patrol from the German First Army , and that Parr remained to hold off the enemy whilst his companion returned to report . He was killed in the ensuing rifle fire .   Fate ( edit )   Since the British army retreated to a new position around the Marne after the first battle of Mons , Parr 's body was left behind . In the ensuing months , the slow entrenchment of the war meant that news of Parr 's death was not recognised until much later . After a while his mother wrote to the regiment asking about her son , but they were unable to tell her of his condition , and it may have been that they thought that he had been captured . At the time , there were no dog tags to help with the identification of casualties . The circumstances of his death remain unclear : the front line was approximately 11 miles ( 18 km ) away , and he may have been killed by friendly fire rather than a German patrol , or in the Battle of Mons on 23 August .   Parr is buried in the St Symphorien Military Cemetery , just southeast of Mons , and his age is given on the gravestone as twenty , the army not knowing his true age of seventeen . Coincidentally , his grave faces that of George Edwin Ellison , the last British soldier killed during the Great War .   On 21 August 2014 , the 100th anniversary of Parr 's death , a memorial paving stone was ceremonially unveiled in the pavement outside 52 Lodge Lane . The ceremony was attended by about 300 people , including local dignitaries and Parr family members , one of whom read a letter from his mother to the War Office written in October 1914 to enquire about him . A memorial `` standing stone '' nearby , to bear a plaque with further details of Parr 's life and death , is planned . A plaque has also been placed in the golf club where he worked as a caddie .   While Parr is believed to be the first Commonwealth soldier killed in action , several soldiers had been killed by friendly fire and accidental shooting after the declaration of war but before troops were sent overseas , starting with Cpl Arthur Rawson on 9 August 1914 . Even earlier , on 6 August 1914 , the cruiser HMS Amphion ( 1911 ) hit a German mine and sank , killing about 150 sailors .   See also ( edit )    Henry Hadley , a British civilian , sometimes said to be the `` first British casualty '' of the war , died on 5 August 1914 after being shot by a German soldier two days earlier .   Albert Mayer ( soldier ) , the first Imperial German Army soldier killed , 1914   Jules Andre Peugeot , the first French Army soldier killed , 1914   James Bethel Gresham , Thomas Enright , and Merle Hay , the first three US Army soldiers killed , 1917   George Edwin Ellison , the last British Army soldier killed in World War I , at 9 : 30 a.m. 11 November   Augustin Trébuchon , last French soldier killed , at 10 : 45 a.m. 11 November   George Lawrence Price , last Commonwealth soldier killed in World War I , 10 : 58 a.m. 11 November .   Henry Gunther , last soldier killed in World War I , at 10 : 59 a.m. 11 November .    References ( edit )    Jump up ^ WWI Centenary : First casualty Private John Parr shrouded in mystery , Barnet &amp; Whetstone Press , 4 August 2014   Jump up ^ A mother 's anguish over the first man to fall , Daily Telegraph , 3 August 2014   Jump up ^ Reboul , Percy &amp; Heathfield , John . `` First casualty of the war '' Archived 28 September 2007 at the Wayback Machine ... URL accessed 5 April 2006   Jump up ^ First British soldier to die in WWI was probably shot in a friendly fire incident by French or Belgians soldiers not German forces as previously thought , Daily Mail , 20 April 2014   Jump up ^ WW1 mystery : Who killed Private John Parr ? , BBC News , 4 August 2014   Jump up ^ `` Casualty Details : Parr , John '' . Commonwealth War Graves Commission . Retrieved 8 August 2010 .   Jump up ^ John Lichfield , Two soldiers linked in death by a bizarre coincidence , The Independent , 8 November 2008 . Retrieved 24 April 2011   Jump up ^ `` Ceremony set to mark centenary of first Great War death '' . London Borough of Barnet. 18 August 2014 . Retrieved 11 January 2014 .   Jump up ^ Theresa Villiers MP . `` Finchley teenager remembered 100 years after his death in WWI '' . Retrieved 11 January 2014 . With image of the paving stone .   Jump up ^ `` The first ' friendly fire ' victim of World War One '' . BBC News . 15 February 2016 . Retrieved 15 February 2016 .    Further reading ( edit )    Baker , Chris . Firsts and lasts            VIAF : 6094148632947130630008      Retrieved from `` https://en.wikipedia.org/w/index.php?title=John_Parr_(British_Army_soldier)&amp;oldid=846821644 '' Categories :   1897 births   1914 deaths   People from Finchley   Middlesex Regiment soldiers   British Army personnel of World War I   British military personnel killed in World War I   Hidden categories :   Webarchive template wayback links   CWGC person ID same as Wikidata   All articles with dead external links   Articles with dead external links from November 2017   Articles with permanently dead external links   Use dmy dates from April 2012   Wikipedia articles with VIAF identifiers           Talk                                           Contents                   About Wikipedia                                             Deutsch   Français   Kiswahili   </t>
    </r>
    <r>
      <rPr>
        <sz val="11"/>
        <color rgb="FF000000"/>
        <rFont val="Noto Sans CJK SC"/>
        <family val="2"/>
      </rPr>
      <t xml:space="preserve">日本 語   </t>
    </r>
    <r>
      <rPr>
        <sz val="11"/>
        <color rgb="FF000000"/>
        <rFont val="Calibri"/>
        <family val="0"/>
        <charset val="1"/>
      </rPr>
      <t xml:space="preserve">Русский   Edit links   This page was last edited on 21 June 2018 , at 02 : 52 ( UTC ) .         About Wikipedia                    </t>
    </r>
  </si>
  <si>
    <t xml:space="preserve">who was the first soldier killed in ww1</t>
  </si>
  <si>
    <t xml:space="preserve"> While Parr is believed to be the first Commonwealth soldier killed in action , several soldiers had been killed by friendly fire and accidental shooting after the declaration of war but before troops were sent overseas , starting with Cpl Arthur Rawson on 9 August 1914 . Even earlier , on 6 August 1914 , the cruiser HMS Amphion ( 1911 ) hit a German mine and sank , killing about 150 sailors . </t>
  </si>
  <si>
    <t xml:space="preserve">Storm of the Century - wikipedia  Storm of the Century  Jump to : navigation , search This article is about the TV miniseries . For other uses , see Storm of the Century ( disambiguation ) .      This article needs additional citations for verification . Please help improve this article by adding citations to reliable sources . Unsourced material may be challenged and removed . ( November 2007 ) ( Learn how and when to remove this template message )       Storm of the Century     Cover of the published screenplay     Genre   Drama , Horror , Fantasy , Thriller     Written by   Stephen King     Directed by   Craig R. Baxley     Starring   Timothy Daly Colm Feore Debrah Farentino Casey Siemaszko Jeffrey DeMunn     Country of origin   US     Original language ( s )   English     No. of episodes       Production     Producer ( s )   Stephen King Mark Carliner Robert F. Phillips     Location ( s )   Little Tall Island , Maine     Running time   256 min .     Budget   $35,000,000     Release     Original network   ABC     Original release   February 14 -- February 18 , 1999     Storm of the Century , alternatively known as Stephen King 's Storm of the Century , is a 1999 horror TV miniseries written by Stephen King and directed by Craig R. Baxley . Unlike many other King mini-series , Storm of the Century was not based upon a Stephen King novel -- King wrote it as a screenplay from the beginning . The screenplay was published in February 1999 .     Contents  ( hide )   1 Plot   2 Cast   3 Screenplay   4 Release and reception   5 See also   6 References   7 External links      Plot ( edit )   A very powerful blizzard hits the fictional small town of Little Tall Island ( also the setting of King 's novel Dolores Claiborne ) off the coast of Maine . The storm is so powerful that all access off the island is blocked , and no one is able to leave the island until the storm is over . While trying to deal with the storm , tragedy strikes when one of the town 's residents is brutally murdered by André Linoge ( Colm Feore ) , a menacing stranger who appears to know the town members ' darkest secrets , and who gives no hint of his motives other than the cryptic statement `` Give me what I want , and I 'll go away . ''   Linoge is imprisoned in the town 's holding cell by part - time constable Michael Anderson ( Timothy Daly ) , but he uses his various abilities to affect the town , driving people to commit suicides and inflict terrifying dreams . After walking from his cell , Linoge 's campaign of terror culminates in an enchantment that places all eight of the town 's small children into unconsciousness . While looking for Linoge , Mike notices his name is an anagram for Legion , a collective group of demons mentioned in the Gospel of Mark and Gospel of Luke , having been exorcised by Jesus and cast into a herd of swine . Linoge eventually calls a town meeting , and it is here that Linoge states he desires one of the eight children he has enchanted . He reveals his true form ( an impossibly ancient , dying man ) , explaining that he is not immortal , and needs someone to carry on his `` work . '' He states that he can not simply take the child he desires , but he can punish . If they refuse , he threatens to force them to march into the sea two - by - two , as he claims to have done at Roanoke Island , North Carolina , centuries before . With his demands set , he leaves them with half an hour to make their decision .   Although Mike begs the town to refuse Linoge 's request , appealing to their common decency and the fact that they may be aiding in a great evil , all of the townspeople except him vote to give Linoge what he desires . Linoge has one parent of each child draw one of eight `` weirding stones , '' with Mike 's wife Molly drawing the black . Contemptuously thanking the town , Linoge transforms into his true form and suggests that the less they say to the outside world about the events with him , the happier they will be . With a final remark to Molly that Ralph will eventually come to call him `` father '' , Linoge flies off into the night with his new protégé .   Most of the film 's epilogue is narrated by Mike , as he explains how he leaves Little Tall the following summer . Unable to live with those who sacrificed his child , Mike divorces Molly and settles in San Francisco as a US Marshal . Nine years after the storm , Mike notices an old man and a teenage boy walking by , humming Linoge 's favorite tune `` I 'm a little teapot '' . He calls out to the boy , realizing it is his son , now corrupted by Linoge . He chases after them into an alley , but they are gone .   Mike considers telling Molly about what he saw , but ultimately decides against it , sometimes thinking that was the wrong decision , `` but in daylight , I know better . ''   Cast ( edit )       This section may require cleanup to meet Wikipedia 's quality standards . The specific problem is : Minor roles need to be removed . Please help improve this section if you can . ( November 2015 ) ( Learn how and when to remove this template message )      Tim Daly as Constable Michael `` Mike '' Anderson   Debrah Farentino as Molly Anderson   Dyllan Christopher as Ralph Emerick `` Ralphie '' Anderson   Colm Feore as Andre Linoge   Jeffrey DeMunn as Town Manager Robert `` Robbie '' Beals   Nada Despotovich as Sandra `` Sandy '' Beals   Spencer Breslin as Donny Beals   Denis Forest as Kirk Freeman   Nicky Guadagni as Jenna Freeman   Julianne Nicholson as Katrina `` Kat '' Withers   Casey Siemaszko as Alton `` Hatch '' Hatcher   Soo Garay as Melinda Hatcher   Skye McCole Bartusiak as Pippa Hatcher   Ron Perkins as Peter Godsoe   Becky Ann Baker as Ursula Godsoe   Cayda Rubin as Sally Godsoe   Nancy Beatty as Octavia Godsoe   Richard Fitzpatrick as Jonas Stanhope   Kathleen Chalfant as Joanna Stanhope   Myra Carter as Cora Stanhope   Rita Tuckett as Martha Claredon   Adam Zolotin as Davey Hopewell   Gaylyn Britton as Mary Hopewell   Michael Rhoades as Stan Hopewell   Steve Rankin as Jack Carver   Torri Higginson as Angela Carver   Stephen Joffe as Buster Carver   Adam LeFevre as Ferd Andrews   Peter MacNeill as Sonny Brautigan   Beth Dixon as Tess Merchant   Leif Anderson as Johnny Harriman   Marcia Laskowski as Linda St. Pierre   Harley English - Dixon as Heidi St. Pierre   Richard Blackburn as Andy Robichaux   Jeremy Jordan as William `` Billy '' Soames   Lynne Griffin as Jane Kingsbury    Screenplay ( edit )   The screenplay for the miniseries was written by Stephen King expressly for television , and was published by Pocket Books just prior to the initial airing of Storm of the Century on ABC , while the mass market edition of the screenplay was published only as a trade paperback . A hardcover edition was published concurrently by the Book of the Month Club . The book contains an introduction in which King describes the genesis of the idea as it occurred to him in late 1996 , beginning to write it in December 1996 , and debating the format the story should take , either a novel or a screenplay , ending up writing a `` novel for television '' .   Release and reception ( edit )   Storm of the Century aired on ABC on February 14 -- 18 , 1999 . It was released on DVD on June 22 the same year .   The miniseries was well received by critics . Review aggregator Rotten Tomatoes counts six positive out of eight reviews .   U.S. Television Ratings :     No .   Title   Original air date   U.S. viewers  ( millions )        Storm of the Century , Part 1   February 14 , 1999   19.4       Storm of the Century , Part 2   February 15 , 1999   18.9       Storm of the Century , Part 3   February 18 , 1999   19.2     See also ( edit )    Media based on Stephen King works    References ( edit )    Jump up ^ `` Introduction '' , Storm of the Century , Stephen King ( ISBN 978 - 0965796934 )   Jump up ^ Baxley , Craig R. ( director ) , King , Stephen ( writer ) ( June 22 , 1999 ) . Storm of the Century ( DVD ) . Lions Gate . ISBN 1573625779 .   Jump up ^ `` Stephen King 's ' Storm of the Century ' ( 1999 ) '' . Rotten Tomatoes . Retrieved November 19 , 2015 .   Jump up ^ HAITHMAN , DIANE ( 1999 - 02 - 20 ) . `` Arts And Entertainment Reports From The Times , News Services And The Nation 's Press '' . Los Angeles Times . ISSN 0458 - 3035 . Retrieved 2018 - 03 - 06 .    External links ( edit )    Storm of the Century on IMDb   Storm of the Century at AllMovie   Storm of the Century at Rotten Tomatoes              Stephen King       Bibliography   Short fiction   Unpublished and uncollected   Awards and nominations       Novels     Carrie ( 1974 )   ' Salem 's Lot ( 1975 )   The Shining ( 1977 )   The Stand ( 1978 )   The Dead Zone ( 1979 )   Firestarter ( 1980 )   Cujo ( 1981 )   Christine ( 1983 )   Pet Sematary ( 1983 )   Cycle of the Werewolf ( 1983 )   The Talisman ( 1984 )   It ( 1986 )   The Eyes of the Dragon ( 1987 )   Misery ( 1987 )   The Tommyknockers ( 1987 )   The Dark Half ( 1989 )   Needful Things ( 1991 )   Gerald 's Game ( 1992 )   Dolores Claiborne ( 1992 )   Insomnia ( 1994 )   Rose Madder ( 1995 )   The Green Mile ( 1996 )   Desperation ( 1996 )   Bag of Bones ( 1998 )   The Girl Who Loved Tom Gordon ( 1999 )   The Plant ( 2000 ; unfinished )   Dreamcatcher ( 2001 )   Black House ( 2001 )   From a Buick 8 ( 2002 )   The Colorado Kid ( 2005 )   Cell ( 2006 )   Lisey 's Story ( 2006 )   Duma Key ( 2008 )   Under the Dome ( 2009 )   11 / 22 / 63 ( 2011 )   Joyland ( 2013 )   Doctor Sleep ( 2013 )   Mr. Mercedes ( 2014 )   Revival ( 2014 )   Finders Keepers ( 2015 )   End of Watch ( 2016 )   Gwendy 's Button Box ( 2017 )   Sleeping Beauties ( 2017 )   The Outsider ( 2018 )   Elevation ( 2018 )       The Dark Tower series     The Gunslinger ( 1982 )   The Drawing of the Three ( 1987 )   The Waste Lands ( 1991 )   Wizard and Glass ( 1997 )   Wolves of the Calla ( 2003 )   Song of Susannah ( 2004 )   The Dark Tower ( 2004 )   The Wind Through the Keyhole ( 2012 )       Richard Bachman novels     Rage ( 1977 )   The Long Walk ( 1979 )   Roadwork ( 1981 )   The Running Man ( 1982 )   Thinner ( 1984 )   The Bachman Books ( 1985 )   The Regulators ( 1996 )   Blaze ( 2007 )       Short fiction collections     Night Shift ( 1978 )   Different Seasons ( 1982 )   Skeleton Crew ( 1985 )   Four past Midnight ( 1990 )   Nightmares &amp; Dreamscapes ( 1993 )   Hearts in Atlantis ( 1999 )   Everything 's Eventual ( 2002 )   Just After Sunset ( 2008 )   Full Dark , No Stars ( 2010 )   The Bazaar of Bad Dreams ( 2015 )       Non-fiction     Danse Macabre ( 1981 )   Nightmares in the Sky ( 1988 )   On Writing ( 2000 )   Secret Windows ( 2000 )   Faithful ( 2004 )   `` Guns '' ( 2013 )       Screenplays     Creepshow ( 1982 )   Cat 's Eye ( 1985 )   Silver Bullet ( 1985 )   Maximum Overdrive ( 1986 ; also director )   Pet Sematary ( 1989 )   Sleepwalkers ( 1992 )   A Good Marriage ( 2014 )   Cell ( 2016 )       Teleplays     `` Sorry , Right Number '' ( 1987 )   Golden Years ( 1991 )   The Stand ( 1994 )   The Shining ( 1997 )   `` Chinga '' ( 1998 )   Storm of the Century ( 1999 )   Rose Red ( 2002 )   Kingdom Hospital ( 2004 )   Desperation ( 2006 )   `` Heads Will Roll '' ( 2014 )       Comics     Heroes for Hope ( 1985 )   American Vampire ( 2010 )       Musical collaborations     Michael Jackson 's Ghosts ( 1997 )   Black Ribbons ( 2010 )   Ghost Brothers of Darkland County ( 2012 )       Anthologies edited     The Best American Short Stories 2007 ( 2007 )   Six Scary Stories ( 2016 )       Worlds and concepts     Fictional locations of Maine   Jerusalem 's Lot   Castle Rock   Derry     Fictional books   Multiverse   All - World     Dollar Baby       Related articles     List of adaptations   Books about Stephen King   Rock Bottom Remainders   Philtrum Press   Six Stories   Stephen King Goes to the Movies   Charlie the Choo - Choo   Hearts in Suspension   Tabitha King   Joe Hill   Owen King         Book                   Works directed by Craig R. Baxley       Action Jackson ( 1988 )   I Come in Peace ( 1990 )   Stone Cold ( 1991 )   Raven - Return of the Black Dragons ( 1992 )   Trucker 2 ( 1992 )   Sudden Fury ( 1993 )   Deep Red ( 1994 )   Undercover Sarah ( 1994 )   The Avenging Angel ( 1995 )   Shadow - Ops ( 1995 )   Twisted Desire ( 1996 )   Twilight Man ( 1996 )   Dark Instinct ( 1997 )   Bad Day on the Block ( 1997 )   Silencing Mary ( 1998 )   Chameleon II : Death Match ( 1999 )   Storm of the Century ( 1999 )   A Touch of Hope ( 1999 )   Rose Red ( 2002 )   The Glow ( 2002 )   Sniper 2 ( 2003 )   The Diary of Ellen Rimbauer ( 2003 )   Kingdom Hospital ( 2004 )   Left Behind : World at War ( 2005 )   The Triangle ( 2005 )   The Lost Room ( 2006 )   Aces ' N ' Eights ( 2008 )                 Adaptations of works by Stephen King           Films       The Shining ( 1980 )   Cujo ( 1983 )   The Dead Zone ( 1983 )   Christine ( 1983 )   Cat 's Eye ( 1985 )   Silver Bullet ( 1985 )   The Running Man ( 1987 )   Tales from the Darkside : The Movie ( 1990 )   Graveyard Shift ( 1990 )   Misery ( 1990 )   Sleepwalkers ( 1992 )   Needful Things ( 1993 )   The Dark Half ( 1993 )   Dolores Claiborne ( 1995 )   Thinner ( 1996 )   The Night Flier ( 1997 )   The Green Mile ( 1999 )   Hearts in Atlantis ( 2001 )   Dreamcatcher ( 2003 )   Secret Window ( 2004 )   Riding the Bullet ( 2004 )   1408 ( 2007 )   The Mist ( 2007 )   Dolan 's Cadillac ( 2009 )   A Good Marriage ( 2014 )   Mercy ( 2014 )   Cell ( 2016 )   The Dark Tower ( 2017 )   Gerald 's Game ( 2017 )   1922 ( 2017 )             Carrie     Carrie ( 1976 )   The Rage : Carrie 2 ( 1999 )   Carrie ( 2002 )   Carrie ( 2013 )       Creepshow     Creepshow ( 1982 )   Creepshow 2 ( 1987 )   Creepshow 3 ( 2007 )       Children of the Corn     Disciples of the Crow ( 1983 )   Children of the Corn ( 1984 )   The Final Sacrifice ( 1992 )   Urban Harvest ( 1995 )   The Gathering ( 1996 )   Fields of Terror ( 1998 )   Isaac 's Return ( 1999 )   Revelation ( 2001 )   Children of the Corn ( 2009 )   Genesis ( 2011 )   Runaway ( 2018 )       Different Seasons     Stand by Me ( 1986 )   The Shawshank Redemption ( 1994 )   Apt Pupil ( 1998 )       Firestarter     Firestarter ( 1984 )   Rekindled ( 2002 )       Trucks     Maximum Overdrive ( 1986 )   Trucks ( 1997 )       Pet Sematary     Pet Sematary ( 1989 )   Pet Sematary Two ( 1992 )       The Mangler     The Mangler ( 1995 )   The Mangler 2 ( 2002 )   The Mangler Reborn ( 2005 )       The Lawnmower Man     The Lawnmower Man ( 1992 )   Beyond Cyberspace ( 1996 )       It     It ( 2017 )   It : Chapter Two ( 2019 )                   TV films , episodes , and miniseries       `` Gramma '' ( 1986 )   `` Sorry , Right Number '' ( 1987 )   It ( 1990 )   Golden Years ( 1991 )   The Tommyknockers ( 1993 )   The Stand ( 1994 )   The Langoliers ( 1995 )   The Shining ( 1997 )   Quicksilver Highway ( 1997 )   `` The Revelations of ' Becka Paulson '' ( 1997 )   Storm of the Century ( 1999 )   Stephen King 's Desperation ( 2006 )   Nightmares &amp; Dreamscapes : From the Stories of Stephen King ( 2006 )   Bag of Bones ( 2011 )   Big Driver ( 2014 )             Salem 's Lot     Salem 's Lot ( 1979 )   A Return to Salem 's Lot ( 1987 )   Salem 's Lot ( 2004 )       Sometimes They Come Back     Sometimes They Come Back ( 1991 )   Sometimes They Come Back ... Again ( 1996 )   Sometimes They Come Back ... for More ( 1998 )       Rose Red     Rose Red ( 2002 )   The Diary of Ellen Rimbauer ( 2003 )             TV series       The Dead Zone ( 2002 -- 2007 )   Kingdom Hospital ( 2004 )   Haven ( 2010 -- 2015 )   Under the Dome ( 2013 -- 2015 )   11.22. 63 ( 2016 )   The Mist ( 2017 )   Mr. Mercedes ( 2017 -- present )   Castle Rock ( TBA )             Operas       Dolores Claiborne ( 2013 )   The Shining ( 2016 )             Book               Saturn Award for Best Television Presentation       Alien Nation : Millennium ( 1994 )   Alien Nation : Dark Horizon ( 1995 )   Doctor Who ( 1996 )   The Shining ( 1997 )   Storm of the Century ( 1999 )   Fail Safe ( 2000 )   Jack and the Beanstalk : The Real Story ( 2001 )   Steven Spielberg Presents Taken ( 2002 )   Battlestar Galactica ( 2003 )   Farscape : The Peacekeeper Wars ( 2004 )   Masters of Horror / The Triangle ( 2005 )   The Librarian : Return to King Solomon 's Mines ( 2006 )   Family Guy ( `` Blue Harvest '' ) ( 2007 )   The Librarian : Curse of the Judas Chalice ( 2008 )   Torchwood : Children of Earth ( 2009 )   The Walking Dead ( 2010 )   The Walking Dead ( 2011 )   Breaking Bad ( 2012 )   Breaking Bad ( 2013 )   Game of Thrones ( 2014 )   Doctor Who : `` The Husbands of River Song ' '' ( 2015 )   11.22. 63 ( 2016 )      Retrieved from `` https://en.wikipedia.org/w/index.php?title=Storm_of_the_Century&amp;oldid=829087348 '' Categories :   1999 television films   1999 American television series debuts   1999 American television series endings   1990s American television miniseries   Films directed by Craig R. Baxley   Screenplays by Stephen King   Television shows set on islands   Television shows set in Maine   Television shows set in San Francisco   Television series by Lionsgate Television   Television series by Warner Bros. Television   Demons in television   Hidden categories :   Articles needing additional references from November 2007   All articles needing additional references   Articles needing cleanup from November 2015   All pages needing cleanup   Cleanup tagged articles with a reason field from November 2015   Wikipedia pages needing cleanup from November 2015   Pages using div col without cols and colwidth parameters   Pages using Columns - list with deprecated parameters           Talk                                           Contents                   About Wikipedia                                           Wikiquote       Azərbaycanca   Български   Deutsch   Español   Français   Italiano   Nederlands   Português   Русский   Svenska   Українська  4 more  Edit links   This page was last edited on 6 March 2018 , at 15 : 36 .         About Wikipedia                    </t>
  </si>
  <si>
    <t xml:space="preserve">who played the devil in storm of the century</t>
  </si>
  <si>
    <t xml:space="preserve"> A very powerful blizzard hits the fictional small town of Little Tall Island ( also the setting of King 's novel Dolores Claiborne ) off the coast of Maine . The storm is so powerful that all access off the island is blocked , and no one is able to leave the island until the storm is over . While trying to deal with the storm , tragedy strikes when one of the town 's residents is brutally murdered by André Linoge ( Colm Feore ) , a menacing stranger who appears to know the town members ' darkest secrets , and who gives no hint of his motives other than the cryptic statement `` Give me what I want , and I 'll go away . '' </t>
  </si>
  <si>
    <t xml:space="preserve">Geography of India - Wikipedia  Geography of India  Jump to : navigation , search  Geography of India       Continent   Asia     Region   South Asia Indian subcontinent       21 ° N 78 ° E ﻿ / ﻿ 21 ° N 78 ° E ﻿ / 21 ; 78     Area   Ranked 7th     Total   3,287,263 km ( 1,269,219 sq mi )     Land   91 %     Water   9 %     Coastline   7,516.6 km ( 4,670.6 mi )     Borders   Total land borders : 15,106.70 km ( 9,386.87 mi ) Bangladesh : 4,096.70 km ( 2,545.57 mi ) China ( PRC ) : 3,488 km ( 2,167 mi ) Pakistan : 3,323 km ( 2,065 mi ) Nepal : 1,751 km ( 1,088 mi ) Myanmar : 1,643 km ( 1,021 mi ) Bhutan : 699 km ( 434 mi ) Afghanistan : 106 km ( 66 mi )     Highest point   Kangchenjunga 8,586 m ( 28,169 ft )     Lowest point   Kuttanad − 2.2 m ( − 7.2 ft )     Longest river   Ganga ( or Ganges ) 2,525 km ( 8,284,121 ft )     Largest lake   Wular Lake 30 to 260 km2 ( 12 to 100 sq mi )     India lies on the Indian Plate , the northern portion of the Indo - Australian Plate , whose continental crust forms the Indian subcontinent . The country is situated north of the equator between 8 ° 4 ' to 37 ° 6 ' north latitude and 68 ° 7 ' to 97 ° 25 ' east longitude . It is the seventh - largest country in the world , with a total area of 3,287,263 square kilometres ( 1,269,219 sq mi ) . India measures 3,214 km ( 1,997 mi ) from north to south and 2,933 km ( 1,822 mi ) from east to west . It has a land frontier of 15,106.7 km ( 9,387 mi ) and a coastline of 7,516.6 km ( 4,671 mi ) .   On the south , India projects into and is bounded by the Indian Ocean -- - in particular , by the Arabian Sea on the west , the Lakshadweep Sea to the southwest , the Bay of Bengal on the east , and the Indian Ocean proper to the South . The Palk Strait and Gulf of Mannar separate India from Sri Lanka to its immediate southeast , and the Maldives are some 125 kilometres ( 78 mi ) to the south of India 's Lakshadweep Islands across the Eight Degree Channel . India 's Andaman and Nicobar Islands , some 1,200 kilometres ( 750 mi ) southeast of the mainland , share maritime borders with Myanmar , Thailand and Indonesia . Kanyakumari at 8 ° 4 ′ 41 '' N and 77 ° 55 ′ 230 '' E is the southernmost tip of the Indian mainland , while the southernmost point in India is Indira Point on Great Nicobar Island . Northernmost point which is under Indian administration is Indira Col , Siachen Glacier . India 's territorial waters extend into the sea to a distance of 12 nautical miles ( 13.8 mi ; 22.2 km ) from the coast baseline .   The northern frontiers of India are defined largely by the Himalayan mountain range , where the country borders China , Bhutan , and Nepal . Its western border with Pakistan lies in the Karakoram range , Punjab Plains , the Thar Desert and the Rann of Kutch salt marshes . In the far northeast , the Chin Hills and Kachin Hills , deeply forested mountainous regions , separate India from Burma . On the east , its border with Bangladesh is largely defined by the Khasi Hills and Mizo Hills , and the watershed region of the Indo - Gangetic Plain .   The Ganga is the longest river originating in India . The Ganga -- Brahmaputra system occupies most of northern , central , and eastern India , while the Deccan Plateau occupies most of southern India . Kanchanjhunga is the highest point , in the Indian state of Sikkim , is the highest point in India at 8,586 m ( 28,169 ft ) and the world 's 3rd highest peak . Climate across India ranges from equatorial in the far south , to alpine and tundra in the upper reaches of the Himalayas .     Contents  ( hide )   1 Geological development   2 Political geography   3 Physiographic regions   3.1 The Northern Mountains   3.2 The Peninsular Plateau   3.3 Indo - Gangetic plain   3.4 Thar Desert   3.5 Coasts     4 Islands   5 Bodies of water   6 Wetlands   7 Climate   8 Geology   9 Natural resources   10 Antipodes   11 See also   12 References   13 Cited sources   14 Further reading      Geological development ( edit )  The Indian Plate Main article : Geology of India  India is situated entirely on the Indian Plate , a major tectonic plate that was formed when it split off from the ancient continent Gondwanaland ( ancient landmass , consisting of the southern part of the supercontinent of Pangea ) . The Indo - Australian plate is subdivided into the Indian and Australian plates . About 90 million years ago , during the late Cretaceous Period , the Indian Plate began moving north at about 15 cm / year ( 6 in / yr ) . About 50 to 55 million years ago , in the Eocene Epoch of the Cenozoic Era , the plate collided with Asia after covering a distance of 2,000 to 3,000 km ( 1,243 to 1,864 mi ) , having moved faster than any other known plate . In 2007 , German geologists determined that the Indian Plate was able to move so quickly because it is only half as thick as the other plates which formerly constituted Gondwanaland . The collision with the Eurasian Plate along the modern border between India and Nepal formed the orogenic belt that created the Tibetan Plateau and the Himalayas . As of 2009 , the Indian Plate is moving northeast at 5 cm / yr ( 2 in / yr ) , while the Eurasian Plate is moving north at only 2 cm / yr ( 0.8 in / yr ) . India is thus referred to as the `` fastest continent '' . This is causing the Eurasian Plate to deform , and the Indian Plate to compress at a rate of 4 cm / yr ( 1.6 in / yr ) .   Political Geography ( edit )  Main article : States and territories of India  India is divided into 29 states ( further subdivided into districts ) and 6 union territories and 1 National capital territory ( I.e. , Delhi ) .  Indian Kashmir , LoC and LAC  India 's borders run a total length of 15,106.70 km ( 9,386.87 mi ) .   Its borders with Pakistan and Bangladesh were delineated according to the Radcliffe Line , which was created in 1947 during Partition of India . Its western border with Pakistan extends up to 3,323 km ( 2,065 mi ) , dividing the Punjab region and running along the boundaries of the Thar Desert and the Rann of Kutch . This border runs along the Indian states of Jammu &amp; Kashmir , Rajasthan , Gujarat , and Punjab . Both nations delineated a Line of Control ( LoC ) to serve as the informal boundary between the Indian and Pakistan - administered areas of Kashmir . According to India 's claim , it also shares a 106 km ( 66 mi ) border with Afghanistan in northwestern Kashmir , which is under Pakistani control .   India 's border with Bangladesh runs 4,096.70 km ( 2,545.57 mi ) . West Bengal , Assam , Meghalaya , Tripura and Mizoram are the States which share the border with Bangladesh . Before 2015 , there were 92 enclaves of Bangladesh on Indian soil and 106 enclaves of India were on Bangladeshi soil . These enclaves were eventually exchanged in order to simplify the border . After the exchange , India lost roughly 40 km2 ( 10,000 acres ) to Bangladesh .   The Line of Actual Control ( LAC ) is the effective border between India and the People 's Republic of China . It traverses 4,057 km along the Indian states of Jammu and Kashmir , Uttarakhand , Himachal Pradesh , Sikkim and Arunachal Pradesh . The border with Burma ( Myanmar ) extends up to 1,643 km ( 1,021 mi ) along the southern borders of India 's northeastern states viz . Arunachal Pradesh , Nagaland , Manipur and Mizoram . Located amidst the Himalayan range , India 's border with Bhutan runs 699 km ( 434 mi ) . Sikkim , West Bengal , Assam and Arunachal Pradesh are the States , which share the border with Bhutan . The border with Nepal runs 1,751 km ( 1,088 mi ) along the foothills of the Himalayas in northern India . Uttarakhand , Uttar Pradesh , Bihar , West Bengal and Sikkim are the States , which share the border with Nepal . The Siliguri Corridor , narrowed sharply by the borders of Bhutan , Nepal and Bangladesh , connects peninsular India with the northeastern states .   Physiographic regions ( edit )  Topography map  India can be divided into six physiographic regions . They are :    Northern Mountains   Peninsular Plateau   Indo - Gangetic Plain   Thar Desert   Coastal Plains   Islands    The northern mountains ( edit )  Snow leopard at Hemis National Park , Jammu and Kashmir  A great arc of mountains , consisting of the Himalayas of Nepal , Hindu Kush , and Patkai ranges define the northern Indian subcontinent . These were formed by the ongoing tectonic plates collision of the Indian and Eurasian plates . The mountains in these ranges include some of the world 's tallest mountains which act as a natural barrier to cold polar winds . They also facilitate the monsoon winds which in turn influence the climate in India . Rivers originating in these mountains flow through the fertile Indo -- Gangetic plains . These mountains are recognised by biogeographers as the boundary between two of the Earth 's great ecozones : the temperate Palearctic that covers most of Eurasia and the tropical and subtropical Indomalaya ecozone which includes the Indian subcontinent , Southeast Asia and Indonesia .   The Himalayan range is the world 's highest mountain range , with its tallest peak Mt . Everest ( 8,848 metres ( 29,029 ft ) ) on the Nepal -- China border . They form India 's northeastern border , separating it from northeastern Asia . They are one of the world 's youngest mountain ranges and extend almost uninterrupted for 2,500 km ( 1,600 mi ) , covering an area of 500,000 km ( 190,000 sq mi ) . The Himalayas extend from Jammu and Kashmir in the north to Arunachal Pradesh in the east . These states along with Himachal Pradesh , Uttarakhand , and Sikkim lie mostly in the Himalayan region . Numerous Himalayan peaks rise over 7,000 m ( 23,000 ft ) and the snow line ranges between 6,000 m ( 20,000 ft ) in Sikkim to around 3,000 m ( 9,800 ft ) in Kashmir . Kanchenjunga -- on the Sikkim -- Nepal border -- is the highest point in the area administered by India . Most peaks in the Himalayas remain snowbound throughout the year . The Himalayas act as a barrier to the frigid katabatic winds flowing down from Central Asia . Thus , North India is kept warm or only mildly cooled during winter ; in summer , the same phenomenon makes India relatively hot .  Mt . Kanchenjunga from Sikkim   The Karakoram is situated in the disputed state of Jammu and Kashmir . It has more than sixty peaks above 7,000 m ( 23,000 ft ) , including K2 , the second highest peak in the world 8,611 m ( 28,251 ft ) . K2 is just 237 m ( 778 ft ) smaller than the 8,848 m ( 29,029 ft ) Mount Everest . The range is about 500 km ( 310 mi ) in length and the most heavily glaciated part of the world outside of the polar regions . The Siachen Glacier at 76 km ( 47 mi ) and the Biafo Glacier at 67 km ( 42 mi ) rank as the world 's second and third - longest glaciers outside the polar regions . Just to the west of the northwest end of the Karakoram , lies the Hindu Raj range , beyond which is the Hindu Kush range . The southern boundary of the Karakoram is formed by the Gilgit , Indus and Shyok rivers , which separate the range from the northwestern end of the Himalayas .     The Patkai , or Purvanchal , are situated near India 's eastern border with Burma . They were created by the same tectonic processes which led to the formation of the Himalayas . The physical features of the Patkai mountains are conical peaks , steep slopes and deep valleys . The Patkai ranges are not as rugged or tall as the Himalayas . There are three hill ranges that come under the Patkai : the Patkai -- Bum , the Garo -- Khasi -- Jaintia and the Lushai hills . The Garo -- Khasi range lies in Meghalaya . Mawsynram , a village near Cherrapunji lying on the windward side of these hills , has the distinction of being the wettest place in the world , receiving the highest annual rainfall .   The Vindhyas in central India  The peninsular plateau ( edit )    The Vindhya range runs across most of central India , extending 1,050 km ( 650 mi ) . The average elevation of these hills is from 300 to 600 m ( 980 to 1,970 ft ) and rarely goes above 700 metres ( 2,300 ft ) . They are believed to have been formed by the wastes created by the weathering of the ancient Aravali mountains . Geographically , it separates Northern India from Southern India . The western end of the range lies in eastern Gujarat , near its border with Madhya Pradesh , and runs east and north , almost meeting the Ganges at Mirzapur   Dry deciduous and thorny forests of plateau regions in India   The Malwa Plateau is spread across Rajasthan , Madhya Pradesh and Gujarat . The average elevation of the Malwa plateau is 500 metres , and the landscape generally slopes towards the north . Most of the region is drained by the Chambal River and its tributaries ; the western part is drained by the upper reaches of the Mahi River .   Kutch Kathiawar plateau    Kutch Kathiawar plateau is located in Gujarat state .    The Deccan Plateau is a large triangular plateau , bounded by the Vindhyas to the north and flanked by the Eastern and Western Ghats . The Deccan covers a total area of 1.9 million km2 ( 735,000 mile2 ) . It is mostly flat , with elevations ranging from 300 to 600 m ( 980 to 1,970 ft ) . The average elevation of the plateau is 2,000 feet ( 610 m ) above sea level . The surface slopes from 3,000 feet ( 910 m ) in the west to 1,500 feet ( 460 m ) in the east . It slopes gently from west to east and gives rise to several peninsular rivers such as the Godavari , the Krishna , the Kaveri and the Mahanadi which drain into the Bay of Bengal . This region is mostly semi-arid as it lies on the leeward side of both Ghats . Much of the Deccan is covered by thorn scrub forest scattered with small regions of deciduous broadleaf forest . Climate in the Deccan ranges from hot summers to mild winters .   The Chota Nagpur Plateau is situated in eastern India , covering much of Jharkhand and adjacent parts of Odisha , Bihar and Chhattisgarh . Its total area is approximately 65,000 km ( 25,000 sq mi ) and is made up of three smaller plateaus -- the Ranchi , Hazaribagh , and Kodarma plateaus . The Ranchi plateau is the largest , with an average elevation of 700 m ( 2,300 ft ) . Much of the plateau is forested , covered by the Chota Nagpur dry deciduous forests . Vast reserves of metal ores and coal have been found in the Chota Nagpur plateau . The Kathiawar peninsula in western Gujarat is bounded by the Gulf of Kutch and the Gulf of Khambat . The natural vegetation in most of the peninsula is xeric scrub , part of the Northwestern thorn scrub forests ecoregion .   The Satpura Range begins in eastern Gujarat near the Arabian Sea coast and runs east across Maharashtra , Madhya Pradesh and Chhattisgarh . It extends 900 km ( 560 mi ) with many peaks rising above 1,000 m ( 3,300 ft ) . It is triangular in shape , with its apex at Ratnapuri and the two sides being parallel to the Tapti and Narmada rivers . It runs parallel to the Vindhya Range , which lies to the north , and these two east - west ranges divide the Indo -- Gangetic plain from the Deccan Plateau located north of River Narmada .   The Aravali Range is the oldest mountain range in India , running across Rajasthan from northeast to southwest direction , extending approximately 800 km ( 500 mi ) . The northern end of the range continues as isolated hills and rocky ridges into Haryana , ending near Delhi . The highest peak in this range is Guru Shikhar at Mount Abu , rising to 1,722 m ( 5,650 ft ) , lying near the border with Gujarat . The Aravali Range is the eroded stub of an ancient fold mountain system . The range rose in a Precambrian event called the Aravali -- Delhi orogen . The range joins two of the ancient segments that make up the Indian craton , the Marwar segment to the northwest of the range , and the Bundelkhand segment to the southeast .   The Western Ghats or Sahyadri mountains run along the western edge of India 's Deccan Plateau and separate it from a narrow coastal plain along the Arabian Sea . The range runs approximately 1,600 km ( 990 mi ) from south of the Tapti River near the Gujarat -- Maharashtra border and across Maharashtra , Goa , Karnataka , Kerala and Tamil Nadu to the southern tip of the Deccan peninsula . The average elevation is around 1,000 m ( 3,300 ft ) . Anai Mudi in the Anaimalai Hills 2,695 m ( 8,842 ft ) in Kerala is the highest peak in the Western Ghats .   Western Ghats near Matheran Kolli Hills of the Eastern Ghats , Tamil Nadu   The Eastern Ghats are a discontinuous range of mountains , which have been eroded and quadrisected by the four major rivers of southern India , the Godavari , Mahanadi , Krishna , and Kaveri . These mountains extend from West Bengal to Odisha , Andhra Pradesh and Tamil Nadu , along the coast and parallel to the Bay of Bengal . Though not as tall as the Western Ghats , some of its peaks are over 1,000 m ( 3,300 ft ) in height . The Nilgiri hills in Tamil Nadu lies at the junction of the Eastern and Western Ghats . Arma Konda ( 1,680 m ( 5,510 ft ) ) in Andhra Pradesh is the tallest peak in Eastern Ghats .   Dry Evergreen Forests along the Eastern Ghats , Andhra Pradesh  Indo - Gangetic Plain ( edit )  Extent of the Indo - Gangetic plain across South Asia Many areas remain flooded during the heavy rains brought by monsoon in the Indian state of West Bengal . Main article : Indo - Gangetic plain  The Indo - Gangetic plains , also known as the Great Plains are large alluvial plains dominated by three main rivers , the Indus , Ganges , and Brahmaputra . They run parallel to the Himalayas , from Jammu and Kashmir in the west to Assam in the east , and drain most of northern and eastern India . The plains encompass an area of 700,000 km ( 270,000 sq mi ) . The major rivers in this region are the Ganges , Indus , and Brahmaputra along with their main tributaries -- Yamuna , Chambal , Gomti , Ghaghara , Kosi , Sutlej , Ravi , Beas , Chenab , and Tista -- as well as the rivers of the Ganges Delta , such as the Meghna .   The great plains are sometimes classified into four divisions :    The Bhabar belt is adjacent to the foothills of the Himalayas and consists of boulders and pebbles which have been carried down by streams . As the porosity of this belt is very high , the streams flow underground . The Bhabar is generally narrow with its width varying between 6 to 15 km ( 3.7 to 9.3 mi ) .   The Tarai belt lies south of the adjacent Bhabar region and is composed of newer alluvium . The underground streams reappear in this region . The region is excessively moist and thickly forested . It also receives heavy rainfall throughout the year and is populated with a variety of wildlife .   The Bangar belt consists of older alluvium and forms the alluvial terrace of the flood plains . In the Gangetic plains , it has a low upland covered by laterite deposits .   The Khadar belt lies in lowland areas after the Bangar belt . It is made up of fresh newer alluvium which is deposited by the rivers flowing down the plain .    The Indo - Gangetic belt is the world 's most extensive expanse of uninterrupted alluvium formed by the deposition of silt by the numerous rivers . The plains are flat making it conducive for irrigation through canals . The area is also rich in ground water sources. The plains are one of the world 's most intensely farmed areas . The main crops grown are rice and wheat , which are grown in rotation . Other important crops grown in the region include maize , sugarcane and cotton . The Indo - Gangetic plains rank among the world 's most densely populated areas .   Thar Desert ( edit )  Thar desert , Rajasthan Main article : Thar Desert  The Thar Desert ( also known as the deserts ) is by some calculations the world 's seventh largest desert , by some others the tenth . It forms a significant portion of western India and covers an area of 200,000 to 238,700 km ( 77,200 to 92,200 sq mi ) . The desert continues into Pakistan as the Cholistan Desert . Most of the Thar Desert is situated in Rajasthan , covering 61 % of its geographic area .   About 10 percent of this region comprises sand dunes , and the remaining 90 percent consist of craggy rock forms , compacted salt - lake bottoms , and interdunal and fixed dune areas . Annual temperatures can range from 0 ° C ( 32 ° F ) in the winter to over 50 ° C ( 122 ° F ) during the summer . Most of the rainfall received in this region is associated with the short July -- September southwest monsoon that brings 100 to 500 mm ( 3.9 to 19.7 in ) of precipitation . Water is scarce and occurs at great depths , ranging from 30 to 120 metres ( 98 to 394 ft ) below the ground level . Rainfall is precarious and erratic , ranging from below 120 mm ( 4.7 in ) in the extreme west to 375 mm ( 14.8 in ) eastward. The only river in this region is Luni . The soils of the arid region are generally sandy to sandy - loam in texture . The consistency and depth vary as per the topographical features . The low - lying loams are heavier may have a hard pan of clay , calcium carbonate or gypsum .   In western India , the Kutch region in Gujarat and Koyna in Maharashtra are classified as a Zone IV region ( high risk ) for earthquakes . The Kutch city of Bhuj was the epicentre of the 2001 Gujarat earthquake , which claimed the lives of more than 1,337 people and injured 166,836 while destroying or damaging near a million homes . The 1993 Latur earthquake in Maharashtra killed 7,928 people and injured 30,000 . Other areas have a moderate to low risk of an earthquake occurring .   Coasts ( edit )  Visakhapatnam beach view , Bay of Bengal , Andhra Pradesh  ( The Eastern Coastal Plain is a wide stretch of land lying between the Eastern Ghats and the oceanic boundary of India . It stretches from Tamil Nadu in the south to West Bengal in the east . The Mahanadi , Godavari , Kaveri , and Krishna rivers drain these plains . The temperature in the coastal regions often exceeds 30 ° C ( 86 ° F ) , and is coupled with high levels of humidity . The region receives both the northeast monsoon and southwest monsoon rains . ) The southwest monsoon splits into two branches , the Bay of Bengal branch and the Arabian Sea branch . ( The Bay of Bengal branch moves northwards crossing northeast India in early June . The Arabian Sea branch moves northwards and discharges much of its rain on the windward side of Western Ghats . Annual rainfall in this region averages between 1,000 and 3,000 mm ( 39 and 118 in ) . The width of the plains varies between 100 and 130 km ( 62 and 81 mi ) . The plains are divided into six regions -- the Mahanadi delta , the southern Andhra Pradesh plain , the Krishna - Godavari deltas , the Kanyakumari coast , the Coromandel Coast , and sandy coastal ) .   The Western Coastal Plain is a narrow strip of land sandwiched between the Western Ghats and the Arabian Sea , ranging from 50 to 100 km ( 31 to 62 mi ) in width . It extends from Gujarat in the north and extends through Maharashtra , Goa , Karnataka , and Kerala . Numerous rivers and backwaters inundate the region . Mostly originating in the Western Ghats , the rivers are fast - flowing , usually perennial , and empty into estuaries . Major rivers flowing into the sea are the Tapi , Narmada , Mandovi and Zuari . Vegetation is mostly deciduous , but the Malabar Coast moist forests constitute a unique ecoregion . The Western Coastal Plain can be divided into two parts , the Konkan and the Malabar Coast .  Varkala beach on Kerala 's coast , Arabian Sea  Islands ( edit )  Aerial view of the Andaman Islands See also : List of islands of India  ( The Lakshadweep and the Andaman and Nicobar Islands are India 's two major island formations and are classified as union territories .   The Lakshadweep Islands lie 200 to 440 km ( 120 to 270 mi ) off the coast of Kerala in the Arabian sea with an area of 32 km ( 12 sq mi ) . They consist of twelve atolls , three reefs , and five submerged banks , with a total of about 35 islands and islets . )   ( The Andaman and Nicobar Islands are located between 6 ° and 14 ° north latitude and 92 ° and 94 ° east longitude . They consist of 572 islands , lying in the Bay of Bengal near the Myanma coast running in a North - South axis for approximately 910 km . They are located 1,255 km ( 780 mi ) from Kolkata ( Calcutta ) and 193 km ( 120 mi ) from Cape Negrais in Burma . The territory consists of two island groups , the Andaman Islands and the Nicobar Islands . The Andaman and Nicobar Islands consist of 572 islands which run in a North - South axis for around 910 km . The Andaman group has 325 islands which cover an area of 6,170 km2 ( 2,382 sq mi ) while the Nicobar group has only 247 islands with an area of 1,765 km2 ( 681 sq mi ) . India 's only active volcano , Barren Island is situated here . It last erupted in 2017 . The Narcondum is a dormant volcano and there is a mud volcano at Baratang . Indira Point , India 's southernmost land point , is situated in the Nicobar islands at 6 ° 45'10 '' N and 93 ° 49'36 '' E , and lies just 189 km ( 117 mi ) from the Indonesian island of Sumatra , to the southeast . The highest point is Mount Thullier at 642 m ( 2,106 ft ) .   Other significant islands in India include Diu , a former Portuguese colony ; Majuli , a river island of the Brahmaputra ; Elephanta in Bombay Harbour ; and Sriharikota , a barrier island in Andhra Pradesh . Salsette Island is India 's most populous island on which the city of Mumbai ( Bombay ) is located . Forty - two islands in the Gulf of Kutch constitute the Marine National Park .   Bodies of water ( edit )  Main article : Rivers of India  India has around 14,500 km of inland navigable waterways . There are twelve rivers which are classified as major rivers , with the total catchment area exceeding 2,528,000 km ( 976,000 sq mi ) . All major rivers of India originate from one of the three main watersheds :    The Himalaya and the Karakoram ranges   Vindhya and Satpura range in central India   Sahyadri or Western Ghats in western India    The Himalayan river networks are snow - fed and have a perennial supply throughout the year . The other two river systems are dependent on the monsoons and shrink into rivulets during the dry season . The Himalayan rivers that flow westward into Punjab are the Indus , Jhelum , Chenab , Ravi , Beas , and Sutlej .  Bhagirathi River at Gangotri , source river of the Ganges National Highway 31A winds along the banks of the Teesta River near Kalimpong ( West Bengal ) , in the Darjeeling Himalayan hill region .  ( The Ganges - Brahmaputra - Meghana system has the largest catchment area of about 1,600,000 km ( 620,000 sq mi ) . The Ganges Basin alone has a catchment of about 1,100,000 km ( 420,000 sq mi ) . The Ganges originates from the Gangotri Glacier in Uttarakhand . It flows southeast , draining into the Bay of Bengal ) . ( The Yamuna and Gomti rivers also arise in the western Himalayas and join the Ganges in the plains . The Brahmaputra originates in Tibet , China , where it is known as the Yarlung Tsangpo River ) ( or `` Tsangpo '' ) . It enters India in the far - eastern state of Arunachal Pradesh , then flows west through Assam . The Brahmaputra merges with the Ganges in Bangladesh , where it is known as the Jamuna River .   The Chambal , another tributary of the Ganges , via the Yamuna , originates from the Vindhya - Satpura watershed . The river flows eastward . Westward - flowing rivers from this watershed are the Narmada and Tapti , which drain into the Arabian Sea in Gujarat . The river network that flows from east to west constitutes 10 % of the total outflow .  The Godavari River at Papi Hills  ( The Western Ghats are the source of all Deccan rivers , which include the through Godavari River , Krishna River and Kaveri River , all draining into the Bay of Bengal . These rivers constitute 20 % of India 's total outflow ) .   The heavy southwest monsoon rains cause the Brahmaputra and other rivers to distend their banks , often flooding surrounding areas . Though they provide rice paddy farmers with a largely dependable source of natural irrigation and fertilisation , such floods have killed thousands of people and tend to cause displacements of people in such areas .   Major gulfs include the Gulf of Cambay , Gulf of Kutch , and the Gulf of Mannar . Straits include the Palk Strait , which separates India from Sri Lanka ; the Ten Degree Channel , which separates the Andamans from the Nicobar Islands ; ' and the Eight Degree Channel , which separates the Laccadive and Amindivi Islands from the Minicoy Island to the south . Important capes include the Kanyakumari ( formerly called Cape Comorin ) , the southern tip of mainland India ; Indira Point , the southernmost point in India ( on Great Nicobar Island ) ; Rama 's Bridge , and Point Calimere . The Arabian Sea lies to the west of India , the Bay of Bengal and the Indian Ocean lie to the east and south , respectively . Smaller seas include the Laccadive Sea and the Andaman Sea . There are four coral reefs in India , located in the Andaman and Nicobar Islands , the Gulf of Mannar , Lakshadweep , and the Gulf of Kutch . Important lakes include Sambhar Lake , the country 's largest saltwater lake in Rajasthan , Vembanad Lake in Kerala , Kolleru Lake in Andhra Pradesh , Loktak Lake in Manipur , Dal Lake in Kashmir , Chilka Lake ( lagoon lake ) in Orrisa , and Sasthamkotta Lake in Kerala .   Wetlands ( edit )  A map of the Indian Sunderbans in West Bengal Pichavaram Mangroves , Tamil Nadu  India 's wetland ecosystem is widely distributed from the cold and arid located in the Ladakh region of Jammu and Kashmir , and those with the wet and humid climate of peninsular India . Most of the wetlands are directly or indirectly linked to river networks . The Indian government has identified a total of 71 wetlands for conservation and are part of sanctuaries and national parks . Mangrove forests are present all along the Indian coastline in sheltered estuaries , creeks , backwaters , salt marshes and mudflats . The mangrove area covers a total of 4,461 km ( 1,722 sq mi ) , which comprises 7 % of the world 's total mangrove cover . Prominent mangrove covers are located in the Andaman and Nicobar Islands , the Sundarbans delta , the Gulf of Kutch and the deltas of the Mahanadi , Godavari and Krishna rivers . Parts of Maharashtra , Karnataka and Kerala also have large mangrove covers .   The Sundarbans delta is home to the largest mangrove forest in the world . It lies at the mouth of the Ganges and spreads across areas of Bangladesh and West Bengal . The Sundarbans is a UNESCO World Heritage Site , but is identified separately as the Sundarbans ( Bangladesh ) and the Sundarbans National Park ( India ) . The Sundarbans are intersected by a complex network of tidal waterways , mudflats and small islands of salt - tolerant mangrove forests . The area is known for its diverse fauna , being home to a large variety of species of birds , spotted deer , crocodiles and snakes . Its most famous inhabitant is the Bengal tiger . It is estimated that there are now 400 Bengal tigers and about 30,000 spotted deer in the area .   The Rann of Kutch is a marshy region located in northwestern Gujarat and the bordering Sindh province of Pakistan . It occupies a total area of 27,900 km ( 10,800 sq mi ) . The region was originally a part of the Arabian Sea . Geologic forces such as earthquakes resulted in the damming up of the region , turning it into a large saltwater lagoon . This area gradually filled with silt thus turning it into a seasonal salt marsh . During the monsoons , the area turn into a shallow marsh , often flooding to knee - depth . After the monsoons , the region turns dry and becomes parched .   Climate ( edit )  India 's Köppen climate classification map is based on native vegetation , temperature , precipitation and their seasonality . Main articles : Climate of India and Climatic regions of India  Based on the Köppen system , India hosts six major climatic subtypes , ranging from arid desert in the west , alpine tundra and glaciers in the north , and humid tropical regions supporting rainforests in the southwest and the island territories . The nation has four seasons : winter ( January -- February ) , summer ( March -- May ) , a monsoon ( rainy ) season ( June -- September ) and a post-monsoon period ( October -- December ) ' .   The Himalayas act as a barrier to the frigid katabatic winds flowing down from Central Asia . ' Thus , North India is kept warm or only mildly cooled during winter ; in summer , the same phenomenon makes India relatively hot . Although the Tropic of Cancer -- the boundary between the tropics and subtropics -- p</t>
  </si>
  <si>
    <t xml:space="preserve">what is the total length of indian coastal area</t>
  </si>
  <si>
    <t xml:space="preserve"> Geography of India       Continent   Asia     Region   South Asia Indian subcontinent       21 ° N 78 ° E ﻿ / ﻿ 21 ° N 78 ° E ﻿ / 21 ; 78     Area   Ranked 7th     Total   3,287,263 km ( 1,269,219 sq mi )     Land   91 %     Water   9 %     Coastline   7,516.6 km ( 4,670.6 mi )     Borders   Total land borders : 15,106.70 km ( 9,386.87 mi ) Bangladesh : 4,096.70 km ( 2,545.57 mi ) China ( PRC ) : 3,488 km ( 2,167 mi ) Pakistan : 3,323 km ( 2,065 mi ) Nepal : 1,751 km ( 1,088 mi ) Myanmar : 1,643 km ( 1,021 mi ) Bhutan : 699 km ( 434 mi ) Afghanistan : 106 km ( 66 mi )     Highest point   Kangchenjunga 8,586 m ( 28,169 ft )     Lowest point   Kuttanad − 2.2 m ( − 7.2 ft )     Longest river   Ganga ( or Ganges ) 2,525 km ( 8,284,121 ft )     Largest lake   Wular Lake 30 to 260 km2 ( 12 to 100 sq mi )   </t>
  </si>
  <si>
    <t xml:space="preserve">United states presidential Election , 2016 - Wikipedia  United states presidential Election , 2016  Jump to : navigation , search  United States presidential election , 2016          ← 2012   November 8 , 2016   2020 →        538 members of the Electoral College 270 electoral votes needed to win     Turnout   55.7 % 0.8 pp                Nominee   Donald Trump   Hillary Clinton       Party   Republican   Democratic     Home state   New York   New York     Running mate   Mike Pence   Tim Kaine     Electoral vote   304   227     States carried   30 + ME - 02   20 + DC     Popular vote   62,984,825   65,853,516     Percentage   7001461000000000000 ♠ 46.1 %   7001482000000000000 ♠ 48.2 %        Presidential election results map . Red denotes states won by Trump / Pence , blue denotes those won by Clinton / Kaine . Numbers indicate electoral votes allotted to the winner of each state . Faithless votes : Colin Powell 3 ( WA ) , John Kasich 1 ( TX ) , Ron Paul 1 ( TX ) , Bernie Sanders 1 ( HI ) , Faith Spotted Eagle 1 ( WA )        President before election  Barack Obama Democratic    Elected President  Donald Trump Republican           2016 U.S. presidential election       Timeline   General election debates   Parties   Polling   national   statewide   by demographics   international     Newspaper endorsements   primary   general     Russian interference   Social media   International reactions   Electors   Recounts   Faithless electors       Republican Party       Primaries   Candidates   Debates and forums   Polling   national   statewide   straw polls     Endorsements   Results   Nominee   Convention       Democratic Party       Primaries   Candidates   Debates and forums   Polling   national   statewide   straw polls     Endorsements   Results   Nominee   Convention   Superdelegates       Third parties       Third party and independent candidates   Libertarian Party   primaries   debates   nominee   convention     Green Party   primaries   debates   nominee   convention     Constitution Party   primaries   nominee     Independents   McMullin         Related races       House   Senate   Governors     Vice President   Democratic   Republican           2012 ←   2016   → 2020                   The United States presidential election of 2016 was the 58th quadrennial American presidential election , held on Tuesday , November 8 , 2016 . In a surprise victory , the Republican ticket of businessman Donald Trump and Indiana Governor Mike Pence defeated the Democratic ticket of former Secretary of State Hillary Clinton and U.S. Senator from Virginia Tim Kaine despite losing the plurality of the popular vote . Trump took office as the 45th President , and Pence as the 48th Vice President , on January 20 , 2017 . Incumbent Democratic President Barack Obama was ineligible to be elected to a third term due to the term limits established by the 22nd Amendment . Concurrent with the presidential election , Senate , House , and many gubernatorial and state and local elections were also held on November 8 .   Clinton secured the Democratic nomination after fending off a primary challenge from Senator Bernie Sanders . Amidst a wide Republican field , Trump emerged as the front - runner , defeating Ted Cruz , Marco Rubio , John Kasich , Jeb Bush and other candidates . Clinton ran on a platform of continuing and expanding President Obama 's policies , emphasizing issues of racial , LGBT , and women 's rights , and `` inclusive capitalism '' ; whereas Trump promised to `` Make America Great Again '' by implementing a populist and nationalist agenda , opposing political correctness , illegal immigration , and many free - trade agreements . The tone of the general election campaign was widely characterized as divisive and negative , with both candidates beleaguered by controversy . Trump made numerous controversial remarks about race and immigration , was accused of inciting violence against protestors at his rallies , and faced multiple allegations of sexual misconduct ( which he denied ) , but was also able to garner extensive free media coverage . Clinton , whose public approval ratings had declined sharply since the end of her tenure as Secretary of State , was dogged by an FBI investigation of her improper use of a private email server , while her assertion that `` half '' of Trump 's supporters were bigoted `` deplorables '' met with polarized reactions . Nevertheless , Clinton held the lead in nearly every pre-election nationwide poll and in most swing states .   Voters selected members of the Electoral College in each state , in most cases by `` winner - takes - all '' plurality ; those state electors in turn voted for a new president and vice president on December 19 , 2016 . While Clinton received about 2.9 million more votes nationwide , a margin of 2.1 % , Trump won 30 states with a total of 306 electors , or 57 % of the 538 available . He won the three perennial swing states of Florida , Ohio , and Iowa , as well as the three `` blue wall '' stronghold states of Michigan , Pennsylvania , and Wisconsin . He also won Maine 's 2nd congressional district , which had not been won by a Republican presidential candidate since 1988 . Leading up to the election , a Trump victory was considered unlikely by almost all media forecasts . After his victory was assured , some commentators compared the election to President Harry S. Truman 's victorious campaign in 1948 as one of the greatest political upsets in modern American history .   In the Electoral College vote on December 19 , seven electors voted against their pledged candidates : two against Trump and five against Clinton . A further three electors attempted to vote against Clinton but were replaced or forced to vote again . Ultimately , Trump received 304 electoral votes and Clinton garnered 227 , while Colin Powell won three , and John Kasich , Ron Paul , Bernie Sanders , and Faith Spotted Eagle each received one . Trump is the fifth person in U.S. history to become president while losing the nationwide popular vote . He is the first president without any prior experience in public service or the military , as well as the wealthiest and the oldest at inauguration , while Clinton was the first woman to be the presidential nominee of a major American party .   On January 6 , 2017 , the United States government 's intelligence agencies concluded that the Russian government interfered in the 2016 United States elections . A joint U.S. intelligence community review ordered by President Barack Obama stated with high confidence that `` Russian President Vladimir Putin ordered an influence campaign in 2016 aimed at the US presidential election . Russia 's goals were to undermine public faith in the US democratic process , denigrate Secretary Clinton , and harm her electability and potential presidency . '' Investigations about potential collusion between the Trump campaign and Russian officials were started by the Federal Bureau of Investigation , the Senate Intelligence Committee , and the House Intelligence Committee .   Former FBI Director Robert Mueller was appointed as special counsel in May 2017 by Acting Attorney General Rod Rosenstein to oversee the ongoing investigation into links between Donald Trump 's 2016 presidential campaign and the Russian government as part of the election interference and any related illegal acts . President Donald Trump has repeatedly criticized these intelligence claims , citing a lack of evidence and repeatedly calling the claims a `` hoax '' and `` fake news '' .     Contents  ( hide )   1 Background   2 Primary process   3 Nominations   3.1 Republican Party   3.1. 1 Primaries   3.1. 2 Nominees   3.1. 3 Other major candidates   3.1. 4 Vice presidential selection     3.2 Democratic Party   3.2. 1 Primaries   3.2. 2 Nominees   3.2. 3 Other major candidates   3.2. 4 Vice presidential selection     3.3 Third parties and independents   3.3. 1 Libertarian Party   3.3. 2 Green Party   3.3. 3 Independents   3.3. 4 Constitution Party   3.3. 5 Other nominations   3.3. 6 Candidates gallery       4 General election campaign   4.1 Ballot access   4.2 Party conventions   4.3 Campaign finance   4.4 Newspaper endorsements   4.5 Russian involvement     5 Notable expressions , phrases , and statements   6 Debates   6.1 Primary election debates   6.2 General election debates     7 Results   7.1 Candidates table   7.2 Results by state   7.3 Close races   7.3. 1 Breakdown by ticket     7.4 Battleground states   7.5 Maps   7.6 Voter demographics   7.7 Forecasting   7.8 Viewership     8 Post-election events and controversies   8.1 Protests   8.2 Vote tampering concerns   8.3 Recount petitions   8.4 Electoral College lobbying   8.5 Faithless electors   8.6 Trump presidential election milestones     9 See also   10 Notes   11 References   12 Further reading   13 External links      Background  Barack Obama , the incumbent president in 2016 , whose second term expired at noon on January 20 , 2017 Further information : United States presidential election § Procedure  Article Two of the United States Constitution provides that the President and Vice President of the United States must be natural - born citizens of the United States , at least 35 years old , and residents of the United States for a period of at least 14 years . Candidates for the presidency typically seek the nomination of one of the political parties , in which case each party devises a method ( such as a primary election ) to choose the candidate the party deems best suited to run for the position . Traditionally , the primary elections are indirect elections where voters cast ballots for a slate of party delegates pledged to a particular candidate . The party 's delegates then officially nominate a candidate to run on the party 's behalf . The general election in November is also an indirect election , where voters cast ballots for a slate of members of the Electoral College ; these electors in turn directly elect the President and Vice President .   President Barack Obama , a Democrat and former U.S. Senator from Illinois , was ineligible to seek reelection to a third term due to the restrictions of the Twenty - second Amendment ; in accordance with Section I of the Twentieth Amendment , his term expired at noon on January 20 , 2017 .   Primary process   The series of presidential primary elections and caucuses took place between February and June 2016 , staggered among the 50 states , the District of Columbia and U.S. territories . This nominating process was also an indirect election , where voters cast ballots for a slate of delegates to a political party 's nominating convention , who in turn elected their party 's presidential nominee .   Speculation about the 2016 campaign began almost immediately following the 2012 campaign , with New York magazine declaring the race had begun in an article published on November 8 , two days after the 2012 election . On the same day , Politico released an article predicting the 2016 general election would be between Clinton and former Florida Governor Jeb Bush , while a New York Times article named New Jersey Governor Chris Christie and Senator Cory Booker from New Jersey as potential candidates .   Nominations   Republican Party          This article is part of a series about Donald Trump         President of the United States  Incumbent  Presidency    Transition   Inauguration   Timeline   Executive actions   Proclamations     Polls   Protests   Trips    Appointments    Cabinet   formation     Ambassadors   Federal judges   Neil Gorsuch   Supreme Court candidates     U.S. Attorneys   Dismissals   Sally Yates   Michael Flynn   James Comey   Rex Tillerson      Policy positions    Economy   tariffs     Environment   Paris withdrawal     Foreign policy   as candidate   as President     Immigration   Social issues   cannabis     International trips   2017 summits   Saudi Arabia   arms deal     NATO , Belgium   G7 , Italy   G20 , Germany   APEC , Vietnam     2018 summits   World Economic Forum , Switzerland     Presidential election   2016 campaign   Rallies   Primaries   Convention   Endorsements   Debates   Never Trump   Republican opposition     Sexual misconduct allegations   2020 campaign   Russia controversies   Business projects in Russia   Election interference   timeline     Trump -- Russia dossier   Classified information disclosure   Links of associates with Russian officials   Trump campaign -- Russian meetings   Special Counsel investigation    Business and personal    Business career   The Trump Organization     Books   Eponyms   Family   Foundation   Legal affairs   Racial views   Residences   Social media   The Apprentice franchise                    Primaries Main article : Republican Party presidential primaries , 2016  With seventeen major candidates entering the race , starting with Ted Cruz on March 23 , 2015 , this was the largest presidential primary field for any political party in American history .   Prior to the Iowa caucuses on February 1 , 2016 , Perry , Walker , Jindal , Graham and Pataki withdrew due to low polling numbers . Despite leading many polls in Iowa , Trump came in second to Cruz , after which Huckabee , Paul and Santorum withdrew due to poor performances at the ballot box . Following a sizable victory for Trump in the New Hampshire primary , Christie , Fiorina and Gilmore abandoned the race . Bush followed suit after scoring fourth place to Trump , Rubio and Cruz in South Carolina . On March 1 , 2016 , the first of four `` Super Tuesday '' primaries , Rubio won his first contest in Minnesota , Cruz won Alaska , Oklahoma and his home of Texas and Trump won the other seven states that voted . Failing to gain traction , Carson suspended his campaign a few days later . On March 15 , 2016 , the second `` Super Tuesday '' , Kasich won his only contest in his home state of Ohio and Trump won five primaries including Florida . Rubio suspended his campaign after losing his home state .   Between March 16 and May 3 , 2016 , only three candidates remained in the race : Trump , Cruz and Kasich . Cruz won the most delegates in four Western contests and in Wisconsin , keeping a credible path to denying Trump the nomination on first ballot with 1,237 delegates . Trump then augmented his lead by scoring landslide victories in New York and five Northeastern states in April , followed by a decisive victory in Indiana on May 3 , 2016 , securing all 57 of the state 's delegates . Without any further chances of forcing a contested convention , both Cruz and Kasich suspended their campaigns . Trump remained the only active candidate and was declared the presumptive Republican nominee by Republican National Committee chairman Reince Priebus on the evening of May 3 , 2016 .  Nominees    Republican Party ticket , 2016     Donald Trump   Mike Pence     for President   for Vice President           Chairman of The Trump Organization ( 1971 -- 2017 )   50th Governor of Indiana ( 2013 -- 2017 )     Campaign            Other major candidates Main article : Republican Party presidential candidates , 2016  Major candidates were determined by the various media based on common consensus . The following were invited to sanctioned televised debates based on their poll ratings .   Trump received 14,010,177 total votes in the primary . Trump , Cruz , Rubio and Kasich each won at least one primary , with Trump receiving the highest number of votes and Ted Cruz receiving the second highest .     Candidates in this section are sorted by reverse date of withdrawal from the primaries     John Kasich   Ted Cruz   Marco Rubio   Ben Carson   Jeb Bush   Jim Gilmore   Carly Fiorina   Chris Christie                       69th Governor of Ohio ( 2011 -- present )   U.S. Senator from Texas ( 2013 -- present )   U.S. Senator from Florida ( 2011 -- present )   Dir. of Pediatric Neurosurgery , Johns Hopkins Hospital ( 1984 -- 2013 )   43rd Governor of Florida ( 1999 -- 2007 )   68th Governor of Virginia ( 1998 -- 2002 )   CEO of Hewlett - Packard ( 1999 -- 2005 )   55th Governor of New Jersey ( 2010 -- 2018 )     Campaign   Campaign   Campaign   Campaign   Campaign   Campaign   Campaign   Campaign     W : May 4 4,287,479 votes   W : May 3 7,811,110 votes   W : Mar 15 3,514,124 votes   W : Mar 4 857,009 votes   W : Feb 20 286,634 votes   W : Feb 12 18,364 votes   W : Feb 10 40,577 votes   W : Feb 10 57,634 votes                       Rand Paul   Rick Santorum   Mike Huckabee   George Pataki   Lindsey Graham   Bobby Jindal   Scott Walker   Rick Perry                       U.S. Senator from Kentucky ( 2011 -- present )   U.S. Senator from Pennsylvania ( 1995 -- 2007 )   44th Governor of Arkansas ( 1996 -- 2007 )   53rd Governor of New York ( 1995 -- 2006 )   U.S. Senator from South Carolina ( 2003 -- present )   55th Governor of Louisiana ( 2008 -- 2016 )   45th Governor of Wisconsin ( 2011 -- present )   47th Governor of Texas ( 2000 -- 2015 )     Campaign   Campaign   Campaign   Campaign   Campaign   Campaign   Campaign   Campaign     W : Feb 3 66,781 votes   W : Feb 3 16,622 votes   W : Feb 1 51,436 votes   W : December 29 , 2015 2,036 votes   W : December 21 , 2015 5,666 votes   W : November 17 , 2015 222 votes   W : September 21 , 2015 1 write - in vote in New Hampshire   W : September 11 , 2015 1 write - in vote in New Hampshire                      Vice presidential selection Main article : Republican Party vice presidential candidate selection , 2016  Trump turned his attention towards selecting a running mate after he became the presumptive nominee on May 4 , 2016 . In mid-June , Eli Stokols and Burgess Everett of Politico reported that the Trump campaign was considering New Jersey Governor Chris Christie , former Speaker of the House Newt Gingrich from Georgia , Senator Jeff Sessions of Alabama , and Oklahoma Governor Mary Fallin . A June 30 report from The Washington Post also included Senators Bob Corker from Tennessee , Richard Burr from North Carolina , Tom Cotton from Arkansas , Joni Ernst from Iowa , and Indiana Governor Mike Pence as individuals still being considered for the ticket . Trump also stated that he was considering two military generals for the position , including retired Lieutenant General Michael Flynn .   In July 2016 , it was reported that Trump had narrowed his list of possible running mates down to three : Christie , Gingrich , and Pence .   On July 14 , 2016 , several major media outlets reported that Trump had selected Pence as his running mate . Trump confirmed these reports in a message on Twitter on July 15 , 2016 , and formally made the announcement the following day in New York . On July 19 , the second night of the 2016 Republican National Convention , Pence won the Republican vice presidential nomination by acclamation .   Democratic Party          This article is part of a series about Hillary Clinton          Political positions   Electoral history     Clinton Foundation   State Department controversy     Onward Together    U.S. Secretary of State    Tenure   Obama 's foreign policy   QDDR   Email controversy   Hillary Doctrine     Campaign for the presidency   2016       Primaries   Convention     Endorsements   political   non-political       Campaign for the presidency   2008       Primaries   Endorsements    U.S. Senator from New York    Tenure   2000 election   2006 re-election    First Lady of the United States    Role   Health care plan   SCHIP   Whitewater and other investigations   Response to Lewinsky scandal     Awards and honors   Books                    Primaries Main article : Democratic Party presidential primaries , 2016  Former Secretary of State Hillary Clinton , who also served in the U.S. Senate and was the First Lady of the United States , became the first woman to formally launch a major candidacy for the presidency . Clinton made the announcement on April 12 , 2015 , via a video message . While nationwide opinion polls in 2015 indicated that Clinton was the front - runner for the 2016 Democratic presidential nomination , she faced extreme challenges from Independent Senator Bernie Sanders of Vermont , who became the second major candidate when he formally announced on April 30 , 2015 , that he was running for the Democratic nomination . September 2015 polling numbers indicated a narrowing gap between Clinton and Sanders . On May 30 , 2015 , former Governor of Maryland Martin O'Malley was the third major candidate to enter the Democratic primary race , followed by former Independent Governor and Republican Senator of Rhode Island Lincoln Chafee on June 3 , 2015 , former Virginia Senator Jim Webb on July 2 , 2015 , and former Harvard law professor Lawrence Lessig on September 6 , 2015 .   On October 20 , 2015 , Webb announced his withdrawal from the Democratic primaries , and explored a potential Independent run . The next day Vice-President Joe Biden decided not to run , ending months of speculation , stating , `` While I will not be a candidate , I will not be silent . '' On October 23 , Chafee withdrew , stating that he hoped for `` an end to the endless wars and the beginning of a new era for the United States and humanity '' . On November 2 , after failing to qualify for the second DNC - sanctioned debate after adoption of a rule change negated polls which before might have necessitated his inclusion in the debate , Lessig withdrew as well , narrowing the field to Clinton , O'Malley , and Sanders .   On February 1 , 2016 , in an extremely close contest , Clinton won the Iowa caucuses by a margin of 0.2 points over Sanders . After winning no delegates in Iowa , O'Malley withdrew from the presidential race that day . On February 9 , Sanders bounced back to win the New Hampshire primary with 60 % of the vote . In the remaining two February contests , Clinton won the Nevada caucuses with 53 % of the vote and scored a decisive victory in the South Carolina primary with 73 % of the vote . On March 1 , 11 states participated in the first of four `` Super Tuesday '' primaries . Clinton won Alabama , Arkansas , Georgia , Massachusetts , Tennessee , Texas , and Virginia and 504 pledged delegates , while Sanders won Colorado , Minnesota , Oklahoma and his home state of Vermont and 340 delegates . The following weekend , Sanders won victories in Kansas , Nebraska and Maine with 15 -- 30 - point margins , while Clinton won the Louisiana primary with 71 % of the vote . On March 8 , despite never having a lead in the Michigan primary , Sanders won by a small margin of 1.5 points and outperforming polls by over 19 points , while Clinton won 83 % of the vote in Mississippi . On March 15 , the second `` Super Tuesday '' , Clinton won in Florida , Illinois , Missouri , North Carolina and Ohio . Between March 22 and April 9 , Sanders won six caucuses in Idaho , Utah , Alaska , Hawaii , Washington and Wyoming , as well as the Wisconsin primary , while Clinton won the Arizona primary . On April 19 , Clinton won the New York primary with 58 % of the vote . On April 26 , in the third `` Super Tuesday '' dubbed the `` Acela primary '' , she won contests in Connecticut , Delaware , Maryland and Pennsylvania , while Sanders won in Rhode Island . Over the course of May , Sanders accomplished another surprise win in the Indiana primary and also won in West Virginia and Oregon , while Clinton won the Guam caucus and Kentucky primary .   On June 4 and 5 , Clinton won two victories in the Virgin Islands caucus and Puerto Rico primary . On June 6 , 2016 , the Associated Press and NBC News reported that Clinton had become the presumptive nominee after reaching the required number of delegates , including pledged delegates and superdelegates , to secure the nomination , becoming the first woman to ever clinch the presidential nomination of a major United States political party . On June 7 , Clinton secured a majority of pledged delegates after winning primaries in California , New Jersey , New Mexico and South Dakota , while Sanders only won in Montana and North Dakota . Clinton also won the final primary in the District of Columbia on June 14 . At the conclusion of the primary process , Clinton had won 2,204 pledged delegates ( 54 % of the total ) awarded by the primary elections and caucuses , while Sanders had won 1,847 ( 46 % ) . Out of the 714 unpledged delegates or `` superdelegates '' who were set to vote in the convention in July , Clinton received endorsements from 560 ( 78 % ) , while Sanders received 47 ( 7 % ) .   Although Sanders had not formally dropped out of the race , he announced on June 16 , 2016 , that his main goal in the coming months would be to work with Clinton to defeat Trump in the general election . On July 8 , appointees from the Clinton campaign , the Sanders campaign , and the Democratic National Committee negotiated a draft of the party 's platform . On July 12 , Sanders formally endorsed Clinton at a rally in New Hampshire in which he appeared with her .  Nominees    Democratic Party ticket , 2016     Hillary Clinton   Tim Kaine     for President   for Vice President           67th U.S. Secretary of State ( 2009 -- 2013 )   U.S. Senator from Virginia ( 2013 -- present )     Campaign            Other major candidates Main article : Democratic Party presidential candidates , 2016  The following candidates were frequently interviewed by major broadcast networks and cable news channels , or were listed in publicly published national polls . Lessig was invited to one forum , but withdrew when rules were changed which prevented him from participating in officially sanctioned debates .   Clinton received 16,849,779 votes in the primary .     Candidates in this section are sorted by date of withdrawal from the primaries     Bernie Sanders   Martin O'Malley   Lawrence Lessig   Lincoln Chafee   Jim Webb                 U.S. Senator from Vermont ( 2007 -- present )   61st Governor of Maryland ( 2007 -- 2015 )   Harvard Law professor ( 2009 -- 2016 )   74th Governor of Rhode Island ( 2011 -- 2015 )   U.S. Senator from Virginia ( 2007 -- 2013 )     Campaign   Campaign   Campaign   Campaign   Campaign     LN : July 26 , 2016 13,167,848 votes   W : February 1 , 2016 110,423 votes   W : November 2 , 2015 4 write - in votes in New Hampshire   W : October 23 , 2015 0 votes   W : October 20 , 2015 2 write - in votes in New Hampshire                Vice presidential selection Main article : Democratic Party vice presidential candidate selection , 2016  In April 2016 , the Clinton campaign began to compile a list of 15 to 20 individuals to vet for the position of running mate , even though Sanders continued to challenge Clinton in the Democratic primaries . In mid-June , The Wall Street Journal reported that Clinton 's shortlist included Representative Xavier Becerra from California , Senator Cory Booker from New Jersey , Senator Sherrod Brown from Ohio , Housing and Urban Development Secretary Julián Castro from Texas , Mayor of Los Angeles Eric Garcetti from California , Senator Tim Kaine from Virginia , Labor Secretary Tom Perez from Maryland , Representative Tim Ryan from Ohio , and Senator Elizabeth Warren from Massachusetts . Subsequent reports stated that Clinton was also considering Secretary of Agriculture Tom Vilsack , retired Admiral James Stavridis , and Governor John Hickenlooper of Colorado . In discussing her potential vice presidential choice , Clinton stated that the most important attribute she looked for was the ability and experience to immediately step into the role of president .   On July 22 , Clinton announced that she had chosen Senator Tim Kaine from Virginia as her running mate . The delegates at the 2016 Democratic National Convention , which took place July 25 -- 28 , formally nominated the Democratic ticket .   Third parties and independents  Campaign signs of third - party candidates Jill Stein and Gary Johnson , October 2016 in St. Johnsbury , Vermont  Third party and independent candidates that have obtained more than 100,000 votes nationally and one percent of the vote in at least one state , are listed separately .  Libertarian Party Main articles : Libertarian Party ( United States ) and Libertarian Party presidential primaries , 2016   Gary Johnson , 29th Governor of New Mexico . Vice-presidential nominee : Bill Weld , 68th Governor of Massachusetts   Gary Johnson , Libertarian Party         This article is part of a series about Gary Johnson          Political positions    Governor of New Mexico    1994 election   1998 re-election     Campaign for the Presidency   2012       2012 Libertarian Convention     Campaign for the Presidency   2016       2016 Libertarian Convention   Primaries   Campaign endorsements    Our America Initiative                         This article is part of a series about Bill Weld          Political ideology   Libertarian Party     Vice presidential nomination   Convention   Primaries   Election 2016      New York gubernatorial campaign   U.S. Senate campaign   Governor of Massachusetts    1990 election   1994 re-election    U.S. Attorney for Massachusetts                     Additional Party Endorsements : Independence Party of New York    Ballot access to all 538 electoral votes   Nominees     Libertarian Party ticket , 2016     Gary Johnson   William Weld     for President   for Vice President           29th Governor of New Mexico ( 1995 -- 2003 )   68th Governor of Massachusetts ( 1991 -- 1997 )     Campaign            Green Party Main articles : Green Party of the United States and Green Party presidential primaries , 2016   Jill Stein , physician from Lexington , Massachusetts . Vice-presidential nominee : Ajamu Baraka , activist from Washington , DC   Jill Stein , Green Party         This article is part of a series about Jill Stein          Political positions   Green New Deal     Campaign for the Presidency   2016       Convention   Primaries   Campaign endorsements   Election recounts     Campaign for the Presidency   2012       Convention   Primaries    Political Parties    Green - Rainbow Party   Green Party of the United States     Career   Massachusetts gubernatorial election , 2010                   Ballot access to 480 electoral votes ( 522 with write - in ) : -- map    As write - in : Georgia , Indiana , North Carolina   Ballot access lawsuit pending : Oklahoma   No ballot access : Nevada , South Dakota    Nominees     Green Party ticket , 2016     Jill Stein   Ajamu Baraka     for President   for Vice President           Physician from Lexington , Massachusetts   Activist from Washington , DC     Campaign            Independents Main article : Evan McMullin presidential campaign , 2016   Evan McMullin , chief policy director for the House Republican Conference . Vice-presidential nominee : Mindy Finn , president of Empowered Women .   Evan McMullin , Independents   Additional Party Endorsement : Independence Party of Minnesota , South Carolina Independence Party    Ballot access to 84 electoral votes ( 451 with write - in ) : -- map    As write - in : Alabama , Alaska , Arizona , California , Connecticut , Delaware , Georgia , Illinois , Kansas , Maine , Maryland , Massachusetts , Michigan , Missouri , Montana , Nebraska , New Hampshire , New Jersey , New York , North Dakota , Ohio , Oregon , Pennsylvania , Rhode Island , Tennessee , Texas , Vermont , Washington , West Virginia , Wisconsin   No ballot access : District of Columbia , Florida , Hawaii , Indiana , Mississippi , Nevada , North Carolina , Oklahoma , South Dakota , Wyoming    In some states , Evan McMullin 's running mate was listed as Nathan Johnson on the ballot rather than Mindy Finn , although Nathan Johnson was intended to only be a placeholder until an actual running mate was chosen .     Independent ticket , 2016     Evan McMullin   Mindy Finn     for President   for Vice President           Chief policy director for the House Republican Conference ( 2015 -- 2016 )   President of Empowered Women ( 2015 -- present )     Campaign            Constitution Party Main articles : Constitution Party of the United States and Constitution Party presidential primaries , 2016   Darrell Castle , attorney from Memphis , Tennessee . Vice-presidential nominee : Scott Bradley , businessman from Utah   Darrell Castle , Constitution Party  Ballot access to 207 electoral votes ( 451 with write - in ) : -- map    As write - in : Alabama , Arizona , Connecticut , Delaware , Georgia , Illinois , Indiana , Kansas , Kentucky , Maine , Maryland , Montana , Nebraska , New Hampshire , New York , Ohio , Oregon , Rhode Island , Tennessee , Texas , Vermont , Virginia   No ballot access : California , District of Columbia , Massachusetts</t>
  </si>
  <si>
    <t xml:space="preserve">who won the most states in the 2016 presidential election</t>
  </si>
  <si>
    <t xml:space="preserve"> Voters selected members of the Electoral College in each state , in most cases by `` winner - takes - all '' plurality ; those state electors in turn voted for a new president and vice president on December 19 , 2016 . While Clinton received about 2.9 million more votes nationwide , a margin of 2.1 % , Trump won 30 states with a total of 306 electors , or 57 % of the 538 available . He won the three perennial swing states of Florida , Ohio , and Iowa , as well as the three `` blue wall '' stronghold states of Michigan , Pennsylvania , and Wisconsin . He also won Maine 's 2nd congressional district , which had not been won by a Republican presidential candidate since 1988 . Leading up to the election , a Trump victory was considered unlikely by almost all media forecasts . After his victory was assured , some commentators compared the election to President Harry S. Truman 's victorious campaign in 1948 as one of the greatest political upsets in modern American history . </t>
  </si>
  <si>
    <t xml:space="preserve">Oh ! What a Lovely war - wikipedia  Oh ! What a Lovely war  Jump to : navigation , search This article is about the 1969 film . For the original 1963 stage musical , see Oh , What a Lovely War !    Oh ! What a Lovely War     Theatrical release poster     Directed by   Richard Attenborough     Produced by   Len Deighton Brian Duffy     Written by   Len Deighton ( uncredited )     Starring   Maggie Smith Dirk Bogarde Phyllis Calvert Jean Pierre Cassel John Clements John Gielgud Jack Hawkins Kenneth More Laurence Olivier Michael Redgrave Vanessa Redgrave Ralph Richardson Susannah York John Mills     Cinematography   Gerry Turpin     Edited by   Kevin Connor     Production company   Accord Productions     Distributed by   Paramount Pictures     Release date   10 March 1969 ( UK release )     Running time   144 min     Country   United Kingdom     Language   English     Oh ! What a Lovely War is a 1969 British comedy musical film directed by Richard Attenborough ( in his directorial debut ) , with an ensemble cast including Maggie Smith , Dirk Bogarde , John Gielgud , John Mills , Kenneth More , Laurence Olivier , Jack Hawkins , Corin Redgrave , Michael Redgrave , Vanessa Redgrave , Ralph Richardson , Ian Holm , Paul Shelley , Malcolm McFee , Jean - Pierre Cassel , Nanette Newman , Edward Fox , Susannah York , John Clements , Phyllis Calvert and Maurice Roëves .   The film is based on the stage musical Oh , What a Lovely War ! , originated by Charles Chilton as a radio play , The Long Long Trail in December 1961 , and transferred to stage by Gerry Raffles in partnership with Joan Littlewood and her Theatre Workshop in 1963 .   The title is derived from the music hall song Oh ! It 's a Lovely War , which is one of the major numbers in the film .     Contents  ( hide )   1 Synopsis   2 Cast ( in credits order )   2.1 Smith family   2.2 Also starring   2.3 Guest stars     3 Production   4 The song   5 Box office   6 Awards   7 References in popular culture   8 Notes   8.1 References   8.2 Sources     9 External links      Synopsis ( edit )   Oh ! What A Lovely War summarises and comments on the events of the First World War using popular songs of the time , many of which were parodies of older popular songs , and using allegorical settings such as Brighton 's West Pier to criticise the manner in which the eventual victory was won .   The diplomatic manoeuvrings and events involving those in authority are set in a fantasy location inside the pierhead pavilion , far from the trenches . In the opening scene various Foreign Ministers , generals and Heads of State walk over a huge map of Europe , reciting actual words spoken by these figures at the time . An unnamed photographer takes a picture of Europe 's rulers -- after handing two red poppies to the Archduke Ferdinand and his wife , the Duchess of Hohenberg , he takes their picture , ' assassinating ' them as the flash goes off . Many of the heads of state enjoy good personal relations and are reluctant to go to war : a tearful Emperor Franz Josef declares war on Serbia after being deceived by his Foreign Minister , whilst Czar Nicholas II and Kaiser Wilhelm II are shown as unable to overrule their countries ' military mobilisation schedules . The German invasion of Belgium leaves Sir Edward Grey little choice but to get involved . Italy reneges on her alliance with the Central Powers ( she joined the Allies in 1915 ) but Turkey joins them instead .   The start of the war in 1914 is shown as a parade of optimism . The protagonists are an archetypal British family of the time , the Smiths , who are shown entering Brighton 's West Pier , with General Haig selling tickets -- the film later follows the young Smith men through their experiences in the trenches . A military band rouses holidaymakers from the beach to rally round and follow -- some even literally boarding a bandwagon . The first Battle of Mons is similarly cheerfully depicted yet more realistic in portrayal . Both scenes are flooded in pleasant sunshine .   When the casualties start to mount , a theatre audience is rallied by singing `` Are We Downhearted ? No ! '' A chorus line dressed in frilled yellow dresses , recruits a volunteer army with `` We do n't want to lose you , but we think you ought to go '' . A music hall star ( Maggie Smith ) then enters a lone spotlight , and lures the still doubtful young men in the audience into `` taking the King 's Shilling '' by singing about how every day she ' walks out ' with different men in uniform , and that `` On Saturday I 'm willing , if you 'll only take the shilling , to make a man of any one of you . '' The young men take to the stage and are quickly moved offstage and into military life , and the initially alluring music hall singer is depicted on close - up as a coarse , over-made - up harridan .   The red poppy crops up again as a symbol of impending death , often being handed to a soldier about to be sent to die . These scenes are juxtaposed with the pavilion , now housing the top military brass . There is a scoreboard ( a dominant motif in the original theatre production ) showing the loss of life and ' yards gained ' .   Outside , Sylvia Pankhurst ( Vanessa Redgrave ) is shown addressing a hostile crowd on the futility of war , upbraiding them for believing everything they read in the newspapers . She is met with catcalls and jeered off her podium .   1915 is depicted as darkly contrasting in tone . Many shots of a parade of wounded men illustrate an endless stream of grim , hopeless faces . Black humour among these soldiers has now replaced the enthusiasm of the early days . `` There 's a Long , Long Trail a-Winding '' captures the new mood of despair , depicting soldiers filing along in torrential rain in miserable conditions . Red poppies provide the only bright colour in these scenes . In a scene of British soldiers drinking in an estaminet , a chanteuse ( Pia Colombo ) leads them in a jolly chorus of `` The Moon Shines Bright on Charlie Chaplin '' , a reworking of an American song then shifts the mood back to darker tone by singing a soft and sombre version of `` Adieu la vie '' . At the end of the year , amidst more manoeuvres in the pavilion , General ( later Field Marshal ) Douglas Haig replaces Field Marshal Sir John French as Commander - in - Chief of the British Forces . Haig is then mocked by Australian troops who see him inspecting British soldiers ; they sing `` They were only playing Leapfrog '' to the tune of `` John Brown '' .   An interfaith religious service is held in a ruined abbey . A priest tells the gathered soldiers that each religion has endorsed the war by way of allowing soldiers to eat pork if Jewish , meat on Fridays if Catholic , and work through the sabbath if in service of the war for all religions . He also says the Dalai Lama has blessed the war effort .   1916 passes and the film 's tone darkens again . The songs contain contrasting tones of wistfulness , stoicism , and resignation ; including `` The Bells of Hell Go Ting - a-ling - a-ling '' , `` If The Sergeant Steals Your Rum , Never Mind '' and `` Hanging on the Old Barbed Wire '' . The wounded are laid out in ranks at the field station , a stark contrast to the healthy rows of young men who entered the War . The camera often lingers on Harry Smith 's silently suffering face .   The Americans arrive , but are shown only in the ' disconnected reality ' of the pavilion , interrupting the deliberations of the British generals by singing `` Over There '' with the changed final line : `` And we wo n't come back -- we 'll be buried over there ! '' The resolute - looking American captain seizes the map from an astonished Haig .   Jack notices with disgust that after three years of fighting , he is literally back where he started , at Mons . As the Armistice is sounding , Jack is the last one to die . There is a splash of red which at first glance appears to be blood , but which turns out to be yet another poppy out of focus in the foreground . Jack 's spirit wanders through the battlefield , and he eventually finds himself in the room where the elder statesmen of Europe are drafting the coming peace - but they are oblivious to his presence . Jack finally finds himself on a tranquil hillside , where he joins his friends for a lie down on the grass , where their figures morph into crosses . The film closes with a long slow pan out that ends in a dizzying aerial view of countless soldiers ' graves , as the voices of the dead sing `` We 'll Never Tell Them '' ( a parody of the Jerome Kern song `` They Did n't Believe Me '' ) .   Cast ( in credits order ) ( edit )   Smith family ( edit )    Wendy Allnutt as Flo Smith   Colin Farrell ( not to be confused with the later - born Irish actor of the same name ) as Harry Smith   Malcolm McFee as Freddie Smith   John Rae as Grandpa Smith   Corin Redgrave as Bertie Smith   Maurice Roëves as George Smith   Paul Shelley as Jack Smith   Kim Smith as Dickie Smith   Angela Thorne as Betty Smith   Mary Wimbush as Mary Smith    At the time , the Beatles were also interested in making an anti-war film . At Bertrand Russell 's suggestion Paul McCartney met with the producer Len Deighton to discuss the opportunity of the band portraying the Smith family although in the end it was not possible to arrange .   Also starring ( edit )    Vincent Ball as Australian Soldier   Pia Colombo as Estaminet Singer   Paul Daneman as Czar Nicholas II   Isabel Dean as Sir John French 's Lady   Christian Doermer as Fritz   Robert Flemyng as Staff Officer in Gassed Trench   Meriel Forbes as Lady Grey   Frank Forsyth as Woodrow Wilson   Ian Holm as President Poincaré   David Lodge as Recruiting Sergeant   Joe Melia as the Photographer   Guy Middleton as Sir William Robertson   Juliet Mills as Nurse   Nanette Newman as Nurse   Cecil Parker as Sir John   Natasha Parry as Sir William Robertson 's Lady   Gerald Sim as Chaplain   Thorley Walters as Staff Officer in Ballroom   Anthony Ainley as Third Aide   Michael Bates as Drunk Lance Corporal   Fanny Carby as Mill Girl   Cecilia Darby as Sir Henry Wilson 's Lady   Geoffrey Davies as Aide   Edward Fox as Aide   George Ghent as Heckler   Peter Gilmore as Private Burgess   Ben Howard as Private Garbett   Norman Jones as Scottish Soldier   Paddy Joyce as Irish Soldier   Angus Lennie as Scottish Soldier   Harry Locke as Heckler   Clifford Mollison as Heckler   Derek Newark as Shooting Gallery Proprietor   John Owens as Seamus Moore   Ron Pember as Corporal at Station   Dorothy Reynolds as Heckler   Norman Shelley as Staff Officer in Ballroom   Marianne Stone as Mill Girl   John Trigger as Officer at Station   Kathleen Wileman as Emma Smith at Age 4   Penelope Allen as Solo Chorus Girl   Maurice Arthur as Soldier Singer   Freddie Ascott as ' Whizzbang ' Soldier   Dinny Jones as Chorus Girl   Carole Gray as Chorus Girl   Bernard Jarvis as the whistling blowing soldier in the trench    Guest stars ( edit )    Dirk Bogarde as Stephen   Phyllis Calvert as Lady Haig   Jean - Pierre Cassel as French Colonel   John Clements as General von Moltke   John Gielgud as Count Leopold Berchtold   Jack Hawkins as Emperor Franz Josef I   Kenneth More as Kaiser Wilhelm II   Laurence Olivier as Field Marshal Sir John French   Michael Redgrave as Sir Henry Wilson ( incorrectly shown as a full General , a rank he did not achieve until late 1917 )   Vanessa Redgrave as Sylvia Pankhurst   Ralph Richardson as Sir Edward Grey   Maggie Smith as Music Hall Star   Susannah York as Eleanor   John Mills as General ( later Field Marshal ) Sir Douglas Haig    Production ( edit )   The producers were the novelist Len Deighton , photographer Brian Duffy , and Richard Attenborough , who was making his directorial debut . The Deighton Duffy production company had produced the film adaptation of Deighton 's Only When I Larf starring Richard Attenborough . Deighton wrote the screenplay for Oh ! What a Lovely War and the opening title sequence was created by Len Deighton 's lifelong friend Raymond Hawkey , the designer responsible for many of Deighton 's book covers in the 1960s . In an attempt to shame other people who he thought were claiming credit for things they had n't actually done , Deighton decided not to be listed in the film credits , a gesture he later described as `` stupid and infantile '' .   The 1969 film transferred the mise - en - scène completely into the cinematic domain , with elaborate sequences shot at West Pier , Brighton , elsewhere in Brighton and on the South Downs , interspersed with motifs from the stage production . These included the ' cricket ' scoreboards showing the number of dead , but Deighton did not use the pierrot costumes . However , as many critics , including Pauline Kael , noted , the treatment diminished the effect of the numbers of deaths , which appear only fleetingly . Nonetheless , Deighton 's final sequence , ending in a helicopter shot of thousands of war graves is regarded as one of the most memorable moments of the film . According to Attenborough , sixteen thousand white crosses had to be hammered into individually dug holes due to the hardness of the soil . Although this is effective in symbolising the scale of death , the number of crosses was in fact less than the number of deaths in a single battle .   The film was shot in the summer of 1968 in Sussex , mostly in the Brighton area . Many of the extras were local folk , but a great many were students from the University of Sussex , Falmer , on the outskirts of the city . The film 's locations included the West Pier ( now virtually demolished ) , Ditchling Beacon , Sheepcote Valley ( the trench sequences ) , Old Bayham Abbey , near Frant ( the church parade ) , Brighton station and Ovingdean ( where hundreds of crosses were erected for the classic finale ) .   The song ( edit )   The song was written by J.P. Long and Maurice Scott in 1917 and was part of the repertoire of music hall star and male impersonator Ella Shields . The first verse and the chorus follow :    Up to your waist in water ,   Up to your eyes in slush --   Using the kind of language ,   That makes the sergeant blush ;   Who would n't join the army ?   That 's what we all inquire ,   Do n't we pity the poor civilians sitting beside the fire .     Chorus   Oh ! Oh ! Oh ! it 's a lovely war ,   Who would n't be a soldier eh ?   Oh ! It 's a shame to take the pay .   As soon as reveille is gone   We feel just as heavy as lead ,   But we never get up till the sergeant brings   Our breakfast up to bed   Oh ! Oh ! Oh ! it 's a lovely war ,   What do we want with eggs and ham   When we 've got plum and apple jam ?   Form fours ! Right turn !   How shall we spend the money we earn ?   Oh ! Oh ! Oh ! it 's a lovely war .    Two pre-musical renditions , one from 1918 , can be found at Firstworldwar.com . Almost all of the songs featured in the film also appear on the CD41 album series Oh ! It 's A Lovely War ( four volumes ) .   Box office ( edit )   It was the 16th most popular film at the UK box office in 1969 .   Awards ( edit )    Golden Globe , Best Cinematography ( Gerry Turpin ) 1969   BAFTA Film Award , Best Art Direction ( Donald M. Ashton ) 1970   BAFTA Film Award , Best Cinematography ( Gerry Turpin ) 1970   BAFTA Film Award , Best Costume Design ( Anthony Mendleson ) 1970   BAFTA Film Award , Best Sound Track ( Don Challis and Simon Kaye ) 1970   BAFTA Film Award , Best Supporting Actor ( Laurence Olivier ) 1970    References in popular culture ( edit )    BBC Radio 4 's 15 Minute Musical portrayed Tony Blair 's premiership in the style of Oh ! What a Lovely War in a September 2006 episode entitled `` Oh ! What a Lovely Blair '' .   James Rado , one of the original writers and creators of Hair stated that `` what a Lovely War '' was what made him want to work on a musical dealing with war at a Google Talks event . `` @ Google : The Public Theatre 's Revival of Hair '' . youtube . Retrieved 26 August 2008 .   The song The Bells of Hell Go Ting - a-ling - a-ling was used as the play - out music for Ned Sherrin 's 1964 BBC - TV show Not So Much a Programme , More a Way of Life .   Babyshambles named their live album `` oh what a lovely tour '' after this film .    Notes ( edit )   References ( edit )    Jump up ^ The Cambridge History of Twentieth - Century English Literature , ed Laura Marcus &amp; Peter Nicholls , page 478 . Cambridge University Press , 2004 . ISBN 0 - 521 - 82077 - 4 , ISBN 978 - 0 - 521 - 82077 - 6 .   Jump up ^ Vincent Dowd ( 11 November 2011 ) . `` Witness : Oh what a lovely war '' . Witness . London . BBC World Service .   Jump up ^ Banham ( 1998 , 645 ) , Brockett and Hildy ( 2003 , 493 ) , and Eyre and Wright ( 2000 , 266 -- 69 ) .   Jump up ^ `` Len Deighton : The spy and I '' . The Independent . 4 January 2006 . Retrieved 8 August 2015 .   ^ Jump up to : Scott , Robert Dawson ( 4 January 2006 ) . `` Len Deighton : The spy and I '' . The Independent . UK . Retrieved 14 January 2014 .   Jump up ^ Dempsey , Mike ( 2001 - 12 - 14 ) . `` Immaculate conception '' . Design Week . Archived from the original on 6 January 2009 . Retrieved 2007 - 12 - 06 .   Jump up ^ Nikkhah , Roya ( 5 June 2010 ) . `` Fashion and portrait photographer Brian Duffy dies aged 76 '' . The Telegraph . London . Retrieved 5 June 2010 .   Jump up ^ `` Books Obituaries : Raymond Hawkey '' . Daily Telegraph . 30 August 2010 . Retrieved 2014 - 01 - 14 .   Jump up ^ Kael , Pauline ( 1971 ) ' Off with the statues ' heads ! ' in Deeper into Movies , Calder Boyars   Jump up ^ Max Arthur ( 2001 ) When This Bloody War Is Over . London , Piatkus : 47   Jump up ^ firstworldwar.com   Jump up ^ ( 1 )   Jump up ^ `` The World 's Top Twenty Films . '' Sunday Times ( London , England ) 27 Sept. 1970 : 27 . The Sunday Times Digital Archive . accessed 5 Apr. 2014    Sources ( edit )    Banham , Martin , ed. 1998 . The Cambridge Guide to Theatre . Cambridge : Cambridge University Press . ISBN 0 - 521 - 43437 - 8 .   Brockett , Oscar G. and Franklin J. Hildy. 2003 . History of the Theatre . Ninth edition , International edition . Boston : Allyn and Bacon . ISBN 0 - 205 - 41050 - 2 .   Eyre , Richard and Nicholas Wright . 2000 . Changing Stages : A View of British Theatre in the Twentieth Century . London : Bloomsbury . ISBN 0 - 7475 - 4789 - 0 .    External links ( edit )    Oh ! What a Lovely War on IMDb   Oh ! It 's A Lovely War album series at CD41   Len Deighton article on producing the film , on the Deighton Dossier website              Richard Attenborough     Films directed     Oh ! What a Lovely War ( 1969 )   Young Winston ( 1972 )   A Bridge Too Far ( 1977 )   Magic ( 1978 )   Gandhi ( 1982 )   A Chorus Line ( 1985 )   Cry Freedom ( 1987 )   Chaplin ( 1992 )   Shadowlands ( 1993 )   In Love and War ( 1996 )   Grey Owl ( 1999 )   Closing the Ring ( 2007 )       Family     Sheila Sim ( wife )   Michael Attenborough ( son )   Frederick Attenborough ( father )   David Attenborough ( brother )   John Attenborough ( brother )                 Works by Len Deighton     `` Unnamed hero '' novels     The IPCRESS File ( 1962 )   Horse Under Water ( 1963 )   Funeral in Berlin ( 1964 )   Billion - Dollar Brain ( 1966 )   An Expensive Place to Die ( 1967 )   Spy Story ( 1972 )   Yesterday 's Spy ( 1975 )   Twinkle , Twinkle , Little Spy ( 1976 )       Bernard Samson novels     Berlin Game ( 1983 )   Mexico Set ( 1984 )   London Match ( 1985 )   Winter ( 1987 )   Spy Hook ( 1988 )   Spy Line ( 1989 )   Spy Sinker ( 1990 )   Faith ( 1994 )   Hope ( 1995 )   Charity ( 1996 )       Other novels     Only When I Larf ( 1968 )   Bomber ( 1970 )   Close - Up ( 1972 )   SS - GB ( 1978 )   XPD ( 1981 )   Goodbye , Mickey Mouse ( 1982 )   MAMista ( 1991 )   City of Gold ( 1992 )   Violent Ward , ( 1993 )       Short story collection     Declarations of War ( 1971 )       Non-fiction     Où Est le Garlic ( 1965 )   Len Deighton 's Action Cookbook ( 1965 )   Len Deighton 's London Dossier ( 1967 )   Fighter : The True Story of the Battle of Britain ( 1977 )   Airshipwreck ( 1978 )   Blitzkrieg : From the Rise of Hitler to the Fall of Dunkirk ( 1979 )   Battle of Britain ( 1980 )   Blood , Tears and Folly ( 1993 )   James Bond : My Long and Eventful Search for His Father ( 2012 )       Adaptations      Harry Palmer     The Ipcress File ( 1965 )   Funeral in Berlin ( 1966 )   Billion Dollar Brain ( 1967 )   Bullet to Beijing ( 1995 )   Midnight in Saint Petersburg ( 1996 )       Other     Only When I Larf ( 1968 )   Oh ! What a Lovely War ( 1969 )   Spy Story ( 1976 )   Game , Set and Match ( 1988 )   SS - GB ( 2017 )         Retrieved from `` https://en.wikipedia.org/w/index.php?title=Oh!_What_a_Lovely_War&amp;oldid=800597207 '' Categories :   English - language films   1969 films   1960s musical films   1960s war films   British musical films   British films   British war films   Western Front films ( World War I )   Anti-war films about World War I   Films directed by Richard Attenborough   Directorial debut films   Films set in Brighton   Films produced by Richard Attenborough   Paramount Pictures films   Hidden categories :   EngvarB from September 2013   All articles with unsourced statements   Articles with unsourced statements from March 2011   Use dmy dates from September 2013           Talk                                           Contents                   About Wikipedia                                           Deutsch   Français   Italiano   Nederlands   Русский   Српски / srpski   Srpskohrvatski / српскохрватски   Suomi   Svenska   Türkçe   Edit links   This page was last edited on 14 September 2017 , at 14 : 40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</si>
  <si>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starred in oh what a lovely war</t>
  </si>
  <si>
    <t xml:space="preserve"> Oh ! What a Lovely War is a 1969 British comedy musical film directed by Richard Attenborough ( in his directorial debut ) , with an ensemble cast including Maggie Smith , Dirk Bogarde , John Gielgud , John Mills , Kenneth More , Laurence Olivier , Jack Hawkins , Corin Redgrave , Michael Redgrave , Vanessa Redgrave , Ralph Richardson , Ian Holm , Paul Shelley , Malcolm McFee , Jean - Pierre Cassel , Nanette Newman , Edward Fox , Susannah York , John Clements , Phyllis Calvert and Maurice Roëves . </t>
  </si>
  <si>
    <r>
      <rPr>
        <sz val="11"/>
        <color rgb="FF000000"/>
        <rFont val="Calibri"/>
        <family val="0"/>
        <charset val="1"/>
      </rPr>
      <t xml:space="preserve">Corpus cavernosum penis - wikipedia  Corpus cavernosum penis  Jump to : navigation , search      This article needs additional citations for verification . Please help improve this article by adding citations to reliable sources . Unsourced material may be challenged and removed . ( September 2009 ) ( Learn how and when to remove this template message )       Corpus cavernosum penis     Transverse section of the penis .     The constituent cavernous cylinders of the penis .     Details     Identifiers     Latin   corpus cavernosum penis     Dorlands / Elsevier   12260417     TA   A09. 4.01. 014     FMA   19618     Anatomical terminology ( edit on Wikidata )     A corpus cavernosum penis ( singular ) ( cavernous body of the penis ) is one of a pair of sponge - like regions of erectile tissue , the corpora cavernosa ( plural ) ( cavernous bodies ) , which contain most of the blood in the penis during an erection . Such a corpus is homologous to the corpus cavernosum clitoridis in the female ; the body of the clitoris contains erectile tissue in a pair of corpora cavernosa ( literally `` cave - like bodies '' ) with a recognisably similar structure .     Contents  ( hide )   1 Anatomy   2 Physiology   3 Additional images   4 References   5 External links      Anatomy ( edit )   The two corpora cavernosa and corpus spongiosum ( also known as the corpus cavernosum urethrae in older texts and in the adjacent diagram ) are three expandable erectile tissues along the length of the penis , which fill with blood during penile erection . The two corpora cavernosa lie along the penis shaft , from the pubic bones to the head of the penis , where they join . These formations are made of a sponge - like tissue containing trabeculae , irregular blood - filled spaces lined by endothelium and separated by connective tissue septa .   The male anatomy has no vestibular bulbs , but instead a corpus spongiosum , a smaller region along the bottom of the penis , which contains the urethra and forms the glans penis .   Physiology ( edit )   In some circumstances , release of nitric oxide precedes relaxation of muscles in the corpora cavernosa and corpus spongiosum , in a process similar to female arousal . The spongy tissue fills with blood , from arteries down the length of the penis . A little blood enters the corpus spongiosum ; the remainder engorges the corpora cavernosa , which expand to hold 90 % of the blood involved in an erection , increasing both in length and in diameter . The function of the corpus spongiosum is to prevent compression of the urethra during erection .   Blood can leave the erectile tissue only through a drainage system of veins around the outside wall of the corpus cavernosum . The expanding spongy tissue presses against a surrounding dense tissue ( tunica albuginea ) constricting these veins , preventing blood from leaving . The penis becomes rigid as a result . The glans penis , the expanded cap of the corpus spongiosum , remains more malleable during erection because its tunica albuginea is much thinner than elsewhere in the penis .   Additional images ( edit )     Structure of the penis     The deeper branches of the internal pudendal artery .     The penis in transverse section , showing the bloodvessels .     Male pelvic organs seen from right side .     Diagram of the arteries of the penis .     Cross section of penis .     References ( edit )    Jump up ^ `` Embarrassing erections '' . 2007 - 01 - 17 . Archived from the original on 2007 - 01 - 02 . Retrieved 2007 - 01 - 17 .   Jump up ^ `` Understanding a man 's erection '' . whitelotuseast .    External links ( edit )    Anatomy photo : 42 : st - 1102 at the SUNY Downstate Medical Center - `` The Male Perineum and the Penis : Penis ''      ( hide )         Male reproductive system     Internal      Seminal tract      Testes     layers   Tunica vaginalis   Tunica albuginea   Tunica vasculosa     Appendix   Mediastinum   Lobules   Septa   Leydig cell   Sertoli cell   Blood -- testis barrier       Spermatogenesis     Spermatogonium   Spermatocytogenesis   Spermatocyte   Spermatidogenesis   Spermatid   Spermiogenesis   Spermatozoon       Other     Seminiferous tubules   Tubuli seminiferi recti   Rete testis   Efferent ducts     Epididymis   Appendix   Stereocilia     Paradidymis   Spermatic cord   Vas deferens   Ampulla     Ejaculatory duct          Accessory glands     Seminal vesicles   excretory duct     Prostate   Urethral crest   Seminal colliculus   Prostatic utricle   Ejaculatory duct   Prostatic sinus   Prostatic ducts     Bulbourethral glands          External      Penis     root   Crus   Bulb   Fundiform ligament   Suspensory ligament     body   Corpus cavernosum   Corpus spongiosum     glans   Foreskin   Frenulum   Corona     fascia   superficial   deep     Tunica albuginea   Septum of the penis       Urinary tract     Internal urethral orifice   Urethra   Prostatic   Intermediate   Spongy     Navicular fossa   External urethral orifice   Lacunae of Morgagni   Urethral gland       Scrotum     layers   skin   Dartos   External spermatic fascia   Cremaster   Cremasteric fascia   Internal spermatic fascia     Perineal raphe   Scrotal septum         Retrieved from `` https://en.wikipedia.org/w/index.php?title=Corpus_cavernosum_penis&amp;oldid=795297063 '' Categories :   Mammal male reproductive system   Penis   Hidden categories :   Articles needing additional references from September 2009   All articles needing additional references   Medicine infobox template using GraySubject or GrayPage   Medicine infobox template using Dorlands parameter           Talk                                           Contents                   About Wikipedia                                             Беларуская   Български   Brezhoneg   Català   Čeština   Español   Français   Ido   Bahasa Indonesia   Italiano   Қазақша   Nederlands   </t>
    </r>
    <r>
      <rPr>
        <sz val="11"/>
        <color rgb="FF000000"/>
        <rFont val="Noto Sans CJK SC"/>
        <family val="2"/>
      </rPr>
      <t xml:space="preserve">日本 語   </t>
    </r>
    <r>
      <rPr>
        <sz val="11"/>
        <color rgb="FF000000"/>
        <rFont val="Calibri"/>
        <family val="0"/>
        <charset val="1"/>
      </rPr>
      <t xml:space="preserve">Polski   Português   Русский   Simple English   Српски / srpski   Українська   </t>
    </r>
    <r>
      <rPr>
        <sz val="11"/>
        <color rgb="FF000000"/>
        <rFont val="Noto Sans CJK SC"/>
        <family val="2"/>
      </rPr>
      <t xml:space="preserve">中文   </t>
    </r>
    <r>
      <rPr>
        <sz val="11"/>
        <color rgb="FF000000"/>
        <rFont val="Calibri"/>
        <family val="0"/>
        <charset val="1"/>
      </rPr>
      <t xml:space="preserve">Edit links   This page was last edited on 13 August 2017 , at 09 : 20 .         About Wikipedia                    </t>
    </r>
  </si>
  <si>
    <t xml:space="preserve">the location of the corpora cavernosa is the</t>
  </si>
  <si>
    <t xml:space="preserve"> A corpus cavernosum penis ( singular ) ( cavernous body of the penis ) is one of a pair of sponge - like regions of erectile tissue , the corpora cavernosa ( plural ) ( cavernous bodies ) , which contain most of the blood in the penis during an erection . Such a corpus is homologous to the corpus cavernosum clitoridis in the female ; the body of the clitoris contains erectile tissue in a pair of corpora cavernosa ( literally `` cave - like bodies '' ) with a recognisably similar structure . </t>
  </si>
  <si>
    <t xml:space="preserve">Pam Beesly - wikipedia  Pam Beesly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2012 ) ( Learn how and when to remove this template message )         This article describes a work or element of fiction in a primarily in - universe style . Please help rewrite it to explain the fiction more clearly and provide non-fictional perspective . ( December 2015 ) ( Learn how and when to remove this template message )    ( Learn how and when to remove this template message )       Pam Beesly Halpert     The Office character     Jenna Fischer as Pam Halpert     First appearance   `` Pilot ''     Last appearance   `` Finale ''     Created by   Greg Daniels     Portrayed by   Jenna Fischer     Information     Full name   Pamela Morgan Beesly     Gender   Female     Occupation     Receptionist , Dunder Mifflin , Scranton PA ( August 2003 - June 2011 )   Secret Assistant to the Regional Manager , Dunder Mifflin , Scranton PA   Temporary Worker , Dunder Mifflin Corporate , New York City , NY   Sales Representative , Michael Scott Paper Company   Sales Representative , Dunder Mifflin , Scranton PA   Sales Representative , Dunder Mifflin Sabre , Scranton PA   Office Administrator , Dunder Mifflin Sabre , Scranton PA   Office Administrator , Dunder Mifflin , Scranton PA   Freelance Mural Painter / Art Gallery Owner , Austin TX       Family   William Beesly ( father , Rick Overton ) Helene Beesly ( mother , Shannon Cochran and Linda Purl ) Penny Beesly ( sister , Anna Camp ) Sylvia Beesly ( grandmother , Peggy Stewart ) Jocelyne Webster ( cousin ) Betsy Halpert ( mother - in - law ) Gerald Halpert ( father - in - law ) Tom Halpert ( brother - in - law ) Pete Halpert ( brother - in - law )     Spouse ( s )   Jim Halpert ( m . 2009 )     Significant other ( s )   Roy Anderson ( ex-fiancé )     Children   Cecelia `` CeCe '' Marie Halpert Philip Halpert     Religion   Presbyterian     Nationality   American     Based on   Dawn Tinsley     Pamela Morgan Halpert ( née Beesly ) is a fictional character on the U.S. television sitcom The Office , played by Jenna Fischer . Her counterpart in the original UK series of The Office is Dawn Tinsley . Her character is initially the receptionist at the paper distribution company Dunder Mifflin , before becoming a saleswoman and eventually office administrator until she left in the series finale . Her character is shy , growing assertive but amiable , and artistically inclined , and shares romantic interest with Jim Halpert , whom she begins dating in the fourth season and marries and starts a family with as the series continues .   Contents    1 Casting and character development   2 Character history   2.1 Seasons 1 -- 3   2.2 Seasons 4 -- 6   2.3 Season 7   2.4 Season 8   2.5 Season 9     3 Coworker relations   3.1 Jim Halpert   3.2 Roy Anderson   3.3 Michael Scott   3.4 Toby Flenderson     4 Appearances   5 Notes   6 References    Casting and character development ( edit )   The character was originally created to be very similar to the British counterpart , Dawn Tinsley . Even minute details , such as how Pam wore her hair each day , were considered by executive producer , Greg Daniels .   `` When I went in for The Office , the casting director said to me , ' Please look normal ' , '' recalls Jenna Fischer . `` Do n't make yourself all pretty , and dare to bore me with your audition . Those were her words . Dare to bore me . ''   Heeding the advice , Fischer said little during the auditions , during which she was interviewed in character by show producers , in an improvisational format , to imitate the show 's documentary premise . `` My take on the character of Pam was that she did n't have any media training , so she did n't know how to be a good interview . And also , she did n't care about this interview , '' she told NPR . `` So , I gave very short one - word answers and I tried very hard not to be funny or clever , because I thought that the comedy would come out of just , you know , the real human reactions to the situation ... and they liked that take on it . ''   `` When I went in to the audition , the first question that they asked me in the character of Pam -- they said , ' Do you like working as a receptionist ? ' I said , ' No . ' And that was it . I did n't speak any more than that . And they started laughing . ''   Fischer found herself creating a very elaborate backstory for the character . For the first few seasons , she kept a list of the character history revealed on - screen by the creators , as well as her own imaginative thoughts on Pam 's history . She created a rule with the set 's hair and make - up department that it could n't look as though it took Pam more than 30 minutes to do her hair , and she formulated ideas as to who gave Pam each piece of jewelry she wore or where she went to college . Fischer also carefully crafted Pam 's quiet persona . `` Well , my character of Pam is really stuck , '' she explained to NPR . `` I mean , she 's a subordinate in this office . And so , I think that for her , the only way she can express herself is in the silences , but you can say so much by not saying anything . ''   Originally meek and passive , the character grew more assertive as the seasons passed , prompting Fischer to reassess her portrayal . `` I have to approach Pam differently ( now ) , '' she explained in Season 4 , a defining season in which her character finally begins a long - awaited relationship with Jim and is accepted into the Pratt Institute . `` She is in a loving relationship , she has found her voice , she has started taking art classes . All of these things must inform the character and we need to see changes in the way she moves , speaks , dresses , etc . ''   Character history ( edit )   Seasons 1 -- 3 ( edit )   At the beginning of the series , Pam and Roy have been dating for eight years and engaged for three years . Their open - ended engagement has become one of Michael 's running gags and a sore spot for Pam .   Pam does not want her current job to become permanent , remarking that `` I do n't think it 's many little girls ' dream to be a receptionist . '' Pam is apathetic toward her work , evidenced by her frequent games of FreeCell on her office computer . However , in the pilot episode , she breaks down crying when Michael pulls an ill - advised prank by telling her that she will be fired .   Michael has criticized Pam for simply forwarding calls to voice mail without answering and ( in a deleted scene ) for not sounding enthusiastic enough when speaking on the telephone . Pam is usually happy to abandon her work if asked to do something else by Jim . She will do extra , unnecessary work ( such as making a casket for a dead bird or paper doves for the Office Olympics ) to make other people happy .   Despite the abuse she takes from Michael , she never goes any further than calling him a jerk in the pilot . In later seasons , however , she becomes more honest and forward with Michael and will often make sarcastic comments toward him .   While engaged to Roy , Pam denies , or is in denial about , having any romantic feelings for Jim . When Jim confesses his love for her at the Dunder Mifflin `` Casino Night '' she turns him down . She later talks to her mom on the phone and says Jim is her best friend ( though she does n't say his name ) , and says `` Yeah , I think I am '' to an unheard question . She is interrupted by Jim , who enters and kisses her ; she responds by kissing back .   Season three marks a turning point for Pam 's character : she gains self - confidence and appears less passive and more self - assured as the season progresses . In `` Gay Witch Hunt , '' the season 's opener , it is revealed that Pam got cold feet before her wedding and did not marry Roy after all , and that Jim transferred to a different Dunder Mifflin branch , in Stamford , shortly after Pam rejected him a second time , after their kiss . Pam moves into her own apartment , begins taking art classes , a pursuit that Roy had previously dismissed as a waste of time , and buys a new car , a blue Toyota Yaris . Jim returns to Scranton later on as a result of `` The Merger '' , and brings along a female co-worker , Karen Filippelli , whom he begins dating . Jim and Pam appeared to have ended all communication after Jim transfers to the Stamford branch ( aside from an episode in which Jim accidentally calls Pam at the end of the work day ) , and their episodes together following the branch merge are tense , despite both admitting to still harboring feelings for the other during the presence of the documentary cameras .   Meanwhile , Roy vows to win Pam back . Roy 's efforts to improve his relationship with Pam are quite successful , but once Pam and Roy are back together , he falls back into old habits almost immediately . When Roy and Pam attend an after work get - together at a local bar with their co-workers , Pam , feeling that she should be more honest with Roy , tells him about Jim kissing her at `` Casino Night . '' Roy yells , smashes a mirror , and trashes the bar . Pam , frightened and embarrassed by his reaction , breaks up with Roy immediately . Roy vows to kill Jim and in `` The Negotiation '' , Roy unsuccessfully tries to attack Jim at work ( Jim is saved by Dwight 's intervention ) , and is subsequently fired . Pam later reluctantly agrees to meet Roy for coffee at his request , and after the polite but brief meeting , it appears that their relationship has ended amicably with Roy encouraging Pam to pursue Jim .   Pam participates in an art show , but few people attend . Her co-worker , Oscar , brings his partner along who , not knowing that Pam is standing behind him , criticizes her work by proclaiming that `` real art requires courage . '' Oscar then goes on to say that courage is n't one of Pam 's strong points . Affected by this statement , Pam tells the documentary crew that she is going to be more honest , culminating in a dramatic coal walk during the next - to - last episode of the season , `` Beach Games '' , and a seemingly sincere speech to Jim in front of the entire office about their relationship . Michael also comes to the art show and reveals his erratically kind heart and loyalty by buying , framing and hanging Pam 's drawing of the Dunder Mifflin building in the office . In the season finale , `` The Job , '' she leaves a friendly note in Jim 's briefcase and an old memento depicting the ' gold medal ' yogurt lid from the Office Olympics , which he sees during an interview for a job at Corporate in New York City . While he is asked how he `` would function here in New York '' , Jim is shown to have his mind back in Scranton , still distracted by the thought of Pam . Jim withdraws his name from consideration and drives back to the office , where he interrupts a talking head Pam is doing for the documentary crew by asking her out for dinner . She happily accepts , visibly moved , abandoning a train of thought about how she would be fine if Jim got the job and never came back to Scranton . Karen quits soon after , becoming the regional manager at Dunder Mifflin 's Utica branch .   Seasons 4 -- 6 ( edit )   In Season 4 , Pam retains the assertiveness she developed in the third season . She wears her hair down and has updated her old dowdy wardrobe .   In the season 4 premiere , `` Fun Run '' , Jim and Pam confess that they have started dating after the camera crew catches them kissing . The office ultimately learns of their relationship in `` Dunder Mifflin Infinity '' . In `` Chair Model '' , after teasing Pam about his impending proposal , Jim tells the documentary crew he is not kidding around about an engagement and shows them a ring he bought a week after he and Pam started dating . In the next few episodes , Jim fake - proposes to Pam multiple times . In `` Goodbye , Toby '' , Pam discovers she 's been accepted at Pratt Institute , an art and design school in Brooklyn . In an interview later in the episode , Jim announces that he will propose to Pam that evening . Just as Jim is preparing to propose , however , Andy Bernard stands up and makes his own impromptu proposal to Angela . Having had his thunder stolen by Andy , Jim reluctantly puts the ring back in his jacket pocket , leaving Pam visibly disappointed as she was expecting Jim to propose that night .   In the Season 5 premiere , `` Weight Loss '' , Pam begins her three - month course at the Pratt Institute . In this episode , Jim proposes in the pouring rain at a rest stop , saying that he `` ca n't wait '' . In `` Business Trip '' , Pam learns that she is failing one of her classes and will have to remain in New York another three months to retake it . Although Jim is supportive and tells her he will wait for her to come back `` the right way '' , she ultimately makes the decision to return home , saying that she realized she hated graphic design and missed Scranton . A deleted scene for the episode shows Jim looking through Pam 's graphic design projects , which he thinks are `` cool '' , as well as a notebook filled with pencil sketches , which he finds a lot more impressive than her graphic design projects , implying her talents lie in hand - drawn works . In `` Two Weeks '' , Pam agrees to become Michael 's first saleswoman in his not - yet - established company , The Michael Scott Paper Co. , as a supportive Jim looks on . When David Wallace makes an offer to buy the company Michael negotiates in order to get their jobs at Dunder Mifflin back instead , including adding Pam to the sales team . In `` Company Picnic '' , Pam , after dominating the company volleyball tournament , injures her ankle during a game and is taken to the hospital against her wishes . At the hospital , the camera crew is stationed outside an exam room while a doctor updates Jim and Pam on her condition . There is no audio as the camera shows Jim and Pam embrace , looking shocked and ecstatic . It is implied that she is pregnant and is confirmed in the Season 6 premiere , `` Gossip '' .   Jim and Pam marry early in the season , at Niagara Falls , during the highly anticipated , hour long episode , `` Niagara '' . The ending of the episode , in which their co-workers dance down the aisle , is an imitation of a viral YouTube video -- JK Wedding Entrance Dance . Following the wedding , a multi-episode story arc begins in which it is revealed that Michael hooked up with Pam 's mother the night of the wedding . The two break up during `` Double Date '' , an episode that ends with Pam slapping Michael in response to his actions .   In `` The Delivery '' of Season 6 , Pam and Jim have their first child , a daughter named Cecelia Marie Halpert . Jenna Fischer was granted naming rights by show producers , and chose to name her after her own niece .   Season 7 ( edit )   In `` Counseling '' , Pam feels inadequate about her poor performance in sales and tricks Gabe into promoting her to a phony new salaried position called office administrator . In `` China '' , Pam tries to use her authority as office administrator to force building manager Dwight to stop his annoying cost - cutting measures . Pam threatens to move the office to a new building , which Dwight discovers does n't exist . Pam saves face , however , when Dwight secretly has his assistant provide her with a book on building regulations that proves Dwight 's measures were not allowed . The episode is another example of Dwight 's covert protectiveness and fondness for Pam ( as previously demonstrated in `` The Injury '' , `` Back from Vacation '' , `` The Job '' and `` Diwali '' ) ; Mindy Kaling said during an online Q&amp;A session that Dwight has a soft spot for her that he does not extend to anyone else at the office . She also uses her position to buy Erin Hannon an expensive desktop computer to replace the terrible one she had to use for years , as well as discreetly giving Andy a new computer , and giving Daryll three sick days . At the end of the episode she proudly says that she is , `` Full on corrupt . ''   In `` Goodbye , Michael '' , Pam almost misses saying good - bye to Michael , as she spends most of the day out of the office trying to price shredders . Jim figures out Michael 's plan to leave early and tells her by text . Pam reaches the airport in time and is the last person to see Michael before he leaves .   Season 8 ( edit )   At the beginning of Season 8 , Pam is revealed to be pregnant with her and Jim 's second child , Philip Halpert . The child coincided with Jenna Fischer 's actual pregnancy . She begins her maternity leave after `` Gettysburg '' . Pam returns in `` Jury Duty '' , where she and Jim bring Cece and Phillip into the office . In both `` Tallahassee '' and `` Test the Store '' Pam is shown helping , and developing her friendship with Andy .   Season 9 ( edit )   Early in season 9 , Jim is restless about his life in Scranton and helps a friend start a Sports Marketing business , Athlead , in Philadelphia but he keeps it a secret from Pam until the third episode `` Andy 's Ancestry '' . Although Pam is happy for his decision , she is concerned about the fact that he had kept it a secret from her and she is later disturbed to hear about just how much of their money he had invested . Jim begins spending part of each work week in Philadelphia , but in `` Customer Loyalty '' , the strain of this on Pam is evident when she breaks down in tears , and is comforted by Brian , the boom mic operator of the film crew .   In `` Moving On '' , Pam interviews for a job in Philadelphia to be closer to Jim , but she is turned off by the idea when her prospective new boss bears a striking resemblance in behavior to Michael Scott . Over dinner , Pam reveals to Jim that she does n't really want to move to Philadelphia after all . However , in `` Livin ' the Dream '' , when Athlead is bought out and Jim is offered a large sum of money for 3 months to pitch the company across the country , Pam overhears Jim refuse the opportunity because of her and appears to have mixed feelings about this decision . In `` A.A.R.M. '' , Pam tells Jim that she 's afraid that he will resent her for making him stay and that she might not be enough for him . Jim asks the camera crew to compile documentary footage of the two of them to show her . When she finishes the montage , which shows Jim taking back a letter he intended to give her with his teapot gift during Christmas ; Jim finally gives her that letter , and she reads it , visibly moved . In the series finale , which takes place a year later , she reveals to Jim that she secretly put the house on the market , so that they can move to Austin , Texas , and take his job back at Athlead ( now Athleap ) .   Co-worker relations ( edit )   From her years working the front desk , Pam has become well - acquainted with the Dunder - Mifflin staff and is consistently shown to have a thorough understanding of her coworkers ' personalities , including the more eccentric individuals Dwight Schrute and Michael Scott . She uses this familiarity to manipulate them , often for their and the company 's best interests ( such as her giving the staff elaborate instructions on how to handle a heartbroken Michael in `` The Chump '' ) but also occasionally for her own . This familiarity plays a large part in her efficiency as office administrator and was crucial to her being promoted to the previously non-existent position .   Jim Halpert ( edit )  Main article : Jim Halpert  The `` will they or wo n't they '' tension between Jim and Pam is a strong storyline in the early episodes of The Office , encompassing much of Seasons 1 to 3 . In the opener of Season 4 , the two characters are revealed to be dating , and as such , other character romances , such as the romance between fellow co-workers Dwight Schrute and Angela Martin , begin to move more toward the forefront of episodes . In Season 6 , Jim and Pam are married in the season 's 4th and 5th episodes ( hour long ) , a feat considered noteworthy by many television critics , as bringing together the two lead love interests in a television series is often thought to be a risky venture . Their child is born in the second half of the season , during another hour long , `` The Delivery '' . Pam and Jim 's second child is born during season 8 . In season 9 , their marriage becomes strained when Jim takes up a second job in Philadelphia . They ultimately decide to leave Dunder Mifflin together so Jim can pursue his dream job .   Roy Anderson ( edit )  Main article : Roy Anderson ( The Office )  When the series begins , Pam is engaged to her high school sweetheart Roy Anderson ; this engagement is revealed to be three years old and running . They finally set a date , but Pam calls off the wedding at the last minute . They get back together once , briefly , but Pam is much more assertive , and finally breaks up with him after he has a violent outburst . Roy is deeply flawed - he is overbearing , neglectful , dismissive of her desire to be an artist , and offers her sex as a gift on Valentine 's Day . Jim comments in Season 2 that Pam does not like to `` bother '' Roy with her `` thoughts or feelings '' . He tells the camera crew that the only two problems in Pam 's life seemed to be Roy and her job at Dunder Mifflin .   In the early seasons , there is a great deal of tension between Jim and Roy , with Roy often acting threateningly towards Jim . In `` Basketball '' , when Jim starts to impress Pam with his basketball skills , Roy elbows Jim in the nose . In season 2 , when Jim encourages Pam to pursue a graphic arts internship offered by Dunder Mifflin , Roy objects to the opportunity and eventually convinces her that the idea is foolish . Pam ultimately calls off her wedding to Roy , but they remain friendly and he is determined to win her back by being less of a jerk . She reconciles with Roy at Phyllis 's wedding as a response to watching Jim date Karen . In an attempt at a fresh start with Roy , Pam comes clean about Jim kissing her during `` Casino Night '' . Roy flies into a violent rage and Pam ends the relationship on the spot . The next day , Roy attempts to attack Jim in the office but is stopped by Dwight 's pepper spray and is summarily fired . After losing his job , Roy meets Pam for coffee and says that even though Jim is dating Karen , she should at least make an effort to date him ( inasmuch as she called off the wedding because of him ) .   In season 5 , Jim and Roy run into each other at a bar and Roy learns that Jim and Pam are engaged . The mood is somewhat awkward , but Roy is congratulatory , but then makes a somewhat passive - aggressive comment , seemingly meant to make Jim feel insecure about his current role in Pam 's life , which tempts him to drive to Pratt , where she is attending art classes . Jim gets on the freeway , but changes his mind and remembers that he trusts Pam . Jim did n't want to treat Pam the same way Roy treated her .   Michael Scott ( edit )  Main article : Michael Scott ( The Office )  In the series pilot , Michael is overtly rude to Pam and at one point fakes her firing , leaving her in tears . He often makes suggestive if harmless remarks about her beauty and general appearance , and at one point lies to the camera that they used to date ( inspiring a horrified `` WHAT ? ? ? '' from Pam when an interviewer relays the message to her ) . However , his impulsive attempt to kiss her during Diwali is shot down and marked the end of any romantic dreams for Michael with Pam . Over time , the combination of Michael being supportive of her goals , her transition from a bad relationship with Roy to a great one with Jim as well as her finding a job she not only enjoys but is effective at in the office administrator position and Michael finding his own soulmate in Holly Flax made Pam soften her stance towards Michael , and the experience at the Michael Scott Paper Company further bonded them ( as did Michael 's decision to choose Pam instead of Ryan Howard as the only MSPC salesman to keep that job when Michael returned as Branch Manager ) . Pam was furious at Michael for dating her mom Helene , and excoriated him at length during `` The Lover '' before eventually slapping him in `` Double Date '' , but they once again were able to be civil to each other afterward . Pam does set up boundaries around her personal life that Michael ca n't cross , like telling him that he was n't Cece 's godfather . By Season 7 , Pam acts as something of a guardian angel for Michael , steering him away from ( numerous ) bad ideas and towards his ( fewer but real ) good ones , such as his successful efforts to propose to Holly . In Michael 's finale `` Goodbye , Michael '' , Pam spends the whole day looking for a shredder , believing that the next day Michael was leaving . As Michael takes off his microphone and heads down the airport concourse , Pam runs to him with no shoes and hugs him as he kisses her cheek . The two have a nice moment and he walks off , leaving her holding her shoes . She then tells the camera that he was happy , wanting to be an advanced rewards member , and was glad to be going home to see Holly . She then is there to watch Michael 's plane take off . In a deleted scene from `` The Inner Circle '' , we learn Pam is flattered that Michael named his new puppy `` Pamela Beagsley '' , and in `` The List '' she playfully teases Jim by calling their second child `` Little Michael Scott '' , further proving that the two have developed a genuine friendship .   Toby flenderson ( edit )  Main article : Toby Flenderson  Toby , the Human Resources Representative for Dunder Mifflin in the Scranton branch , has a secret crush on Pam . In `` A Benihana Christmas '' she gives him her Dunder - Mifflin bathrobe , a display of friendly affection , after he spent the day feeling bad that Dwight took his . In Dunder Mifflin Infinity , Toby witnesses Pam kissing Jim Halpert in the break room , which prompts him to issue a memo about public displays of affection in the workplace . Later , when Jim and Pam admit they are dating and ask to fill out a disclosure form , he hesitates to give them a form saying they should wait and see . In `` Night Out '' , Toby awkwardly rubs her knee while they share a laugh ( and while Jim sits just on her other side ) , and the rest of the office watches in horror . In his mortification , Toby immediately announces that he is moving to Costa Rica before jumping over the locked gate and fleeing . In `` Goodbye , Toby '' , Toby purchases a DSLR camera just to get a picture with Pam . On the eve of his departure , Pam confesses to the cameras that she always thought Toby was `` kind of cute '' . In `` Niagara '' , Pam and Jim are late for their wedding and he is visibly excited at the prospect that the wedding might not happen . In `` Finale '' , Pam and Toby dance with each other at Dwight 's wedding , with Toby beginning to cry as Pam comforts him . When she asks , `` is it me ? '' , he replies that `` it 's everything ! '' .   Appearances ( edit )   Pam Halpert has appeared in every episode with the exceptions of `` Business Ethics '' ( except for the deleted scenes ) , `` St. Patrick 's Day '' , and `` New Leads '' in which only her voice is heard , and several season 8 episodes from `` Mrs. California '' to `` Pool Party '' , where she did not appear at all as Fischer was on maternity leave .   Notes ( edit )    ^ Jump up to : Pam Beesly 's full name is Pamela Morgan Beesly ( later Pamela Morgan Halpert ) . In `` The Lover '' Michael says to Pam , `` Pamela Morgan Beesly , you need to apologize to your mother right now . '' In `` Did I Stutter ? '' Jim says to Pam , `` You know what would energize me ? If you , Pamela Morgan Beesly ... ''    References ( edit )    ^ Jump up to : `` Halpert Baby Blog '' . Halpertbeesly.com . Archived from the original on 2016 - 05 - 27 . Retrieved 2012 - 11 - 30 .   Jump up ^ `` Season 6 -- Episode 06 : ' The Lover ' '' . OfficeQuotes.net . Retrieved February 19 , 2018 .   Jump up ^ `` Season 4 -- Episode 12 : ' Did I Stutter ? ' '' . OfficeQuotes.net . Retrieved February 19 , 2018 .   Jump up ^ Episode commentary , Season 2 , `` Valentine 's Day ''   ^ Jump up to : `` For Jenna Fischer , ' Office ' Life Is A Great Act '' . NPR. 2008 - 12 - 30 . Retrieved 2012 - 11 - 30 .   ^ Jump up to : `` Jenna Fischer rocks the OTCR '' . OfficeTally . Retrieved 2012 - 11 - 30 .   Jump up ^ Season 2 DVD , `` Valentine 's Day '' , episode commentary   ^ Jump up to : `` Pam Beesly ( Pam / Jenna ) op Myspace '' . Myspace.com . Retrieved 2012 - 11 - 30 .   Jump up ^ `` JK Wedding Entrance Dance '' . YouTube . 2009 - 07 - 19 . Retrieved 2012 - 11 - 30 .   Jump up ^ People Magazine , Week of 03 / 05 / 2010   Jump up ^ `` The Office : Why Jim and Pam 's wedding is good for TV comedy '' . NJ.com . Retrieved 2012 - 11 - 30 .   Jump up ^ Ausiello , Michael ( September 8 , 2011 ) . `` The Office Exclusive : ' Til Death 's Lindsey Broad Befriends Pam '' . TVLine . Retrieved November 12 , 2011 .      hide         The Office ( U.S. series )     Episodes      Seasons             5   6   7   8   9       Webisodes     The Accountants   Kevin 's Loan   The Outburst   Blackmail   Subtle Sexuality   The Mentor   The 3rd Floor   The Podcast   The Girl Next Door          Characters      Primary     Michael Scott   Dwight Schrute   Jim Halpert   Pam Beesly   Ryan Howard   Andy Bernard       Secondary     Jan Levinson   Roy Anderson   Stanley Hudson   Kevin Malone   Meredith Palmer   Angela Martin   Oscar Martinez   Phyllis Vance   Kelly Kapoor   Toby Flenderson   Creed Bratton   Darryl Philbin   Erin Hannon   Gabe Lewis   Robert California   Holly Flax   Nellie Bertram   Pete Miller   Clark Green       Recurring     Todd Packer   David Wallace          Other     Dunder Mifflin   Awards   Worldwide editions   Video game      Retrieved from `` https://en.wikipedia.org/w/index.php?title=Pam_Beesly&amp;oldid=857028661 '' Categories :   Fictional receptionists   Fictional secretaries   Fictional American people of English descent   The Office ( U.S. TV series ) characters   Fictional characters introduced in 2005   Hidden categories :   Articles needing additional references from November 2012   All articles needing additional references   Articles that need to differentiate between fact and fiction from December 2015   All articles that need to differentiate between fact and fiction   Articles with multiple maintenance issues           Talk                                           Contents                   About Wikipedia                                           Español   Nederlands   Edit links   This page was last edited on 29 August 2018 , at 02 : 51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</si>
  <si>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pam get back from art school</t>
  </si>
  <si>
    <t xml:space="preserve"> In the Season 5 premiere , `` Weight Loss '' , Pam begins her three - month course at the Pratt Institute . In this episode , Jim proposes in the pouring rain at a rest stop , saying that he `` ca n't wait '' . In `` Business Trip '' , Pam learns that she is failing one of her classes and will have to remain in New York another three months to retake it . Although Jim is supportive and tells her he will wait for her to come back `` the right way '' , she ultimately makes the decision to return home , saying that she realized she hated graphic design and missed Scranton . A deleted scene for the episode shows Jim looking through Pam 's graphic design projects , which he thinks are `` cool '' , as well as a notebook filled with pencil sketches , which he finds a lot more impressive than her graphic design projects , implying her talents lie in hand - drawn works . In `` Two Weeks '' , Pam agrees to become Michael 's first saleswoman in his not - yet - established company , The Michael Scott Paper Co. , as a supportive Jim looks on . When David Wallace makes an offer to buy the company Michael negotiates in order to get their jobs at Dunder Mifflin back instead , including adding Pam to the sales team . In `` Company Picnic '' , Pam , after dominating the company volleyball tournament , injures her ankle during a game and is taken to the hospital against her wishes . At the hospital , the camera crew is stationed outside an exam room while a doctor updates Jim and Pam on her condition . There is no audio as the camera shows Jim and Pam embrace , looking shocked and ecstatic . It is implied that she is pregnant and is confirmed in the Season 6 premiere , `` Gossip '' . </t>
  </si>
  <si>
    <t xml:space="preserve">Do n't You ( Forget About Me ) - wikipedia  Do n't You ( Forget About Me )  Jump to : navigation , search    `` Do n't You ( Forget About Me ) ''     Standard international artwork     Single by Simple Minds     from the album The Breakfast Club ( Original Motion Picture Soundtrack )     B - side   `` A Brass Band in African Chimes ''     Released   20 February 1985 ( US ) 8 April 1985 ( UK )     Format     12 ''   7 ''       Recorded   10 July 1984     Genre   New wave , synthpop , pop rock     Length   4 : 20 6 : 32 ( extended version )     Label   Virgin A&amp;M ( US )     Songwriter ( s )     Keith Forsey   Steve Schiff       Simple Minds singles chronology        `` Up on the Catwalk '' ( 1984 )   `` Do n't You ( Forget About Me ) '' ( 1985 )   `` Alive and Kicking '' ( 1985 )           `` Up on the Catwalk '' ( 1984 )   `` Do n't You ( Forget About Me ) '' ( 1985 )   `` Alive and Kicking '' ( 1985 )            Audio sample       file   help       Music video     `` Do n't You ( Forget About Me ) '' on YouTube         `` Do n't You ( Forget About Me ) '' is a 1985 pop song performed by Scottish rock band Simple Minds . The song is best known for being played during the opening and closing credits of the John Hughes film The Breakfast Club . It was written and composed by producer Keith Forsey and Steve Schiff , the latter of whom was a guitarist and songwriter from the Nina Hagen band .     Contents  ( hide )   1 Recording history   2 Music video   3 Charts and certifications   3.1 Weekly charts   3.2 Year - end charts   3.3 Certifications     4 Notable Appearances in Other Media   5 See also   6 References   7 External links      Recording history ( edit )   Forsey asked Cy Curnin from The Fixx , Bryan Ferry and Billy Idol to record the song , but all three declined ; Idol did later perform a cover of it on his 2001 compilation album Greatest Hits . Schiff then suggested Forsey ask Simple Minds who , after refusing as well , agreed under the encouragement of their label , A&amp;M . According to frontman Jim Kerr , the band was reluctant to record the song as they felt they should only record their own material , relenting after persuasion from Kerr 's wife at the time , Chrissie Hynde of The Pretenders , and a phone call from Forsey in which he expressed his admiration for the band . According to one account , the band `` rearranged and recorded ' Do n't You ( Forget About Me ) ' in three hours in a north London studio and promptly forgot about it . ''   Continuing the rock direction recently taken on Sparkle in the Rain but also glancing back at their melodic synthpop past , it caught the band at their commercial peak and , propelled by the success of The Breakfast Club , became a # 1 hit in the U.S. and around the world . It is also the band 's only # 1 hit on the U.S. Top Rock Tracks chart , staying atop for three weeks . While only reaching # 7 in the UK , it stayed on the charts from 1985 to 1987 , one of the longest time spans for any single in the history of the chart .   The song did not appear on the band 's subsequent album Once Upon a Time , but it did appear on the 1992 best - of Glittering Prize 81 / 92 . It soon became a fixture of the band 's live sets - with an extended audience participation section during its inclusion on the 2015 tour to promote the band 's Big Music album .   Two versions were created for release . A short version , 4 : 23 in duration , appeared on the single and the original motion picture soundtrack album of The Breakfast Club . A longer version , 6 : 32 in duration , was released as a 12 '' single . This version contains longer breakdowns and drum fills , a second appearance of the bridge and a longer ending .   John Leland from Spin wrote that `` ' Do n't You Forget About Me , ' a romantic and melancholy dance track , therefore cuts ice both in the living room and on the dance floor . ''   Music video ( edit )   The music video , directed by Daniel Kleinman , takes place on a dancing floor in a dark room with a chandelier , a rocking horse , and television sets displaying scenes from The Breakfast Club . The video on YouTube had been viewed over 75 million times as of July 26 , 2017 .   Charts and certifications ( edit )      Weekly charts ( edit )     Chart ( 1985 )   Peak Position     Australia ( Kent Music Report )   6     Austria ( Ö3 Austria Top 40 )   5     Belgium ( Ultratop 50 Flanders )       Belgium ( VRT Top 30 Flanders )       Canada Top Singles ( RPM )       Canada ( CHUM )       France ( SNEP )   24     Germany ( Official German Charts )       Ireland ( IRMA )       Italy ( FIMI )       Netherlands ( Dutch Top 40 )       Netherlands ( Single Top 100 )       New Zealand ( Recorded Music NZ )       South Africa ( Springbok Radio )   10     Sweden ( Sverigetopplistan )   13     Switzerland ( Schweizer Hitparade )   8     UK Singles ( Official Charts Company )   7     US Billboard Hot 100       US Dance Club Songs ( Billboard )   9     US Mainstream Rock ( Billboard )       US Cash Box Top 100         Chart ( 1988 )   Peak Position     UK Singles ( Official Charts Company )   100       Chart ( 2004 )   Peak Position     Italy ( FIMI )   16       Chart ( 2012 )   Peak Position     US Rock Digital Songs ( Billboard )   41       Year - end charts ( edit )     Chart ( 1985 )   Position     Australia ( Kent Music Report )   47     Austria ( Ö3 Austria Top 40 )   28     Belgium ( Ultratop 50 Flanders )       Canada Top Singles ( RPM )   21     Germany ( Official German Charts )   23     Italy ( FIMI )   6     Netherlands ( Dutch Top 40 )   8     Netherlands ( Single Top 100 )   11     New Zealand ( Recorded Music NZ )   26     Switzerland ( Schweizer Hitparade )   26     US Billboard Hot 100   16     US Dance Club Songs ( Billboard )   33     US Mainstream Rock ( Billboard )   10     US Cash Box Top 100   12     Certifications ( edit )     Region   Certification   Certified units / Sales     Canada ( Music Canada )   Gold   5,000     Canada ( Music Canada )   Platinum   10,000     United Kingdom ( BPI )   Silver   250,000      shipments figures based on certification alone           Chart successions        Preceded by `` Forever Man '' by Eric Clapton   US Billboard Mainstream Rock number - one single 20 April 1985 -- 4 May 1985 ( 3 weeks )   Succeeded by `` Trapped '' by Bruce Springsteen &amp; the E Street Band     Preceded by `` Crazy for You '' by Madonna   US Billboard Hot 100 number - one single 18 May 1985 ( 1 week )   Succeeded by `` Everything She Wants '' by Wham !     Preceded by `` We Are the World '' by USA for Africa   Dutch Top 40 number - one single 1 June 1985 -- 15 June 1985 ( 3 weeks )   Succeeded by `` Dancing in the Dark '' by Bruce Springsteen     Preceded by `` Crazy for You '' by Madonna   Canadian `` RPM '' Singles Chart number - one single 1 June 1985 ( 1 week )   Succeeded by `` Everybody Wants to Rule the World '' by Tears for Fears        Notable appearances in other media ( edit )    This song played on the British television soap EastEnders on 30th May 1985 , on 4th July 1985 , on 8th August 1985 , and on 9th August 2013 .   This song played in the episode of the American animated comedy series Futurama on 11th March 2001 .   This song played in the episode of the American medical comedy series Scrubs on 10th April 2003 .   This song played in an episode of the American comedy series 30 Rock on 4th December 2008 .   This song played in an episode of the British television soap Hollyoaks on 22nd May 2009 .   This song played in an episode of the British chat show Loose Women on 15th July 2009 .   This song played in an episiode of the American teen drama series Friday Night Lights on 16th December 2009 .   This song played in the American comedy film Easy A in 2010 .   This song played in an episode of the American crime drama series Cold Case on 2nd May 2010 .   This song played in an episode of the American television series The Handmaid 's Tale on 26th April 2017 .    See also ( edit )    List of number - one singles of 1985 ( Canada )   List of Billboard Hot 100 number - one singles of the 1980s   List of Billboard Hot 100 number - one singles of 1985   List of Billboard Mainstream Rock number - one songs of the 1980s   List of Dutch Top 40 number - one singles of 1985    References ( edit )    Jump up ^ Simpson , Dave ( 15 November 2016 ) . `` Simple Minds : how we made Do n't You ( Forget About Me ) '' . theguardian.com . Retrieved 15 November 2016 .   Jump up ^ `` A History of Simple Minds '' . The Official Glasgow Barrowland &amp; Barras Market Site . Retrieved 15 September 2011 .   ^ Jump up to : `` Simple Minds -- Chart history '' Billboard Hot 100 for Simple Minds . Retrieved 27 November 2016 .   Jump up ^ Simpson , Dave ( April 2015 ) . `` The Guardian '' . The Guardian ( 2 ) . Retrieved 11 April 2015 .   Jump up ^ Leland , John ( June 1985 ) . `` Singles '' . Spin. 1 ( 2 ) : 37 . Retrieved 15 September 2011 .   Jump up ^ SimpleMindsVEVO ( 2010 - 12 - 03 ) , Simple Minds - Do n't You ( Forget About Me ) , retrieved 2017 - 03 - 08   Jump up ^ bulion . `` Forum - ARIA Charts : Special Occasion Charts - CHART POSITIONS PRE 1989 '' . ARIA . Australian-charts.com . Archived from the original on 20 October 2013 . Retrieved 27 November 2016 .   Jump up ^ `` Austriancharts.at -- Simple Minds -- Do n't You ( Forget About Me ) '' ( in German ) . Ö3 Austria Top 40 . Retrieved 27 November 2016 .   Jump up ^ `` Ultratop.be -- Simple Minds -- Do n't You ( Forget About Me ) '' ( in Dutch ) . Ultratop 50 . Retrieved 27 November 2016 .   Jump up ^ `` Radio 2 Top 30 '' ( in Dutch ) . Top 30 . Archived from the original on 31 March 2016 . Retrieved 27 November 2016 .   Jump up ^ `` Top RPM Singles : Issue 0530 . '' RPM . Library and Archives Canada . Retrieved 27 November 2016 .   Jump up ^ `` CHART NUMBER 1485 -- Saturday , June 08 , 1985 '' . Archived from the original on 7 November 2006 . Retrieved 2017 - 01 - 08 . CS1 maint : BOT : original - url status unknown ( link ) . CHUM .   Jump up ^ `` Lescharts.com -- Simple Minds -- Do n't You ( Forget About Me ) '' ( in French ) . Les classement single . Retrieved 27 November 2016 .   Jump up ^ `` Offiziellecharts.de -- Simple Minds -- Do n't You ( Forget About Me ) '' . GfK Entertainment Charts . Retrieved 27 November 2016 .   Jump up ^ `` The Irish Charts -- Search Results -- Do n't You ( Forget About Me ) '' . Irish Singles Chart . Retrieved 27 November 2016 .   Jump up ^ `` Hit Parade Italia '' . HitParadeItalia ( in Italian ) . Retrieved 27 November 2016 .   Jump up ^ `` Nederlandse Top 40 -- week 22 , 1985 '' ( in Dutch ) . Dutch Top 40 Retrieved 27 November 2016 .   Jump up ^ `` Dutchcharts.nl -- Simple Minds -- Do n't You ( Forget About Me ) '' ( in Dutch ) . Single Top 100 . Retrieved 27 November 2016 .   Jump up ^ `` Charts.org.nz -- Simple Minds -- Do n't You ( Forget About Me ) '' . Top 40 Singles . Retrieved 27 November 2016 .   Jump up ^ `` South African Rock Lists Website SA Charts 1965 -- 1989 Acts S '' . The South African Rock Encyclopedia . Retrieved 27 November 2016 .   Jump up ^ `` Swedishcharts.com -- Simple Minds -- Do n't You ( Forget About Me ) '' . Singles Top 100 . Retrieved 27 November 2016 .   Jump up ^ `` Swisscharts.com -- Simple Minds -- Do n't You ( Forget About Me ) '' . Swiss Singles Chart . Retrieved 27 November 2016 .   Jump up ^ `` Official Singles Chart Top 100 '' . Official Charts Company . Retrieved 27 November 2016 .   Jump up ^ `` Simple Minds -- Chart history '' Billboard Hot Dance Club Songs for Simple Minds . Retrieved 27 November 2016 .   Jump up ^ `` Simple Minds -- Chart history '' Billboard Mainstream Rock Songs for Simple Minds . Retrieved 27 November 2016 .   Jump up ^ `` CASH BOX Top 100 Singles -- Week ending MAY 18 , 1985 '' . Archived from the original on 1 October 2012 . Retrieved 2017 - 01 - 08 . CS1 maint : BOT : original - url status unknown ( link ) . Cash Box magazine .   Jump up ^ `` Official Singles Chart Top 100 '' . Official Charts Company . Retrieved 27 November 2016 .   Jump up ^ `` Italiancharts.com -- Simple Minds -- Do n't You ( Forget About Me ) '' . Top Digital Download . Retrieved 27 November 2016 .   Jump up ^ `` Simple Minds - Chart History '' . Rock Digital Songs . for Simple Minds . Retrieved 27 November 2016 .   Jump up ^ `` Forum -- ARIA Charts : Special Occasion Charts -- Top 100 End of Year AMR Charts - 1980s '' . Australian-charts.com . Hung Medien . Archived from the original on 28 August 2014 . Retrieved 27 November 2016 .   Jump up ^ `` Jahreshitparade Singles 1985 '' . Ö3 Austria Top 40 ( in German ) . Retrieved 27 November 2016 .   Jump up ^ `` Ultratop Jaaroverzichten 1985 '' . Ultratop 50 ( in Dutch ) . Archived from the original on 10 June 2014 . Retrieved 27 November 2016 .   Jump up ^ `` Top RPM Singles : Issue 0619 . '' RPM . Library and Archives Canada . Retrieved 27 November 2016 .   Jump up ^ `` Top 100 Single - Jahrescharts 1985 '' . GfK Entertainment Charts ( in German ) . Retrieved 27 November 2016 .   Jump up ^ `` Hit Parade Italia - I singoli più venduti del 1985 '' . FIMI ( in Italian ) . Retrieved 27 November 2016 .   Jump up ^ `` Top 100 - Jaaroverzicht van 1985 '' . Dutch Top 40 ( in Dutch ) . Retrieved 27 November 2016 .   Jump up ^ `` Dutch Charts Jaaroverzichten Single 1985 '' . Single Top 100 ( in Dutch ) . Retrieved 27 November 2016 .   Jump up ^ `` The Official NZ Music Charts - End of Year Charts 1985 '' . Recorded Music NZ . Retrieved 27 November 2016 .   Jump up ^ `` SWISS YEAR - END CHARTS 1985 '' . Swiss Singles Chart . Retrieved 27 November 2016 .   Jump up ^ `` Top Pop Singles '' ( PDF ) . Billboard . Vol. 97 no . 52 . New York , NY , USA . 28 December 1985 . p . T - 21 . Retrieved 27 November 2016 .   Jump up ^ `` Top Dance Sales Singles '' ( PDF ) . Billboard . Vol. 97 no . 52 . New York , NY , USA . 28 December 1985 . p . T - 23 . Retrieved 27 November 2016 .   Jump up ^ `` Top Rock Tracks '' ( PDF ) . Billboard . Vol. 97 no . 52 . New York , NY , USA . 28 December 1985 . p . T - 30 . Retrieved 27 November 2016 .   Jump up ^ `` The CASH BOX Year - End Charts : 1985 '' . Archived from the original on 30 September 2012 . Retrieved 2014 - 05 - 07 . CS1 maint : BOT : original - url status unknown ( link ) . Cash Box magazine .   ^ Jump up to : `` Canadian single certifications -- Simple Minds -- Do n't You Forget About Me '' . Music Canada . Retrieved 27 November 2016 .   Jump up ^ `` British single certifications -- Simple Minds -- Do n't You Forget About Me '' . British Phonographic Industry . Retrieved 27 November 2016 . Enter Do n't You Forget About Me in the search field and then press Enter .    External links ( edit )    AllMusic : Keith Forsey   Lyrics of this song at MetroLyrics      Preceded by `` Leave Right Now '' by Will Young   American Idol Farewell Song Season 10 ( 2011 )   Succeeded by `` Please Remember Me '' by Scotty McCreery               Simple Minds       Jim Kerr   Charlie Burchill   Mel Gaynor   Andy Gillespie   Ged Grimes     Brian McGee   Tony Donald   Duncan Barnwell   Mick MacNeil   Derek Forbes   Kenny Hyslop   Mike Ogletree   John Giblin   Eddy Duffy       Albums     Life in a Day   Real to Real Cacophony   Empires and Dance   Sons and Fascination / Sister Feelings Call   New Gold Dream ( 81 -- 82 -- 83 -- 84 )   Sparkle in the Rain   Once Upon a Time   Street Fighting Years   Real Life   Good News from the Next World   Néapolis   Our Secrets Are the Same   Neon Lights   Cry   Black &amp; White 050505   Graffiti Soul   Big Music   Acoustic       Live albums     Live in the City of Light   Real Live 91   Sunday Express -- Live ( Volumes 1 &amp; 2 )   5X5 Live   Live -- Big Music Tour 2015       Compilations     Themes for Great Cities 79 / 81   Celebration   Glittering Prize 81 / 92   The Promised   The Best of Simple Minds   Early Gold   Silver Box   Celebrate : The Greatest Hits       Singles     `` Love Song ''   `` Promised You a Miracle ''   `` Glittering Prize ''   `` Someone Somewhere ( In Summertime ) ''   `` Waterfront ''   `` Speed Your Love to Me ''   `` Up on the Catwalk ''   `` Do n't You ( Forget About Me ) ''   `` Alive and Kicking ''   `` Sanctify Yourself ''   `` All the Things She Said ''   `` Ghost Dancing ''   `` Belfast Child ''   `` This Is Your Land ''   `` Kick It In ''   `` Let There Be Love ''   `` Stand By Love ''       Promo singles     `` Mandela Day '' ( US )       Themes series     Themes -- Volume 1 : March 79 -- April 82   Themes -- Volume 2 : August 82 -- April 85   Themes -- Volume 3 : September 85 -- June 87   Themes -- Volume 4 : February 89 -- May 90   Themes -- Volume 5 : March 91 -- September 92       Related articles     Discography   Lostboy ! AKA Jim Kerr       Concert tours     Simple Minds concert tours                 David Cook     Discography     Studio albums     Analog Heart   David Cook   This Loud Morning   Digital Vein       Extended plays     This Quiet Night       Singles     `` The Time of My Life ''   `` Light On ''   `` Come Back to Me / Bar - ba - sol ''   `` Permanent ''   `` The Last Goodbye ''   `` Fade into Me ''   `` The Last Song I 'll Write for You ''   `` Laying Me Low ''       Tours     American Idols LIVE ! Tour 2008   The Declaration Tour -- 2009       Other songs     `` Do n't You ( Forget About Me ) ''   `` Dream Big ''   `` Jumpin ' Jack Flash ''       Related articles     American Idol ( season 7 )   Axium   `` Kiss You Tonight ''      Retrieved from `` https://en.wikipedia.org/w/index.php?title=Don%27t_You_(Forget_About_Me)&amp;oldid=803638837 '' Categories :   1985 singles   1985 songs   Simple Minds songs   Billboard Hot 100 number - one singles   Billboard Mainstream Rock number - one singles   Dutch Top 40 number - one singles   RPM Top Singles number - one singles   Songs written by Keith Forsey   Songs written for films   Virgin Records singles   A&amp;M Records singles   Hidden categories :   CS1 Dutch - language sources ( nl )   CS1 maint : BOT : original - url status unknown   CS1 Italian - language sources ( it )   CS1 German - language sources ( de )   Use British English from January 2014   Use dmy dates from January 2014   Articles with hAudio microformats   Singlechart usages for Austria   Singlechart usages for Flanders   Singlechart usages for Canadatopsingles   Singlechart called without artist   Singlechart called without song   Singlechart making named ref   Singlechart usages for France   Singlechart usages for Germany2   Singlechart usages for Ireland2   Singlechart usages for Dutch40   Singlechart usages for Dutch100   Singlechart usages for New Zealand   Singlechart usages for Sweden   Singlechart usages for Switzerland   Singlechart usages for UK   Singlechart usages for Billboardhot100   Singlechart usages for Billboarddanceclubplay   Singlechart usages for Billboardmainstreamrock   Singlechart usages for Italy   Certification Table Entry usages for Canada   Certification Table Entry usages for United Kingdom           Talk                                           Contents                   About Wikipedia                                           Deutsch   Español   Français   Italiano   Nederlands   Português   Svenska   Edit links   This page was last edited on 3 October 2017 , at 18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</si>
  <si>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don't you forget about me from the breakfast club</t>
  </si>
  <si>
    <r>
      <rPr>
        <sz val="11"/>
        <color rgb="FF000000"/>
        <rFont val="Calibri"/>
        <family val="0"/>
        <charset val="1"/>
      </rPr>
      <t xml:space="preserve">Rotator cuff - wikipedia  Rotator cuff     Rotator cuff     Identifiers     MeSH   D017006     Anatomical terminology ( edit on Wikidata )    Shoulder joint . Posterior view at left . Anterior view at right . 1 . Clavicle , 2 . Scapula ( with 3 . Scapular spine , 4 . Coracoid process , 5. Acromion ) , 6 . Humerus ; Joints : 7 . Acromioclavicular ( AC ) , 8 . Glenohumeral ; 9 : Bursa ; 10 . Rotator cuff ( with 11 . Supraspinatus , 12 . Subscapularis , 13 . Infraspinatus , 14 . Teres minor ) , 15 . Biceps muscle  In anatomy , the rotator cuff ) is a group of muscles and their tendons that act to stabilize the shoulder . Of the seven scapulohumeral muscles , four make up the rotator cuff . The four muscles are the supraspinatus muscle , the infraspinatus muscle , teres minor muscle , and the subscapularis muscle .   Contents  ( hide )   1 Structure   1.1 Muscles composing rotator cuff     2 Function   3 Clinical significance   3.1 Rotator cuff tear   3.2 Rotator cuff impingement   3.3 Rotator interval inflammation and fibrosis     4 Pain management   4.1 Continuous passive motion   4.2 Capsular release   4.3 Orthotherapy exercises     5 Additional images   6 References    Structure ( edit )   Muscles composing rotator cuff ( edit )     Muscle   Origin on scapula   Attachment on humerus   Function   Innervation     Supraspinatus muscle   supraspinous fossa   superior facet of the greater tubercle   abducts the humerus   Suprascapular nerve ( C5 )     Infraspinatus muscle   infraspinous fossa   middle facet of the greater tubercle   externally rotates the humerus   Suprascapular nerve ( C5 - C6 )     Teres minor muscle   middle half of lateral border   inferior facet of the greater tubercle   externally rotates the humerus   Axillary nerve ( C5 )     Subscapularis muscle   subscapular fossa   lesser tubercle   internally rotates the humerus   Upper and Lower subscapular nerve ( C5 - C6 )     The supraspinatus muscle spreads out in a horizontal band to insert on the superior and middle facets of the greater tubercle . The greater tubercle projects as the most lateral structure of the humeral head . Medial to this , in turn , is the lesser tuberosity of the humeral head . The subscapularis muscle origin is divided from the remainder of the rotator cuff origins as it is deep to the scapula .   The four tendons of these muscles converge to form the rotator cuff tendon . These tendinous insertions along with the articular capsule , the coracohumeral ligament , and the glenohumeral ligament complex , blend into a confluent sheet before insertion into the humeral tuberosities . The insertion site of the rotator cuff tendon at the greater tuberosity is often referred to as the footprint . The infraspinatus and teres minor fuse near their musculotendinous junctions , while the supraspinatus and subscapularis tendons join as a sheath that surrounds the biceps tendon at the entrance of the bicipital groove . The supraspinatus is most commonly involved in a rotator cuff tear .   Function ( edit )   The rotator cuff muscles are important in shoulder movements and in maintaining glenohumeral joint ( shoulder joint ) stability . These muscles arise from the scapula and connect to the head of the humerus , forming a cuff at the shoulder joint . They hold the head of the humerus in the small and shallow glenoid fossa of the scapula . The glenohumeral joint has been analogously described as a golf ball ( head of the humerus ) sitting on a golf tee ( glenoid fossa ) .   During abduction of the arm , moving it outward and away from the trunk , the rotator cuff compresses the glenohumeral joint , an action known as concavity compression , in order to allow the large deltoid muscle to further elevate the arm . In other words , without the rotator cuff , the humeral head would ride up partially out of the glenoid fossa , lessening the efficiency of the deltoid muscle . The anterior and posterior directions of the glenoid fossa are more susceptible to shear force perturbations as the glenoid fossa is not as deep relative to the superior and inferior directions . The rotator cuff 's contributions to concavity compression and stability vary according to their stiffness and the direction of the force they apply upon the joint .   In addition to stabilizing the glenohumeral joint and controlling humeral head translation , the rotator cuff muscles also perform multiple functions , including abduction , internal rotation , and external rotation of the shoulder . The infraspinatus and subscapularis have significant roles in scapular plane shoulder abduction ( scaption ) , generating forces that are two to three times greater than the force produced by the supraspinatus muscle . However , the supraspinatus is more effective for general shoulder abduction because of its moment arm . The anterior portion of the supraspinatus tendon is submitted to significantly greater load and stress , and performs its mainfunctional role .   Clinical significance ( edit )   Rotator cuff tear ( edit )  Main article : Rotator cuff tear  The tendons at the ends of the rotator cuff muscles can become torn , leading to pain and restricted movement of the arm . A torn rotator cuff can occur following a trauma to the shoulder or it can occur through the `` wear and tear '' on tendons , most commonly the supraspinatus tendon found under the acromion .   Rotator cuff injuries are commonly associated with motions that require repeated overhead motions or forceful pulling motions . Such injuries are frequently sustained by athletes whose actions include making repetitive throws , athletes such as baseball pitchers , softball pitchers , American football players ( especially quarterbacks ) , cheerleaders , weightlifters ( especially powerlifters due to extreme weights used in the bench press ) , rugby players , volleyball players ( due to their swinging motions ) , water polo players , rodeo team ropers , shot put throwers ( due to using poor technique ) , swimmers , boxers , kayakers , western martial artists , fast bowlers in cricket , tennis players ( due to their service motion ) and tenpin bowlers due to the repetitive swinging motion of the arm with the weight of a bowling ball . This type of injury also commonly affects orchestra conductors , choral conductors , and drummers ( due , again , to swinging motions ) .   Treatment for a rotator cuff tear can include rest , ice , physical therapy , and / or surgery . A published review of 14 trials involving 829 patients found that there is insufficient evidence to demonstrate whether surgery is any better than non-surgical options . A review of manual therapy and exercise treatments found inconclusive evidence as to whether these treatments were any better than placebo , however `` High quality evidence from one trial suggested that manual therapy and exercise improved function only slightly more than placebo at 22 weeks , was little or no different to placebo in terms of other patient - important outcomes ( e.g. overall pain ) , and was associated with relatively more frequent but mild adverse events . ''   Surgery is often recommended for patients with an acute , traumatic rotator cuff tear resulting in substantial weakness . Surgery can be performed open or arthroscopically , although the arthroscopic approach has become much more popular . If a surgical option is selected , the rehabilitation of the rotator cuff is necessary in order to regain maximum strength and range of motion within the shoulder joint . Physical therapy progresses through four stages , increasing movement throughout each phase . The tempo and intensity of the stages are solely reliant on the extent of the injury and the patient 's activity necessities . The first stage requires immobilization of the shoulder joint . The shoulder that is injured is placed in a sling and shoulder flexion or abduction of the arm is avoided for 4 to 6 weeks after surgery ( Brewster , 1993 ) . Avoiding movement of the shoulder joint allows the torn tendon to fully heal . Once the tendon is entirely recovered , passive exercises can be implemented . Passive exercises of the shoulder are movements in which a physical therapist maintains the arm in a particular position , manipulating the rotator cuff without any effort by the patient . These exercises are used to increase stability , strength and range of motion of the Subscapularis , Supraspinatus , Infraspinatus , and Teres minor muscles within the rotator cuff . Passive exercises include internal and external rotation of the shoulder joint , as well as flexion and extension of the shoulder .  Physical therapy of shoulder  As progression increases after 4 -- 6 weeks , active exercises are now implemented into the rehabilitation process . Active exercises allow an increase in strength and further range of motion by permitting the movement of the shoulder joint without the support of a physical therapist . Active exercises include the Pendulum exercise ( as shown in Image 2 ) , which is used to strengthen the Supraspinatus , Infraspinatus , and Subscapularis . External rotation of the shoulder with the arm at a 90 - degree angle is an additional exercise done to increase control and range of motion of the Infraspinatus and Teres minor muscles . Various active exercises are done for an additional 3 -- 6 weeks as progress is based on an individual case by case basis . At 8 -- 12 weeks , strength training intensity will increase as free - weights and resistance bands will be implemented within the exercise prescription .   Rotator cuff impingement ( edit )  Main article : Impingement syndrome  A systematic review of relevant research found that the accuracy of the physical examination is low . The Hawkins - Kennedy test has a sensitivity of approximately 80 % to 90 % for detecting impingement . The infraspinatus and supraspinatus tests have a specificity of 80 % to 90 % .   A common cause of shoulder pain in rotator cuff impingement syndrome is Tendinosis , which is an age related and most often self limited condition .   Rotator interval inflammation and fibrosis ( edit )   The rotator interval is a triangular space in the shoulder that is functionally reinforced externally by the coracohumeral ligament and internally by the superior glenohumeral ligament , and traversed by the intra-articular biceps tendon . On imaging , it is defined by the coracoid process at its base , the supraspinatus tendon superiorly and the subscapularis tendon inferiorly . Changes of adhesive capsulitis can be seen at this interval as edema and fibrosis . Pathology at the interval is also associated with glenohumeral and biceps instability .   Pain management ( edit )   The rotator cuff includes muscles such as the supraspinatus muscle , the infraspinatus muscle , the teres minor muscle and the subscapularis muscle . The upper arm consists of the deltoids , biceps , as well as the triceps . Steps must be taken and precautions need to be made in order for the rotator cuffs to heal properly following surgery while still maintaining function to prevent any deteriorating effects on the muscles . In the immediate postoperative period ( within one week following surgery ) , pain can be treated with a standard ice wrap . There are also commercial devices available which not only cool the shoulder but also exert pressure on the shoulder ( `` compressive cryotherapy '' ) . However , one study has shown no significant difference in postoperative pain when comparing these devices to a standard ice wrap .   Continuous passive motion ( edit )   Physiotherapy can help manage the pain , but utilizing a program that involves continuous passive motion will reduce the pain even further . Assisted passive motion at a low intensity allows the tissues to be stretched slightly without damaging them Continuous passive motion improves the shoulder range and enables the subject to expand their range of motion without experiencing additional pain . Easing into the motions will allow the person to continue working those muscles to keep them from undergoing atrophy , while also still maintaining that minimum level of function where daily function is allowed . Doing these exercises will also prevent tears in the muscles that will impair daily function further . Since injuries of the rotator cuff often tend to inhibit motion without first experience discomfort and pain , other methods can be done to help accommodate that .   Capsular release ( edit )   A surgery procedure exists where the joint of the injured area will be freed in order to achieve a full range of motion without too much pain and discomfort , speeding up recovery time and allowing the person to better perform optimally . A study conducted by Jin - Young Park investigated the benefits of using capsular release to help relieve the stiffness of the shoulders that usually come whenever there is an injury in the rotator cuff . Some of the subjects had diabetes mellitus , which can also cause shoulder stiffness , impeding external rotation of the shoulders . Of the 49 subjects recruited for this trial , 21 went through only manipulation to relieve stiffness , while the other 28 underwent a capsular release surgery along with the manipulation to treat shoulder stiffness . Although , overall , no improvement in outcome was seen with regards to external rotation between the control and treatment group , the subjects that had diabetes mellitus benefited from the treatment that included the capsular release surgery . Their rotator cuff function improved significantly in both forward flexion and external rotation compared to the subjects that were not diagnosed with diabetes mellitus .   Orthotherapy exercises ( edit )   Patients that suffer from pain in the rotator cuff may consider utilizing orthotherapy into their daily lives . Orthotherapy is an exercise program that aims to restore the motion and strength of the shoulder muscles . Patients can go through the three phases of orthotherapy to help manage pain and also recover their full range of motion in the rotator cuff . The first phase involves gentle stretches and passive all around movements , and people are advised not to go above 70 degrees of elevation to prevent any kind of further pain . The second phase of this regimen requires patients to implement exercises to strengthen the muscles that are surrounding the rotator cuff muscles , combined with the passive exercises done in the first phase to keep on stretching the tissues without overexerting them . Exercises include pushups and shoulder shrugs , and after a couple of weeks of this , daily activities are gradually added to the patient 's routine . This program does not require any sort of medication or surgery and can serve as a good alternative . The rotator cuff and the upper muscles are responsible for many daily tasks that people do in their lives . A proper recovery needs to be maintained and achieved to prevent limiting movement , and can be done through simple movements .   Additional images ( edit )     Human shoulder joint , front view     Human shoulder joint , back view     Muscles on the dorsum of the scapula , and the triceps brachii .     The scapular and circumflex arteries ( posterior view ) .     Suprascapular and axillary nerves of right side , seen from behind .     The suprascapular , axillary , and radial nerves .     References ( edit )  This article uses anatomical terminology ; for an overview , see Anatomical terminology .   Jump up ^ Hartman , B. ; Robertson , M. `` Push - Ups , Face Pulls , and Shrugs ... for Strong and Healthy Shoulders ! '' . Tnation . The rotator cuff , of course . ( Or for those of you from Indiana , that would be your `` rotary cup ''   Jump up ^ Grays Anatomy 40th   ^ Jump up to : Matava MJ , Purcell DB , Rudzki JR ( 2005 ) . `` Partial - thickness rotator cuff tears '' . Am J Sports Med. 33 ( 9 ) : 1405 -- 17 . doi : 10.1177 / 0363546505280213 . PMID 16127127 .   Jump up ^ Morag Y , Jacobson JA , Miller B , De Maeseneer M , Girish G , Jamadar D ( 2006 ) . `` MR imaging of rotator cuff injury : what the clinician needs to know '' . Radiographics. 26 ( 4 ) : 1045 -- 65 . doi : 10.1148 / rg. 264055087 . PMID 16844931 .   Jump up ^ Khazzam M , Kane SM , Smith MJ ( 2009 ) . `` Open shoulder stabilization procedure using bone block technique for treatment of chronic glenohumeral instability associated with bony glenoid deficiency '' ( PDF ) . Am J. Orthop. 38 ( 7 ) : 329 -- 35 . PMID 19714273 .   ^ Jump up to : Escamilla RF , Yamashiro K , Paulos L , Andrews JR ( 2009 ) . `` Shoulder muscle activity and function in common shoulder rehabilitation exercises '' . Sports Med. 39 ( 8 ) : 663 -- 85 . doi : 10.2165 / 00007256 - 200939080 - 00004 . PMID 19769415 .   Jump up ^ Arend , C.F. ( 2013 ) . `` 01.1 Rotator Cuff : Anatomy and Function '' . Ultrasound of the Shoulder . Master Medical Books . ShoulderUS.com )   Jump up ^ Itoi E , Berglund LJ , Grabowski JJ , Schultz FM , Growney ES , Morrey BF , An KN ( 1995 ) . `` Tensile properties of the supraspinatus tendon '' . J. Orthop . Res. 13 ( 4 ) : 578 -- 84 . doi : 10.1002 / jor. 1100130413 . PMID 7674074 .   Jump up ^ `` Rotator cuff injury - Treatment '' . Mayo Clinic . Retrieved 2017 - 09 - 10 .   Jump up ^ Coghlan , Jennifer A ; Buchbinder , Rachelle ; Green , Sally ; Johnston , Renea V ; Bell , Simon N ( 2008 - 01 - 23 ) . Cochrane Database of Systematic Reviews . John Wiley &amp; Sons , Ltd . doi : 10.1002 / 14651858. cd005619. pub2 / abstract .   Jump up ^ Page , Matthew J ; Green , Sally ; McBain , Brodwen ; Surace , Stephen J ; Deitch , Jessica ; Lyttle , Nicolette ; Mrocki , Marshall A ; Buchbinder , Rachelle ( 2016 ) . `` Manual therapy and exercise for rotator cuff disease Cochrane '' . Cochrane Database of Systematic Reviews . doi : 10.1002 / 14651858. CD012224 .   ^ Jump up to : Brewster C , Schwab DR ( 1993 ) . `` Rehabilitation of the shoulder following rotator cuff injury or surgery '' . J Orthop Sports Phys Ther. 18 ( 2 ) : 422 -- 6 . doi : 10.2519 / jospt. 1993.18. 2.422 . PMID 8364597 .   Jump up ^ Kuhn JE ( 2009 ) . `` Exercise in the treatment of rotator cuff impingement : a systematic review and a synthesized evidence - based rehabilitation protocol '' . J Shoulder Elbow Surg. 18 ( 1 ) : 138 -- 60 . doi : 10.1016 / j. jse. 2008.06. 004 . PMID 18835532 .   ^ Jump up to : Waltrip RL , Zheng N , Dugas JR , Andrews JR ( 2003 ) . `` Rotator cuff repair . A biomechanical comparison of three techniques '' . Am J Sports Med. 31 ( 4 ) : 493 -- 7 . doi : 10.1177 / 03635465030310040301 . PMID 12860534 .   ^ Jump up to : Jobe FW , Moynes DR ( 1982 ) . `` Delineation of diagnostic criteria and a rehabilitation program for rotator cuff injuries '' . Am J Sports Med. 10 ( 6 ) : 336 -- 9 . doi : 10.1177 / 036354658201000602 . PMID 7180952 .   ^ Jump up to : Hegedus EJ , Goode A , Campbell S , et al. ( February 2008 ) . `` Physical examination tests of the shoulder : a systematic review with meta - analysis of individual tests '' . British Journal of Sports Medicine . 42 ( 2 ) : 80 -- 92 . doi : 10.1136 / bjsm. 2007.038406 . PMID 17720798 .   Jump up ^ ShoulderDoc.co.uk Shoulder &amp; Elbow Surgery . `` Hawkins - Kennedy Test '' . Archived from the original on 15 October 2007 . Retrieved 12 September 2007 . ( video )   Jump up ^ Brukner P , Khan K , Kibler WB . `` Chapter 14 : Shoulder Pain '' . Archived from the original on 10 August 2007 . Retrieved 30 August 2007 .   Jump up ^ ShoulderDoc.co.uk Shoulder &amp; Elbow Surgery . `` Empty Can / Full Can Test '' . Archived from the original on 15 October 2007 . Retrieved 12 September 2007 . ( video )   Jump up ^ Mohamadi , Amin ; Chan , Jimmy J. ; Claessen , Femke M.A.P. ; Ring , David ; Chen , Neal C. ( January 2017 ) . `` Corticosteroid Injections Give Small and Transient Pain Relief in Rotator Cuff Tendinosis : A Meta - analysis '' . Clinical Orthopaedics and Related Research . 475 ( 1 ) : 232 -- 243 . doi : 10.1007 / s11999 - 016 - 5002 - 1 . ISSN 1528 - 1132 . PMC 5174041 . PMID 27469590 .   Jump up ^ Petchprapa , CN ; Beltran , LS ; Jazrawi , LM ; Kwon , YW ; Babb , JS ; Recht , MP ( September 2010 ) . `` The rotator interval : a review of anatomy , function , and normal and abnormal MRI appearance '' . AJR . American journal of roentgenology. 195 ( 3 ) : 567 -- 76 . doi : 10.2214 / ajr. 10.4406 . PMID 20729432 .   Jump up ^ Kraeutler , MJ ; Reynolds , KA ; Long , C ; McCarty , EC ( Jun 2015 ) . `` Compressive cryotherapy versus ice - a prospective , randomized study on postoperative pain in patients undergoing arthroscopic rotator cuff repair or subacromial decompression '' . Journal of Shoulder &amp; Elbow Surgery . 24 ( 6 ) : 854 -- 859 . doi : 10.1016 / j. jse. 2015.02. 004 . PMID 25825138 .   ^ Jump up to : Plessis , M. Du , E. Eksteen , A. Jenneker , E. Kriel , C. Mentoor , T. Stucky , D. Van Staden , and L. Morris . `` The Effectiveness of Continuous Passive Motion on Range of Motion , Pain and Muscle Strength following Rotator Cuff Repair : A Systematic Review . '' Clinical Rehabilitation ( 2011 ) : 291 - 302   Jump up ^ Park , J. - Y. , S.W. Chung , Z . Hassan , J. - Y. Bang , and K. - S. Oh . `` Effect of Capsular Release in the Treatment of Shoulder Stiffness Concomitant With Rotator Cuff Repair : Diabetes as a Predisposing Factor Associated With Treatment Outcome . '' The American Journal of Sports Medicine ( 2014 ) : 840 - 50 . SagePub   ^ Jump up to : Wirth , Michael A. , Carl Basamania , and Charles A. Rockwood . `` Nonoperative Management Of Full - Thickness Tears Of The Rotator Cuff . '' Orthopedic Clinics of North America ( 1997 ) : 59 - 67      hide         Muscles of the arm     Shoulder        deltoid   rotator cuff   supraspinatus   infraspinatus   teres minor   subscapularis     teres major       fascia :     deltoid fascia   supraspinous fascia   infraspinous fascia          Arm ( compartments )      anterior     coracobrachialis   biceps   brachialis       posterior     triceps brachii   anconeus   articularis cubiti       fascia     axillary sheath   axillary fascia   brachial fascia   intermuscular septa   lateral   medial         other     spaces   quadrangular space   triangular space   triangular interval            Forearm      anterior      superficial :     pronator teres   palmaris longus   flexor carpi radialis   flexor carpi ulnaris   flexor digitorum superficialis       deep :     pronator quadratus   flexor digitorum profundus   flexor pollicis longus          posterior      superficial :     mobile wad   brachioradialis   extensor carpi radialis longus and brevis     extensor digitorum   extensor digiti minimi   extensor carpi ulnaris       deep :     supinator   anatomical snuff box   abductor pollicis longus   extensor pollicis brevis   extensor pollicis longus     extensor indicis          fascia     bicipital aponeurosis   common tendons   extensor   flexor     antebrachial fascia       other     cubital tunnel          Hand      lateral volar     thenar   opponens pollicis   flexor pollicis brevis   abductor pollicis brevis     adductor pollicis       medial volar     hypothenar   opponens digiti minimi   flexor digiti minimi brevis   abductor digiti minimi     palmaris brevis       intermediate     lumbrical   interossei   dorsal   palmar         fascia      posterior :     extensor retinaculum   extensor expansion       anterior :     flexor retinaculum   palmar aponeurosis              Retrieved from `` https://en.wikipedia.org/w/index.php?title=Rotator_cuff&amp;oldid=844069333 '' Categories :   Rotator cuff   Shoulder   Upper limb anatomy   Hidden categories :   Pages with unresolved properties   All articles with unsourced statements   Articles with unsourced statements from June 2012   Articles with unsourced statements from July 2011   Use dmy dates from July 2011           Talk                                           Contents                   About Wikipedia                                             Català   Dansk   Deutsch   Español   فارسی   Français   Galego   Bahasa Indonesia   Italiano   עברית   Nederlands   </t>
    </r>
    <r>
      <rPr>
        <sz val="11"/>
        <color rgb="FF000000"/>
        <rFont val="Noto Sans CJK SC"/>
        <family val="2"/>
      </rPr>
      <t xml:space="preserve">日本 語   </t>
    </r>
    <r>
      <rPr>
        <sz val="11"/>
        <color rgb="FF000000"/>
        <rFont val="Calibri"/>
        <family val="0"/>
        <charset val="1"/>
      </rPr>
      <t xml:space="preserve">Norsk   Norsk nynorsk   Polski   Português   Română   Русский   Suomi   Svenska  12 more  Edit links   This page was last edited on 2 June 2018 , at 11 : 26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</si>
  <si>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rotator cuff located on the human body</t>
  </si>
  <si>
    <t xml:space="preserve"> The rotator cuff muscles are important in shoulder movements and in maintaining glenohumeral joint ( shoulder joint ) stability . These muscles arise from the scapula and connect to the head of the humerus , forming a cuff at the shoulder joint . They hold the head of the humerus in the small and shallow glenoid fossa of the scapula . The glenohumeral joint has been analogously described as a golf ball ( head of the humerus ) sitting on a golf tee ( glenoid fossa ) . </t>
  </si>
  <si>
    <t xml:space="preserve">List of public corporations by market capitalization - Wikipedia  List of public corporations by market capitalization   The following is a list of publicly traded companies having the greatest market capitalization . This list is primarily based on the Financial Times Global 500 rankings . The list of non-public companies by estimated market value is attached for comparison .   Market capitalization is calculated from the share price ( as recorded on selected day ) multiplied by the number of outstanding shares . Figures are converted into USD millions ( using rate from selected day ) to allow for comparison . Only companies with free float at least 15 % are included , value of unlisted stock classes is excluded . Investment companies are not included in the list .   Contents    1 Record market capitalizations   2 Publicly traded companies   2.1 2018   2.2 2017   2.3 2016   2.4 2015   2.5 2014   2.6 2013   2.7 2012   2.8 2011     3 2000 -- 2010   3.1 2010   3.2 2009   3.3 2008   3.4 2007   3.5 2006   3.6 2004   3.7 2003   3.8 2002   3.9 2001   3.10 2000     4 1996 -- 1999   4.1 1999   4.2 1998   4.3 1997   4.4 1996     5 Non-public companies   6 Notes   7 References   8 See also    Record market capitalizations ( edit )     Date   Company   Record value ( in billions USD )   Record value ( in billions USD , inflation - adjusted )   Notes     30 December 1999   Microsoft   618.9   909   Microsoft reached an intraday high share price of $119.94 in December 1999 . With 5,160,024,593 outstanding shares , it had a market capitalization of $618.9 billion .     5 November 2007   PetroChina   1000   1145   On 5 November 2007 , A shares of PetroChina on the first day of trading after its IPO on Shanghai Stock Exchange skyrocketed from the IPO price of 16.7 RMB to 43.96 RMB by the close ( the opening price was even 48.6 RMB ) . That gave a market capitalization of about $1 trillion . Only 4 billion A shares were floated during the IPO , another 158 billion A shares were still held by China National Petroleum Corporation . 21 billion H Shares were already floated on the Hong Kong Stock Exchange . However , market capitalization based on H - shares never reached $500 billion .     29 August 2018   Apple Inc .   1073.5   --   With 4,829,926,000 shares outstanding , Apple reached this new record intra-day high after its share price reached $222.26 in market trading on August 17 , 2018 .     Publicly traded companies ( edit )   All market capitalization figures are in USD millions .   2018 ( edit )   This list is up to date as of August 3 , 2018 . Indicated changes in market value are relative to the previous quarter .     Rank   First Quarter   Second Quarter   Third Quarter   Fourth Quarter         Apple Inc . 851,317     Apple Inc . 909,840                 Alphabet Inc . 717,404     Amazon.com 824,790                 Microsoft 702,760     Alphabet Inc . 774,840                 Amazon.com 700,672     Microsoft 757,640             5     Tencent 507,990     Facebook 562,480             6     Berkshire Hathaway 492,019     Tencent 478,580             7     Alibaba Group 470,930     Alibaba Group 476,040             8     Facebook 464,189     Berkshire Hathaway 463,980             9     JPMorgan Chase 377,410     JPMorgan Chase 354,780             10     Johnson &amp; Johnson 343,780     ExxonMobil 350,270             2017 ( edit )   This list is up to date as of December 31 , 2017 . Indicated changes in market value are relative to the previous quarter .     Rank   First quarter   Second quarter   Third quarter   Fourth quarter         Apple Inc . 753,718     Apple Inc . 749,124     Apple Inc . 791,726     Apple Inc . 868,880         Alphabet Inc . 573,570     Alphabet Inc . 628,610     Alphabet Inc . 664,550     Alphabet Inc . 727,040         Microsoft 508,935     Microsoft 528,778     Microsoft 568,965     Microsoft 659,910         Amazon.com 423,031     Amazon.com 466,471     Amazon.com 459,435     Amazon.com 563,540     5     Berkshire Hathaway 410,880     Berkshire Hathaway 418,880     Berkshire Hathaway 451,840     Facebook 512,760     6     ExxonMobil 339,897     Johnson &amp; Johnson 357,310     Alibaba Group 436,850     Tencent 493,340     7     Johnson &amp; Johnson 337,947     Facebook 357,176     Tencent 405,007     Berkshire Hathaway 489,490     8     Facebook 334,552     Alibaba Group 356,390     Facebook 399,946     Alibaba Group 440,712     9     JPMorgan Chase 313,761     Tencent 344,879     ExxonMobil 348,248     Johnson &amp; Johnson 375,360     10     Wells Fargo 278,516     ExxonMobil 341,947     Johnson &amp; Johnson 347,497     JPMorgan Chase 371,050     2016 ( edit )   This list is up to date as of December 31 , 2016 . Indicated changes in market value are relative to the previous quarter .     Rank   First quarter   Second quarter   Third quarter   Fourth quarter         Apple Inc . 607,465     Apple Inc . 517,069     Apple Inc . 604,475     Apple Inc . 617,588.49         Alphabet Inc . 535,660     Alphabet Inc . 475,320     Alphabet Inc . 535,660     Alphabet Inc . 531,970         Microsoft 439,734     Microsoft 397,268     Microsoft 447,290     Microsoft 483,160.28         ExxonMobil 350,991     ExxonMobil 383,396     Amazon.com 393,030     Berkshire Hathaway 404,390     5     Berkshire Hathaway 349,740     Berkshire Hathaway 345,860     ExxonMobil 358,519     ExxonMobil 374,280     6     Johnson &amp; Johnson 300,604     Amazon.com 337,641     Berkshire Hathaway 358,300     Amazon.com 356,313.12     7     General Electric 295,546     Johnson &amp; Johnson 328,234     Johnson &amp; Johnson 320,836     Johnson &amp; Johnson 313,432.46     8     Amazon.com 281,888     General Electric 280,927     Facebook 297,548     JPMorgan Chase 308,768.42     9     Facebook 259,192     Facebook 263,930     Tencent 265,603     General Electric 279,545.92     10     Wells Fargo 246,035     AT&amp;T 261,035     General Electric 261,876     Wells Fargo 276,779.12     2015 ( edit )   This Financial Times Global 500 -- based list is up to date as of December 31 , 2015 . Indicated changes in market value are relative to the previous quarter .     Rank   First quarter   Second quarter   Third quarter   Fourth quarter         Apple Inc . 724,773.1     Apple Inc . 722,576.9     Apple Inc . 621,939     Apple Inc . 598,344         Exxon Mobil 356,548.7     Microsoft 357,154.4     Google 407,870     Alphabet 534,090         Berkshire Hathaway 356,510.7     Exxon Mobil 347,868.1     Microsoft 347,432     Microsoft 449,799         Google 345,849.2     Google 336,014.5     Berkshire Hathaway 318,180     Berkshire Hathaway 323,750     5     Microsoft 333,524.8     Berkshire Hathaway 336,014.5     Exxon Mobil 304,245     Exxon Mobil 325,167     6     Petro China 329,715.1     Petro China 319,391.6     Johnson &amp; Johnson 257,637     Amazon 323,009     7     Wells Fargo 279,919.7     ICBC 298,531.5     General Electric 248,069     General Electric 313,892     8     Johnson &amp; Johnson 279,723.9     Wells Fargo 289,591.3     China Mobile 243,186     Johnson &amp; Johnson 287,153     9     ICBC 275,389.1     Johnson &amp; Johnson 270,260.8     Novartis 240,373     Wells Fargo 281,770     10     Novartis 267,897.0     General Electric 267,717.4     Nestlé 233,361     JPMorgan Chase 245,126     2014 ( edit )   This Financial Times Global 500 -- based list is up to date as of December 31 , 2014 . Indicated changes in market value are relative to the previous quarter .     Rank   First quarter   Second quarter   Third quarter   Fourth quarter         Apple Inc . 478,766.1     Apple Inc . 560,337.4     Apple Inc . 603,277.4     Apple Inc . 647,361.0         Exxon Mobil 422,098.3     Exxon Mobil 432,357.3     Exxon Mobil 401,094.1     Exxon Mobil 391,481.9         Microsoft 340,216.8     Google 358,347.3     Microsoft 381,959.7     Microsoft 382,880.3         Google 313,003.9     Microsoft 344,458.8     Google 361,998.4     Berkshire Hathaway 370,652.6     5     Berkshire Hathaway 308,090.6     Berkshire Hathaway 312,216.7     Berkshire Hathaway 340,055.0     Google 329,768.5     6     Johnson &amp; Johnson 277,826.2     Johnson &amp; Johnson 276,837.0     Johnson &amp; Johnson 300,614.2     PetroChina 305,536.1     7     Wells Fargo 261,217.5     Wells Fargo 261,217.5     Wells Fargo 270,782.4     Johnson &amp; Johnson 292,702.8     8     General Electric 259,547.3     Royal Dutch Shell 269,563.4     General Electric 257,068.4     Wells Fargo 284,385.6     9     Hoffmann - La Roche 258,542.1     General Electric 263,529.6     Novartis 255,326.4     Wal - Mart 276,807.4     10     Walmart 246,805.7     Hoffmann - La Roche 256,322.8     Hoffmann - La Roche 254,543.8     ICBC 271,146.1     2013 ( edit )   This Financial Times Global 500 -- based list is up to date as of December 31 , 2013 . Indicated changes in market value are relative to the previous quarter .     Rank   First quarter   Second quarter   Third quarter   Fourth quarter         Apple Inc . 415,683.3     Exxon Mobil 401,729.8     Apple Inc . 433,099.6     Apple Inc . 504,770.8         Exxon Mobil 403,733.1     Apple Inc . 372,202.3     Exxon Mobil 378,716.2     Exxon Mobil 442,142.8         Berkshire Hathaway 256,801.8     Microsoft 288,488.8     Berkshire Hathaway 280,001.5     Microsoft 312,297.3         PetroChina 254,618.7     Berkshire Hathaway 276,548.5     Microsoft 277,220.9     Google 310,079.1     5     Wal - Mart 246,373.3     Wal - Mart 244,079.4     Johnson &amp; Johnson 244,298.5     Berkshire Hathaway 292,396.0     6     General Electric 239,775.6     Johnson &amp; Johnson 241,170.9     General Electric 243,290.4     General Electric 283,589.8     7     Microsoft 239,602.3     General Electric 239,787.2     Wal - Mart 240,773.3     Johnson &amp; Johnson 258,415.4     8     IBM 237,724.7     Google 238,688.6     Google 237,479.4     Wal - Mart 254,622.8     9     Nestlé 233,792.1     Chevron Corporation 229,402.6     Chevron Corporation 234,740.8     Hoffmann - La Roche 241,368.0     10     Chevron Corporation 230,831.2     ICBC 226,879.8     Hoffmann - La Roche 232,495.2     Chevron Corporation 240,223.4     2012 ( edit )   This Financial Times Global 500 -- based list is up to date as of December 31 , 2012 . Indicated changes in market value are relative to the previous quarter .     Rank   First quarter   Second quarter   Third quarter   Fourth quarter         Apple Inc . 559,002.1     Apple Inc . 546,076.1     Apple Inc . 625,348.1     Apple Inc . 500,610.7         Exxon Mobil 408,777.4     Exxon Mobil 400,139.1     Exxon Mobil 422,127.5     Exxon Mobil 394,610.9         PetroChina 278,968.4     PetroChina 257,685.8     PetroChina 253,853.3     PetroChina 264,833.4         Microsoft 270,644.1     Microsoft 256,982.4     Microsoft 249,489.8     BHP Billiton 247,409.0     5     IBM 241,754.6     Wal - Mart 235,900.3     Wal - Mart 248,074.4     ICBC 236,457.9     6     ICBC 236,335.4     IBM 225,598.5     General Electric 239,791.2     China Mobile 234,040.2     7     Royal Dutch Shell 222,425.1     General Electric 220,806.3     IBM 237,068.4     Wal - Mart 228,245.4     8     China Mobile 220,978.9     China Mobile 219,481.3     Chevron Corporation 228,707.1     Samsung Electronics 227,581.8     9     General Electric 212,317.7     Royal Dutch Shell 217,048.2     China Mobile 222,817.8     Microsoft 224,801.0     10     Chevron Corporation 211,950.6     ICBC 211,196.0     Royal Dutch Shell 222,669.6     Royal Dutch Shell 222,669.6     2011 ( edit )   This Financial Times Global 500 -- based list is up to date as of December 31 , 2011 . Indicated changes in market value are relative to the previous quarter .     Rank   First quarter   Second quarter   Third quarter   Fourth quarter         Exxon Mobil 417,166.7     Exxon Mobil 400,884.5     Apple Inc . 353,518.1     Exxon Mobil 406,272.1         PetroChina 326,199.2     Apple Inc . 310,412.3     Exxon Mobil 353,135.2     Apple Inc . 376,410.6         Apple Inc . 321,072.1     PetroChina 303,649.9     PetroChina 276,473.9     PetroChina 276,844.9         ICBC 251,078.1     ICBC 246,850.5     IBM 208,843.5     Royal Dutch Shell 236,677.0     5     Petrobras 247,417.6     BHP Billiton 233,626.5     Microsoft 208,534.9     ICBC 228,168.1     6     BHP Billiton 247,079.5     Royal Dutch Shell 225,122.8     ICBC 206,021.4     Microsoft 218,380.1     7     China Construction Bank 232,608.6     Microsoft 219,251.9     China Mobile 198,778.7     IBM 216,724.4     8     Royal Dutch Shell 226,128.7     Nestlé 215,017.5     Royal Dutch Shell 197,061.1     Chevron Corporation 211,893.9     9     Chevron Corporation 215,780.6     Petrobras 210,111.4     Nestlé 191,115.6     Wal - Mart 204,659.8     10     Microsoft 213,336.4     IBM 207,781.4     Chevron Corporation 185,456.1     China Mobile 196,148.4     2000 -- 2010 ( edit )  Click on ( show ) right to reveal information for 2000 -- 2010    This Financial Times Global 500 -- based list is up to date as of December 31 , 2010 . Indicated changes in market value are relative to the previous quarter .     Rank   First quarter   Second quarter   Third quarter   Fourth quarter         PetroChina 329,259.7     Exxon Mobil 291,789.1     Exxon Mobil 314,622.5     Exxon Mobil 368,711.5         Exxon Mobil 316,230.8     PetroChina 268,504.8     PetroChina 270,889.9     PetroChina 303,273.6         Microsoft 256,864.7     Apple Inc . 228,876.8     Apple Inc . 259,223.4     Apple Inc . 295,886.3         ICBC 246,419.8     ICBC 211,258.7     Petrobras 220,616.5     BHP Billiton 243,540.3     5     Apple Inc . 213,096.7     Microsoft 201,655.8     ICBC 213,364.1     Microsoft 238,784.5     6     BHP Billiton 209,935.1     China Mobile 201,471.2     Microsoft 210,676.4     ICBC 233,369.1     7     Wal - Mart 209,000.7     Berkshire Hathaway 197,356.8     China Mobile 205,339.6     Petrobras 229,066.6     8     Berkshire Hathaway 200,620.5     China Construction Bank 189,170.7     Berkshire Hathaway 204,792.0     China Construction Bank 222,245.1     9     General Electric 194,246.2     Wal - Mart 178,322.7     China Construction Bank 202,998.4     Royal Dutch Shell 208,593.7     10     China Mobile 192,998.6     Procter &amp; Gamble 172,736.5     BHP Billiton 196,866.0     Nestlé 203,534.3     2009 ( edit )   This Financial Times Global 500 -- based list is up to date as of December 31 , 2009 . Indicated changes in market value are relative to the previous quarter .     Rank   First quarter   Second quarter   Third quarter   Fourth quarter         Exxon Mobil 336,527     PetroChina 366,662.9     Exxon Mobil 329,725     PetroChina 353,140.1         PetroChina 287,185     Exxon Mobil 341,140.3     PetroChina 325,097.5     Exxon Mobil 323,717.1         Wal - Mart 204,365     ICBC 257,004.4     ICBC 237,951.5     Microsoft 270,635.4         ICBC 187,885     Microsoft 211,546.2     Microsoft 229,630.7     ICBC 268,956.2     5     China Mobile 174,673     China Mobile 200,832.4     HSBC 198,561.1     Wal - Mart 203,653.6     6     Microsoft 163,320     Wal - Mart 188,752.0     China Mobile 195,680.4     China Construction Bank 201,436.1     7     AT&amp;T 148,511     China Construction Bank 182,186.7     Wal - Mart 189,331.6     BHP Billiton 201,248     8     Johnson &amp; Johnson 145,481     Petrobras 165,056.9     Petrobras 189,027.7     HSBC 199,254.9     9     Royal Dutch Shell 138,999     Johnson &amp; Johnson 156,515.9     China Construction Bank 186,816.7     Petrobras 199,107.9     10     Procter &amp; Gamble 138,013     Royal Dutch Shell 156,386.7     Royal Dutch Shell 175,986.1     Apple Inc . 189,801.7     2008 ( edit )   This Financial Times Global 500 -- based list is up to date as of December 31 , 2008 . Indicated changes in market value are relative to the previous quarter .     Rank   First quarter   Second quarter   Third quarter   Fourth quarter         Exxon Mobil 452,505     Exxon Mobil 465,652     Exxon Mobil 403,366     Exxon Mobil 406,067         PetroChina 423,996     PetroChina 341,140.3     PetroChina 325,097.5     PetroChina 259,836         General Electric 369,569     ICBC 257,004.4     ICBC 237,951.5     Wal - Mart 219,898         Gazprom 299,764     Microsoft 211,546.2     Microsoft 229,630.7     China Mobile 201,291     5     China Mobile 298,093     China Mobile 200,832.4     HSBC 198,561.1     Procter &amp; Gamble 184,576     6     ICBC 277,236     Wal - Mart 188,752.0     China Mobile 195,680.4     ICBC 173,930     7     Microsoft 264,132     China Construction Bank 182,186.7     Wal - Mart 189,331.6     Microsoft 172,929     8     AT&amp;T 231,168     Petrobras 165,056.9     Petrobras 189,027.7     AT&amp;T 167,950     9     Royal Dutch Shell 220,110     Johnson &amp; Johnson 156,515.9     China Construction Bank 186,816.7     Johnson &amp; Johnson 166,002     10     Procter &amp; Gamble 215,640     Royal Dutch Shell 156,386.7     Royal Dutch Shell 175,986.1     General Electric 161,278     2007 ( edit )   This Financial Times -- based list is up to date as of December 31 , 2007 . Indicated changes in rank and market value are relative to the previous quarter .     Rank   First quarter   Second quarter   Third quarter   Fourth quarter         Exxon Mobil 429,567     Exxon Mobil 472,519     Exxon Mobil 513,362     Petrochina 723,952         General Electric 363,611     General Electric 393,831     General Electric 424,191     Exxon Mobil 511,887         Microsoft 272,912     Microsoft 281,934     China Mobile 327,937     General Electric 374,637         Citigroup 252,857     Royal Dutch Shell 266,141     ICBC 279,269     China Mobile 354,120     5     AT&amp;T 246,206     AT&amp;T 255,871     Microsoft 276,202     ICBC 338,989     6     Gazprom 245,911     Citigroup 253,703     Royal Dutch Shell 264,397     Microsoft 333,054     7     Toyota Motor Corporation 230,832     Gazprom 245,757     Gazprom 260,249     Gazprom 329,591     8     Bank of America 228,177     BP 231,491     AT&amp;T 258,047     Royal Dutch Shell 269,544     9     ICBC 224,788     Toyota Motor Corporation 228,009     Citigroup 232,162     AT&amp;T 252,051     10     Royal Dutch Shell 214,018     Bank of America 216,963     Bank of America 223,066     Sinopec 249,645     2006 ( edit )   Fourth quarter This Financial Times -- based list is up to date as of December 2006 . Indicated changes in rank and market value are relative to the previous quarter .     Rank   Name   Headquarters   Primary industry   Market value ( USD million )       Exxon Mobil   United States   Oil and gas   446,943       General Electric   United States   Conglomerate   383,564       Microsoft   United States   Software industry   293,537       Citigroup   United States   Banking   273,691     5   Gazprom   Russia   Oil and gas   271,482     6   Industrial and Commercial Bank of China   China   Banking   254,592     7   Toyota Motor Corporation   Japan   Automotive   241,161     8   Bank of America   United States   Banking   239,758     9   Royal Dutch Shell   The Netherlands   Oil and gas   225,781     10   BP   United Kingdom   Oil and gas   218,643     Third quarter This Financial Times -- based list is up to date as of 30 September 2006 . Indicated changes in rank and market value are relative to the previous quarter .     Rank   Name   Headquarters   Primary industry   Market value ( USD million )       Exxon Mobil   United States   Oil and gas   398,906       General Electric   United States   Conglomerate   364,414       Microsoft   United States   Software industry   272,679.0       Gazprom   Russia   Oil and gas   254,634.3     5   Citigroup   United States   Banking   246,727     6   Bank of America   United States   Banking   242,451     7   Royal Dutch Shell   The Netherlands   Oil and gas   216,368     8   BP   United Kingdom   Oil and gas   215,623     9   HSBC   United Kingdom   Banking   209,774     10   Pfizer   United States   Health care   206,785     Second quarter This Financial Times -- based list is up to date as of 30 June 2006 . Indicated changes in rank and market value are relative to the previous quarter .     Rank   Name   Headquarters   Primary industry   Market value ( USD million )       Exxon Mobil   United States   Oil and gas   371,187       General Electric   United States   Conglomerate   342,731       Gazprom   Russia   Oil and gas   246,341       Citigroup   United States   Banking   239,862     5   Microsoft   United States   Software industry   237,688     6   BP   United Kingdom   Oil and gas   233,151     7   Royal Dutch Shell   The Netherlands   Oil and gas   224,925     8   Bank of America   United States   Banking   219,504     9   HSBC   United Kingdom   Banking   201,854     10   Wal - Mart   United States   Retail   200,762     First quarter This Financial Times -- based list is up to date as of March 2006 . Indicated changes in rank and market value are relative to the previous quarter .     Rank   Name   Headquarters   Industry   Market value ( USD million )       Exxon Mobil   United States   Oil and gas   371,631       General Electric   United States   Conglomerate   362,527       Microsoft   United States   Software industry   281,171       Citigroup   United States   Banking   238,935     5   BP   United Kingdom   Oil and gas   233,260     6   Bank of America   United States   Banking   211,706     7   Royal Dutch Shell   The Netherlands   Oil and gas   211,280     8   Wal - Mart   United States   Retail   196,860     9   Toyota Motor Corporation   Japan   Automotive   196,731     10   Gazprom   Russia   Oil and gas   196,339       This Financial Times -- based list is up to date as of 31 March 2005 .     Rank   Name   Headquarters   Primary industry   Market value ( USD million )       General Electric   United States   Conglomerate   382,233       Exxon Mobil   United States   Oil and gas   380,567       Microsoft   United States   Software industry   262,975       Citigroup   United States   Banking   234,437     5   BP   United Kingdom   Oil and gas   221,365     6   Wal - Mart   United States   Retail   212,209     7   Royal Dutch Shell   The Netherlands   Oil and gas   210,630     8   Johnson &amp; Johnson   United States   Health care   199,711     9   Pfizer   United States   Health care   195,945     10   Bank of America   United States   Banking   178,765     2003 ( edit )   This Financial Times -- based list is up to date as of 31 March 2004 .     Rank   Name   Headquarters   Primary industry   Market value ( USD million )       General Electric   United States   Conglomerate   299,336       Microsoft   United States   Software industry   271,911       Exxon Mobil   United States   Oil and gas   263,940       Pfizer   United States   Health care   261,616     5   Citigroup   United States   Banking   259,191     6   Wal - Mart   United States   Retail   258,888     7   American International Group   United States   Insurance   183,696     8   Intel Corporation   United States   Computer hardware   179,996     9   BP   United Kingdom   Oil and gas   174,648     10   HSBC   United Kingdom   Banking   163,574     2002 ( edit )   This Financial Times -- based list is up to date as of 31 March 2003 .     Rank   Name   Headquarters   Primary industry   Market value ( USD million )       Microsoft   United States   Software industry   264,003       General Electric   United States   Conglomerate   259,647       Exxon Mobil   United States   Oil and gas   241,037       Wal - Mart   United States   Retail   234,399     5   Pfizer   United States   Health care   195,948     6   Citigroup   United States   Banking   183,887     7   Johnson &amp; Johnson   United States   Health care   170,417     8   Royal Dutch Shell   The Netherlands   Oil and gas   149,034     9   BP   United Kingdom   Oil and gas   144,381     10   IBM   United States   Computer software , Computer hardware   139,272     2001 ( edit )   This Financial Times -- based list is up to date as of 31 March 2002 .     Rank   Name   Headquarters   Primary industry   Market value ( USD million )       General Electric   United States   Conglomerate   372,089       Microsoft   United States   Software industry   326,639       Exxon Mobil   United States   Oil and gas   299,820       Wal - Mart   United States   Retail   273,220     5   Citigroup   United States   Banking   255,299     6   Pfizer   United States   Health care   249,021     7   Intel Corporation   United States   Computer hardware   203,838     8   BP   United Kingdom   Oil and gas   200,794     9   Johnson &amp; Johnson   United States   Health care   197,912     10   Royal Dutch Shell   The Netherlands   Oil and gas   189,913     2000 ( edit )   This Financial Times -- based list is up to date as of 31 March 2001 .     Rank   Name   Headquarters   Primary industry   Market value ( USD million )       General Electric   United States   Conglomerate   477,406       Cisco Systems   United States   Networking hardware   304,699       Exxon Mobil   United States   Oil and gas   286,367       Pfizer   United States   Health care   263,996     5   Microsoft   United States   Software industry   258,436     6   Wal - Mart   United States   Retail   250,955     7   Citigroup   United States   Banking   250,143     8   Vodafone   United Kingdom   Telecommunications   227,175     9   Intel Corporation   United States   Computer hardware   227,048     10   Royal Dutch Shell   The Netherlands   Oil and gas   206,340     1996 -- 1999 ( edit )  Click on ( show ) right to reveal information for 1996 -- 1999  1999 ( edit )   This Financial Times -- based list is up to date as of 31 March 2000 .     Rank   Name   Headquarters   Primary industry   Market value ( USD million )       Microsoft   United States   Software industry   586,197       General Electric   United States   Conglomerate   474,956       NTT DoCoMo   Japan   Telecommunications   366,204       Cisco Systems   United States   Networking hardware   348,965     5   Wal - Mart   United States   Retail   286,153     6   Intel Corporation   United States   Computer hardware   277,096     7   Nippon Telegraph and Telephone   Japan   Telecommunications   274,905     8   Exxon Mobil   United States   Oil and gas   265,894     9   Lucent Technologies   United States   Telecommunications   237,668     10   Deutsche Telekom   Germany   Telecommunications   209,628     1998 ( edit )   This Financial Times -- based list is up to date as of 30 September 1998 .     Rank   Name   Headquarters   Primary industry   Market value ( USD million )       Microsoft   United States   Software industry   271,854       General Electric   United States   Conglomerate   258,871       Exxon Mobil   United States   Oil and gas   172,213       Royal Dutch Shell   The Netherlands   Oil and gas   164,157     5   Merck   United States   Health care   154,753     6   Pfizer   United States   Health care   148,074     7   Intel Corporation   United States   Computer hardware   144,060     8   The Coca - Cola Company   United States   Beverage   142,164     9   Wal - Mart   United States   Retail   123,062     10   IBM   United States   Software industry , Computer hardware   121,184     1997 ( edit )   This Financial Times -- based list is up to date as of 30 September 1997 .     Rank   Name   Headquarters   Primary industry   Market value ( USD million )       General Electric   United States   Conglomerate   222,748       Royal Dutch Shell   The Netherlands   Oil and gas   191,002       Microsoft   United States   Software industry   159,660       Exxon Mobil   United States   Oil and gas   157,970     5   The Coca - Cola Company   United States   Beverage   151,288     6   Intel Corporation   United States   Computer hardware   150,838     7   Nippon Telegraph and Telephone   Japan   Telecommunications   146,139     8   Merck   United States   Health care   120,757     9   Toyota Motor Corporation   Japan   Automotive   116,585     10   Novartis   Switzerland   Health care   104,468       This Financial Times -- based list is up to date as of 30 September 1996 .     Rank   Name   Headquarters   Primary industry   Market value ( USD million )       General Electric   United States   Conglomerate   136,515       Royal Dutch Shell   The Netherlands   Oil and gas   128,206       The Coca - Cola Company   United States   Beverage   117,258       Nippon Telegraph and Telephone   Japan   Telecommunications   113,609     5   Exxon Mobil   United States   Oil and gas   102,161     Non-Public companies ( edit )       This section needs to be updated . Relevant discussion may be found on the talk page . Please update this article to reflect recent events or newly available information . ( August 2015 )     This Financial Times Non-Public 150 based list is up to date as of December , 2006 . All companies in top 10 are government - owned corporations . Figures are in USD millions .     Rank   2006         State - owned Assets Supervision and Administration Commission of the State Council 1,560,000         Saudi Aramco 781,000         Pemex 415,000         Petróleos de Venezuela 388,000     5     Kuwait Petroleum Corporation 378,000     6     Petronas 232,000     7     Sonatrach 224,000     8     National Iranian Oil Company 220,000     9     Japan Post ( priv. 2007 ) 156,000     10     Pertamina 140,000     Notes ( edit )    ^ Jump up to : Note that in case some companies with multiple classes of stock only one class is considered .    References ( edit )    Jump up ^ Staff , Investopedia ( 2004 - 01 - 07 ) . `` Market Capitalization Defined '' . Investopedia . Retrieved 2017 - 05 - 30 .   Jump up ^ `` FT 500 2015 Introduction and methodology '' . Financial Times .   Jump up ^ Thomas , Ryland ; Williamson , Samuel H. ( 2018 ) . `` What Was the U.S. GDP Then ? '' . MeasuringWorth . Retrieved January 5 , 2018 . United States Gross Domestic Product deflator figures follow the Measuring Worth series .   Jump up ^ Microsoft_2000 Annual Report Quarterly Information . Microsoft.com . Retrieved on 2013 - 10 - 16 .   Jump up ^ NASDAQ SEC Filing . Secfilings.nasdaq.com . Retrieved on 2013 - 10 - 16 .   Jump up ^ Graeme Wearden . `` PetroChina makes its debut as world 's first trillion - dollar firm '' . the Guardian .   Jump up ^ `` PetroChina opens at 48.6 yuan per share in Shanghai debut , up 191 % '' .   Jump up ^ `` Apple market value hits $600 B '' . Yahoo Finance . 10 April 2012 .   Jump up ^ `` Apple Q3 2018 Results '' ( PDF ) . 1 August 2018 .   ^ Jump up to : `` Apple Market Cap '' . ycharts.com . Retrieved 2018 - 06 - 30 .   ^ Jump up to : `` Amazon.com Cap '' . ycharts.com . Retrieved 2018 - 03 - 31 .   ^ Jump up to : `` Microsoft Market Cap '' . ycharts.com . Retrieved 2018 - 03 - 31 .   ^ Jump up to : `` Alphabet Market Cap ( GOOG ) '' . ycharts.com . Retrieved 2017 - 03 - 31 .   ^ Jump up to : `` Tencent Holdings Market Cap '' . Retrieved 2018 - 06 - 30 .   ^ Jump up to : `` Facebook Market Cap '' . ycharts.com . Retrieved 2018 - 03 - 31 .   ^ Jump up to : `` Berkshire Hathaway '' . ycharts.com . Retrieved 2018 - 03 - 31 .   ^ Jump up to : `` Alibaba Group Holding Market Cap ( BABA ) '' . ycharts.com . Retrieved 2018 - 03 - 31 .   ^ Jump up to : `` JPMorgan Chase Market Cap '' . ycharts.com . Retrieved 2018 - 03 - 31 .   ^ Jump up to : `` Johnson &amp; Johnson Market Cap '' . ycharts.com . Retrieved 2018 - 03 - 31 .   Jump up ^ `` Exxon Mobil Market Cap '' . Retrieved 2018 - 06 - 30 .   Jump up ^ `` Financial Times FT500 2017 - 04 - 01 '' .   Jump up ^ `` Financial Times FT500 2017 - 06 - 30 '' .   Jump up ^ `` Financial Times FT500 2017 - 09 - 29 '' .   ^ Jump up to : `` Tencent and Alibaba top Asia 's market cap ranking in 2017 '' . nikkei.com . Retrieved 2018 - 01 - 23 .   Jump up ^ `` Financial Times FT500 2016 - 03 - 31 '' .   Jump up ^ `` Financial Times FT500 2016 - 06 - 16 '' .   Jump up ^ `` Financial Times FT500 2016 - 09 - 30 '' .   Jump up ^ `` Financial Times FT500 2016 - 12 - 31 '' .   Jump up ^ `` Financial Times '' .   Jump up ^ `` Financial Times '' .   Jump up ^ `` FT500 '' .   Jump up ^ `` FT500 '' .   Jump up ^ 376,801.4 if unlisted classes of shares included , see http://im.ft-static.com/content/images/b2a77270-169d-11e5-b07f-00144feabdc0.xls   Jump up ^ `` Financial Times '' .   Jump up ^ `` Financial Times '' .   Jump up ^ `` Financial Times '' .   Jump up ^ `` Financial Times '' .   Jump up ^ `` Financial Times '' ( PDF ) .   Jump up ^ `` Financial Times '' ( PDF ) .   Jump up ^ `` Financial Times '' ( PDF ) .   Jump up ^ `` Financial Times '' ( PDF ) .   Jump up ^ `` Financial Times '' ( PDF ) .   Jump up ^ `` Financial Times '' ( PDF ) .   Jump up ^ `` Financial Times '' ( PDF ) .   Jump up ^ `` Financial Times Global 500 December 2012 '' ( PDF ) .   Jump up ^ `` Financial Times '' ( PDF ) .   Jump up ^ `` Financial Times '' ( PDF ) .   Jump up ^ `` Financial Times '' ( PDF ) .</t>
  </si>
  <si>
    <t xml:space="preserve">what are the 5 largest companies in the united states</t>
  </si>
  <si>
    <t xml:space="preserve">   Rank   First Quarter   Second Quarter   Third Quarter   Fourth Quarter         Apple Inc . 851,317     Apple Inc . 909,840                 Alphabet Inc . 717,404     Amazon.com 824,790                 Microsoft 702,760     Alphabet Inc . 774,840                 Amazon.com 700,672     Microsoft 757,640             5     Tencent 507,990     Facebook 562,480             6     Berkshire Hathaway 492,019     Tencent 478,580             7     Alibaba Group 470,930     Alibaba Group 476,040             8     Facebook 464,189     Berkshire Hathaway 463,980             9     JPMorgan Chase 377,410     JPMorgan Chase 354,780             10     Johnson &amp; Johnson 343,780     ExxonMobil 350,270           </t>
  </si>
  <si>
    <t xml:space="preserve">Azerbaijan - wikipedia  Azerbaijan  Jump to : navigation , search This article is about the independent country in the Caucasus . For other uses , see Azerbaijan ( disambiguation ) .    Republic of Azerbaijan Azərbaycan Respublikası ( Azerbaijani )     Flag Emblem     Anthem :   Azərbaycan marşı   `` March of Azerbaijan ''         Location of Azerbaijan ( green ) and Nagorno - Karabakh ( light green ) .     Capital   Baku 40 ° 25 ′ N 49 ° 50 ′ E ﻿ / ﻿ 40.417 ° N 49.833 ° E ﻿ / 40.417 ; 49.833     Official languages   Azerbaijani     Ethnic minority languages   Armenian ( only in Nagorno - Karabakh ) , Avar , Budukh , Georgian , Juhuri , Khinalug , Kryts , Kurdish , Lezgian , Russian , Rutul , Talysh , Tat , Tsakhur and Udi     Demonym   Azerbaijani     Government   Unitary dominant - party semi-presidential republic     President   Ilham Aliyev     Vice President   Mehriban Aliyeva     Prime Minister   Artur Rasizade     Legislature   National Assembly     Formation     Democratic Republic   27 May 1918     Soviet Socialist Republic   28 April 1920     Independence from Soviet Union   30 August 1991 ( declared ) 18 October 1991 ( independence ) 25 December 1991 ( completed )     Constitution adopted   12 November 1995     Area     Total   86,600 km ( 33,400 sq mi ) ( 112th )     Water ( % )   1.6     Population     2017 estimate   9,823,667 ( 91st )     Density   113 / km ( 292.7 / sq mi ) ( 99th )     GDP ( PPP )   2017 estimate     Total   $307.431 billion     Per capita   $30,498     GDP ( nominal )   2017 estimate     Total   $108.583 billion     Per capita   $12,032     Gini ( 2008 )   33.7 medium     HDI ( 2015 )   0.834 very high 46th     Currency   Manat ( ₼ ) ( AZN )     Time zone   AZT ( UTC + 04 )     Drives on the   right     Calling code   + 994     ISO 3166 code   AZ     Internet TLD   . az     Azerbaijan ( / ˌæzərbaɪˈʒɑːn / ( listen ) AZ - ər - by - ZHAHN ; Azerbaijani : Azərbaycan , officially the Republic of Azerbaijan ( Azerbaijani : Azərbaycan Respublikası ) ) , is a country in the South Caucasus region , situated at the crossroads of Southwest Asia and Southeastern Europe . It is bound by the Caspian Sea to the east , Russia to the north , Georgia to the northwest , Armenia to the west and Iran to the south . The exclave of Nakhchivan is bound by Armenia to the north and east , Iran to the south and west , while having an 11 km border with Turkey in the north west .   The Azerbaijan Democratic Republic proclaimed its independence in 1918 and became the first democratic state in the Muslim - oriented world . The country was incorporated into the Soviet Union in 1920 as the Azerbaijan Soviet Socialist Republic . The modern Republic of Azerbaijan proclaimed its independence on 30 August 1991 , prior to the official dissolution of the USSR in December 1991 . In September 1991 , the Armenian majority of the disputed Nagorno - Karabakh region seceded to form the Nagorno - Karabakh Republic . The region and seven adjacent districts outside it became de facto independent with the end of the Nagorno - Karabakh War in 1994 . These regions are internationally recognized as part of Azerbaijan pending a solution to the status of the Nagorno - Karabakh , found through negotiations facilitated by the OSCE .   Azerbaijan is a unitary semi-presidential republic . The country is a member state of the Council of Europe , the OSCE and the NATO Partnership for Peace ( PfP ) program . It is one of six independent Turkic states , an active member of the Turkic Council and the TÜRKSOY community . Azerbaijan has diplomatic relations with 158 countries and holds membership in 38 international organizations . It is one of the founding members of GUAM , the Commonwealth of Independent States ( CIS ) and the Organization for the Prohibition of Chemical Weapons . A member of the United Nations since 1992 after its independence , Azerbaijan was elected to membership in the newly established Human Rights Council by the United Nations General Assembly on 9 May 2006 . Its term of office began on 19 June 2006 . Azerbaijan is also a member state of the Non-Aligned Movement , holds observer status in World Trade Organization , and is a correspondent at the International Telecommunication Union .   The Constitution of Azerbaijan does not declare an official religion and all major political forces in the country are secularist . However , the majority of the population are of a Shiite Muslim background . Most Azerbaijanis , however , do not actively practice any religion , and the country has been seen to be one of the most irreligious countries in the Muslim world , with 53 % stating religion has little to no importance in their lives , according to Pew Research Center and Gallup polls . Azerbaijan has a high level of human development which ranks on par with most Eastern European countries . It has a high rate of economic development and literacy , as well as a low rate of unemployment . However , the ruling party , the New Azerbaijan Party , has been accused of authoritarianism and human rights abuses .     Contents  ( hide )   1 Etymology   2 History   2.1 Antiquity   2.2 From the Sasanid period to the Safavid period   2.3 Contemporary history   2.4 Independence     3 Geography   3.1 Landscape   3.2 Biodiversity     4 Politics   4.1 Foreign relations   4.2 Administrative divisions     5 Military   6 Economy   6.1 Energy   6.2 Agriculture   6.3 Tourism   6.4 Transportation   6.5 Science and technology     7 Demographics   7.1 Ethnic groups   7.2 Urbanization   7.3 Language   7.4 Religion   7.5 Education     8 Culture   8.1 Music and folk dances   8.2 Literature   8.3 Folk art   8.4 Cuisine   8.5 Architecture   8.6 Visual art   8.7 Cinema   8.8 Media and media freedom   8.9 Human rights in Azerbaijan   8.10 Sports     9 See also   10 Notes   11 References   12 Further reading   13 External links      Etymology ( edit )  Azerbaijan and its main cities  According to a modern etymology , the name of Azerbaijan derives from that of Atropates , a Persian satrap under the Achaemenid Empire , who was later reinstated as the satrap of Media under Alexander the Great . The original etymology of this name is thought to have its roots in the once - dominant Zoroastrianism . In the Avesta , Frawardin Yasht ( `` Hymn to the Guardian Angels '' ) , there is a mention of âterepâtahe ashaonô fravashîm ýazamaide , which literally translates from Avestan as `` we worship the fravashi of the holy Atropatene . '' The name `` Atropates '' itself is the Greek transliteration of an Old Iranian , probably Median , compounded name with the meaning `` Protected by the ( Holy ) Fire '' or `` The Land of the ( Holy ) Fire '' . The Greek name was mentioned by Diodorus Siculus and Strabo . Over the span of millennia the name evolved to Āturpātākān ( Middle Persian ) then to Ādharbādhagān , Ādharbāyagān , Āzarbāydjān ( New Persian ) and present - day Azerbaijan .  Further information : Atropatene and Caucasian Albania  In 1918 , the government of Musavat adopted the name `` Azerbaijan '' for the new Azerbaijan Democratic Republic , which was proclaimed on 28 May 1918 , for political reasons , even though the name of `` Azerbaijan '' had always been used to refer to the adjacent region of contemporary northwestern Iran . Thus , until 1918 , when the Musavat regime decided to name the newly - independent state Azerbaijan , the designation had been used exclusively to identify the Iranian province of Azerbaijan .   During Soviet rule , the country was also spelled in English from the Russian transliteration as `` Azerbaydzhan '' .   History ( edit )  Main article : History of Azerbaijan  Antiquity ( edit )  Further information : Caucasian Albania Petroglyphs in Gobustan National Park dating back to the 10th millennium BC indicating a thriving culture . It is a UNESCO World Heritage Site considered to be of `` outstanding universal value '' .  The earliest evidence of human settlement in the territory of Azerbaijan dates back to the late Stone Age and is related to the Guruchay culture of Azokh Cave . The Upper Paleolithic and late Bronze Age cultures are attested in the caves of Tağılar , Damcılı , Zar , Yataq - yeri and in the necropolises of Leylatepe and Saraytepe .   Early settlements included the Scythians in the 9th century BC . Following the Scythians , Iranian Medes came to dominate the area to the south of the Aras . The Medes forged a vast empire between 900 -- 700 BC , which was integrated into the Achaemenid Empire around 550 BC . The area was conquered by the Achaemenids leading to the spread of Zoroastrianism . Later it became part of Alexander the Great 's Empire and its successor , the Seleucid Empire . During this period , Zoroastrianism spread in the Caucasus and Atropatene . Caucasian Albanians , the original inhabitants of northeastern Azerbaijan , ruled that area from around the 4th century BC , and established an independent kingdom .   From the sasanid period to the Safavid period ( edit )  The Maiden Tower and The Palace of the Shirvanshahs in the Old City of Baku is a UNESCO World Heritage Site built in the 11th -- 12th century .  The Sasanian Empire turned Caucasian Albania into a vassal state in 252 , while King Urnayr officially adopted Christianity as the state religion in the 4th century . Despite Sassanid rule , Albania remained an entity in the region until the 9th century , while fully subordinate to Sassanid Iran , and retained its monarchy . Despite being one of the chief vassals of the Sasanian emperor , the Albanian king had only a semblance of authority , and the Sasanian marzban ( military governor ) held most civil , religious , and military authority .   In the first half of the 7th century , Caucasian Albania , as a vassal of the Sasanians , came under nominal Muslim rule due to the Muslim conquest of Persia . The Umayyad Caliphate repulsed both the Sasanians and Byzantines from Transcaucasia and turned Caucasian Albania into a vassal state after Christian resistance led by King Javanshir , was suppressed in 667 . The power vacuum left by the decline of the Abbasid Caliphate was filled by numerous local dynasties such as the Sallarids , Sajids , Shaddadids , Rawadids and Buyids . At the beginning of the 11th century , the territory was gradually seized by waves of Oghuz Turks from Central Asia . The first of these Turkic dynasties established was the Seljuk Empire , who entered the area now known as Azerbaijan by 1067 .   The pre-Turkic population that lived on the territory of modern Azerbaijan spoke several Indo - European and Caucasian languages , among them Armenian and an Iranian language , Old Azeri , which was gradually replaced by a Turkic language , the early precursor of the Azerbaijani language of today . Some linguists have also stated that the Tati dialects of Iranian Azerbaijan and the Republic of Azerbaijan , like those spoken by the Tats , are descended from Old Azeri . Locally , the possessions of the subsequent Seljuk Empire were ruled by Eldiguzids , technically vassals of the Seljuk sultans , but sometimes de facto rulers themselves . Under the Seljuks , local poets such as Nizami Ganjavi and Khaqani gave rise to a blossoming of Persian literature on the territory of present - day Azerbaijan .   The next ruling state , the Jalairid Sultanate , was short - lived and fell as a conquest of Timur .   The local dynasty of the Shirvanshahs became a vassal state of Timur 's Empire , and assisted him in his war with the ruler of the Golden Horde Tokhtamysh . Following Timur 's death , two independent and rival states emerged : Kara Koyunlu and Aq Qoyunlu . The Shirvanshahs returned , maintaining a high degree of autonomy as local rulers and vassals from 861 , for numerous centuries to come . In 1501 , the Safavid dynasty of Iran subdued the Shirvanshahs , and gained its possessions . In the course of the next century , the Safavids converted the formerly Sunni population to Shia Islam , as they did with the population in what is modern - day Iran . The Safavids allowed the Shirvanshahs to remain in power , under Safavid suzerainty , until 1538 , when Safavid king Tahmasp I ( r . 1524 - 1576 ) completely deposed them , and made the area into the Safavid province of Shirvan . The Sunni Ottomans briefly managed to occupy parts of present - day Azerbaijan as a result of the Ottoman - Safavid War of 1578 - 1590 ; by the early 17th century , they were ousted by Safavid Iranian ruler Abbas I ( r . 1588 - 1629 ) . In the wake of the demise of the Safavid Empire , Baku and its environs were briefly occupied by the Russians as a consequence of the Russo - Persian War of 1722 - 1723 . Despite brief intermissions such as these by Safavid Iran 's neighboring rivals , the land of what is today Azerbaijan remained under Iranian rule from the earliest advent of the Safavids up to the course of the 19th century .   Contemporary history ( edit )  Main articles : Russo - Persian Wars , Treaty of Gulistan , and Treaty of Turkmenchay See also : Azerbaijan Democratic Republic , Azerbaijan SSR , and Operation Edelweiss Territories of the khanates ( and sultanates ) in the 18th -- 19th century .  After the Safavids , the area was ruled by the Iranian Afsharid dynasty . After the death of Nader Shah ( r . 1736 - 1747 ) , many of his former subjects capitalized on the eruption of instability . Numerous self - ruling khanates with various forms of autonomy emerged in the area . These rulers of these khanates were directly related to the ruling dynasties of Iran , and were vassals and subjects of the Iranian shah . The khanates exercised control over their affairs via international trade routes between Central Asia and the West .   Thereafter , the area was under the successive rule of the Iranian Zands and Qajars . From the late 18th century , Imperial Russia switched to a more aggressive geo - political stance towards its two neighbors and rivals to the south , namely Iran and the Ottoman Empire . Russia now actively tried to gain possession of the Caucasus region which was , for the most part , in the hands of Iran . In 1804 , the Russians invaded and sacked the Iranian town of Ganja , sparking the Russo - Persian War of 1804 - 1813 . Militarily superior , the Russians ended the Russo - Persian War of 1804 - 1813 with a victory .  The siege of Ganja Fortress in 1804 during the Russo - Persian War of 1804 - 1813 by Russian forces under the leadership of General Pavel Tsitsianov .  Following Qajar Iran 's loss in the 1804 -- 1813 war , it was forced to concede suzerainty over most of the khanates , along with Georgia and Dagestan to the Russian Empire , per the Treaty of Gulistan .   The area to the north of the river Aras , amongst which territory lies the contemporary Republic of Azerbaijan , was Iranian territory until it was occupied by Russia in the 19th century . About a decade later , in violation of the Gulistan treaty , the Russians invaded Iran 's Erivan Khanate . This sparked the final bout of hostilities between the two , the Russo - Persian War of 1826 - 1828 . The resulting Treaty of Turkmenchay , forced Qajar Iran to cede sovereignty over the Erivan Khanate , the Nakhchivan Khanate and the remainder of the Lankaran Khanate , comprising the last parts of the soil of the contemporary Azerbaijani Republic that were still in Iranian hands . After incorporation of all Caucasian territories from Iran into Russia , the new border between the two was set at the Aras River , which , upon the Soviet Union 's disintegration , subsequently became part of the border between Iran and the Azerbaijan Republic .   Qajar Iran was forced to cede its Caucasian territories to Russia in the 19th century , which thus included the territory of the modern - day Azerbaijan Republic , while as a result of that cession , the Azerbaijani ethnic group is nowadays parted between two nations : Iran and Azerbaijan . Nevertheless , the number of ethnic Azerbaijanis in Iran far outnumber those in neighbouring Azerbaijan .   After the collapse of the Russian Empire during World War I , the short - lived Transcaucasian Democratic Federative Republic was declared , constituting what are the present - day republics of Azerbaijan , Georgia , and Armenia .   It was followed by the March Days massacres that took place between 30 March and 2 April 1918 in the city of Baku and adjacent areas of the Baku Governorate of the Russian Empire . When the republic dissolved in May 1918 , the leading Musavat party declared independence as the Azerbaijan Democratic Republic ( ADR ) , adopting the name of `` Azerbaijan '' for the new republic ; a name that prior to the proclamation of the ADR was solely used to refer to the adjacent northwestern region of contemporary Iran . The ADR was the first modern parliamentary republic in the Muslim world . Among the important accomplishments of the Parliament was the extension of suffrage to women , making Azerbaijan the first Muslim nation to grant women equal political rights with men . Another important accomplishment of ADR was the establishment of Baku State University , which was the first modern - type university founded in the Muslim East .  Map presented by delegation from Azerbaijan to Paris Peace Conference in 1919 .  By March 1920 , it was obvious that Soviet Russia would attack Baku . Vladimir Lenin said that the invasion was justified as Soviet Russia could not survive without Baku 's oil . Independent Azerbaijan lasted only 23 months until the Bolshevik 11th Soviet Red Army invaded it , establishing the Azerbaijan SSR on 28 April 1920 . Although the bulk of the newly formed Azerbaijani army was engaged in putting down an Armenian revolt that had just broken out in Karabakh , Azerbaijanis did not surrender their brief independence of 1918 -- 20 quickly or easily . As many as 20,000 Azerbaijani soldiers died resisting what was effectively a Russian reconquest .   On 13 October 1921 , the Soviet republics of Russia , Armenia , Azerbaijan , and Georgia signed an agreement with Turkey known as the Treaty of Kars . The previously independent Republic of Aras would also become the Nakhichevan Autonomous Soviet Socialist Republic within the Azerbaijan SSR by the treaty of Kars . On the other hand , Armenia was awarded the region of Zangezur and Turkey agreed to return Gyumri ( then known as Alexandropol ) .   During World War II , Azerbaijan played a crucial role in the strategic energy policy of the Soviet Union , with 80 percent of the Soviet Union 's oil on the Eastern Front being supplied by Baku . By the Decree of the Supreme Soviet of the USSR in February 1942 , the commitment of more than 500 workers and employees of the oil industry of Azerbaijan were awarded orders and medals . Operation Edelweiss carried out by the German Wehrmacht targeted Baku because of its importance as the energy ( petroleum ) dynamo of the USSR . A fifth of all Azerbaijanis fought in the Second World War from 1941 to 1945 . Approximately 681,000 people with over 100,000 of them women went to the front , while the total population of Azerbaijan was 3.4 million at the time . Some 250,000 people from Azerbaijan were killed on the front . More than 130 Azerbaijanis were named Heroes of the Soviet Union . Azerbaijani Major - General Azi Aslanov was twice awarded the Hero of the Soviet Union .   Independence ( edit )  Red Army paratroops during the Black January tragedy in 1990 .  Following the politics of glasnost , initiated by Mikhail Gorbachev , civil unrest and ethnic strife grew in various regions of the Soviet Union , including Nagorno - Karabakh , an autonomous region of the Azerbaijan SSR . The disturbances in Azerbaijan , in response to Moscow 's indifference to already heated conflict , resulted in calls for independence and secession , which culminated in Black January in Baku . Later in 1990 , the Supreme Council of the Azerbaijan SSR dropped the words `` Soviet Socialist '' from the title , adopted the Declaration of Sovereignty of the Azerbaijan Republic and restored flag of the Azerbaijan Democratic Republic as the state flag . As an consequence of the failed coup that occurred in August in Moscow , on 18 October 1991 , the Supreme Council of Azerbaijan adopted a Declaration of Independence which was affirmed by a nationwide referendum in December 1991 , when the Soviet Union officially ceased to exist on 26 December 1991 .   The early years of independence were overshadowed by the Nagorno - Karabakh war with the ethnic Armenian majority of Nagorno - Karabakh backed by Armenia . By the end of hostilities in 1994 , Armenians controlled up to 14 -- 16 percent of Azerbaijani territory , including Nagorno - Karabakh itself . During the war many atrocities were committed including the massacre at Malibeyli and Gushchular , the Garadaghly , Agdaban and the Khojaly massacres . Furthermore , an estimated 30,000 people had been killed and more than a million people had been displaced . Four United Nations Security Council Resolutions ( 822 , 853 , 874 , and 884 ) demand for `` the immediate withdrawal of all Armenian forces from all occupied territories of Azerbaijan . '' Many Russians and Armenians left Azerbaijan during the 1990s . According to the 1970 census , there were 510,000 ethnic Russians and 484,000 Armenians in Azerbaijan .   In 1993 , democratically elected president Abulfaz Elchibey was overthrown by a military insurrection led by Colonel Surat Huseynov , which resulted in the rise to power of the former leader of Soviet Azerbaijan , Heydar Aliyev . In 1994 , Surat Huseynov , by that time a prime minister , attempted another military coup against Heydar Aliyev , but Huseynov was arrested and charged with treason . A year later , in 1995 , another coup was attempted against Aliyev , this time by the commander of the OMON special unit , Rovshan Javadov . The coup was averted , resulting in the killing of the latter and disbanding of Azerbaijan 's OMON units . At the same time , the country was tainted by rampant corruption in the governing bureaucracy . In October 1998 , Aliyev was reelected for a second term . Despite the much improved economy , particularly with the exploitations of Azeri - Chirag - Guneshli oil field and Shah Deniz gas field , Aliyev 's presidency was criticized due to suspected vote fraud and corruption .   Ilham Aliyev , the son of Heydar Aliyev , became chairman of the New Azerbaijan Party as well as President of Azerbaijan when his father died in 2003 . He was reelected to a third term as president in October 2013 .   Geography ( edit )  Azerbaijan map of Köppen climate classification . Main articles : Geography of Azerbaijan , Environment of Azerbaijan , State reserves of Azerbaijan , and National parks of Azerbaijan See also : Extreme points of Azerbaijan Caucasus Mountains in northern Azerbaijan .  Geographically Azerbaijan is located in the South Caucasus region of Eurasia , straddling Western Asia and Eastern Europe . It lies between latitudes 38 ° and 42 ° N , and longitudes 44 ° and 51 ° E. The total length of Azerbaijan 's land borders is 2,648 km ( 1,645 mi ) , of which 1,007 kilometers are with Armenia , 756 kilometers with Iran , 480 kilometers with Georgia , 390 kilometers with Russia and 15 kilometers with Turkey . The coastline stretches for 800 km ( 497 mi ) , and the length of the widest area of the Azerbaijani section of the Caspian Sea is 456 km ( 283 mi ) . The territory of Azerbaijan extends 400 km ( 249 mi ) from north to south , and 500 km ( 311 mi ) from west to east .   Three physical features dominate Azerbaijan : the Caspian Sea , whose shoreline forms a natural boundary to the east ; the Greater Caucasus mountain range to the north ; and the extensive flatlands at the country 's center . There are also three mountain ranges , the Greater and Lesser Caucasus , and the Talysh Mountains , together covering approximately 40 % of the country . The highest peak of Azerbaijan is mount Bazardüzü ( 4,466 m ) , while the lowest point lies in the Caspian Sea ( − 28 m ) . Nearly half of all the mud volcanoes on Earth are concentrated in Azerbaijan , these volcanoes were also among nominees for the New7Wonders of Nature .   The main water sources are surface waters . However , only 24 of the 8,350 rivers are greater than 100 km ( 62 mi ) in length . All the rivers drain into the Caspian Sea in the east of the country . The largest lake is Sarysu ( 67 km2 ) , and the longest river is Kur ( 1,515 km ) , which is transboundary with Armenia . Azerbaijan 's four main islands in the Caspian Sea have a combined area of over thirty square kilometers .   Since the independence of Azerbaijan in 1991 , the Azerbaijani government has taken drastic measures to preserve the environment of Azerbaijan . But national protection of the environment started to truly improve after 2001 when the state budget increased due to new revenues provided by the Baku - Tbilisi - Ceyhan pipeline . Within four years protected areas doubled and now make up eight percent of the country 's territory . Since 2001 the government has set up seven large reserves and almost doubled the sector of the budget earmarked for environmental protection .   Landscape ( edit )  Main articles : Orography of Azerbaijan , Climate of Azerbaijan , and Water bodies of Azerbaijan Mount Bazarduzu , the highest peak of Azerbaijan , as seen from Mount Shahdagh The landscape of Khinalug valley .  Azerbaijan is home to a vast variety of landscapes . Over half of Azerbaijan 's land mass consists of mountain ridges , crests , yailas , and plateaus which rise up to hypsometric levels of 400 -- 1000 meters ( including the Middle and Lower lowlands ) , in some places ( Talis , Jeyranchol - Ajinohur and Langabiz - Alat foreranges ) up to 100 -- 120 meters , and others from 0 -- 50 meters and up ( Qobustan , Absheron ) . The rest of Azerbaijan 's terrain consist of plains and lowlands . Hypsometric marks within the Caucasus region vary from about − 28 meters at the Caspian Sea shoreline up to 4,466 meters ( Bazardüzü peak ) .   The formation of climate in Azerbaijan is influenced particularly by cold arctic air masses of Scandinavian anticyclone , temperate of Siberian anticyclone , and Central Asian anticyclone . Azerbaijan 's diverse landscape affects the ways air masses enter the country . The Greater Caucasus protects the country from direct influences of cold air masses coming from the north . That leads to the formation of subtropical climate on most foothills and plains of the country . Meanwhile , plains and foothills are characterized by high solar radiation rates .   9 out of 11 existing climate zones are present in Azerbaijan . Both the absolute minimum temperature ( − 33 ° C or − 27.4 ° F ) and the absolute maximum temperature ( 46 ° C or 114.8 ° F ) were observed in Julfa and Ordubad -- regions of Nakhchivan Autonomous Republic . The maximum annual precipitation falls in Lankaran ( 1,600 to 1,800 mm or 63 to 71 in ) and the minimum in Absheron ( 200 to 350 mm or 7.9 to 13.8 in ) .  Murovdag is the highest mountain range in the Lesser Caucasus .  Rivers and lakes form the principal part of the water systems of Azerbaijan , they were formed over a long geological timeframe and changed significantly throughout that period ( what period would that be ? ? ) . This is particularly evidenced by remnants of ancient rivers found throughout the country . The country 's water systems are continually changing under the influence of natural forces and human introduced industrial activities . Artificial rivers ( canals ) and ponds are a part of Azerbaijan 's water systems . In terms of water supply , Azerbaijan is below the average in the world with approximately 100,000 cubic metres ( 3,531,467 cubic feet ) per year of water per square kilometer . All big water reservoirs are built on Kur . The hydrography of Azerbaijan basically belongs to the Caspian Sea basin .   There are 8,350 rivers of various lengths within Azerbaijan . Only 24 rivers are over 100 kilometers long . The Kura and Aras are the major rivers in Azerbaijan , they run through the Kura - Aras Lowland . The rivers that directly flow into the Caspian Sea , originate mainly from the north - eastern slope of the Major Caucasus and Talysh Mountains and run along the Samur -- Devechi and Lankaran lowlands .   Yanar Dag , translated as `` burning mountain '' , is a natural gas fire which blazes continuously on a hillside on the Absheron Peninsula on the Caspian Sea near Baku , which itself is known as the `` land of fire . '' Flames jet out into the air from a thin , porous sandstone layer . It is a tourist attraction to visitors to the Baku area .   Biodiversity ( edit )  Main article : Wildlife of Azerbaijan Further information : Fauna of Azerbaijan and Flora of Azerbaijan The Karabakh horse is the national animal of Azerbaijan .  The first reports on the richness and diversity of animal life in Azerbaijan can be found in travel notes of Eastern travelers . Animal carvings on architectural monuments , ancient rocks and stones survived up to the present times . The first information on the flora and fauna of Azerbaijan was collected during the visits of naturalists to Azerbaijan in the 17th century .   There are 106 species of mammals , 97 species of fish , 363 species of birds , 10 species of amphibians and 52 species of reptiles which have been recorded and classified in Azerbaijan . The national animal of Azerbaijan is the Karabakh horse , a mountain - steppe racing and riding horse endemic to Azerbaijan . The Karabakh horse has a reputation for its good temper , speed , elegance and intelligence . It is one of the oldest breeds , with ancestry dating to the ancient world . However , today the horse is an endangered species .   Azerbaijan 's flora consists of more than 4,500 species of higher plants . Due to the unique climate in Azerbaijan , the flora is much richer in the number of species than the flora of the other republics of the South Caucasus . About 67 percent of the species growing in the whole Caucasus can be found in Azerbaijan .   Politics ( edit )  Main article : Politics of Azerbaijan See also : Elections in Azerbaijan and Human rights in Azerbaijan Government building . The son of former President Heydar Aliyev , Ilham Aliyev succeeded his father and has remained in power since 2003 .  The structural formation of Azerbaijan 's political system was completed by the adoption of the new Constitution on 12 November 1995 . According to Article 23 of the Constitution , the state symbols of the Azerbaijan Republic are the flag , the coat of arms , and the national anthem . The state power in Azerbaijan is limited only by law for internal issues , but for international affairs is additionally limited by the provisions of international agreements .   The government of Azerbaijan is based on the separation of powers among the legislative , executive , and judicial branches . The legislative power is held by the unicameral National Assembly and the Supreme National Assembly in the Nakhchivan Autonomous Republic . Parliamentary elections are held every five years , on the first Sunday of November . The Yeni Azerbaijan Party , and independents loyal to the ruling government , currently hold almost all of the Parliament 's 125 seats . During the 2010 Parliamentary election , the opposition parties , Musavat and Azerbaijani Popular Front Party , failed to win a single seat . European observers found numerous irregularities in the run - up to the election and on election day .   The executive power is held by the president , who is elected for a seven - year term by direct elections , and the prime minister . The president is authorized to form the Cabinet , a collective executive body , accountable to both the president and the National Assembly . The Cabinet of Azerbaijan consists primarily of the prime minister , his deputies , and ministers . The president does not have the right to dissolve the National Assembly , but he has the right to veto its decisions . To override the presidential veto , the parliament must have a majority of 95 votes . The judicial power is vested in the Constitutional Court , Supreme Court , and the Economic Court . The president nominates the judges in these courts . The European Commission for the Efficiency of Justice ( CEPEJ ) report refers to the Azerbaijani justice model on the selection of new judges as best practice that reflects the particular features and the course of development towards ensuring the independence and quality of the judiciary in a new democracy .   The Security C</t>
  </si>
  <si>
    <t xml:space="preserve">what is the capital of azerbaijan in europe</t>
  </si>
  <si>
    <t xml:space="preserve">  Capital   Baku 40 ° 25 ′ N 49 ° 50 ′ E ﻿ / ﻿ 40.417 ° N 49.833 ° E ﻿ / 40.417 ; 49.833  </t>
  </si>
  <si>
    <t xml:space="preserve">List of Scandal episodes - wikipedia  List of Scandal episodes  Jump to : navigation , search  Scandal is an American political thriller television series created by Shonda Rhimes , that ran on ABC from April 5 , 2012 until April 19 , 2018 .   Kerry Washington stars as Olivia Pope , a former White House Communications Director who leaves to start her own crisis management firm , Pope and Associates , where she works to keep the secrets and protect the public images of the country 's most powerful and elite . On staff at the new firm are fresh - faced lawyer Quinn Perkins ( Katie Lowes ) ; smooth talking litigator Harrison Wright ( Columbus Short ) ; investigator Abby Whelan ( Darby Stanchfield ) ; and computer hacker with a CIA past Huck ( Guillermo Diaz ) . The show also focuses on President of the United States Fitzgerald Grant ( Tony Goldwyn ) ; First Lady Mellie Grant ( Bellamy Young ) ; White House Chief of Staff Cyrus Beene ( Jeff Perry ) ; Vice President and eventual presidential candidate Sally Langston ( Kate Burton ) ; U.S. Attorney David Rosen ( Joshua Malina ) ; Head of NSA , Jake Ballard ( Scott Foley ) ; chairwoman Elizabeth North ( Portia de Rossi ) ; activist Marcus Walker ( Cornelius Smith Jr . ) ; and head of B613 Eli Pope ( Joe Morton ) .   During the course of the series , 124 episodes of Scandal aired , including one special .     Contents  ( hide )   1 Series overview   2 Episodes   2.1 Season 1 ( 2012 )   2.2 Season 2 ( 2012 -- 13 )   2.3 Season 3 ( 2013 -- 14 )   2.4 Season 4 ( 2014 -- 15 )   2.5 Season 5 ( 2015 -- 16 )   2.6 Season 6 ( 2017 )   2.7 Season 7 ( 2017 -- 18 )     3 Specials   4 Webisodes   4.1 Gladiator Wanted     5 Ratings   6 References   7 External links      Series overview ( edit )     Season   Episodes   Originally aired   Nielsen ratings     First aired   Last aired   Rank   Viewers ( in millions )         7   April 5 , 2012 ( 2012 - 04 - 05 )   May 17 , 2012 ( 2012 - 05 - 17 )   62   8.21         22   September 27 , 2012 ( 2012 - 09 - 27 )   May 16 , 2013 ( 2013 - 05 - 16 )   47   8.46         18   October 3 , 2013 ( 2013 - 10 - 03 )   April 17 , 2014 ( 2014 - 04 - 17 )   13   12.00         22   September 25 , 2014 ( 2014 - 09 - 25 )   May 14 , 2015 ( 2015 - 05 - 14 )   8   12.66       5   21   September 24 , 2015 ( 2015 - 09 - 24 )   May 12 , 2016 ( 2016 - 05 - 12 )   16   10.68       6   16   January 26 , 2017 ( 2017 - 01 - 26 )   May 18 , 2017 ( 2017 - 05 - 18 )   30   8.16       7   18   October 5 , 2017 ( 2017 - 10 - 05 )   April 19 , 2018 ( 2018 - 04 - 19 )   TBA   TBA     Episodes ( edit )   Season 1 ( 2012 ) ( edit )  Main article : Scandal ( season 1 )    No . overall   No. in season   Title   Directed by   Written by   Original air date   Prod . code   U.S. viewers ( millions )         `` Sweet Baby ''   Paul McGuigan   Shonda Rhimes   April 5 , 2012 ( 2012 - 04 - 05 )   101   7.33         `` Dirty Little Secrets ''   Roxann Dawson   Heather Mitchell   April 12 , 2012 ( 2012 - 04 - 12 )   102   7.28         `` Hell Hath No Fury ''   Allison Liddi - Brown   Matt Byrne   April 19 , 2012 ( 2012 - 04 - 19 )   103   7.21         `` Enemy of the State ''   Michael Katleman   Richard E. Robbins   April 26 , 2012 ( 2012 - 04 - 26 )   104   6.86     5   5   `` Crash and Burn ''   Steve Robin   Mark Wilding   May 3 , 2012 ( 2012 - 05 - 03 )   105   6.69     6   6   `` The Trail ''   Tom Verica   Jenna Bans   May 10 , 2012 ( 2012 - 05 - 10 )   106   6.43     7   7   `` Grant : For the People ''   Roxann Dawson   Shonda Rhimes   May 17 , 2012 ( 2012 - 05 - 17 )   107   7.33     Season 2 ( 2012 -- 13 ) ( edit )  Main article : Scandal ( season 2 )    No . overall   No. in season   Title   Directed by   Written by   Original air date   Prod . code   U.S. viewers ( millions )     8     `` White Hat 's Off ''   Tom Verica   Jenna Bans   September 27 , 2012 ( 2012 - 09 - 27 )   201   6.74     9     `` The Other Woman ''   Stephen Cragg   Heather Mitchell   October 4 , 2012 ( 2012 - 10 - 04 )   202   6.56     10     `` Hunting Season ''   Ron Underwood   Matt Byrne   October 18 , 2012 ( 2012 - 10 - 18 )   203   6.17     11     `` Beltway Unbuckled ''   Mark Tinker   Mark Fish   October 25 , 2012 ( 2012 - 10 - 25 )   204   6.11     12   5   `` All Roads Lead to Fitz ''   Steve Robin   Raamla Mohamed   November 8 , 2012 ( 2012 - 11 - 08 )   205   6.06     13   6   `` Spies Like Us ''   Bethany Rooney   Chris Van Dusen   November 15 , 2012 ( 2012 - 11 - 15 )   206   6.02     14   7   `` Defiance ''   Tom Verica   Peter Noah   November 29 , 2012 ( 2012 - 11 - 29 )   207   6.64     15   8   `` Happy Birthday , Mr. President ''   Oliver Bokelberg   Shonda Rhimes   December 6 , 2012 ( 2012 - 12 - 06 )   208   7.39     16   9   `` Blown Away ''   Jessica Yu   Mark Wilding   December 13 , 2012 ( 2012 - 12 - 13 )   209   7.14     17   10   `` One for the Dog ''   Steve Robin   Heather Mitchell   January 10 , 2013 ( 2013 - 01 - 10 )   210   8.37     18   11   `` A Criminal , a Whore , an Idiot and a Liar ''   Stephen Cragg   Mark Fish   January 17 , 2013 ( 2013 - 01 - 17 )   211   7.93     19   12   `` Truth or Consequences ''   Jeannot Szwarc   Peter Noah   January 31 , 2013 ( 2013 - 01 - 31 )   212   8.09     20   13   `` Nobody Likes Babies ''   Tom Verica   Mark Wilding   February 7 , 2013 ( 2013 - 02 - 07 )   213   8.14     21   14   `` Whiskey Tango Foxtrot ''   Mark Tinker   Matt Byrne   February 14 , 2013 ( 2013 - 02 - 14 )   214   8.02     22   15   `` Boom Goes the Dynamite ''   Randy Zisk   Jenna Bans   February 21 , 2013 ( 2013 - 02 - 21 )   215   7.68     23   16   `` Top of the Hour ''   Steve Robin   Heather Mitchell   March 21 , 2013 ( 2013 - 03 - 21 )   216   8.51     24   17   `` Snake in the Garden ''   Ron Underwood   Raamla Mohamed   March 28 , 2013 ( 2013 - 03 - 28 )   217   7.97     25   18   `` Molly , You in Danger , Girl ''   Tom Verica   Chris Van Dusen   April 4 , 2013 ( 2013 - 04 - 04 )   218   8.04     26   19   `` Seven Fifty - Two ''   Allison Liddi - Brown   Mark Fish   April 25 , 2013 ( 2013 - 04 - 25 )   219   7.90     27   20   `` A Woman Scorned ''   Tony Goldwyn   Zahir McGhee   May 2 , 2013 ( 2013 - 05 - 02 )   220   8.07     28   21   `` Any Questions ? ''   Mark Tinker   Matt Byrne   May 9 , 2013 ( 2013 - 05 - 09 )   221   8.87     29   22   `` White Hat 's Back On ''   Tom Verica   Shonda Rhimes   May 16 , 2013 ( 2013 - 05 - 16 )   222   9.12     Season 3 ( 2013 -- 14 ) ( edit )  Main article : Scandal ( season 3 )    No . overall   No. in season   Title   Directed by   Written by   Original air date   Prod . code   U.S. viewers ( millions )     30     `` It 's Handled ''   Tom Verica   Shonda Rhimes   October 3 , 2013 ( 2013 - 10 - 03 )   301   10.52     31     `` Guess Who 's Coming to Dinner ''   Allison Liddi - Brown   Heather Mitchell   October 10 , 2013 ( 2013 - 10 - 10 )   302   9.01     32     `` Mrs. Smith Goes to Washington ''   Jeannot Szwarc   Matt Byrne   October 17 , 2013 ( 2013 - 10 - 17 )   303   9.51     33     `` Say Hello to My Little Friend ''   Oliver Bokelberg   Mark Fish   October 24 , 2013 ( 2013 - 10 - 24 )   304   8.62     34   5   `` More Cattle , Less Bull ''   Randy Zisk   Jenna Bans   October 31 , 2013 ( 2013 - 10 - 31 )   305   9.18     35   6   `` Icarus ''   Julie Anne Robinson   Peter Noah   November 7 , 2013 ( 2013 - 11 - 07 )   306   8.66     36   7   `` Everything 's Coming Up Mellie ''   Michael Katleman   Peter Nowalk   November 14 , 2013 ( 2013 - 11 - 14 )   307   9.04     37   8   `` Vermont is for Lovers , Too ''   Ava DuVernay   Mark Wilding   November 21 , 2013 ( 2013 - 11 - 21 )   308   8.93     38   9   `` YOLO ''   Oliver Bokelberg   Chris Van Dusen   December 5 , 2013 ( 2013 - 12 - 05 )   309   8.27     39   10   `` A Door Marked Exit ''   Tom Verica   Zahir McGhee   December 12 , 2013 ( 2013 - 12 - 12 )   310   9.22     40   11   `` Ride , Sally , Ride ''   Tom Verica   Raamla Mohamed   February 27 , 2014 ( 2014 - 02 - 27 )   311   9.32     41   12   `` We Do Not Touch the First Ladies ''   Oliver Bokelberg   Heather Mitchell   March 6 , 2014 ( 2014 - 03 - 06 )   312   8.53     42   13   `` No Sun on the Horizon ''   Randy Zisk   Matt Byrne   March 13 , 2014 ( 2014 - 03 - 13 )   313   8.22     43   14   `` Kiss Kiss Bang Bang ''   Paul McCrane   Mark Fish   March 20 , 2014 ( 2014 - 03 - 20 )   314   9.08     44   15   `` Mama Said Knock You Out ''   Tony Goldwyn   Zahir McGhee   March 27 , 2014 ( 2014 - 03 - 27 )   315   9.01     45   16   `` The Fluffer ''   Jeannot Szwarc   Chris Van Dusen &amp; Raamla Mohamed   April 3 , 2014 ( 2014 - 04 - 03 )   316   9.13     46   17   `` Flesh and Blood ''   Debbie Allen   Severiano Canales &amp; Miguel Nolla   April 10 , 2014 ( 2014 - 04 - 10 )   317   9.23     47   18   `` The Price of Free and Fair Elections ''   Tom Verica   Shonda Rhimes &amp; Mark Wilding   April 17 , 2014 ( 2014 - 04 - 17 )   318   10.57     Season 4 ( 2014 -- 15 ) ( edit )  Main article : Scandal ( season 4 )    No . overall   No. in season   Title   Directed by   Written by   Original air date   Prod . code   U.S. viewers ( millions )     48     `` Randy , Red , Superfreak and Julia ''   Tom Verica   Shonda Rhimes   September 25 , 2014 ( 2014 - 09 - 25 )   401   11.96     49     `` The State of the Union ''   Allison Liddi - Brown   Heather Mitchell   October 2 , 2014 ( 2014 - 10 - 02 )   402   10.34     50     `` Inside the Bubble ''   Randy Zisk   Matt Byrne   October 9 , 2014 ( 2014 - 10 - 09 )   403   9.52     51     `` Like Father , Like Daughter ''   Paul McCrane   Mark Fish   October 16 , 2014 ( 2014 - 10 - 16 )   404A   9.90     52   5   `` The Key ''   Paul McCrane   Chris Van Dusen   October 23 , 2014 ( 2014 - 10 - 23 )   404B   9.98     53   6   `` An Innocent Man ''   Jeannot Szwarc   Zahir McGhee   October 30 , 2014 ( 2014 - 10 - 30 )   405   9.32     54   7   `` Baby Made a Mess ''   Oliver Bokelberg   Jenna Bans   November 6 , 2014 ( 2014 - 11 - 06 )   406   9.82     55   8   `` The Last Supper ''   Julie Anne Robinson   Allan Heinberg   November 13 , 2014 ( 2014 - 11 - 13 )   407   10.05     56   9   `` Where the Sun Do n't Shine ''   Tony Goldwyn   Mark Wilding   November 20 , 2014 ( 2014 - 11 - 20 )   408   10.14     57   10   `` Run ''   Tom Verica   Shonda Rhimes   January 29 , 2015 ( 2015 - 01 - 29 )   409   10.48     58   11   `` Where 's the Black Lady ? ''   Debbie Allen   Raamla Mohamed   February 5 , 2015 ( 2015 - 02 - 05 )   410   9.58     59   12   `` Gladiators Do n't Run ''   Randy Zisk   Paul Willam Davies   February 12 , 2015 ( 2015 - 02 - 12 )   411A   9.32     60   13   `` No More Blood ''   Randy Zisk   Heather Mitchell   February 19 , 2015 ( 2015 - 02 - 19 )   411B   9.62     61   14   `` The Lawn Chair ''   Tom Verica   Zahir McGhee   March 5 , 2015 ( 2015 - 03 - 05 )   412   9.57     62   15   `` The Testimony of Diego Muñoz ''   Allison Liddi - Brown   Mark Fish   March 12 , 2015 ( 2015 - 03 - 12 )   413   8.24     63   16   `` It 's Good to Be Kink ''   Paul McCrane   Matt Byrne   March 19 , 2015 ( 2015 - 03 - 19 )   414   7.79     64   17   `` Put a Ring on It ''   Regina King   Chris Van Dusen   March 26 , 2015 ( 2015 - 03 - 26 )   415   8.06     65   18   `` Honor Thy Father ''   Jeannot Szwarc   Severiano Canales   April 2 , 2015 ( 2015 - 04 - 02 )   416   7.27     66   19   `` I 'm Just a Bill ''   Debbie Allen   Raamla Mohamed   April 16 , 2015 ( 2015 - 04 - 16 )   417   7.86     67   20   `` First Lady Sings the Blues ''   David Rodriguez   Paul William Davies   April 23 , 2015 ( 2015 - 04 - 23 )   418   7.79     68   21   `` A Few Good Women ''   Oliver Bokelberg   Severiano Canales &amp; Jess Brownell   May 7 , 2015 ( 2015 - 05 - 07 )   419   7.44     69   22   `` You Ca n't Take Command ''   Tom Verica   Shonda Rhimes &amp; Mark Wilding   May 14 , 2015 ( 2015 - 05 - 14 )   420   8.08     Season 5 ( 2015 -- 16 ) ( edit )  Main article : Scandal ( season 5 )    No . overall   No. in season   Title   Directed by   Written by   Original air date   Prod . code   U.S. viewers ( millions )     70     `` Heavy Is the Head ''   Tom Verica   Shonda Rhimes   September 24 , 2015 ( 2015 - 09 - 24 )   501   10.25     71     `` Yes ''   Tony Goldwyn   Heather Mitchell   October 1 , 2015 ( 2015 - 10 - 01 )   502   9.12     72     `` Paris is Burning ''   Jann Turner   Matt Byrne   October 8 , 2015 ( 2015 - 10 - 08 )   503   8.76     73     `` Dog - Whistle Politics ''   Zetna Fuentes   Mark Fish   October 15 , 2015 ( 2015 - 10 - 15 )   504   8.06     74   5   `` You Got Served ''   Kevin Bray   Zahir McGhee   October 22 , 2015 ( 2015 - 10 - 22 )   505   8.28     75   6   `` Get Out of Jail , Free ''   Chandra Wilson   Chris Van Dusen   October 29 , 2015 ( 2015 - 10 - 29 )   506   7.80     76   7   `` Even the Devil Deserves a Second Chance ''   Oliver Bokelberg   Raamla Mohamed   November 5 , 2015 ( 2015 - 11 - 05 )   507   8.03     77   8   `` Rasputin ''   John Terlesky   Paul William Davies   November 12 , 2015 ( 2015 - 11 - 12 )   508   7.70     78   9   `` Baby , It 's Cold Outside ''   Tom Verica   Mark Wilding   November 19 , 2015 ( 2015 - 11 - 19 )   509   8.13     79   10   `` It 's Hard Out Here for a General ''   Tom Verica   Severiano Canales   February 11 , 2016 ( 2016 - 02 - 11 )   510   6.96     80   11   `` The Candidate ''   Allison Liddi - Brown   Alison Schapker   February 18 , 2016 ( 2016 - 02 - 18 )   511A   6.09     81   12   `` Wild Card ''   Allison Liddi - Brown &amp; Tom Verica   Mark Fish   February 25 , 2016 ( 2016 - 02 - 25 )   511B   5.85     82   13   `` The Fish Rots from the Head ''   Sharat Raju   Heather Mitchell   March 10 , 2016 ( 2016 - 03 - 10 )   512   5.97     83   14   `` I See You ''   Paris Barclay   Matt Byrne   March 17 , 2016 ( 2016 - 03 - 17 )   513   6.31     84   15   `` Pencils Down ''   Regina King   Chris Van Dusen   March 24 , 2016 ( 2016 - 03 - 24 )   514   6.15     85   16   `` The Miseducation of Susan Ross ''   Scott Foley   Raamla Mohamed   March 31 , 2016 ( 2016 - 03 - 31 )   516   6.44     86   17   `` Thwack ! ''   Tony Goldwyn   Zahir McGhee   April 7 , 2016 ( 2016 - 04 - 07 )   517   5.88     87   18   `` Till Death Do Us Part ''   Steph Green   Paul William Davies   April 21 , 2016 ( 2016 - 04 - 21 )   518   6.00     88   19   `` Buckle Up ''   Oliver Bokelberg   Michelle Lirtzman   April 28 , 2016 ( 2016 - 04 - 28 )   519   6.25     89   20   `` Trump Card ''   Jann Turner   Severiano Canales &amp; Jess Brownell   May 5 , 2016 ( 2016 - 05 - 05 )   520   6.06     90   21   `` That 's My Girl ''   Tom Verica   Shonda Rhimes &amp; Mark Wilding   May 12 , 2016 ( 2016 - 05 - 12 )   521   6.65     Season 6 ( 2017 ) ( edit )  Main article : Scandal ( season 6 )    No . overall   No. in season   Title   Directed by   Written by   Original air date   Prod . code   U.S. viewers ( millions )     91     `` Survival of the Fittest ''   Tom Verica   Shonda Rhimes   January 26 , 2017 ( 2017 - 01 - 26 )   601   7.62     92     `` Hardball ''   Allison Liddi - Brown   Matt Byrne   February 2 , 2017 ( 2017 - 02 - 02 )   602   6.54     93     `` Fates Worse Than Death ''   Scott Foley   Mark Fish   February 9 , 2017 ( 2017 - 02 - 09 )   603   6.22     94     `` The Belt ''   Tom Verica   Paul William Davies   February 16 , 2017 ( 2017 - 02 - 16 )   606   6.06     95   5   `` They All Bow Down ''   Millicent Shelton   Zahir McGhee   March 9 , 2017 ( 2017 - 03 - 09 )   604   5.26     96   6   `` Extinction ''   Tony Goldwyn   Chris Van Dusen   March 16 , 2017 ( 2017 - 03 - 16 )   605   5.63     97   7   `` A Traitor Among Us ''   Tom Verica   Alison Schapker   March 23 , 2017 ( 2017 - 03 - 23 )   607   5.40     98   8   `` A Stomach for Blood ''   Oliver Bokelberg   Severiano Canales   March 30 , 2017 ( 2017 - 03 - 30 )   608   6.57     99   9   `` Dead in the Water ''   Nicole Rubio   Michelle Lirtzman   April 6 , 2017 ( 2017 - 04 - 06 )   609   5.10     100   10   `` The Decision ''   Sharat Raju   Johanna Lee   April 13 , 2017 ( 2017 - 04 - 13 )   610   5.35     101   11   `` Trojan Horse ''   Jann Turner   Jess Brownell &amp; Nicholas Nardini   April 20 , 2017 ( 2017 - 04 - 20 )   611   5.11     102   12   `` Mercy ''   Nzingha Stewart   Severiano Canales &amp; Ameni Rozsa   April 27 , 2017 ( 2017 - 04 - 27 )   612   5.29     103   13   `` The Box ''   Steph Green   Raamla Mohamed &amp; Austin Guzman   May 4 , 2017 ( 2017 - 05 - 04 )   613   5.15     104   14   `` Head Games ''   Zetna Fuentes   Chris Van Dusen &amp; Juan Carlos Fernandez   May 11 , 2017 ( 2017 - 05 - 11 )   614   5.10     105   15   `` Tick Tock ''   Salli Richardson - Whitfield   Zahir McGhee &amp; Michelle Lirtzman   May 18 , 2017 ( 2017 - 05 - 18 )   615   5.23     106   16   `` Transfer of Power ''   Tony Goldwyn   Matt Byrne &amp; Mark Fish   May 18 , 2017 ( 2017 - 05 - 18 )   616   5.23     Season 7 ( 2017 -- 18 ) ( edit )  Main article : Scandal ( season 7 )    No . overall   No. in season   Title   Directed by   Written by   Original air date   Prod . code   U.S. viewers ( millions )     107     `` Watch Me ''   Jann Turner   Shonda Rhimes   October 5 , 2017 ( 2017 - 10 - 05 )   701   5.52     108     `` Pressing the Flesh ''   Tony Goldwyn   Matt Byrne   October 12 , 2017 ( 2017 - 10 - 12 )   702   5.00     109     `` Day 101 ''   Scott Foley   Zahir McGhee   October 19 , 2017 ( 2017 - 10 - 19 )   703   4.70     110     `` Lost Girls ''   Nicole Rubio   Ameni Rozsa &amp; Austin Guzman   October 26 , 2017 ( 2017 - 10 - 26 )   704   4.88     111   5   `` Adventures in Babysitting ''   Oliver Bokelberg   Serveriano Canales &amp; Tia Napolitano   November 2 , 2017 ( 2017 - 11 - 02 )   705   4.89     112   6   `` Vampires and Bloodsuckers ''   Jann Turner   Chris Van Dusen &amp; Tia Napolitano   November 9 , 2017 ( 2017 - 11 - 09 )   706   5.00     113   7   `` Something Borrowed ''   Sharat Raju   Mark Fish   November 16 , 2017 ( 2017 - 11 - 16 )   707   4.97     114   8   `` Robin ''   Daryn Okada   Juan Carlos Fernandez   January 18 , 2018 ( 2018 - 01 - 18 )   709   5.17     115   9   `` Good People ''   Nzingha Stewart   Shonda Rhimes , Jess Brownell &amp; Nicholas Nardini   January 25 , 2018 ( 2018 - 01 - 25 )   708   5.19     116   10   `` The People v. Olivia Pope ''   Kerry Washington   Ameni Rozsa   February 1 , 2018 ( 2018 - 02 - 01 )   710   5.62     117   11   `` Army of One ''   Allison Liddi - Brown   Austin Guzman   February 8 , 2018 ( 2018 - 02 - 08 )   711   4.63     118   12   `` Allow Me to Reintroduce Myself ''   Tony Goldwyn   Raamla Mohamed   March 1 , 2018 ( 2018 - 03 - 01 )   712   4.95     119   13   `` Air Force Two ''   Valerie Weiss   Severiano Canales   March 8 , 2018 ( 2018 - 03 - 08 )   713   4.67     120   14   `` The List ''   Greg Evans   Jess Brownell &amp; Juan Carlos Fernandez   March 15 , 2018 ( 2018 - 03 - 15 )   714   4.74     121   15   `` The Noise ''   Darby Stanchfield   Raamla Mohamed &amp; Jeremy Gordon   March 29 , 2018 ( 2018 - 03 - 29 )   715   3.71     122   16   `` People Like Me ''   Joe Morton   Chris Van Dusen   April 5 , 2018 ( 2018 - 04 - 05 )   716   3.83     123   17   `` Standing in the Sun ''   Jann Turner   Mark Fish &amp; Matt Byrne   April 12 , 2018 ( 2018 - 04 - 12 )   717   4.15     124   18   `` Over a Cliff ''   Tom Verica   Shonda Rhimes   April 19 , 2018 ( 2018 - 04 - 19 )   718   5.46     Specials ( edit )     No .   Title   Narrator   Aired between   Original air date   U.S. viewers ( millions )       `` The Secret is Out ''   Joshua Malina as David Rosen   `` White Hat 's Back On '' ( season two ) `` It 's Handled '' ( season three )   October 3 , 2013 ( 2013 - 10 - 03 )   5.75     Webisodes ( edit )   Gladiator wanted ( edit )   A web series debuted prior to the sixth - season premiere and features Guillermo Diaz as Huck , Katie Lowes as Quinn , Cornelius Smith Jr. as Marcus and George Newbern as Charlie . All of the episodes were directed by Darby Stanchfield , who portrays Abby in the show .     No . overall   No. in season   Title   Directed by   Written by   Original release date         `` So You Want to Be a Gladiator in a Suit ''   Darby Stanchfield   Juan Carlos Fernandez   January 19 , 2017 ( 2017 - 01 - 19 )         `` A Job to Kill For ''   Darby Stanchfield   Juan Carlos Fernandez   January 19 , 2017 ( 2017 - 01 - 19 )         `` Induction ''   Darby Stanchfield   Juan Carlos Fernandez   January 19 , 2017 ( 2017 - 01 - 19 )         `` Governments Fall ''   Darby Stanchfield   Juan Carlos Fernandez   January 19 , 2017 ( 2017 - 01 - 19 )     5   5   `` By Dawn 's Early Light ''   Darby Stanchfield   Juan Carlos Fernandez   January 19 , 2017 ( 2017 - 01 - 19 )     6   6   `` Exit Interview ''   Darby Stanchfield   Juan Carlos Fernandez   January 19 , 2017 ( 2017 - 01 - 19 )     Ratings ( edit )  Scandal : U.S. viewers per episode ( millions ) Source : Nielsen Media Research  References ( edit )    Jump up ^ Molloy , Tim ( January 10 , 2012 ) . `` ' Scandal , ' ' Apartment 23 ' Get Premiere Dates , ' Cougar Town ' Does n't '' . The Wrap . Retrieved May 12 , 2012 .   Jump up ^ Gorman , Bill ( May 24 , 2012 ) . `` Complete List Of 2011 -- 12 Season TV Show Viewership : ' Sunday Night Football ' Tops , Followed By ' American Idol , ' ' NCIS ' &amp; ' Dancing With The Stars ' '' . TV by the Numbers . Zap2it . Retrieved November 5 , 2012 .   Jump up ^ Bibel , Sara ( May 29 , 2013 ) . `` Complete List Of 2012 - 13 Season TV Show Viewership : ' Sunday Night Football ' Tops , Followed By ' NCIS , ' ' The Big Bang Theory ' &amp; ' NCIS : Los Angeles ' '' . TV by the Numbers . ZAP2it . Retrieved May 30 , 2013 .   Jump up ^ `` Full 2013 - 2014 TV Season Series Rankings '' . Deadline . May 22 , 2014 . Retrieved October 1 , 2014 .   Jump up ^ de Moraes , Lisa ( May 21 , 2014 ) . `` Full 2014 -- 15 TV Season Series Rankings : Football &amp; ' Empire ' Ruled '' . Deadline.com . Archived from the original on May 22 , 2015 . Retrieved June 10 , 2015 .   Jump up ^ `` Full 2015 - 2016 TV Season Series Rankings '' . Deadline . May 26 , 2016 . Retrieved May 27 , 2016 .   Jump up ^ `` Final 2016 - 17 TV Rankings : ' Sunday Night Football ' Winning Streak Continues '' . Deadline Hollywood . May 26 , 2017 . Retrieved May 26 , 2017 .   Jump up ^ Bibel , Sara ( April 6 , 2012 ) . `` Thursday Final Ratings : ' Big Bang Theory ' , ' American Idol ' , ' Person of Interest ' , ' Missing ' , ' Up All Night ' Adjusted Up ; ' Scandal ' Adjusted Down '' . TV by the Numbers . Retrieved April 7 , 2012 .   Jump up ^ Bibel , Sara ( April 13 , 2012 ) . `` Thursday Final Ratings : ' The Office ' and ' American Idol ' Adjusted Up ; ' Scandal ' Adjusted Down '' . TV by the Numbers . Retrieved April 13 , 2012 .   Jump up ^ Kondolojy , Amanda ( April 20 , 2012 ) . `` Thursday Final Ratings : ' American Idol ' , ' Grey 's Anatomy ' , ' Awake ' &amp; ' Missing ' Adjusted Up ; ' Scandal ' &amp; ' Parks and Recreation ' Adjusted Down '' . TV by the Numbers . Retrieved April 20 , 2012 .   Jump up ^ Kondolojy , Amanda ( April 27 , 2012 ) . `` Thursday Final Ratings : ' Idol ' , ' Big Bang Theory ' , ' Grey 's ' , ' The Vampire Diaries ' , ' Mentalist ' &amp; ' Missing ' Adjusted Up ; ' Scandal ' Adjusted Down '' . TV by the Numbers . Retrieved April 27 , 2012 .   Jump up ^ Kondolojy , Amanda ( May 4 , 2012 ) . `` Thursday Final Ratings : ' The Big Bang Theory ' , ' American Idol ' , ' Vampire Diaries ' , ' Grey 's Anatomy ' Adjusted Up ; ' Secret Circle ' , ' The Mentalist ' , ' Scandal ' Adjusted Down '' . TV by the Numbers . Retrieved May 5 , 2012 .   Jump up ^ Kondolojy , Amanda ( May 11 , 2012 ) . `` Thursday Final Ratings : ' Big Bang Theory ' , ' Idol ' , ' Vampire Diaries ' , ' Office ' , ' Secret Circle ' , ' Grey 's ' Adjusted Up ; ' Touch ' , ' Scandal ' Adjusted Down '' . TV by the Numbers . Retrieved May 11 , 2012 .   Jump up ^ Bibel , Sara ( May 18 , 2012 ) . `` Thursday Final Ratings : ' American Idol ' , ' Grey 's Anatomy ' , ' 30 Rock ' Adjusted Up ; ' Touch ' , ' Scandal ' Adjusted Down '' . TV by the Numbers . Retrieved May 18 , 2012 .   Jump up ^ Kondolojy , Amanda ( September 28 , 2012 ) . `` Thursday Final Ratings : ' Big Bang Theory ' , ' Grey 's Anatomy ' , Adjusted Up ; ' Parks &amp; Rec ' , ' Up All Night ' , ' SNL : Weekend Update ' , ' The Office ' , ' Glee ' , ' Scandal ' , ' Rock Center ' Adjusted Down '' . TV by the Numbers . Zap2it . Retrieved September 28 , 2012 .   Jump up ^ Bibel , Sara ( October 5 , 2012 ) . `` Thursday Final Ratings : ' The X Factor ' , ' Last Resort ' , ' 30 Rock ' , ' Grey 's Anatomy ' , ' The Office ' Adjusted Up ; Two and a Half Men ' , ' Person of Interest ' , ' Scandal ' , ' Elementary ' ' Rock Center ' &amp; ' The Next ' Adjusted Down '' . TV by the Numbers . Retrieved October 6 , 2012 .   Jump up ^ Bibel , Sara ( October 19 , 2012 ) . `` Thursday Final Ratings : ' The Vampire Diaries ' , ' The Big Bang Theory ' , ' Grey 's Anatomy ' &amp; ' The Ofifice ' Adjusted Up ; ' 30 Rock ' , ' Up All Night ' &amp; ' Scandal ' Adjusted Down Plus Final Baseball Numbers '' . TV by the Numbers . Retrieved October 20 , 2012 .   Jump up ^ Kondolojy , Amanda ( October 26 , 2012 ) . `` Thursday Final Ratings : ' Big Bang Theory ' , ' Grey 's Anatomy ' , ' Vampire Diaries ' Adjusted Up ; ' Parks &amp; Rec ' , ' Up All Night ' , ' Rock Center ' , ' 30 Rock ' , ' Person of Interest ' &amp; ' Beauty &amp; the Beast ' Adjusted Down '' . TV by the Numbers . Retrieved October 26 , 2012 .   Jump up ^ Kondolojy , Amanda ( November 9 , 2012 ) . `` Thursday Final Ratings : ' The Big Bang Theory ' , ' Vampire Diaries ' &amp; ' Grey 's Anatomy ' Adjusted Up , ' The Office ' , ' Parks &amp; Rec ' , ' Scandal ' &amp; ' Rock Center ' Adjusted Down '' . TV by the Numbers . Retrieved November 10 , 2012 .   Jump up ^ Bibel , Sara ( November 16 , 2012 ) . `` Thursday Final Ratings : ' The Big Bang Theory ' , ' Vampire Diaries ' , ' Grey 's Anatomy ' &amp; ' The Office ' Adjusted Up ; ' Last Resort &amp; ' Scandal ' Adjusted Down '' . Retrieved November 16 , 2012 .   Jump up ^ Bibel , Sara ( November 30 , 2012 ) . `` Thursday Final Ratings : ' The Big Bang Theory ' &amp; ' Grey 's Anatomy ' Adjusted Up ; ' The Vampire Diaries ' , ' Two and a Half Men ' &amp; ' Beauty and the Beast ' Adjusted Down '' . Retrieved November 30 , 2012 .   Jump up ^ Kondolojy , Amanda ( December 7 , 2012 ) . `` Thursday Final Ratings : ' The X Factor ' , ' The Vampire Diaries ' and ' Glee ' Adjusted Up ; ' Two and a Half Men ' , ' Elementary ' , ' Person of Interest ' and ' Big Bang Theory ' Adjusted Down '' . Retrieved December 7 , 2012 .   Jump up ^ Bibel , Sara ( December 14 , 2012 ) . `` Thursday Final Ratings : ' The Vampire Diaries ' Adjusted Up ; ' Last Resort ' , ' Two and a Half Men ' , ' Person of Interest ' , ' Grey 's Anatomy ' &amp; ' Scandal ' Adjusted Down '' . Retrieved December 14 , 2012 .   Jump up ^ Kondolojy , Amanda ( January 11 , 2013 ) . `` Thursday Final Ratings : ' The Big Bang Theory ' , ' 30 Rock ' &amp; ' Grey 's Anatomy ' Adjusted Up ; No Adjustment for ' Scandal ' '' . TV by the Numbers . Zap2it . Retrieved January 11 , 2013 .   Jump up ^ Kondolojy , Amanda ( January 18 , 2013 ) . `` Thursday Final Ratings : ' Grey 's Anatomy ' Adjusted Up ; ' Rock Center ' Adjusted Down , No Adjustment for ' American Idol ' '' . TV by the Numbers . Retrieved January 18 , 2013 .   Jump up ^ Kondolojy , Amanda ( February 1 , 2013 ) . `` Thursday Final Ratings : ' The Big Bang Theory ' Adjusted Up ; No Adjustments for ' Scandal ' , ' American Idol ' or ' Do No Harm ' '' . TV by the Numbers . Retrieved February 2 , 2013 .   Jump up ^ Bibel , Sara ( February 8 , 2013 ) . `` Thursday Final Ratings : ' Community ' &amp; ' The Big Bang Theory ' Adjusted Up ; ' Person of Interest ' &amp; ' Elementary ' Adjusted Down '' . Retrieved February 8 , 2013 .   Jump up ^ Kondolojy , Amanda ( February 15 , 2013 ) . `` Thursday Final Ratings : ' Zero Hour ' , ' Big Bang Theory ' , ' Community ' , ' Idol ' , ' Elementary ' &amp; ' Grey 's Anatomy ' Adjusted Up ; ' Scandal ' Adjusted Down '' . TV by the Numbers . Retrieved February 16 , 2013 .   Jump up ^ Bibel , Sara ( February 22 , 2013 ) . `` Thursday Final Ratings : ' The Big Bang Theory ' , ' Parks and Recreation ' , ' Grey 's Anatomy ' &amp; ' Elementary ' Adjusted Up ; ' Beauty and the Beast ' Adjusted Down '' . TV by the Numbers . Retrieved February 22 , 2013 .   Jump up ^ Bibel , Sara ( March 22 , 2013 ) . `` Thursday Final Ratings : ' The Vampire Diaries ' , ' American Idol ' , ' Grey 's Anatomy ' &amp; ' 1600 Penn ' Adjusted Up ; ' Beauty and the Beast ' Adjusted Down '' . TV by the Numbers . Retrieved March 22 , 2013 .   Jump up ^ Kondolojy , Amanda ( March 29 , 2013 ) . `` Thursday Final Ratings : ' American Idol ' &amp; ' Grey 's Anatomy ' Adjusted Up ; ' Raising Hope ' Adjusted Down '' . TV by the Numbers . Retrieved March 30 , 2013 .   Jump up ^ Bibel , Sara ( April 5 , 2013 ) . `` Thursday Final Ratings : ' The Big Bang Theory ' , ' American Idol ' , ' Grey 's Anatomy ' , ' Two and a Half Men ' , ' The Office ' , &amp; ' Wife Swap ' Adjusted Up ; ' Scandal ' &amp; ' The Mindy Project ' Adjusted Down '' . TV by the Numbers . Retrieved April 6 , 2013 .   Jump up ^ Kondolojy , Amanda ( April 26 , 2013 ) . `` Thursday Final Ratings : ' The Vampire Diaries ' , ' The Big Bang Theory ' &amp; ' American Idol ' Adjusted Up '' . TV by the Numbers . Retrieved April 27 , 2013 .   Jump up ^ Bibel , Sara ( May 3 , 2013 ) . `` Thursday Final Ratings : ' The Big Bang Theory ' , ' American Idol ' , ' The Vampire Diaries ' , ' Two and a Half Men ' , ' Grey 's Anatomy ' , ' Glee ' , ' Parks and Recreation ' &amp; ' Hannibal ' Adjusted Up '' . TV by the Numbers . Retrieved May 4 , 2013 .   Jump up ^ Kondolojy , Amanda ( May 10 , 2013 ) . `` Thursday Final Ratings : ' Big Bang Theory ' , ' Grey 's Anatomy ' , ' American Idol ' , ' Vampire Diaries ' , ' Two and a Half Men ' , ' Wipeout ' , &amp; ' Elementary ' Adjusted Up ; ' Glee ' Adjusted Down '' . TV by the Numbers . Retrieved May 11 , 2013 .   Jump up ^ Kondolojy , Amanda ( May 17 , 2013 ) . `` Thursday Final Ratings : ' Hannibal ' , ' The Big Bang Theory ' , ' The Vampire Diaries ' , ' Grey 's Anatomy ' &amp; ' Office ' Retrospective Adjusted Up '' . TV by the Numbers . Retrieved May 17 , 2013 .   ^ Jump up to : Bibel , Sara ( October 4 , 2013 ) . `` Thursday Final Ratings : ' Big Bang Theory ' , ' Grey 's Anatomy ' &amp; ' The Originals ' Adjusted Up ; ' Parks And Recreation ' , ' Welcome to the Family ' , ' Sean Saves the World ' , ' Michael J. Fox Show ' , &amp; ' Parenthood ' Adjusted Down '' . TV by the Numbers . Retrieved October 4 , 2013 .   Jump up ^ Kondolojy , Amanda ( October 11 , 2013 ) . `` Thursday Final Ratings : ' The Big Bang Theory ' , ' The X Factor ' &amp; ' Glee ' Adjusted Up ; ' The Vampire Diaries ' &amp; ' The Millers ' Adjusted Down '' . TV by the Numbers . Retrieved October 11 , 2013 .   Jump up ^ Bibel , Sara ( October 18 , 2013 ) . `` Thursday Final Ratings : ' The Big Bang Theory ' &amp; ' Grey 's Anatomy ' Adjusted Up ; ' The Crazy Ones ' &amp; ' Elementary ' Adjusted Down '' . TV by the Numbers . Retrieved October 18 , 2013 .   Jump up ^ Kondolojy , Amanda ( October 25 , 2013 ) . `` Thursday Final Ratings : ' Big Bang Theory ' &amp; ' The Vampire Diaries ' Adjusted Up ; ' The Millers ' and ' Scandal ' Adjusted Down '' . TV by the Numbers . Retrieved October 26 , 2013 .   Jump up ^ Bibel , Sara ( November 1 , 2013 ) . `` Thursday Final Ratings : The Vampire Diaries , The Millers &amp; Elementary Adjusted Up ; Sean Saves the World &amp; Parenthood Adjusted Down '' . TV by the Numbers . Retrieved November 6 , 2013 .   Jump up ^ Kondolojy , Amanda ( November 8 , 2013 ) . `` Thursday Final Ratings : ' Elementary ' , ' Scandal ' , ' The Vampire Diaries ' , &amp; ' The Big Bang Theory ' Adjusted Up ; ' The Voice ' , ' The Millers ' , ' Sean Saves the World ' , ' Parenthood ' , &amp; ' The Michael J Fox Show ' Adjusted Down '' . TV by the Numbers . Retrieved November 8 , 2013 .   Jump up ^ Bibel , Sara ( November 15 , 2013 ) . `` Thursday Final Ratings : ' The Big Bang Theory ' Adjusted Up ; ' The X Factor ' , ' Parks and Recreation ' , ' The Millers ' , ' Sean Saves the World ' , ' Glee ' , ' The Michael J. Fox Show ' &amp; ' Parenthood ' Adjusted Down '' . TV by the Numbers . Retrieved November 15 , 2013 .   Jump up ^ Kondolojy , Amanda ( November 22 , 2013 ) . `` Thursday Final Ratings : ' Big Bang Theory ' &amp; ' Grey 's Anatomy Adjusted Up ; ' The X Factor ' , ' Reign ' &amp; ' Glee ' Adjusted Down '' . TV by the Numbers . Retrieved November 22 , 2013 .   Jump up ^ Kondolojy , Amanda ( December 6 , 2013 ) . `` Thursday Final Ratings : ' The Big Bang Theory ' &amp; ' The X Factor ' Adjusted Up ; ' Once Upon a Time ' , ' The Millers ' , ' Grey 's Anatomy ' &amp; Scandal ' Adjusted Down '' . TV by the Numbers . Retrieved December 6 , 2013 .   Jump up ^ Bibel , Sara ( December </t>
  </si>
  <si>
    <t xml:space="preserve">when does scandal come back on february 2018</t>
  </si>
  <si>
    <t xml:space="preserve">   No . overall   No. in season   Title   Directed by   Written by   Original air date   Prod . code   U.S. viewers ( millions )     107     `` Watch Me ''   Jann Turner   Shonda Rhimes   October 5 , 2017 ( 2017 - 10 - 05 )   701   5.52     108     `` Pressing the Flesh ''   Tony Goldwyn   Matt Byrne   October 12 , 2017 ( 2017 - 10 - 12 )   702   5.00     109     `` Day 101 ''   Scott Foley   Zahir McGhee   October 19 , 2017 ( 2017 - 10 - 19 )   703   4.70     110     `` Lost Girls ''   Nicole Rubio   Ameni Rozsa &amp; Austin Guzman   October 26 , 2017 ( 2017 - 10 - 26 )   704   4.88     111   5   `` Adventures in Babysitting ''   Oliver Bokelberg   Serveriano Canales &amp; Tia Napolitano   November 2 , 2017 ( 2017 - 11 - 02 )   705   4.89     112   6   `` Vampires and Bloodsuckers ''   Jann Turner   Chris Van Dusen &amp; Tia Napolitano   November 9 , 2017 ( 2017 - 11 - 09 )   706   5.00     113   7   `` Something Borrowed ''   Sharat Raju   Mark Fish   November 16 , 2017 ( 2017 - 11 - 16 )   707   4.97     114   8   `` Robin ''   Daryn Okada   Juan Carlos Fernandez   January 18 , 2018 ( 2018 - 01 - 18 )   709   5.17     115   9   `` Good People ''   Nzingha Stewart   Shonda Rhimes , Jess Brownell &amp; Nicholas Nardini   January 25 , 2018 ( 2018 - 01 - 25 )   708   5.19     116   10   `` The People v. Olivia Pope ''   Kerry Washington   Ameni Rozsa   February 1 , 2018 ( 2018 - 02 - 01 )   710   5.62     117   11   `` Army of One ''   Allison Liddi - Brown   Austin Guzman   February 8 , 2018 ( 2018 - 02 - 08 )   711   4.63     118   12   `` Allow Me to Reintroduce Myself ''   Tony Goldwyn   Raamla Mohamed   March 1 , 2018 ( 2018 - 03 - 01 )   712   4.95     119   13   `` Air Force Two ''   Valerie Weiss   Severiano Canales   March 8 , 2018 ( 2018 - 03 - 08 )   713   4.67     120   14   `` The List ''   Greg Evans   Jess Brownell &amp; Juan Carlos Fernandez   March 15 , 2018 ( 2018 - 03 - 15 )   714   4.74     121   15   `` The Noise ''   Darby Stanchfield   Raamla Mohamed &amp; Jeremy Gordon   March 29 , 2018 ( 2018 - 03 - 29 )   715   3.71     122   16   `` People Like Me ''   Joe Morton   Chris Van Dusen   April 5 , 2018 ( 2018 - 04 - 05 )   716   3.83     123   17   `` Standing in the Sun ''   Jann Turner   Mark Fish &amp; Matt Byrne   April 12 , 2018 ( 2018 - 04 - 12 )   717   4.15     124   18   `` Over a Cliff ''   Tom Verica   Shonda Rhimes   April 19 , 2018 ( 2018 - 04 - 19 )   718   5.46   </t>
  </si>
  <si>
    <t xml:space="preserve">Voting rights in the United States - wikipedia  Voting rights in the United States  U.S. presidential election popular vote totals as a percentage of the total U.S. population . Note the surge in 1828 ( extension of suffrage to non-property - owning white men ) , the drop from 1890 -- 1910 ( when Southern states disenfranchised most African Americans and many poor whites ) , and another surge in 1920 ( extension of suffrage to women ) .  The issue of voting rights in the United States , specifically the enfranchisement and disenfranchisement of different groups , has been contested throughout United States history .   Eligibility to vote in the United States is established both through the federal constitution and by state law . Several constitutional amendments ( the 15th , 19th , and 26th specifically ) require that voting rights can not be abridged on account of race , color , previous condition of servitude , sex , or age for those above 21 ; the constitution as originally written did not establish any such rights during 1787 -- 1870 . In the absence of a specific federal law or constitutional provision , each state is given considerable discretion to establish qualifications for suffrage and candidacy within its own respective jurisdiction ; in addition , states and lower level jurisdictions establish election systems , such as at - large or single member district elections for county councils or school boards .   Beyond qualifications for suffrage , rules and regulations concerning voting ( such as the poll tax ) have been contested since the advent of Jim Crow laws and related provisions that indirectly disenfranchised racial minorities . Since the Voting Rights Act of 1965 , the 24th Amendment to the Constitution , and related laws , voting rights have been legally considered an issue related to election systems . The Supreme Court ruled in 1964 that both houses of all state legislatures had to be based on election districts that were relatively equal in population size , under the `` one man , one vote '' principle . In 1972 , the Court ruled that state legislatures had to redistrict every ten years based on census results ; at that point , many had not redistricted for decades , often leading to a rural bias .   In other cases , particularly for county or municipal elections , at - large voting has been repeatedly challenged when found to dilute the voting power of significant minorities in violation of the Voting Rights Act . In the early 20th century , numerous cities established small commission forms of government in the belief that `` better government '' could result from the suppression of ward politics . Commissioners were elected by the majority of voters , excluding candidates who could not afford large campaigns or who appealed to a minority . Generally the solution to such violations has been to adopt single - member districts ( SMDs ) but alternative election systems , such as limited voting or cumulative voting , have also been used since the late 20th century to correct for dilution of voting power and enable minorities to elect candidates of their choice .   The District of Columbia and 5 major territories of the United States have one non-voting member each ( in the U.S. House of Representatives ) and no representation in the U.S. Senate . People in the U.S. territories can not vote for president of the United States . People in the District of Columbia can vote for the president because of the 23rd Amendment .   Contents  ( hide )   1 Background   2 Milestones of national franchise changes   2.1 Native American people   2.2 Religious test   2.3 Poor whites and free African Americans   2.3. 1 Legal challenges to disfranchisement     2.4 Women   2.5 Washington , D.C.   2.6 Young people   2.7 Prisoners   2.8 Durational residency   2.9 Disability   2.10 Homelessness   2.10. 1 Obstacles homeless citizens face during voter registration   2.10. 2 Court cases involving homeless voting   2.10. 3 Special interest elections       3 Current status by region   3.1 District of Columbia   3.2 Overseas and nonresident citizens   3.3 U.S. territories   3.3. 1 Puerto Rico       4 Accessibility   5 Candidacy requirements   6 Noncitizen voting   7 See also   8 Notes   9 References   10 External links    Background ( edit )   The United States Constitution did not originally define who was eligible to vote , allowing each state to determine who was eligible . In the early history of the U.S. , most states allowed only white male adult property owners to vote . Freed slaves could vote in four states . Women were largely prohibited from voting , as were men without property . Women could vote in New Jersey until 1807 ( provided they could meet the property requirement ) and in some local jurisdictions in other northern states . Non-white Americans could also vote in these jurisdictions , provided they could meet the property requirement . By 1856 , white men were allowed to vote in all states regardless of property ownership , although requirements for paying tax remained in five states . On the other hand , several states , including Pennsylvania and New Jersey stripped the free black males of the right to vote in the same period .   Four of the fifteen post-Civil War constitutional amendments were ratified to extend voting rights to different groups of citizens . These extensions state that voting rights can not be denied or abridged based on the following :    `` Race , color , or previous condition of servitude '' ( 15th Amendment , 1870 )   `` On account of sex '' ( 19th Amendment , 1920 )   `` By reason of failure to pay any poll tax or other tax '' for federal elections ( 24th Amendment , 1964 )   `` Who are eighteen years of age or older , to vote , shall not be denied or abridged by the United States or by any state on account of age '' ( 26th Amendment , 1971 )    Following the Reconstruction Era until the culmination of the Civil Rights Movement , Jim Crow laws such as literacy tests , poll taxes , and religious tests were some of the state and local laws used in various parts of the United States to deny immigrants ( including legal ones and newly naturalized citizens ) , non-white citizens , Native Americans , and any other locally `` undesirable '' groups from exercising voting rights granted under the constitution . Because of such state and local discriminatory practices , over time , the federal role in elections has increased , through amendments to the Constitution and enacted legislation . These reforms in the 19th and 20th centuries extended the franchise to non-whites , those who do not own property , women , and those 18 -- 21 years old .   Since the `` right to vote '' is not explicitly stated in the U.S. Constitution except in the above referenced amendments , and only in reference to the fact that the franchise can not be denied or abridged based solely on the aforementioned qualifications , the `` right to vote '' is perhaps better understood , in layman 's terms , as only prohibiting certain forms of legal discrimination in establishing qualifications for suffrage . States may deny the `` right to vote '' for other reasons . For example , many states require eligible citizens to register to vote a set number of days prior to the election in order to vote . More controversial restrictions include those laws that prohibit convicted felons from voting , even those who have served their sentences . Another example , seen in Bush v. Gore , are disputes as to what rules should apply in counting or recounting ballots .   A state may choose to fill an office by means other than an election . For example , upon death or resignation of a legislator , the state may allow the affiliated political party to choose a replacement to hold office until the next scheduled election . Such an appointment is often affirmed by the governor .   The Constitution , in Article VI , clause ( paragraph ) 3 , does state that `` no religious Test shall ever be required as a Qualification to any Office or public Trust under the United States '' .   Milestones of national franchise changes ( edit )  Further information : Timeline of voting rights in the United States   1789 : The Constitution grants the states the power to set voting requirements . Generally , states limited this right to property - owning or tax - paying white males ( about 6 % of the population ) . ( The Constitution does not grant rights to the states or to the people . The Constitution is the vehicle through which power is granted to the federal government by the states or people . )   1790 : The Naturalization Act of 1790 allows white men born outside of the United States to become citizens with the right to vote .   1792 - 1838 : Free black males lose the right to vote in several Northern states including in Pennsylvania and in New Jersey .   1792 - 1856 : Abolition of property qualifications for white men , from 1792 ( Kentucky ) to 1856 ( North Carolina ) during the periods of Jeffersonian and Jacksonian democracy . However , tax - paying qualifications remained in five states in 1860 -- Massachusetts , Rhode Island , Pennsylvania , Delaware and North Carolina . They survived in Pennsylvania and Rhode Island until the 20th century .   1868 : Citizenship is guaranteed to all persons born or naturalized in the United States by the Fourteenth Amendment to the United States Constitution , setting the stage for future expansions to voting rights .   1870 : Non-white men and freed male slaves are guaranteed the right to vote by the Fifteenth Amendment to the United States Constitution . Disenfranchisement after the Reconstruction Era began soon after . Southern states suppressed the voting rights of black and poor white voters through Jim Crow Laws . During this period , the Supreme Court generally upheld state efforts to discriminate against racial minorities ; only later in the 20th century were these laws ruled unconstitutional . Black males in the Northern states could vote , but the majority of African Americans lived in the South .   1887 : Citizenship is granted to Native Americans who are willing to disassociate themselves from their tribe by the Dawes Act , making the men technically eligible to vote .   1913 : Direct election of Senators , established by the Seventeenth Amendment to the United States Constitution , gave voters rather than state legislatures the right to elect senators .   1920 : Women are guaranteed the right to vote by the Nineteenth Amendment to the United States Constitution . In practice , the same restrictions that hindered the ability of poor or non-white men to vote now also applied to poor or non-white women .   1924 : All Native Americans are granted citizenship and the right to vote , regardless of tribal affiliation . By this point , approximately two thirds of Native Americans were already citizens .   1943 : Chinese immigrants given the right to citizenship and the right to vote by the Magnuson Act .   1961 : Residents of Washington , D.C. are granted the right to vote in U.S. Presidential Elections by the Twenty - third Amendment to the United States Constitution .   1964 : Poll Tax payment prohibited from being used as a condition for voting in federal elections by the Twenty - fourth Amendment to the United States Constitution .   1965 : Protection of voter registration and voting for racial minorities , later applied to language minorities , is established by the Voting Rights Act of 1965 . This has also been applied to correcting discriminatory election systems and districting .   1966 : Tax payment and wealth requirements for voting in state elections are prohibited by the Supreme Court in Harper v. Virginia Board of Elections .   1971 : Adults aged 18 through 21 are granted the right to vote by the Twenty - sixth Amendment to the United States Constitution . This was enacted in response to Vietnam War protests , which argued that soldiers who were old enough to fight for their country should be granted the right to vote .   1986 : United States Military and Uniformed Services , Merchant Marine , other citizens overseas , living on bases in the United States , abroad , or aboard ship are granted the right to vote by the Uniformed and Overseas Citizens Absentee Voting Act .    Native American people ( edit )   From 1778 to 1871 , the government tried to resolve its relationship with the various native tribes by negotiating treaties . These treaties formed agreements between two sovereign nations , stating that Native American people were citizens of their tribe , living within the boundaries of the United States . The treaties were negotiated by the executive branch and ratified by the U.S. Senate . It said that native tribes would give up their rights to hunt and live on huge parcels of land that they had inhabited in exchange for trade goods , yearly cash annuity payments , and assurances that no further demands would be made on them . Most often , part of the land would be `` reserved '' exclusively for the tribe 's use .   Throughout the 1800s , many native tribes gradually lost claim to the lands they had inhabited for centuries through the federal government 's Indian Removal policy to relocate tribes from the Southeast and Northwest to west of the Mississippi River . European - American settlers continued to encroach on western lands . Only in 1879 , in the Standing Bear trial , were American Indians recognized as persons in the eyes of the United States government . Judge Elmer Scipio Dundy of Nebraska declared that Indians were people within the meaning of the laws , and they had the rights associated with a writ of habeas corpus . However , Judge Dundy left unsettled the question as to whether Native Americans were guaranteed US citizenship .   Although Native Americans were born within the national boundaries of the United States , those on reservations were considered citizens of their own tribes , rather than of the United States . They were denied the right to vote because they were not considered citizens by law and were thus ineligible . Many Native Americans were told that they would become citizens if they gave up their tribal affiliations in 1887 under the Dawes Act , which allocated communal lands to individual households and was intended to aid in the assimilation of Native Americans into majority culture . This still did not guarantee their right to vote . In 1924 the remaining Native Americans , estimated at about one - third , became United States citizens . But , many western states continued to restrict Native American ability to vote through property requirements , economic pressures , hiding the polls , and condoning of physical violence against those who voted . Since the late 20th century , they have been protected under provisions of the Voting Rights Act as a racial minority , and in some areas , language minority , gaining election materials in their native languages .   Religious test ( edit )   In several British North American colonies , before and after the 1776 Declaration of Independence , Jews , Quakers and / or Catholics were excluded from the franchise and / or from running for elections .   The Delaware Constitution of 1776 stated that `` Every person who shall be chosen a member of either house , or appointed to any office or place of trust , before taking his seat , or entering upon the execution of his office , shall ( ... ) also make and subscribe the following declaration , to wit : I , A B. do profess faith in God the Father , and in Jesus Christ His only Son , and in the Holy Ghost , one God , blessed for evermore ; and I do acknowledge the holy scriptures of the Old and New Testament to be given by divine inspiration . '' . This was repealed by Article I , Section II. of the 1792 Constitution : `` No religious test shall be required as a qualification to any office , or public trust , under this State '' . The 1778 Constitution of the State of South Carolina stated , `` No person shall be eligible to sit in the house of representatives unless he be of the Protestant religion '' , the 1777 Constitution of the State of Georgia ( art . VI ) that `` The representatives shall be chosen out of the residents in each county ( ... ) and they shall be of the Protestant religion '' .   With the growth in the number of Baptists in Virginia before the Revolution , who challenged the established Anglican Church , the issues of religious freedom became important to rising leaders such as James Madison . As a young lawyer , he defended Baptist preachers who were not licensed by ( and were opposed by ) the established state Anglican Church . He carried developing ideas about religious freedom to be incorporated into the constitutional convention of the United States .   In 1787 , Article One of the United States Constitution stated that `` the Electors in each State shall have the Qualifications requisite for Electors of the most numerous Branch of the State Legislature '' . More significantly , Article Six disavowed the religious test requirements of several states , saying : `` ( N ) o religious Test shall ever be required as a Qualification to any Office or public Trust under the United States . ''   But , in Maryland , Jewish Americans were excluded from State office until the law requiring candidates to affirm a belief in an afterlife was repealed in 1828 .   Poor whites and free African Americans ( edit )  See also : Fifteenth Amendment to the United States Constitution and Disfranchisement after Reconstruction era  At the time of ratification of the Constitution in the late 18th century , most states had property qualifications which restricted the franchise ; the exact amount varied by state , but by some estimates , more than half of white men were disenfranchised . Several states granted suffrage to free men of color after the Revolution , including North Carolina . This fact was noted by Justice Benjamin Robbins Curtis ' dissent in Dred Scott v. Sandford ( 1857 ) , as he emphasized that blacks had been considered citizens at the time the Constitution was ratified :   Of this there can be no doubt . At the time of the ratification of the Articles of Confederation , all free native - born inhabitants of the States of New Hampshire , Massachusetts , New York , New Jersey , and North Carolina , though descended from African slaves , were not only citizens of those States , but such of them as had the other necessary qualifications possessed the franchise of electors , on equal terms with other citizens .    In the 1820s , New York State enlarged its franchise to white men by dropping the property qualification , but maintained it for free blacks .   The Supreme Court of North Carolina had upheld the ability of free African Americans to vote in that state . In 1835 , because of fears of the role of free blacks after Nat Turner 's Slave Rebellion of 1831 , they were disenfranchised by decision of the North Carolina Constitutional Convention . At the same time , convention delegates relaxed religious and property qualifications for whites , thus expanding the franchise for them .   Alabama entered the union in 1819 with universal white suffrage provided in its constitution .    When the Fourteenth Amendment was ratified in 1868 after the Civil War , it granted citizenship to all persons born or naturalized in the United States and subject to its jurisdiction . In 1869 , the Fifteenth Amendment prohibited the government from denying a citizen the right to vote based on that citizen 's `` race , color , or previous condition of servitude '' . The major effect of these amendments was to enfranchise African American men , the overwhelming majority of whom were freedmen in the South .   After the war , some southern states passed `` Black Codes '' , state laws to restrict the new freedoms of African Americans . They attempted to control their movement , assembly , working conditions and other civil rights . Some states also prohibited them from voting .   The Fifteenth Amendment to the Constitution , one of three ratified after the American Civil War to grant freedmen full rights of citizenship , prevented any state from denying the right to vote to any citizen based on race . This was primarily related to protecting the franchise of freedmen , but it also applied to non-white minorities , such as Mexican Americans in Texas . The state governments under Reconstruction adopted new state constitutions or amendments designed to protect the ability of freedmen to vote . The white resistance to black suffrage after the war regularly erupted into violence as white groups tried to protect their power . Particularly in the South , in the aftermath of the Civil War whites made efforts to suppress freedmen 's voting . In the 1860s , secret vigilante groups such as the Ku Klux Klan ( KKK ) used violence and intimidation to keep freedmen in a controlled role and reestablish white supremacy . But , black freedmen registered and voted in high numbers , and many were elected to local offices through the 1880s .   In the mid-1870s , the insurgencies continued with a rise in more powerful white paramilitary groups , such as the White League , originating in Louisiana in 1874 after a disputed gubernatorial election ; and the Red Shirts , originating in Mississippi in 1875 and developing numerous chapters in North and South Carolina ; as well as other `` White Line '' rifle clubs . They operated openly , were more organized than the KKK , and directed their efforts at political goals : to disrupt Republican organizing , turn Republicans out of office , and intimidate or kill blacks to suppress black voting . They worked as `` the military arm of the Democratic Party '' . For instance , estimates were that 150 blacks were killed in North Carolina before the 1876 elections . Economic tactics such as eviction from rental housing or termination of employment were also used to suppress the black vote . White Democrats regained power in state legislatures across the South by the late 1870s , and the federal government withdrew its troops as a result of a national compromise related to the presidency , officially ending Reconstruction .   African Americans were a majority in three southern states following the Civil War , and represented over 40 % of the population in four other states . While they did not elect a majority of African Americans to office in any state legislature during Reconstruction , whites still feared and resented the political power exercised by freedmen . After ousting the Republicans , whites worked to restore white supremacy .   Although elections were often surrounded by violence , blacks continued to vote and gained many local offices in the late 19th century . In the late 19th century , a Populist - Republican coalition in several states gained governorships and some congressional seats in 1894 . To prevent such a coalition from forming again and reduce election violence , the Democratic Party , dominant in all southern state legislatures , took action to disfranchise most blacks and many poor whites outright .   From 1890 to 1908 , ten of the eleven former Confederate states completed political suppression and exclusion of these groups by ratifying new constitutions or amendments which incorporated provisions to make voter registration more difficult . These included such requirements as payment of poll taxes , complicated record keeping , complicated timing of registration and length of residency in relation to elections , with related record - keeping requirements ; felony disenfranchisement focusing on crimes thought to be committed by African Americans , and a literacy test or comprehension test .   Prospective voters had to prove the ability to read and write the English language to white voter registrars , who in practice applied subjective requirements . Blacks were often denied the right to vote on this basis . Even well - educated blacks were often told they had `` failed '' such a test , if in fact , it had been administered . On the other hand , illiterate whites were sometimes allowed to vote through a `` grandfather clause , '' which waived literacy requirements if one 's grandfather had been a qualified voter before 1866 , or had served as a soldier , or was from a foreign country . As most blacks had grandfathers who were slaves before 1866 and could not have fulfilled any of those conditions , they could not use the grandfather clause exemption . Selective enforcement of the poll tax was frequently also used to disqualify black and poor white voters . As a result of these measures , at the turn of the century voter rolls dropped markedly across the South . Most blacks and many poor whites were excluded from the political system for decades . Unable to vote , they were also excluded from juries or running for any office .   In Alabama , for example , its 1901 constitution restricted the franchise for poor whites as well as blacks . It contained requirements for payment of cumulative poll taxes , completion of literacy tests , and increased residency at state , county and precinct levels , effectively disenfranchised tens of thousands of poor whites as well as most blacks . Historian J. Morgan Kousser found , `` They disfranchised these whites as willingly as they deprived blacks of the vote . '' By 1941 , more whites than blacks in total had been disenfranchised .  Legal challenges to disfranchisement ( edit )  Although African Americans quickly began legal challenges to such provisions in the 19th century , it was years before any were successful before the U.S. Supreme Court . Booker T. Washington , better known for his public stance of trying to work within societal constraints of the period at Tuskegee University , secretly helped fund and arrange representation for numerous legal challenges to disfranchisement . He called upon wealthy Northern allies and philanthropists to raise funds for the cause . The Supreme Court 's upholding of Mississippi 's new constitution , in Williams v. Mississippi ( 1898 ) , encouraged other states to follow the Mississippi plan of disfranchisement . African Americans brought other legal challenges , as in Giles v. Harris ( 1903 ) and Giles v. Teasley ( 1904 ) , but the Supreme Court upheld Alabama constitutional provisions . In 1915 Oklahoma was the last state to append a grandfather clause to its literacy requirement due to Supreme Court cases .   From early in the 20th century , the newly established National Association for the Advancement of Colored People ( NAACP ) took the lead in organizing or supporting legal challenges to segregation and disfranchisement . Gradually they planned the strategy of which cases to take forward . In Guinn v. United States ( 1915 ) , the first case in which the NAACP filed a brief , the Supreme Court struck down the grandfather clause in Oklahoma and Maryland . Other states in which it was used had to retract their legislation as well . The challenge was successful .   But , nearly as rapidly as the Supreme Court determined a specific provision was unconstitutional , state legislatures developed new statutes to continue disenfranchisement . For instance , in Smith v. Allwright ( 1944 ) , the Supreme Court struck down the use of state - sanctioned all - white primaries by the Democratic Party in the South . States developed new restrictions on black voting ; Alabama passed a law giving county registrars more authority as to which questions they asked applicants in comprehension or literacy tests . The NAACP continued with steady progress in legal challenges to disenfranchisement and segregation .   In 1957 , Congress passed the Civil Rights Act of 1957 to implement the Fifteenth Amendment . It established the United States Civil Rights Commission ; among its duties is to investigate voter discrimination .   As late as 1962 , programs such as Operation Eagle Eye in Arizona attempted to stymie minority voting through literacy tests . The 24th Amendment was ratified in 1964 to prohibit poll taxes as a condition of voter registration and voting in federal elections . Many states continued to use them in state elections as a means of reducing the number of voters .   The American Civil Rights Movement , through such events as the Selma to Montgomery marches and Freedom Summer in Mississippi , gained passage by the United States Congress of the Voting Rights Act of 1965 , which authorized federal oversight of voter registration and election practices and other enforcement of voting rights . Congress passed the legislation because it found `` case by case litigation was inadequate to combat widespread and persistent discrimination in voting '' . Activism by African Americans helped secure an expanded and protected franchise that has benefited all Americans , including racial and language minorities .   The bill provided for federal oversight , if necessary , to ensure just voter registration and election procedures . The rate of African - American registration and voting in Southern states climbed dramatically and quickly , but it has taken years of federal oversight to work out the processes and overcome local resistance . In addition , it was not until the U.S. Supreme Court ruled 6 - 3 in Harper v. Virginia Board of Elections ( 1966 ) that all state poll taxes ( for state elections ) were officially declared unconstitutional as violating the Equal Protection Clause of the Fourteenth Amendment . This removed a burden on the poor .   Legal challenges have continued under the Voting Rights Act , primarily in areas of redistricting and election systems , for instance , challenging at - large election systems that effectively reduce the ability of minority groups to elect candidates of their choice . Such challenges have particularly occurred at the county and municipal level , including for school boards , where exclusion of minority groups and candidates at such levels has been persistent in some areas of the country . This reduces the ability of women and minorities to participate in the political system and gain entry - level experience .   Women ( edit )  See also : History of women 's suffrage in the United States  A parallel , yet separate , movement was that for women 's suffrage . Leaders of the suffrage movement included Susan B. Anthony , Elizabeth Cady Stanton , and Alice Paul . In some ways this , too , could be said to have grown out of the American Civil War , as women had been strong leaders of the abolition movement . Middle - and upper - class women generally became more politically active in the northern tier during and after the war .   In 1848 , the Seneca Falls Convention , the first women 's rights convention , was held in Seneca Falls , New York . Of the 300 present , 68 women and 32 men signed the Declaration of Sentiments which defined the women 's rights movement . The first National Women 's Rights Convention took place in 1850 in Worcester , Massachusetts , attracting more than 1,000 participants . This national convention was held yearly through 1860 .   When Susan B. Anthony and Elizabeth Cady Stanton formed the National Women Suffrage Association , their goal was to help women gain voting rights through reliance on the Constitution . Also , in 1869 Lucy Stone and Henry Blackwell formed the American Woman Suffrage Association ( AWSA ) . However , AWSA focused on gaining voting rights for women through the amendment process . Although these two organization were fighting for the same cause , it was not until 1890 that they merged to form the National American Woman Suffrage Association ( NAWSA ) . After the merger of the two organizations , the ( NAWSA ) waged a state - by - state campaign to obtain voting rights for women .   Wyoming was the first state in which women were able to vote , although it was a condition of the transition to statehood . Utah was the second territory to allow women to vote , but the federal Edmunds -- Tucker Act of 1887 repealed woman 's suffrage in Utah . Colorado was the first established state to allow women to vote on the same basis as men . Some other states also extended the franchise to women before the Constitution was amended to this purpose .   During the 1910s Alice Paul , assisted by Lucy Burns and many others , organized such events and organizations as the 1913 Women 's Suffrage Parade , the National Woman 's Party , and the Silent Sentinels . At the culmination of the suffragists ' requests and protests , ratification of the Nineteenth Amendment gave women the right to vote in time to participate in the Presidential election of 1920 . </t>
  </si>
  <si>
    <t xml:space="preserve">who has the right to vote in usa</t>
  </si>
  <si>
    <t xml:space="preserve"> 1971 : Adults aged 18 through 21 are granted the right to vote by the Twenty - sixth Amendment to the United States Constitution . This was enacted in response to Vietnam War protests , which argued that soldiers who were old enough to fight for their country should be granted the right to vote . </t>
  </si>
  <si>
    <t xml:space="preserve">Austria - Hungary - wikipedia  Austria - Hungary  Constitutional monarchic union from 1867 to October 1918 For modern relations , see Austria -- Hungary relations .      Austria - Hungary Österreichisch - Ungarische Monarchie ( German ) Osztrák - Magyar Monarchia ( Hungarian )     1867 -- 1918     Flag Coat of arms     Motto : Indivisibiliter ac Inseparabiliter `` Indivisible and Inseparable ''     Anthem : Gott erhalte Gott beschütze `` God shall save , God shall protect ''     Austria - Hungary on the eve of World War I     Capital   Vienna ( main ) Budapest     Common languages   Official German Hungarian Common Czech , Croatian , Italian , Polish , Romani , Romanian , Rusyn , Serbian , Slovak , Slovene , Ukrainian , and Yiddish     Religion   76.6 % Catholic ( incl. 64 -- 66 % Latin &amp; 10 -- 12 % Eastern ) 8.9 % Protestant ( Lutheran , Reformed , Unitarian ) 8.7 % Serb . Orthodox 4.4 % Jewish 1.3 % Muslim ( 1910 census )     Demonym   Austro - Hungarian     Government   Dual parliamentary constitutional monarchy personal union , under a Liberal autocracy in Austria , and parliamentarism in Hungary     Emperor - King           1867 -- 1916   Franz Joseph I     1916 -- 1918   Charles I &amp; IV         Minister - President of Austria           1867   Friedrich von Beust ( first )     1918   Heinrich Lammasch ( last )         Prime Minister of Hungary           1867 -- 1871   Gyula Andrássy ( first )     1918   János Hadik ( last )         Legislature   2 national legislatures :     Imperial Council   Herrenhaus Abgeordnetenhaus     Diet of Hungary   House of Magnates House of Representatives     Historical era   New Imperialism / World War I         1867 Compromise   1 March 1867     Czechoslovak indep .   28 October 1918     State of SCS indep .   29 October 1918     Vojvodina lost to Serbia   25 November 1918     Dissolution   11 November 1918     Treaties of Saint - Germain - en - Laye and Trianon   10 September 1919 and 4 June 1920         Area     1914   676,615 km ( 261,243 sq mi )     1918   681,727 km ( 263,216 sq mi )     Population         1914   52,800,000         Currency     Gulden ( to 1892 )   Krone ( 1892 -- 1918 )          Preceded by   Succeeded by          Austrian Empire         Republic of German - Austria       Hungarian Democratic Republic       First Czechoslovak Republic       West Ukrainian People 's Republic       Second Polish Republic       Kingdom of Romania       Kingdom of Serbs , Croats and Slovenes       Kingdom of Italy             Today part of   ( show )   Austria   Bosnia and Herzegovina   China   Croatia   Czech Republic   Hungary   Italy   Montenegro   Poland   Romania   Serbia   Slovakia   Slovenia   Ukraine       Austria - Hungary , often referred to as the Austro - Hungarian Empire or the Dual Monarchy in English - language sources , was a constitutional union of the Austrian Empire ( the Kingdoms and Lands Represented in the Imperial Council , or Cisleithania ) and the Kingdom of Hungary ( Lands of the Crown of Saint Stephen or Transleithania ) that existed from 1867 to 1918 , when it self - dissolved at the end of World War I . The union was a result of the Austro - Hungarian Compromise of 1867 and came into existence on 30 March 1867 . Austria - Hungary consisted of two monarchies ( Austria and Hungary ) , and one autonomous region : the Kingdom of Croatia - Slavonia under the Hungarian crown , which negotiated the Croatian -- Hungarian Settlement ( Nagodba ) in 1868 . It was ruled by the House of Habsburg , and constituted the last phase in the constitutional evolution of the Habsburg Monarchy . Following the 1867 reforms , the Austrian and the Hungarian states were co-equal . Foreign affairs and the military came under joint oversight , but all other governmental faculties were divided between respective states .   Austria - Hungary was a multinational state and one of the world 's great powers at the time . Austria - Hungary was geographically the second - largest country in Europe after the Russian Empire , at 621,538 km ( 239,977 sq mi ) , and the third-most populous ( after Russia and the German Empire ) . The Empire built up the fourth - largest machine building industry of the world , after the United States , Germany , and the United Kingdom . Austria - Hungary also became the world 's third largest manufacturer and exporter of electric home appliances , electric industrial appliances and power generation apparatus for power plants , after the United States and the German Empire .   After 1878 , Bosnia and Herzegovina was under Austro - Hungarian military and civilian rule until it was fully annexed in 1908 , provoking the Bosnian crisis among the other powers . Sandžak / Raška , de jure northern part of the Ottoman Sanjak of Novi Pazar ( in modern - day Montenegro and Serbia ) , was also under de facto joint occupation during that period but the Austro - Hungarian army withdrew as part of their annexation of Bosnia . The annexation of Bosnia also led to Islam being recognized as an official state religion due to Bosnia 's Muslim population .   Austria - Hungary was one of the Central Powers in World War I. It was already effectively dissolved by the time the military authorities signed the armistice of Villa Giusti on 3 November 1918 . The Kingdom of Hungary and the First Austrian Republic were treated as its successors de jure , whereas the independence of the West Slavs and South Slavs of the Empire as the First Czechoslovak Republic , the Second Polish Republic and the Kingdom of Yugoslavia , respectively , and most of the territorial demands of the Kingdom of Romania were also recognized by the victorious powers in 1920 .   Contents    1 Structure and name   1.1 Creation     2 Government   2.1 Judicial system   2.1. 1 Empire of Austria   2.1. 2 Kingdom of Hungary     2.2 Public administration and local governments   2.2. 1 Empire of Austria   2.2. 2 Kingdom of Hungary   2.2. 2.1 Administrative divisions and the counties of Hungary   2.2. 2.2 Municipal rights of the biggest cities in Hungary         3 Politics   3.1 Political struggles in the Empire   3.2 Ethnic relations   3.2. 1 Jews     3.3 Foreign policy     4 Economy   4.1 Automotive industry   4.2 Aeronautic industry   4.3 Locomotive engine and railway vehicle manufacturers   4.4 Poverty     5 Infrastructure   5.1 Transport   5.1. 1 Railways   5.1. 1.1 Railway network of the Austrian Empire   5.1. 1.2 Railway network in the Kingdom of Hungary     5.1. 2 Metropolitan transit systems   5.1. 2.1 Tramway lines in the cities   5.1. 2.2 Electrified commuter railway lines   5.1. 2.3 Underground     5.1. 3 Canals and river regulations   5.1. 3.1 Regulation of the lower Danube and the Iron Gates   5.1. 3.2 Regulation of the Tisza River     5.1. 4 Shipping and ports     5.2 Telecommunication   5.2. 1 Telegraph   5.2. 1.1 Austrian Empire   5.2. 1.2 Kingdom of Hungary     5.2. 2 Telephone   5.2. 2.1 Austrian Empire   5.2. 2.2 Kingdom of Hungary     5.2. 3 Electronic broadcasting       6 Demographics   6.1 Population and area   6.2 Languages   6.3 Religion   6.4 Largest cities   6.5 Education   6.5. 1 Austrian Empire   6.5. 2 Kingdom of Hungary       7 Military   8 World War I   8.1 Preludes : Bosnia and Herzegovina   8.1. 1 Status of Bosnia - Herzegovina   8.1. 2 Sarajevo assassination   8.1. 3 Escalation of violence in Bosnia   8.1. 4 Decision for war     8.2 Wartime foreign policy   8.3 Homefront   8.4 Military events   8.4. 1 Serbian front 1914 -- 1916   8.4. 2 Russian front 1914 -- 1917   8.4. 3 Italian front 1915 -- 1918   8.4. 4 Romanian front 1916     8.5 Role of Hungary   8.6 Analysis of defeat     9 Dissolution   9.1 Consequences   9.1. 1 Successor states   9.1. 2 Territorial legacy       10 Flags and heraldry   10.1 Flags   10.2 Coat of arms     11 See also   12 References   12.1 Notes     13 Further reading   13.1 Surveys   13.2 World war   13.3 Specialty topics   13.4 Primary sources   13.5 Historiography and memory   13.6 In German     14 External links    Structure and name ( edit )   The realm 's full , official name was The Kingdoms and Lands Represented in the Imperial Council and the Lands of the Holy Hungarian Crown of St. Stephen .   German : Die im Reichsrat vertretenen Königreiche und Länder und die Länder der Heiligen Ungarischen Stephanskrone   Hungarian : A Birodalmi Tanácsban képviselt királyságok és országok és a Magyar Szent Korona országai   The Habsburg monarch ruled as Emperor of Austria over the western and northern half of the country that was the Austrian Empire ( `` Lands Represented in the Imperial Council '' , or Cisleithania ) and as King of Hungary over the Kingdom of Hungary ( `` Lands of the Crown of Saint Stephen '' , or Transleithania ) . Each enjoyed considerable sovereignty with only a few joint affairs ( principally foreign relations and defence ) .   Certain regions , such as Polish Galicia within Cisleithania and Croatia ( officially the Kingdom of Croatia - Slavonia - Dalmatia , even though Dalmatia was in the Cisleithanian part of the Dual Monarchy ) within Transleithania , enjoyed autonomous status , each with its own unique governmental structures ( see : Polish Autonomy in Galicia and Croatian -- Hungarian Settlement ) .  Franz Joseph I ( 1885 )  The division between Austria and Hungary was so marked that there was no common citizenship : one was either an Austrian citizen or a Hungarian citizen , never both . This also meant that there were always separate Austrian and Hungarian passports , never a common one . However , neither Austrian nor Hungarian passports were used in the Kingdom of Croatia - Slavonia - Dalmatia . Instead , the Kingdom issued its own passports which were written in Croatian and French and displayed the coat of arms of the Kingdom of Croatia - Slavonia - Dalmatia on them . It is not known what kind of passports were used in Bosnia - Herzegovina , which was under the control of both Austria and Hungary .   The Kingdom of Hungary had always maintained a separate parliament , the Diet of Hungary , even after the Austrian Empire was created in 1804 . The administration and government of the Kingdom of Hungary ( until 1848 -- 49 Hungarian revolution ) remained largely untouched by the government structure of the overarching Austrian Empire . Hungary 's central government structures remained well separated from the Austrian imperial government . The country was governed by the Council of Lieutenancy of Hungary ( the Gubernium ) -- located in Pressburg and later in Pest -- and by the Hungarian Royal Court Chancellery in Vienna . The Hungarian government and Hungarian parliament were suspended after the Hungarian revolution of 1848 , and were reinstated after the Austro - Hungarian Compromise in 1867 .   Despite Austria and Hungary sharing a common currency , they were fiscally sovereign and independent entities . Since the beginnings of the personal union ( from 1527 ) , the government of the Kingdom of Hungary could preserve its separated and independent budget . After the revolution of 1848 -- 1849 , the Hungarian budget was amalgamated with the Austrian , and it was only after the Compromise of 1867 that Hungary obtained a separate budget . From 1527 ( the creation of the monarchic personal union ) to 1851 , the Kingdom of Hungary maintained its own customs controls , which separated her from the other parts of the Habsburg - ruled territories . After 1867 , the Austrian and Hungarian customs union agreement had to be renegotiated and stipulated every ten years . The agreements were renewed and signed by Vienna and Budapest at the end of every decade because both countries hoped to derive mutual economic benefit from the customs union . The Austrian Empire and Kingdom of Hungary contracted their foreign commercial treaties independently of each other .   Austria - Hungary was a great power but it contained a large number of ethnic groups that sought their own nation . The Dual Monarchy was effectively ruled by a coalition of the two most powerful and numerous ethnic groups , the Germans and the Hungarians . Stresses regarding nationalism were building up , and the severe shock of a poorly handled war caused the system to collapse .   Vienna served as the Monarchy 's primary capital . The Cisleithanian ( Austrian ) part contained about 57 percent of the total population and the larger share of its economic resources , compared to the Hungarian part .   Following a decision of Franz Joseph I in 1868 , the realm bore the official name Austro - Hungarian Monarchy / Realm ( German : Österreichisch - Ungarische Monarchie / Reich ; Hungarian : Osztrák -- Magyar Monarchia / Birodalom ) in its international relations . It was often contracted to the Dual Monarchy in English , or simply referred to as Austria .   Creation ( edit )  Main article : Austro - Hungarian Compromise of 1867    Part of a series on the     History of Austria         Early history ( show )   Hallstatt culture   Noricum - Pannonia - Raetia   Marcomanni - Lombards - Bavarians - Suebi   Avars   Samo 's Realm   Carantania   East Francia   Duchy of Bavaria - Margraviate of Austria   House of Babenberg   Privilegium Minus       Habsburg era ( show )   House of Habsburg   Holy Roman Empire   Kingdom of Germany   Archduchy of Austria   Habsburg Monarchy   Austrian Empire   German Confederation   Austria - Hungary       World War I ( show )   Assassination of Franz Ferdinand   World War I       Interwar years ( show )   Republic of German - Austria   First Austrian Republic   Austrofascism   Federal State of Austria   Anschluss   Ostmark ( Austria )       World War II ( show )   National Socialism       Post-war Austria ( show )   Allied - occupied Austria   Second Austrian Republic       Topics ( show )   Timeline   Jews ( Vienna )   Military history   Music       Austria portal                   Part of a series on the     History of Hungary         Early history ( show )   Hungarian prehistory   Hungary before the Hungarians   Roman Pannonia   Hungarian conquest       Medieval ( show )    Principality   895 -- 1000     High Medieval Kingdom   1000 -- 1301     Late Medieval Kingdom   1301 -- 1526     Ottoman Wars   1366 -- 1526        Early modern ( show )    Habsburg kingdom   1526 -- 1867     Eastern kingdom   1526 -- 1570     Ottoman Hungary   1541 -- 1699     Principality of Transylvania   1570 -- 1711        Late modern ( show )    Rákóczi 's War   1703 -- 1711     Revolution of 1848   1848 -- 1849     Austria - Hungary   1867 -- 1918     Lands of the Crown   1867 -- 1918     World War I   1914 -- 1918     Interwar period   1918 -- 1941     First Hungarian Republic   1918 -- 1920     Hungarian Soviet Republic   1919     Kingdom of Hungary   1920 -- 1946     World War II   1941 -- 1945        Contemporary ( show )    Second Hungarian Republic   1946 -- 1949     Hungarian People 's Republic   1949 -- 1989     Revolution of 1956   1956     Third Hungarian Republic   since 1989        By topic ( show )   Christianity   Military   Music   Nobility     Hungarians   Jews   Székelys       Hungary portal                 The Austro - Hungarian Compromise of 1867 ( called the Ausgleich in German and the Kiegyezés in Hungarian ) , which inaugurated the empire 's dual structure in place of the former Austrian Empire ( 1804 -- 1867 ) , originated at a time when Austria had declined in strength and in power -- both in the Italian Peninsula ( as a result of the Second Italian War of Independence of 1859 ) and among the states of the German Confederation ( it had been surpassed by Prussia as the dominant German - speaking power following the Austro - Prussian War of 1866 ) . The Compromise re-established the full sovereignty of the Kingdom of Hungary , which was lost after the Hungarian Revolution of 1848 .   Other factors in the constitutional changes were continued Hungarian dissatisfaction with rule from Vienna and increasing national consciousness on the part of other nationalities ( or ethnicities ) of the Austrian Empire . Hungarian dissatisfaction arose partly from Austria 's suppression with Russian support of the Hungarian liberal revolution of 1848 -- 49 . However , dissatisfaction with Austrian rule had grown for many years within Hungary and had many other causes .   By the late 1850s , a large number of Hungarians who had supported the 1848 -- 49 revolution were willing to accept the Habsburg monarchy . They argued that while Hungary had the right to full internal independence , under the Pragmatic Sanction of 1713 , foreign affairs and defense were `` common '' to both Austria and Hungary .   After the Austrian defeat at Königgrätz , the government realized it needed to reconcile with Hungary to regain the status of a great power . The new foreign minister , Count Friedrich Ferdinand von Beust , wanted to conclude the stalemated negotiations with the Hungarians . To secure the monarchy , Emperor Franz Joseph began negotiations for a compromise with the Hungarian nobility , led by Ferenc Deák , to ensure their support . In particular , Hungarian leaders demanded and received the Emperor 's coronation as King of Hungary and the re-establishment of a separate parliament at Pest with powers to enact laws for the lands of the Holy Crown of Hungary .   From 1867 onwards , the abbreviations heading the names of official institutions in Austria - Hungary reflected their responsibility : k.u.k. ( kaiserlich und königlich or Imperial and Royal ) was the label for institutions common to both parts of the Monarchy , e.g. the k.u.k. Kriegsmarine ( War Fleet ) and , during the war , the k.u.k. Armee ( Army ) . There were three k.u.k. or joint ministries :    The Imperial and Royal Ministry of the Exterior and the Imperial House   The Imperial and Royal War Ministry   The Imperial and Royal Ministry of Finance    The last was responsible only for financing the Imperial and Royal household , the diplomatic service , the common army and the common war fleet . All other state functions were to be handled separately by each of the two states .   From 1867 onwards , common expenditures were allocated 70 % to Austria and 30 % to Hungary . This split had to be negotiated every decade . By 1907 , the Hungarian share had risen to 36.4 % . The negotiations in 1917 ended with the dissolution of the Dual Monarchy .   The common army changed its label from k.k. to k.u.k. only in 1889 at the request of the Hungarian government .    K. k. ( kaiserlich - königlich ) or Imperial - Royal was the term for institutions of Cisleithania ( Austria ) ; `` royal '' in this label referred to the Crown of Bohemia .   K. u . ( königlich - ungarisch ) or M. k . ( Magyar királyi ) ( `` Royal Hungarian '' ) referred to Transleithania , the lands of the Hungarian crown . In the Kingdom of Croatia and Slavonia , its autonomous institutions hold k. ( kraljevski ) ( `` Royal '' ) as according to the Croatian -- Hungarian Settlement the only official language in Croatia and Slavonia was Croatian and those institutions were `` only '' Croatian .    Government ( edit )  See also : Imperial Council ( Austria ) and Diet of Hungary  There were three parts to the rule of the Austro - Hungarian Empire :    the common foreign , military and a joint financial policy ( only for diplomatic , military and naval expenditures ) under the monarch   the `` Austrian '' or Cisleithanian government   the Hungarian government   Austrian Parliament building Hungarian Parliament building  Hungary and Austria maintained separate parliaments each with its own prime minister . Linking / co-ordinating the two parliaments fell to a government under the monarch . In this sense Austria - Hungary remained under an authoritarian government , as the Emperor - King appointed both Austrian and Hungarian Prime ministers along with their respective cabinets . This made both Governments responsible to the Emperor - King , as neither half could have a government with a program contrary to the views of the Monarch . The Emperor - King could appoint non-parliamentary governments , for example , or maintain in power a government which does not have a majority in Parliament to block the formation of another which he does not approve . The Monarch had other prerogatives such as the right of Royal Assent before any kind of Bill would be presented to the National Assembly ( the common name for the Hungarian Diet ) , the right to Veto all legislation passed by the National Assembly , and the power to prorogue or dissolve the Assembly and call to new elections ( he had the same prerogatives considering the Croatian - Slavonian Diet or Croatian Parliament , the common name for the Croatian - Slavonian Diet ) . In the Austrian half , however , the Monarchs 's power was even greater , as the Emperor had the power to both appoint and dismiss its Prime minister and cabinet members . The monarch 's common government , in which its ministers were appointed by the Monarch and responsible to him , had the responsibility for the army , for the navy , for foreign policy , and for the customs union . Due to the lack of common law between Austria and Hungary , to conclude identical texts , each parliament elected 60 of its members to form a delegation that discussed motions of the Imperial and Royal ministries separately and worked towards a compromise .   A common Ministerial Council ruled the common government : it comprised the three ministers for the joint responsibilities ( joint finance , military , and foreign policy ) , the two prime ministers , some Archdukes and the monarch . Two delegations of representatives ( 60 -- 60 members ) , one each from the Austrian and Hungarian parliaments , met separately and voted on the expenditures of the Common Ministerial Council giving the two governments influence in the common administration . However , the ministers ultimately answered only to the monarch who had the final decision on matters of foreign and military policy .   Overlapping responsibilities between the joint ministries and the ministries of the two halves caused friction and inefficiencies . The armed forces suffered particularly from overlap . Although the unified government determined the overall military direction , the Austrian and Hungarian governments each remained in charge of recruiting , supplies and training . Each government could have a strong influence over common governmental responsibilities . Each half of the Dual Monarchy proved quite prepared to disrupt common operations to advance its own interests .   Relations during the half - century after 1867 between the two parts of the dual monarchy featured repeated disputes over shared external tariff arrangements and over the financial contribution of each government to the common treasury . Under the terms of the `` Austro - Hungarian Compromise of 1867 '' , an agreement renegotiated every ten years , determined these matters . There was political turmoil during the build - up to each renewal of the agreement . The disputes culminated in the early 1900s in a prolonged constitutional crisis . It was triggered by disagreement over which language to use for command in Hungarian army units , and deepened by the advent to power in Budapest in April 1906 of a Hungarian nationalist coalition . Provisional renewals of the common arrangements occurred in October 1907 and in November 1917 on the basis of the status quo .   Judicial system ( edit )  Empire of Austria ( edit )      This section needs expansion . You can help by adding to it . ( March 2013 )    Kingdom of Hungary ( edit )  The judicial power was independent of the administrative power . After 1868 ( Croatian -- Hungarian Settlement ) , Croatia - Slavonia had its own independent judicial system ( the Table of Seven was the court of last instance for Croatia - Slavonia with final civil and criminal jurisdiction ) . The judicial authorities in Hungary were :    the district courts with single judges ( 458 in 1905 ) ;   the county courts with collegiate judgeships ( 76 in number ) ; to these were attached 15 jury courts for press offences . These were courts of first instance . In Croatia - Slavonia these were known as the court tables after 1874 ;   Royal Tables ( 12 in number ) , which were courts of second instance , established at Budapest , Debrecen , Győr , Kassa , Kolozsvár , Marosvásárhely , Nagyvárad , Pécs , Pressburg , Szeged , Temesvár and Ban 's Table at Zagreb .   The Royal Supreme Court at Budapest , and the Supreme Court of Justice , or Table of Seven , at Zagreb , which were the highest judicial authorities . There were also a special commercial court at Budapest , a naval court at Fiume , and special army courts .    Public administration and local governments ( edit )  Empire of Austria ( edit ) Emperor Franz Joseph I visiting Prague and opening the new Emperor Francis I. Bridge in 1901 Kraków , a historical Polish city in the Austro - Hungarian Empire where in 1870 authorities allowed the use of the Polish language in the Jagiellonian University .  The organization of the administrative system in the Austrian Empire was complicated by the fact that between the State and the purely local communal administration there intruded yet a third element , grounded in history , the territories ( Länder ) . The State administration comprised all affairs having relation to rights , duties and interests `` which are common to all territories '' ; all other administrative tasks were left to the territories . Finally , the communes had self - government within their own sphere .   To this division of the work of administration corresponded a three-fold organization of the authorities : State , territorial and communal . The State authorities were divided on geographical lines into central , intermediate and local , and side by side with this there was a division of the offices for the transaction of business according to the various branches of the administration . The central authorities , which as early as the 18th century worked together in a common mother cell of the State chancery , became differentiated so soon as the growing tasks of administration called for specialization ; in 1869 there were seven departments , and in the concluding decade of the Austrian Empire there were set up Ministries of Labour , Food , Public Health and Social Care . Under these ministries came the Statthalter , whose administrative area had ordinarily the proportions of a Crown territory ( Kronland ) ; but the immense variations in area of the Crown territories made a uniform and consistent intermediate administrative organization practically impossible . The lowest administrative unit was the political sub-district ( Bezirk ) under an official ( Bezirkshauptmann ) , who united nearly all the administrative functions which were divided among the various ministries according to their attributions .   Side by side with the State administration certain Crown territory administrations also existed in the 17 Crown territories , carried on by selected honorary officials , having under them a staff of professional officials . Many branches of the territorial administration had great similarities with those of the State , so that their spheres of activity frequently overlapped and came into collision . This administrative `` double track '' , as it was called , led , it is true , in many cases to lively emulation , but was on the whole highly extravagant . The evils of this complicated system are obvious , and easy to condemn . They can be explained , partly by the origin of the State -- for the most part through a voluntary union of countries possessed by a strong sense of their own individuality -- partly by the influence in Austria of the Germanic spirit , well understood by the Slavs , which has nothing of the Latin tendency to reduce all questions of administration to clear - cut formulae as part of a logically consistent system . Like the English administrative system , the Austrian presented a rich variety , a variety indeed so rich that it clamoured for drastic reform .   Bienerth 's last act as premier in May 1911 was the appointment of a commission nominated by the Emperor , to draw up a scheme of administrative reform . So early as 1904 KOrber had declared a complete change in the principles of administration to be essential if the machinery of State were to continue working . After seven years of inaction , however , this imperial rescript was pitched in a far lower key . The continuous progress of society , it said , had made increased demands on the administration , that is to say , it was assumed that reform was not demanded so much by the defects of the administration but by the progress of the times , not because the administration was bad , but because life was better . It was an attempt to reform the administration without first reforming the State on equivalent lines .   A reform commission without a programme naturally first occupied itself with reforms about which there was no controversy . After a year had gone by it drew up `` Proposals for the training of State officials '' . After another two years it had indeed brought to light carefully prepared material for study , which was of great scientific value ; but its proposals . though politically of importance , did not provide any basis for reform on a large scale . And so when the World War broke out the commission dispersed without practical results , leaving behind it an imposing array of folio volumes of great scientific value . It was not till March 1918 that the Seidler Government decided upon a programme of national autonomy as a basis for administrative reform , which was , however , never carried into effect .  Kingdom of Hungary ( edit ) Administrative divisions and the counties of Hungary ( edit ) Coronation of Francis Joseph I and Elisabeth Amalie at Matthias Church , Buda , 8 June 1867  From 1867 the administrative and political divisions of the lands belonging to the Hungarian crown were in great measure remodelled . In 1868 Transylvania was definitely reunited to Hungary proper , and the town and district of Fiume declared autonomous . In 1873 part of the `` Military Frontier '' was united with Hungary proper and part with Croatia - Slavonia . Hungary proper , according to ancient usage , was generally divided into four great divisions or circles , and Transylvania up to 1876 was regarded as the fifth . In 1876 a general system of counties was introduced . According to this division Hungary proper is divided into seven circles , of which Transylvania forms one . The whole country is divided into the following counties :   ( a ) The circle on the left bank of the Danube contains eleven counties : ( 1 ) Árva , ( 2 ) Bars , ( 3 ) Esztergom , ( 4 ) Hont , ( 5 ) Liptó , ( 6 ) Nógrád , ( 7 ) Nyitra , ( 8 ) Pozsony ( 9 ) Trencsén , ( 10 ) Túrócz and ( 11 ) Zólyom .   ( b ) The circle on the right bank of the Danube contains eleven counties : Baranya , Fejér , Győr , Komárom , Moson , Somogy , Sopron , Tolna , Vas , Veszprém and Zala .   ( c ) The circle between the Danube and Tisza contains five counties : Bács - Bodrog , Csongrád , Heves , Jász - Nagykun - Szolnok and Pest - Pilis - Solt - Kiskun .   ( d ) The circle on the right bank of the Tisza contains eight counties : Abaúj - Torna , Bereg , Borsod , Gömör - es Kis - Hont , Sáros , Szepes , Ung , Zemplén .   ( e ) The circle on the left bank of the Tisza contains eight counties : Békés , Bihar , Hajdú , Máramaros , Szabolcs , Szatmár , Szilágy and Ugocsa .   ( f ) The circle between the Tisza and the Maros contains five counties : Arad , Csanád , Krassó - Szörény , Temes and Torontál .   ( g ) Transylvania contains fifteen counties : Also - Fehér , Besztercze - Naszód , Brassó , Csík , Fogaras , Háromszek , Hunyad , Kis - Küküllő , Kolozs , Maros - Torda , Nagy - Küküllő , Szeben , Szolnok - Doboka , Torda - Aranyos and Udvarhely .   Fiume town and district forms a separate division .   Croatia - Slavonia is divided into eight counties : Bjelovar - Križevci , Lika - Krbava , Modrus - Fiume , Pozega , Srijemska , Varaždin , Virovitica and Zagreb .  Municipal rights of the biggest cities in Hungary ( edit )  In regard to local government , the country was divided into municipalities or counties , which possessed a certain amount of self - government . Hungary proper was divided into sixty - three rural , and -- including Fiume -- twenty - six urban municipalities ( see section on Administrative Divisions ) . These urban municipalities were towns which for their local government were independent of the counties in which they were situated , and have , therefore , a la</t>
  </si>
  <si>
    <t xml:space="preserve">what was the capital of the austro hungarian empire</t>
  </si>
  <si>
    <t xml:space="preserve">  Capital   Vienna ( main ) Budapest  </t>
  </si>
  <si>
    <t xml:space="preserve">Replay review in gridiron football - wikipedia  Replay review in gridiron football  Jump to : navigation , search  In gridiron football , replay review is a method of reviewing a play using cameras at various angles to determine the accuracy of the initial call of the officials . An instant replay can take place in the event of a close or otherwise controversial call , either at the request of a team 's head coach ( with limitations ) or the officials themselves .   Replay reviews are only utilized at the college level and above . The National Federation of State High School Associations ( NFHS ) establishes the rules for most high school and youth organizations in the United States , and the rules of the NFHS do not permit replay reviews even when the equipment exists to enable the practice . In those leagues that utilize replay reviews , there are restrictions on what types of plays can be reviewed . In general , most penalty calls or lack thereof can not be reviewed , nor can a play that is whistled dead by the officials before the play could come to its rightful end .   American and Canadian football leagues vary in their application and use of instant replay review .     Contents  ( hide )   1 By league   1.1 National Football League   1.1. 1 History     1.2 NCAA football   1.2. 1 History     1.3 Canadian Football League     2 References      By league ( edit )   National football league ( edit )  Bill Cowher , then head coach of the Pittsburgh Steelers , throws the red challenge flag ( visible in the upper left corner of the picture ) , indicating his desire to challenge the officials ' ruling .  The National Football League first adopted a limited Instant Replay system in 1986 , though the current system began in 1999 , bringing in the opportunity to `` challenge '' on - field calls of plays . The current system mirrors a system used by the now defunct USFL in 1985 . Each coach is allowed two opportunities per game to make a coach 's challenge . Before the 2004 NFL season , the instant replay rule was slightly changed to allow a third challenge if both of the original two challenges were successful .   A challenge can only be made on certain reviewable calls on plays that begin before the two - minute warning and only when a team has at least one time - out remaining in the half . Up until the 2005 season , coaches could signal a challenge via an electronic pager , now used only by the replay assistant . The coaches now throw a red flag onto the field , indicating the challenge to the referees . This red flag was originally the `` backup plan '' if the pager were to fail , but it has become the more popular option among NFL coaches to signal a replay request .   The referee has 60 seconds to watch the instant replay of the play and decide if the original call was correct . The referee must see `` incontrovertible visual evidence '' that the original call was incorrect for a call to be overturned . If the challenge fails , the original ruling stands and the challenging team is charged with a timeout . If the challenge overrules the previous call , the call is reversed ; should there have been an official score change , the score will be changed again , resulting in the original score and with no loss of a timeout .   Because of the limited number of challenges , and the possible penalty of a lost timeout , coaches typically reserve their challenges for key plays . A questionable call may not be challenged once the next play is underway , so coaches may be forced to make a quick decision without the benefit of seeing a replay on television or on the stadium screen . If a questionable call is made in favor of the offense , then the offense will often line up and snap the ball quickly to prevent the opposing coach from challenging the call . Often players on the field will signal to the coach if they believe the play should be challenged .   During a scoring play ( starting in 2011 ) , turnovers ( starting in 2012 ) , or after the two - minute warning of each half , and in overtime , reviews can only take place if the replay assistant , who sits in the press box and monitors the network broadcast of the game , determines that a play needs review ; coaches may not challenge during these times . In those cases , the replay assistant will contact the referee by a specialized electronic pager with a vibrating alert . If a review takes place during that time while the clock is running , the clock will stop for the review , and then it will start running once the ball is set and ready for play . Starting with the 2010 season , any reviews with the clock running inside one minute will have a 10 - second rundown , which can be voided if either team uses a timeout .   One concern about replay that was addressed some years ago was the situation where a coach would seek a review of a non-challengeable call ( such as being forced out of bounds , or in some cases to challenge a runner down by contact ) . Before the rule was clarified , a team would lose the challenge and a time - out . The current rule does not penalize a team in such a case , provided the rule is not abused or taken advantage of .  Instant Replay booth at Raymond James Stadium  The NFL replay system currently only covers the following situations :    Scoring plays   Pass complete / incomplete / intercepted   Runner / receiver out of bounds   Recovery of a loose ball in or out of bounds   Touching of a forward pass , either by an ineligible receiver or a defensive player   Quarterback pass or fumble   Illegal forward pass   Forward or backward pass   Runner ruled not down by contact   Forward progress in regard to a first down   Touching of a kick   Other plays involving placement of the football   Whether a legal number of players is on the field at the time of the snap    If a play is overturned , the official is also responsible for making any related revisions to the game clock if applicable , especially in late , game - ending situations . For instance , if a player makes a reception and runs a long distance , several seconds may run off the game clock . If the play is challenged and the catch overturned , the game clock would be reset to have stopped at the moment of incompletion ( presumably adding time back to the clock ) .   Note that the spot of the ball may be challenged in certain cases . In such cases , a decision to respot the football is not enough to win the challenge ; only when the ball is respotted and the ruling on the field is reversed by remeasurement is the challenging team not charged a timeout .   Some unusual , and confusing sequences of events can occur during replay stoppages , and most have been addressed through rules clarifications . For instance , if a team commits a delay of game penalty ( before the snap ) , the opposing team still has the opportunity to challenge , provided it is done before the ensuing snap . Also , inside the two - minute warning , if a team calls a timeout in the normal course of play , but the replay assistant calls for a challenge of that play , the initial timeout is ignored and restored in favor of the replay stoppage .   On occasion , challenges can sometimes backfire on teams . During a 2017 game between the Chicago Bears and Green Bay Packers , Bears head coach John Fox challenged a call that had ruled Bears running back Benny Cunningham down at the Packers two - yard line despite Cunningham extending his arm out and touching the pylon , which under NFL rules would rule it a touchdown . While the Bears won the challenge , the referees actually ruled that Cunningham lost control of the football before being down and fumbled the ball into and out of the end zone , which by NFL rules resulted in a touchback and a de-facto turnover to the Packers . While the Packers would punt on the ensuing drive , it turned out to be a key play in what was eventually a 23 - 16 Packers win . Since the Bears did get the play overturned ( albeit with unintended results ) , they were n't charged a timeout .  History ( edit )  The current replay system replaced a previous system used from 1986 through 1991 , when a procedure similar to that of college football was used . In 1987 commissioner Pete Rozelle saved the system for another season ; in 1988 Pittsburgh Steelers owner Dan Rooney saved it . From before 1986 , and from 1992 to 1998 , no replay system was used . While there is occasional controversy over the appropriateness of overturned calls , the system is generally accepted as an effective and necessary way to ensure a fair game . By consensus , the tipping point for replay being fully and permanently accepted by NFL owners came late in the 1998 season . The Seattle Seahawks were leading the New York Jets with time running out and the Jets facing a 4th - and - goal situation , when QB Vinny Testaverde evaded a pass rush and ran towards the end zone before diving near the goal line . The referee near the play called it a touchdown , giving the Jets a critical 32 - 31 win . However , replays showed very clearly that while Testaverde 's helmet had crossed the goal line , the football never came close to breaking the plane of the goal line as required by the rules . If Seattle had won this game and the rest of their schedule played out as it ended up doing , they would have earned a wild card spot , but instead they missed the playoffs and coach Dennis Erickson and his entire staff were fired after the season . Owners could no longer claim that the inability to address such a massive error was tenable and brought replay back for the 1999 season . Replay has remained ( with numerous adjustments ) part of the NFL since then .   Despite the rules that a play can not be challenged if another play was run , it has happened on at least one occasion under the current rules . In 2001 , the Cleveland Browns were driving toward the east end zone of Cleveland Browns Stadium against the Jacksonville Jaguars for what would have been the winning score . A controversial call on fourth down gave the Jaguars the ball . Browns ' receiver Quincy Morgan had caught a pass for a first down on 4th and 1 . After Tim Couch spiked the ball on the next play , referee Terry McAulay reviewed Morgan 's catch , claiming that the replay officials had buzzed him before Couch spiked the ball . Upon reviewing the play , McAulay determined that Morgan never had control of the ball , thus the pass was incomplete , and the Jaguars were awarded the ball via turnover on downs . Fans in the Dawg Pound began throwing plastic beer bottles and other objects on the field , in an incident dubbed `` Bottlegate '' . McAulay declared the game over and sent the teams to the locker rooms . NFL Commissioner Paul Tagliabue then called to override the referee 's decision to end the game , sending the players back onto the field , where the Jaguars ran out the last seconds under a hail of debris . The loss would have major playoff implications for the Browns , who dropped to 6 - 7 , although the Browns would have still missed the playoffs had they won the game in any event .   NCAA football ( edit )  Referee ( left ) talking with the replay official  In 2006 , the NCAA Football Rules Committee enacted instant replay guidelines and added them to the football playing rules . For games involving two schools from the same conference , league policy determines whether replay will be used . For non-conference games , the home team makes the determination .   Plays involving the sideline , goal line , end zone and end line , as well as other detectable situations , are reviewable ( e.g. , fumble / no fumble , pass complete / incomplete , touchdown / no touchdown , runner down / not down , player or ball inbounds / out of bounds , clock adjustments ) . Most fouls ( e.g. , holding , offside , pass interference ) are not reviewable , except that in 2006 , illegal forward passes , handoffs and punts from beyond the line of scrimmage , and too many players on the field are reviewable and the foul may be called after replay review . Also , while the foul of pass interference is not reviewable , it can be overturned on review based on touching of the pass . By rule , pass interference can not apply if a pass has been touched by any player before the foul occurs , and the touching of a pass is a reviewable play at its conclusion from a secure booth in the press box . Most plays are routine and the game continues without interruption . If , however , the following criteria are met , the Replay Official may interrupt the contest by paging the game officials to stop the game before the next play starts . The criteria are :    There is reasonable evidence to believe an error was made in the initial on - field ruling .   The play is reviewable .   Any reversal of the on - field ruling , which can only result from indisputable video evidence , would have a direct , competitive impact on the game .    Once per game , each head coach may also call a timeout and challenge the ruling on the previous play before the next play starts . A coach must have at least one timeout remaining in order to challenge ( teams receive three timeouts per half ) . If the challenge is successful and the on - field ruling is overturned , the team keeps its timeout and is allowed only one more challenge . If unsuccessful , the team loses its timeout and is allowed no more challenges .   After reviewing the play from available video angles , the Replay Official decides if the call should be upheld or overturned . If the call is overturned , the Replay Official provides the proper information to restart the game , such as the team in possession , the yardline where the ball should be placed , the correct down and distance , and the correct time on the stadium clock . Should there have been an official score change , the score will be changed again , resulting in the original score .  History ( edit )  College football instant replay was started by the Big Ten Conference in the 2004 season because of what happened in the 2001 Michigan vs. Michigan State football game when reviews were used experimentally in the Big Ten Conference only . In the 2005 season , all conferences were allowed to use instant replay . Among Division I Football Bowl Subdivision ( see Division I-A ) conferences , the Atlantic Coast Conference , Big East , Big Ten , Big 12 , Conference USA , MAC , Mountain West Conference , Pac - 10 , and SEC used replay in 2005 . The Sun Belt and Western Athletic did not .   In 2005 , the Big 12 initially sought to provide field monitors which would allow the on - field referee to assist the replay official ; however , by the first game of the season , they decided to only provide equipment to the instant replay booth . Conference USA used a similar system , but the on - field referee made the decision after viewing a TV monitor on the sideline . The Mountain West Conference was the only league to allow a head coach 's challenge . Each head coach got one challenge per half . If the call was overturned , the challenging coach kept his timeout and got a second challenge for that half . If not , the challenging coach lost one of his three timeouts for the half . No more than two challenges per half per coach were allowed .   There is not currently an instant replay equipment standard , each conference must choose ( and purchase ) its own equipment . Therefore , systems are quite disparate : they can be as complex as the high - tech custom systems similar as those used in the NFL to as simple as several large screens hooked to a digital video recorder using the direct - to - air feed of the broadcasting entity televising the game or a venue 's internal coverage unit . Television coverage of NCAA games varies widely depending on the athletic conference , with most lower - level games not televised at all and many middle - level games only covered through rudimentary local or Internet broadcasts ; the quality of replay camera angles thus varies accordingly .   In 2005 , the Big Ten , MAC , and SEC only allowed broadcast video ( for games that are televised ) to be used to determine the correct call . The other conferences allowed broadcast video and scoreboard video . Most conferences provided video equipment for games that were not televised .   Instant replay was used in post-season games for the first time in the 2005 season . It was used in all 28 bowl games as well as the Division I Football Championship Subdivision ( FCS , née I - AA ) , Division II and Division III national championship playoff games .   Canadian football league ( edit )   The Canadian Football League board of governors approved the use of instant replay starting in 2006 . When implemented , the CFL system appeared to be modeled largely on the NFL 's , although some differences had been incorporated to accommodate differences between the two codes .   CFL teams are allowed only one challenge per game . A team must have at least one timeout in order to challenge . If a challenge is not successful , a timeout is charged . Regardless of the outcome , teams do not get any additional challenges . After the three minute warning in the fourth quarter , unused challenges are lost for the remainder of the game .   The current rule was instituted by new CFL commissioner Randy Ambrosie in August 2017 and took immediate effect . Ambrosie said in a statement that fans had been very clear they wanted a change concerning the video review system . He added that `` Too many challenges and reviews are interrupting the game , '' and the last thing the game needs is an `` artificial impediment '' to the fans ' enjoyment .   Previously , the CFL rules were similar to the NFL in that teams were allowed two challenges per game , with a third challenge awarded if both challenges were successful . Prior to 2013 , when CFL teams were only allowed one timeout per half , a timeout was charged only if the team 's second challenge was not successful .   The CFL Command Centre in Toronto has replay officials which conduct all reviews , rather than using a booth on the sidelines . Replay officials review all challenges , all scoring plays , and all turnovers . They can also initiate a review for all plays after the three minute warning in the fourth quarter . There is no time limit to make a decision .   References ( edit )    Jump up ^ 2017 NFHS Football Rulebook , Rule 1 , Article 1 , Section 9 : `` The use of any replay or television monitoring equipment by the game officials in making any decision relating to the game is prohibited . ''   Jump up ^ NFL History by Decade   Jump up ^ NFL News : Owners to vote on several major changes   Jump up ^ https://www.si.com/nfl/2017/11/12/chicago-bears-john-fox-challenge-touchdown-fumble-touchback   Jump up ^ http://www.chicagotribune.com/sports/football/bears/ct-bears-costly-replay-challenge-spt-1113-20171112-story.html   Jump up ^ ( 1 )   Jump up ^ `` Top 10 Most Ridiculous Sports Fan Moments - Photo 1 of 10 - NESN.com '' . Media.nesn.com. 2010 - 11 - 18 . Archived from the original on 2012 - 01 - 11 . Retrieved 2012 - 08 - 09 .   Jump up ^ `` Browns '' . Cleveland.com. 2014 - 12 - 16 . Retrieved 2016 - 09 - 25 .   Jump up ^ CFL Board of Governors approves instant replay   ^ Jump up to : `` CFL Announces Change to Limit Video Review '' . cfl.ca. 2 August 2017 . Retrieved 27 November 2017 .   Jump up ^ `` CFL new video review rule limits coaches to one challenge '' . www.sportsnet.ca . Canadian Press . 2 August 2017 . Retrieved 27 November 2017 .   ^ Jump up to : `` 2017 CFL Rule Book '' ( PDF ) . Retrieved 27 November 2017 .   Jump up ^ https://www.cfl.ca/article/cfl-approves-rule-changes-suggested-by-fans   Jump up ^ https://cfldb.ca/faq/game-rules-regulations/#how-many-team-time-outs-cfl-game      ( hide )         Gridiron football concepts     Codes     American   Glossary   History   Early   Modern     Rules     Canadian   American -- Canadian comparison   Burnside rules   Glossary     Arena   Indoor   9 - man   8 - man   6 - man   Flag   Touch   Street / Backyard   Powderpuff   Wheelchair   Rules of gridiron football codes       Levels of play     Youth / midget   Pop Warner   AYF     High school   Varsity   Junior varsity     College   Club   Sprint     Semi-pro   Professional   Practice squad     Women 's   International       Field      Lines     Yard lines   Hash marks   Goal line   Sidelines     Line of scrimmage   Field goal range       Spaces     End zone   Red zone   Neutral zone   Coffin corner   Flat   Gap   Hole   Pocket          Scoring     Touchdown   One - point conversion   Two - point conversion   Field goal   Safety   Single ( rouge )       Turnovers     Fumble   Interception   Muffed punt   Turnover on downs       Downs     First down   Three - and - out   Fourth down conversion   Dead ball       Play clock     Timeout   Kneel   Spike   Time warnings   3 min .   2 min .   1 min .     Clock management   Running out the clock   Untimed play   Garbage time       Statistics     Carry   Completion   Rushing yards   Passing yards   Passer rating   Total quarterback rating   Reception   Receiving yards   Pass deflected   Sack   Return yards   Total offense   Yards after catch   Yards from scrimmage   All - purpose yardage   Touchdown pass       Practice     Two - a-days   Oklahoma drill   Three - cone drill   Film session       Officiating     Official ( American , Canadian )   Chain crew   Penalty   Penalty flag   Instant replay       Miscellaneous     Ball   Coaching tree   Concussions   Equipment   12th man   Letterman   Overtime   Running up the score   Touchdown celebration   Gatorade shower   Tuck rule   Uniform number      Retrieved from `` https://en.wikipedia.org/w/index.php?title=Replay_review_in_gridiron_football&amp;oldid=820992555 '' Categories :   American football terminology   Canadian football           Talk                                           Contents                   About Wikipedia                                           Add links   This page was last edited on 17 January 2018 , at 20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</si>
  <si>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can a play be reviewed in college football</t>
  </si>
  <si>
    <t xml:space="preserve"> Plays involving the sideline , goal line , end zone and end line , as well as other detectable situations , are reviewable ( e.g. , fumble / no fumble , pass complete / incomplete , touchdown / no touchdown , runner down / not down , player or ball inbounds / out of bounds , clock adjustments ) . Most fouls ( e.g. , holding , offside , pass interference ) are not reviewable , except that in 2006 , illegal forward passes , handoffs and punts from beyond the line of scrimmage , and too many players on the field are reviewable and the foul may be called after replay review . Also , while the foul of pass interference is not reviewable , it can be overturned on review based on touching of the pass . By rule , pass interference can not apply if a pass has been touched by any player before the foul occurs , and the touching of a pass is a reviewable play at its conclusion from a secure booth in the press box . Most plays are routine and the game continues without interruption . If , however , the following criteria are met , the Replay Official may interrupt the contest by paging the game officials to stop the game before the next play starts . The criteria are : </t>
  </si>
  <si>
    <r>
      <rPr>
        <sz val="11"/>
        <color rgb="FF000000"/>
        <rFont val="Calibri"/>
        <family val="0"/>
        <charset val="1"/>
      </rPr>
      <t xml:space="preserve">Daniel Truhitte - Wikipedia  Daniel Truhitte       This biography of a living person needs additional citations for verification , as it includes attribution to IMDb . IMDb may not be a reliable source for biographical information . Please help by adding additional , reliable sources for verification . Contentious material about living persons that is unsourced or poorly sourced must be removed immediately , especially if potentially libelous or harmful . ( August 2014 ) ( Learn how and when to remove this template message )       Daniel Truhitte       ( 1943 - 09 - 10 ) September 10 , 1943 ( age 74 ) Sacramento , California     Years active   1965 - present     Spouse ( s )   Gabriele ( 1966 - ? ) ( divorced ) Mary ( divorced ) Tarealia Haney ( 1992 - present )     Daniel Lee Truhitte ( born September 10 , 1943 in Sacramento , California ) is an American actor , best known for his portrayal of Rolfe Gruber , the young Austrian telegraph delivery boy who performed `` Sixteen Going on Seventeen '' , in the film The Sound of Music ( 1965 ) . Truhitte is a singer , actor , dancer , and teacher of young performers .   Career ( edit )   Daniel Truhitte began dance training at the age of 6 and began taking voice lessons at the age of 10 . When he was 15 years old , he received a scholarship to The Sacramento Ballet . After high school , Truhitte received a scholarship to the Pasadena Playhouse . He also attended Ambassador College in Pasadena , California . After filming The Sound of Music , he joined the Marine Corps . In 1989 , Truhitte moved to Weddington , North Carolina , and then finally to Concord , North Carolina and began teaching young performers . He appeared in an episode of Entertainment Tonight titled `` A Day in the Life of Dan Truhitte '' on September 10 , 1993 , after The Old Courthouse Theatre of Concord , North Carolina asked him to play Captain Von Trapp in their production of The Sound of Music . Truhitte portrayed Captain von Trapp once again in the Hudson , North Carolina Dinner Theatre Production of The Sound of Music in October 2013 .   References ( edit )       This section is empty . You can help by adding to it . ( January 2012 )     External links ( edit )    Daniel Truhitte on IMDb            ISNI : 0000 0000 4546 1370   MusicBrainz : c13648d2 - fb61 - 48f7 - 8404 - 846ad74f34ff   VIAF : 12141406           This article about a United States film actor or actress born in the 1940s is a stub . You can help Wikipedia by expanding it .            Retrieved from `` https://en.wikipedia.org/w/index.php?title=Daniel_Truhitte&amp;oldid=814315838 '' Categories :   American male film actors   1943 births   Living people   Male actors from Sacramento , California   20th - century American male actors   American film actor , 1940s birth stubs   Hidden categories :   Articles lacking reliable references from August 2014   All articles lacking reliable references   BLP articles lacking sources from August 2014   All articles sourced by IMDb   Articles sourced by IMDb from August 2014   Pages using infobox person with unknown parameters   Infobox person using religion   Articles with hCards   Articles to be expanded from January 2012   All articles to be expanded   Articles with empty sections from January 2012   All articles with empty sections   Articles using small message boxes   Wikipedia articles with ISNI identifiers   Wikipedia articles with MusicBrainz identifiers   Wikipedia articles with VIAF identifiers   All stub articles           Talk                                                             About Wikipedia                                           Italiano   Nederlands   Português   </t>
    </r>
    <r>
      <rPr>
        <sz val="11"/>
        <color rgb="FF000000"/>
        <rFont val="Noto Sans CJK SC"/>
        <family val="2"/>
      </rPr>
      <t xml:space="preserve">中文   </t>
    </r>
    <r>
      <rPr>
        <sz val="11"/>
        <color rgb="FF000000"/>
        <rFont val="Calibri"/>
        <family val="0"/>
        <charset val="1"/>
      </rPr>
      <t xml:space="preserve">Edit links   This page was last edited on 8 December 2017 , at 02 : 24 ( UTC ) .         About Wikipedia                    </t>
    </r>
  </si>
  <si>
    <t xml:space="preserve">who played rolf in the sound of music</t>
  </si>
  <si>
    <t xml:space="preserve"> Daniel Lee Truhitte ( born September 10 , 1943 in Sacramento , California ) is an American actor , best known for his portrayal of Rolfe Gruber , the young Austrian telegraph delivery boy who performed `` Sixteen Going on Seventeen '' , in the film The Sound of Music ( 1965 ) . Truhitte is a singer , actor , dancer , and teacher of young performers . </t>
  </si>
  <si>
    <t xml:space="preserve">The Silence of the Lambs ( film ) - wikipedia  The Silence of the Lambs ( film )       The Silence of the Lambs     Theatrical release poster     Directed by   Jonathan Demme     Produced by     Kenneth Utt   Edward Saxon   Ron Bozman       Screenplay by   Ted Tally     Based on   The Silence of the Lambs by Thomas Harris     Starring     Jodie Foster   Anthony Hopkins   Scott Glenn   Ted Levine   Anthony Heald       Music by   Howard Shore     Cinematography   Tak Fujimoto     Edited by   Craig McKay     Production company   Strong Heart / Demme Production     Distributed by   Orion Pictures     Release date     January 30 , 1991 ( 1991 - 01 - 30 ) ( New York City )   February 14 , 1991 ( 1991 - 02 - 14 ) ( United States )             Running time   118 minutes     Country   United States     Language   English     Budget   $19 million     Box office   $272.7 million     The Silence of the Lambs is a 1991 American psychological horror - thriller film directed by Jonathan Demme from a screenplay written by Ted Tally , adapted from Thomas Harris 's 1988 novel of the same name . The film stars Jodie Foster , Anthony Hopkins , Scott Glenn , Ted Levine , and Anthony Heald . In the film , Clarice Starling , a young FBI trainee , seeks the advice of the imprisoned Dr. Hannibal Lecter , a brilliant psychiatrist and cannibalistic serial killer to apprehend another serial killer , known only as `` Buffalo Bill '' , who skins his female victims ' corpses . The novel was Harris 's first and second respectively to feature the characters of Starling and Lecter , and was the second adaptation of a Harris novel to feature Lecter , preceded by the Michael Mann - directed Manhunter ( 1986 ) .   The Silence of the Lambs was released on February 14 , 1991 , and grossed $272.7 million worldwide against its $19 million budget , becoming the fifth - highest grossing film of 1991 worldwide . The film premiered at the 41st Berlin International Film Festival , where it competed for the Golden Bear , while Demme received the Silver Bear for Best Director . Critically acclaimed upon release , it became only the third film , ( the other two being It Happened One Night and One Flew Over the Cuckoo 's Nest ) , to win Academy Awards in all the top five categories : Best Picture , Best Director , Best Actor , Best Actress , and Best Adapted Screenplay . It is also the first ( and so far only ) Best Picture winner widely considered to be a horror film , and only the third such film to be nominated in the category , after The Exorcist ( 1973 ) and Jaws ( 1975 ) .   It is regularly cited by critics , film directors , and audiences alike as one of the greatest and most influential films of all time . In 2018 , Empire ranked it 48th , on their list of 500 greatest movies of all time . The American Film Institute , ranked it as the 5th greatest and most influential thriller film of all time while the characters Clarice Starling and Hannibal Lecter were ranked as the greatest film heroine and villain respectively . The film is considered `` culturally , historically or aesthetically '' significant by the U.S. Library of Congress and was selected to be preserved in the National Film Registry in 2011 . A sequel titled Hannibal was released in 2001 , in which Hopkins reprised his role . It was followed by two prequels : Red Dragon ( 2002 ) and Hannibal Rising ( 2007 ) .   Contents    1 Plot   2 Cast   3 Production   3.1 Development   3.2 Casting   3.3 Filming   3.4 Music     4 Release   4.1 Critical reception   4.2 Accolades     5 Accusations of homophobia , transphobia and sexism   6 See also   7 References   8 External links    Plot   FBI trainee Clarice Starling , is pulled from her training at the FBI Academy at Quantico , Virginia by Jack Crawford of the Bureau 's Behavioral Science Unit . He assigns her to interview Hannibal Lecter , a former psychiatrist and incarcerated cannibalistic serial killer , whose insight might prove useful in the pursuit of a serial killer nicknamed `` Buffalo Bill '' , who skins his female victims ' corpses .   Starling travels to the Baltimore State Hospital for the Criminally Insane , where she is led by Frederick Chilton to Lecter 's solitary quarters . Although initially pleasant and courteous , Lecter grows impatient with Starling 's attempts at `` dissecting '' him and rebuffs her . As she is leaving , one of the prisoners flicks semen at her . Lecter , who considers this act `` unspeakably ugly '' , calls Starling back and tells her to seek out an old patient of his . This leads her to a storage shed , where she discovers a man 's severed head with a sphinx moth lodged in its throat . She returns to Lecter , who tells her that the man is linked to Buffalo Bill . He offers to profile Buffalo Bill on the condition that he may be transferred away from Chilton , whom he detests .   Buffalo Bill abducts a Senator 's daughter , Catherine Martin . Crawford authorizes Starling to offer Lecter a fake deal , promising a prison transfer if he provides information that helps them find Buffalo Bill and rescue Catherine . Instead , Lecter demands a quid pro quo from Starling , offering clues about Buffalo Bill in exchange for personal information . Starling tells Lecter about the murder of her father when she was ten years old . Chilton secretly records the conversation and reveals Starling 's deceit before offering Lecter a deal of Chilton 's own making . Lecter agrees and is flown to Memphis , where he verbally torments Senator Ruth Martin , and gives her misleading information on Buffalo Bill , including the name `` Louis Friend '' .   Starling notices that `` Louis Friend '' is an anagram of `` iron sulfide '' -- fool 's gold . She visits Lecter , who is now being held in a cage - like cell in a Tennessee courthouse , and asks for the truth . Lecter tells her that all the information she needs is contained in the case file . Rather than give her the real name , he insists that they continue their quid pro quo and she recounts a traumatic childhood incident where she was awakened by the sound of spring lambs being slaughtered on a relative 's farm in Montana . Starling admits that she still sometimes wakes thinking she can hear lambs screaming , and Lecter speculates that she is motivated to save Catherine in the hope that it will end the nightmares . Lecter gives her back the case files on Buffalo Bill after their conversation is interrupted by Chilton and the police , who escort her from the building . Later that evening , Lecter kills his guards , escapes from his cell , and disappears .   Starling analyzes Lecter 's annotations to the case files and realizes that Buffalo Bill knew his first victim personally . Starling travels to the victim 's hometown and discovers that Buffalo Bill was a tailor , with dresses and dress patterns identical to the patches of skin removed from each of his victims . She telephones Crawford to inform him that Buffalo Bill is trying to form a `` woman suit '' out of real skin , but Crawford is already en route to make an arrest , having cross-referenced Lecter 's notes with hospital archives and finding a transsexual woman named Jame Gumb , who once applied unsuccessfully for a sex - change operation . Starling continues interviewing friends of Buffalo Bill 's first victim in Ohio , while Crawford leads an FBI HRT team to Gumb 's address in Illinois . The house in Illinois is empty , and Starling is led to the house of `` Jack Gordon '' , who she realizes is actually Jame Gumb , again by finding a sphinx moth . She pursues him into his multi-room basement , where she discovers that Catherine is still alive , but trapped in a dry well . After turning off the basement lights , Gumb stalks Starling in the dark with night - vision goggles , but gives his position away when he cocks his revolver . Starling reacts just in time and fires all of her rounds at Gumb , killing him .   Sometime later , at the FBI Academy graduation party , Starling receives a phone call from Lecter , who is at an airport in Bimini . He assures her that he does not plan to pursue her and asks her to return the favor , which she says she can not do . Lecter then hangs up the phone , saying that he is `` having an old friend for dinner '' , and starts following a newly arrived Chilton before disappearing into the crowd .   Cast    Jodie Foster as Clarice Starling   Masha Skorobogatov as young Clarice     Anthony Hopkins as Dr. Hannibal Lecter   Scott Glenn as Jack Crawford   Ted Levine as Jame `` Buffalo Bill '' Gumb   Anthony Heald as Dr. Frederick Chilton   Brooke Smith as Catherine Martin   Diane Baker as U.S. Senator Ruth Martin   Kasi Lemmons as Ardelia Mapp   Frankie Faison as Barney Matthews   Tracey Walter as Lamar   Charles Napier as Lt. Boyle   Danny Darst as Sgt . Tate   Alex Coleman as Sgt . Jim Pembry   Dan Butler as Roden   Paul Lazar as Pilcher   Ron Vawter as Paul Krendler   Roger Corman as FBI Director Hayden Burke   Chris Isaak as SWAT Commander   Harry Northup as Mr. Bimmel    Production   Development   The Silence of the Lambs is based on Thomas Harris ' 1988 novel of the same name and is the second film to feature the character Hannibal Lecter following the 1986 film Manhunter . Prior to the novel 's release , Orion Pictures partnered with Gene Hackman to bring the novel to the big screen . With Hackman set to direct and possibly star in the role of Crawford , negotiations were made to split the $500,000 cost of rights between Hackman and the studio . In addition to securing the rights to the novel , producers also had to acquire the rights to the name `` Hannibal Lecter '' , which were owned by Manhunter producer Dino De Laurentiis . Owing to the financial failure of the earlier film , De Laurentiis lent the character rights to Orion Pictures for free .   In November 1987 , Ted Tally was brought on to write the adaptation ; Tally had previously crossed paths with Harris many times , with his interest in adapting The Silence of the Lambs originating from receiving an advance copy of the book from Harris himself . When Tally was about halfway through with the first draft , Hackman withdrew from the project and financing fell through . However , Orion Pictures co-founder Mike Medavoy assured Tally to keep writing as the studio itself took care of financing and searched for a replacement director . As a result , Orion Pictures sought director Jonathan Demme to helm the project . With the screenplay not yet completed , Demme signed on after reading the novel . From there , the project quickly took off , as Tally explained , `` ( Demme ) read my first draft not long after it was finished , and we met , then I was just startled by the speed of things . We met in May 1989 and were shooting in November . I do n't remember any big revisions . ''   Casting   Jodie Foster was interested in playing the role of Clarice Starling immediately after reading the novel . However , in spite of the fact that Foster had just won an Academy Award for her performance in the 1988 film The Accused , Demme was not convinced that she was right for the part . Having just collaborated on Married to the Mob , Demme 's first choice for the role of Starling was Michelle Pfeiffer , who turned it down , later saying , `` It was a difficult decision , but I got nervous about the subject matter '' . Still not convinced , he went to Meg Ryan who rejected it as well for its gruesome themes and then to Laura Dern , of whom the studio was skeptical as not being a bankable choice . As a result , Foster was awarded the role due to her passion towards the character .   For the role of Dr. Hannibal Lecter , Demme originally approached Sean Connery . After the actor turned it down , Anthony Hopkins was then offered the part based on his performance in The Elephant Man . Other actors considered for the role included Al Pacino , Robert De Niro , Dustin Hoffman , Derek Jacobi and Daniel Day - Lewis .   Gene Hackman was originally going to play Jack Crawford , the Agent - in - Charge of the Behavioral Science Unit of the FBI in Quantico , Virginia but he found the script `` too violent . '' Scott Glenn was then cast in the role . To prepare for the role , Glenn met with John E. Douglas , after whom the character is modeled . Douglas gave Glenn a tour of the Quantico facility and also played for him an audio tape containing various recordings that serial killers Lawrence Bittaker and Roy Norris had made of themselves raping and torturing a 16 - year - old girl . According to Douglas , Glenn wept as he experienced the recordings and even changed his liberal stance on the death penalty .   Filming   Principal photography for The Silence of the Lambs began on November 15 , 1989 and concluded on March 1 , 1990 . Filming primarily took place in and around Pittsburgh , Pennsylvania , with some scenes shot in nearby northern West Virginia . The home of Buffalo Bill used for exterior scenes was in Layton , Pennsylvania . The exterior of the Western Center near Canonsburg , Pennsylvania served as the setting for Baltimore State Hospital for the Criminally Insane . In what was a rare act of cooperation at the time , the FBI allowed scenes to be filmed at the FBI Academy in Quantico ; some FBI staff members even acted in bit parts .   Music     The Silence of the Lambs : The Original Motion Picture Score     Film score by Howard Shore     Released   February 5 , 1991     Recorded   August , 1990 in Munich     Length   57 : 09     Label   MCA Records     Producer   Howard Shore     Howard Shore chronology        Big ( 1988 )   The Silence of the Lambs : The Original Motion Picture Score ( 1991 )   Naked Lunch ( 1991 )            Hannibal Lecter chronology        Manhunter ( 1986 ) Manhunter 1986   The Silence of the Lambs ( 1991 ) The Silence of the Lambs1991   Hannibal ( 2001 ) Hannibal 2001              Professional ratings     Review scores     Source   Rating     Allmusic       Filmtracks.com       The musical score for The Silence of the Lambs was composed by Howard Shore , who would also go on to collaborate with Demme on Philadelphia . Recorded in Munich during the latter half of the summer of 1990 , the score was performed by the Munich Symphony Orchestra . `` I tried to write in a way that goes right into the fabric of the movie , '' explained Shore on his approach . `` I tried to make the music just fit in . When you watch the movie you are not aware of the music . You get your feelings from all elements simultaneously , lighting , cinematography , costumes , acting , music . Jonathan Demme was very specific about the music . '' A soundtrack album was released by MCA Records on February 5 , 1991 . Music from the film was later used in the trailers for its 2001 sequel , Hannibal .     The Silence of the Lambs : The Original Motion Picture Score     No .   Title   Length     1 .   `` Main Title ''   5 : 04     2 .   `` The Asylum ''   3 : 53     3 .   `` Clarice ''   3 : 03     4 .   `` Return to the Asylum ''   2 : 35     5 .   `` The Abduction ''   3 : 01     6 .   `` Quid Pro Quo ''   4 : 41     7 .   `` Lecter in Memphis ''   5 : 41     8 .   `` Lambs Screaming ''   5 : 34     9 .   `` Lecter Escapes ''   5 : 06     10 .   `` Belvedere , Ohio ''   3 : 32     11 .   `` The Moth ''   2 : 20     12 .   `` The Cellar ''   7 : 02     13 .   `` Finale ''   4 : 50     Total length :   57 : 09     Release   The Silence of the Lambs was released on February 14 , 1991 , grossing $14 million during its opening weekend . At the time it closed on October 10 , 1991 , the film had grossed $131 million domestically with a total worldwide gross of $273 million . It was the 5th - highest grossing film of 1991 worldwide .   Critical reception  The performances of Jodie Foster , Anthony Hopkins , Scott Glenn and Ted Levine received widespread praise .  The Silence of the Lambs was a sleeper hit that gradually gained widespread success and critical acclaim . Foster , Hopkins , and Levine garnered much acclaim for their performances . Review aggregator Rotten Tomatoes reports that 95 % of 86 film critics have given the film a positive review , with an average rating of 8.7 / 10 . The website 's critical consensus reads : `` Director Jonathan Demme 's smart , taut thriller teeters on the edge between psychological study and all - out horror , and benefits greatly from stellar performances by Anthony Hopkins and Jodie Foster . '' Metacritic , another review aggregator , assigned the film a weighted average score of 85 out of 100 , based on 19 reviews from mainstream critics , indicating `` universal acclaim '' . Audiences polled by CinemaScore gave the film an average grade of `` A - '' on an A+ to F scale .   Roger Ebert , of Chicago Sun - Times , specifically mentioned the `` terrifying qualities '' of Hannibal Lecter . Ebert later added the film to his list of The Great Movies , recognizing the film as a `` horror masterpiece '' alongside such classics as Nosferatu , Psycho , and Halloween . However , the film is also notable for being one of two multi-Academy Award winners ( the other being Unforgiven ) disapproved of by Ebert 's colleague , Gene Siskel . Writing for Chicago Tribune , Siskel said , `` Foster 's character , who is appealing , is dwarfed by the monsters she is after . I 'd rather see her work on another case . ''   Accolades     Academy Awards record     Best Picture , Edward Saxon , Kenneth Utt , Ronald M. Bozman     Best Director , Jonathan Demme     Best Actor , Anthony Hopkins     Best Actress , Jodie Foster     Best Adapted Screenplay , Ted Tally     Golden Globe Awards record     Best Actress , Jodie Foster     British Academy Film Awards record     Best Actor , Anthony Hopkins     Best Actress , Jodie Foster     The film won the Big Five Academy Awards : Best Picture , Best Director ( Demme ) , Best Actor ( Hopkins ) , Best Actress ( Foster ) , and Best Adapted Screenplay ( Ted Tally ) , making it only the third film in history to accomplish that feat . It was also nominated for Best Sound ( Tom Fleischman and Christopher Newman ) and Best Film Editing , but lost to Terminator 2 : Judgment Day and JFK , respectively .   Other awards include being named Best Film by the National Board of Review of Motion Pictures , CHI Awards and PEO Awards . Demme won the Silver Bear for Best Director at the 41st Berlin International Film Festival and was nominated for the Golden Globe Award for Best Director . The film was nominated for the Grand Prix of the Belgian Film Critics Association . It was also nominated for the British Academy Film Award for Best Film . Screenwriter Ted Tally received an Edgar Award for Best Motion Picture Screenplay . The film was awarded Best Horror Film of the Year during the 2nd Horror Hall of Fame telecast , with Vincent Price presenting the award to the film 's executive producer Gary Goetzman .   In 1998 , the film was listed as one of the 100 greatest films in the past 100 years by the American Film Institute . In 2006 , at the Key Art Awards , the original poster for The Silence of the Lambs was named best film poster `` of the past 35 years '' . The Silence of the Lambs placed seventh on Bravo 's The 100 Scariest Movie Moments for Lecter 's escape scene . The American Film Institute named Hannibal Lecter ( as portrayed by Hopkins ) the number one film villain of all time and Clarice Starling ( as portrayed by Foster ) the sixth - greatest film hero of all time . In 2011 , ABC aired a prime - time special , Best in Film : The Greatest Movies of Our Time , that counted down the best films chosen by fans based on results of a poll conducted by ABC and People magazine . The Silence of the Lambs was selected as the No. 1 Best Suspense / Thriller and Dr. Hannibal Lecter was selected as the No. 4 Greatest Film Character .   The film and its characters have appeared in the following AFI `` 100 Years '' lists :    AFI 's 100 Years ... 100 Movies -- # 65   AFI 's 100 Years ... 100 Thrills -- # 5   AFI 's 100 Years ... 100 Heroes &amp; Villains :   Clarice Starling -- # 6 Hero   Hannibal Lecter -- # 1 Villain     AFI 's 100 Years ... 100 Movie Quotes :   `` A census taker once tried to test me . I ate his liver with some fava beans and a nice Chianti . '' -- # 21     AFI 's 100 Years ... 100 Movies ( 10th Anniversary Edition ) -- # 74    In 2015 , Entertainment Weekly 's 25th anniversary year , it included The Silence of the Lambs in its list of the 25 best movies made since the magazine 's beginning .     Organization / Association   Award   Actor / Crew   Outcome   Remarks     64th Academy Awards   Best Picture   Edward Saxon , Kenneth Utt , Ron Bozman   Won       Best Director   Jonathan Demme   Won       Best Actor   Anthony Hopkins   Won       Best Actress   Jodie Foster   Won       Best Adapted Screenplay   Ted Tally   Won   Adapted from The Silence of the Lambs by Thomas Harris     Best Film Editing   Craig McKay   Nominated       Best Sound   Tom Fleischman , Christopher Newman   Nominated       49th Golden Globe Awards   Best Actress in a Motion Picture -- Drama   Jodie Foster   Won       Best Actor -- Motion Picture Drama   Anthony Hopkins   Nominated       Best Director   Jonathan Demme   Nominated       Best Motion Picture -- Drama   Kenneth Utt   Nominated       Best Screenplay   Ted Tally   Nominated       45th British Academy Film Awards   Best Actor in a Leading Role   Anthony Hopkins   Won       Best Actress in a Leading Role   Jodie Foster   Won       Best Adapted Screenplay   Ted Tally   Nominated       Best Cinematography   Tak Fujimoto   Nominated       Best Direction   Jonathan Demme   Nominated       Best Editing   Craig McKay   Nominated       Best Film   Ron Bozman , Edward Saxon , Kenneth Utt   Nominated       Best Film Music   Howard Shore   Nominated       Best Sound   Skip Lievsay , Christopher Newman , Tom Fleischman   Nominated       Accusations of homophobia , transphobia and sexism   Upon its release , The Silence of the Lambs was criticized by members of the LGBT community for its portrayal of Buffalo Bill as bisexual and transsexual . In response to the critiques , Demme replied that Buffalo Bill `` was n't a gay character . He was a tormented man who hated himself and wished he was a woman because that would have made him as far away from himself as he possibly could be . '' Demme added that he `` came to realize that there is a tremendous absence of positive gay characters in movies '' . Much of the criticism was directed towards Foster , whom the critics alleged was herself a lesbian .   In a 1992 interview with Playboy magazine , notable feminist and women 's rights advocate Betty Friedan stated , `` I thought it was absolutely outrageous that The Silence of the Lambs won four ( sic ) Oscars . ( ... ) I 'm not saying that the movie should n't have been shown . I 'm not denying the movie was an artistic triumph , but it was about the evisceration , the skinning alive of women . That is what I find offensive . Not the Playboy centerfold . ''   See also    List of films based on crime books   Silence ! The Musical , an unauthorized parody musical adaptation of the film .   List of Academy Award records     United States portal   Crime portal   Film portal    References    Jump up ^ `` The Silence of the Lambs '' . British Board of Film Classification . Retrieved September 20 , 2013 .   ^ Jump up to : `` The Silence of the Lambs ( 1991 ) '' . Box Office Mojo . Retrieved November 30 , 2014 .   Jump up ^ `` Top 10 Psychological Horror Movies - Alternative Reel '' . Alternative Reel . Alternative Reel . Retrieved 25 December 2015 .   Jump up ^ `` The Silence of the Lambs '' . Turner Classic Movies . Retrieved March 28 , 2016 .   Jump up ^ `` 15 Facts About ' The Silence of the Lambs ' You Did n't Know '' . Hollywood.com . Retrieved 12 September 2015 .   Jump up ^ The 500 Greatest Movies of All Time -- # 400 -- 301 empireonline.com ; Empire Online . Retrieved 3 June 2010 .   Jump up ^ `` Silence of the Lambs added to U.S. film archive '' . BBC . 28 December 2011 . Retrieved 28 December 2011 .   Jump up ^ Tiech , John ( June 20 , 2012 ) . Pittsburgh Film History : On Set in the Steel City . Stroud , Gloucestershire : The History Press . p. 63 . ISBN 1 - 60949 - 709 - 0 . Retrieved March 13 , 2014 .   Jump up ^ Bernstein , Jill ( February 8 , 2001 ) . `` How Ridley Scott 's Hannibal came to be made '' . The Guardian . Guardian Media Group . Retrieved March 13 , 2014 .   Jump up ^ Medavoy , Mike ( June 25 , 2013 ) . You 're Only as Good as Your Next One : 100 Great Films , 100 Good Films , and 100 for Which I Should Be Shot ( Reprint ed . ) . New York City : Atria Books . p. 183 . Retrieved March 13 , 2014 .   Jump up ^ Konow , David ( October 2 , 2012 ) . Reel Terror : The Scary , Bloody , Gory , Hundred - Year History of Classic Horror Films . London : St. Martin 's Press . p. 459 . ISBN 0 - 312 - 66883 - X . Retrieved March 13 , 2014 .   Jump up ^ Engel , Joel ( February 12 , 2013 ) . Screenwriters on Screen - Writing : The Best in the Business Discuss Their Craft ( Kindle ed . ) . New York City : Hyperion Books . Retrieved March 13 , 2014 .   Jump up ^ Kapsis , Robert E. ( December 19 , 2008 ) . Jonathan Demme : Interviews ( Conversations With Filmmakers Series ) . Jackson , Mississippi : University Press of Mississippi . pp. 71 -- 75 . ISBN 1 - 60473 - 118 - 4 . Retrieved March 13 , 2014 .   Jump up ^ Scott , Kevin Conroy ( April 28 , 2006 ) . Screenwriters ' Masterclass : Screenwriters Discuss their Greatest Films . New York City : HarperCollins . Retrieved March 13 , 2014 .   Jump up ^ `` The Total Film Interview -- Jodie Foster '' . Total Film . Future Publishing . December 1 , 2005 . Archived from the original on March 14 , 2014 . Retrieved March 14 , 2014 .   Jump up ^ Davis , Cindy ( February 27 , 2012 ) . `` Mindhole Blowers : 20 Facts About The Silence of the Lambs That Might Make You Crave a Nice Chianti '' . Pajiba . Retrieved March 14 , 2014 .   Jump up ^ The Barbara Walters Special , American Broadcast Company , 1992   Jump up ^ Davis , Cindy ( April 2 , 2015 ) . `` ' Silence Of The Lambs ' director admits he did n't want to cast Jodie Foster '' . NME . Retrieved March 14 , 2018 .   Jump up ^ Maslin , Janet ( February 19 , 1991 ) . `` How to Film a Gory Story With Restraint '' . The New York Times . The New York Times Company . Retrieved March 14 , 2014 .   Jump up ^ Odam , Matthew ( October 26 , 2013 ) . `` AFF panel wrap : Jonathan Demme in conversation with Paul Thomas Anderson '' . Austin American - Statesman . Cox Media Group . Retrieved March 15 , 2014 .   ^ Jump up to : White , Peter ( 2017 - 11 - 06 ) . `` Jodie Foster Lifts The Lid On ' The Silence Of The Lambs ' At BFI -- Q&amp;A '' . Deadline Hollywood . Retrieved 2017 - 11 - 06 .   ^ Jump up to : Lang , Brent ( September 11 , 2013 ) . `` Derek Jacobi , Daniel Day - Lewis Almost Played Hannibal Lecter in ' Silence of the Lambs ' '' . The Wrap . Retrieved April 8 , 2014 .   Jump up ^ Newton , Michael . `` Lawrence Bittaker &amp; Roy Norris : Killing Time '' . Crime Library . TruTV . Archived from the original on February 25 , 2014 . Retrieved March 14 , 2014 .   Jump up ^ Kessler , Ronald ( October 1 , 1993 ) . The FBI . New York City : Pocket Books . p. 258 . ISBN 0 - 671 - 78657 - 1 . Retrieved March 14 , 2014 .   Jump up ^ Douglas , John E. ; Mark Olshaker ( October 31 , 1995 ) . Mindhunter : Inside the FBI 's Elite Serial Crime Unit . New York City : Scribner . ISBN 0 - 684 - 80376 - 3 . Retrieved March 14 , 2014 .   Jump up ^ `` The Silence of the Lambs ( 1991 ) -- Miscellaneous Notes '' . Leonard Maltin 's Classic Movie Guide . Turner Classic Movies . Retrieved March 11 , 2014 .   Jump up ^ `` City lands good share of movies '' . The Vindicator. 10 December 1995 . Retrieved 30 December 2011 .   Jump up ^ `` ' Silence of the Lambs ' House Ca n't Find a Buyer '' . New York Times . January 12 , 2016 . Retrieved 2016 - 01 - 12 .   Jump up ^ The house used in the film sold in July 2016 for $195,000 , reported USA Today on July 12th , 2016 .   Jump up ^ Kirsch , Tom . `` Western Center -- Abandoned Photography '' . Opacity . Retrieved March 11 , 2014 .   Jump up ^ Edwards , Carl N. ( January 2 , 2001 ) . Responsibilities and Dispensations : Behavior , Science , &amp; American Justice . Dover , Massachusetts : Four Oaks Press . p. 132 . ISBN 0 - 9705128 - 8 - 0 . Retrieved March 15 , 2014 .   Jump up ^ Lurie , Rod ( June 1991 ) . `` Dr. Lecter Will See You Now '' . Empire Magazine . Retrieved 24 July 2014 .   Jump up ^ `` Howard Shore -- The Silence Of The Lambs ( The Original Motion Picture Score ) '' . Discogs . Zink Media , Inc . Retrieved March 11 , 2014 .   Jump up ^ Büdinger , Matthias ; Luc Van de Ven ( 1991 ) . `` Howard Shore on The Silence of the Lambs '' . Soundtrack Magazine . 10 ( 37 ) . Retrieved March 11 , 2014 .   Jump up ^ `` Filmtracks : The Silence of the Lambs ( Howard Shore ) '' . Filmtracks.com . November 24 , 2009 . Retrieved March 11 , 2014 .   Jump up ^ `` Trailer Music : Hannibal ( 2001 ) '' . Soundtrack.net . Autotelics , LLC . Retrieved March 11 , 2014 .   Jump up ^ `` The Silence of the Lambs '' . Box Office Mojo .   Jump up ^ `` 1991 Yearly Box Office Results '' . Box Office Mojo . Retrieved September 21 , 2012 .   Jump up ^ Collins , Jim ( 1992 ) . Film Theory Goes to the Movies . Routledge . p. 35 . ISBN 0 - 415 - 90576 - 1 .   Jump up ^ `` The Silence of the Lambs ( 1991 ) '' . Rotten Tomatoes . Fandango Media . Retrieved March 1 , 2018 .   Jump up ^ `` The Silence of the Lambs Reviews '' . Metacritic . CBS Interactive . Retrieved March 1 , 2018 .   Jump up ^ `` CinemaScore '' . cinemascore.com .   Jump up ^ Ebert , Roger ( February 14 , 1991 ) . `` The Silence of the Lambs Movie Review ( 1991 ) '' . Chicago Sun - Times . Sun - Times Media Group . Retrieved March 11 , 2014 .   Jump up ^ Ebert , Roger ( February 18 , 2001 ) . `` The Silence of the Lambs Movie Review ( 1991 ) '' . Chicago Sun - Times . Sun - Times Media Group . Retrieved March 11 , 2014 .   Jump up ^ Siskel , Gene ( February 15 , 1991 ) . `` Jodie Foster Appealing , But Not ' Silence Of The Lambs ' '' . Chicago Tribune . Tribune Company . Retrieved March 11 , 2014 .   Jump up ^ Pristin , Terry ( March 31 , 1992 ) . `` ' Silence of the Lambs ' Sweeps 5 Major Oscars '' . Los Angeles Times . Tribune Company . Retrieved March 15 , 2014 .   Jump up ^ `` The 64th Academy Awards ( 1992 ) Nominees and Winners '' . oscars.org . Retrieved 2011 - 10 - 22 .   Jump up ^ `` Berlinale : 1991 Prize Winners '' . berlinale.de . Retrieved 2011 - 03 - 26 .   Jump up ^ 2nd Annual Horror Hall of Fame Telecast , 1991   Jump up ^ AFI 's 100 Years ... 100 Movies Accessed 14 March 2007 . Archived March 5 , 2007 , at the Wayback Machine .   Jump up ^ `` ' Sin City ' place to be at Key Art Awards '' . The Hollywood Reporter. 9 October 2006 . Retrieved 7 October 2007   ^ Jump up to : AFI 100 Years ... 100 Heroes &amp; Villains Accessed 14 March 2007 . Archived March 12 , 2007 , at the Wayback Machine .   Jump up ^ `` EW 's 25 Best Movies in 25 Years '' . ew.com . Entertainment Weekly . Retrieved 13 October 2015 .   Jump up ^ Schmalz , Jeffrey ( 28 February 1993 ) . `` From Visions of Paradise to Hell on Earth '' . The New York Times .   Jump up ^ Hollinger 2012 , pp. 46 -- 47   Jump up ^ `` Interview of Friedan '' by David Sheff , Playboy , September 1992 , pp. 51 -- 54 , 56 , 58 , 60 , 62 , 149 ; reprinted in full in Interviews with Betty Friedan , Janann Sherman , ed . Univ . Press of Mississippi , 2002 , ISBN 1 - 57806 - 480 - 5 .    External links       Wikiquote has quotations related to : The Silence of the Lambs      The Silence of the Lambs on IMDb   The Silence of the Lambs at the TCM Movie Database   The Silence of the Lambs at Box Office Mojo   The Silence of the Lambs at Rotten Tomatoes   The Silence of the Lambs at Metacritic   The Silence of the Lambs an essay by Amy Taubin at the Criterion Collection              Thomas Harris ' Hannibal Lecter     Characters     Hannibal Lecter   Will Graham   Clarice Starling   Jack Crawford   Frederick Chilton   Francis Dolarhyde   Buffalo Bill   Mason Verger   Freddy Lounds   Bedelia Du Maurier       Novels     Red Dragon ( 1981 )   The Silence of the Lambs ( 1988 )   Hannibal ( 1999 )   Hannibal Rising ( 2006 )       Films     Manhunter ( 1986 )   The Silence of the Lambs ( 1991 )   Hannibal ( 2001 )   Red Dragon ( 2002 )   Hannibal Rising ( 2007 )       Television     Hannibal ( 2013 -- 15 )   episodes   `` Apéritif ''   `` Amuse - Bouche ''   `` Potage ''   `` Oeuf ''         Related productions     The Silence of the Hams ( 1994 )   Silence ! The M</t>
  </si>
  <si>
    <t xml:space="preserve">who won an oscar in silence of the lambs</t>
  </si>
  <si>
    <t xml:space="preserve">   Organization / Association   Award   Actor / Crew   Outcome   Remarks     64th Academy Awards   Best Picture   Edward Saxon , Kenneth Utt , Ron Bozman   Won       Best Director   Jonathan Demme   Won       Best Actor   Anthony Hopkins   Won       Best Actress   Jodie Foster   Won       Best Adapted Screenplay   Ted Tally   Won   Adapted from The Silence of the Lambs by Thomas Harris     Best Film Editing   Craig McKay   Nominated       Best Sound   Tom Fleischman , Christopher Newman   Nominated       49th Golden Globe Awards   Best Actress in a Motion Picture -- Drama   Jodie Foster   Won       Best Actor -- Motion Picture Drama   Anthony Hopkins   Nominated       Best Director   Jonathan Demme   Nominated       Best Motion Picture -- Drama   Kenneth Utt   Nominated       Best Screenplay   Ted Tally   Nominated       45th British Academy Film Awards   Best Actor in a Leading Role   Anthony Hopkins   Won       Best Actress in a Leading Role   Jodie Foster   Won       Best Adapted Screenplay   Ted Tally   Nominated       Best Cinematography   Tak Fujimoto   Nominated       Best Direction   Jonathan Demme   Nominated       Best Editing   Craig McKay   Nominated       Best Film   Ron Bozman , Edward Saxon , Kenneth Utt   Nominated       Best Film Music   Howard Shore   Nominated       Best Sound   Skip Lievsay , Christopher Newman , Tom Fleischman   Nominated     </t>
  </si>
  <si>
    <r>
      <rPr>
        <sz val="11"/>
        <color rgb="FF000000"/>
        <rFont val="Calibri"/>
        <family val="0"/>
        <charset val="1"/>
      </rPr>
      <t xml:space="preserve">I Can Only Imagine ( film ) - wikipedia  I Can Only Imagine ( film )     I Can Only Imagine     Theatrical release poster     Directed by   Erwin Brothers     Produced by     Cindy Bond   Kevin Downes   Daryl Lefever   Mickey Liddell   Pete Shilaimon   Raymond Harris   Joe Knopp       Screenplay by     Jon Erwin   Brent McCorkle       Story by     Alex Cramer   Jon Erwin   Brent McCorkle       Based on   The life story of Bart Millard     Starring     J. Michael Finley   Madeline Carroll   Trace Adkins   Priscilla Shirer   Cloris Leachman   Dennis Quaid   Tanya Clarke       Music by   Brent McCorkle     Cinematography   Kristopher Kimlin     Edited by     Andrew Erwin   Brent McCorkle       Production companies     Kevin Downes Productions   Mission Pictures International       Distributed by     Lionsgate   Roadside Attractions       Release date     March 16 , 2018 ( 2018 - 03 - 16 )               Running time   110 minutes     Country   United States     Language   English     Budget   $7 million     Box office   $85.4 million     I Can Only Imagine is a 2018 American Christian drama film directed by the Erwin Brothers and written by Alex Cramer , Jon Erwin , and Brent McCorkle , based on the story behind the MercyMe song of the same name , the best - selling Christian single of all time . The film stars J. Michael Finley as Bart Millard , the lead singer who wrote the song about his relationship with his father ( Dennis Quaid ) . Madeline Carroll , Priscilla Shirer , Cloris Leachman , and Trace Adkins also star .   I Can Only Imagine was released in the United States on March 16 , 2018 . It grossed $85 million worldwide against a production budget of $7 million , and is the third highest - grossing music biopic of all - time in the United States . Some critics praised it as inspiring and noted it as an improvement compared to other faith - based films , while others called it flat and by - the - numbers .   Contents    1 Plot   2 Cast   3 Production   4 Reception   4.1 Box office   4.2 Critical response   4.3 Home media     5 References   6 External links    Plot ( edit )   Coming from a home with an abusive father , 10 - year - old Bart Millard is dropped off at a Christian camp by his mother . While there , he meets Shannon . Upon his return from camp , Bart finds his mother has left and movers are removing her belongings . This leads to a physical confrontation with his father , Arthur , who takes custody of him .   Years later , Bart is in Lakeside high school and dating Shannon . Hoping to impress his father , he begins playing football . However , he is injured , breaking both ankles and ending his career . In order to make up the credits he would miss from football , he signs up for music class , the only available class left . Initially , Bart is assigned to be a sound technician . After the director catches him singing in the empty auditorium of Lakeside high school , she casts him as Curly , the lead role in the school production of Oklahoma . He does n't tell his father of his role in the play , and while Bart has risen to the singing demands of the part , Arthur subsequently collapses with severe abdominal pain , but refuses to tell Bart or Shannon about his cancer diagnosis . The following morning , Bart voices his frustrations with Arthur and it ends with Arthur smashing a plate over his head in anger . Shannon presses Bart to open up , but he responds by breaking up with her and leaving to seek his fortune in the city after graduation .   He then connects with the band who would become MercyMe , and eventually attracts the attention of Christian music producer Scott Brickell ( Trace Adkins ) , who coaches him and gets the band a showcase in Nashville . This leads to meetings with Amy Grant ( Nicole DuPort ) and Michael W. Smith ( Jake B. Miller ) . Bart has meanwhile been unable to reconcile with Shannon , who rejects his invitation to tour with the band to their upcoming Nashville showcase . While the band felt their performance was the best of their career , industry representatives reject them as not being good enough to sell records . In despair , Bart quits the band . After talking with Brickell , who encourages him to resolve his issues with his father , he rejoins the band but asks that they wait for him to confront his father and settle the conflict before they play again .   Bart returns home and is greeted enthusiastically by his father , who prepares breakfast for him the next morning . His father claims to have become a Christian , but Bart is initially skeptical and rejects his father 's offer to start over . In anger , Arthur takes a baseball bat and hits his old Jeep , which he had hoped to repair with his son . As Bart prepares to leave , he finds out his father has terminal cancer . Bart reconciles with his father and the two form a deep bond before Arthur dies of his illness .   After Arthur 's funeral , Bart rejoins the band and writes `` I Can Only Imagine '' . Brickell sends the demo tape to several artists , including Grant , who , deeply moved by the song , asks to record it herself as her next single . The band accepts Grant 's offer . Bart is seated in the audience when Grant intends to unveil the song live in concert . However , Grant decides that Bart should be the one to sing the song , and offers it back to him , calling him to the microphone to sing it before a large audience . Millard 's unexpected performance is wildly applauded and he reunites with Shannon , who had also been in attendance at the concert . The band releases the song as their first single , achieving success on Christian and mainstream radio .   Cast ( edit )  This list is incomplete ; you can help by expanding it .   J. Michael Finley as Bart Millard   Brody Rose as Young Bart     Dennis Quaid as Arthur Millard , Bart 's father   Tanya Clarke as Adele   Cloris Leachman as Meemaw , Bart 's grandmother   Madeline Carroll as Shannon , Bart 's girlfriend   Taegen Burns as Young Shannon     Trace Adkins as Scott Brickell , MercyMe 's manager   Priscilla Shirer as Mrs. Fincher , Bart 's teacher   Nicole DuPort as Amy Grant   Jake B. Miller as Michael W. Smith   Mark Furze as Nathan    Production ( edit )       This section needs expansion . You can help by adding to it . ( March 2018 )     The film was announced in December 2016 . Dennis Quaid joined the cast in January 2017 . Broadway actor J. Michael Finley makes his film debut as Bart Millard . The same month , it was announced that the film was slated for release in the spring of 2018 . In August 2017 , Lionsgate and Roadside Attractions signed on as distributors for the film for a nationwide release in the United States .   Reception ( edit )   Box Office ( edit )   As of June 24 , 2018 , I Can Only Imagine has grossed $83.4 million in the United States , and Canada and $1.8 million in other territories , for a worldwide total of $85.2 million , against a production budget of $7 million . It is the third - highest grossing music biopic of all - time in the United States , behind Straight Outta Compton and Walk the Line . It is also the highest - grossing independent film of 2018 .   I Can Only Imagine was released on March 16 , 2018 , alongside Tomb Raider and Love , Simon , and was originally projected to gross $2 -- 4 million from 1,620 theaters in its opening weekend . However , after making $6.2 million on its first day ( including $1.3 million from Thursday night previews ) , weekend estimates were increased to $14 million . It ended up grossing $17.1 million , exceeding expectations and finishing third at the box office behind Black Panther and Tomb Raider. 67 % of the opening weekend audience was female while 80 % was over the age of 35 . It was the fourth best - ever opening for a faith - based film , following The Passion of the Christ ( $83.8 million ) , Son of God ( $25.6 million ) and Heaven Is for Real ( $22.5 million ) . In its second weekend the film was added to 624 additional theaters and dropped just 19 % to $13.8 million , again finishing third . It was added to another 395 venues and finished fourth in its third weekend , making $10.4 million ( including $3 million on Easter Sunday ) .   Critical response ( edit )   On review aggregator Rotten Tomatoes , the film holds an approval rating of 68 % based on 25 reviews , and an average rating of 6 / 10 . The site 's critical consensus reads , `` I Can Only Imagine 's message will have the most impact among Christian audiences , but overall , its performances and storytelling represent a notable evolution in faith - based cinema . '' On Metacritic , the film has a weighted average score of 29 out of 100 , based on 7 critics , indicating `` generally unfavorable reviews '' . Audiences polled by CinemaScore gave the film an average grade of `` A + '' on an A+ to F scale , one of fewer than 80 films in the history of the service to earn such a score .   The Arizona Republic 's James Ward gave the film 4 / 5 stars and wrote , `` Too often faith - based films -- say anything with Kirk Cameron or the terrible God 's Not Dead series -- tend to preach to the choir or hector their audience . The Erwins ' films -- I Can Only Imagine definitely among them -- are more inclusive , charitable of spirit and hopeful , all qualities that are always appreciated , be they rooted in Christian faith or otherwise . '' David Ehrlich of IndieWire gave the film a `` C -- '' saying : `` There 's a reason why all of these movies are so amateurishly made ; why they all end with links to religious websites ; why they all look like they were shot on an iPhone by a Walmart - brand Janusz Kaminski who lit each interior like the white light of heaven was streaming through every window ... Art can be affirmation , but affirmation can not be art . ''   Home Media ( edit )   The film was released on iTunes and Google Play on June 5 , 2018 , and on DVD and Blu - ray on June 12 , 2018 .   References ( edit )    ^ Jump up to : Anita , Busch ( August 14 , 2017 ) . `` Faith - Based ' I Can Only Imagine ' Picked Up By Lionsgate &amp; Roadside Attractions '' . Deadline Hollywood . Penske Business Media . Retrieved March 19 , 2018 .   ^ Jump up to : `` I Can Only Imagine ( 2018 ) '' . The Numbers . Nash Information Services , LLC . Retrieved July 8 , 2018 .   Jump up ^ Ryan , Patrick ( March 13 , 2018 ) . `` How did ' I Can Only Imagine ' become the biggest Christian hit ever ( and inspire a movie ) ? '' . USA Today . Retrieved April 18 , 2018 .   Jump up ^ Staff Reports ( December 2 , 2016 ) . `` MercyMe hit song turning into Okie production '' . NewsOK . Retrieved March 19 , 2018 .   ^ Jump up to : Busch , Anita ( January 5 , 2017 ) . `` Faith - Based Film ' I Can Only Imagine ' With Dennis Quaid , Cloris Leachman And Trace Adkins Eyes Spring 2018 Release '' . Deadline Hollywood . Penske Business Media . Retrieved March 19 , 2018 .   Jump up ^ Galuppo , Mia ( August 14 , 2017 ) . `` Lionsgate , Roadside Acquire Faith - Based Drama ' I Can Only Imagine ' '' . The Hollywood Reporter . Retrieved March 19 , 2018 .   Jump up ^ `` Biopic - Music Movies at the Box Office '' . Box Office Mojo . Retrieved April 20 , 2018 .   Jump up ^ Erbland , Kate . `` The 20 Highest Grossing Indies of 2018 ( A Running List ) -- IndieWire '' . IndieWire . Retrieved June 24 , 2018 .   Jump up ^ Fuster , Jeremy ( March 13 , 2018 ) . `` Will ' Tomb Raider ' Be the Movie to Finally Knock ' Black Panther ' From Box Office Perch ? '' . TheWrap . Retrieved March 19 , 2018 .   ^ Jump up to : D'Alessandro , Anthony ( March 16 , 2018 ) . `` ' Black Panther ' Poised For $460 M+ In Profit ; ' I Can Only Imagine ' Surprises -- Box Office Update '' . Deadline Hollywood . Penske Business Media . Retrieved March 17 , 2018 .   Jump up ^ D'Alessandro , Anthony ( March 18 , 2018 ) . `` ' Black Panther ' Keeps B.O. Treasure From ' Tomb Raider ' ; How ' I Can Only Imagine ' Hit A $17 M High Note '' . Deadline Hollywood . Penske Business Media . Retrieved March 18 , 2018 .   Jump up ^ `` Box Office : ' I Can Only Imagine ' Revives Faith - Based Genre '' . The Hollywood Reporter . March 20 , 2018 . Retrieved March 20 , 2018 .   Jump up ^ D'Alessandro , Anthony ( March 25 , 2018 ) . `` Does ' Pacific Rim : Uprising ' Break Even At The Global B.O. ? ; ' Black Panther ' Sets Marvel Record -- Sunday Postmortem '' . Deadline Hollywood . Retrieved March 25 , 2018 .   Jump up ^ D'Alessandro , Anthony ( April 1 , 2018 ) . `` How Warner Bros. Sold ' Ready Player One ' On The Spielberg Spirit &amp; Beat Tracking With $53 M+ 4 - Day -- Sunday Postmortem '' . Deadline Hollywood . Retrieved April 4 , 2018 .   Jump up ^ `` I Can Only Imagine ( 2018 ) '' . Rotten Tomatoes . Fandango . Retrieved June 16 , 2018 .   Jump up ^ `` I Can Only Imagine Reviews '' . Metacritic . CBS Interactive . Retrieved March 22 , 2018 .   Jump up ^ Ward , James ( March 15 , 2018 ) . `` Faith - based drama ' I Can Only Imagine ' does n't just preach to the choir '' . The Arizona Republic . Retrieved March 22 , 2018 .   Jump up ^ Ehrlich , David ( March 21 , 2018 ) . `` ' I Can Only Imagine ' Review : A Christian Rock Biopic Shows Why Faith - Based Films Struggle to Convert Secular Audiences '' . IndieWire . Retrieved March 22 , 2018 .   Jump up ^ June 5 Blu - ray , DVD , and Digital Releases Comingsoon.net , Retrieved June 22 , 2018   Jump up ^ I Can Only Imagine Blu - ray Blu-ray.com , June 22 , 2018    External links ( edit )    Official website   I Can Only Imagine on IMDb   I Can Only Imagine at the TCM Movie Database   I Can Only Imagine at AllMovie   I Can Only Imagine at Box Office Mojo   I Can Only Imagine at History vs. Hollywood   Retrieved from `` https://en.wikipedia.org/w/index.php?title=I_Can_Only_Imagine_(film)&amp;oldid=853398909 '' Categories :   2018 films   English - language films   American films   American drama films   2010s drama films   Drama films based on actual events   Films based on actual events   Roadside Attractions films   Films shot in Oklahoma   Hidden categories :   Incomplete lists from March 2018   Articles to be expanded from March 2018   All articles to be expanded   Articles using small message boxes   Articles containing potentially dated statements from June 2018   All articles containing potentially dated statements           Talk                                           Contents                   About Wikipedia                                             فارسی   Français   </t>
    </r>
    <r>
      <rPr>
        <sz val="11"/>
        <color rgb="FF000000"/>
        <rFont val="Noto Sans CJK SC"/>
        <family val="2"/>
      </rPr>
      <t xml:space="preserve">한국어   </t>
    </r>
    <r>
      <rPr>
        <sz val="11"/>
        <color rgb="FF000000"/>
        <rFont val="Calibri"/>
        <family val="0"/>
        <charset val="1"/>
      </rPr>
      <t xml:space="preserve">Bahasa Indonesia   </t>
    </r>
    <r>
      <rPr>
        <sz val="11"/>
        <color rgb="FF000000"/>
        <rFont val="Noto Sans CJK SC"/>
        <family val="2"/>
      </rPr>
      <t xml:space="preserve">日本 語   </t>
    </r>
    <r>
      <rPr>
        <sz val="11"/>
        <color rgb="FF000000"/>
        <rFont val="Calibri"/>
        <family val="0"/>
        <charset val="1"/>
      </rPr>
      <t xml:space="preserve">Edit links   This page was last edited on 4 August 2018 , at 14 : 16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</si>
  <si>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i can only imagine movie made</t>
  </si>
  <si>
    <t xml:space="preserve"> I Can Only Imagine is a 2018 American Christian drama film directed by the Erwin Brothers and written by Alex Cramer , Jon Erwin , and Brent McCorkle , based on the story behind the MercyMe song of the same name , the best - selling Christian single of all time . The film stars J. Michael Finley as Bart Millard , the lead singer who wrote the song about his relationship with his father ( Dennis Quaid ) . Madeline Carroll , Priscilla Shirer , Cloris Leachman , and Trace Adkins also star . </t>
  </si>
  <si>
    <t xml:space="preserve">When You Say Nothing at All - wikipedia  When You Say Nothing at All  Jump to : navigation , search    `` When You Say Nothing at All ''         Single by Keith Whitley     from the album Do n't Close Your Eyes     B - side   `` Lucky Dog ''     Released   August 1988     Format   7 '' vinyl     Recorded       Genre   Country     Length   3 : 40     Label   RCA Nashville     Songwriter ( s )     Paul Overstreet   Don Schlitz       Producer ( s )   Garth Fundis , Keith Whitley     Keith Whitley singles chronology        `` Do n't Close Your Eyes '' ( 1988 )   `` When You Say Nothing at All '' ( 1988 )   `` I 'm No Stranger to the Rain '' ( 1989 )           `` Do n't Close Your Eyes '' ( 1988 )   `` When You Say Nothing at All '' ( 1988 )   `` I 'm No Stranger to the Rain '' ( 1989 )        `` When You Say Nothing at All '' is a country song written by Paul Overstreet and Don Schlitz . It is among the best - known hit songs for three different performers : Keith Whitley , who took it to the top of the Billboard Hot Country Singles chart on December 24 , 1988 ; Alison Krauss , whose version was her first solo top - 10 country hit in 1995 ; and Irish pop singer Ronan Keating , whose version was his first solo single and a chart - topper in the United Kingdom and Ireland in 1999 .     Contents  ( hide )   1 Origin   2 Keith Whitley   2.1 Chart performance     3 Alison Krauss version   3.1 Track listing   3.2 Chart performance   3.3 Year - end charts     4 Ronan Keating version   4.1 Track listing   4.2 Charts and certifications   4.2. 1 Weekly charts   4.2. 2 Year - end charts   4.2. 3 Certifications       5 Other covers   6 References   7 External links      Origin ( edit )   Overstreet and Schlitz came up with `` When You Say Nothing at All '' at the end of an otherwise unproductive day . Strumming a guitar , trying to write their next song , they were coming up empty . `` As we tried to find another way to say nothing , we came up with the song , '' Overstreet later told author Ace Collins . They thought the song was OK , but nothing special . When Keith Whitley heard it , he loved it , and was not going to let it get away . Earlier , he had recorded another Overstreet - Schlitz composition that became a No. 1 hit for another artist - Randy Travis ' `` On the Other Hand . '' Whitley did not plan to let `` When You Say Nothing at All '' meet the same fate .   Keith Whitley ( edit )   RCA released `` When You Say Nothing at All '' as the follow - up single to the title song of Whitley 's Do n't Close Your Eyes album . The former song already had hit No. 1 on the Billboard Hot Country Singles chart , his first chart - topper after three prior singles made the top 10 . `` When You Say Nothing at All '' entered the Hot Country Singles chart on September 17 , 1988 , at No. 61 , and gradually rose to the top , where it stayed for two weeks at the end of the year . It was the second of five consecutive chart - topping singles for Whitley , who did not live to see the last two , as he died on May 9 , 1989 of alcohol poisoning . `` Keith did a great job singin ' that song , '' co-composer Schlitz told author Tom Roland . `` He truly sang it from the heart . '' In 2004 , Whitley 's original was ranked 12th among CMT 's 100 Greatest Love Songs . It was sung by Sara Evans on the show . As of February 2015 , the song has sold 599,000 digital copies in the US after it became available for download .   Chart performance ( edit )     Chart ( 1988 )   Peak position     US Hot Country Songs ( Billboard )       Canadian RPM Country Tracks       Alison Krauss version ( edit )     `` When You Say Nothing at All ''         Single by Alison Krauss &amp; Union Station     from the album Keith Whitley : A Tribute Album &amp; Now That I 've Found You : A Collection     B - side   `` Charlotte 's in North Carolina '' by Keith Whitley     Released   1995     Format   7 '' vinyl single     Genre   Country     Length   4 : 20     Label   BNA     Songwriter ( s )     Paul Overstreet   Don Schlitz       Producer ( s )   Randy Scruggs     Alison Krauss &amp; Union Station singles chronology        `` Somewhere in the Vicinity of the Heart '' ( 1995 )   `` When You Say Nothing at All '' ( 1995 )   `` Baby Now That I 've Found You '' ( 1995 )           `` Somewhere in the Vicinity of the Heart '' ( 1995 )   `` When You Say Nothing at All '' ( 1995 )   `` Baby Now That I 've Found You '' ( 1995 )        In 1995 , Alison Krauss covered the song with the group Union Station for a tribute album to Whitley titled Keith Whitley : A Tribute Album . The single release featured `` Charlotte 's in North Carolina , '' one of several previously - unreleased tracks sung by Whitley on the album , as the B - side . After Krauss 's cover began to receive unsolicited airplay , BNA Records , the label that had released the album , issued Krauss ' version to radio in January 1995 . That version , also featured on Krauss ' compilation Now That I 've Found You : A Collection , peaked at No. 3 on the Billboard Hot Country Singles &amp; Tracks chart , and a commercial single reached No. 2 on the same magazine 's Hot Country Singles Sales chart . The single 's B - side was a previously unreleased Whitley song titled `` Charlotte 's in North Carolina '' , which also appeared on the tribute album .   Its success , as well as that of the album , caught Krauss by surprise . `` It 's a freak thing , '' she told a Los Angeles Times reporter in March 1995 . `` It 's kinda ticklin ' us all . We have n't had anything really chart before . At all . Is n't it funny though ? We do n't know what 's goin ' on ... The office said , ' Hey , it 's charting , ' and we 're like , ' Huh ? ' ''   While Krauss ' version was on the charts , Mike Cromwell , then the production director at WMIL - FM in Milwaukee , Wisconsin , concocted a duet merging elements of Krauss ' version with Whitley 's original hit version . The `` duet '' garnered national attention , and it spread from at least Philadelphia to Albuquerque , and has been heard on radio stations in California as well . This `` duet '' was however never officially serviced to radio and has never been available commercially .   Krauss ' recording won the 1995 CMA award for `` Single of the Year '' . The song has been featured a couple of times in the soap opera The Young and the Restless . Krauss ' version was also used in the 1999 motion picture `` The Other Sister '' . The song has sold 468,000 digital downloads as of May 2017 .   Track listing ( edit )    `` When You Say Nothing at All ''   `` Charlotte 's In North Carolina ''    Chart performance ( edit )     Chart ( 1995 )   Peak position     Canada Country Tracks ( RPM )   7     UK Singles ( Official Charts Company )   91     US Billboard Hot 100   53     US Hot Country Songs ( Billboard )       Year - end charts ( edit )     Chart ( 1995 )   Position     Canada Country Tracks ( RPM )   99     Ronan Keating version ( edit )     `` When You Say Nothing at All ''         Single by Ronan Keating     from the album Ronan , Notting Hill and By Request     Released   July 26 , 1999     Format   CD single , cassette single     Recorded   1999 ; Metropolis and the Aquarium ( London , United Kingdom )     Genre     Pop   adult contemporary       Length   4 : 18     Label   Polydor     Songwriter ( s )     Paul Overstreet   Don Schlitz       Producer ( s )   Stephen Lipson     Ronan Keating singles chronology          `` When You Say Nothing at All '' ( 1999 )   `` Life Is a Rollercoaster '' ( 2000 )             `` When You Say Nothing at All '' ( 1999 )   `` Life Is a Rollercoaster '' ( 2000 )        `` When You Say Nothing at All '' was released as the debut solo single by Irish singer - songwriter Ronan Keating . The song was recorded in 1999 for the soundtrack to the film Notting Hill and also appeared on Keating 's debut solo album , Ronan . The song was released on July 26 , 1999 , in the United Kingdom . It peaked at number one in the UK , Ireland , and New Zealand . In the UK , the single was certified gold . In 2003 , Keating re-recorded the song as a duet with Mexican singer Paulina Rubio , which was released in Mexico and Latin America ( excluding Brazil ) to promote Keating 's second studio album , Destination . In Brazil , Ronan chose the Brazilian singer Deborah Blando to re-record the song for the 10 Years Of Hits album exclusive for that country ( an exclusive music video was recorded for this version with Deborah ) .   Track listing ( edit )    UK CD single # 1     `` When You Say Nothing at All '' -- 4 : 18   `` When You Say Nothing at All '' ( acoustic version ) -- 3 : 30   `` This Is Your Song '' -- 4 : 03   `` When You Say Nothing at All '' ( music video ) -- 4 : 25     UK CD single # 2     `` When You Say Nothing At All '' -- 4 : 18   `` At The End Of A Perfect Day '' -- 4 : 37   `` I Will Miss You '' -- 3 : 05     UK Cassette single     `` When You Say Nothing at All '' -- 4 : 18   `` This Is Your Song '' -- 4 : 03    Charts and certifications ( edit )     Weekly charts ( edit )    Chart ( 1999 )   Peak position     Australia ( ARIA )       Austria ( Ö3 Austria Top 40 )   5     Belgium ( Ultratop 50 Flanders )       Belgium ( Ultratop 50 Wallonia )   38     Denmark ( IFPI )   6     Finland ( Suomen virallinen lista )   5     France ( SNEP )   41     Germany ( Official German Charts )   6     Ireland ( IRMA )       Italy ( FIMI )   6     Netherlands ( Dutch Top 40 )   5     New Zealand ( Recorded Music NZ )       Norway ( VG - lista )   5     Sweden ( Sverigetopplistan )       Switzerland ( Schweizer Hitparade )       UK Singles ( Official Charts Company )        Year - end charts ( edit )    Chart ( 1999 )   Position     New Zealand ( Recorded Music NZ )   5    Certifications ( edit )    Country   Certifications     Australia   Platinum     Norway   Gold     United Kingdom   Platinum        Other covers ( edit )   The Italian - Ukrainian - Brazilian singer Deborah Blando recorded `` When You Say Nothing at All '' in English and Portuguese for the Brazilian version of the song , which featured on the Brazilian version of Destination . The single reached the top 10 in the Latin charts . Burmese singer Zaw Paing also made a Burmese version cover .   References ( edit )    ^ Jump up to : Collins , Ace ( 1996 ) . The Stories Behind Country Music 's All - Time Greatest 100 Songs . New York : Boulevard . p. 268 . ISBN 1 - 57297 - 072 - 3 .   ^ Jump up to : Roland , Tom ( 1991 ) . The Billboard Book of Number One Country Hits . New York : Billboard . p. 539 . ISBN 0 - 8230 - 7553 - 2 .   ^ Jump up to : Whitburn , Joel ( 2005 ) . Top Country Songs 1944 - 2005 . Menomonee Falls , Wis. : Record Research . p. 416 . ISBN 0 - 89820 - 165 - 9 .   Jump up ^ CMT. `` 100 Greatest Love Songs '' . Retrieved 2007 - 05 - 22 .   Jump up ^ Matt Bjorke ( February 19 , 2015 ) . `` Country Music 's Top 30 Digital Singles : Week of February 19 , 2015 '' . Roughstock .   Jump up ^ `` Keith Whitley Chart History ( Hot Country Songs ) '' . Billboard . Retrieved January 22 , 2011 .   Jump up ^ Horak , Terri ( 1995 - 01 - 21 ) . `` Rounder Goes All Out for Grammy - Nominated Krauss '' . Billboard . Accessed via ProQuest .   Jump up ^ Cromelin , Richard ( 1995 - 03 - 25 ) . `` A Hit from Country 's Kinfolk / Bluegrass 's most prominent figure makes her way into country music 's Top 10 . Even Alison Krauss ca n't explain it '' . Los Angeles Times . p . F1 . Accessed via ProQuest .   Jump up ^ Cave , Kathy ( 1995 - 05 - 05 ) . `` Whitley , Krauss blend grabs national attention '' . Milwaukee Journal Sentinel . p . B8 . Accessed via ProQuest .   Jump up ^ Bjorke , Matt ( May 3 , 2017 ) . `` Top 30 Digital Singles Sales Report : May 3 , 2017 '' . Roughstock .   Jump up ^ `` Top RPM Country Tracks : Issue 9199 . '' RPM . Library and Archives Canada . June 19 , 1995 . Retrieved July 21 , 2013 .   Jump up ^ `` Alison Krauss : Artist Chart History '' . Official Charts Company . Retrieved January 22 , 2011 .   Jump up ^ `` Alison Krauss Chart History ( Hot 100 ) '' . Billboard . Retrieved January 22 , 2011 .   Jump up ^ `` Alison Krauss Chart History ( Hot Country Songs ) '' . Billboard . Retrieved January 22 , 2011 .   Jump up ^ `` RPM Top 100 Country Tracks of 1995 '' . RPM . December 18 , 1995 . Retrieved July 21 , 2013 .   Jump up ^ `` Australian-charts.com -- Ronan Keating -- When You Say Nothing At All '' . ARIA Top 50 Singles . Retrieved 2010 - 10 - 26 .   Jump up ^ `` Austriancharts.at -- Ronan Keating -- When You Say Nothing At All '' ( in German ) . Ö3 Austria Top 40 . Retrieved 2010 - 10 - 26 .   Jump up ^ `` Ultratop.be -- Ronan Keating -- When You Say Nothing At All '' ( in Dutch ) . Ultratop 50 . Retrieved 2010 - 10 - 26 .   Jump up ^ `` Ultratop.be -- Ronan Keating -- When You Say Nothing At All '' ( in French ) . Ultratop 50 . Retrieved 2010 - 10 - 26 .   Jump up ^ Billboard . Billboard September 25 , 1999 . Billboard . Retrieved 2010 - 11 - 28 .   Jump up ^ `` Ronan Keating : When You Say Nothing At All '' ( in Finnish ) . Musiikkituottajat -- IFPI Finland . Retrieved 2010 - 11 - 28 .   Jump up ^ `` Lescharts.com -- Ronan Keating -- When You Say Nothing At All '' ( in French ) . Les classement single . Retrieved 2010 - 10 - 26 .   Jump up ^ `` Musicline.de -- KEATING , RONAN Single - Chartverfolgung '' ( in German ) . Media Control Charts . PhonoNet GmbH . Retrieved 2010 - 11 - 28 .   Jump up ^ `` The Irish Charts - All there is to know '' . Irish Recorded Music Association . Irishcharts.ie . Retrieved 28 November 2010 .   Jump up ^ `` Italiancharts.com -- Ronan Keating -- When You Say Nothing At All '' . Top Digital Download . Retrieved 2010 - 10 - 26 .   Jump up ^ `` Nederlandse Top 40 -- Ronan Keating '' ( in Dutch ) . Dutch Top 40 . Retrieved 2010 - 10 - 26 .   Jump up ^ `` Charts.org.nz -- Ronan Keating -- When You Say Nothing At All '' . Top 40 Singles . Retrieved 2010 - 10 - 26 .   Jump up ^ `` Norwegiancharts.com -- Ronan Keating -- When You Say Nothing At All '' . VG - lista . Retrieved 2010 - 10 - 26 .   Jump up ^ `` Swedishcharts.com -- Ronan Keating -- When You Say Nothing At All '' . Singles Top 100 . Retrieved 2010 - 10 - 26 .   Jump up ^ `` Swisscharts.com -- Ronan Keating -- When You Say Nothing At All '' . Swiss Singles Chart . Retrieved 2010 - 10 - 26 .   Jump up ^ `` Official Singles Chart Top 100 '' . Official Charts Company . Retrieved 2010 - 10 - 26 .   Jump up ^ `` End of Year Charts 1999 '' . Recorded Music NZ . Retrieved December 4 , 2017 .   Jump up ^ `` ARIA Charts -- Accreditations -- 1999 Singles '' . Australian Recording Industry Association . Retrieved 2010 - 11 - 28 .   Jump up ^ `` IFPI Norsk platebransje -- Trofeer '' ( in Norwegian ) . IFPI Norway . 1999 . Retrieved 2010 - 11 - 28 .   Jump up ^ `` British Phonographic Industry '' . British Phonographic Industry . 1999 - 07 - 30 . Retrieved 2010 - 11 - 28 .    External links ( edit )    Lyrics of this song at MetroLyrics      Preceded by `` A Tender Lie '' by Restless Heart   Billboard Hot Country Singles number - one single ( Keith Whitley ) December 24 , 1988 -- December 31 , 1988   Succeeded by `` Hold Me '' by K.T. Oslin     Preceded by `` Livin ' la Vida Loca '' by Ricky Martin   UK Singles Chart number one single ( Ronan Keating ) August 1 , 1999 -- August 14 , 1999   Succeeded by `` If I Let You Go '' by Westlife               Keith Whitley     Studio albums     A Hard Act to Follow   L.A. to Miami   Do n't Close Your Eyes   I Wonder Do You Think of Me   Kentucky Bluebird   Wherever You Are Tonight       Compilation albums     Greatest Hits       Notable singles     `` Miami , My Amy ''   `` Ten Feet Away ''   `` Homecoming ' 63 ''   `` Hard Livin ' ''   `` Some Old Side Road ''   `` Do n't Close Your Eyes ''   `` When You Say Nothing at All ''   `` I 'm No Stranger to the Rain ''   `` I Wonder Do You Think of Me ''   `` It Ai n't Nothin ' ''   `` I 'm Over You ''   `` ' Til a Tear Becomes a Rose '' ( with Lorrie Morgan )   `` Brotherly Love '' ( with Earl Thomas Conley )   `` Somebody 's Doin ' Me Right ''       Related articles     `` Hopelessly Yours ''   Keith Whitley : A Tribute Album                 Alison Krauss &amp; Union Station       Alison Krauss   Barry Bales   Ron Block   Jerry Douglas   Dan Tyminski     John Pennell   Jeff White   Brent Truitt   Mike Harman   Adam Steffey   Tim Stafford       Studio albums     Different Strokes   Too Late to Cry   Two Highways   I 've Got That Old Feeling   Every Time You Say Goodbye   I Know Who Holds Tomorrow   So Long So Wrong   Forget About It   New Favorite   Lonely Runs Both Ways   Paper Airplane   Windy City       Compilation albums     Now That I 've Found You : A Collection   Live   A Hundred Miles or More : A Collection   Essential Alison Krauss       With Robert Plant     Raising Sand       Singles     `` When You Say Nothing at All ''   `` Baby Now That I 've Found You ''   `` Baby Mine ''   `` The Lucky One ''   `` Missing You ''   `` Please Read the Letter ''   `` Rich Woman ''       Featured singles     `` Teach Your Children ''   `` Somewhere in the Vicinity of the Heart ''   `` It 's Not Over ''   `` Buy Me a Rose ''   `` Whiskey Lullaby ''       Related articles     Discography   Awards and nominations   Alison Brown   Robert Plant   Viktor Krauss   Up ! Close and Personal                 Ronan Keating     Discography     Studio albums     Ronan ( 2000 )   Destination ( 2002 )   Turn It On ( 2003 )   Bring You Home ( 2006 )   Fires ( 2012 )   Time of My Life ( 2016 )       Cover albums     Songs for My Mother ( 2009 )   Winter Songs ( 2009 )   Duet ( 2010 )   When Ronan Met Burt ( 2011 )       Compilation albums     10 Years of Hits ( 2004 )       Singles     `` When You Say Nothing at All ''   `` Life Is a Rollercoaster ''   `` The Way You Make Me Feel ''   `` In This Life ''   `` Lovin ' Each Day ''   `` If Tomorrow Never Comes ''   `` I Love It When We Do ''   `` We 've Got Tonight ''   `` The Long Goodbye ''   `` Lost for Words ''   `` She Believes ( In Me ) ''   `` Last Thing on My Mind ''   `` I Hope You Dance ''   `` Father and Son ''   `` Baby Can I Hold You ''   `` All Over Again ''   `` Iris ''   `` Time After Time ''   `` This Is Your Song ''   `` Stay ''   `` It 's Only Christmas ''   `` Believe Again ''   `` What The World Needs Now ''   `` Fires ''   `` Wasted Light ''       Related articles     Boyzone                 Paulina Rubio     Studio albums     La Chica Dorada   24 Kilates   El Tiempo Es Oro   Planeta Paulina   Paulina   Border Girl   Pau - Latina   Ananda   Gran City Pop   Brava !       Compilation albums     Top Hits   I 'm So in Love : Grandes Exitos   Mio : Paulina Y Sus Éxitos   Paulina Remixes   Celebridades   Pau Factor       Extended plays     Gran City Pop : The Remixes       Television     Pobre Niña Rica   La Voz ... México   La voz kids   The X Factor   Jane the Virgin   La Apuesta       Concerns and Tours     Paulina Tour   Pau - Latina Tour   Amor , Luz y Sonido Tour   Gran City Pop Tour   Brava ! World Tour   PauRubio Tour       Related articles     Discography   Awards   Timbiriche      Retrieved from `` https://en.wikipedia.org/w/index.php?title=When_You_Say_Nothing_at_All&amp;oldid=832988807 '' Categories :   1988 singles   1995 singles   1999 singles   Alison Krauss &amp; Union Station songs   Billboard Hot Country Songs number - one singles   1988 songs   Keith Whitley songs   Number - one singles in Italy   Irish Singles Chart number - one singles   Number - one singles in New Zealand   UK Singles Chart number - one singles   Paulina Rubio songs   Ronan Keating songs   Songs written by Don Schlitz   Songs written by Paul Overstreet   Boyzone songs   Song recordings produced by Garth Fundis   Song recordings produced by Stephen Lipson   RCA Records singles   Polydor Records singles   Pop ballads   Music videos directed by Xavier Gens   Country ballads   Hidden categories :   CS1 Norwegian - language sources ( no )   Articles with hAudio microformats   Singlechart usages for Billboardcountrysongs   Singlechart called without song   Singlechart usages for Canadacountry   Singlechart called without artist   Singlechart used with UKchartstats that can not be substituted   Singlechart usages for UKchartstats   Singlechart usages for Billboardhot100   All articles with unsourced statements   Articles with unsourced statements from January 2014   Singlechart usages for Australia   Singlechart usages for Austria   Singlechart usages for Flanders   Singlechart usages for Wallonia   Singlechart usages for Finland   Singlechart usages for France   Singlechart usages for Germany   Singlechart usages for Italy   Singlechart usages for Dutch40   Singlechart usages for New Zealand   Singlechart usages for Norway   Singlechart usages for Sweden   Singlechart usages for Switzerland   Singlechart usages for UK           Talk                                           Contents                   About Wikipedia                                           Deutsch   Italiano   Kiswahili   Nederlands   Português   Suomi   Svenska   Edit links   This page was last edited on 29 March 2018 , at 01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</si>
  <si>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when you say nothing at all written</t>
  </si>
  <si>
    <t xml:space="preserve"> `` When You Say Nothing at All '' is a country song written by Paul Overstreet and Don Schlitz . It is among the best - known hit songs for three different performers : Keith Whitley , who took it to the top of the Billboard Hot Country Singles chart on December 24 , 1988 ; Alison Krauss , whose version was her first solo top - 10 country hit in 1995 ; and Irish pop singer Ronan Keating , whose version was his first solo single and a chart - topper in the United Kingdom and Ireland in 1999 . </t>
  </si>
  <si>
    <t xml:space="preserve">Prison Break ( season 5 ) - wikipedia  Prison Break ( season 5 )  Jump to : navigation , search    Prison Break ( season 5 )     DVD cover     Starring     Wentworth Miller   Dominic Purcell   Sarah Wayne Callies   Paul Adelstein   Rockmond Dunbar   Robert Knepper   Amaury Nolasco   Mark Feuerstein   Inbar Lavi   Augustus Prew       Country of origin   United States     No. of episodes   9     Release     Original network   Fox     Original release   April 4 ( 2017 - 04 - 04 ) -- May 30 , 2017 ( 2017 - 05 - 30 )     Season chronology     ← Previous Season 4     List of Prison Break episodes     The fifth season of Prison Break ( also known as Prison Break : Resurrection ) is a limited event television series and the continuation of the original series created by Paul Scheuring that aired on Fox from 2005 to 2009 . The season is produced by 20th Century Fox Television in association with Adelstein / Parouse Productions and Original Film . Paul Scheuring serves as showrunner , with himself , Marty Adelstein , Neal H. Moritz and Dawn Olmstead , Vaun Wilmott , Michael Horowitz and Nelson McCormick serving as executive producers . McCormick also serves as director . The season premiered on April 4 , 2017 , and concluded on May 30 , 2017 , consisting of 9 episodes .   Wentworth Miller and Dominic Purcell reprise their respective roles as Michael Scofield and Lincoln Burrows , while Sarah Wayne Callies , Amaury Nolasco , Paul Adelstein , Robert Knepper and Rockmond Dunbar also return from the original series . New cast additions include Mark Feuerstein , Inbar Lavi , Augustus Prew , Marina Benedict , Rick Yune and Steve Mouzakis . A pilot was ordered in August 2015 and the series was greenlit in January 2016 . Production on the series began in April 2016 and filming took place in Vancouver and the Moroccan cities of Rabat , Casablanca , and Ouarzazate .     Contents  ( hide )   1 Premise   2 Cast   2.1 Main   2.2 Recurring     3 Episodes   4 Production   4.1 Development   4.2 Writing   4.3 Casting   4.4 Filming   4.5 Music     5 Reception   5.1 Critical response   5.2 Ratings     6 Home media release   7 References   8 External links      Premise ( edit )   Seven years after his apparent death , Michael Scofield resurfaces in the notorious Ogygia Prison in Sana'a , Yemen , under the name Kaniel Outis . As the country is engulfed by war , two of Michael 's old friends , his brother Lincoln Burrows and fellow Fox River escapee Benjamin `` C - Note '' Franklin , risk their lives by traveling to Yemen to bring Michael home . Back in the United States , Michael 's wife Sara , now remarried , is hunted by agents of an operative known as Poseidon , the one responsible for Michael 's disappearance .   Cast ( edit )  Main articles : List of Prison Break characters and List of Prison Break minor characters  Main ( edit )    Wentworth Miller as Michael Scofield / Kaniel Outis   Dominic Purcell as Lincoln Burrows   Sarah Wayne Callies as Sara Tancredi - Scofield   Paul Adelstein as Paul Kellerman   Rockmond Dunbar as Benjamin Miles `` C - Note '' Franklin   Robert Knepper as Theodore `` T - Bag '' Bagwell   Amaury Nolasco as Fernando Sucre   Mark Feuerstein as Jacob Anton Ness / Poseidon   Inbar Lavi as Sheba   Augustus Prew as David `` Whip '' Martin    Recurring ( edit )    Rick Yune as Ja   Marina Benedict as Emily `` A&amp;W '' Blake   Steve Mouzakis as Van Gogh   Amin El Gamal as Cyclops   Kunal Sharma as Sid   Numan Acar as Abu Ramal   Curtis Lum as Agent Kishida   Crystal Balint as Heather   Waleed Zuaiter as Mohammad al - Tunis   TJ Ramini as Cross   Akin Gazi as Omar   Christian Michael Cooper as Mike Scofield    Episodes ( edit )  Main article : List of Prison Break episodes    No . overall   No. in season   Title   Directed by   Written by   Original air date   Prod . code   U.S. viewers ( millions )     82     `` Ogygia ''   Nelson McCormick   Paul Scheuring   April 4 , 2017 ( 2017 - 04 - 04 )   1AZM01   3.83     T - Bag is released from incarceration just as he receives a picture of Michael in a new prison . T - Bag shows it to Lincoln , who finds the hidden word `` Ogygia '' , which is a prison in Sana'a , Yemen . Lincoln informs Sara , who has been raising her and Michael 's son , Mike , along with her husband , Jacob . She refuses to believe the news . However , Lincoln determines to travel to Yemen to be certain , asking help from C - Note , who has converted to Islam . Sucre offers to accompany Lincoln , who takes C - Note instead . The mysterious mercenaries who have been following and harassing Lincoln and Sara send Lincoln and C - Note 's pictures to their contacts in Sana'a , where the duo overpowers the attackers and meets a contact , who trades their visit to Ogygia for Lincoln 's United States passport . Lincoln learns that Michael 's fake identity is Kaniel Outis , a dangerous terrorist affiliated with ISIL . Michael ignores Lincoln , claiming not to know him . Meanwhile , T - Bag is contacted by a physician offering him a prosthetic hand as functional as a natural one . The procedure works ; and T - Bag learns that an anonymous person known only as Outis ( Greek for `` Nobody '' ) funded the operation and insisted on him being the patient .     83     `` Kaniel Outis ''   Maja Vrvilo   Paul Scheuring   April 11 , 2017 ( 2017 - 04 - 11 )   1AZM02   3.18     Lincoln receives a message from Michael asking them to find the `` Sheik of Light . '' Sheba , the contact , agrees to help decode the message in exchange for money . Sara receives the video recording of Michael and meets up with Kellerman at the State Department . He deduces that Michael was the mastermind of changing his identity . Later , he sends Sara footage of Michael killing a CIA official . Michael acquires pills to give to his cellmate , Ja , who is suffering from withdrawals in exchange for a cell phone and credit card , using them to send a message to Sara . Lincoln 's team discovers that Mohammad El - Tunis , the Sheik , is a local electrical engineer trapped in an ISIL - controlled suburb with his daughter . They rescue the duo ; and Mohammad is revealed to be the father of Sid , Michael 's cellmate incarcerated for homosexuality . Mohammad gives Michael 's team a signal to reveal that the escape plan is on . Sara receives Michael 's message to get everyone to safety because `` a storm is coming '' . The solitary inmates , including Abu Ramal , the local ISIL leader , are released into the general sector . Ramal and Michael are revealed to be close friends .     84     `` The Liar ''   Maja Vrvilo   Josh Goldin &amp; Rachel Abramowitz   April 18 , 2017 ( 2017 - 04 - 18 )   1AZM03   2.44     Lincoln prepares for the escape by ordering forged passports . However , he and Sheba are caught by ISIL and Cyclops , who attempts to rape her until Lincoln frees himself and saves her . T - Bag runs into Sara , and tries to warn her about A&amp;W and Van Gogh , two of Poseidon 's henchmen , who may be following her trail . A&amp;W and Van Gogh hack into her phone , later discovered by Sara , who deduces Kellerman 's involvement . She asks T - Bag to investigate Kellerman . Cross , an inmate who refused to leave his brother , Muza , and participate in Michael 's escape , warns Whip that Michael can not be trusted . Michael obtains a gold watch from one of the guards , planting it on Ramal , so that he will be detained during the escape . Michael and Whip are revealed to have been working undercover for the CIA as Whip worries the line between Michael and Outis will be blurred . During the escape however , Ramal 's party , Cross and Muza race to Michael 's cell and are caught by the guards , leading to Muza 's death and the recapture of Michael 's team . Ramal vows to kill Michael in solitary while Michael uses the last remaining battery life on his cell phone to record a goodbye to Sara .     85     `` The Prisoner 's Dilemma ''   Guy Ferland   Michael Horowitz   April 25 , 2017 ( 2017 - 04 - 25 )   1AZM04   2.75     ISIL continues advancing in Sana'a . Cross rallies the other prisoners to capture Ramal and use him as a bargaining chip . Michael convinces a reluctant Ramal to help them out as he is the one inside of the solitary cell with escape tools . Ramal , Michael , Ja and Whip are able to escape just as Cross and his followers break into solitary . Sid stabs Cross in the chest , joining Michael 's party , which heads outside . They are all captured by ISIL . Ramal plans to behead Michael ; but Lincoln intervenes and kills the jihadists while Whip kills Ramal . Michael and Lincoln share an emotional reunion as a news report on Ramal 's death plays . Sid informs them that ISIL is now declaring war on them for Ramal 's death . Meanwhile , T - Bag confronts Kellerman , who denies being Poseidon , an unknown rogue CIA agent criticizing the U.S. foreign policy . They are attacked by Poseidon operatives . T - Bag manages to escape ; but Kellerman is killed by Van Gogh , who starts doubting Poseidon 's cause . T - Bag pursues A&amp;W and Van Gogh and takes photos of them meeting with Jacob .     86   5   `` Contingency ''   Guy Ferland   Vaun Wilmott   May 2 , 2017 ( 2017 - 05 - 02 )   1AZM05   2.35     Lincoln forces Michael to reveal the truth : Michael was contacted by Poseidon before his wedding with Sara ; Poseidon revealed that Kellerman did not have any authority to exonerate Michael 's team , offering legitimate exonerations in exchange for Michael faking his death , keeping the truth hidden from everyone and working for Poseidon , accepted by Michael . While Lincoln offers going to the airport and rendezvousing with C - Note 's party , Michael decides to use the train station to leave Yemen . Cyclops deduces Michael 's plan and takes ISIL , intercepting Michael 's party , who escape to a facility where Ja ambushes ISIL . They escape the building ; but Sid is killed by Cyclops , whom the team handcuffs to his corpse before proceeding to the airport . Meanwhile , C - Note 's party arrives at the airport before ISIL attacks . C - Note and Sheba save a pilot , who agrees to fly them abroad . They board a plane ; but the pilot decides to fly before Michael 's party arrives , which Lincoln approves of on the phone . C - Note 's party takes off while Michael 's is chased by ISIL . In the meantime , T - Bag shows the pictures to Sara , who confronts Jacob , who later apparently proves his benevolence to her by having A&amp;W and Van Gogh arrested .     87   6   `` Phaecia ''   Kevin Tancharoen   Michael Horowitz   May 9 , 2017 ( 2017 - 05 - 09 )   1AZM06   2.37     Michael 's party confronts Omar , who alerts ISIL ; but they overpower ISIL and force Omar 's compliance , heading to Phaecia , a human settlement in the desert capable of sending Michael 's party abroad . A&amp;W and Van Gogh are released on bail and convince a NSA insider to help track down Michael , whose party stops at a gas station , where Michael uses the internet to contact an unknown person in Portland , Maine , sending him a picture of his tattoos on his palms . Van Gogh alerts ISIL , who attack the gas station and kill Omar . Whip kills the ISIL operatives . Michael 's party continues in the desert before learning about Cyclops chasing them . Michael takes one of the cars and lures Cyclops to a trap , where Michael blinds Cyclops ' remaining eye but he is able to wound Michael with a poisoned blade . Ja helps the others find Phaecia , where they use fireworks to lead Michael to them , who falls unconscious after arriving . A&amp;W and Van Gogh find Michael 's contact , revealed to be an Elvis impersonator . Meanwhile , Agent Kishida replaces Kellerman 's position , assigned to investigate his death .     88   7   `` Wine Dark Sea ''   Kevin Tancharoen   Vaun Wilmott   May 16 , 2017 ( 2017 - 05 - 16 )   1AZM07   2.41     Ja decides to stay in Phaecia while the others leave on a boat to Crete , Greece . Lincoln calls Sara and tells her about Michael 's condition . She informs Jacob and goes to Crete by plane . She reunites with Michael and heals him . He reveals that Jacob is Poseidon , having framed the former for the murder of the CIA official . Sara returns to the U.S. to secure Mike , whom she entrusts to her friend ; but they are captured by Jacob and his operatives . Michael reunites with Sucre on board the commercial ship upon which he is working . The captain learns about Outis and alerts the authorities . Navy SEALs are dispatched to kill Michael . Sucre formulates a plan to force the SEALs away , which causes a frustrated Jacob to have a missile fired at the ship , which explodes just after Michael 's party jumps overboard . Meanwhile , Kellerman 's successor , Kishida , confronts A&amp;W and Van Gogh for their clandestine operation , leading to the former 's murder .     89   8   `` Progeny ''   Nelson McCormick   Michael Horowitz   May 23 , 2017 ( 2017 - 05 - 23 )   1AZM08   1.90     Michael 's party is rescued by a fishing boat that takes them to Marseille , France , where Michael contacts Sara , deduces their situation , and decides to go to the U.S. , using Lincoln 's conflict with Luca Abruzzi , John Abruzzi 's son , over a botched smuggling operation to their advantage . Michael and Lincoln enlist C - Note and Sheba 's help in disposing of Luca and his gang , then convincing C - Note and later Sheba to leave the conflict . They proceed with the plan of taking down 21 - Void and rescuing Sara and Mike , culminating in a lake house in Michigan , where Michael reunites with Mike but realizes that it was a ruse used by Jacob to lure him , and A&amp;W confronts them , with an unknown person getting shot . Lincoln is found by Luca outside the house , and is shot . Meanwhile , Whip , whose real identity is David Martin , is sent to Chicago by Michael , meeting T - Bag , revealed to be his father . The analyst Theroux is revealed to be a 21 - Void agent , and Van Gogh expresses disdain for Jacob 's methods and vows to leave 21 - Void when the job with Michael is done .     90   9   `` Behind the Eyes ''   Nelson McCormick   Paul Scheuring   May 30 , 2017 ( 2017 - 05 - 30 )   1AZM09   2.30     Van Gogh is revealed to be the one shot by A&amp;W , having become skeptical of Michael 's involvement in Gaines ' murder . Mortally wounded , Van Gogh gives up Mike 's location to Sara . As Jacob works to brainwash Mike , Michael gathers his allies , including Blue Hawaii , to bring down Jacob . A wounded Lincoln escapes the hospital and ensures Luca 's arrest by the FBI . Michael enacts a plan where he lures Jacob and A&amp;W to a warehouse to recreate Gaines ' murder and prove Jacob 's involvement . During the attempt , Whip is shot by A&amp;W and dies before T - Bag kills her and is arrested . Michael succeeds in proving Jacob 's involvement and both are arrested . At the same time , Lincoln and Sara rescue Mike and capture Theroux . With the evidence planted by Michael and Theroux 's testimony , Michael is exonerated and his identity as Michael Scofield is restored . He refuses an offer to join the CIA and returns to a normal life with Sara and Mike . Jacob is sent to Fox River State Penitentiary , where he ends up with T - Bag as his cellmate , as requested by Michael . The other inmates cheer T - Bag on as he attacks Jacob .     Production ( edit )   Development ( edit )   On January 12 , 2015 , at the 2015 Winter TCA Press Tour , Wentworth Miller and Dominic Purcell revealed the possibility that Fox was interested in bringing back Prison Break , with Miller stating : `` We actually floated the idea to Fox very casually and they seemed very not casual about this interest . They seemed to think there was something there . '' Purcell concluded by adding , `` It 's something that Fox is , as Wentworth said , potentially excited about . ''   On January 17 , 2015 , Fox Television Group chairman and CEO Gary Newman made it clear that they would love to bring Prison Break back for another run , although Fox had nothing to report . Newman himself stated , `` There 's some speculation in the press at Prison Break and we 've made it clear at the studio that we 'd bring Prison Break back at the studio ( ... ) It 's the perfect event series . But at the moment , we have nothing else to report . ''   On June 2 , 2015 , it was reported that a limited series revival of Paul Scheuring 's Prison Break was in development at Fox .   On August 6 , 2015 , Fox confirmed a 10 - episode order for the revival . The limited series is a sequel to the original series , taking place several years later , and features Miller and Purcell reprising their roles as well as the return of other original characters . Fox Television Group chairman and CEO Dana Walden herself stated that Prison Break has performed particularly well internationally and on SVOD platforms such as Netflix . Walden added that : `` a logical and believable explanation to why the characters are alive and still moving around the world ( ... ) '' Walden said . `` The brothers and some of the iconic characters will be back , and it will address some questions that were set up at the end of the series for a new audience . ''   On January 15 , 2016 , Fox officially ordered the revival to series , with the episode order revised to nine episodes , though Fox declined to announce how many episodes the series will run . The original producing team of creator Paul Scheuring , Neal Moritz , Marty Adelstein and Dawn Olmstead were all confirmed as to return for the event series as executive producers , with Scheuring writing and serving as showrunner .   Writing ( edit )   On August 7 , 2015 , it was announced that creator and executive producer Paul Scheuring would be writing the first episode as well as a style / tone bible for other writers to follow .   Casting ( edit )   On January 15 , 2016 , stars Wentworth Miller and Dominic Purcell were confirmed to be reprising their roles as brothers Michael Scofield and Lincoln Burrows .   On February 22 , 2016 , it was reported that Mark Feuerstein would play Scott Ness ( later changed to Jacob Ness ) , the husband of Dr. Sara Tancredi , a Professor of Economics ( game theory ) at Cornell who has been described as , `` dubious of the government but still has a bit of fight in him when it comes to taking them on . '' Additionally , on February 22 , 2016 , it was confirmed that Sarah Wayne Callies was in talks to reprise her role in the follow - up along with Robert Knepper , Rockmond Dunbar and Amaury Nolasco , although there were no deals in place with any of them at that time .   On March 9 , 2016 , Augustus Prew , Rick Yune and Steve Mouzakis were cast for `` heavily recurring roles '' . Prew plays `` funny , crazy and pretty damn sharp '' Whip ; Yune plays Ja , who is described as a `` Korean identity thief , who disheveled appearance belies his genius '' ; and Mouzakis plays Van Gogh , `` a bad - ass nut - job '' . On March 9 , 2016 , Sarah Wayne Callies was confirmed to be returning as Sara Tancredi . On March 16 , 2016 , Amin El Gamal was cast in a recurring role , playing Cyclops .   On March 17 , 2016 , it was announced that original stars Robert Knepper , Amaury Nolasco and Rockmond Dunbar would be reprising their respective roles as T - Bag , Sucre and C - Note , respectively . On March 21 , 2016 , Paul Adelstein was confirmed to be reprising his role as Paul Kellerman . On March 21 , 2016 , Inbar Lavi , Marina Benedict and Kunal Sharma were cast in major recurring roles . Lavi plays Sheba , an operator / fixer / activist who becomes involved with Burrows . Benedict is A&amp;W , `` a crazed and fearless villainess who is unconcerned about her physical well - being but ruthless and efficient in completing her deadly goals '' , and Sharma plays Sid , a man in prison . On April 22 , 2016 , it was announced that Faran Tahir would play Jamil , whom Tahir describes as `` a man who has an inner conflict which again is something I love experimenting with . ''   In July 2016 , it was revealed that William Fichtner would not be reprising his role as Alexander Mahone . Robert Knepper told Digital Spy that `` ( writer ) Paul Scheuring loves Bill Fichtner and I love Bill Fichtner . He 's a brilliant actor -- but Paul honestly said to me , ' I do n't know what to do with that character ' . He did n't want to just bring everybody back , so that the audience go , ' Oh , look , it 's Bill Fichtner again ! ' -- he honestly thought , ' I 'm not sure where to do that in the plot . ' So if someday there 's another chapter of this , maybe then Bill will be back . But I think the characters that are there , each of our moments that we have , are key to the storytelling , which is how it should be . ''   Filming ( edit )   Production on the season began in April 7 , 2016 , in Vancouver , once Miller and Purcell completed filming for Legends of Tomorrow . Filming concluded in Vancouver on July 11 , 2016 . On June 1 , 2016 , Dominic Purcell was almost killed on set in Morocco , after an iron bar used as a set piece had fallen onto his head , which caused a broken nose and a head injury . Purcell was immediately airlifted from Marrakesh to Casablanca for treatment where he recovered . Filming of the series was not substantially disrupted due to the accident .   Music ( edit )   Composer Ramin Djawadi stated that he would definitely like to return and work on the new season of Prison Break , after learning of the news of the possible revival , to which further stated , `` I literally just heard it , so it 's news for me . It 's very exciting because the show was such a good show but nobody has contacted me at this point . '' Djawadi later added , `` Most likely , if my schedule allows - that show was very close to me . I loved all the people involved . I thought it was an incredible show . Absolutely . '' In June 2016 , it was confirmed that Djawadi would return as composer for season five .   Reception ( edit )   Critical response ( edit )   On review aggregator Rotten Tomatoes , the season has an approval rating of 55 % based on 29 reviews , with an average score of 6.2 / 10 . The site 's critical consensus reads , `` Prison Break recaptures some of its old urgency in its return , but familiar faces and frenetic action are n't enough to make up for a plot that manages to bore while beggaring belief . '' On Metacritic , the season has a score of 48 out of 100 , based on 18 critics , indicating `` mixed or average reviews '' .   Ratings ( edit )     No .   Title   Air date   Rating / share ( 18 -- 49 )   Viewers ( millions )   DVR ( 18 -- 49 )   DVR viewers ( millions )   Total ( 18 -- 49 )   Total viewers ( millions )       `` Ogygia ''   April 4 , 2017   1.5 / 5   3.83   0.8   1.86   2.3   5.68       `` Kaniel Outis ''   April 11 , 2017   1.1 / 4   3.18   0.9   1.84   2.0   5.01       `` The Liar ''   April 18 , 2017   0.9 / 3   2.44   0.8   1.76   1.7   4.20       `` The Prisoner 's Dilemma ''   April 25 , 2017   0.9 / 3   2.75   N / A   N / A   N / A   N / A     5   `` Contingency ''   May 2 , 2017   0.8 / 3   2.35   0.7   1.51   1.5   3.86     6   `` Phaecia ''   May 9 , 2017   0.9 / 3   2.37   0.6   1.33   1.5   3.70     7   `` Wine Dark Sea ''   May 16 , 2017   0.9 / 4   2.41   0.7   1.41   1.6   3.81     8   `` Progeny ''   May 23 , 2017   0.7 / 3   1.90   0.7   1.60   1.4   3.50     9   `` Behind the Eyes ''   May 30 , 2017   0.9 / 3   2.30   0.7   1.54   1.6   3.83     Home media Release ( edit )   The event series was released on Blu - ray and DVD on June 27 , 2017 . Special features include a behind - the - scenes featurette , `` A Return Home : The Making of Prison Break Event Series '' .   References ( edit )    Jump up ^ McCreesh , Louise ( March 6 , 2017 ) . `` The Prison Break revival officially has a title -- as show writers reveal why there are only nine episodes in the new series '' . Digital Spy . Retrieved March 8 , 2017 .   Jump up ^ `` ROBERT KNEPPER , ROCKMOND DUNBAR AND AMAURY NOLASCO RETURN TO PRISON BREAK '' . 20th Century Fox . March 11 , 2016 . Retrieved March 11 , 2016 .   Jump up ^ Ausiello , Michael ( January 11 , 2017 ) . `` Prison Break , Making History Premiere Dates Announced by Fox '' . TVLine . Retrieved January 11 , 2017 .   Jump up ^ Calcuttawala , Zainab ( April 7 , 2016 ) . `` American Show `` Prison Break '' to Film in Rabat , Casablanca , Ouarzazate `` . Morocco World News . Retrieved April 17 , 2016 .   Jump up ^ Petski , Denise ( March 11 , 2015 ) . `` Sarah Wayne Callies To Reprise ' Prison Break ' Role In Fox Event Series '' . Deadline.com . Retrieved March 11 , 2015 .   ^ Jump up to : Porter , Rick ( April 5 , 2017 ) . `` ' NCIS ' and ' The Middle ' adjust up : Tuesday final ratings '' . TV by the Numbers . Retrieved April 5 , 2017 .   ^ Jump up to : Porter , Rick ( April 12 , 2017 ) . `` ' The Middle ' adjusts up : Tuesday final ratings '' . TV by the Numbers . Retrieved April 12 , 2017 .   ^ Jump up to : Porter , Rick ( April 19 , 2017 ) . `` ' The Middle ' adjusts up : Tuesday final ratings '' . TV by the Numbers . Retrieved April 19 , 2017 .   ^ Jump up to : Porter , Rick ( April 26 , 2017 ) . `` ' The Mick ' and ' Agents of SHIELD ' adjust up , ' iZombie ' adjusts down : Tuesday final ratings '' . TV by the Numbers . Retrieved April 26 , 2017 .   ^ Jump up to : Porter , Rick ( May 3 , 2017 ) . `` ' NCIS ' and ' The Middle ' adjust up , ' Prison Break ' adjusts down : Tuesday final ratings '' . TV by the Numbers . Retrieved May 3 , 2017 .   ^ Jump up to : Porter , Rick ( May 10 , 2017 ) . `` ' The Voice ' adjusts up , ' iZombie ' adjusts down : Tuesday final ratings '' . TV by the Numbers . Retrieved May 10 , 2017 .   ^ Jump up to : Porter , Rick ( May 17 , 2017 ) . `` ' NCIS ' finale and ' Bull ' adjust up , ' The Middle ' adjusts down : Tuesday final ratings '' . TV by the Numbers . Retrieved May 17 , 2017 .   ^ Jump up to : Porter , Rick ( May 24 , 2017 ) . `` ' Dancing With the Stars finale adjusts up , ' iZombie ' adjusts down : Tuesday final ratings '' . TV by the Numbers . Retrieved May 24 , 2017 .   ^ Jump up to : Porter , Rick ( June 1 , 2017 ) . `` ' America 's Got Talent ' adjusts up , ' Imaginary Mary ' adjusts down : Tuesday final ratings '' . TV by the Numbers . Retrieved June 1 , 2017 .   Jump up ^ Bricker , Tierney ( January 12 , 2015 ) . `` Fox `` Definitely '' Interested in Prison Break 's Return , Wentworth Miller Reveals `` . E !. Retrieved January 12 , 2015 .   Jump up ^ Goldberg , Lesley ( March 17 , 2016 ) . `` ' Prison Break ' : Robert Knepper , Rockmond Dunbar Returning for Revival '' . The Hollywood Reporter . Retrieved March 17 , 2016 .   Jump up ^ Ausiello , Michael ( June 2 , 2015 ) . `` Prison Break Limited Series In Development at Fox '' . TVLine . Retrieved June 2 , 2015 .   Jump up ^ Rose , Lacey ( August 6 , 2015 ) . `` Fox Chiefs on ' Prison Break ' Revival , ' Empire ' Impact and Planned Turnaround '' . The Hollywood Reporter . Retrieved August 6 , 2015 .   Jump up ^ Andreeva , Nellie ( August 6 , 2015 ) . `` ' Prison Break ' Sequel Limited Series A Go At Fox '' . Deadline.com . Retrieved August 6 , 2015 .   ^ Jump up to : O'Connell , Michael ( January 15 , 2016 ) . `` Fox Greenlights ' Prison Break ' Event Series , Orders ' 24 ' Spinoff Pilot ' Legacy ' '' . The Hollywood Reporter . Retrieved January 15 , 2016 .   Jump up ^ Webb Mitovich , Matt ( January 15 , 2016 ) . `` Prison Break Revival Is Officially a Go : Updates on Cast , International Setting '' . TVLine . Retrieved January 15 , 2016 .   Jump up ^ Plumb , Ali ( August 7 , 2015 ) . `` Prison Break Sequel Series Confirmed By Fox '' . Empire . Retrieved August 7 , 2015 .   Jump up ^ Wagmeister , Elizabeth ( January 15 , 2016 ) . `` ' Prison Break ' Event Series with Original Cast &amp; Producers Officially Greenlit at Fox '' . Variety . Retrieved January 15 , 2016 .   Jump up ^ Bryant , Jacob ( February 22 , 2016 ) . `` TV News Roundup : Michael Raymond - James Back on ' Once Upon a Time ' ; Mark Feuerstein Joins ' Prison Break ' '' . Variety . Retrieved February 22 , 2016 .   Jump up ^ Andreeva , Nellie ( February 22 , 2016 ) . `` ' Prison Break ' : Mark Feuerstein Joins Fox Event Series '' . Deadline.com . Retrieved February 22 , 2016 .   Jump up ^ Ausiello , Michael ( March 9 , 2016 ) . `` Prison Break Revival : Augustus Prew , Rick Yune Join Cast '' . TVLine . Retrieved March 9 , 2016 .   Jump up ^ Birnbaum , Debra ( March 9 , 2016 ) . `` Sarah Wayne Callies Joins Fox 's ' Prison Break ' Revival '' . Variety . Retrieved March 9 , 2016 .   Jump up ^ Petski , Denise ( March 16 , 2016 ) . `` ' Ray Donovan ' Casts Richard Brake ; ' Prison Break ' Adds Amin El Gamal '' . Deadline.com . Retrieved March 16 , 2016 .   Jump up ^ Wagmeister , Elizabeth ( January 15 , 2016 ) . `` ' Prison Break ' Revival Bringing Back More Original Stars '' . Variety . Retrieved January 15 , 2016 .   Jump up ^ Wagmeister , Elizabeth ( March 21 , 2016 ) . `` Paul Adelstein Returning to Fox 's ' Prison Break ' Revival '' . Variety . Retrieved March 21 , 2016 .   ^ Jump up to : Petski , Denise ( March 21 , 2016 ) . `` ' Prison Break ' : Inbar Lavi , Marina Benedict &amp; Kunal Sharma Join Fox Event Series '' . Deadline.com . Retrieved March 21 , 2016 .   Jump up ^ Mitovich , Matt Webb ( March 21 , 2016 ) . `` Prison Break Revival : The Last Ship 's Inbar Lavi to Recur on Fox Event Series '' . TVLine . Retrieved March 21 , 2016 .   Jump up ^ `` Faran Tahir cast as newest member of TV serial ' Prison Break ' '' . The Express Tribune . April 17 , 2016 . Retrieved April 22 , 2016 .   ^ Jump up to : Jeffrey , Morgan ; McCabe , Joseph ( July 25 , 2016 ) . `` Prison Break : Here 's the REAL reason that Mahone is n't back for the revival '' . Digital Spy . Retrieved October 15 , 2016 .   Jump up ^ Roffman , Marisa ( August 11 , 2015 ) . `` ' Prison Break 's ' Dominic Purcell Vows Reboot Will Be `` Amazing '' `` . The Hollywood Reporter . Retrieved August 11 , 2015 .   Jump up ^ `` Current Productions : April 29 , 2016 '' ( PDF ) . Directors Guild of Canada , BC District Council . Retrieved May 2 , 2016 .   Jump up ^ Purcell , Dominic ( June 1 , 2016 ) . `` Dominic Purcell : I 'm good '' . Instagram . Retrieved June 5 , 2016 .   Jump up ^ Andreeva , Nellie ( June 3 , 2016 ) . `` Dominic Purcell Injured On Set Of Fox 's Prison Break , Production Not Impacted '' . Deadline.com . Retrieved June 5 , 2016 .   Jump up ^ `` Prison Break star Dominic Purcell almost killed on set after iron bar falls on his head '' . News.com.au . June 4 , 2016 . Retrieved June 5 , 2016 .   Jump up ^ Debnath , Neela ( July 24 , 2015 ) . `` Prison Break season 5 : Ramin Djawadi says he would ' absolutely ' return to the show '' . Daily Express . Retrieved July 24 , 2015 .   Jump up ^ @ PBWritersRoom ( June 2 , 2016 ) . `` Yes ! Ramin is back , so expect some cool new music . '' ( Tweet ) . Retrieved April 2 , 2017 -- via Twitter .   Jump up ^ `` Prison Break : Season 5 ( 2017 ) '' . Rotten Tomatoes . Fandango . Retrieved April 4 , 2017 .   Jump up ^ `` Prison Break : Season 5 reviews '' . Metacritic . Retrieved April 4 , 2017 .   Jump up ^ Porter , Rick ( April 20 , 2017 ) . `` ' iZombie ' premiere gets decent bump in week 29 broadcast Live + 7 ratings '' . TV by the Numbers . Retrieved April 20 , 2017 .   Jump up ^ Porter , Rick ( April 26 , 2017 ) . `` 6 shows double , led by ' Designated Survivor ' : Week 30 broadcast Live + 7 ratings '' . TV by the Numbers . Retrieved April 26 , 2017 .   Jump up ^ Porter , Rick ( May 4 , 2017 ) . `` ' Designated Survivor ' makes more big gains : Week 31 broadcast Live + 7 ratings '' . TV by the Numbers . Retrieved May 4 , 2017 .   Jump up ^ Porter , Rick ( May 22 , 2017 ) . `` ' Modern Family , ' ' Big Bang ' gain the most , 10 shows double : Week 33 broadcast Live + 7 ratings '' . TV by the Numbers . Retrieved May 22 , 2017 .   Jump up ^ Porter , Rick ( May 27 , 2017 ) . `` ' Designated Survivor , ' ' Big Bang Theory ' finale lead week 34 's broadcast Live + 7 ratings '' . TV by the Numbers . Retrieved May 27 , 2017 .   Jump up ^ Porter , Rick ( June 2 , 2017 ) . `` ' Modern Family , ' ' Designated Survivor ' finales make biggest gains in week 35 broadcast Live + 7 ratings '' . TV by the Numbers . Retrieved June 2 , 2017 .   Jump up ^ Porter , Rick ( June 8 , 2017 ) . `` ' Empire ' and ' Bull ' season finales lead week 36 's broadcast Live + 7 ratings '' . TV by the Numbers . Retrieved June 8 , 2017 .   Jump up ^ Porter , Rick ( June 14 , 2017 ) . `` ' Lucifer ' and ' Prison Break ' finales get good bumps : Broadcast Live + 7 ratings for May 29 - June 4 '' . TV by the Numbers . Retrieved June 14 , 2017 .   Jump up ^ Lambert , David ( May 24 , 2017 ) . `` Prison Break - Fox Official Pre</t>
  </si>
  <si>
    <t xml:space="preserve">prison break season 5 how many episodes are there</t>
  </si>
  <si>
    <t xml:space="preserve"> The fifth season of Prison Break ( also known as Prison Break : Resurrection ) is a limited event television series and the continuation of the original series created by Paul Scheuring that aired on Fox from 2005 to 2009 . The season is produced by 20th Century Fox Television in association with Adelstein / Parouse Productions and Original Film . Paul Scheuring serves as showrunner , with himself , Marty Adelstein , Neal H. Moritz and Dawn Olmstead , Vaun Wilmott , Michael Horowitz and Nelson McCormick serving as executive producers . McCormick also serves as director . The season premiered on April 4 , 2017 , and concluded on May 30 , 2017 , consisting of 9 episodes . </t>
  </si>
  <si>
    <r>
      <rPr>
        <sz val="11"/>
        <color rgb="FF000000"/>
        <rFont val="Calibri"/>
        <family val="0"/>
        <charset val="1"/>
      </rPr>
      <t xml:space="preserve">The Last Guardian - Wikipedia  The Last Guardian  Jump to : navigation , search For other uses , see The Last Guardian ( disambiguation ) .    The Last Guardian         Developer ( s )   SIE Japan Studio     Publisher ( s )   Sony Interactive Entertainment     Director ( s )   Fumito Ueda     Producer ( s )     Kazunobu Sato   Fumito Ueda       Designer ( s )     Fumito Ueda   Masanobu Tanaka   Suchol Lee       Programmer ( s )   Makoto Izawa     Composer ( s )   Takeshi Furukawa     Platform ( s )   PlayStation 4     Release     JP : 6 December 2016   NA : 6 December 2016   PAL : 7 December 2016       Genre ( s )   Action - adventure     Mode ( s )   Single - player     The Last Guardian is an action - adventure video game developed by SIE Japan Studio and published by Sony Interactive Entertainment for the PlayStation 4 in December 2016 . In The Last Guardian , players control a boy who befriends a giant half - bird - half - mammal creature , Trico .   Team Ico began developing The Last Guardian in 2007 . It was designed and directed by Fumito Ueda , and shares stylistic , thematic , and gameplay elements with his previous titles Ico ( 2001 ) and Shadow of the Colossus ( 2005 ) . He employed the `` design through subtraction '' approach he had used for his previous games , removing elements that did not contribute to the core theme of the connection between the boy and Trico .   Sony announced The Last Guardian at the 2009 Electronic Entertainment Expo with a planned release in 2011 exclusively for the PlayStation 3 . It suffered numerous delays ; Ueda and other Team Ico members departed Sony , and hardware difficulties moved the game to the PlayStation 4 in 2012 , drawing speculation that the game would not see release . Ueda and his studio genDESIGN , composed of former Team Ico members , remained as creative consultants , with Ueda as director and Sony 's Japan Studio handling technical development . The Last Guardian was reintroduced at the Electronic Entertainment Expo 2015 . It received praise for its art direction , story , and depiction of Trico , though some criticized the gameplay .     Contents  ( hide )   1 Gameplay   2 Plot   3 Development   3.1 Story and gameplay development   3.2 Technical development   3.3 Reintroduction , release and promotion   3.4 Reaction to delays   3.5 Music     4 Reception   4.1 Sales     5 Accolades   6 Notes   7 References   8 External links      Gameplay ( edit )   Like its predecessors Ico ( 2001 ) and Shadow of the Colossus ( 2005 ) , The Last Guardian is a third - person game that combines action - adventure and puzzle elements . The player controls an unnamed boy who must cooperate with half - bird - half - mammal creature , Trico , to solve puzzles and explore areas . The name of the creature , Trico ( </t>
    </r>
    <r>
      <rPr>
        <sz val="11"/>
        <color rgb="FF000000"/>
        <rFont val="Noto Sans CJK SC"/>
        <family val="2"/>
      </rPr>
      <t xml:space="preserve">トリコ </t>
    </r>
    <r>
      <rPr>
        <sz val="11"/>
        <color rgb="FF000000"/>
        <rFont val="Calibri"/>
        <family val="0"/>
        <charset val="1"/>
      </rPr>
      <t xml:space="preserve">, Toriko ) , can be taken to mean `` prisoner '' ( </t>
    </r>
    <r>
      <rPr>
        <sz val="11"/>
        <color rgb="FF000000"/>
        <rFont val="Noto Sans CJK SC"/>
        <family val="2"/>
      </rPr>
      <t xml:space="preserve">虜 </t>
    </r>
    <r>
      <rPr>
        <sz val="11"/>
        <color rgb="FF000000"/>
        <rFont val="Calibri"/>
        <family val="0"/>
        <charset val="1"/>
      </rPr>
      <t xml:space="preserve">, toriko ) , `` baby bird '' ( </t>
    </r>
    <r>
      <rPr>
        <sz val="11"/>
        <color rgb="FF000000"/>
        <rFont val="Noto Sans CJK SC"/>
        <family val="2"/>
      </rPr>
      <t xml:space="preserve">鳥の子 </t>
    </r>
    <r>
      <rPr>
        <sz val="11"/>
        <color rgb="FF000000"/>
        <rFont val="Calibri"/>
        <family val="0"/>
        <charset val="1"/>
      </rPr>
      <t xml:space="preserve">, tori no ko ) , or a portmanteau of `` bird '' ( </t>
    </r>
    <r>
      <rPr>
        <sz val="11"/>
        <color rgb="FF000000"/>
        <rFont val="Noto Sans CJK SC"/>
        <family val="2"/>
      </rPr>
      <t xml:space="preserve">鳥 </t>
    </r>
    <r>
      <rPr>
        <sz val="11"/>
        <color rgb="FF000000"/>
        <rFont val="Calibri"/>
        <family val="0"/>
        <charset val="1"/>
      </rPr>
      <t xml:space="preserve">, tori ) and `` cat '' ( </t>
    </r>
    <r>
      <rPr>
        <sz val="11"/>
        <color rgb="FF000000"/>
        <rFont val="Noto Sans CJK SC"/>
        <family val="2"/>
      </rPr>
      <t xml:space="preserve">猫 </t>
    </r>
    <r>
      <rPr>
        <sz val="11"/>
        <color rgb="FF000000"/>
        <rFont val="Calibri"/>
        <family val="0"/>
        <charset val="1"/>
      </rPr>
      <t xml:space="preserve">, neko ) .   The boy can climb on structures , carry objects such as barrels , and operate mechanisms such as levers . Trico 's size and agility allows it to reach areas that the boy can not reach alone , and fight off guards who attempt to capture the boy . Conversely , certain obstacles , such as gates , or glass eyes that frighten Trico , prevent Trico from progressing , and must be removed by the boy . The boy must also locate barrels to feed Trico when it is hungry , pet Trico to calm it after a battle , and remove spears thrown at Trico by enemies .   Though the player initially has little command over Trico , the boy learns to command Trico to leap onto ledges or head in a certain direction , among other actions . Although players are encouraged to train Trico to move in the right direction , new areas can be discovered by letting Trico wander independently . At various points , the boy wields a reflective mirror that summons light from Trico 's tail , which can be used to break certain objects .   The player is returned to the last checkpoint if the boy is captured by guards , or if he falls from too great a height . Multiple playthroughs unlock additional costumes based on previous Ueda games .   Plot ( edit )  The player controls the boy , who must care for and work with the large creature , Trico , using its animal instincts to solve puzzles  The Last Guardian 's story is framed as a flashback told by an older man recounting his experience as a boy .   The boy awakens in a ruined castle in a deep valley known as the Nest . He discovers an enormous , winged , cat - like creature he names Trico , chained and wounded . Though Trico is hostile , after the boy removes the spears from its body and feeds it , it begins to accept him . The boy unchains Trico and they explore the area , discovering a mirror - like shield that summons energy from Trico 's tail . The pair make their way through the castle ruins , evading the ghostly soldiers , and Trico 's horns and wings slowly regrow .   Some time earlier , Trico flies to the boy 's village and steals him from his dormitory . It flies back to the Nest , but is struck by lightning and chained up by the soldiers . In the present , Trico resuscitates the boy after a cave collapse . After fending off an attack from a second , armored creature , Trico and the boy enter a mysterious tower and discover a malevolent force , the `` master of the valley '' , which manipulates creatures and soldiers . It summons several creatures of the same kind as Trico , which regurgitate stolen children into the tower and savage Trico , tearing off its tail . The boy uses the mirror to summon energy from the severed tail and destroy the master of the valley , causing the creatures to plummet from the sky .   Wounded , Trico takes the near - unconscious boy and flies to his village . When the terrified villagers attack him the boy instructs Trico to leave . Years later , the boy , now grown , discovers the shield and raises it to the sky , sending a beam of light to the Nest , where Trico and a second creature reside .   Development ( edit )   Story and gameplay development ( edit )   In his previous game , Shadow of the Colossus , director Fumito Ueda had intended to create an emotional interaction between Mono , the character that Wander wants to save , and the colossi that Wander must fight to save her . He was surprised and inspired to find players felt a stronger connection between Wander and his horse Agro . Ueda wanted to make the relationship between a human and a creature the central concept for his next game .   Ueda found that people were drawn to games with lifelike creatures , and felt The Last Guardian needed something similar to attract a broad audience . He wanted to create a virtual creature that behaved as realistically as possible , avoiding the unnatural behavior of other virtual animals . He based much of Trico 's behavior on his childhood experiences growing up in a home full of animals . The final version of Trico is an amalgam of several creatures ; the design was `` deliberately unbalanced because looking strange was important '' , according to Ueda . The team wanted to avoid making the animal cute , and instead focused on realistic - looking behavior with `` animal - like expressions '' . Trico 's ears react with a cat - like `` twitch '' if they touch ceilings or other tall features , using the game 's mesh - based collision detection . The team added the ability to summon lightning from Trico 's tail to have players understand Trico 's `` force and ferocity '' . Ueda described Trico as `` adolescent '' , allowing the developers to add humor through its actions . The team used programmed key frame animations instead of more common motion capture techniques , allowing them to capture subtleties that would be difficult using live animal subjects .   As Trico functions similarly to the colossi the player climbs in Shadow of the Colossus , journalists have described The Last Guardian as a combination of Ico and Shadow of the Colossus ; Ueda stated there was `` a bit of each of those ( games ) in there '' . He described the relationship between the boy , Trico , and the guards as a game of rock - paper - scissors that changes throughout the game ; at times , the boy needs Trico to protect him , while at others the situation is reversed . Though Ico and Shadow of the Colossus have a similar changing connection between pairs of characters , Ueda said there was more `` dynamic range '' in The Last Guardian .   The Last Guardian is the first Team Ico game to use voice - over narration . As much of the game relies on non-verbal communication between the boy and Trico , Ueda felt the voice - over helped immerse the player in the mindset of the boy . It also provided a way to provide gameplay hints and other context to the player .   Whereas the team had designed the areas of previous games for the characters they had designed in advance , for The Last Guardian they made Trico as flexible as possible , allowing them to create levels and have Trico adapt to them . The size difference and interactions between the boy and Trico were informed by the limitations of the PlayStation ; if the characters were of the same size , the team would have needed to determine the animation interactions for both , whereas Trico 's size meant the boy 's animations would not need to affect him much .   Although the boy is less detailed than Trico , he was also animated via key frame animation . He places hands on nearby walls , and reaches to pet Trico without player interaction . Ueda felt these animations were necessary to help convince the player of the game world . The animation system uses layers of animation that mimic real - life physics , taking advantage of the greater processing power of the PlayStation 4 . The team considered making the player character a girl , but felt it would not be realistic that a female character would have enough stamina to climb Trico .   To create the game 's art and architecture , the team used the same `` design through subtraction '' method they had used to develop Ico and Shadow of the Colossus , removing elements they felt distracted from the core experience . Music is used sparingly to highlight key emotional moments , such as when Trico uses his tail to catch the boy as he falls from a collapsing platform . The game uses vertical space to emphasize the boy 's small size .   The Last Guardian game engine builds on the team 's previous development of AI processing from Ico and transformative collisions from Shadow of the Colossus . It is the first Team Ico game to use a full physics engine , Havok . According to Uea , the effect of wind was modeled separately for each of Trico 's feathers .   Yasuhide Kobayashi , vice president of Japan Studio , stated that the title The Last Guardian was chosen to appeal to the larger demographic markets in the United States and Europe for the PlayStation 3 , hoping to avoid the cultural problems in title and artwork that were attributed to Ico 's low sales in western countries .   Technical development ( edit )   With initial ideas for The Last Guardian envisioned by Ueda since around 2005 after completing Shadow of the Colossus , the game was in active development since 2007 , a year after the release of the PlayStation 3 . The working title was Project Trico , revealed to the public due to a leaked video posted at PlayStation Lifestyle in 2008 that showed the current `` Target Render '' of the game at that time . Ueda had long considered the development time for Ico and Shadow of the Colossus , and had anticipated being able `` to create something good in a short period of time '' with The Last Guardian at the onset . By 2009 , the development team had completed enough of the game for it to be showcased during the Electronic Entertainment Expo 2009 , using an improved render of the same set pieces previously seen in the Target Render and later provided a short vertical slice of the game to the press for the Game Developers Conference in early March 2011 . Ueda had considered including this demo on the then - upcoming remastered The Ico &amp; Shadow of the Colossus Collection , though it was ultimately not included .   Behind the scenes , the development of The Last Guardian was considered slow by Shuhei Yoshida , the president of Sony Computer Entertainment Worldwide . Yoshida explained that the vision for The Last Guardian was based on a video prepared by Ueda to demonstrate the concepts and style of the game , a process Ueda had used for Ico , and Sony wanted to stay true to that vision . Team Ico , which is a small studio compared to other Sony studios in Japan or other Western developers , were struggling with achieving Ueda 's vision for the game on the PlayStation 3 hardware . In 2015 Yoshida revealed that the previous 2009 trailer was `` specced up '' , running at a much lower frame rate on the PlayStation 3 and sped up for the presentation . Around 2011 , Sony brought in many of their core development teams such as Santa Monica Studios to review the code and try to improve the performance . In 2012 , with Sony preparing to announce the PlayStation 4 and still recognizing the sluggish development of the PlayStation 3 version of the game , it was decided to change the target platform to the PlayStation 4 so that Ueda 's concept could be fully realized . Ueda stated that this choice was primarily Sony 's decision , speculating that the PlayStation 3 version of the game at this point would still have been sufficient to convey his concept . Following the target platform switch , Ueda and other members of Team Ico were not as involved with the process , as other teams worked to take the highly customized PlayStation 3 code to adapt it to the PlayStation 4 ; this included the help of PlayStation 4 lead architect Mark Cerny . With the reintroduction of the game at the Electronic Entertainment Expo 2015 , Yoshida explained that the game engine is now fully running at speed on the PlayStation 4 and that the remainder of the development lies with the game designers to complete .   Development was also hampered by Ueda 's departure from Sony in December 2011 . With Sony 's decision to delay the release of the game early that year , Ueda and other Sony and Team Ico employees opted to leave Sony . Ueda stated in 2013 interview that his departure from Sony was due to feeling `` a sense of crisis within myself about a lot of things '' on news of the delay . Some of those that departed Sony went on to other projects . For example , executive producer Yoshifusa Hayama joined Bossa Studios to work on social / mobile games , while two Team Ico artists joined an indie startup studio Friends &amp; Foes to develop their first title , Vane , which has been compared visually to The Last Guardian . Ueda and other former Team Ico members , including Jinji Horagai , the lead programmer from Ico and Shadow of the Colossus , created a new studio , genDESIGN . In founding the studio , they were faced with a choice , according to Ueda : `` Do we try to create something new , or do we keep going , providing support on The Last Guardian ? '' genDESIGN opted to commit themselves to helping Sony complete The Last Guardian through contract and working alongside Sony 's internal studio , Japan Studio . Under this arrangement , genDESIGN developed the creative content for the game , such as character design and animation and level design , which was then put into place via Japan Studio , with Ueda maintaining oversight on the completed project .   Ueda stated that the final game , as of June 2016 , still represents the initial vision he had for The Last Guardian at its onset . The transition from the PlayStation 3 to 4 only improved how the game looked , but did not change how it played . Ueda stressed it was important during the extended development cycle to keep the question `` what kind of game do I want to play ? '' at the forefront , and to remember that the game needed to be targeted to players experiencing the title for the first time rather than developers that had played it through over and over . Digital Foundry , in comparing the game from its initial Target Render from 2008 , the 2009 trailer , the 2015 trailer , and the final game , found very few changes in the game 's structure and nature , while observing several improvements and changes made to the rendering systems .   Reintroduction , release and promotion ( edit )   Shawn Layden formally reintroduced The Last Guardian at the beginning of Sony 's E3 2015 conference . Sony affirmed that that game was now slated for release on the PlayStation 4 with a 2016 release date . Sony also assured fans that Ueda still remained a main developer of the game despite his prior departure from Sony . According to Chris Plante of Polygon , the gameplay presented shows the same gameplay from previous demos , where the young boy and the large creature work together to solve various platforming puzzles . The presentation at the 2015 E3 was based on the milestone of the game being fully playable , affirmed by selected members of the press , though Yoshida stated they did not do a live gameplay demo as the artificial intelligence behavior of the animal creature could be sporadic and impact the demonstration . Ueda said that the fundamentals of the gameplay had not changed from the original PlayStation 3 version to the PlayStation 4 , only that with the more - powerful PlayStation 4 , they were able to put more detail into the characters and the environment .   Though the game demo was not playable at the 2015 Tokyo Game Show , part of Sony 's display for the game including a full - screen version of Trico that would respond in real time to the actions of the attendees as captured by a PlayStation Move camera . Yoshida stated that they had not shown much additional footage of the game since the E3 2015 announcement as they believed that The Last Guardian is story - heavy and feared showing too much beyond that the game does exist and is playable .   The Last Guardian was announced for a 25 October 2016 release in Japan and North America during Sony 's presentation at the Electronic Entertainment Expo 2016 in June , and was available in a playable form to attendees . In an interview with Kotaku during E3 2016 , Ueda commented that the game was fully complete , and the only work remaining was fine - tuning visuals and cut - scenes . A short delay was announced in September 2016 , pushing the title back to early December 2016 release , as the developers needed more time to fix bugs that had come up during the final production of the game , according to Yoshida . By 21 October 2016 , development of The Last Guardian concluded and the game was submitted for manufacturing . A patch enabled high dynamic range and added 4k resolution support for the PlayStation 4 Pro system .   In addition to regular retail copies , Sony released a `` collector 's edition '' including the game , an artbook , a soundtrack , and a statue of a resting Trico and the boy . The week prior to release , Sony 's Joe Palmer stated that pre-order numbers were `` exceeding expectations '' , including high interest in the collector 's edition .   Reaction to delays ( edit )   Because of the development delays in The Last Guardian and lack of updates from Sony , The Last Guardian was considered to have been in development hell over its eight - year development period . Ueda and Yoshida would regularly report progress on the game , but the title was notably absent from major video game conventions , including the Electronic Entertainment Expo and the Tokyo Game Show .   Journalists also expressed concern with the potential release of the game when The Last Guardian trademark had hit some critical milestones . In August 2012 , about three years after the trademark had been filed in the United States , Sony had yet to produce a viable product under trademark law , and in February 2015 , Sony failed to renew the North American trademark for The Last Guardian . Sony re-registered the trademark , noting that lack of a renewal was an administrative oversight , and the game was still in development .   Prior to the reintroduction in 2015 , some journalists expressed concern if The Last Guardian would be as much a landmark title as initially seen . Evan Narcisse for the website Kotaku opined that the lengthy delay of The Last Guardian 's release since the 2009 reveal may have been harming the title 's relevance on the contemporary market . Narcisse considered that the landscape of games had vastly changed since 2009 , during which `` by - the - numbers racers , shooters and action - adventure games dominated '' the market and the expected emotional impact of The Last Guardian would have made it a stand - out title . Since then , the rise of more artistic , independent games , such as Papo &amp; Yo , Bastion , The Walking Dead , and Journey , have created experiences that take the place of what The Last Guardian would have filled , reducing the uniqueness of the title , according to Narcisse . Leigh Alexander of Boing Boing agreed , noting that the delay of The Last Guardian has now spanned a console generation , and other emotionally filled games have been offered in lieu of The Last Guardian . GamesIndustry.biz 's Rob Fahey considered that both The Last Guardian and Final Fantasy XV , which also had a protracted development cycle lasting nearly a decade , represent the last remnants of game development practices from the early 2000s , challenged by the rise of mobile gaming , independent game development , and more efficient software development practices that change the nature and role of auteurs like Ueda and Final Fantasy 's Tetsuya Nomura in game development .   Journalists were able to play The Last Guardian at the Electronic Entertainment Expo 2016 and the 2016 Tokyo Game Show in the months before the game 's release , and several expressed further concerns about the nature of the game 's lengthy development period . Patrick Garrett , writing for VG247 , found that the visuals felt flat and aged considering modern hardware capabilities , and expressed concern that while older gamers would readily purchase the title , The Last Guardian may not draw in enough newer gamers to be a commercial success . Philip Kollar for Polygon , though still impressed with the characters , graphics , and core gameplay , found controlling the character difficult and managing the game 's camera tricky , elements that made the game feel like a PlayStation 2 title rather than something on modern hardware . Wired 's Chris Kohler found much of the demo to require patient observation of Trico 's movements and puzzle solving , which , he commented , some players would appreciate but were elements that have slowly been phased out of action games over the last console generation , and other players may not have the patience for these . Brian Ashcroft of Kotaku also noted that the demo 's pace was often set by how fast Trico would respond or react , which may test the patience of players looking for a more action - based experience .   Music ( edit )   The Last Guardian 's original score was written , orchestrated , conducted , and co-produced by Takeshi Furukawa . Furukawa had joined the soundtrack development around 2011 , near the same time that the game was being transitioned to the PlayStation 4 . Furukawa had been invited to participate by Tommy Kikuchi , the music director for Shadow of the Colossus . During the platform transition , much of the creative work had been put on hold , and Furukawa did not spend extensive effort on the composition until about 2013 , three years prior to release . He completed his compositions in early 2016 .   Furakawa stated that Ueda trusted him with freedom to compose the music and providing only a broad direction of a cinematic soundtrack and some specific directorial notes . While he was aware of the reputation of the soundtracks by Michiru Oshima and Kow Otani for Ico and Shadow , respectively , and wanted to have The Last Guardian 's soundtrack to be similarly unique , Furukawa opted to avoid using these previous works and instead drew his own inspirations primarily from works with a `` muted aesthetic '' , such as Impressionist art and music and French cinema . Furakawa wanted to avoid overstating the emotional aspect of the game , which he felt was already sufficiently conveyed through the gameplay and animation , and instead kept the music restrained except during key narrative elements or in specific locales of the game work . Furukawa did not have to adapt his score significantly to account for changes in story and game direction since these elements were still made within Ueda 's vision . He worked with audio lead Tsubasa Ito frequently to review the status and use of his scored compositions .   The performance of the soundtrack was conducted by Furukawa with the London Symphony Orchestra , the Trinity Boys Choir , and London Voices , and was recorded at Lyndhurst Hall . The 19 - track Composer 's Choice Edition soundtrack was released digitally alongside the game on the PlayStation 4 Music App , and later on other digital retailers . A 24 - track CD version of the soundtrack was released by TEAM Entertainment on December 21 , 2016 . In addition , a two - disc vinyl LP edition will be published by iam8bit sometime in 2017 .   Reception ( edit )     Reception        Aggregate score     Aggregator   Score     Metacritic   82 / 100     Review scores     Publication   Score     Destructoid   8.5 / 10     Edge   9 / 10     EGM   7.5 / 10     Famitsu   38 / 40     Game Informer   8 / 10     Game Revolution       GameSpot   9 / 10     GamesRadar       IGN   7 / 10     Polygon   7.5 / 10     VideoGamer.com   9 / 10     The Guardian       Time   5 / 5     US Gamer          The Last Guardian received `` favorable '' reviews , according to video game review aggregator Metacritic . Most reviewers praised the game 's environment and story as some of its strongest elements , while the realism of the animal behavior that Trico was praised by some critics , yet others felt that the realism also hampered the gameplay causing impatience and frustration due to lack of immediate action by Trico when giving commands .   GameSpot 's Pete Brown praised the characters , their relationship and the story as the important aspects to the game and overall experience , noting interactions with Trico and acting very independently at times by not knowing `` if it 's a concerted effort to test your patience for a lovable - yet - stubborn creature '' . However Brown felt that it added personality to Trico and `` sympathy for both characters '' in addition to their development within the story and for the player , `` culminating in an enrapturing series of revelations that cements your attachment to their personalities '' . Tom Senior of GamesRadar called Trico `` the greatest AI companion in games '' , in addition to the subtle use of visual and audio cues to add more character and its impact on the gameplay itself .   Reviewing for The Guardian , Simon Parkin praised the design of Trico and its interactions with the world and puzzles , adding further emotional investment . He likened Trico to an `` abuse survivor '' due to being scared and imprisoned at the start of the game and the thoughtfulness and relationship development of its characters making it `` a game , as much as anything , about rehabilitation through kindness and companionship '' . Chris Carter of Destructoid felt that the detail and realistic behavior of Trico and the boy were `` emotive in a way that most developers would n't even attempt '' , potentially being the reason behind the long development , praising the effort put in by Fumito Ueda and the developers nonetheless . US Gamer 's Jermey Parish believed that Trico as an in - game character with its own apparent volition was revolutionary in character design , and that the emotional relationship between Trico and the boy was something that could only be effectively done with the interactivity of a video game .   In contrast , Marty Sliva of IGN was critical of Trico 's behavior during puzzles combined with camera controls making sections of the game more frustrating , particularly during interiors due to the cramped nature of certain levels and the size of Trico detracting from the experience , calling it `` rare to even have to think about the camera in a third - person game in 2016 , but I found myself constantly being pulled out of the experience trying to wrestle with my point of view '' . Sliva however still felt that the game succeeded in the attachment with its characters and delivered memorable moments despite its issues . Game Revolution 's James Kozanitis found that there were moments that Trico would continue with traversing the environment and performing tasks even without player input , making the act of controlling Trico at times `` ineffective and unnecessary '' .   Reviewers also noted performance problems with the game running on default PlayStation 4 hardware . Eurogamer 's Digital Foundry determined that the game ran into rendering issues and framerate drops on the PlayStation 4 , while running at 1080p on the newer PlayStation 4 Pro provided a stable framerate . Philip Kollar of Polygon compared technical aspects to its predecessors release on the PlayStation 2 due the long development across multiple generations of Sony consoles , stating that the game at times did take advantage of the PlayStation 4 hardware while in others , such as framerate and control issues made its age more noticeable . Sam Byford of The Verge commented that while framerate drops were common in Shadow of the Colossus , they were more acceptable based on the PlayStation 2 hardware of the time and the extent the game maximized out the console 's hardware , while such issues on PlayStation 4 for The Last Guardian were less forgivable , making it feel like `` a PS3 game that never really came together until the brute force of new hardware allowed the team to ship '' ; he contrasted this to Final Fantasy XV which had the game 's engine rebuilt after its target platform was switched to eighth - generation consoles .   The game was named on several year - end Game of the Year lists , including The New Yorker , Engadget , GameSpot , VG247 , and Polygon .   Sales ( edit )   In the UK , The Last Guardian suffered lower than expected sales , debuting at number 7 in the weekly game sales charts . It debuted at number four in the Japanese video game sales charts , with 82,260 copies sold . The following week , it sold an additional 10,754 copies in Japan , bringing the total number of copies sold in the country to 93,014 .   Accolades ( edit )     Year   Award     Result   Ref     2016   Academy of Interactive Arts &amp; Sciences D.I.C.E. Awards   Adventure Game of the Year   Nominated       Outstanding Achievement in Animation   Nominated     Outstanding Achievement in Art Direction   Nominated     Outstanding Achievement in Original Music Composition   Nominated     Outstanding Achievement in Sound Design   Nominated     Outstanding Achievement in Game Direction   Nominated     Outstanding Achievement in Character ( Trico )   Won     Game Developers Choice Awards   Best Narrative   Nominated       Best Visual Art   Nominated     Premio Drago d'Oro   Videogioco dell'Anno ( Video Game of the Year )   Nominated       Miglior Colonna Sonora ( Best Soundtrack )   Won     Miglior Personaggio ( Best Character )   Won     Miglior Videogioco di Azione / Avventura ( Best Game Action / Adventure )   Nominated     SXSW Gaming Awards   Excellence in Musical Score   Nominated       Excellence in Animation   Nominated     Most Memorable Character Trico   Nominated     Excellence in Narrative   Nominated     13th British Academy Games Awards   Artistic Achievement   Nominated       Audio Achievement   Won     Music   Nominated     Original Property   Nominated     2017   National Academy of Video Game Trade Reviewers   Animation , Artistic   Won       Art Direction , Fantasy   Won     Game Design , New IP   Won     Notes ( edit )    Jump up ^ Known as Hitokui no Ōwashi Trico ( </t>
    </r>
    <r>
      <rPr>
        <sz val="11"/>
        <color rgb="FF000000"/>
        <rFont val="Noto Sans CJK SC"/>
        <family val="2"/>
      </rPr>
      <t xml:space="preserve">人 喰い の 大鷲 トリコ </t>
    </r>
    <r>
      <rPr>
        <sz val="11"/>
        <color rgb="FF000000"/>
        <rFont val="Calibri"/>
        <family val="0"/>
        <charset val="1"/>
      </rPr>
      <t xml:space="preserve">, Hitokui no Ōwashi Toriko , literally `` Trico the Large Man - Eating Eagle '' ) in Japan .    References ( edit )    Jump up ^ John , Tracey ( 25 March 2009 ) . `` New Game From Team ICO Will Be Like </t>
    </r>
    <r>
      <rPr>
        <sz val="11"/>
        <color rgb="FF000000"/>
        <rFont val="Noto Sans CJK SC"/>
        <family val="2"/>
      </rPr>
      <t xml:space="preserve">『 </t>
    </r>
    <r>
      <rPr>
        <sz val="11"/>
        <color rgb="FF000000"/>
        <rFont val="Calibri"/>
        <family val="0"/>
        <charset val="1"/>
      </rPr>
      <t xml:space="preserve">Ico ' ( GDC 2009 ) '' . MTV Multiplayer . Retrieved 2 June 2009 .   Jump up ^ Juba , Joe ( 5 December 2016 ) . `` Six Things The Last Guardian Borrows From Its Predecessors '' . Game Informer </t>
    </r>
  </si>
  <si>
    <t xml:space="preserve">shadow of the colossus creator's new game</t>
  </si>
  <si>
    <t xml:space="preserve"> Team Ico began developing The Last Guardian in 2007 . It was designed and directed by Fumito Ueda , and shares stylistic , thematic , and gameplay elements with his previous titles Ico ( 2001 ) and Shadow of the Colossus ( 2005 ) . He employed the `` design through subtraction '' approach he had used for his previous games , removing elements that did not contribute to the core theme of the connection between the boy and Trico . </t>
  </si>
  <si>
    <r>
      <rPr>
        <sz val="11"/>
        <color rgb="FF000000"/>
        <rFont val="Calibri"/>
        <family val="0"/>
        <charset val="1"/>
      </rPr>
      <t xml:space="preserve">Dot product - wikipedia  Dot product  `` Scalar product '' redirects here . For the abstract scalar product , see Inner product space . For the product of a vector and a scalar , see Scalar multiplication .  In mathematics , the dot product or scalar product is an algebraic operation that takes two equal - length sequences of numbers ( usually coordinate vectors ) and returns a single number . In Euclidean geometry , the dot product of the Cartesian coordinates of two vectors is widely used and often called inner product ( or rarely projection product ) ; see also inner product space .   Algebraically , the dot product is the sum of the products of the corresponding entries of the two sequences of numbers . Geometrically , it is the product of the Euclidean magnitudes of the two vectors and the cosine of the angle between them . These definitions are equivalent when using Cartesian coordinates . In modern geometry , Euclidean spaces are often defined by using vector spaces . In this case , the dot product is used for defining lengths ( the length of a vector is the square root of the dot product of the vector by itself ) and angles ( the cosine of the angle of two vectors is the quotient of their dot product by the product of their lengths ) .   The name `` dot product '' is derived from the centered dot `` '' that is often used to designate this operation ; the alternative name `` scalar product '' emphasizes that the result is a scalar , rather than a vector , as is the case for the vector product in three - dimensional space .   Contents    1 Definition   1.1 Algebraic definition   1.2 Geometric definition   1.3 Scalar projection and first properties   1.4 Equivalence of the definitions     2 Properties   2.1 Application to the law of cosines     3 Triple product   4 Physics   5 Generalizations   5.1 Complex vectors   5.2 Inner product   5.3 Functions   5.4 Weight function   5.5 Dyadics and matrices   5.6 Tensors     6 Computation   6.1 Algorithms   6.2 Libraries     7 See also   8 Notes   9 References   10 External links    Definition ( edit )   The dot product may be defined algebraically or geometrically . The geometric definition is based on the notions of angle and distance ( magnitude of vectors ) . The equivalence of these two definitions relies on having a Cartesian coordinate system for Euclidean space .   In modern presentations of Euclidean geometry , the points of space are defined in terms of their Cartesian coordinates , and Euclidean space itself is commonly identified with the real coordinate space R. In such a presentation , the notions of length and angles are defined by means of the dot product . The length of a vector is defined as the square root of the dot product of the vector by itself , and the cosine of the ( non oriented ) angle of two vectors of length one is defined as their dot product . So the equivalence of the two definitions of the dot product is a part of the equivalence of the classical and the modern formulations of Euclidean geometry .   Algebraic definition ( edit )   The dot product of two vectors a = ( a , a , ... , a ) and b = ( b , b , ... , b ) is defined as :    a ⋅ b = ∑ i = 1 n a i b i = a 1 b 1 + a 2 b 2 + ⋯ + a n b n ( \ displaystyle \ mathbf ( \ color ( red ) a ) \ cdot \ mathbf ( \ color ( blue ) b ) = \ sum _ ( i = 1 ) ^ ( n ) ( \ color ( red ) a ) _ ( i ) ( \ color ( blue ) b ) _ ( i ) = ( \ color ( red ) a ) _ ( 1 ) ( \ color ( blue ) b ) _ ( 1 ) + ( \ color ( red ) a ) _ ( 2 ) ( \ color ( blue ) b ) _ ( 2 ) + \ cdots + ( \ color ( red ) a ) _ ( n ) ( \ color ( blue ) b ) _ ( n ) )    where Σ denotes summation and n is the dimension of the vector space . For instance , in three - dimensional space , the dot product of vectors ( 1 , 3 , − 5 ) and ( 4 , − 2 , − 1 ) is :    ( 1 , 3 , − 5 ) ⋅ ( 4 , − 2 , − 1 ) = ( 1 × 4 ) + ( 3 × − 2 ) + ( − 5 × − 1 ) = 4 − 6 + 5 = 3 ( \ displaystyle ( \ begin ( aligned ) \ ( ( \ color ( red ) 1 , 3 , - 5 ) ) \ cdot ( ( \ color ( blue ) 4 , - 2 , - 1 ) ) &amp; = ( ( \ color ( red ) 1 ) \ times ( \ color ( blue ) 4 ) ) + ( ( \ color ( red ) 3 ) \ times ( \ color ( blue ) - 2 ) ) + ( ( \ color ( red ) - 5 ) \ times ( \ color ( blue ) - 1 ) ) \ \ &amp; = 4 - 6 + 5 \ \ &amp; = 3 \ end ( aligned ) ) )    If vectors are identified with row matrices , the dot product can also be written as a matrix product    a ⋅ b = a b ⊤ , ( \ displaystyle \ mathbf ( \ color ( red ) a ) \ cdot \ mathbf ( \ color ( blue ) b ) = \ mathbf ( \ color ( red ) a ) \ mathbf ( \ color ( blue ) b ) ^ ( \ top ) , )    where b ⊤ ( \ displaystyle \ mathbf ( \ color ( blue ) b ) ^ ( \ top ) ) denotes the transpose of b ( \ displaystyle \ mathbf ( \ color ( blue ) b ) ) .   Expressing the above example in this way , a 1 × 3 matrix ( row vector ) is multiplied by a 3 × 1 matrix ( column vector ) to get a 1 × 1 matrix that is identified with its unique entry :    ( 1 3 − 5 ) ( 4 − 2 − 1 ) = 3 ( \ displaystyle ( \ begin ( bmatrix ) \ color ( red ) 1&amp; \ color ( red ) 3&amp; \ color ( red ) - 5 \ end ( bmatrix ) ) ( \ begin ( bmatrix ) \ color ( blue ) 4 \ \ \ color ( blue ) - 2 \ \ \ color ( blue ) - 1 \ end ( bmatrix ) ) = \ color ( purple ) 3 ) .    Geometric definition ( edit )  Illustration showing how to find the angle between vectors using the dot product  In Euclidean space , a Euclidean vector is a geometric object that possesses both a magnitude and a direction . A vector can be pictured as an arrow . Its magnitude is its length , and its direction is the direction that the arrow points . The magnitude of a vector a is denoted by ‖ a ‖ ( \ displaystyle \ left \ \ mathbf ( a ) \ right \ ) . The dot product of two Euclidean vectors a and b is defined by    a ⋅ b = ‖ a ‖ ‖ b ‖ cos ⁡ ( θ ) , ( \ displaystyle \ mathbf ( a ) \ cdot \ mathbf ( b ) = \ \ mathbf ( a ) \ \ \ \ mathbf ( b ) \ \ cos ( \ theta ) , )    where θ is the angle between a and b .   In particular , if a and b are orthogonal ( the angle between vectors is 90 ° ) then due to cos ⁡ ( 90 ∘ ) = 0 ( \ displaystyle \ cos ( 90 ^ ( \ circ ) ) = 0 )    a ⋅ b = 0 . ( \ displaystyle \ mathbf ( a ) \ cdot \ mathbf ( b ) = 0 . )    At the other extreme , if they are codirectional , then the angle between them is 0 ° and    a ⋅ b = ‖ a ‖ ‖ b ‖ ( \ displaystyle \ mathbf ( a ) \ cdot \ mathbf ( b ) = \ left \ \ mathbf ( a ) \ right \ \ , \ left \ \ mathbf ( b ) \ right \ )    This implies that the dot product of a vector a with itself is    a ⋅ a = ‖ a ‖ 2 , ( \ displaystyle \ mathbf ( a ) \ cdot \ mathbf ( a ) = \ left \ \ mathbf ( a ) \ right \ ^ ( 2 ) , )    which gives    ‖ a ‖ = a ⋅ a , ( \ displaystyle \ left \ \ mathbf ( a ) \ right \ = ( \ sqrt ( \ mathbf ( a ) \ cdot \ mathbf ( a ) ) ) , )    the formula for the Euclidean length of the vector .   Scalar projection and first properties ( edit )  Scalar projection  The scalar projection ( or scalar component ) of a Euclidean vector a in the direction of a Euclidean vector b is given by    a b = ‖ a ‖ cos ⁡ θ , ( \ displaystyle a_ ( b ) = \ left \ \ mathbf ( a ) \ right \ \ cos \ theta , )    where θ is the angle between a and b .   In terms of the geometric definition of the dot product , this can be rewritten    a b = a ⋅ b ^ , ( \ displaystyle a_ ( b ) = \ mathbf ( a ) \ cdot ( \ widehat ( \ mathbf ( b ) ) ) , )    where b ^ = b / ‖ b ‖ ( \ displaystyle ( \ widehat ( \ mathbf ( b ) ) ) = \ mathbf ( b ) / \ left \ \ mathbf ( b ) \ right \ ) is the unit vector in the direction of b .  Distributive law for the dot product  The dot product is thus characterized geometrically by    a ⋅ b = a b ‖ b ‖ = b a ‖ a ‖ . ( \ displaystyle \ mathbf ( a ) \ cdot \ mathbf ( b ) = a_ ( b ) \ left \ \ mathbf ( b ) \ right \ = b_ ( a ) \ left \ \ mathbf ( a ) \ right \ . )    The dot product , defined in this manner , is homogeneous under scaling in each variable , meaning that for any scalar α ,    ( α a ) ⋅ b = α ( a ⋅ b ) = a ⋅ ( α b ) . ( \ displaystyle ( \ alpha \ mathbf ( a ) ) \ cdot \ mathbf ( b ) = \ alpha ( \ mathbf ( a ) \ cdot \ mathbf ( b ) ) = \ mathbf ( a ) \ cdot ( \ alpha \ mathbf ( b ) ) . )    It also satisfies a distributive law , meaning that    a ⋅ ( b + c ) = a ⋅ b + a ⋅ c . ( \ displaystyle \ mathbf ( a ) \ cdot ( \ mathbf ( b ) + \ mathbf ( c ) ) = \ mathbf ( a ) \ cdot \ mathbf ( b ) + \ mathbf ( a ) \ cdot \ mathbf ( c ) . )    These properties may be summarized by saying that the dot product is a bilinear form . Moreover , this bilinear form is positive definite , which means that a ⋅ a ( \ displaystyle \ mathbf ( a ) \ cdot \ mathbf ( a ) ) is never negative and is zero if and only if a = 0 ( \ displaystyle \ mathbf ( a ) = \ mathbf ( 0 ) ) , the zero vector .   Equivalence of the definitions ( edit )   If e , ... , e are the standard basis vectors in R , then we may write    a = ( a 1 , ... , a n ) = ∑ i a i e i b = ( b 1 , ... , b n ) = ∑ i b i e i . ( \ displaystyle ( \ begin ( aligned ) \ mathbf ( a ) &amp; = ( a_ ( 1 ) , \ dots , a_ ( n ) ) = \ sum _ ( i ) a_ ( i ) \ mathbf ( e ) _ ( i ) \ \ \ mathbf ( b ) &amp; = ( b_ ( 1 ) , \ dots , b_ ( n ) ) = \ sum _ ( i ) b_ ( i ) \ mathbf ( e ) _ ( i ). \ end ( aligned ) ) )    The vectors e are an orthonormal basis , which means that they have unit length and are at right angles to each other . Hence since these vectors have unit length    e i ⋅ e i = 1 ( \ displaystyle \ mathbf ( e ) _ ( i ) \ cdot \ mathbf ( e ) _ ( i ) = 1 )    and since they form right angles with each other , if i ≠ j ,    e i ⋅ e j = 0 . ( \ displaystyle \ mathbf ( e ) _ ( i ) \ cdot \ mathbf ( e ) _ ( j ) = 0 . )    Thus in general we can say that :    e i ⋅ e j = δ i j . ( \ displaystyle \ mathbf ( e ) _ ( i ) \ cdot \ mathbf ( e ) _ ( j ) = \ delta _ ( ij ) . )    Where δ is the Kronecker delta .   Also , by the geometric definition , for any vector e and a vector a , we note    a ⋅ e i = ‖ a ‖ ‖ e i ‖ cos ⁡ θ = ‖ a ‖ cos ⁡ θ = a i , ( \ displaystyle \ mathbf ( a ) \ cdot \ mathbf ( e ) _ ( i ) = \ left \ \ mathbf ( a ) \ right \ \ , \ left \ \ mathbf ( e ) _ ( i ) \ right \ \ cos \ theta = \ left \ \ mathbf ( a ) \ right \ \ cos \ theta = a_ ( i ) , )    where a is the component of vector a in the direction of e .   Now applying the distributivity of the geometric version of the dot product gives    a ⋅ b = a ⋅ ∑ i b i e i = ∑ i b i ( a ⋅ e i ) = ∑ i b i a i = ∑ i a i b i , ( \ displaystyle \ mathbf ( a ) \ cdot \ mathbf ( b ) = \ mathbf ( a ) \ cdot \ sum _ ( i ) b_ ( i ) \ mathbf ( e ) _ ( i ) = \ sum _ ( i ) b_ ( i ) ( \ mathbf ( a ) \ cdot \ mathbf ( e ) _ ( i ) ) = \ sum _ ( i ) b_ ( i ) a_ ( i ) = \ sum _ ( i ) a_ ( i ) b_ ( i ) , )    which is precisely the algebraic definition of the dot product . So the geometric dot product equals the algebraic dot product .   Properties ( edit )   The dot product fulfills the following properties if a , b , and c are real vectors and r is a scalar .    Commutative :   a ⋅ b = b ⋅ a , ( \ displaystyle \ mathbf ( a ) \ cdot \ mathbf ( b ) = \ mathbf ( b ) \ cdot \ mathbf ( a ) , )   which follows from the definition ( θ is the angle between a and b ) :   a ⋅ b = ‖ a ‖ ‖ b ‖ cos ⁡ θ = ‖ b ‖ ‖ a ‖ cos ⁡ θ = b ⋅ a . ( \ displaystyle \ mathbf ( a ) \ cdot \ mathbf ( b ) = \ left \ \ mathbf ( a ) \ right \ \ left \ \ mathbf ( b ) \ right \ \ cos \ theta = \ left \ \ mathbf ( b ) \ right \ \ left \ \ mathbf ( a ) \ right \ \ cos \ theta = \ mathbf ( b ) \ cdot \ mathbf ( a ) . )     Distributive over vector addition :   a ⋅ ( b + c ) = a ⋅ b + a ⋅ c . ( \ displaystyle \ mathbf ( a ) \ cdot ( \ mathbf ( b ) + \ mathbf ( c ) ) = \ mathbf ( a ) \ cdot \ mathbf ( b ) + \ mathbf ( a ) \ cdot \ mathbf ( c ) . )     Bilinear :   a ⋅ ( r b + c ) = r ( a ⋅ b ) + ( a ⋅ c ) . ( \ displaystyle \ mathbf ( a ) \ cdot ( r \ mathbf ( b ) + \ mathbf ( c ) ) = r ( \ mathbf ( a ) \ cdot \ mathbf ( b ) ) + ( \ mathbf ( a ) \ cdot \ mathbf ( c ) ) . )     Scalar multiplication :   ( c 1 a ) ⋅ ( c 2 b ) = c 1 c 2 ( a ⋅ b ) . ( \ displaystyle ( c_ ( 1 ) \ mathbf ( a ) ) \ cdot ( c_ ( 2 ) \ mathbf ( b ) ) = c_ ( 1 ) c_ ( 2 ) ( \ mathbf ( a ) \ cdot \ mathbf ( b ) ) . )     Not associative because the dot product between a scalar ( a ⋅ b ) and a vector ( c ) is not defined , which means that the expressions involved in the associative property , ( a ⋅ b ) ⋅ c or a ⋅ ( b ⋅ c ) are both ill - defined . Note however that the previously mentioned scalar multiplication property is sometimes called the `` associative law for scalar and dot product '' or one can say that `` the dot product is associative with respect to scalar multiplication '' because c ( a ⋅ b ) = ( c a ) ⋅ b = a ⋅ ( c b ) .   Orthogonal :   Two non-zero vectors a and b are orthogonal if and only if a ⋅ b = 0 .     No cancellation :   Unlike multiplication of ordinary numbers , where if ab = ac , then b always equals c unless a is zero , the dot product does not obey the cancellation law :   If a ⋅ b = a ⋅ c and a ≠ 0 , then we can write : a ⋅ ( b − c ) = 0 by the distributive law ; the result above says this just means that a is perpendicular to ( b − c ) , which still allows ( b − c ) ≠ 0 , and therefore b ≠ c .     Product Rule : If a and b are functions , then the derivative ( denoted by a prime ′ ) of a ⋅ b is a ′ ⋅ b + a ⋅ b ′ .    Application to the law of cosines ( edit )  Triangle with vector edges a and b , separated by angle θ . Main article : Law of cosines  Given two vectors a and b separated by angle θ ( see image right ) , they form a triangle with a third side c = a − b . The dot product of this with itself is :    c ⋅ c = ( a − b ) ⋅ ( a − b ) = a ⋅ a − a ⋅ b − b ⋅ a + b ⋅ b = a 2 − a ⋅ b − a ⋅ b + b 2 = a 2 − 2 a ⋅ b + b 2 c 2 = a 2 + b 2 − 2 a b cos ⁡ θ ( \ displaystyle ( \ begin ( aligned ) \ mathbf ( \ color ( gold ) c ) \ cdot \ mathbf ( \ color ( gold ) c ) &amp; = ( \ mathbf ( \ color ( red ) a ) - \ mathbf ( \ color ( blue ) b ) ) \ cdot ( \ mathbf ( \ color ( red ) a ) - \ mathbf ( \ color ( blue ) b ) ) \ \ &amp; = \ mathbf ( \ color ( red ) a ) \ cdot \ mathbf ( \ color ( red ) a ) - \ mathbf ( \ color ( red ) a ) \ cdot \ mathbf ( \ color ( blue ) b ) - \ mathbf ( \ color ( blue ) b ) \ cdot \ mathbf ( \ color ( red ) a ) + \ mathbf ( \ color ( blue ) b ) \ cdot \ mathbf ( \ color ( blue ) b ) \ \ &amp; = ( \ color ( red ) a ) ^ ( 2 ) - \ mathbf ( \ color ( red ) a ) \ cdot \ mathbf ( \ color ( blue ) b ) - \ mathbf ( \ color ( red ) a ) \ cdot \ mathbf ( \ color ( blue ) b ) + ( \ color ( blue ) b ) ^ ( 2 ) \ \ &amp; = ( \ color ( red ) a ) ^ ( 2 ) - 2 \ mathbf ( \ color ( red ) a ) \ cdot \ mathbf ( \ color ( blue ) b ) + ( \ color ( blue ) b ) ^ ( 2 ) \ \ ( \ color ( gold ) c ) ^ ( 2 ) &amp; = ( \ color ( red ) a ) ^ ( 2 ) + ( \ color ( blue ) b ) ^ ( 2 ) - 2 ( \ color ( red ) a ) ( \ color ( blue ) b ) \ cos ( \ color ( purple ) \ theta ) \ \ \ end ( aligned ) ) )    which is the law of cosines .   Triple product ( edit )  Main article : Triple product  There are two ternary operations involving dot product and cross product .   The scalar triple product of three vectors is defined as    a ⋅ ( b × c ) = b ⋅ ( c × a ) = c ⋅ ( a × b ) . ( \ displaystyle \ mathbf ( a ) \ cdot ( \ mathbf ( b ) \ times \ mathbf ( c ) ) = \ mathbf ( b ) \ cdot ( \ mathbf ( c ) \ times \ mathbf ( a ) ) = \ mathbf ( c ) \ cdot ( \ mathbf ( a ) \ times \ mathbf ( b ) ) . )    Its value is the determinant of the matrix whose columns are the Cartesian coordinates of the three vectors . It is the signed volume of the parallelogram defined by the three vectors .   The vector triple product is defined by    a × ( b × c ) = b ( a ⋅ c ) − c ( a ⋅ b ) . ( \ displaystyle \ mathbf ( a ) \ times ( \ mathbf ( b ) \ times \ mathbf ( c ) ) = \ mathbf ( b ) ( \ mathbf ( a ) \ cdot \ mathbf ( c ) ) - \ mathbf ( c ) ( \ mathbf ( a ) \ cdot \ mathbf ( b ) ) . )    This identity , also known as Lagrange 's formula may be remembered as `` BAC minus CAB '' , keeping in mind which vectors are dotted together . This formula finds application in simplifying vector calculations in physics .   Physics ( edit )   In physics , vector magnitude is a scalar in the physical sense , i.e. a physical quantity independent of the coordinate system , expressed as the product of a numerical value and a physical unit , not just a number . The dot product is also a scalar in this sense , given by the formula , independent of the coordinate system . Examples include :    Mechanical work is the dot product of force and displacement vectors ,   Magnetic flux is the dot product of the magnetic field and the vector area ,   Power is the dot product of force and velocity .    Generalizations ( edit )   Complex vectors ( edit )   For vectors with complex entries , using the given definition of the dot product would lead to quite different properties . For instance the dot product of a vector with itself would be an arbitrary complex number , and could be zero without the vector being the zero vector ( such vectors are called isotropic ) ; this in turn would have consequences for notions like length and angle . Properties such as the positive - definite norm can be salvaged at the cost of giving up the symmetric and bilinear properties of the scalar product , through the alternative definition    a ⋅ b = ∑ a i b i _̄ , ( \ displaystyle \ mathbf ( a ) \ cdot \ mathbf ( b ) = \ sum ( a_ ( i ) ( \ overline ( b_ ( i ) ) ) ) , )    where a is the complex conjugate of a . Then the scalar product of any vector with itself is a non-negative real number , and it is nonzero except for the zero vector . However this scalar product is thus sesquilinear rather than bilinear : it is conjugate linear and not linear in a , and the scalar product is not symmetric , since    a ⋅ b = b ⋅ a _̄ . ( \ displaystyle \ mathbf ( a ) \ cdot \ mathbf ( b ) = ( \ overline ( \ mathbf ( b ) \ cdot \ mathbf ( a ) ) ) . )    The angle between two complex vectors is then given by    cos ⁡ θ = Re ⁡ ( a ⋅ b ) ‖ a ‖ ‖ b ‖ . ( \ displaystyle \ cos \ theta = ( \ frac ( \ operatorname ( Re ) ( \ mathbf ( a ) \ cdot \ mathbf ( b ) ) ) ( \ left \ \ mathbf ( a ) \ right \ \ , \ left \ \ mathbf ( b ) \ right \ ) ) . )    This type of scalar product is nevertheless useful , and leads to the notions of Hermitian form and of general inner product spaces .   Inner product ( edit )  Main article : Inner product space  The inner product generalizes the dot product to abstract vector spaces over a field of scalars , being either the field of real numbers R ( \ displaystyle \ mathbb ( R ) ) or the field of complex numbers C ( \ displaystyle \ mathbb ( C ) ) . It is usually denoted using angular brackets by ⟨ a , b ⟩ ( \ displaystyle \ left \ langle \ mathbf ( a ) \ , , \ mathbf ( b ) \ right \ rangle ) .   The inner product of two vectors over the field of complex numbers is , in general , a complex number , and is sesquilinear instead of bilinear . An inner product space is a normed vector space , and the inner product of a vector with itself is real and positive - definite .   Functions ( edit )   The dot product is defined for vectors that have a finite number of entries . Thus these vectors can be regarded as discrete functions : a length - n vector u is , then , a function with domain ( k ∈ N ∣ 1 ≤ k ≤ n ) , and u is a notation for the image of i by the function / vector u .   This notion can be generalized to continuous functions : just as the inner product on vectors uses a sum over corresponding components , the inner product on functions is defined as an integral over some interval a ≤ x ≤ b ( also denoted ( a , b ) ) :    ⟨ u , v ⟩ = ∫ a b u ( x ) v ( x ) d x ( \ displaystyle \ left \ langle u , v \ right \ rangle = \ int _ ( a ) ^ ( b ) u ( x ) v ( x ) dx )    Generalized further to complex functions ψ ( x ) and χ ( x ) , by analogy with the complex inner product above , gives    ⟨ ψ , χ ⟩ = ∫ a b ψ ( x ) χ ( x ) _̄ d x . ( \ displaystyle \ left \ langle \ psi , \ chi \ right \ rangle = \ int _ ( a ) ^ ( b ) \ psi ( x ) ( \ overline ( \ chi ( x ) ) ) dx . )    Weight function ( edit )   Inner products can have a weight function , i.e. a function which weights each term of the inner product with a value .   Dyadics and matrices ( edit )   Matrices have the Frobenius inner product , which is analogous to the vector inner product . It is defined as the sum of the products of the corresponding components of two matrices A and B having the same size :    A : B = ∑ i ∑ j A i j B i j _̄ = t r ( B H A ) = t r ( A B H ) . ( \ displaystyle \ mathbf ( A ) : \ mathbf ( B ) = \ sum _ ( i ) \ sum _ ( j ) A_ ( ij ) ( \ overline ( B_ ( ij ) ) ) = \ mathrm ( tr ) ( \ mathbf ( B ) ^ ( \ mathrm ( H ) ) \ mathbf ( A ) ) = \ mathrm ( tr ) ( \ mathbf ( A ) \ mathbf ( B ) ^ ( \ mathrm ( H ) ) ) . )   A : B = ∑ i ∑ j A i j B i j = t r ( B T A ) = t r ( A B T ) = t r ( A T B ) = t r ( B A T ) . ( \ displaystyle \ mathbf ( A ) : \ mathbf ( B ) = \ sum _ ( i ) \ sum _ ( j ) A_ ( ij ) B_ ( ij ) = \ mathrm ( tr ) ( \ mathbf ( B ) ^ ( \ mathrm ( T ) ) \ mathbf ( A ) ) = \ mathrm ( tr ) ( \ mathbf ( A ) \ mathbf ( B ) ^ ( \ mathrm ( T ) ) ) = \ mathrm ( tr ) ( \ mathbf ( A ) ^ ( \ mathrm ( T ) ) \ mathbf ( B ) ) = \ mathrm ( tr ) ( \ mathbf ( B ) \ mathbf ( A ) ^ ( \ mathrm ( T ) ) ) . ) ( For real matrices )    Dyadics have a dot product and `` double '' dot product defined on them , see Dyadics ( Product of dyadic and dyadic ) for their definitions .   Tensors ( edit )   The inner product between a tensor of order n and a tensor of order m is a tensor of order n + m − 2 , see tensor contraction for details .   Computation ( edit )   Algorithms ( edit )   The straightforward algorithm for calculating a floating - point dot product of vectors can suffer from catastrophic cancellation . To avoid this , approaches such as the Kahan summation algorithm are used .   Libraries ( edit )   A dot product function is included in BLAS level 1 .   See also ( edit )    Cauchy -- Schwarz inequality   Cross product   Matrix multiplication   Metric tensor    Notes ( edit )    Jump up ^ The term scalar product is often also used more generally to mean a symmetric bilinear form , for example for a pseudo-Euclidean space .    References ( edit )    ^ Jump up to : S. Lipschutz ; M. Lipson ( 2009 ) . Linear Algebra ( Schaum 's Outlines ) ( 4th ed . ) . McGraw Hill . ISBN 978 - 0 - 07 - 154352 - 1 .   ^ Jump up to : M.R. Spiegel ; S. Lipschutz ; D. Spellman ( 2009 ) . Vector Analysis ( Schaum 's Outlines ) ( 2nd ed . ) . McGraw Hill . ISBN 978 - 0 - 07 - 161545 - 7 .   Jump up ^ AI Borisenko ; IE Taparov ( 1968 ) . Vector and tensor analysis with applications . Translated by Richard Silverman . Dover . p. 14 .   Jump up ^ Arfken , G.B. ; Weber , H.J. ( 2000 ) . Mathematical Methods for Physicists ( 5th ed . ) . Boston , MA : Academic Press . pp. 14 -- 15 . ISBN 978 - 0 - 12 - 059825 - 0 ...   Jump up ^ Weisstein , Eric W. `` Dot Product . '' From MathWorld -- A Wolfram Web Resource . http://mathworld.wolfram.com/DotProduct.html   Jump up ^ T. Banchoff ; J. Wermer ( 1983 ) . Linear Algebra Through Geometry . Springer Science &amp; Business Media . p. 12 . ISBN 978 - 1 - 4684 - 0161 - 5 .   Jump up ^ A. Bedford ; Wallace L. Fowler ( 2008 ) . Engineering Mechanics : Statics ( 5th ed . ) . Prentice Hall . p. 60 . ISBN 978 - 0 - 13 - 612915 - 8 .   Jump up ^ K.F. Riley ; M.P. Hobson ; S.J. Bence ( 2010 ) . Mathematical methods for physics and engineering ( 3rd ed . ) . Cambridge University Press . ISBN 978 - 0 - 521 - 86153 - 3 .   Jump up ^ M. Mansfield ; C. O'Sullivan ( 2011 ) . Understanding Physics ( 4th ed . ) . John Wiley &amp; Sons . ISBN 978 - 0 - 47 - 0746370 .   Jump up ^ Berberian , Sterling K. ( 2014 ) ( 1992 ) , Linear Algebra , Dover , p. 287 , ISBN 978 - 0 - 486 - 78055 - 9    External links ( edit )       Wikimedia Commons has media related to Scalar product .      Hazewinkel , Michiel , ed. ( 2001 ) ( 1994 ) , `` Inner product '' , Encyclopedia of Mathematics , Springer Science + Business Media B.V. / Kluwer Academic Publishers , ISBN 978 - 1 - 55608 - 010 - 4   Weisstein , Eric W. `` Dot product '' . MathWorld .   Explanation of dot product including with complex vectors   `` Dot Product '' by Bruce Torrence , Wolfram Demonstrations Project , 2007 .              Linear algebra     Basic concepts     Scalar   Vector   Vector space   Scalar multiplication   Vector projection   Linear span   Linear map   Linear projection   Linear independence   Linear combination   Basis   Column space   Row space   Orthogonality   Kernel   Eigenvalues and eigenvectors   Outer product   Inner product space   Dot product   Transpose   Gram -- Schmidt process   Linear equations         Vector algebra     Cross product   Triple product   Seven - dimensional cross product       Multilinear algebra     Geometric algebra   Exterior algebra   Bivector   Multivector       Matrices     Block   Decomposition   Invertible   Minor   Multiplication   Rank   Transformation   Cramer 's rule   Gaussian elimination       Algebraic constructions     Dual   Direct sum   Function space   Quotient   Subspace   Tensor product       Numerical     Floating point   Matrix Laboratory   Numerical stability   Basic Linear Algebra Subprograms ( BLAS )   Sparse matrix   Comparison of linear algebra libraries   Comparison of numerical analysis software           Outline   Portal   Wikibook   Wikiversity                 Tensors     Glossary of tensor theory     Scope      Mathematics     coordinate system   multilinear algebra   Euclidean geometry   tensor algebra   dyadic algebra   differential geometry   exterior calculus   tensor calculus         Physics   Engineering       continuum mechanics   electromagnetism   transport phenomena   general relativity   computer vision          Notation     index notation   multi-index notation   Einstein notation   Ricci calculus   Penrose graphical notation   Voigt notation   abstract index notation   tetrad ( index notation )   Van der Waerden notation       Tensor definitions     tensor ( intrinsic definition )   tensor field   tensor density   tensors in curvilinear coordinates   mixed tensor   antisymmetric tensor   symmetric tensor   tensor operator   tensor bundle       Operations     tensor product   exterior product   tensor contraction   transpose ( 2nd - order tensors )   raising and lowering indices   Hodge star operator   covariant derivative   exterior derivative   exterior covariant derivative   Lie derivative       Related abstractions     dimension   basis   vector , vector space   multivector   covariance and contravariance of vectors   linear transformation   matrix   spinor   Cartan formalism ( physics )   differential form   exterior form   connection form   geodesic   manifold   fiber bundle   Levi - Civita connection   affine connection       Notable tensors      Mathematics     Kronecker delta   Levi - Civita symbol   metric tensor   nonmetricity tensor   Christoffel symbols   Ricci curvature   Riemann curvature tensor   Weyl tensor   torsion tensor       Physics     moment of inertia   angular momentum tensor   spin tensor   Cauchy stress tensor   stress -- energy tensor   EM tensor   gluon field strength tensor   Einstein tensor   metric tensor ( GR )          Mathematicians     Leonhard Euler   Carl Friedrich Gauss   Augustin - Louis Cauchy   Hermann Grassmann   Gregorio Ricci - Curbastro   Tullio Levi - Civita   Jan Arnoldus Schouten   Bernhard Riemann   Elwin Bruno Christoffel   Woldemar Voigt   Élie Cartan   Hermann Weyl   Albert Einstein      Retrieved from `` https://en.wikipedia.org/w/index.php?title=Dot_product&amp;oldid=865556689 '' Categories :   Bilinear forms   Linear algebra   Vectors ( mathematics and physics )   Analytic geometry   Tensors   Binary operations   Hidden categories :   All articles with unsourced statements   Articles with unsourced statements from March 2017   Articles containing proofs           Talk                                           Contents                   About Wikipedia                                                 አማርኛ     Asturianu   Azərbaycanca   Башҡортса   Беларуская   Български   Bosanski   Català   Čeština   Dansk   Deutsch   Eesti   Español   Esperanto   Euskara   فارسی   Français   Galego   </t>
    </r>
    <r>
      <rPr>
        <sz val="11"/>
        <color rgb="FF000000"/>
        <rFont val="Noto Sans CJK SC"/>
        <family val="2"/>
      </rPr>
      <t xml:space="preserve">한국어   </t>
    </r>
    <r>
      <rPr>
        <sz val="11"/>
        <color rgb="FF000000"/>
        <rFont val="Calibri"/>
        <family val="0"/>
        <charset val="1"/>
      </rPr>
      <t xml:space="preserve">Հայերեն   हिन्दी   Hrvatski   Bahasa Indonesia   Italiano   עברית   Қазақша   Latina   Latviešu   Lietuvių   Magyar   मराठी   Bahasa Melayu   Nederlands   </t>
    </r>
    <r>
      <rPr>
        <sz val="11"/>
        <color rgb="FF000000"/>
        <rFont val="Noto Sans CJK SC"/>
        <family val="2"/>
      </rPr>
      <t xml:space="preserve">日本 語   </t>
    </r>
    <r>
      <rPr>
        <sz val="11"/>
        <color rgb="FF000000"/>
        <rFont val="Calibri"/>
        <family val="0"/>
        <charset val="1"/>
      </rPr>
      <t xml:space="preserve">Norsk   Norsk nynorsk   Piemontèis   Polski   Português   Русский   Scots   Simple English   Slovenčina   Slovenščina   کوردی   Српски / srpski   Srpskohrvatski / српскохрватски   Suomi   Svenska   Tagalog   தமிழ்   Татарча / tatarça   ไทย   Türkçe   Українська   اردو   Tiếng Việt   </t>
    </r>
    <r>
      <rPr>
        <sz val="11"/>
        <color rgb="FF000000"/>
        <rFont val="Noto Sans CJK SC"/>
        <family val="2"/>
      </rPr>
      <t xml:space="preserve">吴语   粵語   中文  </t>
    </r>
    <r>
      <rPr>
        <sz val="11"/>
        <color rgb="FF000000"/>
        <rFont val="Calibri"/>
        <family val="0"/>
        <charset val="1"/>
      </rPr>
      <t xml:space="preserve">52 more  Edit links   This page was last edited on 24 October 2018 , at 17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</si>
  <si>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dot product of two vectors results in a</t>
  </si>
  <si>
    <t xml:space="preserve"> The name `` dot product '' is derived from the centered dot `` '' that is often used to designate this operation ; the alternative name `` scalar product '' emphasizes that the result is a scalar , rather than a vector , as is the case for the vector product in three - dimensional space . </t>
  </si>
  <si>
    <r>
      <rPr>
        <sz val="11"/>
        <color rgb="FF000000"/>
        <rFont val="Calibri"/>
        <family val="0"/>
        <charset val="1"/>
      </rPr>
      <t xml:space="preserve">Shortland Street - wikipedia  Shortland Street  Jump to : navigation , search    Shortland Street         Genre   Medical drama Soap opera     Created by   Bettina Hollings Caterina De Nave Jason Daniel     Directed by   Oliver Driver Kiel McNaughton Katherine McRae Ian Hughes Richard Barr Geoff Cawthorn     Starring   ( Ensemble )     Opening theme   Graham Bollard     Ending theme   Graham Bollard     Country of origin   New Zealand     Original language ( s )   Primary : English Secondary : Maori , Samoan     No. of seasons   26 ( as of 29 September 2017 )     No. of episodes   6,335 ( as of 29 September 2017 ) ( list of episodes )     Production     Executive producer ( s )   Don Reynolds Alan Coleman Caterina De Nave Rachel Lang Tony Holden Simon Bennett John Barnett     Producer ( s )   Caterina De Nave ( 1992 ) Brian Lennane ( 1992 -- 93 ) Tony Holden ( 1994 -- 95 ) Gavin Srawhan ( 1995 -- 96 ) Alan Coleman ( 1995 ) Judith Trye ( 1996 -- 97 ) Lisa Page ( 2000 -- 01 ) Harriet Crampton ( 2001 -- 05 ) Katie Wolfe ( 2005 ) Jason Daniel ( 2005 -- 08 ) Steven Zanoski ( 2009 -- 13 ) Simon Bennett ( 1997 -- 2000 , 2013 -- 2016 ) Maxine Fleming ( 2016 -- )     Location ( s )   8 Tolich Pl , Lincoln North , Waitakere , Auckland 0610 New Zealand     Editor ( s )   Anna Benedikter Matthew Allison     Camera setup   Multi-camera     Running time   30 minutes ( inc . adverts )     Production company ( s )   South Pacific Pictures Grundy Television FremantleMedia Australia     Distributor   TVNZ     Release     Original network   TVNZ 2     Picture format   576i 4 : 3 ( 1992 -- 2007 ) 576i 16 : 9 widescreen ( 2007 -- 2011 ) 1080i ( 2011 -- Present )     Audio format   Stereo     Original release   25 May 1992 ( 1992 - 05 - 25 ) -- Present     External links     Website   tvnz.co.nz/shortland-street     Shortland Street is a New Zealand prime - time soap opera centring on the fictitious Shortland Street Hospital , first broadcast on TVNZ 2 on 25 May 1992 . It is the country 's longest - running drama and soap opera , being broadcast continuously for over 6,000 episodes and 25 years , and is one of the most watched television programmes in New Zealand .   The show was originally screened as five half - hour episodes each week and initially receiving mixed reviews on its premiere . After its launch it dropped in ratings and would have been cancelled if TVNZ had not ordered a year 's worth of episodes in advance . TVNZ renewed the production in early 1993 when the show 's rating had picked up , and it now has `` long - term public enthusiasm '' . Today , it is one of New Zealand 's highest - rated shows , frequently making AGB Nielsen Media Research 's top 5 programmes of the week .     Contents  ( hide )   1 History   2 Characters   3 Notable alumni   4 Production   5 Controversy   6 International   6.1 Australia   6.2 Ireland   6.3 Pacific   6.4 UK   6.5 South Africa   6.6 Ukraine     7 References   8 External links      History ( edit )   After the cancellation of Gloss , Television New Zealand noticed the lack of New Zealand content on their channel and in 1990 set about creating a local equivalent of the Australian soap Neighbours . Greg McGee at South Pacific Pictures wanted to do a series about the new private clinics emerging under New Zealand 's Labour government , and suggested the idea to scriptwriter Dean Parker , who declined due to a dislike of private medicine , so TV2 and South Pacific Pictures purchased a formula from Grundy Television , who get a royalty cheque for every broadcast . $10 million was given for an initial 230 episodes . Caterina De Nave was hired as the show 's producer and subsequently travelled to Australia to work with Grundy Television to work out an idea for the five times a week soap . TV2 programmer Bettina Hollings suggested the setting of a hospital after reading an article detailing ideal locations of a drama , which included a hospital , a police station and a school . De Nave worked with several storyliners including Jason Daniel and they worked out an outline of the show .   De Nave noticed Neighbours and Home and Away had a generally straightforward Australian cast and wished for the cast of her show to be culturally diverse to reflect New Zealand . She also wanted the cast to have strong female characters to attract the necessary female audience . Daniel created the character of Kirsty while De Nave created Meredith and Ken Catran created Hone . The character of Stuart was originally planned to be gay but the plans made TVNZ nervous and were scrapped . De Nave also wished to counter-stereotype races and made Polynesian Sam Aleni a paramedic as there was only one paramedic of Polynesian descent throughout New Zealand . De Nave decided to make the setting that of a private hospital as it reflected New Zealand medicine at the time .  The longest running characters Chris and Rachel as they were in 1993 and 16 years later in 2009  The working title was The Shortland Street Project after its planned filming location in a TVNZ - owned studio at 74 Shortland Street in Auckland Central . However , the studio was found to be too small for the required sets , and the production studio was moved to a warehouse in Browns Bay . After running through many name options , the original working - title was chosen and subsequently truncated to simply Shortland Street . The name subsequently is a homage to the Shortland Street studios , which were home to New Zealand 's first regular television broadcast in 1960 , and were home to TVNZ and its predecessors ' Auckland operations until TVNZ moved to its new purpose - built television centre on Victoria Street West in 1990 .   Shortland Street 's first episode aired on 25 May 1992 to mixed reviews . Ratings were originally high after a successful marketing campaign but fell steadily throughout the year until 1993 when they rose dramatically . The show would have been cancelled in the first year if it was not for the fact TVNZ ordered a year 's worth of episodes .   With high public interest in the show and a viewing figure of a constant 600,000 , Shortland Street received more sets and the nursing uniform which was considered outdated was redone . In 2000 an Australian consultant drastically changed the show so that it would suit the 21st century tone of New Zealand . This included transitioning the hospital to a public hospital , bringing in low income families and writing off 14 characters . Michael Galvin and Angela Bloomfield were brought back as their characters Chris Warner and Rachel McKenna and the show received a new producer .   The show reached huge ratings in 2007 when a serial killer storyline was introduced , with five characters meeting their demise . Episode 4000 saw the return of series original Dr. Hone Ropata for a six - week stint in 2008 .   Shortland Street aired its first ever 90 minute episode on 2 August 2010 . The episode featured Chris discovering he had a son with series original Alison Raynor in 1996 , and the conclusion to the three - year Kieran Mitchell storyline which saw the shows second highest ever ratings . Shortland Street has since made the 90 - minute episode an annual feature . On 18 April 2011 , Shortland Street screened its first episode in high definition .   In July 2011 , Shortland Street achieved a New Zealand first when it made its 2011 feature - length episode available to purchase via Facebook , becoming the second ever TV show in the world to use this technology . In August 2011 All Blacks Keven Mealamu , Anthony Boric and Jerome Kaino filmed a scene that aired on the opening night of the 2011 Rugby World Cup on 9 September . The show added short transition scenes in which two characters in the hospital elevator discussed the wins or losses ( the latter never actually happening ) the All Blacks endured during the tournament .   On the 15th December 2016 , Shortland Street released a charity single featuring Lionel Wellington and J.J. Fong to raise money for Starship Children 's Health hospital .   On 25 May 2017 , Shortland Street celebrated 25 years on New Zealand television .   Characters ( edit )  See also : Current Shortland Street Characters , List of Shortland Street characters , and List of original Shortland Street characters  Shortland Street stars an ensemble cast . Most of the characters either work at Shortland Street Hospital , or are relations to employees of the hospital .   Since 1992 many notable faces have appeared on the soap . Only one character remains from the original cast : Chris Warner Though taking a 4 - year break , Chris has featured in the show the longest of the current cast , outstaying all of his family , who either died or left . Rachel McKenna , another long - standing character as of 2014 , first appeared in the soap in 1993 and has made regular appearances since . Nick Harrison , another long - running character , disappeared from the show in 2005 .   Characters on the show attribute and portray several different demographics found in New Zealand . These range from the rich and well - off ( such as Chris Warner ) to the struggling and poor ( Wendy Cooper ) . Other areas covered include different ethnicities , with Asian , Polynesian , Romanian people and even Zimbabwean characters appearing on the show . In the first year of the show , it was decided that CEO Michael McKenna 's personal assistant , Jenny , should be a solo mother to help draw in that demographic , who statistically would be watching TV at 7 pm . The show has also had a long string of families , such as the Warners , McKennas , Harrisons , Crombies , Hudsons , Jeffries , Valentines , McKays , Coopers , Avia - Levis , and Hannahs , and various teenagers , helping young audiences and families relate to the show .   Notable alumni ( edit )   Several past cast - members have made a name for themselves on the international scene :    Temuera Morrison ( who portrayed Dr. Hone Ropata from 1992 to 1995 and who made a guest appearance in 2008 ) appeared in several Hollywood films and played Jango Fett in Star Wars as well as Jake Heke in Once Were Warriors .   Martin Henderson , who portrayed Stuart Neilson from 1992 to 1995 , went on to star in The Ring and starred alongside James Franco in Flyboys and alongside Cate Blanchett in Little Fish . He returned in 2017 for the 25 year anniversary episode .   Robyn Malcolm , who portrayed Nurse Ellen Crozier from 1994 to 1999 who went on to star in many Australian television productions such as Upper Middle Bogan and The Code and has also appeared on American and British television with the programme Top of the Lake . Although she is probably best known to this day for her role as Cheryl West on the widely popular New Zealand programme Outrageous Fortune .   Karl Urban , who portrayed the recurring role of gay paramedic Jamie Forrest , went on to play Dr. Leonard `` Bones '' McCoy in the 2009 Star Trek remake , the TV programme Xena : Warrior Princess and Hercules : The Legendary Journeys , Éomer in The Lord of the Rings trilogy , Vaako in the Riddick film series , and played the title role of Judge Dredd in the movie Dredd .   Marton Csokas , who played Leonard Rossi - Dodds from 1993 to 1994 and then again from late 1994 to 1995 , went on to star in films such as The Bourne Supremacy ( alongside the previously mentioned Karl Urban ) and Alice in Wonderland   Kieren Hutchison , who played the recurring role of Jonathon McKenna from 1993 to 1996 and again in 2011 , went on to star as Andy Hargrove on One Tree Hill , as Kerry Connelly on Wildfire and as Jake Preston on Monarch Cove ( 2006 )   Kimberley Crossman , who played Sophie McKay from 2006 to 2011 , has also become famous both nationally in New Zealand and internationally with her work in America as a journalist , interviewing stars such as Selena Gomez , and featuring as Lauren Shiba / Red Samurai Ranger in Power Rangers Samurai ( 2012 )   Danielle Cormack , who played Alison Raynor from 1992 -- 1993 , played the leading role of Bea Smith in the critically acclaimed and internationally successful Australian TV programme Wentworth .   Sally Martin , who plays HOD of Nursing Nicole Kruse - Miller , played the role of Tori Hanson / Blue Wind Ninja Storm Ranger on Power Rangers Ninja Storm .   K.J. Apa ( who portrayed Kane Jenkins from 2013 to 2015 ) , has now found fame as the series lead of the popular American television programme Riverdale .   Craig Parker who played Guy Warner from 1992 , 1993 - 1996 , and 2007 - 2008 gained international fame for being in The Lord of the Rings films in the role of Haldir . As well as the television programmes Legend of the Seeker , Reign , and Spartacus .   Manu Bennett portrayed the recurring character Jack Hewitt from 2001 to 2002 found fame internationally for the American television programmes Spartacus , Arrow and The Shannara Chronicles . Although he is especially known for The Hobbit films .   Anna Hutchison who portrayed Delphi Greenlaw from 2002 to 2004 has became famous internationally for the television programmes Power Rangers Jungle Fury , Underbelly : A Tale of Two Cities , Spartacus : War of the Damned , Anger Management and the film The Cabin in the Woods .   Robbie Magasiva who played the character Dr. Maxwell Avia from 2009 to 2012 and 2015 , is now a regular on the popular Australian TV programme Wentworth .   Pua Magasiva who portrays Vinnie Kruse played the lead role of Shane Clarke / Red Wind Ninja Storm Ranger on Power Rangers Ninja Storm .   Rose McIver who portrayed Holly from 1992 to 1993 has gone on to find success with the film The Lovely Bones and roles on the TV programmes Power Rangers RPM , Masters of Sex , Once Upon a Time and as the lead in iZombie .   Dean O'Gorman who played Nurse Harry Martin in 1996 is known for the role of Fíli in the Hobbit trilogy and his roles in The Almighty Johnsons and McLeod 's Daughters .   Antony Starr who portrayed Stratford Wilson from 2000 to 2002 , He was the leading actor of the American TV programme Banshee .    Production ( edit )   Shortland Street is produced by South Pacific Pictures , with assistance from FremantleMedia and Television New Zealand . In the first few years , the production was also assisted by New Zealand On Air .   Today , most of the filming for Shortland Street occurs at South Pacific Pictures Waitakere City studios , with Ferndale High School scenes being filmed at the nearby Waitakere College . The exterior shots of the Hospital are filmed on location at the Waitakere Studios at an existing section of a building dressed up to appear as the facade of a hospital entrance . Location scenes are filmed in Auckland , but other locations , including Fiji , Mt Ruapehu , Rotorua and Rarotonga have been used .   Originally , Shortland Street was filmed in North Shore City at South Pacific Pictures Browns Bay studios until their relocation to purpose built studios in Waitakere City in 2000 . The original Ferndale High School was played by a North Shore college until the studio relocated . When cast members are hired their contracts are either 4 days , 1 week , 2 weeks , 6 weeks , 6 months or a year .   High definition production of Shortland Street started in early 2011 , with the first HD episode broadcast on 18 April 2011 on the Freeview HD and Sky platforms .   Controversy ( edit )   The show has had a reputation for being raunchy and controversial with the very first episode of the show featuring a sex scene between resident `` Dr. Love '' Chris Warner and his aerobics instructor . Another early controversy was that of a lesbian kiss between Meredith Fleming and Annie Flynn with several complaints made to the Broadcasting Standards Authority ( BSA ) but it went no further . It was not until 2008 that the show received its first ever BSA warning , when it featured an oral sex scene in mid-2008 between sexually confused Gerald and a fellow man . A few months later , the show received a second warning for an episode in August 2008 depicting the brutal murder of Craig Valentine , who was beaten unconscious , then set alight in his car . Again , a few months later , the show received yet another warning about a scene in January 2009 where Tania Jeffries hit a gang leader in the head with a hammer .   Scenes aired in April 2010 sparked criticism when Leanne Miller and her daughter Nicole stated that the city of Tauranga was not `` gay friendly '' .   The show caused controversy in August 2010 when the character of Sophie McKay was shown to be being stalked by her university lecturer who she had been dating . This upset the family of murdered girl Sophie Elliott who was killed by her university tutor , Clayton Weatherston , who she had been dating . The similarities upset the families with producer Steven Zanoski saying : `` the storyline was a classic and not inspired by real events . ''   The show 's production department received several complaints following the lesbian love storyline involving Maia Jeffries and Jennifer Mason .   A storyline aired in April 2011 which featured the Cooper Family try to go to the beach , but they get confronted by a group of Maori who demand money . This sparked criticism with some saying it was discrimination against Maori people . Maori adviser Ngamaru Raerino stated that viewers should n't have jumped to conclusions and should have let the storyline completely unfold which reveals the group of Maori are protesting against a corrupt camp owner who had been polluting the beach .   In September 2011 , Shortland Street was identified as one of the main influences to people who self - harm , airing two storylines involving suicide attempts .   International ( edit )   Australia ( edit )   In Australia , it airs on Foxtel 's Arena channel weekdays at 11.30 am . Episodes are six weeks behind New Zealand . Free - to - air digital channel 7TWO was airing episodes about three years behind however no longer airs episodes as of August 2015 . Previous Australian broadcasters include : ABC1 2010 -- 2011 , UKTV 1997 -- 2000 , and SBS TV briefly between 1994 -- 1995 .   Ireland ( edit )   In Ireland , it airs on RTÉ One weekdays at around noon and 03 : 00 am . Episodes are four years behind current New Zealand episodes . RTÉ has broadcast Shortland Street since 1996 .   Pacific ( edit )   In Fiji , the show has been on air since 1994 screening weekdays on Fiji One usually around 8 : 30 pm weekdays . It is one of the most popular shows in Fiji. The show is screened on Cook Island Television at 8.00 pm weekdays . It is one of the most popular shows in the Cook Islands .   Uk ( edit )   In the United Kingdom , the series was originally screened on various regions of the ITV network from 1993 to 2003 . From 29 March 1993 , Central Television were the first ITV region to screen the soap , beginning in an afternoon timeslot , 1520 -- 1550 . From April 1994 to 2000 , it was shown in an early evening timeslot , at either 1710 -- 1740 and , later at 1730 -- 1800 . Eventually the serial was moved to a lunchtime slot , 1300 -- 1330 from 12 June 2000 and it remained here for over two years .   Meridian become the second region to start the series in mid 1993 around early afternoons until late 2002 . Anglia start in April 1994 and followed central pattern , of the 17.10 slot , dropped the series around 2000 .   From May 1994 , Border , Granada started showing the series as a replacement for A Country Practice , broadcast in the afternoons , at the own piece , although did use the early - evening example . In January 1995 , Tyne tees and Yorkshire started the series as a replacement for The Young Doctors . By 1999 , Granada , Yorkshire Television and Tyne tees dropped the series entirely , opting for local programming instead , while Border switched the series to 17.10 slot by 2001 it was back in the afternoon slot until it dropped in the summer of 2003 .   Grampian Television also started the series in 1994 but it was dropped in late 1998 . Scottish Television have never shown Shortland Street . HTV started the series in August 1994 , showing the series in the afternoons , at the own piece , including early - evening example for a short time . The series was dropped in early 2000 but reappeared in by May 2000 .   From January 2003 , the Carlton - owned ITV regions including Central Television , Westcountry , HTV and Carlton - London networked Shortland Street in an afternoon slot , 1430 -- 1500 , Monday to Wednesday , with a Thursday episode added a few months later . A special programme was aired ( presented by Michael Galvin and Angela Bloomfield ) introducing new viewers from Westcountry and Carlton - London to the show . However , Shortland Street failed to attract a significant audience in its new afternoon slot and it was axed completely by ITV and was last shown on 28 August 2003 , finishing at episode 2367 . Central had shown the serial consecutively for over 10 years .   Shortland Street returned to British screens on 23 August 2010 , when Living began airing two episodes a day from the 2007 season with episodes 3736 / 3737 which originally aired in New Zealand on 21 / 22 May 2007 beginning on 23 August 2010 at 15.00 -- 16.00 ( and repeated at 10.00 the following morning ) . However four weeks into its run , the morning repeats were dropped by Living , and as of Monday 20 September moving from 15.00 -- 16.00 and 12.00 -- 13.00 . As from Monday 27 September 2010 , it was shown on Living Loves from 18.00 -- 19.00 Monday to Friday with five repeat episodes shown on Saturday and Sunday mornings . After just over two months on - air , it was cancelled by Sky with the final episode shown on 29 October 2010 .   South africa ( edit )   In previous years South Pacific Pictures publicity has claimed the show was sold to the South African black homeland of Bophuthatswana , which journalists have used to demonstrate Shortland Street 's interracial appeal .   Ukraine ( edit )   A licensed version of the show started production in Ukraine in 2016 called `` Central Hospital '' ( ЦЕНТРАЛЬНА ЛІКАРНЯ ) with an initial run of 60 episodes .   References ( edit )    Jump up ^ `` Shortland Street '' . TVNZ Ondemand .   Jump up ^ Promotion of Maori Language Week   Jump up ^ TAGATA PASIFIKA - Shortland Street 25 year Anniversary   Jump up ^ `` Shortland Street producer Maxine Fleming '' . 20 March 2016 .   Jump up ^ `` And they said it would n't last -- Shortland Street -- tvnz.co.nz '' . Retrieved 11 November 2010 .   Jump up ^ Horrocks , Roger &amp; Nick Perry ( 2004 ) . Television in New Zealand : Programming the Nation p23 Auckland , N.Z. : Oxford University Press   ^ Jump up to : Barbara Cairns &amp; Helen Martin ( 1996 ) . Shortland Street -- Production , Text and Audience ( First ed . ) . Auckland : Macmillan Publishers New Zealand . CS1 maint : Uses authors parameter ( link )   Jump up ^ Hay , Natasha ( 27 October 2012 ) . `` Dean Parker 's The Tigers of Wrath '' . NZ Listener . APN Holdings NZ Ltd . Retrieved 9 January 2013 .   ^ Jump up to : Bennett , Cath ( 23 May 2010 ) . `` Shorty road to success '' . stuff.co.nz . Retrieved 1 September 2011 .   Jump up ^ `` Shortland Street 's secrets '' . The New Zealand Herald . 17 January 2011 . Retrieved 8 July 2011 .   Jump up ^ `` And they said it would n't last -- Shortland Street '' . Television New Zealand . May 2012 . Retrieved 22 July 2015 .   ^ Jump up to : Cleave , Louisa ( 5 April 2001 ) . `` Shortland Street gets real '' . The New Zealand Herald . APN News &amp; Media . Retrieved 5 December 2011 .   Jump up ^ `` We 're rating through the roof ! '' SHORTLAND STREET FEATURES `` tvnz.co.nz '' . Retrieved 25 February 2008 .   Jump up ^ TVNZ . `` Shortland Street goes viral Shortland Street '' . Throng . Retrieved 5 January 2012 .   Jump up ^ `` Players get in on the action with Shortland Street '' . The New Zealand Herald . August 2011 . Retrieved August 2011 . Check date values in : access - date = ( help )   Jump up ^ `` All Blacks film Shortland Street cameo '' . Throng . August 2011 . Retrieved August 2011 . Check date values in : access - date = ( help )   Jump up ^ `` Shortland Street to acknowledge RWC results as they happen '' . Throng . August 2011 . Retrieved August 2011 . Check date values in : access - date = ( help )   Jump up ^ `` All Blacks to star in Shortland Street '' . TVNZ . August 2011 . Retrieved 31 August 2011 .   Jump up ^ Dann , Jennifer ( 2016 - 12 - 13 ) . `` Twelve Questions with JJ Fong : Shortland Street 's newest nurse is here to cause some drama '' . New Zealand Herald . ISSN 1170 - 0777 . Retrieved 2016 - 12 - 30 .   Jump up ^ `` Shortland Street stars who made it big '' . Stuff ( Fairfax Media ) . 7 August 2015 .   Jump up ^ Child , Ben . `` Dredd sequel : he ought to be sent back where he came from '' . The Guardian . Retrieved 15 April 2015 .   Jump up ^ `` Shortland Street Gay Scene Breaches BSA Scoop News '' . Scoop.co.nz. 8 December 2008 . Retrieved 5 January 2012 .   Jump up ^ regan . `` BSA deals Shortland Street its second ruling Shortland Street '' . Throng . Retrieved 5 January 2012 .   Jump up ^ `` Shortland Street in trouble with BSA again '' . Throng forum .   Jump up ^ `` Shortland St gay remarks outrage Tauranga locals '' . 3 News . 30 April 2010 . Retrieved 9 November 2011 .   Jump up ^ Grunwell , Rachel ( 1 August 2010 ) . `` Shortland Street stalker storyline shocks fans , family '' . The New Zealand Herald . Retrieved 9 November 2011 .   Jump up ^ Brad Kreft . `` Shortland Street storyline upsets Sophie Elliott 's family Shortland Street '' . Throng . Retrieved 5 January 2012 .   Jump up ^ `` Increased Mother figures '' . Throng . January 2011 . Retrieved September 2011 . Check date values in : access - date = ( help )   Jump up ^ Tahana , Yvonne ( 28 April 2011 ) . `` Shortland St defends Maori beach levy plot '' . The New Zealand Herald . Retrieved 9 November 2011 .   Jump up ^ Brad Kreft ( 28 April 2011 ) . `` Shortland Street defends Maori beach storyline Shortland Street '' . Throng . Retrieved 5 January 2012 .   Jump up ^ `` TV soap linked to suicide bids '' . The New Zealand Herald . September 2011 . Retrieved September 2011 . Check date values in : access - date = ( help )   Jump up ^ `` Shortland Street '' . arenatv.com.au .   Jump up ^ The SBS Story : The Challenge of Diversity , Ien Ang , Gay Hawkins , Lamia Dabboussy , UNSW Press , 2008 , page 154   Jump up ^ `` Shortland Street News '' . blueyonder.co.uk .   Jump up ^ `` ATV Network Today '' . Atvnewsnetwork.co.uk . Archived from the original on 9 October 2011 . Retrieved 5 January 2012 .   Jump up ^ Grant , Frances `` Now We Are '' The New Zealand Herald 16 May 1998 p . D2   Jump up ^ Wilson , Tim `` Street Cred '' Metro May 1999 pp. 71 -- 77   Jump up ^ McKee , Hannah ( 2016 - 09 - 12 ) . `` Ukraine 's own Shortland Street proves a hit '' . Stuff.co.nz . New Zealand : Stuff.co.nz . Retrieved 2016 - 09 - 12 ... and now it 's got the first international version of our most loved soap opera .    External links ( edit )    Official Website ( TVNZ )   Official Facebook   Official Twitter   ( 1 ) Shortland Street -- at the RetroJunk   Shortland Street -- TVNZ ondemand ( only available to New Zealand due to copyright reasons )   Shortland Street on IMDb   Shortland Street at TV.com   Ferndale Talk      ( hide )         Shortland Street        Present and future characters       Alison Raynor   Chris Warner   Frank Connelly   Finn Connelly   Sass Connelly   Harry Warner   Vinnie Kruse - Miller   TK Samuels   Nicole Kruse - Miller   Leanne Black   Tillie Potts   Boyd Rolleston   Kylie Brown   Harper Whitley   Jack Hannah   Michael Hampton - Rees   Lucy Rickman   Mo Hannah   Damo Johnson   Drew McCaskill   Ali Karim   Esther Samuels   Blue Nathan   Kate Nathan   Leroy Raumati             Past characters       Sam Aleni   Marj Brasch   Judy Brownlee   Caroline Buxton   Moira Crombie   Jay Copeland   Carla Crozier   Ellen Crozier   Minnie Crozier   Murray Cooper   Wendy Cooper   Bella Durville   Luke Durville   Greg Feeney   Jamie Forrest   Josh Gallagher   Delphi Greenlaw   Bree Hamilton   Jenny Harrison   Nick Harrison   Waverley Harrison   Donna Heka   Joey Henderson   Oscar Henry   Rangi Heremaia   Adam Heywood   Joe Hudson   Tama Hudson   Te Hana Hudson   Gabrielle Jacobs   Libby Jeffries   Maia Jeffries   Yvonne Jeffries   Kane Jenkins   Justine Jones   Anne Kahu   Victor Kahu   David Kearney   Fergus Kearney   Kirsty Knight   Grace Kwan   Ula Levi   Sophie McKay   Hunter McKay   Jonathon McKenna   Michael McKenna   Rachel McKenna   Steve Mills   Kieran Mitchell   Darryl Neilson   Stuart Neilson   Tom Neilson   Roimata Ngatai   Daniel Potts   Sarah Potts   Tiffany Pratt   Phoenix Raynor   Brooke Rolleston   Hone Ropata   Huia Samuels   Lionel Skeggins   Zac Smith   Dominic Thompson   Craig Valentine   Bruce Warner   Guy Warner   Toni Warner             Lists of characters       1992   1993   1994   1995     1997   1998   1999   2000   2001   2002   2003     2005   2006   2007   2008   2009     2011   2012   2013   2014   2015   2016   Original characters             Storylines and related topics       1992   1993   1994   1995     1997   1998   1999   2000   2001   2002   2003     2005   2006   2007   2008   2009     2011   2012   2013   2016     Births   Deaths   Marriages   Cliffhangers   First episode   20th anniversary   Warner Family         Retrieved from `` https://en.wikipedia.org/w/index.php?title=Shortland_Street&amp;oldid=802147659 '' Categories :   Shortland Street   New Zealand television soap operas   1992 New Zealand television series debuts   1990s New Zealand television series   2000s New Zealand television series   2010s New Zealand television series   Medical television series   Television programmes funded by NZ on Air   Television series by FremantleMedia   Fictional streets and roads   TVNZ 2 programmes   Television shows set in Auckland   Television shows set in New Zealand   Television series by All3Media   Television series by South Pacific Pictures   English - language television programs   Hidden categories :   CS1 maint : Uses authors parameter   CS1 errors : dates   All articles with dead external links   Articles with dead external links from May 2016   EngvarB from November 2015   Use dmy dates from November 2015   Pages using infobox television with editor parameter   Articles containing potentially dated statements from 2014   All articles containing potentially dated statements   Articles with specifically marked weasel - worded phrases from April 2014   All articles with unsourced statements   Articles with unsourced statements from July 2007           Talk                                           Contents                   About Wikipedia                                             Deutsch   Español   Français   </t>
    </r>
    <r>
      <rPr>
        <sz val="11"/>
        <color rgb="FF000000"/>
        <rFont val="Noto Sans CJK SC"/>
        <family val="2"/>
      </rPr>
      <t xml:space="preserve">한국어   日本 語   </t>
    </r>
    <r>
      <rPr>
        <sz val="11"/>
        <color rgb="FF000000"/>
        <rFont val="Calibri"/>
        <family val="0"/>
        <charset val="1"/>
      </rPr>
      <t xml:space="preserve">Polski   </t>
    </r>
    <r>
      <rPr>
        <sz val="11"/>
        <color rgb="FF000000"/>
        <rFont val="Noto Sans CJK SC"/>
        <family val="2"/>
      </rPr>
      <t xml:space="preserve">中文   </t>
    </r>
    <r>
      <rPr>
        <sz val="11"/>
        <color rgb="FF000000"/>
        <rFont val="Calibri"/>
        <family val="0"/>
        <charset val="1"/>
      </rPr>
      <t xml:space="preserve">Edit links   This page was last edited on 24 September 2017 , at 08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</si>
  <si>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channel is shortland street on in australia</t>
  </si>
  <si>
    <t xml:space="preserve"> In Australia , it airs on Foxtel 's Arena channel weekdays at 11.30 am . Episodes are six weeks behind New Zealand . Free - to - air digital channel 7TWO was airing episodes about three years behind however no longer airs episodes as of August 2015 . Previous Australian broadcasters include : ABC1 2010 -- 2011 , UKTV 1997 -- 2000 , and SBS TV briefly between 1994 -- 1995 . </t>
  </si>
  <si>
    <r>
      <rPr>
        <sz val="11"/>
        <color rgb="FF000000"/>
        <rFont val="Calibri"/>
        <family val="0"/>
        <charset val="1"/>
      </rPr>
      <t xml:space="preserve">David Wenham - Wikipedia  David Wenham  This article is about the actor . For the theologian , see David Wenham ( theologian ) .      David Wenham     Wenham at the premiere of the film The Turning at the 2014 Berlin Film Festival       ( 1965 - 09 - 21 ) 21 September 1965 ( age 52 ) Marrickville , Sydney , Australia     Occupation   Actor     Years active   1987 -- present     Partner ( s )   Kate Agnew ( 1994 -- present )     Children       David Wenham ( born 21 September 1965 ) is an Australian actor who has appeared in movies , television series and theatre productions . He is known in Hollywood for his roles as Faramir in The Lord of the Rings film trilogy , Carl in Van Helsing , Dilios in 300 and its sequel 300 : Rise of an Empire , Neil Fletcher in Australia , Al Parker in Top of the Lake , and Lieutenant John Scarfield in Pirates of the Caribbean : Dead Men Tell No Tales . He is also known in his native Australia for his role as Diver Dan in SeaChange .   Contents    1 Early life   2 Career   3 Personal life   4 Filmography   4.1 Film   4.2 Television     5 Awards and nominations   6 References   7 External links    Early life ( edit )   Wenham was born in Marrickville , Sydney , the son of Kath and Bill Wenham . He has five older sisters ; Helen , Anne , Carmel , Kathryn , and Maree ; and one older brother , Peter . He was raised in the Roman Catholic faith and attended Christian Brothers ' High School , Lewisham .   Career ( edit )   Wenham started his career as an actor after graduating from Theatre Nepean at the University of Western Sydney with a Bachelor of Arts ( Performing Arts ) in 1987 . Wenham 's television credits include several telemovies , such as his AFI award - winning role in the 1996 telemovie Simone de Beauvoir 's Babies ; and his role as the outwardly laid back but deeply enigmatic diver Dan Della Bosca in the 1998 and 1999 seasons of the highly successful ABC television series SeaChange . His role as `` Diver Dan '' has made the actor something of a sex symbol , although he dislikes thinking of himself as such , and he has been voted Australia 's `` sexiest man alive '' . A portrait of Wenham by artist Adam Cullen won the Archibald Prize in 2000 . Wenham is signed to Storm Model Management in London .   Australian films Wenham has starred in include the critically acclaimed The Boys ( 1998 ) based on the play of the same name premiered at Griffin Theatre Company and in turn based on the murder of Anita Cobby ; Molokai ( 1999 ) , based on the life of Father Damien ; The Bank ( 2001 ) ; Gettin ' Square ( 2003 ) ; Stiff ( 2004 ) ; The Brush Off ( 2004 ) and Three Dollars ( 2005 ) . Wenham has periodically appeared in Hollywood films ; he is known for playing Faramir , son of Denethor II , in New Line Cinema 's The Lord of the Rings : The Two Towers and The Lord of the Rings : The Return of the King .   He was also seen in Van Helsing playing Hugh Jackman 's sidekick , Friar Carl . His character , Dilios , narrated and appeared in the movie 300 . Minor roles of Wenham 's in overseas films include in The Crocodile Hunter as a park ranger , and briefly in Moulin Rouge ! as Audrey . Wenham stars in the music video for Alex Lloyd 's single `` Brand New Day '' . In 2008 's Australia , he reunited with Hugh Jackman playing antagonist Neil Fletcher who seeks to acquire the ranch Jackman 's character is employed with .   In both Lord of the Rings : Return of the King and 300 , Wenham 's character is the sole survivor returned from an ill - fated battle ( the Battle at Osgiliath and the Battle of Thermopylae , respectively ) . He reprises his role of Dilios in the videogame 300 : March to Glory for Sony PlayStation Portable , which contains a substantial amount of new dialogue .   In 2009 , he again took to the stage , this time as the lead actor , Jerry Springer , in the British musical Jerry Springer : The Opera . During its 6 - day run at the Sydney Opera House he played in sold - out performances alongside ARIA award - winning singer Kate Miller - Heidke .   In 2010 , Wenham starred as the disgraced Melbourne lawyer Andrew Fraser in the Australian TV series Killing Time . This ten - part series shows Fraser 's fall from grace as he defends many Melbourne criminals during the 1980s and 1990s . It was shown on TV1 in late 2011 .   Wenham plays New Zealand detective Al Parker alongside Elisabeth Moss in the 2013 BBC series Top of the Lake .   In 2013 , Wenham returned to the stage to play the lead role of John Proctor , in the Melbourne Theatre Company 's mid-year production of Arthur Miller 's The Crucible .   In 2014 , Wenham starred as Patrick Jones in Paper Planes , released on 15 January 2015 . That same year , Wenham voiced the role Jacko a frilled - neck lizard , in Blinky Bill the Movie .   Wenham played the role of Harold Meachum in the Netflix original TV series Iron Fist , which premiered in March 2017 .   Personal life ( edit )   He has two daughters , Eliza Jane and Millie , with his longtime girlfriend , Kate Agnew .   Wenham read a poem by Rupert McCall at the memorial service for Steve Irwin . The poem was entitled `` The Crocodiles are Crying '' .   Wenham is a Sydney Swans supporter .   Filmography ( edit )   Film ( edit )     Year   Title   Role   Notes     1992   Greenkeeping   Trevor       1992   Seeing Red   Frank       1994   Gino   Trevor       1994   Tran the Man   Raymond `` Tran '' Moss   Short film     1994   No Escape   Hotel Guard No. 2       1995   Roses Are Red   Brian         Cosi   Doug         Idiot Box   Bank Teller       1998   The Boys   Brett Sprague       1998   Dark City   Schreber 's Assistant       1998   A Little Bit of Soul   Dr. Richard Shorkinghorn       1999   Molokai : The Story of Father Damien   Father Damien       2000   Better Than Sex   Josh       2001   Russian Doll   Ethan       2001   Moulin Rouge !   Audrey       2001   The Bank   Jim Doyle       2001   Dust   Luke       2002   The Crocodile Hunter : Collision Course   Sam Flynn       2002   Pure   Lenny       2002   The Lord of the Rings : The Two Towers   Faramir       2003   Gettin ' Square   Johnny Spitieri       2003   Basilisk Stare   Dave       2003   The Lord of the Rings : The Return of the King   Faramir         Van Helsing   Carl       2005   Three Dollars   Eddie Harnovey       2005   The Proposition   Eden Fletcher       2007   300   Dilios       2008   Married Life   John O'Brien       2008   The Children of Huang Shi   Barnes       2008   Australia   Neil Fletcher       2009   Public Enemies   Harry Pierpont       2009   Pope Joan   Gerold         Legend of the Guardians : The Owls of Ga'Hoole   Digger ( voice )         Oranges and Sunshine   Len       2014   300 : Rise of an Empire   Dilios       2015   Paper Planes   Patrick       2015   Blinky Bill the Movie   Jacko ( voice )       2015   Force of Destiny   Robert   Filming     2016   Goldstone   Johnny       2016   Lion   John Brierley       2017   Pirates of the Caribbean : Dead Men Tell No Tales   Lieutenant John Scarfield       2017   Ellipsis   ( Director )   Director     2018   Peter Rabbit   Johnny Town - Mouse ( voice )       Television ( edit )     Year   Title   Role   Notes       A Country Practice   Ambulanceman 1   Episode : `` Mozart Rules -- Part 1 ''       Sons and Daughters   Debt Collector   Episode : `` # 1.954 ''       A Country Practice   Scott Galbraith   2 episodes       Come In Spinner   Australian soldier   Mini-series     1991   Police Rescue   Ferret   Episode : `` The Cosmic Lightbeam ''     1992   A Country Practice   David Cornish   2 episodes     1994   Blue Heelers   William Cassidy   Episode : `` The Folly of Youth ''       Blue Heelers   Robbie Doyle   Episode : `` Happy Families ''       Return to Jupiter   Dr. Ghrobak   2 episodes     1998 -- 1999   SeaChange   Dan Della Bosca   15 episodes       The Brush - Off   Murray Whelan   Telemovie     2006   Answered by Fire   Mark Waldman   Two - part mini-series     2009   Deadliest Warrior   Narrator   Credited as `` Drew Skye ''     2011   Killing Time   Andrew Fraser   10 episodes     2012   Dripping in Chocolate   Bennett O'Mara       2013 , 2017   Top of the Lake   Al Parker   7 episodes     2013   Better Man   Julian McMahon   4 episodes     2014   The Code   Ian Bradley   6 episodes     2015   Banished   Captain Arthur Phillip , 1st Governor of New South Wales       2015   Who Do You Think You Are ?   Himself   Series 7 , Episode 4     2017   Iron Fist   Harold Meachum   10 episodes     Awards and nominations ( edit )    Australian Film Institute Award for Best Lead Actor in Television Drama for Simone de Beauvoir 's Babies ( 1997 ) -- winner   Australian Film Institute Award for Best Lead Actor in Television Drama for Answered by Fire ( 2006 ) -- winner    References ( edit )    Jump up ^ `` Spittin ' image '' . The Age . Melbourne . 5 October 2003 .   Jump up ^ Fr Damien role is ' uplifting ' -- actor Archived 3 September 2007 at the Wayback Machine .   Jump up ^ Mendelssohn , Joanna ( 13 February 2008 ) . `` Want to go to art school ? Do n't live in Western Sydney '' . Crikey . Retrieved 10 March 2015 .   Jump up ^ Field , Melissa ( 1 April 2007 ) . `` The star of David '' . Daily Telegraph . Archived from the original on 14 October 2007 .   Jump up ^ `` David Wenham AgeOfTheRing Biography '' .   Jump up ^ `` Biography '' . David Wenham appreciation site . Retrieved 10 March 2015 .   Jump up ^ Edmond , Martin ( 30 September 2014 ) . `` Declivities and eminences '' . Sydney Review of Books . Writing and Society Research Centre at the University of Western Sydney . Retrieved 10 March 2015 .   Jump up ^ Storm Model Management , Special Bookings Archived 2 May 2014 at the Wayback Machine .   Jump up ^ `` Entertainment : Top of the Lake '' . The Sydney Morning Herald . Fairfax. 18 March 2013 . Retrieved 19 March 2013 .   Jump up ^ `` Mad Woman , Bad Girl '' . New York Post . 8 March 2012 . Archived from the original on 9 March 2012 . Retrieved 20 March 2013 .   Jump up ^ Opam , Kwame. `` 6 problems that make Iron Fist so frustrating '' . TheVerge.com . Retrieved 13 April 2017 .   Jump up ^ David Wenham -- Yahoo ! TV Archived 25 October 2012 at the Wayback Machine .   Jump up ^ The Crocodile Hunter : A Tribute to Steve Irwin on IMDb   Jump up ^ `` Kidman heads army of Swans ' true believers ' '' . The Sydney Morning Herald . 27 March 2005 .   Jump up ^ Jenah Paclibar Sep 19 , 2015 10 : 02 AM ( 2015 - 09 - 19 ) . `` Pirates of the Caribbean 5 movie news : Orlando Bloom reprises role as Will Turner as franchise goes back to its roots '' . Vinereport.com . Retrieved 2017 - 02 - 28 .   ^ Jump up to : `` Past Winners , Television 1986 -- 2006 '' ( PDF ) . AFI Television Awards . Australian Film Institute . 2006 . Archived from the original ( PDF ) on 28 November 2007 .    External links ( edit )       Wikimedia Commons has media related to David Wenham .      David Wenham on IMDb   Urban Cinefile      Awards for David Wenham                AACTA Award for Best Actor in a Leading Role       Bruce Spence ( 1972 )   Robert McDarra ( 1973 )   Jack Thompson ( 1974 )   Martin Vaughan ( 1975 )   Simon Burke and Nick Tate ( 1976 )   John Meillon ( 1977 )   Bill Hunter ( 1978 )   Mel Gibson ( 1979 )   Jack Thompson ( 1980 )   Mel Gibson ( 1981 )   Ray Barrett ( 1982 )   Norman Kaye ( 1983 )   John Hargreaves ( 1984 )   Chris Haywood ( 1985 )   Colin Friels ( 1986 )   Leo McKern ( 1987 )   John Waters ( 1988 )   Sam Neill ( 1989 )   Max von Sydow ( 1990 )   Hugo Weaving ( 1991 )   Russell Crowe ( 1992 )   Harvey Keitel ( 1993 )   Nicholas Hope ( 1994 )   John Lynch ( 1995 )   Geoffrey Rush ( 1996 )   Richard Roxburgh ( 1997 )   Hugo Weaving ( 1998 )   Russell Dykstra ( 1999 )   Eric Bana ( 2000 )   Anthony LaPaglia ( 2001 )   David Gulpilil ( 2002 )   David Wenham ( 2003 )   Sam Worthington ( 2004 )   Hugo Weaving ( 2005 )   Shane Jacobson ( 2006 )   Eric Bana ( 2007 )   William McInnes ( 2008 )   Anthony LaPaglia ( 2009 )   Ben Mendelsohn ( 2010 )   Daniel Henshall ( 2011 )   Chris O'Dowd ( 2012 )   Leonardo DiCaprio ( 2013 )   David Gulpilil ( 2014 )   Michael Caton ( 2015 )   Andrew Garfield ( 2016 )   Sunny Pawar ( 2017 )                 AACTA Award for Best Lead Actor in a Television Drama       Simon Chilvers ( a ) and Peter Kowitz ( b ) ( 1986 )   Nicholas Eadie ( a ) and Steve Jacobs ( b ) ( 1987 )   Ed Devereaux ( a ) and Ernie Dingo ( b ) ( 1988 )   Peter Kowitz ( a ) and Bill Hunter ( b ) ( 1989 )   Frankie J. Holden ( c ) ( 1990 )   Gary Sweet ( 1991 )   Gary Sweet ( 1992 )   Peter Phelps ( 1993 )   Aaron Blabey ( 1994 )   Colin Friels and Steven Vidler ( 1995 )   Tony Martin ( 1996 )   David Wenham ( 1997 )   Stephen Dillane ( 1998 )   Jeremy Sims ( 1999 )   Geoff Morrell and Andy Anderson ( c ) ( 2000 )   Samuel Johnson and David Field ( c ) ( 2001 )   Joel Edgerton ( 2002 )   Shane Bourne ( d ) ( 2003 )   Abe Forsythe ( d ) ( 2004 )   Shane Bourne ( e ) ( 2005 )   David Wenham ( 2006 )   Stephen Curry ( 2007 )   Gyton Grantley ( 2008 )   Roy Billing ( 2009 )   Richard Roxburgh ( 2010 )   Alex Dimitriades ( 2011 )   Richard Roxburgh ( 2012 )   Lachy Hulme ( 2013 )   Ashley Zukerman ( 2014 )   Joel Jackson ( 2015 )   Samuel Johnson ( 2016 )       Key : ( a ) = Winner of Best Performance by an Actor in a Leading Role in a Mini Series ( b ) = Best Actor in a Actor in a Leading Role in a Telefeature ( c ) = Best Performance by an Actor in a Leading Role , in a Mini-Series or Telefeature ( d ) = Best Actor in a Leading Role in a Television Drama or Comedy ( e ) = Best Lead Actor in Television All other names , which are n't marked with a letter next to their name , have won the current Lead Actor in a Television Drama award .               Critics ' Choice Movie Award for Best Acting Ensemble       Gosford Park ( 2001 )   Chicago ( 2002 )   The Lord of the Rings : The Return of the King ( 2003 )   Sideways ( 2004 )   Crash ( 2005 )   Little Miss Sunshine ( 2006 )   Hairspray ( 2007 )   Milk ( 2008 )   Inglourious Basterds ( 2009 )   The Fighter ( 2010 )   The Help ( 2011 )   Silver Linings Playbook ( 2012 )   American Hustle ( 2013 )   Birdman or ( The Unexpected Virtue of Ignorance ) ( 2014 )   Spotlight ( 2015 )   Moonlight ( 2016 )   Three Billboards Outside Ebbing , Missouri ( 2017 )                 Equity Award for Most Outstanding Performance by an Ensemble in a Television Movie or Miniseries       The Slap ( 2011 ) : Costabile ; B. Davis ; E. Davis ; Dimitriades ; George ; Glenn ; Hayes ; LaPaglia ; Lowe ; Marinos ; McInnes ; Okonedo ; Townsend ; Yianni     Devil 's Dust ( 2012 ) : Foulkes ; Hany ; Hayes ; Hegney ; Leslie ; Schepisi     Top of the Lake ( 2013 ) : Buchanan ; Hunter ; Joe ; Lemon ; Malcolm ; Moss ; Mullan ; Nevin ; Ryan ; Wenham ; Wright     ANZAC Girls ( 2014 ) : Brent ; Clare ; Craig ; Debelle ; Flood ; Lasance ; Mayer ; McClelland ; McGahan ; Prebble     Peter Allen : Not the Boy Next Door ( 2015 ) : Baldwin ; Farnell ; Gibney ; Jackson ; Mills , Szeps ; Thornton ; West     Barracuda ( 2016 ) : Anton ; Cobham - Hervey ; Creer ; Griffiths ; Haralabidou ; Kindon ; Nable ; Taylor     Seven Types of Ambiguity ( 2017 ) : Demitriades ; Dimitriades ; Hayes ; Molloy ; Peirse ; Porter ; Samuel ; Walsman ; Weaving                  BNF : cb14238575w ( data )   GND : 136950922   ISNI : 0000 0001 1458 2441   LCCN : no2003071670   SUDOC : 144092298   VIAF : 164024577      Retrieved from `` https://en.wikipedia.org/w/index.php?title=David_Wenham&amp;oldid=851321737 '' Categories :   1965 births   Living people   Australian male film actors   Australian male stage actors   Australian male television actors   Australian male voice actors   Outstanding Performance by a Cast in a Motion Picture Screen Actors Guild Award winners   People from Marrickville   20th - century Australian male actors   21st - century Australian male actors   Male actors from Sydney   University of Western Sydney alumni   Hidden categories :   Webarchive template wayback links   Use dmy dates from September 2014   Use Australian English from January 2012   All Wikipedia articles written in Australian English   Articles with hCards   Wikipedia articles with BNF identifiers   Wikipedia articles with GND identifiers   Wikipedia articles with ISNI identifiers   Wikipedia articles with LCCN identifiers   Wikipedia articles with SUDOC identifiers   Wikipedia articles with VIAF identifiers           Talk                                           Contents                   About Wikipedia                                                   تۆرکجه   Български   Català   Čeština   Dansk   Deutsch   Ελληνικά   Español   فارسی   Français   Galego   </t>
    </r>
    <r>
      <rPr>
        <sz val="11"/>
        <color rgb="FF000000"/>
        <rFont val="Noto Sans CJK SC"/>
        <family val="2"/>
      </rPr>
      <t xml:space="preserve">한국어   </t>
    </r>
    <r>
      <rPr>
        <sz val="11"/>
        <color rgb="FF000000"/>
        <rFont val="Calibri"/>
        <family val="0"/>
        <charset val="1"/>
      </rPr>
      <t xml:space="preserve">Հայերեն   Bahasa Indonesia   Italiano   עברית   Latina   Magyar   მარგალური   Nederlands   </t>
    </r>
    <r>
      <rPr>
        <sz val="11"/>
        <color rgb="FF000000"/>
        <rFont val="Noto Sans CJK SC"/>
        <family val="2"/>
      </rPr>
      <t xml:space="preserve">日本 語   </t>
    </r>
    <r>
      <rPr>
        <sz val="11"/>
        <color rgb="FF000000"/>
        <rFont val="Calibri"/>
        <family val="0"/>
        <charset val="1"/>
      </rPr>
      <t xml:space="preserve">Norsk   Polski   Português   Română   Русский   Simple English   Српски / srpski   Srpskohrvatski / српскохрватски   Suomi   Svenska   Українська   </t>
    </r>
    <r>
      <rPr>
        <sz val="11"/>
        <color rgb="FF000000"/>
        <rFont val="Noto Sans CJK SC"/>
        <family val="2"/>
      </rPr>
      <t xml:space="preserve">中文  </t>
    </r>
    <r>
      <rPr>
        <sz val="11"/>
        <color rgb="FF000000"/>
        <rFont val="Calibri"/>
        <family val="0"/>
        <charset val="1"/>
      </rPr>
      <t xml:space="preserve">25 more  Edit links   This page was last edited on 21 July 2018 , at 14 : 11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</si>
  <si>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faramir in the lord of the rings</t>
  </si>
  <si>
    <t xml:space="preserve"> David Wenham ( born 21 September 1965 ) is an Australian actor who has appeared in movies , television series and theatre productions . He is known in Hollywood for his roles as Faramir in The Lord of the Rings film trilogy , Carl in Van Helsing , Dilios in 300 and its sequel 300 : Rise of an Empire , Neil Fletcher in Australia , Al Parker in Top of the Lake , and Lieutenant John Scarfield in Pirates of the Caribbean : Dead Men Tell No Tales . He is also known in his native Australia for his role as Diver Dan in SeaChange . </t>
  </si>
  <si>
    <t xml:space="preserve">National Open University of Nigeria - wikipedia  National Open University of Nigeria  Jump to : navigation , search  National Open University of Nigeria       Motto   Work and Learn     Type   Public     Established   2002 ( 1983 )     Vice-Chancellor   Prof. Abdalla Uba Adamu     Students   150,000 ( 2011 )     Location   Abuja , Nigeria     Campus   several across Nigeria     Nickname   NOUN     Affiliations   AAU , NUC     Website   www.nouonline.net     The National Open University of Nigeria is a Federal Open and Distance Learning ( ODL ) institution , the first of its kind in the West African sub-region info 08027024688 . It is Nigeria 's largest tertiary institution in terms of student numbers and is popularly referred to as ' NOUN ' .     Contents  ( hide )   1 History   2 Organisation   3 Faculties and courses   3.1 Faculties of Science and Technology   3.2 Faculties of Health Science   3.3 Faculties of Arts and Social Sciences   3.4 Faculties of Education   3.5 Faculty of Management Sciences   3.6 Centre for Life - Long Learning and Workplace Training   3.7 Academic Certificate Programmes     4 Students   4.1 Requirements   4.2 Undergraduates   4.3 Immunity to strikes     5 Rankings and achievements   5.1 Convocated prison inmates     6 Technological platforms   6.1 NOUNiLearn     7 Examination   7.1 Assessment   7.2 Final examination and grading     8 Facilities   8.1 E-library   8.2 Radio station   8.3 E-courseware     9 Scholarships   10 References   11 External links      History ( edit )  National Open University Of Nigeria Headquarters in Lagos National Open University of Nigeria Heaquarters  The National Open University was initially established on 22 July 1983 as springboard for open and distance learning in Nigeria . It was suspended by the government on 25 April 1984 . However , its resuscitation was begun on 12 April 2001 by the former President of Nigeria , Gen. Olusegun Obasanjo . At take off of the university , pioneer student enrollment stood at 32,400 .   Organisation ( edit )   In 2011 , NOUN had about 57,759 students . The Vice Chancellor at the time was Prof. Vincent Tenebe . The university was for years operating from its Administrative Headquarters in Victoria Island , Lagos , before its current VC , Professor Abdalla Uba Adamu , moved it to its permanent headquarters in Jabi , Abuja , in 2016 . It has over 75 Study Centres throughout the country . It offers over 50 programmes and 750 courses .   By its nature as an ODL institution , NOUN does not provide lectures to students in normal classrooms except some certain study centres . The study centre in Lagos for instance provides lectures to all its Law undergraduates and supplies necessary course materials to all students after the payment of tuition fees . All the courses being offered by the university have been accredited by the National Universities Commission ( NUC ) .   The Registrar serves as the Secretary to Council and Senate bodies . The Registry Department 's primary responsibility is to provide support services in the General Administration of the university with emphasis on Council affairs , Senate matters , recruitment of staff , students ' admission / welfare , staff welfare and other related activities . The current Registrar is Mr. Felix Edoka .   Faculties and courses ( edit )   Faculties of Science and Technology ( edit )   Postgraduate Programmes   - Information Technology   - Digital Communication   - Mobile ( Wireless ) Communication Technology   - HIV / AIDS   - Agriculture and Extension   Undergraduate Programs   - Mathematics   - Computer and Mathematics ( Combined Hons )   - Computer Science   - Data Management   - Communications Technology   - Agricultural Extension and Management   - Nursing Science   - Community Health   - Environmental Science and Resource Management ( ESM )   - Financial Mathematics   - Physics   - Chemistry   - Biology   Faculties of Health Science ( edit )   - Nursing   - Public Health   Faculties of Arts and Social Sciences ( edit )   - French And International Studies   - Mass Communication   - Peace , Conflict and Resolution   - English Language   - Economics   - Political Science - Criminology and security studies   Faculties of Education ( edit )   Undergraduate programmes :   - Agriculture Science   - Biology   - Chemistry   - Computer Science   - Physics   - Integrated Science   - Mathematics   - Business Education   - Primary Education   - Early Childhood Education   - English   - French   Masters Programmes   - Admin and Planning   - Science Education   - Education Technology   Faculty of Management Sciences ( edit )   Undergraduate Courses   - Marketing   - Entrepreneurial and Business Management   - Accounting in collaboration with the Institute of Chartered Accountants of Nigeria   Postgraduate courses   - Financial Management   - Business Administration   - Public Administration   - Master of Business Administration   - Public Administration   - Public Sector Management   Centre for Life - Long Learning and Workplace Training ( edit )   Diploma Programmes   Business Communication   Medical Office Practice   Entrepreneurship   Financial Management   Marketing   Academic Certificate Programmes ( edit )   Dental Office Practice   Computer Literacy   Returning Students   Medical Office Practice   Financial Management   Entrepreneurship   Marketing   Students ( edit )   Requirements ( edit )   A diverse range of students from all walks of life are attracted to the National Open University of Nigeria just like other prominent Open Universities such as the Open University of United Kingdom ( OU ) ; for most courses there are no stringent entry requirements other than the ability to study at an appropriate level such as the West African Examination , and other National Diplomas to qualify for a Direct entry admission . Though most postgraduate courses require evidence of previous study and / or equivalent life experience . This fundamental open admissions policy makes undergraduate university study accessible to all .   Undergraduates ( edit )   While most of those studying are mature students , an increasingly large proportion of new undergraduates are aged between 17 and 25 , the reduction in financial support for those attending traditional universities , coupled with the use of technologies such as and YouTube that appeal to this demographic , is believed to be behind this growth .   Immunity to strikes ( edit )   Another reason is the Act of Parliament which established the University prohibiting any form of union either within staff or students . This has made the NOUN to be unaffected by strikes such as the ASUU strikes ( which lasted for eight months ) in Nigeria which ultimately extends students course duration in school unnecessarily . NOUN students have always and will continue to be immune to any form of strike .   National Youths Service Corps Stand .   The NOUN made efforts to ensure its graduates below age 30 ( the maximum age limit ) participate in the National Youth Service Corps and Law graduates proceed to the Nigerian Law School .   However , efforts have of recent , materialized . The University released a statement where it affirmed that students of NOUN can now enroll and be part of the NYSC program .   Rankings and achievements ( edit )   Latest results of University Rankings released by Ranking Web of Universities ( popularly known as Webometrics ) revealed another list of 100 Best Universities in Nigeria for 2015 . Just as done in every other web ranking , webometrics ranking 2015 adopted search queries from search engines to rank the top universities which the National Open University ranked 23rd . See : List of Nigerian Universities   Convocated prison inmates ( edit )   The decision of the management and senate of National Open University Nigeria ( NOUN ) to establish study centres in some of the nation 's prisons has started yielding fruits as three inmates were among the over 7,000 that recently graduated from the 13 - year - old institute . At its 4th convocation held in the Main Exhibition Hall of the National Theatre , Iganmu , Lagos , and witnessed by the representative of President , Goodluck Jonathan many Vice Chancellors governing council and Senates members and key stakeholders , the two inmates from the Kirikiri Maximum Prisons ended up as star attraction aside the two First - Class graduates produced by the institute for the first time .   But attempts by Education Review to speak with them ( inmates ) were strongly resisted by a female prison official . However , the Deputy Controller in charge of Kirikiri Maximum told Education Review that one of the inmates , is serving life imprisonment while the second inmate whom he could not give his name was released two weeks ago after serving his jail term . Oladapo and the other inmates just discharged were awarded BSc in Peace and Conflict Resolution , the same course the best overall student , Mrs. Anthonia Okoye ( a 43 - year - old mother who is one of the first two graduates to graduate with a First - Class degree at the institution ) studied .   Technological platforms ( edit )   Nounilearn ( edit )   The National Open University of Nigeria in its effort to take education to the doorstep of the Nigerian populace irrespective of their social status and the developing Economy of Nigeria has deployed and implemented iLearn portal technology to enhance student 's learning experience . The NOUN iLearn platform has been created to ease access to excellent quality education . The platform provides amongst many , the following :   Online class discussions organized by NOUN facilitators thereby creating a virtual classroom environment .   Facility for students to get answers to any questions or areas of difficulty pertaining to their course of study .   Networking and collaboration tools to help in community of interaction among students , facilitators , academic staff and faculty members .   Better study tools such as the Smart e-Book Digitized lecture video and audio materials for an enhanced student ' learning experience available on the platform .   Access to assignments , quizzes and self - study assessment tools .   Examination ( edit )   The university administers the Computer - Based - Test ( CBT ) form of examination to its students in their first and second years . However , Law undergraduates participate in the standard Pen - On - Paper examinations ( POP ) beginning from their first year of admission , with LAW111 - Legal Methods in First Semester of the first year .   Other undergraduates also participate in the CBT system of examination in their first and second years and commence the POP examinations from their third year till the end of their respective course durations . The POP examination system applies to Post Graduate students also .   The CBT system of examination has however been criticised by some of the students . The CBT examination is in two categories ; the multiple choice questions and fill in the gap - which is the most dreaded examination type by students all around the world .   The CBT system requires students to most times , memorize their textbooks in accordance with the programmed answers stored on the school 's server in order to obtain full marks as computers will reject answers that do not match its programmed content .   Assessment ( edit )   Tutor - Marked Assignments ( TMAs ) are continuous assessments in form of Tutor Marked Assignment and it accounts for 30 % of student 's total score . Students are expected to answer at least four TMAs , three of which must be answered and submitted before students sit for the end of course examination   Final examination and grading ( edit )   With examinations written successfully , The ' end of course examinations ' would earn students 70 % which would be added to their TMA score ( 30 % ) . The time for this examination is always communicated to students .   Facilities ( edit )   E-library ( edit )   The NOUN operates an e-library at the headquarters situated at Victoria Island , Lagos , Nigeria which all students have access to after providing a valid student 's identity card . Students have access to both Internet facilities , books , journals , projects , thesis of past students and other educational materials .   Radio station ( edit )   The radio station broadcasts at the frequency 105.9 NOUN FM . Mass Communication students also have the opportunity to intern at the studio which broadcasts on all working days .   E-Courseware ( edit )   The NOUN also provides a platform for students that needs to access its database of educational materials NOUN e-Courseware Free Download strictly for educational purposes rather than financial or commercial purposes . Books can be downloaded in PDF formats at no cost .   Scholarships ( edit )   In May 2014 , Ini Edo , one of the stars in the Nigerian movie industry , Nollywood made headlines when she was offered a scholarship to study Law at the National Open University . More Nollywood actresses and actors including Desmond Elliot have also been offered scholarships . Chioma Chukwuka - Akpotha , Francis Duru , Doris Simeon and Sani Danja were announced as ambassadors for the NOUN . All four were presented by the Vice Chancellor Prof. Vincent A. Tenebe , with scholarships to study their courses of choice . is for Candidates who are looking to apply for admission into the Institution .   References ( edit )    Jump up ^ `` National Open University of Nigeria - WHED - IAU 's World Higher Education Database '' . www.whed.net . Retrieved 2015 - 02 - 11 .   ^ Jump up to : `` Principal Officers - National Open University of Nigeria '' . www.nou.edu.ng . Retrieved 2015 - 02 - 11 .   ^ Jump up to : COMMITTEE ON NEEDS ASSESSMENT OF NIGERIAN PUBLIC UNIVERSITIES Presentation to the Council Chamber State House , Abuja Thursday 1 November 2012   Jump up ^ Members ( Nigeria ) Association of African Universities   ^ Jump up to : `` National Open University of Nigeria - WHED - IAU 's World Higher Education Database '' . www.whed.net . Retrieved 2015 - 02 - 11 .   Jump up ^ `` Archived copy '' . Archived from the original on 15 March 2015 . Retrieved 23 March 2015 .   Jump up ^ `` Archived copy '' . Archived from the original on 17 March 2015 . Retrieved 26 March 2015 .   Jump up ^ `` NOUN Sudent Portal - National Open University of Nigeria '' . www.nounstudentportal.org .   Jump up ^ `` NOUN VC : strikes will soon go extinct - The Nation Nigeria '' . 24 October 2013 .   Jump up ^ `` National Open University , NOUN Registration Form - 2018 / 2019 '' . 16 January 2018 .   Jump up ^ ( 1 )   Jump up ^ `` 100 Best Universities in Nigeria by - 2015 Webometrics '' . 17 February 2015 .   Jump up ^ sunnewsonline.com/new/ ? p = 103011   Jump up ^ `` Archived copy '' . Archived from the original on 9 January 2015 . Retrieved 26 March 2015 .   Jump up ^ `` JAMB UTME / DE Registration 2018 / 19 Form and Closing Date '' . www.nigeriaschool.com.ng .   Jump up ^ nounfm.caster.fm/   Jump up ^ thenationonlineng.net/new/ini-edo-desmond-elliot-admitted-for-law-at-noun/   Jump up ^ `` Chioma Chukwuka - Akpotha , Doris Simeon Get Scholarships to Study at National Open University - BellaNaija '' . www.bellanaija.com .    External links ( edit )    National Open University of Nigeria Official Website   Retrieved from `` https://en.wikipedia.org/w/index.php?title=National_Open_University_of_Nigeria&amp;oldid=843518995 '' Categories :   Universities and colleges in Lagos   Distance education institutions based in Nigeria   Uyo   1983 establishments in Nigeria   Educational institutions established in 1983   Universities and colleges in Nigeria   Open universities   Hidden categories :   Use dmy dates from February 2018   Instances of Infobox university using image size   Pages using infobox university with unknown parameters   All articles with unsourced statements   Articles with unsourced statements from March 2015           Talk                                           Contents                   About Wikipedia                                           Add links   This page was last edited on 29 May 2018 , at 17 : 31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</si>
  <si>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national open university located in abuja</t>
  </si>
  <si>
    <t xml:space="preserve"> In 2011 , NOUN had about 57,759 students . The Vice Chancellor at the time was Prof. Vincent Tenebe . The university was for years operating from its Administrative Headquarters in Victoria Island , Lagos , before its current VC , Professor Abdalla Uba Adamu , moved it to its permanent headquarters in Jabi , Abuja , in 2016 . It has over 75 Study Centres throughout the country . It offers over 50 programmes and 750 courses . </t>
  </si>
  <si>
    <t xml:space="preserve">Assassin 's Creed - Wikipedia  Assassin 's Creed  Jump to : navigation , search This article is about the series . For the first game in the series , see Assassin 's Creed ( video game ) . For the book series , see Assassin 's Creed ( book series ) . For the 2016 film adaptation , see Assassin 's Creed ( film ) .    Assassin 's Creed         Genres     Action - adventure   Stealth       Developers     Ubisoft Montreal   Ubisoft Annecy   Ubisoft Sofia   Ubisoft Milan   Ubisoft Quebec   Ubisoft Toronto   Gameloft   Griptonite Games   Blue Byte       Publishers   Ubisoft     Creators     Patrice Désilets   Jade Raymond   Corey May       First release   Assassin 's Creed November 13 , 2007     Latest release   Assassin 's Creed Origins October 27 , 2017     Assassin 's Creed is a franchise centered on an action - adventure video game series developed by Ubisoft . It depicts a centuries - old struggle pitting the Assassins , who fight for peace and free will , against the Templars , who believe peace comes through control of humanity . The series features historical fiction mixed with real - world historical events and figures . The series took inspiration from the novel Alamut by the Slovenian writer Vladimir Bartol , while building upon concepts from the Prince of Persia series .   The franchise began in 2007 with the release of Assassin 's Creed . The main video game series consists of ten entries , developed by Ubisoft Montreal ( single - player ) and Ubisoft Annecy ( multiplayer ) , released on PlayStation 3 , PlayStation 4 , Xbox 360 , Xbox One , Wii U , Microsoft Windows , and OS X platforms . Many spin - off games have been made for Nintendo DS , PlayStation Portable , PlayStation Vita , iOS , HP webOS , Android , Nokia Symbian and Windows Phone platforms . The handheld versions are developed by Gameloft and Gryptonite Studios , with additional development by Ubisoft Montreal .   The series has been well received by critics , and has sold over 100 million copies as of September 2016 , becoming Ubisoft 's best selling franchise and one of the highest selling video game franchises of all time .   The video game series has been expanded into a film , comics and novels ; all of which take place within the same continuity as the main video games series .   Contents  ( hide )   1 Premise   1.1 Protagonists     2 Gameplay   3 Release history   3.1 Main series   3.1. 1 Assassin 's Creed   3.1. 2 Assassin 's Creed II   3.1. 3 Assassin 's Creed : Brotherhood   3.1. 4 Assassin 's Creed : Revelations   3.1. 5 Assassin 's Creed III   3.1. 6 Assassin 's Creed IV : Black Flag   3.1. 7 Assassin 's Creed Rogue   3.1. 8 Assassin 's Creed Unity   3.1. 9 Assassin 's Creed Syndicate   3.1. 10 Assassin 's Creed Origins   3.1. 11 Collections   3.1. 12 The Ezio Collection ( 2016 )   3.1. 13 The Americas Collection ( 2014 )     3.2 Other console games   3.2. 1 Assassin 's Creed III : Liberation   3.2. 2 Assassin 's Creed Chronicles     3.3 Handheld and mobile games   3.3. 1 Assassin 's Creed : Altaïr 's Chronicles   3.3. 2 Assassin 's Creed : Bloodlines   3.3. 3 Assassin 's Creed II : Discovery   3.3. 4 Assassin 's Creed : Recollection   3.3. 5 Assassin 's Creed : Multiplayer Rearmed   3.3. 6 Assassin 's Creed : Pirates   3.3. 7 Assassin 's Creed Memories   3.3. 8 Assassin 's Creed Identity     3.4 Cancelled and defunct games   3.4. 1 Assassin 's Creed : Project Legacy   3.4. 2 Assassin 's Creed : Utopia     3.5 Future     4 In other media   4.1 Television   4.2 Films   4.2. 1 Theatrical   4.2. 2 Short films   4.2. 2.1 Assassin 's Creed : Lineage   4.2. 2.2 Assassin 's Creed : Ascendance   4.2. 2.3 Assassin 's Creed : Embers       4.3 Comics   4.3. 1 Assassin 's Creed : Graphic Novel   4.3. 2 Assassin 's Creed , Volume 1 : Desmond   4.3. 3 Assassin 's Creed , Volume 2 : Aquilus   4.3. 4 Assassin 's Creed , Volume 3 : Accipiter   4.3. 5 Assassin 's Creed , Volume 4 : Hawk   4.3. 6 Assassin 's Creed , Volume 5 : El Cakr   4.3. 7 Assassin 's Creed , Volume 6 : Leila   4.3. 8 Assassin 's Creed : The Fall   4.3. 9 Assassin 's Creed : The Chain   4.3. 10 Assassin 's Creed : Brahman   4.3. 11 Assassin 's Creed : Trial by Fire   4.3. 12 Manga     4.4 Novels   4.4. 1 Assassin 's Creed : Renaissance   4.4. 2 Assassin 's Creed : Brotherhood   4.4. 3 Assassin 's Creed : The Secret Crusade   4.4. 4 Assassin 's Creed : Revelations   4.4. 5 Assassin 's Creed : Forsaken   4.4. 6 Assassin 's Creed : Black Flag   4.4. 7 Assassin 's Creed : Unity   4.4. 8 Assassin 's Creed : Underworld     4.5 Assassin 's Creed : Encyclopedia     5 Reception   6 In popular culture   6.1 References in other video game franchises   6.2 References in other film franchises     7 References   8 External links    Premise ( edit )   The Assassin 's Creed games primarily revolve around the rivalry between two ancient secret societies -- the Assassins and the Knights Templar -- and their indirect relation to an ancient species pre-dating humanity , referred to within the games as `` those who came before '' , whose society , along with much of Earth 's biosphere , was destroyed by a massive solar storm thousands of years before the games . The games ' real - world chronological setting begins in the year 2012 .   Within the franchise , Abstergo Industries is a mega-corporation conglomerate with multiple branches , secretly run by modern Knights Templar . The company is the present - day main antagonist of the franchise . Abstergo secretly created the `` Animus '' , a device that allows its users to `` re-live '' and experience the memories of their genetic ancestors within their bloodline through a virtual simulation . Overexposure to the animus causes the `` bleeding effect '' , which results in giving the user skills and abilities of his ancestors , but is also dangerous for the user as it can damage their mind , causing symptoms such as dementia , insanity , dissociative identity disorder or brain damage . Abstergo is seeking to discover the location of several historical artifacts , known as the `` Pieces of Eden '' . Such artifacts hold great power , and are capable of controlling free will . Abstergo seeks to use them to remove free will and bring humanity into one single unified group , while the Assassins oppose them . In order to find the Pieces of Eden , Abstergo is abducting people whose ancestors are suspected to have had historically confirmed or suspected interactions with such devices , forcing the kidnapped person into the Animus and searching for clues on their ancestors ' memories within the Animus .   Protagonists ( edit )   Desmond Miles , a bartender who is a descendant of several lines of prominent Assassins ; though raised as an Assassin , he left his nomadic family to seek out a more common lifestyle . He is initially kidnapped by Abstergo , who is aware of his ancestral lineage . Desmond is forced into the Animus and is revealed to be subject 17 ; many of the sixteen previous subjects died as a result of animus over-exposure .   Desmond is later rescued by a small team of modern - day Assassins ; and agrees to work with them , continuing to experience the memories of his ancestors to discover the locations of additional Pieces of Eden so they can be recovered before Abstergo can do so . From the bleeding effect , Desmond gains some of the Assassin skills of his predecessors at the cost of living with multiple sets of memories and personalities in his mind .   Within the Animus , Desmond explores the memories of a number of Assassins , including Altaïr Ibn - La'Ahad , an initially disgraced Assassin working to redeem himself during the Third Crusade ; Ezio Auditore da Firenze , an Assassin in Italy during the late 15th and early 16th centuries of the Italian Renaissance , and Ratonhnhaké : ton , otherwise known as Connor , a half - Mohawk , half - British Assassin during the American Revolution .   Throughout these events , Desmond learns of allusions to the prophetic end of the world in 2012 from a former Animus test subject , Subject 16 ; the event turns out to be a repeat of the disaster which wiped out the ancient civilization , and he finds out that his memories hold the key to Earth 's surviving a second solar storm . During his experiences , Desmond is aided by holographic projections of three of the ancient race 's rulers : Jupiter , Minerva , and Juno .   After Desmond dies to ensure Earth 's survival , his memories , which have survived in cyberspace , are accessed by Abstergo , which hires a new subject to enter the Animus . The new subject relives the memories of Edward Kenway ( Grandfather of Ratohnhaké : ton 's other wise known as Connor Kenway ) and a privateer - turned - pirate during the Golden Age of Piracy .   Gameplay ( edit )   While the games are often presented through protagonist Desmond Miles , the bulk of the game is played as Desmond experiences the memories of his ancestors through an advanced device called the Animus . This provides a means of a diegetic interface , showing Desmond 's ancestor 's health , equipment , goals , and other features as part of the Animus interface . The Animus is based on the player controlling the assassin to maintain the synchronization between Desmond and his ancestor 's memories . Performing actions that go against the Assassin 's way or dying breaks the synchronization , effectively requiring the player to restart at a previous checkpoint . Furthermore , the player can not explore outside areas that the assassin has not experienced yet . There are also abnormalities within the Animus from previous users of the device .   While playing as the Assassin characters , the games are generally presented as third - person in an open world , focusing on stealth and free - running . The games use a mission structure to follow the main story , generally assigning the player to complete an assassination of public figureheads or a covert mission . Alternatively , several side missions are available , such as mapping out the expansive cities from a high perch followed by performing a `` leap of faith '' into a haystack below , collecting treasures hidden across the cities , exploring ruins for relics , building a brotherhood of assassins to perform other tasks , or funding the rebuilding of a city through purchasing and upgrading of shops and other features . At times , the player is in direct control of Desmond , who by nature of the Animus use has learned Assassin techniques through the bleeding effect , as well as their genetic ability of Eagle Vision , which separates friend , foe and assassination targets by illuminating people in different colors . Through the Animus interface , the player can go back to retry any past mission already completed ; for example , in Assassin 's Creed : Brotherhood , the player achieves better synchronization results by performing the mission in a specific manner such as by only killing the mission 's target .   The games use the concept of `` active '' versus `` passive '' moves , with `` active '' moves , such as running , climbing the sides of buildings , or jumping between rooftops , more likely to alert the attention of nearby guards . When the guards become alerted , the player must either fight them or break their line of sight and locate a hiding place , such as a haystack or a well , and wait until the guards ' alert is reduced . The combat system allows for a number of unique weapons , armor , and moves , including the use of a hidden blade set in a bracer on the Assassin 's arm , and which also can be used to quietly assassinate targets .   Release history ( edit )   Games , by year and platform . Bold title denotes part of the main series .   Time period   Title   Year   Consoles   Computers   Handhelds   Mobile   Other     Third Crusade   Assassin 's Creed   2007   PlayStation 3 , Xbox 360   Windows   --   --   --     Assassin 's Creed : Altaïr 's Chronicles   2008   --   --   Nintendo DS   Android , iOS , Symbian , webOS , Windows Phone   --     Assassin 's Creed : Bloodlines   2009   --   --   PlayStation Portable   --   --     Renaissance   Assassin 's Creed II   PlayStation 3 , Xbox 360 , PlayStation 4 , Xbox One   OS X , Windows   --   Symbian   OnLive     Assassin 's Creed II : Discovery   --   --   Nintendo DS   iOS   --     Assassin 's Creed : Brotherhood     PlayStation 3 , Xbox 360 , PlayStation 4 , Xbox One   OS X , Windows   --   Symbian   OnLive     Assassin 's Creed : Revelations   2011   Windows   --   Android , Symbian     Colonial era   Assassin 's Creed III   2012   PlayStation 3 , Xbox 360 , Wii U   --   Symbian   --     Assassin 's Creed III : Liberation   PlayStation 3 , Xbox 360   PlayStation Vita   --   --     Assassin 's Creed IV : Black Flag   2013   PlayStation 3 , Xbox 360 , Wii U , PlayStation 4 , Xbox One   --   --   --     Assassin 's Creed : Freedom Cry   2014   PlayStation 3 , PlayStation 4 , Xbox 360 , Xbox One   --   --   --     Assassin 's Creed Rogue   PlayStation 3 , Xbox 360   --   --   --     Assassin 's Creed Identity   --   --   --   Android , iOS   --     French Revolution   Assassin 's Creed Unity   PlayStation 4 , Xbox One   Windows   --   --   --     Imperial China   Assassin 's Creed Chronicles : China   2015   PlayStation Vita   --   --     Victorian era   Assassin 's Creed Syndicate   --   --   --     Sikh Empire   Assassin 's Creed Chronicles : India   2016   PlayStation Vita   --   --     October Revolution   Assassin 's Creed Chronicles : Russia   --   --     Ptolemaic Egypt   Assassin 's Creed Origins   2017   --   --   --      Notes     Jump up ^ Released under the title Assassin 's Creed : Liberation HD for Microsoft Windows , PlayStation 3 and Xbox 360 .   Jump up ^ Originally released as DLC for all versions of Assassin 's Creed IV : Black Flag .   Jump up ^ Originally announced as part of the season pass for Assassin 's Creed Unity .   ^ Jump up to : Released as a compilation titled Assassin 's Creed Chronicles Trilogy Pack .    Main series ( edit )  Assassin 's Creed ( edit ) Main article : Assassin 's Creed ( video game )  Desmond is captured by Abstergo and forced to use a machine called the Animus to explore Altaïr ibn - La'Ahad's memories during the time of the Third Crusade . Desmond begins to witness events after Altaïr breaks all three tenets of the Assassin Brotherhood while attempting to stop Robert de Sablé from taking a Piece of Eden . Al Mualim , the Brotherhood 's leader , demotes Altaïr to Novice and tasks him with assassinating the nine Knights Templars , including de Sablé , to regain his former status . Altaïr 's quest eventually leads him to face de Sablé in the presence of King Richard I of England warning the King of de Sablé 's plot to kill him . Altaïr defeats de Sablé , but with his last words , de Sablé reveals that there were ten Templars , the last being Al Mualim , who now holds the Piece of Eden . Altaïr returns to face Al Mualim and struggles to fight through illusions created by the Piece , but eventually kills Al Mualim . When Altaïr recovers the piece , he and those watching the Animus view a holographic map showing where other artifacts are located across the globe . Desmond is pulled from the Animus , and was going to be killed , but his life is spared by Lucy Stillman , an Assassin working as a mole within Abstergo , as she claims they might need to further examine his memories later . He comes to learn that a former test subject had left messages only Desmond can see , foretelling the end of the world in 2012 .   The first Assassin 's Creed introduced core elements that remained in the rest of the game series . The game creates fictionalized , historical versions of Masyaf ( the Brotherhood 's location ) , Jerusalem , Acre and Damascus , and incorporates a number of documented historical figures into the story . Other core elements include the virtualized Animus system , free running , climbing , stealth , parkour , and the initial formulation of the combat system . The game requires the player to complete a number of side quests before they are able to obtain an assassin quest from a local Brotherhood guidemaster in each city , but this side quest prerequisite was abandoned in future games .  Assassin 's Creed II ( edit ) Main article : Assassin 's Creed II  Lucy returns and breaks Desmond out of Abstergo , taking him to an Assassin safehouse to work alongside Shaun , a historian , and Rebecca , their technical support . Using an improved version of the Animus , Desmond takes witness to Ezio Auditore da Firenze , a young nobleman from the late 15th Century in Florence , shortly before the execution of Ezio 's father and brothers by order of a corrupt official working for the Templars . He , his mother , and sister take to hiding at the Monteriggioni villa owned by his uncle Mario , who helps to train Ezio in the ways of an Assassin . Ezio and Mario discover that Rodrigo Borgia is the figurehead of a number of Templars all who were accomplices in the execution of his family , and with help of allies like Leonardo da Vinci , methodically assassinate the lower - ranked Templars , while learning that Borgia has acquired a Piece of Eden called the Apple . Eventually , Ezio corners Borgia , who hands over the Piece and flees ; Ezio is inducted into the ranks of the Brotherhood and believed to be a prophet based on their codex . A decade later , the Brotherhood learns that Borgia has since become Pope Alexander VI , using the Church 's influence to strengthen the Templars . Ezio invades Vatican City and confronts Borgia , discovering that the Papal staff is also a Piece of Eden . Defeating Borgia but sparing his life , Ezio uses both the Apple and the Papal staff to reveal a chamber of ancient technology . Inside , he is addressed by a hologram of a humanoid female that calls herself Minerva who speaks directly to Desmond through Ezio . Minerva explains how her society had pre-dated humanity 's , but a great disaster nearly wiped them out , and warns that another event is due to occur soon , putting the fate of humanity in Desmond 's hands . Upon this discovery , Desmond and his allies find the safehouse has been compromised by Abstergo and flee .   Similar to the first game , Assassin 's Creed II takes place in historical recreations of Venice , Florence , Forlì , San Gimignano , and the Tuscan countryside , and incorporates events during that period as part of the story . Missions are divided into main story missions , themselves divided into memory sequences reflecting points in Ezio 's life , and side missions which can be accomplished at any time ; this approach to mission structure remains consistent in the other games in the series . The Monteriggioni villa provides several functions which can be expanded on by paying money for upgrades of surrounding buildings , or by purchasing artwork , weapons , and armor for the villa ; in turn , the villa will generate wealth for the player at a rate influenced by the upgrades and acquisition of these items . Additional quests involve locating secret Assassin seals , and finding hidden marks left by `` Subject 16 '' , a former Animus user , that hint at the nature of Minerva 's society .  Assassin 's Creed : Brotherhood ( edit ) Main article : Assassin 's Creed : Brotherhood  Desmond and his allies retreat to the ruins of the Monteriggioni villa , and Desmond reenters the Animus to continue Ezio 's memories , specifically to identify the location of the Apple . After facing Rodrigo Borgia , Ezio returned to Monteriggioni , but the villa is soon attacked by forces under the command of Cesare Borgia , Rodrigo 's son . Mario is killed and the Apple is stolen . Ezio vows revenge by helping to free the people of Rome from the Borgia family . As Ezio works covertly to turn the city against the Borgias , he gains followers that want to join his cause , and Ezio trains them in the way of the Assassins . In an attempt to assassinate Cesare and Rodrigo at the Castel Sant'Angelo , Ezio instead witnesses Cesare forcing his father to eat a poisoned apple that Rodrigo had prepared to kill his son . Ezio chases down Cesare and eventually captures him and recovers the Apple . Cesare is taken to prison in Viana , Spain but manages to escape with help of his allies . The Assassins lead the fight against Cesare and the remaining loyal Borgia troops , and eventually Ezio throws Cesare from the castle walls , killing him . With no perceived further threats , Ezio takes to hide the Apple under the Colosseum . In the present , Desmond is able to navigate through the underground chambers beneath the Colosseum to locate the Apple . As he picks it up , Desmond is witness to another hologram figure , calling herself Juno , and who controls Desmond to stab Lucy ( because Lucy has defected to the Templars ) before he falls into a coma .   Brotherhood shares many of the same features as the previous game though it takes place primarily in Rome . Similar to the villa , the player is able to spend money to buy and upgrade shops and other facilities throughout the city as to increase revenue they can collect from it ; however , the player will be required to destroy Borgia towers that control various sections of the city before they can do so . The Brotherhood of Assassins is introduced , by which , after saving citizens from certain events , the player can invite these citizens as Assassins ; they can then be dispatched to remote locations across Europe to gain experience and money , or can be called in to help the player directly in a mission . For the first time in the series , the game features online multiplayer . Players play as Abstergo employees , who , through the use of the Animus , take on the genetic memories of Renaissance Templars in various game modes . It was the last game to feature Assassin 's Creed creator Patrice Désilets , as the creative director of the series .  Assassin 's Creed : Revelations ( edit ) Main article : Assassin 's Creed : Revelations  Within the computerized `` core '' of the Animus , Subject 16 ( Clay Kaczmarek ) explains to a comatose Desmond that his mind must achieve full synchronization with Altaïr and Ezio , or he will fall into dementia . Desmond sees Ezio 's memories , years after Brotherhood , Ezio researches the Assassins ' history and travels to Masyaf to locate Altaïr 's library , rumored to hold great power within . The Templars also seek to open this library , but it is locked by five keys , hidden in the Ottoman - held Constantinople . Ezio finds the city in a feud between brothers Selim and Ahmet vying for the Sultanate . Ezio is aided by Sofia Sartor , both fall in love . Eventually , Ahmet reveals himself to be a Templar , and is killed by Ezio , Selim thanks Ezio for protecting him , but banishes him for killing his brother . Ezio uses the keys to witness Altaïr 's memories after Al Mualim 's death , which show the death of Altaïr 's wife and youngest son in the midst of a coup d'etat within the Assassins . Altair self - exiles for twenty - years . Eventually returning to Masyaf to kill the usurper and retake control . Altaïr inscribes his memories in the keys and asks his friend Niccolo Polo to hide them . After , Ezio and Sofia go to Masyaf and open the library to find Altaïr 's corpse holding a Piece of Eden . Ezio leaves it and his assassin tools , and tells Desmond , understanding now of his role as a messenger to him . A holographic being calling himself Jupiter explains to Desmond ( through Ezio ) how his society perished as a result of a massive solar flare apocalypse , and that the key to stop the 2012 solar flare lies in the first civilization 's technology commanded by vaults linked to a central vault in New York . Within the Animus , Clay sacrifices himself to allow Desmond to wake up from his coma , his memories complete . Along with Shaun , Rebecca , and his father William , Desmond heads to New York to save humanity .   Originally ' Revelations ' was announced as Assassin 's Creed : Lost Legacy , and conceptualized as a Nintendo 3DS title focusing on Ezio traveling to Masyaf . However , on July 15 , 2011 , it was announced as cancelled . The reason behind such `` cancellation '' was that Ubisoft had decided to expand the idea further , cancel the 3DS development and fully shift all development duties towards PlayStation 3 , Xbox 360 and PC to release the game as a full - fledged main installment of the franchise . The original plot remained , and evolved into the plot seen in the final game , which became Assassin 's Creed : Revelations . Included were many new systems and additional weapons such as bomb - crafting , allowing the player to create explosive , distraction and tactical bombs , using materials found throughout the world and on Assassin 's Guild missions . The hookblade was also introduced , which can be used in free - running ( to travel along zip wires and climb more easily ) and in combat ( to manipulate enemies ) . Eagle Vision was upgraded into the Eagle Sense , allowing Ezio to not only see where his enemies and targets are but also , where they have been and where they are moving to . As the player progresses through , Ezio can train new recruits to defend `` dens '' ( Assassin HQs ) and an upgraded Assassin 's missions section called `` Mediterranean Defense '' in which the player works to strip control of various cities from Templar hands . The multiplayer mode returned in Revelations , with more characters , modes , and maps , and by advancing up through levels of experience , the player learns more about Abstergo 's history .  Assassin 's Creed III ( edit ) Main article : Assassin 's Creed III      This section 's plot summary may be too long or excessively detailed . Please help improve it by removing unnecessary details and making it more concise . ( January 2017 ) ( Learn how and when to remove this template message )     Desmond and his allies arrive at the Temple entrance in a cave in the New York area on October 31 , 2012 , and open its door using the Apple Of Eden , discovering a larger chamber of Precursor technology behind it , including another door requiring a key . Desmond suddenly falls into a fugue state , and is put into the Animus . There , he experiences the memories of a half Mohawk , half British man named Ratonhnhaké : ton ( / ˈrəduːnˈhəɡeɪduːn / ; `` Ra - doon - ha - kay - doon '' ) , later dubbed Connor ( Achilles calls him this in memory of his dead son ) , who lived through the American Revolution , as well as Connor 's father , Haytham Kenway , who is later revealed as a British agent of the Templars . Kenway had gone to the Colonies in America with a stolen medallion , recruited Templar allies including Charles Lee , and worked to gain the trust of the Mohawk people to get them to show him the location of the Temple , but to his annoyance , the medallion did not open the Temple for him . Connor , as a young boy , witnesses Lee and his troops set fire to his village , killing his mother ; years later , he is shown a Piece of Eden , through which Juno speaks to him and instructs him to get training from Master Assassin Achilles Davenport . Achilles takes Connor and teaches him about Assassins and introduces him to Patriots in the Revolution , through which Connor stops several Templar plans to disrupt their efforts including an assassination attempt against George Washington . During these memories , Desmond does recover from the fugue state , and helps his allies to recover power sources to power the Temple scattered about the globe , including one held by Abstergo .   Connor eventually encounters his father , but Kenway offers a cease fire , as he is also after Benjamin Church for usurping his authority . During their investigation , Kenway warns Connor that the Patriots , worried of the allegiance of the various tribes to the British , are seeking to remove Connor 's people from their lands . Connor eventually hunts Lee down and kills him , taking the medallion and ending the Templar threat . He is despondent to find his tribe 's village abandoned save for the Piece of Eden ; through it , Juno tells him to hide the amulet . As December 21 approaches and signs of the solar flare begin to ensue , Desmond and his allies find the buried medallion , and use it at the inner Temple door , behind which is a control sphere . Juno appears and encourages Desmond to touch it , but Minerva appears and warns him to stop it , warning that this will release Juno as an entity that may protect against the solar flare but will be a threat to mankind in the future . Juno counters , explaining that Minerva would rather have most of humanity wiped out , with Desmond safe in the Temple to emerge as a religious figure to lead the survivors but ultimately leading into conflict . Desmond opts to release Juno , believing humanity will have a better chance fighting Juno . As his body is wracked by energy from the control sphere , an aurora surrounds the Earth and protects it from the solar flare . Juno tells the now fallen Desmond that his work is now done , and now it is time for her to do her work .   Assassin 's Creed III is structured similarly to the previous games , with missions taking place on an open - world map based on Colonial Boston and New York , and offers a large wilderness area , the Frontier and in the Davenport Homestead , where the player can hunt animals for materials , which then subsequently can be used to construct goods to be traded and sold throughout the colonies . Naval battles were introduced , wherein the player must steer a warship named Aquila in dangerous waters and perform ship - to - ship combat with cannons and mounted guns . In Assassin 's Creed III there are a large assortment of mini missions to play and many different outfits to purchase as the player progresses through the game . The modern - day aspects of the story were also significantly expanded , and featured missions taking place in , among other locations , Manhattan , Rome and Brazil .  Assassin 's Creed IV : Black Flag ( edit ) Main article : Assassin 's Creed IV : Black Flag  Samples taken from Desmond Miles ' body in the moments after his death have enabled Abstergo Industries to continue to explore his genetic memories using the Animus ' newfound cloud computing abilities . The unnamed player character is hired by Abstergo 's entertainment division to sift through the memories of Edward Kenway , an eighteenth - century pirate and the grandfather of Connor . Ostensibly , this is to gather material for an Animus - powered interactive feature film , but in reality , Abstergo and the Templars are searching for the Observatory , a Precursor structure that allows the user to see through the eyes of a subject . As Kenway , the player must unravel a conspiracy between high - ranking Templars to manipulate the British , Spanish and French empires into locating the Sage - later identified as Bartholomew Roberts - who is the only man who can lead them to the Observatory .   In the present day , the player is contacted by John , Abstergo Entertainment 's information technology manager . John convinces the player that his employer knows more than they are telling , and encourages them to investigate in more detail . He arranges for the player to access the Animus ' core , at which point Juno materialises into an incorporeal form . She reveals that although it was necessary to open her temple to avert disaster , the world was not ready for her , and she is unable to affect it or possess the player character as her agents intended . John is unmasked as the reincarnated form of the Sage and attempts to murder the player to cover up the failed attempt at resurrecting Juno , but is killed by Abstergo 's security before he can do so . As Roberts , the Sage admits to Kenway that he owes no allegiance to the Assassins or the Templars and instead uses whoever he thinks represents his best chance of achieving his ends .  Assassin 's Creed Rogue ( edit ) Main article : Assassin 's Creed Rogue  The plot follows Knight of Templar , Shay Patrick Cormac , and is set during the Seven Years ' War across various locations in North America . It is meant to `` fill the gaps '' of the story between III and Black Flag and has `` a crucial link to the Kenway saga '' , as well as connecting to Unity . Haytham Kenway from III and Adewalé from Black Flag make appearances .   By March 2014 , a game titled or code - named `` Comet '' , was revealed to be in development , for release on PlayStation 3 and Xbox 360 . By the end of the month , additional reports indicated that `` Comet '' would be set around 1758 in New York ,</t>
  </si>
  <si>
    <t xml:space="preserve">when does the next assasins creed come out</t>
  </si>
  <si>
    <t xml:space="preserve">   Assassin 's Creed         Genres     Action - adventure   Stealth       Developers     Ubisoft Montreal   Ubisoft Annecy   Ubisoft Sofia   Ubisoft Milan   Ubisoft Quebec   Ubisoft Toronto   Gameloft   Griptonite Games   Blue Byte       Publishers   Ubisoft     Creators     Patrice Désilets   Jade Raymond   Corey May       First release   Assassin 's Creed November 13 , 2007     Latest release   Assassin 's Creed Origins October 27 , 2017   </t>
  </si>
  <si>
    <t xml:space="preserve">List of Rock and Roll Hall of Fame inductees - wikipedia  List of Rock and Roll Hall of Fame inductees  Jump to : navigation , search The Rock and Roll Hall of Fame .  The Rock and Roll Hall of Fame , established in 1983 and located in Cleveland , Ohio , United States , is dedicated to recording the history of some of the best - known and most influential musicians , bands , producers , and others that have in some major way influenced the music industry , particularly in the area of rock and roll . Originally , there were four categories of induction : performers , non-performers , early influences , and lifetime achievement . In 2000 , `` sidemen '' was introduced as a category .   The only category that has seen new inductees every single year is the performers category . Artists become eligible for induction in that category 25 years after the release of their first record . In order to be inducted , an artist must be nominated by a committee that selects anywhere from nine to a dozen candidates . Ballots are then sent to 600 `` rock experts '' who evaluate the candidates and vote on who should be inducted . The performers that receive the highest number of votes and more than 50 percent of the vote are inducted . In 2010 , the number inducted was five . The rest of the categories are voted on by special committees . As of 2017 , new inductees will be honored at an annual ceremony held alternately in New York and at the Hall of Fame in Cleveland ; prior to that , the ceremonies rotated between Cleveland , New York , and Los Angeles .   The Rock and Roll Hall of Fame has garnered criticism for allegedly allowing the nomination process to be controlled by a few individuals , nominating too many artists in too many genres that are not entirely rock , ignoring entire rock genres , and using technicalities to induct groups who may not have been among the top vote getters . The surviving members of the Sex Pistols , who were inducted in 2006 , refused to attend the ceremony , calling the museum a `` piss stain . ''     Contents  ( hide )   1 Inductees   1.1 Performers   1.2 Early influences   1.3 Non-performers ( Ahmet Ertegun Award )   1.4 Award for Musical Excellence   1.5 Sidemen   1.6 Lifetime achievement     2 Multiple inductees   3 References   4 External links      Inductees ( edit )   Performers ( edit )   The performers category is meant for recording artists and bands that have `` influence and significance to the development and perpetuation of rock and roll . '' Artists become eligible for induction in that category 25 years after the release of their first record . In order to be inducted , an artist must be nominated by a committee that selects anywhere from nine to a dozen candidates . Ballots are sent to 600 `` rock experts '' who then evaluate the candidates and vote on who should be inducted . The performers who receive the highest number of votes and more than 50 percent of the vote are inducted . In 2011 , the number inducted was five . The rest of the categories are voted on by special committees . In 2012 , six additional bands and groups were inducted as performers by a special committee , due to the controversial nature of their band being excluded when their lead singer was inducted . `` There was a lot of discussion about this , '' said Terry Stewart , a member of the nominating committee . `` There had always been conversations about why the groups were n't included when the lead singers were inducted . Very honestly , nobody could really answer that question -- it was so long ago ... We decided we 'd sit down as an organization and look at that . This is the result . ''     Year   Image   Name   Inducted members     1986     Berry , Chuck Chuck Berry       1986     Brown , James James Brown       1986     Charles , Ray Ray Charles       1986     Cooke , Sam Sam Cooke       1986     Domino , Fats Fats Domino       1986     Everly Brothers ! The Everly Brothers   Don Everly and Phil Everly .     1986     Holly , Buddy Buddy Holly       1986     Lewis , Jerry Lee Jerry Lee Lewis       1986     Little Richard       1986     Presley , Elvis Elvis Presley           Coasters ! The Coasters   Carl Gardner , Cornell Gunter , Billy Guy , and Will `` Dub '' Jones .         Cochran , Eddie Eddie Cochran           Diddley , Bo Bo Diddley           Franklin , Aretha Aretha Franklin           Gaye , Marvin Marvin Gaye           Haley , Bill Bill Haley           King , B.B. B.B. King           McPhatter , Clyde Clyde McPhatter           Nelson , Ricky Ricky Nelson           Orbison , Roy Roy Orbison           Perkins , Carl Carl Perkins           Robinson , Smokey Smokey Robinson           Turner , Big Joe Big Joe Turner           Waters , Muddy Muddy Waters           Wilson , Jackie Jackie Wilson       1988     Beach Boys ! The Beach Boys   Al Jardine , Mike Love , Brian Wilson , Carl Wilson , and Dennis Wilson .     1988     Beatles ! The Beatles   George Harrison , John Lennon , Paul McCartney , and Ringo Starr .     1988     Drifters ! The Drifters   Ben E. King , Rudy Lewis , Clyde McPhatter , Johnny Moore , Bill Pinkney , Charlie Thomas , and Gerhart Thrasher .     1988     Dylan , Bob Bob Dylan       1988     Supremes ! The Supremes   Florence Ballard , Diana Ross , and Mary Wilson .     1989     Dion ! Dion       1989     Redding , Otis Otis Redding       1989     Rolling Stones ! The Rolling Stones   Mick Jagger , Brian Jones , Keith Richards , Ian Stewart , Mick Taylor , Charlie Watts , Ronnie Wood , and Bill Wyman .     1989     Temptations ! The Temptations   Melvin Franklin , Eddie Kendricks , David Ruffin , Otis Williams , Paul Williams , Dennis Edwards .     1989     Wonder , Stevie Stevie Wonder       1990   --   Ballard , Hank Hank Ballard       1990     Darin , Bobby Bobby Darin       1990     Four Seasons ! The Four Seasons   Tom DeVito , Bob Gaudio , Nick Massi , and Frankie Valli .     1990     Four Tops ! Four Tops   Renaldo `` Obie '' Benson , Abdul `` Duke '' Fakir , Lawrence Payton , and Levi Stubbs .     1990     Kinks ! The Kinks   Mick Avory , Dave Davies , Ray Davies , and Pete Quaife .     1990     Platters ! The Platters   David Lynch , Herb Reed , Paul Robi , Zola Taylor , and Tony Williams .     1990     Simon &amp; Garfunkel   Paul Simon and Art Garfunkel .     1990     Who ! The Who   Roger Daltrey , John Entwistle , Keith Moon , and Pete Townshend .     1991     Baker , LaVern LaVern Baker       1991     Byrds ! The Byrds   Gene Clark , Michael Clarke , David Crosby , Chris Hillman , and Roger McGuinn .     1991     Hooker , John Lee John Lee Hooker       1991   --   Impressions ! The Impressions   Curtis Mayfield , Sam Gooden , Fred Cash , Arthur Brooks , Richard Brooks , and Jerry Butler .     1991     Pickett , Wilson Wilson Pickett       1991     Reed , Jimmy Jimmy Reed       1991     Turner , Ike &amp; Tina Ike &amp; Tina Turner   Ike Turner and Tina Turner .     1992     Bland , Bobby ! Bobby `` Blue '' Bland       1992     Booker T. &amp; the M.G. 's   Booker T. Jones , Steve Cropper , Donald `` Duck '' Dunn , Al Jackson Jr. , and Lewie Steinberg .     1992     Cash , Johnny Johnny Cash       1992     Isley Brothers ! The Isley Brothers   Ernie Isley , Marvin Isley , O'Kelly Isley Jr. , Ronald Isley , Rudolph Isley , and Chris Jasper .     1992     Hendrix Experience , The Jimi The Jimi Hendrix Experience   Jimi Hendrix , Mitch Mitchell , and Noel Redding .     1992     Sam &amp; Dave   Sam Moore and Dave Prater .     1992     Yardbirds ! The Yardbirds   Jeff Beck , Eric Clapton , Chris Dreja , Jim McCarty , Jimmy Page , Keith Relf , and Paul Samwell - Smith .     1993     Brown , Ruth Ruth Brown       1993     Cream   Ginger Baker , Jack Bruce , and Eric Clapton .     1993     Creedence Clearwater Revival   Doug Clifford , Stu Cook , John Fogerty , and Tom Fogerty .     1993     Doors ! The Doors   John Densmore , Robby Krieger , Ray Manzarek , and Jim Morrison .     1993     Lymon &amp; The Teenagers , Frankie Frankie Lymon &amp; The Teenagers   Herman Santiago , Jimmy Merchant , Sherman Garnes , Frankie Lymon , and Joe Negroni     1993     James , Etta Etta James       1993     Morrison , Van Van Morrison       1993     Sly and the Family Stone   Gregg Errico , Larry Graham , Jerry Martini , Cynthia Robinson , Freddie Stone , Rosie Stone , and Sly Stone .     1994     Animals ! The Animals   Eric Burdon , Chas Chandler , Alan Price , John Steel , and Hilton Valentine .     1994     Band ! The Band   Rick Danko , Levon Helm , Garth Hudson , Richard Manuel , and Robbie Robertson .     1994     Eddy , Duane Duane Eddy       1994     Grateful Dead   Tom Constanten , Jerry Garcia , Donna Jean Godchaux , Keith Godchaux , Mickey Hart , Robert Hunter , Bill Kreutzmann , Phil Lesh , Ron McKernan , Brent Mydland , Bob Weir , and Vince Welnick .     1994     John , Elton Elton John       1994     Lennon , John John Lennon       1994     Marley , Bob Bob Marley       1994     Stewart , Rod Rod Stewart       1995     Allman Brothers Band ! The Allman Brothers Band   Duane Allman , Gregg Allman , Dickey Betts , Jai Johanny Johanson , Berry Oakley , and Butch Trucks .     1995     Green , Al Al Green       1995     Joplin , Janis Janis Joplin       1995     Led Zeppelin   John Bonham , John Paul Jones , Jimmy Page , and Robert Plant     1995     Martha and the Vandellas   Rosalind Ashford , Annette Beard , Betty Kelly , Lois Reeves , Martha Reeves , and Sandra Tilley .     1995       Young , Neil Neil Young       1995     Zappa , Frank Frank Zappa           Bowie , David David Bowie           Knight &amp; the Pips , Gladys Gladys Knight &amp; the Pips   William Guest , Gladys Knight , Merald `` Bubba '' Knight , and Edward Patten .         Jefferson Airplane   Marty Balin , Jack Casady , Spencer Dryden , Paul Kantner , Jorma Kaukonen , and Grace Slick .         Little Willie John           Pink Floyd   Syd Barrett , David Gilmour , Nick Mason , Roger Waters , and Rick Wright .         Shirelles ! The Shirelles   Shirley Alston Reeves , Addie Harris , Doris Kenner - Jackson , and Beverly Lee .         Velvet Underground ! The Velvet Underground   John Cale , Sterling Morrison , Lou Reed , and Maureen Tucker .     1997     Bee Gees   Barry Gibb , Maurice Gibb , and Robin Gibb .     1997     Buffalo Springfield   Richie Furay , Dewey Martin , Bruce Palmer , Stephen Stills , and Neil Young .     1997     Crosby , Stills &amp; Nash   David Crosby , Graham Nash , and Stephen Stills .     1997     Jackson 5 , The The Jackson 5   Jackie Jackson , Jermaine Jackson , Marlon Jackson , Michael Jackson , and Tito Jackson .     1997     Mitchell , Joni Joni Mitchell       1997     Parliament - Funkadelic   Jerome Brailey , George Clinton , Bootsy Collins , Raymond Davis , Tiki Fulwood , Glenn Goins , Michael Hampton , Fuzzy Haskins , Eddie Hazel , Walter Morrison , Cordell Mosson , William `` Billy Bass '' Nelson , Garry Shider , Calvin Simon , Grady Thomas , and Bernie Worrell .     1997     Rascals ! The ( Young ) Rascals   Eddie Brigati , Felix Cavaliere , Gene Cornish , and Dino Danelli .     1998     Eagles   Don Felder , Glenn Frey , Don Henley , Bernie Leadon , Randy Meisner , Timothy B. Schmit , and Joe Walsh .     1998     Fleetwood Mac   Lindsey Buckingham , Mick Fleetwood , Peter Green , Danny Kirwan , Christine McVie , John McVie , Stevie Nicks , and Jeremy Spencer .     1998     Mamas &amp; The Papas ! The Mamas &amp; the Papas   Denny Doherty , Cass Elliot , John Phillips , and Michelle Phillips .     1998     Price , Lloyd Lloyd Price       1998     Santana   Jose Chepito Areas , David Brown , Michael Carabello , Gregg Rolie , Carlos Santana , and Michael Shrieve .     1998     Vincent , Gene Gene Vincent       1999     Joel , Billy Billy Joel       1999     Mayfield , Curtis Curtis Mayfield       1999     McCartney , Paul Paul McCartney       1999     Shannon , Del Del Shannon       1999     Springfield , Dusty Dusty Springfield       1999     Springsteen , Bruce Bruce Springsteen       1999     Staple Singers , The The Staple Singers   Cleotha Staples , Mavis Staples , Pervis Staples , Pops Staples , and Yvonne Staples .     2000     Clapton , Eric Eric Clapton       2000     Earth , Wind &amp; Fire   Philip Bailey , Larry Dunn , Johnny Graham , Ralph Johnson , Al McKay , Fred White , Maurice White , Verdine White , and Andrew Woolfolk .     2000     Lovin ' Spoonful , The The Lovin ' Spoonful   Steve Boone , Joe Butler , John Sebastian , and Zal Yanovsky .     2000     Moonglows , The The Moonglows   Prentiss Barnes , Harvey Fuqua , Peter Graves , Billy Johnson , and Bobby Lester .     2000     Raitt , Bonnie Bonnie Raitt       2000     Taylor , James James Taylor       2001     Aerosmith   Tom Hamilton , Joey Kramer , Joe Perry , Steven Tyler , and Brad Whitford .     2001     Burke , Solomon Solomon Burke       2001     Flamingos , The The Flamingos   Jake Carey , Zeke Carey , Johnny Carter , Tommy Hunt , Terry `` Buzzy '' Johnson , Sollie McElroy , Nate Nelson , and Paul Wilson .     2001     Jackson , Michael Michael Jackson       2001     Queen   John Deacon , Brian May , Freddie Mercury , and Roger Taylor .     2001     Simon , Paul Paul Simon       2001     Steely Dan   Walter Becker and Donald Fagen .     2001     Valens , Ritchie Ritchie Valens       2002     Hayes , Isaac Isaac Hayes       2002     Lee , Brenda Brenda Lee       2002     Petty and the Heartbreakers , Tom Tom Petty and the Heartbreakers   Tom Petty , Ron Blair , Mike Campbell , Howie Epstein , Stan Lynch , and Benmont Tench .     2002     Pitney , Gene Gene Pitney       2002     Ramones   Dee Dee Ramone , Joey Ramone , Johnny Ramone , Marky Ramone , and Tommy Ramone .     2002     Talking Heads   David Byrne , Chris Frantz , Jerry Harrison , and Tina Weymouth .     2003     AC / DC   Brian Johnson , Phil Rudd , Bon Scott , Cliff Williams , Angus Young , and Malcolm Young .     2003     Clash , The The Clash   Terry Chimes , Topper Headon , Mick Jones , Paul Simonon , and Joe Strummer .     2003     Costello &amp; the Attractions , Elvis Elvis Costello &amp; the Attractions   Elvis Costello , Steve Nieve , Bruce Thomas , and Pete Thomas .     2003     Police , The The Police   Stewart Copeland , Sting , and Andy Summers .     2003     Righteous Brothers , The The Righteous Brothers   Bobby Hatfield and Bill Medley .         Browne , Jackson Jackson Browne           Dells , The The Dells   Verne Allison , Chuck Barksdale , Johnny Carter , Johnny Funches , Marvin Junior , and Michael McGill .         Harrison , George George Harrison           Prince           Seger , Bob Bob Seger           Traffic   Jim Capaldi , Dave Mason , Steve Winwood , and Chris Wood .         ZZ Top   Frank Beard , Billy Gibbons , and Dusty Hill .     2005     Guy , Buddy Buddy Guy       2005     O'Jays , The The O'Jays   Eddie Levert , Bobby Massey , William Powell , Sammy Strain , and Walter Williams .     2005     Pretenders   Martin Chambers , Pete Farndon , James Honeyman - Scott , and Chrissie Hynde .     2005     Sledge , Percy Percy Sledge       2005     U2   Bono , Adam Clayton , The Edge , and Larry Mullen , Jr ...     2006     Black Sabbath   Geezer Butler , Tony Iommi , Ozzy Osbourne , and Bill Ward .     2006     Blondie   Clem Burke , Jimmy Destri , Nigel Harrison , Debbie Harry , Frank Infante , Chris Stein , and Gary Valentine .     2006     Davis , Miles Miles Davis       2006     Lynyrd Skynyrd   Bob Burns , Allen Collins , Steve Gaines , Ed King , Billy Powell , Artimus Pyle , Gary Rossington , Ronnie Van Zant , and Leon Wilkeson .     2006     Sex Pistols   Paul Cook , Steve Jones , Glen Matlock , John Lydon , and Sid Vicious .     2007     Grandmaster Flash and The Furious Five   Melvin `` Melle Mel '' Glover , Nathaniel `` The Kidd Creole '' Glover , Eddie `` Scorpio '' Morris , Joseph `` Grandmaster Flash '' Sadler , Robert Keith `` Keef Cowboy '' Wiggins , and Guy Todd `` Rahiem '' Williams .     2007     R.E.M.   Bill Berry , Peter Buck , Mike Mills , and Michael Stipe .     2007     Ronettes , The The Ronettes   Estelle Bennett , Ronnie Spector , and Nedra Talley .     2007     Smith , Patti Patti Smith       2007     Van Halen   Michael Anthony , Sammy Hagar , David Lee Roth , Alex Van Halen , and Eddie Van Halen .     2008     Clark Five , The Dave The Dave Clark Five   Dave Clark , Lenny Davidson , Rick Huxley , Denis Payton , and Mike Smith .     2008     Cohen , Leonard Leonard Cohen       2008     Madonna       2008     Mellencamp , John John Mellencamp       2008     Ventures , The The Ventures   Bob Bogle , Nokie Edwards , Gerry McGee , Mel Taylor , and Don Wilson .     2009     Beck , Jeff Jeff Beck       2009     Little Anthony and the Imperials   Clarence Collins , Anthony Gourdine , Tracy Lord , Glouster `` Nat '' Rogers , Sammy Strain , and Ernest Wright Jr .     2009     Metallica   Cliff Burton , Kirk Hammett , James Hetfield , Jason Newsted , Robert Trujillo , and Lars Ulrich .     2009     Run -- D.M.C.   Darryl `` D.M.C. '' McDaniels , Jason `` Jam - Master Jay '' Mizell , and Joseph `` DJ Run '' Simmons .     2009     Womack , Bobby Bobby Womack           ABBA   Benny Andersson , Agnetha Fältskog , Anni - Frid Lyngstad , and Björn Ulvaeus .         Genesis   Tony Banks , Phil Collins , Peter Gabriel , Steve Hackett , and Mike Rutherford .         Cliff , Jimmy Jimmy Cliff           Hollies , The The Hollies   Bernie Calvert , Allan Clarke , Bobby Elliott , Eric Haydock , Tony Hicks , Graham Nash , and Terry Sylvester .         Stooges , The The Stooges   Dave Alexander , Ron Asheton , Scott Asheton , Iggy Pop , and James Williamson .     2011     Alice Cooper   Alice Cooper , Michael Owen Bruce , Glen Buxton , Dennis Dunaway , and Neal Smith .     2011     Diamond , Neil Neil Diamond       2011     Dr. John       2011     Love , Darlene Darlene Love       2011     Waits , Tom Tom Waits       2012     Beastie Boys   Michael `` Mike D '' Diamond , Adam `` Ad - Rock '' Horovitz , and Adam `` MCA '' Yauch .     2012   --   Blue Caps ! The Blue Caps   Backing band for Gene Vincent . Inducted : Tommy Facenda , Cliff Gallup , Dickie Harrell , Bobby Jones , Johnny Meeks , Jack Neal , Paul Peek , and Willie Williams .     2012     Comets ! The Comets   Backing band for Bill Haley . Inducted : Joey Ambrose , Franny Beecher , Danny Cedrone , Johnny Grande , Ralph Jones , Marshall Lytle , Rudy Pompilli , Al Rex , Dick Richards , and Billy Williamson .     2012     Crickets ! The Crickets   Backing band for Buddy Holly . Inducted : Jerry Allison , Sonny Curtis , Joe B. Mauldin , and Niki Sullivan .     2012     Donovan       2012     Famous Flames ! The Famous Flames   Backing vocal group for James Brown . Inducted : Bobby Bennett , Bobby Byrd , Lloyd Stallworth , and Johnny Terry .     2012     Guns N ' Roses   Steven Adler , Duff McKagan , Dizzy Reed , Axl Rose , Slash , Matt Sorum , and Izzy Stradlin .     2012   --   Midnighters ! The Midnighters   Backing vocal group for Hank Ballard . Inducted : Henry Booth , Billy Davis , Cal Green , Arthur Porter , Lawson Smith , Charles Sutton , Norman Thrasher , and Sonny Woods .     2012     Miracles ! The Miracles   Backing vocal group for Smokey Robinson . Inducted : Claudette Rogers , Bobby Rogers , Ronald White , Marv Tarplin , and Pete Moore .     2012     Nyro , Laura Laura Nyro       2012     Red Hot Chili Peppers   Flea , John Frusciante , Jack Irons , Anthony Kiedis , Josh Klinghoffer , Cliff Martinez , Hillel Slovak , and Chad Smith .     2012   --   Small Faces / Faces   Kenney Jones , Ronnie Lane , Ian McLagan , Steve Marriott , Rod Stewart , and Ronnie Wood .     2013     Heart   Michael DeRosier , Roger Fisher , Steve Fossen , Howard Leese , Ann Wilson , and Nancy Wilson .     2013     King , Albert Albert King       2013     Newman , Randy Randy Newman       2013     Public Enemy   Flavor Flav , Professor Griff , Terminator X , and Chuck D .     2013     Rush   Geddy Lee , Alex Lifeson , and Neil Peart .     2013     Summer , Donna Donna Summer       2014     Gabriel , Peter Peter Gabriel       2014     Hall &amp; Oates   Daryl Hall and John Oates .     2014     Kiss   Peter Criss , Ace Frehley , Gene Simmons , and Paul Stanley .     2014     Nirvana   Kurt Cobain , Dave Grohl , and Krist Novoselic .     2014     Ronstadt , Linda Linda Ronstadt       2014     Stevens , Cat Cat Stevens     2015     Butterfield Blues Band , The Paul The Paul Butterfield Blues Band   Paul Butterfield , Mike Bloomfield , Elvin Bishop , Mark Naftalin , Jerome Arnold , Billy Davenport , and Sam Lay .     2015     Jett &amp; the Blackhearts , Joan Joan Jett &amp; the Blackhearts   Joan Jett , Gary Ryan , Lee Crystal , and Ricky Byrd .     2015     Reed , Lou Lou Reed       2015     Green Day   Billie Joe Armstrong , Tré Cool , and Mike Dirnt .     2015     Vaughan , Stevie Ray Stevie Ray Vaughan and Double Trouble   Stevie Ray Vaughan , Chris Layton , Tommy Shannon , and Reese Wynans .     2015     Withers , Bill Bill Withers       2016     Cheap Trick   Bun E. Carlos , Rick Nielsen , Tom Petersson , and Robin Zander .     2016     Chicago   Peter Cetera , Terry Kath , Robert Lamm , Lee Loughnane , James Pankow , Walter Parazaider , and Danny Seraphine .     2016     Deep Purple   Ritchie Blackmore , David Coverdale , Rod Evans , Ian Gillan , Roger Glover , Glenn Hughes , Jon Lord , and Ian Paice     2016     N.W.A   DJ Yella , Ice Cube , MC Ren , Eazy - E , and Dr. Dre     2016     Miller , Steve Steve Miller       2017     Electric Light Orchestra   Bev Bevan , Jeff Lynne , Richard Tandy , and Roy Wood     2017     Baez , Joan Joan Baez       2017     Journey   Jonathan Cain , Aynsley Dunbar , Steve Perry , Gregg Rolie , Neal Schon , Steve Smith , and Ross Valory     2017     Pearl Jam   Jeff Ament , Matt Cameron , Stone Gossard , Dave Krusen , Mike McCready , and Eddie Vedder     2017     Tupac Shakur       2017     Yes   Jon Anderson , Bill Bruford , Steve Howe , Tony Kaye , Trevor Rabin , Chris Squire , Rick Wakeman , and Alan White     ^ Note 1 . These backing bands were inducted by a separate committee , and not by the ballot voting used for all other performer inductees .   Early influences ( edit )  Woody Guthrie , inducted in 1988 . Louis Armstrong , inducted in 1990 . Pete Seeger , inducted in 1996 . Charles Brown , inducted in 1999 .  Artists inducted into the early influences category are those `` whose music predated rock and roll but had an impact on the evolution of rock and roll and inspired rock 's leading artists . '' Unlike the performers category , these inductees are selected by a committee . The full process is not transparent and it is unclear who comprises this selection committee .     Year   Name     1986   Rodgers , Jimmie Jimmie Rodgers     1986   Yancey , Jimmy Jimmy Yancey     1986   Johnson , Robert Robert Johnson       Jordan , Louis Louis Jordan       Walker , T - Bone T - Bone Walker       Williams , Hank Hank Williams     1988   Guthrie , Woody Woody Guthrie     1988   Lead Belly     1988   Les Paul     1989   Ink Spots ! The Ink Spots     1989   Smith , Bessie Bessie Smith     1989   Soul Stirrers ! The Soul Stirrers     1990   Christian , Charlie Charlie Christian     1990   Armstrong , Louis Louis Armstrong     1990   Rainey , Ma Ma Rainey     1991   Howlin ' Wolf     1992   James , Elmore Elmore James     1992   Longhair , Professor Professor Longhair     1993   Washington , Dinah Dinah Washington     1994   Dixon , Willie Willie Dixon     1995   Orioles , The The Orioles       Seeger , Pete Pete Seeger     1997   Jackson , Mahalia Mahalia Jackson     1997   Monroe , Bill Bill Monroe     1998   Jelly Roll Morton     1999   Bob Wills &amp; His Texas Playboys     1999   Brown , Charles Charles Brown     2000   Cole , Nat ! Nat King Cole     2000   Holiday , Billie Billie Holiday     2009   Jackson , Wanda Wanda Jackson     2012   King , Freddie Freddie King     2015   5 Royalses ! The `` 5 '' Royales     ^ A. Inducted members : Bill Kenny , Charlie Fuqua , Deek Watson , and Orville `` Hoppy '' Jones . ^ B. Inducted members : Roy Crain Sr. , R.H. Harris , Jesse Farley , and E.A. Rundless . ^ C. Inducted members : Sonny Til , Tommy Gaither , George Nelson , Johnny Reed , and Alexander Sharp . ^ D. Inducted members : Bob Wills , Tommy Duncan , Leon McAuliffe , Johnny Gimble , Joe `` Jody '' Holley , Tiny Moore , Herb Remington , Eldon Shamblin , and Al Stricklin . ^ E. Nominated as a performer . ^ F. Inducted members : John L. Tanner , Eugene Tanner , James E. Moore , Obadiah H. Carter and Lowman Pauling , Jr   Non-performers ( Ahmet Ertegün Award ) ( edit )  Carole King , inducted in 1990 Dick Clark , inducted in 1993 Clive Davis , inducted in 2000  The non-performer category honors `` songwriters , producers , disc jockeys , record executives , journalists and other industry professionals who have had a major influence on the development of rock and roll . '' Several of the inductees in this category were in fact prominent performers as well . The inductees in this category are selected by the same committee that chooses the early influences . The full process is not transparent and it is unclear who comprises this selection committee . This category has been criticized for inducting those that have `` been coming to the dinner for years and paying for their tickets '' and not revealing their full criteria . In 2008 , this category was renamed the `` Ahmet Ertegün Award '' .     Year   Name     1986   Freed , Alan Alan Freed     1986   Phillips , Sam Sam Phillips       Chess , Leonard Leonard Chess       Ertegun , Ahmet Ahmet Ertegun       Leiber ! Jerry Leiber and Mike Stoller       Wexler , Jerry Jerry Wexler     1988   Gordy , Jr. , Berry Berry Gordy , Jr .     1989   Spector , Phil Phil Spector     1990   Gerry Goffin and Carole King     1990   Holland -- Dozier -- Holland     1991   Bartholomew , Dave Dave Bartholomew     1991   Bass , Ralph Ralph Bass     1992   Fender , Leo Leo Fender     1992   Graham , Bill Bill Graham     1992   Pomus , Doc Doc Pomus     1993   Clark , Dick Dick Clark     1993   Gabler , Milt Milt Gabler     1994   Otis , Johnny Johnny Otis     1995   Ackerman , Paul Paul Ackerman       Donahue , Tom Tom Donahue     1997   Nathan , Syd Syd Nathan     1998   Toussaint , Allen Allen Toussaint     1999   Martin , George George Martin     2000   Davis , Clive Clive Davis     2001   Blackwell , Chris Chris Blackwell     2002   Stewart , Jim Jim Stewart     2003   Ostin , Mo Mo Ostin     2008   Kenny Gamble and Leon Huff       Geffen , David David Geffen       Blackwell , Otis Otis Blackwell       Jeff Barry and Ellie Greenwich       Shuman , Mort Mort Shuman       Stone , Jesse Jesse Stone       Barry Mann and Cynthia Weil     2011   Holzman , Jac Jac Holzman     2011   Rupe , Art Art Rupe     2012   Kirshner , Don Don Kirshner     2013   Adler , Lou Lou Adler     2013   Jones , Quincy Quincy Jones     2014   Epstein , Brian Brian Epstein     2014   Andrew Loog Oldham     2016   Berns , Bert Bert Berns     Award for Musical Excellence ( edit )  Leon Russell , inducted in 2011 .  This category , which replaced sidemen , `` honors those musicians , producers and others who have spent their careers out of the spotlight working with major artists on various parts of their recording and live careers . ''     Year   Name     2011   Russell , Leon Leon Russell     2012   Matassa , Cosimo Cosimo Matassa     2012   Dowd , Tom Tom Dowd     2012   Johns , Glyn Glyn Johns     2014   E Street Band     2015   Ringo Starr     2017   Nile Rodgers     ^ G. Inducted members : Garry Tallent , Roy Bittan , Max Weinberg , Steven Van Zandt , Nils Lofgren , Patti Scialfa , Clarence Clemons , Danny Federici , Vini Lopez , David Sancious .   Sidemen ( edit )   Established in 2000 , the sidemen category `` honors those musicians who have spent their careers out of the spotlight , performing as backup musicians for major artists on recording sessions and in concert . '' A separate committee , composed mainly of producers , chooses the inductees . In 2010 , the category was renamed to `` Award for Musical Excellence '' . According to Joel Peresman , the president of the Rock and Roll Hall of Fame Foundation , `` This award gives us flexibility to dive into some things and recognize some people who might not ordinarily get recognized . ''  James Burton , inducted in 2001 .    Year   Name   Instrument     2000   Blaine , Hal Hal Blaine   Drums     2000   Curtis , King King Curtis   Saxophone     2000   Jamerson , James James Jamerson   Bass guitar     2000   Moore , Scotty Scotty Moore   Guitar     2000   Palmer , Earl Earl Palmer   Drums     2001   Burton , James James Burton   Guitar     2001   Johnson , Johnnie Johnnie Johnson   Piano     2002   Atkins , Chet Chet Atkins   Guitar     2003   Benjamin , Benny Benny Benjamin   Drums     2003   Cramer , Floyd Floyd Cramer   Piano     2003   Douglas , Steve Steve Douglas   Saxophone     2008   Walter , Little Little Walter   Harmonica     2009   Black , Bill Bill Black   Bass guitar     2009   Fontana , D.J. D.J. Fontana   Drums     2009   Oldham , Spooner Spooner Oldham   Keyboard     Lifetime achievement ( edit )   The following were inducted for `` Lifetime Achievement in the Non-Performer Category . ''     Year   Name     1986   Hammond , John John Hammond     1991   Ertegun , Nesuhi Nesuhi Ertegun       Wenner , Jann Jann Wenner     2005   Barsalona , Frank Frank Barsalona     2005   Stein , Seymour Seymour Stein     2006   Herb Alpert and Jerry Moss     Multiple inductees ( edit )   As of 2017 , 22 performers have been inducted twice or more ; fourteen have been recognized as a solo artist and with a band and seven have been inducted with two separate bands . Eric Clapton is the only one to be inducted three times : as a solo artist , with Cream and The Yardbirds . Clyde McPhatter was the first to ever be inducted twice and is one of three artists to be inducted first as a solo artist and then as a member of a band , the other artists being Neil Young and Rod Stewart . Stephen Stills is the only artist to be inducted twice in the same year . Crosby , Stills &amp; Nash , inducted in 1997 , is the only band to see all of its inducted members be inducted with other acts : David Crosby with The Byrds in 1991 , Stephen Stills with Buffalo Springfield in 1997 , and Graham Nash with The Hollies in 2010 . The Beatles , inducted in 1988 , is the second band to have all of its members be inducted , as well as the only band to have each of its members be inducted for their solo careers as their second induction . Ringo Starr is the first inductee to be inducted twice in different categories ( The Beatles were inducted in the performers category in 1988 and Starr was inducted as a solo artist in the Award for Musical Excellence category in 2015 ) . He also holds the record for the longest time between first and second inductions , at 27 years . Both of Stills ' inductions happened during the 1997 ceremony and Clapton and McPhatter were inducted in back - to - back years ( 1987 / 88 for McPhatter , 1992 / 93 for Clapton , as well as his solo induction in 2000 ) . The Traveling Wilburys are the only band to have all of its members be inducted without the band itself having been inducted : Roy Orbison as a solo artist in 1987 , Bob Dylan as a solo artist in 1988 , George Harrison with the Beatles in 1988 and as a solo artist in 2004 , Tom Petty with Tom Petty and the Heartbreakers in 2002 , and Jeff Lynne with the Electric Light Orchestra in 2017 .       Name   First   Year   Second   Year   Third   Year       Beck , Jeff Jeff Beck   Yardbirds ! The Yardbirds   1992   zzzzz ! Solo career   2009   --   --       Carter , Johnny Johnny Carter   Flamingos ! The Flamingos   2001   Dells ! The Dells     --   --       Clapton , Eric Eric Clapton   Yardbirds ! The Yardbirds   1992   Cream   1993   Solo career   2000       Crosby , David David Crosby   Byrds ! The Byrds   1991   Crosby , Stills &amp; Nash   1997   --   --       Gabriel , Peter Peter Gabriel   Genesis ! Genesis     Solo career   2014   --   --       Harrison , George George Harrison   Beatles ! The Beatles   1988   zzzzz ! Solo career     --   --       Jackson , Michael Michael Jackson   Jackson Five ! The Jackson Five   1997   zzzzz ! Solo career   2001   --   --       Lennon , John John Lennon   Beatles ! The Beatles   1988   zzzzz ! Solo career   1994   --   --       Mayfield , Curtis Curtis Mayfield   Impressions ! The Impressions   1991   zzzzz ! Solo career   1999   --   --       McCartney , Paul Paul McCartney   Beatles ! The Beatles   1988   zzzzz ! Solo career   1999   --   --       McPhatter , Clyde Clyde McPhatter   zz</t>
  </si>
  <si>
    <t xml:space="preserve">who was inducted into rock and roll hall of fame 2017</t>
  </si>
  <si>
    <t xml:space="preserve">   Year   Image   Name   Inducted members     1986     Berry , Chuck Chuck Berry       1986     Brown , James James Brown       1986     Charles , Ray Ray Charles       1986     Cooke , Sam Sam Cooke       1986     Domino , Fats Fats Domino       1986     Everly Brothers ! The Everly Brothers   Don Everly and Phil Everly .     1986     Holly , Buddy Buddy Holly       1986     Lewis , Jerry Lee Jerry Lee Lewis       1986     Little Richard       1986     Presley , Elvis Elvis Presley           Coasters ! The Coasters   Carl Gardner , Cornell Gunter , Billy Guy , and Will `` Dub '' Jones .         Cochran , Eddie Eddie Cochran           Diddley , Bo Bo Diddley           Franklin , Aretha Aretha Franklin           Gaye , Marvin Marvin Gaye           Haley , Bill Bill Haley           King , B.B. B.B. King           McPhatter , Clyde Clyde McPhatter           Nelson , Ricky Ricky Nelson           Orbison , Roy Roy Orbison           Perkins , Carl Carl Perkins           Robinson , Smokey Smokey Robinson           Turner , Big Joe Big Joe Turner           Waters , Muddy Muddy Waters           Wilson , Jackie Jackie Wilson       1988     Beach Boys ! The Beach Boys   Al Jardine , Mike Love , Brian Wilson , Carl Wilson , and Dennis Wilson .     1988     Beatles ! The Beatles   George Harrison , John Lennon , Paul McCartney , and Ringo Starr .     1988     Drifters ! The Drifters   Ben E. King , Rudy Lewis , Clyde McPhatter , Johnny Moore , Bill Pinkney , Charlie Thomas , and Gerhart Thrasher .     1988     Dylan , Bob Bob Dylan       1988     Supremes ! The Supremes   Florence Ballard , Diana Ross , and Mary Wilson .     1989     Dion ! Dion       1989     Redding , Otis Otis Redding       1989     Rolling Stones ! The Rolling Stones   Mick Jagger , Brian Jones , Keith Richards , Ian Stewart , Mick Taylor , Charlie Watts , Ronnie Wood , and Bill Wyman .     1989     Temptations ! The Temptations   Melvin Franklin , Eddie Kendricks , David Ruffin , Otis Williams , Paul Williams , Dennis Edwards .     1989     Wonder , Stevie Stevie Wonder       1990   --   Ballard , Hank Hank Ballard       1990     Darin , Bobby Bobby Darin       1990     Four Seasons ! The Four Seasons   Tom DeVito , Bob Gaudio , Nick Massi , and Frankie Valli .     1990     Four Tops ! Four Tops   Renaldo `` Obie '' Benson , Abdul `` Duke '' Fakir , Lawrence Payton , and Levi Stubbs .     1990     Kinks ! The Kinks   Mick Avory , Dave Davies , Ray Davies , and Pete Quaife .     1990     Platters ! The Platters   David Lynch , Herb Reed , Paul Robi , Zola Taylor , and Tony Williams .     1990     Simon &amp; Garfunkel   Paul Simon and Art Garfunkel .     1990     Who ! The Who   Roger Daltrey , John Entwistle , Keith Moon , and Pete Townshend .     1991     Baker , LaVern LaVern Baker       1991     Byrds ! The Byrds   Gene Clark , Michael Clarke , David Crosby , Chris Hillman , and Roger McGuinn .     1991     Hooker , John Lee John Lee Hooker       1991   --   Impressions ! The Impressions   Curtis Mayfield , Sam Gooden , Fred Cash , Arthur Brooks , Richard Brooks , and Jerry Butler .     1991     Pickett , Wilson Wilson Pickett       1991     Reed , Jimmy Jimmy Reed       1991     Turner , Ike &amp; Tina Ike &amp; Tina Turner   Ike Turner and Tina Turner .     1992     Bland , Bobby ! Bobby `` Blue '' Bland       1992     Booker T. &amp; the M.G. 's   Booker T. Jones , Steve Cropper , Donald `` Duck '' Dunn , Al Jackson Jr. , and Lewie Steinberg .     1992     Cash , Johnny Johnny Cash       1992     Isley Brothers ! The Isley Brothers   Ernie Isley , Marvin Isley , O'Kelly Isley Jr. , Ronald Isley , Rudolph Isley , and Chris Jasper .     1992     Hendrix Experience , The Jimi The Jimi Hendrix Experience   Jimi Hendrix , Mitch Mitchell , and Noel Redding .     1992     Sam &amp; Dave   Sam Moore and Dave Prater .     1992     Yardbirds ! The Yardbirds   Jeff Beck , Eric Clapton , Chris Dreja , Jim McCarty , Jimmy Page , Keith Relf , and Paul Samwell - Smith .     1993     Brown , Ruth Ruth Brown       1993     Cream   Ginger Baker , Jack Bruce , and Eric Clapton .     1993     Creedence Clearwater Revival   Doug Clifford , Stu Cook , John Fogerty , and Tom Fogerty .     1993     Doors ! The Doors   John Densmore , Robby Krieger , Ray Manzarek , and Jim Morrison .     1993     Lymon &amp; The Teenagers , Frankie Frankie Lymon &amp; The Teenagers   Herman Santiago , Jimmy Merchant , Sherman Garnes , Frankie Lymon , and Joe Negroni     1993     James , Etta Etta James       1993     Morrison , Van Van Morrison       1993     Sly and the Family Stone   Gregg Errico , Larry Graham , Jerry Martini , Cynthia Robinson , Freddie Stone , Rosie Stone , and Sly Stone .     1994     Animals ! The Animals   Eric Burdon , Chas Chandler , Alan Price , John Steel , and Hilton Valentine .     1994     Band ! The Band   Rick Danko , Levon Helm , Garth Hudson , Richard Manuel , and Robbie Robertson .     1994     Eddy , Duane Duane Eddy       1994     Grateful Dead   Tom Constanten , Jerry Garcia , Donna Jean Godchaux , Keith Godchaux , Mickey Hart , Robert Hunter , Bill Kreutzmann , Phil Lesh , Ron McKernan , Brent Mydland , Bob Weir , and Vince Welnick .     1994     John , Elton Elton John       1994     Lennon , John John Lennon       1994     Marley , Bob Bob Marley       1994     Stewart , Rod Rod Stewart       1995     Allman Brothers Band ! The Allman Brothers Band   Duane Allman , Gregg Allman , Dickey Betts , Jai Johanny Johanson , Berry Oakley , and Butch Trucks .     1995     Green , Al Al Green       1995     Joplin , Janis Janis Joplin       1995     Led Zeppelin   John Bonham , John Paul Jones , Jimmy Page , and Robert Plant     1995     Martha and the Vandellas   Rosalind Ashford , Annette Beard , Betty Kelly , Lois Reeves , Martha Reeves , and Sandra Tilley .     1995       Young , Neil Neil Young       1995     Zappa , Frank Frank Zappa           Bowie , David David Bowie           Knight &amp; the Pips , Gladys Gladys Knight &amp; the Pips   William Guest , Gladys Knight , Merald `` Bubba '' Knight , and Edward Patten .         Jefferson Airplane   Marty Balin , Jack Casady , Spencer Dryden , Paul Kantner , Jorma Kaukonen , and Grace Slick .         Little Willie John           Pink Floyd   Syd Barrett , David Gilmour , Nick Mason , Roger Waters , and Rick Wright .         Shirelles ! The Shirelles   Shirley Alston Reeves , Addie Harris , Doris Kenner - Jackson , and Beverly Lee .         Velvet Underground ! The Velvet Underground   John Cale , Sterling Morrison , Lou Reed , and Maureen Tucker .     1997     Bee Gees   Barry Gibb , Maurice Gibb , and Robin Gibb .     1997     Buffalo Springfield   Richie Furay , Dewey Martin , Bruce Palmer , Stephen Stills , and Neil Young .     1997     Crosby , Stills &amp; Nash   David Crosby , Graham Nash , and Stephen Stills .     1997     Jackson 5 , The The Jackson 5   Jackie Jackson , Jermaine Jackson , Marlon Jackson , Michael Jackson , and Tito Jackson .     1997     Mitchell , Joni Joni Mitchell       1997     Parliament - Funkadelic   Jerome Brailey , George Clinton , Bootsy Collins , Raymond Davis , Tiki Fulwood , Glenn Goins , Michael Hampton , Fuzzy Haskins , Eddie Hazel , Walter Morrison , Cordell Mosson , William `` Billy Bass '' Nelson , Garry Shider , Calvin Simon , Grady Thomas , and Bernie Worrell .     1997     Rascals ! The ( Young ) Rascals   Eddie Brigati , Felix Cavaliere , Gene Cornish , and Dino Danelli .     1998     Eagles   Don Felder , Glenn Frey , Don Henley , Bernie Leadon , Randy Meisner , Timothy B. Schmit , and Joe Walsh .     1998     Fleetwood Mac   Lindsey Buckingham , Mick Fleetwood , Peter Green , Danny Kirwan , Christine McVie , John McVie , Stevie Nicks , and Jeremy Spencer .     1998     Mamas &amp; The Papas ! The Mamas &amp; the Papas   Denny Doherty , Cass Elliot , John Phillips , and Michelle Phillips .     1998     Price , Lloyd Lloyd Price       1998     Santana   Jose Chepito Areas , David Brown , Michael Carabello , Gregg Rolie , Carlos Santana , and Michael Shrieve .     1998     Vincent , Gene Gene Vincent       1999     Joel , Billy Billy Joel       1999     Mayfield , Curtis Curtis Mayfield       1999     McCartney , Paul Paul McCartney       1999     Shannon , Del Del Shannon       1999     Springfield , Dusty Dusty Springfield       1999     Springsteen , Bruce Bruce Springsteen       1999     Staple Singers , The The Staple Singers   Cleotha Staples , Mavis Staples , Pervis Staples , Pops Staples , and Yvonne Staples .     2000     Clapton , Eric Eric Clapton       2000     Earth , Wind &amp; Fire   Philip Bailey , Larry Dunn , Johnny Graham , Ralph Johnson , Al McKay , Fred White , Maurice White , Verdine White , and Andrew Woolfolk .     2000     Lovin ' Spoonful , The The Lovin ' Spoonful   Steve Boone , Joe Butler , John Sebastian , and Zal Yanovsky .     2000     Moonglows , The The Moonglows   Prentiss Barnes , Harvey Fuqua , Peter Graves , Billy Johnson , and Bobby Lester .     2000     Raitt , Bonnie Bonnie Raitt       2000     Taylor , James James Taylor       2001     Aerosmith   Tom Hamilton , Joey Kramer , Joe Perry , Steven Tyler , and Brad Whitford .     2001     Burke , Solomon Solomon Burke       2001     Flamingos , The The Flamingos   Jake Carey , Zeke Carey , Johnny Carter , Tommy Hunt , Terry `` Buzzy '' Johnson , Sollie McElroy , Nate Nelson , and Paul Wilson .     2001     Jackson , Michael Michael Jackson       2001     Queen   John Deacon , Brian May , Freddie Mercury , and Roger Taylor .     2001     Simon , Paul Paul Simon       2001     Steely Dan   Walter Becker and Donald Fagen .     2001     Valens , Ritchie Ritchie Valens       2002     Hayes , Isaac Isaac Hayes       2002     Lee , Brenda Brenda Lee       2002     Petty and the Heartbreakers , Tom Tom Petty and the Heartbreakers   Tom Petty , Ron Blair , Mike Campbell , Howie Epstein , Stan Lynch , and Benmont Tench .     2002     Pitney , Gene Gene Pitney       2002     Ramones   Dee Dee Ramone , Joey Ramone , Johnny Ramone , Marky Ramone , and Tommy Ramone .     2002     Talking Heads   David Byrne , Chris Frantz , Jerry Harrison , and Tina Weymouth .     2003     AC / DC   Brian Johnson , Phil Rudd , Bon Scott , Cliff Williams , Angus Young , and Malcolm Young .     2003     Clash , The The Clash   Terry Chimes , Topper Headon , Mick Jones , Paul Simonon , and Joe Strummer .     2003     Costello &amp; the Attractions , Elvis Elvis Costello &amp; the Attractions   Elvis Costello , Steve Nieve , Bruce Thomas , and Pete Thomas .     2003     Police , The The Police   Stewart Copeland , Sting , and Andy Summers .     2003     Righteous Brothers , The The Righteous Brothers   Bobby Hatfield and Bill Medley .         Browne , Jackson Jackson Browne           Dells , The The Dells   Verne Allison , Chuck Barksdale , Johnny Carter , Johnny Funches , Marvin Junior , and Michael McGill .         Harrison , George George Harrison           Prince           Seger , Bob Bob Seger           Traffic   Jim Capaldi , Dave Mason , Steve Winwood , and Chris Wood .         ZZ Top   Frank Beard , Billy Gibbons , and Dusty Hill .     2005     Guy , Buddy Buddy Guy       2005     O'Jays , The The O'Jays   Eddie Levert , Bobby Massey , William Powell , Sammy Strain , and Walter Williams .     2005     Pretenders   Martin Chambers , Pete Farndon , James Honeyman - Scott , and Chrissie Hynde .     2005     Sledge , Percy Percy Sledge       2005     U2   Bono , Adam Clayton , The Edge , and Larry Mullen , Jr ...     2006     Black Sabbath   Geezer Butler , Tony Iommi , Ozzy Osbourne , and Bill Ward .     2006     Blondie   Clem Burke , Jimmy Destri , Nigel Harrison , Debbie Harry , Frank Infante , Chris Stein , and Gary Valentine .     2006     Davis , Miles Miles Davis       2006     Lynyrd Skynyrd   Bob Burns , Allen Collins , Steve Gaines , Ed King , Billy Powell , Artimus Pyle , Gary Rossington , Ronnie Van Zant , and Leon Wilkeson .     2006     Sex Pistols   Paul Cook , Steve Jones , Glen Matlock , John Lydon , and Sid Vicious .     2007     Grandmaster Flash and The Furious Five   Melvin `` Melle Mel '' Glover , Nathaniel `` The Kidd Creole '' Glover , Eddie `` Scorpio '' Morris , Joseph `` Grandmaster Flash '' Sadler , Robert Keith `` Keef Cowboy '' Wiggins , and Guy Todd `` Rahiem '' Williams .     2007     R.E.M.   Bill Berry , Peter Buck , Mike Mills , and Michael Stipe .     2007     Ronettes , The The Ronettes   Estelle Bennett , Ronnie Spector , and Nedra Talley .     2007     Smith , Patti Patti Smith       2007     Van Halen   Michael Anthony , Sammy Hagar , David Lee Roth , Alex Van Halen , and Eddie Van Halen .     2008     Clark Five , The Dave The Dave Clark Five   Dave Clark , Lenny Davidson , Rick Huxley , Denis Payton , and Mike Smith .     2008     Cohen , Leonard Leonard Cohen       2008     Madonna       2008     Mellencamp , John John Mellencamp       2008     Ventures , The The Ventures   Bob Bogle , Nokie Edwards , Gerry McGee , Mel Taylor , and Don Wilson .     2009     Beck , Jeff Jeff Beck       2009     Little Anthony and the Imperials   Clarence Collins , Anthony Gourdine , Tracy Lord , Glouster `` Nat '' Rogers , Sammy Strain , and Ernest Wright Jr .     2009     Metallica   Cliff Burton , Kirk Hammett , James Hetfield , Jason Newsted , Robert Trujillo , and Lars Ulrich .     2009     Run -- D.M.C.   Darryl `` D.M.C. '' McDaniels , Jason `` Jam - Master Jay '' Mizell , and Joseph `` DJ Run '' Simmons .     2009     Womack , Bobby Bobby Womack           ABBA   Benny Andersson , Agnetha Fältskog , Anni - Frid Lyngstad , and Björn Ulvaeus .         Genesis   Tony Banks , Phil Collins , Peter Gabriel , Steve Hackett , and Mike Rutherford .         Cliff , Jimmy Jimmy Cliff           Hollies , The The Hollies   Bernie Calvert , Allan Clarke , Bobby Elliott , Eric Haydock , Tony Hicks , Graham Nash , and Terry Sylvester .         Stooges , The The Stooges   Dave Alexander , Ron Asheton , Scott Asheton , Iggy Pop , and James Williamson .     2011     Alice Cooper   Alice Cooper , Michael Owen Bruce , Glen Buxton , Dennis Dunaway , and Neal Smith .     2011     Diamond , Neil Neil Diamond       2011     Dr. John       2011     Love , Darlene Darlene Love       2011     Waits , Tom Tom Waits       2012     Beastie Boys   Michael `` Mike D '' Diamond , Adam `` Ad - Rock '' Horovitz , and Adam `` MCA '' Yauch .     2012   --   Blue Caps ! The Blue Caps   Backing band for Gene Vincent . Inducted : Tommy Facenda , Cliff Gallup , Dickie Harrell , Bobby Jones , Johnny Meeks , Jack Neal , Paul Peek , and Willie Williams .     2012     Comets ! The Comets   Backing band for Bill Haley . Inducted : Joey Ambrose , Franny Beecher , Danny Cedrone , Johnny Grande , Ralph Jones , Marshall Lytle , Rudy Pompilli , Al Rex , Dick Richards , and Billy Williamson .     2012     Crickets ! The Crickets   Backing band for Buddy Holly . Inducted : Jerry Allison , Sonny Curtis , Joe B. Mauldin , and Niki Sullivan .     2012     Donovan       2012     Famous Flames ! The Famous Flames   Backing vocal group for James Brown . Inducted : Bobby Bennett , Bobby Byrd , Lloyd Stallworth , and Johnny Terry .     2012     Guns N ' Roses   Steven Adler , Duff McKagan , Dizzy Reed , Axl Rose , Slash , Matt Sorum , and Izzy Stradlin .     2012   --   Midnighters ! The Midnighters   Backing vocal group for Hank Ballard . Inducted : Henry Booth , Billy Davis , Cal Green , Arthur Porter , Lawson Smith , Charles Sutton , Norman Thrasher , and Sonny Woods .     2012     Miracles ! The Miracles   Backing vocal group for Smokey Robinson . Inducted : Claudette Rogers , Bobby Rogers , Ronald White , Marv Tarplin , and Pete Moore .     2012     Nyro , Laura Laura Nyro       2012     Red Hot Chili Peppers   Flea , John Frusciante , Jack Irons , Anthony Kiedis , Josh Klinghoffer , Cliff Martinez , Hillel Slovak , and Chad Smith .     2012   --   Small Faces / Faces   Kenney Jones , Ronnie Lane , Ian McLagan , Steve Marriott , Rod Stewart , and Ronnie Wood .     2013     Heart   Michael DeRosier , Roger Fisher , Steve Fossen , Howard Leese , Ann Wilson , and Nancy Wilson .     2013     King , Albert Albert King       2013     Newman , Randy Randy Newman       2013     Public Enemy   Flavor Flav , Professor Griff , Terminator X , and Chuck D .     2013     Rush   Geddy Lee , Alex Lifeson , and Neil Peart .     2013     Summer , Donna Donna Summer       2014     Gabriel , Peter Peter Gabriel       2014     Hall &amp; Oates   Daryl Hall and John Oates .     2014     Kiss   Peter Criss , Ace Frehley , Gene Simmons , and Paul Stanley .     2014     Nirvana   Kurt Cobain , Dave Grohl , and Krist Novoselic .     2014     Ronstadt , Linda Linda Ronstadt       2014     Stevens , Cat Cat Stevens     2015     Butterfield Blues Band , The Paul The Paul Butterfield Blues Band   Paul Butterfield , Mike Bloomfield , Elvin Bishop , Mark Naftalin , Jerome Arnold , Billy Davenport , and Sam Lay .     2015     Jett &amp; the Blackhearts , Joan Joan Jett &amp; the Blackhearts   Joan Jett , Gary Ryan , Lee Crystal , and Ricky Byrd .     2015     Reed , Lou Lou Reed       2015     Green Day   Billie Joe Armstrong , Tré Cool , and Mike Dirnt .     2015     Vaughan , Stevie Ray Stevie Ray Vaughan and Double Trouble   Stevie Ray Vaughan , Chris Layton , Tommy Shannon , and Reese Wynans .     2015     Withers , Bill Bill Withers       2016     Cheap Trick   Bun E. Carlos , Rick Nielsen , Tom Petersson , and Robin Zander .     2016     Chicago   Peter Cetera , Terry Kath , Robert Lamm , Lee Loughnane , James Pankow , Walter Parazaider , and Danny Seraphine .     2016     Deep Purple   Ritchie Blackmore , David Coverdale , Rod Evans , Ian Gillan , Roger Glover , Glenn Hughes , Jon Lord , and Ian Paice     2016     N.W.A   DJ Yella , Ice Cube , MC Ren , Eazy - E , and Dr. Dre     2016     Miller , Steve Steve Miller       2017     Electric Light Orchestra   Bev Bevan , Jeff Lynne , Richard Tandy , and Roy Wood     2017     Baez , Joan Joan Baez       2017     Journey   Jonathan Cain , Aynsley Dunbar , Steve Perry , Gregg Rolie , Neal Schon , Steve Smith , and Ross Valory     2017     Pearl Jam   Jeff Ament , Matt Cameron , Stone Gossard , Dave Krusen , Mike McCready , and Eddie Vedder     2017     Tupac Shakur       2017     Yes   Jon Anderson , Bill Bruford , Steve Howe , Tony Kaye , Trevor Rabin , Chris Squire , Rick Wakeman , and Alan White   </t>
  </si>
  <si>
    <t xml:space="preserve">Beauty and the Beast ( 1991 film ) - wikipedia  Beauty and the Beast ( 1991 film )  Jump to : navigation , search    Beauty and the Beast     Theatrical release poster by John Alvin     Directed by     Gary Trousdale   Kirk Wise       Produced by   Don Hahn     Screenplay by   Linda Woolverton     Story by     Roger Allers   Brenda Chapman   Chris Sanders   Burny Mattinson   Kevin Harkey   Brian Pimental   Bruce Woodside   Joe Ranft   Tom Ellery   Kelly Asbury   Robert Lence       Based on   Beauty and the Beast by Jeanne - Marie Leprince de Beaumont     Starring     Paige O'Hara   Robby Benson   Richard White   Jerry Orbach   David Ogden Stiers   Angela Lansbury   Rex Everhart   Jesse Corti       Narrated by   David Ogden Stiers ( prologue )     Music by   Alan Menken     Edited by   John Carnochan     Production companies     Walt Disney Pictures   Walt Disney Feature Animation   Silver Screen Partners IV       Distributed by   Buena Vista Pictures     Release date     September 29 , 1991 ( 1991 - 09 - 29 ) ( New York Film Festival )   November 22 , 1991 ( 1991 - 11 - 22 ) ( United States )             Running time   84 minutes     Country   United States     Language   English     Budget   $25 million     Box office   $425 million     Beauty and the Beast is a 1991 American animated musical romantic fantasy film produced by Walt Disney Feature Animation and released by Walt Disney Pictures . The 30th Disney animated feature film and the third released during the Disney Renaissance period , it is based on the French fairy tale of the same name by Jeanne - Marie Leprince de Beaumont ( who was also credited in the English version as well as in the French version ) , and ideas from the 1946 French film of the same name directed by Jean Cocteau . Beauty and the Beast focuses on the relationship between the Beast ( voice of Robby Benson ) , a prince who is magically transformed into a monster and his servants into household objects as punishment for his arrogance , and Belle ( voice of Paige O'Hara ) , a young woman whom he imprisons in his castle . To become a prince again , Beast must learn to love Belle and earn her love in return before the last petal from the enchanted rose that the enchantress who cursed the Beast had offered falls , or else the Beast will remain a monster forever . The film also features the voices of Richard White , Jerry Orbach , David Ogden Stiers , and Angela Lansbury .   Walt Disney first attempted unsuccessfully to adapt Beauty and the Beast into an animated film during the 1930s and 1950s . Following the success of The Little Mermaid ( 1989 ) , Walt Disney Pictures decided to adapt the fairy tale , which Richard Purdum originally conceived as a non-musical . Disney chairman Jeffrey Katzenberg eventually dismissed Purdum 's idea and ordered that the film be a musical similar to The Little Mermaid instead . The film was directed by Gary Trousdale and Kirk Wise , with a screenplay by Linda Woolverton story first credited to Roger Allers . Lyricist Howard Ashman and composer Alan Menken wrote the film 's songs . Ashman , who additionally served as the film 's executive producer , died of AIDS - related complications eight months before the film 's release , and the film is thus dedicated to his memory .   Beauty and the Beast premiered as an unfinished film at the New York Film Festival on September 29 , 1991 , followed by its theatrical release as a completed film at the El Capitan Theatre on November 13 . The film was a box office success , grossing $425 million worldwide on a $25 million budget . Beauty and the Beast won the Golden Globe Award for Best Motion Picture -- Musical or Comedy , the first animated film to ever win that category . It also became the first animated film to be nominated for the Academy Award for Best Picture at the 64th Academy Awards , where it won the Academy Award for Best Original Score and Best Original Song for its title song and received additional nominations for Best Original Song and Best Sound . In April 1994 , Beauty and the Beast became Disney 's first animated film to be adapted into a Broadway musical . The success of the film spawned two direct - to - video follow - ups : Beauty and the Beast : The Enchanted Christmas ( 1997 ) and Beauty and the Beast : Belle 's Magical World ( 1998 ) , both of which take place in the timeline of the original . This was followed by a spin - off television series , Sing Me a Story with Belle .   An IMAX version of the film was released in 2002 , and included `` Human Again '' , a new five - minute musical sequence . That same year , the film was selected for preservation in the National Film Registry by the Library of Congress for being `` culturally , historically , or aesthetically significant '' . After the success of the 3D re-release of The Lion King , the film was reissued in 3D in 2012 . A live - action remake of the film directed by Bill Condon was released on March 17 , 2017 .     Contents  ( hide )   1 Plot   2 Cast   3 Production   3.1 Early versions   3.2 Script rewrite and musicalization   3.3 Casting and recording   3.4 Animation   3.5 Music     4 Release   4.1 Re-issues   4.2 Home media     5 Reception and legacy   5.1 Critical response   5.2 Box office   5.3 Accolades     6 Adaptations   6.1 Broadway musical   6.2 Live - action film     7 Merchandise   7.1 Video games     8 See also   9 Notes   10 References   11 External links      Plot ( edit )   One winter 's night , an enchantress disguised as a beggar offers a cold - hearted prince a rose in exchange for shelter from the bitter cold . When he refuses , she transforms him into a beast and his servants into household objects . She bestows the Beast with a magic mirror before hexing the rose and warning him that , unless he learns to love another and earns their love in return by the time the last petal falls , he and his servants will lose their humanity forever .   Ten years later , a beautiful girl named Belle dreams of adventure and brushes off advances from Gaston , an arrogant hunter . Lost in the forest while traveling to a fair to present his latest invention , Belle 's father Maurice seeks refuge in the Beast 's castle . After Maurice befriends the castle 's servants , however , the Beast discovers and imprisons him . Belle ventures out in search for him and finds him locked in the castle 's dungeon . The Beast agrees to let her take Maurice 's place .   Befriending the castle 's servants , Belle is treated to a spectacular dinner . When she wanders into the forbidden West Wing where the rose is kept , the Beast flies into a rage , causing Belle to flee the castle and into the woods . She is attacked by wolves , but the Beast rescues Belle and gets injured in the process . He begins to develop feelings for her while she nurses his wounds and he delights her by showing his extensive library .   Returning to the village , Maurice tells the townsfolk of Belle 's predicament , but Gaston convinces the townsfolk to send Maurice to an insane asylum if Belle refuses to marry Gaston .   After sharing a romantic dance with the Beast , Belle discovers her father 's predicament using the magic mirror . The Beast releases her to save Maurice , giving her the mirror to remember him with . Back at the village , Belle proves Maurice 's sanity by revealing the Beast in the mirror to the townsfolk . Realizing that Belle loves the Beast , Gaston has her thrown into the basement with her father and rallies the villagers to follow him to the castle to kill the Beast . With Chip 's aid , Maurice and Belle escape and rush back to the castle .   The servants battle the invading villagers , driving them out of the castle . Gaston attacks the Beast in his tower , who is too depressed to fight back , but regains his will upon seeing Belle return . He spares Gaston 's life before reuniting with Belle . Gaston stabs the Beast , but he loses his footing and falls to his death . The Beast dies from Gaston 's stab before the last petal falls . When Belle tearfully professes her love to him , the curse is broken , repairing the castle and restoring the Beast 's and servants ' human forms . The Prince and Belle host a ball for the kingdom , where they dance happily .   Cast ( edit )  Main article : List of Disney 's Beauty and the Beast characters   Paige O'Hara as Belle -- A bibliophilic young woman who seeks adventure , and offers her own freedom to the Beast in return for her father 's . In their effort to enhance the character from the original story , the filmmakers felt that Belle should be `` unaware '' of her own beauty and made her `` a little odd '' . Wise recalls casting O'Hara because of a `` unique tone '' she had , `` a little bit of Judy Garland '' , after whose appearance Belle was modeled . James Baxter and Mark Henn served as the supervising animators for Belle .   Robby Benson as Beast -- A young prince who is transformed into a beast by an enchantress as punishment for his arrogance . The animators drew him with the head structure and horns of an American bison , the arms and body of a bear , the ears of a deer , the eyebrows of a gorilla , the jaws , teeth , and mane of a lion , the tusks of a wild boar , and the legs and tail of a wolf . Chris Sanders , one of the film 's storyboard artists , drafted the designs for the Beast and came up with designs based on birds , insects , and fish before coming up with something close to the final design . Glen Keane , supervising animator for the Beast , refined the design by going to the zoo and studying the animals on which the Beast was based . Benson commented , `` There 's a rage and torment in this character I 've never been asked to use before . '' The filmmakers commented that `` everybody was big fee - fi - fo - fum and gravelly '' while Benson 's voice had the `` big voice and the warm , accessible side '' and that `` you could hear the prince beneath the fur '' .   Richard White as Gaston -- A vain hunter who vies for Belle 's hand in marriage and is determined not to let anyone else win her heart . He serves as a foil personality to the Beast , who was once as egotistic as Gaston prior to his transformation . Gaston 's supervising animator , Andreas Deja , was pressed by Jeffrey Katzenberg to make Gaston handsome in contrast to the traditional appearance of a Disney villain , an assignment he found difficult at first . In the beginning , Gaston is depicted as more of a narcissist than a villain , but later he leads all the villagers to kill the beast , enraged that Belle would love a Beast more than him .   Jerry Orbach as Lumière -- The kind - hearted but rebellious valet of the Beast 's , who has been transformed into a candlestick . He has a habit of disobeying his master 's strict rules , sometimes causing tension between them , but the Beast often turns to him for advice . He is depicted as flirtatious , as he is frequently seen with the Featherduster and immediately takes a liking to Belle . A running gag throughout the movie is Lumière burning Cogsworth . Nik Ranieri served as the supervising animator for Lumière .   David Ogden Stiers as Cogsworth -- Majordomo , the head of the household staff and Lumière 's best friend , who has been transformed into a clock . He is extremely loyal to the Beast so as to save himself and anyone else any trouble , often leading to friction between himself and Lumière . Will Finn served as the supervising animator for Cogsworth . Stiers also narrates the prologue .   Angela Lansbury as Mrs. Potts -- The castle cook , turned into a teapot , who takes a motherly attitude toward Belle . The filmmakers went through several names for Mrs. Potts , such as `` Mrs. Chamomile '' , before Ashman suggested the use of simple and concise names for the household objects . David Pruiksma served as the supervising animator for Mrs. Potts .   Bradley Pierce as Chip -- Mrs. Potts ' son , who has been turned into a teacup . Originally intended to only have one line , the filmmakers were impressed with Pierce 's performance and expanded the character 's role significantly , eschewing a mute Music Box character . Pruiksma also served as the supervising animator for Chip .   Rex Everhart as Maurice -- Belle 's inventor father . The villagers see him as insane for crafting devices believed impossible to construct in reality , but his loyal daughter believes he will be famous one day . Ruben A. Aquino served as the supervising animator for Maurice .   Jesse Corti as Lefou -- Gaston 's often abused yet loyal sidekick . Chris Wahl served as the supervising animator for Lefou .   Hal Smith as Philippe -- Belle 's Belgian horse . Russ Edmonds served as the supervising animator for Philippe .   Jo Anne Worley as the Wardrobe -- The castle 's authority over fashion , and a former opera singer , who has been turned into a wardrobe . The character of Wardrobe was introduced by visual development person Sue C. Nichols to the then entirely male cast of servants , and was originally a more integral character named `` Madame Armoire '' . Wardrobe is known as `` Madame de la Grande Bouche '' ( Madame Big Mouth ) in the stage adaptation of the film and is the only major enchanted object character whose human form does not appear in the film . Tony Anselmo served as the supervising animator for the Wardrobe .   Mary Kay Bergman and Kath Soucie as the Bimbettes -- A trio of village maidens who constantly fawn over Gaston , known as the `` Silly Girls '' in the stage adaptation .   Brian Cummings as the Stove -- The castle 's chef who has been transformed into a stove . He is named Chef Bouche in 1998 's Belle 's Magical World .   Alvin Epstein as the Bookseller -- The owner of a book shop in Belle 's home town .   Tony Jay as Monsieur D'Arque -- The sadistic warden of the Asylum de Loons . Gaston bribes him to help in his plan to blackmail Belle .   Alec Murphy as the Baker -- The owner of a bakery in Belle 's home town .   Kimmy Robertson as the Featherduster -- A maid and Lumière 's sweetheart , who has been turned into a feather duster . She is unnamed in the 1991 film ( listed as Featherduster in the credits ) ; Babette is the name given to this character later in the 1994 stage adaptation of the film ; Fifi in the 1998 animated musical film Belle 's Magical World and Plumette in the 2017 live - action remake .   Frank Welker as Sultan -- The castle 's pet dog turned into a footstool .    Production ( edit )   Early versions ( edit )   After the success of Snow White and the Seven Dwarfs in 1937 , Walt Disney sought out other stories to adapt into feature films , with Beauty and the Beast being among the stories he considered . Attempts to develop the Beauty and the Beast story into a film were made in the 1930s and 1950s , but were ultimately given up because it `` proved to be a challenge '' for the story team . Peter M. Nichols states Disney may later have been discouraged by Jean Cocteau having already done his 1946 version .   Decades later , during the production of Who Framed Roger Rabbit in 1987 , the Disney studio resurrected Beauty and the Beast as a project for the satellite animation studio it had set up in London , England to work on Roger Rabbit . Richard Williams , who had directed the animated portions of Roger Rabbit , was approached to direct but declined in favor of continuing work on his long - gestating project The Thief and the Cobbler . In his place , Williams recommended his colleague , English animation director Richard Purdum , and work began under producer Don Hahn on a non-musical version of Beauty and the Beast set in 19th - century France . At the behest of Disney CEO Michael Eisner , Beauty and the Beast became the first Disney animated film to use a screenwriter . This was an unusual production move for an animated film , which is traditionally developed on storyboards rather than in scripted form . Linda Woolverton wrote the original draft of the story before storyboarding began , and worked with the story team to retool and develop the film .   Script re-write and musicalization ( edit )  Upon seeing the initial storyboard reels in 1989 , Walt Disney Studios chairman Jeffrey Katzenberg ordered that the film be scrapped and started over from scratch .  Upon seeing the initial storyboard reels in 1989 , Walt Disney Studios chairman Jeffrey Katzenberg ordered that the film be scrapped and started over from scratch . A few months after starting anew , Purdum resigned as director . The studio had approached Ron Clements and John Musker to direct the film , but they turned down the offer , saying they were `` tired '' after just having finished directing Disney 's recent success The Little Mermaid . Disney then hired first - time feature directors Kirk Wise and Gary Trousdale . Wise and Trousdale had previously directed the animated sections of Cranium Command , a short film for a Disney EPCOT theme park attraction . In addition , Katzenberg asked songwriters Howard Ashman and Alan Menken , who had written the song score for The Little Mermaid , to turn Beauty and the Beast into a Broadway - style musical film in the same vein as Mermaid . Ashman , who at the time had learned he was dying of complications from AIDS , had been working with Disney on a pet project of his , Aladdin , and only reluctantly agreed to join the struggling production team . To accommodate Ashman 's failing health , pre-production of Beauty and the Beast was moved from London to the Residence Inn in Fishkill , New York , close to Ashman 's New York City home . Here , Ashman and Menken joined Wise , Trousdale , Hahn , and Woolverton in retooling the film 's script . Since the original story had only two major characters , the filmmakers enhanced them , added new characters in the form of enchanted household items who `` add warmth and comedy to a gloomy story '' and guide the audience through the film , and added a `` real villain '' in the form of Gaston .   These ideas were somewhat similar to elements of the 1946 French film version of Beauty and the Beast , which introduced the character of Avenant , an oafish suitor somewhat similar to Gaston , as well as inanimate objects coming to life in the Beast 's castle . The animated objects were , however , given distinct personalities in the Disney version . By early 1990 , Katzenberg had approved the revised script , and storyboarding began again . The production flew story artists back and forth between California and New York for storyboard approvals from Ashman , though the team was not told the reason why .   Casting and recording ( edit )   Disney had originally considered casting Jodi Benson from The Little Mermaid as Belle . They eventually decided upon Broadway actress and singer Paige O'Hara in favor of having a heroine who sounded `` more like a woman than a girl '' . According to co-director Kirk Wise , O'Hara was given the role because she `` had a unique quality , a tone she would hit that made her special '' , reminiscent to that of American actress and singer Judy Garland . O'Hara , who , after reading about the film in The New York Times , competed for the role against 500 hopefuls , believes the fact that lyricist Howard Ashman admired her cast recording of the musical Show Boat proved integral in her being cast .   Animation ( edit )  A frame from the `` Beauty and the Beast '' ballroom dance sequence . The background is animated using computer generated imagery which , when the traditionally animated characters are composited against it using Pixar 's CAPS system , gives the illusion of a dollying film camera .  Production of Beauty and the Beast was to be completed on a compressed timeline of two years rather than the traditional four - year Disney Feature Animation production schedule ; this was due to the loss of production time spent developing the earlier Purdum version of the film . Most of the production was done at the main Feature Animation studio , housed in the Air Way facility in Glendale , California . A smaller team at the Disney - MGM Studios theme park in Lake Buena Vista , Florida assisted the California team on several scenes , particularly the `` Be Our Guest '' number .   Beauty and the Beast was the second film , after The Rescuers Down Under , produced using CAPS ( Computer Animation Production System ) , a digital scanning , ink , paint , and compositing system of software and hardware developed for Disney by Pixar . The software allowed for a wider range of colors , as well as soft shading and colored line effects for the characters , techniques lost when the Disney studio abandoned hand inking for xerography in the late 1950s . CAPS also allowed the production crew to simulate multiplane effects : placing characters and / or backgrounds on separate layers and moving them towards / away from the camera on the Z - axis to give the illusion of depth , as well as altering the focus of each layer .   In addition , CAPS allowed an easier combination of hand - drawn art with computer - generated imagery , which before had to be plotted to animation paper and then xeroxed and painted traditionally . This technique was put to significant use during the `` Beauty and the Beast '' waltz sequence , in which Belle and Beast dance through a computer - generated ballroom as the camera dollies around them in simulated 3D space . The filmmakers had originally decided against the use of computers in favor of traditional animation , but later , when the technology had improved , decided it could be used for the one scene in the ballroom . The success of the ballroom sequence helped convince studio executives to further invest in computer animation .   Music ( edit )  See also : Beauty and the Beast ( 1991 soundtrack )  Ashman and Menken wrote the Beauty song score during the pre-production process in Fishkill , the opening operetta - styled `` Belle '' being their first composition for the film . Other songs included `` Be Our Guest , '' sung ( in its original version ) to Maurice by the objects when he becomes the first visitor to eat at the castle in a decade , `` Gaston , '' a solo for the swaggering villain , `` Human Again , '' a song describing Belle and Beast 's growing love from the objects ' perspective , the love ballad `` Beauty and the Beast ( Tale as Old as Time ) '' and the climactic `` The Mob Song . '' As story and song development came to a close , full production began in Burbank while voice and song recording began in New York City . The Beauty songs were mostly recorded live with the orchestra and the voice cast performing simultaneously rather than overdubbed separately , in order to give the songs a cast album - like `` energy '' the filmmakers and songwriters desired .   During the course of production , many changes were made to the structure of the film , necessitating the replacement and re-purposing of songs . After screening a mostly animated version of the `` Be Our Guest '' sequence , story artist Bruce Woodside suggested that the objects should be singing the song to Belle rather than her father . Wise and Trousdale agreed , and the sequence and song were retooled to replace Maurice with Belle . The film 's title song went through a noted bit of uncertainty during production . Originally conceived as a rock - oriented song , it was changed to a slow , romantic ballad . Howard Ashman and Alan Menken asked Angela Lansbury to perform the song , but she did not think her voice was suited for the melody . When she voiced her doubts , Menken and Ashman asked her for at least one take and told her to perform the song as she saw fit . Lansbury reportedly reduced everyone in the studio to tears with her rendition , nailing the song in the one take asked of her . This version went on to win the Oscar for Best Original Song . `` Human Again '' was dropped from the film before animation began , as its lyrics caused story problems about the timeline over which the story takes place . This required Ashman and Menken to write a new song in its place . `` Something There , '' in which Belle and Beast sing ( via voiceover ) of their growing fondness for each other , was composed late in production and inserted into the script in place of `` Human Again . ''   Menken would later revise `` Human Again '' for inclusion in the 1994 Broadway stage version of Beauty and the Beast , and another revised version of the song was added to the film itself in a new sequence created for the film 's Special Edition re-release in 2002 . Ashman died of AIDS - related complications at the age of 40 on March 14 , 1991 , eight months before the film 's release . He never saw the finished film , though he did get to see it in its unfinished format . Ashman 's work on Aladdin was completed by another lyricist , Tim Rice . Before Ashman 's death , members of the film 's production team visited him after the film 's well - received first screening , with Don Hahn commenting that `` the film would be a great success . Who 'd have thought it ? '' , to which Ashman replied with `` I would . '' A tribute to the lyricist was included at the end of the credits crawl : `` To our friend , Howard , who gave a mermaid her voice , and a beast his soul . We will be forever grateful . Howard Ashman : 1950 -- 1991 . '' A pop version of the `` Beauty and the Beast '' theme , performed by Céline Dion and Peabo Bryson over the end credits , was released as a commercial single from the film 's soundtrack , supported with a music video . The Dion / Bryson version of `` Beauty and the Beast '' became an international pop hit and performed considerably well on charts around the world . The song became Dion 's second single to land within the top - 10 of the Billboard Hot 100 , peaking at number nine . The song peaked at number three on the Billboard Hot Adult Contemporary chart . In Canada , `` Beauty and the Beast '' peaked at number two . Outside of North America , the song peaked within the top ten in New Zealand and the United Kingdom , while peaking within the top twenty in Australia , Netherlands , and Ireland . The song sold over a million copies worldwide . This version of the song was also nominated for Record of the Year and Song of the Year at the Grammys , and it won the Grammy for Dion and Bryson for Best Pop Duo / Group Vocal Performance .   Release ( edit )   In a first - time accomplishment for The Walt Disney Company , an unfinished version of Beauty and the Beast was shown at the New York Film Festival on September 29 , 1991 . The film was deemed a `` work in progress '' because roughly only 70 % of the animation had been completed ; storyboards and pencil tests were used in replacement of the remaining 30 % . Additionally , certain segments of the film that had already been finished were reverted to previous stages of completion . At the end of the screening , Beauty and the Beast received a ten - minute - long standing ovation from the film festival audience . The completed film was also screened out of competition at the 1992 Cannes Film Festival . The finished film premiered at the El Capitan Theatre in Hollywood on November 13 , 1991 , beginning a limited release before expanding wide on November 22 .   Reissues ( edit )   The film was restored and remastered for its New Year 's Day , 2002 re-release in IMAX theatres in a special - edition edit , including a new musical sequence . For this version of the film , much of the animation was cleaned up , a new sequence set to the deleted song `` Human Again '' was inserted into the film 's second act , and a new digital master from the original CAPS production files was used to make the high - resolution IMAX film negative .   A sing along edition of the film , hosted by Jordin Sparks , was released in select theaters on September 29 and October 2 , 2010 . Prior to the showing of the film , Sparks showed an exclusive behind - the - scenes look at the newly restored film and the making of her new Beauty and the Beast music video . There was also commentary from producer Don Hahn , interviews with the cast and an inside look at how the animation was created .   A Disney Digital 3D version of the film , the second of a traditionally animated film , was originally scheduled to be released in US theatres on February 12 , 2010 , but the project was postponed . On August 25 , 2011 , Disney announced that the 3D version of the film would make its American debut at Hollywood 's El Capitan Theatre from September 2 -- 15 , 2011 . Disney spent less than $10 million on the 3D conversion . After the successful 3D re-release of The Lion King , Disney announced a wide 3D re-release of Beauty and the Beast in North America beginning January 13 , 2012 .   Home Media ( edit )  Blu - ray Diamond edition cover  The film was released to VHS on October 30 , 1992 as part of the Walt Disney Classics series , and was later put on moratorium on April 30 , 1993 ; it was not included in the Walt Disney Masterpiece Collection line . This version contains a minor edit to the film : skulls that appear in Gaston 's pupils for two frames during his climactic fall to his death were removed for the original home video release . No such edit was made to later reissues of the film . The `` work - in - progress '' version screened at the New York Film Festival was also released on VHS and LaserDisc at this time ; however , said version was the only one available on the latter format until the fall of 1993 , when the completed theatrical version was released . This measure was to diminish the threat of video pirates making copies derived from the LaserDisc ( which are not copy - protected ) and selling them in international markets , where the film was yet to be available for home release .   Beauty and the Beast : Special Edition , as the enhanced version of the film released in IMAX / large - format is called , was released on two - disc `` Platinum Edition '' DVD and VHS on October 8 , 2002 . The DVD set features three versions of the film : the extended IMAX Special Edition with the `` Human Again '' sequence added , the original theatrical version , and the New York Film Festival `` work - in - progress '' version . This release went to `` Disney Vault '' moratorium status in January 2003 , along with its direct - to - video follow - ups Beauty and the Beast : The Enchanted Christmas and Belle 's Magical World .   The film was released from the vault on October 5 , 2010 as the second of Disney 's Diamond Editions , in the form of a three - disc Blu - ray Disc and DVD combination pack -- the first release of Beauty and the Beast on home video in high - definition format . This edition consists of four versions of the film : the original theatrical version , an extended version , the New York Film Festival storyboard - only version , and a fourth iteration displaying the storyboards via picture - in - picture alongside the original theatrical version . Upon its first week of release , the Blu - ray sold 1.1 million units , topping the Blu - ray sales chart and finishing in third place on the combined Blu - ray and DVD sales chart for the week ending on October 10 , 2010 . It was the second - best - selling Blu - ray of 2010 , behind Avatar . A two - disc DVD edition was released on November 23 , 2010 . A five - disc combo pack , featuring Blu - ray 3D , Blu - ray 2D , DVD and a digital copy , was released on October 4 , 2011 . The 3D combo pack is identical to the original Diamond Edition , except for the added 3D disc and digital copy . The Blu - ray release went into the Disney Vault along with the two sequels on April 30 , 2012 .   A 25th - anniversary Signature Edition was released on Digital HD September 6 , 2016 and was followed by Blu - ray / DVD combo pack on September 20 , 2016 . Upon its first week of release on home media in the U.S. , the film topped the Blu - ray Disc sales chart , and debuted at number 3 in the Nielsen VideoScan First Alert chart , which tracks overall disc sales , behind Teenage Mutant Ninja Turtles : Out of the Shadows and Captain America : Civil War .   Reception and legacy ( edit )   Critical response ( edit )   Review aggregator website Rotten Tomatoes gives the film an approval rating of 94 % based on reviews from 110 critics , with an average rating of 8.5 out of 10 . The website 's critical consensus reads , `` Enchanting , sweepingly romantic , and featuring plenty of wonderful musical numbers , Beauty and the Beast is one of Disney 's most elegant animated offerings . '' The film also holds a 95 / 100 on Metacritic . Audiences polled by CinemaScore gave the film a rare `` A + '' grade .   Janet </t>
  </si>
  <si>
    <t xml:space="preserve">when was disney beauty and the beast first released</t>
  </si>
  <si>
    <t xml:space="preserve">   Beauty and the Beast     Theatrical release poster by John Alvin     Directed by     Gary Trousdale   Kirk Wise       Produced by   Don Hahn     Screenplay by   Linda Woolverton     Story by     Roger Allers   Brenda Chapman   Chris Sanders   Burny Mattinson   Kevin Harkey   Brian Pimental   Bruce Woodside   Joe Ranft   Tom Ellery   Kelly Asbury   Robert Lence       Based on   Beauty and the Beast by Jeanne - Marie Leprince de Beaumont     Starring     Paige O'Hara   Robby Benson   Richard White   Jerry Orbach   David Ogden Stiers   Angela Lansbury   Rex Everhart   Jesse Corti       Narrated by   David Ogden Stiers ( prologue )     Music by   Alan Menken     Edited by   John Carnochan     Production companies     Walt Disney Pictures   Walt Disney Feature Animation   Silver Screen Partners IV       Distributed by   Buena Vista Pictures     Release date     September 29 , 1991 ( 1991 - 09 - 29 ) ( New York Film Festival )   November 22 , 1991 ( 1991 - 11 - 22 ) ( United States )             Running time   84 minutes     Country   United States     Language   English     Budget   $25 million     Box office   $425 million   </t>
  </si>
  <si>
    <t xml:space="preserve">Martin Bayfield - wikipedia  Martin Bayfield  Jump to : navigation , search      hide This article has multiple issues . Please help improve it or discuss these issues on the talk page . ( Learn how and when to remove these template messages )      This biography of a living person relies too much on references to primary sources . Please help by adding secondary or tertiary sources . Contentious material about living persons that is unsourced or poorly sourced must be removed immediately , especially if potentially libelous or harmful . ( January 2012 ) ( Learn how and when to remove this template message )         This biography of a living person includes a list of references , but its sources remain unclear because it has insufficient inline citations . Contentious material about living persons that is unsourced or poorly sourced must be removed immediately , especially if potentially libelous or harmful . Please help to improve this article by introducing more precise citations . ( December 2013 ) ( Learn how and when to remove this template message )    ( Learn how and when to remove this template message )     Martin Bayfield   Birth name   Martin Christopher Bayfield     Date of birth   ( 1966 - 12 - 21 ) 21 December 1966 ( age 51 )     Place of birth   Bedford     Height   2.08 m ( 6 ft 10 in )     Weight   115 kg ( 18 st 2 lb )     Rugby union career        Position ( s )   Lock     Senior career     Years   Team   Apps   ( Points )     National team ( s )     Years   Team   Apps   ( Points )     1991 -- 1996   England British and Irish Lions   34   ( 0 ) ( 0 )        Martin Christopher Bayfield ( born 21 December 1966 ) is an English actor , broadcaster , and former rugby union footballer who played lock forward for Northampton Saints , Bedford Blues and England , gaining 31 England and 3 Lions caps .     Contents  ( hide )   1 Early life and career   2 Film and television career   3 Personal life   4 References   5 External links      Early life and career ( edit )   Bayfield was born in Bedford and was educated at Bedford School . He served in the Metropolitan Police from 1985 to 1989 , when he transferred to Bedfordshire Police . The 208 cm ( 6 ft 10in ) tall Bayfield made his England debut in 1991 , and although he was omitted from the 1991 World Cup squad , was a part of the 1992 Five Nations Grand Slam winning side . He went on the 1993 British Lions tour to New Zealand and was part of the 1995 World Cup squad . He would play 18 times partnering Martin Johnson . His final appearance for England came in the 1996 Five Nations match against Wales .   His last game was against Gloucester in February 1998 ; a neck injury sustained in training a few days later forced him to retire .   Film and television career ( edit )   Since retirement , Bayfield has worked as a journalist , an after - dinner speaker and has since appeared in all of the Harry Potter films playing the half - giant Hagrid , as Robbie Coltrane 's body and stunt double . He also appeared in Harry Potter and the Chamber of Secrets , as a young Rubeus Hagrid . Continuing the acting theme , he also played a cyclops in Jonathan Liebesman 's Wrath of the Titans , the sequel to 2010 movie Clash of the Titans . Bayfield also played Rugby Player 1 in an episode of New Tricks on BBC1 ( first shown on 1 September 2008 ) .   In his broadcasting career he has presented the NFL and World 's Strongest Man coverage on UK Channel Five and worked as a rugby correspondent on BBC Radio 5 Live . He has also been involved as a presenter in ITV 's coverage of the 2007 and 2011 Rugby World Cups as well as presenting ITV 's Guinness Premiership highlights . Since March 2012 he now also co-presents Crimewatch on BBC 1 .   In 2013 BT Sport acquired the exclusive rights to the Aviva Premiership . Bayfield , along with his ITV co-presenter Craig Doyle , moved to the new channel and he now works as a presenter , pundit and pitchside reporter .   Personal life ( edit )   Martin has three daughters , Rosy , Polly and Lucy and is married to Jane Bayfield , nee Goodman .   In August 2014 , Bayfield was one of 200 public figures who were signatories to a letter to The Guardian expressing their hope that Scotland would vote to remain part of the United Kingdom in September 's referendum on that issue .   He is actively involved with charity , and is an Honorary President of the Wooden Spoon Society , the rugby charity that supports disadvantaged children and young people .   References ( edit )    Jump up ^ `` US '' .   Jump up ^ Bt Sport.com   Jump up ^ `` Celebrities ' open letter to Scotland -- full text and list of signatories Politics '' . theguardian.com. 2014 - 08 - 07 . Retrieved 2014 - 08 - 26 .    External links ( edit )    Official website   Sporting Heroes   statistics from scrum.com   Bayfs Blog   Martin Bayfield on IMDb              British and Irish Lions -- 1993 New Zealand tour     Forwards     Bayfield   Burnell   Clarke   Cronin   Dooley   Galwey   Johnson   Leonard   Milne   Moore   Popplewell   Reed   Richards   Teague   Webster   Winterbottom   Wright       Backs     Andrew   Barnes   Carling   Clement   Cunningham   Evans   Gibbs   Guscott   G. Hastings ( c )   S. Hastings   Hunter   Jones   Morris   Nicol   R. Underwood   T. Underwood   Wallace       Coach   McGeechan &amp; Best               England squad -- 1995 Rugby World Cup Fourth Place     Forwards     Back   Bayfield   Clarke   Dawe   Johnson   Leonard   Mallett   Moore   Richards   Rodber   Rowntree   Ojomoh   Ubogu   West       Backs     Andrew   Bracken   Callard   Carling ( c )   Catt   de Glanville   Guscott   Hopley   Hunter   Morris   R. Underwood   T. Underwood       Coach   Rowell    Retrieved from `` https://en.wikipedia.org/w/index.php?title=Martin_Bayfield&amp;oldid=842464082 '' Categories :   1966 births   British and Irish Lions rugby union players from England   British police officers   Metropolitan Police officers   English rugby union players   Living people   Northampton Saints players   Bedford Blues players   People educated at Bedford School   Rugby union locks   Sportspeople from Bedford   England international rugby union players   National Football League announcers   Rugby union commentators   Hidden categories :   EngvarB from November 2013   Use dmy dates from November 2013   Articles lacking reliable references from January 2012   All articles lacking reliable references   BLP articles lacking sources from January 2012   Articles lacking in - text citations from December 2013   All articles lacking in - text citations   Articles with multiple maintenance issues           Talk                                           Contents                   About Wikipedia                                                 Français   Italiano   Norsk   Svenska   Edit links   This page was last edited on 22 May 2018 , at 16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</si>
  <si>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young hagrid in chamber of secrets</t>
  </si>
  <si>
    <t xml:space="preserve"> Since retirement , Bayfield has worked as a journalist , an after - dinner speaker and has since appeared in all of the Harry Potter films playing the half - giant Hagrid , as Robbie Coltrane 's body and stunt double . He also appeared in Harry Potter and the Chamber of Secrets , as a young Rubeus Hagrid . Continuing the acting theme , he also played a cyclops in Jonathan Liebesman 's Wrath of the Titans , the sequel to 2010 movie Clash of the Titans . Bayfield also played Rugby Player 1 in an episode of New Tricks on BBC1 ( first shown on 1 September 2008 ) . </t>
  </si>
  <si>
    <t xml:space="preserve">Theme from Mahogany ( Do You Know Where You 're Going to ) - wikipedia  Theme from Mahogany ( Do You Know Where You 're Going to )       This article needs additional citations for verification . Please help improve this article by adding citations to reliable sources . Unsourced material may be challenged and removed . ( January 2016 ) ( Learn how and when to remove this template message )       `` Theme from Mahogany ( Do You Know Where You 're Going To ) ''         Single by Diana Ross     from the album Mahogany     B - side   `` No One 's Gonna Be a Fool Forever ''     Released   September 24 , 1975     Format   7 ''     Genre     Pop   soul   R&amp;B       Length   3 : 25     Label   Motown     Songwriter ( s )     Michael Masser   Gerald Goffin       Producer ( s )   Michael Masser     Diana Ross singles chronology        `` Sorry Does n't Always Make It Right '' ( 1975 )   `` Theme from Mahogany ( Do You Know Where You 're Going To ) '' ( 1975 )   `` I Thought It Took a Little Time ( But Today I Fell in Love ) '' ( 1976 )           `` Sorry Does n't Always Make It Right '' ( 1975 )   `` Theme from Mahogany ( Do You Know Where You 're Going To ) '' ( 1975 )   `` I Thought It Took a Little Time ( But Today I Fell in Love ) '' ( 1976 )            45 RPM promotional copy         Special issue colored vinyl single             `` Theme from Mahogany ( Do You Know Where You 're Going To ) '' is a song written by Michael Masser and Gerald Goffin , and initially recorded by American singer Thelma Houston in 1973 , and then most notably by Diana Ross as the theme to the 1975 Motown / Paramount film Mahogany .     Contents  ( hide )   1 Personnel   2 Production notes   3 Release and track listing   4 Chart performance   4.1 Weekly charts   4.2 Year - end charts     5 Later versions   6 See also   7 References   8 External links      Personnel ( edit )    Diana Ross - vocals   Hal Blaine - drums   Lee Holdridge - arranger    Production notes ( edit )   Produced by Masser , the song is a ballad that portrays its protagonist ( Ross ) as a black woman who becomes a successful Rome fashion designer .   Recorded with a full orchestral accompaniment , `` Theme from Mahogany '' became one of the most recognizable elements of the film , receiving praise from many critics .   Later released as a single , `` Theme from Mahogany '' became a number - one hit on both the U.S. Billboard Hot 100 , and the Easy Listening charts .   The song was nominated for the Academy Award for Best Song . Ross performed the song live at the Academy Awards ceremony via satellite from the Netherlands .   Release and track listing ( edit )     7 '' vinyl single - US     No .   Title   Writer ( s )   Length     1 .   `` Theme from Mahogany ( Do You Know Where You 're Going To ) ''   Gerry Goffin , Michael Masser   3 : 19     2 .   `` No One 's Gonna Be a Fool Forever ''   Michael Masser , Pam Sawyer   3 : 18     Chart performance ( edit )      Weekly charts ( edit )     Chart ( 1975 -- 76 )   Peak position     Canadian RPM Top Singles       Ireland ( IRMA )       UK   5     US Billboard Hot 100       US Cashbox Top 100       US Billboard Hot Soul Singles   14     US Billboard Easy Listening         Year - end charts ( edit )     Chart ( 1976 )   Rank     Canada   56     UK   73     US Billboard Hot 100   43     US Billboard Easy Listening   29     US Cash Box Top 100   51        Later versions ( edit )    French singer Nicole Rieu released a French - language version the song ( titled `` En courant '' ) as a single in 1976 .   Dinah Shore recorded the song for her album Dinah ! in 1976 .   Taiwanese singer Tracy Huang ( zh ) included the song on the album Feelings in 1976 .   Johnny Mathis included the song on his album I Only Have Eyes for You in 1976 .   Elaine Paige included the song on her album Cinema in 1984 .   Slick Rick sang the chorus of the song near the end of his 1988 song , `` Teenage Love '' .   Pinhead Gunpowder included the song on their E.P Carry the Banner in 1994 .   Shirley Bassey included the song on her album Sings The Movies in 1995 .   Kelly Price used it as a hook on Diddy 's `` Do You Know '' from his 1997 album No Way Out .   Mariah Carey included the song on her 1998 compilation album , # 1 's , as an international bonus track .   Jennifer Lopez included the song on her 1999 album On the 6 , as an international bonus track .   TobyMac sampled the hook for the song `` Do You Know '' on his 2001 album Momentum .   Italian singer Amalia Gré ( it ) included the song on her album Amalia Grè in 2003 .   Hong Kong singer Janice Vidal included the song in her album Do U Know ( album ) in 2006 .   Tina Arena included the song in her album Songs of Love &amp; Loss in 2007 .   Me First and the Gimme Gimmes included the song on their album Have Another Ball in 2008 .   Belgian singer Andrei Lugovski ( nl ) included the song on his 2009 album My World .   Lara Fabian included the song for her acoustic album Every Woman in me in 2009 .   Fictional singer Steven Clark performed the song in the 2012 film God Bless America .   Filipina singer Juris Fernandez included the song on the album Dreaming of You in 2012 .   Jake Zyrus included the song on the album Chapter 10 in 2013 .   Pianist Richard Clayderman included the song on his album Essential Love Songs in 2015 .   Rapper Big Sean and producer Metro Boomin sampled the song on their 2017 album Double or Nothing .    See also ( edit )    List of number - one adult contemporary singles of 1975 ( U.S. )   List of Billboard Hot 100 number - one singles of 1976    References ( edit )    Jump up ^ Erlewine , Stephen Thomas ( 2003 ) . `` Diana Ross '' . In Bogdanov , Vladimir ; Woodstra , Chris ; Erlewine , Stephen Thomas . All Music Guide to Soul . Allmusic . San Francisco : Backbeat Books . p. 587 . ISBN 0 - 87930 - 744 - 7 . Retrieved 2008 - 05 - 17 .   Jump up ^ Whitburn , Joel ( 2002 ) . Top Adult Contemporary : 1961 - 2001 . Record Research . p. 210 .   Jump up ^ `` CAN Charts &gt; Diana Ross '' . RPM . Retrieved 2014 - 03 - 26 .   Jump up ^ `` The Irish Charts -- Search Results -- Do You Know Where You 're Going To '' . Irish Singles Chart . Retrieved June 22 , 2017 .   Jump up ^ `` UK Charts &gt; Diana Ross '' . Official Charts . Retrieved 2014 - 03 - 26 .   Jump up ^ Joel Whitburn 's Top Pop Singles 1955 - 1990 - ISBN 9780898200898   Jump up ^ `` Archived copy '' . Archived from the original on 2016 - 03 - 04 . Retrieved 2016 - 06 - 11 .   Jump up ^ `` Adult Contemporary Music Chart '' . Billboard. 1975 - 12 - 06 . Retrieved 2016 - 10 - 10 .   Jump up ^ `` Item Display - RPM - Library and Archives Canada '' . Collectionscanada.gc.ca . Retrieved 2016 - 10 - 10 .   Jump up ^ `` Top 100 1976 - UK Music Charts '' . Uk-charts.top-source.info . Retrieved 2016 - 10 - 10 .   Jump up ^ `` Top 100 Hits of 1976 / Top 100 Songs of 1976 '' . Musicoutfitters.com . Retrieved 2016 - 10 - 10 .   Jump up ^ Top 50 Adult Contemporary Hits of 1976   Jump up ^ `` Archived copy '' . Archived from the original on 2014 - 10 - 21 . Retrieved 2016 - 06 - 05 .    External links ( edit )    Lyrics of this song at MetroLyrics      Preceded by `` I Write the Songs '' by Barry Manilow   Billboard Hot 100 number - one single January 24 , 1976 ( one week )   Succeeded by `` Love Rollercoaster '' by Ohio Players               Diana Ross singles       Discography       1970s singles     `` Reach Out and Touch ( Somebody 's Hand ) ''   `` Ai n't No Mountain High Enough ''   `` Remember Me ''   `` Reach Out ( I 'll Be There ) ''   `` Surrender ''   `` I 'm Still Waiting ''   `` Good Morning Heartache ''   `` Touch Me in the Morning ''   `` You 're a Special Part of Me ''   `` Last Time I Saw Him ''   `` My Mistake ( Was to Love You ) ''   `` You Are Everything ''   `` Do n't Knock My Love ''   `` Stop , Look , Listen ( To Your Heart ) ''   `` Theme from Mahogany ( Do You Know Where You 're Going To ) ''   `` Love Hangover ''   `` Gettin ' Ready for Love ''   `` Ease on Down the Road ''   `` Pops , We Love You ( A Tribute to Father ) ''   `` What You Gave Me ''   `` The Boss ''   `` It 's My House ''       1980s singles     `` Upside Down ''   `` I 'm Coming Out ''   `` My Old Piano ''   `` It 's My Turn ''   `` Endless Love ''   `` Why Do Fools Fall in Love ''   `` Mirror , Mirror ''   `` Muscles ''   `` Pieces of Ice ''   `` All of You ''   `` Swept Away ''   `` Missing You ''   `` Eaten Alive ''   `` Chain Reaction ''       1990 -- 2000s singles     `` When You Tell Me That You Love Me ''   `` Someday We 'll Be Together '' ( Remix )   `` Take Me Higher ''   `` I Will Survive ''   `` Not Over You Yet ''   `` Goin ' Back ''   `` I 've Got a Crush on You ''       Featured singles     `` A Brand New Day ''   `` We Are the World ''         Book   Category   Template                 Mariah Carey songs       Singles discography   Songs recorded       1990s songs     `` Vision of Love ''   `` Love Takes Time ''   `` Someday ''   `` I Do n't Wanna Cry ''   `` There 's Got to Be a Way ''   `` Emotions ''   `` Ca n't Let Go ''   `` Make It Happen ''   `` If It 's Over ''   `` I 'll Be There ''   `` Dreamlover ''   `` Hero ''   `` Anytime You Need a Friend ''   `` Without You ''   `` Never Forget You ''   `` Endless Love ''   `` All I Want for Christmas Is You ''   `` O Holy Night ''   `` Joy to the World ''   `` Fantasy ''   `` Underneath the Stars ''   `` One Sweet Day ''   `` Open Arms ''   `` Always Be My Baby ''   `` Forever ''   `` Honey ''   `` My All ''   `` Butterfly ''   `` The Roof ''   `` Breakdown ''   `` Close My Eyes ''   `` The Beautiful Ones ''   `` Sweetheart ''   `` When You Believe ''   `` I Still Believe ''   `` Theme from Mahogany ( Do You Know Where You 're Going To ) ''   `` Heartbreaker ''   `` Thank God I Found You ''   `` Ca n't Take That Away ( Mariah 's Theme ) ''   `` Against All Odds ( Take a Look at Me Now ) ''   `` Crybaby ''       2000s songs     `` Loverboy ''   `` Do n't Stop ( Funkin ' 4 Jamaica ) ''   `` Reflections ( Care Enough ) ''   `` Last Night a DJ Saved My Life ''   `` Never Too Far ''   `` Never Too Far / Hero Medley ''   `` Through the Rain ''   `` Boy ( I Need You ) ''   `` Bringin ' On the Heartbreak ''   `` I Know What You Want ''   `` It 's Like That ''   `` We Belong Together ''   `` Shake It Off ''   `` Mine Again ''   `` Say Somethin ' ''   `` Get Your Number ''   `` Fly Like a Bird ''   `` Do n't Forget About Us ''   `` So Lonely ''   `` Migrate ''   `` Touch My Body ''   `` I Stay in Love ''   `` Side Effects ''   `` I 'm That Chick ''   `` I 'll Be Lovin ' U Long Time ''   `` Bye Bye ''   `` Hero '' ( 2008 version )   `` Betcha Gon ' Know ( The Prologue ) ''   `` Obsessed ''   `` I Want to Know What Love Is ''   `` H.A.T.E.U. ''       2010s songs     `` Up Out My Face ''   `` Angels Cry ''   `` Oh Santa ! ''   `` Christmas Time Is in the Air Again ''   `` When Christmas Comes ''   `` One Child ''   `` Auld Lang Syne ( The New Year 's Anthem ) ''   `` # Beautiful ''   `` Thirsty ''   `` You 're Mine ( Eternal ) ''   `` You Do n't Know What to Do ''   `` Meteorite ''   `` The Art of Letting Go ''   `` Infinity ''   `` I Do n't ''       Other releases     `` 100 % ''   `` Almost Home ''   `` Every Time I Close My Eyes ''   `` Just Stand Up ! ''   `` Lil ' L.O.V.E. ''   `` My Love ''   `` Right to Dream ''   `` So Lonely ''   `` Things That U Do ''   `` Triumphant ( Get ' Em ) ''   `` U Make Me Wanna ''   `` What More Can I Give ''                 Jennifer Lopez songs       Discography       On the 6     `` If You Had My Love ''   `` Feelin ' So Good ''   `` Let 's Get Loud ''   `` No Me Ames ''   `` Waiting for Tonight ''   `` Theme from Mahogany ( Do You Know Where You 're Going To ) ''       J. Lo     `` Love Do n't Cost a Thing ''   `` I 'm Real ''   `` Play ''   `` Ai n't It Funny ''   `` Cariño ''   `` I 'm Gonna Be Alright ''   `` I 'm Real ( Murder Remix ) ''       J to tha L -- O ! The Remixes     `` Ai n't It Funny ( Murder Remix ) ''   `` I 'm Gonna Be Alright ( Track Masters Remix ) ''   `` Alive ''       This Is Me ... Then     `` I 'm Glad ''   `` All I Have ''   `` Jenny from the Block ''   `` You Belong to Me ''   `` Baby I Love U ! ''       Rebirth     `` Get Right ''   `` Hold You Down ''       Como Ama una Mujer     `` Qué Hiciste ''   `` Me Haces Falta ''       Brave     `` Hold It Do n't Drop It ''   `` Do It Well ''       Love ?     `` On the Floor ''   `` I 'm Into You ''   `` ( What Is ) Love ? ''   `` Run the World ''   `` Papi ''   `` Until It Beats No More ''   `` One Love ''   `` Invading My Mind ''   `` Hypnotico ''       Dance Again ... the Hits     `` Dance Again ''   `` Goin ' In ''       A.K.A.     `` First Love ''   `` I Luh Ya Papi ''   `` Booty ''   `` Same Girl ''   `` Girls ''       Por Primera Vez     `` Ni Tú Ni Yo ''   `` Amor , Amor , Amor ''       Collaborations     `` Adrenalina ''   `` Back It Up ''   `` Control Myself ''   `` El Mismo Sol ''   `` El Ultimo Adios ( The Last Goodbye ) ''   `` Follow the Leader ''   `` Quizás , Quizás , Quizás ''   `` Se Acabó El Amor ''   `` Sweet Spot ''   `` T.H.E. ( The Hardest Ever ) ''   `` This Boy 's Fire ''   `` Try Me ''   `` We Are One ( Ole Ola ) ''   `` What 's Going On ''       Other songs     `` A Selena Tribute ''   `` Ai n't Your Mama ''   `` Chegaste ''   `` Dinero ''   `` El Anillo ''   `` Feel the Light ''   `` Fresh Out the Oven ''   `` Live It Up ''   `` Louboutins ''   `` Love Make the World Go Round ''   `` Olvídame y Pega la Vuelta ''   `` Us ''         Book   Category      Retrieved from `` https://en.wikipedia.org/w/index.php?title=Theme_from_Mahogany_(Do_You_Know_Where_You%27re_Going_To)&amp;oldid=845694047 '' Categories :   1973 songs   1975 singles   1976 singles   Billboard Hot 100 number - one singles   Billboard Adult Contemporary number - one singles   Diana Ross songs   Thelma Houston songs   Pop ballads   Songs written for films   Songs with lyrics by Gerry Goffin   Songs written by Michael Masser   1975 songs   Motown singles   Soul ballads   Rhythm and blues ballads   Hidden categories :   Articles needing additional references from January 2016   All articles needing additional references   Articles which use infobox templates with no data rows   Music infoboxes with deprecated parameters   Articles with hAudio microformats   All articles with unsourced statements   Articles with unsourced statements from January 2016   Singlechart usages for Ireland2   Singlechart called without artist   Interlanguage link template link number           Talk                                           Contents                   About Wikipedia                                           Français   Italiano   Magyar   Polski   Srpskohrvatski / српскохрватски   Svenska   Edit links   This page was last edited on 13 June 2018 , at 14 : 18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</si>
  <si>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do you know where you're going to</t>
  </si>
  <si>
    <t xml:space="preserve"> `` Theme from Mahogany ( Do You Know Where You 're Going To ) '' is a song written by Michael Masser and Gerald Goffin , and initially recorded by American singer Thelma Houston in 1973 , and then most notably by Diana Ross as the theme to the 1975 Motown / Paramount film Mahogany . </t>
  </si>
  <si>
    <t xml:space="preserve">Lisa Whelchel - wikipedia  Lisa Whelchel  Jump to : navigation , search    Lisa Whelchel       Lisa Diane Whelchel ( 1963 - 05 - 29 ) May 29 , 1963 ( age 54 ) Littlefield , Texas , U.S.     Other names   Lisa Cauble     Occupation   Actress , singer , songwriter , author , public speaker     Years active   1977 -- present     Organization   Women of Faith     Notable work   The Facts of Life The New Mickey Mouse Club All Because of You Survivor : Philippines     Style   Contemporary Christian     Spouse ( s )   Steven Cauble ( m . 1988 -- 2012 )     Children       Website   lisawhelchel.com     Lisa Diane Whelchel ( born May 29 , 1963 ) is an American actress , singer , songwriter , author , and public speaker . She is known for her appearances as a Mouseketeer on The New Mickey Mouse Club and her nine - year role as the preppy and wealthy Blair Warner on The Facts of Life . In 1984 , she was nominated for a Grammy Award for Best Inspirational Performance for her contemporary Christian album , All Because of You . Since 2009 , she has been a regular speaker with Women of Faith Christian conferences . In 2012 , Whelchel participated as a contestant on the CBS competitive reality series Survivor : Philippines and tied for second place . She was also voted fan favorite and was awarded $100,000 .     Contents  ( hide )   1 Personal background   2 Acting career   2.1 The New Mickey Mouse Club   2.2 The Facts of Life     3 Music career   4 Speaking   5 Writing   6 Survivor   7 Hosting duties   8 Published works   9 Filmography   10 Accolades   11 See also   12 References   13 External links      Personal background ( edit )   Lisa Whelchel was born on May 29 , 1963 , in Littlefield , Texas . She is the daughter of Virginia `` Genny '' ( née French ) , a real estate agent , and James `` Jimmy '' Whelchel Sr. , an electrician . Her parents divorced in 1981 , and her mother married Roy Coleman in 1983 . Lisa is the elder sister of James `` Cody '' Whelchel Jr. , and the elder half - sister of Casey Justice Coleman . She also has a nephew , Chasin ( Cody 's son ) . Lisa and Cody were raised for most of their childhood in Fort Worth , Texas .   When Whelchel was ten years old , she became a born - again Christian and has devoted her life to her Christian faith . On July 9 , 1988 , Whelchel married Steven Cauble , who was an associate pastor at The Church on the Way in Van Nuys , California , which Whelchel attended at the time . The couple , who have three adult children , divorced in March 2012 .   Acting career ( edit )   The New Mickey Mouse Club ( edit )   At age 12 , Whelchel was recruited in Texas by talent scouts who were looking for children interested in working with Disney Studios as a Mouseketeer on The New Mickey Mouse Club . She moved to California the next year and appeared on the show in syndication from 1977 to 1978 .   The Facts of Life ( edit )   As a cast member of The Facts of Life , Whelchel once refused a storyline that would have made her character the first among the four main young women on the show to lose her virginity . Having become a Christian when she was ten years old , Whelchel refused because of her Christian convictions , and the storyline was rewritten for the character of `` Natalie , '' portrayed by Mindy Cohn . Whelchel appeared in every episode of the series except that one .   In 2001 , Whelchel reprised her role as Blair Warner for the made - for - television movie , The Facts of Life Reunion .   On March 7 , 2004 , Whelchel was reunited with Charlotte Rae to perform The Facts of Life theme song at the 2nd Annual TV Land Awards at the Hollywood Palladium in Hollywood . In spring 2006 , she appeared with two of her Facts of Life co-stars on The Today Show to promote the show 's DVD releases of the first and second seasons , admitting to being `` really bummed out '' that Kim Fields was unable to attend . On February 1 , 2007 , Whelchel was reunited with Kim Fields on WFAA - TV 's Good Morning Texas . Fields was in Dallas to promote her appearance in the production Issues : We 've All Got ' Em ' , when Whelchel was introduced as a surprise guest . On April 10 , 2011 , Whelchel and the cast of The Facts of Life , including Charlotte Rae , Nancy McKeon , Mindy Cohn , Kim Fields , Geri Jewell , and Cloris Leachman were honored with the Pop Culture Award at the 9th Annual TV Land Awards at the Javits Center in New York City .   Music career ( edit )   In 1984 , Whelchel released a Christian pop album entitled All Because of You . The album reached No. 17 on the Billboard Contemporary Christian music charts . She was nominated for a Grammy Award for Best Inspirational Performance and was recognized as the writer of the title song , `` All Because of You '' . Among the songs featured on the album were `` All Because of You '' , `` Just Obey '' , `` Cover Me Lord '' , and `` Good Girl '' . She did not record a second album . While she was appearing on The Facts of Life , she made a cameo appearance in the music video for contemporary Christian music singer - songwriter Steve Taylor 's song `` Meltdown ( at Madame Tussaud 's ) '' . The song was the title track from the album Meltdown .   Speaking ( edit )   Whelchel has been a regular inspirational speaker at churches and conferences nationwide since 2004 . In 2000 , she founded Momtime Ministries , a religious network of mothers ' groups who meet weekly to `` equip and refresh and encourage '' each other . In 2009 , she began touring with the Women of Faith conferences , speaking on various issues including motherhood , child discipline , and friendship .   Writing ( edit )   Whelchel has written ten books on motherhood , child discipline , adult friendships , homeschooling , and finding Jesus through the development of holiday traditions . Additional topics from a spiritual point of view include prayer and wisdom . She is the bestselling author of So You 're Thinking About Homeschooling and The Facts of Life ( and Other Lessons My Father Taught Me ) .   While Whelchel has been honored as a Gold Medallion nominee for her book on child discipline , entitled Creative Correction , she has received negative press and criticism by both Christian and non-Christian parenting groups for her views . In an 2005 interview with talk show host Drew Marshall , Whelchel spoke about her books on motherhood and shared her ideas on child discipline presented in the book .   Survivor ( edit )   On August 20 , 2012 , Whelchel was announced as a contestant in Survivor : Philippines as a member of the Tandang tribe . She joined retired Major League Baseball star Jeff Kent as one of the season 's two `` celebrity '' contestants . She elected to keep her true identity , as a former television star , a secret from the other contestants , many of whom were too young to have watched The Facts of Life during its original run and thus did not recognize her .   On November 14 , 2012 , Whelchel announced via her Twitter account that she was suffering from West Nile Virus and had been advised by her doctor that recovery would take approximately one year . She did not specify whether she had contracted the arbovirus while in the Philippines shooting Survivor .   On December 16 , 2012 , Whelchel made it to the Final Tribal Council , where fellow contestant and jury member Jonathan Penner revealed to the rest of the jury that she was a former child star . In the end , she received one jury vote from RC Saint - Amour and tying with returning contestant Michael Skupin for runner - up . She was also voted the Sprint Player of the Season , winning $100,000 by a margin of about . 07 percent against Malcolm Freberg .   Hosting duties ( edit )   On January 14 , 2013 , Whelchel co-hosted several episodes of The Jeff Probst Show with Survivor host , Jeff Probst .   Published works ( edit )       This section of a biography of a living person does not include any references or sources . Please help by adding reliable sources . Contentious material about living people that is unsourced or poorly sourced must be removed immediately . Find sources : `` Lisa Whelchel '' -- news newspapers books scholar JSTOR ( September 2016 ) ( Learn how and when to remove this template message )      Whelchel , Lisa . Creative Correction , Tyndale House Publishers , 320 pages , 2000 . ISBN 978 - 1561799015   Whelchel , Lisa . The Facts of Life ( and Other Lessons My Father Taught Me ) , Multnomah Books , 192 pages , 2001 . ISBN 978 - 1590521489   Whelchel , Lisa . So You 're Thinking About Homeschooling : Fifteen Families Show How You Can Do It ( 2nd edition ) , Multnomah Books , 224 pages , 2005 . ISBN 978 - 1590525111   Whelchel , Lisa . How to Start Your Own Mom Time   The ADVENTure of Christmas : Helping Children Find Jesus in Our Holiday Traditions   Taking Care of the Me in Mommy   The Busy Mom 's Guide to Prayer   The Busy Mom 's Guide to Wisdom   The Busy Grandma 's Guide to Prayer   Speaking Mom - ese : Moments of Peace &amp; Inspiration in the Mother Tongue from One Mom 's Heart to Yours    Filmography ( edit )     Year   Title   Role   Notes     1977 -- 78   The New Mickey Mouse Club   Herself ( Mouseketeer )   Main cast ( 130 episodes )     1977   The Wonderful World of Disney   Herself ( Mouseketeer )   Episode : `` The Mouseketeers at Walt Disney World ''     1978   Family   Cathy Connelly   Episode : `` All for Love ''     1979   The Wonderful World of Disney   Robin Lapp   Episode : `` Shadow of Fear '' ( Parts 1 &amp; 2 )     1979   Diff'rent Strokes   Blair Warner   Episode : `` The Girls School ''     1979   The Double McGuffin   Jody   Feature film     1979   The Magician of Lublin   Halina   Feature film     1979 -- 88   The Facts of Life   Blair Warner   Main cast ( 200 episodes )     1980   Skyward   Lisa Ward   NBC television film     1981   Diff'rent Strokes   Blair Warner   Episode : `` The Older Man ''     1981   Twirl   Jill Moore   NBC television film     1982   The Facts of Life Goes to Paris   Blair Warner   NBC television film     1982   The Wild Women of Chastity Gulch   Amy Cole   ABC television film       The Love Boat   Caroline Shea   Episode : `` The Dean and the Flunkee '' ( Parts 1 &amp; 2 )     1985   The Love Boat   Kelly Barrett   Episode : `` The Racer 's Edge '' ( Parts 1 &amp; 2 )       The Facts of Life Down Under   Blair Warner   NBC television film       Where the Red Fern Grows : Part Two   Sara Coleman   Direct - to - video film       The Facts of Life Reunion   Blair Warner   ABC television film ( The Wonderful World of Disney )     2012   Survivor : Philippines   Herself ( Contestant )   14 episodes     2013   The Jeff Probst Show   Herself ( Co-host )   16 episodes       A Madea Christmas   Nancy Porter   Feature film     2014   For Better or For Worse   Wendy   Hallmark television film     2016   Hearts of Spring   Carly Ashby   Hallmark television film     2016   A Snow Capped Christmas   Dale ( Claire 's Mom )   UP television film     Accolades ( edit )   Young Artist Awards    1982 : Nominated , `` Best Young Comedienne in a Motion Picture or Television '' -- The Facts of Life   1982 : Nominated , `` Best Young Actress in a Television Special '' -- Twirl   1983 : Nominated , `` Best Young Actress in a Comedy Series '' -- The Facts of Life   1984 : Nominated , `` Best Young Actress in a Comedy Series '' -- The Facts of Life    See also ( edit )    Biography portal   Christianity portal   Christian music portal   Film portal   Television in the United States portal    References ( edit )    Jump up ^ Survivor . `` Survivor Cast : Lisa '' . Cbs.com . Retrieved December 18 , 2012 .   Jump up ^ Snyder , Leslie . `` Flower Mound 's Lisa Whelchel voted fan favorite in ' Survivor : Philippines ' ; gets $100 K prize '' . Dallas News .   Jump up ^ `` Lisa Whelchel Biography ( 1963 -- ) '' . Filmreference.com . Retrieved December 18 , 2012 .   Jump up ^ Lisa Whelchel . `` Lisa Whelchel : My Faith '' . Archived from the original on February 16 , 2008 . Retrieved February 11 , 2008 .   Jump up ^ Steve Helling ( September 20 , 2012 ) . `` Lisa Whelchel Is Divorced '' . Retrieved September 20 , 2012 .   Jump up ^ Bloom , Ken ; Vlastnick , Frank ( 2007 ) Sitcoms : The 101 Greatest TV Comedies of All Time p. 98 Black Dog &amp; Leventhal Publishers   Jump up ^ Carolyn A. Burns . `` Lisa Whelchel Lisa Whelchel '' . TodaysChristianMusic.com . Retrieved December 18 , 2012 .   Jump up ^ `` Lisa Whelchel Biography at Simon &amp; Schuster '' . Authors.simonandschuster.com . Archived from the original on December 20 , 2012 . Retrieved December 18 , 2012 .   Jump up ^ The State ( Columbia , S.C. ) ( January 25 , 2008 ) . `` Q&amp;A / Lisa Whelchel '' . Retrieved February 11 , 2008 .   Jump up ^ Strecker , Erin . `` ' Survivor : Philippines ' cast includes Lisa Whelchel and Jeff Kent Inside TV EW.com '' . Insidetv.ew.com . Retrieved December 18 , 2012 .   Jump up ^ `` Lisa Whelchel has West Nile Virus , ' Survivor ' star reveals '' . Fox News . Retrieved December 18 , 2012 .   Jump up ^ Carrie `` Spicy '' Milburn ( December 17 , 2012 ) . `` Survivor 's Lisa Whelchel to Join Jeff Probst on Talk Show '' . Reality Nation . Archived from the original on January 21 , 2013 . Retrieved February 13 , 2013 .    External links ( edit )    Official website   Lisa Whelchel on IMDb   Lisa Whelchel at the TCM Movie Database      ( hide )         Survivor contestants     Winners of Survivor     Richard Hatch ( Borneo )   Tina Wesson ( The Australian Outback )   Ethan Zohn ( Africa )   Vecepia Towery ( Marquesas )   Brian Heidik ( Thailand )   Jenna Morasca ( The Amazon )   Sandra Diaz - Twine ( Pearl Islands and Heroes vs. Villains )   Amber Brkich ( All - Stars )   Chris Daugherty ( Vanuatu )   Tom Westman ( Palau )   Danni Boatwright ( Guatemala )   Aras Baskauskas ( Panama )   Yul Kwon ( Cook Islands )   Earl Cole ( Fiji )   Todd Herzog ( China )   Parvati Shallow ( Micronesia )   Bob Crowley ( Gabon )   J.T. Thomas ( Tocantins )   Natalie White ( Samoa )   Jud `` Fabio '' Birza ( Nicaragua )   Rob Mariano ( Redemption Island )   Sophie Clarke ( South Pacific )   Kim Spradlin ( One World )   Denise Stapley ( Philippines )   John Cochran ( Caramoan )   Tyson Apostol ( Blood vs. Water )   Tony Vlachos ( Cagayan )   Natalie Anderson ( San Juan del Sur )   Mike Holloway ( Worlds Apart )   Jeremy Collins ( Cambodia )   Michele Fitzgerald ( Kaôh Rōng )   Adam Klein ( Millennials vs. Gen X )   Sarah Lacina ( Game Changers )       Other contestants      Single season     Alan Ball   Alexis Jones   Ashley Massaro   Candace Smith   Chase Rice   Chris Hammons   Christy Smith   Cliff Robinson   Colleen Haskell   Crystal Cox   Dan Barry   David Samson   Elisabeth Filarski   Elyse Umemoto   Gary Hogeboom   Grant Mattos   Hayden Moss   Helen Glover   Holly Hoffman   Hunter Ellis   J.P. Calderon   Jean - Robert Bellande   Jeff Kent   Jessica Lewis   Jennifer Lyon   Jimmy Johnson   Joe Del Campo   John Rocker   Julia Landauer   Julie Berry   Katrina Radke   Keith Famie   Kelly Bruno   Ken Hoang   Kim Mullen   Lisa Whelchel   Matt Elrod   Nadiya Anderson   Rafe Judkins   Rita Verreos   Scot Pollard   Sean Kenniff   Steve Wright   Tamara `` Taj '' Johnson - George   Tammy Leitner   Tyler Fredrickson   Whitney Duncan       Multiple seasons     Amanda Kimmel   Ami Cusack   Andrea Boehlke   Bobby Jon Drinkard   Brad Culpepper   Caleb Reynolds   Benjamin `` Coach '' Wade   Colby Donaldson   Gervase Peterson   Jeff Varner   Jenna Lewis   Jerri Manthey   Jonathan Penner   Jonny Fairplay   Laura Morett   Michael Skupin   Ozzy Lusth   Phillip Sheppard   Rob Cesternino   Rudy Boesch   Rupert Boneham   Russell Hantz   Stephenie LaGrossa   Jessica `` Sugar '' Kiper   Susan Hawk   Terry Deitz   Yau - Man Chan                  VIAF : 31238208   LCCN : n95010215      Retrieved from `` https://en.wikipedia.org/w/index.php?title=Lisa_Whelchel&amp;oldid=799022371 '' Categories :   1963 births   Actresses from Texas   American bloggers   American child actresses   American television talk show hosts   American television actresses   American television personalities   20th - century American actresses   21st - century American actresses   American Christians   Living people   Mouseketeers   People from Fort Worth , Texas   American performers of Christian music   Singers from Texas   Writers from Texas   People from Lamb County , Texas   Survivor ( U.S. TV series ) contestants   Participants in American reality television series   Women bloggers   Hidden categories :   All articles with dead external links   Articles with dead external links from September 2010   Use mdy dates from October 2013   Pages using infobox person with unknown parameters   Infobox person using religion   Articles with hCards   BLP articles lacking sources from September 2016   All BLP articles lacking sources   Turner Classic Movies person ID not in Wikidata   Wikipedia articles with VIAF identifiers   Wikipedia articles with LCCN identifiers           Talk                                           Contents                   About Wikipedia                                           Español   Italiano   Português   Türkçe   Edit links   This page was last edited on 5 September 2017 , at 05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</si>
  <si>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blair in the facts of life</t>
  </si>
  <si>
    <t xml:space="preserve"> Lisa Diane Whelchel ( born May 29 , 1963 ) is an American actress , singer , songwriter , author , and public speaker . She is known for her appearances as a Mouseketeer on The New Mickey Mouse Club and her nine - year role as the preppy and wealthy Blair Warner on The Facts of Life . In 1984 , she was nominated for a Grammy Award for Best Inspirational Performance for her contemporary Christian album , All Because of You . Since 2009 , she has been a regular speaker with Women of Faith Christian conferences . In 2012 , Whelchel participated as a contestant on the CBS competitive reality series Survivor : Philippines and tied for second place . She was also voted fan favorite and was awarded $100,000 . </t>
  </si>
  <si>
    <t xml:space="preserve">Indian reservation - wikipedia  Indian reservation  Jump to : navigation , search This article is about Native American reservations in the United States . For a similar concept in Canada , see Indian reserve . For other uses , see Indian reservation ( disambiguation ) . Not to be confused with Reservation in India .    Indian reservations     Also known as : Domestic Dependent Nation           Autonomous administrative divisions     Location   United States of America     Created   1658 ( Powhatan Tribes )     Number   326 ( map includes the 310 as of May 1996 )     Populations   123 ( several ) - 173,667 ( Navajo Nation )     Areas   ranging from the 1.32 - acre ( 0.534 hectares ) Pit River Tribe 's cemetery in California to the 16 million - acre ( 64 750 square kilometers ) Navajo Nation Reservation located in Arizona , New Mexico , and Utah       Administrative divisions of the United States     First level       State ( Commonwealth )     Federal district   Territory ( Commonwealth )     Indian reservation ( list ) / Hawaiian home land / Alaska Native tribal entity / Pueblo / Off - reservation trust land       Second level       County / Parish / Borough   Unorganized Borough / Census area / Villages / District ( USVI ) / District ( AS )     Consolidated city - county   Independent city   Municipality     Unorganized atoll     State - recognized tribes       Third level       Township     Cities , towns , and villages   Coterminous municipality     Barrio   Chapter       Fourth level       Ward       Other areas       Protected areas ( Conservation district , National Monument , National Park )     Congressional district     Homeowner association     Associated state     Military base   Federal enclave     Unincorporated area   Ghost town                   An Indian reservation is a legal designation for an area of land managed by a federally recognized Native American tribe under the U.S. Bureau of Indian Affairs rather than the state governments of the United States in which they are physically located . Each of the 326 Indian reservations in the United States is associated with a particular Native American nation . Not all of the country 's 567 recognized tribes have a reservation -- some tribes have more than one reservation , while some share reservations . In addition , because of past land allotments , leading to some sales to non-Native Americans , some reservations are severely fragmented , with each piece of tribal , individual , and privately held land being a separate enclave . This jumble of private and public real estate creates significant administrative , political , and legal difficulties .   The collective geographical area of all reservations is 56,200,000 acres ( 22,700,000 ha ; 87,800 sq mi ; 227,000 km ) , approximately the size of Idaho . While most reservations are small compared to U.S. states , there are 12 Indian reservations larger than the state of Rhode Island . The largest reservation , the Navajo Nation Reservation , is similar in size to West Virginia . Reservations are unevenly distributed throughout the country ; the majority are west of the Mississippi River and occupy lands that were first reserved by treaty or ' granted ' from the public domain .   Because tribes possess the concept of tribal sovereignty , even though it is limited , laws on tribal lands vary from those of the surrounding area . These laws can permit legal casinos on reservations , for example , which attract tourists . The tribal council , not the local government or the United States federal government , often has jurisdiction over reservations . Different reservations have different systems of government , which may or may not replicate the forms of government found outside the reservation . Most Native American reservations were established by the federal government ; a limited number , mainly in the East , owe their origin to state recognition .   The name `` reservation '' comes from the conception of the Native American tribes as independent sovereigns at the time the U.S. Constitution was ratified . Thus , the early peace treaties ( often signed under duress ) in which Native American tribes surrendered large portions of land to the U.S. also designated parcels which the tribes , as sovereigns , `` reserved '' to themselves , and those parcels came to be called `` reservations . '' The term remained in use even after the federal government began to forcibly relocate tribes to parcels of land to which they had no historical connection .   Today a majority of Native Americans and Alaska Natives live somewhere other than the reservations , often in larger western cities such as Phoenix and Los Angeles . In 2012 , there were over 2.5 million Native Americans with about 1 million living on reservations .     Contents  ( hide )   1 History   1.1 Colonial and early US history   1.2 Rise of Indian removal policy ( 1830 -- 1868 )   1.3 Forced assimilation ( 1868 -- 1887 )   1.4 Individualized reservations ( 1887 -- 1934 )   1.5 Indian New Deal ( 1934 -- present )     2 Land tenure and federal Indian law   3 Disputes over land sovereignty   3.1 Black Hills land dispute   3.2 Iroquois land claims in Upstate New York   3.3 Navajo -- Hopi land dispute   3.4 The Standing Rock Sioux tribe and the Dakota Access Pipeline     4 Life and culture   5 Gambling   6 Law enforcement and crime   6.1 Violence and substance abuse     7 See also   8 References   9 Further reading   10 External links      History ( edit )   Colonial and early U.S. history ( edit )   From the beginning of the European colonization of the Americas , Europeans often removed native peoples from lands they wished to occupy . The means varied , including treaties made under considerable duress , forceful ejection , and violence , and in a few cases voluntary moves based on mutual agreement . The removal caused many problems such as tribes losing means of livelihood by being subjected to a defined area , farmers having inadmissible land for agriculture , and hostility between tribes .   In 1764 the `` Plan for the Future Management of Indian Affairs '' was proposed by the Board of Trade . Although never adopted formally , the plan established the imperial government 's expectation that land would only be bought by colonial governments , not individuals , and that land would only be purchased at public meetings . Additionally , this plan dictated that the Indians would be properly consulted when ascertaining and defining the boundaries of colonial settlement .   For much of North America , the American Revolution was more of a battle against the Indians than a war against the British . So when the war was brought to an end with the 1783 Treaty of Paris , the treaty was generally understood by American officials to strip the Indians of all property rights east of the Mississippi River . The treaty was seen by Americans as a confirmation of their conquest of Indian land .   The private contracts that once characterized the sale of Indian land to various individuals and groups -- from farmers to towns -- were replaced by treaties between sovereigns . This protocol was adopted by the United States Government after the American Revolution .   On March 11 , 1824 , John C. Calhoun founded the Office of Indian Affairs ( now the Bureau of Indian Affairs ) as a division of the United States Department of War ( now the United States Department of Defense ) , to solve the land problem with 38 treaties with American Indian tribes .   Rise of Indian Removal policy ( 1830 -- 1868 ) ( edit )  Main article : Indian removal  The passage of the Indian Removal Act of 1830 marked the systematization of a U.S. federal government policy of forcibly moving Native populations away from European - populated areas .   One example was the Five Civilized Tribes , who were removed from their native lands in the southern United States and moved to modern - day Oklahoma , in a mass migration that came to be known as the Trail of Tears . Some of the lands these tribes were given to inhabit following the removals eventually became Indian reservations .   In 1851 , the United States Congress passed the Indian Appropriations Act which authorized the creation of Indian reservations in modern - day Oklahoma . Relations between settlers and natives had grown increasingly worse as the settlers encroached on territory and natural resources in the West .   Forced assimilation ( 1868 -- 1887 ) ( edit )  Most Indian reservations , like the Laguna Indian reservation in New Mexico ( pictured here in 1943 ) , are in the western United States , often in regions suitable more for ranching than farming .  In 1868 , President Ulysses S. Grant pursued a `` Peace Policy '' as an attempt to avoid violence . The policy included a reorganization of the Indian Service , with the goal of relocating various tribes from their ancestral homes to parcels of lands established specifically for their inhabitation . The policy called for the replacement of government officials by religious men , nominated by churches , to oversee the Indian agencies on reservations in order to teach Christianity to the native tribes . The Quakers were especially active in this policy on reservations .   The policy was controversial from the start . Reservations were generally established by executive order . In many cases , white settlers objected to the size of land parcels , which were subsequently reduced . A report submitted to Congress in 1868 found widespread corruption among the federal Native American agencies and generally poor conditions among the relocated tribes .   Many tribes ignored the relocation orders at first and were forced onto their limited land parcels . Enforcement of the policy required the United States Army to restrict the movements of various tribes . The pursuit of tribes in order to force them back onto reservations led to a number wars with Native Americans which included some massacres . The most well - known conflict was the Sioux War on the northern Great Plains , between 1876 and 1881 , which included the Battle of Little Bighorn . Other famous wars in this regard included the Nez Perce War .   By the late 1870s , the policy established by President Grant was regarded as a failure , primarily because it had resulted in some of the bloodiest wars between Native Americans and the United States . By 1877 , President Rutherford B. Hayes began phasing out the policy , and by 1882 all religious organizations had relinquished their authority to the federal Indian agency .   Individualized reservations ( 1887 -- 1934 ) ( edit )   In 1887 , Congress undertook a significant change in reservation policy by the passage of the Dawes Act , or General Allotment ( Severalty ) Act . The act ended the general policy of granting land parcels to tribes as - a-whole by granting small parcels of land to individual tribe members . In some cases , for example , the Umatilla Indian Reservation , after the individual parcels were granted out of reservation land , the reservation area was reduced by giving the `` excess land '' to white settlers . The individual allotment policy continued until 1934 when it was terminated by the Indian Reorganization Act .   Indian New deal ( 1934 -- present ) ( edit )   The Indian Reorganization Act of 1934 , also known as the Howard - Wheeler Act , was sometimes called the Indian New Deal . It laid out new rights for Native Americans , reversed some of the earlier privatization of their common holdings , and encouraged tribal sovereignty and land management by tribes . The act slowed the assignment of tribal lands to individual members and reduced the assignment of ' extra ' holdings to nonmembers .   For the following 20 years , the U.S. government invested in infrastructure , health care , and education on the reservations . Likewise , over two million acres ( 8,000 km2 ) of land were returned to various tribes . Within a decade of John Collier 's retirement ( the initiator of the Indian New Deal ) the government 's position began to swing in the opposite direction . The new Indian Commissioners Myers and Emmons introduced the idea of the `` withdrawal program '' or `` termination '' , which sought to end the government 's responsibility and involvement with Indians and to force their assimilation .   The Indians would lose their lands but were to be compensated , although many were not . Even though discontent and social rejection killed the idea before it was fully implemented , five tribes were terminated : the Coushatta , Ute , Paiute , Menominee and Klamath , and 114 groups in California lost their federal recognition as tribes . Many individuals were also relocated to cities , but one - third returned to their tribal reservations in the decades that followed .   Land tenure and federal Indian law ( edit )   With the establishment of reservations , tribal territories diminished to a fraction of original areas and indigenous customary practices of land tenure sustained only for a time , and not in every instance . Instead , the federal government established regulations that subordinated tribes to the authority , first , of the military , and then of the Bureau ( Office ) of Indian Affairs . Under federal law , the government patented reservations to tribes , which became legal entities that at later times have operated in a corporate manner . Tribal tenure identifies jurisdiction over land - use planning and zoning , negotiating ( with the close participation of the Bureau of Indian Affairs ) leases for timber harvesting and mining .   Tribes generally have authority over other forms of economic development such as ranching , agriculture , tourism , and casinos . Tribes hire both members , other Indians and non-Indians in varying capacities ; they may run tribal stores , gas stations , and develop museums ( e.g. , there is a gas station and general store at Fort Hall Indian Reservation , Idaho , and a museum at Foxwoods , on the Mashantucket Pequot Indian Reservation in Connecticut ) .   Tribal members may utilize a number of resources held in tribal tenures such as grazing range and some cultivable lands . They may also construct homes on tribally held lands . As such , members are tenants - in - common , which may be likened to communal tenure . Even if some of this pattern emanates from pre-reservation tribal custom , generally the tribe has the authority to modify tenant in - common practices .  Wagon loaded with squash , Rosebud Indian Reservation , ca . 1936  With the General Allotment Act ( Dawes ) , 1887 , the government sought to individualize tribal lands by authorizing allotments held in individual tenure . Generally , the allocation process led to grouping family holdings and , in some cases , this sustained pre-reservation clan or other patterns . There had been a few allotment programs ahead of the Dawes Act . However , the vast fragmentation of reservations occurred from the enactment of this act up to 1934 , when the Indian Reorganization Act was passed . However , Congress authorized some allotment programs in the ensuing years , such as on the Palm Springs / Agua Caliente Indian Reservation in California .   Allotment set in motion a number of circumstances :    individuals could sell ( alienate ) the allotment -- under the Dawes Act , it was not to happen until after twenty - five years .   individual allottees who would die intestate would encumber the land under prevailing state devisement laws , leading to complex patterns of heirship . Congress has attempted to mollify the impact of heirship by granting tribes the capacity to acquire fragmented allotments owing to heirship by financial grants . Tribes may also include such parcels in long - range land use planning .   With alienation to non-Indians , their increased presence on numerous reservations has changed the demography of Indian Country . One of many implications of this fact is that tribes can not always effectively embrace the total management of a reservation , for non-Indian owners and users of allotted lands contend that tribes have no authority over lands that fall within the tax and law - and - order jurisdiction of local government .    The demographic factor , coupled with landownership data , led , for example , to litigation between the Devils Lake Sioux and the State of North Dakota , where non-Indians owned more acreage than tribal members even though more Native Americans resided on the reservation than non-Indians . The court decision turned , in part , on the perception of Indian character , contending that the tribe did not have jurisdiction over the alienated allotments . In a number of instances -- e.g. , the Yakama Indian Reservation -- tribes have identified open and closed areas within reservations . One finds the majority of non-Indian landownership and residence in the open areas and , contrariwise , closed areas represent exclusive tribal residence and related conditions .  Spring roundup of Paiute - owned cattle begins at Pyramid Lake Indian Reservation , 1973 .  Indian Country today consists of tripartite government -- i.e. , federal , state and / or local , and tribal . Where state and local governments may exert some , but limited , law - and - order authority , tribal sovereignty is diminished . This situation prevails in connection with Indian gaming because federal legislation makes the state a party to any contractual or statutory agreement .   Finally , other - occupancy on reservations may be by virtue of tribal or individual tenure . There are many churches on reservations ; most would occupy tribal land by consent of the federal government or the tribe . BIA agency offices , hospitals , schools , and other facilities usually occupy residual federal parcels within reservations . Many reservations include one or more sections ( about 640 acres ) of school lands , but those lands typically remain part of the reservation ( e.g. , Enabling Act of 1910 at Section 20 ) . As a general practice , such lands may sit idle or be grazed by tribal ranchers .   Disputes over land sovereignty ( edit )   When the Europeans discovered the `` New World '' in the fifteenth century , the land that was new to them had been home to Native Peoples for thousands of years . The American colonial government determined a precedent of establishing the land sovereignty of North America through treaties between sovereigns . This precedent was upheld by the United States government . As a result , most Native American land was purchased by the United States government , a portion of which was designated to remain under Native sovereignty . The United States government and Native Peoples do not always agree on how land should be governed , which has resulted in a series of disputes over sovereignty .   Black Hills land dispute ( edit )  Main article : Black Hills Land Claim  The Federal Government and The Lakota Sioux tribe members have been involved in sorting out a legal claim for the Black Hills since signing the 1868 Fort Laramie Treaty , which created what is known today as the Great Sioux Nation covering the Black Hills and nearly half of western South Dakota . This treaty was acknowledged and respected until 1874 , when General George Custer discovered gold , sending a wave of settlers into the area and leading to the realization of the value of the land from United States President Grant . President Grant used tactical military force to remove the Sioux from the land and assisted in the development of the Congressional appropriations bill for Indian Services in 1876 , a `` starve or sell '' treaty signed by only 10 % of the 75 % tribal men required based on specifications from the Fort Laramie Treaty that relinquished the Sioux 's rights to the Black Hills . Following this treaty , the Agreement of 1877 was passed by Congress to remove the Sioux from the Black Hills , stating that the land was purchased from the Sioux despite the insufficient number of signatures , the lack of transaction records , and the tribe 's claim that the land was never for sale .   The Black Hills are sacred to the Sioux as a place central to their spirituality and identity , and contest of ownership of the land has been pressured in the courts by the Sioux Nation since they were allowed legal avenue in 1920 . Beginning in 1923 , the Sioux made legal claim that their relinquishment from the Black Hills was illegal under the Fifth Amendment , and no amount of money can make up for the loss of their sacred land . This claim went all the way up to the Supreme Court United States v. Sioux Nation of Indians case in 1979 after being revived by Congress , and the Sioux were awarded over $100 million as they ruled that the seizure of the Black Hills was in fact illegal . The Sioux have continually rejected the money , and since then the award has been accruing interest in trust accounts , and amounts to about $1 billion in 2015 .   During President Barack Obama 's campaign he made indications that the case of the Black Hills was going to be solved with innovate solutions and consultation , but this was questioned when White House Counsel Leonard Garment sent a note to The Ogala people saying , `` The days of treaty making with the American Indians ended in 1871 ; ... only Congress can rescind or change in any way statutes enacted since 1871 . '' The He Sapa Reparations Alliance was established after Obama 's inauguration to educate the Sioux people and propose a bill to Congress that would allocate 1.3 million acres of federal land within the Black Hills to the tribe . To this day , the dispute of the Black Hills is ongoing with the trust estimated to be worth nearly $1.3 billion and sources believe principles of restorative justice may be the best solution to addressing this century old dispute .   Iroquois land claims in upstate New York ( edit )  Fort Stanwix , NY  While 1783 Treaty of Paris that ended the American Revolution addressed land sovereignty disputes between the British Crown and the colonies , it neglected to settle hostilities between indigenous people -- specifically those who fought on the side of the British , as four of the members of the Haudenosaunee did -- and colonists . In October 1784 the newly formed United States government facilitated negotiations with representatives from the Six Nations in Fort Stanwix , New York . The treaty produced in 1784 resulted in Indians giving up their territory within the Ohio River Valley and the U.S. guaranteeing the Haudenosaunee six million acres -- about half of what is present day New York -- as permanent homelands .   Unenthusiastic about the treaty 's conditions , the state of New York secured a series of twenty - six `` leases , '' many of them lasting 999 years on all native territories within its boundaries . Led to believe that they had already lost their land to the New York Genesee Company , the Haudenosaunee agreed to land leasing which was presented by New York Governor George Clinton as a means by which the indigenous could maintain sovereignty over their land . On August 28 , 1788 , the Oneidas leased five million acres to the state in exchange for $2,000 in cash , $2,000 in clothing , $1,000 in provisions and $600 annual rent . The other two tribes followed with similar arrangements .   The Holland Land Company gained control over all but ten acres of the native land leased to the state on September 15 , 1797 . These 397 square miles were subsequently parceled out and subleased to whites , allegedly ending the native title to land . Despite Iroquois protests , federal authorities did virtually nothing to correct the injustice . Certain of losing all of their land , in 1831 most of the Oneidas asked that what was left of their holdings be exchanged for 500,000 acres purchased from the Menominees in Wisconsin . President Andrew Jackson , committed to Indian Removal west of the Mississippi , agreed .   The Treaty of Buffalo Creek , signed on January 15 , 1838 , directly ceded 102,069 acres of Seneca land to the Ogden company for $202,000 , a sum that was divided evenly between the government -- to hold in trust for Indians -- and non-Indian individuals who wanted to buy and improve the plots . All that was left of the Cayuga , Oneida , Onondaga and Tuscarora holding was extinguished at a total cost of $400,000 to Ogden .   After Indian complaints , a second Treaty of Buffalo was written in 1842 in attempts to mediate tension . Under this treaty the Haudenosaunee were given the right to reside in New York and small areas of reservations were restored by the U.S. government .   These agreements were largely ineffective in protecting Native American land . By 1889 eighty percent of all Iroquois reservation land in New York was leased by non-Haudenosaunees .   Navajo -- Hopi land dispute ( edit )  See also : Hopi § Hopi -- Navajo land disputes  The modern - day Navajo and Hopi Indian Reservations are located in Northern Arizona , near the Four Corners area . The Hopi reservation is 2,531.773 square miles within Arizona and lies surrounded by the greater Navajo reservation which spans 27,413 square miles and extends slightly into the states of New Mexico and Utah . The Hopi , also known as the Pueblo people , made many spiritually motivated migrations throughout the Southwest before settling in present - day Northern Arizona . The Navajo people also migrated throughout western North America following spiritual commands before settling near the Grand Canyon area . The two tribes peacefully coexisted and even traded and exchanged ideas with each other ; However , their way of lives were threatened when the `` New people '' , what the Navajo called white settlers , began executing Natives across the continent and claiming their land , as a result of Andrew Jackson 's Indian Removal Act . War ensued between the Navajo people , who call themselves the Diné , and new Americans . The end result was the Long Walk in the early 1860s in which the entire tribe was forced to walk roughly 400 miles from Fort Canby ( present day Window Rock , Arizona ) to Bosque Redondo in New Mexico . This march is similar to the well known Cherokee `` Trail of Tears '' and like it , many tribe did not survive the trek . The roughly 11,000 tribe members were imprisoned here in what the United States government deemed an experimental Indian reservation that failed because it became too expensive , there were too many people to feed , and they were continuously raided by other native tribes . Consequently , in 1868 , the Navajo were allowed to return to their homeland after signing the Treaty of Bosque Redondo . The treaty officially established the `` Navajo Indian Reservation '' in Northern Arizona . The term reservation is one which creates territorialities or claims on places . This treaty gave them the right to the land and semi-autonomous governance of it . The Hopi reservation , on the other hand , was created through an executive order by President Arthur in 1882 .   A few years after the two reservations were established , the Dawes Allotment Act was passed under which communal tribal land was divvied up and allocated to each household in attempt to enforce European - American farming styles where each family owns and works their own plot of land . This was a further act of enclosure by the US government . Each family received 640 acres or less and the remaining land was deemed `` surplus '' because it was more than the tribes needed . This `` surplus '' land was then made available for purchase by American citizens .   The land designated to the Navajo and Hopi reservation was originally considered barren and unproductive by white settlers until 1921 when prospectors scoured the land for oil . The mining companies pressured the US government to set up Native American councils on the reservations so that they could agree to contracts , specifically leases , in the name of the tribe .   During World War II , uranium was mined from their land as well though the companies and government neglected to inform the people of the dangers of radiation exposure . Some people had even built their houses out of mine waste . The companies also failed to properly dispose of the radioactive waste which did and will continue to pollute the environment , including the natives ' water sources . Many years later , these same men who worked the mines died from lung cancer and their families received no form of financial compensation .   In 1979 , the Church Rock uranium mill spill was the largest release of radioactive waste in US history . The spill contaminated the Puerco River with 1,000 tons of solid radioactive waste and 93 million gallons of acidic , radioactive tailings solution which flowed downstream into the Navajo Nation . The Navajos used the water from this river for irrigation and their livestock but were not immediately informed about the contamination and its danger .   After the war ended , the American population boomed and energy demands soared . The utility companies needed a new source of power so they began the construction of coal - fired power plants . They placed these power plants in the four corners region . In the 1960s , John Boyden , an attorney working for both Peabody Coal and the Hopi tribe , the nation 's largest coal producer , managed to gain rights to the Hopi land , including Black Mesa , a sacred location to both tribes which lay partially within the Joint Use Area of both tribes .   This case is an example of environmental racism and injustice , per the principles established by the Participants of the First National People of Color Environmental Leadership Summit , because the Navajo and Hopi people , which are communities of color low income and political alienation , were disproportionately affected by the proximity and resulting pollution of these power plants which disregard their right to clean air , their land was degraded , and because the related public policies are not based on mutual respect of all people .   The mining companies wanted more land but the joint ownership of the land made negotiations difficult . At the same time , Hopi and Navajo tribes were squabbling over land rights while Navajo livestock continuously grazed on Hopi land . Boyden took advantage of this situation , presenting it to the House Subcommittee on Indian Affairs claiming that if the government did not step in and do something , a bloody war would ensue between the tribes . Congressmen agreed to pass the Navajo - Hopi Land Settlement Act of 1974 which forced any Hopi and Navajo people living on the other 's land to relocate . This affected 6,000 Navajo people and ultimately benefitted coal companies the most who could now more easily access the disputed land . Instead of using military violence to deal with those who refused to move , the government passed what became known as the Bennett Freeze to encourage the people to leave . Under the Bennett Freeze , 1.5 million acres of Navajo land were banned from any type of development , including paving roadways and even fixing roofs . This was meant to only be a temporary incentive to push tribe negotiations but wound up lasting over 40 years until 2009 when President Obama lifted the moratorium . Still , The legacy of the Bennett Freeze still looms over the region as seen by the nearly 3rd world conditions on the reservation - 75 % of people do not have access to electricity and housing situations are poor .   The Standing Rock Sioux tribe and the Dakota Access pipeline ( edit )  Dakota Access Oil Pipeline in North Dakota  The construction of the Dakota Access Pipeline , a 1,172 - mile pipeline that delivers crude oil from North Dakota to Iowa , has been in contest with the Standing Rock Sioux tribe , who claim that construction and usage of the pipeline threatens native lands , sacred burial grounds , water supplies provided by Lake Oahe , and environmental health . The pipeline was originally proposed to be built through the northern area of Bismarck , but was rerouted to an area near the Standing Rock Sioux reservation with push back from members of the Bismarck community afraid of the damages the pipeline may bring to their water supply . Bismarck has a 92.4 % white - alone demographic , and opponents of the pipeline have been cited in saying that the rerouting of the oil pipeline to the area that may impact indigenous land is racist .   Beginning in April 2016 , native and non-native protesters gather on land near Dakota Access Pipeline construction sites to protest the pipeline . Conflict between the tribe members and the government ha</t>
  </si>
  <si>
    <t xml:space="preserve">how many indian reservations are in the us</t>
  </si>
  <si>
    <t xml:space="preserve"> An Indian reservation is a legal designation for an area of land managed by a federally recognized Native American tribe under the U.S. Bureau of Indian Affairs rather than the state governments of the United States in which they are physically located . Each of the 326 Indian reservations in the United States is associated with a particular Native American nation . Not all of the country 's 567 recognized tribes have a reservation -- some tribes have more than one reservation , while some share reservations . In addition , because of past land allotments , leading to some sales to non-Native Americans , some reservations are severely fragmented , with each piece of tribal , individual , and privately held land being a separate enclave . This jumble of private and public real estate creates significant administrative , political , and legal difficulties . </t>
  </si>
  <si>
    <r>
      <rPr>
        <sz val="11"/>
        <color rgb="FF000000"/>
        <rFont val="Calibri"/>
        <family val="0"/>
        <charset val="1"/>
      </rPr>
      <t xml:space="preserve">The Time Traveler 's Wife ( film ) - wikipedia  The Time Traveler 's Wife ( film )  Jump to : navigation , search This article is about the film . For the book , see The Time Traveler 's Wife .    The Time Traveler 's Wife         Directed by   Robert Schwentke     Produced by     Nick Wechsler   Dede Gardner       Screenplay by   Bruce Joel Rubin     Based on   The Time Traveler 's Wife by Audrey Niffenegger     Starring     Eric Bana   Rachel McAdams   Ron Livingston       Music by   Mychael Danna     Cinematography   Florian Ballhaus     Edited by   Thom Noble     Production company   Plan B Entertainment     Distributed by   New Line Cinema     Release date   August 14 , 2009 ( 2009 - 08 - 14 )     Running time   108 minutes     Country   United States     Language   English     Budget   $39 million     Box office   $101.3 million     The Time Traveler 's Wife is a 2009 American romantic science fiction drama film based on Audrey Niffenegger 's 2003 novel of the same name . Directed by Robert Schwentke , the film stars Eric Bana , Rachel McAdams , and Ron Livingston . The story follows Henry DeTamble ( Bana ) , a Chicago librarian with a paranormal genetic disorder that causes him to randomly time travel as he tries to build a romantic relationship with Clare Abshire ( McAdams ) , who would become his wife .   Filming began in September 2007 , originally in anticipation of an autumn 2008 release . The film 's release was postponed with initially no official explanation from the studio . McAdams later noted that the delay was due to additional scenes and reshoots that could not be completed until the season at their outdoor location matched previously filmed footage , and Bana had regrown his hair following his work on the 2009 film Star Trek . The film was released on August 14 , 2009 .     Contents  ( hide )   1 Plot   2 Cast   3 Production   4 Music   4.1 Soundtrack   4.2 Additional songs     5 Reception   5.1 Critical response   5.2 Box office     6 Home media   7 References   8 External links      Plot ( edit )   In the early 1970s , Henry DeTamble is in a car accident that kills his mother but which he survives by inadvertently time traveling back two weeks . Moments later , Henry is helped by an older version of himself who has also traveled back . Unable to control the timing or destinations of his traveling , Henry finds himself drawn to significant people , places , and events in his life but is incapable of changing events beyond the minor differences his presence creates .   In 1991 , Henry meets Clare Abshire in the library where he works . She is overjoyed to see him although he is actually meeting her for the first time . Clare explains that she met Henry 's future self when she was a child , and that he informed her then that they would meet in the future , which is happening at the moment . Since childhood , Henry has been Clare 's best friend and has visited her . As a child , Clare develops a crush on Henry , and she is upset to learn that he is married . When Clare turns 18 , two years before their meeting at the library , the older Henry kisses her , leading her to realize that he is her husband in the future . They begin a relationship , which is challenged by Henry 's disorder . His sporadic time traveling is further complicated by the fact that he arrives at his destinations completely naked . From an early age , he had learned how to pick locks and to steal clothing to endure his travels . Among his getaways are many visits to young Clare . From present - day Clare 's diary , he gets a list of dates when he visited her , and gives those to young Clare so that she can be waiting for him with clothes . Falling in love , Henry and Clare eventually marry , though he actually time travels away before the ceremony and a visibly older version of himself arrives in time to step in , slightly confusing the guests .   Henry 's disappearances allow him to win the lottery by having the numbers in advance , but his disorder takes a toll on his relationship with Clare . It also makes having a child with Clare seemingly impossible , as Henry 's genes cause their unborn fetuses to time travel . They seek a renowned doctor 's help , but after numerous similar miscarriages , Henry has a secret vasectomy to end their suffering . However , soon after , Clare gets pregnant one last time -- by a visiting younger version of Henry -- and carries the baby to full term . Before the child is born , Henry travels forward in time and happily meets their pre-teen daughter , Alba . She tells him that she is a time traveler , too , but has increasing control over when and where she travels . Alba tells Henry that he will die when she is five years old , a fact that Henry subsequently hides from Clare . Alba 's pre-teen self , who ultimately tries to prepare her younger self for Henry 's death , visits young Alba sporadically . Clare is devastated to discover Henry 's impending death . Later , Henry time travels and is accidentally shot by Clare 's father , who is hunting elk . Henry returns in time to die in Clare 's arms . Some years later , a younger Henry visits Alba and Clare , giving Clare hope that he will visit again , though he tells her not to spend her life waiting for him , hoping this encounter would provide a proper closure for both Clare and Alba .   Cast ( edit )    Eric Bana as Henry DeTamble , a Chicago librarian   Alex Ferris as Henry at Six     Rachel McAdams as Clare Abshire DeTamble , an artist   Brooklynn Proulx as Clare at Six and Eight     Ron Livingston as Gomez , Henry and Clare 's friend and Charisse 's boyfriend   Jane McLean as Charisse , Clare 's best friend and roommate   Stephen Tobolowsky as Dr. Kendrick   Arliss Howard as Richard DeTamble , Henry 's father , a professional violinist   Hailey McCann as Alba DeTamble at Nine and Ten , Henry and Clare 's daughter   Tatum McCann as Alba at Four and Five     Michelle Nolden as Annette DeTamble , Henry 's mother   Maggie Castle as Alicia Abshire , Clare 's younger sister   Fiona Reid as Lucille Abshire , Clare 's mother   Philip Craig as Philip Abshire , Clare 's father   Brian Bisson as Mark Abshire , Clare 's brother    Production ( edit )   The film rights for Audrey Niffenegger 's 2003 novel The Time Traveler 's Wife were optioned by Jennifer Aniston and Brad Pitt 's production company Plan B Entertainment , in association with New Line Cinema , before the work was even published . Niffenegger stated in an interview that as she was writing the book , she had thoughts of how a film version of the book would appear . When asked about the prospect of her novel being turned into a film , Niffenegger said , `` I 've got my little movie that runs in my head . And I 'm kind of afraid that will be changed or wiped out by what somebody else might do with it . And it is sort of thrilling and creepy , because now the characters have an existence apart from me . ''   In September 2003 , the studio hired screenwriter Jeremy Leven to write an adapted screenplay of the novel . Directors Steven Spielberg and David Fincher briefly expressed interest in the project , though no negotiations took place . In March 2005 , director Gus Van Sant entered negotiations with the studio to helm the project . The negotiations did not hold , and in November 2006 , director Robert Schwentke was instead hired to take over the project .   In January 2007 , New Line hired screenwriter Bruce Joel Rubin to rewrite Leven 's script . Eric Bana and Rachel McAdams were cast in April 2007 . Filming began in Toronto on September 10 , 2007 . It was also shot in Hamilton , Ontario . The film was originally planned for a fall 2008 release , but it was postponed with no official explanation from the studio . When asked about the delay , McAdams said , `` We wound up doing a reshoot , and Eric was the holdup ... He had to shave his head for a different role , for Star Trek , I think ... We did an additional scene in the meadow , so we were also waiting on the meadow to look the way it did ( the first time we shot ) . So we were waiting on the seasons . Basically we were waiting on nature and Eric 's hair . '' The film was released by Warner Bros. on August 14 , 2009 .   Music ( edit )   The score to The Time Traveler 's Wife was composed by Mychael Danna , who recorded his score with the Hollywood Studio Symphony at the Ocean Way Studios during the fall of 2008 . The movie repeatedly features the musical theme of an old German hymn , `` Es ist ein Ros entsprungen '' , whose familiar harmonization was written by German composer Michael Praetorius . This is heard just prior to the early car accident , is played at holiday gatherings , and is otherwise interwoven into the score . The trailer featured the song `` Broken '' , by Lifehouse , which is in the film and the promotional music video . A television commercial for the film featured the song `` Show Me What I 'm Looking For '' , by Carolina Liar , although it was not included within the soundtrack . The film also features a cover of Joy Division 's `` Love Will Tear Us Apart '' , performed by Canadian indie rock band Broken Social Scene .   The official motion picture soundtrack was released as a download on August 11 , 2009 by New Line Records . A CD version was released by Decca Records , but is generally only available from vendors outside the United States .   Soundtrack ( edit )     The Time Traveler 's Wife ( Music from the Motion Picture )         Soundtrack album ( Digital download ) by Mychael Danna     Released   August 11 , 2009     Length   55 : 02     Label   New Line Records       Professional ratings     Review scores     Source   Rating     Filmtracks.com       All music composed by Mychael Danna .     The Time Traveler 's Wife ( Music From the Motion Picture )     No .   Title   Writer ( s )   Original artist ( s )   Length     1 .   `` Es ist ein Ros entsprungen '' ( performed by Isabel Bayrakdarian )       0 : 51     2 .   `` I 'm You Henry ''       2 : 30     3 .   `` Meadow ''       3 : 19     4 .   `` How Does It Feel ? ''       1 : 59     5 .   `` Diary ''       1 : 21     6 .   `` Train ''       1 : 43     7 .   `` I Do n't Feel Alone Anymore ''       2 : 22     8 .   `` Love Will Tear Us Apart ''     Ian Curtis   Peter Hook   Stephen Morris   Bernard Sumner     Broken Social Scene   4 : 44     9 .   `` Married to Me ''       1 : 04     10 .   `` Home ''       1 : 36     11 .   `` Do You Know When ? ''       2 : 09     12 .   `` Testing ''       1 : 04     13 .   `` Alba ''       2 : 33     14 .   `` I Never Had a Choice ''       2 : 58     15 .   `` Who Would Want That ''       2 : 29     16 .   `` I Left Him Sleeping ''       1 : 30     17 .   `` It 's a Girl ''       2 : 58     18 .   `` Five Years ''       2 : 03     19 .   `` Try to Stay ''       1 : 40     20 .   `` New Year 's Eve ''       1 : 55     21 .   `` No Tracks in the Snow ''       1 : 48     22 .   `` See You Again ''       5 : 42     23 .   `` Broken ''   Jason Wade   Lifehouse   4 : 47     Total length :   55 : 02     Additional songs ( edit )   There were three songs appearing in the film , but not included with the release of the soundtrack .    `` Show Me What I 'm Looking For '' -- Performed by Carolina Liar -- 4 : 00   `` Clocks '' -- Performed by Coldplay -- 5 : 07   `` Gone to Earth '' -- Performed by The American Analog Set -- 7 : 03    Reception ( edit )   Critical response ( edit )   The film has received mixed reviews from critics for the same reasons as the novel , praising the characterization of the couple , applauding their emotional depth ; others criticized the melodramatic style and the plot as emotionally trite . Based on 157 reviews collected by Rotten Tomatoes , The Time Traveler 's Wife has a 38 % approval rating from critics , with an average score of 5.1 / 10 saying , `` Though it may satisfy fans of the novel , The Time Traveler 's Wife 's plot 's contrivances and illogical narrative hamper its big screen effectiveness '' . Metacritic , another review aggregator which assigns a normalized rating out of 100 top reviews from mainstream critics , gives the film an average score of 47 based on 31 reviews .   Box Office ( edit )   The film opened third behind District 9 and G.I. Joe : The Rise of Cobra , grossing $19.2 million on its opening weekend . Grossing $101,229,792 worldwide ( over $63,000,000 of which was grossed in the United States ) on a $39,000,000 budget , the film was a financial success .   Home media ( edit )   The film was released on DVD and Blu - ray on February 9 , 2010 .   References ( edit )    ^ Jump up to : `` The Time Traveler 's Wife ( 2004 ) '' . Box Office Mojo . Retrieved 2010 - 03 - 21 .   Jump up ^ Gleiberman , Owen ( August 21 , 2009 ) . `` Movie Review : The Time Traveler 's Wife '' . Entertainment Weekly . # 1061 / 1062 . p. 94 . Retrieved August 18 , 2009 .   ^ Jump up to : Michael Fleming ; Dave McNary ( 2007 - 04 - 17 ) . `` New Line finds its cast on ' Time ' '' . Variety . Retrieved 2007 - 04 - 18 .   ^ Jump up to : Justin Strout ( 2009 - 01 - 07 ) . `` Beyond The Cape '' . San Antonio Current . Retrieved 2009 - 01 - 23 .   ^ Jump up to : Fred Topel ( 2009 - 03 - 27 ) . `` How Eric Bana 's shaved Trek head held up Time Traveler 's Wife '' . Sci Fi Wire . Retrieved 2016 - 02 - 21 .   Jump up ^ Valby , Karen ( 2009 - 04 - 24 ) . `` Spotlight on Rachel McAdams '' . Entertainment Weekly . Retrieved 2009 - 08 - 05 .   ^ Jump up to : Sciretta , Peter ( 2009 - 03 - 12 ) . `` The Time Traveler 's Wife Will Finally See Release in August '' . / Film . Retrieved 2009 - 03 - 15 .   Jump up ^ Borys Kit ( 2007 - 08 - 22 ) . `` Livingston married to NL 's ' Wife ' '' . The Hollywood Reporter . Archived from the original on 2007 - 10 - 18 . Retrieved 2007 - 09 - 13 .   Jump up ^ `` Hollywood star on the rise Canadian actress Jane McLean hits the big screen in the upcoming drama The Time Traveler 's Wife '' . Tribute.ca . Retrieved August 15 , 2009 .   Jump up ^ Ellis , Suzanne ( June 3 , 2008 ) Actress Michelle Nolden Recalls ' Time Travelling ' With Eric Bana , Citynews.ca Toronto television station   Jump up ^ Dave McNary , `` Rubin rewriting ' Time ' '' , Variety ( January 2 , 2007 ) . Retrieved May 4 , 2009 .   ^ Jump up to : Dave McNary ( 2007 - 01 - 02 ) . `` Rubin rewriting ' Time ' '' . Variety . Retrieved 2007 - 04 - 18 .   Jump up ^ `` Interview : Audrey Niffenegger '' . Chicagoist. 2007 - 05 - 09 . Archived from the original on 2007 - 08 - 28 . Retrieved 2007 - 09 - 13 .   Jump up ^ James Cowan , `` Niffenegger 's first book , and it 's about time '' , National Post ( December 3 , 2003 ) . LexisNexis ( subscription required ) . Retrieved April 25 , 2009 .   Jump up ^ Michael Fleming ( 2003 - 09 - 07 ) . `` Feud for thought '' . Variety . Retrieved 2007 - 04 - 18 .   ^ Jump up to : Borys Kit ; Nicole Sperling ( 2006 - 11 - 01 ) . `` Schwentke finds time for NL 's ' Wife ' '' . The Hollywood Reporter . Archived from the original on 2006 - 11 - 08 . Retrieved 2007 - 04 - 18 .   Jump up ^ `` Van Sant Helming Time Traveler 's Wife '' . ComingSoon.net. 2005 - 03 - 17 . Retrieved 2007 - 04 - 18 .   Jump up ^ `` Domestic film : In production '' . The Hollywood Reporter . Retrieved 2007 - 09 - 26 .   Jump up ^ `` Internet Movie Database -- List of Films shot in Hamilton , Ontario '' . Retrieved 2008 - 01 - 25 .   Jump up ^ Carl DiOrio , `` Warners moves up ' Traveler 's '' , The Hollywood Reporter ( March 16 , 2009 ) . Retrieved May 4 , 2009 .   Jump up ^ Dan Goldwasser ( 2008 - 12 - 09 ) . `` Mychael Danna scores The Time Traveler 's Wife '' . ScoringSessions.com . Retrieved 2008 - 12 - 10 .   Jump up ^ Clemmensen , Christian . `` The Time Taveler 's Wife '' . Filmtracks.com . Retrieved 2012 - 08 - 27 .   ^ Jump up to : `` The Time Traveler 's Wife ( 2009 ) : Reviews '' . Metacritic . Retrieved 2009 - 08 - 16 .   Jump up ^ `` The Time Traveler 's Wife Movie Reviews , Pictures '' . Rotten Tomatoes . Retrieved 2009 - 08 - 19 .   Jump up ^ Young , John ( 2009 - 08 - 16 ) . `` Box Office Report : District 9 conquers competition with $37 million '' . Entertainment Weekly . Retrieved 2009 - 08 - 16 .   Jump up ^ ASIN B001HN69C2 , The Time Traveler 's Wife ( 2009 )    External links ( edit )    Film portal     The Time Traveler 's Wife on IMDb   The Time Traveler 's Wife at AllMovie   The Time Traveler 's Wife at Box Office Mojo   The Time Traveler 's Wife at Metacritic      ( hide )         Films directed by Robert Schwentke       Tattoo ( 2002 )   Eierdiebe ( 2003 )   Flightplan ( 2005 )   The Time Traveler 's Wife ( 2009 )   Red ( 2010 )   R.I.P.D. ( 2013 )   The Divergent Series : Insurgent ( 2015 )   The Divergent Series : Allegiant ( 2016 )   The Captain ( 2017 )      Retrieved from `` https://en.wikipedia.org/w/index.php?title=The_Time_Traveler%27s_Wife_(film)&amp;oldid=832872899 '' Categories :   English - language films   2009 films   2000s romantic drama films   2000s romantic fantasy films   2000s science fiction films   American films   American romantic drama films   American romantic fantasy films   Films based on American novels   Films based on romance novels   Films based on science fiction novels   Films directed by Robert Schwentke   Films set in Chicago   Films set in the 1970s   Films set in the 1990s   Films shot in Chicago   Films shot in Hamilton , Ontario   Films shot in Toronto   Plan B Entertainment films   Screenplays by Bruce Joel Rubin   Teleportation in films   Time travel films   Hidden categories :   Articles with hAudio microformats   Music infoboxes with deprecated parameters   Track listings with deprecated parameters           Talk                                           Contents                   About Wikipedia                                           Български   Dansk   Deutsch   Español   فارسی   Français   Galego   </t>
    </r>
    <r>
      <rPr>
        <sz val="11"/>
        <color rgb="FF000000"/>
        <rFont val="Noto Sans CJK SC"/>
        <family val="2"/>
      </rPr>
      <t xml:space="preserve">한국어   </t>
    </r>
    <r>
      <rPr>
        <sz val="11"/>
        <color rgb="FF000000"/>
        <rFont val="Calibri"/>
        <family val="0"/>
        <charset val="1"/>
      </rPr>
      <t xml:space="preserve">Bahasa Indonesia   Italiano   עברית   Lietuvių   Magyar   Nederlands   Polski   Português   Română   Русский   Simple English   ไทย   Türkçe   </t>
    </r>
    <r>
      <rPr>
        <sz val="11"/>
        <color rgb="FF000000"/>
        <rFont val="Noto Sans CJK SC"/>
        <family val="2"/>
      </rPr>
      <t xml:space="preserve">中文  </t>
    </r>
    <r>
      <rPr>
        <sz val="11"/>
        <color rgb="FF000000"/>
        <rFont val="Calibri"/>
        <family val="0"/>
        <charset val="1"/>
      </rPr>
      <t xml:space="preserve">13 more  Edit links   This page was last edited on 28 March 2018 , at 13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</si>
  <si>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alba in the time traveler's wife</t>
  </si>
  <si>
    <t xml:space="preserve"> Hailey McCann as Alba DeTamble at Nine and Ten , Henry and Clare 's daughter   Tatum McCann as Alba at Four and Five   </t>
  </si>
  <si>
    <r>
      <rPr>
        <sz val="11"/>
        <color rgb="FF000000"/>
        <rFont val="Calibri"/>
        <family val="0"/>
        <charset val="1"/>
      </rPr>
      <t xml:space="preserve">Fixation ( histology ) - wikipedia  Fixation ( histology )  Jump to : navigation , search This article is about the cellular preservation method . For the physical immobilization device , see external fixation .  In the fields of histology , pathology , and cell biology , fixation is a critical step in the preparation of histological sections by which biological tissues are preserved from decay , thereby preventing autolysis or putrefaction . The structure of a tissue is determined by the shapes and sizes of macromolecules in and around cells . The principal macromolecules inside a cell are proteins and nucleic acids . Fixation terminates any ongoing biochemical reactions , and may also increase the mechanical strength or stability of the treated tissues . The broad objective of tissue fixation is to preserve cells and tissue components and to do this in such a way as to allow for the preparation of thin , stained sections .     Contents  ( hide )   1 Purposes   2 Process   3 Types   4 Chemical fixation   5 Types of chemical fixatives   5.1 Crosslinking fixatives - aldehydes   5.2 Precipitating fixatives - alcohols   5.3 Oxidizing agents   5.4 Mercurials   5.5 Picrates   5.6 HOPE fixative     6 Frozen sections   6.1 Advantages   6.2 Disadvantages     7 Target and chemical fixative do 's and don'ts   8 Factors affecting fixation   8.1 Acidity or basicity   8.2 Osmolarity   8.3 Size of the specimen   8.4 Volume of the fixative   8.5 Temperature   8.6 Duration   8.7 Time from removal to fixation     9 External links   10 References      Purposes ( edit )   In performing their protective role , fixatives denature proteins by coagulation , by forming additive compounds , or by a combination of coagulation and additive processes . A compound that adds chemically to macromolecules stabilizes structure most effectively if it is able to combine with parts of two different macromolecules , an effect known as cross-linking . Fixation of tissue is done for several reasons . One reason is to kill the tissue so that postmortem decay ( autolysis and putrefaction ) is prevented . Fixation preserves a sample of biological material ( tissue or cells ) as close to its natural state as possible in the process of preparing tissue for examination . To achieve this , several conditions usually must be met .   First , a fixative usually acts to disable intrinsic biomolecules -- particularly proteolytic enzymes -- which otherwise digest or damage the sample .   Second , a fixative typically protects a sample from extrinsic damage . Fixatives are toxic to most common microorganisms ( bacteria in particular ) that might exist in a tissue sample or which might otherwise colonize the fixed tissue . In addition , many fixatives chemically alter the fixed material to make it less palatable ( either indigestible or toxic ) to opportunistic microorganisms .   Finally , fixatives often alter the cells or tissues on a molecular level to increase their mechanical strength or stability . This increased strength and rigidity can help preserve the morphology ( shape and structure ) of the sample as it is processed for further analysis .   Even the most careful fixation does alter the sample and introduce artifacts that can interfere with interpretation of cellular ultrastructure . A prominent example is the bacterial mesosome , which was thought to be an organelle in gram - positive bacteria in the 1970s , but was later shown by new techniques developed for electron microscopy to be simply an artifact of chemical fixation . Standardization of fixation and other tissue processing procedures takes this introduction of artifacts into account , by establishing what procedures introduce which kinds of artifacts . Researchers who know what types of artifacts to expect with each tissue type and processing technique can accurately interpret sections with artifacts , or choose techniques that minimize artifacts in areas of interest .   Process ( edit )   Fixation is usually the first stage in a multistep process to prepare a sample of biological material for microscopy or other analysis . Therefore , the choice of fixative and fixation protocol may depend on the additional processing steps and final analyses that are planned . For example , immunohistochemistry uses antibodies that bind to a specific protein target . Prolonged fixation can chemically mask these targets and prevent antibody binding . In these cases , a ' quick fix ' method using cold formalin for around 24 hours is typically used . Methanol ( 100 % ) can also be used for quick fixation , and that time can vary depending on the biological material . For example , MDA - MB 231 human breast cancer cells can be fixed for only 3 minutes with cold methanol ( - 20 ° C ) . For enzyme localization studies , the tissues should either be pre-fixed lightly only , or post-fixed after the enzyme activity product has formed .       This section needs expansion . You can help by adding to it . ( June 2008 )     Types ( edit )   There are generally three types of fixation processes depending on the initial specimen :   Heat fixation : After a smear has dried at room temperature , the slide is gripped by tongs or a clothespin and passed through the flame of a Bunsen burner several times to heat - kill and adhere the organism to the slide . Routinely used with bacteria and archaea . Heat fixation generally preserves overall morphology but not internal structures . Heat denatures the proteolytic enzyme and prevents autolysis . Heat fixation can not be used in the capsular stain method as heat fixation will shrink or destroy the capsule ( glycocalyx ) and can not be seen in stains .   Immersion : The sample of tissue is immersed in fixative solution of volume at a minimum of 20 times greater than the volume of the tissue to be fixed . The fixative must diffuse through the tissue to fix , so tissue size and density , as well as type of fixative must be considered . This is a common technique for cellular applications . Using a larger sample means it takes longer for the fixative to reach the deeper tissue .   Perfusion : Fixation via blood flow . The fixative is injected into the heart with the injection volume matching cardiac output . The fixative spreads through the entire body , and the tissue does n't die until it is fixed . This has the advantage of preserving perfect morphology , but the disadvantages are that the subject dies and the cost of the volume of fixative needed for larger organisms is high .   Chemical fixation ( edit )   In both immersion and perfusion fixation processes , chemical fixatives are used to preserve structures in a state ( both chemically and structurally ) as close to living tissue as possible . This requires a chemical fixative .   Types of chemical fixatives ( edit )   Crosslinking fixatives - aldehydes ( edit )   Crosslinking fixatives act by creating covalent chemical bonds between proteins in tissue . This anchors soluble proteins to the cytoskeleton , and lends additional rigidity to the tissue .   By far the most commonly used fixative in histology is formaldehyde . It is usually used as a 10 % neutral buffered formalin ( NBF ) , that is approx . 3.7 % - 4.0 % formaldehyde in phosphate - buffered saline . Because formaldehyde is a gas at room temperature , formalin - formaldehyde gas dissolved in water ( ~ 37 % w / v ) is used when making the former fixative . Paraformaldehyde is a polymerized form of formaldehyde , usually obtained as a fine white powder , which depolymerises back to formalin when heated . Formaldehyde fixes tissue by cross-linking the proteins , primarily the residues of the basic amino acid lysine . Its effects are reversible by excess water and it avoids formalin pigmentation . Other benefits include : Long term storage and good tissue penetration . It is particularly good for immunohistochemistry techniques . Also the formaldehyde vapor can be used as a fixative for cell smears .   Another popular aldehyde for fixation is glutaraldehyde . It operates in a similar way to formaldehyde by causing deformation of the alpha - helix structures in proteins . However glutaraldehyde is a larger molecule , and so its rate of diffusion across membranes is slower than formaldehyde . Consequently , glutaraldehyde fixation on thicker tissue samples may be hampered , but this problem can be overcome by reducing the size of the tissue sample . One of the advantages of glutaraldehyde fixation is that it may offer a more rigid or tightly linked fixed product -- its greater length and two aldehyde groups allow it to ' bridge ' and link more distant pairs of protein molecules . It causes rapid and irreversible changes , fixes quickly , is well suited for electron microscopy , fixes well at 4 C , and gives best overall cytoplasmic and nuclear detail . However it is not ideal for immunohistochemistry staining .   Some fixation protocols call for a combination of formaldehyde and glutaraldehyde so that their respective strengths complement one another .   These crosslinking fixatives -- especially formaldehyde -- tend to preserve the secondary structure of proteins and may protect significant amounts of tertiary structure as well .   Precipitating fixatives - alcohols ( edit )   Precipitating ( or denaturing ) fixatives act by reducing the solubility of protein molecules and ( often ) by disrupting the hydrophobic interactions that give many proteins their tertiary structure . The precipitation and aggregation of proteins is a very different process from the crosslinking that occurs with the aldehyde fixatives .   The most common precipitating fixatives are ethanol and methanol . They are commonly used to fix frozen sections and smears . Acetone is also used and has been shown to produce better histological preservation than frozen sections when employed in the Acetone Methylbenzoate Xylene ( AMEX ) technique .   The protein denaturants - methanol , ethanol and acetone - are rarely used alone for fixing blocks unless studying nucleic acids .   Acetic acid is a denaturant that is sometimes used in combination with the other precipitating fixatives , such as Davidson 's AFA . The alcohols , by themselves , are known to cause considerable shrinkage and hardening of tissue during fixation while acetic acid alone is associated with tissue swelling ; combining the two may result in better preservation of tissue morphology .   Oxidizing Agents ( edit )   The oxidizing fixatives can react with various side chains of proteins and other biomolecules , allowing formation of crosslinks that stabilize tissue structure . However they cause extensive denaturation despite preserving fine cell structure and are used mainly as secondary fixatives .   Osmium tetroxide is often used as a secondary fixative when samples are prepared for electron microscopy . ( It is not used for light microscopy as it penetrates thick sections of tissue very poorly . )   Potassium dichromate , chromic acid , and potassium permanganate all find use in certain specific histological preparations .   Mercurials ( edit )   Mercurials such as B - 5 and Zenker 's fixative have an unknown mechanism that increases staining brightness and give excellent nuclear detail . Despite being fast , mercurials penetrate poorly and produce tissue shrinkage . Their best application is for fixation of hematopoietic and reticuloendothelial tissues . Also note that since they contain mercury care must be taken with disposal .   Picrates ( edit )   Picrates penetrate tissue well to react with histones and basic proteins to form crystalline picrates with amino acids and precipitate all proteins . It is a good fixative for connective tissue , preserves glycogen well , and extracts lipids to give superior results to formaldehyde in immunostaining of biogenic and polypeptide hormones However , it causes a loss of basophils unless the specimen is thoroughly washed following fixation .   HOPE fixative ( edit )   Hepes - glutamic acid buffer - mediated organic solvent protection effect ( HOPE ) gives formalin - like morphology , excellent preservation of protein antigens for immunohistochemistry and enzyme histochemistry , good RNA and DNA yields and absence of crosslinking proteins .   Frozen sections ( edit )   Small pieces of tissue ( 5 × 5 × 3mm ) are placed in a cryoprotective embedding medium -- OCT , TBS , or cryogel -- then snap frozen in isopentane cooled by liquid nitrogen . Tissue is then sectioned in a freezing microtome or cryostat and sections are fixed in one of the following fixatives :    absolute acetone for 10 -- 15 seconds   95 % ethanol for 10 -- 15 seconds   absolute acetone 10 seconds followed by 95 % ethanol for 10 seconds .    Advantages ( edit )    Better preservation of antigenicity   Minimal exposure to fixative   Not exposed to the organic solvents   Much faster than other forms of fixations    Disadvantages ( edit )    Lack of morphological detail   Potential biohazard    Target and chemical fixative do 's and don'ts ( edit )       This section may need to be rewritten entirely to comply with Wikipedia 's quality standards . You can help . The discussion page may contain suggestions . ( September 2013 )       Target   Fixative of choice   Fixative to avoid     Proteins   Neutral buffered formalin , paraformaldehyde   Osmium tetroxide     Enzymes   Frozen sections   Chemical fixatives     Lipids   Frozen sections * , glutaraldehyde / osmium tetroxide   Alcoholic fixatives , neutral buffered formalin     Nucleic acids   Alcoholic fixatives , HOPE   Aldehyde fixatives     Mucopolysaccharides   Frozen sections   Chemical fixatives     Biogenic amines   Bouin solution , neutral buffered formalin       Glycogen   Alcoholic based fixatives   Osmium tetroxide      Frozen sections preserve RNA and Lipids despite poor morphology . Compare to paraffin sections , synonymous to chemical fixatives in the table , which destroy RNA and affect some antigens BUT give good morphology .    ~ A picrate   Factors affecting fixation ( edit )   Acidity or basicity ( edit )   Should be kept in the physiological range , between pH 4 - 9 . The pH for the ultrastructure preservation should be buffered between 7.2 to 7.4   Osmolarity ( edit )   Hypertonic solutions give rise to cell shrinkage .   Hypotonic solutions result in cell swelling and poor fixation .   10 % neutral buffer formalin is 4 % formaldehyde ( 1.33 osmolar ) in PBS buffer ( 0.3 osmolar ) sums to 1.63 osmolar . This is a very hypertonic solution yet it has worked well as a general tissue fixation condition for many years in pathology labs . The size of tissue can also affect the fixation process .   Size of the specimen ( edit )   1 -- 4 mm thickness ( 0.5 cm )   Volume of the fixative ( edit )   At least 15 - 20 times greater than tissue volume   Temperature ( edit )   Increasing the temperature increases speed of fixation . However , care is required to avoid cooking the specimen . Fixation is routinely carried out at room temperature .   Duration ( edit )   As a general rule , 1 hour per millimetre of tissue paraformaldehyde ( PFA ) must penetrate . So if we have a three - dimensional tissue block , it is the shortest dimension that determines fixation time .   Time from removal to fixation ( edit )   Fixation is a chemical process , and time must be allowed for the process to complete . Although `` over fixation '' can be detrimental , under - fixation has recently been appreciated as a significant problem and may be responsible for inappropriate results for some assays .   External links ( edit )     Library resources about Fixation ( histology )       Resources in your library   Resources in other libraries        Fixing specimens for making permanent slides   Fixation strategies and formulations for immunohistochemical staining    References ( edit )    Jump up ^ Carson , Freida L ; Christa Hladik ( 2009 ) . Histotechnology : A Self - Instructional Text ( 3 ed . ) . Hong Kong : American Society for Clinical Pathology Press . p. 2 . ISBN 978 - 0 - 89189 - 581 - 7 .   Jump up ^ Ryter A ( 1988 ) . `` Contribution of new cryomethods to a better knowledge of bacterial anatomy '' . Ann . Inst . Pasteur Microbiol. 139 ( 1 ) : 33 -- 44 . doi : 10.1016 / 0769 - 2609 ( 88 ) 90095 - 6 . PMID 3289587 .   Jump up ^ Friedrich , CL ; D Moyles ; TJ Beveridge ; REW Hancock ( 2000 ) . `` Antibacterial Action of Structurally Diverse Cationic Peptides on Gram - Positive Bacteria '' . Antimicrobial Agents and Chemotherapy. 44 ( 8 ) : 2086 -- 2092 . doi : 10.1128 / AAC. 44.8. 2086 - 2092.2000 . PMC 90018 . PMID 10898680 .   Jump up ^ http://microvet.arizona.edu/research/aquapath/davidson.htm Davidson 's AFA formulation at University of Arizona , Department of Veterinary Science and Microbiology website ( accessed , Feb. 22 , 2013 )   Retrieved from `` https://en.wikipedia.org/w/index.php?title=Fixation_(histology)&amp;oldid=810183826 '' Categories :   Pathology   Histology   Biotechnology   Hidden categories :   Articles to be expanded from June 2008   All articles to be expanded   Articles using small message boxes   Wikipedia articles needing rewrite from September 2013   All articles needing rewrite           Talk                                           Contents                   About Wikipedia                                             Čeština   Deutsch   Eesti   فارسی   Italiano   </t>
    </r>
    <r>
      <rPr>
        <sz val="11"/>
        <color rgb="FF000000"/>
        <rFont val="Noto Sans CJK SC"/>
        <family val="2"/>
      </rPr>
      <t xml:space="preserve">日本 語   </t>
    </r>
    <r>
      <rPr>
        <sz val="11"/>
        <color rgb="FF000000"/>
        <rFont val="Calibri"/>
        <family val="0"/>
        <charset val="1"/>
      </rPr>
      <t xml:space="preserve">Português   Русский   Українська   Edit links   This page was last edited on 13 November 2017 , at 20 : 21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</si>
  <si>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commonly used as a preservative for tissue specimens</t>
  </si>
  <si>
    <t xml:space="preserve"> By far the most commonly used fixative in histology is formaldehyde . It is usually used as a 10 % neutral buffered formalin ( NBF ) , that is approx . 3.7 % - 4.0 % formaldehyde in phosphate - buffered saline . Because formaldehyde is a gas at room temperature , formalin - formaldehyde gas dissolved in water ( ~ 37 % w / v ) is used when making the former fixative . Paraformaldehyde is a polymerized form of formaldehyde , usually obtained as a fine white powder , which depolymerises back to formalin when heated . Formaldehyde fixes tissue by cross-linking the proteins , primarily the residues of the basic amino acid lysine . Its effects are reversible by excess water and it avoids formalin pigmentation . Other benefits include : Long term storage and good tissue penetration . It is particularly good for immunohistochemistry techniques . Also the formaldehyde vapor can be used as a fixative for cell smears . </t>
  </si>
  <si>
    <t xml:space="preserve">Michelle Tanner - wikipedia  Michelle Tanner     Michelle Tanner     Full House character     Michelle with Comet     First appearance   September 22 , 1987 ( episode 1.01 ; `` Our Very First Show ! '' )     Last appearance   May 23 , 1995 ( episode 8.24 ; `` Michelle Rides Again ( Part 2 ) '' )     Created by   Jeff Franklin     Portrayed by   Mary - Kate and Ashley Olsen     Information     Full name   Michelle Elizabeth Tanner     Nickname ( s )   Munchkin , Shorty and Rugrat ( by Jesse )     Gender   Female     Occupation   Fashion designer     Family   Danny Tanner ( father ) Pam Tanner ( mother ; deceased ) Teri Tanner ( ex-stepmother ) D.J. Tanner - Fuller ( sister ) Stephanie Tanner ( sister ) Tommy Fuller , Sr. ( brother - in - law , deceased ) Jackson Fuller ( nephew ) Max Fuller ( nephew ) Tommy Fuller , Jr. ( nephew )     Relatives   John Tanner ( paternal grandfather ) Claire Tanner ( paternal grandmother ) Wendy Tanner ( paternal - aunt ) Steve ( paternal - cousin ) Iorgos Katsopolis ( great - grandfather ; deceased ) Gina Katsopolis ( great - grandmother ) Nick Katsopolis ( maternal grandfather ) Irene Katsopolis ( maternal - grandmother ) Jesse Katsopolis ( maternal - uncle ) Rebecca Katsopolis ( maternal aunt ) Nicky Katsopolis ( maternal cousin ) Alex Katsopolis ( maternal cousin ) Pamela Katsopolis ( maternal adoptive cousin )     Michelle Elizabeth Tanner is a fictional character on the long - running ABC sitcom Full House , who was portrayed by Mary - Kate and Ashley Olsen . She first appeared in the show 's pilot , `` Our Very First Show '' , which aired in 1987 , and continued to appear throughout up to the two - part series finale , `` Michelle Rides Again '' in 1995 . The character of Michelle was the Olsen twins ' first acting role ; the two were infants when they started working on the series .   Contents  ( hide )   1 Character   1.1 Friendships     2 Comet the dog   3 Crediting   4 Reception   5 Book series   6 Fuller House   7 References   8 External links    Character ( edit )   Michelle Tanner is the youngest member of the Tanner family , and is notable in the series for saying a string of precocious catchphrases such as `` you got it dude '' , `` you 're in big trouble , mister '' , `` no way , José ! '' and `` aw nuts ! '' . Raised by her father Danny Tanner , her uncle Jesse Katsopolis , and her father 's friend Joey Gladstone after her mother Pam 's death in a car accident caused by a drunk driver , Michelle debuted during her character 's infancy , maturing throughout the progression of the series . She is depicted as being slightly mischievous , though her status as the youngest daughter of the family leaves many of her misdeeds undisciplined and spares her from punishment -- much to the chagrin of her older sisters .   Michelle is quite playful , being a young child ; however many episodes end with her realization of a vital moral . Having never interacted with her deceased mother , Michelle occasionally yearns for a mother of her own , and episode plots have surrounded her desire for a mother and her plans to attempt to gain one through her father Danny remarrying . She forms a very strong familial bond with Jesse and enjoys his company and playful teasing . She was the flower girl at his and Becky 's wedding . Their relationship is so strong that she becomes crestfallen upon learning of Jesse 's intended relocation from the Tanner household after his marriage to Rebecca Donaldson in the season four episode `` Fuller House '' . She holds a tendency to scheme when met with a new desire as an enhancement to the comedy of the series , but she eventually realizes the errors of her ways by the episode 's conclusion .   From seasons six through eight ( as first established in `` Lovers and Other Tanners '' ) , Michelle is a `` Honey Bee '' in an organization which her sisters D.J. and Stephanie had previously participated in . Michelle attends Meadowcrest Preschool through seasons 3 - 4 and later , Frasier Street Elementary School through seasons 5 - 8 .   Friendships ( edit )   In the season three episode `` Bye , Bye Birdie '' , on Michelle 's first day of preschool , she meets a boy named Aaron Bailey , who , that day , is able to wear the sharing crown because he brought his toys in . That day , the teacher calls the kids to the reading carpet for storytime and Michelle tells the class bird to come to participate , opening the cage and consequently resulting in the bird flying out the open window . A saddened Michelle tries desperately to get the bird back , but at the end of the episode , Danny gets her a new bird for her class . When she brings it in , all the kids love it , and Aaron lets Michelle wear the sharing crown for bringing the bird to be the class pet ; the two eventually become friends and stay friends throughout the series .   In seasons five and six , she is friends with a boy named Teddy , whom she meets on her first day of kindergarten in the season five premiere `` Double Trouble '' . The two enjoy doing many things together ; it is revealed in `` The Long Goodbye '' that they enjoy dotting each other 's `` I '' 's on their papers . When the two are in first grade , Teddy reveals his father got a new job and thus he and his family have to move to Amarillo , Texas . Michelle , saddened by the news , ties him up in her room tricking him into thinking she was teaching him how to jump rope . He is eventually untied by Joey and he gives her his special toy , `` Furry Murray '' and she gives him her special stuffed pig , `` Pinky . '' Later , the two decide to write to one another . At the end of that same episode , Michelle makes a new friend named Denise Frazier , who then sits in Teddy 's old seat and learns how to cross `` T '' 's . The two become friends through the seventh season ( Denise does not appear in season eight due to her portrayer Jurnee Smollett 's commitment to the short - lived sitcom On Our Own ) . She , at first , does not want a new best friend , but she does like Denise . Michelle also makes many other friends throughout the series , including shy but intelligent Derek Boyd ( Blake McIver Ewing ) and tough - girl Lisa Leeper ( Kathryn Zaremba ) .   In the season seven episode `` Be Your Own Best Friend , '' Teddy moves back to San Francisco and attends Michelle 's school once again , rejoining her class . Michelle , Teddy , and Denise get into an argument when Danny comes into class for Parent Volunteer Day . He gives an assignment to trace each student 's best friend , leading Michelle to believe that a person could only have one best friend . The three then have trouble deciding who to trace , allowing Michelle to take advantage of the situation . She says that she would pick the one who gives her the best stuff , but she did not say it explicitly ( Teddy offers to give her his lone - star bolo tie and some Snickles candy -- a parody of Skittles , and Denise offers her hair scrunchie and pencil case ; Michelle takes them up on the offers , not realizing she is accepting bribes , which ultimately make Teddy and Denise angry when they understand what is actually happening ) . The three eventually make up in the end after Michelle picks Comet the dog as her best friend and traces him , and Danny helps them to understand that they could all be best friends .   Comet the dog ( edit )   In the season three episode `` And They Call It Puppy Love , '' the Tanner family adopts a dog named Comet , one of the puppies born to Minnie , a golden retriever who wandered from the home of her owners halfway across the country to California and was found by D.J. and Stephanie . Michelle grows a strong bond with Comet over the course of the series . In the season four episode `` One Last Kiss , '' Michelle wanted another dog that was her size because Comet got bigger . In the season six episode `` Road to Tokyo , '' when Jesse is on tour in Tokyo , Michelle decides to dig a hole to Tokyo in order to visit and she asks Comet to dig . In the season eight episode `` Comet 's Excellent Adventure , '' Comet runs away when Jesse unknowingly gives her permission to walk Comet by herself ( as he was trying to deal with his bandmates in Jesse and the Rippers voting him out of the group due to the intrusion of his commitments to the family and his radio show gig ) , leading Michelle ( and eventually , the rest of the family ) to look all around San Francisco to find him ( it was the only episode of the series that was filmed on location in San Francisco ) . Comet comes home at the end of the episode .   Crediting ( edit )   The production team behind Full House did not want people to know that Michelle was played by a set of twins , so the girls were credited as `` Mary - Kate Ashley Olsen '' for most of the show 's run ( making it appear as if a single actress had the first name Mary - Kate and the middle name Ashley ) . Although the two were credited separately as `` Mary - Kate Olsen and Ashley Olsen '' during the closing credits in the series ' first season ( they were not officially added to the opening title sequence until season two but were credited in the syndicated versions of the season one opening titles ) , it was not until the eighth and final season that the twins were credited as `` Mary - Kate and Ashley Olsen '' in the opening titles . Despite the fact that the Olsens are fraternal twins , their physical appearances were nonetheless similar enough so that few could tell the difference between the two over the course of the show 's run . In season one , Mary - Kate was used more often due to the fact Ashley cried when she was put on set for a scene .   Reception ( edit )   In 1989 , Mary - Kate and Ashley Olsen won a Young Artist Award for Best Young Actor / Actress Under Five Years of Age for their portrayal of Michelle . In 1990 , they were also awarded Young Artist Awards for their work on Full House , in the category of Outstanding Performance by an Actress Under Nine Years of Age . The two also won the Young Artist Awards for Exceptional Performance by a Young Actress Under Ten in 1991 .   Book series ( edit )   Shortly after the show ended , two separate book series focusing respectively on Michelle and Stephanie were published . The stories take place mainly during the continuity of the show 's later seasons , and include the sisters ' friends and many other characters . The plots mainly focus on the characters ' struggles and triumphs . Most of the books were not an episode in the series . Michelle is about nine years old and Stephanie is in her teens in the series . The books were mainly published in the 1990s .   Fuller House ( edit )   The twins declined to reprise their role for Fuller House , the 2016 Netflix sequel to Full House . Ashley cited their 12 years away from acting and Mary - Kate said the timing was bad . In the series , their character is only seen during flashbacks and mentioned from time - to - time . For example , they mention that Michelle is now working as a fashion designer in New York .   References ( edit )    Jump up ^ TV.com . `` Full House : Comet 's Excellent Adventure - Season 8 , Episode 1 '' . TV.com . Retrieved 2012 - 03 - 11 .   Jump up ^ `` Ashley Olsen : Information from '' . Answers.com . 1986 - 06 - 13 . Retrieved 2012 - 03 - 11 .   Jump up ^ `` Tenth Annual Youth in Film Awards '' . YoungArtistAwards.org . Archived from the original on April 14 , 2015 . Retrieved May 1 , 2013 .   Jump up ^ `` Eleventh Annual Youth in Film Awards '' . YoungArtistAwards.org . Archived from the original on April 9 , 2014 . Retrieved May 1 , 2013 .   Jump up ^ `` Thirteenth Annual Youth in Film Awards '' . YoungArtistAwards.org . Archived from the original on March 4 , 2011 . Retrieved May 1 , 2013 .   Jump up ^ `` * * Full House Michelle Book Series * * '' . Amazon.com . Retrieved 2012 - 03 - 11 .   Jump up ^ `` ' We Finally Know Why The Olsen Twins Are n't On Fuller House ' '' . cinemablend.com . Retrieved 2016 - 02 - 26 .    External links ( edit )       Wikiquote has quotations related to : Full House characters      Full House at the ABC Family website   Michelle Tanner on IMDb              Full House       Characters   Michelle Tanner     Episodes   season 1         5   6   7   8     Fuller House   episodes                   Mary - Kate and Ashley Olsen       Mary - Kate Olsen   Ashley Olsen         Video games ( Pocket Planner )   Dualstar   Michelle Tanner   Elizabeth Olsen      Retrieved from `` https://en.wikipedia.org/w/index.php?title=Michelle_Tanner&amp;oldid=847274929 '' Categories :   Child characters in television   Fictional American people of Greek descent   Fictional characters from San Francisco   Fictional characters introduced in 1987   Fictional people in fashion   Full House   Mary - Kate and Ashley Olsen   Sitcom characters   Hidden categories :   Pages using infobox character with unknown parameters           Talk                                           Contents                   About Wikipedia                                           Add links   This page was last edited on 24 June 2018 , at 04 : 11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</si>
  <si>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which olsen twin was in full house more</t>
  </si>
  <si>
    <t xml:space="preserve"> The production team behind Full House did not want people to know that Michelle was played by a set of twins , so the girls were credited as `` Mary - Kate Ashley Olsen '' for most of the show 's run ( making it appear as if a single actress had the first name Mary - Kate and the middle name Ashley ) . Although the two were credited separately as `` Mary - Kate Olsen and Ashley Olsen '' during the closing credits in the series ' first season ( they were not officially added to the opening title sequence until season two but were credited in the syndicated versions of the season one opening titles ) , it was not until the eighth and final season that the twins were credited as `` Mary - Kate and Ashley Olsen '' in the opening titles . Despite the fact that the Olsens are fraternal twins , their physical appearances were nonetheless similar enough so that few could tell the difference between the two over the course of the show 's run . In season one , Mary - Kate was used more often due to the fact Ashley cried when she was put on set for a scene . </t>
  </si>
  <si>
    <r>
      <rPr>
        <sz val="11"/>
        <color rgb="FF000000"/>
        <rFont val="Calibri"/>
        <family val="0"/>
        <charset val="1"/>
      </rPr>
      <t xml:space="preserve">Capitol ( Williamsburg , Virginia ) - wikipedia  Capitol ( Williamsburg , Virginia )  Jump to : navigation , search        Capitol     U.S. National Historic Landmark District Contributing Property         Reconstruction of the first Capitol at Williamsburg     Show map of Virginia Show map of the US Show all     Location   Williamsburg , Virginia     Built   1934 , based on 1705 original     Architectural style   Colonial Revival     Part of   Williamsburg Historic District ( # 66000925 )     Added to NRHP   October 15 , 1966     The Capitol at Williamsburg , Virginia housed the House of Burgesses of the Colony of Virginia from 1705 , when the capital was relocated there from Jamestown , until 1779 , when the capital was relocated to Richmond . Two capitol buildings served the colony on the same site : the first from 1705 until its destruction by fire in 1747 ; the second from 1753 to 1779 .   The earlier capitol was reconstructed in the early 1930s as part of the restoration of Colonial Williamsburg . The reconstruction has thus lasted longer than the combined total of both original capitol buildings .     Contents  ( hide )   1 History   1.1 First Williamsburg Capitol ( 1705 -- 1747 )   1.2 Second Williamsburg Capitol ( 1753 -- 1779 )     2 Reconstruction   3 See also   4 References   5 External links      History ( edit )   First Williamsburg Capitol ( 1705 -- 1747 ) ( edit )   In 1698 , the Capitol building in Jamestown , Virginia burned . Following the fire , the government of Virginia decided to relocate inland , away from the swamps at the Jamestown site .   A better Capitol building was constructed by Henry Cary , a contractor finishing work on the College of William and Mary 's Wren Building ( the legislature 's temporary home ) . Begun in 1701 , the Capitol was completed in 1705 , although the legislature moved in during 1704 . In 1714 , the Governor 's Palace was constructed between the College and the Capitol .   The Colonial Capitol was a two - story H - shaped structure , functionally two buildings connected by an arcade . Each wing served one of the two houses of the Virginia legislature , the Council and the House of Burgesses . The first floor of the west building was for the General Court and the colony 's secretary , the first floor of the east for the House of Burgesses and its clerk . As a result of the fires that had destroyed several prior Virginia capitols , Cary built the first Capitol without fireplaces . In 1723 , chimneys were added for fireplaces to help keep the Capitol dry . On January 30 , 1747 , the building burned and only some walls and the foundation remained .   Second Williamsburg Capitol ( 1753 -- 1779 ) ( edit )  1845 engraving based on then - surviving drawings of the second capitol at Williamsburg ( viewed from Duke of Gloucester Street )  Governor William Gooch urged that the Capitol be rebuilt , but many legislators preferred relocating the government to a city more accessible to trade and navigation . In the meantime , the burgesses met again at the nearby Wren Building . Finally , in November 1748 , reconstruction of the Capitol was approved ( by only two votes : 40 to 38 ) . The burgesses met inside for the first time on November 1 , 1753 .   In this building , Patrick Henry delivered his Caesar - Brutus speech against the Stamp Act on May 29 , 1765 . Henry , George Washington , George Mason , George Wythe , Richard Henry Lee , Thomas Jefferson , and others played parts in the legislative maneuvering that ended in revolution . As fighting began in the North , the building featured discussion concerning Mason 's Virginia Declaration of Rights , his Virginia constitution , and Jefferson 's first attempt at a bill for religious freedom .   On June 29 , 1776 , Virginians declared their independence from Great Britain and wrote the state 's first constitution , thereby creating an independent government four days before Congress voted for the Declaration of Independence in Philadelphia on July 4 .   The Capitol at Williamsburg served until the American Revolutionary War began , when Governor Thomas Jefferson urged it that the capital be relocated to Richmond . The building was last used as a capitol on December 24 , 1779 , when the Virginia General Assembly adjourned to reconvene in 1780 at the new capital , Richmond .   After the capital of Virginia was moved to Richmond in 1779 , the old Capitol was used for a wide range of purposes , from a court to a school . The east wing was removed around 1800 because of its dangerous condition , leaving only the west wing standing for the next 30 years , until it was destroyed by fire in 1832 , leaving no trace of the original structure , except for the outline of its foundations .   Reconstruction ( edit )  Reconstruction of the first Williamsburg capitol  The building that stands now in Colonial Williamsburg is the third Capitol on that site . Early in the 20th century , the Reverend Dr. W.A.R. Goodwin undertook restoration of historic Bruton Parish Church ( c. 1711 ) where he was rector . His dreams of restoring other buildings of the old colonial capital city led to his affiliation with Standard Oil heir and philanthropist John D. Rockefeller Jr. and the creation of Colonial Williamsburg . The reconstructed Capitol and Governor 's Palace join the Wren Building of the College of William &amp; Mary as the three main structures of the restoration .   The architects charged with the restoration of Williamsburg chose to reconstruct the first capitol based on superior documentation of its design and its unique architecture compared to the second Capitol . Later architectural historians have since shown that parts of the reconstruction were embellished or conjectural , being based more on contemporary architectural ideas than actual historic evidence ( chiefly foundations . ) However , the reconstructed Capitol is now itself valued as a Colonial Revival interpretation and work of architecture .   The reconstruction opened to the public on February 24 , 1934 .   See also ( edit )    Virginia State Capitol ( Richmond )    References ( edit )    Jump up ^ National Park Service ( 2010 - 07 - 09 ) . `` National Register Information System '' . National Register of Historic Places . National Park Service .   ^ Jump up to : Olmert , Michael ( 1985 ) . Official Guide to Colonial Williamsburg . Colonial Williamsburg Foundation . pp. 52 -- 61 . ISBN 0 - 87935 - 111 - X .   ^ Jump up to : Wilson , Richard Guy ( 2002 ) . Buildings of Virginia : Tidewater and Piedmont . Oxford University Press . pp. 363 -- 364 .   Jump up ^ Taylor Stoermer , Colonial Williamsburg : The Official Guide ( 2014 ) , 147 .   Jump up ^ Greenspan , Anderson ( 2009 ) . Creating Colonial Williamsburg : The Restoration of Virginia 's Eighteenth - Century Capital ( 2nd ed . ) . Chapel Hill : The University of North Carolina Press . pp. 38 -- 39 . ISBN 978 - 0 - 8078 - 3343 - 8 .    External links ( edit )       Wikimedia Commons has media related to Capitol ( Williamsburg , Virginia ) .      Colonial Williamsburg , Capitol web page    Coordinates : 37 ° 16 ′ 17 '' N 76 ° 41 ′ 36 '' W ﻿ / ﻿ 37.271258 ° N 76.69329 ° W ﻿ / 37.271258 ; - 76.69329             Colonial Williamsburg     History     Battle of Williamsburg   Colonial Williamsburg History   Historic Triangle   Middle Plantation   Rich Neck Plantation       Structures     Abby Aldrich Rockefeller Folk Art Museum   Alexander Craig House   Bassett Hall   Bruton Parish Church   Capitol   Charlton House   Courthouse   DeWitt Wallace Decorative Arts Museum   Governor 's Palace   James Semple House   John Crump House   Matthew Whaley School   Nicolson Store   Palmer House   Peyton Randolph House   Raleigh Tavern   St. George Tucker House   Wetherburn 's Tavern   Williamsburg Inn   Wren Building   Wythe House       People     W.A.R. Goodwin   The Rockefellers   Abby Aldrich Rockefeller   John D. Rockefeller Jr .   Richard Taliaferro   DeWitt Wallace   George Wythe       Geography     Williamsburg   Hampton Roads   Jamestown   Yorktown   Virginia       Other     Carter 's Grove Country Road   Carter 's Grove Plantation   College of William &amp; Mary   Colonial Parkway   Grand Illumination   Merchants Square   National Historic Landmark   National Trust for Historic Preservation   Peacock Hill   Williamsburg : the Story of a Patriot      Retrieved from `` https://en.wikipedia.org/w/index.php?title=Capitol_(Williamsburg,_Virginia)&amp;oldid=774742051 '' Categories :   Landmarks in Virginia   Buildings and structures in Williamsburg , Virginia   Government buildings completed in 1705   Former state capitols in the United States   Colonial Williamsburg   Tourist attractions in Williamsburg , Virginia   Historic district contributing properties in Virginia   1705 establishments in Virginia   Rebuilt buildings and structures in Virginia   National Register of Historic Places in Williamsburg , Virginia               Talk                                           Contents                   About Wikipedia                                                 Français   Italiano   עברית   </t>
    </r>
    <r>
      <rPr>
        <sz val="11"/>
        <color rgb="FF000000"/>
        <rFont val="Noto Sans CJK SC"/>
        <family val="2"/>
      </rPr>
      <t xml:space="preserve">中文   </t>
    </r>
    <r>
      <rPr>
        <sz val="11"/>
        <color rgb="FF000000"/>
        <rFont val="Calibri"/>
        <family val="0"/>
        <charset val="1"/>
      </rPr>
      <t xml:space="preserve">Edit links   This page was last edited on 10 April 2017 , at 11 : 50 .         About Wikipedia                    </t>
    </r>
  </si>
  <si>
    <t xml:space="preserve">why was virginia capital moved from williamsburg to richmond</t>
  </si>
  <si>
    <t xml:space="preserve"> The Capitol at Williamsburg served until the American Revolutionary War began , when Governor Thomas Jefferson urged it that the capital be relocated to Richmond . The building was last used as a capitol on December 24 , 1779 , when the Virginia General Assembly adjourned to reconvene in 1780 at the new capital , Richmond . </t>
  </si>
  <si>
    <t xml:space="preserve">It 'll be Alright on the Night - wikipedia  It 'll be Alright on the Night         This article needs additional citations for verification . Please help improve this article by adding citations to reliable sources . Unsourced material may be challenged and removed . ( June 2014 ) ( Learn how and when to remove this template message )       It 'll be Alright on the Night     Presented by   Denis Norden ( 1977 -- 2006 ) Griff Rhys Jones ( 2008 -- 2016 )     Narrated by   David Walliams ( 2018 -- )     Composer ( s )   Rod Argent &amp; Peter Van Hooke ( 1990 -- 2006 ) Music 4 ( 2008 -- )     Country of origin   United Kingdom     Original language ( s )   English     No. of episodes   42     Production     Production location ( s )   The London Studios ( 1977 - 2016 )     Running time   45 - 60 minutes ( including adverts )     Production company ( s )   LWT ( 1977 -- 2004 ) Granada ( 2004 -- 2005 ) ITV Productions ( 2006 -- 2008 ) ITV Studios ( 2011 -- )     Release     Original network   Channel 4 ( one episode ) , ITV , STV , UTV     Picture format   4 : 3 ( 1977 -- 2001 ) 16 : 9 ( 2001 -- )     Original release   18 September 1977 ( 1977 - 09 - 18 ) -- present ( present )     Chronology     Related shows   Auntie 's Bloomers Outtake TV TV 's Bloopers &amp; Practical Jokes TV 's Naughtiest Blunders     It 'll be Alright on the Night is a British television bloopers show screened on ITV and produced by ITV Studios . It is one of the first shows created with the specific purpose of showing behind the scenes bloopers from film and TV and has run since 18 September 1977 .   The show was originally presented by Denis Norden from 1977 until 2006 . Griff Rhys Jones took over as presenter from 2008 until 2016 . A new series of episodes was broadcast in 2018 narrated by David Walliams .   Contents    1 Format   2 Episodes   3 Broadcasting   4 Denis Norden 's Laughter File   4.1 Episodes     5 Notes   6 References   7 External links    Format ( edit )   The show is usually one hour in length and aired in ITV 's Saturday evening entertainment slot . However , some of the first few episodes up to and including It 'll be Alright on the Night 6 , which aired in 1990 , originally went out on a Sunday evening . A new episode aired on Sunday 28 December 2014 . Two episodes also debuted on a Friday : It 'll be Alright on the Night 3 and It 'll be Alright on Christmas Night on Christmas Day 1981 and 1987 respectively . The show 's success led to the competing BBC One series Auntie 's Bloomers presented by Terry Wogan , which focused on bloopers from some of the BBC archives .   The shows followed a simple format . Norden , traditionally holding his trademark clipboard in his hand , appeared on an otherwise empty stage and delivered a humorous piece to camera , followed by a selection of outtakes taken from various sources . Popular sources for clips include numerous British and American sitcoms , news reports and foreign broadcasts which may or may not include explanatory subtitles .   The show returned in September 2008 with Griff Rhys Jones who presented 11 episodes of It 'll be Alright on the Night . The last episode featuring Rhys Jones was broadcast on 4 June 2016 . After a two - year break , the show returned in summer 2018 with brand new episodes featuring David Walliams as narrator , which is opposed to a presenter in the studio , which meant that for the first time since the show began , there was no longer a studio set , no longer a studio audience and no longer an on - screen personality . Walliams provides commentary on the clips via voice - over , so that more outtakes can be shown .   Episodes ( edit )   The audience figures ( where given ) are those for the initial transmission of an episode . It was not unknown , especially in the early years of the series , for episodes to achieve higher ratings on repeat showings . For instance , It 'll be Alright on the Night 2 ( first shown on 28 October 1979 ) was watched by 16 million viewers for a repeat showing in February 1983 , while It 'll be Alright on the Night 4 ( first shown on 11 March 1984 ) was watched by 18.5 million viewers on its initial repeat in January 1985 . A further repeat of The Second Worst of Alright on the Night ( first shown on 24 November 1985 ) achieved the programme 's highest ratings of 19.92 million in February 1992 .     Episode   Episode name   Original airdate   Presenter / Narrator   Viewers ( millions )       It 'll be Alright on the Night 1   18 September 1977   Denis Norden         It 'll be Alright on the Night 2   28 October 1979         The Worst of Alright on the Night   21 September 1980         It 'll be Alright on the Night 3   25 December 1981       5   It 'll be Alright on the Night 4   11 March 1984   16.90     6   It 'll be Alright Late at Night   11 July 1985       7   The Second Worst of Alright on the Night   24 November 1985   14.55     8   It 'll be Alright on Christmas Night   25 December 1987   17.95     9   10 Years of It 'll be Alright on the Night   25 December 1988       10   It 'll be Alright on the Night 6   1 December 1990   17.92     11   It 'll be Alright on the Night 7   2 January 1993       12   The Utterly Worst of Alright on the Night   10 April 1994       13   The Kids from Alright on the Night   26 November 1994       14   It 'll be Alright on the Night 8   10 December 1994   14.89     15   Alright on the Night 's Cockup Trip   12 October 1996   13.00     16   It 'll be Alright on the Night 10   15 November 1997       17   21 Years of Alright on the Night   24 January 1998       18   It 'll be Alright on the Night 11   2 October 1999   10.12     19   It 'll be Alright on the Night 12   27 January 2001   9.17     20   It 'll be Alright on Election Night   7 June 2001   6.77     21   It 'll be Alright on the Night 13   17 August 2001   6.61     22   It 'll be Alright on the Night 15 : Silver Jubilee Special   14 September 2002   8.11     23   More Kids from Alright on the Night   28 September 2002   5.61     24   Alright on the Night 's All - Star Special   31 August 2003   9.63     25   It 'll be Alright on the Night 16   6 September 2003   5.53     26   It 'll be Alright on the Night 18   2 October 2004   6.89     27   It 'll be Alright on the Night 19   24 December 2004   5.84     28   Alright on the Night 's 50 Years of ITV   17 September 2005   6.28     29   It 'll be Alright on the Night 20   18 March 2006   5.32     30   It 'll be Alright on the Night 2008 : Part 1   20 September 2008   Griff Rhys Jones   4.30     31   It 'll be Alright on the Night 2008 : Part 2   25 December 2008   3.99     32   It 'll be Alright on the Night 2011 : Part 1   28 December 2011   4.95     33   It 'll be Alright on the Night 2011 : Part 2   31 December 2011   3.73     34   All New It 'll be Alright on the Night 2012   28 December 2012   3.91     35   All New It 'll be Alright on the Night 2014 : Part 1   5 January 2014   3.86     36   It 'll be Alright on the Night 's Best of the Worst   12 January 2014   3.64     37   All New It 'll be Alright on the Night 2014 : Part 2   19 May 2014   3.11     38   All New It 'll be Alright on the Night 2014 : Part 3   28 December 2014   3.43     39   It 'll be Alright on the Night 2015   30 December 2015   3.80     40   All New It 'll be Alright on the Night 2016   4 June 2016   2.76     41   David Walliams Presents -- Return of Alright on the Night   22 August 2018   David Walliams       42   David Walliams Presents - Revenge of Alright on the Night   29 August 2018       Broadcasting ( edit )   Despite being a staple of ITV 's light entertainment programming for nearly 40 years , comparatively few editions of It 'll Be Alright on the Night have been produced , with rarely more than one new episode a year being screened . Episodes presented by Denis Norden have normally included a number in their title screens to aid identification with the audience , while from 2008 to 2016 , episodes presented by Griff Rhys Jones did not do so . Towards the end of the Denis Norden era , episodes up to and including It 'll be Alright on the Night 20 were prefixed with `` All New '' to avoid viewer confusion with repeat screenings of earlier episodes .   During its run , several special episodes were also made , including anniversary specials , a late night edition for Channel 4 with more mature adult content and a one - off political special to mark the 2001 general election .   The majority of the episodes were filmed at The London Studios , but in the show 's later years , the Granada studios in Manchester were also used , as well as the now - closed ( and demolished ) Meridian studios at Northam , Southampton . A few editions were also filmed on - location ; most notably , Alright on the Night 's Cockup Trip which was presented from the Great Cockup fell in the Lake District , 21 Years of Alright on the Night was presented on a yacht in the middle of the Bermuda Triangle ( which , in reality , was in the south of France ) and It 'll be Alright on the Night 11 , which was presented from an empty Haymarket Theatre , London .   During its run , the series has had three main producers : Paul Smith ( 1977 -- 1984 ) , Paul Lewis ( 1984 -- 2002 ) and Simon Withington ( 2003 -- 2006 ) . Sean Miller , James Sunderland and Stephanie Dennis also produced some episodes . Grant Philpott was the series producer ( 2011 - 2012 ) and Simon Withington , who previously served as a producer from 2003 to 2006 has been the executive producer from 2014 to 2016 . From 2018 , Grant Philpott was once again the series producer .   Denis Norden 's Laughter File ( edit )   The series also inspired the spin - off show Denis Norden 's Laughter File , which began airing on 22 September 1991 and ran until 13 May 2006 . Although it largely followed the same format as its sister show , while It 'll be Alright on the Night focused solely on bloopers / outtakes , Laughter File also screened clips that included pranks and practical jokes . As with It 'll Be Alright on the Night , later episodes included the words `` All New '' in their titles to avoid viewer confusion with repeat screenings of earlier episodes .   The theme music used for Denis Norden 's Laughter File throughout the whole of its run was a library piece , called `` Dress to Kill '' by Errol Reid . The show 's producers were Paul Lewis ( 1991 -- 2002 ) and Simon Withington ( 2002 -- 2006 ) .   Episodes ( edit )     Episode   Episode name   Original airdate   Viewers ( millions )       Denis Norden 's 1st Laughter File   22 September 1991   17.39       Denis Norden 's 2nd Laughter File   4 October 1997         Denis Norden 's 3rd Laughter File   5 December 1998   10.00       Denis Norden 's 4th Laughter File   16 October 1999   8.46     5   Denis Norden 's 5th Laughter File   30 September 2000   8.02     6   Denis Norden 's 6th Laughter File   15 October 2001   7.21     7   Denis Norden 's 7th Laughter File   30 March 2002   5.67     8   Denis Norden 's 8th Laughter File   9 November 2002   6.62     9   Denis Norden 's 9th Laughter File   4 October 2003   5.53     10   Denis Norden 's Christmas Laughter File Special   27 December 2003   8.10     11   Denis Norden 's All New 11th Laughter File   26 December 2004   5.73     12   Denis Norden 's All New 12th Laughter File   12 February 2005   5.54     13   Denis Norden 's All New 13th Laughter File   13 May 2006   3.88     Notes ( edit )    Jump up ^ A subsequent repeat aired on 6 January 1979 .   Jump up ^ Subsequent repeats aired on 8 June 1980 and 4 February 1983 .   Jump up ^ Subsequent repeats aired on 18 December 1982 and 7 October 1984 .   Jump up ^ Subsequent repeats aired on 11 January 1985 and 22 June 1996 .   Jump up ^ Originally transmitted on Channel 4 ; subsequent repeats aired on ITV on 29 June 1986 and 19 January 1992 .   Jump up ^ Retitled and re-edited as It 'll be Alright on the Night 5 for subsequent repeats on 2 October 1988 and 14 December 1991 .   Jump up ^ A subsequent repeat aired on 5 September 1992 .   Jump up ^ Subsequent repeats aired on 31 August 1991 , 17 July 1994 and 2 September 1995 .   Jump up ^ Subsequent repeats aired on 2 January 1994 , 9 September 1995 , 1 March 1997 and 20 March 1999 .   Jump up ^ Subsequent repeats aired on 4 June 1999 , 12 April 2000 , 1 January 2001 and 13 February 2002 .   Jump up ^ Subsequent repeats aired on 30 December 1995 , 1 May 1999 and 20 July 2000 .   Jump up ^ Subsequent repeats aired on 21 September 1997 , 9 May 1998 , 11 June 1999 and 6 May 2000 .   Jump up ^ Subsequent repeats aired on 29 August 1998 , 31 July 1999 , 17 March 2001 and 24 July 2004 .   Jump up ^ Subsequent repeats aired on 16 January 1999 and 29 April 2000 .   Jump up ^ Subsequent repeats aired on 28 August 2000 , 28 April 2001 , 26 May 2002 and 31 July 2004 .   Jump up ^ Subsequent repeats aired on 12 September 2001 , 26 April 2003 and 28 January 2004 .   Jump up ^ Subsequent repeats aired on 29 December 2001 and 24 January 2004 .   Jump up ^ Retitled and re-edited as 25 Years of Alright on the Night for a subsequent repeat on 12 April 2003 .   Jump up ^ A subsequent repeat aired on 28 December 2002 .   Jump up ^ A subsequent repeat aired on 22 March 2005 .   Jump up ^ Subsequent repeats aired on 21 February 2004 and 29 March 2005 .   Jump up ^ A subsequent repeat aired on 21 June 2005 .   Jump up ^ Subsequent repeats aired on 28 June and 31 December 2005 .   Jump up ^ Scheduled to be aired on 2 July 2018 , but was moved five days later due to the England v Colombia World Cup game going into extra time . Unfortunately , the 7 July 2018 date was moved again to 22 August 2018 due to the Russia v Croatia World Cup game going into extra time .   Jump up ^ Scheduled to be aired on 3 July 2018 , but was moved to exactly , a week later due to the England v Colombia World Cup game going into extra time . Unfortunately , the 10 July 2018 date was moved to 29 August 2018 due to the Russia v Croatia World Cup game going into extra time .   Jump up ^ Subsequent repeats aired on 20 August 1995 and 10 December 1999 .   Jump up ^ Subsequent repeats aired on 23 May 1998 , 7 May 1999 , 20 May 2000 and 7 July 2001 .   Jump up ^ Subsequent repeats aired on 3 December 1999 and 15 July 2000 .   Jump up ^ Subsequent repeats aired on 8 July 2000 and 9 May 2001 .   Jump up ^ A subsequent repeat aired on 23 June 2001 .    References ( edit )    Jump up ^ Houghton , Rianne ( 28 June 2018 ) . `` David Walliams to host new It 'll be Alright on the Night '' . Digital Spy . Retrieved 22 August 2018 .    External links ( edit )    It 'll be Alright on the Night on Twitter .   BBC Cult TV   British Film Institute page   It 'll be Alright on the Night on IMDb .   Retrieved from `` https://en.wikipedia.org/w/index.php?title=It%27ll_Be_Alright_on_the_Night&amp;oldid=861216651 '' Categories :   1970s British comedy television series   1980s British comedy television series   1990s British comedy television series   2000s British comedy television series   2010s British comedy television series   1977 British television programme debuts   Blooper shows   ITV comedy   London Weekend Television programmes   Television series by ITV Studios   English - language television programs   Hidden categories :   Use dmy dates from December 2015   Use British English from December 2015   Articles needing additional references from June 2014   All articles needing additional references           Talk                                           Contents                   About Wikipedia                                           Add links   This page was last edited on 25 September 2018 , at 22 : 20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</si>
  <si>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has presented it'll be alright on the night</t>
  </si>
  <si>
    <t xml:space="preserve">   It 'll be Alright on the Night     Presented by   Denis Norden ( 1977 -- 2006 ) Griff Rhys Jones ( 2008 -- 2016 )     Narrated by   David Walliams ( 2018 -- )     Composer ( s )   Rod Argent &amp; Peter Van Hooke ( 1990 -- 2006 ) Music 4 ( 2008 -- )     Country of origin   United Kingdom     Original language ( s )   English     No. of episodes   42     Production     Production location ( s )   The London Studios ( 1977 - 2016 )     Running time   45 - 60 minutes ( including adverts )     Production company ( s )   LWT ( 1977 -- 2004 ) Granada ( 2004 -- 2005 ) ITV Productions ( 2006 -- 2008 ) ITV Studios ( 2011 -- )     Release     Original network   Channel 4 ( one episode ) , ITV , STV , UTV     Picture format   4 : 3 ( 1977 -- 2001 ) 16 : 9 ( 2001 -- )     Original release   18 September 1977 ( 1977 - 09 - 18 ) -- present ( present )     Chronology     Related shows   Auntie 's Bloomers Outtake TV TV 's Bloopers &amp; Practical Jokes TV 's Naughtiest Blunders   </t>
  </si>
  <si>
    <t xml:space="preserve">Siege of Petersburg - wikipedia  Siege of Petersburg  Jump to : navigation , search For the American Revolutionary War battle known as the `` Battle of Petersburg '' , see Battle of Blandford . For the World War II battle , see Siege of Leningrad .    Siege of Petersburg     Part of the American Civil War     The `` Dictator '' siege mortar at Petersburg . In the foreground , the figure on the right is Brig. Gen. Henry J. Hunt , chief of artillery of the Army of the Potomac .        Date   June 9 , 1864 -- March 25 , 1865 ( 9 months , 2 weeks and 2 days )     Location   Petersburg , Virginia     Result   Union victory        Belligerents     United States   Confederate States     Commanders and leaders     Ulysses S. Grant George Meade Benjamin Butler   Robert E. Lee P.G.T. Beauregard     Units involved       Army of the Potomac   Army of the James     Army of Northern Virginia Department of North Carolina and Southern Virginia     Strength     67,000 -- 125,000   ∼ 52,000     Casualties and losses     42,000 ( estimate )   28,000 ( estimate )               Richmond -- Petersburg Campaign ( Siege of Petersburg )       1st Petersburg   2nd Petersburg   Jerusalem Plank Road   Wilson - Kautz Raid   Staunton River Bridge   Sappony Church   1st Ream 's Station   1st Deep Bottom   Crater   2nd Deep Bottom   Globe Tavern   2nd Ream 's Station   Beefsteak Raid   Chaffin 's Farm   Peebles ' Farm   Vaughan Road   Darbytown &amp; New Market Roads   Darbytown Road   Fair Oaks &amp; Darbytown Road   Boydton Plank Road   Trent 's Reach   Hatcher 's Run   Fort Stedman       The Richmond -- Petersburg Campaign was a series of battles around Petersburg , Virginia , fought from June 9 , 1864 , to March 25 , 1865 , during the American Civil War . Although it is more popularly known as the Siege of Petersburg , it was not a classic military siege , in which a city is usually surrounded and all supply lines are cut off , nor was it strictly limited to actions against Petersburg . The campaign consisted of nine months of trench warfare in which Union forces commanded by Lt. Gen. Ulysses S. Grant assaulted Petersburg unsuccessfully and then constructed trench lines that eventually extended over 30 miles ( 48 km ) from the eastern outskirts of Richmond , Virginia , to around the eastern and southern outskirts of Petersburg . Petersburg was crucial to the supply of Confederate Gen. Robert E. Lee 's army and the Confederate capital of Richmond . Numerous raids were conducted and battles fought in attempts to cut off the Richmond and Petersburg Railroad . Many of these battles caused the lengthening of the trench lines .   Lee finally gave in to the pressure and abandoned both cities in April 1865 , leading to his retreat and surrender at Appomattox Court House . The Siege of Petersburg foreshadowed the trench warfare that was common in World War I , earning it a prominent position in military history . It also featured the war 's largest concentration of African American troops , who suffered heavy casualties at such engagements as the Battle of the Crater and Chaffin 's Farm .     Contents  ( hide )   1 Background   1.1 Military situation     2 Opposing forces   2.1 Union   2.2 Confederate   2.3 Comparison between Union and Confederate armies   2.4 Role of Negroes     3 Initial attempts to capture Petersburg   3.1 Butler 's assault ( June 9 )   3.2 Meade 's assaults ( June 15 -- 18 , 1864 )     4 Initial attempts to cut the railroads ( June 21 -- 30 )   4.1 Jerusalem Plank Road ( June 21 -- 23 )   4.2 Wilson - Kautz Raid ( June 22 -- July 1 )     5 First Battle of Deep Bottom ( July 27 -- 29 )   6 The Crater ( July 30 )   7 Second Deep Bottom ( August 14 -- 20 )   8 Operations against the Weldon Railroad   8.1 Globe Tavern ( August 18 -- 21 )   8.2 Second Reams Station ( August 25 )     9 Beefsteak Raid ( September 14 -- 17 )   10 Union offensives , late September   10.1 New Market Heights ( September 29 -- 30 )   10.2 Peebles Farm ( September 30 -- October 2 )     11 Actions near Richmond , October   11.1 Darbytown and New Market Roads ( October 7 )   11.2 Darbytown Road ( October 13 )   11.3 Fair Oaks and Darbytown Road ( October 27 -- 28 )     12 Boydton Plank Road ( October 27 -- 28 )   13 Hatcher 's Run ( February 5 -- 7 , 1865 )   14 Confederate breakout attempt at Fort Stedman ( March 25 )   15 Aftermath   16 Classifying the campaigns   17 Battlefield preservation   18 See also   19 Notes   20 References   21 Further reading   22 External links      Background ( edit )   Military situation ( edit )  Main article : Eastern Theater of the American Civil War Further information : American Civil War Soldiers in the trenches . Trench warfare would appear again more infamously in World War I  In March 1864 , Ulysses S. Grant was promoted to lieutenant general and was given command of the Union Army . He devised a coordinated strategy to apply pressure on the Confederacy from many points , something President Abraham Lincoln had urged his generals to do from the beginning of the war . Grant put Maj. Gen. William T. Sherman in immediate command of all forces in the West and moved his own headquarters to be with the Army of the Potomac ( still commanded by Maj. Gen. George G. Meade ) in Virginia , where he intended to maneuver Lee 's army to a decisive battle ; his secondary objective was to capture Richmond ( the capital of the Confederacy ) , but Grant knew that the latter would happen automatically once the former was accomplished . His coordinated strategy called for Grant and Meade to attack Lee from the north , while Maj. Gen. Benjamin Butler drove toward Richmond from the southeast ; Maj. Gen. Franz Sigel to control the Shenandoah Valley ; Sherman to invade Georgia , defeat Gen. Joseph E. Johnston , and capture Atlanta ; Brig . Gens . George Crook and William W. Averell to operate against railroad supply lines in West Virginia ; and Maj. Gen. Nathaniel P. Banks to capture Mobile , Alabama .   Most of these initiatives failed , often because of the assignment of generals to Grant for political rather than military reasons . Butler 's Army of the James bogged down against inferior forces under Gen. P.G.T. Beauregard before Richmond in the Bermuda Hundred Campaign . Sigel was soundly defeated at the Battle of New Market in May and soon afterward he was replaced by Maj. Gen. David Hunter . Banks was distracted by the Red River Campaign and failed to move on Mobile . However , Crook and Averell were able to cut the last railway linking Virginia and Tennessee , and Sherman 's Atlanta Campaign was a success , although it dragged on through the fall .   On May 4 , Grant and Meade 's Army of the Potomac crossed the Rapidan River and entered the area known as the Wilderness of Spotsylvania , beginning the six - week Overland Campaign . At the bloody but tactically inconclusive Battle of the Wilderness ( May 5 -- 7 ) and Battle of Spotsylvania Court House ( May 8 -- 21 ) , Grant failed to destroy Lee 's army but , unlike his predecessors , did not retreat after the battles ; he repeatedly moved his army leftward to the southeast in a campaign that kept Lee on the defensive and moved ever closer to Richmond . Grant spent the remainder of May maneuvering and fighting minor battles with the Confederate army as he attempted to turn Lee 's flank and lure him into the open . Grant knew that his larger army and base of manpower in the North could sustain a war of attrition better than Lee and the Confederacy could . This theory was tested at the Battle of Cold Harbor ( May 31 -- June 12 ) when Grant 's army once again came into contact with Lee 's near Mechanicsville . He chose to engage Lee 's army directly , by ordering a frontal assault on the Confederate fortified positions on June 3 . This attack was repulsed with heavy losses . Cold Harbor was a battle that Grant regretted more than any other and Northern newspapers thereafter frequently referred to him as a `` butcher '' . Although Grant suffered high losses during the campaign -- approximately 50,000 casualties , or 41 % -- Lee lost even higher percentages of his men -- approximately 32,000 , or 46 % -- losses that could not be replaced .   On the night of June 12 , Grant again advanced by his left flank , marching to the James River . He planned to cross to the south bank of the river , bypassing Richmond , and isolate Richmond by seizing the railroad junction of Petersburg to the south . While Lee remained unaware of Grant 's intentions , the Union army constructed a pontoon bridge 2,100 feet ( 640 m ) long and crossed the James River on June 14 -- 18 . What Lee had feared most of all -- that Grant would force him into a siege of Richmond -- was poised to occur . Petersburg , a prosperous city of 18,000 , was a supply center for Richmond , given its strategic location just south of Richmond , its site on the Appomattox River that provided navigable access to the James River , and its role as a major crossroads and junction for five railroads . Since Petersburg was the main supply base and rail depot for the entire region , including Richmond , the taking of Petersburg by Union forces would make it impossible for Lee to continue defending Richmond ( the Confederate capital ) . This represented a change of strategy from that of the preceding Overland Campaign , in which confronting and defeating Lee 's army in the open was the primary goal . Now , Grant selected a geographic and political target and knew that his superior resources could besiege Lee there , pin him down , and either starve him into submission or lure him out for a decisive battle . Lee at first believed that Grant 's main target was Richmond and devoted only minimal troops under Gen. P.G.T. Beauregard to the defense of Petersburg .   Opposing forces ( edit )   Union ( edit )  Further information : Union order of battle at Second Petersburg , Union order of battle at First Deep Bottom , Union order of battle at the Crater , Union order of battle at Globe Tavern , Union order of battle at Chaffin 's Farm , Union order of battle at Boydton Plank Road    Key Union commanders       Lt. Gen . Ulysses S. Grant   Maj. Gen . George G. Meade   Maj. Gen . Benjamin Butler       At the beginning of the campaign , Grant 's Union forces consisted of the Army of the Potomac , under Maj. Gen. George G. Meade , and the Army of the James , under Maj. Gen. Benjamin Butler .   The Army of the Potomac included :    II Corps , under Maj. Gen. Winfield S. Hancock , including the divisions of Maj . Gens . David B. Birney and John Gibbon and Brig. Gen. Francis C. Barlow .   V Corps , under Maj. Gen. Gouverneur K. Warren , including the divisions of Brig . Gens . Charles Griffin , Romeyn B. Ayres , Samuel W. Crawford , and Lysander Cutler .   VI Corps , under Maj. Gen. Horatio G. Wright , including the divisions of Brig . Gens . David A. Russell , Thomas H. Neill , and James B. Ricketts . ( The VI Corps was on detached service in the Shenandoah Valley from mid-July to early December 1864 . )   IX Corps , under Maj. Gen. Ambrose Burnside , including the divisions of Brig . Gens . James H. Ledlie , Robert B. Potter , Orlando B. Willcox , and Edward Ferrero ( the latter division being manned by United States Colored Troops ) . Maj. Gen. John G. Parke replaced Burnside after the Battle of the Crater .   Cavalry Corps , under Maj. Gen. Philip H. Sheridan , including the divisions of Brig . Gens . Alfred T.A. Torbert , David McM . Gregg , and James H. Wilson . Sheridan and much of his command were on detached service in the Shenandoah Valley from mid-July 1864 to late March 1865 . Upon their return , Sheridan often referred to his Cavalry Corps as the Army of the Shenandoah , reflecting their role in the Valley Campaigns of 1864 .    The Army of the James included :    X Corps , under Brig. Gen. Alfred H. Terry , including the divisions of Brig . Gens . Robert S. Foster and Adelbert Ames .   XVIII Corps , under Maj. Gen. William F. `` Baldy '' Smith , including the divisions of Brig . Gens . William T.H. Brooks , John H. Martindale , and Edward W. Hinks ( the latter also a USCT division ) .   XXIV Corps , under Maj. Gen. Edward O.C. Ord , including the divisions of Brig. Gen. Robert S. Foster , Maj. Gen. Thomas M. Harris , and Brig. Gen. Charles Devens .   XXV Corps , under Maj. Gen. Godfrey Weitzel , including the divisions of Brig . Gens . Charles J. Paine , William Birney , and Edward A. Wild .   Cavalry Division , under Brig. Gen. August Kautz .    On December 3 , 1864 , the racially integrated X Corps and XVIII Corps were reorganized to become the all - white XXIV Corps and the all - black ( officers excepted ) XXV Corps .   Grant made his headquarters in a cabin on the lawn of Appomattox Manor , the home of Dr. Richard Eppes and the oldest home ( built in 1763 ) in what was then City Point , but is now Hopewell , Virginia .   Confederate ( edit )  Further information : Confederate order of battle    Key Confederate commanders       Gen . Robert E. Lee   Gen . P.G.T. Beauregard   Lt. Gen . James Longstreet   Lt. Gen . Richard S. Ewell   Lt. Gen . A.P. Hill       Lee 's Confederate force consisted of his own Army of Northern Virginia , as well as a scattered , disorganized group of 10,000 men defending Richmond under Gen. P.G.T. Beauregard . Many of the men under Beauregard 's command consisted of soldiers who were either too young or too old to fight in the Army of Northern Virginia , or men who had been discharged from Lee 's army due to wounds that rendered them unfit for service . The Army of Northern Virginia was initially organized into four corps :    First Corps , under Lt. Gen. Richard H. Anderson , including the divisions of Maj . Gens . George E. Pickett , Charles W. Field , and Joseph B. Kershaw . Lt. Gen. James Longstreet returned from medical leave and resumed command of the corps on October 19 . Anderson was given command of the new Fourth Corps , which included the division of Maj. Gen. Bushrod R. Johnson .   Second Corps , under Lt. Gen. Jubal A. Early , was detached on June 12 for operations in the Shenandoah Valley and played no direct role in the defense of Petersburg .   Third Corps , under Lt. Gen. A.P. Hill , including the divisions of Maj . Gens . Henry Heth and Cadmus M. Wilcox and Brig. Gen. William Mahone .   Cavalry Corps , under Maj. Gen. Wade Hampton , including the divisions of Maj . Gens . Fitzhugh Lee and W.H.F. `` Rooney '' Lee .    Beauregard 's Department of North Carolina and Southern Virginia had four depleted divisions commanded by Maj . Gens . Robert Ransom , Jr. , Robert F. Hoke , and William H.C. Whiting , and Brig. Gen. Alfred H. Colquitt . ( Later in the campaign , Beauregard 's department was expanded and reorganized to consist of the divisions of Maj . Gens . Hoke and Bushrod Johnson ) .   Comparison between Union and Confederate armies ( edit )   Grant 's armies were significantly larger than Lee 's during the campaign , although the strengths varied . During the initial assaults on the city , 15,000 Federal troops faced about 5,400 men under Beauregard . By June 18 , the Federal strength exceeded 67,000 against the Confederate 20,000 . More typical of the full campaign was in mid-July , when 70,000 Union troops faced 36,000 Confederates around Petersburg , and 40,000 men under Butler faced 21,000 around Richmond . The Union Army , despite suffering horrific losses during the Overland Campaign , was able to replenish its soldiers and equipment , taking advantage of garrison troops from Washington , D.C. , and the increasing availability of African - American soldiers . By the end of the siege , Grant had 125,000 men to begin the Appomattox Campaign . The Confederate army , in contrast , had difficulty replacing men lost through battle , disease , and desertion . As a result of this severe lack of manpower facing the Confederates , when Beauregard 's men occupied the trenches around the city , there were gaps in the line of up to 5 feet ( 1.5 m ) between men .   Role of negroes ( edit )  Main article : Negroes at the Siege of Petersburg  Negroes were present at Petersburg on both sides of the conflict . United States Colored Troops fought with the Union Army , while other negroes worked at Union supply depots . On the side of the Confederacy , enslaved and free negroes dug trenches around Petersburg .   Initial attempts to capture Petersburg ( edit )   Butler 's assault ( June 9 ) ( edit )  Further information : First Battle of Petersburg Confederate Trenches . Fascine Trench Breastworks , Petersburg , Va . -- NARA -- 524792 Richmond -- Petersburg Theater , fall 1864 Confederate Union  While Lee and Grant faced each other after Cold Harbor , Benjamin Butler became aware that Confederate troops had been moving north to reinforce Lee , leaving the defenses of Petersburg in a vulnerable state . Sensitive to his failure in the Bermuda Hundred Campaign , Butler sought to achieve a success to vindicate his generalship . He wrote , `` the capture of Petersburg lay near my heart . ''   Petersburg was protected by multiple lines of fortifications , the outermost of which was known as the Dimmock Line , a line of earthworks and trenches 10 miles ( 16 km ) long , with 55 redoubts , east of the city . The 2,500 Confederates stretched thin along this defensive line were commanded by a former Virginia governor , Brig. Gen. Henry A. Wise . Despite the number of fortifications , because of a series of hills and valleys around the outskirts of Petersburg there were several places along the outer defenses where cavalry could easily ride through undetected until they reached the inner defenses of the city .   Butler 's plan was formulated on the afternoon of June 8 , 1864 , calling for three columns to cross the Appomattox and advance with 4,500 men . The first and second consisted of infantry from Maj. Gen. Quincy A. Gillmore 's X Corps and U.S. Colored Troops from Brig. Gen. Edward W. Hinks 's 3rd Division of XVIII Corps , which was to attack the Dimmock Line east of the city . The third was 1,300 cavalrymen under Brig. Gen. August Kautz , who were to sweep around Petersburg and strike it from the southeast . The troops moved out on the night of June 8 , but made poor progress . Eventually the infantry crossed by 3 : 40 a.m. on June 9 and by 7 a.m. , both Gillmore and Hinks had encountered the enemy , but stopped at their fronts . Gillmore told Hinks that he would attack but that both of the infantry columns should await the cavalry assault from the south .   Kautz 's men did not arrive until noon , however , having been delayed en route by numerous enemy pickets . They assaulted the Dimmock Line where it crossed the Jerusalem Plank Road ( present - day U.S. Route 301 , Crater Road ) . The Confederates ' Battery 27 , also known as Rives 's Salient , was manned by 150 militiamen commanded by Maj . Fletcher H. Archer . Kautz first launched a probing attack , then paused . His main attack was by the 11th Pennsylvania Cavalry against the Home Guard , a group consisting primarily of teenagers , elderly men , and some wounded soldiers from city hospitals . The Home Guards retreated to the city with heavy losses , but by this time Beauregard had been able to bring reinforcements from Richmond to bear , which were able to repulse the Union assault . Kautz , hearing no activity on Gillmore 's front , presumed that he was left on his own and withdrew . Confederate casualties were about 80 , Union 40 . Butler was furious with Gillmore 's timidity and incompetence and arrested him . Gillmore requested a court of inquiry , which was never convened , but Grant later reassigned him and the incident was dropped .   Meade 's assaults ( June 15 -- 18 , 1864 ) ( edit )  Further information : Second Battle of Petersburg Siege of Petersburg , assaults on June 15 -- 18  Grant selected Butler 's Army of the James , which had performed poorly in the Bermuda Hundred Campaign , to lead the expedition toward Petersburg . On June 14 he directed Butler to augment the XVIII Corps , commanded by Brig. Gen. William F. `` Baldy '' Smith , to a strength of 16,000 men , including Kautz 's cavalry division , and use the same route employed in the unsuccessful attacks of June 9 . Since Beauregard had insufficient men available to defend the entire Dimmock Line , he concentrated 2,200 troops under Brig. Gen. Henry A. Wise in the northeastern sector . Even with this concentration , infantrymen were spaced an unacceptable 10 feet ( 3.0 m ) apart . His remaining 3,200 men were facing Butler 's army at Bermuda Hundred .   Baldy Smith and his men crossed the Appomattox shortly after dawn on June 15 . Kautz 's cavalry , leading the advance , encountered an unexpected stronghold at Baylor 's farm northeast of Petersburg . Brig. Gen. Edward W. Hinks 's men launched two attacks on the Confederates and captured a cannon , but the overall advance was delayed until early afternoon . Smith started his attack after delaying until about 7 p.m. , deploying a strong skirmish line that swept over the earthworks on a 3.5 - mile ( 5.6 km ) front , causing the Confederates to retreat to a weaker defensive line on Harrison 's Creek . Despite this initial success and the prospect of a virtually undefended city immediately to his front , Smith decided to wait until dawn to resume his attack . By this time Maj. Gen. Winfield S. Hancock , the II Corps commander , had arrived at Smith 's headquarters . The normally decisive and pugnacious Hancock , who outranked Smith , was uncertain of his orders and the disposition of forces , and uncharacteristically deferred to Smith 's judgment to wait .   Beauregard wrote later that Petersburg `` at that hour was clearly at the mercy of the Federal commander , who had all but captured it . '' But he used the time he had been granted to good advantage . Receiving no guidance from Richmond in response to his urgent requests , he unilaterally decided to strip his defenses from the Howlett Line , which was bottling up Butler 's army in Bermuda Hundred , making the divisions of Maj . Gens . Robert Hoke and Bushrod Johnson available for the new Petersburg defensive line . Butler might have used this opportunity to move his army between Petersburg and Richmond , which would have doomed the Confederate capital , but he once again failed to act .   By the morning of June 16 , Beauregard had concentrated about 14,000 men in his defensive line , but this paled in comparison to the 50,000 federals that now faced him . Grant had arrived with Maj. Gen. Ambrose Burnside 's IX Corps , addressed the confusion of Hancock 's orders , and ordered a reconnaissance for weak points in the defensive line . Hancock , in temporary command of the Army of the Potomac until Maj. Gen. George G. Meade arrived , prepared Smith 's XVIII corps on the right , his own II Corps in the center , and Burnside 's IX Corps on the left . Hancock 's assault began around 5 : 30 p.m. as all three corps moved slowly forward . Beauregard 's men fought fiercely , erecting new breastworks to the rear as breakthroughs occurred . Upon the arrival of General Meade , a second attack was ordered and Brig. Gen. Francis C. Barlow led his division forward . Although Barlow 's men managed to capture their objectives , a counterattack drove them back , taking numerous Union prisoners . The survivors dug in close to the enemy works .   June 17 was a day of uncoordinated Union attacks , starting on the left flank where two brigades of Burnside 's IX Corps under Brig. Gen. Robert B. Potter stealthily approached the Confederate line and launched a surprise attack at dawn . Initially successful , it captured nearly a mile of the Confederate fortifications and about 600 prisoners , but the effort eventually failed when Potter 's men moved forward to find another line of entrenchments . IX Corps assaults at 2 p.m. , led by the brigade of Brig. Gen. John F. Hartranft , and in the evening , by Brig. Gen. James H. Ledlie 's division , both failed .   During the day , Beauregard 's engineers had laid out new defensive positions a mile to the west of the Dimmock Line , which the Confederates occupied late that night . Robert E. Lee had systematically ignored all of Beauregard 's pleas for reinforcements until now , but dispatched two divisions of his men , exhausted from the Overland Campaign , to Petersburg , beginning at 3 a.m. on June 18 . With the arrival of Lee 's two divisions , under Maj. Gen. Joseph B. Kershaw and Charles W. Field , Beauregard had over 20,000 men to defend the city , but Grant 's force had been augmented by the arrival of Maj. Gen. Gouverneur K. Warren 's V Corps and 67,000 Federals were present .   On the morning of June 18 , Meade went into a rage directed at his corps commanders because of his army 's failure to take the initiative and break through the thinly defended Confederate positions and seize the city . He ordered the entire Army of the Potomac to attack the Confederate defenses . The first Union attack began at dawn , started by the II and XVIII Corps on the Union right . The II Corps was surprised to make rapid progress against the Confederate line , not realizing that Beauregard had moved it back the night before . When they encountered the second line , the attack immediately ground to a halt and the corps suffered under heavy Confederate fire for hours .   By noon , another attack plan had been devised to break through the Confederate defenses . However , by this time , elements of Lee 's army had reinforced Beauregard 's troops . By the time the Union attack was renewed , Lee himself had taken command of the defenses . Maj. Gen. Orlando B. Willcox 's division of the IX Corps led the renewed attack but it suffered significant losses in the marsh and open fields crossed by Taylor 's Branch . Warren 's V Corps was halted by murderous fire from Rives 's Salient , an attack in which Col. Joshua Lawrence Chamberlain , commanding the 1st Brigade , First Division , V Corps , was severely wounded . At 6 : 30 p.m. , Meade ordered a final assault , which also failed with more horrendous losses . One of the leading regiments was the 1st Maine Heavy Artillery Regiment , which lost 632 of 900 men in the assault , the heaviest single - battle loss of any regiment during the entire war .   Having achieved almost no gains from four days of assaults , and with Lincoln facing re-election in the upcoming months in the face of a loud public outcry against the casualty figures , Meade ordered his army to dig in , starting the ten - month siege . During the four days of fighting , Union casualties were 11,386 ( 1,688 killed , 8,513 wounded , 1,185 missing or captured ) , Confederate 4,000 ( 200 killed , 2,900 wounded , 900 missing or captured ) .   Initial attempts to cut the railroads ( June 21 -- 30 ) ( edit )   After failing to capture Petersburg by assault , Grant 's first objective was secure the three remaining open rail lines that served Petersburg and Richmond : the Richmond and Petersburg Railroad ; the South Side Railroad , which reached to Lynchburg in the west ; and the Weldon Railroad , also called the Petersburg and Weldon Railroad , which led to Weldon , North Carolina , and the Confederacy 's only remaining major port , Wilmington , North Carolina . Grant decided on a wide - ranging cavalry raid ( the Wilson - Kautz Raid ) against the South Side and Weldon railroads , but he also directed that a significant infantry force be sent against the Weldon closer to his current position . Meade selected the II Corps , still temporarily commanded by Birney , and Wright 's VI Corps .   Jerusalem Plank Road ( June 21 -- 23 ) ( edit )  Further information : Battle of Jerusalem Plank Road Siege of Petersburg , movements against the railroads and A.P. Hill 's counterattack , June 21 -- 22  On June 21 , elements of the II Corps probed toward the railroad and skirmished with Confederate cavalry . By the morning of June 22 , a gap opened up between the two corps . While the II Corps moved forward , the VI Corps encountered Confederate troops from Maj. Gen. Cadmus Wilcox 's division of Lt. Gen. A.P. Hill 's corps and they began to entrench rather than advance . Brig. Gen. William Mahone observed that the gap between the two Union corps was widening , creating a prime target . Mahone had been a railroad engineer before the war and had personally surveyed this area south of Petersburg , so he was familiar with a ravine that could be used to hide the approach of a Confederate attack column . At 3 p.m. , Mahone 's men emerged in the rear of the II Corps division of Brig. Gen. Francis C. Barlow , catching them by surprise , and Barlow 's division quickly collapsed . The division of Brig. Gen. John Gibbon , which had erected earthworks , was also surprised by an attack from the rear and many of the regiments ran for safety . The II Corps troops rallied around earthworks that they had constructed on the night of June 21 and stabilized their lines . Darkness ended the fighting .   On June 23 , the II Corps advanced to retake its lost ground , but the Confederates had pulled back , abandoning the earthworks they had captured . Under orders from General Meade , the VI Corps sent out a heavy skirmish line after 10 a.m. in a second attempt to reach the Weldon Railroad . Men from Brig. Gen. Lewis A. Grant 's 1st Vermont Brigade had begun tearing up track when they were attacked by a larger force of Confederate infantry . Numerous Vermonters were taken prisoner and only about half a mile of track had been destroyed when they were chased away . Meade was unable to urge Wright forward and called off the operation . Union casualties were 2,962 , Confederate 572 . The battle was inconclusive , with advantages gained on both sides . The Confederates were able to retain control of the Weldon Railroad . The Federals were able to destroy a short segment of the Weldon before being driven off , but more importantly , the siege lines were stretched further to the west .   Wilson - Kautz raid ( June 22 -- July 1 ) ( edit )  Further information : Wilson - Kautz Raid , Battle of Staunton River Bridge , Battle of Sappony Church , and First Battle of Ream 's Station Wilson - Kautz Raid , June 22 -- July 1  In parallel to Birney 's and Wright 's infantry action at the Jerusalem Plank Road , Brig. Gen. James H. Wilson was ordered by Meade to conduct a raid destroying as much track as possible south and southwest of Petersburg . Grant considered Wilson 's 3rd Division of the Cavalry Corps too small to conduct the operation alone -- particularly since Meade required Wilson to leave 1,400 men behind for picket duty -- so he directed Butler to contribute Brig. Gen. August Kautz 's small division ( 2,000 troopers ) to the effort . Early on the morning of June 22 , 3,300 men , and 12 guns organized into two batteries , departed Mount Sinai Church and began to destroy railroad track and cars of the Weldon Railroad at Reams Station , 7 miles ( 11 km ) south of Petersburg . Kautz 's men moved to the west to Ford 's Station and began destroying track , locomotives , and cars on the South Side Railroad .   On June 23 , Wilson proceeded to the junction of the Richmond and Danville Railroad at Burkeville , where he encountered elements of Rooney Lee 's cavalry between Nottoway Court House and Black 's and White 's ( modern - day Blackstone ) . The Confederates struck the rear of his column , forcing Col. George A. Chapman 's brigade to fend them off . Wilson followed Kautz along the South Side Railroad , destroying about 30 miles ( 50 km ) of track as they went . On June 24 , while Kautz remained skirmishing around Burkeville , Wilson crossed over to Meherrin Station on the Richmond and Danville and began destroying track .   On June 25 , Wilson and Kautz continued tearing up track south to the Staunton River Bridge at Roanoke Station ( modern - day Randolph ) , where they encountered approximately 1,000 `` Old Men and Boys '' ( the Home Guard ) , commanded by Capt . Benjamin L. Farinholt , dug in with earthworks and prepared artillery positions at the bridge . The Battle of Staunton River Bridge was a minor affair in which Kautz attempted multiple frontal assaults against the Home Guard , but his men never came closer than 80 yards ( 73 m ) . Lee 's cavalry division closed on the Federals from the northeast and skirmished with Wilson 's rear guard . Casualties on the Union side amounted to 42 killed , 44 wounded , and 30 missing or captured ; Confederate losses were 10 killed and 24 wounded . Kautz 's men gave up and retreated to the railroad depot at 9 p.m. Despite these</t>
  </si>
  <si>
    <t xml:space="preserve">where did the siege of petersburg take place</t>
  </si>
  <si>
    <t xml:space="preserve">   Siege of Petersburg     Part of the American Civil War     The `` Dictator '' siege mortar at Petersburg . In the foreground , the figure on the right is Brig. Gen. Henry J. Hunt , chief of artillery of the Army of the Potomac .        Date   June 9 , 1864 -- March 25 , 1865 ( 9 months , 2 weeks and 2 days )     Location   Petersburg , Virginia     Result   Union victory        Belligerents     United States   Confederate States     Commanders and leaders     Ulysses S. Grant George Meade Benjamin Butler   Robert E. Lee P.G.T. Beauregard     Units involved       Army of the Potomac   Army of the James     Army of Northern Virginia Department of North Carolina and Southern Virginia     Strength     67,000 -- 125,000   ∼ 52,000     Casualties and losses     42,000 ( estimate )   28,000 ( estimate )   </t>
  </si>
  <si>
    <t xml:space="preserve">Port Isaac - wikipedia  Port Isaac  Jump to : navigation , search    Port Isaac   Cornish : Porthysek       A view of Port Isaac     Port Isaac     Port Isaac shown within Cornwall     Population   721     OS grid reference   SW997809     Civil parish     St Endellion       Unitary authority     Cornwall       Ceremonial county     Cornwall       Region     South West       Country   England     Sovereign state   United Kingdom     Post town   PORT ISAAC     Postcode district   PL29     Dialling code   01208         Police   Devon and Cornwall     Fire   Cornwall     Ambulance   South Western         EU Parliament   South West England     UK Parliament     North Cornwall         List of places   UK   England   Cornwall   50 ° 35 ′ 37 '' N 4 ° 49 ′ 52 '' W ﻿ / ﻿ 50.5935 ° N 4.8312 ° W ﻿ / 50.5935 ; - 4.8312 Coordinates : 50 ° 35 ′ 37 '' N 4 ° 49 ′ 52 '' W ﻿ / ﻿ 50.5935 ° N 4.8312 ° W ﻿ / 50.5935 ; - 4.8312     Port Isaac ( Cornish : Porthysek ) is a small and picturesque fishing village on the Atlantic coast of north Cornwall , England , United Kingdom . The nearest towns are Wadebridge and Camelford , both ten miles away . Port Gaverne , commonly mistaken to be part of Port Isaac , is a nearby hamlet that has its own history . The meaning of the Cornish name is `` corn port '' , indicating a trade in corn from the arable inland district .   Since the 1980s the village has served as backdrop to various television productions , including the ITV series Doc Martin , and is home to the group Fisherman 's Friends , sea - shanty singers .     Contents  ( hide )   1 History   1.1 Port   1.2 Lifeboat     2 Transport   3 Places of worship   4 Film location   5 References   6 External links      History ( edit )  Port Isaac viewed from the west  Port ( edit )   Port Isaac 's pier was constructed during the reign of Henry VIII . `` ... Tudor pier and breakwater have now yielded to a strong new sea - wall balanced by an arm on the opposite side of the cove , and we do not doubt that the fishermen sleep more soundly in their beds on stormy nights . '' ( Arthur Mee : Cornwall ; The King 's England ; London : Hodder &amp; Stoughton , 1937 , p. 184 . ) The village centre dates from the 18th and 19th centuries , from a time when its prosperity was tied to local coastal freight and fishing . The port handled cargoes of coal , wood , stone , ores , limestone , salt , pottery and heavy goods which were conveyed along its narrow streets . Small coastal sailing vessels were built below Roscarrock Hill . The pilchard fishery began here before the 16th century and in 1850 there were 49 registered fishing boats and four fish cellars . Fishermen still work from the Platt , landing their catches of fish , crab and lobsters . The historic core of the village was designated a Conservation Area in 1971 and North Cornwall District Council reviewed this in 2008 with the endorsement of detailed Port Isaac Conservation Area Appraisal document and a related Conservation Area Management Plan . The village has around 90 Listed buildings ( all Grade II ) .   Lifeboat ( edit )   The Port Isaac lifeboat station was established in 1869 following the delivery of two lifeboats , Richard and Sarah . The former boathouse building was until recently the Post Office but is now a gift shop . In the early 1960s the Royal National Lifeboat Institution introduced the Inshore Lifeboat , and in 1967 the Port Isaac Station reopened with a new class D inshore lifeboat . Since that time , the lifeboat has responded to more than 623 calls , saving more than 333 lives . Today , Port Isaac 's crew and shore helpers man the station 24 hours a day , 365 days a year , providing full coverage of part of the north coast of Cornwall . The current lifeboat is called ' Copeland Bell ' .   In July 2012 , the crew of the lifeboat received medals for gallantry following a dangerous rescue . This was only the second time in RNLI history that the entire crew of a D class , inflatable , lifeboat have received gallantry medals . It was the first time a silver medal had been awarded to a member of a Port Isaac crew since 1870 .   Transport ( edit )   Until the closure of the Okehampton to Wadebridge railway line in 1966 the village was served by a station at Port Isaac Road . The station , some three miles ( five kilometres ) inland from Port Isaac , opened on 1 June 1895 , and had a passing loop and a single siding with headshunt that served a goods shed and loading dock . All its buildings were built of local stone : station building and signal box locking room on the up platform , the small waiting shelter on the down platform , and the goods shed . Ticket sales were low , 4,500 annually in 1928 , dropping to less than 2,000 in 1936 ; freight dropped in a similar way over the same period . The station layout did not change until the station siding was taken out of use in December 1965 . The station was unstaffed from 6 December 1965 and closed on 3 October 1966 . The station buildings and goods shed survive largely unchanged .   There are two large car parks on the outskirts of the village .   The village is served by Western Greyhound 's 584 bus service from Wadebridge to Camelford which runs five times daily in each direction , except for Sundays . A summer Sunday service provides up to four return journeys .   Newquay Cornwall Airport , located in Newquay , is the closest airport to the village .   Places of worship ( edit )   The church of St Peter was built as a chapel - of - ease in the parish of St Endellion in 1882 -- 84 ; Port Isaac became a separate parish in 1913 , though more recently it has returned to St Endellion parish . The church is built of granite and stone and the style adopted was Early English .  A former Methodist chapel converted into a pottery and art gallery  The village has had three Nonconformist places of worship : the oldest was a Quaker meeting house , 1806 ; from 1832 it was used by the Baptists but was converted to a dwelling house in 1871 . The United Methodist chapel ( 1846 ) and the Wesleyan Methodist chapel are both now closed . The nearest Roman Catholic church is in Tintagel .   Film location ( edit )  View of Doc Martin 's fictional home , which is actually `` Fern Cottage '' shown in the centre of the picture  Locations in and around the village have been used for a number of films and television series , including :    Poldark ( 1975 -- 77 ) , a BBC television series , used locations in the area .   Tarry - Dan Tarry - Dan Scarey Old Spooky Man ( 1978 ) , BBC supernatural play .   The Nightmare Man ( 1981 ) , BBC drama serial , filmed in and around the village -- which doubled for a Scottish island .   Oscar and Lucinda ( 1997 ) , film .   Saving Grace ( 2000 ) , a comedy film , was filmed in and around the village .   DIY SOS ( 2001 ) , featured the village hall being decorated .   Doc Martin ( 2004 -- present ) , ITV series , seven series filmed in the port ( using the fictional name of `` Portwenn '' ; also used in the Sky Pictures movies Doc Martin and Doc Martin and the Legend of the Cloutie under its true name , `` Port Isaac '' ) .   The Shell Seekers ( 2005 ) , a television production with Vanessa Redgrave , where the village was used as the backdrop and many scenes were shot in the main street .    References ( edit )    Jump up ^ Place - names in the Standard Written Form ( SWF ) : List of place - names agreed by the MAGA Signage Panel . Cornish Language Partnership .   Jump up ^ `` Must see fishing villages in Cornwall '' . Travel Daily News . Retrieved 13 May 2015 .   Jump up ^ Clegg , David ( 2005 ) Cornwall &amp; the Isles of Scilly . Leicester : Matador ; pp. 63 -- 64   Jump up ^ British Listed Buildings -- Endellion Parish   Jump up ^ -- Port Isaac office website   Jump up ^ RNLI Website -- RNLI Press release   Jump up ^ `` Port Isaac article in Genuki '' . Genuki . Retrieved 7 May 2010 .    External links ( edit )       Wikimedia Commons has media related to Port Isaac .      Port Isaac website   Information on Port Isaac lifeboat station              Ceremonial county of Cornwall     Cornwall Portal     Unitary authorities     Cornwall Council   Council of the Isles of Scilly       Major settlements     Bodmin   Bude   Callington   Camborne   Camelford   Falmouth   Fowey   Hayle   Helston   Launceston   Liskeard   Looe   Lostwithiel   Marazion   Newlyn   Newquay   Padstow   Par   Penryn   Penzance   Porthleven   Redruth   Saltash   St Austell   St Blazey   St Columb Major   St Ives   St Just in Penwith   St Mawes   Stratton   Torpoint   Truro   Wadebridge See also : List of civil parishes in Cornwall       Rivers     Allen   Camel   Cober   De Lank   Fal   Fowey   Gannel   Gover   Hayle   Helford   Inny   Kensey   Lerryn   Looe   Lynher   Menalhyl   Ottery   Par   Pont Pill   Port Navas   Red   Seaton   St Austell   Tamar   Tiddy   Truro   Valency   full list ...       Topics     History   Status debate   Flag   Culture   Economy   Places   Population of major settlements   Demography   Notable people   The Duchy   Diocese   Politics   Schools   Hundreds / shires   Places of interest   full list ...            History of fishing        History     History of fishing   Ancient Hawaiian aquaculture   Chasse - marée   Fishing in Cornwall   Fishery Protection Squadron   Fishing stage   Garum   Harold Innis and the cod fishery   Migratory Fishery of Labrador   Munster pilchard fishery 1570 -- 1750   Pearling in Western Australia   S'Argamassa Roman fish farm   Scania Market   Scottish east coast fishery   Traditional fishing boat         Conflicts     Bering Sea Arbitration   Cod Wars   Crab Wars   Lobster War   Newlyn riots   Oyster Wars   Shetland bus   Turbot War       Disasters and memorials     1959 Escuminac disaster   2004 Morecambe Bay cockling disaster   Eyemouth disaster   Moray Firth fishing disaster   Steveston Fisherman 's Memorial   Stotfield fishing disaster                ( hide ) Historic fishing villages and communities        Fishing villages     Akwidaa   Algajola   Ardglass   Bermeo   Bethsaida   Bolungarvík   Cadgwith   Catalan Bay   Chorkor   Ciboure   Clovelly   Cullercoats   Dunmore East   Ea   Elantxobe   Findon   Getaria   Gilleleje   Grip   Guéthary   Gümüşlük   Hondarribia   Hovden   Huanchaco   Kaunolu Village   Ladner   Lamorna   Lekeitio   Marsaxlokk   Moskenes   Mundaka   Mutriku   Newhaven   Nyksund   Old Perlican   Ondarroa   Ona   Orio   Pasaia   Peggys Cove   Pittenweem   Plentzia   Po Toi O   Polperro   Port Isaac   Portavogie   Portmahomack   Portofino   Red Bay   Reine   Sa Riera   St Abbs   Saint - Jean - de-Luz   Saint Malo   Sayulita   Sigri   Staithes   Steveston   Súðavík   Suðureyri   Tai O   Tilting   Trinity   Udappu   Vernazza   Walraversijde   Zumaia   more ...         Communities     Atlit Yam   Bhoi   Hạ Long Bay   Lofoten   Makassan   Newfoundland outports   Póvoa de Varzim   Sørvágur   Tlingit   Uros   Vezo   more ...         List of fishing villages   Glossary   Index   Outline            Retrieved from `` https://en.wikipedia.org/w/index.php?title=Port_Isaac&amp;oldid=800079636 '' Categories :   Villages in Cornwall   Fishing communities in England   Fishing villages   Populated coastal places in Cornwall   Hidden categories :   EngvarB from June 2016   Use dmy dates from June 2016   Articles containing Cornish - language text   Pages using deprecated image syntax   Articles with OS grid coordinates   Coordinates on Wikidata   All articles with unsourced statements   Articles with unsourced statements from September 2016           Talk                                           Contents                   About Wikipedia                                                   Cymraeg   Deutsch   Eesti   Italiano   עברית   ქართული   Latina   Polski   Edit links   This page was last edited on 11 September 2017 , at 11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</si>
  <si>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dr martin filmed in the uk</t>
  </si>
  <si>
    <t xml:space="preserve"> Since the 1980s the village has served as backdrop to various television productions , including the ITV series Doc Martin , and is home to the group Fisherman 's Friends , sea - shanty singers . </t>
  </si>
  <si>
    <t xml:space="preserve">I Hold on - wikipedia  I Hold on  Jump to : navigation , search    `` I Hold On ''         Single by Dierks Bentley     from the album Riser     Released   August 26 , 2013 ( 2013 - 08 - 26 )     Format   Digital download     Recorded   2013     Genre   Country     Length     4 : 39 ( album version )   3 : 46 ( radio edit )       Label   Capitol Nashville     Songwriter ( s )     Brett James   Dierks Bentley       Producer ( s )   Ross Copperman     Dierks Bentley singles chronology        `` Bourbon in Kentucky '' ( 2013 )   `` I Hold On '' ( 2013 )   `` Drunk on a Plane '' ( 2014 )           `` Bourbon in Kentucky '' ( 2013 )   `` I Hold On '' ( 2013 )   `` Drunk on a Plane '' ( 2014 )        `` I Hold On '' is a song recorded by American country music artist Dierks Bentley . It was released in August 2013 as the second single from his seventh studio album , Riser . Bentley wrote the song with Brett James .     Contents  ( hide )   1 Content   2 Critical reception   3 Live performances   4 Music video   5 Commercial performance   6 Charts and certifications   6.1 Weekly charts   6.2 Year - end charts   6.3 Certifications     7 References      Content ( edit )   The song describes the singer staying true to what he enjoys and is comfortable with , including an old truck , an old guitar , and his lover . The truck and guitar referenced are still used by Bentley today . In his Sounds Of Summer tour , he played his old guitar that has a hole in it . Part of the video in the background while he played the song showed his 1994 Chevy Silverado that he and his late father drove to Nashville .   Critical reception ( edit )   Billy Dukes of Taste of Country gave the song three out of five , writing that `` one senses him trying to do something new , something totally unique , but still not quite wanting to give up the sound and style his longtime fans appreciate . '' Dukes stated that `` lyrically , he starts strong , but levels off , relying more on attitude than substance by the midway point . '' Matt Bjorke of Roughstock gave the song four stars out of five , saying that `` with low booming bass lines and a percussive arena - rock melody backing up Dierks Bentley 's lyrics , ' I Hold On ' is the kind of song that showcases Dierks Bentley in a new way . '' Bjorke called it `` a strong lyrical song , a song which showcases the artistry of Dierks Bentley that sometimes gets dismissed when he 's chasing radio airplay but is held up when he records and release stuff that does n't . ''   Live performances ( edit )   Bentley debuted the song when he co-hosted The View on July 26 , 2013 . He also performed it on the season finale of America 's Got Talent on September 18 , 2013 . On January 3 , 2014 , he also performed during halftime of the 2014 Orange Bowl .   Music video ( edit )   A live music video was directed by Ryan Silver and premiered in August 2013 . The official music video was directed by Wes Edwards and premiered in October 2013 .   Commercial Performance ( edit )   `` I Hold On '' debuted at number 59 on the U.S. Billboard Country Airplay chart for the week of September 7 , 2013 . It also debuted at number 35 on the U.S. Billboard Hot Country Songs chart and at number 84 on the Canadian Hot 100 chart for the week of September 14 , 2013 . It also debuted at number 100 on the U.S. Billboard Hot 100 chart for the week of January 4 , 2014 . The song was certified Gold by the RIAA on April 28 , 2014 , and Platinum on November 24 , 2014 . As of early May 2014 , the song has sold 610,000 copies in the United States .   Charts and certifications ( edit )      Weekly charts ( edit )     Chart ( 2013 -- 14 )   Peak position     Canada ( Canadian Hot 100 )   44     Canada Country ( Billboard )       US Billboard Hot 100   40     US Country Airplay ( Billboard )       US Hot Country Songs ( Billboard )       Year - end charts ( edit )     Chart ( 2014 )   Position     US Country Airplay ( Billboard )   41     US Hot Country Songs ( Billboard )   45       Certifications ( edit )     Region   Certification   Certified units / Sales     United States ( RIAA )   Platinum   610,000      sales figures based on certification alone shipments figures based on certification alone           Preceded by `` Helluva Life '' by Frankie Ballard   Billboard Country Airplay number - one single April 5 , 2014   Succeeded by `` Doin ' What She Likes '' by Blake Shelton     References ( edit )    Jump up ^ Wyland , Sarah ( August 14 , 2013 ) . `` Dierks Bentley Releases `` I Hold On '' as New Single `` . Great American Country . Retrieved October 23 , 2013 .   Jump up ^ Whitaker , Sterling ( August 13 , 2013 ) . `` Dierks Bentley Releases New Single , ' I Hold On ' '' . The Boot . Retrieved October 23 , 2013 .   Jump up ^ Dukes , Billy ( August 13 , 2013 ) . `` Dierks Bentley , ' I Hold On ' -- Song Review '' . Taste of Country . Retrieved October 23 , 2013 .   Jump up ^ Bjorke , Matt ( August 12 , 2012 ) . `` Single Review : Dierks Bentley - I Hold On '' . Roughstock . Retrieved October 23 , 2013 .   Jump up ^ Vinson , Christina ( July 28 , 2013 ) . `` Dierks Bentley Debuts New Song ' I Hold On ' on ' The View ' '' . Taste of Country . Retrieved October 23 , 2013 .   Jump up ^ Sciarretto , Amy ( September 18 , 2013 ) . `` Dierks Bentley to Perform ' I Hold On ' on ' America 's Got Talent ' Finale '' . Taste of Country . Retrieved October 23 , 2013 .   Jump up ^ `` CMT : Videos : Dierks Bentley : I Hold On ( Tour Performance ) '' . Country Music Television . Retrieved October 23 , 2013 .   Jump up ^ `` CMT : Videos : Dierks Bentley : I Hold On '' . Country Music Television . Retrieved November 2 , 2013 .   Jump up ^ Morris , Edward ( August 31 , 2013 ) . `` Luke Bryan 's Crash My Party Still Commands the Album Charts '' . Country Music Television . Retrieved October 23 , 2013 .   ^ Jump up to : `` American single certifications -- Dierks Bentley -- I Hold On '' . Recording Industry Association of America . If necessary , click Advanced , then click Format , then select Single , then click SEARCH Cite error : Invalid  tag ; name `` United_StatesDierks_BentleyI_Hold_OnsingleCertRef '' defined multiple times with different content ( see the help page ) .   ^ Jump up to : Bjorke , Matt ( May 8 , 2014 ) . `` Country Chart News - The Top 30 Digital Singles - May 8 , 2014 : Brantley Gilbert 's Guns N Roses Debut '' . Roughstock . Archived from the original on May 9 , 2014 . Retrieved May 8 , 2014 .   Jump up ^ `` Dierks Bentley -- Chart history '' Canadian Hot 100 for Dierks Bentley .   Jump up ^ `` Dierks Bentley -- Chart history '' Billboard Canada Country for Dierks Bentley .   Jump up ^ `` Dierks Bentley -- Chart history '' Billboard Hot 100 for Dierks Bentley .   Jump up ^ `` Dierks Bentley -- Chart history '' Billboard Country Airplay for Dierks Bentley .   Jump up ^ `` Dierks Bentley -- Chart history '' Billboard Hot Country Songs for Dierks Bentley .   Jump up ^ `` Best of 2014 : Country Airplay '' . Billboard . Prometheus Global Media . 2014 . Retrieved December 9 , 2014 .   Jump up ^ `` Best of 2014 : Hot Country Songs '' . Billboard . Prometheus Global Media . 2014 . Retrieved December 9 , 2014 .      ( hide )         Dierks Bentley     Studio albums     Do n't Leave Me in Love   Dierks Bentley   Modern Day Drifter   Long Trip Alone   Feel That Fire   Up on the Ridge   Home   Riser   Black       Compilation albums     Greatest Hits / Every Mile a Memory 2003 -- 2008       Singles     `` What Was I Thinkin ' ''   `` My Last Name ''   `` How Am I Doin ' ''   `` Lot of Leavin ' Left to Do ''   `` Come a Little Closer ''   `` Settle for a Slowdown ''   `` Every Mile a Memory ''   `` Long Trip Alone ''   `` Free and Easy ( Down the Road I Go ) ''   `` Trying to Stop Your Leaving ''   `` Feel That Fire ''   `` Sideways ''   `` I Wanna Make You Close Your Eyes ''   `` Up on the Ridge ''   `` Draw Me a Map ''   `` Am I the Only One ''   `` Home ''   `` 5 - 1 - 5 - 0 ''   `` Tip It On Back ''   `` Bourbon in Kentucky ''   `` I Hold On ''   `` Drunk on a Plane ''   `` Say You Do ''   `` Riser ''   `` Somewhere on a Beach ''   `` Different for Girls '' ( feat . Elle King )   `` Black ''   `` What the Hell Did I Say ''       Featured singles     `` The South '' ( w / The Cadillac Three , Florida Georgia Line and Mike Eli )       Concert tours     Riser Tour   Sounds of Summer Tour   Somewhere on a Beach Tour       Related articles     Discography   `` Murder on Music Row '' ( w / George Jones )   `` Flatliner '' ( w / Cole Swindell )      Retrieved from `` https://en.wikipedia.org/w/index.php?title=I_Hold_On&amp;oldid=774409305 '' Categories :   2013 songs   2013 singles   Dierks Bentley songs   Capitol Records Nashville singles   Songs written by Brett James   Songs written by Dierks Bentley   Music videos directed by Wes Edwards   Billboard Country Airplay number - one singles   Hidden categories :   Pages with reference errors   Pages with duplicate reference names   Articles with hAudio microformats   Singlechart usages for Canada   Singlechart called without song   Singlechart usages for Billboardcanadacountry   Singlechart usages for Billboardhot100   Singlechart usages for Billboardcountryairplay   Singlechart usages for Billboardcountrysongs   Certification Table Entry usages for United States           Talk                                           Contents                   About Wikipedia                                           Italiano   Edit links   This page was last edited on 8 April 2017 , at 07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</si>
  <si>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i hold on by dierks bentley</t>
  </si>
  <si>
    <t xml:space="preserve"> `` I Hold On '' is a song recorded by American country music artist Dierks Bentley . It was released in August 2013 as the second single from his seventh studio album , Riser . Bentley wrote the song with Brett James . </t>
  </si>
  <si>
    <t xml:space="preserve">Journey to the Center of the Earth - wikipedia  Journey to the Center of the Earth  Jump to : navigation , search For other uses , see Journey to the Centre of the Earth ( disambiguation ) .  Journey to the Center of the Earth   Book cover made in 1874     Author   Jules Verne     Original title   Voyage au centre de la Terre     Illustrator   Édouard Riou     Cover artist   Édouard Riou     Country   France     Language   French     Series   The Extraordinary Voyages # 3     Genre   Science fiction , adventure novel     Publisher   Pierre - Jules Hetzel     Publication date   1864     Published in English   1871     Media type   Print ( Hardback )     Pages   183     ISBN   0486440885     Preceded by   The Adventures of Captain Hatteras     Followed by   From the Earth to the Moon     Journey to the Center of the Earth ( French : Voyage au centre de la Terre , also translated under the titles A Journey to the Centre of the Earth and A Journey to the Interior of the Earth ) is an 1864 science fiction novel by Jules Verne . The story involves German professor Otto Lidenbrock who believes there are volcanic tubes going toward the centre of the Earth . He , his nephew Axel , and their guide Hans descend into the Icelandic volcano Snæfellsjökull , encountering many adventures , including prehistoric animals and natural hazards , before eventually coming to the surface again in southern Italy , at the Stromboli volcano .   The genre of subterranean fiction already existed long before Verne . However , the present book considerably added to its popularity and influenced later such writings . For example , Edgar Rice Burroughs explicitly acknowledged Verne 's influence on his own Pellucidar series .     Contents  ( hide )   1 Plot   2 Inspiration   3 Main characters   4 Prehistoric animals featured   5 Notes   6 Adaptations   6.1 Film   6.2 Television   6.3 Radio   6.4 Theatre   6.5 Theme park ( themed areas ) and rides   6.6 Other     7 See also   8 References   9 Further reading   10 External links      Plot ( edit )   The story begins in May 1863 , in the Lidenbrock house in Hamburg , Germany , with Professor Lidenbrock rushing home to peruse his latest purchase , an original runic manuscript of an Icelandic saga written by Snorri Sturluson ( Snorre Tarleson in some versions of the story ) , `` Heimskringla '' ; the chronicle of the Norwegian kings who ruled over Iceland . While looking through the book , Lidenbrock and his nephew Axel find a coded note written in runic script along with the name of a 16th - century Icelandic alchemist , Arne Saknussemm . ( This was a first indication of Verne 's love for cryptography . Coded , cryptic , or incomplete messages as a plot device would continue to appear in many of his works and in each case Verne would go a long way to explain not only the code used but also the mechanisms used to retrieve the original text . ) Lidenbrock and Axel transliterate the runic characters into Latin letters , revealing a message written in a seemingly bizarre code . Lidenbrock attempts a decipherment , deducing the message to be a kind of transposition cipher ; but his results are as meaningless as the original .   Professor Lidenbrock decides to lock everyone in the house and force himself and the others ( Axel , and the maid , Martha ) to go without food until he cracks the code . Axel discovers the answer when fanning himself with the deciphered text : Lidenbrock 's decipherment was correct , and only needs to be read backwards to reveal sentences written in rough Latin . Axel decides to keep the secret hidden from Professor Lidenbrock , afraid of what the Professor might do with the knowledge , but after two days without food he can not stand the hunger and reveals the secret to his uncle . Lidenbrock translates the note , which is revealed to be a medieval note written by the ( fictional ) Icelandic alchemist Arne Saknussemm , who claims to have discovered a passage to the centre of the Earth via Snæfell in Iceland . In what Axel calls bad Latin , the deciphered message reads :  The Runic cryptogram  In Snefflls ( sic ) Iokulis kraterem kem delibat umbra Skartaris Iulii intra kalendas deskende , audas uiator , te ( sic ) terrestre kentrum attinges . Kod feki . Arne Saknussemm .   In slightly better Latin , with errors amended :   In Sneffels Jokulis craterem , quem delibat umbra Scartaris , Julii intra kalendas descende , audax viator , et terrestre centrum attinges ; quod feci . Arne Saknussemm   which , when translated into English , reads :   Descend , bold traveller , into the crater of the jökull of Snæfell , which the shadow of Scartaris touches ( lit : tastes ) before the Kalends of July , and you will attain the centre of the earth . I did it . Arne Saknussemm  Snæfellsjökull .  Professor Lidenbrock is a man of astonishing impatience , and departs for Iceland immediately , taking his reluctant nephew with him . Axel , who , in comparison , is cowardly and anti-adventurous , repeatedly tries to reason with him , explaining his fears of descending into a volcano and putting forward various scientific theories as to why the journey is impossible , but Professor Lidenbrock repeatedly keeps himself blinded against Axel 's point of view . After a rapid journey via Kiel and Copenhagen , they arrive in Reykjavík , where the two procure the services of Hans Bjelke ( a Danish - speaking Icelander eiderdown hunter ) as their guide , and travel overland to the base of the volcano .   In late June , they reach the volcano , which has three craters . According to Saknussemm 's message , the passage to the center of the Earth is through the one crater that is touched by the shadow of a nearby mountain peak at noon . However , the text also states that this is only true during the last days of June . During the next few days , with July rapidly approaching , the weather is too cloudy for any shadows . Axel silently rejoices , hoping this will force his uncle -- who has repeatedly tried to impart courage to him only to succeed in making him even more cowardly still -- to give up the project and return home . Alas for Axel , however , on the second to last day , the sun comes out and the mountain peak shows the correct crater to take .   After descending into the crater , the three travellers set off into the bowels of the Earth , encountering many strange phenomena and great dangers , including a chamber filled with firedamp , and steep - sided wells around the `` path '' . After taking a wrong turn , they run out of water and Axel almost dies , but Hans taps into a neighbouring subterranean river . Lidenbrock and Axel name the resulting stream the `` Hansbach '' in his honour and the three are saved . At another point , Axel becomes separated from the others and is lost several miles from them . Luckily , a strange acoustic phenomenon allows him to communicate with them from some miles away , and they are soon reunited .   After descending many miles , following the course of the Hansbach , they reach an unimaginably vast cavern . This underground world is lit by electrically charged gas at the ceiling , and is filled with a very deep subterranean ocean , surrounded by a rocky coastline covered in petrified trees and giant mushrooms . The travelers build a raft out of trees and set sail . The Professor names this sea the `` Lidenbrock Sea '' and the port as `` Port Gräuben '' , after the name of his goddaughter . While on the water , they see several prehistoric creatures such as a giant Ichthyosaurus , which fights with a Plesiosaurus and wins . After the battle between the monsters , the party comes across an island with a huge geyser , which Lidenbrock names `` Axel Island '' .   A lightning storm again threatens to destroy the raft and its passengers , but instead throws them onto the coastline . This part of the coast , Axel discovers , is alive with prehistoric plant and animal life forms , including giant insects and a herd of mastodons . On a beach covered with bones , Axel discovers an oversized human skull . Axel and Lidenbrock venture some way into the prehistoric forest , where Professor Lidenbrock points out , in a shaky voice , a prehistoric human , more than twelve feet in height , leaning against a tree and watching a herd of mastodons . Axel can not be sure if he has really seen the man or not , and he and Professor Lidenbrock debate whether or not a proto - human civilization actually exists so far underground . The three wonder if the creature is a man - like ape , or an ape - like man . The sighting of the creature is considered the most alarming part of the story , and the explorers decide that it is better not to alert it to their presence as they fear it may be hostile .   The travellers continue to explore the coastline , and find a passageway marked by Saknussemm as the way ahead . However , it is blocked by what appears to be a recent cave - in and two of the three , Hans and the Professor , despair at being unable to hack their way through the granite wall . The adventurers plan to blast the rock with gun cotton and paddle out to sea to escape the blast . Upon executing the plan , however , they discover that behind the rockfall was a seemingly bottomless pit , not a passage to the center of the earth . The travellers are swept away as the sea rushes into the large open gap in the ground . After spending hours being swept along at lightning speeds by the water , the raft ends up inside a large volcanic chimney filling with water and magma . Terrified , the three are rushed upwards , through stifling heat , and are ejected onto the surface from a side - vent of a stratovolcano . When they regain consciousness , they discover that they have been ejected from Stromboli , a volcanic island located in southern Italy . They return to Hamburg to great acclaim -- Professor Lidenbrock is hailed as one of the great scientists of history , Axel marries his sweetheart Gräuben , and Hans eventually returns to his peaceful life in Iceland . The Professor has some regret that their journey was cut short .   At the very end of the book , Axel and Lidenbrock realize why their compass was behaving strangely after their journey on the raft . They realize that the needle was pointing the wrong way after being struck by an electric fireball which nearly destroyed the wooden raft .   Inspiration ( edit )   The book was inspired by Charles Lyell 's Geological Evidences of the Antiquity of Man of 1863 ( and probably also influenced by Lyell 's earlier ground - breaking work Principles of Geology , published 1830 -- 33 ) . By that time geologists had abandoned a literal biblical account of Earth 's development and it was generally thought that the end of the last glacial period marked the first appearance of humanity , but Lyell drew on new findings to put the origin of human beings much further back in the deep geological past . Lyell 's book also influenced Louis Figuier 's 1867 second edition of La Terre avant le déluge ( `` The Earth before the flood '' ) which included dramatic illustrations of savage men and women wearing animal skins and wielding stone axes , in place of the Garden of Eden shown in the 1863 edition .   It is noteworthy that at the time of writing Verne had no hesitation with having sympathetic German protagonists with whom the reader could identify . Verne 's attitude to Germans would drastically change in the aftermath of the 1871 Franco - Prussian War . After 1871 , The sympathetic if eccentric Professor Otto Lidenbrock would be replaced in Verne 's fiction by the utterly evil and demonic Professor Schultze of The Begum 's Fortune .   Main characters ( edit )    Professor Otto Lidenbrock : a man of science   Axel : the nephew of Professor Lidenbrock , overcautious and unadventurous student .   Hans Bjelke : a Danish - speaking Icelandic eiderduck hunter who becomes their guide ; dependable , resourceful and imperturbable .   Gräuben : the goddaughter of Professor Lidenbrock with whom Axel is in love , from the Vierlande area of Hamburg .   Martha : the maid at the house of Professor Lidenbrock .    Prehistoric animals featured ( edit )    Pterichthys   Dipterides -- A two - finned fish   Leptotherium -- A gazelle - like creature   Merycotherium -- A cattle - like creature   Anoplotherium   Mastodon   Megatherium   Unidentified Pterosaur ( probably Pterodactylus )   Unknown species of giant bird , probably a Teratorn   Ichthyosaurus   Plesiosaurus    Notes ( edit )   The first English edition was published in its entirety by Henry Vickers in 12 installments of a Boys magazine entitled `` The Boys Journal '' . The plates are more numerous than the book form which was published with an 1872 title page . If it was released in 1871 as a single volume it was late in the year . This `` True '' first edition also found in an octavo normal book size ( not Annual size ) , has been overlooked by bibliographers . It has a place of pre-eminence up to about a 3rd of the way through the 12 monthly issues and then slides down into the main body of the journal . The Magazine does not seem to have survived in its loose format of 12 individual parts .    The 1871 English language edition published by Griffith and Farran ( named Journey to the Centre of the Earth at Project Gutenberg ) is an abridged and altered translation . It changes the Professor 's name to Hardwigg , Axel 's name to Harry ( or Henry ) Lawson , and Grauben 's name to Gretchen . It omits some chapters , while rewriting or adding portions to others . The redactor 's note by Norm Wolcott , at Project Gutenberg , claims that this translation is the most popularly reprinted one , despite the flaws . The 1877 translation by Ward , Lock , &amp; Co. , Ltd. , translated by Frederick Amadeus Malleson , is more faithful , though it too has some slight rewrites ( according to the redactor at its Project Gutenberg page , where its title is translated as Journey to the Interior of the Earth ) .   The 1877 translation by Ward Lock &amp; Co Ltd. , translated by Frederick Amadeus Malleson was adapted by AD Classic Books ' 2008 edition of Journey to the Center of the Earth . In this edit by A.R. Roumanis , antiquated writing and out of date sayings were replaced which makes this the most modernized version available .   The novel frequently uses the device of the Professor explaining or arguing scientific matters with Axel , in order to communicate scientific facts on which the world - view is based . In the midst of their descent , this role reverses at one point , as Axel points out strata to the Professor as another example of the same story - telling method . Many things postulated in the novel are now known to be incorrect , including the temperature of space being minus 40 degrees Fahrenheit , and volcanoes erupting due to a reaction between water and chemicals in the Earth 's crust .    Adaptations ( edit )   Film ( edit )    1959 : Journey to the Center of the Earth , USA , directed by Henry Levin , starring James Mason and Pat Boone . In the film , the character of Axel becomes Alec and is more adventurous than cowardly as he is in the novel . The film introduces two new main characters : a female explorer and a main antagonist .   1978 : Viaje al centro de la Tierra , Spain , directed by Juan Piquer Simón , starring Kenneth More and Pep Munné . It was distributed in Great Britain and the US as Where Time Began .   1989 : Journey to the Center of the Earth took only the title and a general idea from the Verne novel , and had a unique plot aimed at a teen audience . It was written by Debra Ricci , Regina Davis , Kitty Chalmers , and Rusty Lemorande , and was directed by Lemorande and Albert Pyun . It stars Emo Philips , Paul Carafotes , Jaclyn Bernstein , Kathy Ireland , Janet Du Plessis , Nicola Cowper , Lochner De Kock , and Ilan Mitchell - Smith . It was based on an uncompleted version , more faithful to Verne 's text , written and directed by Lemorande , that had been left unfinished because of Cannon Films ' premature closure .   2008 : Journey to the Center of the Earth is a 3 - D film by Eric Brevig . Cast members include Brendan Fraser , Anita Briem and Josh Hutcherson . The film follows as a sequel to the original book .   2008 : Journey to the Center of the Earth -- A direct - to - DVD release by The Asylum , which is a loose adaptation of the original book . It was released as Journey to Middle Earth in the United Kingdom .    Walt Disney Pictures began work on a `` Journey '' in the late 1990s , but was not happy with the appearance of the subterranean caverns , so the project was scrapped and the cavern scenes were altered and used in the production of their 2001 film Atlantis : The Lost Empire .   Television ( edit )    An animated television series , Journey to the Center of the Earth , first broadcast in 1967 on ABC , starring the voices of Ted Knight , Pat Harrington , Jr. , and Jane Webb , only loosely based on Verne 's novel .   A limited animation television special in the Famous Classic Tales series was aired by CBS in 1977 .   In 1993 , NBC aired a made - for - TV film version with a cast including John Neville , F. Murray Abraham and Kim Miyori . The film used the title and general premise of Verne 's novel , but had its heroes carry out the journey in an earth - penetrating machine . A television series was supposed to follow , but was never produced .   The Wishbone 1996 episode `` Hot Diggety Dawg '' was based on the novel , featuring several major scenes starring the title character as Professor Lidenbrock .   The 1999 Hallmark Entertainment movie starred Treat Williams , Jeremy London , Bryan Brown , Tushka Bergen , and Hugh Keays - Byrne ( this version deviates considerably from Verne 's original ) .   A TV film version by RHI Entertainment starring Rick Schroder , Peter Fonda , Victoria Pratt , Steven Grayhm and Mike Dopud was shot on location in and around Vancouver on high definition video during the summer of 2007 . The show aired on February 4 , 2008 and been released on DVD . Victoria Pratt and Peter Fonda 's characters were added to the original story .    Radio ( edit )    A 7 - part radio serial was broadcast on the BBC Home Service in 1962 . It was produced by Claire Chovil , and starred Trevor Martin and Nigel Anthony .   An 8 - part radio serial was produced for BBC Radio 4 by Howard Jones in 1963 . It starred Bernard Horsfall and Jeffrey Banks .   A radio drama adaptation was broadcast by National Public Radio in 2000 for its series `` Radio Tales '' .   A 90 - minute radio adaptation by Stephen Walker directed by Owen O'Callan was first broadcast on BBC Radio 4 Extra on 20 November 2011 and re-broadcast on 11 and 12 November 2012 . Nicholas Le Prevost starred as Professor Otto Lidenbrock , Nathaniel Parker as Axel and Oliver Senton as Hans . Rosemary McNab , an original female character who funds and accompanies the expedition ( and has affairs with both Hans and Otto along the way ) , was played by Kristen Millwood .   A two - part BBC Radio 4 adaptation of Journey to the Centre of the Earth was broadcast on 19 and 26 March 2017 , with Stephen Critchlow as Professor Lidenbrock , Joel MacCormack as Axel and Gudmundur Ingi Thorvaldsson as Hans . It was directed and produced by Tracey Neale and adapted by Moya O'Shea .    Theatre ( edit )    A stage version of Journey to the Center of the Earth , written by Gerald Fitzgerald and directed by Steven - Shayle Rhodes , was produced at Pegasus Theatre in Dallas , Texas in 2000 , with substantial changes made to the characters and the plot .   In 2014 , Fitzgerald 's 2 - act script was adapted into a 3 - act melodrama format and presented at the Pocket Sandwich Theatre in Dallas , directed by Joey Dietz .    Theme park ( themed areas ) and rides ( edit )    A thrill ride based on the book , Journey to the Center of the Earth , is open at The Mysterious Island section of Tokyo DisneySea 's theme park . Its also includes a dark ride based on Twenty thousand leagues under the Sea .   Le Visionarium ( Timekeeper ) - featuring Jules Verne in a circle vision ride ( 1992 - 2005 ) and Space Mountain , de la Terre à la Lune , in its original version ( 1995 - 2005 ) , based directly on From the earth to the Moon in Discoveryland ( the hub facing part of the Land features Steampunk related theming ) at Euro Disneyland ( now Disneyland Paris ) between 1992 and 2005 .   A water ride at Water World in Federal Heights , Colorado called ' Voyage to the Center of the Earth ' is loosely based on the book .   A mill chute ride , called ' Journey to the Center of the Earth ' and loosely based on the book , existed at Dorney Park &amp; Wildwater Kingdom from 1960 to 1992 .    Other ( edit )    Video games called Journey to the Center of the Earth : in 1984 by Ozisoft for the Commodore 64 ; in 1989 by Topo Soft for the ZX Spectrum and in 2003 by Frogwares .   A board game adaptation of the book designed by Rüdiger Dorn was released by Kosmos in 2008 .   A concept album called Journey to the Centre of the Earth by Rick Wakeman , was released in 1974 . It combines song , narration and instrumental pieces to retell the story   Rick Wakeman released a second concept album called Return to the Centre of the Earth in 1999 , it tells the story of a later set of travelers attempting to repeat the original journey .     Alien Voices , an audio theater group led by Leonard Nimoy and John de Lancie , released a dramatized version of Journey to the Center of the Earth through Simon and Schuster Audio in 1997 .   Christopher Lloyd 's character of Doctor Emmett Brown , one of the two main fictional characters of the Back To The Future film series , attributed the origins of his lifelong devotion to science to having read as a child the works of Jules Verne in general , and Journey to the Center of the Earth in particular . ( This is evident when he reveals that he tried to dig to the Center of the Earth at the age of twelve . ) Back to the Future Part III , especially , pays homage to Journey of the Center of the Earth where Dr. Brown carves his initials in a mineshaft after storing the time machine , just like Arne Saknussemm did to help guide future explorers . At the end of the film , it is also revealed that Dr. Brown 's two sons are named Jules and Verne .   The first part of the second season of Around the World with Willy Fog by Spanish studio BRB Internacional was `` Journey to the Centre of the Earth '' .   Edgar Rice Burroughs wrote the Pellucidar series using the Journey to the Center of the Earth concept .   The surname of Kathy Ireland 's character in Alien From L.A. ( 1988 ) , a film about a girl who falls through the earth and discovers a repressive subterranean society , is Saknussemm .   The 1992 adventure / role - playing game Quest for Glory III by Sierra Entertainment used Arne Saknoosen the Aardvark as a bit character for exploration information , alluding to the explorer Arne Saknussemm .   The DC Comics comic book series Warlord took place in Skartaris , a land supposed to exist within a Hollow Earth . Its creator , Mike Grell , has confirmed that `` the name comes from the mountain peak Scartaris that points the way to the passage to the earth 's core in Journey to the Center of the Earth . ''   Louis MacNeice 's final play Persons from Porlock contains a reference to Journey to the Center of the Earth at the beginning . Because his mother used to read it aloud to him , Hank became ' completely fascinated ' with ' caves and pot - holes and things ' ( p 111 ) . At the end of the play ' Herr Professor Lidebrock ' is one of the characters Hank meets down the pot hole . Hank says to him , ' Oh , my dear Professor , I 've always wanted to meet you , since my mother used to read me your adventures . How you went down the volcano and ran into all those mastodons . But , of course , in your case you got out again . ' The Professor replies , ' That was because I am a character in fiction . ' He continues , ' Jules Verne invented me ' ( p 141 ) .   Halldór Laxness , the only Icelandic author to be awarded the Nobel Prize , situated his novel Under the Glacier in the area of Snæfellsjökull . The glacier has a mystic quality in the story and there are several references to A Journey to the Center of the Earth in connection with it .   In the Exile computer game series and its remake , the Avernum series , the player 's party is exiled to a vast underground cavern similar to the one described in A Journey to the Center of the Earth . It also contains a subterranean ocean and networks of tunnels , but it is lit by bioluminescent mushrooms rather than an electric phenomenon . One of the goals of several of the games is to escape from the cavern .    See also ( edit )    Subterranean fiction   Pellucidar   Spartakus and the Sun Beneath the Sea    References ( edit )    Jump up ^ To produce the cipher , the text is written backwards , and then each letter and punctuation mark is placed in a separate cell of a 7x3 matrix , going row by row . When each cell is filled with the first 21 letters , the 22nd letter is placed in the first cell , and so again through the matrix repeatedly until the message is complete . To decipher , one copies out the first letter of each cell , then the second , and so forth , and finally the resulting message is read backwards .   Jump up ^ Criticism : Browne , E. Janet ( 2002 ) , Charles Darwin : vol. 2 The Power of Place , London : Jonathan Cape , pp. 130 , 218 , 515 , ISBN 0 - 7126 - 6837 - 3   Jump up ^ The Boys Journal . Published By Henry Vickers , London . 1870   Jump up ^ `` Journey to the Center of the Earth '' . IMDb . IMDb.com , Inc . Retrieved 18 February 2014 .   Jump up ^ `` Journey to the Center of the Earth '' . IMDb . IMDb.com , Inc . Retrieved 18 February 2014 .   Jump up ^ `` A Journey to the Centre of the Earth '' . BBC Genome . BBC . Retrieved 10 April 2017 .   Jump up ^ `` Jules Verne - Journey to the Centre of the Earth '' , BBC Radio 4 , 20 Nov 2011 .   Jump up ^ ( 1 ) `` Radio 4 relevant page ''   Jump up ^ World of Spectrum   Jump up ^ Moby Games   Jump up ^ Board Game Geek   Jump up ^ Brian Cronin , 2006 , `` Comic Book Urban Legends Revealed # 54 ! '' ( archive )   Jump up ^ Louis MacNeice , Persons from Porlock , London : BBC , 1969 .    Further reading ( edit )    Debus , Allen ( July 2007 ) . `` Re-Framing the Science in Jules Verne 's Journey to the Center of the Earth '' . Science Fiction Studies . 33 ( 3 ) : 405 -- 20 . JSTOR 4241461 ...    External links ( edit )       Wikisource has original text related to this article : Journey into the Interior of the Earth         French Wikisource has original text related to this article : Voyage au centre de la Terre         Wikimedia Commons has media related to Journey to the Center of the Earth .      A Journey to the Centre of the Earth ( Griffith and Farran , 1871 ) entire early English translation .   Journey to the Centre of the Earth and PDF Full text of the Oxford University Press translation , with introduction , notes and appendices . Most modern translation available online .   Journey into the Interior of the Earth ( Malleson , trans. ; Ward , Lock &amp; Co. , 1877 ) from JV.Gilead.org.il   A Journey to the Interior of the Earth ( Malleson , trans. ; Ward , Lock &amp; Co. , 1877 ) -- in easy to read HTML format .     A Journey to the Interior of the Earth at Project Gutenberg ( English )   Journey to the Interior of the Earth public domain audiobook at LibriVox   Free Audio Book of `` Journey to the Center of the Earth '' from The Drama Pod   Journey to the Center of the Earth -- Classics Illustrated comic book              Jules Verne 's Journey to the Center of the Earth     Films     1959 film   1978 film   1989 film   2008 TV film   2008 Asylum film   2008 theatrical film       Other     1967 series   1999 miniseries   1974 album   2008 video game   Journey 2 : The Mysterious Island   Journey Through the Impossible                 Works by Jules Verne     Voyages extraordinaires     Five Weeks in a Balloon ( 1863 )   Journey to the Center of the Earth ( 1864 )   From the Earth to the Moon ( 1865 )   The Adventures of Captain Hatteras ( 1866 )   In Search of the Castaways ( 1867 -- 68 )   Twenty Thousand Leagues Under the Sea ( 1869 -- 70 )   Around the Moon ( 1870 )   A Floating City ( 1871 )   The Adventures of Three Englishmen and Three Russians in South Africa ( 1872 )   The Fur Country ( 1873 )   Around the World in Eighty Days ( 1873 )   The Mysterious Island ( 1874 -- 75 )   The Survivors of the Chancellor ( 1875 )   Michael Strogoff ( 1876 )   Off on a Comet ( 1877 )   The Child of the Cavern ( 1877 )   Dick Sand , A Captain at Fifteen ( 1878 )   The Begum 's Fortune ( 1879 )   Tribulations of a Chinaman in China ( 1879 )   The Steam House ( 1880 )   Eight Hundred Leagues on the Amazon ( 1881 )   Godfrey Morgan ( 1882 )   The Green Ray ( 1882 )   Kéraban the Inflexible ( 1883 )   The Vanished Diamond ( 1884 )   The Archipelago on Fire ( 1884 )   Mathias Sandorf ( 1885 )   The Lottery Ticket ( 1886 )   Robur the Conqueror ( 1886 )   North Against South ( 1887 )   The Flight to France ( 1887 )   Two Years ' Vacation ( 1888 )   Family Without a Name ( 1889 )   The Purchase of the North Pole ( 1889 )   César Cascabel ( 1890 )   Mistress Branican ( 1891 )   The Carpathian Castle ( 1892 )   Claudius Bombarnac ( 1892 )   Foundling Mick ( 1893 )   Captain Antifer ( 1894 )   Propeller Island ( 1895 )   Facing the Flag ( 1896 )   Clovis Dardentor ( 1896 )   An Antarctic Mystery ( 1897 )   The Mighty Orinoco ( 1898 )   The Will of an Eccentric ( 1899 )   The Castaways of the Flag ( 1900 )   The Village in the Treetops ( 1901 )   The Sea Serpent ( 1901 )   The Kip Brothers ( 1902 )   Travel Scholarships ( 1903 )   A Drama in Livonia ( 1904 )   Master of the World ( 1904 )   Invasion of the Sea ( 1905 )       Other works      Novels     The Waif of the Cynthia ( 1885 )   The Lighthouse at the End of the World ( 1905 )   The Golden Volcano ( 1906 )   The Chase of the Golden Meteor ( 1908 )   The Danube Pilot ( 1908 )   The Survivors of the `` Jonathan '' ( 1909 )   The Secret of Wilhelm Storitz ( 1910 )   The Barsac Mission ( 1919 )   Backwards to Britain ( 1989 , written 1859 )   Paris in the Twentieth Century ( 1994 , written 1863 )       Collections     Doctor Ox ( 1874 )   Yesterday and Tomorrow ( 1910 )       Short stories     `` A Drama in Mexico '' ( 1851 )   `` A Drama in the Air '' ( 1851 )   `` Martin Paz '' ( 1852 )   `` Master Zacharius '' ( 1854 )   `` A Winter amid the Ice '' ( 1855 )   `` The Count of Chanteleine '' ( 1864 )   `` The Blockade Runners '' ( 1865 )   `` Dr. Ox 's Experiment '' ( 1872 )   `` An Ideal City '' ( 1875 )   `` The Mutineers of the Bounty '' ( 1879 )   `` Ten Hours Hunting '' ( 1881 )   `` Frritt - Flacc '' ( 1884 )   `` Gil Braltar '' ( 1887 )   `` In the Year 2889 '' ( 1889 )   `` Adventures of the Rat Family '' ( 1891 )   `` Mr. Ray Sharp and Miss Me Flat '' ( 1893 )   `` The Eternal Adam '' ( 1910 )       Plays     The Broken Straws ( 1850 )   Mona Lisa ( 1852 )   Blind Man 's Buff ( 1853 )   The Adoptive Son ( 1853   Knights of the Daffodil ( 1855 )   Mr. Chimpanzee ( 1858 )   The Inn in the Ardennes ( 1860 )   Eleven Days ' Siege ( 1861 )   A Nephew from America ( 1873 )   Around the World in 80 Days ( 1874 )   The Children of Captain Grant ( 1878 )   Michael Strogoff ( 1880 )   Journey Through the Impossible ( 1882 )   Kéraban the Pigheaded ( 1883 )       Related     The Thompson Travel Agency by Michel Verne ( 1907 )          Universe      Characters     Aouda   Tom Ayrton   David Farragut   Phileas Fogg   Lord Glenarvan   Captain Nemo   Jacques Paganel   Jean Passepartout   Cyrus Smith       Universe     Leyden ball   Nautilus   HMS Sword            Book                 VIAF : 181861005   GND : 4835489 - 2   SUDOC : 089079728   BNF : cb12342582t ( data )      Retrieved from `` https://en.wikipedia.org/w/index.php?title=Journey_to_the_Center_of_the_Earth&amp;oldid=805808798 '' Categories :   Journey to the Center of the Earth   1864 French novels   Novels by Jules Verne   1860s science fiction novels   French science fiction novels   Lost world novels   Novels about dinosaurs   Novels set in Iceland   Hollow Earth in fiction   Fictional subterranea   French novels adapted into films   Novels set in Hamburg   Novels set in Sicily   French novels adapted into plays   Novels adapted into comics   Novels adapted into radio programs   Novels adapted into television programs   Novels adapted into video games   1863 in fiction   Cryptography in fiction   Trav</t>
  </si>
  <si>
    <t xml:space="preserve">when was journey to the center of the earth made</t>
  </si>
  <si>
    <t xml:space="preserve"> Journey to the Center of the Earth ( French : Voyage au centre de la Terre , also translated under the titles A Journey to the Centre of the Earth and A Journey to the Interior of the Earth ) is an 1864 science fiction novel by Jules Verne . The story involves German professor Otto Lidenbrock who believes there are volcanic tubes going toward the centre of the Earth . He , his nephew Axel , and their guide Hans descend into the Icelandic volcano Snæfellsjökull , encountering many adventures , including prehistoric animals and natural hazards , before eventually coming to the surface again in southern Italy , at the Stromboli volcano . </t>
  </si>
  <si>
    <t xml:space="preserve">A Horse with No Name - wikipedia  A Horse with No Name  Jump to : navigation , search For the 2010 film , see A Horse with No Name ( film ) .    `` A Horse with No Name ''         Single by America     from the album America     B - side     `` Everyone I Meet Is from California ''   `` Sandman ''       Released   November 12 , 1971     Format   7 - inch single     Recorded   1971     Studio   Morgan Studios , London     Genre   Folk rock     Length   4 : 08     Label   Warner Bros .     Songwriter ( s )   Dewey Bunnell     Producer ( s )   Ian Samwell     America singles chronology          `` A Horse with No Name '' ( 1971 )   `` I Need You '' ( 1972 )            Audio sample       file   help           `` A Horse with No Name '' is a song written by Dewey Bunnell , and originally recorded by the folk rock band America . It was the band 's first and most successful single , released in late - 1971 in Europe and early - 1972 in the US , and topped the charts in several countries . It was certified gold by the Recording Industry Association of America .     Contents  ( hide )   1 Development   2 Composition   3 Reception   4 Personnel   5 In popular culture   5.1 Soundtrack appearances   5.2 Musical references   5.3 Other references to the song     6 Charts   7 References   8 External links      Development ( edit )   America 's self - titled debut album was released initially in Europe , without `` A Horse with No Name , '' and achieved only moderate success . Originally called `` Desert Song '' , `` Horse '' was written while the band was staying at the home studio of musician Arthur Brown , near Puddletown , Dorset . The first two demos were recorded there , by Jeff Dexter and Dennis Elliott , and were intended to capture the feel of the hot , dry desert that had been depicted at the studio from a Salvador Dalí painting , and the strange horse that had ridden out of an M.C. Escher picture . Writer Dewey Bunnell also says he remembered his childhood travels through the Arizona and New Mexico desert when his family lived at Vandenberg Air Force Base .   Trying to find a song that would be popular in both the United States and Europe , Warner Brothers was reluctant to release Beckley 's `` I Need You '' ballad as the first single from America . The label asked the band if it had any other material , then arranged for America to record four more songs at Morgan Studios , Willesden in London . `` A Horse with No Name '' was released as the featured song on a three - track single in the UK , Ireland , France , Italy and the Netherlands in late 1971 . On the release `` A Horse with No Name '' shared the A-side with `` Everyone I Meet Is from California '' ; `` Sandman '' featured on the B - side . However , its early - 1972 two - track US release did not include `` Sandman '' , with `` Everyone I Meet Is from California '' appearing on the B - side .   Composition ( edit )   `` A Horse with No Name '' was recorded in the key of E Dorian with acoustic guitars , bass guitar , drum kit , and bongo drums . The only other chord is a D , fretted on the low E and G strings , second fret . A 12 - string guitar plays an added F ♯ ( second fret , high E string ) on the back beat of the Em . A noted feature of the song is the driving bass line with a hammer - hook in each chorus . A `` waterfall '' - type solo completes the arrangement . Produced by Ian Samwell on the day of final recording at Morgan Studios , when at first the group thought it was too corny and took some convincing to actually play it . Gerry Beckley has explained in Acoustic Guitar magazine ( March 2007 ) that the correct tuning for the guitar is DEDGBD , low to high . The chord pattern that repeats throughout the entire song is : 202002 ( Em ) , then 020202 and 000202 . The tuning is unique to this song ; they did not use it on any other America song .   Reception ( edit )   Despite the song being banned by some U.S. radio stations because of supposed drug references to heroin use , the song ascended to number one on the U.S. Billboard Hot 100 , and the album quickly reached platinum status . The song charted earlier in the Netherlands ( reaching number 11 ) and the UK ( reaching number 3 , the band 's only Top 40 hit in the country ) than it did in the United States . The interpretation of the song as a drug reference comes from the fact that the word `` horse '' is a common slang term for heroin .   The song 's resemblance to some of Neil Young 's work aroused some controversy . `` I know that virtually everyone , on first hearing , assumed it was Neil '' , Bunnell says . `` I never fully shied away from the fact that I was inspired by him . I think it 's in the structure of the song as much as in the tone of his voice . It did hurt a little , because we got some pretty bad backlash . I 've always attributed it more to people protecting their own heroes more than attacking me . '' By coincidence , it was `` A Horse with No Name '' that replaced Young 's `` Heart of Gold '' at the number 1 spot on the U.S. pop chart .   The song has received criticism for its banal , oddly phrased lyrics , including `` The heat was hot '' ; `` There were plants , and birds , and rocks , and things '' ; and `` ' Cause there ai n't no one for to give you no pain . '' Penn Jillette asked the band about their lyrics , `` there were plants , and birds , and rocks , and things '' after a show in Atlantic City , where America opened for Penn &amp; Teller . According to Jillette , their explanation for the lyrics was that they were intoxicated with cannabis while writing it . In a 2012 interview , Beckley disputed Jillette 's story , saying , `` I do n't think Dew was stoned . ''   Personnel ( edit )   ( Per back cover of 1972 vinyl issue of America . )    America     Dewey Bunnell -- lead vocal , acoustic guitar   Gerry Beckley -- 12 - string acoustic guitar , backing vocal   Dan Peek -- bass , backing vocal     Session musicians     Ray Cooper -- percussion   Kim Haworth -- drums    In popular culture ( edit )       This section needs additional citations for verification . Please help improve this article by adding citations to reliable sources . Unsourced material may be challenged and removed . ( October 2015 ) ( Learn how and when to remove this template message )         This section indiscriminately collects miscellaneous information . Please compress this material to remove any irrelevant or unimportant information . ( May 2017 )     Soundtrack appearances ( edit )   The song was featured in Hideous Kinky , a British -- French 1998 film , during a trip on the Moroccan desert . In 2008 , it was used in a Kohls TV commercial for Vera Wang .   It can also be heard in Season 2 of Millennium , in the episode `` Owls '' . It can be heard on an episode of The Simpsons , `` The Haw - Hawed Couple '' . In another episode , `` A Star Is Born Again '' . Ned Flanders can be heard singing it , with alternative lyrics . The song is heard in the background of season 3 episode 16 of `` Parks and Recreation '' . It was featured in the video game Grand Theft Auto : San Andreas on the fictional classic rock radio station K - DST .   The song bookends the second episode of the third season of Breaking Bad , `` Caballo sin Nombre '' ( Spanish for `` Horse without Name '' ) , where the song plays on a car radio as Walter White drives through the desert in the beginning , before being pulled over for driving with a cracked windshield . At the end of the episode the song is sung by Walter in the shower . The song was also featured in the show Friends in Season 5 , Episode 22 , `` The One With Joey 's Big Break '' .   The song is also featured in the movies The Devil 's Daughter , The Trip , and Air America . The song is also featured on the soundtrack of the 2013 motion picture American Hustle directed by David O. Russell and 2016 movie The Nice Guys .   In 2014 , the song was featured in an advertisement for the Toyota Auris Hybrid .   In the season 4 episode of BoJack Horseman `` The Old Sugarman Place '' , the title character drives through the desert to Patrick Carney and Michelle Branch 's interpretation of the song . This version also appears on the soundtrack album of the series .   Musical references ( edit )   The song was one of many popular songs quoted and parodied on the album The Third Reich ' n Roll by The Residents .   The song `` Face '' by American rock band Aerosmith released in 2001 bears a strong resemblance towards `` A Horse With No Name '' .   Michael Jackson 's song `` A Place with No Name '' was released posthumously by TMZ as a 25 - second snippet on July 16 , 2009 . The snippet closely resembles `` A Horse with No Name '' . Jim Morey , both Jackson 's and America 's former band manager , has stated that `` America was honored that Michael chose to do their song and they hope it becomes available for all Michael 's fans to hear . '' The song was remastered and released in its entirety along with the original Michael Jackson recording on Jackson 's 2014 album , Xscape .   The manner in which American band Drive - by Truckers ' song `` The Fourth Night of My Drinking '' begins , nods to `` A Horse with No Name '' .   Other references to the song ( edit )   The song was covered by a band in the bar Robin Williams ' character hangs out at in the 1987 movie Good Morning Vietnam .   Also appeared in Air America from 1990 .   Plants and Birds and Rocks and Things was the title of the 1993 debut album by The Loud Family , and was quoted by songwriter Scott Miller in the first track , `` He Do the Police in Different Voices '' ( `` Maybe plants and birds and rocks and things can justify my day '' ) .   It also appeared sung by members of a hippie group , `` The People '' , in Series 3 of HBO 's Six Feet Under , in the episode : `` Tears , Bones and Desire '' as the women make mops .   In the episode `` Bill 's Autobiography '' on NewsRadio , Dave Foley 's character was found singing the song on an audiotape on which he records his thoughts .   In 1999 , the literary magazine Lamia Ink published a short play by American playwright Meron Langsner entitled The Name of the Horse , in which the problem of the horse 's name is explored . The play is also included in a collection of parodies entitled The Sacred Cow Slaughterhouse published by Indie Theatre Now .   In The Simpsons episode `` The Haw - Hawed Couple '' , Homer and Marge trick Bart and Lisa into thinking they 're busy arguing so they can have their time alone . They accidentally throw a piece of clothing at the tape recorder and `` A Horse With No Name '' plays .   In computer game NetHack , when the player character dismounts an unnamed horse , the game issues the message `` You 've been through the dungeon on a horse with no name '' , or , when hallucinating , `` It felt good to get out of the rain . ''   In the October 7 , 2015 episode of The Late Show with Stephen Colbert , Colbert , wearing a big and furry hat , proclaims that the titular horse 's name is `` Gary the horse '' .   In the Reno 911 season five episode `` Junior Runs for Office '' , after consuming an entire pan of hashish brownies , Junior panics upon learning that `` A Horse With No Name '' is not available in the jukebox of the bar that they are in .   Charts ( edit )     Chart ( 1972 )   Peak position     Australia ( Kent Music Report )       Canada ( RPM )       Finland ( Finnish Singles Chart )       Ireland ( IRMA )       Netherlands ( Dutch Top 40 )   11     UK Singles ( Official Charts Company )       US Billboard Easy Listening       US Billboard Hot 100       US Cash Box Singles Chart       US Record World Singles Chart       References ( edit )    Jump up ^ `` VH1 's 40 Most Softsational Soft - Rock Songs '' . Stereogum . SpinMedia . May 31 , 2007 . Retrieved July 31 , 2016 .   Jump up ^ `` A Horse with No Name '' USA chart history , Billboard.com . Retrieved September 6 , 2011 .   Jump up ^ RIAA . `` RIAA Gold &amp; Platinum Database '' . Retrieved September 25 , 2008 .   Jump up ^ http://www.dorsetlife.co.uk/2015/06/decadence-and-depravity-with-added-cheese/   Jump up ^ `` Highway Highlight ( from the box set booklet ) '' . Archived from the original on 2 June 2008 . Retrieved June 20 , 2008 .   Jump up ^ Rosen , Craig ( September 30 , 1996 ) . The Billboard book of number one albums : the inside story behind pop music 's blockbuster records . Billboard Books .   Jump up ^ Guitar Noise ( 1 )   Jump up ^ Guitar Coach Mag ( 2 )   Jump up ^ `` Liner notes , Highway Highlight '' . Archived from the original on 15 June 2006 . Retrieved June 11 , 2006 .   Jump up ^ `` America singles charts history '' . Official Charts . The Official Charts Company . Retrieved 18 February 2015 .   Jump up ^ America biography at Billboard   Jump up ^ John Mendelsohn ( 1972 ) . `` Rolling Stone Review '' . Archived from the original on October 2 , 2007 . Retrieved March 12 , 2006 .   Jump up ^ Jillette , Penn . ( 2012 ) . Gilbert Gottfried Again ! ( Episode 14 , 2012 / 05 / 21 ) . Penn 's Sunday School . Ace Broadcasting Network .   Jump up ^ `` Q&amp;A With America Singer Gerry Beckley '' . Patch.com . Dec 19 , 2012 .   Jump up ^ splendAd - Kohl 's - Simply Vera Spring 2008 commercial   Jump up ^ AMCTV ( 2010 ) . `` Walt Gets Arrested '' . Archived from the original on 1 April 2010 . Retrieved March 28 , 2010 .   Jump up ^ IMDB ( 1999 ) . `` The One with Joey 's Big Break '' . Retrieved November 10 , 2011 .   Jump up ^ `` Place with No Name sounds like Horse with No Name '' . news.com.au . July 17 , 2009 . Retrieved March 5 , 2010 .   Jump up ^ NetHack source code   Jump up ^ Billboard : 53 . October 7 , 1972 . CS1 maint : Untitled periodical ( link )   Jump up ^ Search for Irish peaks   Jump up ^ `` America Chart History ( Hot 100 ) '' Billboard .    External links ( edit )    Official America Homepage   Lyrics of this song at MetroLyrics      Preceded by `` Heart Of Gold '' by Neil Young   Billboard Hot 100 number - one single March 25 , 1972 ( three weeks )   Succeeded by `` The First Time Ever I Saw Your Face '' by Roberta Flack       ( hide )         America       Gerry Beckley   Dewey Bunnell     Dan Peek       Studio albums     America   Homecoming   Hat Trick   Holiday   Hearts   Hideaway   Harbor   Silent Letter   Alibi   View from the Ground   Your Move   Perspective   Hourglass   Human Nature   Holiday Harmony   Here &amp; Now   Back Pages   Lost &amp; Found       Compilations     History : America 's Greatest Hits   Encore : More Greatest Hits   Highway   The Complete Greatest Hits   Hits : 40th Anniversary Edition       Live albums     America Live   In Concert ( 1985 )   In Concert ( 1995 )   Horse with No Name   The Grand Cayman Concert   Live In Concert : Wildwood Springs       Soundtracks     The Last Unicorn       Singles     `` A Horse with No Name ''   `` I Need You ''   `` Ventura Highway ''   `` Muskrat Love ''   `` Tin Man ''   `` Lonely People ''   `` Sister Golden Hair ''   `` Daisy Jane ''   `` Woman Tonight ''   `` Today 's the Day ''   `` Amber Cascades ''   `` You Can Do Magic ''   `` Right Before Your Eyes ''   `` The Border ''       Related articles     Discography      Retrieved from `` https://en.wikipedia.org/w/index.php?title=A_Horse_with_No_Name&amp;oldid=806620034 '' Categories :   Songs about horses   1971 songs   1971 singles   1972 singles   Songs written by Dewey Bunnell   America ( band ) songs   Billboard Hot 100 number - one singles   Debut singles   Warner Bros. Records singles   Hidden categories :   CS1 maint : Untitled periodical   Articles with hAudio microformats   Articles needing additional references from October 2015   All articles needing additional references   Articles with trivia sections from May 2017   All articles with trivia sections   Singlechart usages for Billboardhot100   Singlechart called without song           Talk                                           Contents                   About Wikipedia                                           Español   Français   Italiano   Nederlands   Polski   Português   Sicilianu   Tiếng Việt   Edit links   This page was last edited on 23 October 2017 , at 04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</si>
  <si>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been through the desert on a horse with no name</t>
  </si>
  <si>
    <r>
      <rPr>
        <sz val="11"/>
        <color rgb="FF000000"/>
        <rFont val="Calibri"/>
        <family val="0"/>
        <charset val="1"/>
      </rPr>
      <t xml:space="preserve">St. Trinian 's 2 : the Legend of Fritton 's Gold - wikipedia  St. Trinian 's 2 : the Legend of Fritton 's Gold  Jump to : navigation , search    St Trinian 's 2 : The Legend of Fritton 's Gold     British release poster     Directed by   Oliver Parker Barnaby Thompson     Produced by   Oliver Parker Barnaby Thompson     Screenplay by   Piers Ashworth Nick Moorcroft     Based on   St Trinian 's by Ronald Searle     Starring   Rupert Everett Colin Firth David Tennant Talulah Riley Sarah Harding Tamsin Egerton     Music by   Charlie Mole     Cinematography   David Higgs     Edited by   Emma E. Hickox     Production company   Ealing Studios Fragile Films     Distributed by   Entertainment Film Distributors     Release date     18 December 2009 ( 2009 - 12 - 18 )               Running time   106 minutes     Country   United Kingdom     Language   English     Box office   £ 7,088,097     St Trinian 's 2 : The Legend of Fritton 's Gold is a 2009 British adventure comedy film directed by Oliver Parker and Barnaby Thompson , both of who directed the previous film in the series . It is the seventh in a long running series of films based on the works of cartoonist Ronald Searle , and the second film produced since the franchise was rebooted in 2007 .   A sequel , St Trinian 's 3 : Battle of the Sexes , has been in development since 2009 , but has yet to be produced as of 2017 .     Contents  ( hide )   1 Plot   2 Cast   3 Production   4 Release   4.1 Box office   4.2 Critical reception     5 Home media   6 Cancelled sequel   7 See also   8 References   9 External links      Plot ( edit )   One night , the girls of St. Trinian 's catch Celia , a member of the eco sect , retrieving an old ring from the school 's Fritton Archives , who explains that an unknown man telephoned her to retrieve it for him in exchange for £ 20,000 . Seeking to get more , Annabelle Fritton , the new head girl , demands £ 100,000 from the man when he calls back , only for him to refuse and threaten the girls for their greed . When the school 's power is cut , the girls ask their headmistress , Camilla Fritton , about why the ring might be so valuable .   Camilla recognises the ring as one of two created by a pirate ancestor of hers in 1589 , which when brought together can lead the way to a buried treasure hidden somewhere in the world . Shortly after learning this , the school is besieged by masked men led by Sir Piers Pomfrey , a man of flawless reputation and a descendant of the man that was robbed by Camilla 's pirate ancestor , who steals the ring with the intention of finding the treasure .   Seeking to stop him , the girls search for the second ring and find a clue left by another ancestor who located the first and left it in the archives . After a difficult time deciphering a clue they left , the girls find it to be hidden within a boy 's school , leaving a group to infiltrate it in disguise and recover it . Seeking to recover the first , the girls learn that Piers is the leader of a secret society known as AD1 , a masculinist brotherhood , and that Camilla 's old flame and former head of education , Geoffrey Thwaites , knows about him and the society .   After tracking him down at a pub , Camilla convinces him to help them , whereupon she puts him through a course to help him overcome his need for drink , and assigns him to work undercover at AD1 's hideout , with Annabelle calling in the former head girl Kelly , now an M.I. 7 agent , to assist in the recovery of the ring . Despite the girls not finding it in the vault , Geoffrey spots it being worn by Piers and manages to steal it from him , returning it back to St. Trinian 's .   Finding that the two rings bear longitude and latitude coordinates respectively on them , the girls find that the treasure is buried under the Globe Theatre . After organising a flash mob to keep AD1 from pursuing them , after Piers learns they recovered the first ring , Camilla , Geoffrey , the school 's bursar , Annabelle and a small group of the girls make it to the theatre , and while the girls head underneath the building , Camilla and Geoffrey pose as actors they knocked out to avoid raising an alarm .   Although the girls make it to the treasure 's location within a secret room , they discover a chest within containing nothing more than a note from Pirate Fritton , who gave up being a pirate to write plays under the name of William Shakespeare , and that the treasure was the final play he wrote intended to reveal that `` he '' was a woman . Piers , managing to track them down , holds them at gunpoint and steals the play from them , revealing that his ancestors knew this fact and that he had always intended to find the play and destroy it . The girls watch as he flees the scene on his private boat .   Seeking to stop him , the girls take control of the reconstruction of the Golden Hind and sail it down the Thames , whereupon they attack Pier 's boat , with Camilla recovering the play 's script from him . The girls soon return to St. Trinian 's for a wild party to celebrate their success , while Piers is exposed for being a sexist after AD1 is revealed to the media .   Cast ( edit )  Talulah Riley during filming in August 2009   Rupert Everett as Miss Camilla Dagey Fritton , Archibald Fritton , and Reverend Fortnum Fritton   David Tennant as Sir Piers Pomfrey , and Lord Pomfrey   Colin Firth as Geoffrey Thwaites   Talulah Riley as Annabelle Lealla Fritton   Sarah Harding as Roxy   Tamsin Egerton as Chelsea Parker   Clara Paget as Bella   Gabriella Wilde as Saffy   Juno Temple as Celia   Ella Smith as Lucy   Montserrat Lombard as Zoe   Zawe Ashton as Bianca   Jessica Agombar as Jessica   Cloe Mackie &amp; Holly Mackie as Tania &amp; Tara   Gemma Arterton as Kelly Opossum Jones   Celia Imrie as St Trinian 's Matron   Toby Jones as St Trinian 's Bursar   Jodie Whittaker as Beverly , the Receptionist   Christian Brassington as Peters , Sir Piers ' Assistant   Tom Riley as ' Romeo '   Georgia King as ' Juliet '   Ricky Wilson as Roxy 's boyfriend   Katherine Parkinson as the Science teacher    Production ( edit )   Principal photography started in July 2009 , at Ealing Studios and on location in various places in London , including the Globe Theatre and on ( and in ) the River Thames . The ' Old Boys School ' was filmed at Charterhouse School in Godalming , Surrey and the boys choir was the Guildford Cathedral Choir . On 16 August 2009 , hundreds of extras , along with the main characters , filmed a mass dance scene in the style of a flash mob at London 's Liverpool Street Station .   The manor house used as the girls school is Knebworth House in Hertfordshire .   Release ( edit )   It was announced at the 2008 Cannes Film Festival that St Trinian 's 2 : The Legend of Fritton 's Gold was to be released on 18 December 2009 .   Box office ( edit )   It opened at # 2 in the United Kingdom , just behind James Cameron 's 3D sci fi epic Avatar , with debut week end box office figures of £ 1,586,832 . As of 10 February 2010 , the film has grossed a total of £ 7,019,714 in the United Kingdom , considerably lower than the first instalment 's £ 12,280,529 . It still turned out to be the fourth biggest hit of the Christmas season of 2009 , beaten only by Alvin and the Chipmunks : The Squeakquel , Guy Ritchie 's Sherlock Holmes , and Avatar .   Critical reception ( edit )   The film received overwhelmingly negative reviews , holding a 10 % ' rotten ' rating on Rotten Tomatoes .   Home media ( edit )   The region 2 DVD of the film was released on 24 May 2010 . A region 1 DVD release occurred on 23 March 2011 .   Cancelled sequel ( edit )   In December 2009 , it was confirmed that there will be a St Trinian 's 3 : Battle of the Sexes . There was also a competition held in 2010 , for the chance for a girl to have a walk on role in the film . As of September 2017 , no cast confirmation has been confirmed , for the third instalment . It has been assumed the film is cancelled .   See also ( edit )    St Trinian 's   Cross-dressing in film and television   City Slickers II : The Legend of Curly 's Gold    References ( edit )    Jump up ^ `` UK Box Office : 12 -- 14 March 2010 '' . UK Film Council . Retrieved 2012 - 01 - 11 .   Jump up ^ Balls , David ( 25 May 2009 ) . `` Harding ' to star in St Trinian 's sequel ' '' . Digital Spy . Retrieved 2009 - 07 - 07 .   Jump up ^ `` Sarah Harding Addicts : Guildford Cathedral Choir performs in new St. Trinian 's film '' . Sarahhardingaddicts.blogspot.com. 27 July 2009 . Retrieved 2012 - 01 - 11 .   Jump up ^ Parker , Oliver ; Thompson , Barnaby ( 18 December 2009 ) . `` St Trinian 's 2 : The Legend of Fritton 's Gold '' . Retrieved 5 March 2017 .   Jump up ^ `` ' Avatar ' soars to UK box office top spot -- Movies News '' . Digital Spy. 22 December 2009 . Retrieved 2012 - 01 - 11 .   Jump up ^ St Trinian 's 2 : The Legend of Fritton 's Gold at Rotten Tomatoes   Jump up ^ http://www.sttriniansmovie.co.uk/   Jump up ^ ( 1 ) Archived 16 June 2010 at the Wayback Machine .    External links ( edit )    St Trinian 's 2 : The Legend of Fritton 's Gold on IMDb   St Trinian 's 2 : The Legend of Fritton 's Gold at AllMovie   St Trinian 's 2 : The Legend of Fritton 's Gold at Rotten Tomatoes   St Trinian 's 2 : The Legend of Fritton 's Gold at British Comedy Guide   sttrinians Net   St Trinian 's Gallery Movie and Character pictures              St Trinian 's School     Films      Original series     The Belles of St Trinian 's ( 1954 )   Blue Murder at St Trinian 's ( 1957 )   The Pure Hell of St Trinian 's ( 1960 )   The Great St Trinian 's Train Robbery ( 1966 )       1980 film     The Wildcats of St Trinian 's ( 1980 )       21st century     St Trinian 's ( 2007 )   St Trinian 's 2 : The Legend of Fritton 's Gold ( 2009 )       Soundtracks     St. Trinian 's : The Soundtrack   St. Trinian 's 2 : The Legend of Fritton 's Gold          Other     Cast members list   Ronald Searle   Flash Harry                 Films directed by Oliver Parker       Othello ( 1995 )   An Ideal Husband ( 1999 )   The Importance of Being Earnest ( 2002 )   Fade to Black ( 2006 )   I Really Hate My Job ( 2007 )   St Trinian 's ( 2007 )   Dorian Gray ( 2009 )   St Trinian 's 2 : The Legend of Fritton 's Gold ( 2009 )   Johnny English Reborn ( 2011 )   Dad 's Army ( 2016 )      Retrieved from `` https://en.wikipedia.org/w/index.php?title=St_Trinian%27s_2:_The_Legend_of_Fritton%27s_Gold&amp;oldid=793852834 '' Categories :   2009 films   English - language films   2000s adventure films   2000s high school films   2000s independent films   2000s sequel films   2000s teen comedy films   Adventure comedy films   British films   British adventure films   British sequel films   British teen comedy films   British independent films   Cross-dressing in film   Films directed by Oliver Parker   Films set in England   Films set in London   Films shot in Hertfordshire   Films shot in London   Films shot in Surrey   St Trinian 's films   Treasure hunt films   Hidden categories :   Webarchive template wayback links   EngvarB from September 2013   Use dmy dates from September 2013   Film articles using image size parameter           Talk                                           Contents                   About Wikipedia                                           Français   Bahasa Indonesia   Italiano   Bahasa Melayu   </t>
    </r>
    <r>
      <rPr>
        <sz val="11"/>
        <color rgb="FF000000"/>
        <rFont val="Noto Sans CJK SC"/>
        <family val="2"/>
      </rPr>
      <t xml:space="preserve">日本 語   </t>
    </r>
    <r>
      <rPr>
        <sz val="11"/>
        <color rgb="FF000000"/>
        <rFont val="Calibri"/>
        <family val="0"/>
        <charset val="1"/>
      </rPr>
      <t xml:space="preserve">Русский   Suomi   Edit links   This page was last edited on 4 August 2017 , at 10 : 50 .         About Wikipedia                  </t>
    </r>
  </si>
  <si>
    <t xml:space="preserve">who plays the headteacher in st trinians 2</t>
  </si>
  <si>
    <t xml:space="preserve"> Rupert Everett as Miss Camilla Dagey Fritton , Archibald Fritton , and Reverend Fortnum Fritton </t>
  </si>
  <si>
    <t xml:space="preserve">Rita Hayworth - wikipedia  Rita Hayworth  Jump to : navigation , search    Rita Hayworth     Hayworth in 1946       Margarita Carmen Cansino ( 1918 - 10 - 17 ) October 17 , 1918 Brooklyn , New York , U.S.       May 14 , 1987 ( 1987 - 05 - 14 ) ( aged 68 ) Manhattan , New York , U.S.     Cause of death   Alzheimer 's disease     Resting place   Holy Cross Cemetery , Culver City , California     Occupation   Actress , dancer     Years active   1931 -- 1972     Height   5 ft 6 in ( 168 cm )     Spouse ( s )     Edward C. Judson ( married 1937 -- 1942 )   Orson Welles ( married 1943 -- 1947 )   Prince Aly Khan ( married 1949 -- 1953 )   Dick Haymes ( married 1953 -- 1955 )   James Hill ( married 1958 -- 1961 )       Children   2 , including Yasmin Aga Khan     Parent ( s )     Eduardo Cansino Sr .   Volga Hayworth       Relatives     Richard Cansino ( nephew )   Vinton Hayworth ( uncle )       Signature         Rita Hayworth ( born Margarita Carmen Cansino ; October 17 , 1918 -- May 14 , 1987 ) was an American actress and dancer . She achieved fame during the 1940s as one of the era 's top stars , appearing in a total of 61 films over 37 years . The press coined the term `` The Love Goddess '' to describe Hayworth after she had become the most glamorous screen idol of the 1940s . She was the top pin - up girl for GIs during World War II .   Hayworth is perhaps best known for her performance in the 1946 film noir , Gilda , opposite Glenn Ford , in which she played the femme fatale in her first major dramatic role . Fred Astaire , with whom she made two films , called her his favorite dance partner . Her greatest success was in the Technicolor musical Cover Girl ( 1944 ) , with Gene Kelly . She is listed as one of the top 25 female motion picture stars of all time in the American Film Institute 's survey , AFI 's 100 Years ... 100 Stars .   In 1980 , Hayworth was diagnosed with Alzheimer 's disease , which contributed to her death at age 68 . The public disclosure and discussion of her illness drew attention to Alzheimer 's , and helped to increase public and private funding for Alzheimer 's research .     Contents  ( hide )   1 Early life   2 Career   2.1 Early career   2.2 Peak years at Columbia   2.3 The Hollywood princess   2.4 Returning to Columbia   2.5 Struggles with Columbia Pictures   2.6 Public image     3 Personal life   3.1 Marriages and family   3.1. 1 Edward Charles Judson   3.1. 2 Orson Welles   3.1. 3 Prince Aly Khan   3.1. 4 Dick Haymes   3.1. 5 James Hill     3.2 Health   3.3 Political views     4 Religion   5 Death   6 Accolades   7 Legacy   8 Film and television credits   9 Cultural references   10 See also   11 References   12 Further reading   13 External links      Early life ( edit )  At age 12 , Margarita Cansino was dancing professionally as her father 's partner in the Dancing Cansinos ( 1931 ) . Margarita Cansino at age 16 , with her father and dancing partner Eduardo Cansino ( 1933 ) Rita and Eduardo Cansino ( 1935 )  Hayworth was born in Brooklyn , New York , in 1918 as Margarita Carmen Cansino , the oldest child of two dancers . Her father , Eduardo Cansino Sr. , was from Castilleja de la Cuesta , a little town near Seville , Spain .   Her mother , Volga Hayworth , was an American of Irish - English descent who had performed with the Ziegfeld Follies . The couple married in 1917 . They also had two sons : Eduardo Jr. and Vernon . Her maternal uncle Vinton Hayworth was also an actor .   Margarita 's father wanted her to become a professional dancer , while her mother hoped she would become an actress . Her paternal grandfather , Antonio Cansino , was renowned as a classical Spanish dancer . He popularized the bolero , and his dancing school in Madrid was world - famous . Hayworth later recalled , `` From the time I was three and a half ... as soon as I could stand on my own feet , I was given dance lessons . '' She noted `` I did n't like it very much ... but I did n't have the courage to tell my father , so I began taking the lessons . Rehearse , rehearse , rehearse , that was my girlhood '' .   She attended dance classes every day for a few years in a Carnegie Hall complex , where she was taught by her uncle Angel Cansino . Before her fifth birthday she was one of the Four Cansinos featured in the Broadway production of The Greenwich Village Follies at the Winter Garden Theatre . In 1926 at the age of eight , she was featured in La Fiesta , a short film for Warner Bros .   In 1927 , her father took the family to Hollywood . He believed that dancing could be featured in the movies and that his family could be part of it . He established his own dance studio , where he taught such stars as James Cagney and Jean Harlow . During the Great Depression , he lost all his investments as commercial interest in his dancing classes waned .   In 1931 , Eduardo Cansino partnered with his 12 - year - old daughter to form an act called the Dancing Cansinos . Since under California law Margarita was too young to work in nightclubs and bars , her father took her with him to work across the border in Tijuana , Mexico . In the early 1930s , it was a popular tourist spot for people from Los Angeles . Because she was working , Cansino never graduated from high school , but she completed the ninth grade at Hamilton High in Los Angeles .   Cansino ( Hayworth ) took a bit part in the film Cruz Diablo ( 1934 ) at age 16 , which led to another bit part in the film In Caliente ( 1935 ) with the Mexican actress Dolores del Río . She danced with her father in such nightspots as the Foreign and the Caliente clubs . Winfield Sheehan , the head of the Fox Film Corporation , saw her dancing at the Caliente Club and quickly arranged for Hayworth to do a screen test a week later . Impressed by her screen persona , Sheehan signed her for a short - term , six - month contract at Fox , under the name Rita Cansino , the first of two name changes during her film career .   Career ( edit )   Early career ( edit )  Fox publicity photograph of Rita Cansino ( 1935 )  During her time at Fox , Hayworth was billed as Rita Cansino and appeared in unremarkable roles , often cast as the exotic foreigner . In late 1934 , aged 16 , she performed a dance sequence in the Spencer Tracy film Dante 's Inferno ( 1935 ) , and was put under contract in February 1935 . She had her first speaking role as an Argentinian girl in Under the Pampas Moon ( 1935 ) . She played an Egyptian girl in Charlie Chan in Egypt ( 1935 ) , and a Russian dancer in Paddy O'Day ( 1935 ) . Sheehan was grooming her for the lead in the 1936 Technicolor film Ramona , hoping to establish her as Fox Film 's new Dolores del Río .   By the end of her six - month contract , Fox had merged into 20th Century Fox , with Darryl F. Zanuck serving as the executive producer . Dismissing Sheehan 's interest in her and giving Loretta Young the lead in Ramona , Zanuck did not renew Cansino 's contract . Sensing her screen potential , salesman and promoter Edward C. Judson , with whom she would elope in 1937 , got freelance work for her in several small - studio films and a part in the Columbia Pictures feature Meet Nero Wolfe ( 1936 ) . Studio head Harry Cohn signed her to a seven - year contract and tried her out in small roles .   Cohn argued that her image was too Mediterranean , which limited her to being cast in `` exotic '' roles that were fewer in number . He was heard to say her last name sounded too Spanish . Judson acted on Cohn 's advice : Rita Cansino became Rita Hayworth when she adopted her mother 's maiden name , to the consternation of her father . With a name that emphasized her British - American ancestry , people were more likely to regard her as a classic `` American '' .  Columbia Pictures publicity photograph of Rita Hayworth ( 1940 )  With Cohn and Judson 's encouragement , Hayworth changed her hair color to dark red and had electrolysis to raise her hairline and broaden the appearance of her forehead .   Hayworth appeared in five minor Columbia pictures and three minor independent movies in 1937 . The following year , she appeared in five Columbia B movies . In 1939 , Cohn pressured director Howard Hawks to use Hayworth for a small but important role as a man - trap in the aviation drama Only Angels Have Wings , in which she played opposite Cary Grant and Jean Arthur .   With this film 's box - office success , fan mail for Hayworth began pouring into Columbia 's publicity department . Cohn began to see Hayworth as his first and official new star . The studio never officially had stars under contract , except for Jean Arthur , who was trying to break with it .   Cohn began to build up Hayworth in 1940 in features such as Music in My Heart , The Lady in Question , and Angels Over Broadway . That year , she was first featured in a Life magazine cover story . Cohn loaned Hayworth to Metro - Goldwyn - Mayer to appear in Susan and God opposite Joan Crawford . While on loan to Warner Bros. , Hayworth appeared as the second female lead in The Strawberry Blonde ( 1941 ) , opposite James Cagney . Because the film was a big box - office success , Hayworth 's popularity rose and she immediately became one of Hollywood 's hottest actresses . So impressed was Warner Bros. , they tried to buy Hayworth 's contract from Columbia , but Cohn refused to release her .   Her success led to a supporting role in Blood and Sand ( 1941 ) opposite Tyrone Power and Linda Darnell with Fox , the studio that had dropped her six years before . In one of her most notable screen roles , Hayworth played Doña Sol des Muire , the first of many screen sirens .  With Fred Astaire in You Were Never Lovelier ( 1942 )  She returned in triumph to Columbia Pictures and was cast in the musical You 'll Never Get Rich ( 1941 ) opposite Fred Astaire in one of the highest - budgeted films Columbia had ever made . The picture was so successful , the studio produced and released another Astaire - Hayworth picture the following year , You Were Never Lovelier . Astaire 's biographer Peter Levinson writes that the dancing combination of Astaire and Hayworth was `` absolute magnetism on the screen . '' Although Astaire made 10 films with Ginger Rogers , his other main dancing partner , Hayworth 's sensuality surpassed Rogers 's cool technical expertise . `` Rita 's youthful exuberance meshed perfectly with Fred 's maturity and elegance , '' says Levinson .   When Astaire was asked who his favorite dance partner was , he tried not answering the question , but later admitted it was Hayworth : `` All right , I 'll give you a name , '' he said . `` But if you ever let it out , I 'll swear I lied . It was Rita Hayworth . '' Astaire commented that `` Rita danced with trained perfection and individuality ... She was better when she was ' on ' than at rehearsal . '' Biographer Charlie Reinhart describes the effect she had on Astaire 's style :   There was a kind of reserve about Fred . It was charming . It carried over to his dancing . With Hayworth there was no reserve . She was very explosive . And that 's why I think they really complemented each other .  Iconic photograph of Rita Hayworth for Life ( August 11 , 1941 )  In August 1941 , Hayworth was featured in an iconic Life photo in which she posed in a negligee with a black lace bodice . Bob Landry 's photo made Hayworth one of the top two pin - up girls of the World War II years ; the other was Betty Grable , in a 1943 photograph . For two years , Hayworth 's photograph was the most requested pin - up photograph in circulation . In 2002 , the satin nightgown Hayworth wore for the photo sold for $26,888 .   In March 1942 , Hayworth visited Brazil as a cultural ambassador for the Roosevelt administration 's Good Neighbor policy , under the auspices of the Office of the Coordinator of Inter-American Affairs .   Peak years at Columbia ( edit )   Hayworth had top billing in one of her best - known films , the Technicolor musical Cover Girl , released in 1944 . The film established her as Columbia 's top star of the 1940s , and it gave her the distinction of being the first of only six women to dance on screen with both Gene Kelly and Fred Astaire . `` I guess the only jewels of my life , '' Hayworth said in 1970 , `` were the pictures I made with Fred Astaire ... And Cover Girl , too . ''  Hayworth and choreographer Jack Cole in Tonight and Every Night ( 1945 )  For three consecutive years , starting in 1944 , Hayworth was named one of the top movie box - office attractions in the world . She was adept in ballet , tap , ballroom , and Spanish routines . Cohn continued to showcase Hayworth 's dance talents . Columbia featured her in the Technicolor films Tonight and Every Night ( 1945 ) with Lee Bowman and Down to Earth ( 1947 ) with Larry Parks .  Hayworth as Gilda ( 1946 )  Her sexy , glamorous appeal was most noted in Charles Vidor 's film noir Gilda ( 1946 ) with Glenn Ford , which caused censors some consternation . The role , in which Hayworth wore black satin and performed a legendary one - glove striptease , `` Put The Blame On Mame '' , made her into a cultural icon as a femme fatale .   While Gilda was in release , it was widely reported that an atomic bomb which was scheduled to be tested at Bikini Atoll in the Pacific Ocean 's Marshall Islands would bear an image of Hayworth , a reference to her bombshell status . Although the gesture was undoubtedly meant as a compliment , Hayworth was deeply offended . Orson Welles , then married to Hayworth , recalled her anger in an interview with biographer Barbara Leaming : `` Rita used to fly into terrible rages all the time , but the angriest was when she found out that they 'd put her on the atom bomb . Rita almost went insane , she was so angry ... She wanted to go to Washington to hold a press conference , but Harry Cohn would n't let her because it would be unpatriotic . '' Welles tried to persuade Hayworth that the whole business was not a publicity stunt on Cohn 's part , that it was simply homage to her from the flight crew .   On the June 30 , 1946 broadcast of Orson Welles Commentaries , Welles said of the imminent test , `` I want my daughter to be able to tell her daughter that grandmother 's picture was on the last atom bomb ever to explode . ''   The fourth atomic bomb ever to be detonated was decorated with a photograph of Hayworth cut from the June 1946 issue of Esquire magazine . Above it was stenciled the device 's nickname , `` Gilda '' , in two - inch black letters .  Hayworth in The Lady from Shanghai ( 1947 )  Hayworth 's performance in Welles 's 1947 film The Lady from Shanghai was critically acclaimed . The film 's failure at the box office was attributed in part to Hayworth 's famous red hair being cut short and bleached platinum blonde for the role . Cohn had not been consulted and was furious that Hayworth 's image was changed .   Also in 1947 , Hayworth was featured in a Life cover story by Winthrop Sargeant that resulted in her being nicknamed `` The Love Goddess '' . The term was adopted and used later as the title of a biopic and of a biography about her . In a 1980s interview , Hayworth said , `` Everybody else does nude scenes , but I do n't . I never made nude movies . I did n't have to do that . I danced . I was provocative , I guess , in some things . But I was not completely exposed . ''   Her next film , The Loves of Carmen ( 1948 ) with Glenn Ford , was the first film co-produced by Columbia and Hayworth 's production company , The Beckworth Corporation ( named for Rebecca , her daughter with Welles ) . It was Columbia 's biggest moneymaker that year . She received a percentage of the profits from this and all her subsequent films until 1954 , when she dissolved Beckworth to pay off debts .   The Hollywood Princess ( edit )  Rita Hayworth and Prince Aly Khan at their wedding reception in the garden of the Château de l'Horizon , near Cannes ( May 27 , 1949 )  In 1948 , at the height of her fame , Hayworth traveled to Cannes and was introduced to Prince Aly Khan . They began a year - long courtship , and were married on May 27 , 1949 . Hayworth left Hollywood and sailed for France , breaking her contract with Columbia .   Because Hayworth was already one of the most well - known celebrities in the world , the courtship and the wedding received enormous press coverage around the world . Because she was still legally married to second husband Orson Welles , Hayworth also received some negative backlash for her courtship with the prince , causing some American fans to boycott her pictures . The wedding marked the first time a Hollywood actress became a princess . On December 28 , 1949 , Hayworth gave birth to the couple 's only daughter , Princess Yasmin Aga Khan .   Though Hayworth was anxious to start a new life abroad , away from Hollywood , Aly Khan 's flamboyant lifestyle and duties proved too difficult for Hayworth . She struggled to fit in with his friends , and found it difficult to learn French . Aly Khan was also known in circles as a playboy , and it was suspected that he had been unfaithful to Hayworth during the marriage .   In 1951 , Hayworth set sail with her two daughters for New York . Although the couple did reconcile for a short time , they officially divorced in 1953 .   Returning to Columbia ( edit )       This section needs additional citations for verification . Please help improve this article by adding citations to reliable sources . Unsourced material may be challenged and removed . ( January 2018 ) ( Learn how and when to remove this template message )     After the collapse of her marriage to Khan , Rita Hayworth was forced to return to Hollywood to star in her `` comeback '' picture , Affair in Trinidad ( 1952 ) which again paired her with Glenn Ford . Director Vincent Sherman recalled that Hayworth seemed `` rather frightened at the approach of doing another picture '' . She continued to clash with Columbia boss Harry Cohn , and was placed on suspension during filming . Nevertheless , the picture was highly publicized . The picture ended up grossing $1 million more than her previous blockbuster , Gilda .   She continued to star in a string of successful pictures . In 1953 , she had two films released : Salome with Charles Laughton and Stewart Granger , and Miss Sadie Thompson with José Ferrer and Aldo Ray . She was off the big screen for another four years , mainly because of a tumultuous marriage to the singer Dick Haymes . During her marriage to Haymes , she was involved in much negative publicity , which significantly lessened her appeal . By the time she returned to the screen for Fire Down Below ( 1957 ) , Kim Novak had become Columbia 's top female star . Her last musical was Pal Joey ( 1957 ) . After this film , Hayworth left Columbia for good .   She received good reviews for her performance in Separate Tables ( 1958 ) , with Burt Lancaster and David Niven , and The Story on Page One ( 1960 ) . She continued working throughout the 1960s . In 1962 , her planned Broadway debut in Step on a Crack was cancelled for undisclosed health reasons . The Money Trap ( 1964 ) paired her , for the last time , with good friend Glenn Ford . She continued to act in films until the early 1970s . She made comedic television appearances on Laugh In and The Carol Burnett Show in the 1970s . Her last film was The Wrath of God ( 1972 ) .   Struggles with Columbia pictures ( edit )   Hayworth had a strained relationship with Columbia Pictures for many years . In 1943 , she was suspended without pay for nine weeks because she refused to appear in Once Upon a Time . During this period in Hollywood , contract players could not choose their films ; they were on salary rather than receiving a fixed amount per picture .  Glenn Ford and Hayworth in Gilda ( 1946 )  In 1947 , Hayworth 's new contract with Columbia provided a salary of $250,000 plus 50 % of film 's profits .   In 1951 , Columbia alleged it had $800,000 invested in properties for her , including the film she walked out on that year . Hayworth left Hollywood to marry Prince Aly Khan and was suspended for failing to report to work on the film Affair in Trinidad . In 1952 , Hayworth refused to report for work because she objected to the script .   In 1955 , she sued Columbia Pictures to be released from her contract , but asked for her $150,000 salary , alleging that the filming failed to start when agreed . She said , `` I was in Switzerland when they sent me the script for Affair in Trinidad and I threw it across the room . But I did the picture , and Pal Joey , too . I came back to Columbia because I wanted to work and first , see , I had to finish that goddamn contract , which is how Harry Cohn owned me ! ''   `` Harry Cohn thought of me as one of the people he could exploit , and make a lot of money , '' Hayworth said in 1972 . `` And I did make a lot of money for him , but not much for me . ''   Years after her film career had ended and long after Cohn had died , Hayworth still resented her treatment by both him and Columbia . She spoke bluntly in a 1968 interview :   I used to have to punch a time clock at Columbia . Every day of my life . That 's what it was like . I was under exclusive contract , like they owned me ... I think he had my dressing room bugged ... He was very possessive of me as a person , he did n't want me to go out with anybody , have any friends . No one can live that way . So I fought him ... You want to know what I think of Harry Cohn ? He was a monster .   Hayworth resented the fact that the studio had failed to train her to sing or even to encourage her to learn how to sing . Although she appeared to sing in many of her films , she was usually dubbed . Because the public did not know her secret , she was embarrassed to be asked to sing by troops at USO shows .   `` I wanted to study singing '' , Hayworth complained , `` but Harry Cohn kept saying , ' Who needs it ? ' and the studio would n't pay for it . They had me so intimidated that I could n't have done it anyway . They always said , ' Oh , no , we ca n't let you do it . There 's no time for that ; it has to be done right now ! ' I was under contract , and that was it . ''   Hayworth did sing the acoustic guitar version of `` Put the Blame on Mame '' in Gilda . The other songs in the picture were dubbed by Anita Ellis .   Cohn had a reputation as a taskmaster , but he had his own criticisms of Hayworth . He had invested heavily in her before she began a reckless affair with the married Aly Khan , and it could have caused a backlash against her career and Columbia 's success . For instance , an article in the British periodical The People called for a boycott of Hayworth 's films : `` Hollywood must be told its already tarnished reputation will sink to rock bottom if it restores this reckless woman to a place among its stars . ''   Cohn expressed his frustration in a 1957 interview with Time magazine : `` Hayworth might be worth ten million dollars today easily ! She owned 25 % of the profits with her own company and had hit after hit and she had to get married and had to get out of the business and took a suspension because she fell in love again ! In five years , at two pictures a year , at 25 % ! Think of what she could have made ! But she did n't make pictures ! She took two or three suspensions ! She got mixed up with different characters ! Unpredictable ! ''   Public image ( edit )   Hayworth was a top glamour girl in the 1940s , a pin - up girl for military servicemen and a beauty icon for women . At 5 ft 6 in ( 1.68 m ) and 120 lb ( 54 kg ) , she was tall enough to be a concern for dancing partners such as Fred Astaire . She reportedly changed her hair color eight times in eight movies .   In 1949 , Hayworth 's lips were voted best in the world by the Artists League of America . She had a modeling contract with Max Factor to promote its Tru - Color lipsticks and Pan-Stik make - up .   Personal life ( edit )   Marriages and family ( edit )   In 1941 , Hayworth said she was the antithesis of the characters she played . `` I naturally am very shy ... and I suffer from an inferiority complex . '' Her provocative role in Gilda , in particular , was responsible for people expecting her to be what she was not . Hayworth once said , with some bitterness , `` Men go to bed with Gilda , but wake up with me . ''   Hayworth 's two younger brothers , Eduardo Cansino Jr . ( October 13 , 1919 -- March 11 , 1974 ) and Vernon Cansino , both served in World War II . Vernon left the United States Army in 1946 with several medals , including the Purple Heart , and later married Susan Vail , a dancer . Eduardo Jr. followed Hayworth into acting ; he was also under contract with Columbia Pictures . In 1950 , he made his screen debut in The Great Adventures of Captain Kidd .   Hayworth was married and divorced five times . She said , `` Basically , I am a good , gentle person , but I am attracted to mean personalities . ''  Edward Charles Judson ( edit ) Edward Judson and Rita Hayworth ( 1942 )  In 1937 , when Hayworth was 18 , she married Edward Judson , an oilman turned promoter who was more than twice her age . They married in Las Vegas . He had played a major role in launching her acting career . A shrewd businessman , he was domineering and became her manager for months before he proposed . `` He helped me with my career , '' Hayworth conceded after they divorced , `` and helped himself to my money . '' She alleged that Judson compelled her to transfer a considerable amount of her property to him and she promised to pay him $12,000 under threats that he would do her `` great bodily harm . ''   She filed for divorce from him on February 24 , 1942 , with a complaint of cruelty . She noted to the press that his work took him to Oklahoma and Texas while she lived and worked in Hollywood . Judson was as old as her father , who was enraged by the marriage , which caused a rift between Hayworth and her parents until the divorce . Judson had failed to tell Hayworth before they married that he had previously been married twice . When she left him , she literally had no money ; she asked her friend Hermes Pan if she could eat at his home .  Orson Welles ( edit ) Wedding of Orson Welles and Rita Hayworth , with best man Joseph Cotten ( September 7 , 1943 )  Hayworth married Orson Welles on September 7 , 1943 , during the run of The Mercury Wonder Show . None of her colleagues knew about the planned wedding ( before a judge ) until she announced it the day before . For the civil ceremony , she wore a beige suit , a ruffled white blouse , and a veil . A few hours after they got married , they returned to work at the studio . They had a daughter , Rebecca , who was born on December 17 , 1944 , and died at the age of 59 on October 17 , 2004 . They struggled in their marriage , with Hayworth saying that Welles did not want to be tied down :   During the entire period of our marriage , he showed no interest in establishing a home . When I suggested purchasing a home , he told me he did n't want the responsibility . Mr. Welles told me he never should have married in the first place ; that it interfered with his freedom in his way of life .   Despite this , Hayworth called Welles the `` great love of her life '' . On November 10 , 1947 , she was granted a divorce that became final the following year .  Prince Aly Khan ( edit ) Rita Hayworth and Aly Khan in Paris in 1952 , before their divorce  In 1948 , Hayworth left her film career to marry Prince Aly Khan , a son of Sultan Mahommed Shah , Aga Khan III , the leader of the Ismaili sect of Shia Islam . They were married on May 27 , 1949 . Her bridal trousseau had been influenced by Dior 's `` New Look '' , launched in 1947 .   Aly Khan and his family were heavily involved in horse racing , owning and racing horses . Hayworth had no interest in the sport , but became a member of the Del Mar Thoroughbred Club anyway . Her filly , Double Rose , won several races in France and finished second in the 1949 Prix de l'Arc de Triomphe .   In 1951 , while still married to Hayworth , Khan was spotted dancing with the actress Joan Fontaine in the nightclub where he and Hayworth had met . Hayworth threatened to divorce him in Reno , Nevada . In early May , Hayworth moved to Nevada to establish legal residence to qualify for a divorce . She stayed at Lake Tahoe with their daughter , saying there was a threat the child would be kidnapped . Hayworth filed for divorce from Khan on September 2 , 1951 , on the grounds of `` extreme cruelty , entirely mental in nature . ''   Hayworth once said she might convert to Islam , but did not . During the custody fight over their daughter , Princess Yasmin Aga Khan , born ( 1949 - 12 - 28 ) December 28 , 1949 , the prince said he wanted her to be raised as a Muslim ; Hayworth wanted the child to be raised as a Christian . Hayworth rejected his offer of $1 million if she would rear Yasmin as a Muslim from age seven and allow her to go to Europe to visit with him for two or three months each year , stating :   Nothing will make me give up Yasmin 's chance to live here in America among our precious freedoms and habits . While I respect the Muslim faith , and all other faiths , it is my earnest wish that my daughter be raised as a normal , healthy American girl in the Christian faith . There is n't any amount of money in the entire world for which it is worth sacrificing this child 's privilege of living as a normal Christian girl here in the United States . There just is n't anything else in the world that can compare with her sacred chance to do that . And I 'm going to give it to Yasmin regardless of what it costs .   In January 1953 Hayworth was granted a divorce from Aly Khan on the grounds of extreme mental cruelty . Hayworth 's daughter Yasmin played about the court while the case was being heard , finally climbing on to the Judge 's lap .  Dick Haymes ( edit ) Rita Hayworth and Dick Haymes obtaining their marriage license in Las Vegas ( September 23 , 1953 )  When Hayworth and Dick Haymes first met , he was still married and his singing career was waning . When she showed up at the clubs , he got a larger audience . Haymes was desperate for money , because two of his former wives were taking legal action against him for unpaid child support . His financial problems were so bad , he could not return to California without being arrested . On July 7 , 1954 , his ex-wife Nora Eddington got a bench warrant for his arrest , because he owed her $3,800 in alimony . Less than a week earlier , his other ex-wife , Joanne Dru , also got a bench warrant because she said he owed $4,800 in support payments for their three children . Hayworth ended up paying most of Haymes 's debts .   Haymes was born in Argentina , and did not have solid proof of American citizenship . Not long after he met Hayworth , U.S. officials initiated proceedings to have him deported to Argentina for being an illegal alien . He hoped Hayworth could influence the government and keep him in the United States . When she assumed responsibility for his citizenship , a bond was formed that led to marriage . The two were married on September 24 , 1953 , at the Sands Hotel , Las Vegas , and their wedding procession went through the casino .   From the start of their marriage , Haymes was deeply indebted to the Internal Revenue Service ( IRS ) . When Hayworth took time off from attending his comeback performances in Philadelphia , the audiences sharply declined . Haymes 's $5000 weekly salary was attached by the IRS to pay a $100,000 bill , and he was unable to pay his pianist . Haymes ' ex-wives demanded money while Hayworth publicly bemoaned her own lack of alimony from Aly Khan . At one point , the couple was effectively imprisoned in a hotel room for 24 hours in Manhattan at the Hotel Madison as sheriff 's deputies waited outside threatening to arrest Haymes for outstanding debts . At the same time , Hayworth was fighting a severe custody battle with Khan , during which she reported death threats against their children . While living in New York , Hayworth sent the children to live with their nanny in Westchester County . They were found and photographed by a reporter from Confidential magazine .   After a tumultuous two years together , Haymes struck Hayworth in the face in 1955 in public at the Cocoanut Grove nightclub in Los Angeles . Hayworth packed her bags , walked out , and never returned . The assault and crisis shook her , and her doctor ordered her to remain in bed for several days .   Hayworth was short of money after her marriage to Haymes . Sh</t>
  </si>
  <si>
    <t xml:space="preserve">they go to bed with gilda they wake up with me</t>
  </si>
  <si>
    <t xml:space="preserve"> In 1941 , Hayworth said she was the antithesis of the characters she played . `` I naturally am very shy ... and I suffer from an inferiority complex . '' Her provocative role in Gilda , in particular , was responsible for people expecting her to be what she was not . Hayworth once said , with some bitterness , `` Men go to bed with Gilda , but wake up with me . '' </t>
  </si>
  <si>
    <t xml:space="preserve">2018 Kerala floods - Wikipedia  2018 Kerala floods  Disastrous floods in Kerala in 2018    Kerala Flood 2018       Date    July 2018 ( 2018 - 07 ) -- August 2018      Location   Kerala , India     Cause   Low pressure Heavy rain Large discharge from dams Landslide     Deaths   483 dead , 15 went missing     Property damage   ₹ 19,500 crore ( US $3 billion ) ( estimated )     Website   www.keralarescue.in     Death toll by date   Date   Death toll   People in relief camps       Aug 9   23   8,000     Aug 10   29   53,501     Aug 11   33   60,622     Aug 13   39   N / A     Aug 15   47   N / A     Aug 16   105   150,000     Aug 17   114   314,391     Aug 18   195   887,000     Aug 19   220   724,649     Aug 20   252   1,028,073     --   --   --     Aug 30   483   N / A    Monsoon rainfall that affected India from August 13 to 20 , 2018 Red alert issued by India Meteorological Department ( earlier in August )  Beginning on 15 August 2018 , severe floods affected the south Indian state of Kerala , due to unusually high rainfall during the monsoon season . It was the worst flooding in Kerala in nearly a century . Over 483 people died , and 15 are missing . At least a million people were evacuated , mainly from Chengannur , Pandanad , Edanad , Aranmula , Kozhencherry , Ayiroor , Ranni , Pandalam , Kuttanad , Aluva , and Chalakudy , N. Paravur , Chendamangalam , Eloor and few places in Vypin Island . All 14 districts of the state were placed on red alert . According to the Kerala government , one - sixth of the total population of Kerala had been directly affected by the floods and related incidents . The Indian government had declared it a Level 3 Calamity , or `` calamity of a severe nature '' . It is the worst flood in Kerala after the great flood of 99 that happened in 1924 .   Thirty - five out of the fifty - four dams within the state were opened for the first time in history . All five overflow gates of the Idukki Dam were opened at the same time , for the first time in 26 years . Heavy rains in Wayanad and Idukki have caused severe landslides and have left the hilly districts isolated . The situation was regularly monitored by the Prime Minister , and the National Crisis Management Committee coordinated the rescue and relief operations .   Contents    1 Their causes   2 Impact   3 Rescue   3.1 Animals     4 Relief and monetary aid   4.1 Government , NGOs and NPOs   4.2 Housing Projects for Flood victims by NGOs   4.3 Corporate and Individuals     5 Response   5.1 International     6 Rainfall data   6.1 Rainfall departures   6.2 Cumulative rainfall by district     7 Immediate drought after flood   8 References   9 External links    Their causes ( edit )   Kerala received heavy monsoon rainfall , which was about 256 % more than the usual rain fall in Kerala , on the mid-evening of August 8 , resulting in dams filling to capacity ; in the first 24 hours of rainfall the state received 310 mm ( 12 in ) of rain . Almost all dams had been opened since the water level had risen close to overflow level due to heavy rainfall , flooding local low - lying areas . For the first time in the state 's history , 35 of its 54 dams had been opened .   The Government of Kerala argued in the Supreme Court that the sudden release of water from the Mullaperiyar Dam by the Tamil Nadu government was one of the reasons for the devastating flood in Kerala . The Tamil Nadu government rejected the argument , saying that Kerala suffered the deluge due to the discharge of excess water from 80 reservoirs across Kerala , spurred by heavy rains from within the state ; It also argued that the flood surplus from the Idukki dam is mainly due to the flows generated from its own independent catchment due to unprecedented heavy rainfall , while the discharge from Mullaperiyar dam was significantly less . Though it is difficult to attribute any single event to climate change , its possible role in causing the heavy rainfall event over Kerala can not be ruled out .   Impact ( edit )  Kerala before ( Above ) and after ( Below ) the floods , released by NASA . The images are false - color , which makes flood water appear dark blue and vegetation bright green . Play media The flooded Mullassery Canal , Angamaly , Kerala , India  A state official told AFP that 370 people have died , while The Economic Times has reported that 33,000 people have been rescued . The Kerala State Disaster Management Authority has placed the state in a red alert as a result of the intense flooding . A number of water treatment plants were forced to cease pumping water , resulting in poor access to clean water , especially in northern districts of the state . Over 3,274 relief camps have been opened at various locations to accommodate the flood victims . It is estimated that 1,247,496 people have found shelter in such camps . The flooding has affected hundreds of villages , destroyed an estimated 10,000 km ( 6,200 mi ) of roads and thousands of homes have been damaged or destroyed . The Government cancelled Onam celebrations , whose allocated funds have been reallocated to relief efforts . On August 12 , Cochin International Airport , India 's fourth busiest in terms of international traffic , and the busiest in the state suspended all operations until 29 August , following runway flooding . Many schools throughout the state have been closed , and tourists have been dissuaded or banned from some districts due to safety concerns . Kochi Metro was closed briefly on August 16 , and has since begun offering free service to aid those affected by the flooding . Due to heavy rain and rising water levels the southern railway has suspended train services on the Thiruvananthapuram - Kottayam - Ernakulam and Ernakulam - Shoranur - Palakkad sections .  A flooded home as on 16 August 2018 ( left ) , A street flooded in Kerala ( center ) and Aerial view as seen on 16 August 2018 ( right )  Rescue ( edit )  Southern Naval Command initiates Operation Madad in Kerala on 16 August 2018 Padivattom disaster relief camp on 17 August 2018 Odisha fire personnel leaving from Bhubaneswar for rescue operations in Kerala  Being instructed by the Cabinet Secretary , senior officers of Defence Services , NDRF , NDMA and secretaries of Civilian Ministries conducted meetings with Kerala Chief Secretary . Following the decisions taken during these meetings , the Centre launched massive rescue and relief operations . In one of the largest rescue operations , 40 helicopters , 31 aircraft , 182 teams for rescue , 18 medical teams of defense forces , 58 teams of NDRF and 7 companies of Central Armed Police Forces were pressed into service along with over 500 boats and necessary rescue equipments .   The fishermen from across Kerala were engaged in the flood rescue missions . According to the government 's estimate , a total of 4,537 from the fishermen community participated in the rescue operation with 669 fishing boats . They managed to rescue more than 65,000 people from various districts . Pinarayi Vijayan honoured the fishermen and the Fisheries Minister J. Mercykutty Amma said that the government will provide financial aid to repair the fishing boats which were partially damaged in the rescue operations while new ones will be provided for those boats which were completely destroyed . According to estimates , seven boats were completely destroyed , while 452 were partially destroyed .   Animals ( edit )   Sally Varma of Humane Society International arranged for animals to be rescued and transported to special shelters that housed affected animals . Social media has been used to highlight the rescue of multiple animals - dogs , cats , goats , cows , cattle , ducks and snakes , with animal feed and medicine transported to affected areas .   A worker with the Humane Society International spoke out against the tethering and leaving of pets that occurred . `` That became a problem . So many tethered animals just drowned . These animals are natural swimmers , and it is better to keep them free so they can swim to higher ground . '' According to government records more than 8,000 cattle , calves and buffaloes , 3,297 goats , and 47 dogs have died due to the flooding .   The District Collector of Malappuram , and its Chief of Police have instructed the police force to save any animal that they encounter during rescue operations .   Relief and monetary aid ( edit )   Government , ngos and npos ( edit )    The Government of Kerala started a donation website for flood victims . As of 30 August 2018 , ₹ 1,206.7 crore ( US $170 million ) was collected from the public including organisations , corporate firms and famous personalities .   The Prime Minister of India , Narendra Modi announced a sum of ₹ 500 crore ( US $70 million ) as interim relief for Kerala on 18 August 2018 . This is in addition to ₹ 562.45 crore ( US $78 million ) already made available in SDRF of the State and ₹ 100 crore ( US $14 million ) announced on 12 August 2018 by the Home Minister . The central government also said in its press release that this ₹ 600 crore ( US $84 million ) is only the advance assistance and that additional funds will be released by the NDRF when an inter-ministerial team visits again and assesses the damage . The central government , in one of the largest rescue operations , deployed 40 helicopters , 31 aircraft , 500 boats , 182 rescue teams and 18 medical teams of defence forces , 58 teams of NDRF and 7 companies of Central Armed Police Forces . Together they saved over 60,000 human lives .   European Union announced an assistance of ₹ 1.53 crore ( US $210,000 ) in aid funding to the Indian Red Cross Society for providing relief to flood - affected people in Kerala .   The Governments of Qatar , Pakistan , Maldives and Thailand extended condolences and offered humanitarian assistance and monetary aid .   Mata Amritanandamayi Math donated ₹ 10 crore ( US $1.4 million ) to the Kerala Chief Minister 's Distress Relief Fund , in addition to providing relief materials and helping in rescue operations .   People 's Foundation , an NGO based in Calicut , had served with 37,000 volunteers for rescue and hygiene operations . Their volunteers had cleaned 11,139 houses and conducted 494 relief camps for flood victims . They also committed to build 500 houses which having the cost of ₹ 30 crore ( US $4.2 million )   A fundraising campaign started on Facebook by charitable organisations Knanaya Catholic Yuvajanavedhi of Chicago and Care and Share along with a person named Arun Simon Nellamattom and others raised and donated US $1.6 million to Kerala Chief Minister 's Distress Relief Fund .   IsraAid , an Israeli NGO sent relief workers to distribute supplies and assess needs for clean water , sanitation , and psychological care .   Many Members of Parliament , Members of State Legislative Assemblies and Councils , civil servants and government employees across the country have also donated their one month 's salary and / or allowances towards Kerala Chief Minister 's Distress Relief Fund .   Chief Ministers of almost all the states and Union Territories have pledged monetary aid from their respective state funds in addition to dispatch of various relief materials such as potable water , blankets , packed food , rice , water - purifying machines , daily - use and healthcare products . Monetary contributions are listed below :      State / Union Territory   Amounts   Refs     Andhra Pradesh   ₹ 10 crore ( US $1.4 million )       Arunachal Pradesh   ₹ 3 crore ( US $420,000 )       Assam   ₹ 3 crore ( US $420,000 )       Bihar   ₹ 10 crore ( US $1.4 million )       Chhattisgarh   ₹ 3 crore ( US $420,000 )       Delhi   ₹ 10 crore ( US $1.4 million )       Goa   ₹ 5 crore ( US $700,000 )       Gujarat   ₹ 10 crore ( US $1.4 million )       Haryana   ₹ 10 crore ( US $1.4 million )       Himachal Pradesh   ₹ 5 crore ( US $700,000 )       Jharkhand   ₹ 5 crore ( US $700,000 )       Karnataka   ₹ 10 crore ( US $1.4 million )       Madhya Pradesh   ₹ 10 crore ( US $1.4 million )       Maharashtra   ₹ 20 crore ( US $2.8 million )       Manipur   ₹ 2 crore ( US $280,000 )       Meghalaya   ₹ 1 crore ( US $140,000 )       Mizoram   ₹ 2 crore ( US $280,000 )       Nagaland   ₹ 1 crore ( US $140,000 )       Odisha   ₹ 10 crore ( US $1.4 million )       Puducherry   ₹ 1 crore ( US $140,000 )       Punjab   ₹ 5 crore ( US $700,000 )       Rajasthan   ₹ 10 crore ( US $1.4 million )       Tamil Nadu   ₹ 10 crore ( US $1.4 million )       Telangana   ₹ 25 crore ( US $3.5 million )       Tripura   ₹ 1 crore ( US $140,000 )       Uttar Pradesh   ₹ 15 crore ( US $2.1 million )       Uttarakhand   ₹ 5 crore ( US $700,000 )       West Bengal   ₹ 10 crore ( US $1.4 million )       Total   ₹ 212 crore ( US $30 million )     Housing Projects for Flood victims by NGOs ( edit )     Name of Organization   Number of House   Refs     Act On   300       Peoples Fondation   500       Muslim Jamaath   1000       Joy Alukkas   250       Muthoot Group   200       Co operative department   1500       Total   3750     Corporate and individuals ( edit )    Google , Facebook and e-commerce websites Amazon , Flipkart , BigBasket , Airtel Payments Bank , Paytm and Google Pay have also provided an option for donation for relief efforts on their respective platforms .   Major oil companies of India such as BPCL , HPCL , IOCL and others have collectively donated ₹ 25 crore ( US $3.5 million ) to the Kerala Chief Minister 's Distress Relief Fund , in addition to providing relief materials and helping in rescue operations .   Reliance Foundation chairperson Nita Ambani has announced a donation of ₹ 21 crore ( US $2.9 million ) to the Kerala Chief Minister 's Distress Relief Fund , besides relief materials worth around ₹ 50 crore ( US $7.0 million ) .   Adani Foundation the CSR , sustainability and community outreach arm of the Adani Group , has committed to provide ₹ 1 crore ( US $140,000 ) for immediate relief and another ₹ 1 crore ( US $140,000 ) is earmarked for rehabilitation and resettlement .   Star India , its parent company 21st Century Fox and their employees have collectively donated ₹ 5 crore ( US $700,000 ) .   Canara Bank , a leading nationalized public sector bank , donated ₹ 5.01 crore ( US $700,000 ) towards Kerala Chief Minister 's Disaster Relief Fund . Besides this , 10000 kg of rice packets were also donated under CSR .   Bollywood actor Sushant Singh Rajput has donated ₹ 1 crore ( US $140,000 ) to the Kerala Chief Minister 's relief fund on behalf of an Instagram fan . He also sent his team for relief activity in Kerala . Vidya Balan , Siddharth Roy Kapoor , Shah Rukh Khan , Amitabh Bachchan , Abhishek Bachchan , Alia Bhatt , Siddharth Suryanarayan , Rishi Kapoor , Vidhu Vinod Chopra , Akshay Kumar , Suriya and Resul Pookutty are others from film industry to have contributed to Kerala Chief Minister 's relief fund .   KP Hussain , chairman of Fathima Healthcare Group , has donated ₹ 1 crore ( US $140,000 ) to the Kerala Chief Minister 's relief fund , and another ₹ 4 crore ( US $560,000 ) for medical relief aid .   Doctor , entrepreneur and philanthropist Dr. Shamsheer Vayalil will donate ₹ 50 crore ( US $7.0 million ) for the relief of flood victims by setting up a project to fight housing , education and healthcare issues .   UAE - based Indian businesses have donated ₹ 18.85 crore ( US $2.6 million ) so far to Khalifa Bin Zayed Al Nahyan Foundation 's relief fund . Among those to donate were Indian businessmen Yusuff Ali M.A. , chairman and managing director of LuLu Group International , and Dr. B.R. Shetty , founder and chairman of NMC Health .   Bombay High Court directed Galpha Laboratories to deposit a sum of ₹ 1.5 crore ( US $210,000 ) towards the Kerala Chief Minister 's Fund after losing trademark infringement case filed by Glenmark Pharmaceuticals . The court initially said that Galpha Laboratories would have to pay the sum to Glenmark Pharmaceuticals . However , Glenmark Pharmaceuticals requested the court to direct Galpha Laboratories to deposit the sum in an NGO . Following this , the court directed that the money is to be deposited in the Kerala Chief Minister 's Fund .   Indian cricket team captain , Virat Kohli , dedicated his team 's test win over England at Trent Bridge to the flood victims of Kerala . The Indian team is planning to donate match fees for Kerala flood victims .   Chipsan Aviation provided 3 helicopters for rescue &amp; Relief operations .   CHD Group , a Mangalore - headquartered public health organization led by Dr. Edmond Fernandes , MD has been working tirelessly in championing the needs of tribal communities , adivasis and other backward areas in optimizing their healthcare post disaster .    Response ( edit )  India 's Prime Minister Narendra Modi being received by the Governor of Kerala P. Sathasivam and the Chief Minister of Kerala , Pinarayi Vijayan , on his arrival , in Kochi , to survey the flood - affected areas , on 18 August 2018 .  At a press conference on 11 August , Chief Secretary Tom Jose said , `` Things are well under control . The government is on top of the situation . '' Prime Minister Narendra Modi conducted an aerial survey and offered federal support to Kerala . Chief Minister Pinarayi Vijayan described the floods as `` something that has never happened before in the history of Kerala '' and placed some of the blame on neighbouring Tamil Nadu for releasing excess water from the State - operated Mullaperiyar dam , which worsened the situation .   International ( edit )   The United States embassy urged its citizens to avoid traveling to the affected areas . The UAE embassy in India issues warning for its citizens regarding the flood . The embassy also said that the weather agencies in India have given warnings regarding heavy rainfall in the southern state of Kerala . The President of UAE His Highness Sheikh Khalifa bin Zayed Al Nahyan has instructed the formation of a national emergency committee to provide relief assistance to people affected by flash floods in the Indian state of Kerala . Imran Khan , the newly elected Prime minister of Pakistan expressed his grief at the loss of lives in Kerala floods , and he said his country is ready to provide any humanitarian assistance if needed .   There was a controversy regarding an alleged offer of US $100 million from the Government of the UAE . Ministry of External Affairs of India clarified that they received no such offer for financial help from any country . The UAE Ambassador to India also declared that , officially , there was no announcement on donation to the State of Kerala .   Rainfall data ( edit )   Rainfall departures ( edit )   Week by week departures from normal ( % ) ( date indicates the end of the week )  50 100 150 200 250 300 6 / 6 6 / 13 6 / 20 6 / 27 7 / 4 7 / 11 7 / 18 7 / 25 8 / 1 8 / 8 8 / 15 8 / 22 8 / 29 9 / 5  Cumulative rainfall by district ( edit )  1 June 2018 -- 22 August 2018  Percentage increase in rainfall compared to normal .   ( 1 June 2018 -- 17 August 2018 )   District   Rainfall ( mm )   Normal ( mm )   % increase     Alappuzha   1648.1   1309.5   29 %     Ernakulam   2305.9   1606.0   48 %     Idukki   3211.1   1749.1   94 %     Kannur   2450.9   2234.9   10 %     Kasaragod   2549.94   2489.1   12 %     Kollam   1427.3   985.4   56 %     Kottayam   2137.6   1452.6   50 %     Kozhikode   2796.4   2156.5   30 %     Malappuram   2529.8   1687.3   52 %     Palakkad   2135.0   1254.2   75 %     Pathanamthitta   1762.7   1287.5   44 %     Thiruvananthapuram   920.8   643.0   45 %     Thrissur   1894.5   1738.2   16 %     Wayanad   2676.8   2167.2   26 %     Kerala   2226.4   1620.0   41 %     Immediate drought after flood ( edit )   A few days after receiving one of the highest rainfall in a century , Kerala came under the threat of severe drought . Water level in wells , ponds and rivers have recorded lowest levels and some wells even collapsed . The water level in wells , especially in high ranges of Idukki district has come down by 20 feet in just a matter of 15 days . Chief minister Pinarayi Vijayan has directed the State council for Science , Technology &amp; Environment to carry out studies on the phenomenon after floods across the state and suggest possible solutions to the problem .   A.B. Anita , executive director , Centre for Water Resources Development Management ( CWRDM ) , an autonomous research institution under the State government , said heavy run - off of the top soil in the upland areas and the siltation in the rivers were the reasons for the falling water level . The top soil in the hills and upland areas had been removed in the flash floods to a depth of up to two metres in many places . As the top soil was shaved off , it ruined the hills ' capacity to sponge in rainwater , she said . Ms. Anita cited ecological destruction caused by deforestation , harmful land use in the upland areas and sand mining in the streams and rivers as having contributed to the top soil run - off and siltation . This was exacerbated by the impact of climate change at the macro level .   Echoing her views , experts at the National Institute of Technology , Calicut , ( NIT - C ) said it was usual for the water level in the rivers and domestic wells to fall after fluvial floods . `` Normally , a river flows through the sand of its own bearing till the mouth . However , this time the discharge has been full , taking the sand and the rocks in the youth - stage along with the floods . `` So the water level in the rivers comes down . And when the river water level is reduced , the groundwater table also does not get replenished since the rivers and groundwater table are connected , '' said K. Saseendran , geologist and professor at the NIT - C .   References ( edit )    Jump up ^ `` 483 Dead , 14 Missing In Kerala Floods : Pinarayi Vijayan '' . Archived from the original on 1 September 2018 . Retrieved 2 September 2018 .   Jump up ^ `` Kerala floods : Insurers expect ₹ 500 crore hit from claims '' . News18 . Kochi. 13 August 2018 . Archived from the original on 21 August 2018 . Retrieved 17 August 2018 .   Jump up ^ `` KERALA FLOODS - A TIMELINE '' . The New Indian Express . 1 September 2018 .   Jump up ^ `` Kerala Floods 2018 Video '' . 28 August 2018 . Archived from the original on 1 September 2018 .   Jump up ^ Baynes , Chris ( 15 August 2018 ) . `` Worst floods in nearly a century kill 44 in India 's Kerala state amid torrential monsoon rains '' . The Independent . Archived from the original on 15 August 2018 . Retrieved 16 August 2018 .   Jump up ^ `` 483 dead in Kerala floods and landslides , losses more than annual plan outlay : Pinarayi Vijayan '' . 30 August 2018 . Retrieved 2 September 2018 .   ^ Jump up to : `` National Disaster Management Authority on Twitter '' . Retrieved 22 August 2018 .   Jump up ^ Babu , Gireesh ( 17 August 2018 ) . `` Monsoon havoc in Kerala : 324 lives lost since May 29 , says CM Vijayan '' . Business Standard India . Archived from the original on 17 August 2018 . Retrieved 18 August 2018 .   Jump up ^ `` Flood hit over Chengannur '' . Archived from the original on 23 August 2018 .   Jump up ^ `` Attempts to rescue people in Pandanad , continue '' . Archived from the original on 21 August 2018 .   ^ Jump up to : `` Kerala floods live updates : Death toll rises to 79 ; Kochi airport to remain closed till August 26 '' . Times of India . Archived from the original on 16 August 2018 . Retrieved 16 August 2018 .   Jump up ^ `` Death toll soars in India monsoon floods '' . BBC News . 16 August 2018 . Archived from the original on 16 August 2018 . Retrieved 17 August 2018 .   ^ Jump up to : `` Sudden water release by Tamil Nadu from Mullaperiyar a reason for deluge : Kerala to SC - Times of India '' . The Times of India . Archived from the original on 23 August 2018 . Retrieved 23 August 2018 .   Jump up ^ Raghavan , T. ca Sharad ( 2018 - 08 - 20 ) . `` The Hindu explains : ' Calamity of a severe nature ' '' . The Hindu . ISSN 0971 - 751X . Retrieved 2018 - 08 - 24 .   Jump up ^ `` Centre declares Kerala floods ' Level - 3 ' calamity ; demand to call it ' national disaster ' either ignorance or mischief - Firstpost '' . www.firstpost.com . Archived from the original on 25 August 2018 . Retrieved 24 August 2018 .   ^ Jump up to : `` Water Resources '' . ECONOMIC REVIEW 2017 . State Planning Board , Kerala . Archived from the original on 29 August 2018 . Retrieved 28 August 2018 .   Jump up ^ `` All 5 Idukki Dam gates opened for the 1st time in history as Kerala battles unending rains '' . India Today . Archived from the original on 10 August 2018 . Retrieved 10 August 2018 .   Jump up ^ `` Landslides hit several places in Malabar ; Munnar , Wayanad isolated '' . Mathrubhumi . Archived from the original on 15 August 2018 . Retrieved 15 August 2018 .   ^ Jump up to : `` Kerala floods : Centre to give more funds to state , says Rs 600 crore was only advance assistance '' . The Indian Express . 23 August 2018 . Archived from the original on 24 August 2018 . Retrieved 23 August 2018 .   Jump up ^ Fawkes , Chris ( 10 August 2018 ) . `` Active monsoon brings more flooding '' . BBC News . Archived from the original on 13 August 2018 . Retrieved 16 August 2018 .   Jump up ^ Gupta , Swati ( 16 August 2018 ) . `` Kerala floods : Red alert issued as death toll rises in Indian state '' . CNN . Archived from the original on 16 August 2018 . Retrieved 16 August 2018 .   Jump up ^ `` India 's devastating rains match climate change forecasts '' . AFP.com . Archived from the original on 26 August 2018 . Retrieved 26 August 2018 .   ^ Jump up to : Padanna , Ashraf ( 16 August 2018 ) . `` India monsoon floods kill 73 in Kerala '' . BBC News . Archived from the original on 17 August 2018 . Retrieved 16 August 2018 .   Jump up ^ `` Kerala Floods LIVE : Death toll rises to 114 , rescue operations underway '' . The Economic Times . 16 August 2018 . Archived from the original on 16 August 2018 . Retrieved 17 August 2018 .   ^ Jump up to : `` India : Death toll in devastating Kerala floods rises to 77 '' . Al Jazeera. 16 August 2018 . Archived from the original on 15 August 2018 . Retrieved 16 August 2018 .   Jump up ^ Surya , Jisha ( 16 August 2018 ) . `` Kerala floods : Drinking water supply hit in major places '' . The Times of India . Archived from the original on 17 August 2018 . Retrieved 16 August 2018 .   Jump up ^ Pradha , Bibhudatta . `` Over 8 Lakh People in Nearly 4,000 Relief Camps Across Flood - Hit Kerala '' . NDTV . Archived from the original on 20 August 2018 . Retrieved 20 August 2018 .   Jump up ^ `` Kerala floods kill dozens with 36,000 evacuated '' . The Guardian . 12 August 2018 . Archived from the original on 15 August 2018 . Retrieved 16 August 2018 .   Jump up ^ `` Kerala floods : Govt puts off Onam celebrations '' . Times of India . 14 August 2018 . Archived from the original on 15 August 2018 . Retrieved 16 August 2018 .   Jump up ^ `` Kerala floods LIVE updates : Death toll touches 75 , Cochin airport to remain closed till August 26 afternoon '' . The Indian Express . 16 August 2018 . Archived from the original on 16 August 2018 . Retrieved 16 August 2018 .   Jump up ^ `` Kerala floods live updates : Death toll rises to 79 ; Kochi airport to remain closed till August 26 -- The Times of India '' . The Times of India . Archived from the original on 16 August 2018 . Retrieved 16 August 2018 .   Jump up ^ `` NDRF saved 535 lives and evacuated more than 24,600 marooned people in flood - hit Kerala '' . National Disaster Response Force . Ministry of Home Affairs , Government of India . Archived from the original on 30 August 2018 . Retrieved 30 August 2018 .   Jump up ^ `` SNC Terminates ' OP Madad ' '' . Press Information Bureau . Ministry of Defence . Archived from the original on 8 August 2018 . Retrieved 30 August 2018 .   Jump up ^ `` HADR Operations by IAF in Kerala '' . Press Information Bureau . Ministry of Defence . Archived from the original on 8 August 2018 . Retrieved 30 August 2018 .   Jump up ^ `` Flood Relief Operation by Indian Army in Kerala '' . Press Information Bureau . Ministry of Defence . Archived from the original on 30 August 2018 . Retrieved 30 August 2018 .   Jump up ^ Kerala Floods 2018 : Fishermen of Kerala -- Supermen without capes Updated Aug 21 , 2018 19 : 22 IST Mirror Now Digital   Jump up ^ `` Kerala floods : Fishermen set a new model in rescue mission '' . Times of India . Retrieved 17 August 2018 .   Jump up ^ `` Fishermen who saved flood - hit people in Kerala have a name - Coastal Warriors '' . Times of India . Retrieved 19 August 2018 .   Jump up ^ `` Kerala 's ' big salute ' to fishermen who rescued flood - hit people '' . Times of India . Archived from the original on 31 August 2018 . Retrieved 29 August 2018 .   Jump up ^ `` Fishermen 's rescue efforts commended '' . The Hindu . Archived from the original on 30 August 2018 . Retrieved 29 August 2018 .   ^ Jump up to : `` India 's ' biggest ' pet rescue operation in Kerala floods '' . BBC News . 23 August 2018 . Archived from the original on 24 August 2018 . Retrieved 23 August 2018 .   Jump up ^ `` Kerala floods : Animal rescue helpline flooded with calls '' . India Today . Archived from the original on 21 August 2018 . Retrieved 23 August 2018 .   Jump up ^ `` The Chief Minister 's Distress Relief Fund '' . Archived from the original on 23 February 2016 . Retrieved 19 August 2018 .   Jump up ^ `` ( title ) '' . Archived from the original on 24 August 2018 . Retrieved 24 August 2018 .   Jump up ^ `` PMO India 's Official Tweet '' . 18 August 2018 . Retrieved 22 August 2018 .   Jump up ^ `` Central assistance to flood affected Kerala '' . Press Information Bureau . Archived from the original on 1 September 2018 . Retrieved 1 September 2018 .   Jump up ^ `` MoHA , India - Central assistance to flood affected Kerala '' . Press Information Bureau . Archived from the original on 24 August 2018 . Retrieved 24 August 2018 .   Jump up ^ `` Will release more funds to Kerala after fresh assessment of damages : Center '' . Times of India . Retrieved 2018 - 08 - 23 .   Jump up ^ `` EU Gives 190,000 Euros To Indian Red Cross For Kerala Flood Relief '' .   Jump up ^ `` European Union to help in Kerala flood relief through Red Cross '' .   Jump up ^ `` EU announces Euro 1.9 lakh to Indian Red Cross Society for Kerala flood relief '' . Indian Express . Archived from the original on 25 August 2018 . Retrieved 24 August 2018 .   Jump up ^ `` PM of Qatar tweets for support '' . Retrieved 24 August 2018 .   Jump up ^ `` PM of Pakistan tweets for support '' . Retrieved 24 August 2018 .   Jump up ^ `` Maldives to contribute towards Kerala flood relief '' . The Hindu . Retrieved 24 August 2018 .   Jump up ^ `` Mata Amritanandamayi Math donates Rs 10 crore to CM 's Relief Fund '' . The New Indian Express . 30 August 2018 . Archived from the original on 31 August 2018 . Retrieved 31 August 2018 .   Jump up ^ `` People 's foundation serviced with 37000 volunteer &amp; builds 500 houses , having the cost of 30Cr '' .   Jump up ^ `` Kerala Flood Relief Fund from USA through Facebook Campaign '' .   Jump up ^ `` Handing over check to CM '' .   Jump up ^ `` IsraAID sends team to help flood victims in southern India '' . Archived from the original on 26 August 2018 . Retrieved 2 September 2018 .   Jump up ^ `` IsraAid comes to the rescue after horrific floods strike Kerala , India '' . Archived from the original on 27 August 2018 . Retrieved 2 September 2018 .   Jump up ^ `` DMK MLAs and MPs will donated their salary to Kerala flood relief '' . Archived from the original on 22 August 2018 .   Jump up ^ `` Vice President Donates one month salary to Kerala flood relief '' .   Jump up ^ `` AAP MLAs and MPs donate their one month salary to Kerala flood relief fund '' . Archived from the original on 23 August 2018 .   Jump up ^ `` Chandrababu Naidu , CM - AP on Twitter '' .   Jump up ^ `` Pema Khandu , CM - AR on Twitter '' .   Jump up ^ `` CMO Assam on Twitter '' .   Jump up ^ `` Nitish Kumar , CM - BR on Twitter '' .   Jump up ^ `` Raman Singh , CM - CG on Twitter '' .   Jump up ^ `` Arvind Kejriwal , CM - DL on Twitter '' .   Jump up ^ `` CMO Goa on Twitter '' .   Jump up ^ `` CMO Gujarat on Twitter '' .   Jump up ^ `` M.L. Khattar , CM - HR on Twitter '' .   Jump up ^ `` CMO Himachal Pradesh on Twitter '' .   Jump up ^ `` Raghubar Das , CM - JH on Twitter '' .   Jump up ^ `` Karnataka gives Rs 10 crore aid , to send doctors to rain - ravaged Kerala '' . The New Indian Express . 11 August 2018 . Archived from the original on 30 August 2018 . Retrieved 30 August 2018 .   Jump up ^ </t>
  </si>
  <si>
    <t xml:space="preserve">which places in kerala are affected by flood</t>
  </si>
  <si>
    <t xml:space="preserve"> Beginning on 15 August 2018 , severe floods affected the south Indian state of Kerala , due to unusually high rainfall during the monsoon season . It was the worst flooding in Kerala in nearly a century . Over 483 people died , and 15 are missing . At least a million people were evacuated , mainly from Chengannur , Pandanad , Edanad , Aranmula , Kozhencherry , Ayiroor , Ranni , Pandalam , Kuttanad , Aluva , and Chalakudy , N. Paravur , Chendamangalam , Eloor and few places in Vypin Island . All 14 districts of the state were placed on red alert . According to the Kerala government , one - sixth of the total population of Kerala had been directly affected by the floods and related incidents . The Indian government had declared it a Level 3 Calamity , or `` calamity of a severe nature '' . It is the worst flood in Kerala after the great flood of 99 that happened in 1924 . </t>
  </si>
  <si>
    <r>
      <rPr>
        <sz val="11"/>
        <color rgb="FF000000"/>
        <rFont val="Calibri"/>
        <family val="0"/>
        <charset val="1"/>
      </rPr>
      <t xml:space="preserve">List of Dragon Ball films - wikipedia  List of Dragon Ball films  Dragon Box : The Movies , a DVD box set that includes the first seventeen theatrical films , released by Toei on April 14 , 2006 .  Since the debut of the anime adaptation of Akira Toriyama 's Dragon Ball manga in 1986 , Toei Animation has produced twenty theatrical films based on the franchise : four based on the original Dragon Ball anime , fifteen based on the sequel series Dragon Ball Z and one upcoming film based on the Dragon Ball Super series .   The first seventeen films were originally shown as back - to - back presentations alongside other Toei film productions and thus have a running time below feature length ( around 45 -- 60 minutes each ) , the sole exception being 1996 's The Path to Power ( which has a running time of 80 minutes ) . The first through fifth films were shown at the Toei Manga Festival ( </t>
    </r>
    <r>
      <rPr>
        <sz val="11"/>
        <color rgb="FF000000"/>
        <rFont val="Noto Sans CJK SC"/>
        <family val="2"/>
      </rPr>
      <t xml:space="preserve">東映 まんが まつり </t>
    </r>
    <r>
      <rPr>
        <sz val="11"/>
        <color rgb="FF000000"/>
        <rFont val="Calibri"/>
        <family val="0"/>
        <charset val="1"/>
      </rPr>
      <t xml:space="preserve">, Tōei Manga Matsuri ) , while the sixth through seventeenth films were shown at the Toei Anime Fair ( </t>
    </r>
    <r>
      <rPr>
        <sz val="11"/>
        <color rgb="FF000000"/>
        <rFont val="Noto Sans CJK SC"/>
        <family val="2"/>
      </rPr>
      <t xml:space="preserve">東映 アニメ フェア </t>
    </r>
    <r>
      <rPr>
        <sz val="11"/>
        <color rgb="FF000000"/>
        <rFont val="Calibri"/>
        <family val="0"/>
        <charset val="1"/>
      </rPr>
      <t xml:space="preserve">, Toei Anime Fea ) . These films were mostly alternate re-tellings of certain story arcs involving new characters or extra side - stories that do not correlate with the same continuity as the manga or TV series . By 2002 , the first seventeen films drew a box office audience of 49 million viewers .   The newest films in the series , Battle of Gods , Resurrection ' F ' and Broly , differ from the earlier ones , as they are full - length feature films set between chapters 517 and 518 of the manga , with Toriyama deeply involved in their creation . Toriyama did have some involvement with the earlier films , such as checking the scripts , altering new characters and their names or designing them from the ground up himself .   There are also three television specials that were broadcast on Fuji TV and two short films , which were shown at the 2008 Jump Super Anime Tour and Jump Festa 2012 respectively . A two - part hour - long crossover TV special between Dragon Ball Z , One Piece and Toriko aired on Fuji TV in 2013 . Additionally , there is a two - part original video animation created as strategy guides for the 1993 video game Dragon Ball Z Side Story : Plan to Eradicate the Saiyans , which was remade in 2010 and included with the Raging Blast 2 video game .   As with the franchise 's anime television series , all twenty films and the first three TV specials were licensed in North America by Funimation . Dragon Ball Z movies six and twelve received select theatrical presentations in the United States , as part of a double - feature on March 17 , 2006 , while movies fourteen and fifteen were given limited theatrical runs in August 2014 and August 2015 respectively . In Europe , AB Groupe licensed the second and third Dragon Ball movies , the first nine Z movies and the first two TV specials .   Contents    1 Theatrical films   2 Television specials   3 Festival shorts   4 Original video animations   5 Educational programs   6 See also   7 Notes   8 References    Theatrical films ( edit )     No .   Japanese title   English translation   English title   Japanese release   North American release       Shenron no Densetsu ( </t>
    </r>
    <r>
      <rPr>
        <sz val="11"/>
        <color rgb="FF000000"/>
        <rFont val="Noto Sans CJK SC"/>
        <family val="2"/>
      </rPr>
      <t xml:space="preserve">神龍 の 伝説 </t>
    </r>
    <r>
      <rPr>
        <sz val="11"/>
        <color rgb="FF000000"/>
        <rFont val="Calibri"/>
        <family val="0"/>
        <charset val="1"/>
      </rPr>
      <t xml:space="preserve">)   The Legend of Shenron   Curse of the Blood Rubies   December 20 , 1986 ( 1986 - 12 - 20 )   December 28 , 1989 ( 1989 - 12 - 28 ) ( Harmony Gold edit ; TV airing ) September 9 , 1995 ( 1995 - 09 - 09 ) ( BLT Productions dub ) December 28 , 2010 ( 2010 - 12 - 28 ) ( Funimation dub )       Majin - jō no Nemuri Hime ( </t>
    </r>
    <r>
      <rPr>
        <sz val="11"/>
        <color rgb="FF000000"/>
        <rFont val="Noto Sans CJK SC"/>
        <family val="2"/>
      </rPr>
      <t xml:space="preserve">魔神 城 の ねむり 姫 </t>
    </r>
    <r>
      <rPr>
        <sz val="11"/>
        <color rgb="FF000000"/>
        <rFont val="Calibri"/>
        <family val="0"/>
        <charset val="1"/>
      </rPr>
      <t xml:space="preserve">)   Sleeping Princess in the Devil 's Castle   Sleeping Princess in Devil 's Castle   July 18 , 1987 ( 1987 - 07 - 18 )   December 15 , 1998 ( 1998 - 12 - 15 )       Makafushigi Dai - bōken ( </t>
    </r>
    <r>
      <rPr>
        <sz val="11"/>
        <color rgb="FF000000"/>
        <rFont val="Noto Sans CJK SC"/>
        <family val="2"/>
      </rPr>
      <t xml:space="preserve">魔 訶 不思議 大 冒険 </t>
    </r>
    <r>
      <rPr>
        <sz val="11"/>
        <color rgb="FF000000"/>
        <rFont val="Calibri"/>
        <family val="0"/>
        <charset val="1"/>
      </rPr>
      <t xml:space="preserve">)   Mystical Great Adventure   Mystical Adventure   July 9 , 1988 ( 1988 - 07 - 09 )   December 28 , 1989 ( 1989 - 12 - 28 ) ( Harmony Gold ; TV airing ) November 21 , 2000 ( 2000 - 11 - 21 ) ( Funimation dub )       Ora no Gohan o Kaese ! ! ( </t>
    </r>
    <r>
      <rPr>
        <sz val="11"/>
        <color rgb="FF000000"/>
        <rFont val="Noto Sans CJK SC"/>
        <family val="2"/>
      </rPr>
      <t xml:space="preserve">オラ の 悟 飯 を かえせ ッ </t>
    </r>
    <r>
      <rPr>
        <sz val="11"/>
        <color rgb="FF000000"/>
        <rFont val="Calibri"/>
        <family val="0"/>
        <charset val="1"/>
      </rPr>
      <t xml:space="preserve">! ! )   Return My Gohan ! !   Dead Zone   July 15 , 1989 ( 1989 - 07 - 15 )   December 17 , 1997 ( 1997 - 12 - 17 ) ( Pioneer uncut DVD ) May 31 , 2005 ( 2005 - 05 - 31 ) ( Funimation dub )     5   Kono Yo de Ichiban Tsuyoi Yatsu ( </t>
    </r>
    <r>
      <rPr>
        <sz val="11"/>
        <color rgb="FF000000"/>
        <rFont val="Noto Sans CJK SC"/>
        <family val="2"/>
      </rPr>
      <t xml:space="preserve">この世 で 一 番 強い ヤツ </t>
    </r>
    <r>
      <rPr>
        <sz val="11"/>
        <color rgb="FF000000"/>
        <rFont val="Calibri"/>
        <family val="0"/>
        <charset val="1"/>
      </rPr>
      <t xml:space="preserve">)   The Strongest Guy in the World   The World 's Strongest   March 10 , 1990 ( 1990 - 03 - 10 )   May 26 , 1998 ( 1998 - 05 - 26 ) ( Pioneer uncut DVD ) November 14 , 2006 ( 2006 - 11 - 14 ) ( Funimation dub )     6   Chikyū Marugoto Chō - kessen ( </t>
    </r>
    <r>
      <rPr>
        <sz val="11"/>
        <color rgb="FF000000"/>
        <rFont val="Noto Sans CJK SC"/>
        <family val="2"/>
      </rPr>
      <t xml:space="preserve">地球 まるごと 超 決戦 </t>
    </r>
    <r>
      <rPr>
        <sz val="11"/>
        <color rgb="FF000000"/>
        <rFont val="Calibri"/>
        <family val="0"/>
        <charset val="1"/>
      </rPr>
      <t xml:space="preserve">)   The Decisive Battle for the Entire Earth   The Tree of Might   July 7 , 1990 ( 1990 - 07 - 07 )   November 15 -- 22 , 1997 ( Saban TV edit ) March 17 , 1998 ( 1998 - 03 - 17 ) ( Pioneer uncut DVD ) November 14 , 2006 ( 2006 - 11 - 14 ) ( Funimation dub )     7   Sūpā Saiya - jin da Son Gokū ( </t>
    </r>
    <r>
      <rPr>
        <sz val="11"/>
        <color rgb="FF000000"/>
        <rFont val="Noto Sans CJK SC"/>
        <family val="2"/>
      </rPr>
      <t xml:space="preserve">超 サイヤ 人 だ 孫悟空 </t>
    </r>
    <r>
      <rPr>
        <sz val="11"/>
        <color rgb="FF000000"/>
        <rFont val="Calibri"/>
        <family val="0"/>
        <charset val="1"/>
      </rPr>
      <t xml:space="preserve">)   Super Saiyan Son Goku   Lord Slug   March 9 , 1991 ( 1991 - 03 - 09 )   August 7 , 2001 ( 2001 - 08 - 07 )     8   Tobikkiri no Saikyō tai Saikyō ( </t>
    </r>
    <r>
      <rPr>
        <sz val="11"/>
        <color rgb="FF000000"/>
        <rFont val="Noto Sans CJK SC"/>
        <family val="2"/>
      </rPr>
      <t xml:space="preserve">と びっき り の 最強 対 最強 </t>
    </r>
    <r>
      <rPr>
        <sz val="11"/>
        <color rgb="FF000000"/>
        <rFont val="Calibri"/>
        <family val="0"/>
        <charset val="1"/>
      </rPr>
      <t xml:space="preserve">)   The Incredible Strongest vs. Strongest   Cooler 's Revenge   July 20 , 1991 ( 1991 - 07 - 20 )   January 22 , 2002 ( 2002 - 01 - 22 )     9   Gekitotsu ! ! 100 - oku Pawā no Senshi - tachi ( </t>
    </r>
    <r>
      <rPr>
        <sz val="11"/>
        <color rgb="FF000000"/>
        <rFont val="Noto Sans CJK SC"/>
        <family val="2"/>
      </rPr>
      <t xml:space="preserve">激突 </t>
    </r>
    <r>
      <rPr>
        <sz val="11"/>
        <color rgb="FF000000"/>
        <rFont val="Calibri"/>
        <family val="0"/>
        <charset val="1"/>
      </rPr>
      <t xml:space="preserve">! ! 100 </t>
    </r>
    <r>
      <rPr>
        <sz val="11"/>
        <color rgb="FF000000"/>
        <rFont val="Noto Sans CJK SC"/>
        <family val="2"/>
      </rPr>
      <t xml:space="preserve">億 パワー の 戦士 たち </t>
    </r>
    <r>
      <rPr>
        <sz val="11"/>
        <color rgb="FF000000"/>
        <rFont val="Calibri"/>
        <family val="0"/>
        <charset val="1"/>
      </rPr>
      <t xml:space="preserve">)   Clash ! ! The Power of 10 Billion Warriors   The Return of Cooler   March 7 , 1992 ( 1992 - 03 - 07 )   August 13 , 2002 ( 2002 - 08 - 13 )     10   Kyokugen Batoru ! ! San Dai Sūpā Saiya - jin ( </t>
    </r>
    <r>
      <rPr>
        <sz val="11"/>
        <color rgb="FF000000"/>
        <rFont val="Noto Sans CJK SC"/>
        <family val="2"/>
      </rPr>
      <t xml:space="preserve">極限 バトル </t>
    </r>
    <r>
      <rPr>
        <sz val="11"/>
        <color rgb="FF000000"/>
        <rFont val="Calibri"/>
        <family val="0"/>
        <charset val="1"/>
      </rPr>
      <t xml:space="preserve">! ! </t>
    </r>
    <r>
      <rPr>
        <sz val="11"/>
        <color rgb="FF000000"/>
        <rFont val="Noto Sans CJK SC"/>
        <family val="2"/>
      </rPr>
      <t xml:space="preserve">三 大 超 サイヤ 人 </t>
    </r>
    <r>
      <rPr>
        <sz val="11"/>
        <color rgb="FF000000"/>
        <rFont val="Calibri"/>
        <family val="0"/>
        <charset val="1"/>
      </rPr>
      <t xml:space="preserve">)   Extreme Battle ! Three Great Super Saiyans   Super Android 13 !   July 11 , 1992 ( 1992 - 07 - 11 )   February 4 , 2003 ( 2003 - 02 - 04 )     11   Moetsukiro ! ! Nessen Ressen Chō - gekisen ( </t>
    </r>
    <r>
      <rPr>
        <sz val="11"/>
        <color rgb="FF000000"/>
        <rFont val="Noto Sans CJK SC"/>
        <family val="2"/>
      </rPr>
      <t xml:space="preserve">燃えつきろ </t>
    </r>
    <r>
      <rPr>
        <sz val="11"/>
        <color rgb="FF000000"/>
        <rFont val="Calibri"/>
        <family val="0"/>
        <charset val="1"/>
      </rPr>
      <t xml:space="preserve">! ! </t>
    </r>
    <r>
      <rPr>
        <sz val="11"/>
        <color rgb="FF000000"/>
        <rFont val="Noto Sans CJK SC"/>
        <family val="2"/>
      </rPr>
      <t xml:space="preserve">熱戦 ・ 烈 戦 ・ 超 激戦 </t>
    </r>
    <r>
      <rPr>
        <sz val="11"/>
        <color rgb="FF000000"/>
        <rFont val="Calibri"/>
        <family val="0"/>
        <charset val="1"/>
      </rPr>
      <t xml:space="preserve">)   Burn Up ! ! A Close Fight - A Violent Fight - A Super Fierce Fight   Broly -- The Legendary Super Saiyan   March 6 , 1993 ( 1993 - 03 - 06 )   August 26 , 2003 ( 2003 - 08 - 26 )     12   Ginga Girigiri ! ! Butchigiri no Sugoi Yatsu ( </t>
    </r>
    <r>
      <rPr>
        <sz val="11"/>
        <color rgb="FF000000"/>
        <rFont val="Noto Sans CJK SC"/>
        <family val="2"/>
      </rPr>
      <t xml:space="preserve">銀河 ギリギリ </t>
    </r>
    <r>
      <rPr>
        <sz val="11"/>
        <color rgb="FF000000"/>
        <rFont val="Calibri"/>
        <family val="0"/>
        <charset val="1"/>
      </rPr>
      <t xml:space="preserve">! ! </t>
    </r>
    <r>
      <rPr>
        <sz val="11"/>
        <color rgb="FF000000"/>
        <rFont val="Noto Sans CJK SC"/>
        <family val="2"/>
      </rPr>
      <t xml:space="preserve">ぶっ ちぎり の 凄い 奴 </t>
    </r>
    <r>
      <rPr>
        <sz val="11"/>
        <color rgb="FF000000"/>
        <rFont val="Calibri"/>
        <family val="0"/>
        <charset val="1"/>
      </rPr>
      <t xml:space="preserve">)   The Galaxy at the Brink ! ! The Super Incredible Guy   Bojack Unbound   July 10 , 1993 ( 1993 - 07 - 10 )   August 17 , 2004 ( 2004 - 08 - 17 )     13   Kiken na Futari ! Sūpā Senshi wa Nemurenai ( </t>
    </r>
    <r>
      <rPr>
        <sz val="11"/>
        <color rgb="FF000000"/>
        <rFont val="Noto Sans CJK SC"/>
        <family val="2"/>
      </rPr>
      <t xml:space="preserve">危険 な ふたり </t>
    </r>
    <r>
      <rPr>
        <sz val="11"/>
        <color rgb="FF000000"/>
        <rFont val="Calibri"/>
        <family val="0"/>
        <charset val="1"/>
      </rPr>
      <t xml:space="preserve">! </t>
    </r>
    <r>
      <rPr>
        <sz val="11"/>
        <color rgb="FF000000"/>
        <rFont val="Noto Sans CJK SC"/>
        <family val="2"/>
      </rPr>
      <t xml:space="preserve">超 戦士 は ねむれ ない </t>
    </r>
    <r>
      <rPr>
        <sz val="11"/>
        <color rgb="FF000000"/>
        <rFont val="Calibri"/>
        <family val="0"/>
        <charset val="1"/>
      </rPr>
      <t xml:space="preserve">)   The Dangerous Duo ! Super Warriors Never Rest   Broly -- Second Coming   March 12 , 1994 ( 1994 - 03 - 12 )   April 5 , 2005 ( 2005 - 04 - 05 )     14   Sūpā Senshi Gekiha ! ! Katsu no wa Ore da ( </t>
    </r>
    <r>
      <rPr>
        <sz val="11"/>
        <color rgb="FF000000"/>
        <rFont val="Noto Sans CJK SC"/>
        <family val="2"/>
      </rPr>
      <t xml:space="preserve">超 戦士 撃破 </t>
    </r>
    <r>
      <rPr>
        <sz val="11"/>
        <color rgb="FF000000"/>
        <rFont val="Calibri"/>
        <family val="0"/>
        <charset val="1"/>
      </rPr>
      <t xml:space="preserve">! ! </t>
    </r>
    <r>
      <rPr>
        <sz val="11"/>
        <color rgb="FF000000"/>
        <rFont val="Noto Sans CJK SC"/>
        <family val="2"/>
      </rPr>
      <t xml:space="preserve">勝つ の は オレ だ </t>
    </r>
    <r>
      <rPr>
        <sz val="11"/>
        <color rgb="FF000000"/>
        <rFont val="Calibri"/>
        <family val="0"/>
        <charset val="1"/>
      </rPr>
      <t xml:space="preserve">)   Super Warrior Defeat ! ! I 'll Be the Winner   Bio-Broly   July 9 , 1994 ( 1994 - 07 - 09 )   September 13 , 2005 ( 2005 - 09 - 13 )     15   Fukkatsu no Fyūjon ! ! Goku to Vejīta ( </t>
    </r>
    <r>
      <rPr>
        <sz val="11"/>
        <color rgb="FF000000"/>
        <rFont val="Noto Sans CJK SC"/>
        <family val="2"/>
      </rPr>
      <t xml:space="preserve">復活 の フュージョン </t>
    </r>
    <r>
      <rPr>
        <sz val="11"/>
        <color rgb="FF000000"/>
        <rFont val="Calibri"/>
        <family val="0"/>
        <charset val="1"/>
      </rPr>
      <t xml:space="preserve">! ! </t>
    </r>
    <r>
      <rPr>
        <sz val="11"/>
        <color rgb="FF000000"/>
        <rFont val="Noto Sans CJK SC"/>
        <family val="2"/>
      </rPr>
      <t xml:space="preserve">悟空 と ベジータ </t>
    </r>
    <r>
      <rPr>
        <sz val="11"/>
        <color rgb="FF000000"/>
        <rFont val="Calibri"/>
        <family val="0"/>
        <charset val="1"/>
      </rPr>
      <t xml:space="preserve">)   The Rebirth of Fusion ! ! Goku and Vegeta   Fusion Reborn   March 4 , 1995 ( 1995 - 03 - 04 )   March 17 , 2006 ( 2006 - 03 - 17 ) ( U.S. theatrical )     16   Ryū - ken Bakuhatsu ! ! Gokū ga Yaraneba Dare ga Yaru ( </t>
    </r>
    <r>
      <rPr>
        <sz val="11"/>
        <color rgb="FF000000"/>
        <rFont val="Noto Sans CJK SC"/>
        <family val="2"/>
      </rPr>
      <t xml:space="preserve">龍 拳 爆発 </t>
    </r>
    <r>
      <rPr>
        <sz val="11"/>
        <color rgb="FF000000"/>
        <rFont val="Calibri"/>
        <family val="0"/>
        <charset val="1"/>
      </rPr>
      <t xml:space="preserve">! ! </t>
    </r>
    <r>
      <rPr>
        <sz val="11"/>
        <color rgb="FF000000"/>
        <rFont val="Noto Sans CJK SC"/>
        <family val="2"/>
      </rPr>
      <t xml:space="preserve">悟空 が やら ねば 誰が やる </t>
    </r>
    <r>
      <rPr>
        <sz val="11"/>
        <color rgb="FF000000"/>
        <rFont val="Calibri"/>
        <family val="0"/>
        <charset val="1"/>
      </rPr>
      <t xml:space="preserve">)   Dragon Fist Explosion ! ! If Goku Ca n't Do It , Who Will ?   Wrath of the Dragon   July 15 , 1995 ( 1995 - 07 - 15 )   September 12 , 2006 ( 2006 - 09 - 12 )     17   Saikyō e no Michi ( </t>
    </r>
    <r>
      <rPr>
        <sz val="11"/>
        <color rgb="FF000000"/>
        <rFont val="Noto Sans CJK SC"/>
        <family val="2"/>
      </rPr>
      <t xml:space="preserve">最強 へ の 道 </t>
    </r>
    <r>
      <rPr>
        <sz val="11"/>
        <color rgb="FF000000"/>
        <rFont val="Calibri"/>
        <family val="0"/>
        <charset val="1"/>
      </rPr>
      <t xml:space="preserve">)   The Path to Ultimate Power   The Path to Power   March 4 , 1996 ( 1996 - 03 - 04 )   April 29 , 2003 ( 2003 - 04 - 29 )     18   Kami to Kami ( </t>
    </r>
    <r>
      <rPr>
        <sz val="11"/>
        <color rgb="FF000000"/>
        <rFont val="Noto Sans CJK SC"/>
        <family val="2"/>
      </rPr>
      <t xml:space="preserve">神 と 神 </t>
    </r>
    <r>
      <rPr>
        <sz val="11"/>
        <color rgb="FF000000"/>
        <rFont val="Calibri"/>
        <family val="0"/>
        <charset val="1"/>
      </rPr>
      <t xml:space="preserve">)   God and God   Battle of Gods   March 30 , 2013 ( 2013 - 03 - 30 )   August 5 , 2014 ( 2014 - 08 - 05 ) ( U.S. theatrical )     19   Fukkatsu no ' F ' ( </t>
    </r>
    <r>
      <rPr>
        <sz val="11"/>
        <color rgb="FF000000"/>
        <rFont val="Noto Sans CJK SC"/>
        <family val="2"/>
      </rPr>
      <t xml:space="preserve">復活 の 「 </t>
    </r>
    <r>
      <rPr>
        <sz val="11"/>
        <color rgb="FF000000"/>
        <rFont val="Calibri"/>
        <family val="0"/>
        <charset val="1"/>
      </rPr>
      <t xml:space="preserve">F </t>
    </r>
    <r>
      <rPr>
        <sz val="11"/>
        <color rgb="FF000000"/>
        <rFont val="Noto Sans CJK SC"/>
        <family val="2"/>
      </rPr>
      <t xml:space="preserve">」 </t>
    </r>
    <r>
      <rPr>
        <sz val="11"/>
        <color rgb="FF000000"/>
        <rFont val="Calibri"/>
        <family val="0"/>
        <charset val="1"/>
      </rPr>
      <t xml:space="preserve">)   Resurrection of F   Resurrection ' F '   April 18 , 2015 ( 2015 - 04 - 18 )   August 4 , 2015 ( 2015 - 08 - 04 ) ( U.S. theatrical )     20   Burorī ( </t>
    </r>
    <r>
      <rPr>
        <sz val="11"/>
        <color rgb="FF000000"/>
        <rFont val="Noto Sans CJK SC"/>
        <family val="2"/>
      </rPr>
      <t xml:space="preserve">ブロリー </t>
    </r>
    <r>
      <rPr>
        <sz val="11"/>
        <color rgb="FF000000"/>
        <rFont val="Calibri"/>
        <family val="0"/>
        <charset val="1"/>
      </rPr>
      <t xml:space="preserve">)   Broly   Broly   December 14 , 2018 ( 2018 - 12 - 14 )   January 2019 ( January 2019 ) ( U.S. theatrical )     Television specials ( edit )   The Dragon Ball franchise has spawned three one - hour long television specials that aired on Fuji TV , the first two based on the `` Z '' portion of the series and the third based on the `` GT '' portion . Of these specials , the first and third are original stories created by the anime staff , while the second is based on a special chapter of the manga .   Though the specials aired on TV in Japan , Funimation 's North American releases of the episodes are on home video , each one labeled `` Feature '' the same as their theatrical films . This , doubled with the inclusion of the `` Z '' specials in Funimation 's remastered `` Movie Double Features '' has caused fans to continue to erroneously believe these to be theatrical films , when they are not .   On April 7 , 2013 , a two - part hour - long crossover TV special , between Dragon Ball Z , One Piece and Toriko , referred to as Dream 9 Toriko &amp; One Piece &amp; Dragon Ball Z Super Collaboration Special ! ! aired on Fuji TV . The first part is named `` Run , Strongest Team ! Toriko , Luffy , Goku ! '' ( </t>
    </r>
    <r>
      <rPr>
        <sz val="11"/>
        <color rgb="FF000000"/>
        <rFont val="Noto Sans CJK SC"/>
        <family val="2"/>
      </rPr>
      <t xml:space="preserve">走れ 最強 軍団 </t>
    </r>
    <r>
      <rPr>
        <sz val="11"/>
        <color rgb="FF000000"/>
        <rFont val="Calibri"/>
        <family val="0"/>
        <charset val="1"/>
      </rPr>
      <t xml:space="preserve">! </t>
    </r>
    <r>
      <rPr>
        <sz val="11"/>
        <color rgb="FF000000"/>
        <rFont val="Noto Sans CJK SC"/>
        <family val="2"/>
      </rPr>
      <t xml:space="preserve">トリコ と ルフィ と 悟空 </t>
    </r>
    <r>
      <rPr>
        <sz val="11"/>
        <color rgb="FF000000"/>
        <rFont val="Calibri"/>
        <family val="0"/>
        <charset val="1"/>
      </rPr>
      <t xml:space="preserve">! , Hashire Saikyō Gundan ! Toriko to Luffy to Goku ! ) and the second is titled `` History 's Strongest Collaboration vs. Glutton of the Sea '' ( </t>
    </r>
    <r>
      <rPr>
        <sz val="11"/>
        <color rgb="FF000000"/>
        <rFont val="Noto Sans CJK SC"/>
        <family val="2"/>
      </rPr>
      <t xml:space="preserve">史上 最強 コラボ </t>
    </r>
    <r>
      <rPr>
        <sz val="11"/>
        <color rgb="FF000000"/>
        <rFont val="Calibri"/>
        <family val="0"/>
        <charset val="1"/>
      </rPr>
      <t xml:space="preserve">VS </t>
    </r>
    <r>
      <rPr>
        <sz val="11"/>
        <color rgb="FF000000"/>
        <rFont val="Noto Sans CJK SC"/>
        <family val="2"/>
      </rPr>
      <t xml:space="preserve">海 の 大食漢 </t>
    </r>
    <r>
      <rPr>
        <sz val="11"/>
        <color rgb="FF000000"/>
        <rFont val="Calibri"/>
        <family val="0"/>
        <charset val="1"/>
      </rPr>
      <t xml:space="preserve">, Shijō Saikyō Collaboration vs. Umi no Taishokukan ) . The plot has the International Gourmet Organization ( from Toriko ) sponsoring the Tenka'ichi Shokuōkai , a race with no rules that characters from all three series compete in .   On October 8 , 2017 , a two - part TV special of Dragon Ball Super aired on Fuji TV . It counted as both episodes 109 and 110 of the series .     Japanese title English translation   English title   Japanese air date   North American release     Tatta Hitori no Saishū Kessen ~ Furīza ni Idonda Zetto - senshi Son Gokū no Chichi ~ ( </t>
    </r>
    <r>
      <rPr>
        <sz val="11"/>
        <color rgb="FF000000"/>
        <rFont val="Noto Sans CJK SC"/>
        <family val="2"/>
      </rPr>
      <t xml:space="preserve">たった ひとり の 最終 決戦 〜 フリーザ に 挑ん だ </t>
    </r>
    <r>
      <rPr>
        <sz val="11"/>
        <color rgb="FF000000"/>
        <rFont val="Calibri"/>
        <family val="0"/>
        <charset val="1"/>
      </rPr>
      <t xml:space="preserve">Z </t>
    </r>
    <r>
      <rPr>
        <sz val="11"/>
        <color rgb="FF000000"/>
        <rFont val="Noto Sans CJK SC"/>
        <family val="2"/>
      </rPr>
      <t xml:space="preserve">戦士 孫悟空 の 父 〜 </t>
    </r>
    <r>
      <rPr>
        <sz val="11"/>
        <color rgb="FF000000"/>
        <rFont val="Calibri"/>
        <family val="0"/>
        <charset val="1"/>
      </rPr>
      <t xml:space="preserve">) A Lonesome , Final Battle - The Father of Z Warrior Son Goku , who Challenged Freeza   Bardock -- The Father of Goku   October 17 , 1990 ( 1990 - 10 - 17 )   November 1 , 2000 ( 2000 - 11 - 01 )     Zetsubō e no Hankō ! ! Nokosareta Chō - Senshi Gohan to Torankusu ( </t>
    </r>
    <r>
      <rPr>
        <sz val="11"/>
        <color rgb="FF000000"/>
        <rFont val="Noto Sans CJK SC"/>
        <family val="2"/>
      </rPr>
      <t xml:space="preserve">絶望 へ の 反抗 </t>
    </r>
    <r>
      <rPr>
        <sz val="11"/>
        <color rgb="FF000000"/>
        <rFont val="Calibri"/>
        <family val="0"/>
        <charset val="1"/>
      </rPr>
      <t xml:space="preserve">! ! </t>
    </r>
    <r>
      <rPr>
        <sz val="11"/>
        <color rgb="FF000000"/>
        <rFont val="Noto Sans CJK SC"/>
        <family val="2"/>
      </rPr>
      <t xml:space="preserve">残 され た 超 戦士 ・ 悟 飯 と トランクス </t>
    </r>
    <r>
      <rPr>
        <sz val="11"/>
        <color rgb="FF000000"/>
        <rFont val="Calibri"/>
        <family val="0"/>
        <charset val="1"/>
      </rPr>
      <t xml:space="preserve">) Defiance in the Face of Despair ! ! The Remaining Super-Warriors : Gohan and Trunks   The History of Trunks   February 24 , 1993 ( 1993 - 02 - 24 )   October 24 , 2000 ( 2000 - 10 - 24 )     Gokū Gaiden ! Yūki no Akashi wa Sūshinchū ( </t>
    </r>
    <r>
      <rPr>
        <sz val="11"/>
        <color rgb="FF000000"/>
        <rFont val="Noto Sans CJK SC"/>
        <family val="2"/>
      </rPr>
      <t xml:space="preserve">悟空 外伝 </t>
    </r>
    <r>
      <rPr>
        <sz val="11"/>
        <color rgb="FF000000"/>
        <rFont val="Calibri"/>
        <family val="0"/>
        <charset val="1"/>
      </rPr>
      <t xml:space="preserve">! </t>
    </r>
    <r>
      <rPr>
        <sz val="11"/>
        <color rgb="FF000000"/>
        <rFont val="Noto Sans CJK SC"/>
        <family val="2"/>
      </rPr>
      <t xml:space="preserve">勇気 の 証し は 四 星球 </t>
    </r>
    <r>
      <rPr>
        <sz val="11"/>
        <color rgb="FF000000"/>
        <rFont val="Calibri"/>
        <family val="0"/>
        <charset val="1"/>
      </rPr>
      <t xml:space="preserve">) Goku Sidestory ! The Proof of his Courage is the Four - Star Ball   A Hero 's Legacy   March 26 , 1997 ( 1997 - 03 - 26 )   November 16 , 2004 ( 2004 - 11 - 16 )     Dream 9 Toriko &amp; One Piece &amp; Dragon Ball Z Chō Collaboration Special ! ! ( </t>
    </r>
    <r>
      <rPr>
        <sz val="11"/>
        <color rgb="FF000000"/>
        <rFont val="Noto Sans CJK SC"/>
        <family val="2"/>
      </rPr>
      <t xml:space="preserve">ドリーム </t>
    </r>
    <r>
      <rPr>
        <sz val="11"/>
        <color rgb="FF000000"/>
        <rFont val="Calibri"/>
        <family val="0"/>
        <charset val="1"/>
      </rPr>
      <t xml:space="preserve">9 </t>
    </r>
    <r>
      <rPr>
        <sz val="11"/>
        <color rgb="FF000000"/>
        <rFont val="Noto Sans CJK SC"/>
        <family val="2"/>
      </rPr>
      <t xml:space="preserve">トリコ </t>
    </r>
    <r>
      <rPr>
        <sz val="11"/>
        <color rgb="FF000000"/>
        <rFont val="Calibri"/>
        <family val="0"/>
        <charset val="1"/>
      </rPr>
      <t xml:space="preserve">&amp; </t>
    </r>
    <r>
      <rPr>
        <sz val="11"/>
        <color rgb="FF000000"/>
        <rFont val="Noto Sans CJK SC"/>
        <family val="2"/>
      </rPr>
      <t xml:space="preserve">ワンピース </t>
    </r>
    <r>
      <rPr>
        <sz val="11"/>
        <color rgb="FF000000"/>
        <rFont val="Calibri"/>
        <family val="0"/>
        <charset val="1"/>
      </rPr>
      <t xml:space="preserve">&amp; </t>
    </r>
    <r>
      <rPr>
        <sz val="11"/>
        <color rgb="FF000000"/>
        <rFont val="Noto Sans CJK SC"/>
        <family val="2"/>
      </rPr>
      <t xml:space="preserve">ドラゴンボール </t>
    </r>
    <r>
      <rPr>
        <sz val="11"/>
        <color rgb="FF000000"/>
        <rFont val="Calibri"/>
        <family val="0"/>
        <charset val="1"/>
      </rPr>
      <t xml:space="preserve">Z </t>
    </r>
    <r>
      <rPr>
        <sz val="11"/>
        <color rgb="FF000000"/>
        <rFont val="Noto Sans CJK SC"/>
        <family val="2"/>
      </rPr>
      <t xml:space="preserve">超 コラボ スペシャル </t>
    </r>
    <r>
      <rPr>
        <sz val="11"/>
        <color rgb="FF000000"/>
        <rFont val="Calibri"/>
        <family val="0"/>
        <charset val="1"/>
      </rPr>
      <t xml:space="preserve">! ! ) Dream 9 Toriko &amp; One Piece &amp; Dragon Ball Z Super Collaboration Special ! !   Dream 9 Toriko &amp; One Piece &amp; Dragon Ball Z Super Collaboration Special ! !   April 7 , 2013 ( 2013 - 04 - 07 )   -     Korezo zen uchūichi no kyūkyoku batoru ! Son Gokū bāsasu Jiren ! ! ( </t>
    </r>
    <r>
      <rPr>
        <sz val="11"/>
        <color rgb="FF000000"/>
        <rFont val="Noto Sans CJK SC"/>
        <family val="2"/>
      </rPr>
      <t xml:space="preserve">これぞ 全 宇宙 一 の 究極 バトル </t>
    </r>
    <r>
      <rPr>
        <sz val="11"/>
        <color rgb="FF000000"/>
        <rFont val="Calibri"/>
        <family val="0"/>
        <charset val="1"/>
      </rPr>
      <t xml:space="preserve">! </t>
    </r>
    <r>
      <rPr>
        <sz val="11"/>
        <color rgb="FF000000"/>
        <rFont val="Noto Sans CJK SC"/>
        <family val="2"/>
      </rPr>
      <t xml:space="preserve">孫悟空 </t>
    </r>
    <r>
      <rPr>
        <sz val="11"/>
        <color rgb="FF000000"/>
        <rFont val="Calibri"/>
        <family val="0"/>
        <charset val="1"/>
      </rPr>
      <t xml:space="preserve">VS </t>
    </r>
    <r>
      <rPr>
        <sz val="11"/>
        <color rgb="FF000000"/>
        <rFont val="Noto Sans CJK SC"/>
        <family val="2"/>
      </rPr>
      <t xml:space="preserve">ジレン </t>
    </r>
    <r>
      <rPr>
        <sz val="11"/>
        <color rgb="FF000000"/>
        <rFont val="Calibri"/>
        <family val="0"/>
        <charset val="1"/>
      </rPr>
      <t xml:space="preserve">! ! )   This is the Ultimate Battle in all the Universes ! Son Goku vs Jiren ! !   October 8 , 2017 ( 2017 - 10 - 08 )   -     Festival shorts ( edit )   Dragon Ball : Yo ! Son Goku and His Friends Return ! ! is a 35 - minute short film that was shown at the 2008 Jump Super Anime Tour , which visited ten Japanese cities to celebrate Weekly Shōnen Jump 's 40th anniversary . It was later released as a triple feature DVD with One Piece : Romance Dawn Story and Tegami Bachi : Light and Blue Night Fantasy in 2009 , that was available only through a mail - in offer exclusive to Japanese residents . In 2013 , it was included in the limited edition home video release of Battle of Gods .   Another short film , Dragon Ball : Episode of Bardock , was shown at the Jump Festa 2012 event on December 17 , 2011 . It is an adaptation of the three part spin - off manga of the same name by Naho Ōishi that ran in V Jump from August to October 2011 , which is a spin - off sequel to the Bardock -- The Father of Goku TV special . It was later released on DVD in the February 3 , 2012 issue of Saikyō Jump together with Dragon Ball : Plan to Eradicate the Super Saiyans . The film was included subtitled in the European and North American exclusive Xbox 360 video game Dragon Ball Z : For Kinect , released in October 2012 .     Japanese title   English title   Japanese release   North American release     Ossu ! Kaette Kita Son Gokū to Nakama - tachi ! ! ( </t>
    </r>
    <r>
      <rPr>
        <sz val="11"/>
        <color rgb="FF000000"/>
        <rFont val="Noto Sans CJK SC"/>
        <family val="2"/>
      </rPr>
      <t xml:space="preserve">オッス </t>
    </r>
    <r>
      <rPr>
        <sz val="11"/>
        <color rgb="FF000000"/>
        <rFont val="Calibri"/>
        <family val="0"/>
        <charset val="1"/>
      </rPr>
      <t xml:space="preserve">! </t>
    </r>
    <r>
      <rPr>
        <sz val="11"/>
        <color rgb="FF000000"/>
        <rFont val="Noto Sans CJK SC"/>
        <family val="2"/>
      </rPr>
      <t xml:space="preserve">帰っ てき た 孫悟空 と 仲間 たち </t>
    </r>
    <r>
      <rPr>
        <sz val="11"/>
        <color rgb="FF000000"/>
        <rFont val="Calibri"/>
        <family val="0"/>
        <charset val="1"/>
      </rPr>
      <t xml:space="preserve">! ! )   Yo ! Son Goku and His Friends Return ! !   September 21 , 2008 ( 2008 - 09 - 21 )   -     Episōdo obu Bādakku ( </t>
    </r>
    <r>
      <rPr>
        <sz val="11"/>
        <color rgb="FF000000"/>
        <rFont val="Noto Sans CJK SC"/>
        <family val="2"/>
      </rPr>
      <t xml:space="preserve">エピソード オブ バーダック </t>
    </r>
    <r>
      <rPr>
        <sz val="11"/>
        <color rgb="FF000000"/>
        <rFont val="Calibri"/>
        <family val="0"/>
        <charset val="1"/>
      </rPr>
      <t xml:space="preserve">)   Episode of Bardock   December 17 , 2011 ( 2011 - 12 - 17 )   October 9 , 2012 ( 2012 - 10 - 09 )     Original video animations ( edit )   In 1993 , Toei Animation , in cooperation with Weekly Shōnen Jump and V Jump , produced a two - part original video animation ( OVA ) that serves as a video strategy guide to the Family Computer game titled Dragon Ball Z Side Story : Plan to Eradicate the Saiyans . The first volume was released on VHS on July 23 , while the second was released on August 25 . The animation was also used in the 1994 two part video games , True Plan to Eradicate the Saiyans , released for the Playdia . The complete OVA was included in the second Dragon Ball Z Dragon Box DVD set released in Japan in 2003 .   The OVA was remade for the 2010 PlayStation 3 and Xbox 360 video game Dragon Ball : Raging Blast 2 under the title Dragon Ball : Plan to Eradicate the Super Saiyans . It was included in Dragon Ball : Raging Blast 2 as a bonus feature , unlocked at the start of gameplay without any necessary cheat code or in - game achievement , presented in its original Japanese - language audio with subtitles appropriate for each region . It was later released on DVD in the February 3 , 2012 issue of Saikyō Jump together with Dragon Ball : Episode of Bardock .     Japanese title   English title   Japanese release   North American release     Gaiden : Saiya - jin Zetsumetsu Keikaku ( </t>
    </r>
    <r>
      <rPr>
        <sz val="11"/>
        <color rgb="FF000000"/>
        <rFont val="Noto Sans CJK SC"/>
        <family val="2"/>
      </rPr>
      <t xml:space="preserve">外伝 サイヤ 人 絶滅 計画 </t>
    </r>
    <r>
      <rPr>
        <sz val="11"/>
        <color rgb="FF000000"/>
        <rFont val="Calibri"/>
        <family val="0"/>
        <charset val="1"/>
      </rPr>
      <t xml:space="preserve">)   Side Story : Plan to Eradicate the Saiyans   August 6 , 1993 ( 1993 - 08 - 06 )   -     Sūpā Saiya - jin Zetsumetsu Keikaku ( </t>
    </r>
    <r>
      <rPr>
        <sz val="11"/>
        <color rgb="FF000000"/>
        <rFont val="Noto Sans CJK SC"/>
        <family val="2"/>
      </rPr>
      <t xml:space="preserve">超 サイヤ 人 絶滅 計画 </t>
    </r>
    <r>
      <rPr>
        <sz val="11"/>
        <color rgb="FF000000"/>
        <rFont val="Calibri"/>
        <family val="0"/>
        <charset val="1"/>
      </rPr>
      <t xml:space="preserve">)   Plan to Eradicate the Super Saiyans   November 11 , 2010 ( 2010 - 11 - 11 )   November 2 , 2010 ( 2010 - 11 - 02 )     Educational programs ( edit )   Two educational shorts based on the original Dragon Ball anime were produced in 1988 . The first was a traffic safety special titled Goku 's Traffic Safety ( </t>
    </r>
    <r>
      <rPr>
        <sz val="11"/>
        <color rgb="FF000000"/>
        <rFont val="Noto Sans CJK SC"/>
        <family val="2"/>
      </rPr>
      <t xml:space="preserve">悟空 の 交通 安全 </t>
    </r>
    <r>
      <rPr>
        <sz val="11"/>
        <color rgb="FF000000"/>
        <rFont val="Calibri"/>
        <family val="0"/>
        <charset val="1"/>
      </rPr>
      <t xml:space="preserve">, Gokū no Kōtsū Ansen ) , while the second was a fire safety special titled Goku 's Fire Brigade ( </t>
    </r>
    <r>
      <rPr>
        <sz val="11"/>
        <color rgb="FF000000"/>
        <rFont val="Noto Sans CJK SC"/>
        <family val="2"/>
      </rPr>
      <t xml:space="preserve">悟空 の 消防 隊 </t>
    </r>
    <r>
      <rPr>
        <sz val="11"/>
        <color rgb="FF000000"/>
        <rFont val="Calibri"/>
        <family val="0"/>
        <charset val="1"/>
      </rPr>
      <t xml:space="preserve">, Gokū no Shōbōtai ) . The two educational films were included in the Dragon Box DVD set released in Japan in 2004 .   See also ( edit )    Dragon Ball portal     List of Dragon Ball characters   List of Dragon Ball manga volumes   List of Dragon Ball episodes   List of Dragon Ball Z episodes   List of Dragon Ball GT episodes   List of Dragon Ball Kai episodes   List of Dragon Ball Super episodes   List of Dragon Ball video games   List of Dragon Ball soundtracks    Notes ( edit )    Jump up ^ Title used for the home video release in Japan , the original theatrical release was simply titled Dragon Ball .   Jump up ^ Known as Sleeping Beauty in Devil Castle in Europe .   Jump up ^ Title used for the home video release in Japan , the original theatrical release was simply titled Dragon Ball Z .   Jump up ^ Also known as Dead Zone Vortex in television airings in North America , In Pursuit of Garlic in Europe , and The Vengeance of the Demon King in Malaysia .   Jump up ^ Known as The Strongest Guy in the World in Europe and Malaysia .   Jump up ^ Known as Super Battle in the World in Europe and The Quest for Earth in Malaysia .   Jump up ^ Known as Super Saiya Son Goku in Europe and Super Saiya People , Goku in Malaysia .   Jump up ^ Known as Super Rivals in Europe and The Strongest Rivals in Malaysia .   Jump up ^ Known as Fight ! 10 Billion Power Warriors in Europe and Malaysia .   Jump up ^ Known as Super Battle of the Three Super Saiyans in Europe and Super Battle of 3 Super Saiyas in Malaysia .   Jump up ^ Known as The Burning Battles in Europe and The Burning Battle in Malaysia .   Jump up ^ Known as Super Guy in the Galaxy in Europe and Malaysia .   Jump up ^ Known as Dangerous Rivals in Malaysia .   Jump up ^ Known as Revival Fusion in Malaysia .   Jump up ^ Known as Explosion of Dragon Punch in Malaysia .   Jump up ^ Known as The Father of Goku in Europe .   Jump up ^ Known as Gohan and Trunks in Europe and The History of Trunk in Malaysia .    References ( edit )    Jump up ^ `` </t>
    </r>
    <r>
      <rPr>
        <sz val="11"/>
        <color rgb="FF000000"/>
        <rFont val="Noto Sans CJK SC"/>
        <family val="2"/>
      </rPr>
      <t xml:space="preserve">世界 中 で 大 ヒット を 記録 し つづける 超 人気 アニメーション 「 ドラゴンボール </t>
    </r>
    <r>
      <rPr>
        <sz val="11"/>
        <color rgb="FF000000"/>
        <rFont val="Calibri"/>
        <family val="0"/>
        <charset val="1"/>
      </rPr>
      <t xml:space="preserve">Z </t>
    </r>
    <r>
      <rPr>
        <sz val="11"/>
        <color rgb="FF000000"/>
        <rFont val="Noto Sans CJK SC"/>
        <family val="2"/>
      </rPr>
      <t xml:space="preserve">」 の </t>
    </r>
    <r>
      <rPr>
        <sz val="11"/>
        <color rgb="FF000000"/>
        <rFont val="Calibri"/>
        <family val="0"/>
        <charset val="1"/>
      </rPr>
      <t xml:space="preserve">TV </t>
    </r>
    <r>
      <rPr>
        <sz val="11"/>
        <color rgb="FF000000"/>
        <rFont val="Noto Sans CJK SC"/>
        <family val="2"/>
      </rPr>
      <t xml:space="preserve">シリーズ が ついに </t>
    </r>
    <r>
      <rPr>
        <sz val="11"/>
        <color rgb="FF000000"/>
        <rFont val="Calibri"/>
        <family val="0"/>
        <charset val="1"/>
      </rPr>
      <t xml:space="preserve">DVD - BOX </t>
    </r>
    <r>
      <rPr>
        <sz val="11"/>
        <color rgb="FF000000"/>
        <rFont val="Noto Sans CJK SC"/>
        <family val="2"/>
      </rPr>
      <t xml:space="preserve">で 登場 </t>
    </r>
    <r>
      <rPr>
        <sz val="11"/>
        <color rgb="FF000000"/>
        <rFont val="Calibri"/>
        <family val="0"/>
        <charset val="1"/>
      </rPr>
      <t xml:space="preserve">! '' . Toei Animation ( in Japanese ) . Toei Company . November 6 , 2002 .   Jump up ^ `` New Dragon Ball Film Set Between 517th &amp; 518th Manga Chapters '' . Anime News Network . 2012 - 07 - 14 . Retrieved 2013 - 03 - 30 .   Jump up ^ `` 1st Key Visual For 2015 Dragon Ball Z Film Reveals Frieza '' . Anime News Network . 2014 - 11 - 17 . Retrieved 2014 - 11 - 17 .   Jump up ^ DRAGON BALL </t>
    </r>
    <r>
      <rPr>
        <sz val="11"/>
        <color rgb="FF000000"/>
        <rFont val="Noto Sans CJK SC"/>
        <family val="2"/>
      </rPr>
      <t xml:space="preserve">大 全集 </t>
    </r>
    <r>
      <rPr>
        <sz val="11"/>
        <color rgb="FF000000"/>
        <rFont val="Calibri"/>
        <family val="0"/>
        <charset val="1"/>
      </rPr>
      <t xml:space="preserve">6 : MOVIES &amp; TV SPECIALS ( in Japanese ) . Shueisha. 1995 . pp. 212 -- 216 . ISBN 4 - 08 - 782756 - 9 .   Jump up ^ https://www.animenewsnetwork.com/news/2018-07-09/dragon-ball-super-film-reveals-dragon-ball-super-broly-title-visual/.133123   Jump up ^ `` Funimation Is Bringing Dragon Ball Super : Broly to North American Theaters in 2019 '' . IGN . Jul 12 , 2018 .   ^ Jump up to : `` Toriko , One Piece , Dragon Ball Z Get Crossover Anime Special '' . Anime News Network . 2013 - 02 - 05 . Retrieved 2013 - 02 - 06 .   Jump up ^ `` Toriko &amp; One Piece &amp; Dragon Ball Z Crossover Lineup Revealed '' . Anime News Network . 2013 - 02 - 06 . Retrieved 2013 - 02 - 06 .   Jump up ^ `` Jump Super Anime Tour Announcement '' . Weekly Shōnen Jump ( in Japanese ) . 40 ( 21 ) : 54 &amp; 55 . April 21 , 2008 .   Jump up ^ `` New DB , Tegami Bachi , Romance Dawn Anime DVD Offered '' . Anime News Network . 2008 - 12 - 12 . Retrieved 2012 - 12 - 12 .   Jump up ^ `` Dragon Ball : Episode of Bardock to Be Shown in December '' . Anime News Network . 2011 - 11 - 21 . Retrieved 2012 - 12 - 15 .   Jump up ^ `` Dragon Ball Episode of Bardock Spinoff Manga Gets Anime '' . Anime News Network . 2011 - 11 - 21 . Retrieved 2012 - 12 - 15 .   ^ Jump up to : `` 2 Dragon Ball Anime Specials Get DVD Release '' . Anime News Network . 2012 - 01 - 03 . Retrieved 2012 - 12 - 15 .   Jump up ^ `` DRAGON BALL Z FOR KINECT TO FEATURE EXCLUSIVE PLAYABLE CHARACTER AND ANIME EPISODE '' . Crunchyroll. 2012 - 07 - 18 . Retrieved 2014 - 11 - 12 .   ^ Jump up to : `` Dragon Ball : RB2 Game to Add New 1 / 2 - Hour Anime '' . Anime News Network . 2010 - 08 - 09 . Retrieved 2013 - 02 - 06 .              Dragon Ball films and TV specials     Animated ( Dragon Ball )     Curse of the Blood Rubies   Sleeping Princess in Devil 's Castle   Mystical Adventure   The Path to Power       Animated ( Z )     Dead Zone   The World 's Strongest   The Tree of Might   Lord Slug   Cooler 's Revenge   The Return of Cooler   Super Android 13 !   Broly -- The Legendary Super Saiyan   Bojack Unbound   Broly -- Second Coming   Bio-Broly   Fusion Reborn   Wrath of the Dragon   Battle of Gods   Resurrection ' F '       Animated ( Super )     Broly       TV specials     Bardock -- The Father of Goku   The History of Trunks   A Hero 's Legacy       OVAs     Plan to Eradicate the Saiyans   Plan to Eradicate the Super Saiyans       Festival     Yo ! Son Goku and His Friends Return ! !   Episode of Bardock       Live action     Ssawora Son Goku , Igyeora Son Goku   The Magic Begins   Evolution                 Dragon Ball by Akira Toriyama     Media     Manga   chapters   Dragon Ball   Z       Dragon Ball   episodes     Z   episodes   season 1         5   6   7   8   9       GT   episodes     Z Kai   episodes     Super   episodes     Heroes   Films and TV specials   Video games   Soundtracks       Characters     Goku   Bulma   Master Roshi   Yamcha   Krillin   Tien Shinhan   Piccolo   Gohan   Vegeta   Frieza   Trunks   Android 17   Android 18   Cell   Majin Buu   Beerus   Zamasu       Related     Dr. Slump   Arale Norimaki   List of Dr. Slump characters     Neko Majin   Episode of Bardock   Jaco the Galactic Patrolman   Puff Puff           Portal      Retrieved from `` https://en.wikipedia.org/w/index.php?title=List_of_Dragon_Ball_films&amp;oldid=855145032 '' Categories :   Dragon Ball films   Animated television specials   Dragon Ball lists   Lists of anime films   Hidden categories :   CS1 Japanese - language sources ( ja )   Articles containing Japanese - language text           Talk                                           Contents                   About Wikipedia                                             Català   Español   Français   Bahasa Indonesia   Italiano   Lietuvių   Magyar   Português   Edit links   This page was last edited on 16 August 2018 , at 07 : 20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</si>
  <si>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first dragon ball z movie</t>
  </si>
  <si>
    <r>
      <rPr>
        <sz val="11"/>
        <color rgb="FF000000"/>
        <rFont val="Calibri"/>
        <family val="0"/>
        <charset val="1"/>
      </rPr>
      <t xml:space="preserve">   No .   Japanese title   English translation   English title   Japanese release   North American release       Shenron no Densetsu ( </t>
    </r>
    <r>
      <rPr>
        <sz val="11"/>
        <color rgb="FF000000"/>
        <rFont val="Noto Sans CJK SC"/>
        <family val="2"/>
      </rPr>
      <t xml:space="preserve">神龍 の 伝説 </t>
    </r>
    <r>
      <rPr>
        <sz val="11"/>
        <color rgb="FF000000"/>
        <rFont val="Calibri"/>
        <family val="0"/>
        <charset val="1"/>
      </rPr>
      <t xml:space="preserve">)   The Legend of Shenron   Curse of the Blood Rubies   December 20 , 1986 ( 1986 - 12 - 20 )   December 28 , 1989 ( 1989 - 12 - 28 ) ( Harmony Gold edit ; TV airing ) September 9 , 1995 ( 1995 - 09 - 09 ) ( BLT Productions dub ) December 28 , 2010 ( 2010 - 12 - 28 ) ( Funimation dub )       Majin - jō no Nemuri Hime ( </t>
    </r>
    <r>
      <rPr>
        <sz val="11"/>
        <color rgb="FF000000"/>
        <rFont val="Noto Sans CJK SC"/>
        <family val="2"/>
      </rPr>
      <t xml:space="preserve">魔神 城 の ねむり 姫 </t>
    </r>
    <r>
      <rPr>
        <sz val="11"/>
        <color rgb="FF000000"/>
        <rFont val="Calibri"/>
        <family val="0"/>
        <charset val="1"/>
      </rPr>
      <t xml:space="preserve">)   Sleeping Princess in the Devil 's Castle   Sleeping Princess in Devil 's Castle   July 18 , 1987 ( 1987 - 07 - 18 )   December 15 , 1998 ( 1998 - 12 - 15 )       Makafushigi Dai - bōken ( </t>
    </r>
    <r>
      <rPr>
        <sz val="11"/>
        <color rgb="FF000000"/>
        <rFont val="Noto Sans CJK SC"/>
        <family val="2"/>
      </rPr>
      <t xml:space="preserve">魔 訶 不思議 大 冒険 </t>
    </r>
    <r>
      <rPr>
        <sz val="11"/>
        <color rgb="FF000000"/>
        <rFont val="Calibri"/>
        <family val="0"/>
        <charset val="1"/>
      </rPr>
      <t xml:space="preserve">)   Mystical Great Adventure   Mystical Adventure   July 9 , 1988 ( 1988 - 07 - 09 )   December 28 , 1989 ( 1989 - 12 - 28 ) ( Harmony Gold ; TV airing ) November 21 , 2000 ( 2000 - 11 - 21 ) ( Funimation dub )       Ora no Gohan o Kaese ! ! ( </t>
    </r>
    <r>
      <rPr>
        <sz val="11"/>
        <color rgb="FF000000"/>
        <rFont val="Noto Sans CJK SC"/>
        <family val="2"/>
      </rPr>
      <t xml:space="preserve">オラ の 悟 飯 を かえせ ッ </t>
    </r>
    <r>
      <rPr>
        <sz val="11"/>
        <color rgb="FF000000"/>
        <rFont val="Calibri"/>
        <family val="0"/>
        <charset val="1"/>
      </rPr>
      <t xml:space="preserve">! ! )   Return My Gohan ! !   Dead Zone   July 15 , 1989 ( 1989 - 07 - 15 )   December 17 , 1997 ( 1997 - 12 - 17 ) ( Pioneer uncut DVD ) May 31 , 2005 ( 2005 - 05 - 31 ) ( Funimation dub )     5   Kono Yo de Ichiban Tsuyoi Yatsu ( </t>
    </r>
    <r>
      <rPr>
        <sz val="11"/>
        <color rgb="FF000000"/>
        <rFont val="Noto Sans CJK SC"/>
        <family val="2"/>
      </rPr>
      <t xml:space="preserve">この世 で 一 番 強い ヤツ </t>
    </r>
    <r>
      <rPr>
        <sz val="11"/>
        <color rgb="FF000000"/>
        <rFont val="Calibri"/>
        <family val="0"/>
        <charset val="1"/>
      </rPr>
      <t xml:space="preserve">)   The Strongest Guy in the World   The World 's Strongest   March 10 , 1990 ( 1990 - 03 - 10 )   May 26 , 1998 ( 1998 - 05 - 26 ) ( Pioneer uncut DVD ) November 14 , 2006 ( 2006 - 11 - 14 ) ( Funimation dub )     6   Chikyū Marugoto Chō - kessen ( </t>
    </r>
    <r>
      <rPr>
        <sz val="11"/>
        <color rgb="FF000000"/>
        <rFont val="Noto Sans CJK SC"/>
        <family val="2"/>
      </rPr>
      <t xml:space="preserve">地球 まるごと 超 決戦 </t>
    </r>
    <r>
      <rPr>
        <sz val="11"/>
        <color rgb="FF000000"/>
        <rFont val="Calibri"/>
        <family val="0"/>
        <charset val="1"/>
      </rPr>
      <t xml:space="preserve">)   The Decisive Battle for the Entire Earth   The Tree of Might   July 7 , 1990 ( 1990 - 07 - 07 )   November 15 -- 22 , 1997 ( Saban TV edit ) March 17 , 1998 ( 1998 - 03 - 17 ) ( Pioneer uncut DVD ) November 14 , 2006 ( 2006 - 11 - 14 ) ( Funimation dub )     7   Sūpā Saiya - jin da Son Gokū ( </t>
    </r>
    <r>
      <rPr>
        <sz val="11"/>
        <color rgb="FF000000"/>
        <rFont val="Noto Sans CJK SC"/>
        <family val="2"/>
      </rPr>
      <t xml:space="preserve">超 サイヤ 人 だ 孫悟空 </t>
    </r>
    <r>
      <rPr>
        <sz val="11"/>
        <color rgb="FF000000"/>
        <rFont val="Calibri"/>
        <family val="0"/>
        <charset val="1"/>
      </rPr>
      <t xml:space="preserve">)   Super Saiyan Son Goku   Lord Slug   March 9 , 1991 ( 1991 - 03 - 09 )   August 7 , 2001 ( 2001 - 08 - 07 )     8   Tobikkiri no Saikyō tai Saikyō ( </t>
    </r>
    <r>
      <rPr>
        <sz val="11"/>
        <color rgb="FF000000"/>
        <rFont val="Noto Sans CJK SC"/>
        <family val="2"/>
      </rPr>
      <t xml:space="preserve">と びっき り の 最強 対 最強 </t>
    </r>
    <r>
      <rPr>
        <sz val="11"/>
        <color rgb="FF000000"/>
        <rFont val="Calibri"/>
        <family val="0"/>
        <charset val="1"/>
      </rPr>
      <t xml:space="preserve">)   The Incredible Strongest vs. Strongest   Cooler 's Revenge   July 20 , 1991 ( 1991 - 07 - 20 )   January 22 , 2002 ( 2002 - 01 - 22 )     9   Gekitotsu ! ! 100 - oku Pawā no Senshi - tachi ( </t>
    </r>
    <r>
      <rPr>
        <sz val="11"/>
        <color rgb="FF000000"/>
        <rFont val="Noto Sans CJK SC"/>
        <family val="2"/>
      </rPr>
      <t xml:space="preserve">激突 </t>
    </r>
    <r>
      <rPr>
        <sz val="11"/>
        <color rgb="FF000000"/>
        <rFont val="Calibri"/>
        <family val="0"/>
        <charset val="1"/>
      </rPr>
      <t xml:space="preserve">! ! 100 </t>
    </r>
    <r>
      <rPr>
        <sz val="11"/>
        <color rgb="FF000000"/>
        <rFont val="Noto Sans CJK SC"/>
        <family val="2"/>
      </rPr>
      <t xml:space="preserve">億 パワー の 戦士 たち </t>
    </r>
    <r>
      <rPr>
        <sz val="11"/>
        <color rgb="FF000000"/>
        <rFont val="Calibri"/>
        <family val="0"/>
        <charset val="1"/>
      </rPr>
      <t xml:space="preserve">)   Clash ! ! The Power of 10 Billion Warriors   The Return of Cooler   March 7 , 1992 ( 1992 - 03 - 07 )   August 13 , 2002 ( 2002 - 08 - 13 )     10   Kyokugen Batoru ! ! San Dai Sūpā Saiya - jin ( </t>
    </r>
    <r>
      <rPr>
        <sz val="11"/>
        <color rgb="FF000000"/>
        <rFont val="Noto Sans CJK SC"/>
        <family val="2"/>
      </rPr>
      <t xml:space="preserve">極限 バトル </t>
    </r>
    <r>
      <rPr>
        <sz val="11"/>
        <color rgb="FF000000"/>
        <rFont val="Calibri"/>
        <family val="0"/>
        <charset val="1"/>
      </rPr>
      <t xml:space="preserve">! ! </t>
    </r>
    <r>
      <rPr>
        <sz val="11"/>
        <color rgb="FF000000"/>
        <rFont val="Noto Sans CJK SC"/>
        <family val="2"/>
      </rPr>
      <t xml:space="preserve">三 大 超 サイヤ 人 </t>
    </r>
    <r>
      <rPr>
        <sz val="11"/>
        <color rgb="FF000000"/>
        <rFont val="Calibri"/>
        <family val="0"/>
        <charset val="1"/>
      </rPr>
      <t xml:space="preserve">)   Extreme Battle ! Three Great Super Saiyans   Super Android 13 !   July 11 , 1992 ( 1992 - 07 - 11 )   February 4 , 2003 ( 2003 - 02 - 04 )     11   Moetsukiro ! ! Nessen Ressen Chō - gekisen ( </t>
    </r>
    <r>
      <rPr>
        <sz val="11"/>
        <color rgb="FF000000"/>
        <rFont val="Noto Sans CJK SC"/>
        <family val="2"/>
      </rPr>
      <t xml:space="preserve">燃えつきろ </t>
    </r>
    <r>
      <rPr>
        <sz val="11"/>
        <color rgb="FF000000"/>
        <rFont val="Calibri"/>
        <family val="0"/>
        <charset val="1"/>
      </rPr>
      <t xml:space="preserve">! ! </t>
    </r>
    <r>
      <rPr>
        <sz val="11"/>
        <color rgb="FF000000"/>
        <rFont val="Noto Sans CJK SC"/>
        <family val="2"/>
      </rPr>
      <t xml:space="preserve">熱戦 ・ 烈 戦 ・ 超 激戦 </t>
    </r>
    <r>
      <rPr>
        <sz val="11"/>
        <color rgb="FF000000"/>
        <rFont val="Calibri"/>
        <family val="0"/>
        <charset val="1"/>
      </rPr>
      <t xml:space="preserve">)   Burn Up ! ! A Close Fight - A Violent Fight - A Super Fierce Fight   Broly -- The Legendary Super Saiyan   March 6 , 1993 ( 1993 - 03 - 06 )   August 26 , 2003 ( 2003 - 08 - 26 )     12   Ginga Girigiri ! ! Butchigiri no Sugoi Yatsu ( </t>
    </r>
    <r>
      <rPr>
        <sz val="11"/>
        <color rgb="FF000000"/>
        <rFont val="Noto Sans CJK SC"/>
        <family val="2"/>
      </rPr>
      <t xml:space="preserve">銀河 ギリギリ </t>
    </r>
    <r>
      <rPr>
        <sz val="11"/>
        <color rgb="FF000000"/>
        <rFont val="Calibri"/>
        <family val="0"/>
        <charset val="1"/>
      </rPr>
      <t xml:space="preserve">! ! </t>
    </r>
    <r>
      <rPr>
        <sz val="11"/>
        <color rgb="FF000000"/>
        <rFont val="Noto Sans CJK SC"/>
        <family val="2"/>
      </rPr>
      <t xml:space="preserve">ぶっ ちぎり の 凄い 奴 </t>
    </r>
    <r>
      <rPr>
        <sz val="11"/>
        <color rgb="FF000000"/>
        <rFont val="Calibri"/>
        <family val="0"/>
        <charset val="1"/>
      </rPr>
      <t xml:space="preserve">)   The Galaxy at the Brink ! ! The Super Incredible Guy   Bojack Unbound   July 10 , 1993 ( 1993 - 07 - 10 )   August 17 , 2004 ( 2004 - 08 - 17 )     13   Kiken na Futari ! Sūpā Senshi wa Nemurenai ( </t>
    </r>
    <r>
      <rPr>
        <sz val="11"/>
        <color rgb="FF000000"/>
        <rFont val="Noto Sans CJK SC"/>
        <family val="2"/>
      </rPr>
      <t xml:space="preserve">危険 な ふたり </t>
    </r>
    <r>
      <rPr>
        <sz val="11"/>
        <color rgb="FF000000"/>
        <rFont val="Calibri"/>
        <family val="0"/>
        <charset val="1"/>
      </rPr>
      <t xml:space="preserve">! </t>
    </r>
    <r>
      <rPr>
        <sz val="11"/>
        <color rgb="FF000000"/>
        <rFont val="Noto Sans CJK SC"/>
        <family val="2"/>
      </rPr>
      <t xml:space="preserve">超 戦士 は ねむれ ない </t>
    </r>
    <r>
      <rPr>
        <sz val="11"/>
        <color rgb="FF000000"/>
        <rFont val="Calibri"/>
        <family val="0"/>
        <charset val="1"/>
      </rPr>
      <t xml:space="preserve">)   The Dangerous Duo ! Super Warriors Never Rest   Broly -- Second Coming   March 12 , 1994 ( 1994 - 03 - 12 )   April 5 , 2005 ( 2005 - 04 - 05 )     14   Sūpā Senshi Gekiha ! ! Katsu no wa Ore da ( </t>
    </r>
    <r>
      <rPr>
        <sz val="11"/>
        <color rgb="FF000000"/>
        <rFont val="Noto Sans CJK SC"/>
        <family val="2"/>
      </rPr>
      <t xml:space="preserve">超 戦士 撃破 </t>
    </r>
    <r>
      <rPr>
        <sz val="11"/>
        <color rgb="FF000000"/>
        <rFont val="Calibri"/>
        <family val="0"/>
        <charset val="1"/>
      </rPr>
      <t xml:space="preserve">! ! </t>
    </r>
    <r>
      <rPr>
        <sz val="11"/>
        <color rgb="FF000000"/>
        <rFont val="Noto Sans CJK SC"/>
        <family val="2"/>
      </rPr>
      <t xml:space="preserve">勝つ の は オレ だ </t>
    </r>
    <r>
      <rPr>
        <sz val="11"/>
        <color rgb="FF000000"/>
        <rFont val="Calibri"/>
        <family val="0"/>
        <charset val="1"/>
      </rPr>
      <t xml:space="preserve">)   Super Warrior Defeat ! ! I 'll Be the Winner   Bio-Broly   July 9 , 1994 ( 1994 - 07 - 09 )   September 13 , 2005 ( 2005 - 09 - 13 )     15   Fukkatsu no Fyūjon ! ! Goku to Vejīta ( </t>
    </r>
    <r>
      <rPr>
        <sz val="11"/>
        <color rgb="FF000000"/>
        <rFont val="Noto Sans CJK SC"/>
        <family val="2"/>
      </rPr>
      <t xml:space="preserve">復活 の フュージョン </t>
    </r>
    <r>
      <rPr>
        <sz val="11"/>
        <color rgb="FF000000"/>
        <rFont val="Calibri"/>
        <family val="0"/>
        <charset val="1"/>
      </rPr>
      <t xml:space="preserve">! ! </t>
    </r>
    <r>
      <rPr>
        <sz val="11"/>
        <color rgb="FF000000"/>
        <rFont val="Noto Sans CJK SC"/>
        <family val="2"/>
      </rPr>
      <t xml:space="preserve">悟空 と ベジータ </t>
    </r>
    <r>
      <rPr>
        <sz val="11"/>
        <color rgb="FF000000"/>
        <rFont val="Calibri"/>
        <family val="0"/>
        <charset val="1"/>
      </rPr>
      <t xml:space="preserve">)   The Rebirth of Fusion ! ! Goku and Vegeta   Fusion Reborn   March 4 , 1995 ( 1995 - 03 - 04 )   March 17 , 2006 ( 2006 - 03 - 17 ) ( U.S. theatrical )     16   Ryū - ken Bakuhatsu ! ! Gokū ga Yaraneba Dare ga Yaru ( </t>
    </r>
    <r>
      <rPr>
        <sz val="11"/>
        <color rgb="FF000000"/>
        <rFont val="Noto Sans CJK SC"/>
        <family val="2"/>
      </rPr>
      <t xml:space="preserve">龍 拳 爆発 </t>
    </r>
    <r>
      <rPr>
        <sz val="11"/>
        <color rgb="FF000000"/>
        <rFont val="Calibri"/>
        <family val="0"/>
        <charset val="1"/>
      </rPr>
      <t xml:space="preserve">! ! </t>
    </r>
    <r>
      <rPr>
        <sz val="11"/>
        <color rgb="FF000000"/>
        <rFont val="Noto Sans CJK SC"/>
        <family val="2"/>
      </rPr>
      <t xml:space="preserve">悟空 が やら ねば 誰が やる </t>
    </r>
    <r>
      <rPr>
        <sz val="11"/>
        <color rgb="FF000000"/>
        <rFont val="Calibri"/>
        <family val="0"/>
        <charset val="1"/>
      </rPr>
      <t xml:space="preserve">)   Dragon Fist Explosion ! ! If Goku Ca n't Do It , Who Will ?   Wrath of the Dragon   July 15 , 1995 ( 1995 - 07 - 15 )   September 12 , 2006 ( 2006 - 09 - 12 )     17   Saikyō e no Michi ( </t>
    </r>
    <r>
      <rPr>
        <sz val="11"/>
        <color rgb="FF000000"/>
        <rFont val="Noto Sans CJK SC"/>
        <family val="2"/>
      </rPr>
      <t xml:space="preserve">最強 へ の 道 </t>
    </r>
    <r>
      <rPr>
        <sz val="11"/>
        <color rgb="FF000000"/>
        <rFont val="Calibri"/>
        <family val="0"/>
        <charset val="1"/>
      </rPr>
      <t xml:space="preserve">)   The Path to Ultimate Power   The Path to Power   March 4 , 1996 ( 1996 - 03 - 04 )   April 29 , 2003 ( 2003 - 04 - 29 )     18   Kami to Kami ( </t>
    </r>
    <r>
      <rPr>
        <sz val="11"/>
        <color rgb="FF000000"/>
        <rFont val="Noto Sans CJK SC"/>
        <family val="2"/>
      </rPr>
      <t xml:space="preserve">神 と 神 </t>
    </r>
    <r>
      <rPr>
        <sz val="11"/>
        <color rgb="FF000000"/>
        <rFont val="Calibri"/>
        <family val="0"/>
        <charset val="1"/>
      </rPr>
      <t xml:space="preserve">)   God and God   Battle of Gods   March 30 , 2013 ( 2013 - 03 - 30 )   August 5 , 2014 ( 2014 - 08 - 05 ) ( U.S. theatrical )     19   Fukkatsu no ' F ' ( </t>
    </r>
    <r>
      <rPr>
        <sz val="11"/>
        <color rgb="FF000000"/>
        <rFont val="Noto Sans CJK SC"/>
        <family val="2"/>
      </rPr>
      <t xml:space="preserve">復活 の 「 </t>
    </r>
    <r>
      <rPr>
        <sz val="11"/>
        <color rgb="FF000000"/>
        <rFont val="Calibri"/>
        <family val="0"/>
        <charset val="1"/>
      </rPr>
      <t xml:space="preserve">F </t>
    </r>
    <r>
      <rPr>
        <sz val="11"/>
        <color rgb="FF000000"/>
        <rFont val="Noto Sans CJK SC"/>
        <family val="2"/>
      </rPr>
      <t xml:space="preserve">」 </t>
    </r>
    <r>
      <rPr>
        <sz val="11"/>
        <color rgb="FF000000"/>
        <rFont val="Calibri"/>
        <family val="0"/>
        <charset val="1"/>
      </rPr>
      <t xml:space="preserve">)   Resurrection of F   Resurrection ' F '   April 18 , 2015 ( 2015 - 04 - 18 )   August 4 , 2015 ( 2015 - 08 - 04 ) ( U.S. theatrical )     20   Burorī ( </t>
    </r>
    <r>
      <rPr>
        <sz val="11"/>
        <color rgb="FF000000"/>
        <rFont val="Noto Sans CJK SC"/>
        <family val="2"/>
      </rPr>
      <t xml:space="preserve">ブロリー </t>
    </r>
    <r>
      <rPr>
        <sz val="11"/>
        <color rgb="FF000000"/>
        <rFont val="Calibri"/>
        <family val="0"/>
        <charset val="1"/>
      </rPr>
      <t xml:space="preserve">)   Broly   Broly   December 14 , 2018 ( 2018 - 12 - 14 )   January 2019 ( January 2019 ) ( U.S. theatrical )   </t>
    </r>
  </si>
  <si>
    <t xml:space="preserve">The Big Bang Theory - Wikipedia  The Big Bang Theory  Jump to : navigation , search This article is about the television series . For the scientific theory , see Big Bang . For other uses , see Big Bang Theory ( disambiguation ) . `` TBBT '' redirects here . For the Discovery Channel series , see The Big Brain Theory .    The Big Bang Theory         Genre   Sitcom     Created by   Chuck Lorre Bill Prady     Directed by   Mark Cendrowski     Starring     Johnny Galecki   Jim Parsons   Kaley Cuoco   Simon Helberg   Kunal Nayyar   Sara Gilbert   Mayim Bialik   Melissa Rauch   Kevin Sussman   Laura Spencer       Theme music composer   Barenaked Ladies     Opening theme   `` Big Bang Theory Theme ''     Country of origin   United States     Original language ( s )   English     No. of seasons   11     No. of episodes   236 ( list of episodes )     Production     Executive producer ( s )   Chuck Lorre Steven Molaro Bill Prady     Producer ( s )   Faye Oshima Belyeu     Editor ( s )   Peter Chakos     Camera setup   Multi-camera     Running time   18 -- 22 minutes     Production company ( s )   Chuck Lorre Productions Warner Bros. Television     Distributor   Warner Bros. Television Distribution     Release     Original network   CBS     Picture format   HDTV 1080i     Audio format   Dolby Digital 5.1     Original release   September 24 , 2007 ( 2007 - 09 - 24 ) -- present ( present )     Chronology     Related shows   Young Sheldon     External links     Website   www.cbs.com/shows/big_bang_theory/     The Big Bang Theory is an American television sitcom created by Chuck Lorre and Bill Prady , both of whom serve as executive producers on the series , along with Steven Molaro . All three also serve as head writers . The show premiered on CBS on September 24 , 2007 . The series ' tenth season premiered on September 19 , 2016 . In March 2017 , the series was renewed for two additional seasons , bringing its total to twelve , and running through the 2018 -- 19 television season . The eleventh season premiered on September 25 , 2017 .   The show is primarily centered on five characters living in Pasadena , California : Leonard Hofstadter and Sheldon Cooper , both physicists at Caltech , who share an apartment ; Penny , a waitress and aspiring actress who later becomes a pharmaceutical representative and who lives across the hall ; and Leonard and Sheldon 's similarly geeky and socially awkward friends and co-workers , aerospace engineer Howard Wolowitz and astrophysicist Raj Koothrappali . The geekiness and intellect of the four men are contrasted for comic effect with Penny 's social skills and common sense .   Over time , supporting characters have been promoted to starring roles : Leslie Winkle , a physicist who dated Leonard and Howard ; neuroscientist Amy Farrah Fowler , who joins the group after being matched to Sheldon on a dating website ( and later becomes Sheldon 's girlfriend ) ; Bernadette Rostenkowski , Howard 's wife ( previously his girlfriend ) , a microbiologist and former part - time waitress alongside Penny ; Stuart Bloom , the cash - strapped owner of the comic book store the characters often visit ; and Emily Sweeney , a dermatologist who dated Raj .   Contents  ( hide )   1 Production   1.1 Theme song   1.2 Actors ' salaries     2 Cast and characters   2.1 Scientist cameos     3 Episodes   4 Recurring themes and elements   4.1 Science   4.2 Science fiction media   4.3 Leonard and Penny 's relationship   4.4 Sheldon and Amy 's relationship   4.5 Howard 's mother   4.6 Vanity cards   4.7 The Theorists     5 Reception   5.1 Critical reception   5.2 U.S. standard ratings   5.3 UK distribution and ratings   5.4 Canadian ratings     6 Broadcast   6.1 Syndication   6.2 Online media     7 Home media   8 Awards and nominations   9 Merchandise   10 Spin - off series   11 Notes   12 References   13 External links    Production   The structure of the original , unaired pilot , developed for the 2006 -- 07 television season , was substantially different from the series ' current form . The only characters retained in both pilots were Leonard ( Johnny Galecki ) and Sheldon ( Jim Parsons ) , who are named after Sheldon Leonard , a longtime figure in episodic television as producer , director and actor . Althea ( Vernee Watson ) was a character featured in both pilots and the first series episode . Two female leads were Canadian actress Amanda Walsh as Katie , `` a street - hardened , tough - as - nails woman with a vulnerable interior , '' and Iris Bahr as Gilda , a scientist colleague and friend of the male characters . Sheldon and Leonard meet Katie after she breaks up with a boyfriend and they invite her to share their apartment . Gilda is threatened by Katie 's presence . Test audiences reacted negatively to Katie , but they liked Sheldon and Leonard . The original pilot used Thomas Dolby 's hit `` She Blinded Me with Science '' as its theme song .   Although the show was not picked up , its creators were given an opportunity to retool it and produce a second pilot . They brought in the remaining cast and retooled the show to its final format . Katie was replaced by Penny ( Kaley Cuoco ) . The original unaired pilot never has officially been released , but it has circulated on the Internet . On the evolution of the show , Chuck Lorre said , `` We did the ' Big Bang Pilot ' about two and a half years ago , and it sucked ... but there were two remarkable things that worked perfectly , and that was Johnny and Jim . We rewrote the thing entirely and then we were blessed with Kaley and Simon and Kunal . '' As to whether the world will ever see the original pilot on a future DVD release , Lorre said , `` Wow , that would be something . We will see . Show your failures ... ''   The first and second pilots of The Big Bang Theory were directed by James Burrows , who did not continue with the show . The reworked second pilot led to a 13 - episode order by CBS on May 14 , 2007 . Prior to its airing on CBS , the pilot episode was distributed on iTunes free of charge . The show premiered on September 24 , 2007 , and was picked up for a full 22 - episode season on October 19 , 2007 . The show is filmed in front of a live audience , and is produced by Warner Bros. Television and Chuck Lorre Productions . Production was halted on November 6 , 2007 , due to the Writers Guild of America strike . Nearly three months later , on February 4 , 2008 , the series was temporarily replaced by a short - lived sitcom , Welcome to the Captain . The series returned on March 17 , 2008 , in an earlier time slot and ultimately only 17 episodes were produced for the first season .   After the strike ended , the show was picked up for a second season , airing in the 2008 -- 2009 season , premiering in the same time slot on September 22 , 2008 . With increasing ratings , the show received a two - year renewal through the 2010 -- 11 season in 2009 . In 2011 , the show was picked up for three more seasons . In March 2014 , the show was renewed again for three more years through the 2016 -- 17 season . This marks the second time the series has gained a three - year renewal . In March 2017 , the series was renewed for two additional seasons , bringing its total to 12 , and running through the 2018 -- 19 television season .   David Saltzberg , a professor of physics and astronomy at the University of California , Los Angeles , checks scripts and provides dialogue , mathematics equations , and diagrams used as props . According to executive producer / co-creator Bill Prady , `` We 're working on giving Sheldon an actual problem that he 's going to be working on throughout the ( first ) season so there 's actual progress to the boards ... We worked hard to get all the science right . ''   Several of the actors in The Big Bang Theory previously worked together on the sitcom Roseanne , including Johnny Galecki , Sara Gilbert , Laurie Metcalf ( who plays Sheldon 's mother , Mary Cooper ) , and Meagen Fay ( who plays Bernadette 's mother ) . Additionally , Lorre was a writer on the series for several seasons .   Theme song  Single cover for `` Big Bang Theory Theme '' by Barenaked Ladies ( 2007 )  The Canadian alternative rock band Barenaked Ladies wrote and recorded the show 's theme song , which describes the history and formation of the universe and the Earth . Co-lead singer Ed Robertson was asked by Lorre and Prady to write a theme song for the show after the producers attended one of the band 's concerts in Los Angeles . By coincidence , Robertson had recently read Simon Singh 's book Big Bang , and at the concert improvised a freestyle rap about the origins of the universe . Lorre and Prady phoned him shortly thereafter and asked him to write the theme song . Having been asked to write songs for other films and shows , but ending up being rejected because of producer 's favor of other artist 's song , Robertson agreed to write the theme only after learning that Lorre and Prady had not asked anyone else .   On October 9 , 2007 , a full - length ( 1 minute and 45 seconds ) version of the song was released commercially . Although some sources identify the song title as `` History of Everything , '' the cover art for the single identifies the title as `` Big Bang Theory Theme . '' A music video also was released via special features on The Complete Fourth Season DVD and Blu - ray set . The theme was included on the band 's greatest hits album , Hits from Yesterday &amp; the Day Before , released on September 27 , 2011 . In September 2015 , TMZ uncovered court documents showing that Steven Page sued former bandmate Robertson over the song , alleging that he was promised 20 % of the proceeds , but that Robertson has kept that money entirely for himself .   Actors ' salaries   For the first three seasons , Galecki , Parsons , and Cuoco , the three main stars of the show , received at most $60,000 per episode . The salary for the three went up to $200,000 per episode for the fourth season . Their per - episode pay went up an additional $50,000 in each of the following three seasons , culminating in $350,000 per episode in the seventh season . In September 2013 , Bialik and Rauch renegotiated the contracts they held since they were introduced to the series in 2010 . On their old contracts , each was making $20,000 -- $30,000 per episode , while the new contracts doubled that , beginning at $60,000 per episode , increasing steadily to $100,000 per episode by the end of the contract , as well as adding another year for both .   By season seven , Galecki , Parsons , and Cuoco were also receiving 0.25 % of the series ' back - end money . Before production began on the eighth season , the three plus Helberg and Nayyar , looked to renegotiate new contracts , with Galecki , Parsons , and Cuoco seeking around $1 million per episode , as well as more back - end money . Contracts were signed in the beginning of August 2014 , giving the three principal actors an estimated $1 million per episode for three years , with the possibility to extend for a fourth year . The deals also include larger pieces of the show , signing bonuses , production deals , and advances towards the back - end . Helberg and Nayyar were also able to renegotiate their contracts , giving them a per - episode pay in the `` mid-six - figure range '' , up from around $100,000 per episode they each received in years prior . The duo , who were looking to have salary parity with Parsons , Galecki , and Cuoco , signed their contracts after the studio and producers threatened to write the characters out of the series if a deal could not be reached before the start of production on season eight . By season 10 , Helberg and Nayyar reached the $1 million per episode parity with Parsons , Galecki , and Cuoco , due to a clause in their deals signed in 2014 .   In March 2017 , the main cast members ( Galecki , Parsons , Cuoco , Helberg , and Nayyar ) took a 10 % pay cut to allow Bialik and Rauch an increase in their earnings . This put Galecki , Parsons , Cuoco , Helberg and Nayyar at $900,000 per episode , with Parsons , Galecki , and Helberg also receiving overall deals with Warner Bros. Television . By the end of April , Bialik and Rauch had signed deals to earn $500,000 per episode , each , with the deals also including a separate development component for both actors . The deal was an increase from the $175,000 -- $200,000 the duo had been making per episode .   Cast and characters       This section describes a work or element of fiction in a primarily in - universe style . Please help rewrite it to explain the fiction more clearly and provide non-fictional perspective . ( February 2017 ) ( Learn how and when to remove this template message )    Main article : List of The Big Bang Theory characters Main characters in The Big Bang Theory . First row from left : Rajesh Koothrappali , Leonard Hofstadter , Penny , Sheldon Cooper , and Howard Wolowitz , second row from left : Bernadette Rostenkowski - Wolowitz and Amy Farrah Fowler  These actors are credited in all episodes of the series :    Johnny Galecki as Leonard Hofstadter : An experimental physicist with an IQ of 173 , who received his PhD when he was 24 years old . Leonard is a nerd who loves video games , comic books , and Dungeons &amp; Dragons . Leonard is the straight man of the series , in which he shares an apartment in Pasadena , CA , with Sheldon . Leonard is smitten with his new neighbor Penny when they first meet , and they eventually marry .   Jim Parsons as Sheldon Cooper : Originally from Galveston , Texas , Sheldon was a child prodigy with an eidetic memory who began college at the age of eleven , and earned a PhD at age sixteen . He is a theoretical physicist researching quantum mechanics and string theory , and despite his IQ of 187 , he finds many routine aspects of social situations difficult to grasp . He is determined to have his own way , continually boasts of his intelligence , and he has an extremely ritualized way of living . Despite these quirks , he begins a relationship with Amy Farrah Fowler .   Kaley Cuoco as Penny : An aspiring actress from Omaha , Nebraska . Penny moves in across the hall from Sheldon and Leonard . She waits and occasionally tends the bar at the Cheesecake Factory . After giving up hope of becoming a successful actress , Penny becomes a pharmaceutical sales representative . Penny becomes friends with Bernadette and Amy , and they often hang out in each other 's apartments . Penny and Leonard form a relationship and eventually marry .   Simon Helberg as Howard Wolowitz : An aerospace engineer . Howard is Jewish and lives with his mother , Debbie ( Carol Ann Susi ) . Unlike Sheldon , Leonard , Raj , Bernadette and Amy , Howard does not hold a doctorate . He goes into space , training as an astronaut and serving as a payload specialist . Howard initially fancies himself a womanizer , but he later starts dating Bernadette , and they get engaged and married . Howard also has a tendency to waste money on toys and argues with Bernadette because of his oddly low income as an engineer and her high income as a pharmaceutical biochemist .   Kunal Nayyar as Rajesh Koothrappali : A particle astrophysicist originally from New Delhi , India . Raj is initially unable to talk to women unless he drinks alcohol . Raj also has very feminine tastes and often takes on a stereotypical female role . Raj later dates Lucy ( Kate Micucci ) , who also suffers from social anxiety , but it eventually ends ; he later speaks to Penny without alcohol and thus overcomes his selective mutism . He begins dating Emily and their relationship later becomes exclusive . Raj also has a Yorkshire Terrier named Cinnamon .    These actors were first credited as guest stars and later promoted to main cast :    Sara Gilbert as Leslie Winkle ( recurring season 1 , starring season 2 , guest seasons 3 , 9 ) : A physicist who works in the same lab as Leonard . In appearance , she is essentially Leonard 's female counterpart , and has conflicting scientific theories with Sheldon . Leslie has casual sex with Leonard and later Howard . Gilbert was promoted to a main cast member during the second season , but resumed guest star status because producers could not come up with enough material for the character . Gilbert returned to The Big Bang Theory for its 200th episode .   Melissa Rauch as Bernadette Rostenkowski - Wolowitz ( recurring season 3 , starring seasons 4 -- ) : A young woman who initially is a co-worker at The Cheesecake Factory with Penny to pay her way through graduate school , where she is studying microbiology . Bernadette is introduced to Howard by Penny ; at first , they do not get along , apparently having nothing in common . They date and later get engaged and married . Although generally a sweet and good - natured person , Bernadette has a short fuse and can be vindictive and lash out when provoked .   Mayim Bialik as Amy Farrah Fowler ( guest star season 3 , starring seasons 4 -- ) : A woman selected by an online dating site as Sheldon 's perfect mate . Amy is from Glendale , CA . While she and Sheldon initially share social cluelessness , after befriending Penny and Bernadette she eventually becomes more interested in social and romantic interaction . Her relationship with Sheldon slowly progresses to the point at which Sheldon considers her his girlfriend . Amy believes she and Penny are best friends , a sentiment that Penny does not initially share . Amy has a PhD in neurobiology .   Kevin Sussman as Stuart Bloom ( recurring seasons 2 -- 5 , 7 , starring seasons 6 , 8 -- ) : A mild - mannered , under - confident owner of a comic book store . A competent artist , Stuart is a graduate of the prestigious Rhode Island School of Design , and though he is socially awkward he possesses slightly better social skills . Stuart implies he is in financial trouble and that the comic book store now also is his home . He is later invited to join the guys ' group while Howard is in space . Stuart gets a new job caring for Howard 's mother later . After Mrs. Wolowitz 's death , Stuart continues to live in her home , along with Howard and Bernadette , until he finds a place of his own .   Laura Spencer as Emily Sweeney ( recurring seasons 7 -- 8 , starring season 9 ) : A dermatologist at Huntington Hospital . Emily went to Harvard and delights in the macabre and states that she likes her job because she can cut things with knives . Prior to meeting Raj , Emily was set up on a blind date with Howard . After finding Emily 's online dating profile , Raj has Amy contact her as his wingman instead . Their relationship becomes exclusive , but Raj later breaks up with Emily when he becomes infatuated with the bartender Claire ( Alessandra Torresani ) .    Scientist cameos  See also : List of The Big Bang Theory characters § Guest stars appearing as themselves  As the theme of the show revolves around science , many distinguished and high - profile scientists have appeared as guest stars on the show . Famous astrophysicist and Nobel laureate George Smoot had a cameo appearance in the second season . Theoretical physicist Brian Greene also appeared on the show in the fourth season . Astrophysicist , science populizer , and physics outreach specialist Neil deGrasse Tyson also appeared in the fourth season .   Cosmologist Stephen Hawking made a short guest appearance in the fifth - season episode ; in the eighth season , Hawking video conferences with Sheldon and Leonard , and makes another appearance in the 200th episode . In the fifth and sixth seasons , NASA astronaut Michael J. Massimino played himself multiple times in the role of Howard 's fellow astronaut . Bill Nye appeared in the seventh season , and Elon Musk made an appearance in the ninth season .   Episodes  Main article : List of The Big Bang Theory episodes    Season   Episodes   Originally aired   Nielsen ratings     First aired   Last aired   Viewers ( millions )   Viewers rank   18 -- 49 rating / share   18 -- 49 rank         17   September 24 , 2007 ( 2007 - 09 - 24 )   May 19 , 2008 ( 2008 - 05 - 19 )   8.31   68   3.3 / 8   46         23   September 22 , 2008 ( 2008 - 09 - 22 )   May 11 , 2009 ( 2009 - 05 - 11 )   10.03   40   N / A   N / A         23   September 21 , 2009 ( 2009 - 09 - 21 )   May 24 , 2010 ( 2010 - 05 - 24 )   14.22   12   5.3 / 13   5         24   September 23 , 2010 ( 2010 - 09 - 23 )   May 19 , 2011 ( 2011 - 05 - 19 )   13.21   13   4.4 / 13   7       5   24   September 22 , 2011 ( 2011 - 09 - 22 )   May 10 , 2012 ( 2012 - 05 - 10 )   15.82   8   5.5 / 17   6       6   24   September 27 , 2012 ( 2012 - 09 - 27 )   May 16 , 2013 ( 2013 - 05 - 16 )   18.68     6.2 / 19         7   24   September 26 , 2013 ( 2013 - 09 - 26 )   May 15 , 2014 ( 2014 - 05 - 15 )   19.96     6.2 / 20         8   24   September 22 , 2014 ( 2014 - 09 - 22 )   May 7 , 2015 ( 2015 - 05 - 07 )   19.05     5.6 / 17         9   24   September 21 , 2015 ( 2015 - 09 - 21 )   May 12 , 2016 ( 2016 - 05 - 12 )   20.36     5.8 / 19         10   24   September 19 , 2016 ( 2016 - 09 - 19 )   May 11 , 2017 ( 2017 - 05 - 11 )   18.99     4.9 / 19         11   TBA   September 25 , 2017 ( 2017 - 09 - 25 )   TBA   TBA   TBA   TBA   TBA     Recurring themes and elements   Science   Much of the series focuses on science , particularly physics . The four main male characters are employed at Caltech and have science - related occupations , as do Bernadette and Amy . The characters frequently banter about scientific theories or news ( notably around the start of the show ) , and make science - related jokes .   Science has also interfered with the characters ' romantic lives . Leslie breaks up with Leonard when he sides with Sheldon in his support for string theory rather than loop quantum gravity . When Leonard joins Sheldon , Raj , and Howard on a three - month Arctic research trip , it separates Leonard and Penny at a time their relationship is budding . When Bernadette takes an interest in Leonard 's work , it makes both Penny and Howard envious and results in Howard confronting Leonard , and Penny asking Sheldon to teach her physics . Sheldon and Amy also briefly end their relationship after an argument over which of their fields is superior .   David Saltzberg , who has a PhD in physics , has served as the science consultant for the show for six seasons and attends every taping . While Saltzberg knows physics , he sometimes needs assistance from Mayim Bialik , who has a PhD in neuroscience . Saltzberg sees early versions of scripts which need scientific information added to them , and he also points out where the writers , despite their knowledge of science , have made a mistake . He is usually not needed during a taping unless a lot of science , and especially the whiteboard , is involved .   Science fiction media  Star Trek : The Next Generation actor Wil Wheaton has a recurring role as a fictional version of himself on the show .  The four main male characters are all avid science fiction , fantasy , and comic book fans and memorabilia collectors .   Star Trek in particular is frequently referenced and Sheldon identifies strongly with the character of Spock , so much so that when he is given a used napkin signed by Leonard Nimoy as a Christmas gift from Penny he is overwhelmed with excitement and gratitude ( `` I possess the DNA of Leonard Nimoy ? ! '' ) . Star Trek : The Original Series cast member George Takei has made a cameo , and Leonard Nimoy made a cameo as the voice of Sheldon 's vintage Mr. Spock action figure ( both cameos were in dream sequences ) . Star Trek : The Next Generation cast members Brent Spiner and LeVar Burton have had cameos as themselves , while Wil Wheaton has a recurring role as a fictionalized version of himself .   They are also fans of Star Wars , Battlestar Galactica , and Doctor Who . In the episode `` The Ornithophobia Diffusion '' , when there is a delay in watching Star Wars on Blu - ray , Howard complains , `` If we do n't start soon , George Lucas is going to change it again '' ( referring to Lucas ' controversial alterations to the films ) and in `` The Hot Troll Deviation '' , Katee Sackhoff of Battlestar Galactica appeared as Howard 's fantasy dream girl . The characters have different tastes in franchises with Sheldon praising Firefly but disapproving of Leonard 's enjoyment of Babylon 5 . With regard to fantasy , the four make frequent references to The Lord of the Rings and Harry Potter novels and movies . Additionally , Howard can speak Sindarin , one of the two Elvish languages from The Lord of the Rings .   Wednesday night is the group 's designated `` comic book night '' because that is the day of the week when new comic books are released . The comic book store is run by fellow geek and recurring character Stuart . On a number of occasions , the group members have dressed up as pop culture characters , including The Flash , Aquaman , Frodo Baggins , Superman , Batman , Spock , The Doctor , Green Lantern , and Thor . As a consequence of losing a bet to Stuart and Wil Wheaton , the group members are forced to visit the comic book store dressed as Catwoman , Wonder Woman , Batgirl , and Supergirl . DC Comics announced that , to promote its comics , the company will sponsor Sheldon wearing Green Lantern T - shirts .   Various games have been featured , as well as referenced , on the series ( e.g. World of Warcraft , Halo , Mario , etc . ) , including fictional games like Mystic Warlords of Ka'a ( which became a reality in 2011 ) and Rock - paper - scissors - lizard - Spock .   Leonard and Penny 's relationship   One of the recurring plot lines is the relationship between Leonard and Penny . Leonard becomes attracted to Penny in the pilot episode and his need to do favors for her is a frequent point of humor in the first season . Meanwhile , Penny dates a series of muscular , attractive , unintelligent , and insensitive jocks . Their first long term relationship begins when Leonard returns from a three - month expedition to the North Pole in the season 3 premiere . However , when Leonard tells Penny that he loves her , she realizes she can not say it back . Both Leonard and Penny go on to date other people ; most notably with Leonard dating Raj 's sister Priya for much of season 4 . This relationship is jeopardized when Leonard comes to falsely believe that Raj has slept with Penny , and ultimately ends when Priya sleeps with a former boyfriend in `` The Good Guy Fluctuation '' .   Penny , who admits to missing Leonard in `` The Roommate Transmogrification '' , accepts his request to renew their relationship in `` The Beta Test Initiation '' . After Penny suggests having sex in `` The Launch Acceleration '' , Leonard breaks the mood by proposing to her . Penny says `` no '' but does not break up with him . She stops a proposal a second time in `` The Tangible Affection Proof '' . In the sixth - season episode , `` The 43 Peculiarity '' , Penny finally tells Leonard that she loves him . Although they both feel jealousy when the other receives significant attention from the opposite sex , Penny is secure enough in their relationship to send him off on an exciting four - month expedition without worrying in `` The Bon Voyage Reaction '' . After Leonard returns , their relationship blossoms over the seventh season . In the penultimate episode `` The Gorilla Dissolution '' , Penny admits that they should marry and when Leonard realizes that she is serious , he proposes with a ring that he had been saving for years . Leonard and Penny decide to elope to Las Vegas in the season 8 finale , but beforehand , wanting no secrets , Leonard admits to kissing another woman , Mandy Chow ( Melissa Tang ) while on an expedition on the North Sea . Despite this , Leonard and Penny finally elope in the season 9 premiere .   Sheldon and Amy 's relationship   In the third - season finale , Raj and Howard search for a woman compatible with Sheldon and discover neurobiologist Amy Farrah Fowler . Like him , she has a history of social ineptitude and participates in online dating only to fulfill an agreement with her mother . This spawns a storyline in which Sheldon and Amy communicate daily while insisting to Leonard and Penny that they are not romantically involved . In `` The Agreement Dissection '' , Sheldon and Amy talk in her apartment after a night of dancing and she kisses him on the lips . Instead of getting annoyed , Sheldon says `` fascinating '' and later asks Amy to be his girlfriend in `` The Flaming Spittoon Acquisition '' . The same night he draws up `` The Relationship Agreement '' to verify the ground rules of him as her boyfriend and vice versa ( similar to his `` Roommate Agreement '' with Leonard ) . Amy agrees but later regrets not having had a lawyer read through it .   In the episode `` The Launch Acceleration '' , Amy tries to use her `` neurobiology bag of tricks '' to increase the attraction between herself and Sheldon . In the final fifth - season episode `` The Countdown Reflection '' , Sheldon takes Amy 's hand as Howard is launched into space . In the sixth season first episode `` The Date Night Variable '' , after a dinner in which Sheldon fails to live up to this expectation , Amy gives Sheldon an ultimatum that their relationship is over unless he tells her something from his heart . Amy accepts Sheldon 's romantic speech even after learning that it is a line from the first Spider - Man movie . In `` The Cooper / Kripke Inversion '' Sheldon states that he has been working on his discomfort about physical contact and admits that `` it 's a possibility '' that he could one day have sex with Amy . Amy is revealed to have similar feelings in `` The Love Spell Potential '' . Sheldon explains that he never thought about intimacy with anyone before Amy .   `` The Locomotive Manipulation '' is the first episode in which Sheldon initiates a kiss with Amy . Although initially done in a fit of sarcasm , he discovers that he enjoys the feeling . Consequently , Sheldon slowly starts to open up over the rest of the season , and starts a more intimate relationship with Amy . However , in the season finale , Sheldon leaves temporarily to cope with several changes and Amy becomes distraught . However , in `` The Prom Equivalency '' , he hides in his room to avoid going to a mock prom reenactment with her . In the resulting stand - off , Amy is about to confess that she loves Sheldon , but he surprises her by saying that he loves her too . This prompts Amy to have a panic attack .   In the season eight finale , Sheldon and Amy get into a fight about commitment on their 5 - year anniversary . Amy tells Sheldon that she needs to think about the future of their relationship , unaware that Sheldon was about to propose to her . Season nine sees Sheldon harassing Amy about making up her mind until she breaks up with him . Both struggle with singlehood and trying to be friends for the next few weeks until they reunite in episode ten and have sex for the first time on Amy 's birthday .   Howard 's mother   In scenes set at Howard 's home , he interacts with his rarely - seen mother ( voiced by Carol Ann Susi until her death ) by shouting from room to room in the house . She similarly interacts with other characters in this manner . She reflects the Jewish mother stereotype in some ways , such as being overly controlling of Howard 's adult life and sometimes trying to make him feel guilty about causing her trouble . She is dependent on Howard , as she requires him to help her with her wig and makeup in the morning . Howard in turn is attached to his mother to the point where she still cuts his meat for him , takes him to the dentist , does his laundry and `` grounds '' him when he returns home after briefly moving out . Until Howard 's marriage to Bernadette in the fifth - season finale , Howard 's former living situation led Leonard 's psychiatrist mother to speculate that he may suffer from some type of pathology , and Sheldon to refer to their relationship as Oedipal . In season 8 , Howard 's mother dies in her sleep while in Florida , which devastates Howard and Stuart , who briefly lived with Mrs. Wolowitz .   Vanity cards   Like most shows created by Chuck Lorre , The Big Bang Theory ends by showing a vanity card written by Lorre after the credits , followed by the Warner Bros. Television closing logo . These cards are archived on Lorre 's website .   The Theorists   Through the use of his vanity cards at the end of episodes , Lorre alleged that the program had been plagiarized by a show produced and aired in </t>
  </si>
  <si>
    <t xml:space="preserve">where is big bang theory supposed to take place</t>
  </si>
  <si>
    <t xml:space="preserve"> The show is primarily centered on five characters living in Pasadena , California : Leonard Hofstadter and Sheldon Cooper , both physicists at Caltech , who share an apartment ; Penny , a waitress and aspiring actress who later becomes a pharmaceutical representative and who lives across the hall ; and Leonard and Sheldon 's similarly geeky and socially awkward friends and co-workers , aerospace engineer Howard Wolowitz and astrophysicist Raj Koothrappali . The geekiness and intellect of the four men are contrasted for comic effect with Penny 's social skills and common sense . </t>
  </si>
  <si>
    <t xml:space="preserve">Electoral College ( United states ) - wikipedia  Electoral College ( United states )  Jump to : navigation , search This article is about the United States Electoral College . For electoral colleges in general , see Electoral college . For other uses and regions , see Electoral college ( disambiguation ) . Map of the Electoral College 2016 presidential election  The United States Electoral College is the mechanism established by the United States Constitution for the election of the president and vice president of the United States by small groups of appointed representatives , electors , from each state and the District of Columbia . The Constitution specifies that each state legislature individually determines its own process for appointing electors . In practice , all state legislatures use popular voting to choose a slate of electors who are pledged to vote for a particular party 's candidate . Thus , today the president and vice president are effectively chosen through indirect election by the citizens .   The Twelfth Amendment requires each elector to cast one vote for president and another vote for vice president . In each state and the District of Columbia , electors are chosen every four years on the Tuesday after the first Monday in November , and then meet to cast ballots on the first Monday after the second Wednesday in December . The candidates who receive a majority of electoral votes among the states are elected president and vice president of the United States when the Electoral College vote is certified by Congress in early January . Pursuant to the Twentieth Amendment , the terms for president and vice president end at noon on January 20 following an election for those offices ; the new terms for those offices then begin .   Each state chooses electors , equal in number to that state 's combined total of senators and representatives . There are a total of 538 electors , corresponding to the 435 representatives and 100 senators , plus the three electors for the District of Columbia as provided by the Twenty - third Amendment . The Constitution bars any federal official , elected or appointed , from being an elector . The Office of the Federal Register is charged with administering the Electoral College . Since the mid-19th century when all electors have been popularly chosen , the Electoral College has elected the candidate who received the most popular votes nationwide , except in four elections : 1876 , 1888 , 2000 , and 2016 . In 1824 , there were six states in which electors were legislatively appointed , rather than popularly elected , so the true national popular vote is uncertain ; the electors failed to select a winning candidate , so the matter was decided by the House of Representatives .   All states except California ( before 1913 ) , Maine , and Nebraska have chosen electors on a `` winner - take - all '' basis since the 1880s . Under the winner - take - all system , the state 's electors are awarded to the candidate with the most votes in that state , thus maximizing the state 's influence in the national election . Maine and Nebraska use the `` congressional district method , '' selecting one elector within each congressional district by popular vote and awarding two electors by a statewide popular vote . Although no elector is required by federal law to honor his pledge , there have been very few occasions when an elector voted contrary to a pledge , and never once has it impacted the final outcome of a national election .   If no candidate for president receives a majority of electoral votes for president , the Twelfth Amendment provides that the House of Representatives will select the president , with each of the fifty state delegations casting one vote . If no candidate for vice president receives a majority of electoral votes for vice president , then the Senate will select the vice president , with each of the 100 senators having one vote .   Contents  ( hide )   1 Background   2 History   2.1 Original plan   2.2 Breakdown and revision   2.3 Evolution to the general ticket   2.4 Evolution of selection plans   2.5 Fourteenth Amendment   2.6 Meeting of electors date over the years     3 Modern mechanics   3.1 Summary   3.2 Electors   3.2. 1 Apportionment   3.2. 2 Nomination   3.2. 3 Selection   3.2. 4 Meetings   3.2. 5 Faithlessness     3.3 Joint session of Congress and contingencies   3.3. 1 Contingent presidential election by House   3.3. 2 Contingent vice presidential election by Senate   3.3. 3 Deadlocked election     3.4 Current electoral vote distribution     4 Chronological table   5 Alternative methods of choosing electors   5.1 Appointment by state legislature   5.2 Electoral districts   5.3 Proportional vote   5.4 Congressional district method   5.4. 1 Implementation       6 Contemporary issues   6.1 Criticism   6.1. 1 Nondeterminacy of popular vote   6.1. 2 Exclusive focus on large swing states   6.1. 3 Discouragement of turnout and participation   6.1. 4 Obscuring disenfranchisement within states   6.1. 5 Lack of enfranchisement of U.S. territories   6.1. 6 Advantage based on state population   6.1. 7 Disadvantage for third parties   6.1. 8 Inadequate means for electors to vote conscience and prevent the election of demagogues     6.2 Support   6.2. 1 Prevention of an urban - centric victory   6.2. 2 Maintenance of the federal character of the nation   6.2. 3 Enhancement of the status of minority groups   6.2. 4 Encouragement of stability through the two - party system   6.2. 5 Flexibility if a presidential candidate dies   6.2. 6 Isolation of election problems       7 Efforts to abolish   7.1 Bayh -- Celler amendment   7.2 Carter proposal   7.3 Cohen proposal   7.4 National Popular Vote Interstate Compact     8 See also   9 References   10 External links    Background   The Constitutional Convention in 1787 used the Virginia Plan as the basis for discussions , as the Virginia delegation had proposed it first . The Virginia Plan called for the Congress to elect the president . Delegates from a majority of states agreed to this mode of election . However , a committee formed to work out various details including the mode of election of the president , recommended instead the election be by a group of people apportioned among the states in the same numbers as their representatives in Congress ( the formula for which had been resolved in lengthy debates resulting in the Connecticut Compromise and Three - Fifths Compromise ) , but chosen by each state `` in such manner as its Legislature may direct . '' Committee member Gouverneur Morris explained the reasons for the change ; among others , there were fears of `` intrigue '' if the president were chosen by a small group of men who met together regularly , as well as concerns for the independence of the president if he were elected by the Congress . However , once the Electoral College had been decided on , several delegates ( Mason , Butler , Morris , Wilson , and Madison ) openly recognized its ability to protect the election process from cabal , corruption , intrigue , and faction . Some delegates , including James Wilson and James Madison , preferred popular election of the executive . Madison acknowledged that while a popular vote would be ideal , it would be difficult to get consensus on the proposal given the prevalence of slavery in the South :   There was one difficulty however of a serious nature attending an immediate choice by the people . The right of suffrage was much more diffusive in the Northern than the Southern States ; and the latter could have no influence in the election on the score of Negroes . The substitution of electors obviated this difficulty and seemed on the whole to be liable to the fewest objections .   The Convention approved the Committee 's Electoral College proposal , with minor modifications , on September 6 , 1787 . Delegates from states with smaller populations or limited land area such as Connecticut , New Jersey , and Maryland generally favored the Electoral College with some consideration for states . At the compromise providing for a runoff among the top five candidates , the small states supposed that the House of Representatives with each state delegation casting one vote would decide most elections .   In The Federalist Papers , James Madison explained his views on the selection of the president and the Constitution . In Federalist No. 39 , Madison argued the Constitution was designed to be a mixture of state - based and population - based government . Congress would have two houses : the state - based Senate and the population - based House of Representatives . Meanwhile , the president would be elected by a mixture of the two modes .   Alexander Hamilton in Federalist No. 68 laid out what he believed were the key advantages to the Electoral College . The electors come directly from the people and them alone for that purpose only , and for that time only . This avoided a party - run legislature , or a permanent body that could be influenced by foreign interests before each election . Hamilton explained the election was to take place among all the states , so no corruption in any state could taint `` the great body of the people '' in their selection . The choice was to be made by a majority of the Electoral College , as majority rule is critical to the principles of republican government . Hamilton argued that electors meeting in the state capitals were able to have information unavailable to the general public . Hamilton also argued that since no federal officeholder could be an elector , none of the electors would be beholden to any presidential candidate .   Another consideration was the decision would be made without `` tumult and disorder , '' as it would be a broad - based one made simultaneously in various locales where the decision - makers could deliberate reasonably , not in one place where decision - makers could be threatened or intimidated . If the Electoral College did not achieve a decisive majority , then the House of Representatives was to choose the president from among the top five candidates , ensuring selection of a presiding officer administering the laws would have both ability and good character . Hamilton was also concerned about somebody unqualified , but with a talent for `` low intrigue , and the little arts of popularity , '' attaining high office .   Additionally , in the Federalist No. 10 , James Madison argued against `` an interested and overbearing majority '' and the `` mischiefs of faction '' in an electoral system . He defined a faction as `` a number of citizens whether amounting to a majority or minority of the whole , who are united and actuated by some common impulse of passion , or of interest , adverse to the rights of other citizens , or to the permanent and aggregate interests of the community . '' What was then called republican government ( i.e. , federalism , as opposed to direct democracy ) , with its varied distribution of voter rights and powers , would countervail against factions . Madison further postulated in the Federalist No. 10 that the greater the population and expanse of the Republic , the more difficulty factions would face in organizing due to such issues as sectionalism .   Although the United States Constitution refers to `` Electors '' and `` electors , '' neither the phrase `` Electoral College '' nor any other name is used to describe the electors collectively . It was not until the early 19th century the name `` Electoral College '' came into general usage as the collective designation for the electors selected to cast votes for president and vice president . The phrase was first written into federal law in 1845 and today the term appears in 3 U.S.C. § 4 , in the section heading and in the text as `` college of electors . ''   History   Original plan   Article II , Section 1 , Clause 2 of the Constitution states :   Each State shall appoint , in such Manner as the Legislature thereof may direct , a Number of Electors , equal to the whole Number of Senators and Representatives to which the State may be entitled in the Congress : but no Senator or Representative , or Person holding an Office of Trust or Profit under the United States , shall be appointed an Elector .   Article II , Section 1 , Clause 4 of the Constitution states :   The Congress may determine the Time of chusing ( sic ) the Electors , and the Day on which they shall give their Votes ; which Day shall be the same throughout the United States .   Article II , Section 1 , Clause 3 of the Constitution provided the original plan by which the electors chose the president and vice president . Under the original plan , the candidate who received a majority of votes from the electors would become president ; the candidate receiving the second most votes would become vice president .   The original plan of the Electoral College was based upon several assumptions and anticipations of the Framers of the Constitution :    Individual electors would be elected by citizens on a district - by - district basis .   Each presidential elector would exercise independent judgment when voting .   Candidates would not pair together on the same ticket with assumed placements toward each office of president and vice president .   The system as designed would rarely produce a winner , thus sending the election to Congress .    According to the text of Article II , however , each state government was free to have its own plan for selecting its electors , and the Constitution does not explicitly require states to popularly elect their electors . Several different methods for selecting electors are described at length below .   Breakdown and revision   The emergence of political parties and nationally coordinated election campaigns soon complicated matters in the elections of 1796 and 1800 . In 1796 , Federalist Party candidate John Adams won the presidential election . Finishing in second place was Democratic - Republican Party candidate Thomas Jefferson , the Federalists ' opponent , who became the vice president . This resulted in the president and vice president being of different political parties .   In 1800 , the Democratic - Republican Party again nominated Jefferson for president and also nominated Aaron Burr for vice president . After the election , Jefferson and Burr both obtained a majority of electoral votes , but tied one another with 73 votes each . Since ballots did not distinguish between votes for president and votes for vice president , every ballot cast for Burr technically counted as a vote for him to become president , despite Jefferson clearly being his party 's first choice . Lacking a clear winner by constitutional standards , the election had to be decided by the House of Representatives pursuant to the Constitution 's contingency election provision .   Having already lost the presidential contest , Federalist Party representatives in the lame duck House session seized upon the opportunity to embarrass their opposition by attempting to elect Burr over Jefferson . The House deadlocked for 35 ballots as neither candidate received the necessary majority vote of the state delegations in the House ( the votes of nine states were needed for a conclusive election ) . Jefferson achieved electoral victory on the 36th ballot , but only after Federalist Party leader Alexander Hamilton -- who disfavored Burr 's personal character more than Jefferson 's policies -- had made known his preference for Jefferson .   Responding to the problems from those elections , the Congress proposed on December 9 , 1803 , and three - fourths of the states ratified by June 15 , 1804 , the Twelfth Amendment . Starting with the 1804 election , the amendment requires electors cast separate ballots for president and vice president , replacing the system outlined in Article II , Section 1 , Clause 3 .   Evolution to the general ticket   Alexander Hamilton described the framers ' view of how electors would be chosen : `` A small number of persons , selected by their fellow - citizens from the general mass , will be most likely to possess the information and discernment requisite to such complicated ( tasks ) . '' The founders assumed this would take place district by district . That plan was carried out by many states until the 1880s . For example , in Massachusetts in 1820 , the rule stated `` the people shall vote by ballot , on which shall be designated who is voted for as an Elector for the district . '' In other words , the people did not place the name of a candidate for a president on the ballot , instead they voted for their local elector , whom they trusted later to cast a responsible vote for president .   Some states reasoned that the favorite presidential candidate among the people in their state would have a much better chance if all of the electors selected by their state were sure to vote the same way -- a `` general ticket '' of electors pledged to a party candidate . So the slate of electors chosen by the state were no longer free agents , independent thinkers , or deliberative representatives . They became `` voluntary party lackeys and intellectual non-entities . '' Once one state took that strategy , the others felt compelled to follow suit in order to compete for the strongest influence on the election .   When James Madison and Hamilton , two of the most important architects of the Electoral College , saw this strategy being taken by some states , they protested strongly . Madison and Hamilton both made it clear this approach violated the spirit of the Constitution . According to Hamilton , the selection of the president should be `` made by men most capable of analyzing the qualities adapted to the station ( of president ) . '' According to Hamilton , the electors were to analyze the list of potential presidents and select the best one . He also used the term `` deliberate . '' Hamilton considered a pre-pledged elector to violate the spirit of Article II of the Constitution insofar as such electors could make no `` analysis '' or `` deliberate '' concerning the candidates . Madison agreed entirely , saying that when the Constitution was written , all of its authors assumed individual electors would be elected in their districts and it was inconceivable a `` general ticket '' of electors dictated by a state would supplant the concept . Madison wrote to George Hay ,   The district mode was mostly , if not exclusively in view when the Constitution was framed and adopted ; &amp; was exchanged for the general ticket ( many years later ) .   The Founders assumed that electors would be elected by the citizens of their district and that elector was to be free to analyze and deliberate regarding who is best suited to be president .   Madison and Hamilton were so upset by what they saw as a distortion of the framers ' original intent that they advocated a constitutional amendment to prevent anything other than the district plan : `` the election of Presidential Electors by districts , is an amendment very proper to be brought forward , '' Madison told George Hay in 1823 . Hamilton went further . He actually drafted an amendment to the Constitution mandating the district plan for selecting electors .   Evolution of selection plans   In 1789 , at - large popular vote , the winner - take - all method , began with Pennsylvania and Maryland ; Virginia and Delaware used a district plan by popular vote , and in the five other states participating in the election ( Connecticut , Georgia , Maryland , New Hampshire New Jersey and South Carolina ) , state legislatures chose . By 1800 , Virginia and Rhode Island voted at - large , Kentucky , Maryland and North Carolina voted popularly by district , and eleven states voted by state legislature . Beginning in 1804 there was a definite trend towards the winner - take - all system for statewide popular vote .   States using their state legislature to choose presidential electors have included fourteen states from all regions of the country . By 1832 , only South Carolina used the state legislature , and it abandoned the method after 1860 . States using popular vote by district have included ten states from all regions of the country . By 1832 there was only Maryland , and from 1836 district plans fell out of use until the 20th century , though Michigan used a district plan for 1892 only .   Since 1836 , statewide , winner - take - all popular voting for electors has been the almost universal practice . As of 2016 , Maine ( from 1972 ) and Nebraska ( from 1996 ) use the district plan , with two at - large electors assigned to support the winner of the statewide popular vote .   Fourteenth Amendment   Section 2 of the Fourteenth Amendment allows for a state 's representation in the House of Representatives to be reduced if a state unconstitutionally denies people the right to vote . The reduction is in keeping with the proportion of people denied a vote . This amendment refers to `` the right to vote at any election for the choice of electors for President and Vice President of the United States , '' among other elections , the only place in the Constitution mentioning electors being selected by popular vote .   On May 8 , 1866 , during a debate on the Fourteenth Amendment , Thaddeus Stevens , the leader of the Republicans in the House of Representatives , delivered a speech on the amendment 's intent . Regarding Section 2 , he said :   The second section I consider the most important in the article . It fixes the basis of representation in Congress . If any State shall exclude any of her adult male citizens from the elective franchise , or abridge that right , she shall forfeit her right to representation in the same proportion . The effect of this provision will be either to compel the States to grant universal suffrage or so shear them of their power as to keep them forever in a hopeless minority in the national Government , both legislative and executive .   Federal law ( 2 U.S.C. § 6 ) implements Section 2 's mandate .   Meeting of electors date over the years   For 1789 , the first Wednesday in February next be the day for the Electors to assemble in their respective States and vote for a President from Resolution of 13 September 1788 by the Confederation ( Continental ) Congress . For 1792 through 1884 , the Electors shall meet and give their votes on the first Wednesday in December from 1 Stat. 239 , Section 2 . For 1889 through 1933 , the Electors of each State shall meet and give their votes on the second Monday in January next following their appointment from 24 Stat. 373 , Section 1. For 1936 to the present , the Electors of President and Vice President of each State shall meet and give their votes on the first Monday after the second Wednesday in December next following their appointment from 62 Stat. 673 , now codified as United States Code : Title 3 , Section 7 ( 3 USC 7 ) .   Modern mechanics  The 2012 Certificate of Vote issued by Maryland 's delegation to the Electoral College .  Summary   Even though the aggregate national popular vote is calculated by state officials , media organizations , and the Federal Election Commission , the people only indirectly elect the president , as the national popular vote is not the basis for electing the president or vice president . The president and vice president of the United States are elected by the Electoral College , which consists of 538 presidential electors from the fifty states and Washington , D.C. Presidential electors are selected on a state - by - state basis , as determined by the laws of each state . Since the election of 1824 , most states have appointed their electors on a winner - take - all basis , based on the statewide popular vote on Election Day . Maine and Nebraska are the only two current exceptions , as both states use the congressional district method . Although ballots list the names of the presidential and vice presidential candidates ( who run on a ticket ) , voters actually choose electors when they vote for president and vice president . These presidential electors in turn cast electoral votes for those two offices . Electors usually pledge to vote for their party 's nominee , but some `` faithless electors '' have voted for other candidates or refrained from voting .   A candidate must receive an absolute majority of electoral votes ( currently 270 ) to win the presidency or the vice presidency . If no candidate receives a majority in the election for president or vice president , the election is determined via a contingency procedure established by the Twelfth Amendment . In such a situation , the House chooses one of the top three presidential electoral vote - winners as the president , while the Senate chooses one of the top two vice presidential electoral vote - winners as vice president .   Electors  Apportionment. Further information : United States congressional apportionment State population per electoral vote for the 50 states and Washington D.C.  A state 's number of electors equals the number of representatives plus two electors for both senators the state has in the United States Congress . The number of representatives is based on the respective populations , determined every 10 years by the United States Census . Each representative represents on average 711,000 persons .   Under the Twenty - third Amendment , Washington , D.C. , is allocated as many electors as it would have if it were a state , but no more electors than the least populous state . The least populous state ( which is Wyoming , according to the 2010 census ) has three electors ; thus , D.C. can not have more than three electors . Even if D.C. were a state , its population would entitle it to only three electors ; based on its population per electoral vote , D.C. has the second highest per capita Electoral College representation , after Wyoming .   Currently , there is a total of 538 electors , there being 435 representatives and 100 senators , plus the three electors allocated to Washington , D.C. The six states with the most electors are California ( 55 ) , Texas ( 38 ) , New York ( 29 ) , Florida ( 29 ) , Illinois ( 20 ) , and Pennsylvania ( 20 ) . The seven smallest states by population -- Alaska , Delaware , Montana , North Dakota , South Dakota , Vermont , and Wyoming -- have three electors each . This is because each of these states is entitled to one representative and two senators .  Nomination  Candidates for elector are nominated by state chapters of nationally oriented political parties in the months prior to Election Day . In some states , the electors are nominated by voters in primaries , the same way other presidential candidates are nominated . In some states , such as Oklahoma , Virginia and North Carolina , electors are nominated in party conventions . In Pennsylvania , the campaign committee of each candidate names their respective electoral college candidates ( an attempt to discourage faithless electors ) . Varying by state , electors may also be elected by state legislatures , or appointed by the parties themselves .  Selection  Article II , Section 1 , Clause 2 of the Constitution requires each state legislature to determine how electors for the state are to be chosen , but it disqualifies any person holding a federal office , either elected or appointed , from being an elector . Under Section 3 of the Fourteenth Amendment , any person who has sworn an oath to support the United States Constitution in order to hold either a state or federal office , and later rebelled against the United States directly or by giving assistance to those doing so , is disqualified from being an elector . However , the Congress may remove this disqualification by a two - thirds vote in each House .   Since the Civil War , all states have chosen presidential electors by popular vote . This process has been normalized to the point the names of the electors appear on the ballot in only eight states : Rhode Island , Tennessee , Louisiana , Arizona , Idaho , Oklahoma , North Dakota and South Dakota .   The Tuesday following the first Monday in November has been fixed as the day for holding federal elections , called the Election Day . In 48 states and Washington , D.C. , the `` winner - takes - all method '' is used ( electors selected as a single bloc ) . Maine and Nebraska use the `` congressional district method '' , selecting one elector within each congressional district by popular vote and selecting the remaining two electors by a statewide popular vote . This method has been used in Maine since 1972 and in Nebraska since 1996 .   The current system of choosing electors is called the `` short ballot '' . In most states , voters choose a slate of electors , and only a few states list on the ballot the names of proposed electors . In some states , if a voter wants to write in a candidate for president , the voter is also required to write in the names of proposed electors .   After the election , each state prepares seven Certificates of Ascertainment , each listing the candidates for president and vice president , their pledged electors , and the total votes each candidacy received . One certificate is sent , as soon after Election Day as practicable , to the National Archivist in Washington D.C. The Certificates of Ascertainment are mandated to carry the State Seal , and the signature of the Governor ( in the case of the District of Columbia , the Certificate is signed by the Mayor of the District of Columbia . )  Meetings Certificate for the electoral votes for Rutherford B. Hayes and William A. Wheeler for the State of Louisiana ( 1876 ) .  The Electoral College never meets as one body . Electors meet in their respective state capitals ( electors for the District of Columbia meet within the District ) on the Monday after the second Wednesday in December , at which time they cast their electoral votes on separate ballots for president and vice president .   Although procedures in each state vary slightly , the electors generally follow a similar series of steps , and the Congress has constitutional authority to regulate the procedures the states follow . The meeting is opened by the election certification official -- often that state 's secretary of state or equivalent -- who reads the Certificate of Ascertainment . This document sets forth who was chosen to cast the electoral votes . The attendance of the electors is taken and any vacancies are noted in writing . The next step is the selection of a president or chairman of the meeting , sometimes also with a vice chairman . The electors sometimes choose a secretary , often not himself an elector , to take the minutes of the meeting . In many states , political officials give short speeches at this point in the proceedings .   When the time for balloting arrives , the electors choose one or two people to act as tellers . Some states provide for the placing in nomination of a candidate to receive the electoral votes ( the candidate for president of the political party of the electors ) . Each elector submits a written ballot with the name of a candidate for president . In New Jersey , the electors cast ballots by checking the name of the candidate on a pre-printed card ; in North Carolina , the electors write the name of the candidate on a blank card . The tellers count the ballots and announce the result . The next step is the casting of the vote for vice president , which follows a similar pattern .   Each state 's electors must complete six Certificates of Vote . Each Certificate of Vote must be signed by all of the electors and a Certificate of Ascertainment must be attached to each of the Certificates of Vote . Each Certificate of Vote must include the names of those who received an electoral vote for either the office of president or of vice president . The electors certify the Certificates of Vote and copies of the Certificates are then sent in the following fashion :    One is sent by registered mail to the President of the Senate ( who usually is the incumbent Vice President of the United States ) ;   Two are sent by registered mail to the Archivist of the United States ;   Two are sent to the state 's Secretary of State ; and   One is sent to the chief judge of the United States district court where those electors met .    A staff member of the President of the Senate collects the Certificates of Vote as they arrive and prepares them for the joint session of the Congress . The Certificates are arranged -- unopened -- in alphabetical order and placed in two special mahogany boxes . Alabama through Missouri ( including the Distr</t>
  </si>
  <si>
    <t xml:space="preserve">when did the us start using the electoral college</t>
  </si>
  <si>
    <t xml:space="preserve"> For 1789 , the first Wednesday in February next be the day for the Electors to assemble in their respective States and vote for a President from Resolution of 13 September 1788 by the Confederation ( Continental ) Congress . For 1792 through 1884 , the Electors shall meet and give their votes on the first Wednesday in December from 1 Stat. 239 , Section 2 . For 1889 through 1933 , the Electors of each State shall meet and give their votes on the second Monday in January next following their appointment from 24 Stat. 373 , Section 1. For 1936 to the present , the Electors of President and Vice President of each State shall meet and give their votes on the first Monday after the second Wednesday in December next following their appointment from 62 Stat. 673 , now codified as United States Code : Title 3 , Section 7 ( 3 USC 7 ) . </t>
  </si>
  <si>
    <r>
      <rPr>
        <sz val="11"/>
        <color rgb="FF000000"/>
        <rFont val="Calibri"/>
        <family val="0"/>
        <charset val="1"/>
      </rPr>
      <t xml:space="preserve">Yanny or Laurel - wikipedia  Yanny or Laurel    `` Yanny '' redirects here . For the Greek musician , see Yanni . For other uses , see Yanni ( disambiguation ) .      `` Yanny or Laurel '' This low quality recording of the pronunciation of `` Laurel '' , which went viral on Twitter , enhances the illusion according to Brad Story .     Problems playing this file ? See media help .     `` Yanny or Laurel '' is an auditory illusion of a re-recording of a vocabulary word plus added background sounds , also mixed into the recording , which became popular in May 2018 . In the brief audio recording , 53 % of over 500,000 people answered on a Twitter poll that they heard a man saying the original word `` Laurel '' , while 47 % reported hearing a voice saying the name `` Yanny '' . Analysis of the sound frequencies has confirmed that both sets of sounds are present in the mixed recording , but some users focus on the higher frequency sounds in `` Yanny '' and can not seem to hear the lower sounds of the word `` Laurel '' . When the audio clip has been slowed to lower frequencies , then the word `` Yanny '' has been heard by more listeners , while faster playback loudens `` Laurel '' ( see below : Pitch - shifted versions ) .   Contents    1 Background   2 Pop culture   3 Scientific analysis   3.1 Pitch - shifted versions     4 See also   5 References   6 External links    Background ( edit )   The mixed re-recording was created by students who played the sound of the word `` laurel '' ( a laurel wreath ) , while re-recording the playback amid background noise in the room . The audio clip of the main word `` laurel '' originated in 2007 from a recording of Jay Aubrey Jones , an opera singer , who spoke the word `` laurel '' as one of 200,000 reference pronunciations produced and published by vocabulary.com in 2007 . The clip was made at Jones ' home using a laptop and microphone , with surrounding foam to help soundproof the recording .   The discovery of the ambiguity phenomenon is attributed to Katie Hetzel , a 15 - year - old freshman at Flowery Branch High School , near Atlanta , Georgia , who posted a description publicly on Instagram on May 11 , 2018 . The illusion reached further popularity when the student 's friend posted it on Reddit the next day . It was picked up by YouTuber Cloe Feldman on her Twitter account .   Pop culture ( edit )   Notable individuals who responded to the auditory illusion included Ellen DeGeneres , Stephen King , and Chrissy Teigen . Laurel Halo and Yanni , whose names are similar to those given in the auditory illusion , also responded . In a video released by the White House , various members of the Trump administration reacted to the meme , and President Donald Trump said , `` I hear covfefe '' , as a reference to his `` covfefe '' tweet the previous year .   In The Guardian , the clip was compared to the 2015 gold / blue dress controversy . Several days after the clip became viral , the team at Vocabulary.com added a separate entry for the word `` Yanny '' , which contained an audio clip identical to `` Laurel '' . Its definition is about the Internet trend .   Scientific analysis ( edit )   On May 16 , 2018 , a report in The New York Times noted a spectrogram analysis confirmed how the extra sounds for `` yanny '' can be graphed in the mixed re-recording . The sounds also were simulated by combining syllables of the same Vocabulary.com voice saying the words `` Yangtze '' and `` uncanny '' as a mash - up of sounds which gave a similar spectrogram as the extra sounds graphed in the laurel re-recording .   Benjamin Munson , a professor of audiology at the University of Minnesota , suggested that `` Yanny '' can be heard in higher frequencies while `` Laurel '' can be heard in lower frequencies . Older people , whose ability to hear higher frequencies is more likely to have degraded , usually hear `` Laurel '' . Kevin Franck , the director of audiology at the Boston hospital Massachusetts Eye and Ear says that the clip exists on a `` perceptual boundary '' and compared it to the Necker Cube illusion . Professor David Alais from the University of Sydney 's school of psychology also compared the clip to the Necker Cube or the face / vase illusion , calling it a `` perceptually ambiguous stimulus '' . Brad Story , a professor of speech , language , and audiology at the University of Arizona said that the low quality of the recording creates ambiguity . Dr. Hans Rutger Bosker , psycholinguist and phonetician at the Max Planck Institute for Psycholinguistics , showed that it is possible to make the same person hear the same audio clip differently by presenting it in different acoustic contexts : if one hears the ambiguous audio clip after a lead - in sentence without any high frequencies ( &gt; 1000 Hz ) , this makes the higher frequencies in the following ambiguous audio clip stand out more , making people report `` Yanny '' where they previously maybe heard `` Laurel '' .   Pitch - shifted versions ( edit )       `` Yanny or Laurel '' ( pitch shifted higher ) By pitch shifting the original audio by 20 % , `` Laurel '' is clearer     Problems playing this file ? See media help .     By pitch shifting the original audio to higher or lower frequencies , the same listener can report different interpretations . The New York Times released an interactive tool on their website that changes the pitch of the recording in real - time . The interactive slider allows the recording to be played back at any pitch between 3 semitones higher ( to help the listener hear `` Laurel '' ) , and 6 semitones lower ( to help the listener hear `` Yanny '' ) . This change in volume of frequencies has a similar effect in the `` brainstorm - green needle '' auditory illusion .   See also ( edit )    2010s portal   Internet portal     List of Internet phenomena   Malapropism   McGurk effect   Mondegreen   Optical illusion   The dress    References ( edit )    ^ Jump up to : Jackson , Amanda ( May 16 , 2018 ) . `` Laurel or Yanny ? What science has to say '' . CNN . Archived from the original on May 16 , 2018 . Retrieved May 16 , 2018 .   ^ Jump up to : Kirby , Jen ( May 16 , 2018 ) . `` Why you hear `` Laurel '' or `` Yanny '' in that viral audio clip , explained `` . Vox . Archived from the original on May 16 , 2018 . Retrieved May 16 , 2018 .   ^ Jump up to : Salam , Maya ; Victor , Daniel ( May 15 , 2018 ) . `` Laurel or Yanny ? What We Heard From the Experts '' . The New York Times . Archived from the original on May 17 , 2018 . Retrieved May 18 , 2018 .   ^ Jump up to : Josh Katz ; Jonathan Corum and Jon Huang ( May 16 , 2018 ) . `` We Made a Tool So You Can Hear Both Yanny and Laurel '' . Retrieved 2018 - 06 - 01 . playing the `` laurel '' clip over speakers and re-recording it introduced noise and exaggerated the higher frequencies .   Jump up ^ `` Meet the Voice behind That ' Laurel ' ( or ' Yanny ' ) Clip That 's Driving Everyone Nuts '' . Time.com . Archived from the original on May 19 , 2018 . Retrieved May 19 , 2018 .   ^ Jump up to : `` Laurel '' at vocabulary.com Archived May 16 , 2018 , at the Wayback Machine .   ^ Jump up to : Matsakis , Louise ( May 16 , 2018 ) . `` The True History of ' Yanny ' and ' Laurel ' '' . WIRED . Archived from the original on May 16 , 2018 . Retrieved May 16 , 2018 .   Jump up ^ Hughes , Virginia ( May 27 , 2018 ) . `` We Got To The Bottom Of A Geeky Conspiracy Theory About Yanny And Laurel '' . BuzzFeed News . Archived from the original on May 27 , 2018 . Retrieved May 27 , 2018 .   Jump up ^ Katie Hetzel , 15 yr old Flowery Branch High Freshman interview with Francesca Amiker on 11alive.com Archived May 29 , 2018 , at the Wayback Machine . ( published to YouTube on May 18 , 2018 )   Jump up ^ Hoggatt , Aja ( May 15 , 2018 ) . `` Is your favorite celeb a Yanny or a Laurel ? '' . Entertainment Weekly . Retrieved May 16 , 2018 .   Jump up ^ O'Kane , Caitlin ( May 16 , 2018 ) . `` Yanny vs. Laurel : What do you hear ? '' . CBS News . Retrieved May 16 , 2018 .   Jump up ^ Gray , Julia ( May 16 , 2018 ) . `` Yanny Or Laurel : Yanni And Laurel Halo Weigh In '' . Stereogum . Archived from the original on May 17 , 2018 . Retrieved May 17 , 2018 .   Jump up ^ `` Laurel , Yanny or ... covfefe ? White House joins in on debate '' . Chicago Tribune . Associated Press . May 17 , 2018 . Retrieved May 18 , 2018 .   Jump up ^ `` Donald Trump weighs in on the Yanny or Laurel debate '' . YouTube . Guardian News . Retrieved 9 June 2018 .   ^ Jump up to : Watson , Chloe ( May 17 , 2018 ) . `` Laurel or Yanny debate : why do some people hear a different word ? '' . the Guardian . Archived from the original on May 17 , 2018 . Retrieved May 17 , 2018 .   Jump up ^ `` Here 's why you 're hearing `` Yanny '' -- and why it 's technically `` Laurel '' `` . CBS News . May 17 , 2018 . Archived from the original on May 17 , 2018 . Retrieved May 17 , 2018 .   ^ Jump up to : `` Yanny - Dictionary Definition : Vocabulary.com '' . www.vocabulary.com . Archived from the original on May 17 , 2018 . Retrieved May 17 , 2018 .   Jump up ^ Ducharme , Jamie ( May 16 , 2018 ) . `` An Audiologist Explains Why You Hear ' Yanny ' or ' Laurel ' -- Or Both '' . Time . Archived from the original on May 16 , 2018 . Retrieved May 16 , 2018 .   Jump up ^ `` The Psychology of Laurel and Yanny '' . Psychology Today . Retrieved May 29 , 2018 .   Jump up ^ Gutman , Rachel ( May 15 , 2018 ) . `` A Linguist Explains Why ' Laurel ' Sounds Like ' Yanny ' '' . The Atlantic . Archived from the original on May 16 , 2018 . Retrieved May 17 , 2018 .   Jump up ^ `` We Ca n't Trust Our Ears Anymore Now The ' Brainstorm ' / ' Green Needle ' Auditory Illusion Is Breaking Our Brains '' . digg.com . Archived from the original on May 21 , 2018 . Retrieved May 21 , 2018 .    External links ( edit )    Vocabulary.com definition for `` yanny ''   Retrieved from `` https://en.wikipedia.org/w/index.php?title=Yanny_or_Laurel&amp;oldid=856398508 '' Categories :   2007 works   2018 in science   Auditory illusions   Internet memes   Internet memes introduced in 2018   May 2018 events   Hidden categories :   Webarchive template wayback links   Use mdy dates from August 2018   All pages needing factual verification   Wikipedia articles needing factual verification from May 2018   Articles with hAudio microformats           Talk                                           Contents                   About Wikipedia                                             Esperanto   Français   Հայերեն   Magyar   </t>
    </r>
    <r>
      <rPr>
        <sz val="11"/>
        <color rgb="FF000000"/>
        <rFont val="Noto Sans CJK SC"/>
        <family val="2"/>
      </rPr>
      <t xml:space="preserve">日本 語   </t>
    </r>
    <r>
      <rPr>
        <sz val="11"/>
        <color rgb="FF000000"/>
        <rFont val="Calibri"/>
        <family val="0"/>
        <charset val="1"/>
      </rPr>
      <t xml:space="preserve">Norsk   Русский   </t>
    </r>
    <r>
      <rPr>
        <sz val="11"/>
        <color rgb="FF000000"/>
        <rFont val="Noto Sans CJK SC"/>
        <family val="2"/>
      </rPr>
      <t xml:space="preserve">中文   </t>
    </r>
    <r>
      <rPr>
        <sz val="11"/>
        <color rgb="FF000000"/>
        <rFont val="Calibri"/>
        <family val="0"/>
        <charset val="1"/>
      </rPr>
      <t xml:space="preserve">Edit links   This page was last edited on 24 August 2018 , at 22 : 13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</si>
  <si>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laurel yanni clip come from</t>
  </si>
  <si>
    <t xml:space="preserve"> The mixed re-recording was created by students who played the sound of the word `` laurel '' ( a laurel wreath ) , while re-recording the playback amid background noise in the room . The audio clip of the main word `` laurel '' originated in 2007 from a recording of Jay Aubrey Jones , an opera singer , who spoke the word `` laurel '' as one of 200,000 reference pronunciations produced and published by vocabulary.com in 2007 . The clip was made at Jones ' home using a laptop and microphone , with surrounding foam to help soundproof the recording . </t>
  </si>
  <si>
    <r>
      <rPr>
        <sz val="11"/>
        <color rgb="FF000000"/>
        <rFont val="Calibri"/>
        <family val="0"/>
        <charset val="1"/>
      </rPr>
      <t xml:space="preserve">Oil painting - wikipedia  Oil painting  Jump to : navigation , search `` Oil on canvas '' redirects here . For the album , see Oil on Canvas .      This article needs additional citations for verification . Please help improve this article by adding citations to reliable sources . Unsourced material may be challenged and removed . ( September 2011 ) ( Learn how and when to remove this template message )    Mona Lisa , Leonardo da Vinci , c. 1503 -- 06  Oil painting is the process of painting with pigments with a medium of drying oil as the binder . Commonly used drying oils include linseed oil , poppy seed oil , walnut oil , and safflower oil . The choice of oil imparts a range of properties to the oil paint , such as the amount of yellowing or drying time . Certain differences , depending on the oil , are also visible in the sheen of the paints . An artist might use several different oils in the same painting depending on specific pigments and effects desired . The paints themselves also develop a particular consistency depending on the medium . The oil may be boiled with a resin , such as pine resin or frankincense , to create a varnish prized for its body and gloss .   Although oil paint was first used for Buddhist paintings by Indian and Chinese painters in western Afghanistan sometime between the fifth and tenth centuries , it did not gain popularity until the 15th century . Its practice may have migrated westward during the Middle Ages . Oil paint eventually became the principal medium used for creating artworks as its advantages became widely known . The transition began with Early Netherlandish painting in Northern Europe , and by the height of the Renaissance oil painting techniques had almost completely replaced the use of tempera paints in the majority of Europe .   In recent years , water miscible oil paint has become available . Water - soluble paints are either engineered or an emulsifier has been added that allows them to be thinned with water rather than paint thinner , and allows , when sufficiently diluted , very fast drying times ( 1 -- 3 days ) when compared with traditional oils ( 1 -- 3 weeks ) .     Contents  ( hide )   1 Techniques   2 History   3 Ingredients   4 Supports for oil painting   5 Process   6 Examples of famous works   7 References   8 Further reading      Techniques ( edit )  Self - portrait , at work , Anders Zorn , 1897  Traditional oil painting techniques often begin with the artist sketching the subject onto the canvas with charcoal or thinned paint . Oil paint is usually mixed with linseed oil , artist grade mineral spirits , or other solvents to make the paint thinner , faster or slower - drying . ( Because these solvents thin the oil in the paint , they can also be used to clean paint brushes . ) A basic rule of oil paint application is ' fat over lean ' , meaning that each additional layer of paint should contain more oil than the layer below to allow proper drying . If each additional layer contains less oil , the final painting will crack and peel . This rule does not ensure permanence ; it is the quality and type of oil that leads to a strong and stable paint film . There are many other media that can be used with the oil , including cold wax , resins , and varnishes . These additional media can aid the painter in adjusting the translucency of the paint , the sheen of the paint , the density or ' body ' of the paint , and the ability of the paint to hold or conceal the brushstroke . These aspects of the paint are closely related to the expressive capacity of oil paint .   Traditionally , paint was transferred to the painting surface using paintbrushes , but there are other methods , including using palette knives and rags . Oil paint remains wet longer than many other types of artists ' materials , enabling the artist to change the color , texture or form of the figure . At times , the painter might even remove an entire layer of paint and begin anew . This can be done with a rag and some turpentine for a time while the paint is wet , but after a while the hardened layer must be scraped . Oil paint dries by oxidation , not evaporation , and is usually dry to the touch within a span of two weeks ( some colors dry within days ) . It is generally dry enough to be varnished in six months to a year .   History ( edit )  Self - portrait of Rembrandt , 1630 . An example of oil painting on copper .  Although the history of tempera ( pigment mixed with either egg whites or egg yolks , then painted on a plastered section ) and related media in Europe indicates that oil painting was discovered there independently , there is evidence that oil painting was used earlier in Afghanistan . Outdoor surfaces and surfaces like shields -- both those used in tournaments and those hung as decorations -- were more durable when painted in oil - based media than when painted in the traditional tempera paints .   Most Renaissance sources , in particular Vasari , credited northern European painters of the 15th century , and Jan van Eyck in particular , with the `` invention '' of painting with oil media on wood panel supports ( `` support '' is the technical term for the underlying backing of a painting ) . However , Theophilus ( Roger of Helmarshausen ? ) clearly gives instructions for oil - based painting in his treatise , On Various Arts , written in 1125 . At this period , it was probably used for painting sculptures , carvings and wood fittings , perhaps especially for outdoor use . However , early Netherlandish painting with artists like Van Eyck and Robert Campin in the 15th century were the first to make oil the usual painting medium , and explore the use of layers and glazes , followed by the rest of Northern Europe , and only then Italy .   Early works were still panel paintings on wood , but around the end of the 15th century canvas became more popular as the support , as it was cheaper , easier to transport , allowed larger works , and did not require complicated preliminary layers of gesso ( a fine type of plaster ) . Venice , where sail - canvas was easily available , was a leader in the move to canvas . Small cabinet paintings were also made on metal , especially copper plates . These supports were more expensive but very firm , allowing intricately fine detail . Often printing plates from printmaking were reused for this purpose . The popularity of oil spread through Italy from the North , starting in Venice in the late 15th century . By 1540 , the previous method for painting on panel ( tempera ) had become all but extinct , although Italians continued to use chalk - based fresco for wall paintings , which was less successful and durable in damper northern climates .   Ingredients ( edit )  Flax seed is the source of linseed oil .  The linseed oil itself comes from the flax seed , a common fiber crop . Linen , a `` support '' for oil painting ( see relevant section ) , also comes from the flax plant . Safflower oil or the walnut or poppyseed oil are sometimes used in formulating lighter colors like white because they `` yellow '' less on drying than linseed oil , but they have the slight drawback of drying more slowly and may not provide the strongest paint film . Linseed oil tends to dry yellow and can change the hue of the color .   Recent advances in chemistry have produced modern water miscible oil paints that can be used and cleaned up with water . Small alterations in the molecular structure of the oil creates this water miscible property .   Supports for oil painting ( edit )  Splined canvas  Traditional artists ' canvas is made from linen , but less expensive cotton fabric has gained popularity . The artist first prepares a wooden frame called a `` stretcher '' or `` strainer '' . The difference between the two names is that stretchers are slightly adjustable , while strainers are rigid and lack adjustable corner notches . The canvas is then pulled across the wooden frame and tacked or stapled tightly to the back edge . Then the artist applies a `` size '' to isolate the canvas from the acidic qualities of the paint . Traditionally , the canvas was coated with a layer of animal glue ( modern painters will use rabbit skin glue ) as the size and primed with lead white paint , sometimes with added chalk . Panels were prepared with a gesso , a mixture of glue and chalk .   Modern acrylic `` gesso '' is made of titanium dioxide with an acrylic binder . It is frequently used on canvas , whereas real gesso is not suitable for canvas . The artist might apply several layers of gesso , sanding each smooth after it has dried . Acrylic gesso is very difficult to sand . One manufacturer makes a `` sandable '' acrylic gesso , but it is intended for panels only and not canvas . It is possible to make the gesso a particular color , but most store - bought gesso is white . The gesso layer , depending on its thickness , will tend to draw the oil paint into the porous surface . Excessive or uneven gesso layers are sometimes visible in the surface of finished paintings as a change that 's not from the paint .   Standard sizes for oil paintings were set in France in the 19th century . The standards were used by most artists , not only the French , as it was -- and evidently still is -- supported by the main suppliers of artists ' materials . Size 0 ( toile de 0 ) to size 120 ( toile de 120 ) is divided in separate `` runs '' for figures ( figure ) , landscapes ( paysage ) and marines ( marine ) that more or less preserve the diagonal . Thus a 0 figure corresponds in height with a paysage 1 and a marine 2 .   Although surfaces like linoleum , wooden panel , paper , slate , pressed wood , Masonite , and cardboard have been used , the most popular surface since the 16th century has been canvas , although many artists used panel through the 17th century and beyond . Panel is more expensive , heavier , harder to transport , and prone to warp or split in poor conditions . For fine detail , however , the absolute solidity of a wooden panel has an advantage .   Process ( edit )  A traditional wood palette used to hold and mix small amounts of paint while working .  Oil paint is made by mixing pigments of colors with an oil medium . Different colors are made , or purchased premixed , before painting begins , but further shades of color are usually obtained by mixing small quantities together as the painting process is underway . An artist 's palette , traditionally a thin wood board held in the hand , is used for holding and mixing paints of different colors . Pigments may be any number of natural or synthetic substances with color , such as sulphides for yellow or cobalt salts for blue . Traditional pigments were based on minerals or plants , but many have proven unstable over long periods of time ; the appearance of many old paintings today is very different from the original . Modern pigments often use synthetic chemicals . The pigment is mixed with oil , usually linseed , but other oils may be used . The various oils dry differently , which creates assorted effects .   Traditionally , artists mixed their own paints from raw pigments that they often ground themselves and medium . This made portability difficult and kept most painting activities confined to the studio . This changed in the 1800s , when tubes of oil paint became widely available following the American portrait painter John Goffe Rand 's invention of the squeezable or collapsible metal tube in 1841 ( the year of Claude Monet 's birth ) . Artists could mix colors quickly and easily , which enabled , for the first time , relatively convenient plein air painting ( a common approach in French Impressionism ) .   A brush is most commonly employed by the artist to apply the paint , often over a sketched outline of their subject ( which could be in another medium ) . Brushes are made from a variety of fibers to create different effects . For example , brushes made with hog bristle might be used for bolder strokes and impasto textures . Fitch hair and mongoose hair brushes are fine and smooth , and thus answer well for portraits and detail work . Even more expensive are red sable brushes ( weasel hair ) . The finest quality brushes are called `` kolinsky sable '' ; these brush fibers are taken from the tail of the Siberian weasel . This hair keeps a superfine point , has smooth handling , and good memory ( it returns to its original point when lifted off the canvas ) , known to artists as a brush 's `` snap . '' Floppy fibers with no snap , such as squirrel hair , are generally not used by oil painters .   In the past few decades , many synthetic brushes have been marketed . These are very durable and can be quite good , as well as cost efficient . Brushes come in many sizes and are used for different purposes . The type of brush also makes a difference . For example , a `` round '' is a pointed brush used for detail work . `` Flat '' brushes are used to apply broad swaths of color . `` Bright '' is a flat brush with shorter brush hairs . `` Filbert '' is a flat brush with rounded corners . `` Egbert '' is a very long , and rare , filbert brush . The artist might also apply paint with a palette knife , which is a flat metal blade . A palette knife may also be used to remove paint from the canvas when necessary . A variety of unconventional tools , such as rags , sponges , and cotton swabs , may be used to apply or remove paint . Some artists even paint with their fingers .  Tubes of paint  Oil painters traditionally applied paint in layers known as `` glazes '' , a method also simply called `` indirect painting '' . This method was first perfected through an adaptation of the egg tempera painting technique , and was applied by the Flemish painters in Northern Europe with pigments ground in linseed oil . More recently , this approach has been called the `` mixed technique '' or `` mixed method '' . The first coat ( the underpainting ) is laid down , often painted with egg tempera or turpentine - thinned paint . This layer helps to `` tone '' the canvas and to cover the white of the gesso . Many artists use this layer to sketch out the composition . This first layer can be adjusted before proceeding further , an advantage over the `` cartooning '' method used in fresco technique . After this layer dries , the artist might then proceed by painting a `` mosaic '' of color swatches , working from darkest to lightest . The borders of the colors are blended together when the `` mosaic '' is completed , and then left to dry before applying details .   Artists in later periods , such as the Impressionist era ( late 19th century ) , often expanded on this wet - on - wet method , blending the wet paint on the canvas without following the Renaissance - era approach of layering and glazing . This method is also called `` alla prima '' . This method was created due to the advent of painting outdoors , instead of inside a studio , because while outside , an artist did not have the time to let each layer of paint dry before adding a new layer . Several contemporary artists use a combination of both techniques to add bold color ( wet - on - wet ) and obtain the depth of layers through glazing .   When the image is finished and has dried for up to a year , an artist often seals the work with a layer of varnish that is typically made from dammar gum crystals dissolved in turpentine . Such varnishes can be removed without disturbing the oil painting itself , to enable cleaning and conservation . Some contemporary artists decide not to varnish their work , preferring the surface unvarnished .   Examples of famous works ( edit )     Arnolfini Portrait , Jan van Eyck , 1434 ( on panel )     La donna velata , Raphael , 1516     The Rape of Europa , Titian , 1562     The Raising of the Cross , Peter Paul Rubens , 1610 -- 11     The Anatomy Lesson of Dr. Nicolaes Tulp , Rembrandt , 1632     Innocent X , Velázquez , c 1650     The Milkmaid , Johannes Vermeer , 1658 -- 1660     The Toilet of Venus , François Boucher , 1751     The Blue Boy , Thomas Gainsborough , 1770     Battle of Somosierra , Piotr Michałowski , 1837     Woman with a Parasol - Madame Monet and Her Son , Claude Monet , 1875     Bal du moulin de la Galette , Pierre - Auguste Renoir 1876     Portrait of Dr. Gachet , Vincent van Gogh , 1890     The Card Players , Paul Cézanne , 1892     The Old Guitarist , Pablo Picasso , 1903     Les Demoiselles d'Avignon , Pablo Picasso , 1907     Composition VII , Wassily Kandinsky , 1913     Bella with White Collar , Marc Chagall , 1917     References ( edit )    Jump up ^ Barry , Carolyn . `` Earliest Oil Paintings Found in Famed Afghan Caves '' . National Geographic Society . Retrieved 7 January 2013 .   Jump up ^ `` Rediscovering treasures of Bamiyan '' . BBC News . 17 July 2008 . Retrieved 20 May 2010 .   Jump up ^ Afghan caves hold world 's first oil paintings : expert -- ABC News ( Australian Broadcasting Corporation )   Jump up ^ Earliest Oil Paintings Discovered   Jump up ^ Sciencemage.org , Science Magazine 2 May 2008   Jump up ^ Borchert ( 2008 ) , 92 -- 94   Jump up ^ Haaf , Beatrix ( 1987 ) . `` Industriell vorgrundierte Malleinen . Beiträge zur Entwicklungs - , Handels - und Materialgeschichte '' . Zeitschrift für Kunsttechnologie und Konservierung. 1 : 7 -- 71 .   Jump up ^ `` Oil painting reproductions museum quality '' . COP Gallery . 30 December 2017 .        Wikibooks has a book on the topic of : Introduction to Art         Wikimedia Commons has media related to Oil paintings .     Further reading ( edit )    Chieffo , Clifford T. : Contemporary Oil Painter 's Handbook , Prentice Hall , 1976   Borchert , Till - Holger. Van Eyck . London : Taschen , 2008 . ISBN 3 - 8228 - 5687 - 8   The Artist 's Handbook of Materials and Techniques , comprehensive reference book by Ralph Mayer ( 1940 )              Early Netherlandish art ( c. 1420s -- 1530s )     Early Netherlandish artists      Active mainly in the Southern Netherlands ( mostly present - day Belgium )     Luís Alimbrot   Alexander Bening   Simon Bening   Ambrosius Benson   Lancelot Blondeel   Aelbert Bouts   Dieric Bouts   Melchior Broederlam   Robert Campin   Petrus Christus   Pierre Coustain   Jacques Daret   Gerard David   Jean Delemer   Jan de Beer   Colijn de Coter   Jan Gossaert   Gerard Horenbout   Lucas Horenbout   Adriaen Isenbrandt   Cornelis Liefrinck   Lambert Lombard   Simon Marmion   Quinten Matsys   Hans Memling   Joachim Patinir   Jan Provoost   Aert van den Bossche   Hugo van der Goes   Vrancke van der Stockt   Goswin van der Weyden   Rogier van der Weyden   Jan van Dornicke   Hubert van Eyck   Jan van Eyck   Justus van Gent   Lieven van Lathem   Bernard van Orley   Jacob van Utrecht   Master of Affligem   Master of the Antwerp Adoration   Master of the Embroidered Foliage   Master of the Legend of St. Barbara   Master of the Legend of Saint Lucy   Master of the Legend of St. Ursula ( Bruges )   Master of the Legend of the Magdalen   Master of the Lille Adoration   Master of the Lübeck Bible   Master of the Mansi Magdalen   Master of the Morrison Triptych   Master of the Prodigal Son   Master of the View of Ste - Gudule       Active mainly in the Northern Netherlands ( mostly present - day Netherlands )     Hieronymus Bosch   Geertgen tot Sint Jans   Jan Joest van Calcar   Lucas van Leyden   Jacob Cornelisz van Oostsanen   Master of Alkmaar   Master of the Amsterdam Death of the Virgin   Master of the Figdor Deposition          Main centres     Antwerp   Bruges   Brussels   Ghent   Tournai   The Hague       Pioneering innovations     Regular use of oil paints as a principal art medium   Oil painting techniques   oil on panel   glaze   wet - on - wet     Genre art   genre painting     Landscape art   world landscape     Portraiture   portrait painting     Naturalism   Realism       General     Early Netherlandish painting   Works by Early Netherlandish masters   Flemish Primitives   Arts in the court of Philip the Good   Guild of Saint Luke   Members of the Guild of Saint Luke   Netherlandish art   International Gothic   Northern Renaissance   Netherlandish Renaissance   Northern Mannerism   Antwerp Mannerism   Antwerp school   Ghent - Bruges school   Adoration of the Magi   Nativity of Jesus in art       Influenced     Italian Renaissance painting   German Renaissance painting   Dutch and Flemish Renaissance painting   Dutch Golden Age painting       Notable connoisseurs and scholars     Egbert Haverkamp - Begemann   Till - Holger Borchert   Lorne Campbell   Max Jakob Friedländer   Craig Harbison   Karel van Mander   Erwin Panofsky   Giorgio Vasari   Gustav Friedrich Waagen      Retrieved from `` https://en.wikipedia.org/w/index.php?title=Oil_painting&amp;oldid=839234097 '' Categories :   Painting   Early Netherlandish art   Netherlandish Gothic art   Netherlandish Renaissance art   Hidden categories :   Use dmy dates from July 2012   Articles needing additional references from September 2011   All articles needing additional references           Talk                                           Contents                   About Wikipedia                                                 Alemannisch     Asturianu   Azərbaycanca   বাংলা   Bân - lâm - gú   Беларуская   Беларуская ( тарашкевіца ) ‎   Български   Brezhoneg   Català   Čeština   Dansk   Deutsch   Eesti   Ελληνικά   Эрзянь   Español   Esperanto   Euskara   فارسی   Français   Gaeilge   Galego   </t>
    </r>
    <r>
      <rPr>
        <sz val="11"/>
        <color rgb="FF000000"/>
        <rFont val="Noto Sans CJK SC"/>
        <family val="2"/>
      </rPr>
      <t xml:space="preserve">한국어   </t>
    </r>
    <r>
      <rPr>
        <sz val="11"/>
        <color rgb="FF000000"/>
        <rFont val="Calibri"/>
        <family val="0"/>
        <charset val="1"/>
      </rPr>
      <t xml:space="preserve">हिन्दी   Bahasa Indonesia   Italiano   עברית   Basa Jawa   ಕನ್ನಡ   ქართული   Latviešu   Lietuvių   Lumbaart   Magyar   മലയാളം   मराठी   Bahasa Melayu   </t>
    </r>
    <r>
      <rPr>
        <sz val="11"/>
        <color rgb="FF000000"/>
        <rFont val="Noto Sans CJK SC"/>
        <family val="2"/>
      </rPr>
      <t xml:space="preserve">日本 語   </t>
    </r>
    <r>
      <rPr>
        <sz val="11"/>
        <color rgb="FF000000"/>
        <rFont val="Calibri"/>
        <family val="0"/>
        <charset val="1"/>
      </rPr>
      <t xml:space="preserve">Norsk   Norsk nynorsk   Polski   Português   Română   Русский   Scots   Seeltersk   Slovenščina   Српски / srpski   Srpskohrvatski / српскохрватски   Suomi   Svenska   தமிழ்   తెలుగు   ไทย   Türkçe   Українська   اردو   </t>
    </r>
    <r>
      <rPr>
        <sz val="11"/>
        <color rgb="FF000000"/>
        <rFont val="Noto Sans CJK SC"/>
        <family val="2"/>
      </rPr>
      <t xml:space="preserve">粵語   中文  </t>
    </r>
    <r>
      <rPr>
        <sz val="11"/>
        <color rgb="FF000000"/>
        <rFont val="Calibri"/>
        <family val="0"/>
        <charset val="1"/>
      </rPr>
      <t xml:space="preserve">52 more  Edit links   This page was last edited on 2 May 2018 , at 04 : 21 .         About Wikipedia                    </t>
    </r>
  </si>
  <si>
    <t xml:space="preserve">oil painting has been the medium of choice for painter since</t>
  </si>
  <si>
    <t xml:space="preserve"> Early works were still panel paintings on wood , but around the end of the 15th century canvas became more popular as the support , as it was cheaper , easier to transport , allowed larger works , and did not require complicated preliminary layers of gesso ( a fine type of plaster ) . Venice , where sail - canvas was easily available , was a leader in the move to canvas . Small cabinet paintings were also made on metal , especially copper plates . These supports were more expensive but very firm , allowing intricately fine detail . Often printing plates from printmaking were reused for this purpose . The popularity of oil spread through Italy from the North , starting in Venice in the late 15th century . By 1540 , the previous method for painting on panel ( tempera ) had become all but extinct , although Italians continued to use chalk - based fresco for wall paintings , which was less successful and durable in damper northern climates . </t>
  </si>
  <si>
    <r>
      <rPr>
        <sz val="11"/>
        <color rgb="FF000000"/>
        <rFont val="Calibri"/>
        <family val="0"/>
        <charset val="1"/>
      </rPr>
      <t xml:space="preserve">Blackbird ( Beatles song ) - wikipedia  Blackbird ( Beatles song )  Jump to : navigation , search This article is about the Beatles song . For other songs with similar titles , see Blackbird ( disambiguation ) .    `` Blackbird ''     Sheet music     Song by the Beatles     from the album The Beatles     Published   Northern Songs     Released   22 November 1968     Recorded   11 June 1968 , EMI Studios , London     Genre   Folk     Length   2 : 19     Label   Apple     Songwriter ( s )   Lennon -- McCartney     Producer ( s )   George Martin         Audio sample       file   help           `` Blackbird '' is a song by the Beatles from their 1968 double album The Beatles ( also known as `` the White Album '' ) , which was performed as a solo effort by Paul McCartney . The song was also written by McCartney , although it is credited to Lennon -- McCartney . McCartney has stated that the lyrics of the song were inspired by hearing the call of a blackbird in Rishikesh , India , as well as by the unfortunate state of race relations in the United States in the 1960s .     Contents  ( hide )   1 Origins   2 Meaning   3 Composition and recording   4 Live performances   5 Personnel   6 Cover versions   7 References   8 Sources   9 External links      Origins ( edit )       Lute Suite No ,. 1 -- BWV 996 , E Minor -- V Bourrée Performed on a lautenwerck by Martha Goldstein     Problems playing this file ? See media help .     McCartney explained on Chaos and Creation at Abbey Road , aired in 2005 , that the guitar accompaniment for `` Blackbird '' was inspired by Johann Sebastian Bach 's Bourrée in E minor , a well - known lute piece , often played on the classical guitar . As teenagers , he and George Harrison tried to learn Bourrée as a `` show off '' piece . The Bourrée is distinguished by melody and bass notes played simultaneously on the upper and lower strings . McCartney adapted a segment of the Bourrée ( reharmonised into the original 's relative major key of G ) as the opening of `` Blackbird '' , and carried the musical idea throughout the song .   The first night his future wife Linda Eastman stayed at his home , McCartney played `` Blackbird '' for the fans camped outside his house . The fingerpicking technique that McCartney uses in the song was taught to him by folk singer Donovan .   Meaning ( edit )   Since composing `` Blackbird '' in 1968 , McCartney has given differing , contradictory statements regarding both his inspiration for the song and its meaning . In one of these scenarios , he has said he was inspired by hearing the call of a blackbird one morning when the Beatles were studying Transcendental Meditation in Rishikesh , India . In another , he recalls writing it in Scotland as a response to racial tensions escalating in the United States during the spring of 1968 .   In May 2002 , following a show in Dallas , Texas , McCartney discussed the song with KCRW DJ Chris Douridas , saying :   I had been doing some ( poetry readings ) in the last year or so because I 've got a poetry book out called Blackbird Singing , and when I would read `` Blackbird '' , I would always try and think of some explanation to tell the people ... So , I was doing explanations , and I actually just remembered why I 'd written `` Blackbird '' , you know , that I 'd been , I was in Scotland playing on my guitar , and I remembered this whole idea of `` you were only waiting for this moment to arise '' was about , you know , the black people 's struggle in the southern states , and I was using the symbolism of a blackbird . It 's not really about a blackbird whose wings are broken , you know , it 's a bit more symbolic .   Before his acoustic guitar set during the same US tour , McCartney explained that `` bird '' is British slang for girl , making `` blackbird '' a synonym for `` black girl '' .   The lyrics have invited similarly varied interpretations -- as a nature song , a message in support of the Black Power movement , or a love song . Writing in the 1990s , Ian MacDonald dismissed the idea that `` Blackbird '' was intended as `` a metaphor for the black civil rights struggle '' . Noting instead the composition 's romantic qualities , MacDonald said that the early - morning bird song `` translates ... into a succinct metaphor for awakening on a deeper level '' . However , during an informal rehearsal at EMI Studios on 22 November 1968 , before he and Donovan took part in a Mary Hopkin recording session , McCartney played `` Blackbird '' , telling Donovan that he wrote it after having `` read something in the paper about the riots '' and that he meant the black `` bird '' to symbolise a black woman .   Composition and recording ( edit )   The song was recorded on 11 June 1968 at EMI 's Abbey Road Studios in London , with George Martin as the producer and Geoff Emerick as the audio engineer . It is a solo performance with McCartney playing a Martin D 28 acoustic guitar . The track includes recordings of a male blackbird singing in the background .   The accompaniment consists of guitar , tapping , and birdsong overdub . The tapping `` has been incorrectly identified as a metronome in the past '' , according to engineer Geoff Emerick , who says it is actually the sound of Paul tapping his foot , which Emerick recalls as being mic 'd up separately . Footage included in the bonus content on disc two of the 2009 remaster of the album shows McCartney tapping both his feet alternately while performing the song .   The mono version contains bird sounds different from the stereo recording , and was originally issued on a mono incarnation of The Beatles ( it has since been issued worldwide as part of The Beatles in Mono CD box set ) . The song appears on Love with `` Yesterday '' , billed as `` Blackbird / Yesterday '' . `` Blackbird '' provides an introduction to `` Yesterday '' .   Live performances ( edit )   In 1973 , McCartney included the song , along with the Beatles track `` Michelle '' , as part of his acoustic medley in the television special James Paul McCartney . Starting with his 1975 -- 76 world tour with the band Wings , McCartney has performed `` Blackbird '' on every one of his concert tours . A solo performance of the song , followed by `` Yesterday '' , appears on Wings ' 1976 live album Wings Over America .   McCartney also included `` Blackbird '' in his set at the Party at the Palace concert in June 2002 . In 2009 , McCartney performed the song at the Coachella Valley Music and Arts Festival , commenting prior to singing it on how it had been written in response to the Civil Rights Movement , and added , `` It 's so great to realise so many civil rights issues have been overcome . ''   A live version appears in the multi-CD collection Good Evening New York City , which was released in 2009 and recorded inside the American stadium Citi Field .   Personnel ( edit )    Paul McCartney -- double - tracked lead vocal , acoustic guitar , tape loops , foot tapping    Cover versions ( edit )       This section needs additional citations for verification . Please help improve this article by adding citations to reliable sources . Unsourced material may be challenged and removed . ( January 2014 ) ( Learn how and when to remove this template message )       `` Blackbird ''         Single by The Dandy Warhols     Released   July 31 , 2009 ( 2009 - 07 - 31 )     Format   Digital     Length   3 : 36     Label   Beat the World     Songwriter ( s )   Lennon -- McCartney     The Dandy Warhols singles chronology        `` Horny as a Dandy '' ( 2006 )   `` Blackbird '' ( 2009 )   `` You Are Killing Me '' ( 2016 )           `` Horny as a Dandy '' ( 2006 )   `` Blackbird '' ( 2009 )   `` You Are Killing Me '' ( 2016 )        `` Blackbird '' is , by one count , one of the top ten most recorded songs of all time . The following artists have recorded `` Blackbird '' in a variety of styles :    Pop rock / R&amp;B singer Dionne Farris included an acoustic interpretation of the song on her debut album Wild Seed -- Wild Flower .   Actor / Pop rock singer Drake Bell has performed Blackbird live on multiple occasions .   `` Blackbird '' appears on the Crosby , Stills &amp; Nash 1991 box set , having been recorded during the sessions for the album Crosby , Stills &amp; Nash . They performed it often in concert , also at their performance at Woodstock festival 1969 and a live version appeared in 2014 on the CSNY 1974 album .   The Dandy Warhols released a recording of the song in July 2009 following the death of Michael Jackson , fulfilling a promise made in the first and title track of their 2003 album Welcome to the Monkey House ( `` When Michael Jackson dies , we 're coverin ' ' Blackbird ' '' ) . The line was thought to partially reference Jackson 's ownership of the Beatles ' back catalogue of songs when he bought Associated Television ( ATV ) , which had previously acquired Northern Songs , in the mid-1980s .   Sarah Darling recorded the song in November 2011 for the album Let Us In : Nashville -- A Tribute to Linda McCartney , and it was released as a single . Darling 's version was later featured in the 200th episode of Criminal Minds .   Neil Diamond interpreted the song for his 2010 album Dreams .   Ara Dinkjian recorded the song with Night Ark .   Justin Hayward recorded the song for his 1994 Classic Blue album .   In 2001 , Canadian musician Sarah McLachlan recorded a cover version of `` Blackbird '' for the I Am Sam movie soundtrack . It also appears on her 2008 compilation album Rarities , B - Sides and Other Stuff Volume 2 .   Bobby McFerrin released an a cappella version on his 1984 album The Voice .   Jazz pianist Brad Mehldau recorded what has been described as a `` haunting version of the Beatles ' classic '' for his 1997 album The Art of the Trio Volume One .   Swedish classical mezzo - soprano Anne Sofie von Otter recorded the song in her `` Love Songs '' album , with Brad Mehldau in 2010 .   The Paragons featuring Rosalyn Sweat recorded a ska / rocksteady version in 1973 .   Jaco Pastorius recorded the song in 1981 .   `` Blackbird '' is performed by Phish on the band 's 1994 Halloween album , Live Phish Volume 13 , which includes a rendition of each song on the Beatles ' White Album .   The song is sung by various members of the Templeton family in the animated movie The Boss Baby .   In 1972 , Billy Preston released a version of the song on his Music Is My Life album .   Carly Simon recorded a version for her 2007 album Into White .   Sylvester included the song on his live Living Proof album in 1979 .   Evan Rachel Wood vocalized the song in the 2007 film Across the Universe .   Dave Grohl performed the song during the In Memoriam tribute at the 88th Academy Awards .   Sara Gazarek recorded it as part of a jazz medley with Bye Bye Blackbird on her 2005 album Yours and her 2016 album Dream in the Blue   Jon Batiste performed a version of the song during a taping for The Late Show with Stephen Colbert , in honor of The Beatles ' 52nd anniversary of their American television debut at The Ed Sullivan Theatre .   Marillion did a version for their live album Unplugged at the Walls .   Jon Lajoie did a parody version for YouTube depicting the breakup of the Beatles being John and Yoko Ono 's fault , Paul McCartney being the star of the group and Paul 's life and career post-Beatles .   Petula Clark covered the song on her 2016 album From Now On .    References ( edit )    Jump up ^ MacDonald 1989 , p. 256fn .   Jump up ^ Flemming , James ( 11 November 2009 ) . `` The Records , Day Four : 1968 -- 1969 '' . PopMatters . Retrieved 21 December 2015 .   Jump up ^ Turner 1999 , p. 160 .   Jump up ^ Everett 1999 , p. 190 .   Jump up ^ Paul McCartney , Interview with KCRW 's Chris Douridas , 25 May 2002 episode of New Ground ( 17 : 50 -- 19 : 00 )   Jump up ^ KCRW , `` New Ground '' with Chris Douridas , 25 May 2002 ( 17 : 50 -- 19 : 00 ) , `` KCRW Archive '' , `` Audio ''   Jump up ^ Miles 2001 , p. 317 .   Jump up ^ MacDonald 1998 , p. 256fn .   Jump up ^ MacDonald 1998 , pp. 256 , 256fn .   Jump up ^ `` Paul McCartney &amp; Donovan -- Postcard Sessions 1968 '' . 13 April 2016 .   Jump up ^ MacDonald 1998 , p. 255 .   ^ Jump up to : Lewisohn 1988 , p. 137 .   Jump up ^ `` ' Blackbird ' '' . Rolling Stone .   Jump up ^ Recording the Beatles , pg. 484   Jump up ^ Madinger &amp; Easter 2000 , p. 180 .   Jump up ^ Badman 2001 , p. 96 .   Jump up ^ Womack 2014 , p. 153 .   Jump up ^ Bychawski , Adam ( 18 April 2009 ) . `` Paul McCartney gets emotional during marathon Coachella set '' . nme.com . Retrieved 21 December 2015 .   Jump up ^ `` The 10 Most Covered Songs '' . The Independent .   Jump up ^ Hoffman , K. Ross . `` Michael Jackson 's death causes The Dandy Warhols to cover The Beatles '' . NME . IPC Media . Retrieved 3 June 2014 .   Jump up ^ `` The Dandy Warhols Are Sound -- The Dandy Warhols '' . AllMusic . Retrieved 3 June 2014 .   Jump up ^ Price , Deborah Evans ( April , 2012 ) . `` Cover Set Soars '' . Billboard - The International Newsweekly of Music , Video and Home Entertainment . Retrieved 5 February 2017 . CS1 maint : Multiple names : authors list ( link )   Jump up ^ Tamashiro , Tim ( 3 August 2012 ) . `` Jazz for Dabblers : ' Blackbird , ' the Beatles and Brad Mehldau '' . CBC Music . Retrieved 22 January 2014 .   Jump up ^ The Art of the Trio , Vol. 1 at AllMusic . Retrieved 22 January 2014 .   Jump up ^ `` Live Phish , Vol. 13 : 10 / 31 / 94 , Glens Falls Civic Center , Glens Falls , NY - Phish '' . AllMusic . Retrieved 7 September 2017 .   Jump up ^ `` Watch Jon Batiste 's gorgeous cover of The Beatles ' ' Blackbird ' on ' Colbert ' '' . For The Win. 2016 - 02 - 11 . Retrieved 2016 - 12 - 14 .   Jump up ^ https://www.youtube.com/watch?v=q7jMIL4uabA   Jump up ^ Frometa , RJ . `` The Iconic Petula Clark Releases ' Blackbird ' Ahead of New Album '' . Vents Magazine . Vents Magazine . Retrieved 11 October 2017 .    Sources ( edit )    Badman , Keith ( 2001 ) . The Beatles Diary Volume 2 : After the Break - Up 1970 -- 2001 . London : Omnibus Press . ISBN 978 - 0 - 7119 - 8307 - 6 .   Everett , Walter ( 1999 ) . The Beatles as Musicians : Revolver through the Anthology . New York , London : Oxford University Press . ISBN 978 - 0 - 19 - 512941 - 0 .   Lewisohn , Mark ( 1988 ) . The Beatles Recording Sessions . New York : Harmony Books . ISBN 0 - 517 - 57066 - 1 .   MacDonald , Ian ( 1998 ) . Revolution in the Head : The Beatles ' Records and the Sixties . London : Pimlico . ISBN 978 - 0 - 7126 - 6697 - 8 .   Madinger , Chip ; Easter , Mark ( 2000 ) . Eight Arms to Hold You : The Solo Beatles Compendium . Chesterfield , MO : 44.1 Productions . ISBN 0 - 615 - 11724 - 4 .   Miles , Barry ( 2001 ) . The Beatles Diary Volume 1 : The Beatles Years . London : Omnibus Press . ISBN 0 - 7119 - 8308 - 9 .   Sounes , Howard ( 2010 ) . Fab : An Intimate Life of Paul McCartney . London : HarperCollins . ISBN 978 - 0 - 00 - 723705 - 0 .   Turner , Steve ( 1999 ) . A Hard Day 's Write : The Stories Behind Every Beatles Song ( 2nd ed . ) . New York , NY : Carlton / HarperCollins . ISBN 0 - 06 - 273698 - 1 .   Womack , Kenneth ( 2014 ) . The Beatles Encyclopedia : Everything Fab Four . Santa Barbara , CA : ABC - CLIO . ISBN 978 - 0 - 313 - 39171 - 2 .    External links ( edit )       Wikiquote has quotations related to : The Beatles ( album )      Cover versions and notes   Lyrics of this song at MetroLyrics              The Beatles ( White Album )     Songs      Side one     `` Back in the U.S.S.R. ''   `` Dear Prudence ''   `` Glass Onion ''   `` Ob - La - Di , Ob - La - Da ''   `` Wild Honey Pie ''   `` The Continuing Story of Bungalow Bill ''   `` While My Guitar Gently Weeps ''   `` Happiness Is a Warm Gun ''       Side two     `` Martha My Dear ''   `` I 'm So Tired ''   `` Blackbird ''   `` Piggies ''   `` Rocky Raccoon ''   `` Do n't Pass Me By ''   `` Why Do n't We Do It in the Road ? ''   `` I Will ''   `` Julia ''       Side three     `` Birthday ''   `` Yer Blues ''   `` Mother Nature 's Son ''   `` Everybody 's Got Something to Hide Except Me and My Monkey ''   `` Sexy Sadie ''   `` Helter Skelter ''   `` Long , Long , Long ''       Side four     `` Revolution 1 ''   `` Honey Pie ''   `` Savoy Truffle ''   `` Cry Baby Cry ''   `` Revolution 9 ''   `` Good Night ''          Non-album single     `` Hey Jude   Revolution ''       Outtakes     `` A Beginning ''   `` Child of Nature ''   `` Circles ''   `` Etcetera ''   `` Junk ''   `` Not Guilty ''   `` Sour Milk Sea ''   `` What 's the New Mary Jane ''       Related articles     The Beatles discography   The Beatles in India   Mother Nature 's Son   The Grey Album         Please Please Me   With the Beatles   A Hard Day 's Night   Beatles for Sale   Help !   Rubber Soul   Revolver   Sgt . Pepper 's Lonely Hearts Club Band   Magical Mystery Tour   The Beatles ( White Album )   Yellow Submarine   Abbey Road   Let It Be   Past Masters                 The Dandy Warhols       Courtney Taylor - Taylor   Peter Holmström   Zia McCabe   Brent DeBoer     Eric Hedford       Studio albums     Dandys Rule OK   ... The Dandy Warhols Come Down   Thirteen Tales from Urban Bohemia   Welcome to the Monkey House   Odditorium or Warlords of Mars   ... Earth to the Dandy Warhols ...   The Dandy Warhols Are Sound   This Machine   Distortland       Compilation albums     The Black Album / Come On Feel the Dandy Warhols   The Capitol Years 1995 -- 2007       Singles     `` Not If You Were the Last Junkie on Earth ''   `` Get Off ''   `` Bohemian Like You ''   `` Godless ''   `` We Used to Be Friends ''   `` You Were the Last High ''   `` Plan A ''   `` Horny as a Dandy ''   `` Primary ''   `` Blackbird ''   `` You Are Killing Me ''       Other songs     `` All I Have to Do Is Dream ''   `` Inside the Outside ''       Related     Discography   Dig !   The Brian Jonestown Massacre                 Kahlil Gibran     Novels     Broken Wings ( 1912 )   The Prophet ( 1923 )   The Garden of The Prophet ( 1933 )       Adaptations     The Prophet ( 2014 )       Inspirations     `` Blackbird '' ( 1968 )   `` Broken Wings '' ( 1985 )   `` River of Deceit '' ( 1995 )      Retrieved from `` https://en.wikipedia.org/w/index.php?title=Blackbird_(Beatles_song)&amp;oldid=831982440 '' Categories :   1960s ballads   1968 songs   Folk ballads   The Beatles songs   Song recordings produced by George Martin   Songs written by Lennon -- McCartney   Songs about birds   Songs published by Northern Songs   Songs against racism and xenophobia   Hidden categories :   CS1 maint : Multiple names : authors list   EngvarB from October 2014   Use dmy dates from October 2014   Articles with hAudio microformats   Articles needing additional references from January 2014   All articles needing additional references           Talk                                           Contents                   About Wikipedia                                           Asturianu   Čeština   Deutsch   Español   Français   Bahasa Indonesia   Italiano   עברית   ქართული   Nederlands   </t>
    </r>
    <r>
      <rPr>
        <sz val="11"/>
        <color rgb="FF000000"/>
        <rFont val="Noto Sans CJK SC"/>
        <family val="2"/>
      </rPr>
      <t xml:space="preserve">日本 語   </t>
    </r>
    <r>
      <rPr>
        <sz val="11"/>
        <color rgb="FF000000"/>
        <rFont val="Calibri"/>
        <family val="0"/>
        <charset val="1"/>
      </rPr>
      <t xml:space="preserve">Norsk   Norsk nynorsk   Polski   Português   Русский   Suomi   Svenska   Tiếng Việt  10 more  Edit links   This page was last edited on 23 March 2018 , at 03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</si>
  <si>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movie was blackbird by the beatles in</t>
  </si>
  <si>
    <t xml:space="preserve">  Pop rock / R&amp;B singer Dionne Farris included an acoustic interpretation of the song on her debut album Wild Seed -- Wild Flower .   Actor / Pop rock singer Drake Bell has performed Blackbird live on multiple occasions .   `` Blackbird '' appears on the Crosby , Stills &amp; Nash 1991 box set , having been recorded during the sessions for the album Crosby , Stills &amp; Nash . They performed it often in concert , also at their performance at Woodstock festival 1969 and a live version appeared in 2014 on the CSNY 1974 album .   The Dandy Warhols released a recording of the song in July 2009 following the death of Michael Jackson , fulfilling a promise made in the first and title track of their 2003 album Welcome to the Monkey House ( `` When Michael Jackson dies , we 're coverin ' ' Blackbird ' '' ) . The line was thought to partially reference Jackson 's ownership of the Beatles ' back catalogue of songs when he bought Associated Television ( ATV ) , which had previously acquired Northern Songs , in the mid-1980s .   Sarah Darling recorded the song in November 2011 for the album Let Us In : Nashville -- A Tribute to Linda McCartney , and it was released as a single . Darling 's version was later featured in the 200th episode of Criminal Minds .   Neil Diamond interpreted the song for his 2010 album Dreams .   Ara Dinkjian recorded the song with Night Ark .   Justin Hayward recorded the song for his 1994 Classic Blue album .   In 2001 , Canadian musician Sarah McLachlan recorded a cover version of `` Blackbird '' for the I Am Sam movie soundtrack . It also appears on her 2008 compilation album Rarities , B - Sides and Other Stuff Volume 2 .   Bobby McFerrin released an a cappella version on his 1984 album The Voice .   Jazz pianist Brad Mehldau recorded what has been described as a `` haunting version of the Beatles ' classic '' for his 1997 album The Art of the Trio Volume One .   Swedish classical mezzo - soprano Anne Sofie von Otter recorded the song in her `` Love Songs '' album , with Brad Mehldau in 2010 .   The Paragons featuring Rosalyn Sweat recorded a ska / rocksteady version in 1973 .   Jaco Pastorius recorded the song in 1981 .   `` Blackbird '' is performed by Phish on the band 's 1994 Halloween album , Live Phish Volume 13 , which includes a rendition of each song on the Beatles ' White Album .   The song is sung by various members of the Templeton family in the animated movie The Boss Baby .   In 1972 , Billy Preston released a version of the song on his Music Is My Life album .   Carly Simon recorded a version for her 2007 album Into White .   Sylvester included the song on his live Living Proof album in 1979 .   Evan Rachel Wood vocalized the song in the 2007 film Across the Universe .   Dave Grohl performed the song during the In Memoriam tribute at the 88th Academy Awards .   Sara Gazarek recorded it as part of a jazz medley with Bye Bye Blackbird on her 2005 album Yours and her 2016 album Dream in the Blue   Jon Batiste performed a version of the song during a taping for The Late Show with Stephen Colbert , in honor of The Beatles ' 52nd anniversary of their American television debut at The Ed Sullivan Theatre .   Marillion did a version for their live album Unplugged at the Walls .   Jon Lajoie did a parody version for YouTube depicting the breakup of the Beatles being John and Yoko Ono 's fault , Paul McCartney being the star of the group and Paul 's life and career post-Beatles .   Petula Clark covered the song on her 2016 album From Now On .  </t>
  </si>
  <si>
    <t xml:space="preserve">Ages of consent in North America - Wikipedia  Ages of consent in North America    Age of consent laws in Canada , the U.S. , and Mexico Puberty Less than 12 12 13 14 15 16 17 18 Varies by state / province / region / territory Age of consent laws in Central America Age of consent laws in the Caribbean  In North America , the legal age of consent relating to sexual activity varies by jurisdiction .   The age of consent in Canada is 16 . As of August 2018 , each U.S. state has set its age of consent at either age 16 , age 17 , or age 18 .   The age of consent in Mexico is complex . Typically , Mexican states have a `` primary '' age of consent ( which may be as low as 12 ) , and sexual conduct with persons below that age is always illegal . Sexual relations which occur between adults and teenagers under 18 are left in a legal gray area : laws against corruption of minors as well as estupro laws can be applied to such acts , at the discretion of the prosecution . These laws are situational and are subject to interpretation .   The ages of consent in the countries of Central America range from 14 to 18 .   The below is a list of all jurisdictions in North America as listed in List of sovereign states and dependent territories in North America .   Contents    1 Overview   2 Antigua and Barbuda   3 Anguilla ( United Kingdom )   4 Aruba   5 Bahamas   6 Barbados   7 Belize   8 Bermuda and British Virgin Islands ( United Kingdom )   9 Canada   9.1 Anal intercourse in Canada   9.2 History of the Canadian age of consent     10 Cayman Islands ( United Kingdom )   11 Caribbean Netherlands   12 Clipperton Island ( France )   13 Costa Rica   14 Cuba   15 Curaçao ( Netherlands )   16 Dominica   17 Dominican Republic   18 El Salvador   19 Greenland ( Denmark )   20 Grenada   21 Guadeloupe ( France )   22 Guatemala   23 Haiti   24 Honduras   25 Jamaica   26 Martinique ( France )   27 Mexico   27.1 Legislative framework   27.2 `` Estupro ''   27.3 Federal Law   27.4 Local laws   27.4. 1 Federal District       28 Montserrat ( United Kingdom )   29 Nicaragua   30 Panama   31 Puerto Rico ( United States )   32 Saint Kitts and Nevis   33 Saint Lucia   34 Saint Vincent and the Grenadines   35 Sint Maarten ( Netherlands )   36 Trinidad and Tobago   37 United States   38 Virgin Islands ( United States )   39 See also   40 References    Overview   The age of consent is the age at or above which a person is considered to have the legal capacity to consent to sexual activity . Both partners must be of legal age to give consent , although exceptions to the age of consent law exist in some jurisdictions when the minor and his or her partner are within a certain number of years in age or when a minor is married to his / her partner . Persons below the age of consent may not , by law , give consent , and sexual relations involving such persons may be punished by criminal sanctions similar to those for rape or sexual assault . Non-violent sexual contact with persons under the age of consent may be punished with varying degrees of severity , ranging from a misdemeanor with a simple fine , to a felony with a punishment equivalent to rape .   Different ages may apply if one partner is in a position of power or authority over the other , such as a teacher , manager , coach , parent or stepparent . For example , in Indiana the age of consent is 16 but it is illegal for a person over 18 to have sex with anyone under 18 if they work at their school , are their parent or a stepparent , or are a person recruiting them to join the military .   Historically , the age of consent applied to male - female relationships ; same - sex relationships were often illegal regardless of the ages of participants . Modern laws vary , and there may be multiple ages that apply in any jurisdiction . For instance , different ages may apply if the relationship is between partners of the same sex , or if the sexual contact is not strictly vaginal intercourse .   Antigua and Barbuda   In Antigua and Barbuda , the age of consent is 16 . The Sexual Offences Act of 1995 raised the age of consent from 14 to 16 years of age .    Sexual Intercourse with female between fourteen and sixteen    6 . ( 1 ) Where a male person has sexual intercourse with a female person who is not his wife with her consent and who has attained the age of fourteen years but has not yet attained the age of sixteen years , he is guilty of an offence , and is liable on conviction to imprisonment for ten years .   ( 2 ) A male person is not guilty of an offence under subsection ( 1 ) --   ( a ) if he honestly believed that the female person was sixteen years of age or more ; or   ( b ) if the male person is not more than three years older than the female person and the court is of the opinion that the evidence discloses that as between the male person and the female person , the male person is not wholly or substantially to blame .    Sexual intercourse with male under sixteen    7 . ( 1 ) Where a female adult has sexual intercourse with a male person who is not her husband and who is under the age of sixteen years , she is guilty of an offence , whether or not the male person consented to the intercourse , and is liable on conviction to imprisonment for seven years .   A female adult is not guilty of an offence under subsection ( 1 ) --   ( a ) if she honestly believed that the male person was sixteen years of age or more ; or   ( b ) if the female adult is not more than three years older than the male person and the court is of the opinion that evidence discloses that as between the female adult and the male person , the female adult is not wholly or substantially to blame .   Anguilla ( United kingdom )   The age of consent in Anguilla is 16 . It is determined in Part 14 of the Criminal Code - SEXUAL OFFENCES - Sexual Offences Against Minors - by Article 143 . `` Sexual intercourse with person between 14 and 16 years of age '' .   Aruba       This section may require cleanup to meet Wikipedia 's quality standards . The specific problem is : Section relies solely on a permanently dead link . Please help improve this section if you can . ( August 2018 ) ( Learn how and when to remove this template message )     The age of consent in Aruba is 15 , as specified in Article 251 of the Criminal Code of Aruba ( which Aruba adapted after its secession from the Netherlands Antilles ) which reads :   Article 251 : `` A person who , out of wedlock , with a person who has reached the age of twelve but has not reached fifteen , performs indecent acts comprising or including sexual penetration of the body is liable to a term of imprisonment of not more than eight years or a fine of at most 100 000 florin '' .   Bahamas       This section needs to be updated . Please update this article to reflect recent events or newly available information . ( August 2018 )     In The Bahamas , the age of consent for opposite - sex activity is 16 and the age of consent for same - sex activity is 18 . Homosexuality was legalized in 1991 , but `` public homosexuality '' is an offense that carries a 20 - year jail term without parole .   11 . ( 1 ) Any person who has unlawful sexual intercourse with any person being of or above fourteen years of age and under sixteen years of age , whether with or without the consent of the person with whom he had unlawful sexual intercourse , is guilty of an offence and liable to imprisonment for life subject to , on a first conviction for the offence , a term of imprisonment of seven years and , in the case of a second or subsequent conviction for the offence , a term of imprisonment of fourteen years .   Barbados       This section needs to be updated . Please update this article to reflect recent events or newly available information . ( August 2018 )     In Barbados the age of consent is 16 .   Section 5 , part I `` Sexual intercourse with person between 14 and 16 '' of the Sexual Offences Act 1992   ( 1 ) Where a person has sexual intercourse with another with the other 's consent and that other person has attained the age of 14 but has not yet attained the age of 16 that person is guilty of an offence and is liable on conviction on indictment to imprisonment for a term of 10 years .   Belize   In Belize , the age of consent is 16 , regardless of sexual orientation or gender .   The legislation reads :   Criminal Code ( CAP. 101 )    Section 47.1    `` Every person who , with or without consent , has sexual intercourse with a person who is under the age of fourteen years commits the offence of unlawful sexual intercourse and is liable on conviction on indictment to imprisonment for a term that is not less than twelve years but may extend to imprisonment for life . ''    Section 47.2    `` Every person who has unlawful sexual intercourse with a person who is above the age of fourteen years but under the age of sixteen years , commits an offence and is liable on conviction on indictment to imprisonment for a term that is not less than five years but no more than ten years . ''   Bermuda and British Virgin Islands ( United kingdom )       This section needs expansion . You can help by adding to it . ( August 2018 )     Age of sexual consent is 16 , regardless of sexual orientation and / or gender .   Canada   The Tackling Violent Crime Act took effect on 1 May 2008 , raising the age of consent from 14 to 16 .   There exist two close - in - age exemptions , depending on the age of the younger partner . A youth of twelve or thirteen can consent to sexual activity with an individual less than two years older than they . A fourteen - or fifteen - year - old can consent to sexual activity with a partner who is less than five years older than they .   Criminal law ( including the definition of the age of consent ) is in the exclusive jurisdiction of the federal government , so the age of consent is uniform throughout Canada . Section 151 of the Criminal Code of Canada makes it a crime to touch , for a sexual purpose , any person under the age of 16 years . Section 153 then goes on to prohibit the sexual touching of a person under 18 by a person in three circumstances : if he or she is in a `` position of trust or authority '' towards the youth , if the youth is in a `` relationship of dependency '' with him or her , or if the relationship is `` exploitative '' . The term `` position of trust or authority '' is not defined in the Code but the courts have ruled that parents , teachers , and medical professionals hold a position of trust or authority towards youth they care for or teach . Section 153 ( 1.2 ) of the Code provides that a judge can infer whether or not a relationship is `` exploitative '' by considering its nature and circumstances including how old the youth is , the difference in ages between the partners , how the relationship evolved , and the degree of control or influence that the older partner has over the youth .   The `` position of trust under 18 '' anti-exploitation rules were expanded in 2005 by Bill C - 2 where a judge may choose to term a situation to be sexual exploitation based on the nature and circumstances of the relationship including the age of the younger party , age difference , evolution of the relationship ( how it developed , e.g. quickly and secretly over the Internet ) , the control or influence over the young person ( degree of control or influence the other person had over the young person ) . This passed before the 2008 amendments , and they were not repealed so they are still in effect and can apply towards adults in these situations with young persons over the age of consent and under 18 ( 16 - 17 ) .   Where an accused is charged with an offence under s . 151 ( Sexual Interference ) , s . 152 ( Invitation to sexual touching ) , s . 153 ( 1 ) ( Sexual exploitation ) , s . 160 ( 3 ) ( Bestiality in presence of or by child ) , or s . 173 ( 2 ) ( Indecent acts ) , or is charged with an offence under s . 271 ( Sexual assault ) , s . 272 ( Sexual assault with a weapon , threats to a third party , or causing bodily harm ) , or s . 273 ( Aggravated sexual assault ) in respect of a complainant under the age of sixteen years , it is not a defense that the complainant consented to the activity that forms the subject - matter of the charge .   Anal intercourse in Canada   Section 159 of the Criminal Code criminalizes anal intercourse , but provides exceptions for a husband and wife , and any two persons 18 years of age or older . These exceptions do not apply if a third person is present , or if the anal intercourse takes place anywhere but in private . However , courts in Ontario , Quebec , and Alberta have independently declared s . 159 to be unconstitutional as violations of the equality provision of the Canadian Charter of Rights and Freedoms .   History of the Canadian age of consent  See also : Age of consent reform in Canada  During the 19th century , the age of consent for heterosexual vaginal sex was 12 ; in 1890 , the Parliament raised the age of consent to 14 . The punishment for anyone who had sexual intercourse with someone younger than 14 was life imprisonment and whipping , while the punishment for anyone who attempted to seduce an underage girl was two years ' imprisonment and whipping . Canada had also laws against `` seducing '' minor girls who were over the age of consent . In 1886 , a law was enacted that made the `` seduction '' of a girl over 12 and under 16 `` of previously chaste character '' a criminal offence ; the `` seduction '' of a female under 18 `` under promise of marriage '' was also made illegal in 1886 , and amended in 1887 to apply to females under 21 . After the raising of the age of consent to 14 , the laws against `` seducing '' minor girls were amended to apply to those older than 14 , and various laws of this kind have remained in force through the 20th century . The age of consent was raised from 14 to 16 in the spring of 2008 , when the Tackling Violent Crime Act became effective . The new measures still allow for close - in - age exceptions between 12 and 16 : if there is no more than a two - year gap for those 12 and 13 , or a five - year gap for those 14 and 15 . Anal sex remains illegal with exceptions for those over 18 , if they comply with the restrictions set out under section 159 .   Female homosexuality was never illegal in the former British colonies ; oral sex was legalized in 1969 with the same age of consent as vaginal sex . Also introduced in 1969 were the exceptions regarding criminal anal sex ( effectively legalizing it ) , but with a higher age barrier set at 21 , under section 159 ; in 1988 , the age barrier for these exceptions was lowered to 18 . As of 2008 there are no plans to repeal section 159 , even though it has been ruled unconstitutional in some Canadian provinces .   Cayman Islands ( United kingdom )   The age of consent in Cayman Islands is 16 .   Defilement of girls under sixteen years of age , etc .   134 . ( 1 ) Whoever unlawfully and carnally -   ( a ) knows any girl under the age of twelve years is guilty of an offence and liable to imprisonment for twenty years ; or   ( b ) knows any girl between the ages of twelve and sixteen years is guilty of an offence and liable to imprisonment for twelve years .   Indecent assaults on females   132 . ( 1 ) It is an offence for a person to make an indecent assault on a woman .   ( 2 ) A girl under the age of sixteen can not in law give any consent which would prevent an act being an assault for the purposes of this section .   Caribbean Netherlands   The age of consent in the Caribbean Netherlands ( Bonaire , Saba and Sint Eustatius ) is 16 , as specified by the Criminal Code BES , Articles 251 , which reads :   Art 251 : `` A person who , out of wedlock , with a person who has reached the age of twelve but has not reached sixteen , performs indecent acts comprising or including sexual penetration of the body is liable to a term of imprisonment of not more than sixteen years '' . Before prosecution , the public attorney will , if possible , allow the minor to indicate if prosecution is deemed desirable .   Clipperton Island ( France )   Clipperton Island is an uninhabited nine - square - kilometre ( approx . 3.5 - square - mile ) coral atoll in the eastern Pacific Ocean , a state private property under the direct authority of the French government , administered by the Minister of Overseas France . The laws of France where applicable apply . See Age of consent Europe # France .   Costa Rica  See also : LGBT rights in Costa Rica  In Costa Rica under the Penal Code of 2004 , the age of consent is 18 , regardless of sexual orientation and / or gender .    Spanish : Artículo 159. - Será sancionado con pena de prisión de dos a seis años , quien aprovechándose de la edad , se haga acceder o tenga acceso carnal con una persona de uno u otro sexo , mayor de trece años y menor de quince años , por la vía oral , anal o vaginal , con su consentimiento . Igual pena se impondrá si la acción consiste en la introducción de uno o varios dedos , objetos o animales por la vía vaginal o anal .     Translation : Article 159 . Anyone who , taking advantage of age , attempts to obtain or obtains carnal access , by oral , anal or vaginal penetration , to a person of either sex who is over 13 and under 15 years of age , with his or her consent , shall be punished with two to six years ' imprisonment . A similar penalty shall be imposed if the act involves the introduction of one or more fingers , objects or animals into the vagina or anus .    The age of consent used to be 15 , but it was increased in recent years after legal reform .   Cuba       This section needs expansion . You can help by adding to it . ( August 2018 )         This section may require cleanup to meet Wikipedia 's quality standards . The specific problem is : Section relies solely on a dead link . Please help improve this section if you can . ( August 2018 ) ( Learn how and when to remove this template message )     The age of consent in Cuba is 16 .   Curaçao ( Netherlands )   The age of consent in Curaçao is 15 , as specified by the Criminal Code of the Netherlands Antilles ( which Curaçao did n't change after the dissolution of the Netherlands Antilles ) , Articles 251 , which reads :   Art 251 : `` A person who , out of wedlock , with a person who has reached the age of twelve but has not reached fifteen , performs indecent acts comprising or including sexual penetration of the body is liable to a term of imprisonment of not more than sixteen years '' .   For children 12 - 14 prosecution only takes place upon a `` complaint '' by the minor , his parents , teacher , or the guardianship board .   Dominica   In Dominica the age of consent is 16 .   `` Defilement of girls between fourteen ( 14 ) and sixteen ( 16 ) years of age '' , Article 4 of the Sexual Offences Act   `` ( 1 ) Subject to subsections ( 2 ) and ( 3 ) , any person who - a ) unlawfully and carnally knows , or attempts to have unlawful carnal knowledge of any girl of or above the age of fourteen ( 14 ) years and under the age of sixteen ( 16 ) years ( ... ) - is liable to imprisonment for seven years .   Dominican Republic   The age of consent in the Dominican Republic is 18 .   El Salvador.   In El Salvador , the age of consent appears to be 18 ( although the laws are not clear cut in regard to sexual acts with persons aged between 15 and 18 ) .    CHILDREN YOUNGER THAN 15 :    VIOLACIÓN EN MENOR O INCAPAZ   Art . 159. - El que tuviere acceso carnal por vía vaginal o anal con menor de quince años de edad o con otra persona aprovechándose de su enajenación mental , de su estado de inconsciencia o de su incapacidad de resistir , será sancionado con prisión de catorce a veinte años .   Approximate translation : `` Anyone who has vaginal or anal sexual intercourse with a minor younger than fifteen years of age or of another person by taking advantage of their insanity , their state of unconsciousness or inability to resist , shall be punished with imprisonment of fourteen to twenty years . ''    CHILDREN AGED BETWEEN 15 AND 18 :    Several laws apply to sex with persons aged between 15 and 18 .   Article 169 makes it illegal to `` promote , facilitate , manage , finance , instigate or organize in any way the use of persons under eighteen years of age in sexual or erotic acts individually or organized , publicly or privately '' .   Art . 169. - El que promoviere , facilitare , administrare , financiare , instigare u organizare de cualquier forma la utilización de personas menores de dieciocho años en actos sexuales o eróticos , de manera individual u organizada , de forma pública o privada , será sancionado con pena de tres a ocho años de prisión .   En igual responsabilidad incurrirá quien con conocimiento de causa autorizare el uso o arrendare el inmueble para realizar cualquiera de las actividades descritas en el inciso anterior .   Approximate translation : Article 169 . - Any person who promotes , facilitates , manages , finances , instigates or organizes in any way the use of persons under eighteen years of age in sexual or erotic acts , individually or organized , publicly or privately , shall be punished with penalty of three to eight years in prison .   Similarly , anyone who knowingly authorizes the use or rents a property to perform any of the activities described in the preceding paragraph , incurs criminal liability .   Article 167 makes it illegal to `` promote or facilitate the corruption of a person under eighteen ( ... ) through various sexual acts of carnal knowledge , even if the victim consents to participate in them '' .   CORRUPCIÓN DE MENORES E INCAPACES   Art . 167. - El que promoviere o facilitare la corrupción de una persona menor de dieciocho años de edad o de un deficiente mental , mediante actos sexuales diversos del acceso carnal , aunque la víctima consintiere participar en ellos , será sancionado con prisión de seis a doce años .   Approximate translation : Article 167 . - Any person who promotes or facilitates the corruption of a person under eighteen years of age or a mentally handicapped through various sexual acts of carnal knowledge , even if the victim consents to participate in them , shall be punished with imprisonment of six to twelve years .   Article 171 deals with `` obscene exhibition '' , and also appears to set the age of consent at 18 .   EXHIBICIONES OBSCENAS   Art . 171. - El que ejecutare o hiciere ejecutar an otros actos lúbricos o de exhibición obscena , o indecorosa , en lugar público o expuesto al público o bien ante menores de dieciocho años de edad o deficientes mentales , será sancionado con prisión de dos a cuatro años .   Approximate translation : Art . 171 . Anyone who performs or makes others perform acts of lewd or lascivious exhibition , or indecency in a public place or a place open to the public or to minors under eighteen years of age or mentally handicapped , shall be punished with imprisonment from two to four years .   Articles 163 and 154 of the Penal Code ( Código Penal ) deal with estupro and make it illegal to use deception ( engaño ) or to take advantage of one 's superiority ( superioridad ) that arises from a relationship in order to gain sexual access to teenagers aged between 15 and 18 .   ESTUPRO   Art . 163. - El que tuviere acceso carnal por vía vaginal o anal mediante engaño , con persona mayor de quince años y menor de dieciocho años de edad , será sancionado con prisión de cuatro a diez años .   Approximate translation : Art . 163 . `` Anyone who has vaginal or anal intercourse , by using deception , with a person over fifteen and under eighteen years of age , shall be punished with imprisonment of four to ten years '' .   ESTUPRO POR PREVALIMIENTO   Art . 164. - El que tuviere acceso carnal por vía vaginal o anal con persona mayor de quince y menor dieciocho años de edad , prevaliéndose de la superioridad originada por cualquier relación , será sancionado con prisión de seis a doce años .   Approximate translation : Art . 164 . `` Anyone who has vaginal or anal intercourse with a person over fifteen and under eighteen years of age , relying on the superiority arising from any relationship , shall be punished with imprisonment from six to twelve years . ''   Greenland ( Denmark )   The laws of Denmark , where applicable , apply . See Ages of consent in Europe # Denmark .   Grenada   The age of consent in Grenada is 16 . Penalties are 30 years ' imprisonment if the victim is less than 14 , and 15 years ' imprisonment if the victim is 14 to 16 years of age .   Guadeloupe ( France )  For this section , see Ages of consent in Europe § France .  Guatemala   In Guatemala , the age of consent is 18 , regardless of sexual orientation and / or gender . The Law against Sexual Violence , Exploitation , and Trafficking in Persons was passed in February 2009 , and provides sentences ranging from 13 to 24 years in prison , depending on the young persons age , for sex with a minor .   Haiti       This section needs expansion . You can help by adding to it . ( August 2018 )     The age of consent in Haiti is 18 .   Honduras   Honduras , the age of consent is considered to be 14 .   Article 142 . The stupor of a person older than fourteen ( 14 ) and under eighteen ( 18 ) years taking advantage of trust , hierarchy or authority , is punishable by six ( 6 ) to eight ( 8 ) years of imprisonment . When rape is committed by deception is punishable by five ( 5 ) to seven ( 7 ) years of imprisonment .   Article 143 . The sexual intercourse with parents or children , brothers , or relationship between adopter and adopted , with stepparent , when the victim is over eighteen ( 18 ) years constitutes the crime of incest , will be punished with four ( 4 ) to six ( 6 ) years of imprisonment and shall proceed under complaint by the injured party or his legal representative . When the victim is older than fourteen ( 14 ) and under eighteen ( 18 ) years , the penalty shall be increased in a medium ( 1 / 2 ) .   Article 144 . Whoever for sexual character and by force , intimidation or deceit abducts or retains a person shall be punished by imprisonment of four ( 4 ) to six ( 6 ) years . When the victim of this crime is a person under eighteen ( 18 ) years of age , it is punishable with the penalty prescribed in the preceding paragraph increased by half ( 1 / 2 ) .   Jamaica   In Jamaica the age of consent is 16 .   `` Above twelve ( 12 ) and under sixteen ( 16 ) '' , Article 50 , Offences Against the Person   `` Whosoever shall unlawfully and carnally know and abuse any girl being above the age of twelve ( 12 ) years and under the age of sixteen ( 16 ) years shall be guilty of a misdemeanour , and being convicted thereof , shall be liable to imprisonment for a term not exceeding seven years ;   Martinique ( France )  For this section , see Ages of consent in Europe § France .  Mexico   Legislative framework   In Mexico , criminal legislation is shared between the federal and state governments . The federal law establishes the age of 12 as the minimum age of consent , while the age at which there are no restrictions for consensual sexual activities is 18 ( sex with someone 12 - 18 is not illegal per se , but can still be open to prosecution under certain circumstances ) . Local state laws may override the federal law . In practice , the decision as to whether or not to prosecute is left to state authorities regardless of the younger person 's age . At state level , the minimum ages of consent vary between 12 ( and puberty in a few states ) and 15 , while the age at which there are no restrictions for consensual sexual activities vary from 16 to 18 ( most common 18 ) .   `` Estupro ''   Estupro is a crime existing across Mexico , as well as in other Latin American jurisdictions . Although the definitions vary by state , it is usually defined as sexual conduct with a child who has reached the minimum age of consent but is under 18 ( 16 or 17 in some states ) when the consent of the child is obtained by seduction and / or deceit . For instance the law of Aguascalientes reads : `` El estupro consiste en realizar cópula con persona mayor de doce y menor de dieciséis años de edad , obteniendo su consentimiento por medio de seducción o engaño . '' ( translation : Estupro consists in copulating with a person over twelve and under sixteen years old , obtaining his / her consent through seduction or deceit ) . Traditionally , estupro applied only to acts committed with a girl , and required `` chastity '' or `` honesty '' of the girl . The vast majority of Mexican states have modernized their laws by removing the requirement of `` chastity '' or `` honesty '' and by making the laws gender neutral . However , traditional laws still exist in some states : for instance , the law of Baja California reads : Al que realice cópula con mujer de catorce años de edad y menor de dieciocho , casta y honesta , obteniendo su consentimiento por medio de la seducción o el engaño ( translation : `` Whoever copulates with a chaste and honest female over fourteen and under eighteen years old , obtaining her consent through seduction or deceit '' ) . Some states have removed the requirement of `` chastity '' or `` honesty '' , but continue to define estupro as applicable only to girls . For instance , in Campeche the law states : Al que tenga cópula con mujer mayor de doce años pero menor de dieciocho , obteniendo su consentimiento por medio de la seducción o el engaño ( translation : `` Whoever copulates with a female over twelve and under eighteen years old , obtaining her consent through seduction or deceit '' ) . The exact type of coercion that must be used varies by state , for example the Federal Law only makes reference to `` deceit '' , omitting `` seduction '' ( it reads : Al que tenga cópula con persona mayor de doce años y menor de dieciocho , obteniendo su consentimiento por medio de engaño , translation : `` Whoever copulates with a person over twelve and under eighteen years old , obtaining his / her consent through deceit '' ) .   Federal law   Article 261 of the Federal Criminal Code ( PDF ) states that : `` Whoever , without the purpose of reaching copulation , performs a sexual act in a person under 12 or in a person that has no capacity of understanding the meaning of the act or that for any reason can not resist , or demands that the act is performed , will be punished with a term of 2 to 5 years in prison '' . If the offender uses moral or physical violence , an extra half term is added to the initial time .   Article 266 refers to the previous article 265 , which covers the rape of adults in general and establishes a term of 8 to 14 years in prison for sex obtained through physical or moral violence . Article 266 then states that : `` It is equivalent to rape and will be punished with the same penalty : ( 1st Clause ) -- who without violence performs a copulation with a person under 12 '' . The 3rd Clause of this article punishes with the same penalties also `` the vaginal or anal introduction of objects , without violence and with lascivious goals '' , in a person under 12 or in a person that has no capacity of understanding the meaning of the fact , or for any reason can not resist . If any of the aforementioned acts is performed with physical or moral violence , the sentence is raised in up to a half .   A further article , 266 Bis , determines an extra penalty of up to a half under certain circumstances -- ( a ) when there are multiple offenders ; ( b ) when the offense is committed by a parent , legal guardian , stepfather or `` companion '' ( amasio ) of the mother ; ( c ) when there is an abuse of authority of someone as a civil servant ; ( d ) when the crime is committed by a person who has the minor under his or her custody , guard or education , or yet through the abuse of trust .   There is another crime in Article 262 for consented sex with adolescents aged 12 to 18 , when consent is obtained through deceit . The penalty is 3 months to 4 years in prison . This crime , however , is prosecuted only through a complaint of the minor or his / her parents or legal guardians , as determined in Article 263 .   Artículo 262 del Código Penal : `` Al que tenga cópula con persona mayor de doce años y menor de dieciocho , obteniendo su consentimiento por medio de engaño , se le aplicará de tres meses a cuatro años de prisión . ''   Translation : Article 262 : `` Whoever copulates with a person over twelve and under eighteen years old , obtaining his / her consent through deceit ''   Article 201 prohibits the `` corruption '' of a mi</t>
  </si>
  <si>
    <t xml:space="preserve">whats the legal age of consent in usa</t>
  </si>
  <si>
    <t xml:space="preserve"> Each U.S. state has its own age of consent , as does the District of Columbia . As of August 1 , 2018 , the age of consent in each state in the United States was either 16 years of age , 17 years of age , or 18 years of age . The most common age of consent is 16 . </t>
  </si>
  <si>
    <t xml:space="preserve">Lake - wikipedia  Lake  Jump to : navigation , search For other uses , see Lake ( disambiguation ) . An area of lakes in Germany at Mecklenburg Lakeland Peyto Lake , Alberta , Canada  A lake is an area filled with water , localized in a basin , that is surrounded by land , apart from any river or other outlet that serves to feed or drain the lake . Lakes lie on land and are not part of the ocean , and therefore are distinct from lagoons , and are also larger and deeper than ponds , though there are no official or scientific definitions . Lakes can be contrasted with rivers or streams , which are usually flowing . Most lakes are fed and drained by rivers and streams .   Natural lakes are generally found in mountainous areas , rift zones , and areas with ongoing glaciation . Other lakes are found in endorheic basins or along the courses of mature rivers . In some parts of the world there are many lakes because of chaotic drainage patterns left over from the last Ice Age . All lakes are temporary over geologic time scales , as they will slowly fill in with sediments or spill out of the basin containing them .   Many lakes are artificial and are constructed for industrial or agricultural use , for hydro - electric power generation or domestic water supply , or for aesthetic or recreational purposes or even for other activities .     Contents  ( hide )   1 Etymology , meaning , and usage of `` lake ''   2 Distribution of lakes   3 Origin of lakes   3.1 Tectonic lakes   3.2 Volcanic lakes   3.3 Glacial lakes   3.4 Fluvial lakes   3.4. 1 Oxbow lakes   3.4. 2 Fluviatile dams   3.4. 3 Lateral lakes     3.5 Solution lakes   3.6 Landslide lakes   3.7 Aeolian lakes   3.8 Shoreline lakes   3.9 Organic lakes   3.10 Anthropogenic lakes   3.11 Meteorite ( extraterrestrial impact / crater ) lakes     4 Other different types of lakes   4.1 Types of lakes according to thermal stratification   4.2 Types of lake according to seasonal variation of lake level and volume   4.3 Types of lake according to water chemistry   4.4 Lakes composed of other liquids     5 Paleolakes   6 Characteristics   7 Limnology   8 How lakes disappear   9 Extraterrestrial lakes   10 Notable lakes on Earth   10.1 Largest by continent     11 See also   12 References   13 External links      Etymology , meaning , and usage of `` lake '' ( edit )  Oeschinen Lake in the Swiss Alps Lake Tahoe on the border of California and Nevada The Caspian Sea is either the world 's largest lake or a full - fledged sea .  The word lake comes from Middle English lake ( `` lake , pond , waterway '' ) , from Old English lacu ( `` pond , pool , stream '' ) , from Proto - Germanic * lakō ( `` pond , ditch , slow moving stream '' ) , from the Proto - Indo - European root * leǵ - ( `` to leak , drain '' ) . Cognates include Dutch laak ( `` lake , pond , ditch '' ) , Middle Low German lāke ( `` water pooled in a riverbed , puddle '' ) as in : de : Moorlake , de : Wolfslake , de : Butterlake , German Lache ( `` pool , puddle '' ) , and Icelandic lækur ( `` slow flowing stream '' ) . Also related are the English words leak and leach .   There is considerable uncertainty about defining the difference between lakes and ponds , and no current internationally accepted definition of either term across scientific disciplines or political boundaries exists . For example , limnologists have defined lakes as water bodies which are simply a larger version of a pond , which can have wave action on the shoreline or where wind - induced turbulence plays a major role in mixing the water column . None of these definitions completely excludes ponds and all are difficult to measure . For this reason , simple size - based definitions are increasingly used to separate ponds and lakes . One definition of lake is a body of water of 2 hectares ( 5 acres ) or more in area ; however , others have defined lakes as waterbodies of 5 hectares ( 12 acres ) and above , or 8 hectares ( 20 acres ) and above ( see also the definition of `` pond '' ) . Charles Elton , one of the founders of ecology , regarded lakes as waterbodies of 40 hectares ( 99 acres ) or more . The term lake is also used to describe a feature such as Lake Eyre , which is a dry basin most of the time but may become filled under seasonal conditions of heavy rainfall . In common usage , many lakes bear names ending with the word pond , and a lesser number of names ending with lake are in quasi-technical fact , ponds . One textbook illustrates this point with the following : `` In Newfoundland , for example , almost every lake is called a pond , whereas in Wisconsin , almost every pond is called a lake . ''   One hydrology book proposes to define the term `` lake '' as a body of water with the following five characteristics :    it partially or totally fills one or several basins connected by straits   has essentially the same water level in all parts ( except for relatively short - lived variations caused by wind , varying ice cover , large inflows , etc . )   it does not have regular intrusion of seawater   a considerable portion of the sediment suspended in the water is captured by the basins ( for this to happen they need to have a sufficiently small inflow - to - volume ratio )   the area measured at the mean water level exceeds an arbitrarily chosen threshold ( for instance , one hectare )    With the exception of the seawater intrusion criterion , the others have been accepted or elaborated upon by other hydrology publications .   Distribution of lakes ( edit )  The Seven Rila Lakes are a group of glacial lakes in the Bulgarian Rila mountains . Wayanad District Kerala India  The majority of lakes on Earth are fresh water , and most lie in the Northern Hemisphere at higher latitudes . Canada , with a deranged drainage system has an estimated 31,752 lakes larger than 3 square kilometres ( 1.2 sq mi ) and an unknown total number of lakes , but is estimated to be at least 2 million . Finland has 187,888 lakes 500 square metres ( 5,400 sq ft ) or larger , of which 56,000 are large ( 10,000 square metres ( 110,000 sq ft ) or larger ) .   Most lakes have at least one natural outflow in the form of a river or stream , which maintain a lake 's average level by allowing the drainage of excess water . Some lakes do not have a natural outflow and lose water solely by evaporation or underground seepage or both . They are termed endorheic lakes .   Many lakes are artificial and are constructed for hydro - electric power generation , aesthetic purposes , recreational purposes , industrial use , agricultural use or domestic water supply .   Evidence of extraterrestrial lakes exists ; `` definitive evidence of lakes filled with methane '' was announced by NASA as returned by the Cassini Probe observing the moon Titan , which orbits the planet Saturn .   Globally , lakes are greatly outnumbered by ponds : of an estimated 304 million standing water bodies worldwide , 91 % are 1 hectare ( 2.5 acres ) or less in area ( see definition of ponds ) . Small lakes are also much more numerous than large lakes : in terms of area , one - third of the world 's standing water is represented by lakes and ponds of 10 hectares ( 25 acres ) or less . However , large lakes account for much of the area of standing water with 122 large lakes of 1,000 square kilometres ( 390 sq mi , 100,000 ha , 247,000 acres ) or more representing about 29 % of the total global area of standing inland water .   Origin of lakes ( edit )  A portion of the Great Salt Lake in Utah , United States A lake in the Andes Mountains A portion of the Great Salt Lake in Utah , United States A lake in the Andes Mountains  Hutchinson in 1957 published a monograph that is regarded as a landmark discussion and classification of all major lake types , their origin , morphometric characteristics , and distribution . As summarized and discussed by these researchers , Hutchinson presented in it a comprehensive analysis of the origin of lakes and proposed what is a widely accepted classification of lakes according to their origin . This classification recognizes 11 major lake types that are divided into 76 subtypes . The 11 major lake types are tectonic lakes , volcanic lakes , landslide lakes , glacial lakes , solution lakes , fluvial lakes , aeolian lakes , shoreline lakes , organic lakes , anthropomorphic lakes , and meteorite ( extraterrestrial impact ) lakes .   Tectonic lakes ( edit )   Tectonic lakes are lakes formed by the deformation and resulting lateral and vertical movements of the Earth 's crust . These movements include faulting , tilting , folding , and warping . Some of the well - known and largest lakes on Earth are rift lakes occupying rift valleys , e.g. Central African Rift lakes and Lake Baikal . Other well - known tectonic lakes , Caspian Sea , the Sea of Aral , and other lakes from the Pontocaspian occupy basins that have been separated from the sea by the tectonic uplift of the sea floor above sea level .   Often , the tectonic action of crustal extension has created an alternating series of parallel grabens and horsts that form elongate basins alternating with mountain ranges . Not only does this promote the creation of lakes by the disruption of preexisting drainage networks , it also creates within arid regions endorheic basins that containing salt lakes ( also called saline lakes ) . They form where there is no natural outlet , a high evaporation rate and the drainage surface of the water table has a higher - than - normal salt content . Examples of these salt lakes include Great Salt Lake and the Dead Sea . another type of tectonic lake caused by faulting is sag ponds .   Volcanic lakes ( edit )   Volcanic lakes are lakes that occupy either local depressions , e.g. craters and maars or larger basins , e.g. calderas , created by volcanism . Crater lakes are formed in volcanic craters and calderas , which fill up with precipitation more rapidly than they empty via either evaporation , groundwater discharge , or combination of both . Sometimes the latter are called caldera lakes , although often no distinction is made . An example is Crater Lake in Oregon , in the caldera of Mount Mazama . The caldera was created in a massive volcanic eruption that led to the subsidence of Mount Mazama around 4860 BC . Other volcanic lakes are created when either rivers or streams are dammed by lava flows or volcanic lahars . The basin within which Malheur Lake , Oregon was created when a lava flow dammed the Malheur River .   Glacial lakes ( edit )   Glacial lakes are lakes created by the direct action of glaciers and continental ice sheets . A wide variety of glacial processes create enclosed basins . As a result , there are a wide variety of different types of glacial lakes and it is often difficult to define clear - cut distinctions between different types of glacial lakes and lakes influenced by other activities . The general types of glacial lakes that have recognized are lakes in direct contact with ice ; glacially carved rock basins and depressions ; morainic and outwash lakes ; and glacial drift basins . Glacial lakes are the numerous lakes in the world . Most the lakes in northern Europe and North America have been either influenced or created by the latest , but not last , glaciation , to have covered the region . Glacial lakes include proglacial lakes , subglacial lakes , finger lakes , and epishelf lakes . Epishelf lakes are highly stratified lakes in which a layer of freshwater , derived from ice and snow melt , is dammed behind an ice shelf that is attached to the coastline . They are mostly found in Antarctica .   Fluvial lakes ( edit )   Fluvial ( or riverine ) lakes are lakes produced by running water . These lakes include plunge pool lakes , fluviatile dams and meander lakes .  Oxbow lakes ( edit )  The most common type of fluvial lake is a crescent - shaped lake called an oxbow lake due to the distinctive curved shape . They can form in river valleys as a result of meandering . The slow - moving river forms a sinuous shape as the outer side of bends are eroded away more rapidly than the inner side . Eventually a horseshoe bend is formed and the river cuts through the narrow neck . This new passage then forms the main passage for the river and the ends of the bend become silted up , thus forming a bow - shaped lake .  Fluviatile dams ( edit )  These form where sediment from a tributary blocks the main river .  Lateral lakes ( edit )  These form where sediment from the main river blocks a tributary , usually in the form of a levee .   Solution lakes ( edit )   A solution lake is a lake occupying a basin formed by surface dissolution of bedrock . In areas underlain by soluble bedrock , its solution by precipitation and percolating water commonly produce cavities . These cavities frequently collapse to form sinkholes that form part of the local karst topography . Where groundwater lies near the grounds surface , a sinkhole will be filled water as a solution lake . If such a lake consists of a large area of standing water that occupies an extensive closed depression in limestone , it is also called a karst lake . Smaller solution lakes that consist of a body of standing water in a closed depression within a karst region are known as karst ponds . Limestone caves often contain pools of standing water , which are known as underground lakes . Classic examples of solution lakes are abundant in the karst regions at the Dalmatian coast of Croatia and within large parts of Florida .   Landslide lakes ( edit )   Landslide lakes are lakes created by the blockage of a valley by either mudflows , rockslides , or screes . Such lakes are common in mountainous regions . Although landslide lakes may be large and quite deep , they are typically short - lived . An example of a landslide lake is Quake Lake , which formed as a result of the 1959 Hebgen Lake earthquake .   Aeolian lakes ( edit )   Aeolian lakes are lakes produced by wind action . They are found mainly in arid environments although some aeolian lakes are relict landforms indicative of arid paleoclimates . Aeolian lakes consist of lake basins dammed by wind - blown sand ; interdunal lakes that lies between well - oriented sand dunes ; and deflation basins formed by wind action under previously arid paleoenvironments . Moses Lake , Washington , is an example of a lake basins dammed by wind - blown sand .   Shoreline lakes ( edit )   Shoreline lakes are generally lakes created by blockage of estuaries or by the uneven accretion of beach ridges by longshore and other currents . They include maritime coastal lakes , ordinarily in drowned estuaries ; lakes enclosed by two tombolos or spits connecting an island to the mainland ; lakes cut off from larger lakes by a bar ; or lakes divided by the meeting of two spits .   Organic lakes ( edit )   Organic lakes are lakes created by the action of plants and animals . on the whole they are relatively rare in occurrence and quite small in size . in addition , they typically ephemeral features relative to the other types of lakes . The basins in which organic lakes occur are associated with beaver dams , coral lakes , or dams formed by vegetation .   Anthropogenic lakes ( edit )   Anthropogenic lakes are artificially created lakes formed by human activity . They can be the result of intentional damming of rivers and streams or subsequent filling of abandon excavations by either ground water , precipitation , or a combination of both .   Meteorite ( extraterrestrial impact / crater ) lakes ( edit )   Meteorite lakes , which are also known as crater lakes , are lakes created by catastrophic extraterrestrial impacts by either meteorites or asteroids . Examples of meteorite lakes are Lonar crater lake , India , Lake Elgygytgyn , and Pingualuit crater lake , Quebec , Canada , As in case of Lake El'gygytgyn and Pingualuit crater lake , meteorite ( extraterrestrial impact / crater ) lakes can contain unique and scientifically valuable sedimentary deposits aasociated with long records of paleoclimatic changes .   Other different types of lakes ( edit )  One of the many artificial lakes in Arizona at sunset . Lake Parramatta , an artificial lake in Sydney , Australia . A naturalized former gravel pit lake in northern Croatia . The crater lake of Volcán Irazú , Costa Rica . These kettle lakes in Alaska were formed by a retreating glacier . Ephemeral ' Lake Badwater ' , a lake only noted after heavy winter and spring rainfall , Badwater Basin , Death Valley National Park . Ice Melting on Lake Balaton  In addition to mode of origin , lakes have been named and classified in various other ways according to their thermal stratification , salinity , relative seasonal permanence , degree of outflow , and other factors . Also , different cultures and regional of the world have their popular nomenclature   Types of lakes according to thermal stratification ( edit )   In addition to their origin , there are various other ways of either naming or defining types of lakes . One major way of classification lakes in on the basis of thermal stratification because it is a major control on animal and plant life inhabiting a lake and the fate and distribution of dissolved and suspended material in a lake . For example , the thermal stratification and the degree and frequency of mixing exerts a strong control on the distribution of oxygen within it . In addition , lake can be classified according important factors such as seasonal variations in lake volume and level , oxygen saturation , and salinity of its water mass . Finally , the names of types of lakes that are used by the lay public and in the scientific for different types of lakes are often informally derived from either from their morphology of other aspects or their physical characteristics .   F.A. Forel , who is also referred to as the father of limnology , was the first scientist to classify lakes according to their thermal stratification . His system of classification was later modified and improved upon by Hutchinson and Laffler . Because the density of water varies with temperature , with a maximum at + 4 DC , thermal stratification is an important physical characteristic of lakes that controls the fauna and flora , sedimentation , chemistry , and other aspects of individual lakes . First , the colder , heavier water typically forms a layer near the bottom , which called the hypolimnion . Second , normally overlying it is a transition zone known as the metalimnion . Finally , overlying the metalimnion is a surface layer of a warmer , lighter water is called the epilimnion . However , this typical stratification sequence can vary widely depending either on the specific lake , the time of season , or combination of both .   Based upon thermal stratification , lakes are classified as either holomictic lakes or meromictic lakes . A meromictic lake is a lake which has layers of water which do not intermix . The deepest layer of water in such a lake does not contain any dissolved oxygen . In addition , the layers of sediment at the bottom of a meromictic lake remain relatively undisturbed because there are no living aerobic organisms . The lack of disturbance allows for the development of lacustrine varves . A Holomictic lake is a lake that has a uniform temperature and density from top to bottom at a specific time during the year . This uniformity temperature and density in allows the lake waters to completely mix . Holomictic lakes are non-meromictic lakes . Based upon thermal stratification and frequency of turnover , holomictic lakes are divided into amictic lakes , cold monomictic lakes , dimictic lakes , warm monomictic lakes , polymictic lakes , and oligomictic lakes . The classification of lakes by thermal stratification presupposes lakes with sufficient depth to form a hypolimnion . As a results , very shallow lakes are excluded this classification system .   The stratification in a lake is not always the result of variation to density because of thermal gradients . Stratification within a lake can also be the result of differences in density resulting from gradients in salinity . In case of a difference in salinity , the hypolimnion and epilimnion are separated not by a thermocline but by a halocline , which is sometimes referred to as a chemocline .   Types of lake according to seasonal variation of lake level and volume ( edit )   Lakes are informally classified and named according to the seasonal variation in their lake level and volume . Some of the names include :    Ephemeral lake is a short - lived lake or pond . If it fills with water and dries up ( disappears ) seasonally it is known as an intermittent lake They often fill poljes   Dry lake is a popular name for an ephemeral lake that contains water only intermediately at irregular and infrequent intervals .   Perennial lake is a lake that has water in its basin throughout the year and is not subject to extreme fluctuations in level .   Playa lake is a typically shallow , intermittent lake that covers or occupies a playa either in wet seasons or in especially wet years but subsequently drying up in an arid or semiarid region .   Vlei is a name used in South Africa for a shallow lake which varies considerably in level with the seasons .    Types of lake according to water chemistry ( edit )   Lakes are also informally classified and named according to the general chemistry of their water mass . Some of the types of lakes include :    An acid lake is a lake that has a pH is below neutral (   A salt lake , which also known as a brine lake , is an inland body of water situated in an arid or semiarid region , having no outlet to the sea , and containing a high concentration of dissolved salts ( principally sodium chloride ) . Examples include the Great Salt Lake in Utah , and the Dead Sea in the Near East .   alkali sink , also known as salt flats , are lakes on the other extreme of the scale from the large and deep saline lakes . They are , shallow saline features that occupy low - lying areas of the arid regions and in groundwater discharge zones . These are typically classifiable as either playas or playa lakes because they are periodically flooded by either rain or flood events and then dry up during drier intervals , leaving accumulations of brines and evaporitic minerals .   A salt pan ( saltpan ) is either an undrained small shallow natural depression in which water accumulates and evaporates leaving a salt deposit or the shallow lake of brackish water occupying a salt pan . This term is also used for a large pan for recovering salt by evaporation .   A saline pan is a name for an ephemeral saline lake which precipitates a bottom crust that is subsequently modified during subaerial exposure .    Lakes composed of other liquids ( edit )    Lava lake is a large volume of molten lava , usually basaltic , contained in a volcanic vent , crater , or broad depression .   Hydrocarbon lakes are bodies of liquid ethane and methane that occupy depressions on the surface of Titan . They were detected by the Cassini -- Huygens space probe .    Paleolakes ( edit )   A paleolake , also spelt palaeolake , is a lake that existed in the past when hydrological conditions were different . Quaternary paleolakes can often be identified on the basis of relict lacustrine landforms such as relict lake plains and coastal landforms that form recognizable relict shorelines , which are called paleoshorelines . Paleolakes can also be recognized by characteristic sedimentary deposits that accumulated in them and any fossils that these sediments might contain . The paleoshorelines and sedimentary deposits of paleolakes provide evidence for prehistoric hydrological changes during the times that they existed .   Types of paleolakes include :    A former lake is a lake which is no longer in existence . Such lakes include prehistoric lakes and lakes which have permanently dried up often as the result of either evaporation or human intervention . Owens Lake in California , USA , is an example of a former lake . Former lakes are a common feature of the Basin and Range area of southwestern North America .   A shrunken lake is a lake which has drastically decreased in size over geological time . Lake Agassiz , which once covered much of central North America , is a good example of a shrunken lake . Two notable remnants of this lake are Lake Winnipeg and Lake Winnipegosis .    Paleolakes are of scientific and economic importance . For example , Quaternary paleolakes in semidesert basins are important for two reasons . First , they played an extremely significant , if transient , role in shaping the floors and piedmonts of many basins . Finally , their sediments contain enormous quantities of geologic and paleontologic information concerning past environments . In addition , the organic - rich deposits of pre-Quaternary paleolakes are important either for the thick deposits of oil shale and shale gas that they contain or as source rocks of petroleum and natural gas . Although of significantly less economic importance , strata deposited along the shore of paleolakes sometimes contain coal seams .   Characteristics ( edit )       This section does not cite any sources . Please help improve this section by adding citations to reliable sources . Unsourced material may be challenged and removed . ( July 2013 ) ( Learn how and when to remove this template message )    Many lakes can have tremendous cultural importance . The West Lake of Hangzhou has inspired romantic poets throughout the ages , and has been an important influence on garden designs in China , Japan and Korea . Lake Päijänne is one of tens of thousands of lakes in Finnish Lakeland . Lake Mapourika , New Zealand  Lakes have numerous features in addition to lake type , such as drainage basin ( also known as catchment area ) , inflow and outflow , nutrient content , dissolved oxygen , pollutants , pH , and sedimentation .   Changes in the level of a lake are controlled by the difference between the input and output compared to the total volume of the lake . Significant input sources are precipitation onto the lake , runoff carried by streams and channels from the lake 's catchment area , groundwater channels and aquifers , and artificial sources from outside the catchment area . Output sources are evaporation from the lake , surface and groundwater flows , and any extraction of lake water by humans . As climate conditions and human water requirements vary , these will create fluctuations in the lake level .   Lakes can be also categorized on the basis of their richness in nutrients , which typically affect plant growth . Nutrient - poor lakes are said to be oligotrophic and are generally clear , having a low concentration of plant life . Mesotrophic lakes have good clarity and an average level of nutrients . Eutrophic lakes are enriched with nutrients , resulting in good plant growth and possible algal blooms . Hypertrophic lakes are bodies of water that have been excessively enriched with nutrients . These lakes typically have poor clarity and are subject to devastating algal blooms . Lakes typically reach this condition due to human activities , such as heavy use of fertilizers in the lake catchment area . Such lakes are of little use to humans and have a poor ecosystem due to decreased dissolved oxygen .   Due to the unusual relationship between water 's temperature and its density , lakes form layers called thermoclines , layers of drastically varying temperature relative to depth . Fresh water is most dense at about 4 degrees Celsius ( 39.2 ° F ) at sea level . When the temperature of the water at the surface of a lake reaches the same temperature as deeper water , as it does during the cooler months in temperate climates , the water in the lake can mix , bringing oxygen - starved water up from the depths and bringing oxygen down to decomposing sediments . Deep temperate lakes can maintain a reservoir of cold water year - round , which allows some cities to tap that reservoir for deep lake water cooling .  Lake Teletskoye , Siberia  Since the surface water of deep tropical lakes never reaches the temperature of maximum density , there is no process that makes the water mix . The deeper layer becomes oxygen starved and can become saturated with carbon dioxide , or other gases such as sulfur dioxide if there is even a trace of volcanic activity . Exceptional events , such as earthquakes or landslides , can cause mixing which rapidly brings the deep layers up to the surface and release a vast cloud of gas which lay trapped in solution in the colder water at the bottom of the lake . This is called a limnic eruption . An example is the disaster at Lake Nyos in Cameroon . The amount of gas that can be dissolved in water is directly related to pressure . As deep water surfaces , the pressure drops and a vast amount of gas comes out of solution . Under these circumstances carbon dioxide is hazardous because it is heavier than air and displaces it , so it may flow down a river valley to human settlements and cause mass asphyxiation .   The material at the bottom of a lake , or lake bed , may be composed of a wide variety of inorganics , such as silt or sand , and organic material , such as decaying plant or animal matter . The composition of the lake bed has a significant impact on the flora and fauna found within the lake 's environs by contributing to the amounts and the types of nutrients available .   A paired ( black and white ) layer of the varved lake sediments correspond to a year . During winter , when organisms die , carbon is deposited down , resulting to a black layer . At the same year , during summer , only few organic materials are deposited , resulting to a white layer at the lake bed . These are commonly used to track past paleontological events .   Natural lakes provide a microcosm of living and nonliving elements that are relatively independent of their surrounding environments . Therefore , lake organisms can often be studied in isolation from the lake 's surroundings .   Limnology ( edit )  Main articles : Limnology , Lake ecosystem , and Lake aeration Lake Billy Chinook , Deschutes National Forest , Oregon . Lake Cugun , Kirsehir , Turkey . Lake of Flowers ( Liqeni i Lulëve ) , one of the Lurë Mountains glacial lakes , Albania .  Limnology is the study of inland bodies of water and related ecosystems . Limnology divides lakes into three zones : the littoral zone , a sloped area close to land ; the photic or open - water zone , where sunlight is abundant ; and the deep - water profundal or benthic zone , where little sunlight can reach . The depth to which light can reach in lakes depends on turbidity , determined by the density and size of suspended particles . A particle is in suspension if its weight is less than the random turbidity forces acting upon it . These particles can be sedimentary or biological in origin and are responsible for the color of the water . Decaying plant matter , for instance , may be responsible for a yellow or brown color , while algae may cause greenish water . In very shallow water bodies , iron oxides make water reddish brown . Biological particles include algae and detritus . Bottom - dwelling detritivorous fish can be responsible for turbid waters , because they stir the mud in search of food . Piscivorous fish contribute to turbidity by eating plant - eating ( planktonivorous ) fish , thus increasing the amount of algae ( see aquatic trophic cascade ) . The light depth or transparency is measured by using a Secchi disk , a 20 - cm ( 8 in ) disk with alternating white and black quadrants . The depth at which the disk is no longer visible is the Secchi depth , a measure of transparency . The Secchi disk is commonly used to test for eutrophication . For a detailed look at these processes , see lentic ecosystems .   A lake moderates the surrounding region 's temperature and climate because water has a very high specific heat capacity ( 4,186 J kg K ) . In the daytime a lake can cool the land beside it with local winds , resulting in a sea breeze ; in the night it can warm it with a land breeze .   How lakes disappear ( edit )  Lake Chad in a 2001 satellite image , with the actual lake in blue , and vegetation on top of the old lake bed in green . Lake Badwater , February 9 , 2005 . Landsat 5 satellite photo . Badwater Basin dry lake , February 15 , 2007 . Landsat 5 satellite photo .  The lake may be infilled with deposited sediment and gradually become a wetland such as a swamp or marsh . Large water plants , typically reeds , accelerate this closing process significantl</t>
  </si>
  <si>
    <t xml:space="preserve">how big does it have to be to be a lake</t>
  </si>
  <si>
    <t xml:space="preserve"> A lake is an area filled with water , localized in a basin , that is surrounded by land , apart from any river or other outlet that serves to feed or drain the lake . Lakes lie on land and are not part of the ocean , and therefore are distinct from lagoons , and are also larger and deeper than ponds , though there are no official or scientific definitions . Lakes can be contrasted with rivers or streams , which are usually flowing . Most lakes are fed and drained by rivers and streams . </t>
  </si>
  <si>
    <r>
      <rPr>
        <sz val="11"/>
        <color rgb="FF000000"/>
        <rFont val="Calibri"/>
        <family val="0"/>
        <charset val="1"/>
      </rPr>
      <t xml:space="preserve">Taylor Momsen - Wikipedia  Taylor Momsen  Jump to : navigation , search    Taylor Momsen     Momsen in July 2017       Taylor Michel Momsen ( 1993 - 07 - 26 ) July 26 , 1993 ( age 24 ) St. Louis , Missouri , US     Occupation     Singer   songwriter   actress   model       Years active   1997 -- present     Musical career     Genres     Alternative rock   hard rock   post-grunge       Instruments     Vocals   guitar       Labels     Interscope   Razor &amp; Tie   Cooking Vinyl       Associated acts   The Pretty Reckless         Taylor Michel Momsen ( born July 26 , 1993 ) is an American singer , songwriter , former actress , and model . She is known for being the lead singer and frontwoman of the American rock band The Pretty Reckless . She is also known for portraying the character of Jenny Humphrey on the CW teen drama series Gossip Girl ( 2007 -- 2012 ) and Cindy Lou Who in the film Dr. Seuss ' How the Grinch Stole Christmas ( 2000 ) .     Contents  ( hide )   1 Early life   2 Acting   3 Modeling   4 Music   5 Discography   6 Filmography   7 References   8 External links      Early life ( edit )   Taylor Momsen was born on July 26 , 1993 , in St. Louis , Missouri . Her parents are Michael and Collette Momsen and she has a younger sister , Sloane Momsen , who is also an actress . She has Russian ancestry . She was raised Roman Catholic and attended Our Lady of Lourdes Catholic School for elementary school and later Herbert Hoover Middle School in Potomac , Maryland . Although , she says now that she is older she is not a religious person . She studied dance at the Center of Creative Arts in St. Louis .   Momsen was signed with Ford Models at a very young age : `` My parents signed me up with Ford ( Modeling ) at the age of 2 . No 2 - year - old wants to be working , but I had no choice . My whole life , I was in and out of school . I did n't have friends . I was working constantly and I did n't have a real life . '' She began acting professionally at three years of age in a 1997 national commercial for Shake ' n Bake . She was then cast in The Prophet 's Game .   Momsen is included on the list of Unclaimed Coogan accounts for performing children whose partial childhood earnings are mandated to be put in a special fund but who have yet to claim their earnings .   Momsen attended the Professional Performing Arts School in Manhattan for high school alongside Connor Paolo , Gregori Lukas and Sarah Hyland .   Acting ( edit )  Momsen at the Metropolitan Opera in 2008  In 2000 , Momsen played the role of Cindy Lou Who in Dr. Seuss ' How the Grinch Stole Christmas , her breakout role . In 2002 , she was given the role of Gretel in the motion picture : Hansel and Gretel , as well as Alexandra , the President 's daughter , in Spy Kids 2 : The Island of Lost Dreams .   Momsen 's career came to a halt for over three years until she received a lead role in the WB series Misconceptions , which was never aired , after that she also appeared in the 2006 film Saving Shiloh . She also auditioned for the title role in Hannah Montana , and was in the top three , but the role was instead awarded to Miley Cyrus -- a decision that Momsen was happy with in retrospect . In 2007 she starred in the Walt Disney Pictures film Underdog , as Molly and as Jennifer in the movie Paranoid Park , directed by Gus Van Sant .   Beginning in 2007 , she played the character of Jenny Humphrey in The CW television series Gossip Girl , which is based on the book series by Cecily von Ziegesar . Momsen 's appearances on the series became increasingly sporadic , and by the end of the first half of the fourth season , she had only appeared in four episodes . It was then announced that the actress would be scheduled for an indefinite hiatus from the show , which ultimately resulted in her leaving the series as a regular cast member , following the completion of the fourth season in 2011 . Later that year , on August 16 , 2011 , Momsen told Elle magazine that she had quit acting to focus on her music career . However , on October 16 , 2012 , it was reported that Momsen would be returning to Gossip Girl for the final episode of the sixth and final season , in which she appeared briefly in the wedding sequence .   Modeling ( edit )   In June 2008 , at the age of fourteen , Momsen signed to IMG Models .   Taylor was the face of British fashion chain New Look for its spring / summer 2010 collection . After weeks of speculation of who was the face of Madonna 's 2010 fashion line `` Material Girl '' , Momsen was announced on July 15 , 2010 . A week later , Momsen was announced as the model for John Galliano 's new women 's fragrance , scheduled to launch in autumn 2010 . In 2010 , she appeared in a video for John Galliano 's `` Parlez - Moi d'Amour '' fragrance ad campaign   Momsen is currently the face of Samantha Thavasa 's handbag line . She has done multiple photoshoots , press events , and commercials .   She covered Page Six Magazine when she was fifteen years old in 2009 . Momsen also covered on the February 2010 cover of Seventeen In October 2010 , Momsen wore a pair of platform stilettos , thigh - high stockings , and had a holster strapped around her leg for Revolver . Two months after she covered French magazine Rock One 's . Momsen appeared on the cover of FHM 's March 2012 edition and FHM ranked Momsen # 29 in its 2012 Hot 100 issue . She also made her debut Maxim cover in the November 2013 issue   Music ( edit )  Momsen performing in April 2010  Momsen has said that `` music is where I can be me '' , stating that `` acting is easy . I 've been doing it for so long and I totally love it . But you 're playing a character instead of yourself . Music is more personal because you 're writing it and you 're involved in every step of it . '' At 5 years old , Momsen recorded the song `` Christmas , Why Ca n't I Find You ? '' for the soundtrack to How the Grinch Stole Christmas . In 2002 , she recorded the songs `` One Small Voice '' and `` Rudolph The Red - Nosed Reindeer '' for the compilation album School 's Out ! Christmas .   In March 2009 , Momsen stated in an interview with OK ! magazine that her band The Pretty Reckless had signed a deal with Interscope Records . She played her first tour with her band opening for The Veronicas on their Revenge Is Sweeter Tour in spring 2009 . After the tour , Momsen began working with guitarist Ben Phillips , who would soon join the band . Momsen subsequently swapped out her former bandmates . She co-writes songs with Phillips ; in addition to lead vocals , Momsen also plays rhythm guitar .   The band 's debut album Light Me Up was released on August 30 , 2010 in the UK , where it debuted at number 6 , as well as at number 18 in Ireland . The first single `` Make Me Wanna Die '' was released on May 30 , 2010 , while the second single `` Miss Nothing '' which was released on August 23 , 2010 peaked at number 39 . `` Just Tonight '' was released as the album 's third single . Songs from this album have been in the movie `` Kick - ass '' as well as shows like `` The Vampire Diaries '' and `` Gossip Girl '' .   Television personality Heidi Montag recorded `` Blackout '' , a song written by Momsen . According to Momsen , she wrote the song when she was 8 years old and recorded it as a demo with a producer . Montag released the song as a digital only single , with the music video being directed by her husband Spencer Pratt . Momsen commented about the recording : `` I 'm like , okay , dude , you 're singing an 8 - year - old 's words , but that 's cool . It 's so funny because I did n't shop it or anything and I get this call going , ' Did you write a song for Heidi Montag ' ? And I 'm like , ' What ? ' '' . The track was later included on Montag 's debut studio album Superficial ( 2010 ) .   On July 27 , 2011 , Momsen announced via Twitter that the band would be the supporting act for Evanescence during the fall of 2011 . Throughout 2012 , Momsen and her band toured North America ; the second headlining tour , titled the Medicine Tour , began in March 2012 and culminated with supporting dates for Marilyn Manson 's 2012 world tour Hey Cruel World ... Tour . Momsen also appeared as guest vocalist on the first track of ex Ministry member Paul Barker 's 2012 album Fix This .   On November 30 , 2012 , it was announced that The Pretty Reckless ' fourth single `` Kill Me '' would be released on December 11 . The track was the last song to be featured in the Gossip Girl series finale .   Momsen cites Kurt Cobain , The Beatles , Led Zeppelin , The Who , Pink Floyd , AC / DC , Marilyn Manson , Oasis and Shirley Manson of Garbage as some of her personal influences .   Going to Hell was released on March 18 , 2014 . The release marked the band 's largest sales week to date and landed at # 5 on the Billboard 200 with over 35,000 copies sold in its first week . The success of the record saw Taylor , along with the rest of the band , break records when they became the first female - fronted band to reach No. 1 on the rock radio charts with its first two singles - `` Heaven Knows '' in March 2014 and `` Fucked Up World '' in September 2014 . The Pretty Reckless also spent the majority of late 2013 throughout 2014 on tour supporting Going To Hell . In 2014 , her band also supported Fall Out Boy in their European leg of the Save Rock n Roll Tour along with New Politics .   Throughout 2015 , Momsen continued to record new material for the third Pretty Reckless album . On September 29 , 2016 , the band released the single `` Take Me Down '' , which reached number two on the Billboard Mainstream Rock Chart . The third album , Who You Selling For was released in October 2016 .   Discography ( edit )  Main article : The Pretty Reckless discography  Filmography ( edit )   Film   Year   Title   Role   Notes     1999   Prophet 's Game , The The Prophet 's Game   Honey Bee Swan       2000   Dr. Seuss ' How the Grinch Stole Christmas   Cindy Lou Who   Nominated -- Blockbuster Entertainment Award for Favorite Female Newcomer Nominated -- Saturn Award for Best Performance by a Younger Actor Nominated -- Young Artist Award for Best Performance in a Feature Film -- Young Actress Age Ten or Under     2002   We Were Soldiers   Julie Moore       2002   Spy Kids 2 : The Island of Lost Dreams   Alexandra       2002   Hansel &amp; Gretel   Gretel       2006   Saving Shiloh   Samantha Wallace       2007   Paranoid Park   Jennifer       2007   Underdog   Molly   Nominated -- Young Artist Award for Best Performance in a Feature Film -- Supporting Young Actress     2008   Spy School   Madison Kramer       Television   Year   Title   Role   Notes     1998   Early Edition   Allie   Uncredited ; episode : `` A Minor Miracle ''     2006   Misconceptions   Hopper Watson   Unaired WB series     2007 -- 2010 ; 2012   Gossip Girl   Jennifer `` Jenny '' Humphrey   Main cast ( season 1 -- 4 ) Special guest star ( season 6 ) : 66 episodes Nominated -- Teen Choice Award for Choice TV Breakout Star : Female Nominated -- Young Artist Award for Best Performance in a TV Series ( Comedy or Drama ) -- Leading Young Actress     References ( edit )    Jump up ^ `` Taylor Momsen Biography '' . TV Guide . Retrieved October 18 , 2010 .   Jump up ^ `` Taylor Momsen : Not a Girl , Not Yet a Woman '' . The New York Observer   Jump up ^ Momsen , Taylor ( July 8 , 2013 ) . `` Twitter : taylormomsen : @ Zheka_Kinoman yes , I 'm part Russian '' . Twitter.com . Retrieved July 16 , 2013 .   Jump up ^ `` Taylor Momsen Gets Spiritual - Daily Intelligencer '' . Nymag.com . Retrieved September 2 , 2013 .   Jump up ^ `` Taylor Momsen '' . Movies.yahoo.com. April 20 , 2011 . Retrieved September 2 , 2013 .   ^ Jump up to : Blonska , Joanna . `` The Young and the ' Reckless ' '' . Bethesda Magazine . Retrieved 4 February 2013 .   Jump up ^ Vozick - Levinson , S. ( 2014 , Apr 10 ) . Taylor momsen . Rolling Stone , , 26 . Retrieved from http://search.proquest.com/docview/1528439768   Jump up ^ `` Taylor Momsen , Age 3 , In Shake ' N Bake Commercial ( VIDEO ) '' . Huffington Post . 15 November 2010 . Retrieved December 1 , 2014 .   Jump up ^ `` Unclaimed Coogan Fund list '' .   Jump up ^ `` Taylor Momsen Glad She 's Not ' Hannah Montana ' '' . www.starpulse.com . January 25 , 2010 . Retrieved September 26 , 2010 .   Jump up ^ Ausiello , Michael `` ' Gossip Girl ' Sidelines Taylor Momsen '' , Deadline.com , November 22 , 2010 . Retrieved November 23 , 2010 .   Jump up ^ `` Momen Quit Acting '' . www.yahooblogs.com . August 16 , 2011 . Retrieved August 16 , 2011 .   Jump up ^ `` Taylor Momsen Returning To ' Gossip Girl ' Along With Connor Paolo '' . The Huffington Post . AOL . October 16 , 2011 . Retrieved October 17 , 2012 .   Jump up ^ Murray , Rheana ( October 17 , 2012 ) . `` ' Gossip Girl ' Alums Taylor Momsen and Connor Paolo Make Surprise Return for Show 's Final Episode '' . Daily News . Retrieved November 12 , 2012 .   Jump up ^ `` Taylor Momsen : From Gossip Girl to Supermodel '' . Offtherack.people.com . June 25 , 2008 . Retrieved June 25 , 2010 .   Jump up ^ Vogue , Teen . `` Taylor Momsen : Girl on Film '' . Teenvogue.com . Retrieved June 25 , 2010 .   Jump up ^ `` Taylor Momsen for new look '' . The Express online . March 8 , 2010 . Retrieved April 4 , 2010 .   Jump up ^ `` Grazia Fashion : Taylor Momsen is the face of Material Girl ! '' . Graziadaily.co.uk . Retrieved August 10 , 2010 .   Jump up ^ `` Grazia Fashion : Taylor Momsen To Model For Galllano ! ! '' . Graziadaily.co.uk . Retrieved August 10 , 2010 .   Jump up ^ `` Samantha Thavasa Will Have You Know Taylor Momsen Is Employable '' . Retrieved June 20 , 2013 .   Jump up ^ `` Taylor Momsen Seventeen Cover - Interview and Pictures of Taylor Momsen '' . Seventeen.com . Retrieved February 9 , 2014 .   Jump up ^ `` FHM at Taylor Momsen 's sexy house party ! Girls '' . FHM.com . Archived from the original on October 19 , 2013 . Retrieved February 9 , 2014 .   Jump up ^ `` Hot 100 '' . FHM. 2012 . Retrieved January 11 , 2013 .   Jump up ^ Tweet ( October 10 , 2013 ) . `` Taylor Momsen Pictures of a Pretty Reckless Singer '' . Maxim . Retrieved February 9 , 2014 .   ^ Jump up to : Wightman , Catriona , `` Taylor Momsen : ' Music is my only goal ' '' , Digital Spy , November 3 , 2010 , retrieved November 3 , 2011   Jump up ^ `` Taylor Momsen Not Kissing Chace Crawford Offscreen '' . Okmagazine.com . March 3 , 2009 . Retrieved June 25 , 2010 .   Jump up ^ `` TAYLOR MOMSEN 'S `` Pretty Reckless '' : The Veronicas Pick `` GOSSIP GIRL '' Band As Tour Opener `` . Huffingtonpost.com. April 17 , 2009 . Retrieved November 8 , 2011 .   Jump up ^ New Song from Taylor Momsen 's Pretty Reckless By Avery Spofford on July 12 , 2010 5 : 56 pm -- Spin   Jump up ^ DREAMSEEKERS : THE BEST MUSIC YOU 'VE NEVER HEARD. ( 2011 , Mar 19 ) . Billboard - the International Newsweekly of Music , Video and Home Entertainment , 123 , A , B , C , D. Retrieved from http://search.proquest.com/docview/868612104   ^ Jump up to : Harp , Justin , `` Momsen ' surprised by Montag song cover ' '' , Digital Spy , October 15 , 2010 , retrieved January 3 , 2011   Jump up ^ `` Taylor Momsen announces tour with Evanescence , AHN , July 27 , 2011 , retrieved July 31 , 2011   Jump up ^ The Pretty Reckless Bring ' Medicine Tour ' Stateside By Tara Hall on January 31 , 2012 5 : 56 pm -- Soundspike   Jump up ^ `` Kill Me ( Explicit ) '' . Amazon.com . Amazon.com. 2012 . Retrieved November 30 , 2012 .   Jump up ^ `` Taylor Momsen of The Pretty Reckless - ' Wikipedia : Fact or Fiction ? ' '' . Loudwire . Retrieved 2016 - 03 - 28 .   Jump up ^ `` Taylor Momsen : ' I admire Shirley Manson ' - Music News '' . Digital Spy. 29 August 2010 . Retrieved 2 January 2012 .   Jump up ^ `` I love Oasis . I love Noel Gallagher . He 's a great songwriter . I 'd love to be able to write a song with him at some point . '' . The A.V. Club . 10 March 2011 . Retrieved 5 July 2017 .   Jump up ^ `` THE PRETTY RECKLESS TO RELEASE NEW ALBUM ' GOING TO HELL ' MARCH 18 , 2014 ON RAZOR &amp; TIE '' . Razor &amp; Tie Direct L.L.C. 2014 - 01 - 21 . Retrieved 2016 - 05 - 09 .   Jump up ^ `` ' Frozen ' Soundtrack Earns Its Biggest Sales Week Yet , Recalling Adele 's Longevity '' . Billboard . Retrieved 2016 - 05 - 09 .   Jump up ^ `` Pretty Reckless Only Female - Fronted Band to Top Mainstream Rock With First 2 Hits '' . Billboard . Retrieved 2016 - 05 - 09 .   ^ Jump up to : `` Video Premiere : THE PRETTY RECKLESS 's ' Take Me Down ' '' . blabbermouth.net. 2016 - 09 - 29 . Retrieved 2016 - 09 - 29 .   Jump up ^ `` The Pretty Reckless - Chart history Billboard '' . www.billboard.com . Retrieved 2016 - 09 - 29 .    External links ( edit )       Wikimedia Commons has media related to Taylor Momsen .      Official website   Taylor Momsen on IMDb      ( hide )         The Pretty Reckless       Taylor Momsen   Jamie Perkins   Ben Phillips   Mark Damon     Nick Carbone   Matt Chiarelli   John Secolo       Studio albums     Light Me Up   Going to Hell   Who You Selling For       Extended plays     The Pretty Reckless   Hit Me Like a Man EP       Singles     `` Make Me Wanna Die ''   `` Miss Nothing ''   `` Just Tonight ''   `` Kill Me ''   `` Heaven Knows ''   `` Messed Up World ''   `` Follow Me Down ''   `` Take Me Down ''   `` Back to the River ''       Tours     Light Me Up Tour   The Medicine Tour   Going to Hell Tour   Who You Selling For Tour       Related articles     Discography   Interscope Records               VIAF : 10175733   LCCN : n2003080676   ISNI : 0000 0000 8356 3618   GND : 141515686   SUDOC : 124063888   BNF : cb15683982x ( data )   MusicBrainz : d1ecf86c - 3d89 - 420e - b8c1 - bceb6b101c61      Retrieved from `` https://en.wikipedia.org/w/index.php?title=Taylor_Momsen&amp;oldid=802721745 '' Categories :   1993 births   Living people   20th - century American actresses   21st - century American actresses   21st - century American singers   Actresses from St. Louis   Actresses of Russian descent   American alternative rock musicians   American child actresses   American child models   American child singers   American female guitarists   American female models   American female rock singers   American female singer - songwriters   American singer - songwriters   American feminists   American film actresses   American hard rock musicians   American people of Russian descent   American rock guitarists   American rock songwriters   American Roman Catholics   American television actresses   Female post-grunge singers   Feminist musicians   Guitarists from Missouri   Kerrang ! Awards winners   Musicians from St. Louis   Sex - positive feminists   Singers from Missouri   Songwriters from Missouri   Hidden categories :   Use mdy dates from May 2017   Articles with hCards   All articles with unsourced statements   Articles with unsourced statements from August 2015   Wikipedia articles with VIAF identifiers   Wikipedia articles with LCCN identifiers   Wikipedia articles with ISNI identifiers   Wikipedia articles with GND identifiers   Wikipedia articles with BNF identifiers   Wikipedia articles with MusicBrainz identifiers           Talk                                           Contents                   About Wikipedia                                                   Asturianu   Azərbaycanca   Bân - lâm - gú   Беларуская   Български   Català   Cebuano   Čeština   Dansk   Deutsch   Eesti   Ελληνικά   Español   Esperanto   فارسی   Français   Galego   </t>
    </r>
    <r>
      <rPr>
        <sz val="11"/>
        <color rgb="FF000000"/>
        <rFont val="Noto Sans CJK SC"/>
        <family val="2"/>
      </rPr>
      <t xml:space="preserve">한국어   </t>
    </r>
    <r>
      <rPr>
        <sz val="11"/>
        <color rgb="FF000000"/>
        <rFont val="Calibri"/>
        <family val="0"/>
        <charset val="1"/>
      </rPr>
      <t xml:space="preserve">Հայերեն   Hrvatski   Ido   Bahasa Indonesia   Íslenska   Italiano   עברית   ქართული   Қазақша   Latina   Latviešu   Magyar   Македонски   Mirandés   Монгол   Nederlands   </t>
    </r>
    <r>
      <rPr>
        <sz val="11"/>
        <color rgb="FF000000"/>
        <rFont val="Noto Sans CJK SC"/>
        <family val="2"/>
      </rPr>
      <t xml:space="preserve">日本 語   </t>
    </r>
    <r>
      <rPr>
        <sz val="11"/>
        <color rgb="FF000000"/>
        <rFont val="Calibri"/>
        <family val="0"/>
        <charset val="1"/>
      </rPr>
      <t xml:space="preserve">Norsk   Papiamentu   Polski   Português   Română   Русский   Slovenčina   Slovenščina   Soomaaliga   Српски / srpski   Srpskohrvatski / српскохрватски   Suomi   Svenska   Tagalog   ไทย   Türkçe   Українська   West - Vlams   </t>
    </r>
    <r>
      <rPr>
        <sz val="11"/>
        <color rgb="FF000000"/>
        <rFont val="Noto Sans CJK SC"/>
        <family val="2"/>
      </rPr>
      <t xml:space="preserve">中文   </t>
    </r>
    <r>
      <rPr>
        <sz val="11"/>
        <color rgb="FF000000"/>
        <rFont val="Calibri"/>
        <family val="0"/>
        <charset val="1"/>
      </rPr>
      <t xml:space="preserve">Edit links   This page was last edited on 28 September 2017 , at 01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</si>
  <si>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cindy lou who in the grinch stole christmas</t>
  </si>
  <si>
    <t xml:space="preserve"> Taylor Michel Momsen ( born July 26 , 1993 ) is an American singer , songwriter , former actress , and model . She is known for being the lead singer and frontwoman of the American rock band The Pretty Reckless . She is also known for portraying the character of Jenny Humphrey on the CW teen drama series Gossip Girl ( 2007 -- 2012 ) and Cindy Lou Who in the film Dr. Seuss ' How the Grinch Stole Christmas ( 2000 ) . </t>
  </si>
  <si>
    <t xml:space="preserve">Barney Miller - wikipedia  Barney Miller  Jump to : navigation , search    Barney Miller         Genre   Sitcom     Created by     Danny Arnold   Theodore J. Flicker       Starring     Hal Linden   Barbara Barrie ( 1975 -- 76 )   Abe Vigoda ( 1975 -- 77 )   Max Gail   Ron Glass   Jack Soo ( 1975 -- 79 )   Gregory Sierra ( 1975 -- 76 )   James Gregory   Steve Landesberg ( 1976 -- 82 )   Ron Carey ( 1976 -- 82 )       Theme music composer     Jack Elliott   Allyn Ferguson       Composer ( s )     Jack Elliott   Allyn Ferguson       Country of origin   United States     Original language ( s )   English     No. of seasons   8     No. of episodes   170 ( list of episodes )     Production     Executive producer ( s )     Danny Arnold   Roland Kibbee       Camera setup   Videotape ; Multi-camera     Running time   25 minutes     Production company ( s )   Four D Productions     Distributor   Sony Pictures Television     Release     Original network   ABC     Picture format   480i ( SDTV )     Original release   January 23 , 1975 ( 1975 - 01 - 23 ) -- May 20 , 1982 ( 1982 - 05 - 20 )     Chronology     Related shows   Fish     Barney Miller is an American sitcom set in a New York City Police Department police station in Greenwich Village . The series was broadcast from January 23 , 1975 , to May 20 , 1982 , on ABC . It was created by Danny Arnold and Theodore J. Flicker . Noam Pitlik directed the majority of the episodes .     Contents  ( hide )   1 Premise   2 Cast   2.1 Regulars   2.2 Recurring characters   2.2. 1 Other officers and staff   2.2. 2 12th Precinct regulars   2.2. 3 Guest stars   2.2. 4 Fish 's family   2.2. 5 Barney 's family       3 Pilot   4 Opening theme   5 Production   6 Reception by police   7 Awards and honors   8 DVD releases   9 References   10 External links      Premise ( edit )   Barney Miller takes place almost entirely within the confines of the detectives ' squad room and Captain Barney Miller 's adjoining office of New York City 's fictional 12th Precinct , located in Greenwich Village . A typical episode featured the detectives of the 12th bringing in several complainants and / or suspects to the squad room . Usually , two or three separate subplots are in a given episode , with different officers dealing with different crimes . Once a year , an episode would feature one or more of the detectives outside of the walls of the precinct , either on a stakeout or at one of their homes .   Primary characters :    Captain Barney Miller ( Hal Linden ) is the sensible captain of the precinct who tries to retain his sanity while dealing with the foibles of his staff and the unending stream of budget problems and paperwork that make up his job .   Sgt . Philip K. Fish ( Abe Vigoda ) is the senior detective on the squad . Crotchety , world - weary , and near retirement , he always seems to be suffering through some physical ailment , but his years of experience as a police officer make him a very good detective and mentor to other members of his squad . Frequently , he is on the phone dealing with a minor marital crisis with his wife Bernice . The character was eventually spun off into its own series .   Det . ( later Sgt . ) Stanley Thaddeus `` Wojo '' Wojciehowicz ( Max Gail ) is the naive , gung - ho but goodhearted Catholic Polish - American , who gradually transforms from a macho former Marine into a sensitive character who tries to see things from a decidedly humanitarian point of view , while performing his duties as a detective . He takes and fails the sergeant 's examination four times , but finally passes on his fifth try and gets promoted in season four .   Sgt . Ron Nathan Harris ( Ron Glass ) is an ambitious , intellectual African American , who lives well beyond his means , and who frequently seems more preoccupied with his attire and his career as a writer than with his police work . A long - running plotline about his various attempts to establish a writing career eventually has Harris emerge as a published author , with his lurid memoir Blood on the Badge .   Sgt . Nick Yemana ( Jack Soo ) is a surrealistically philosophical , wisecracking Japanese American detective . He is noted for his `` off the wall '' sense of humor and wry observations about life , as well as for his gambling habits , extraordinarily poor paperwork filing skills , and for making extremely bad coffee for the other members of the squad .   Sgt . Miguel `` Chano '' Amanguale ( Gregory Sierra ) is a dauntless , beleaguered Puerto Rican detective , who is very emotionally attached to his job .   Sgt . Arthur Dietrich ( Steve Landesberg ) is an intellectual detective with a calm , unflappable nature and a seemingly endless supply of knowledge on a wide array of subjects .   Deputy Inspector Frank Luger ( James Gregory ) is Miller 's rambling , out - of - touch , and unapologetic old - school superior who frequently drops by the precinct to `` chat with '' Barney .   Officer Carl Levitt ( Ron Carey ) is a diminutive and obsequious ( but competent and hard - working ) uniformed officer who constantly , passive - aggressively badgers Miller about being promoted , and in the last season is promoted to detective .   Barney and Liz Miller   Elizabeth Miller ( Barbara Barrie ) : Barney 's wife , a dedicated social worker is intended to be a regular character , and listed in the opening credits during seasons one and two , Liz is seen fairly infrequently ; she is , however , often referred to , and Barney is often seen ( and heard ) on the phone with her .    The show 's focus was split between the detectives ' interactions with each other and with the suspects and witnesses they detained , processed , and interviewed . Some typical conflicts and long - running plotlines included Miller 's frustration with red tape and paperwork , his constant efforts to maintain peace , order , and discipline , and his numerous failed attempts to get a promotion ; Harris 's preoccupation with outside interests , such as his living arrangements but mainly his memoir ( Blood on the Badge ) , and his inability to remain focused on his police work ; Fish 's age - related health issues , marital problems , and reluctance to retire ; Wojciehowicz 's impulsive behavior and love life ; Luger 's nostalgia for the old days with partners Foster , Kleiner , and `` Brownie '' Brown ; Levitt 's quest to become a detective ( which is eventually successful ) ; the rivalry between the precinct 's resident intellectuals , Harris and Dietrich ; and continually -- but reliably -- bad coffee , usually made by Yemana .   Cast ( edit )   Regulars ( edit )     Actor   Character   Seasons   Notes     Hal Linden   Captain Barney Miller   1 -- 8   Main star and regular character throughout the series ' run .     Max Gail ( second season billed as Maxwell Gail )   Detective Stan `` Wojo '' Wojciehowicz   1 -- 8   Regular character throughout the series ' run .     Ron Glass   Detective Ron Harris   1 -- 8   Regular character throughout the series ' run .     James Gregory   Deputy Inspector Franklin D. Luger   1 -- 8   A regular character throughout the series , usually seen in about a third to a half of any given season 's episodes . Gregory was only listed in the opening credits during Season 4 , and in the first four episodes and last episode of Season 5 ; in other seasons , he was listed as a `` Special Guest '' in the closing credits .     Abe Vigoda   Sergeant Philip K. Fish   1 -- 4 , 7   Vigoda was a regular for the first three seasons . Though still in the opening credits , he appeared in only about half of the episodes in the last half of Season 3 . ( The character was simultaneously seen on the spin - off show Fish at this same time . ) Fish `` retired '' as of Season 4 , Episode 2 , though he returned for two guest appearances , one later in Season 4 and one in Season 7 .     Jack Soo   Sergeant Nick Yemana   1 -- 5   A regular in Seasons 1 to 5 , Soo died on January 11 , 1979 ( midway through Season 5 ) . A special memorial episode was aired , with the actors breaking character and recalling their favorite Yemana scenes . The episode ended with the entire cast raising their coffee cups in tribute .     Barbara Barrie   Elizabeth `` Liz '' Miller   1 -- 2 , 4 , 5   Though appearing in only a handful of episodes after the pilot , Barrie received billing in the opening credits of every episode in Seasons 1 and 2 . Often mentioned , her character returned for a one - episode guest appearance in Season 4 , and a two - part guest appearance and a single episode guest appearance in Season 5 .     Gregory Sierra   Sergeant Miguel `` Chano '' Amangual   1 -- 2   Regular character for seasons 1 and 2 , then left the show . No explanation is given for his character 's absence at the start of Season 3 . In Season 4 , Officer Roslyn Licori is brought in as his replacement two years after the official request was made ( with no satisfactory explanation from the Personnel Department as to why the request took so long to be filled ) .     Steve Landesberg   Detective Arthur Dietrich   2 -- 8   Landesberg was first seen as a one - shot character , a priest ( Father Paul ) , in Season 2 Episode 1 -- `` Doomsday '' . Later that season , he first appeared as Dietrich in the twelfth episode , `` Fish '' . Dietrich was a transfer from the 33rd when budget cuts closed that precinct . He became a semi-regular in Season 3 and a full - time cast member from Season 4 onwards ( essentially replacing the retired Det . Fish )     Ron Carey   Officer Carl Levitt   3 -- 8   Carey first appeared as a perp , Angelo `` The Mole '' Molinari , in the last episode of Season 2 . He began his role as a recurring character , Officer Levitt , in Season 3 , becoming a full - time cast member by Season 4 ( his character would finally make detective in the series ' final episode ) .     With the 2016 deaths of Abe Vigoda and Ron Glass , Hal Linden and Max Gail are the only living full - time cast members . Although Gregory Sierra is still living , he left the show after Season 2 . Barbara Barrie became a recurring character as Barney 's wife Liz .   Recurring characters ( edit )  Other officers and staff ( edit )    Actor   Character   Seasons   Notes     Milt Kogan   Officer Kogan   1 -- 2   Though not seen after season 2 , Kogan ( the downstairs desk sergeant ) was frequently referred to throughout the series ' run .     Paul Lichtman   Mr. Beckman , the building repairman   1 -- 3       George Murdock ‡   Lt. Ben Scanlon , Internal Affairs   2 , 4 -- 8   A member of the Internal Affairs Department , the eternally suspicious Scanlon was not attached to the 12th Precinct . His visits from headquarters involved trying to find corruption inside the precinct , especially in the detective squad .     Linda Lavin   Detective Janice Wentworth   1 , 2   An extremely dedicated and enthusiastic ( sometimes overly so ) member of the squad who developed a romantic relationship with Wojo . After a short run as a regular guest on Barney Miller ( beginning with episode 8 of the first season , `` Ms. Cop '' ) , Lavin left the series to star in Alice . Wentworth 's name can still be seen on the staff duty roster through most of Season 3 and a flashback scene of her was used in the final episode .     June Gable   Detective Maria Battista     Short - lived addition to the 12th Precinct 's detective room , lasting two episodes .     Mari Gorman ‡   Officer Roslyn Licori     Gorman made a guest appearance ( season 4 , episode 3 ) as an amateur prostitute housewife , and then , after a three - episode run as Licori in season 4 , she played another recurring role during season 8 , as Mrs. Binder , wife of frequent precinct visitor Bruno Binder .     Dino Natali   Officer Zatelli   4 -- 7   A gay officer . Particularly loathed by the homophobic Lt. Scanlon , who desperately wants to find a reason to fire him ; after he was outed by a careless remark by Wojo , he was promoted to a position as Administrative Assistant at Police Headquarters .     Paul Lieber ‡   Detective Eric Dorsey   7   Another three - episode detective , who came in with a cynical attitude toward the squad that Levitt took as a good sign that the newcomer would not fit in . Dorsey straightened out , but was reassigned regardless .     ‡ Murdock , Gorman , Dullaghan , and Leiber all made guest appearances in other roles in addition to their regularly recurring series roles .   Barney Miller had a stock company of character actors who made frequent appearances in different roles , among them Phil Leeds , Kay Medford , Bruce Kirby , Kenneth Tigar , Arny Freeman , Don Calfa , Walter Janowitz , Peggy Pope , Nehemiah Persoff , Rosana Soto ( Rosanna DeSoto ) , Todd Susman , Leonard Stone , Philip Sterling , Sal Viscuso , Rod Colbin , Martin Garner , and Jack Kruschen .  12th precinct regulars ( edit )  The 12th Precinct had a number of regular complainants , habitués of the holding cell , or other people who often dropped by . Characters seen on three or more episodes included :     Actor   Character   # of appearances   Seasons   Notes     Jack DeLeon   Marty Morrison   8   1 -- 8   Marty , a gay man , is arrested for snatching purses in the series ' second episode . Later he is occasionally brought in as a suspect , other times as a complainant .     Alex Henteloff ‡   Arnold Ripner   7   1 -- 8   An ambulance - chasing attorney , Ripner visits the precinct whenever he has a client to defend . His first appearance is in the series ' second episode as Marty Morrison 's lawyer . ( He also sometimes visits just to try to drum up business amongst those in the holding cell . ) Ripner later sues Harris for Harris ' depiction of him in his novel Blood on the Badge , winning a $320,000 judgment .     Stanley Brock ‡   Bruno Binder   7   4 -- 8   The owner of a sporting goods store and would - be vigilante frequently in trouble for his overzealous ways to get rid of what he considered undesirable elements .     Jack Somack   Mr. Cotterman   6   1 -- 5 , 7   Owner of the frequently - robbed Cotterman 's Liquor Store . In the second part of the season 7 episode `` Homicide '' , the squad learns that he was shot in the head and killed by two would - be extortionists .     Ray Stewart   Darryl Driscoll   5   2 -- 8   Marty 's somewhat more sensible and grounded lover , who lends Marty moral support during his visits to the precinct ; formerly married with a young son .     John Dullaghan ‡   Ray Brewer   5   5 -- 8   A lonely transient , Ray stops by the precinct during open houses to talk and sample the coffee . Later joins the Salvation Army .     J.J. Barry ‡   Arthur Duncan     7 -- 8   A small - time crook who is frequently arrested .     Ralph Manza ‡   Leon Roth     3 -- 8   A blind man who is first arrested for shoplifting , Mr. Roth returned later as both arrestee and complainant .     Doris Roberts ‡   Harriet Brauer     4 -- 7   A frequent complainant ( against her husband ) .     Peter Hobbs   Phillip Brauer     4 -- 7   A middle - aged married man whose attempts to spice up his married life often end disastrously .     Paula Shaw   Paula Capshaw     3 -- 4   A cynical prostitute who is a frequent arrestee .     ‡ cast in several different roles over the series ' run  Guest stars ( edit )   Herbert Edelman   Todd Bridges   Billy Barty   Barney Martin   Marla Gibbs   Danny Dayton   Roscoe Lee Browne   David Wayne   Dick O'Neill   David Lander   Queenie Smith   Jack Dodson   Charlotte Rae   Florence Halop   Denise Miller   Brett Somers   James Cromwell   Michael Tucci   Peggy Pope   Larry B. Scott   Christopher Lloyd   Ed Peck   Ben Piazza   Jeffrey Tambor   Fish 's family ( edit )  Fish 's wife Bernice made an appearance from time to time in Seasons 1 to 4 . In Seasons 1 , 3 and 4 she was played by Florence Stanley ( in a total of seven appearances ) ; in Bernice 's only Season 2 appearance she was portrayed by Doris Belack . In that episode , Fish also had a grown daughter named Beverly played by Emily Levine . Also seen as recurring characters in Season 3 were group home children Jilly ( Denise Miller ) and Victor ( John Cassisi ) , who would eventually become Fish 's foster children . In 1977 , the Fishes were spun off into their own show , Fish .  Barney 's family ( edit )  In addition to Barney 's wife Liz , Barney 's son David ( Michael Tessier ) and daughter Rachel ( Anne Wyndham ) appeared in the pilot . Barney 's son was written out of the show after the first episode ( though his daughter appeared once more , in The Courtesans ) , while his wife made appearances through the second season . Wyndham also reprised her role in two later episodes .   Pilot ( edit )  A scene from the series , 1974  The series was born out of an unsold television pilot , The Life and Times of Captain Barney Miller , that aired on August 22 , 1974 , as part of an ABC summer anthology series , Just for Laughs . Linden and Vigoda were cast in their series roles ; no other eventual cast members were present . Abby Dalton played Barney Miller 's wife , Liz , while Val Bisoglio , Rod Perry , and a pre-Hill Street Blues Charles Haid rounded out the cast of the pilot . Guest stars included Mike Moore , Chu Chu Mulave , Henry Beckman , Buddy Lester , Michael Tessier and Anne Wyndham .   The pilot script was later largely reused in the debut episode Ramon . For this reworked episode , Bisoglio 's lines were more or less evenly split between the new characters of Yemana and Chano , while Haid 's character of Kazinski became Max Gail 's Wojciehowicz . Rod Perry 's character , Sgt . Wilson , was replaced by Harris in the reworked episode , although Wilson would reappear one more time in the first - season episode Experience before disappearing from the series entirely . Abby Dalton was replaced by Barbara Barrie as Liz , and Henry Beckman 's character of Uncle Charlie was dropped entirely . The rest of the guest cast ( Moore , Malave , Lester , Tessier and Wyndham ) reprised their roles in the debut episode .   Unlike the remainder of the series , the pilot was shot on film at CBS Studio Center , where the sets of the 12th Precinct and the Miller apartment were originally built . When the show went into regular production in late 1974 , it was recorded on videotape . The sets were moved to the ABC Television Center in Hollywood , where they remained until production ended in 1982 .   The pilot was never broadcast in syndication . It was released in 2011 as part of Shout Factory 's complete series set on DVD .   Opening theme ( edit )   The show 's instrumental jazz fusion theme music , written by Jack Elliott and Allyn Ferguson , opens with a distinctive bass line performed by studio musician Chuck Berghofer . The bass line was improvised by Berghofer at the request of producer Dominik Hauser : `` Can you do something on the bass ? This guy is a cop in New York . Can we just start it out with the bass ? '' The theme song was ranked # 23 and # 27 , respectively , by Complex and Paste magazines , in their lists of `` best TV theme songs '' .   The theme plays over the Manhattan skyline , followed by shots of the characters and opening credits . Season 1 opened and closed with a shot of Midtown Manhattan as seen from Weehawken , New Jersey . Season 2 onward opened with a shot of Lower Manhattan as seen from Brooklyn Heights , with a barge being towed in the foreground , and closed with a shot of the Midtown Manhattan skyline as seen from Long Island City . Several versions of the theme were used during different seasons , with minor variations in composition and performance .   Production ( edit )   Production of Barney Miller deliberately resembled a theatrical play ; scenes rarely strayed from the precinct station 's squadroom , with its prominent open - barred holding cell , and Miller 's adjoining office . Characters came and went , but always within the confines of the precinct . Barney Miller tended to obey two of the three classical unities of drama : unity of place and unity of time . The third unity , unity of action , was not followed , since each episode had multiple subplots .   Barney Miller was notorious for its marathon taping sessions . Early seasons were recorded before a live studio audience and used a laugh track for sweetening reactions during post-production . Creator and executive producer Danny Arnold would then rewrite and restage entire scenes after the audience departed , actively looking for quieter , subtler moments that would not play well before a crowd ; a taping session that began in the afternoon or early evening would then continue into the early morning hours . Max Gail referred to this in the Jack Soo retrospective episode aired on May 17 , 1979 , remarking that one of the clips shown was a scene that `` we finished around 2 : 30 in the morning . '' In a 1977 blooper , a crew member mentions it being 3 : 15 a.m.   Writer Tom Reeder described working on the show :   Danny Arnold was the creator of the show , and especially in the early years , he was a marvel . When he was `` on '' , he could spin out entire scenes , ad - libbing dialogue -- and great jokes -- for every character . By the time those scenes got to script form , though , he obsessively rewrote them .   That 's true of a lot of showrunners , but Danny could n't seem to stop himself . Sometime during season 2 ( or maybe it was 3 ) the show was no longer taped in front of an audience , partly because the script was rarely done by show night . When one season began , six pages were in print . Not six scripts -- six pages of one script .   This meant that on the day the show was taped , the actors would hang around on the stage , waiting for pages to be sent down . Then -- sometimes at 2 a.m. -- they would have to learn new scenes . Ron Carey ( Officer Levitt ) would get his fairly quickly : `` Here 's your mail , Captain . '' On the other hand , poor Steve Landesberg ( Dietrich ) might have to memorize long speeches explaining how nuclear fission works .   In the early years , Danny benefited from the heroic writing efforts of Chris Hayward , who was a veteran writer , and rookies Tony Sheehan and Reinhold Weege who , like me , did n't know any better . They were the Barney Miller writing staff . My agent wisely turned down Danny 's annual offers of staff jobs , negotiating freelance assignments ( so - called `` multiple deals '' ) for me instead . Even so , the pace was frantic -- on one assignment I was given 3 hours to write the story outline . On another occasion , a friend came into my office at ABC - Vine Street and said , `` Hey , Reeder , want to go get some lunch ? '' I pointed to the paper in my typewriter and said , `` This script is on the stage -- thanks anyway . ''   Employing a live audience became impractical as lengthy reshoots became commonplace . By Season 4 , only a quiet laugh track was used when necessary .   Marty and Darryl were among the earliest recurring gay characters on American television . Danny Arnold worked closely with the Gay Media Task Force , an activist group that worked on LGBT representation in media , in developing the characters . Initially both characters were presented in a stereotypically effeminate manner but in later appearances Darryl began dressing and speaking in a more mainstream fashion . Officer Zitelli 's coming out was the first gay story arc on American television , occurring across the series ' sixth and seventh seasons .   The series took a while to become a hit , but ABC supported it anyway . Danny Arnold ended production of Barney Miller in 1982 after eight seasons for fear of repeating storylines ; the show was not cancelled by the network .   Reception by police ( edit )   Barney Miller retains a devoted following among real - life police officers , who appreciate the show 's emphasis on dialog and believably quirky characters , and its low - key portrayal of cops going about their jobs . In a 2005 op - ed for the New York Times , real - life New York police detective Lucas Miller wrote :   Real cops are not usually fans of cop shows . ( ... ) Many police officers maintain that the most realistic police show in the history of television was the sitcom Barney Miller , ( ... ) The action was mostly off screen , the squad room the only set , and the guys were a motley bunch of character actors who were in no danger of being picked for the N.Y.P.D. pin - up calendar . But they worked hard , made jokes , got hurt and answered to their straight - man commander . For real detectives , most of the action does happen off screen , and we spend a lot of time back in the squad room writing reports about it . Like Barney Miller 's squad , we crack jokes at one another , at the cases that come in , and at the crazy suspect locked in the holding cell six feet from the new guy 's desk . Life really is more like Barney Miller than NYPD Blue , but our jokes are n't nearly as funny .   Similarly , during his appearance on Jon Favreau 's Independent Film Channel talk show Dinner for Five , Dennis Farina , who worked as a Chicago police officer before turning to acting , called Barney Miller the most realistic cop show ever seen on television .   Awards and honors ( edit )   Barney Miller won a DGA Award from the Directors Guild of America in 1981 . The series won a Primetime Emmy Award for Outstanding Comedy Series in 1982 , after it ended . It received six other nominations in that category , from 1976 to 1981 . The series won Primetime Emmy Awards for Outstanding Writing in a Comedy Series in 1980 ( in addition to nominations in 1976 , 1977 and 1982 ) , Outstanding Directing in a Comedy or Comedy - Variety or Music Series in 1979 , and was nominated for a number of others . It won Golden Globe Awards for Best Television Comedy or Musical Series in 1976 and 1977 ( from a total of seven nominations ) , and won a Peabody Award in 1978 . In 2013 , TV Guide ranked Barney Miller at # 46 on its list of the 60 best series of all time .   DVD releases ( edit )   Sony Pictures Home Entertainment has released the first three seasons of Barney Miller on DVD in Region 1 . Season 1 was released on January 20 , 2004 , to slow sales , and Sony decided not to release any more seasons . However , the decision was later reversed and Season 2 was released in 2008 ( four years after the release of Season 1 ) , followed by Season 3 in 2009 .   Shout ! Factory acquired the rights to the series in 2011 and subsequently released a complete series set on October 25 , 2011 . The 25 - disc set features all 168 episodes of the series as well as bonus features and the first season of the Abe Vigoda spin - off , Fish .   In 2014 , Shout ! began releasing individual season sets , season 4 was released on January 7 , 2014 , season 5 on May 13 , 2014 . Season 6 on December 9 , 2014 . and Season 7 on April 7 , 2015 , followed by the eighth and final season on July 7 , 2015 .   Season 1 was released on DVD in Region 4 on December 20 , 2006 .     DVD Name   Ep #   Release Date     The First Season   13   January 20 , 2004     The Complete Second Season   22   January 22 , 2008     The Complete Third Season   22   March 17 , 2009     The Complete Fourth Season   23   January 7 , 2014     The Complete Fifth Season   24   May 13 , 2014     The Complete Sixth Season   22   December 9 , 2014     The Complete Seventh Season   22   April 7 , 2015     The Complete Eighth Season   22   July 7 , 2015     The Complete Series   168   October 25 , 2011     References ( edit )    Jump up ^ Garson , Bob ( June 7 , 1975 ) . `` The Law Takes Time Out to Be Human on ABC 's Barney Miller '' . St. Joseph News - Press . p . S2 . Retrieved March 23 , 2012 .   ^ Jump up to : `` The Life and Times of Captain Barney Miller '' . Internet Movie Database . Retrieved 8 June 2014 .   ^ Jump up to : `` Barney Miller -- `` Ramon '' `` . Internet Movie Database . Retrieved 8 June 2014 .   Jump up ^ http://www.notreble.com/buzz/2015/04/23/stories-behind-the-songs-chuck-berghofer/   Jump up ^ http://www.complex.com/pop-culture/2012/02/the-50-best-tv-show-theme-songs/barney-miller   Jump up ^ https://www.pastemagazine.com/articles/2017/05/the-50-best-tv-theme-songs.html?a=1   Jump up ^ Barney Miller entry Archived May 4 , 2010 , at the Wayback Machine. , Old TV Tickets blog   Jump up ^ Barney Miller : An Inside Look , By Ken Levine blog guest entry ''   Jump up ^ `` Barney Miller '' . tvtropes.org . Retrieved 23 September 2015 .   Jump up ^ Capsuto , p. 122   Jump up ^ Capsuto , pp. 148 -- 49   Jump up ^ `` Netflix helps shift Hollywood 's business model '' . O.canada.com. 2013 - 07 - 24 . Retrieved 2014 - 08 - 25 .   Jump up ^ Miller , Lucas ( 2005 ) . `` Watching the Detectives '' . 1 March 2005 , accessed 31 October 2012 .   Jump up ^ `` Chicago -- Chicago : News : Politics : Things To Do : Sports '' . Chicago Sun - Times . Archived from the original on 2014 - 07 - 19 .   Jump up ^ `` Barney Miller Emmy Awards and Nominations '' . Academy of Television Arts &amp; Sciences . Retrieved September 5 , 2013 .   Jump up ^ `` Barney Miller : 7 Nominations , 2 Wins '' . Golden Globe Awards Official Website . Retrieved January 27 , 2014 .   Jump up ^ `` Barney Miller Peabody Award Citation '' . George Foster Peabody Awards . Retrieved September 18 , 2014 .   Jump up ^ `` TV Guide Magazine 's 60 Best Series of All Time '' . TV Guide .   Jump up ^ `` Barney Miller DVD news : Announcement for Barney Miller -- The Complete Series '' . TVShowsOnDVD.com. 2011 - 11 - 07 . Retrieved 2014 - 08 - 25 .   Jump up ^ `` Barney Miller DVD news : Announcement for Barney Miller -- The Complete 4th Season '' . TVShowsOnDVD.com . Retrieved 2014 - 08 - 25 .   Jump up ^ `` Barney Miller DVD news : Box Art for Barney Miller -- The Complete 5th Season '' . TVShowsOnDVD.com . Retrieved 2014 - 08 - 25 .   Jump up ^ `` Shout ! Factory -- Barney Miller : Season Six '' . shoutfactory.com . Retrieved 23 September 2015 .   Jump up ^ `` Barney Miller DVD news : Announcement for Barney Miller - The Complete 7th Season - TVShowsOnDVD.com '' . tvshowsondvd.com . Retrieved 23 September 2015 .   Jump up ^ `` Barney Miller DVD news : Announcement for Barney Miller - The Final Season - TVShowsOnDVD.com '' . tvshowsondvd.com . Retrieved 23 September 2015 .    External links ( edit )       Wikiquote has quotations related to : Barney Miller         Wikimedia Commons has media related to Barney Miller .      Barney Miller on IMDb   The Life and Times of Captain Barney Miller on IMDb   TV.com : Barney Miller   The Barney Miller homepage              Primetime Emmy Award for Outstanding Comedy Series     1950s     The Red Skelton Show ( season 1 , 1952 )   I Love Lucy ( season 2 , 1953 )   I Love Lucy ( season 3 , 1954 )   Make Room for Daddy ( season 2 , 1955 )   The Phil Silvers Show ( season 1 , 1956 )   The Phil Silvers Show ( season 2 , 1957 )   The Phil Silvers Show ( season 3 , 1958 )   The Jack Benny Program , season 9 ( 1959 )       1960s     The Art Carney Special ( 1960 )   The Jack Benny Program , season 11 ( 1961 )   The Bob Newhart Show ( season 1 , 1962 )   The Dick Van Dyke Show , season 2 ( 1963 )   The Dick Van Dyke Show , season 3 ( 1964 )   The Dick Van Dyke Show , season 4 ( 1965 )   The Dick Van Dyke Show , season 5 ( 1966 )   The Monkees ( season 1 , 1967 )   Get Smart , season 3 ( 1968 )   Get Smart , season 4 ( 1969 )       1970s     My World and Welcome to It ( season 1 , 1970 )   All in the Family , season 1 ( 1971 )   All in the Family , season 2 ( 1972 )   All in the Family , season 3 ( 1973 )   M * A * S * H , season 2 ( 1974 )   The Mary Tyler Moore Show , season 5 ( 1975 )   The Mary Tyler Moore Show , season 6 ( 1976 )   The Mary Tyler Moore Show , season 7 ( 1977 )   All in the Family , season 8 ( 1978 )   Taxi , season 1 ( 1979 )       1980s     Taxi , season 2 ( 1980 )   Taxi , season 3 ( 1981 )   Barney Miller , season 8 ( 1982 )   Cheers , season 1 ( 1983 )   Cheers , season 2 ( 1984 )   The Cosby Show , season 1 ( 1985 )   The Golden Girls , season 1 ( 1986 )   The Golden Girls , season 2 ( 1987 )   The Wonder Years , season 1 ( 1988 )   Cheers , season 7 ( 1989 )       1990s     Murphy Brown ( season 2 , 1990 )   Cheers , season 9 ( 1991 )   Murphy Brown ( season 4 , 1992 )   Seinfeld , season 4 ( 1993 )   Frasier , season 1 ( 1994 )   Frasier , season 2 ( 1995 )   Frasier , season 3 ( 1996 )   Frasier , season 4 ( 1997 )   Frasier , season 5 ( 1998 )   Ally McBeal , season 2 ( 1999 )       2000s     Will &amp; Grace , season 2 ( 2000 )   Sex and the City , season 3 ( 2001 )   Friends , season 8 ( 2002 )   Everybody Loves Raymond , season 7 ( 2003 )   </t>
  </si>
  <si>
    <t xml:space="preserve">who played bass on barney miller theme song</t>
  </si>
  <si>
    <t xml:space="preserve"> The show 's instrumental jazz fusion theme music , written by Jack Elliott and Allyn Ferguson , opens with a distinctive bass line performed by studio musician Chuck Berghofer . The bass line was improvised by Berghofer at the request of producer Dominik Hauser : `` Can you do something on the bass ? This guy is a cop in New York . Can we just start it out with the bass ? '' The theme song was ranked # 23 and # 27 , respectively , by Complex and Paste magazines , in their lists of `` best TV theme songs '' . </t>
  </si>
  <si>
    <t xml:space="preserve">Seat belt laws in the United States - wikipedia  Seat belt laws in the United States  Jump to : navigation , search Seat belt laws for front seat passengers in the U.S. as of 2009 No enforcement for adults ( primary enforcement for minors ) Secondary enforcement Secondary enforcement ; primary under certain ages Primary enforcement  Most seat belt laws in the United States are left to the states . However , the first seat belt law was a federal law , Title 49 of the United States Code , Chapter 301 , Motor Vehicle Safety Standard , which took effect on January 1 , 1968 , that required all vehicles ( except buses ) to be fitted with seat belts in all designated seating positions . This law has since been modified to require three - point seat belts in outboard - seating positions , and finally three - point seat belts in all seating positions . Initially , seat belt use was voluntary . New York was the first state to pass a law which required vehicle occupants to wear seat belts , a law that came into effect on December 1 , 1984 . Officer Nicholas Cimmino of the Westchester County Department of Public Safety wrote the nation 's first ticket for such violation .     Contents  ( hide )   1 Primary and secondary enforcement   2 Laws by state   3 Damages reduction   4 Effectiveness   5 See also   6 References      Primary and secondary enforcement ( edit )   U.S. seatbelt laws may be subject to primary enforcement or secondary enforcement . Primary enforcement allows a police officer to stop and ticket a driver if he or she observes a violation . Secondary enforcement means that a police officer may only stop or cite a driver for a seatbelt violation if the driver committed another primary violation ( such as speeding , running a stop sign , etc . ) at the same time . New Hampshire is the only U.S. state that does not by law require adult drivers to wear safety belts while operating a motor vehicle .   In 15 of the 50 states , the seat belt law is considered a secondary offense , which means that a police officer can not stop and ticket a driver for the sole offense of not wearing a seatbelt . ( One exception to this is Colorado , where children not properly restrained is a primary offense and brings a much larger fine . ) If a driver commits a primary violation ( e.g. , for speeding ) he may additionally be charged for not wearing a seatbelt . In most states the seat belt law was originally a secondary offense ; in many it was later changed to a primary offense : California was the first state to do this , in 1993 . Of the 30 with primary seat belt laws , all but 8 , Connecticut , Hawaii , Iowa , New Mexico , New York , North Carolina , Oregon , and Texas , originally had only secondary enforcement laws .   Laws by state ( edit )   This table contains a brief summary of all seatbelt laws in the United States . This list includes only seatbelt laws , which often do not themselves apply to children ; however , all 50 states and the District of Columbia have separate child restraint laws . Keep in mind these fines are the base fines only . In many cases considerable extra fees such as the head injury fund and court security fees can mark up the fine to almost five times as much in some cases . These are also `` first offense '' fines ; a subsequent offense may be much higher .     State   Type of law   Date of first law   Who is covered   Base fine before fees   Seat Belt Usage     Alabama   Primary Enforcement   July 18 , 1991   Age 15 + in front seats   $25   91.4 %     Alaska   Primary Enforcement   September 12 , 1990   Age 16 + in all seats   $15 ( $25 actual )   86.8 %     Arizona   Secondary Enforcement   January 1 , 1991   Age 8 + in front seats ; Age 8 -- 15 in all seats   $10 ( $37.20 actual )   81.8 %     Arkansas   Primary Enforcement   July 15 , 1991   Age 15 + in front seats   $25   78.3 %     California   Primary Enforcement   January 1 , 1986   Age 16 + in all seats   $20 ( $162 actual ) $50 second offense ( $190 actual )   96.2 %     Colorado   Secondary Enforcement exception Mountain View where it is a primary violation   July 1 , 1987   Age 16 + in front seats   $71   82.9 %     Connecticut   Primary Enforcement   January 1 , 1986   Age 7 + in front seats   $92   88.2 %     Delaware   Primary Enforcement   January 1 , 1992   Age 16 + in all seats   $25   90.7 %     District of Columbia   Primary Enforcement   December 12 , 1985   Age 16 + in all seats   $50   92.3 %     Florida   Primary Enforcement   July 1 , 1986   6 + years in front seat ; 6 through 17 years in all seats   $30 ( $116 actual )   87.4 %     Georgia   Primary Enforcement   September 1 , 1988   Age 8 -- 17 in all seats ; Age 18 + in front seats   $15   89.6 %     Hawaii   Primary Enforcement   December 16 , 1985   Age 8 + in all seats   $45 ( $112 actual )   97.6 %     Idaho   Secondary Enforcement   July 1 , 1986   Age 7 + in all seats   $10 ( $51.50 actual )   77.9 %     Illinois   Primary Enforcement   January 1 , 1988   Age 16 + in all seats   $25 ( $60 actual or $95 if choosing traffic school )   92.6 %     Indiana   Primary Enforcement   July 1 , 1987   Age 16 + in all seats   $25   92.4 %     Iowa   Primary Enforcement   July 1 , 1986   All ages in front seats ; under 18 in rear seats   $25 ( $127.50 actual )   93.1 %     Kansas   Primary Enforcement   July 1 , 1986   Age 14 + in all seats   $60 for age 14 - 17 ; $10 for 18 +   81.8 %     Kentucky   Primary Enforcement   July 15 , 1994   Age 7 and younger and more than 57 inches in all seats ; 8 + in all seats   $25   80.3 %     Louisiana   Primary Enforcement   July 1 , 1986   Age 13 + in front seats   $25   75.9 %     Maine   Primary Enforcement   December 26 , 1995   Age 18 + in all seats   $50   82.0 %     Maryland   Primary Enforcement   July 1 , 1986   Age 16 + in all seats   $83   94.7 %     Massachusetts   Secondary Enforcement   February 1 , 1994   Age 13 + in all seats   $25   73.7 %     Michigan   Primary Enforcement   July 1 , 1985   Age 16 + in front seats   $25 ( $65 actual )   95.2 %     Minnesota   Primary Enforcement   August 1 , 1986   7 and younger and more than 57 inches in all seats ; 8 + in all seats   $25 + $75 fee   92.3 %     Mississippi   Primary Enforcement   July 1 , 1994   Age 7 + in all seats   $25   81.0 %     Missouri   Secondary Enforcement   September 28 , 1985   Age 16 + in front seats ; age 8 - 15 in all seats   $10 for age 16 + ; $50 for age 8 - 15   76.0 %     Montana   Secondary Enforcement   October 1 , 1987   Age 6 + in all seats   $20   78.9 %     Nebraska   Secondary Enforcement   January 1 , 1993   Age 18 + in front seats   $25   84.1 %     Nevada   Secondary Enforcement   July 1 , 1987   Age 6 + in all seats   $25   93.2 %     New Hampshire   None , Primary for children only   No law   Age 17 and under in all seats   $50   72.2 %     New Jersey   Primary Enforcement   March 1 , 1985   Age 8 + in all seats   $46 per person   93.7 %     New Mexico   Primary Enforcement   January 1 , 1986   Age 18 + in all seats   $25   89.8 %     New York   Primary Enforcement   December 1 , 1984   Age 16 + in front seats ; under 16 in all seats   $50 ( $135 Actual after surcharges )   89.8 %     North Carolina   Primary Enforcement , Secondary for Backseat   October 1 , 1985   All ages in all seats   $161 for front seat ; $10 for rear seat   89.7 %     North Dakota   Secondary Enforcement   July 14 , 1994   Age 18 + in front seats ;  under 18 in all seats    $20 for age 18 + ; $25 + 1 point on license for under 18   74.8 %     Ohio   Secondary Enforcement   May 6 , 1986   Age 15 + in front seat ; 8 -- 14 in all seats   $30 for driver ; $20 for passenger   83.8 %     Oklahoma   Primary Enforcement   February 1 , 1987   Age 13 + in front seats   $20   85.9 %     Oregon   Primary Enforcement   December 7 , 1990   All ages in all seats   $130   97.0 %     Pennsylvania   Secondary Enforcement   November 23 , 1987   Age 18 + in front seats ; age 8 - 17 in all seats   $10   86.0 %     Rhode Island   Primary Enforcement   June 18 , 1991   Age 8 + in all seats   $75   78.0 %     South Carolina   Primary Enforcement   July 1 , 1989   Age 6 + in all seats   $25   85.4 %     South Dakota   Secondary Enforcement   January 1 , 1995   Age 18 + in front seats   $25   74.5 %     Tennessee   Primary Enforcement   April 21 , 1986   Age 16 + in front seats   $25   87.1 %     Texas   Primary Enforcement   September 1 , 1985   Age 7 years and younger and 57 inches or taller in all seats ; age 8 + years in all seats   $200 if under 17 ( driver ) ; $50 if over 15 ( driver or passenger )   93.8 %     Utah   Primary Enforcement   April 28 , 1986   All ages in all seats   $45   89.0 %     Vermont   Secondary Enforcement   January 1 , 1994   All ages in all seats   $25   85.2 %     Virginia   Secondary Enforcement   January 1 , 1988   All drivers ; age 18 + in front seats ; under 18 in all seats   $25   80.5 %     Washington   Primary Enforcement   June 11 , 1986   Age 8 + in all seats   $124   97.6 %     West Virginia   Primary Enforcement   September 1 , 1993   All ages in front seats ; 8 -- 17 in rear seats   $25   82.1 %     Wisconsin   Primary Enforcement   December 1 , 1987   Age 8 + in all seats   $10   79.2 %     Wyoming   Secondary Enforcement   June 8 , 1989   Age 9 + in all seats   $25 for driver ; $10 for passenger   78.9 %     1 Colorado and Missouri 's law is Secondary for adults but Primary for under the age of 16 .   Idaho , North Dakota , Pennsylvania , Vermont and Virginia 's law is Secondary for adults but Primary for under 18 .   Kansas , Maryland , and New Jersey , law is Secondary Enforcement for rear seat occupants ( 18 + in Kansas ) . These states assess points on one 's driving record for the seat belt violation . In California - An additional penalty of $24 shall be levied upon every $10 or fraction thereof , of every fine , penalty , or forfeiture imposed by and collected by the court for criminal offenses , including all traffic offenses , except parking offenses as defined in subdivision ( i ) of Penal Code § 1463 . The additional penalty is calculated as follows :   State penalty required by PC 1464 $10 ,   County penalty required by GC 76000 ( e ) , $ 7 Court facilities construction penalty required by GC 70372 ( a ) , $ 3 DNA Identification Fund penalty required by GC 76104.6 and 76104.7 , $ 2  Emergency medical services penalty required by GC 76000.5 , $ 2  Penal Code § 1465.8 requires imposition of an additional fee of twenty dollars ( $20 ) for court security on every conviction for a criminal offense , including a traffic offense , except parking offenses as defined in Penal Code § 1463 , $20   Damages reduction ( edit )   A person involved in a car accident who was not using a seatbelt may be liable for damages far greater than if they had been using a seatbelt . However , when in court , most states protect motorists from having their damages reduced in a lawsuit due to the nonuse of a seatbelt , even if they were acting in violation of the law by not wearing the seatbelt . Currently , damages may be reduced for the nonuse of a seatbelt in 16 states : Alaska , Arizona , California , Colorado , Florida ( See F.S.A. 316.614 ( 10 ) ) , Iowa , Michigan , Missouri , Nebraska , New Jersey , New York , North Dakota , Ohio , Oregon , West Virginia , and Wisconsin .   Effectiveness ( edit )   Seat belt laws are effective in reducing car crash deaths . One study found that mandatory - seatbelt laws reduced traffic fatalities by 8 % and serious traffic - related injuries by 9 % , respectively . Primary - seatbelt laws seem to be more effective at reducing crash deaths than secondary laws .   See also ( edit )    Seat belt legislation   Seat belt use rates in the United States   Transportation safety in the United States    References ( edit )    Jump up ^ US Department of Transportation National Highway Traffic Safety Administration ( January 1 , 1968 ) . `` Title 49 of the United States Code , Chapter 301 , Motor Vehicle Safety Standard No. 208 - Occupant Crash Protection Passenger Cars '' .   Jump up ^ US Department of Transportation National Highway Traffic Safety Administration ( January 1 , 1968 ) . `` Title 49 of the United States Code , Chapter 301 , Motor Vehicle Safety Standard No. 208 - Occupant Crash Protection Passenger Cars '' .   Jump up ^ Website of the Westchester County Department of Public Safety , retrieved February 15 , 2018 .   Jump up ^ `` Safety belt use laws '' . Insurance Institute for Highway Safety . October 2009 . Retrieved 2009 - 10 - 30 .   Jump up ^ `` Governors highway safety association '' . Ghsa.org . Retrieved 2011 - 07 - 16 .   Jump up ^ `` Seat Belt Use in 2010 -- Use Rates in the States and Territories '' ( PDF ) . Retrieved 2012 - 03 - 05 .   Jump up ^ 9News Jeremy Jojola on Denver Metro Speed Traps . 9News. 8 June 2015 .   Jump up ^ `` Iowa Seat Belt Law Guide '' ( PDF ) .   Jump up ^ MGL PartI TitleXIV Chapter90 Section13a See also : the child passenger restraint law   Jump up ^ `` vehicle and traffic state mandated surcharges $85 for seatbelt '' . Horseheads.org . Retrieved 2011 - 07 - 16 .   Jump up ^ `` Home GHSA '' . ghsa.org . Retrieved 2017 - 10 - 17 .   Jump up ^ `` Child restraint / belt use laws '' . Iihs.org . Retrieved 2011 - 07 - 16 .   Jump up ^ Cohen , Alma ; Einav , Liran ( November 2003 ) . `` The Effects of Mandatory Seat Belt Laws on Driving Behavior and Traffic Fatalities '' . Review of Economics and Statistics . 85 ( 4 ) : 828 -- 843 . doi : 10.1162 / 003465303772815754 .   Jump up ^ Carpenter , Christopher S. ; Stehr , Mark ( May 2008 ) . `` The effects of mandatory seatbelt laws on seatbelt use , motor vehicle fatalities , and crash - related injuries among youths '' . Journal of Health Economics . 27 ( 3 ) : 642 -- 662 . doi : 10.1016 / j. jhealeco. 2007.09. 010 . PMID 18242744 .   Jump up ^ Lee , Lois K. ; Monuteaux , Michael C. ; Burghardt , Lindsey C. ; Fleegler , Eric W. ; Nigrovic , Lise E. ; Meehan , William P. ; Schutzman , Sara A. ; Mannix , Rebekah ( 4 August 2015 ) . `` Motor Vehicle Crash Fatalities in States With Primary Versus Secondary Seat Belt Laws '' . Annals of Internal Medicine . 163 ( 3 ) : 184 . doi : 10.7326 / M14 - 2368 . PMID 26098590 .   Jump up ^ Rivara , FrederickP. ; Thompson , DianeC. ; Cummings , Peter ( January 1999 ) . `` Effectiveness of primary and secondary enforced seat belt laws '' . American Journal of Preventive Medicine . 16 ( 1 ) : 30 -- 39 . doi : 10.1016 / S0749 - 3797 ( 98 ) 00113 - 5 .              United States state - related lists     List of states and territories of the United States     Demographics     Educational attainment   Irreligion   Largest cities by population   Most popular given names   Most populous counties   Population   Density   Growth rate   Birth and death rates   Historical   African American   Amish   Asian   Hispanic and Latino   Spanish - speaking     Religiosity       Economy     Billionaires   Budgets   Companies   Federal tax revenue   Federal taxation and spending   Gross domestic product   Growth rate   Per capita     Income   Household   Per capita   Inequality     Minimum wages   Poverty rates   Sales taxes   Sovereign wealth funds   State income taxes   Flat rate   None     Unemployment rates   Union affiliation   Vehicles per capita       Environment     Carbon dioxide emissions   Botanical gardens   Parks   Renewable energy   Superfund sites   Wilderness areas       Geography     Area   Coastline   Elevation   Extreme points   Forest   Geographic centers   Regions       Government     Attorneys general   Capitals   Historical     Capitol buildings   Comparison   Counties   Alphabetical     Current State Legislators   Governors   Lieutenant governors     Legislatures   Libraries and archives   Official languages   Poets laureate   Political divisions   State auditors   State secretaries of state   State superintendents of education   State supreme courts   State treasurers       Health     Human Development Index   Fertility rates   Hospitals   Life expectancy   Obesity rates       History     Date of statehood   Name etymologies   Historical societies and museums   National Historic Landmarks   National Register of Historic Places   State partitions   Historic regions       Law     Abortion   Age of consent   Alcohol   Dry communities     Alford plea   Cell phone use while driving   Constitutions   Firearms   Homicide     Law enforcement agencies   Legality of cannabis   Peace Index   Prisons   Incarceration rate     Same - sex unions   Former constitutional bans   Marriage law     Seat belt laws   Self - representation   Smoking bans   Speed limits ( by jurisdiction )   Statutory codes       Miscellaneous     Abbreviations   Demonyms   Fictional states   Flags   Insignia   License plates   Numbered highways   Quarters   50 states   DC &amp; Territories   ATB     Symbols   Tallest buildings   Time zones           Commons   Portals      Retrieved from `` https://en.wikipedia.org/w/index.php?title=Seat_belt_laws_in_the_United_States&amp;oldid=825860383 '' Categories :   Car safety   United States law - related lists   Vehicle law   Seat belts           Talk                                           Contents                   About Wikipedia                                           اردو   Edit links   This page was last edited on 15 February 2018 , at 21 : 09 .         About Wikipedia                    </t>
  </si>
  <si>
    <t xml:space="preserve">when were seat belts required to be put in cars</t>
  </si>
  <si>
    <t xml:space="preserve">   State   Type of law   Date of first law   Who is covered   Base fine before fees   Seat Belt Usage     Alabama   Primary Enforcement   July 18 , 1991   Age 15 + in front seats   $25   91.4 %     Alaska   Primary Enforcement   September 12 , 1990   Age 16 + in all seats   $15 ( $25 actual )   86.8 %     Arizona   Secondary Enforcement   January 1 , 1991   Age 8 + in front seats ; Age 8 -- 15 in all seats   $10 ( $37.20 actual )   81.8 %     Arkansas   Primary Enforcement   July 15 , 1991   Age 15 + in front seats   $25   78.3 %     California   Primary Enforcement   January 1 , 1986   Age 16 + in all seats   $20 ( $162 actual ) $50 second offense ( $190 actual )   96.2 %     Colorado   Secondary Enforcement exception Mountain View where it is a primary violation   July 1 , 1987   Age 16 + in front seats   $71   82.9 %     Connecticut   Primary Enforcement   January 1 , 1986   Age 7 + in front seats   $92   88.2 %     Delaware   Primary Enforcement   January 1 , 1992   Age 16 + in all seats   $25   90.7 %     District of Columbia   Primary Enforcement   December 12 , 1985   Age 16 + in all seats   $50   92.3 %     Florida   Primary Enforcement   July 1 , 1986   6 + years in front seat ; 6 through 17 years in all seats   $30 ( $116 actual )   87.4 %     Georgia   Primary Enforcement   September 1 , 1988   Age 8 -- 17 in all seats ; Age 18 + in front seats   $15   89.6 %     Hawaii   Primary Enforcement   December 16 , 1985   Age 8 + in all seats   $45 ( $112 actual )   97.6 %     Idaho   Secondary Enforcement   July 1 , 1986   Age 7 + in all seats   $10 ( $51.50 actual )   77.9 %     Illinois   Primary Enforcement   January 1 , 1988   Age 16 + in all seats   $25 ( $60 actual or $95 if choosing traffic school )   92.6 %     Indiana   Primary Enforcement   July 1 , 1987   Age 16 + in all seats   $25   92.4 %     Iowa   Primary Enforcement   July 1 , 1986   All ages in front seats ; under 18 in rear seats   $25 ( $127.50 actual )   93.1 %     Kansas   Primary Enforcement   July 1 , 1986   Age 14 + in all seats   $60 for age 14 - 17 ; $10 for 18 +   81.8 %     Kentucky   Primary Enforcement   July 15 , 1994   Age 7 and younger and more than 57 inches in all seats ; 8 + in all seats   $25   80.3 %     Louisiana   Primary Enforcement   July 1 , 1986   Age 13 + in front seats   $25   75.9 %     Maine   Primary Enforcement   December 26 , 1995   Age 18 + in all seats   $50   82.0 %     Maryland   Primary Enforcement   July 1 , 1986   Age 16 + in all seats   $83   94.7 %     Massachusetts   Secondary Enforcement   February 1 , 1994   Age 13 + in all seats   $25   73.7 %     Michigan   Primary Enforcement   July 1 , 1985   Age 16 + in front seats   $25 ( $65 actual )   95.2 %     Minnesota   Primary Enforcement   August 1 , 1986   7 and younger and more than 57 inches in all seats ; 8 + in all seats   $25 + $75 fee   92.3 %     Mississippi   Primary Enforcement   July 1 , 1994   Age 7 + in all seats   $25   81.0 %     Missouri   Secondary Enforcement   September 28 , 1985   Age 16 + in front seats ; age 8 - 15 in all seats   $10 for age 16 + ; $50 for age 8 - 15   76.0 %     Montana   Secondary Enforcement   October 1 , 1987   Age 6 + in all seats   $20   78.9 %     Nebraska   Secondary Enforcement   January 1 , 1993   Age 18 + in front seats   $25   84.1 %     Nevada   Secondary Enforcement   July 1 , 1987   Age 6 + in all seats   $25   93.2 %     New Hampshire   None , Primary for children only   No law   Age 17 and under in all seats   $50   72.2 %     New Jersey   Primary Enforcement   March 1 , 1985   Age 8 + in all seats   $46 per person   93.7 %     New Mexico   Primary Enforcement   January 1 , 1986   Age 18 + in all seats   $25   89.8 %     New York   Primary Enforcement   December 1 , 1984   Age 16 + in front seats ; under 16 in all seats   $50 ( $135 Actual after surcharges )   89.8 %     North Carolina   Primary Enforcement , Secondary for Backseat   October 1 , 1985   All ages in all seats   $161 for front seat ; $10 for rear seat   89.7 %     North Dakota   Secondary Enforcement   July 14 , 1994   Age 18 + in front seats ;  under 18 in all seats    $20 for age 18 + ; $25 + 1 point on license for under 18   74.8 %     Ohio   Secondary Enforcement   May 6 , 1986   Age 15 + in front seat ; 8 -- 14 in all seats   $30 for driver ; $20 for passenger   83.8 %     Oklahoma   Primary Enforcement   February 1 , 1987   Age 13 + in front seats   $20   85.9 %     Oregon   Primary Enforcement   December 7 , 1990   All ages in all seats   $130   97.0 %     Pennsylvania   Secondary Enforcement   November 23 , 1987   Age 18 + in front seats ; age 8 - 17 in all seats   $10   86.0 %     Rhode Island   Primary Enforcement   June 18 , 1991   Age 8 + in all seats   $75   78.0 %     South Carolina   Primary Enforcement   July 1 , 1989   Age 6 + in all seats   $25   85.4 %     South Dakota   Secondary Enforcement   January 1 , 1995   Age 18 + in front seats   $25   74.5 %     Tennessee   Primary Enforcement   April 21 , 1986   Age 16 + in front seats   $25   87.1 %     Texas   Primary Enforcement   September 1 , 1985   Age 7 years and younger and 57 inches or taller in all seats ; age 8 + years in all seats   $200 if under 17 ( driver ) ; $50 if over 15 ( driver or passenger )   93.8 %     Utah   Primary Enforcement   April 28 , 1986   All ages in all seats   $45   89.0 %     Vermont   Secondary Enforcement   January 1 , 1994   All ages in all seats   $25   85.2 %     Virginia   Secondary Enforcement   January 1 , 1988   All drivers ; age 18 + in front seats ; under 18 in all seats   $25   80.5 %     Washington   Primary Enforcement   June 11 , 1986   Age 8 + in all seats   $124   97.6 %     West Virginia   Primary Enforcement   September 1 , 1993   All ages in front seats ; 8 -- 17 in rear seats   $25   82.1 %     Wisconsin   Primary Enforcement   December 1 , 1987   Age 8 + in all seats   $10   79.2 %     Wyoming   Secondary Enforcement   June 8 , 1989   Age 9 + in all seats   $25 for driver ; $10 for passenger   78.9 %   </t>
  </si>
  <si>
    <t xml:space="preserve">EMV - wikipedia  EMV  For the amusement ride vehicle , see enhanced motion vehicle . For the Mexican school known as `` EMV '' , see Escuela Mexicana del Valle .   A credit card issued by Japan Airlines and Visa , showing the square , gold - plated contact pads for connecting to the chip .  EMV is a payment method based upon a technical standard for smart payment cards and for payment terminals and automated teller machines that can accept them . EMV cards are smart cards ( also called chip cards or IC cards ) that store their data on integrated circuits in addition to magnetic stripes ( for backward compatibility ) . These include cards that must be physically inserted ( or `` dipped '' ) into a reader and contactless cards that can be read over a short distance using near - field communication ( NFC ) technology . Payment cards that comply with the EMV standard are often called Chip and PIN or Chip and Signature cards , depending on the authentication methods employed by the card issuer .   EMV stands for Europay , MasterCard , and Visa , the three companies that originally created the standard . The standard is now managed by EMVCo , a consortium with control split equally among Visa , MasterCard , JCB , American Express , China UnionPay , and Discover .   There are standards based on ISO / IEC 7816 for contact cards , and standards based on ISO / IEC 14443 for contactless cards ( MasterCard Contactless , PayWave , ExpressPay ) .   The most widely known chip of the EMV standard are    VIS -- Visa   MasterCard chip -- MasterCard   AEIPS -- American Express   UICS -- China Union Pay   J Smart -- JCB   D - PAS -- Discover / Diners Club International .   Rupay - NPCI    Visa and MasterCard have also developed standards for using EMV cards in devices to support ( CNP ) card not present transactions over the telephone and Internet . MasterCard has the Chip Authentication Program ( CAP ) for secure e-commerce . Its implementation is known as EMV - CAP and supports a number of modes . Visa has the Dynamic Passcode Authentication ( DPA ) scheme , which is their implementation of CAP using different default values .   In February 2010 , computer scientists from Cambridge University demonstrated that an implementation of EMV PIN entry is vulnerable to a man - in - the - middle attack ; however , the way PINs are processed depends on the capabilities of the card and the terminal and in this demonstration it was only implementations where the PIN was validated offline that were vulnerable .   Contents    1 History   2 Differences and benefits of EMV   3 Chip and PIN versus chip and signature   4 Online , phone , and mail order transactions   5 Commands   6 Transaction flow   6.1 Application selection   6.2 Initiate application processing   6.3 Read application data   6.4 Processing restrictions   6.5 Offline data authentication ( ODA )   6.6 Cardholder verification   6.7 Terminal risk management   6.8 Terminal action analysis   6.9 First card action analysis   6.10 Online transaction authorization   6.11 Second card action analysis   6.12 Issuer script processing     7 Control of the EMV standard   8 List of EMV documents and standards   8.1 Versions     9 Vulnerabilities   9.1 Opportunities to harvest PINs and clone magnetic stripes   9.1. 1 Successful attacks   9.1. 2 Demonstration of PIN harvesting and stripe cloning     9.2 2010 : Hidden hardware disables PIN checking on stolen card   9.3 2011 : CVM downgrade allows arbitrary PIN harvest     10 Implementation   10.1 Africa   10.1. 1 South Africa     10.2 Asian / Pacific countries   10.2. 1 Australia   10.2. 2 Malaysia   10.2. 3 New Zealand     10.3 Europe   10.3. 1 United Kingdom     10.4 Latin America and the Caribbean   10.4. 1 Brazil   10.4. 2 Colombia   10.4. 3 Mexico   10.4. 4 Venezuela     10.5 Middle East   10.6 North America   10.6. 1 Canada   10.6. 2 United States       11 See also   12 References   13 External links    History ( edit )   Until the introduction of Chip &amp; PIN , all face - to - face credit or debit card transactions involved the use of a magnetic stripe or mechanical imprint to read and record account data , and a signature for purposes of identity verification . The customer hands their card to the cashier at the point of sale who then passes the card through a magnetic reader or makes an imprint from the raised text of the card . In the former case , the system verifies account details and prints a slip for the customer to sign . In the case of a mechanical imprint , the transaction details are filled in , a list of stolen numbers is consulted , and the customer signs the imprinted slip . In both cases the cashier must verify that the customer 's signature matches that on the back of the card to authenticate the transaction .   Using the signature on the card as a verification method has a number of security flaws , the most obvious being the relative ease with which cards may go missing before their legitimate owners can sign them . Another involves the erasure and replacement of legitimate signature , and yet another involves the forgery of the correct signature on the card . More recently , technology has become available on the black market for both reading and writing the magnetic stripes , making cards easy to clone and use without the owner 's knowledge .   The first standard for smart payment cards was the Carte Bancaire M4 from Bull - CP8 deployed in France in 1986 , followed by the B4B0 ' ( compatible with the M4 ) deployed in 1989 . Geldkarte in Germany also predates EMV . EMV was designed to allow cards and terminals to be backwardly compatible with these standards . France has since migrated all its card and terminal infrastructure to EMV .   The EMV standard was initially written in 1993 and 1994 . JCB joined the consortium in February 2009 , China UnionPay in May 2013 , and Discover in September 2013 .   Differences and benefits of EMV ( edit )   There are two major benefits to moving to smart - card - based credit card payment systems : improved security ( with associated fraud reduction ) , and the possibility for finer control of `` offline '' credit - card transaction approvals . One of the original goals of EMV was to provide for multiple applications on a card : for a credit and debit card application or an e-purse . With current processing regulations in the United States , new issue debit cards contain two applications -- a card association ( Visa , MasterCard etc . ) application , and a common debit application . The common debit application ID is somewhat of a misnomer as each `` common '' debit application actually uses the resident card association application .   EMV chip card transactions improve security against fraud compared to magnetic stripe card transactions that rely on the holder 's signature and visual inspection of the card to check for features such as hologram . The use of a PIN and cryptographic algorithms such as Triple DES , RSA and SHA provide authentication of the card to the processing terminal and the card issuer 's host system . The processing time is comparable to online transactions , in which communications delay accounts for the majority of the time , while cryptographic operations at the terminal take comparatively little time . The supposed increased protection from fraud has allowed banks and credit card issuers to push through a `` liability shift '' , such that merchants are now liable ( as of 1 January 2005 in the EU region and 1 October 2015 in the US ) for any fraud that results from transactions on systems that are not EMV - capable .   Although not the only possible method , the majority of implementations of EMV cards and terminals confirm the identity of the cardholder by requiring the entry of a personal identification number ( PIN ) rather than signing a paper receipt . Whether or not PIN authentication takes place depends upon the capabilities of the terminal and programming of the card . For more details of this ( specifically , the system being implemented in the UK ) see Chip and PIN , below .   Under the previous system , a customer typically had to hand their card to a sales clerk to pay for a transaction . When credit cards were first introduced , merchants used mechanical ( rather than magnetic ) portable card imprinters that required carbon paper to make an imprint . They did not communicate electronically with the card issuer , and the card never left the customer 's sight . The merchant had to verify transactions over a certain currency limit by telephoning the card issuer . During the 1970s in the United States , many merchants subscribed to a regularly - updated list of stolen or otherwise invalid credit cards numbers . This list was commonly printed in booklet form on newsprint , in numerical order , much like a slender phone book , yet without any data aside from the list of invalid numbers . Checkout cashiers were expected to thumb through this booklet each and every time a credit card was presented for payment of any amount , prior to approving the transaction , which incurred a short delay .   Later , equipment electronically contacted the card issuer , using information from the magnetic stripe to verify the card and authorize the transaction . This was much faster than before , but required the transaction to occur in a fixed location . Consequently , if the transaction did not take place near a terminal ( in a restaurant , for example ) the clerk or waiter had to take the card away from the customer and to the card machine . It was easily possible at any time for a dishonest employee to swipe the card surreptitiously through a cheap machine that instantly recorded the information on the card and stripe ; in fact , even at the terminal , a thief could bend down in front of the customer and swipe the card on a hidden reader . This made illegal cloning of cards relatively easy , and a more common occurrence than before .   Since the introduction of payment card Chip and PIN , however , cloning of the chip is not feasible ; only the magnetic stripe can be copied , and a copied card can not be used by itself on a terminal requiring a PIN . The introduction of Chip and PIN coincided with wireless data transmission technology becoming inexpensive and widespread . In addition to mobile - phone - based magnetic readers , merchant personnel can now bring wireless PIN pads to the customer , so the card is never out of the cardholder 's sight . Thus , both chip - and - PIN and wireless technologies can be used to reduce the risks of unauthorized swiping and card cloning .   Chip and PIN versus Chip and signature ( edit )   Chip and PIN is one of the two verification methods that EMV enabled cards can employ . Rather than physically signing a receipt for identification purposes , the user just enters a personal identification number ( PIN ) , typically of 4 -- 6 digits in length . This number must correspond to the information stored on the chip . Chip and PIN technology makes it much harder for fraudsters to use a found card , so if someone steals a card , they ca n't make fraudulent purchases unless they know the PIN .   Chip and Signature , on the other hand , differentiates itself from Chip and PIN by verifying a consumers identity with a signature .   As of 2015 , Chip and Signature cards are more common in the USA , Mexico , parts of South America ( such as Argentina , Colombia , Peru ) and some Asian countries ( such as Taiwan , Hong Kong , Thailand , South Korea , Singapore , and Indonesia ) , whereas Chip and PIN cards are more common in most European countries ( e.g. , the UK , Ireland , France , Portugal , Finland and the Netherlands ) as well as in Brazil , Venezuela , India , Sri Lanka , Canada , Australia and New Zealand .   Online , phone , and mail order transactions ( edit )   While EMV technology has helped reduce crime at the point of sale , fraudulent transactions have shifted to more vulnerable telephone , Internet , and mail order transactions -- known in the industry as card - not - present or CNP transactions . As of May 2009 CNP transactions made up at least 50 % of all credit card fraud . Because of physical distance , it is not possible for the merchant to present a keypad to the customer in these cases , so alternatives have been devised , including    Software approaches for online transactions that involve interaction with the card - issuing bank or network 's web site , such as Verified by Visa and MasterCard SecureCode ( implementations of Visa 's 3 - D Secure protocol ) .   Creating a one - time virtual card backed to a physical card with a given maximum amount .   Additional hardware with keypad and screen that can produce a one - time password , such as the Chip Authentication Program .   Keypad and screen integrated into the card to produce a one - time password . Since 2008 , Visa has been running pilot projects using the Emue card , where the generated number replaces the code printed on the back of standard cards .    Commands ( edit )   ISO / IEC 7816 - 3 defines the transmission protocol between chip cards and readers . Using this protocol , data is exchanged in application protocol data units ( APDUs ) . This comprises sending a command to a card , the card processing it , and sending a response . EMV uses the following commands :    application block   application unblock   card block   external authenticate ( 7816 - 4 )   generate application cryptogram   get data ( 7816 - 4 )   get processing options   internal authenticate ( 7816 - 4 )   PIN change / unblock   read record ( 7816 - 4 )   select ( 7816 - 4 )   verify ( 7816 - 4 ) .    Commands followed by `` 7816 - 4 '' are defined in ISO / IEC 7816 - 4 and are interindustry commands used for many chip card applications such as GSM SIM cards .   Transaction flow ( edit )   An EMV transaction has the following steps :    Application selection   Initiate application processing   Read application data   Processing restrictions   Offline data authentication   Cardholder verification   Terminal risk management   Terminal action analysis   First card action analysis   Online transaction authorization ( only carried out if required by the result of the previous steps ; mandatory in ATMs )   Second card action analysis   Issuer script processing .    Application selection ( edit )   ISO / IEC 7816 defines a process for application selection . The intent of application selection was to let cards contain completely different applications -- for example GSM and EMV . However , EMV developers implemented application selection as a way of identifying the type of product , so that all product issuers ( Visa , MasterCard , etc . ) must have their own application . The way application selection is prescribed in EMV is a frequent source of interoperability problems between cards and terminals . Book 1 of the EMV standard devotes 15 pages to describing the application selection process .   An application identifier ( AID ) is used to address an application in the card . An AID consists of a registered application provider identifier ( RID ) of five bytes , which is issued by the ISO / IEC 7816 - 5 registration authority . This is followed by a proprietary application identifier extension ( PIX ) , which enables the application provider to differentiate among the different applications offered . The AID is printed on all EMV cardholder receipts .   List of applications :     Card scheme   RID   Product   PIX   AID     Danmønt ( Denmark )   A000000001   Cash card   1010   A0000000011010     Visa   A000000003   Visa credit or debit   1010   A0000000031010     Visa Electron     A0000000032010     V Pay   2020   A0000000032020     Plus   8010   A0000000038010     MasterCard   A000000004   MasterCard credit or debit   1010   A0000000041010     MasterCard   9999   A0000000049999     Maestro   3060   A0000000043060     Cirrus ATM card only   6000   A0000000046000     MasterCard   A000000005   Maestro UK ( formerly branded as Switch )   0001   A0000000050001     American Express   A000000025   American Express   01   A00000002501     LINK ATM network   A000000029   ATM card   1010   A0000000291010     CB ( France )   A000000042   CB ( credit or debit card )   1010   A0000000421010     CB ( Debit card only )     A0000000422010     JCB   A000000065   Japan Credit Bureau   1010   A0000000651010     Dankort ( Denmark )   A000000121   Debit card   1010   A0000001211010     Dankort ( debit card )   4711   A0000001214711     Consorzio Bancomat ( Italy )   A000000141   Bancomat / PagoBancomat   0001   A0000001410001     Diners Club / Discover   A000000152   Diners Club / Discover   3010   A0000001523010     Banrisul ( Brazil )   A000000154   Banricompras Debito   4442   A0000001544442     SPAN2 ( Saudi Arabia )   A000000228   SPAN   1010   A00000022820101010     Interac ( Canada )   A000000277   Debit card   1010   A0000002771010     Discover   A000000324   ZIP   1010   A0000003241010     UnionPay   A000000333   Debit   010101   A000000333010101     Credit   010102   A000000333010102     Quasi-credit   010103   A000000333010103     Electronic cash   010106   A000000333010106     ZKA ( Germany )   A000000359   Girocard   1010028001   A0000003591010028001     EAPS Bancomat ( Italy )   A000000359   PagoBancomat   10100380   A00000035910100380     Verve ( Nigeria )   A000000371   Verve   0001   A0000003710001     The Exchange Network ATM network   A000000439   ATM card   1010   A0000004391010     RuPay ( India )   A000000524   RuPay   1010   A0000005241010     MIR ( Russia )   A000000658   MIR Debit     A0000006582010     MIR Credit   1010   A0000006581010     Edenred   A000000436   Ticket Restaurant ( Belgium )   0100   A0000004360100     eftpos ( Australia )   A000000384   Savings ( debit card )   10   A00000038410     Cheque ( debit card )   20   A00000038420     GIM - UEMOA  ( Eight West African countries : Benin , Burkina Faso , Côte d'Ivoire , Guinea Bissau , Mali , Niger , Senegal , Togo )    A000000337   Retrait   01 000001   A000000337301000     Standard   01 000002   A000000337101000     Classic   01 000003   A000000337102000     Prepaye Online   01 000004   A000000337101001     Prepaye Possibile Offline   01 000005   A000000337102001     Porte Monnaie Electronique   01 000006   A000000337601001     Initiate application processing ( edit )   The terminal sends the get processing options command to the card . When issuing this command , the terminal supplies the card with any data elements requested by the card in the processing options data objects list ( PDOL ) . The PDOL ( a list of tags and lengths of data elements ) is optionally provided by the card to the terminal during application selection . The card responds with the application interchange profile ( AIP ) , a list of functions to perform in processing the transaction . The card also provides the application file locator ( AFL ) , a list of files and records that the terminal needs to read from the card .   Read application data ( edit )   Smart cards store data in files . The AFL contains the files that contain EMV data . These all must be read using the read record command . EMV does not specify which files data is stored in , so all the files must be read . Data in these files is stored in BER TLV format . EMV defines tag values for all data used in card processing .   Processing restrictions ( edit )   The purpose of the processing restrictions is to see if the card should be used . Three data elements read in the previous step are checked .    Application version number   Application usage control ( This shows whether the card is only for domestic use , etc . )   Application effective / expiration dates checking .    If any of these checks fails , the card is not necessarily declined . The terminal sets the appropriate bit in the terminal verification results ( TVR ) , the components of which form the basis of an accept / decline decision later in the transaction flow . This feature lets , for example , card issuers permit cardholders to keep using expired cards after their expiry date , but for all transactions with an expired card to be performed on - line .   Offline data authentication ( oda ) ( edit )   Offline data authentication is a cryptographic check to validate the card using public - key cryptography . There are three different processes that can be undertaken depending on the card :    Static data authentication ( SDA ) ensures data read from the card has been signed by the card issuer . This prevents modification of data , but does not prevent cloning .   Dynamic data authentication ( DDA ) provides protection against modification of data and cloning .   Combined DDA / generate application cryptogram ( CDA ) combines DDA with the generation of a card 's application cryptogram to assure card validity . Support of CDA in devices may be needed , as this process has been implemented in specific markets . This process is not mandatory in terminals and can only be carried out where both card and terminal support it .    Cardholder verification ( edit )   Cardholder verification is used to evaluate whether the person presenting the card is the legitimate cardholder . There are many cardholder verification methods ( CVMs ) supported in EMV . They are    Signature   Offline plaintext PIN   Offline enciphered PIN   Offline plaintext PIN and signature   Offline enciphered PIN and signature   Online PIN0601   No CVM required   Fail CVM processing    The terminal uses a CVM list read from the card to determine the type of verification to perform . The CVM list establishes a priority of CVMs to use relative to the capabilities of the terminal . Different terminals support different CVMs . ATMs generally support online PIN . POS terminals vary in their CVM support depending on type and country .   Terminal risk management ( edit )   Terminal risk management is only performed in devices where there is a decision to be made whether a transaction should be authorised on - line or offline . If transactions are always carried out on - line ( e.g. , ATMs ) or always off - line , this step can be skipped . Terminal risk management checks the transaction amount against an offline ceiling limit ( above which transactions should be processed on - line ) . It is also possible to have a 1 in an online counter , and a check against a hot card list ( which is only necessary for off - line transactions ) . If the result of any of these tests is positive , the terminal sets the appropriate bit in the terminal verification results ( TVR ) .   Terminal action analysis ( edit )   The results of previous processing steps are used to determine whether a transaction should be approved offline , sent online for authorization , or declined offline . This is done using a combination of data objects known as terminal action codes ( TACs ) held in the terminal and issuer action codes ( IACs ) read from the card . The TAC is logically OR 'd with the IAC , to give the transaction acquirer a level of control over the transaction outcome .   Both types of action code take the values Denial , Online , and Default . Each action code contains a series of bits which correspond to the bits in the Terminal verification results ( TVR ) , and are used in the terminal 's decision whether to accept , decline or go on - line for a payment transaction . The TAC is set by the card acquirer ; in practice card schemes advise the TAC settings that should be used for a particular terminal type depending on its capabilities . The IAC is set by the card issuer ; some card issuers may decide that expired cards should be rejected , by setting the appropriate bit in the Denial IAC . Other issuers may want the transaction to proceed on - line so that they can in some cases allow these transactions to be carried out .   An online - only device such as an ATM always attempts to go on - line with the authorization request , unless declined off - line due to Issuer action codes -- Denial settings . During IAC -- Denial and TAC -- Denial processing , for an online only device , the only relevant Terminal verification results bit is `` Service not allowed '' .   When an online - only device performs IAC -- Online and TAC -- Online processing the only relevant TVR bit is `` Transaction value exceeds the floor limit '' . Because the floor limit is set to zero , the transaction should always go online and all other values in TAC -- Online or IAC -- Online are irrelevant .   Online - only devices do not need to perform IAC - default processing .   First card action analysis ( edit )   One of the data objects read from the card in the Read application data stage is CDOL1 ( Card Data object List ) . This object is a list of tags that the card wants to be sent to it to make a decision on whether to approve or decline a transaction ( including transaction amount , but many other data objects too ) . The terminal sends this data and requests a cryptogram using the generate application cryptogram command . Depending on the terminal ′ s decision ( offline , online , decline ) , the terminal requests one of the following cryptograms from the card :    Transaction certificate ( TC ) -- Offline approval   Authorization Request Cryptogram ( ARQC ) -- Online authorization   Application Authentication Cryptogram ( AAC ) -- Offline decline .    This step gives the card the opportunity to accept the terminal 's action analysis or to decline a transaction or force a transaction on - line . The card can not return a TC when an ARQC has been asked for , but can return an ARQC when a TC has been asked for .   Online transaction authorization ( edit )   Transactions go online when an ARQC has been requested . The ARQC is sent in the authorisation message . The card generates the ARQC . Its format depends on the card application . EMV does not specify the contents of the ARQC . The ARQC created by the card application is a digital signature of the transaction details , which the card issuer can check in real time . This provides a strong cryptographic check that the card is genuine . The issuer responds to an authorisation request with a response code ( accepting or declining the transaction ) , an authorisation response cryptogram ( ARPC ) and optionally an issuer script ( a string of commands to be sent to the card ) .   Second card action analysis ( edit )   CDOL2 ( Card data object list ) contains a list of tags that the card wants to be sent after online transaction authorisation ( response code , ARPC , etc . ) . Even if for any reason the terminal could not go online ( e.g. , communication failure ) , the terminal should send this data to the card again using the generate authorisation cryptogram command . This lets the card know the issuer 's response . The card application may then reset offline usage limits .   Issuer script processing ( edit )   If a card issuer wants to update a card post issuance it can send commands to the card using issuer script processing . Issuer scripts are encrypted between the card and the issuer , so are meaningless to the terminal . Issuer script can be used to block cards , or change card parameters .   Control of the EMV standard ( edit )   The first version of EMV standard was published in 1995 . Now the standard is defined and managed by the privately owned corporation EMVCo LLC . The current members of EMVCo are JCB International , American Express , MasterCard , China UnionPay , Discover Financial and Visa Inc . Each of these organizations owns an equal share of EMVCo and has representatives in the EMVCo organization and EMVCo working groups .   Recognition of compliance with the EMV standard ( i.e. , device certification ) is issued by EMVCo following submission of results of testing performed by an accredited testing house .   EMV Compliance testing has two levels : EMV Level 1 , which covers physical , electrical and transport level interfaces , and EMV Level 2 , which covers payment application selection and credit financial transaction processing .   After passing common EMVCo tests , the software must be certified by payment brands to comply with proprietary EMV implementations such as Visa VSDC , American Express AEIPS , MasterCard MChip , JCB JSmart , or EMV - compliant implementations of non-EMVCo members such as LINK in the UK , or Interac in Canada .   The EMVCo standards have been integrated into the broader electronic payment security standards being developed by the Secure POS Vendor Alliance , with a specific effort to develop a common interpretation of EMVCo 's place relative to , and interactions with , other existing security standards , such as Payment Card Industry Data Security Standard ( PCI - DSS ) .   List of EMV documents and standards ( edit )   Since version 4.0 , the official EMV standard documents that define all the components in an EMV payment system are published as four `` books '' and some additional documents :    Book 1 : Application Independent ICC to Terminal Interface Requirements   Book 2 : Security and Key Management   Book 3 : Application Specification   Book 4 : Cardholder , Attendant , and Acquirer Interface Requirements   Common Payment Application Specification   EMV Card Personalisation Specification    Versions ( edit )   First EMV standard came into view in 1995 as EMV 2.0 . This was upgraded to EMV 3.0 in 1996 ( sometimes referred to as EMV ' 96 ) with later amendments to EMV 3.1. 1 in 1998 . This was further amended to version 4.0 in December 2000 ( sometimes referred to as EMV 2000 ) .    Version 4.0 became effective in June 2004   Version 4.1 became effective in June 2007   Version 4.2 is in effect since June 2008   Version 4.3 is in effect since November 2011 .    Vulnerabilities ( edit )   Opportunities to harvest PINs and clone magnetic stripes ( edit )   In addition to the track - two data on the magnetic stripe , EMV cards generally have identical data encoded on the chip , which is read as part of the normal EMV transaction process . If an EMV reader is compromised to the extent that the conversation between the card and the terminal is intercepted , then the attacker may be able to recover both the track - two data and the PIN , allowing construction of a magnetic stripe card , which , while not usable in a Chip and PIN terminal , can be used , for example , in terminal devices that permit fallback to magstripe processing for foreign customers without chip cards , and defective cards . This attack is possible only where ( a ) the offline PIN is presented in plaintext by the PIN entry device to the card , where ( b ) magstripe fallback is permitted by the card issuer and ( c ) where geographic and behavioural checking may not be carried out by the card issuer .   It was claimed that changes specified to the protocol ( specifying different card verification values between the chip and magnetic stripe -- the iCVV ) rendered this attack ineffective . APACS ( the UK Payments Association ) stated that such measures would be in place from January 2008 , although tests on cards in February 2008 indicated this may have been delayed .  Successful attacks ( edit )  Conversation capturing is the form of attack that was reported to have taken place against Shell terminals in May 2006 , when they were forced to disable all EMV authentication in their filling stations after more than £ 1 million was stolen from customers .   In October 2008 it was reported that hundreds of EMV card readers for use in Britain , Ireland , the Netherlands , Denmark , and Belgium had been expertly tampered with in China during or shortly after manufacture . For 9 months details and PINs of credit and debit cards were sent over mobile phone networks to criminals in Lahore , Pakistan . United States National Counterintelligence Executive Joel Brenner said , `` Previously only a nation state 's intelligence agency would have been capable of pulling off this type of operation . It 's scary . '' Data were typically used a couple of months after the card transactions to make it harder for investigators to pin down the vulnerability . After the fraud was discovered it was found that tampered - with terminals could be identified as the additional circuitry increased their weight by about 100 g . Tens of millions of pounds sterling are believed to have been stolen . This vulnerability spurred efforts to implement better control of electronic POS devices over their entire life cycle , a practice endorsed by electronic payment security standards like those being developed by the Secure POS Vendor Alliance ( SPVA ) .  Demonstration of PIN harvesting and stripe cloning ( edit )  Cambri</t>
  </si>
  <si>
    <t xml:space="preserve">what is the chip in the credit card for</t>
  </si>
  <si>
    <t xml:space="preserve"> EMV is a payment method based upon a technical standard for smart payment cards and for payment terminals and automated teller machines that can accept them . EMV cards are smart cards ( also called chip cards or IC cards ) that store their data on integrated circuits in addition to magnetic stripes ( for backward compatibility ) . These include cards that must be physically inserted ( or `` dipped '' ) into a reader and contactless cards that can be read over a short distance using near - field communication ( NFC ) technology . Payment cards that comply with the EMV standard are often called Chip and PIN or Chip and Signature cards , depending on the authentication methods employed by the card issuer . </t>
  </si>
  <si>
    <t xml:space="preserve">Papua New Guinea - Wikipedia  Papua New Guinea  For the single by The Future Sound of London , see Papua New Guinea ( song ) .  Coordinates : 6 ° S 147 ° E ﻿ / ﻿ 6 ° S 147 ° E ﻿ / - 6 ; 147     Independent State of Papua New Guinea   Independen Stet bilong Papua Niugini   Papua Niu Gini       Flag National emblem     Motto : `` Unity in diversity ''     Anthem : O Arise , All You Sons     Location of Papua New Guinea ( green )         Capital and largest city   Port Moresby 9 ° 30 ′ S 147 ° 07 ′ E ﻿ / ﻿ 9.500 ° S 147.117 ° E ﻿ / - 9.500 ; 147.117     Official languages     English   Hiri Motu   PNG Sign Language   Tok Pisin       Demonym   Papua New Guinean     Government   Unitary parliamentary constitutional monarchy         Monarch   Elizabeth II     Governor - General   Bob Dadae     Prime Minister   Peter O'Neill         Legislature   National Parliament     Independence from Australia         Papua and New Guinea Act 1949   1 July 1949     Declared and recognised   16 September 1975         Area     Total   462,840 km ( 178,700 sq mi ) ( 54th )     Water ( % )       Population     2016 census preliminary estimate   8,084,999 ( 101st )     2000 census   5,190,783     Density   15 / km ( 38.8 / sq mi ) ( 201st )     GDP ( PPP )   2018 estimate     Total   $32 billion ( 139th )     Per capita   $3,789     GDP ( nominal )   2018 estimate     Total   $26 billion ( 115th )     Per capita   $3,123     Gini ( 1996 )   50.9 high     HDI ( 2017 )   0.544 low 153rd     Currency   Papua New Guinean kina ( PGK )     Time zone   UTC + 10 , + 11 ( AEST )     Driving side   left     Calling code   + 675     ISO 3166 code   PG     Internet TLD   . pg     Papua New Guinea ( PNG ; UK : / ˈpæp ( j ) uə ... ˈɡɪni , ˈpɑː - / , US : / ˈpæpjuə , pɑːˈpuːə / ; Tok Pisin : Papua Niugini ; Hiri Motu : Papua Niu Gini ) , officially the Independent State of Papua New Guinea , is an Oceanian country that occupies the eastern half of the island of New Guinea and its offshore islands in Melanesia , a region of the southwestern Pacific Ocean north of Australia . Its capital , located along its southeastern coast , is Port Moresby . The western half of New Guinea forms the Indonesian provinces of Papua and West Papua .   At the national level , after being ruled by three external powers since 1884 , Papua New Guinea established its sovereignty in 1975 . This followed nearly 60 years of Australian administration , which started during World War I. It became an independent Commonwealth realm in 1975 with Queen Elizabeth II as its head of state and became a member of the Commonwealth of Nations in its own right .   Papua New Guinea is one of the most culturally diverse countries in the world . It is also one of the most rural , as only 18 per cent of its people live in urban centres . There are 852 known languages in the country , of which 12 now have no known living speakers . Most of the population of more than 8 million people lives in customary communities , which are as diverse as the languages . The country is one of the world 's least explored , culturally and geographically . It is known to have numerous groups of uncontacted peoples , and researchers believe there are many undiscovered species of plants and animals in the interior .   Papua New Guinea is classified as a developing economy by the International Monetary Fund . Strong growth in Papua New Guinea 's mining and resource sector led to the country becoming the sixth - fastest - growing economy in the world in 2011 . Growth was expected to slow once major resource projects came on line in 2015 . Mining remains a major economic factor , however . Local and national governments are discussing the potential of resuming mining operations at the Panguna mine in Bougainville Province , which has been closed since the civil war in the 1980s -- 1990s . Nearly 40 per cent of the population lives a self - sustainable natural lifestyle with no access to global capital .   Most of the people still live in strong traditional social groups based on farming . Their social lives combine traditional religion with modern practices , including primary education . These societies and clans are explicitly acknowledged by the Papua New Guinea Constitution , which expresses the wish for `` traditional villages and communities to remain as viable units of Papua New Guinean society '' and protects their continuing importance to local and national community life .   Contents    1 History   2 Government and politics   2.1 Law   2.2 Foreign policy   2.3 Military   2.4 Human rights   2.5 Administrative divisions     3 Geography   3.1 Borders   3.2 Ecology   3.3 Environmental issues   3.4 2018 earthquake     4 Economy   4.1 Land tenure     5 Demographics   5.1 Urbanisation   5.2 Languages   5.3 Health   5.4 Religion     6 Culture   6.1 Sport     7 Education   8 Science and technology   9 Transport   10 See also   11 References   12 Further reading   13 External links    History ( edit )  Main article : History of Papua New Guinea Kerepunu women at the marketplace of Kalo , British New Guinea , 1885 Female gable image , Sawos people , Oceanic art in the Bishop Museum . British annexation of southeast New Guinea in 1884  Archaeological evidence indicates that humans first arrived in Papua New Guinea around 42,000 to 45,000 years ago . They were descendants of migrants out of Africa , in one of the early waves of human migration .   Agriculture was independently developed in the New Guinea highlands around 7000 BC , making it one of the few areas in the world where people independently domesticated plants . A major migration of Austronesian - speaking peoples to coastal regions of New Guinea took place around 500 BC . This has been correlated with the introduction of pottery , pigs , and certain fishing techniques .   In the 18th century , traders brought the sweet potato to New Guinea , where it was adopted and became part of the staples . Portuguese traders had obtained it from South America and introduced it to the Moluccas . The far higher crop yields from sweet potato gardens radically transformed traditional agriculture and societies . Sweet potato largely supplanted the previous staple , taro , and resulted in a significant increase in population in the highlands .   Although by the late 20th century headhunting and cannibalism had been practically eradicated , in the past they were practised in many parts of the country as part of rituals related to warfare and taking in enemy spirits or powers . In 1901 , on Goaribari Island in the Gulf of Papua , missionary Harry Dauncey found 10,000 skulls in the island 's long houses , a demonstration of past practices . According to Marianna Torgovnick , writing in 1991 , `` The most fully documented instances of cannibalism as a social institution come from New Guinea , where head - hunting and ritual cannibalism survived , in certain isolated areas , into the Fifties , Sixties , and Seventies , and still leave traces within certain social groups . ''   Little was known in Europe about the island until the 19th century , although Portuguese and Spanish explorers , such as Dom Jorge de Menezes and Yñigo Ortiz de Retez , had encountered it as early as the 16th century . Traders from Southeast Asia had visited New Guinea beginning 5,000 years ago to collect bird - of - paradise plumes .   The country 's dual name results from its complex administrative history before independence . The word papua is derived from an old local term of uncertain origin . `` New Guinea '' ( Nueva Guinea ) was the name coined by the Spanish explorer Yñigo Ortiz de Retez . In 1545 , he noted the resemblance of the people to those he had earlier seen along the Guinea coast of Africa . Guinea , in its turn , is etymologically derived from the Portuguese word Guiné . The name is one of several toponyms sharing similar etymologies , ultimately meaning `` land of the blacks '' or similar meanings , in reference to the dark skin of the inhabitants .  New Guinea from 1884 to 1919 . Germany and Britain controlled the eastern half of New Guinea .  In the nineteenth century , Germany ruled the northern half of the country for some decades , beginning in 1884 , as a colony named German New Guinea . In 1914 after the outbreak of World War I , Australian forces landed and captured German New Guinea in a small military campaign and occupied it throughout the war . After the war , in which Germany and the Central Powers were defeated , the League of Nations authorised Australia to administer this area as a League of Nations mandate territory .   The southern half of the country had been colonised in 1884 by the United Kingdom as British New Guinea . With the Papua Act 1905 , the UK transferred this territory to the newly formed Commonwealth of Australia , which took on its administration . Additionally , from 1905 , British New Guinea was renamed as the Territory of Papua . In contrast to establishing an Australian mandate in former German New Guinea , the League of Nations determined that Papua was an External Territory of the Australian Commonwealth ; as a matter of law it remained a British possession . The difference in legal status meant that until 1949 , Papua and New Guinea had entirely separate administrations , both controlled by Australia . These conditions contributed to the complexity of organising the country 's post-independence legal system .  Australian forces attack Japanese positions during the Battle of Buna -- Gona , 7 January 1943 .  During World War II , the New Guinea campaign ( 1942 -- 1945 ) was one of the major military campaigns and conflicts between Japan and the Allies . Approximately 216,000 Japanese , Australian , and US servicemen died . After World War II and the victory of the Allies , the two territories were combined into the Territory of Papua and New Guinea . This was later referred to as `` Papua New Guinea '' .   The natives of Papua appealed to the United Nations for oversight and independence . The nation established independence from Australia on 16 September 1975 , becoming a Commonwealth realm , continuing to share Queen Elizabeth II as its head of state . It maintains close ties with Australia , which continues to be its largest aid donor . Papua New Guinea was admitted to membership in the United Nations on 10 October 1975 .  Australian patrol officer in 1964  A secessionist revolt in 1975 -- 76 on Bougainville Island resulted in an eleventh - hour modification of the draft Constitution of Papua New Guinea to allow for Bougainville and the other eighteen districts to have quasi-federal status as provinces . A renewed uprising on Bougainville started in 1988 and claimed 20,000 lives until it was resolved in 1997 . Bougainville had been the chief mining region of the country , generating 40 % of the national budget . The native peoples felt they were bearing the adverse environmental effects of the mining , which poisoned the land , water and air , without gaining a fair share of the profits .   The government and rebels negotiated a peace agreement that established the Bougainville Autonomous District and Province . The autonomous Bougainville elected Joseph Kabui as president in 2005 , who served until his death in 2008 . He was succeeded by his deputy John Tabinaman as acting president while an election to fill the unexpired term was organised . James Tanis won that election in December 2008 and served until the inauguration of John Momis , the winner of the 2010 elections . As part of the current peace settlement , a referendum on independence is planned to be held in Bougainville sometime before mid-2020 . Preparations were underway in 2015 .   Numerous Chinese have worked and lived in Papua New Guinea , establishing Chinese - majority communities . Chinese merchants became established in the islands before European exploration . Anti-Chinese rioting involving tens of thousands of people broke out in May 2009 . The initial spark was a fight between ethnic Chinese and Papua New Guinean workers at a nickel factory under construction by a Chinese company . Native resentment against Chinese ownership of numerous small businesses and their commercial monopoly in the islands led to the rioting . The Chinese have long been merchants in Papua New Guinea . In the same year , Papua New Guinea asked various Southeast Asian nations for their support for Papua New Guinea 's full membership bid in the Association of Southeast Asian Nations ( ASEAN ) . Indonesia supported the bid after Papua New Guinea supported Indonesia 's hold on West Papua . However , the Christian - majority Philippines and Buddhist - majority Thailand , Vietnam , and Cambodia have expressed displeasure over Papua New Guinea 's anti-LGBT laws , stating that equality - friendly Timor - Leste would most likely be a more feasible ASEAN member state in the future .   In 2012 , despite a refugee crisis at the border of Papua New Guinea and West Papua , the country was steadfast in its support of Indonesia , which promised Papua New Guinea a greater role in ASEAN in the future . By 2017 , the Indonesian - led genocide against West Papuan natives peaked with almost 25 % of the native population killed within a 50 - year period . The realisation caused massive backlash from Oceanian nations against Papua New Guinea 's policy on West Papua . In January 2017 , Papua New Guinea gave citizenship to 138 West Papuan refugees in a bid to calm tensions . In September 2017 , Papua New Guinea rejected the West Papuan Independence Petition in the United Nations General Assembly , to the pleasure of Indonesia .   From March to April 2018 , a chain of earthquakes hit Papua New Guinea , causing various damage . Various nations from Oceania , Australia , the Philippines and Timor - Leste immediately sent aid to the country .   Government and politics ( edit )  Main article : Politics of Papua New Guinea  Papua New Guinea is a Commonwealth realm . Queen Elizabeth II is its sovereign and head of state . The constitutional convention , which prepared the draft constitution , and Australia , the outgoing metropolitan power , had thought that Papua New Guinea would not remain a monarchy . The founders , however , considered that imperial honours had a cachet . The monarch is represented by the Governor - General of Papua New Guinea , currently Bob Dadae . Papua New Guinea ( and the Solomon Islands ) are unusual among Commonwealth realms in that governors - general are elected by the legislature , rather than chosen by the executive branch .   The Prime Minister heads the cabinet , which consists of 31 MPs from the ruling coalition , which make up the government . The current prime minister is Peter O'Neill . The unicameral National Parliament has 111 seats , of which 22 are occupied by the governors of the 22 provinces and the National Capital District ( NCD ) . Candidates for members of parliament are voted upon when the prime minister asks the governor - general to call a national election , a maximum of five years after the previous national election .   In the early years of independence , the instability of the party system led to frequent votes of no confidence in parliament , with resulting changes of the government , but with referral to the electorate , through national elections only occurring every five years . In recent years , successive governments have passed legislation preventing such votes sooner than 18 months after a national election and within 12 months of the next election . In December 2012 , the first two ( of three ) readings were passed to prevent votes of no confidence occurring within the first 30 months . This restriction on votes of no confidence has arguably resulted in greater stability , although perhaps at a cost of reducing the accountability of the executive branch of government .   Elections in PNG attract numerous candidates . After independence in 1975 , members were elected by the first - past - the - post system , with winners frequently gaining less than 15 % of the vote . Electoral reforms in 2001 introduced the Limited Preferential Vote system ( LPV ) , a version of the Alternative Vote . The 2007 general election was the first to be conducted using LPV .  Prime Minister Peter O'Neill      This section needs to be updated . Please update this article to reflect recent events or newly available information . ( October 2012 )     In 2011 there was a constitutional crisis between the parliament - elect Prime Minister , Peter O'Neill ( voted into office by a large majority of MPs ) , and Sir Michael Somare , who was deemed by the supreme court ( in a December Opinion , 3 : 2 ) to retain office . The stand - off between parliament and the supreme court continued until the July 2012 national elections , with legislation passed effectively removing the chief justice and subjecting the supreme court members to greater control by the legislature , as well as a series of other laws passed , for example limiting the age for a prime minister . The confrontation reached a peak , with the Deputy Prime Minister entering the supreme court during a hearing , escorted by some police , ostensibly to arrest the Chief Justice . There was strong pressure among some MPs to defer the national elections for a further six months to one year , although their powers to do that were highly questionable .   The parliament - elect prime minister and other cooler - headed MPs carried the votes for the writs for the new election to be issued , slightly late , but for the election itself to occur on time , thereby avoiding a continuation of the constitutional crisis . The crisis was tense at times , but largely restricted to the political and legal fraternity , plus some police factions . The public and public service ( including most police and military ) stood back . It was a period when , with increased telecommunication access and use of social media ( notably Facebook and mobile phones ) , the public and students played some part in helping maintain restraint and demanding the leadership to adhere to constitutional processes . They insisted on having the elections so that the people could say who should be their legitimate representatives for the next five years .   Under a 2002 amendment , the leader of the party winning the largest number of seats in the election is invited by the governor - general to form the government , if he can muster the necessary majority in parliament . The process of forming such a coalition in PNG , where parties do not have much ideology , involves considerable horsetrading right up until the last moment . Peter O'Neill emerged as Papua New Guinea 's prime minister after the July 2012 election , and formed a government with Leo Dion , the former Governor of East New Britain Province , as deputy prime minister .   Law ( edit )  The Parliament building of Papua New Guinea in Port Moresby Main article : Law of Papua New Guinea  The unicameral Parliament enacts legislation in the same manner as in other jurisdictions that have `` cabinet , '' `` responsible government , '' or `` parliamentary democracy '' : it is introduced by the executive government to the legislature , debated and , if passed , becomes law when it receives royal assent by the Governor - General . Most legislation is regulation implemented by the bureaucracy under enabling legislation previously passed by Parliament .   All ordinary statutes enacted by Parliament must be consistent with the Constitution . The courts have jurisdiction to rule on the constitutionality of statutes , both in disputes before them and on a reference where there is no dispute but only an abstract question of law . Unusual among developing countries , the judicial branch of government in Papua New Guinea has remained remarkably independent , and successive executive governments have continued to respect its authority .   The `` underlying law '' ( Papua New Guinea 's common law ) consists of principles and rules of common law and equity in English common law as it stood on 16 September 1975 ( the date of Independence ) , and thereafter the decisions of PNG 's own courts . The courts are directed by the Constitution and , latterly , the Underlying Law Act , to take note of the `` custom '' of traditional communities . They are to determine which customs are common to the whole country and may be declared also to be part of the underlying law . In practice , this has proved extremely difficult and has been largely neglected . Statutes are largely adapted from overseas jurisdictions , primarily Australia and England . Advocacy in the courts follows the adversarial pattern of other common - law countries .   This national court system , used in towns and cities , is supported by a village court system in the more remote areas . The law underpinning the village courts is ' customary law ' .   Foreign policy ( edit )       This section does not cite any sources . Please help improve this section by adding citations to reliable sources . Unsourced material may be challenged and removed . ( January 2018 ) ( Learn how and when to remove this template message )     In foreign policy , Papua New Guinea is a member of the Commonwealth of Nations , Pacific Islands Forum , and the Melanesian Spearhead Group ( MSG ) of countries . It was accorded Observer status within ASEAN in 1976 , followed later by Special Observer status in 1981 . It is also a member of APEC and an ACP country , associated with the European Union . The country has a low - key initiative when it comes to the Indonesia - sponsored genocide in West Papua due to its application in ASEAN , where the headquarters is in Jakarta .   Papua New Guinea has positive ties with Australia and countries in Oceania . It also has good ties with fellow - Christian country , the Philippines , especially in the education sector . The country 's policy has been focusing on ties with Southeast Asia in recent years due to its application in ASEAN , which is supported by the Philippines and co-observer Timor - Leste .   Military ( edit )  Main article : Papua New Guinea Defence Force  The Papua New Guinea Defence Force ( PNGDF ) is the military organisation responsible for the defence of Papua New Guinea .   Human rights ( edit )  Papua New Guinean children , men and women show their support for putting an end to violence against women during a White Ribbon Day march Main article : Human rights in Papua New Guinea See also : Sexual violence in Papua New Guinea  Papua New Guinea is often ranked as likely the worst place in the world for violence against women . A 2013 study in The Lancet found that 27 % of men on Bougainville Island , Papua New Guinea , reported having raped a non-partner , while 14.1 % reported having committed gang rape . According to UNICEF , nearly half of reported rape victims are under 15 years of age and 13 % are under 7 years of age . A report by ChildFund Australia , citing former Parliamentarian Dame Carol Kidu , claimed 50 % of those seeking medical help after rape are under 16 , 25 % are under 12 , and 10 % are under 8 .   The 1976 Sorcery Act imposed a penalty of up to 2 years in prison for the practice of `` black '' magic , until the Act was repealed in 2013 . An estimated 50 -- 150 alleged witches are killed each year in Papua New Guinea . There are also no protections given to LGBT citizens in the country . Homosexual acts are prohibited by law in Papua New Guinea ; it is one of the very few Christian countries in present time to criminalise homosexuality .   Administrative divisions ( edit )  Main articles : Regions of Papua New Guinea , Provinces of Papua New Guinea , and Districts and LLGs of Papua New Guinea  Papua New Guinea is divided into four regions , which are not the primary administrative divisions but are quite significant in many aspects of government , commercial , sporting and other activities .   The nation has 22 province - level divisions : twenty provinces , the Autonomous Region of Bougainville and the National Capital District . Each province is divided into one or more districts , which in turn are divided into one or more Local - Level Government areas .   Provinces are the primary administrative divisions of the country . Provincial governments are branches of the national government -- Papua New Guinea is not a federation of provinces . The province - level divisions are as follows :       Central   Chimbu ( Simbu )   Eastern Highlands   East New Britain   East Sepik   Enga   Gulf   Madang   Manus   Milne Bay   Morobe       New Ireland   Northern ( Oro Province )   Bougainville ( autonomous region )   Southern Highlands   Western Province ( Fly )   Western Highlands   West New Britain   West Sepik ( Sandaun )   National Capital District ( Port Moresby )   Hela   Jiwaka     Provinces of Papua New Guinea .     In 2009 , Parliament approved the creation of two additional provinces : Hela Province , consisting of part of the existing Southern Highlands Province , and Jiwaka Province , formed by dividing Western Highlands Province . Jiwaka and Hela officially became separate provinces on 17 May 2012 . The declaration of Hela and Jiwaka is a result of the largest liquefied natural gas ( LNG ) project in the country that is situated in both provinces . The government set 15 June 2019 as the voting date for an independence referendum in the Bougainville ( autonomous region ) . The Australian Strategic Policy Institute has said that there is a wide expectation Bougainville will vote to become independent .   Geography ( edit )  Main article : Geography of Papua New Guinea Map of Papua New Guinea  At 462,840 km ( 178,704 sq mi ) , Papua New Guinea is the world 's fifty - fourth - largest country . Including all its islands , it lies between latitudes 0 ° and 12 ° S , and longitudes 140 ° and 160 ° E .   Located north of the Australian mainland , the country 's geography is diverse and , in places , extremely rugged . A spine of mountains , the New Guinea Highlands , runs the length of the island of New Guinea , forming a populous highlands region mostly covered with tropical rainforest , and the long Papuan Peninsula , known as the ' Bird 's Tail ' . Dense rainforests can be found in the lowland and coastal areas as well as very large wetland areas surrounding the Sepik and Fly rivers . This terrain has made it difficult for the country to develop transportation infrastructure . Some areas are accessible only on foot or by aeroplane . The highest peak is Mount Wilhelm at 4,509 metres ( 14,793 ft ) . Papua New Guinea is surrounded by coral reefs which are under close watch , in the interests of preservation .   The country is situated on the Pacific Ring of Fire , at the point of collision of several tectonic plates . There are a number of active volcanoes , and eruptions are frequent . Earthquakes are relatively common , sometimes accompanied by tsunamis .   The mainland of the country is the eastern half of New Guinea island , where the largest towns are also located , including Port Moresby ( capital ) and Lae ; other major islands within Papua New Guinea include New Ireland , New Britain , Manus and Bougainville .   Papua New Guinea is one of the few regions close to the equator that experience snowfall , which occurs in the most elevated parts of the mainland .   Borders ( edit )   The border between Papua New Guinea and Indonesia was confirmed by treaty with Australia before independence in 1974 . Maritime boundaries with Australia were confirmed by a treaty in 1978 .   Ecology ( edit )  See also : Conservation in Papua New Guinea Mount Tavurvur Papua New Guinea 's highlands  Papua New Guinea is part of the Australasia ecozone , which also includes Australia , New Zealand , eastern Indonesia , and several Pacific island groups , including the Solomon Islands and Vanuatu .   Geologically , the island of New Guinea is a northern extension of the Indo - Australian tectonic plate , forming part of a single land mass which is Australia - New Guinea ( also called Sahul or Meganesia ) . It is connected to the Australian segment by a shallow continental shelf across the Torres Strait , which in former ages lay exposed as a land bridge , particularly during ice ages when sea levels were lower than at present .   Consequently , many species of birds and mammals found on New Guinea have close genetic links with corresponding species found in Australia . One notable feature in common for the two landmasses is the existence of several species of marsupial mammals , including some kangaroos and possums , which are not found elsewhere . Papua New Guinea is a megadiverse country .   Many of the other islands within PNG territory , including New Britain , New Ireland , Bougainville , the Admiralty Islands , the Trobriand Islands , and the Louisiade Archipelago , were never linked to New Guinea by land bridges . As a consequence , they have their own flora and fauna ; in particular , they lack many of the land mammals and flightless birds that are common to New Guinea and Australia .  A tree - kangaroo in Papua New Guinea  Australia and New Guinea are portions of the ancient supercontinent of Gondwana , which started to break into smaller continents in the Cretaceous era , 66 -- 130 million years ago . Australia finally broke free from Antarctica about 45 million years ago . All the Australasian lands are home to the Antarctic flora , descended from the flora of southern Gondwana , including the coniferous podocarps and Araucaria pines , and the broadleafed southern beech ( Nothofagus ) . These plant families are still present in Papua New Guinea .   As the Indo - Australian Plate ( which includes landmasses of India , Australia , and the Indian Ocean floor in between ) drifts north , it collides with the Eurasian Plate . The collision of the two plates pushed up the Himalayas , the Indonesian islands , and New Guinea 's Central Range . The Central Range is much younger and higher than the mountains of Australia , so high that it is home to rare equatorial glaciers . New Guinea is part of the humid tropics , and many Indomalayan rainforest plants spread across the narrow straits from Asia , mixing together with the old Australian and Antarctic floras .   PNG includes a number of terrestrial ecoregions :    Admiralty Islands lowland rain forests -- forested islands to the north of the mainland , home to a distinct flora .   Central Range montane rain forests Green tropical rainforest of Papua New Guinea bears a sharp contrast to nearby arid Australia .   Huon Peninsula montane rain forests   Louisiade Archipelago rain forests   New Britain - New Ireland lowland rain forests   New Britain - New Ireland montane rain forests   New Guinea mangroves   Northern New Guinea lowland rain and freshwater swamp forests   Northern New Guinea montane rain forests   Solomon Islands rain forests ( includes Bougainville Island and Buka )   Southeastern Papuan rain forests   Southern New Guinea freshwater swamp forests   Southern New Guinea lowland rain forests   Trobriand Islands rain forests   Trans Fly savanna and grasslands   Central Range sub-alpine grasslands    Three new species of mammals were discovered in the forests of Papua New Guinea by an Australian - led expedition . A small wallaby , a large - eared mouse and shrew - like marsupial were discovered . The expedition was also successful in capturing photographs and video footage of some other rare animals such as the Tenkile tree kangaroo and the Weimang tree kangaroo .   Environmental issues ( edit )  Main article : Environmental issues in Papua New Guinea  At current rates of deforestation , more than half of Papua New Guinea 's forests could be lost or seriously degraded by 2021 , according to a new satellite study of the region . Nearly one quarter of Papua New Guinea 's rainforests were damaged or destroyed between 1972 and 2002 .   2018 earthquake ( edit )  Main article : 2018 Papua New Guinea earthquake  On February 25 , 2018 , an earthquake of magnitude 7.5 and depth of 35 kilometres struck the middle of Papua New Guinea . The worst of the damage was centred around the Southern Highlands region . As of March 1 there were 31 reported deaths , and that number was expected to rise .   Economy ( edit )  Main article : Economy of Papua New Guinea Port Moresby 's central business district  Papua New Guinea is richly endowed with natural resources , including mineral and renewable resources , such as forests , marine ( including a large portion of the world 's major tuna stocks ) , and in some parts agriculture . The rugged terrain -- includi</t>
  </si>
  <si>
    <t xml:space="preserve">which country borders papua new guinea on its west side</t>
  </si>
  <si>
    <t xml:space="preserve"> Papua New Guinea ( PNG ; UK : / ˈpæp ( j ) uə ... ˈɡɪni , ˈpɑː - / , US : / ˈpæpjuə , pɑːˈpuːə / ; Tok Pisin : Papua Niugini ; Hiri Motu : Papua Niu Gini ) , officially the Independent State of Papua New Guinea , is an Oceanian country that occupies the eastern half of the island of New Guinea and its offshore islands in Melanesia , a region of the southwestern Pacific Ocean north of Australia . Its capital , located along its southeastern coast , is Port Moresby . The western half of New Guinea forms the Indonesian provinces of Papua and West Papua . </t>
  </si>
  <si>
    <t xml:space="preserve">Chamba , Himachal Pradesh - Wikipedia  Chamba , Himachal Pradesh  Jump to : navigation , search This article is about the municipality in Himachal Pradesh . For its namesake district , see Chamba district . For other uses , see Chamba .    Chamba Hindi : चम्बा     Town     Chamba town from across the river     Chamba     Coordinates : 32 ° 34 ′ 12 '' N 76 ° 7 ′ 48 '' E ﻿ / ﻿ 32.57000 ° N 76.13000 ° E ﻿ / 32.57000 ; 76.13000     Country   India     State   Himachal Pradesh     District   Chamba district     Founded   920     Elevation   3,268 ft ( 996 m )     Population ( 2011 )     Total   19,933     Rank   9 in HP     Time zone   IST ( UTC + 5 : 30 )     Post code   176310     Area code ( s )   + 91 - 18992 - xxxxx     Vehicle registration   HP - 48 and HP - 73     Website   hpchamba.nic.in     Chamba ( Hindi : चम्बा ) is a town in the Chamba district in the state of Himachal Pradesh , in northern India . According to the 2001 Indian census the town is situated on the banks of the Ravi River ( a major tributary of the Trans - Himalayan Indus River ) , at its confluence with the Sal River . Chambial were the Rulers of Chamba State Chambials use suffix Varmans .   Though historical records date the history of the Chamba region to the Kolian tribes in the 2nd century BC , the area was formally ruled by the Maru dynasty , starting with the Raju Maru from around 500 AD , ruling from the ancient capital of Bharmour , which is located 75 kilometres ( 47 mi ) from the town of Chamba . In 920 , Raja Sahil Varman ( or Raja Sahil Verma ) shifted the capital of the kingdom to Chamba , following the specific request of his daughter Champavati ( Chamba was named after her ) . From the time of Raju Maru , 67 Rajas of this dynasty have ruled over Chamba until it finally merged with the Indian Union in April 1948 , although Chamba was under British suzerainty from 1846 to this time .   The town has numerous temples and palaces , and hosts two popular jatras ( fairs ) , the `` Suhi Mata Mela '' and the `` Minjar Mela '' , which last for several days of music and dancing . Chamba is also well noted for its arts and crafts , particularly its Pahari paintings , which originated in the Hill Kingdoms of North India between the 17th and 19th century , and its handicrafts and textiles .     Contents  ( hide )   1 History   1.1 Early history   1.2 Modern history     2 Geography and climate   3 Demographics   4 Administration   5 Landmarks and cityscape   5.1 Monuments built prior to 1846   5.1. 1 Champavati Temple   5.1. 1.1 Banni Mata Temple     5.1. 2 Lakshmi Narayan temples   5.1. 3 Chamunda Devi Temple   5.1. 4 Akhand Chandi Palace     5.2 Monuments built after 1846   5.2. 1 Chaugan   5.2. 2 Church of Scotland   5.2. 3 Bhuri Singh Museum       6 Culture   6.1 Arts   6.1. 1 Chamba miniature paintings   6.1. 2 Handicrafts and musical instruments     6.2 Festivals , fairs and dances   6.3 Costumes     7 Music of Chamba   8 Notes   9 References   10 Further reading   11 External links      History ( edit )  See also : Chamba State  Early history ( edit )   Chamba has an ancient history , which is inseparable from that of the surrounding district of Chamba . The earliest rulers were Kolian tribes . In the 2nd century BC the Khasas and Audumbaras were in power in the region . In the 4th century AD during the Gupta period , the Thakurs and Ranas ruled . From the 7th century , the Gurjara Pratiharas or the Rajput dynasty came into power .  Narasimha Temple , Brahmaur , the ancient capital of the district .  The recorded history of the Rajput rulers is traced to an eminent individual named Maru who is said to have moved to northwest India from Kalpagrama , around 500 AD . He founded his capital in the Budhal river valley at a place called Brahmaputra , which later became known as Bharmour or Bhramaur , which is situated 75 kilometres ( 47 mi ) to the east of the present day Chamba town . For three hundred years , kings of Rajput Dynasty ruled from their capital in Bharmour .   However , in 920 , Raja Sahil Varman ( or Raja Sahila Verma ) , King of Bharmour , shifted his capital from Bharmour to a more centrally located plateau in the lower Ravi valley , and named the city Champavati , after his daughter . There is some variation in the story to how exactly this transition came about in the historical records of Chamba . One version tells how Varman , who , after being childless for a significant period , was blessed with ten sons and a daughter , named `` Champavati '' . It was Champavati who urged her father to build a new capital town in the valley . However , obstacles stood in the way to relocating his capital , given that the king had previously granted the land in the modern Chamba vicinity to the Kanwan Brahmins . A solution was found in the form of offering a gift of eight copper coins called chaklis on the occasion of every marriage that took place in the Brahmin family , if they would agree to surrender their land to pave the way for the new capital . With the land thus obtained , the new capital was built and named as Champa after Chamapavati , the King 's daughter , which , over the years , was simply shortened to `` Chamba ' .   A variation of this origin of Chamba is that it originated as a hermitage which Champavati , a devout Hindu , used to frequent . The king , being suspicious of his daughter 's fidelity , one day investigated and followed her to the hermitage , but surprisingly he found neither his daughter nor the hermit there . Suddenly he was said to have heard a voice which informed him that his suspicions were ill - founded , admonishing him and informing him that his daughter had been taken away from him permanently as a punishment for his lack of trust in her morals . The King , fully chastened , sought redemption for his sin by expanding the hermitage into a temple , named in his daughter 's honour and built a city around the temple . Today this temple , called the Champavati Temple , belongs to the Royal family and the King 's daughter is venerated as a goddess . Every year , since 935 , the Minjar festival or fair has been held . It lasts for 21 days , coinciding with the first day of Baisakhi .  The remoteness and ruggedness of the Ravi River valley secured Chamba from successful invasions for around 1,000 years .  Since Raja Sahil Varman , the dynasty ruled without successful invasion for around a millennium , until the British gained power . The isolation of the town and its rugged hilly terrain is believed to have been a contributing factor to this unusual state of security . Later , Mughal emperors Akbar and Aurangzeb did attempt to annex Chamba but were unsuccessful in subjugating this territory into their kingdoms . Raja Prithvi Singh ( 1641 - 1664 AD ) , who was on amiable terms with Emperor Shahjahan was instrumental in introducing the court lifestyles of the Mughals .   Modern history ( edit )   In 1806 A.D. , the combined forces of Gurkhas and local hills chiefs attacked the forces of Raja Sansar Chand in the battle and forced a crushing defeat on him along with family took shelter in the Kangra fort . The Gurkhas sieged the Kangra fort and ruthlessly looted the area between the fort of Kangra and Mahal Mohrian and virtually destroyed the villages . The siege of the fort continued for three years . In 1809 A.D. , Raja Ranjit Singh , the Sikh ruler of Lahore , on the request of Sansar Chand , waged war against the Gurkhas and defeated them in But Sansar Chand had to pay a heavy price whereby he had to lose Kangra fort and 66 villages to the Sikhs . Ranjit Singh controlled the region and had even placed a garrison at Chamba , forced the hill states to pay tribute to them . Ranjit Singh deposed the hill princes , including the more powerful Kangra ruler , Sansar Chand Katoch , but spared Chamba , given that the Wazir Nathu of Chamba had been important as an ambassador in negotiations with Katoch in 1809 and had saved his life in 1817 by succumbing his horse to King Singh to escape during a winter campaign in Kashmir .  The Chamba Valley , c. 1865  In 1845 , the Sikh army invaded the British territory . The result was disastrous , with the British defeating the army , leaving Chamba in a poor position . Wazir Bagha of Chamba was important in negotiations in its aftermath , and the Rajas of Chamba , on the advice of Bagha , agreed to the British suzerainty as part of Jammu and Kashmir in favour of an annuity of Rs 12,000 . The Treaty of Lahore was signed in 1846 , in which the Rajas agreed to cede the territory of Chamba district . From then on , relations with the British were cordial , and all of the Rajas of Chamba under the British rule , Sri Singh , Gopal Singh , Sham Singh , Bhuri Singh , Ram Singh , and Laxman Singh , were on good terms with the British army officers .   Many progressive reforms and developments were made in Chamba under the British . In 1863 , the first Post office was established in Chamba and a daily mail service and a primary school . In December , 1866 , a hospital was opened by Doctor Elmslie of the Kashmir Medical Mission . In the late 1860s two new roads to Dalhousie via Kolri and Khajiar were built . Gopal Singh , who ruled from 1870 to 1873 , after abdicating , was responsible for building the grand Jandarighat Palace as his summer residence .   After India becoming an independent nation in August 1947 , the princely state of Chamba finally merged with India on 15 April 1948 along with the other princedoms of Mandi - Suket State , Sirmour State and all of those in the Shimla hills .   Geography and climate ( edit )  Panorama of the upper part of the town and mountains surrounding it  Chamba is the headquarters of the Chamba district , bordered by Jammu and Kashmir to the north - west and west , the Ladakh area of Jammu and Kashmir and Lahaul and Bara Banghal to the north - east and east , Kangra to the south - east and Pathankot district of Punjab to the south . It has an average elevation of 1,006 metres ( 3,301 ft ) .  The Ravi River flowing through Chamba  The town , the district and the valley where the town is located , share the name of Chamba . The town of Chamba is located at the junction of Ravi River and its tributary , the Sal River , with the Shah Madar hill forming the backdrop on its eastern side . The Ravi flows in east - west direction forming deep canyons . During the spring and summer months , the levels of the river rise significantly from snow melt and pose a flooding risk . Record levels were experienced in early July 2005 , when the National Hydroelectric Power Corporation was forced to shut down the power generation on its 300 - MW Chamera Power Station .   Located on the right bank of the Ravi river valley , built on successive flat terraces , the town is bounded topographically by the Dhauladhar and Zanskar ranges , south of the inner Himalayas . Chamba , despite its hill location , is well connected by road to the rest of the state and country , including Shimla , Delhi and Chandigarh along several routes . The nearest broad gauge railway stations are at Chakki Bank and Pathankot , the latter of which is 120 kilometres ( 75 mi ) away by road .   The temperatures in summer vary between 38 ° C ( 100 ° F ) and 15 ° C ( 59 ° F ) and in winter : 15 ° C ( 59 ° F ) and 0 ° C ( 32 ° F ) . The maximum temperature recorded in summer is 39 ° C ( 102 ° F ) and the minimum temperature in winter is − 1 ° C ( 30 ° F ) . Climatically March to June is said to be the best period to visit Chamba , which is a well known hill station . The average annual rainfall in the town is 785.84 millimetres ( 30.939 in ) .   Demographics ( edit )   As of 2001 India census , Chamba had a population of 20,312 . Males constituted 52 % of the population and females 48 % . Chamba has an average literacy rate of 81 % , higher than the national average of 59.5 % ; with a male literacy of 85 % and female literacy of 77 % . The administrative language is Hindi , the local language of Pahari , and Himachali is common language spoken by inhabitants . There are some speakers of Punjabi , mostly of Sikh and Hindu descent , Those came here after partition .   Away from the urban centre , the tribal people of Chamba are divided into two major groups ; the Gujjars and the Gaddis . The Gujjars , mainly nomads , came to Chamba across the state border from Kashmir along the trade routes . They belong to nomadic herdsmen of the Islamic community , and travel to lowland Punjab in the autumn with their livestock to avoid the harsh winter of the Chamba hills . Their features are Turkic and have a distinct language and culture aloof from the main town .   The Gaddis comprise several ethnic groups ; namely the Brahmans , Rajputs , Thakurs , Rathis and the Khatris , who form the majority . They are agricultural peoples , and the name `` Gaddi '' means `` shepherd '' . They mainly inhabit an area of the Chamba district in the Dhaula Dhar mountains , known as Brahmaur Wazarat or `` Gadaran '' , located between Chamba and Kangra . `` Gadar '' means sheep , so their land is informally referred to as `` Gadaran '' , literally meaning `` sheep country '' . They are believed to have come to Chamba in the 10th century , although an influx of Gaddi people migrated to Chamba from Lahore in the 18th century , during the Mughal Empire . They are said to practice animism combined with the worship of Lord Shiva .   Administration ( edit )  Gopal Singh , Raja of Chamba ( ruled 1870 -- 1873 )  There have been a total of 67 rajas who have ruled Chamba district since the Principality of Bharmour was established in the 6th century , beginning with Raja Maru . Indeed , it is believed to have been an isolated case in the history of India that the Chamba kingdom remained independent without interference for over 1000 years . Before Raja Sahila Varman , however , the territorial extent of the state of Chamba was ill - defined and was more a loosely based territory , marked by disunity . Chamba state was run by Ranas , petty rulers who were allocated locally governed areas known as `` fiefdoms '' and treated them as their own virtually independent kingdoms . It was n't until the reign of Sahila Varman that these Raja lords were subjugated and the district of Chamba was consolidated formally as a unified entity . The rajas of the Chamba Kingdom , ruling from the capital in Chamba divided the kingdom into 5 mandalas , later termed wazarats . These sub-territories consisted of Chamba , Bharmour , Bhatti , Churah and Pangi .   Landmarks and cityscape ( edit )   The city layout can be distinctly demarcated into two zones ; namely the ' Old Town ' before the British introduced their urban architectural styles and the British period of contemporary monuments , bridges and buildings . In a study of the architecture of Chamba , instituted by the Indian National Trust for Art and Cultural Heritage ( INTACH ) , with the objective of conserving and restoring individual heritage buildings , it has been observed that the urban architecture of Chamba evolved under three distinct phases . The first phase from 930 , dating from the Rajput dynasty establishing the capital at Chamba until 1846 , the second phase during the British period ; and the third phase constituting the post independent period after its merger with the Indian Union in April 1948 .   Monuments built prior to 1846 ( edit )  View of Chamba . Chamba Town .  Buildings in Chamba were traditionally constructed using local materials . Buildings were made out of dry stone masonry , with the walls and floors of the older houses plastered with a concoction of clay and cow - dung . Thick wooden beams were used to support the walls , paying attention to durability and to withstand earthquakes , and wooden cantilever construction was often used to support the verandas . The staircases and doors were made from wood , with the doors often decorated in religious reliefs and flanked by two lamps to light it at night . Before the arrival of the British , who introduced slate roofs to Chamba , roofs were covered with planks , coated in clay . Few of these houses remain today , although a number still have wood - clay roofs in villages in the suburbs .   The old heritage monuments , which are palaces and temples are located in the old town ( east of the Chaugans ) , on the lower slopes of Shah Madar hill . They were built in the lower valley where the two rivers and steep thickly forested hillsides provided a strong defense . Located here is the 10th century Champavati Temple , said to have marked the birth of the town , the Lakshmi Narayan group of temples ( built from 10th - 19th century ) , the 10th century Sita Ram Temple , Bansi Gopal temple , Kharura Mohalla and Hari Rai temple , the 11th century Sui Mata Temple and Chamunda Devi Temple , and the Akhand Chandi palace , overlooking the Chaugan , which has since been converted into a college . Additions were made to the palace in the form of the Zenana Mahal and the Rang Mahal in the 18th century . The temples built in Chamba demonstrate a strong Kashmiri influence with their stone temple architecture and temple iconography . Given their age however , only their unicellular layout with fluted pillars has been retained .  Champavati temple ( edit )  This temple was built by Raja Sahil Varman in memory of his daughter Champavati . The temple , located near the Police Post and the Treasury building , is built in the Shikhara style , with intricate stone carvings . It has a wheel roof and is large as the Laxmi Narayan Temple . An idol of the goddess Mahishasuramardini ( Durga ) is worshipped in the temple . The walls of the temple are full of exquisite stone sculptures . On account of its historical and archaeological importance , the temple is maintained by the Archaeological Survey of India . Champavati Temple , located in the heart of the city of Chamba , is a pilgrim destination for many Hindus . It is named after Champavati , the daughter of King Sahil Varman , the founder of the temple . The temple holds great historical and religious relevance for many Hindus . Champavati Temple enshrines an idol of Goddess Mahisasuramardini , the avatar of Goddess Durga . According to the legend , the daughter of King Sahil Varman Champavati was a religious person and used to visit temples and sadhu 's ashrams regularly .   The king , after getting suspicious of her actions , once followed her to a sadhu 's place , with a dagger in his cloak . Once he reached the ashram , he found that there was no one inside . To his surprise , both the sadhu and his daughter Champavati had vanished . When he was about to return , he heard a voice saying that his daughter had been taken away as a punishment of his suspicion . The voice also asked him to build a temple , on the name of his daughter Champavati , if he wanted to avoid further familial calamities .   The king ordered the construction of the Champavati Temple . Now , the temple is under the Archaeological Survey of India , for its historical and archaeological importance . The major attraction of the temple is its Shikhara style architecture . Stone carved walls , full with sculptures , make the temple an attractive tourist spot . The temple has a large wheel on the rooftop , which adores it and makes it a distinguished temple in North India . The Champavati Temple is often compared with Laxmi Narayan Temple , in its grandeur .  Banni Mata Temple ( edit )  See Banni Mata Temple  Lakshmi Narayan temples ( edit ) Laxmi Narayan temple in Chamba  The Lakshmi Narayan temples complex , devoted to the Vaishnavite sect , includes the main Lakshmi Narayan temple , built in the 10th century by Raja Sahil Verman . It has been built to suit the local climatic conditions with wooden chatries and has a shikara , and a sanctum sanctorum ( Garbhagriha ) , with an antarala and a mantapa . A metallic image of Garuda , the vahana ( mount ) of Vishnu is installed on the dwajastamba pillar at the main gate of the temple . In 1678 , Raja Chhatra Singh adorned the temple roof with gold plated pinnacles , as a riposte to Auranagzeb , who had ordered demolition of this temple .  Chamunda Devi temple ( edit ) Champa Devi Temple near old market place , 1860  Chamunda Devi Temple is located in a prominent position on the spur of Shah Madar range of hills , opposite to the Chamba town . It was built by Raja Umed Singh , and was completed in 1762 . It is the only wooden temple with gabled roof ( single storied ) in Chamba , while all others in the town are built from stone in the north Indian Nagara architectural style .   In the past , the temple was accessed through a stone paved steep path laid with 378 steps , but it is now approached by a 3 kilometres ( 9,800 ft ) motorable road . The temple , a trabeated structure , is built on a high raised plinth , buttressed on all four sides , and has a rectangular layout on the outside . It exterior measures 9.22 metres ( 30.2 ft ) x 6 metres ( 20 ft ) , the inner square sanctum measures 3.55 metres ( 11.6 ft ) x 3.55 metres ( 11.6 ft ) and has a parikrama path ( circumambulatory path ) of 1.67 metres ( 5.5 ft ) around the perimeter .   There is a mandap in the foreground of the temple of 5.1 metres ( 17 ft ) x 6 metres ( 20 ft ) size with an agni - kund or fire pit in the centre and a gable roof covered with slates . The mandapa has carvings in wood in its multi paneled ceiling with reliefs of human figures on the pillars and brackets . Votive bells are provided in the mandap entrance and it has a Nagari inscription , which records it as the offering from Pandit Vidhadhara to the goddess Chamunda deified in the temple on 2 April 1762 , the date when the temple was consecrated .  Akhand Chandi palace ( edit ) Akhand Chandi Palace  The Akhand Chandi Palace , noted for its distinct green roof , was built by Raja Umed Singh between 1747 and 1765 and used as his residence . Later , Raja Sham Singh refurbished it with the assistance of British engineers . In 1879 , the Darbar Hall ( also named ' Marshal Hall ' after the builder ) was built . Raja Bhuri Singh added the Zenana Mahal ( residence of Royal ladies ) . The building was exemplary of the fusion of Mughal and British architectural influences . In 1973 , the Royal family of Chamba sold the palace to the Government of Himachal Pradesh , who in turn converted it into a Government College and District Library . Maintenance of the attractive palace , however , which has painted walls and glass work and intricate woodwork , has not been satisfactory , due to the lack of funds allocated to refurbish it . The palace provides scenic views of the Chaugan , Laxmi Narayana Temple , Sui Mata , Chamunda Devi Temple , Rang Mehal , Hari Rai Temple and Bansi Gopal Temple .   Monuments built after 1846 ( edit )  The lower , old part of the town and bridge  In the second half of the nineteenth century , the British administration drew up an urban plan for the development of Chamba . They laid emphasis on the building of civic buildings around the Chaugan to conceal the unorthodox structural layout of the residential complexes . The western oriented development programme grew particularly active after the arrival of Major Blair Reid in January 1863 , during the reign of Raja Shri Singh . The next fourteen years in particular , until his retirement in March 1877 , were characterised by large - scale building projects in Chamba , with Reid fully revising the administrative and revenue departments of Chamba and reorganizing the state machinery to make development more efficient .   Orderly new building complexes with `` simple visual discipline with white plastered walls , lancer arch windows , cornices , sloping sheet roofs , wooden eaves and deep verandahs were planned and built '' . Road communications were dramatically improved , with the approach road to the town being diverted , to provide a way for vehicular traffic to enter from the western end of the chaugan . A cabled suspension bridge was built across the Ravi River in the lower outskirts of the town , and many important public welfare projects were started , and well as many temples , gates , gardens and churches between 1863 and 1910 . Notable works built during the colonial period include the temples in the Jansali Bazar , Gandhi Gate ( Curzon Gate ) , Shiva Temple , the Chaugans , the Police Lines , the Church of Scotland , the Shyam Singh Hospital ( built in 1891 ) , Chamba Library , the Post Office building , Bhuri Singh Museum , the State Forces barracks , and the administrative buildings of the British period . Today , architectural materials have evolved considerably since ancient times and reinforced concrete structures are rapidly changing the skyline of the town .  Chaugan ( edit ) Chamba Chaugan  The Chaugan ( a Sanskrit word meaning : `` four sided '' ) is the nucleus of all activity in Chamba , surrounded by impressive administrative buildings and a shopping arcade built during the British period , with the old Akhand Chandi palace standing nearby . It has a terraced grass green , and is exceptionally large for a hill station , measuring 800 metres ( 2,600 ft ) length and 80 metres ( 260 ft ) width . In 1890 , the British converted five small chaugans into a single chaugan for use as an esplanade and sports complex , and today it is commonly used for cricket matches , picnics and promenades during the mid summer months . During the annual ' Minjar Mela ' fair , the entire ground becomes a flea market . After the Dussera festival , the grounds are closed to the public until April , for maintenance purposes .  Church of Scotland ( edit )  The Church of Scotland , a Presbyterian Church , known as ' St. Andrew 's Church ' , was established by the first missionary in Chamba , the Reverend William Ferguson , who served there between 1863 and 1873 . The foundation stone for building the new church was laid by the Raja of Chamba on 17 February 1899 , in the presence of the Scottish reverend Dr. M'Clymont who had come from Scotland . The Raja had contributed a generous grant to build the church and ensured that it was exquisitely built in fine stone masonry . The walls are supported by buttresses , and lancer arch windows provide the light and ventilation . Several schools are run by the Mission located within the church precincts .  Bhuri Singh museum ( edit ) The Bhuri Singh Museum  The Bhuri Singh Museum at Chamba was established on 14 September 1908 in honour of the raja at the time , Raja Bhuri Singh , who ruled Chamba from 1904 to 1919 . J. Ph . Vogel , an eminent indologist , and expert on the history of Chamba state , proposed the museum to preserve a number of valuable inscriptions , mostly in Sarda script , which contained some rare information about the medieval history of Chamba ; the prashastis ( inscriptions ) of Sarahan , Devi - ri - kothi and mul Kihar ( fountain inscription ) are still preserved in the museum . Bhuri Singh donated his family collection of paintings to the museum , including royal portraits which ranged from Basohli to Guler - Kangra in style , and embroidered Pahari miniatures . Numerous artifacts , important to the heritage of Chamba were added , including coins , hill jewelry and royal and traditional costumes , arms and armour , musical instruments and other items . The current museum was built in 1975 in concrete .   Culture ( edit )   Arts ( edit )   Chamba miniature Pahari paintings         Varaha , the boar , avatar ( incarnate ) of god Vishnu   Pahari painting , 1800 , of Shiva 's family on the march    Chamba miniature paintings ( edit )  Chamba is noted for its miniature Pahari paintings , where Basohli style of Pahari paintings took roots with Nikku , the artist of Basohli migrating from Guler to Chamba in the eighteenth century . Raja Udai Singh and Raja Jai Singh patronized this school of painting . During the reign of Raja Charhat Singh , folk art developed and had a lasting influence on local artists . The paintings of Chamba encompass both miniatures and murals and the Mughal influence is clearly discerned in these paintings . Distinguished artists of Chamba who have painted in this art form include Lehru , Durga and Miyan Jara Singh . The paintings were generally painted with Hindu religious themes , particularly the legends of Hindu mythology such as Radha Krishna , Shiva - Parvati , Rama Darbar , Yashoda and Krishna , Gopis , love scenes , deer , birds and women , Daya Saptashati and Krishna - Sudama . Romantic ambiance of the monsoon season in Chamba has also been painted by the artists of Pahari miniature art , in various moods and styles in Basholi colours . They are displayed in the museums at Chamba and also at Shimla and Dharamsala .  Handicrafts and musical instruments ( edit )  Chamba is an important centre for the making of traditional handicrafts , and the town has numerous small workshops maintained by the artisans . Many of the items produced are exquisite and lavish , testament to the towns ' aristocratic heritage .   Casting metalware in Chamba is an ancient tradition , dating back to the Bronze Age period , with items typically made out of copper or brass , and also iron , especially in the traditional making of implements and weapons by blacksmiths . Of particular note in this trade are the large plaques with reliefs , commonly used for wall decoration . The temple cupolas in Chamba district are often furnished with copper and brass items made in Chamba and often the golden kalasha or vessel crowning them is produced here .   Chamba has its own unique traditional system of men 's and women 's foot wares . The foot wares were originally made from locally produced leather but is today transported to Chamba from the south of India . Women 's foot wares are embroidered as are the `` vegetarian '' foot wares which are purposefully made without leather for use in places where leather is prohibited for religious reasons . Handkerchiefs and shawls are also made in abundance in Chamba . Traditionally handspun , they are designed in such a way as to make both sides of the cloth look identical , and are beautifully embroidered . Chamba shawls are woven on hand looms in wool and typically have a bright border in a traditional design . A similar woven design is used for making caps .   Traditional jewellery is made in gold and silver in Chamba as its pottery , typically kitchenware , utensils and earthen pots . Given Chamba 's history of new immigration from other parts of the country and Tibet , a variety of influences can be seen in the pieces of jewellery that are produced in Chamba . Chamba is also noted for its wood carvings , which , like the metalware is often used for iconography in temples , such as Chamunda Devi . A `` Nagara '' , a form of kettle drum is produced in Chamba as are cymbals , bells and `` Singa '' or `` Ransinga '' ( horns ) produced in both straight and curved styles . Other instruments include Shankh , Nad , Beiunsuli , Saihna , Nag Pheni , Thali Ghada , Bhana , Karnal , Pohol , Dhons , Kahal , Kansi , Hasat Ghanta and Drugg .   Festivals , fairs and dances ( edit )  The Chaugan in Chamba , where fairs are held  Chamba is one of those places where Basohli effect actually reached . Two melas or fairs , also known as Jatras , are of particular note in Chamba ; `` Suhi Mata Mela '' and `` Minjar Mela '' . A notable event of such fairs is when the ' chela '. a subordinate of the deity who is being worshipped goes into a trance and answers the queries and prayers of the devotees .   An important festival held in Chamba is known as the `` Suhi Mata Mela '' . It is held annually in March -- April for four days to commemorate the sacrifice made by the queen of Chamba with her life , to bring water to the town . The legend associated with this festival and the Sui Mata temple , built in memory of the queen ( wife of Raja Sahil Varman ) , relates to the sacrifice she made to fulfill a prophecy in a dream , which said that water from the Sarota stream could only be accessed through an aqueduct if the queen or her son was sacrificed . Rather than kill her own son she sacrificed her own life for the town . To commemorate this event , women and children take a lead role in the festival . An image of Champavati , with banners of the Rajput solar emblem , are taken by them in a procession , dancing and singing , through the Chaugan to the Suhi Mata temple .   Another popular festival held in Chamba is the `` Minjar Mela '' , held on the second Sunday of the Shravana month , corresponding to the month of August in the Gregorian calendar . It marks t</t>
  </si>
  <si>
    <t xml:space="preserve">which raja of chamba transferred the capital of his state from bharmaur to chamba</t>
  </si>
  <si>
    <t xml:space="preserve"> Though historical records date the history of the Chamba region to the Kolian tribes in the 2nd century BC , the area was formally ruled by the Maru dynasty , starting with the Raju Maru from around 500 AD , ruling from the ancient capital of Bharmour , which is located 75 kilometres ( 47 mi ) from the town of Chamba . In 920 , Raja Sahil Varman ( or Raja Sahil Verma ) shifted the capital of the kingdom to Chamba , following the specific request of his daughter Champavati ( Chamba was named after her ) . From the time of Raju Maru , 67 Rajas of this dynasty have ruled over Chamba until it finally merged with the Indian Union in April 1948 , although Chamba was under British suzerainty from 1846 to this time . </t>
  </si>
  <si>
    <r>
      <rPr>
        <sz val="11"/>
        <color rgb="FF000000"/>
        <rFont val="Calibri"/>
        <family val="0"/>
        <charset val="1"/>
      </rPr>
      <t xml:space="preserve">1956 -- 57 NBA season - Wikipedia  1956 -- 57 NBA season  Jump to : navigation , search    1956 -- 57 NBA season     League   National Basketball Association     Sport   Basketball     Number of games   72     Number of teams   8     TV partner ( s )   NBC     Regular season     Season MVP   Bob Cousy ( Boston )     Top scorer   Paul Arizin ( Philadelphia )     Playoffs     Eastern champions   Boston Celtics     Eastern runners - up   Syracuse Nationals     Western champions   St. Louis Hawks     Western runners - up   Minneapolis Lakers     Finals     Champions   Boston Celtics     Runners - up   St. Louis Hawks     NBA seasons     ← 1955 -- 56 1957 -- 58 →     The 1956 -- 57 NBA season was the 11th season of the National Basketball Association . The season ended with the Boston Celtics winning the NBA Championship ( which would be the first of their 17 NBA titles ) , beating the St. Louis Hawks 4 games to 3 in the NBA Finals .     Contents  ( hide )   1 Notable occurrences   2 Final standings   2.1 Eastern Division   2.2 Western Division     3 Statistics leaders   4 NBA awards   5 References      Notable occurrences ( edit )    The 1957 NBA All - Star Game was played in Boston , Massachusetts , with the East beating the West 109 - 97 . Local hero Bob Cousy of the Boston Celtics wins the game 's MVP award .    Final standings ( edit )   Eastern Division ( edit )     Eastern Division               PCT   GB   Home   Road   Neutral   Div     x-Boston Celtics   44   28   . 611   -   24 - 4   11 - 18   9 - 6   20 - 16     x-Syracuse Nationals   38   34   . 528   6   23 - 9   9 - 15   6 - 10   20 - 16     x-Philadelphia Warriors   37   35   . 514   7   20 - 5   5 -- 25   12 - 5   17 - 19     New York Knicks   36   36   . 500   8   18 - 10   9 - 19   9 - 7   15 - 21       Western division ( edit )     Western Division               PCT   GB   Home   Road   Neutral   Div     x-St . Louis Hawks   34   38   . 472   -   17 - 9   10 - 20   7 - 9   22 - 14     x-Minneapolis Lakers   34   38   . 472   -   15 - 9   5 - 22   14 - 7   18 - 18     x-Fort Wayne Pistons   34   38   . 472   -   23 - 5   5 - 23   6 - 10   17 - 19     Rochester Royals   31   41   . 431     19 - 10   7 - 17   5 - 14   15 - 21      St. Louis finished ahead of Fort Wayne and Minneapolis by defeating them in tiebreaker matches .    x -- clinched playoff spot   Statistics leaders ( edit )       Player   Team   Stat     Points   Paul Arizin   Philadelphia Warriors   1,817     Rebounds   Maurice Stokes   Rochester Royals   1,256     Assists   Bob Cousy   Boston Celtics   478     FG %   Neil Johnston   Philadelphia Warriors   . 447     FT %   Bill Sharman   Boston Celtics   . 905     Note : Prior to the 1969 -- 70 season , league leaders in points , rebounds , and assists were determined by totals rather than averages .   NBA awards ( edit )    Most Valuable Player : Bob Cousy , Boston Celtics   Rookie of the Year : Tom Heinsohn , Boston Celtics        All - NBA First Team :   Paul Arizin , Philadelphia Warriors   Bob Pettit , St. Louis Hawks   Bob Cousy , Boston Celtics   Bill Sharman , Boston Celtics   Dolph Schayes , Syracuse Nationals         All - NBA Second Team :   Dick Garmaker , Minneapolis Lakers   Neil Johnston , Philadelphia Warriors   Slater Martin , St. Louis Hawks   Maurice Stokes , Rochester Royals   George Yardley , Fort Wayne Pistons         References ( edit )    1956 -- 57 NBA Season Summary basketball-reference.com . Retrieved December 10 , 2010              NBA seasons     1940s                    1946 -- 47   1947 -- 48   1948 -- 49        1950s      1949 -- 50   1950 -- 51   1951 -- 52   1952 -- 53   1953 -- 54   1954 -- 55   1955 -- 56   1956 -- 57   1957 -- 58   1958 -- 59        1960s      1959 -- 60   1960 -- 61   1961 -- 62   1962 -- 63   1963 -- 64   1964 -- 65   1965 -- 66   1966 -- 67   1967 -- 68   1968 -- 69        1970s      1969 -- 70   1970 -- 71   1971 -- 72   1972 -- 73   1973 -- 74   1974 -- 75   1975 -- 76   1976 -- 77   1977 -- 78   1978 -- 79        1980s      1979 -- 80   1980 -- 81   1981 -- 82   1982 -- 83   1983 -- 84   1984 -- 85   1985 -- 86   1986 -- 87   1987 -- 88   1988 -- 89        1990s      1989 -- 90   1990 -- 91   1991 -- 92   1992 -- 93   1993 -- 94   1994 -- 95   1995 -- 96   1996 -- 97   1997 -- 98   1998 -- 99        2000s      1999 -- 00   2000 -- 01   2001 -- 02   2002 -- 03   2003 -- 04   2004 -- 05   2005 -- 06   2006 -- 07   2007 -- 08   2008 -- 09        2010s      2009 -- 10   2010 -- 11   2011 -- 12   2012 -- 13   2013 -- 14   2014 -- 15   2015 -- 16   2016 -- 17   2017 -- 18                    1956 -- 57 NBA season       Draft   All - Star Game   Playoffs   Finals       Eastern     Boston   New York   Philadelphia   Syracuse       Western     Fort Wayne   Minneapolis   Rochester   St. Louis             This basketball - related article is a stub . You can help Wikipedia by expanding it .            Retrieved from `` https://en.wikipedia.org/w/index.php?title=1956 -- 57_NBA_season&amp;oldid = 764445911 '' Categories :   1956 -- 57 NBA season   Basketball stubs   Hidden categories :   Pages using infobox sports season with unknown parameters   All stub articles           Talk                                           Contents                   About Wikipedia                                                 Bosanski   Català   Español   Français   Հայերեն   Italiano   עברית   Latviešu   Magyar   Монгол   </t>
    </r>
    <r>
      <rPr>
        <sz val="11"/>
        <color rgb="FF000000"/>
        <rFont val="Noto Sans CJK SC"/>
        <family val="2"/>
      </rPr>
      <t xml:space="preserve">日本 語   </t>
    </r>
    <r>
      <rPr>
        <sz val="11"/>
        <color rgb="FF000000"/>
        <rFont val="Calibri"/>
        <family val="0"/>
        <charset val="1"/>
      </rPr>
      <t xml:space="preserve">Português   Русский   Suomi   Svenska   Türkçe   </t>
    </r>
    <r>
      <rPr>
        <sz val="11"/>
        <color rgb="FF000000"/>
        <rFont val="Noto Sans CJK SC"/>
        <family val="2"/>
      </rPr>
      <t xml:space="preserve">中文   </t>
    </r>
    <r>
      <rPr>
        <sz val="11"/>
        <color rgb="FF000000"/>
        <rFont val="Calibri"/>
        <family val="0"/>
        <charset val="1"/>
      </rPr>
      <t xml:space="preserve">Edit links   This page was last edited on 8 February 2017 , at 23 : 48 .         About Wikipedia                    </t>
    </r>
  </si>
  <si>
    <t xml:space="preserve">how many teams in the nba in 1956</t>
  </si>
  <si>
    <t xml:space="preserve">   1956 -- 57 NBA season     League   National Basketball Association     Sport   Basketball     Number of games   72     Number of teams   8     TV partner ( s )   NBC     Regular season     Season MVP   Bob Cousy ( Boston )     Top scorer   Paul Arizin ( Philadelphia )     Playoffs     Eastern champions   Boston Celtics     Eastern runners - up   Syracuse Nationals     Western champions   St. Louis Hawks     Western runners - up   Minneapolis Lakers     Finals     Champions   Boston Celtics     Runners - up   St. Louis Hawks     NBA seasons     ← 1955 -- 56 1957 -- 58 →   </t>
  </si>
  <si>
    <r>
      <rPr>
        <sz val="11"/>
        <color rgb="FF000000"/>
        <rFont val="Calibri"/>
        <family val="0"/>
        <charset val="1"/>
      </rPr>
      <t xml:space="preserve">Silk ( TV series ) - wikipedia  Silk ( TV series )  Jump to : navigation , search    Silk         Genre   Drama , crime , legal     Created by   Peter Moffat     Written by     Peter Moffat   Steve Thompson   Debbie O'Malley   Mick Collins   Colin Teevan       Starring     Maxine Peake   Rupert Penry - Jones   Neil Stuke   John MacMillan   Theo Barklem - Biggs   Alex Jennings   Tom Hughes   Natalie Dormer   Nina Sosanya   Jamie Di Spirito   Frances Barber   Amy Wren   Phil Davis   Indira Varma   Shaun Evans   Miranda Raison   Jessica Henwick       Country of origin   United Kingdom     Original language ( s )   English     No. of series       No. of episodes   18 ( list of episodes )     Production     Executive producer ( s )   Hilary Salmon Peter Moffat     Producer ( s )   Cameron Roach ( Series 1 ) Richard Stokes ( Series 2 ) Matt Strevens ( Series 3 )     Running time   60 minutes     Production company ( s )   BBC Productions     Release     Original network   BBC One BBC One HD ABC1 ( Syndication )     Picture format   1080i ( HDTV )     Original release   22 February 2011 ( 2011 - 02 - 22 ) -- 31 March 2014 ( 2014 - 03 - 31 )     Chronology     Related shows   North Square Criminal Justice     External links     Website   www.bbc.co.uk/programmes/b01hzsch     Silk is a British television drama series produced by the BBC which was broadcast over three series on BBC One between 22 February 2011 and 31 March 2014 . Created by Peter Moffat , the series follows the daily goings on of Shoe Lane Chambers and its members in their personal and professional lives .     Contents  ( hide )   1 Origin   2 Overview   3 Cast   3.1 Main cast   3.2 Recurring cast     4 Episode list   4.1 Series 1 ( 2011 )   4.2 Series 2 ( 2012 )   4.3 Series 3 ( 2014 )     5 Home media   6 In other media   6.1 Radio     7 Critical reception   8 References   9 External links      Origin ( edit )   The series ' writer , Peter Moffat , also wrote the series Criminal Justice and North Square , as well as an episode of Kavanagh QC . Before the series started , Moffat said in an interview , `` I wanted Silk to be full of politics and intrigue . From my experience at the Bar , I felt life in chambers had all of those components , with big stories and lots of courtroom drama -- but I wanted to make it as much about barristers and their life in chambers as about the trials '' .   Silk was commissioned by Jay Hunt , then - Controller of BBC One and Ben Stephenson , BBC Controller of Drama Commissioning , and started filming in July 2010 . It is based on Moffat 's experiences at the Bar . In an interview with The Guardian , he said `` I want to tell it as it really is . The extreme pressure , the hard choices , the ethical dilemmas , the overlap between the personal and the professional , principles fought for and principles sacrificed , the Machiavellian politics , the sex , the drinking , the whole story -- life at the bar is the richest possible drama territory . ''   The series ' title is a colloquial reference to someone who has attained the status of Queen 's Counsel , which entitles the person to wear a certain design of gown in court , which is usually made of silk .   Overview ( edit )   Silk follows barristers from a set of chambers in London . The series ' main focus is on Martha Costello ( Maxine Peake ) and her ambition to become Queen 's Counsel as well as on her rival , Clive Reader ( Rupert Penry - Jones ) . Martha achieves her ambition at the end of Series One , leaving Clive disappointed . He however becomes a QC in the opening episode of Series 3 . The chambers ' senior clerk , Billy Lamb ( Neil Stuke ) , also features heavily in the series . In series 3 , Miranda Raison joins the show as Harriet Hammond who is a thorn in the side of Billy , as well as a confidante , supporter , and potential love interest for Clive Reader .   Silk ended with series 3 because creator Moffat and lead actress , Maxine Peake , were keen to end at a high point . Rupert Penry - Jones commented that : `` It 's a courtroom drama so it could go on and on and there is a whole echelon of stuff we could go into but it will be interesting to see what people make of this series because the way it is left , we as a cast are n't sure whether it 's been written as , ' This is it ' , or whether it 's got more to come because it feels like everyone gets blasted in different directions at the end of this series , so maybe the writer has thrown a grenade in and blown the whole show up . But it will very much depend on how people react to it '' .   In March 2014 , it was announced there will be a radio spin - off following the lives of the clerks of Shoe Lane Chambers .   In October 2014 , it was announced that the series would be adapted by ABC for USA television . Peter Moffat is due to executive produce with the pilot being written by Marty Scott .   Cast ( edit )   Main cast ( edit )    Maxine Peake as Martha Costello QC , Defence Barrister   Rupert Penry - Jones as Clive Reader QC , Barrister   Neil Stuke as Billy Lamb , Senior Clerk   John MacMillan as John Bright , Clerk   Theo Barklem - Biggs as Jake Milner , Junior Clerk   Alex Jennings as Alan Cowdrey QC , Head of Chambers    Recurring cast ( edit )    Tom Hughes as Nick Slade , a pupil who shadows Martha Costello ( Series 1 )   Natalie Dormer as Niamh Cranitch , a pupil who shadows Clive Reader ( Series 1 )   Nina Sosanya as Kate Brockman , Prosecution Barrister ( Series 1 )   Jamie Di Spirito as Jimmy Johnson , Junior Clerk ( Series 1 )   Frances Barber as Caroline Warwick QC , Prosecution Barrister ( Series 2 -- 3 )   Amy Wren as Bethany Brassington , Junior Clerk ( Series 2 -- 3 )   Phil Davis as Mickey Joy , Solicitor ( Series 2 -- 3 )   Indira Varma as George Duggan , CPS Solicitor ( Series 2 )   Shaun Evans as Daniel Lomas , a pupil who shadows Martha Costello ( Series 2 )   Miranda Raison as Harriet Hammond , Practice Manager ( Series 3 )   Jessica Henwick as Amy Lang , a pupil who shadows Martha Costello , Clive Reader &amp; Caroline Warwick ( Series 3 )    Episode list ( edit )     Series   Episodes   Originally broadcast   DVD release date     Series premiere   Series finale   Region 2   Region 1         6   22 February 2011   29 March 2011   11 April 2011   12 November 2013         6   15 May 2012   20 June 2012   25 June 2012   1 March 2016         6   24 February 2014   31 March 2014   7 April 2014   3 January 2017     Series 1 ( 2011 ) ( edit )     Episode   Title   Written by   Directed by   Viewers ( millions )   Original airdate       `` The Bitter End ''   Peter Moffat   Michael Offer   6.34 m   22 February 2011 ( 2011 - 02 - 22 )     Martha represents a pregnant drugs mule who is pleading unfit to stand trial , as well as a man charged with robbery and assault on an elderly war hero .       `` High and Dry ''   Peter Moffat   Michael Offer   5.67 m   1 March 2011 ( 2011 - 03 - 01 )     Martha is pitted against Clive in the case of a man accused of raping his ex-girlfriend , before discovering that she is pregnant .       `` Close Quarters ''   Peter Moffat   David Evans   5.80 m   8 March 2011 ( 2011 - 03 - 08 )     Martha takes on the case of a teenage rent boy who is charged with indecency in a public lavatory . Niamh defends a couple accused of breeding dangerous dogs .       `` Touch and Go ''   Peter Moffat   David Evans   5.84 m   15 March 2011 ( 2011 - 03 - 15 )     Martha defends an Asian policewoman accused of racial assault on a fellow colleague . Billy tries to get rid of Clive by asking a friend from a fellow chambers to offer him a job .     5   `` All Plain Sailing ''   Steve Thompson   Catherine Morshead   5.74 m   22 March 2011 ( 2011 - 03 - 22 )     Martha attempts to use the case of a teacher , who is accused of murdering a pupil who persecuted him , as a spring board for promotion .     6   `` Three Sheets to the Wind ''   Peter Moffat   Catherine Morshead   5.72 m   29 March 2011 ( 2011 - 03 - 29 )     Martha defends a couple who inadvertently caused the murder of a judge after breaking into his house with the intent of robbing him .     Series 2 ( 2012 ) ( edit )     Episode   Title   Written by   Directed by   Viewers ( millions )   Original airdate       `` Famous Last Words ''   Peter Moffat   Peter Hoar   6.56 m   15 May 2012 ( 2012 - 05 - 15 )     Martha and Clive defend a thug connected to a well - known crime family who is accused of blinding a man who fell foul of his boss .       `` The House of Ill Repute ''   Peter Moffat   Peter Hoar   6.08 m   22 May 2012 ( 2012 - 05 - 22 )     Martha defends a young Captain at a court - martial . He is accused of disobeying orders , and that his disobedience led to the death of an unarmed Private .       `` In the Family Way ''   Peter Moffat   Alice Troughton   5.56 m   29 May 2012 ( 2012 - 05 - 29 )     Martha defends a youth accused of trashing a corner shop after his girlfriend was insulted . Clive prosecutes three Oxford students accused of assaulting a young waitress .       `` Wooden Overcoat ''   Debbie O'Malley   Alice Troughton   5.64 m   5 June 2012 ( 2012 - 06 - 05 )     Martha defends a prison van driver accused of neglect and manslaughter after a claustrophobic prisoner dies while in his care .     5   `` Shooting Blanks ( Part 1 ) ''   Peter Moffat   Jeremy Webb   5.33 m   12 June 2012 ( 2012 - 06 - 12 )     Caroline seeks out Clive 's assistance in the prosecution of Jody Farr , in exchange for a deal for one of her clients .     6   `` Shooting Blanks ( Part 2 ) ''   Peter Moffat   Jeremy Webb   5.28 m   20 June 2012 ( 2012 - 06 - 20 )     Martha decides to claim that Jody Farr was framed by the police as her first line of defence . Billy goes in for his operation .     Series 3 ( 2014 ) ( edit )     Episode   Title   Written by   Directed by   Viewers ( millions )   Original airdate       `` The Goodbye Kid ''   Peter Moffat   Marc Jobst   6.13 m   24 February 2014 ( 2014 - 02 - 24 )     Alan 's son is arrested on suspicion of the murder of a policeman , while Martha hits the bottle after an Inspector lies in court to frame her client .       `` Big Fish , Small Pond ''   Mick Collins   Marc Jobst   5.42 m   3 March 2014 ( 2014 - 03 - 03 )     Martha defends a footballer accused of attacking one of his fellow team players after a match .       `` Heavy Metal ''   Colin Teevan   Michael Keillor   5.16 m   10 March 2014 ( 2014 - 03 - 10 )     Martha is approached by a Euthanasia campaigner to defend a friend , who helped her paraplegic daughter to take her own life .       `` Mother Country ''   Christian Spurrier   Michael Keillor   5.10 m   17 March 2014 ( 2014 - 03 - 17 )     Martha is asked to help an American solicitor whose nephew is wanted for extradition by the American authorities in relation to a bomb scare at Arizona university .     5   `` The Real McCoy ( Part 1 ) ''   Peter Moffat   Cilla Ware   5.06 m   24 March 2014 ( 2014 - 03 - 24 )     Martha goes into prison to visit an ex-lover who is accused of shooting dead gang leader Jimmy Monk , who demanded protection money for him to open a night club .     6   `` The Real McCoy ( Part 2 ) ''   Peter Moffat   Cilla Ware   5.33 m   31 March 2014 ( 2014 - 03 - 31 )     Clive is forced to withdraw from the case , convinced of Sean McBride 's guilt . Billy tries to help Martha by convincing Micky Joy to give evidence on police corruption . Harriet and Clive consummate their relationship .     Home media ( edit )     DVD Title   Season   Episodes   Aspect Ratio   Running time   Year     Season One     6   16 : 9   360 minutes   12 November 2013     Season Two     6   16 : 9   352 minutes   1 March 2016     Season Three     6   16 : 9   300 minutes   3 January 2017     In other media ( edit )   Radio ( edit )   BBC Radio 4 featured a spin - off `` Silk : The Clerks Room '' that lasted for two seasons from 2014 -- 2015 , featuring Theo Barklem - Biggs as Jake , Neil Stuke as Billy , and Jessica Henwick as Amy .   Critical reception ( edit )   Writing in The Daily Telegraph , barrister Sarah Palin praised Silk , saying that `` the opening episodes do a good job of capturing the relentless pressure of the criminal Bar '' and that `` the competition for silk , while a useful plot device , also accurately reflects the fiercely competitive nature of the Bar '' , but added `` the characters featured are a little more youthful than their real - life counterparts '' and that the storyline in which one of the pupil barristers shoplifts his wig and gown struck `` an absurd note '' . The Telegraph 's television reviewer , James Walton , compared the series to Moffat 's previous production , North Square , but said that Silk was `` more viewer - friendly '' and the characters `` far easier to divide into heroes and villains '' . He concluded that the first episode was `` a perfectly OK hour of telly -- marred only by the fact that we 've come to expect a bit more than that from Moffat . '' Alex Aldridge of The Guardian , meanwhile , called the series `` underwhelming '' and stated that it implied that cocaine use was `` rife '' among criminal barristers . Also writing in The Guardian , Lucy Mangan implied that the series was predictable and called it `` a rare misfire by Peter Moffat ( ... ) and aggravated by the squandering of Peake , whose usually overflowing talents seem to have been dammed here rather than encouraged to irrigate an oddly bloodless role . ''   The first series averaged 5.85 million viewers . The second series averaged 5.74 million viewers .   References ( edit )    ^ Jump up to : Palin , Sarah ( 22 February 2011 ) . `` Silk , BBC One : a lawyer 's verdict '' . The Daily Telegraph . Retrieved 7 March 2011 .   Jump up ^ Maxine Peake and Rupert Penry - Jones called to the bar in new BBC legal drama Silk BBC Press Office , 13 July 2010   Jump up ^ Deans , Jason ( 13 July 2010 ) . `` Maxine Peake to star in BBC1 legal drama Silk '' . The Guardian . Retrieved 1 March 2011 .   Jump up ^ `` Why is law such a fertile ground for drama ? '' . BBC News . 22 February 2011 . Retrieved 7 March 2011 .   Jump up ^ http://www.radiotimes.com/news/2014-03-20/bbc-legal-drama-silk-to-end-with-series-three   Jump up ^ `` TV drama Silk in radio spin - off '' . BBC News . Retrieved 26 August 2015 .   Jump up ^ Morgan Jeffery ( 27 October 2014 ) . `` BBC One 's Silk to be remade for US television by ABC '' . DigitalSpy .   Jump up ^ `` Silk -- Series 1 ( DVD ) '' . Retrieved 26 August 2015 .   Jump up ^ `` Silk -- Series 2 ( DVD ) '' . Retrieved 26 August 2015 .   ^ Jump up to : http://www.barb.co.uk/whats-new/weekly-top-30 ?   Jump up ^ Silk : The Clerks ' Room , BBC Radio   Jump up ^ Walton , James ( 22 February 2011 ) . `` Silk , BBC One , review '' . The Daily Telegraph . Retrieved 7 March 2011 .   Jump up ^ Aldridge , Alex ( 3 March 2011 ) . `` Alex Aldridge : Is there a cocaine culture at the criminal bar ? '' . The Guardian . Retrieved 7 March 2011 .   Jump up ^ Mangan , Lucy ( 23 February 2011 ) . `` TV review : Silk , Heston 's Mission Impossible '' . The Guardian . Retrieved 7 March 2011 .   Jump up ^ `` Viewing data '' . Broadcasters ' Audience Research Board . Retrieved 11 September 2013 .    External links ( edit )    Silk on IMDb   Silk at BBC Programmes   Retrieved from `` https://en.wikipedia.org/w/index.php?title=Silk_(TV_series)&amp;oldid=814712745 '' Categories :   2010s British drama television series   2011 British television programme debuts   2014 British television programme endings   BBC high definition programmes   BBC television dramas   British crime television series   British legal television series   Television programmes shot in London   English - language television programs   Hidden categories :   EngvarB from July 2017   Use dmy dates from July 2017   Pages using deprecated image syntax   All articles with unsourced statements   Articles with unsourced statements from January 2015           Talk                                           Contents                   About Wikipedia                                           Deutsch   Français   Italiano   Русский   </t>
    </r>
    <r>
      <rPr>
        <sz val="11"/>
        <color rgb="FF000000"/>
        <rFont val="Noto Sans CJK SC"/>
        <family val="2"/>
      </rPr>
      <t xml:space="preserve">中文   </t>
    </r>
    <r>
      <rPr>
        <sz val="11"/>
        <color rgb="FF000000"/>
        <rFont val="Calibri"/>
        <family val="0"/>
        <charset val="1"/>
      </rPr>
      <t xml:space="preserve">Edit links   This page was last edited on 10 December 2017 , at 13 : 19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</si>
  <si>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many series of silk have been made</t>
  </si>
  <si>
    <t xml:space="preserve">   Series   Episodes   Originally broadcast   DVD release date     Series premiere   Series finale   Region 2   Region 1         6   22 February 2011   29 March 2011   11 April 2011   12 November 2013         6   15 May 2012   20 June 2012   25 June 2012   1 March 2016         6   24 February 2014   31 March 2014   7 April 2014   3 January 2017   </t>
  </si>
  <si>
    <t xml:space="preserve">LeBron James - wikipedia  LeBron James  `` LeBron '' redirects here . For other uses , see Lebron ( disambiguation ) .        It has been suggested that LeBron James Jr. be merged into this article . ( Discuss ) Proposed since August 2018 .       LeBron James   James with the Cavaliers in 2017     No. 23 -- Los Angeles Lakers     Position   Small forward / Shooting guard     League   NBA           ( 1984 - 12 - 30 ) December 30 , 1984 ( age 33 ) Akron , Ohio     Nationality   American     Listed height   6 ft 8 in ( 2.03 m )     Listed weight   250 lb ( 113 kg )     Career information     High school   St. Vincent -- St. Mary ( Akron , Ohio )     NBA draft   2003 / Round : 1 / Pick : 1st overall     Selected by the Cleveland Cavaliers     Playing career   2003 -- present     Career history     2003 -- 2010   Cleveland Cavaliers     2010 -- 2014   Miami Heat     2014 -- 2018   Cleveland Cavaliers     2018 -- present   Los Angeles Lakers         Career highlights and awards       3 × NBA champion ( 2012 , 2013 , 2016 )   3 × NBA Finals MVP ( 2012 , 2013 , 2016 )   4 × NBA Most Valuable Player ( 2009 , 2010 , 2012 , 2013 )   14 × NBA All - Star ( 2005 -- 2018 )   3 × NBA All - Star Game MVP ( 2006 , 2008 , 2018 )   12 × All - NBA First Team ( 2006 , 2008 -- 2018 )   2 × All - NBA Second Team ( 2005 , 2007 )   5 × NBA All - Defensive First Team ( 2009 -- 2013 )   NBA All - Defensive Second Team ( 2014 )   NBA Rookie of the Year ( 2004 )   NBA scoring champion ( 2008 )   J. Walter Kennedy Citizenship Award ( 2017 )   2 × AP Athlete of the Year ( 2013 , 2016 )   2 × Sports Illustrated Sportsperson of the Year ( 2012 , 2016 )   USA Basketball Male Athlete of the Year ( 2012 )   2 × Mr. Basketball USA ( 2002 , 2003 )   Naismith Prep Player of the Year ( 2003 )   McDonald 's All - American Game MVP ( 2003 )   3 × Ohio Mr. Basketball ( 2001 -- 2003 )           Stats at NBA.com     Stats at Basketball-Reference.com         Medals ( hide )        Men 's basketball     Representing the United States     Olympic Games       2008 Beijing   Team       2012 London   Team       2004 Athens   Team     FIBA World Championship       2006 Japan       FIBA Americas Championship       2007 Las Vegas          LeBron Raymone James Sr. ( / ləˈbrɒn / ; born December 30 , 1984 ) is an American professional basketball player for the Los Angeles Lakers of the National Basketball Association ( NBA ) . Often considered the best basketball player in the world and regarded by some as the greatest player of all time , James ' NBA accomplishments are extensive and include four NBA Most Valuable Player Awards , three NBA Finals MVP Awards , two Olympic gold medals , three All - Star Game MVP awards , and an NBA scoring title . He is the all - time NBA playoffs scoring leader and has amassed fourteen NBA All - Star Game appearances , twelve All - NBA First Team designations , and five All - Defensive First Team honors .   A prep - to - pro , James played high school basketball for St. Vincent -- St. Mary High School in his hometown of Akron , Ohio , where he was heavily touted in the national media as a future NBA superstar . He joined the Cleveland Cavaliers in 2003 as the first overall draft pick . James quickly emerged as a league star and concluded his first season by winning the NBA Rookie of the Year Award . He would go on to establish himself as one of the premier players in the NBA with multiple accolades , including being given the NBA Most Valuable Player Award in 2009 and 2010 . However , after falling short of the championship expectations set by the media , fans , and himself , James departed Cleveland in 2010 as a free agent to sign with the Miami Heat . This move was announced in an ESPN special titled The Decision , and is one of the most controversial free agent decisions in American sports history .   In Miami , James won his first NBA championship in 2012 , and followed that with another title a year later . He was named league MVP and NBA Finals MVP in both championship years . In 2014 , James opted out of his contract with Miami after four seasons to re-sign with the Cavaliers . In 2016 , James led the Cavaliers to their first NBA championship by defeating the Golden State Warriors to end Cleveland 's 52 - year professional sports title drought . In 2018 , he opted out of his Cleveland contract to sign with the Lakers .   Contents    1 Early life   2 High school career   2.1 Basketball   2.2 Football     3 Professional career   3.1 Cleveland Cavaliers   3.1. 1 2003 -- 2004 : Rookie season   3.1. 2 2004 -- 2008 : Rise to superstardom   3.1. 3 2008 -- 2010 : MVP seasons     3.2 Miami Heat   3.2. 1 The Decision   3.2. 2 2010 -- 2011 : Year of media and fan scrutiny   3.2. 3 2011 -- 2013 : Back - to - back championships   3.2. 4 2013 -- 2014 : Final season in Miami     3.3 Return to the Cavaliers   3.3. 1 2014 -- 16 : Ending the Cleveland sports curse   3.3. 2 2016 -- 18 : Final seasons in Cleveland     3.4 Los Angeles Lakers     4 National team career   5 Player profile   5.1 Offense   5.2 Defense     6 Off the court   6.1 Personal life   6.2 Public image   6.3 Media figure and business interests   6.4 Activism     7 NBA career statistics   7.1 Regular season   7.2 Playoffs     8 Awards and honors   9 Filmography   10 See also   11 Notes   12 References   13 Further reading   14 External links    Early life   James was born on December 30 , 1984 , in Akron , Ohio to a 16 - year - old mother , Gloria Marie James . His father , Anthony McClelland , has an extensive criminal record and was not involved in their life . When James was growing up , life was often a struggle for the family , as they moved from apartment to apartment in the seedier neighborhoods of Akron while Gloria struggled to find steady work . Realizing that her son would be better off in a more stable family environment , Gloria allowed him to move in with the family of Frank Walker , a local youth football coach who introduced James to basketball when he was nine years old .   James started playing organized basketball in the fifth grade . He later played Amateur Athletic Union ( AAU ) basketball for the Northeast Ohio Shooting Stars . The team enjoyed success on a local and national level , led by James and his friends Sian Cotton , Dru Joyce III , and Willie McGee . The group was inseparable and dubbed themselves the `` Fab Four '' , promising each other that they would attend high school together . In a move that stirred local controversy , they chose to attend St. Vincent -- St. Mary High School , a predominantly white private Catholic school .   High school career   Basketball   As a freshman , James averaged 21 points and 6 rebounds per game for the St. Vincent - St. Mary varsity basketball team . The Fighting Irish finished the year 27 -- 0 , winning the Division III state title and becoming the only boys high school team to have an undefeated season . As a sophomore , James averaged 25.2 points and 7.2 rebounds with 5.8 assists and 3.8 steals per game . For some home games during the season , St. Vincent - St. Mary played at the University of Akron 's 5,492 - seat Rhodes Arena to satisfy ticket demand from alumni , fans , and college and NBA scouts who wanted to see James play . The Fighting Irish finished the season 26 -- 1 and repeated as state champions . For his outstanding play , James was named Ohio Mr. Basketball and selected to the USA Today All - USA First Team , becoming the first sophomore to do either .   Prior to the start of his junior year , James appeared in SLAM Magazine and writer Ryan Jones lauded him as possibly `` the best high school basketball player in America right now '' . During the season , he appeared on the cover of Sports Illustrated , becoming the first high school basketball underclassman to do so . With averages of 29 points , 8.3 rebounds , 5.7 assists , and 3.3 steals per game , he was again named Ohio Mr. Basketball and selected to the USA Today All - USA First Team , and became the first junior to be named boys ' basketball Gatorade National Player of the Year . St. Vincent - St. Mary finished the year with a 23 -- 4 record , ending their season with a loss in the Division II championship game . Following the loss , James unsuccessfully petitioned for a change to the NBA 's draft eligibility rules , which required prospective players to have at least a high school diploma , in an attempt to enter the 2002 NBA draft . During this time , he used marijuana , which he said was to help cope with the stress that resulted from the constant media attention he was receiving .   Throughout his senior year , James and the Fighting Irish traveled around the country to play a number of nationally ranked teams , including a game against Oak Hill Academy that was nationally televised on ESPN2 . Time Warner Cable , looking to capitalize on James 's popularity , offered St. Vincent - St. Mary 's games to subscribers on a pay - per - view basis throughout the season . For the year , James averaged 31.6 points , 9.6 rebounds , 4.6 assists , and 3.4 steals per game , was named Ohio Mr. Basketball and selected to the USA Today All - USA First Team for an unprecedented third consecutive year , and was named Gatorade National Player of the Year for the second consecutive year . He participated in three year - end high school basketball all - star games -- the EA Sports Roundball Classic , the Jordan Capital Classic , and the McDonald 's All - American Game -- losing his National Collegiate Athletic Association ( NCAA ) eligibility and making it official that he would enter the 2003 NBA draft . Many basketball analysts , scouts , and writers have remarked that James left high school as one of the best and most hyped prospects of all time .   Also during his senior year , James was the centerpiece of several controversies . For his 18th birthday , he skirted state amateur bylaws by accepting a Hummer H2 from his mother , who had secured a loan for the vehicle by utilizing LeBron 's future earning power as an NBA superstar . This prompted an investigation by the Ohio High School Athletic Association ( OHSAA ) because its guidelines stated that no amateur may accept any gift valued over $100 as a reward for athletic performance . James was cleared of any wrongdoing because he had accepted the gift from a family member and not from an agent or any outside source . Later in the season , James accepted two throwback jerseys worth $845 from an urban clothing store in exchange for posing for pictures , officially violating OHSAA rules and resulting in him being stripped of his high school sports eligibility . James appealed the ruling and his penalty was eventually dropped to a two - game suspension , allowing him to play the remainder of the year . The Irish were also forced to forfeit one of their wins , their only official loss that season . In his first game back after the suspension , James scored a career - high 52 points . St. Vincent - St. Mary went on to win the Division II championship , marking their third division title in four years .   Football   As an underclassman , James played wide receiver for St. Vincent - St. Mary 's football team and was recruited by some Division I programs , including Notre Dame . In his sophomore year , he was named first team all - state , and as a junior , he helped lead the Fighting Irish to the state semifinals . After James broke his wrist during an AAU basketball game , he decided not to play football in his senior year . Some sports analysts , football critics , high school coaches , former and current players have speculated that he could have played in the National Football League .   Professional career   Cleveland Cavaliers  2003 -- 2004 : rookie season James picks up his dribble against the Washington Wizards in November 2006 .  James was selected by his hometown team , the Cleveland Cavaliers , as the first overall pick of the 2003 NBA draft . In his first regular season game , he scored 25 points against the Sacramento Kings , setting an NBA record for most points scored by a prep - to - pro player in his debut performance . At the conclusion of the season , he was named the NBA Rookie of the Year , finishing with averages of 20.9 points , 5.5 rebounds , and 5.9 assists per game . He became the first Cavalier to receive the honor and just the third player in NBA history to average at least 20 points , 5 rebounds , and 5 assists per game as a rookie . The Cavaliers finished the season 35 -- 47 , failing to make the playoffs despite an 18 - game improvement over the previous year .  2004 -- 2008 : Rise to superstardom  James earned his first NBA All - Star Game selection in 2004 -- 05 , contributing 13 points , 8 rebounds , and 6 assists in a winning effort for the Eastern Conference . Around the league , teams took note of his rapid development , with Denver Nuggets coach George Karl telling Sports Illustrated , `` It 's weird talking about a 20 - year - old kid being a great player , but he is a great player ... He 's the exception to almost every rule . '' On March 20 , James scored 56 points against the Toronto Raptors , setting Cleveland 's new single - game points record . With final averages of 27.2 points , 7.4 rebounds , 7.2 assists , and 2.2 steals per game , he was named to his first All - NBA Team . Despite a 30 -- 20 record to start the year , the Cavaliers again failed to make the playoffs , finishing the season 42 -- 40 .   At the 2006 All - Star Game , James led the East to victory with 29 points and was named the NBA All - Star Game Most Valuable Player . Behind final season averages of 31.4 points , 7 rebounds , and 6.6 assists per game , he also finished second in overall NBA Most Valuable Player Award voting to Steve Nash . Under James 's leadership , the Cavaliers qualified for the playoffs for the first time since 1998 . In his postseason debut , James recorded a triple - double in a winning effort versus the Washington Wizards . In Game 3 of the series , he made the first game - winning shot of his career , making another in Game 5 . Cleveland would go on to defeat the Wizards before being ousted by the Detroit Pistons in the second round .  James engages in his pre-game ritual of tossing crushed chalk into the air , March 2008 . The routine was mostly ended after 2011 .  In 2006 -- 07 , James 's averages declined to 27.3 points , 6.7 rebounds , 6 assists , and 1.6 steals per game . Some analysts attributed the fall to a regression in his passing skills and shot selection , which stemmed from a lack of effort and focus . The Cavaliers finished the season with 50 wins for the second consecutive year and entered the playoffs as the East 's second seed . In Game 5 of the NBA Conference Finals , James notched 48 points with 9 rebounds and 7 assists , scoring 29 of Cleveland 's last 30 points , including the game - winning layup with two seconds left , against the Pistons . After the game , play - by - play announcer Marv Albert called the performance `` one of the greatest moments in postseason history '' and color commentator Steve Kerr described it as `` Jordan-esque '' . In 2012 , ESPN ranked the performance the fourth greatest in modern NBA playoff history . The Cavaliers went on to win Game 6 and claim their first - ever Eastern Conference championship , earning them a matchup with the San Antonio Spurs in the NBA Finals . During the championship round , James struggled , averaging 22 points , 7.0 rebounds , and 6.8 assists per game on just 35.6 percent shooting , and Cleveland was eliminated in a sweep .   In February of the 2007 -- 08 season , James was named All - Star Game MVP for the second time behind a 27 - point , 8 - rebound , and 9 - assist performance . On March 21 , he moved past Brad Daugherty as the Cavaliers ' all - time leading scorer in a game against the Raptors , doing so in over 100 less games than Daugherty . His 30 points per game were also the highest in the league , representing his first scoring title . Despite his individual accomplishments , Cleveland 's record fell from the year before to 45 -- 37 . Seeded fourth in the East entering the playoffs , the Cavaliers defeated the Wizards in the first round for the third consecutive season before being eliminated in seven games by the eventual - champion Boston Celtics in the next round . During the decisive seventh game in Boston , James scored 45 points and Paul Pierce scored 41 in a game the Associated Press described as a `` shootout '' .  2008 -- 2010 : MVP seasons James and DeShawn Stevenson in April 2008 . The two had a short feud after Stevenson called James `` overrated '' .  At the conclusion of the 2008 -- 09 season , James finished second in NBA Defensive Player of the Year voting and made his first NBA All - Defensive Team , posting 23 chase - down blocks and a career - high 93 total blocks . He also became only the fourth postmerger player to lead his team in points , rebounds , assists , steals , and blocks in a single season . Behind his play and the acquisition of All - Star guard Mo Williams , Cleveland went a franchise record 66 -- 16 and fell just one game short of matching the best home record in league history . With final averages of 28.4 points , 7.6 rebounds , 7.2 assists , 1.7 steals , and 1.2 blocks per game , James became the first Cavalier to win the MVP Award . Reflecting on James 's performance for ESPN , John Hollinger later wrote , `` He 's having what is arguably the greatest individual season in history , and it 's time we gave him his due for it . ''   In the playoffs , Cleveland swept the Pistons and the Atlanta Hawks to earn a matchup with the Orlando Magic in the Conference Finals . In Game 1 of the series , James scored 49 points on 66 percent shooting in a losing effort for the Cavaliers . In Game 2 , he hit a game - winner to tie the series at 1 -- 1 . Cleveland would lose the series in six games , and following the loss in Game 6 , James immediately left the floor without shaking hands with his opponents , which was an act that many media members viewed as unsportsmanlike . For the series , he averaged 38.5 points , 8.3 rebounds , and 8 assists per game , finishing the postseason with a career playoff - high 35.3 points per game .   In February of the 2009 -- 10 season , James was forced into a temporary point guard role following a series of injuries to players in the Cavaliers ' backcourt . Behind his leadership , Cleveland lost no momentum , finishing the year with the best record in the league for the second consecutive season . Due in part to his increased minutes as the Cavaliers ' primary ball handler , James increased his statistical production , averaging 29.7 points , 7.3 rebounds , 8.6 assists , 1.6 steals , and 1 block per game on 50 percent shooting en route to another MVP Award . To open the playoffs , Cleveland advanced past the Bulls to earn a matchup with the Celtics in the second round . James was heavily criticized for not playing well in Game 5 of the series , shooting only 20 percent on 14 shots and scoring 15 points . The team suffered its worst loss in franchise history , and at the conclusion of the game , James walked off the court to a smattering of boos from Cleveland 's home crowd . The Cavaliers were officially eliminated from the postseason in Game 6 , with James posting 27 points , 19 rebounds , 10 assists , and nine turnovers in the losing effort .   Miami Heat  The Decision Main article : The Decision ( TV special ) James with the Cavaliers in November 2009 . He finished his first stint with the Cavs averaging 27.8 points , 7 rebounds , 7 assists , and 1.7 steals per game .  James became an unrestricted free agent at 12 : 01 am EDT on July 1 , 2010 . During this time , he was contacted by several teams , including the Bulls , Los Angeles Clippers , Miami Heat , New York Knicks , New Jersey Nets , and Cavaliers . On July 8 , he announced on a live ESPN special titled The Decision that he would sign with the Heat . The telecast was broadcast from the Boys &amp; Girls Club of Greenwich , Connecticut and raised $2.5 million for the charity . An additional $3.5 million was raised from advertising revenue , which was donated to other charities . The day before the special , fellow free agents Chris Bosh and Dwyane Wade also announced that they would sign with Miami ; reports later arose that the trio had discussed their upcoming 2010 free agencies among themselves back in 2006 . James decided to join with Bosh and Wade in part so that he could shoulder less of the offensive load ; he thought that his improved teammates would give him a better chance of winning an NBA championship than had he stayed in Cleveland . Heat president Pat Riley played a major role in selling James on the idea of playing with Bosh and Wade . James would be relieved of the burden of scoring , and he thought he could be the first player since Oscar Robertson to average a triple - double in a season .   Upon leaving the Cavaliers , James drew intense criticism from sports analysts , executives , fans , and current and former players . The Decision itself was also scrutinized and viewed as unnecessary . Many thought that the prolonged wait for James 's choice was unprofessional as not even the teams courting him were aware of his decision until moments before the show . Upon learning that James would not be returning to Cleveland , Cavaliers owner Dan Gilbert published an open letter to fans in which he aggressively denounced James 's actions . Some angry fans of the team recorded videos of themselves burning his jersey . Former NBA players , including Michael Jordan and Magic Johnson , were also critical of James , condemning him for joining with Bosh and Wade in Miami and not trying to win a championship as `` the guy '' . James drew further criticism in a September interview with CNN when he claimed that race might have been a factor in the fallout from The Decision . As a result of his actions during the 2010 free agency period , he quickly gained a reputation as one of America 's most disliked athletes , a radical change from years prior . The phrase `` taking my talents to South Beach '' became a punch line for critics . In retrospect , James has expressed some regret over his handling of The Decision .  2010 -- 2011 : year of media and Fan scrutiny James goes in for a slam dunk as a member of the Miami Heat in March 2011 .  James officially signed with the Heat on July 10 , 2010 . With the move , he became only the third reigning MVP to change teams and the first since Moses Malone in 1982 . That evening , the Heat threw a welcome party for their new `` big three '' at the American Airlines Arena , an event that took on a rock concert atmosphere . During the gathering , James predicted a dynasty for the Heat and alluded to multiple championships . Outside of Miami , the spectacle was not well - received , furthering the negative public perception of James .   Throughout the 2010 -- 11 season , James and the Heat were treated as villains by the media and opposing fanbases . To begin the year , they struggled to adjust to these new circumstances , going only 9 -- 8 after 17 games . James later admitted that the constant negativity surrounding the team made him play with an angrier demeanor than in years past . On December 2 , James faced the Cavaliers in Cleveland for the first time since departing as a free agent . He scored 38 points and led Miami to a win while being booed every time he touched the ball . The Heat eventually turned their season around and finished as the East 's second seed , with James averaging 26.7 points , 7.5 rebounds , and 7 assists per game on 51 percent shooting .   In the conference semifinals , James and his teammates found themselves matched up with the Celtics for the second consecutive year . In Game 5 , he scored Miami 's last ten points to help seal a series - clinching win . After the final buzzer , he famously knelt on the court in an emotional moment , later telling reporters that it was an extremely personal victory for him and the team . The Heat eventually advanced to the Finals , where they were defeated by the Dallas Mavericks in six games . James received the brunt of the criticism for the loss , averaging only three points in fourth quarters in the series . His Finals scoring average of 17.8 points per game signified an 8.9 - point drop from the regular season , the largest point drop - off in league history .  2011 -- 2013 : back - to - back championships  James was humbled by the Heat 's loss to the Mavericks , and the experience inspired him to leave behind the villain role that he had been embracing , which helped him regain a sense of joy on the court . He also decided that his post game needed improvement , so he worked with Hakeem Olajuwon during the offseason . Behind James 's significantly - expanded skillset , Miami began the year with a franchise - best 18 -- 6 record . He was eventually named MVP for the third time , finishing with averages of 27.1 points , 7.9 rebounds , 6.2 assists , and 1.9 steals per game on 53 percent shooting .  James stands at midcourt during a dead ball in January 2013 . On that night , he became the youngest player in NBA history to score 20,000 career points .  In the second round of the playoffs , Miami temporarily lost Chris Bosh to an abdominal injury and found themselves trailing the Indiana Pacers 2 -- 1 . James responded with a 40 - point , 18 - rebound , and 9 - assist outing in Game 4 to help even the series . To compensate for Bosh 's absence , the Heat embraced a small - ball lineup with James at power forward , which they retained even after Bosh 's return in the Conference Finals against the Celtics . Facing elimination in Game 6 , James scored 45 points to lead the Heat to victory in what The New York Times called a `` career - defining performance '' . Miami won Game 7 to advance to the Finals , earning them a matchup with the Oklahoma City Thunder and James 's budding rival , Kevin Durant . Late in Game 4 of the series , James hit a three - pointer to give the Heat a lead , helping them win the game despite missing time with leg cramps . In Game 5 , he registered a triple - double as Miami defeated Oklahoma City for their second - ever championship and James 's first championship . James was unanimously voted the Bill Russell NBA Finals Most Valuable Player with averages of 28.6 points , 10.2 rebounds , and 7.4 assists per game . His full postseason run , in which he averaged 30.3 points , 9.7 rebounds , and 5.6 assists per game , was ranked the second best in modern NBA history by ESPN .   In February of the 2012 -- 13 season , James averaged 29.7 points and 7.8 assists per game while setting multiple shooting efficiency records . That same month , the Heat also began a 27 - game winning streak , the third longest in NBA history . Based on these accomplishments , James 's performance was described as a `` month for the ages '' by Sports Illustrated . Miami eventually finished the year with a franchise and league best 66 -- 16 record , and James was named MVP for the fourth time , falling just one vote shy of becoming the first player in NBA history to win the award unanimously . His final season averages were 26.8 points , 8 rebounds , 7.3 assists , and 1.7 steals per game on 56.5 percent shooting .   In Game 1 of the Conference Finals , James scored a buzzer - beating layup to give Miami a one - point victory against the Pacers . Throughout the series , his supporting cast struggled significantly , and his added scoring load prompted him to compare his responsibilities to those of his `` Cleveland days '' . Despite these struggles , the Heat advanced to the Finals for a meeting with the Spurs , signifying a rematch for James from his first Finals six years earlier . At the beginning of the series , he was criticized for his lack of aggressiveness and poor shot selection as Miami fell behind 2 -- 3 . In Game 6 , he recorded his second triple - double of the series , including 16 fourth quarter points , to lead the Heat to a comeback victory . In Game 7 , he tied the Finals record for most points scored in a Game 7 victory , leading Miami over San Antonio with 37 points . He was named Finals MVP for the second straight season , averaging 25.3 points , 10.9 rebounds , 7 assists , and 2.3 steals per game for the championship round .  2013 -- 2014 : final season in Miami  On March 3 of the 2013 -- 14 season , James scored a career - high and franchise - record 61 points in a game against the Charlotte Bobcats . Throughout the year , he was one of the few staples for a Heat roster that used 20 different starting lineups due to injuries , finishing with averages of 27.1 points , 6.9 rebounds , and 6.4 assists per game on 56.7 percent shooting . In the second round of the playoffs , he tied a career postseason - high by scoring 49 points in Game 4 against the Brooklyn Nets . In the next round , Miami defeated the Pacers to earn their fourth consecutive Finals berth , becoming one of only four teams in NBA history to do so . In Game 1 of the Finals , James missed most of the fourth quarter because of leg cramps , helping the Spurs take an early series lead . In Game 2 , he led the Heat to a series - tying victory with 35 points on a 64 percent shooting rate . San Antonio eventually eliminated the Heat in five games , ending Miami 's quest for a three - peat . For the Finals , James averaged 28.2 points , 7.8 rebounds , and 2.0 steals per game .   Return to the Cavaliers  James throws a pass in a game against the Minnesota Timberwolves , December 2014 . Later that season , he reached several passing milestones , including becoming the Cavaliers ' all - time assists leader .  On June 25 , 2014 , James opted out of his contract with the Heat and officially became an unrestricted free agent on July 1 . On July 11 , he revealed via a first - person essay in Sports Illustrated that he intended to return to the Cavaliers . In contrast to The Decision , his announcement to return to Cleveland was well received . On July 12 , he officially signed with the team , who had compiled a league - worst 97 -- 215 record in the four seasons following his departure . A month after James 's signing , the Cavaliers acquired Kevin Love from the Minnesota Timberwolves , forming a new star trio along with Kyrie Irving .  2014 -- 16 : ending the Cleveland Sports curse  In January of the 2014 -- 15 season , James missed two weeks due to left knee and lower back strains , the longest stretch of missed games in his career . In total , he played a career - low 69 games and his final averages were 25.3 points , 6 rebounds , and 7.4 assists per game . In the second round of the playoffs , he hit a baseline jumper at the buzzer to give Cleveland a 2 -- 2 series tie with the Bulls . In the Conference Finals , the Cavaliers defeated the Hawks to advance to the Finals , making James the first player since the 1960s to play in five consecutive Finals . For most of the Finals against the Golden State Warriors , Irving and Love were sidelined due to injury , giving James more offensive responsibilities . Behind his leadership , the Cavaliers opened the series with a 2 -- 1 lead before being eliminated in six games . Despite the loss , he received serious consideration for the Finals MVP Award , averaging 35.8 points , 13.3 rebounds , and 8.8 assists per game for the championship round .   During the 2015 -- 16 season , James was criticized for his role in several off - court controversies , including the midseason firing of Cavaliers ' coach David Blatt . Despite these distractions , Cleveland finished the year with 57 wins and the best record in the East . James 's final averages were 25.3 points , 7.4 rebounds , and 6.8 assists per game on 52 percent shooting . In the playoffs , the Cavaliers advanced comfortably to the Finals , losing only two games en route to a rematch with the Warriors , who were coming off a record - setting 73 win season . To begin the series , Cleveland fell behind 3 -- 1 , including two blowout losses . James responded by registering back - to - back 41 point games in Games 5 and 6 , leading the Cavaliers to two consecutive wins to stave off elimination . In Game 7 , he posted a triple - double and made a number of key plays , including a memorable chase - down block on Andre Iguodala in the final two minutes , as Cleveland emerged victorious , winning the city 's first professional sports title in 52 years and becoming the first team in NBA history to come back from a 3 -- 1 series deficit in the Fina</t>
  </si>
  <si>
    <t xml:space="preserve">what team was lebron james on before lakers</t>
  </si>
  <si>
    <t xml:space="preserve"> LeBron James   James with the Cavaliers in 2017     No. 23 -- Los Angeles Lakers     Position   Small forward / Shooting guard     League   NBA           ( 1984 - 12 - 30 ) December 30 , 1984 ( age 33 ) Akron , Ohio     Nationality   American     Listed height   6 ft 8 in ( 2.03 m )     Listed weight   250 lb ( 113 kg )     Career information     High school   St. Vincent -- St. Mary ( Akron , Ohio )     NBA draft   2003 / Round : 1 / Pick : 1st overall     Selected by the Cleveland Cavaliers     Playing career   2003 -- present     Career history     2003 -- 2010   Cleveland Cavaliers     2010 -- 2014   Miami Heat     2014 -- 2018   Cleveland Cavaliers     2018 -- present   Los Angeles Lakers         Career highlights and awards       3 × NBA champion ( 2012 , 2013 , 2016 )   3 × NBA Finals MVP ( 2012 , 2013 , 2016 )   4 × NBA Most Valuable Player ( 2009 , 2010 , 2012 , 2013 )   14 × NBA All - Star ( 2005 -- 2018 )   3 × NBA All - Star Game MVP ( 2006 , 2008 , 2018 )   12 × All - NBA First Team ( 2006 , 2008 -- 2018 )   2 × All - NBA Second Team ( 2005 , 2007 )   5 × NBA All - Defensive First Team ( 2009 -- 2013 )   NBA All - Defensive Second Team ( 2014 )   NBA Rookie of the Year ( 2004 )   NBA scoring champion ( 2008 )   J. Walter Kennedy Citizenship Award ( 2017 )   2 × AP Athlete of the Year ( 2013 , 2016 )   2 × Sports Illustrated Sportsperson of the Year ( 2012 , 2016 )   USA Basketball Male Athlete of the Year ( 2012 )   2 × Mr. Basketball USA ( 2002 , 2003 )   Naismith Prep Player of the Year ( 2003 )   McDonald 's All - American Game MVP ( 2003 )   3 × Ohio Mr. Basketball ( 2001 -- 2003 )           Stats at NBA.com     Stats at Basketball-Reference.com         Medals ( hide )        Men 's basketball     Representing the United States     Olympic Games       2008 Beijing   Team       2012 London   Team       2004 Athens   Team     FIBA World Championship       2006 Japan       FIBA Americas Championship       2007 Las Vegas        </t>
  </si>
  <si>
    <t xml:space="preserve">MasterChef Australia - Wikipedia  MasterChef Australia  For the current season , see MasterChef Australia ( series 10 ) .      MasterChef Australia         Created by   Franc Roddam     Judges   Gary Mehigan George Calombaris Matt Preston     Narrated by   Nicholas McKay ( 2009 -- 12 ) Graeme Stone ( 2013 ) Lofty Fulton ( 2014 - )     Opening theme   `` Hot n Cold '' , by Katy Perry     Country of origin   Australia     Original language ( s )   English     No. of series   10     No. of episodes   686     Production     Location ( s )   Sydney , New South Wales ( 2009 -- 12 ) Melbourne , Victoria ( 2013 -- present )     Running time   30 -- 120 minutes per episode     Production company ( s )   FremantleMedia Australia ( 2009 -- 11 ) Endemol Shine Australia ( 2012 -- )     Release     Original network   Network Ten     Picture format   576i ( SDTV ) 1080i ( HDTV ) ( 2016 - )     Audio format   Stereo Dolby Digital 5.1     Original release   27 April 2009 -- present     External links     Website     MasterChef Australia is a Logie Award - winning Australian reality competitive cooking game show based on the original British MasterChef . It is produced by Shine Australia and screens on Network Ten . Restaurateur and chef Gary Mehigan , chef George Calombaris and food critic Matt Preston serve as the show 's main judges . The show is premiered 7 : 30pm every Sunday -- Thursday on Network Ten . The MasterChef Australia Kitchen is located in Flemington , Melbourne .   The series has also spawned four spin - off series : Celebrity MasterChef Australia , which featured celebrity contestants , Junior MasterChef Australia , which featured younger contestants , MasterChef Australia All - Stars , which featured returning contestants from the first three series , and MasterChef Australia : The Professionals , which features professional chefs as contestants . These spin - off shows did not air in 2014 after the producers of the show announced that they wanted to solely focus on the original version .   Contents  ( hide )   1 Format   1.1 Episodes     2 Hosts and judges   2.1 Main Series   2.2 Spin - off Series     3 Winners   3.1 Main Series   3.2 Spin - Off Series     4 Series synopsis   4.1 Series 1 : 2009   4.2 Series 2 : 2010   4.3 Series 3 : 2011   4.4 Series 4 : 2012   4.5 Series 5 : 2013   4.6 Series 6 : 2014   4.7 Series 7 : 2015   4.8 Series 8 : 2016   4.9 Series 9 : 2017   4.10 Series 10 : 2018     5 Spin - off editions   5.1 Celebrity MasterChef Australia : 2009   5.2 Junior MasterChef Australia   5.2. 1 Series 1 : 2010   5.2. 2 Series 2 : 2011     5.3 MasterChef Australia All - Stars : 2012   5.4 MasterChef Australia : The Professionals : 2013     6 Reception   6.1 Ratings   6.2 Main Season Ratings   6.3 Spinoff Series Ratings   6.4 Critical and popular reception     7 Controversy   7.1 Allegations of vote rigging   7.2 Welfare of former contestants   7.3 Marco Pierre White     8 International syndications   9 Print publications   9.1 Official MasterChef Cookbook Volume 1   9.2 Our Family Table   9.3 Official MasterChef Cookbook Volume 2   9.4 Official Junior MasterChef Cookbook Volume 1   9.5 Two Asian Kitchens   9.6 MasterChef Magazine     10 See also   11 References   12 External links    Format ( edit )   MasterChef Australia has a different format to that of the original British MasterChef and MasterChef Goes Large formats . Initial rounds consist of a large number of hopeful contestants from across Australia individually `` auditioning '' by presenting a food dish before the three judges in order to gain one of 50 semi-final places . Entrants must be over 18 years old whose main source of income can not come from preparing and cooking fresh food in a professional environment .   The semi-finalists then compete in several challenges which test their food knowledge and preparation skills . In Season 1 , the top 50 competed until 20 were left , with the final 20 progressing to the main stage of the show . From Season 2 , 24 contestants progress . The contestants will then be whittled down through a number of individual and team - based cooking challenges and weekly elimination rounds until a winning MasterChef is crowned . The winner plays for a prize that includes chef training from leading professional chefs , the chance to have their own cookbook published , and A $ 250,000 in cash .   Episodes ( edit )   MasterChef Australia airs five nights a week from Sunday to Thursday . Each night features a different episode format , however some episodes modify the format slightly . The typical episode formats are as follows :   Sunday is the Challenge night . From series 3 , it can range from a variety of challenges , including a Mystery Box , where each contestant is given the same box of ingredients and are to create a dish using only those ingredients . The Judges then pick 3 dishes Based on Technique and Visual Appearance Alone and a winner chosen . There can also be an Invention Test , where contestants have to invent a dish relevant to a theme using a core ingredient . There can also be Off - Site Challenges and Team Challenges , which often involve cooking for large numbers of people . The top three contestants who made the best dishes are selected by the judges , from which a winner is chosen to compete in the Immunity Challenge . After this the bottom three are revealed , who will face off in an elimination challenge the next night . In the first two series , it would always consist of a Mystery Box , where the winner was able to choose the core ingredient for the Invention Test .   Monday episodes feature the Pressure Test . The bottom three from the previous night 's challenge are given a recipe for a particular dish they are to emulate in an allocated time . Once completed they are taken in to the judges to be tasted , before all three contestants are seated in front of the judges for critiquing . The judges then eliminate the contestant out of the three that performed least adequately in the test .   Tuesday episodes feature the Immunity Challenge , where the winner of the Sunday challenge competes against a guest , which can vary from a chef , apprentice , or to a home cook in a cook off . The contestant is given the choice of two pantries of ingredients they can use , usually contrasting such as `` Black '' and `` White '' . The contestant gets a head start to complete the dish before their opponent starts cooking and after the allotted time for both is finished , the dishes are presented to the judges for tasting and scoring out of ten . The judges are not aware which dish was made by which person , however . If the contestant 's dish 's score is equal to or higher than that of the guest , they are crowned the winner of the challenge . In the first series they are given a free pass to the finals week of the competition and can go home . From series 2 onwards , they receive a pin that allows them to save themselves from one future elimination .   Wednesday features a Team Challenge . The contestants are split into teams , and are given a task , and a set amount of time to complete the challenge . Tasks have included presenting a three course meal to a celebrity guest , running a restaurant for an evening or catering an event such as a birthday party or wedding . Once completed and judged the teams are given the results , which can be determined by which team the judges think did the best , or receiving the most votes or making the most money by the people the teams had to cook for , with members of the losing team facing an elimination the next night . The winning team safe from elimination receives a reward ( for example lunch at a top restaurant ) .   Thursday is another Elimination . The two worst performing contestants from the losing team in the team challenge compete against each other in a head to head challenge to determine who will be eliminated . The loser of the challenge is then eliminated . On some occasions , all members of the losing team will be selected to compete as individuals in the elimination challenge . In the first series , a different elimination process was used . The contestants from the losing team were to vote for a contestant that they each feel did not perform to their best and may have cost them the challenge . After voting the team is called in together to announce the results of the vote , with the contestant with the most votes being eliminated from the competition . If the previous challenge was an individual challenge , the bottom two contestants competed in a head to head taste test where one contestant at a time named one ingredient of a particular dish or sauce , and the first person to name an incorrect ingredient is eliminated . MasterClass airs on Thursday following the elimination show and is generally limited to themed weeks . Here , judges George , Gary and Matt run a masterclass for the remaining contestants , which usually call back to some of the challenges from the previous week . For example , they may revisit the Mystery Box challenge and demonstrate some other dishes that could have been made or redo one of the contestants ' dishes to give tips on how it could have been improved .   Hosts and judges ( edit )   Main Series ( edit )   Timeline of hosts , judges and other personnel   Starring   Seasons             5   6   7   8   9   10     Current     Gary Mehigan   Judge   Host &amp; Judge     George Calombaris   Judge   Host &amp; Judge     Matt Preston   Judge   Host &amp; Judge     Heston Blumenthal     Guest Judge     Nigella Lawson     Guest Judge     Guest Judge     Gordon Ramsay     Guest Judge     Shannon Bennett     Guest Mentor     Former     Sarah Wilson   Host       Matt Moran     Guest Judge   Judge   Guest Judge       Kylie Kwong     Guest Mentor       Marco Pierre White     Guest Judge       Yotam Ottolenghi     Guest Judge       Spin - off Series ( edit )   Timeline of hosts , judges and other personnel   Starring   Seasons       J1   J2   A-S   TP     Gary Mehigan   Host &amp; Judge       George Calombaris   Host &amp; Judge       Matt Preston   Judge   Host &amp; Judge     Host &amp; Judge     Anna Gare     Judge       Matt Moran     Judge       Marco Pierre White     Host &amp; Judge     Winners ( edit )   Main Series ( edit )     Series   Contestant   Age   State   Occupation   Date Won     One   Julie Goodwin   38   New South Wales   Office manager   19 July 2009     Two   Adam Liaw   31   South Australia   Lawyer   25 July 2010     Three   Kate Bracks   35   New South Wales   Homemaker   7 August 2011     Four   Andy Allen   24   New South Wales   Apprentice electrician   25 July 2012     Five   Emma Dean   35   Victoria   Town planner   1 September 2013     Six   Brent Owens   24   Victoria   Bobcat driver   28 July 2014     Seven   Billie McKay   24   New South Wales   Restaurant manager   27 July 2015     Eight   Elena Duggan   32   New South Wales   School teacher   26 July 2016     Nine   Diana Chan   29   Victoria   Accountant   24 July 2017     Ten           30 July 2018     Spin - Off Series ( edit )     Season   Contestant   Occupation   Date Won       Eamon Sullivan   Olympic Swimmer   25 November 2009     J1   Isabella Bliss   School Student   15 November 2010     J2   Greta Yaxley   23 November 2011     A-S   Callum Hann   Uni Student   12 August 2012     TP   Rhys Badcock   Cruise Liner Chef   17 March 2013     Series synopsis ( edit )   Series 1 : 2009 ( edit )  Main article : MasterChef Australia ( series 1 )  The first series of MasterChef Australia was broadcast between 27 April 2009 and 19 July 2009 . Applications for contestants closed on 8 January 2009 , with subsequent auditions held in Perth , Brisbane , Melbourne , Adelaide and Sydney . Over 7000 people auditioned for the show .   The Top 50 portion of the series was filmed at the Australian Technology Park in Sydney . From the Top 20 onwards , filming was moved to a studio on Doody Street in Alexandria , Sydney . The series one finale was filmed on 2 July 2009 , two and a half weeks before its actual television broadcast .   The winner was I.T. office manager Julie Goodwin , who defeated Poh Ling Yeow .   Series 2 : 2010 ( edit )  Main article : MasterChef Australia ( series 2 )  The second series of MasterChef Australia premiered on 19 April 2010 , with the initial call for contestants held in mid-2009 .   Other changes to Season 2 include not showing the initial auditions , with the series beginning instead with the Top 50 which were filmed at a Redfern Train Works building in Sydney , and having a Top 24 instead of a Top 20 . Also , unlike Season 1 , the last 45 minutes of the finale were broadcast live .   The winner was 31 - year - old lawyer Adam Liaw who defeated Callum Hann .   Series 3 : 2011 ( edit )  Main article : MasterChef Australia ( series 3 )  On 4 July 2010 , Network Ten confirmed the return of MasterChef with new judge Matt Moran joining the original judges for series 3 .   The series premiere aired on 1 May 2011 . It was watched by 1.511 million viewers .   The winner was 36 - year - old mother , Kate Bracks , who defeated Michael Weldon in the grand final .   Series 4 : 2012 ( edit )  Main article : MasterChef Australia ( series 4 )  MasterChef Australia premiered Sunday 6 May on Network Ten . Regular judges , chefs George Calombaris and Gary Mehigan and food critic Matt Preston , returned for Season 4 .   Andy Allen defeated Julia Taylor . Audra Morrice came in third place .   Series 5 : 2013 ( edit )  Main article : MasterChef Australia ( series 5 )  Network Ten confirmed in August 2012 that they have commissioned a fifth series for 2013 . The program was filmed at the Royal Melbourne Showgrounds in Ascot Vale , Victoria . Emma Dean won , with Lynton Tapp as the runner - up and Samira El Khafir finishing in third place .   Series 5 featured a number of changes to the format including casting that focussed on contestant 's personalities above cooking ability in response to the success of the Seven Network 's rival cooking show My Kitchen Rules . The changes were not well received by both critics and audiences , and led to disappointing ratings compared to previous seasons . As a result of the show 's poor audience response Network Ten cancelled all spin - off versions of Masterchef Australia as well as live events such as Masterchef Live in order to focus on `` a new , fresh version in 2014 that will appeal to the loyal MasterChef fans as well as new viewers '' according to Ten 's chief programming officer , Beverley McGarvey .   Series 6 : 2014 ( edit )  Main article : MasterChef Australia ( series 6 )  Network Ten confirmed in August 2013 that they had recommissioned the show for another series , which aired in 2014 . The program was once again filmed in Ascot Vale , Victoria at the Royal Melbourne Showgrounds . In addition to the return of all three judges , Kylie Kwong was a guest mentor who appeared during the immunity challenges . Heston Blumenthal and Marco Pierre White joined the show for a full week of challenges .   Brent Owens was the winner , with Laura Cassai taking second place .   Series 7 : 2015 ( edit )  Main article : MasterChef Australia ( series 7 )  Shannon Bennett replaces Kwong as the regular in - house mentor for the immunity challenges . This season marked the return in stronger ratings for MasterChef Australia , with a series average of nearly 1.2 million metropolitan viewers . The finale ( winner announced ) was the highest rating non-sport TV event of 2015 , with 2.2 million viewers ( in metropolitan consolidated numbers ) . This series also attracted praise and critical acclaim from TV critics and writers , as well as many media personalities and much of the viewers .   It was won by Ballina restaurant manager Billie McKay . Georgia Barnes took second place .   Series 8 : 2016 ( edit )  Main article : MasterChef Australia ( series 8 )  The eighth season premiered on 1 May 2016 . It was won by Elena Duggan with Matt Sinclair as runner - up .   Series 9 : 2017 ( edit )  Main article : MasterChef Australia ( series 9 )  The ninth season began on 1 May 2017 . It was won by Diana Chan with Ben Ungermann as runner - up .   Series 10 : 2018 ( edit )  Main article : MasterChef Australia ( series 10 )  The tenth season began on 7 May 2018 .   Spin - off editions ( edit )   Celebrity MasterChef Australia : 2009 ( edit )  Main article : Celebrity MasterChef Australia  Celebrity MasterChef Australia , a spin - off featuring celebrities as contestants began production in early September 2009 , and aired for ten weeks starting from 30 September 2009 . The celebrity version , which features a heats and semi-finals format similar to MasterChef Goes Large , is based around weekly episodes .   Presenter Sarah Wilson did not return to present the show . Ten states that she was dropped because `` the appropriate role for Sarah was not achievable without dramatically changing the format ''. , but Gary Mehigan , George Calombaris and Matt Preston returned as judges , Calombaris and Mehigan took Wilson 's presenting role . It was won by Olympic swimmer Eamon Sullivan , who took home $50,000 for charity Swim Survive Stay Alive .   In February 2010 , executive producer Mark Fennessy stated that he doubted the spin - off will return for a second series .   Junior MasterChef Australia ( edit )  Main article : Junior MasterChef Australia Series 1 : 2010 ( edit ) Main article : Junior MasterChef Australia ( series 1 )  Production of a junior version of the show was initially suggested in October 2009 . The first series of the show , featuring 8 - to 12 - year - old contestants , was filmed after the second series of MasterChef Australia . Junior MasterChef Australia is produced by Shine Australia .   The series final was won by 12 - year - old Isabella Bliss from Queensland .  Series 2 : 2011 ( edit ) Main article : Junior MasterChef Australia ( series 2 )  Ten confirmed a second series of the spin - off in their 2011 line - up . The winner was Greta Yaxley .   MasterChef Australia all - Stars : 2012 ( edit )  Main article : MasterChef Australia All - Stars  Ten began broadcast of a special all - stars version of the show on 26 July 2012 that aired during the 2012 Summer Olympics . It featured a number of returning contestants from the first three series , including series 1 and 3 winners Julie Goodwin and Kate Bracks , who revisited past challenges in order to raise money for charity .   It was won by series 2 runner - up Callum Hann , who ultimately raised $20,000 for Cancer Council Australia .   MasterChef Australia : the Professionals : 2013 ( edit )  Main article : MasterChef Australia : The Professionals  A spin - off based the original BBC MasterChef : The Professionals series began airing on 20 January 2013 . It featured 18 professional chefs competing against each other as opposed to amateur cooks . Matt Preston and chef Marco Pierre White hosted the spin - off .   Reception ( edit )   Ratings ( edit )   The one - hour series premiere of MasterChef Australia attracted an average of 1.42 million viewers , making it the most watched show in its timeslot . Ratings steadily grew throughout the first series , with the show dominating Australian ratings as it entered finals week , averaging around or above 2 million viewers an episode , and on daily rankings placing ahead of other high rating shows such as the Seven Network 's Packed to the Rafters and Nine 's Rugby League State of Origin broadcast . Its success is despite initial belief from critics that the series would be a dud based on the performance of previous prime time cooking shows , as well as general cynicism against a new reality show format .   The first series finale of MasterChef Australia attracted an average of 3,745,000 viewers , and peaked at 4.11 million viewers . This figure was for the last half hour of the show , titled MasterChef Australia : The Winner Announced , while the first 90 minutes of the finale averaged 3,313,000 viewers . The figure also eclipsed the show 's previous high , set on the last elimination episode , of 2.36 million viewers and also surpassed the previous high for a non-sporting event ( Australian Idol 's 2004 finale , which averaged in 3.35 million ) since OzTAM ratings started in 2001 . It is currently the 4th highest rating television program in Australia since 2001 , behind the 2005 Australian Open final between Lleyton Hewitt and Marat Safin , and the 2003 Rugby World Cup Final . Ten 's share for the night was 41.3 % , almost 20 % ahead of its nearest rival . The first series finale was the most watched television program of 2009 .   The highly anticipated second series premiere of the show attracted 1.69 million viewers , peaking at 2.11 million nationwide . In general , the second series rated higher on average compared to the first series , with weekday episodes seeing a 35 % increase in viewers by the midpoint of the series . The last half hour of the second series final attracted 3,962,000 viewers and 3,542,000 during the rest of the final out rating the series 1 final to become the 3rd highest rating show of all time .   Based on the number of viewers and the nightly ratings , Season 5 of Masterchef was considered the worst season , with the finale being ranked only the 5th most viewed television show that night , compared to every other season of Masterchef ranking # 1 . It is also the only season of the show to have under 1 million viewers of the finale , and it has received the lowest nightly rankings with several episodes below the top 20 in terms of most viewed shows . In total there were only half the number of viewers from Season 4 . As a result of the show 's poor audience response Network Ten cancelled all spin - off versions of Masterchef Australia ( including : Junior Masterchef and Masterchef : The Professionals as well as live events such as Masterchef Live and Masterchef Dining ) in order to focus on `` a new , fresh version in 2014 that will appeal to the loyal MasterChef fans as well as new viewers '' according to Ten 's chief programming officer , Beverley McGarvey .   Main Season Ratings ( edit )     Season   Premiere date   Finale date   Episodes   Premiere ratings   Rank   Finale ratings ( Grand final )   Rank   Finale ratings ( Winner announced )   Rank       27 April 2009   19 July 2009   72   1.428   # 7   3.313   # 2   3.745   # 1       19 April 2010   25 July 2010   84   1.695   # 1   3.542   # 2   3.962   # 1       1 May 2011   7 August 2011   86   1.569   # 1   2.334   # 2   2.740   # 1       6 May 2012   25 July 2012   70   1.368   # 4   1.888   # 2   2.191   # 1     5   2 June 2013   1 September 2013   65   1.100   # 8   0.921   # 8   1.057   # 5     6   5 May 2014   28 July 2014   60   0.874   # 10   1.654   # 2   1.703   # 1     7   5 May 2015   27 July 2015   62   1.231   # 1   1.840   # 2   2.133   # 1     8   1 May 2016   26 July 2016   63   1.012   # 4   1.711   # 2   1.875   # 1     9   1 May 2017   24 July 2017   63   1.060   # 5   1.120   # 3   1.303   # 2     10   7 May 2018   30 July 2018   61   0.890   # 7     #     #     Spinoff Series Ratings ( edit )     Series   Premiere date   Finale date   Episodes   Premiere ratings   Rank   Finale ratings ( Grand final )   Rank   Finale ratings ( Winner announced )   Rank   Series Average     Celebrity   30 September 2009   25 November 2009   10   1.363   # 2   1.297   # 1   N / A   1.187     Junior 1   12 September 2010   15 November 2010   17   2.202   # 1   1.532   # 2   1.853   # 1   1.313     Junior 2   25 September 2011   23 November 2011   20   1.129   # 5   0.934   # 10   0.911   # 12   0.844     All - Stars   25 July 2012   19 August 2012   19   1.256   # 1   0.802   # 11   1.050   # 7   0.807     The Professionals   20 January 2013   17 March 2013   25   1.165   # 3   0.980   # 11   1.022   # 9   0.886     Overall average   91   1.423   # 2   1.109   # 7   1.209   # 7   1.007     Critical and popular reception ( edit )   Despite success in ratings , the series initially received mixed reviews , with fans of the original British version describing the Australian show to be incomparable to that version in terms of quality , structure , judgement and skill of the contestant . Other commentators have also criticised the show for using a competition format similar to other reality shows such as Australian Idol , The Biggest Loser and Project Runway Australia that focuses more on the elimination of contestants than the food and cooking itself . Ten 's programming chief David Mott admitted that using the new format was `` a huge risk '' , while FremantleMedia 's Paul Franklin has asserted that `` for a commercial audience we needed to pump it up and make it bigger , a little over the top , with more drama and storytelling and a sense of theatre '' . Since Series 5 ( 2012 ) however , when the show began filming in Melbourne , rather than Sydney , the producers changed the original format during the qualifying round for the top 24 to one similar to MasterChef USA ; the remainder of the show however stuck more or less to the original Australian format though .   Despite these harsh views , it is still popular amongst many others who have praised the balance of entertainment , skill and overall presentation which is more fun - loving in its ( Australian ) attitude in comparison with the original British format . The show has been described as `` an antidote for cynicism '' and a reflection of multicultural Australia , while the show 's success has been attributed to audiences `` uncomfortable with the win - at - all - cost mould of reality shows of old '' and a shift in values in the face of the recent financial crisis . As is noted in Australian MasterChef 's premier episode of Season 4 , since Australian MasterChef premiered in 2009 ( the first MasterChef series outside of the UK ( est. 1990 ) , it has been such a success that France , Greece , Turkey , Portugal , New Zealand , India , Peru , Finland , Sweden , Italy , Germany , Denmark , Norway , the USA and many other countries have all followed Australia 's lead and formed their own series of the show in their respective countries ; this in itself reveals the popularity of the Australian show from an international audience 's perspective compared to that of the British version .   Cooking schools have reported an increase in enrolments due to the success of the series , while kitchenware retailers and upmarket restaurants have also seen increased trade . Supermarkets and specialty food retailers have reported increased demand from the public for more unusual ingredients , such as quail , custard apple and squab , after such were featured on the program . The success of the show led Ten to explore possible spin - offs such as the celebrity and junior versions , as well as one featuring professional chefs as contestants . The success of the show has also led competing networks to commission their own competitive cooking programs , such as Seven 's My Kitchen Rules and Nine 's The Great Aussie Cook - Off after the first series of the Australian version , with reports that both networks were planning more copycat shows to air in late 2010 and early 2011 .   MasterChef Australia won the award for Most Popular Reality Program at the 2010 Logie Awards . In addition , Matt Preston won the Graham Kennedy Award for Most Outstanding New Talent for his work on the program .   Controversy ( edit )   Allegations of vote rigging ( edit )   Significant numbers of viewers have raised allegations that the voting on the series one finale of MasterChef was fraudulent after Julie Goodwin won the crown . After the airing of the finale talkback radio became inundated with calls , both for and against the verdict , and the finale also became a top trending topic on social networking site Twitter , where many users said they felt `` deflated '' and `` ripped off '' by the final episode of the hit show . Similar allegations were raised when contestants were eliminated throughout the series .   Judge Matt Preston has denied that eliminations were rigged or the result of a popularity contest , and asserted that Julie had won the title because she was the better cook on the night . Goodwin herself has also asserted that her victory was not the result of rigging , insisting that the professional integrity of the three judges would be damaged if it were .   Welfare of former contestants ( edit )   During their time playing MasterChef , the contestants are paid a retainer of $500 a week . This is slightly below the national Australian minimum wage of $589.30 and less than half the average wage of $1,291.34 . However , contestants have their accommodation provided for the duration of their time in the competition , meaning they live rent - free . These facts were revealed in 2011 along with the knowledge that most contestants quit their jobs before entering the competition and faced seeking re-employment once eliminated from the show .   Marco Pierre White ( edit )   Following matter - of - fact comments made by judge Matt Preston about Marco 's son 's admitted $500,000 splurge of his father 's money on drugs and prostitution , Marco joined the rival program Hell 's Kitchen Australia in retaliation . In 2016 , whilst on The Kyle and Jackie O Show Preston was asked about Marco Jr. 's time on Big Brother UK , which included his alleged on -- air sex and the above admittance to purchasing illicit drugs and sex workers . Preston said `` I think it is that terrible thing when you have kids that go off the rails ... the drugs might be a little bit of a worry '' . This sparked a series of profanity -- filled social media attacks by Marco Jr. which he has since apologised for whilst spruiking his new sex toy collection on the Kyle and Jackie O Show . Since quitting Masterchef , Marco Snr has said that `` I will never forgive that man ... with my hand on my mother 's grave I will get that man '' and joined Hell 's Kitchen Australia .   International syndications ( edit )   The network in bold also broadcasts their own version of MasterChef .     Country   Network   Dubbed or subtitled ?   Current broadcaster ?     Afghanistan   STAR World   Subtitled in Dari   No     Arab League   Fox Series   Dubbed     STAR World     Bangladesh   STAR World India   Subtitled in English     Belgium   één   Subtitled in Dutch     Vitaya   Yes     Bhutan   STAR World India   Subtitled in English   No     Brazil   Travel &amp; Living Channel   Dubbed     Burma   STAR World   Subtitled     Canada   Casa   Dubbed in French   Yes     Croatia   Nova TV   Subtitled   No     Denmark   TV3 Puls     Finland   Jim     Nelonen     Greece   Mega Channel     Hong Kong   Lifetime   Subtitled in Chinese     India   STAR World India   Subtitled in English   Yes     Indonesia   B - Channel ( now RTV )   Subtitled   No     Lifetime     Ireland   Good Food     Really     RTÉ One     Watch     Israel   Channel 2   Subtitled in Hebrew     Italy   Gambero Rosso   Dubbed     cielo ( TV channel )   Dubbed   Yes     Sky Uno   Dubbed   Yes     Macau   Lifetime   Subtitled in Cantonese   No     Malaysia   Subtitled in Malay &amp; Chinese   Yes     Nepal   STAR World India   Subtitled in English   No     New Zealand   TVNZ 1     Yes     Prime   No     Norway   TV3   Subtitled   Yes     Pakistan   STAR World Fox   Subtitled in English Subtitled in Arabic   Yes Yes     Poland   TLC   Polish lector   Yes     Portugal   SIC Mulher   Subtitled   Yes     24Kitchen       Russia   Телекафе   Russian double voice - over       Singapore   Lifetime   Subtitled in Chinese   Upcoming ?     MediaCorp Channel 5       South Africa   M - Net   Yes     Sri Lanka   Maxx Rtv   Subtitled in English     Sweden   TLC   Subtitled     Taiwan   STAR World   No     Thailand     The Netherlands   Net 5   Yes     RTL 5     SBS 6     United Kingdom   Good Food       Really         Vietnam   STAR World     Upcoming     VTV6 ( Junior version )   Dubbed in Vietnamese   Yes     Print publications ( edit )   Official MasterChef cookbook Volume 1 ( edit )   The Official MasterChef Cookbook Volume 1 was published by Random House Australia in December 2009 . It contains recipes from the series 1 Top 20 contestants and top Australian and international chefs : Martin Boetz , Donovan Cooke , Pete Evans , Manu Feildel , Guy Grossi , Alex Herbert , Matt Moran and Andrew Honeysett , Ben O'Donoghue , Adrian Richardson , Frank Shek , Emmanuel Stroobant and Adriano Zumbo . There are also behind - the - scenes stories and culinary tips and tricks .     Our Family Table ( edit )   As the first winner of MasterChef , Julie Goodwin won the chance to have her own cookbook publishe</t>
  </si>
  <si>
    <t xml:space="preserve">where is the masterchef kitchen located in melbourne 2017</t>
  </si>
  <si>
    <t xml:space="preserve"> MasterChef Australia is a Logie Award - winning Australian reality competitive cooking game show based on the original British MasterChef . It is produced by Shine Australia and screens on Network Ten . Restaurateur and chef Gary Mehigan , chef George Calombaris and food critic Matt Preston serve as the show 's main judges . The show is premiered 7 : 30pm every Sunday -- Thursday on Network Ten . The MasterChef Australia Kitchen is located in Flemington , Melbourne . </t>
  </si>
  <si>
    <t xml:space="preserve">Minimum wage in the United States - Wikipedia  Minimum wage in the United States     This is an old revision of this page , as edited by GreenC bot ( talk contribs ) at 15 : 18 , 24 August 2017 ( Wayback Medic 2.1 ) . The present address ( URL ) is a permanent link to this revision , which may differ significantly from the current revision .    Revision as of 15 : 18 , 24 August 2017 by GreenC bot ( talk contribs ) ( Wayback Medic 2.1 ) ( diff ) ← Previous revision Latest revision ( diff ) Newer revision → ( diff ) Jump to : navigation , search Main article : Minimum wage      Parts of this article ( those related to 2017 changes ) need to be updated . Please update this article to reflect recent events or newly available information . ( January 2017 )    Minimum wage by U.S. state and territory , as of January 1 , 2016 . Versus the federal rate : Higher Same Lower No state minimum wage law  The minimum wage in the United States is a network of federal , state , and local laws . Employers generally must pay workers the highest minimum wage prescribed by federal , state , and local law . As of July 2016 , the federal government mandates a nationwide minimum wage of $7.25 per hour . As of October 2016 , there are 29 states with a minimum wage higher than the federal minimum . From 2014 to 2015 , nine states increased their minimum wage levels through automatic adjustments , while increases in 11 other states occurred through referendum or legislative action . In real terms , the federal minimum wage peaked near $10.00 per hour in 1968 , using 2014 inflation - adjusted dollars .   Beginning in January 2017 , Massachusetts and Washington state have the highest minimum wages in the country , at $11.00 per hour . New York City 's minimum wage will be $15.00 per hour by the end of 2018 . There is a racial difference for support of a higher minimum wage with most black and Hispanic individuals supporting a $15.00 federal minimum wage , and 54 % of whites opposing it . In 2015 , about 3 percent of White , Asian , and Hispanic or Latino workers earned the federal minimum wage or less . Among Black workers , the percentage was about 4 percent .     Contents  ( hide )   1 History   1.1 20th century   1.2 Legislation , 21st century   1.3 Local ordinances   1.4 Union exemptions     2 Trends in purchasing power   3 Economic effects   3.1 Employment and job creation   3.2 Prices   3.3 Crime increase   3.4 Economic growth   3.5 Income inequality   3.6 Poverty   3.7 Federal budget deficit     4 Commentary   4.1 Economists   4.2 Politicians     5 Polls   6 List by jurisdiction   6.1 Federal   6.2 State   6.3 Territory   6.4 Federal District     7 Jobs affected , 2006 , 2009   8 See also   9 References   10 External links      History   20th century       This section needs expansion . You can help by adding to it . ( April 2017 )     In 1912 , Massachusetts organized a commission to recommend non-compulsory minimum wages for women and children . Within eight years , at least thirteen U.S. states and the District of Columbia would pass minimum wage laws , with pressure being placed on state legislatures by the National Consumers League in a coalition with other women 's voluntary associations and organized labor . The United States Supreme Court of the Lochner era consistently invalidated compulsory minimum wage laws . Advocates for these minimum wage laws hoped that they would be upheld under the precedent of Muller v. Oregon , which had upheld maximum working hours laws for women on the grounds that women required special protection which men did not . However , the Court did not extend this principle to minimum wage laws , considering the latter as interfering with the ability of employers to freely negotiate wage contracts with employees .  No business which depends for existence on paying less than living wages to its workers has any right to continue in this country . President Franklin Delano Roosevelt , 1933  In 1933 , the Roosevelt administration made the first attempt at establishing a national minimum wage , when a $0.25 per hour standard was set as part of the National Industrial Recovery Act . However , in the 1935 court case Schechter Poultry Corp. v. United States ( 295 U.S. 495 ) , the US Supreme Court declared the act unconstitutional , and the minimum wage was abolished . In 1938 , the minimum wage was re-established pursuant to the Fair Labor Standards Act , once again at $0.25 per hour ( $4.23 in 2015 dollars ) . In 1941 , the Supreme Court upheld the Fair Labor Standards Act in United States v. Darby Lumber Co. , holding that Congress had the power under the Commerce Clause to regulate employment conditions .   The 1938 minimum wage law only applied to `` employees engaged in interstate commerce or in the production of goods for interstate commerce , '' but in amendments in 1961 and 1966 , the federal minimum wage was extended ( with slightly different rates ) to employees in large retail and service enterprises , local transportation and construction , state and local government employees , as well as other smaller expansions ; a grandfather clause in 1990 drew most employees into the purview of federal minimum wage policy , which now set the wage at $3.80 .   Legislation , 21st century   In 2006 , voters in six states ( Arizona , Colorado , Missouri , Montana , Nevada , and Ohio ) approved statewide increases in the state minimum wage . The amounts of these increases ranged from $1 to $1.70 per hour and all increases were designed to annually index to inflation . Some politicians in the United States have advocated linking the minimum wage to the Consumer Price Index , thereby increasing the wage automatically each year based on increases to the Consumer Price Index . So far , Ohio , Oregon , Missouri , Vermont and Washington have linked their minimum wages to the consumer price index . Minimum wage indexing also takes place each year in Florida , San Francisco , California , and Santa Fe , New Mexico .   The federal minimum wage in the United States was reset to its current rate of $7.25 per hour in July 2009 . Some U.S. territories ( such as American Samoa ) are exempt . Some types of labor are also exempt : employers may pay tipped labor a minimum of $2.13 per hour , as long as the hour wage plus tip income equals at least the minimum wage . Persons under the age of 20 may be paid $4.25 an hour for the first 90 calendar days of employment ( sometimes known as a youth , teen , or training wage ) unless a higher state minimum exists . The 2009 increase was the last of three steps of the Fair Minimum Wage Act of 2007 , which was signed into law as a rider to the U.S. Troop Readiness , Veterans ' Care , Katrina Recovery , and Iraq Accountability Appropriations Act , 2007 , a bill that also contained almost $5 billion in tax cuts for small businesses .   In April 2014 , the U.S. Senate debated the Minimum Wage Fairness Act ( S. 1737 ; 113th Congress ) . The bill would have amended the Fair Labor Standards Act of 1938 ( FLSA ) to increase the federal minimum wage for employees to $10.10 per hour over the course of a two - year period . The bill was strongly supported by President Barack Obama and many of the Democratic Senators , but strongly opposed by Republicans in the Senate and House . Later in 2014 , voters in the Republican - controlled states of Alaska , Arkansas , Nebraska and South Dakota considered ballot initiatives to raise the minimum wage above the national rate of $7.25 per hour , which were successful in all 4 states . The results provided evidence that raising minimum wage has support across party lines .   Since 2012 , a growing protest and advocacy movement called `` Fight for $15 '' , initially growing out of fast food worker strikes , has advocated for an increase in the minimum wage . On March 27 , 2014 , Connecticut passed legislation to raise the minimum wage from $8.70 to $10.10 by 2017 , making it one of about six states to aim at or above $10.00 per hour . In 2014 and 2015 , several cities , including San Francisco , Seattle , Los Angeles , and Washington passed ordinances that gradually increase the minimum wage to $15.00 . In 2016 , New York and California passed legislation that would gradually raise the minimum wage to $15 in each state .   As of 2017 , recent legislation was passed in multiple states to raise the minimum wage a certain amount in a certain amount of time . California is set to raise their minimum wage to $15.00 / hour by January 1 , 2023 . Colorado is set to raise their minimum wage from $9.30 / hour to $12 / hour by January 1 , 2020 , raising $0.90 per year . Seattle passed legislation in 2015 for a raise in minimum wage ; for employers of 500 or more employees without heath benefits , the minimum wage will be raised to $15.00 / hour by 2017 , for employees with heath benefits , the minimum wage will raise to $15.00 / hour by 2018 , for smaller employees the $15.00 / hour wage will be reached at different times . Seattle is one of the first cities to put in place a plan that after $15.00 / hour wage is reached , they will continue to increase minimum wage by a certain percentage every year based on inflation changes . New York has also recently passed legislation to increase their minimum wage to $15.00 / hour over time , certain counties and larger companies are set on faster plans than others . As there have only been a few places mentioned , cities and states across the United States are putting in place certain legislation to increase the minimum wage for minimum wage workers to a livable wage . Time will only tell the effects on the economy and number of jobs in those cities and states .   Local ordinances   On June 2 , 2014 , the City Council of Seattle , Washington passed a local ordinance to increase the minimum wage of the city to $15.00 per hour , giving the city the highest minimum wage in the United States , which will be phased in over seven years , to be fully implemented by 2021 . A growing number of California cities have enacted local minimum wage ordinances , including Los Angeles , San Francisco , Oakland , Berkeley , Emeryville , Mountain View , Richmond , and San Jose .   In September 2014 , the Los Angeles City Council approved a minimum salary for hotel workers of $15.37 per hour . In April 2016 , The Los Angeles Times reported that there is an exemption for unionised workers , and interviewed longtime workers at unionised Sheraton Universal who make $10.00 per hour , whereas non-union employees at a non-union Hilton a few feet away make at least the $15.37 mandated by law for non-unionised employees . Similar exemptions have been adopted in San Francisco , San Jose , Oakland , and Santa Monica .   San Francisco is expected to become the first U.S. city to reach a minimum wage of $15.00 per hour on July 1 , 2018 , . The minimum wage in Los Angeles and Washington , D.C. , will be $15.00 per hour in 2020 .   On August 18 , 2015 , the El Cerrito City Council directed city staff to draft a local minimum wage ordinance based on a template provided by a coalition for a county - wide minimum wage effort . The details are not final , but the Council discussed an initial increase of roughly 28 -- 36 % ( $11.52 -- $12.25 or more ) by January 1 , 2016 , with annual increases that will result in a $15.00 hourly wage rate by 2018 -- 2020 . The Council did not direct staff to create small business exemptions ( or any other exemptions ) , but a slower phase - in rate may be considered for employees of small businesses . The city will have outreach for residents and business owners to discuss the details of the proposed ordinance . Staff hopes to present a draft for The Council 's approval as early as October or November 2015 .   Union exemptions   As of December 2014 , unions were exempt from recent minimum wage increases in Chicago , Illinois , SeaTac , Washington , and Milwaukee County , Wisconsin , as well as the California cities of Los Angeles , San Francisco , Long Beach , San Jose , Richmond , and Oakland . In 2016 , the Washington , D.C. Council passed a minimum wage ordinance that included a union waiver , but Mayor Vincent Gray vetoed it . Later that year , the council approved an increase without the union waiver .   Trends in purchasing power  History of the federal minimum wage in real 2013 dollars and nominal dollars .  Since its inception the purchasing power of the minimum wage has fluctuated . The minimum wage had its highest purchasing power in 1968 , when it was $1.60 per hour ( $11.49 in 2017 dollars ) . From January 1981 to April 1990 , the minimum wage was frozen at $3.35 per hour , then a record - setting minimum wage freeze . From September 1 , 1997 through July 23 , 2007 , the federal minimum wage remained constant at $5.15 per hour , breaking the old record . From the United States Department of Labor . Employment Standards Administration . Wage and Hour Division , the source page has a clickable US map with current and projected state - by - state minimum wage rates for each state . Some government entities , such as counties and cities , observe minimum wages that are higher than the state as a whole . One notable example of this is Santa Fe , New Mexico , whose $9.50 per hour minimum wage was the highest in the nation , until San Francisco increased its minimum wage to $9.79 in 2009 . Another device to increase wages , living wage ordinances , generally apply only to businesses that are under contract to the local government itself .   Since 1984 , the purchasing power of the federal minimum wage has decreased . Measured in real terms ( adjusted for inflation ) using 1984 dollars , the real minimum wage was $3.35 in 1984 , $2.33 in 1994 , $1.84 in 2004 , and $1.46 in 2014 . If the minimum wage had been raised to $10.10 in 2014 , that would have equated to $4.40 in 1984 dollars . This would have been equal to a 31 % increase in purchasing power , despite the nominal value of the minimum wage increasing by 216 % in the same time period .   Economic effects   The economic effects of raising the minimum wage are controversial . Adjusting the minimum wage may affect current and future levels of employment , prices of goods and services , economic growth , income inequality and poverty . The interconnection of price levels , central bank policy , wage agreements , and total aggregate demand creates a situation in which the conclusions drawn from macroeconomic analysis are highly influenced by the underlying assumptions of the interpreter .   Employment and job creation  Further information : Unemployment in the United States CBO table with projections of the effects of minimum wage increases on employment and income , under two scenarios  The law of demand states that -- all else being equal -- raising the price of any particular good or service will reduce the quantity demanded . Thus , neoclassical economics argues that -- all else being equal -- raising in the minimum wage will have adverse affects on employment .   Conceptually , if an employer does not believe a worker generates value equal to or in excess of the minimum wage , that worker will not be hired or retained .   Empirical work on fast food workers in the 1990s challenged the neoclassical model . In 1994 , economists David Card and Alan Krueger studied employment trends among 410 restaurants in New Jersey and eastern Pennsylvania following New Jersey 's minimum wage hike ( from $4.25 to $5.05 ) in April 1992 . They found `` no indication that the rise in the minimum wage reduced employment . '' However , a 1995 re-analysis of the evidence by David Neumark found that the increase in New Jersey 's minimum wage actually resulted in a 4.6 % decrease in employment . Neumark 's study relied on payroll records from a sample of large fast - food restaurant chains , whereas the Card - Krueger study relied on business surveys .   Additional research conducted by David Neumark and William Wascher ( which surveyed over 100 studies related to the employment effects of minimum wages ) found that the majority of peer - reviewed economic research ( about two - thirds ) showed a positive correlation between minimum wage hikes and increased unemployment -- especially for young and unskilled workers . Neumark 's analysis further found that , when looking at only the most credible research , 85 % of studies showed a positive correlation between minimum wage hikes and increased unemployment .   In February 2014 , the Congressional Budget Office ( CBO ) reported the theoretical effects of a federal minimum wage increase under two scenarios : an increase to $9.00 and an increase to $10.10 . According to the report , approximately 100,000 jobs would be lost under the $9.00 option , whereas 500,000 jobs would be lost under the $10.10 option ( with a wide range of possible outcomes ) .   A 2013 Center for Economic and Policy Research ( CEPR ) review of multiple studies since 2000 indicated that there was `` little or no employment response to modest increases in the minimum wage . '' Another CEPR study in 2014 found that job creation within the United States is faster within states that raised their minimum wage . In 2014 , the state with the highest minimum wage in the nation , Washington , exceeded the national average for job growth in the United States .   A 2012 study led by Joseph Sabia , professor of economics at the University of New Hampshire , estimated that the 2004 - 6 New York State minimum wage increase ( from $5.15 to $6.75 ) resulted in a 20.2 % to 21.8 % reduction in employment for less - skilled , less - educated workers . Another study conducted by Joseph Sabia , then an assistant professor at American University , found that minimum wages were ineffective at alleviating poverty for single mothers . The study further concluded that a 10 % increase in the minimum wage was associated with an 8.8 % reduction in employment and an 11.8 % reduction in hours for uneducated single mothers .   Research conducted by Richard Burkhauser , professor emeritus of Policy Analysis at Cornell University , concluded that minimum wage increases `` significantly reduce the employment of the most vulnerable groups in the working - age population -- young adults without a high school degree ( aged 20 - 24 ) , young black adults and teenagers ( aged 16 - 24 ) , and teenagers ( aged 16 - 19 ) . ''   A 2007 study by Daniel Aaronson and Eric French concluded that a 10 % increase in the minimum wage decreased low - skill employment by 2 - 4 % and total restaurant employment by 1 - 3 % .   The Economist wrote in December 2013 : `` A minimum wage , providing it is not set too high , could thus boost pay with no ill effects on jobs ... Some studies find no harm to employment from federal or state minimum wages , others see a small one , but none finds any serious damage ... High minimum wages , however , particularly in rigid labour markets , do appear to hit employment . France has the rich world 's highest wage floor , at more than 60 % of the median for adults and a far bigger fraction of the typical wage for the young . This helps explain why France also has shockingly high rates of youth unemployment : 26 % for 15 - to 24 - year - olds . ''   Prices   Conceptually -- all else being equal -- raising the minimum wage will increase the cost of labor . Thus , employers may accept lower profits , raise their prices , or both . If prices increase , consumers may demand a lesser quantity of the product , substitute other products , or switch to imported products . Marginal producers ( those who are barely profitable enough to survive ) may be forced out of business if they can not raise their prices sufficiently to offset the higher cost of labor . Whether the increased income of the workers benefiting from the minimum wage increase can offset these effects is debatable . Federal Reserve Bank of Chicago research from 2007 has shown that restaurant prices rise in response to minimum wage increases .   Crime increase   A 2016 White House report based on `` back of envelope calculations and literature review '' argued that higher hourly wages led to less crime .   A report by the Council of Economic Advisers claimed that `` raising the minimum wage reduces crime by 3 to 5 percent . '' To get those numbers , the study assumed that `` such a minimum wage increase would have no employment impacts , with an employment elasticity of 0.1 the benefits would be somewhat lower . ''   However , In a 1987 journal article based on actual study data , Masanori Hashimoto noted that minimum wage hikes lead to increased levels of property crime in areas affected by the minimum wage after its increase . According to the article , by decreasing employment in poor communities , total legal trade and production are curtailed . The report also claimed that in order to compensate for the decrease in legal avenues for production and consumption , poor communities increasingly turn to illegal trade and activity .   Economic growth   Whether growth ( GDP , a measure of both income and production ) increases or decreases depends significantly on whether the income shifted from owners to workers results in an overall higher level of spending . The tendency of a consumer to spend their next dollar is referred to as the marginal propensity to consume or MPC . The transfer of income from higher income owners ( who tend to save more , meaning a lower MPC ) to lower income workers ( who tend to save less , with a higher MPC ) can actually lead to an increase in total consumption and higher demand for goods , leading to increased employment . Recent research has shown that higher wages lead to greater productivity .   The CBO reported in February 2014 that income ( GDP ) overall would be marginally higher after raising the minimum wage , indicating a small net positive increase in growth . Raising the minimum wage to $10.10 and indexing it to inflation would result in a net $2 billion increase in income during the second half of 2016 , while raising it to $9.00 and not indexing it would result in a net $1 billion increase in income .   Income inequality  Further information : Income inequality in the United States Minimum wage levels in developed economies as a share of median full - time wage . The relative minimum wage ratio in the U.S. is shown in red .  An increase in the minimum wage is a form of redistribution from higher - income persons ( business owners or `` capital '' ) to lower income persons ( workers or `` labor '' ) and therefore should reduce income inequality . The CBO estimated in February 2014 that raising the minimum wage under either scenario described above would improve income inequality . Families with income more than 6 times the poverty threshold would see their incomes fall ( due in part to their business profits declining with higher employee costs ) , while families with incomes below that threshold would rise .   Poverty   Among hourly - paid workers In 2016 , 701,000 earned the federal minimum wage and about 1.5 million earned wages below the minimum . Together , these 2.2 million workers represented 2.7 % of all hourly - paid workers .   CBO estimated in February 2014 that raising the minimum wage would reduce the number of persons below the poverty income threshold by 900,000 under the $10.10 option versus 300,000 under the $9.00 option .   Research conducted by David Neumark and colleagues found that minimum wages are associated with reductions in the hours and employment of low - wage workers . A separate study by the same researchers found that minimum wages tend to increase the proportion of families with incomes below or near the poverty line . Similarly , a 2002 study led by Richard Vedder , professor of economics at Ohio University , concluded that `` The empirical evidence is strong that minimum wages have had little or no effect on poverty in the U.S. Indeed , the evidence is stronger that minimum wages occasionally increase poverty ... ''   Federal budget deficit   The CBO reported in February 2014 that `` ( T ) he net effect on the federal budget of raising the minimum wage would probably be a small decrease in budget deficits for several years but a small increase in budget deficits thereafter . It is unclear whether the effect for the coming decade as a whole would be a small increase or a small decrease in budget deficits . '' On the cost side , the report cited higher wages paid by the government to some of its employees along with higher costs for certain procured goods and services . This might be offset by fewer government benefits paid , as some workers with higher incomes would receive fewer government transfer payments . On the revenue side , some would pay higher taxes and others less .   Commentary   Economists   Effective Minimum Wage Adjusted for Cost of Living for Select U.S. Cities ( 2015 )   City   Effective minimum wage     Seattle   $8.51     Denver   $7.57     Houston   $7.26     United States   $7.25     San Francisco   $7.03     Chicago   $7.01     Boston   $6.59     Washington , D.C.   $6.53     Los Angeles   $6.38     Atlanta   $5.15     New York City   $3.86     According to a survey conducted by economist Greg Mankiw , 79 % of economists agreed that `` a minimum wage increases unemployment among young and unskilled workers . ''   A 2015 survey conducted by the University of New Hampshire Survey Center found that a majority of economists believed raising the minimum wage to $15 per hour would have negative effects on youth employment levels ( 83 % ) , adult employment levels ( 52 % ) , and the number of jobs available ( 76 % ) . Additionally , 67 % of economists surveyed believed that a $15 minimum wage would make it harder for small businesses with less than 50 employees to stay in business .   A 2006 survey conducted by Robert Whaples , professor of economics at Wake Forest University , found that , among the economists surveyed , opinions about the minimum wage were as follows :    46.8 % favored eliminating it   14.3 % favored keeping it the same   1.3 % favored decreasing it   5.2 % favored increasing it by about 50 cents per hour   15.6 % favored increasing it by about $1 per hour   16.9 % favored increasing it by more than $1 per hour    In 2014 , over 600 economists signed a letter in support of a $10.10 minimum wage increase with research suggesting that a minimum wage increase could have a small stimulative effect on the economy as low - wage workers spend their additional earnings , raising demand and job growth . Also , seven recipients of the Nobel Prize in Economic Sciences were among 75 economists endorsing an increase in the minimum wage for U.S. workers and said `` the weight '' of economic research shows higher pay does n't lead to fewer jobs .   According to a February 2013 survey of the University of Chicago IGM Forum , which includes approximately 40 economists :    34 % agreed with the statement that `` Raising the federal minimum wage to $9 per hour would make it noticeably harder for low - skilled workers to find employment '' , with 32 % disagreeing and 24 % uncertain   42 % agreed that `` ... raising the minimum wage to $9 per hour and indexing it to inflation ... would be a desirable policy '' , with 11 % disagreeing or strongly disagreeing and 32 % uncertain .    According to a fall 2000 survey conducted by Fuller and Geide - Stevenson , 73.5 % ( 27.9 % of which agreed with provisos ) of American economists surveyed agreed that minimum wage laws increase unemployment among unskilled and young workers , while 26.5 % disagreed with the statement .   Economist Paul Krugman advocated raising the minimum wage moderately in 2013 , citing several reasons , including :    The minimum wage was below its 1960s purchasing power , despite a near doubling of productivity ;   The great preponderance of the evidence indicates there is no negative impact on employment from moderate increases ; and   A high level of public support , specifically Democrats and Republican women .    Politicians   Former President Bill Clinton advocated raising the minimum wage in 2014 : `` I think we ought to raise the minimum wage because it does n't just raise wages for the three or four million people who are directly affected by it , it bumps the wage structure everywhere ... The estimates are that 35 million Americans would get a pay raise if the federal minimum wage was raised ... If you ( raise the minimum wage ) in a phased way , it always creates jobs . Why ? Because people who make the minimum wage or near it are struggling to get by , they spend every penny they make , they turn it over in the economy , they create jobs , they create opportunity , and they take better care of their children . It 's just the right thing to do , but it 's also very good economics . ''   Polls   The Pew Center reported in January 2014 that 73 % of Americans supported raising the minimum wage from $7.25 to $10 . By party , 53 % of Republicans and 90 % of Democrats favored this action . Pew found a racial difference for support of a higher minimum wage in 2017 with most blacks and Hispanics supporting a $15.00 federal minimum wage , and 54 % of whites opposing it .   A Lake Research Partners poll in February 2012 found the following :    Strong support overall for raising the minimum wage , with 73 % of likely voters supporting an increase to $10 and indexing it to inflation during 2014 , including 58 % who strongly support the action ;   Support crosses party lines , with support from 91 % of Democrats , 74 % of Independents , and 50 % of Republicans ; and   A majority ( 56 % ) believe that raising the minimum wage will help the economy , with 16 % believing it wo n't make a difference . Only 21 % felt it would hurt the economy .    List by jurisdiction   This is a list of the minimum wages ( per hour ) in each state and territory of the United States , for jobs covered by federal minimum wage laws . If the job is not subject to the federal Fair Labor Standards Act , then state , city , or other local laws may determine the minimum wage . A common exemption to the federal minimum wage is a company having revenue of less than $500,000 per year while not engaging in any interstate commerce .   Under the federal law , workers who receive a portion of their salary from tips , such as waitstaff , are required only to have their total compensation , including tips , meet the minimum wage . Therefore , often , their hourly wage , before tips , is less than the minimum wage . Seven states , and Guam , do not allow for a tip credit . Additional exemptions to the minimum wage include many seasonal employees , student employees , and certain disabled employees as specified by the FLSA .   In addition , some counties and cities within states may observe a higher minimum wage than the rest of the state in which they are located ; sometimes this higher wage will apply only to businesses that are under contract to the local government itself , while in other cases the higher minimum will be enforced across the board .   Federal     Type   Min Wage ( $ / h )   Notes     Tipped   $2.13   The Fair Labor Standards Act of 1938 has been requiring a minimum wage of $2.13 for tipped workers with the expectation that wages plus tips total no less than $7.25 per hour since September 1 , 1991 . The employer must pay the difference if total income does not add up to $7.25 per hour .     Non-tipped   $7.25   Per the Fair Minimum Wage Act of 2007 ( FMWA ) since July 24 , 2009 .     Youth   $4.25   The Fair Labor Standards Act has since September 1 , 1996 allowed for persons under the age of 20 to be paid $4.25 for the first 90 calendar days of their employment .     State   The average US minimum wage per capita ( 2017 ) is $8.49 based on the population size of each state and generally represents the average minimum wage experienced by a person working in one of the fifty US states . Cities , counties , districts , and territories are not included in the calculation . As of October 2016 , there have been 29 states with a minimum wage higher than the federal minimum . From 2014 to 2015 , nine states increased their minimum wage levels through automatic adjustments , while increases in 11 other states occurred through referendum or legislative action . Beginning in January 2017 , Massachusetts and Washington state have the highest minimum wages in the country , at $11.00 per hour . New York City 's minimum wage will be $15.00 per hour by the end of 2018 . -     State   Min Wage ( $ / h )   Tipped ( $ / h )   Youth / Training ( $ / h )   Not</t>
  </si>
  <si>
    <t xml:space="preserve">what's the highest minimum wage in the united states</t>
  </si>
  <si>
    <t xml:space="preserve"> Beginning in January 2017 , Massachusetts and Washington state have the highest minimum wages in the country , at $11.00 per hour . New York City 's minimum wage will be $15.00 per hour by the end of 2018 . There is a racial difference for support of a higher minimum wage with most black and Hispanic individuals supporting a $15.00 federal minimum wage , and 54 % of whites opposing it . In 2015 , about 3 percent of White , Asian , and Hispanic or Latino workers earned the federal minimum wage or less . Among Black workers , the percentage was about 4 percent . </t>
  </si>
  <si>
    <t xml:space="preserve">Between Shades of Gray - wikipedia  Between Shades of Gray  Jump to : navigation , search  Between Shades of Gray       Author   Ruta Sepetys     Country   United States     Language   English     Genre   Historical Fiction     Publisher   Penguin Group     Publication date   2011     Media type   Print paperback     Pages   338     ISBN   978 - 0 - 14 - 133588 - 9     OCLC   701021642     LC Class   PZ7. S47957 Be 2011     Between Shades of Gray , a New York Times Bestseller , is the debut novel of American novelist Ruta Sepetys . It follows the Stalinist repressions of the mid-20th century and follows the life of Lina as she is deported from her native Lithuania with her mother and younger brother and the journey they take to a labor - camp in Siberia . It was nominated for the 2012 CILIP Carnegie Medal and has been translated into more than 27 languages .   Between Shades of Gray was originally intended as a young adult novel , but there have been several adult publications . In an interview with ThirstforFiction , Ruta Sepetys said that the reason she intended Between Shades of Gray to be a young adult novel was because she met many survivors in Lithuania who were themselves teenagers during the deportations , and had a greater will to live than many of their adult counterparts at the time .     Contents  ( hide )   1 Inspiration and basis   2 Characters   3 Reception   4 Film adaptation   5 Recognition   5.1 National awards   5.2 International awards   5.3 State awards     6 Translations   7 External links   8 References      Inspiration and basis ( edit )   Between Shades of Gray is partly based upon the stories she heard from survivors of the Genocide of Baltic people during a visit to her relatives in Lithuania .   Sepetys decided she needed to write a fiction novel rather than a non-fiction volume as a way of making it easier for survivors to talk to her . She interviewed dozens of people during her stay .   Lina Vilkas is introduced as a young artist living comfortably in her home in Kaunas , Lithuania , living with her loving family . But , on June 14 , 1941 , Soviet officers ( the NKVD ) barge into her home , tearing her family from the comfortable life they 've known . Separated from her father , forced onto a crowded and dirty train car , Lina , her mother , and her younger brother , Jonas , slowly make their way north , crossing the Arctic Circle , to a work camp in the coldest reaches of Siberia . Here they are forced , under Stalin 's orders , to dig for beets and fight for their lives under the cruelest of conditions . She befriends many people and works hard alongside her mother and brother for food and survival . Upon arriving at the camp , Lina and her family are forced to live with Ulyushka , a cruel , seemingly heartless woman who initially dislikes the Vilkas ' and constantly takes their food and other goods from them as a form of rent . Elena Vilkas , Lina 's mother , is kind and generous to Ulyushka , though she and her brother Jonas can not understand why . She befriends Andrius who later becomes her love interest , Alexandras Lukas ( known as `` The Man Who Wound His Watch '' ) Mr. Stalas ( the Bald Man ) , Mrs. Grybas , Mrs. Rimas . There is also one NKVD member who also sticks out to Lina as well ; Nikolai Kretzsky . Though he does n't at first come off as necessarily kind or helpful , he more or less befriends Lina and her mother . He can be seen as only being downright cruel to Lina only when around other NKVD members . He does n't seem to want to hurt Lina unless he absolutely has to . He is described as young , blonde - haired , and blue - eyed , and can be assumed to be quite handsome . Their relationship grows and remains important throughout the book . Alexandras Lukas is gray - haired and was once a lawyer . He is often seen winding his watch , and is the voice and soul of reason . The Bald Man is secretly Jewish and can add a touch of humor because of his terrible advice and short temper . Andrius Arvydas is handsome , golden - brown haired , and a source of comfort for Lina . At first , she disliked him , dismissing him as an `` idiot '' because he smoked her book , which was a present from her deceased grandmother . Their friendship blossoms , though becomes troubled when Lina accuses him and his mother for working for the NKVD . It turns out his mother was being unwillingly used as a prostitute because of her beauty , but only to protect her son and her friends . Andrius becomes Lina 's more - or-less boyfriend , and gets Lina a new book . Lina is then transported , separated from Andrius to a different camp where they are forced to build their own houses to survive . But then Lina 's mother dies . Just when she doubted survival a man , who is a doctor as well as an inspector of the work camps , shows up giving everyone blankets and food . He took them home after another long trip and Lina finds Andrius and they get married .   Characters ( edit )    Lina Vilkas : The 16 - year - old protagonist of the story , taken in the beginning with her mother and brother to a labor camp .   Jonas Vilkas : Lina 's ten - year - old brother . He is a major character , beloved by all , including the sour Mr. Stalas . His sweet and innocent personality is evident throughout the book , although Lina is frightened by the emotional changes in him upon beinforced to the camp .   Elena Vilkas : Lina 's mother . A loving woman , and generous with her kind gestures and food , perishes from grief and her attempts to save her children by giving them her rations . She also teaches her children that it is important to do what is right , not what is easy .   Kostas Vilkas : Lina 's father , who is separated from his family and is shipped to a prison by the name of Krasnoyarsk . Nikolai Kretzsky claimed he was dead , but if he is telling the truth is unknown . Much of the book revolves around Lina 's desperate attempts to locate and contact her father .   Andrius Arvydas : A handsome 17 - year - old boy , whom Lina meets in the train to the labor camps . He quickly falls in love with Lina in exile . He often sneaks food and supplies to the Vilkas family , and saves them a number of times with his knowledge on the happenings of the NKVD . He and Lina are said to be married in the epilogue .   Mrs. Arvydas : Andrius ' beautiful , and dainty , mother . She becomes a prostitute for the NKVD after they threaten to kill her son if she did not do so .   Nikolai Kretzsky : A young NKVD officer who helps Lina and her mother . While Lina finds him cruel and ruthless throughout much of the novel , he actually struggles with his work due to its immorality . While he is described to hit and shove the prisoners , he is also the only member of the NKVD who turns as the women undress for their bath , saves Elena from his fellow officers when they assault her , and sends for a doctor to save the prisoners dying in the second camp .   Mr. Stalas : A salty elderly man , distraught with guilt . He often complains and advises everyone to kill themselves before the NKVD did . It is later discovered that he revealed the prisoners ' identities and workplaces , resulting in their imprisonment . He is known to have a soft spot for the Vilkas family , despite his rudeness towards them , and he later helps in saving the sick prisoners .   Janina : A young girl partial to Lina , whose doll she lost to an officer who grew angry and shot its head off .   Joana : Lina 's beloved cousin and friend , who flees to Germany with her family before Stalin begins the deportation . Her escape is the reason for the Vilkas family 's imprisonment . She is consistently mentioned , but only appears in flashbacks . She is also one of the main characters in Sepetys ' third novel , Salt to the Sea .   Ivanov : An NKVD officer , perhaps the most despicable , allowing many prisoners to die , and finding great humor in the pain .   Ona : A young girl , not believed to be twenty , who is forced on the train immediately after giving birth to her baby , neither given any medical attention . After losing her baby , Ona goes insane and is shot and killed by the NKVD .    Reception ( edit )   Between Shades of Gray received intensely positive reviews . The New York Times described it as a `` superlative first novel '' whilst the LA Times called it a `` story of hardship as well as human triumph '' . Publishers ' Weekly praised Between Shades of Gray , calling it a `` harrowing page - turner , made all the more so for its basis in historical fact '' .   The book was a finalist for the 2012 William C. Morris Award for a debut young adult novel and was shortlisted for the 2012 Carnegie Medal . The book won the 2012 Golden Kite Award . The book was a finalist for the 2012 Amelia Elizabeth Walden Award .   Film adaptation ( edit )  Main article : Ashes in the Snow  Recognition ( edit )   National awards ( edit )    A New York Times Bestseller   An International Bestseller   A Carnegie Medal Nominee   A William C. Morris Finalist   A New York Times Notable Book   A Wall Street Journal Best Children 's Book   Winner of The Golden Kite Award for Fiction   An ALA Notable Book   A Publishers Weekly Best Children 's Book of 2011   YALSA 's Top 10 Best Fiction For Young Adults   A School Library Journal Best Book of 2011   A Booklist Best Book of 2011   A Kirkus Best Book of 2011   iTunes Best Teen Novel of 2011   A Junior Library Guild Selection   Notable Books For a Global Society Award   An Indies Choice Book Awards Finalist   IRA Children 's and Young Adult 's Book Award   Amazon Top Ten Teen Books of 2011   A CYBILS Finalist for 2011   National Blue Ribbon Selection by Book of the Month Club   A St. Louis Post Dispatch Best Book of 2011   A Columbus Dispatch Best Book of 2011   Winner of the SCBWI Work - in - Progress Grant   Georgia Peach Honor Book ( GA )    International awards ( edit )    Finalist for the Carnegie Medal in the UK   Shortlisted for the Lewisham Book Award in the UK   A Waterstones Children 's Book Prize Nominee in the UK   Amazon UK Top Ten Books of 2011   Finalist for Le Prix des Incorruptibles in France   Winner of the Prix RTL Lire For Best Novel For Young People in France   Winner of the Prix Livrentête in France   Finalist for the Historia Prize in France   Winner of the Peter Pan Silver Star in Sweden   Winner of the Prix Farniente in Belgium   Winner of the Flanders Young Adult Literature Jury Prize in Belgium   Winner of the KJV - Award in Belgium   Winner of the National Patriot Award in Lithuania   Winner of the Global Lithuanian Leader Award in Lithuania   A Golden List Nominee in the Netherlands   A Magazyn Literacki KSIĄŻKI ! Best Book in Poland   Winner of the Prix des Libraries du Québec in Canada   ' Der Leserpreis ' Readers Choice Finalist in Germany   A ' Best Breakthrough Author ' Nominee for the Penguin Teen Australia Awards   Finalist for the Sakura Medal in Japan    State awards ( edit )    Texas Lonestar Reading List Master List ( TX )   TAYSHAS Reading List Master List ( TX )   Capitol Choices Noteworthy Books for Children and Teens Master List ( D.C. )   Black - Eyed Susan Book Award Master List ( MD )   Pennsylvania School Librarians Association Award Master List ( PA )   The Flume : New Hampshire Readers ' Choice Award Master List ( NH )   Iowa Association of School Librarians Award Master List ( IA )   Kentucky Bluegrass Award Master List ( KY )   Nevada Young Readers Award Master List ( NV )   Rhode Island Teen Book Award Master List ( RI )   Maud Hart Lovelace Award ( MN )   Missouri Association of School Librarians Gateway Award Master List ( MO )   South Carolina Young Adult Book Award Master List ( SC )   Virginia Readers ' Choice Master List ( VA )   Eliot Rosewater Rosie Award Master List ( IN )   Nebraska Golden Sower Award ( NE )   Volunteer State Book Award ( TN )   Young Hoosier Book Award ( IN )   Sequoyah Book Award ( OK )    Translations ( edit )    Czech : `` V šedých tónech , '' CooBoo , Albatros Media A.S.   Chinese : `` Between Shades of Gray '' , ChinaCITIC Press , ISBN 978 - 7 - 5086 - 3344 - 2   Complex Chinese : `` Between Shades of Gray '' , ISBN 978 - 957 - 10 - 4896 - 3   Croatian : `` Pomrčina srca '' , Znanje , ISBN 978 - 953 - 324 - 532 - 4   Dutch : `` Schaduwliefde , '' Moon , 2011 ISBN 978 - 90 - 488 - 0901 - 1   English ( Australian Edition ) : `` Between Shades of Gray '' Penguin , ISBN 978 - 0 - 14 - 320541 - 8   English ( UK Young Adult Edition ) : `` Between Shades of Gray '' Puffin , ISBN 978 - 0 - 14 - 133588 - 9   English ( UK Adult Edition ) : `` Between Shades of Gray '' Viking , ISBN 978 - 0 - 670 - 92085 - 3   Estonian : `` Hallaaegade algus '' , Tammerraamat , ISBN 978 - 9949 - 526 - 18 - 5   Finnish : `` Harmaata valoa '' , Wsoy , ISBN 978 - 951 - 0 - 37239 - 5   French : Ce qu'ils n'ont pas pu nous prendre , Gallimard Jeunesse , ISBN 978 - 2 - 07 - 063567 - 2   German : Und in mir der unbesiegbare Sommer , Carlsen Verlag , Hamburg , ISBN 978 - 3 - 551 - 58254 - 6   Greek : `` Between Shades of Gray '' , Psichogios , ISBN 978 - 960 - 496 - 478 - 9   Hebrew : `` Between Shades of Gray '' , Miskal , ISBN 978 - 965 - 545 - 605 - 9   Hungarian : `` Arnyalatnyi remeny '' , Maxim Konyvkiado , ISBN 978 - 963 - 261 - 204 - 1   Italian : Avevano spento anche la luna , Garzanti Libri , ISBN 978 - 88 - 11 - 67036 - 0   Japanese : `` Between Shades of Gray '' , Iwanami Shoten , ISBN 978 - 4 - 00 - 115651 - 5   Latvian : `` Starp pelekiem toniem '' , Zvaigzne ABC , ISBN 978 - 9934 - 0 - 2238 - 8   Lithuanian : `` Tarp pilkų debesų '' , Alma Littera , ISBN 978 - 9955 - 38 - 964 - 4   Macedonian `` Крадци и проститутки , '' Sakam Knigi   Persian : `` Between Shades of Gray '' , Morvarid   Polish : `` szare sniegi syberii '' , Nasza Ksiegarnia , ISBN 978 - 83 - 10 - 11983 - 4   Portuguese ( Brazil ) : `` a vida em tons de cinza '' , Arqueiro , ISBN 978 - 85 - 8041 - 016 - 7   Portuguese ( Portugal ) : `` o longo inverno '' , Bertrand Editora / Contraponto , ISBN 978 - 989 - 666 - 085 - 7   Romanian `` Printre Tonuri Cenusii , '' Epica Publishing House   Serbian : `` Putovanje pod zvezdama '' , Alnari , ISBN 978 - 86 - 7710 - 729 - 1   Slovakian : `` Medzi odtieňmi sivej '' Ikar , ISBN 978 - 80 - 551 - 2442 - 1   Spanish : Entre tonos de gris , Ediciones Maeva , 2011 ISBN 978 - 84 - 15120 - 25 - 4   Swedish : `` Strimmor av hopp '' , B / Wahlstroms , ISBN 978 - 91 - 32 - 15958 - 9   Turkish : `` gri golgeler arasinda '' Delidolu , ISBN 978 - 605 - 63326 - 7 - 8    External links ( edit )    Official Between Shades of Gray Website   Ruta Sepety 's official Website   ThirstforFiction interview with Ruta Sepetys   Review in English and Italian    References ( edit )    Jump up ^ The CILIP Carnegie Medal Nomination for 2012 . Accessed May 24 , 2012 .   ^ Jump up to : `` Archived copy '' . Archived from the original on 2012 - 04 - 25 . Retrieved 2011 - 11 - 10 .   Jump up ^ `` An Interview With Ruta Sepetys '' . ( November 2 , 2011 ) . Thirst for Fiction . Accessed May 24 , 2012 .   Jump up ^ Macpherson , Karen ( June 4 , 2011 ) `` ' Between Shades of Gray ' reveals horror and hope . '' The Seattle Times . Accessed May 24 , 2012 .   Jump up ^ Alter , Alexandra ( March 25 , 2011 ) . `` An Unlikely Story for Teens '' . The Wall Street Journal . Accessed May 24 , 2012 .   Jump up ^ Park , Linda Sue ( April 9 ♥ , 2011 ) `` A Teenager 's View of the Gulag '' . The New York Times . Accessed May 24 , 2012 .   Jump up ^ Carpenter , Susan ( March 27 , 2011 ) . `` Not Just for Kids : ' Between Shades of Gray ' by Ruta Sepetys '' . Los Angeles Times . Accessed May 24 , 2012 .   Jump up ^ Between Shades of Gray . ( January 3 , 2011 ) . Publisher 's Weekly . Accessed May 24 , 2012 .   Retrieved from `` https://en.wikipedia.org/w/index.php?title=Between_Shades_of_Gray&amp;oldid=826556848 '' Categories :   2011 American novels   Golden Kite Award - winning works   American young adult novels   Novels set in Lithuania   Novels set in Siberia   Novels set in the Stalin era   Hidden categories :   Pages to import images to Wikidata           Talk                                           Contents                   About Wikipedia                                           Deutsch   Italiano   Lietuvių   Edit links   This page was last edited on 19 February 2018 , at 20 : 26 .         About Wikipedia                    </t>
  </si>
  <si>
    <t xml:space="preserve">when does between shades of gray take place</t>
  </si>
  <si>
    <t xml:space="preserve"> Between Shades of Gray , a New York Times Bestseller , is the debut novel of American novelist Ruta Sepetys . It follows the Stalinist repressions of the mid-20th century and follows the life of Lina as she is deported from her native Lithuania with her mother and younger brother and the journey they take to a labor - camp in Siberia . It was nominated for the 2012 CILIP Carnegie Medal and has been translated into more than 27 languages . </t>
  </si>
  <si>
    <r>
      <rPr>
        <sz val="11"/>
        <color rgb="FF000000"/>
        <rFont val="Calibri"/>
        <family val="0"/>
        <charset val="1"/>
      </rPr>
      <t xml:space="preserve">The Chronicles of Narnia ( film series ) - wikipedia  The Chronicles of Narnia ( film series )     The Chronicles of Narnia         Directed by   Andrew Adamson ( 1 -- 2 ) Michael Apted ( 3 ) Joe Johnston ( 4 )     Produced by   Mark Johnson ( 1 -- 3 ) Philip Steuer ( 1 -- 3 ) Andrew Adamson ( 2 -- 3 ) Mark Gordon ( 4 ) Douglas Gresham ( 4 ) Vincent Sieber ( 4 )     Screenplay by   Ann Peacock ( 1 ) Andrew Adamson ( 1 -- 2 ) Christopher Markus ( 1 -- 3 ) Stephen McFeely ( 1 -- 3 ) Michael Petroni ( 3 ) David Magee ( 4 )     Based on   The Chronicles of Narnia by C.S. Lewis     Starring   Georgie Henley Skandar Keynes William Moseley Anna Popplewell Ben Barnes Will Poulter Tilda Swinton Liam Neeson     Music by   Harry Gregson - Williams ( 1 -- 2 ) David Arnold ( 3 )     Cinematography   Donald McAlpine ( 1 ) Karl Walter Lindenlaub ( 2 ) Dante Spinotti ( 3 )     Edited by   Sim Evan - Jones ( 1 -- 2 ) Rick Shaine ( 3 )     Production company     Walt Disney Pictures ( 1 -- 2 )   Walden Media ( 1 -- 3 )   The Mark Gordon Company ( 4 )       Distributed by     Walt Disney Studios Motion Pictures ( 1 -- 2 )   20th Century Fox ( 3 )   TriStar Pictures ( 4 )   Entertainment One ( 4 )       Release date   1 : 9 December 2005 2 : 16 May 2008 3 : 10 December 2010 4 TBA     Running time   410 minutes ( 1 -- 3 )     Country   United Kingdom United States     Language   English     Budget   Total ( 3 films ) : $560 million     Box office   Total ( 3 films ) : $1,580,364,900     The Chronicles of Narnia is a series of films based on The Chronicles of Narnia , a series of novels by C.S. Lewis . From the seven novels , there have been three film adaptations so far -- The Lion , the Witch and the Wardrobe ( 2005 ) , Prince Caspian ( 2008 ) and The Voyage of the Dawn Treader ( 2010 ) -- which have grossed over $1.5 billion worldwide among them .   The series revolves around the adventures of children in the world of Narnia , guided by Aslan , a wise and powerful lion that can speak and is the true king of Narnia . The children heavily featured in the films are the Pevensie siblings , and a prominent antagonist is the White Witch ( also known as Jadis ) .   The first two films were directed by Andrew Adamson and the third film was directed by Michael Apted . The fourth film will be directed by Joe Johnston .   Contents    1 Development   2 Films   2.1 The Lion , the Witch and the Wardrobe ( 2005 )   2.2 Prince Caspian ( 2008 )   2.3 The Voyage of the Dawn Treader ( 2010 )   2.4 The Silver Chair ( TBA )     3 Main cast   3.1 Children   3.2 Other main characters     4 Crew   5 Reception   5.1 Box office performance   5.2 Critical and public response     6 See also   7 Notes   8 References   9 External links    Development ( edit )   C.S. Lewis never sold the film rights to the Narnia series during his lifetime , as he was skeptical that any cinematic adaptation could render the more fantastical elements and characters of the story realistically . Only after seeing a demo reel of CGI animals did Douglas Gresham ( Lewis 's stepson and literary executor , and film co-producer ) give approval for a film adaptation .   Although the plan was originally to produce the films in the same order as the book series ' original publication , it was reported that The Magician 's Nephew , which recounts the creation of Narnia , would be the fourth feature film in the series , instead of The Silver Chair . It was rumoured that The Magician 's Nephew was chosen as an attempt to reboot the series , after the release of The Voyage of the Dawn Treader grossed less when compared to the two previous films . In March 2011 , Walden Media confirmed that they intended The Magician 's Nephew to be next in the series , but stressed that it was not yet in development .   In October 2011 , Douglas Gresham stated that Walden Media 's contract with the C.S. Lewis estate had expired , hinting that Walden Media 's lapse in renegotiating their contract with the C.S. Lewis estate was due to internal conflicts between both companies about the direction of future films .   On 1 October 2013 , The C.S. Lewis Company announced a partnership with The Mark Gordon Company , and that The Chronicles of Narnia : The Silver Chair was officially in pre-production .   Films ( edit )   The Lion , the Witch and the Wardrobe ( 2005 ) ( edit )  Main article : The Chronicles of Narnia : The Lion , the Witch and the Wardrobe  The Lion , the Witch and the Wardrobe , based on the novel of the same title , is the first film in the series . Directed by Andrew Adamson , it was shot mainly in New Zealand , though locations were used in Poland , the Czech Republic and the United Kingdom .   The story follows the four British Pevensie siblings , who are evacuated during the Blitz to the countryside , where they find a wardrobe that leads to the fantasy world of Narnia . There , they must ally with the lion Aslan against the forces of the White Witch , who has placed Narnia in an eternal winter .   The film was released theatrically on 9 December 2005 and on DVD on 4 April 2006 and grossed over $745 million worldwide .   Prince Caspian ( 2008 ) ( edit )  Main article : The Chronicles of Narnia : Prince Caspian  Prince Caspian , based on the novel of the same title , is the second film in the series and the last distributed by Walt Disney Pictures .   The story follows the same Pevensie children who were transported to Narnia in the previous film as they return to Narnia , where 1,300 years have passed and the land has been invaded by the Telmarines . The four Pevensie children aid Prince Caspian in his struggle for the throne against his corrupt uncle , King Miraz .   The film was released on 16 May 2008 . It grossed $419 million worldwide .   The Voyage of the Dawn Treader ( 2010 ) ( edit )  Main article : The Chronicles of Narnia : The Voyage of the Dawn Treader  The Voyage of the Dawn Treader , based on the novel of the same title , is the first film in the series not to be co-produced by Disney , who dropped out over a budget dispute with Walden Media . In February 2009 it was announced that 20th Century Fox would replace Disney for future installments . Directed by Michael Apted , the movie was filmed almost entirely in Australia .   The story follows the two younger Pevensie children as they return to Narnia with their cousin , Eustace Scrubb . They join the old king of Narnia , Caspian , in his quest to rescue seven lost lords and save Narnia from a corrupting evil that resides on a lit island .   The film was released on 10 December 2010 ( in RealD 3D in select theatres ) and grossed over $415 million worldwide .   The Silver Chair ( tba ) ( edit )   After Walden Media 's contract of the series ' film rights expired in 2011 it was originally assumed that 2014 would be the earliest that production on another Narnia film could begin according to the moratorium placed on the C.S. Lewis estate 's right to sell the books ' film option .   On 1 October 2013 , The C.S. Lewis Company announced that it had entered into an agreement with the Mark Gordon Company to produce The Chronicles of Narnia : The Silver Chair , based on The Silver Chair . Mark Gordon and Douglas Gresham along with Vincent Sieber , the Los Angeles based director of The C.S. Lewis Company , would serve as producers and work with The Mark Gordon Company on developing the script . On 5 December 2013 , it was announced that David Magee would write the screenplay .   In July 2014 , the official Narnia website allowed the opportunity for fans to suggest names for the Lady of the Green Kirtle , the main antagonist . The winning name is to be selected by Mark Gordon and David Magee for use in the final script of The Chronicles of Narnia : The Silver Chair .   While the film 's producers have been calling the film a `` reboot '' to the series , in actuality this is referring to the fact that the film has a new creative team not associated with those who worked on the previous three films . The film itself is still considered to be a sequel to the film adaptation of The Voyage of the Dawn Treader . On 9 August 2016 , it was announced that Sony 's TriStar Productions and Entertainment One Films will finance and distribute the fourth film with Mark Gordon Company ( which eOne owns ) and C.S. Lewis Company .   In April 2017 , it was announced that Joe Johnston had been hired to direct The Silver Chair . In October , Johnston said filming is expected to begin in late 2018 .   During an interview with Red Carpet News TV , producer Mark Gordon revealed scarce details about the new technologies and setting that would be used for the upcoming film .   Main cast ( edit )   Children ( edit )    William Moseley as Peter Pevensie , title : High King Peter the Magnificent , the eldest Pevensie child and the High King of Narnia during the Golden Age .   Anna Popplewell as Susan Pevensie , title : Queen Susan the Gentle , the elder Pevensie child and a Queen of Narnia during the Golden Age .   Skandar Keynes as Edmund Pevensie , title : King Edmund the Just ; the younger Pevensie child and a King of Narnia during the Golden Age .   Georgie Henley as Lucy Pevensie , title : Queen Lucy the Valiant , the youngest Pevensie child and a Queen of Narnia during the Golden Age .   Will Poulter as Eustace Scrubb , the Pevensie children 's arrogant cousin . He will return to Narnia with his friend Jill Pole in The Silver Chair .    Other main characters ( edit )    Liam Neeson as the voice of Aslan , the magnificent and majestically powerful lion who helps govern and maintain order in Narnia ; a mystical world of his own creation . He is the only main character to appear in all seven books .   Tilda Swinton as Jadis , the White Witch ; the former queen of Charn and a witch who ruled Narnia after being released in The Magician 's Nephew and during the events of The Lion , the Witch and the Wardrobe .   Ben Barnes as Caspian X ( Also known as `` Prince Caspian '' ) , the Telmarine prince who becomes King of Narnia after overthrowing his evil uncle Miraz .   Eddie Izzard and Simon Pegg as the voice of Reepicheep in Prince Caspian and The Voyage of the Dawn Treader , respectively : the noble and courageous mouse who fights for Aslan and the freedom of Narnia .    Crew ( edit )     Role   Film     The Chronicles of Narnia : The Lion , the Witch and the Wardrobe   The Chronicles of Narnia : Prince Caspian   The Chronicles of Narnia : The Voyage of the Dawn Treader   The Chronicles of Narnia : The Silver Chair     2005   2008     2020     Director ( s )   Andrew Adamson   Michael Apted   Joe Johnston     Producer ( s )   Mark Johnson and Phillip Steuer   Mark Johnson , Andrew Adamson , and Phillip Steuer   Mark Gordon , Douglas Gresham , and Vincent Sieber     Writer ( s )   Ann Peacock , Andrew Adamson , Christopher Markus &amp; Stephen McFeely   Andrew Adamson , Christopher Markus , and Stephen McFeely   Christopher Markus , Stephen McFeely , and Michael Petroni   David Magee     Composer ( s )   Harry Gregson - Williams   David Arnold   TBA     Cinematographer ( s )   Donald McAlpine   Karl Walter Lindenlaub   Dante Spinotti   TBA     Editor ( s )   Sim Evan - Jones   Rick Shaine   TBA     U.S. release date   9 December 2005   16 May 2008   10 December 2010   2020     Distributor ( s )   Walt Disney Studios Motion Pictures   20th Century Fox   TriStar Pictures and Entertainment One     Reception ( edit )   Box office performance ( edit )     Film   Release date   Box office gross   All - time ranking   Budget   Ref .     North America   Other territories   Worldwide   North America   Worldwide     The Chronicles of Narnia : The Lion , the Witch , and the Wardrobe   December 9 , 2005 ( 2005 - 12 - 09 )   $291,710,957   $453,302,158   $745,013,115   78   86   $180 million       The Chronicles of Narnia : Prince Caspian   May 16 , 2008 ( 2008 - 05 - 16 )   $141,621,490   $278,044,078   $419,665,568   363   236   $225 million       The Chronicles of Narnia : The Voyage of the Dawn Treader   December 10 , 2010 ( 2010 - 12 - 10 )   $104,386,950   $311,299,267   $415,686,217   621   238   $155 million       Total   $ 7008537719397000000 ♠ 537,719,397   $ 7009104264550300000 ♠ 1,042,645,503   $ 7009158036490000000 ♠ 1,580,364,900     $560 million       Critical and public response ( edit )     Film   Rotten Tomatoes   Metacritic   CinemaScore     The Chronicles of Narnia : The Lion , the Witch and the Wardrobe   76 % ( 209 reviews )   75 ( 39 reviews )   A+     The Chronicles of Narnia : Prince Caspian   67 % ( 189 reviews )   62 ( 34 reviews )   A −     The Chronicles of Narnia : The Voyage of the Dawn Treader   50 % ( 161 reviews )   53 ( 33 reviews )   A −     See also ( edit )    Narnia portal   Fantasy portal   Film portal   Disney portal     Outline of Narnia   The Chronicles of Narnia ( TV serial )    Notes ( edit )    Jump up ^ A general dislike of cinema is seen in Collected Letters , Vol. 2 , a letter to his brother Warren on March 3 , 1940 , p. 361 ; see also All My Road Before Me , June 1 , 1926 , p. 405    References ( edit )    Jump up ^ Moring , Mark ( April 7 , 2011 ) . `` The Lion , the Witch , and the Box Office '' . Christianity Today . Retrieved May 1 , 2011 .   Jump up ^ `` ' Narnia ' : Walden , Fox in discussions on ' The Magician 's Nephew ' '' . Inside movies . EW. 23 Oct 2011 .   Jump up ^ `` Gresham Shares Plans for Next Narnia Film '' . Narnia Web . May 2012 .   ^ Jump up to : `` Fourth `` Chronicles of Narnia '' Movie in Works from Mark Gordon Co `` . Deadline. Oct 2013 .   Jump up ^ Alexonx ( 10 November 2010 ) . `` The Chronicles of Narnia : The Voyage of the Dawn Treader - Spectacular trailer '' . filmissimo.it . Archived from the original on 2012 - 03 - 14 . Retrieved 10 November 2010 .   Jump up ^ `` ' Narnia ' Sequel Taps David Magee to Write Script '' . The Wrap . 5 July 2013 .   Jump up ^ `` Enter The Silver Chair Movie Contest ! '' . Narnia.com .   Jump up ^ `` Chronicles of Narnia : The Silver Chair to Reboot the Franchise '' . Collider. 12 January 2016 .   Jump up ^ Katharine Trendacosta . `` With This Chronicles of Narnia News , the Word ' Reboot ' Is Officially Gibberish '' . io9 . Gawker Media .   Jump up ^ Fleming , Jr , Mike ( 9 August 2016 ) . `` TriStar , Mark Gordon &amp; eOne Revive ' The Chronicles Of Narnia ' With ' The Silver Chair ' '' . Deadline .   Jump up ^ Kroll , Justin . `` ' Captain America ' Director Joe Johnston Boards ' Narnia ' Revival ' The Silver Chair ' '' . Variety.com . Retrieved 4 April 2017 .   Jump up ^ `` The Silver Chair to Begin Filming 2018 , Johnston Says '' . NarniaWeb . Retrieved 2017 - 11 - 03 .   Jump up ^ `` ' The Chronicles of Narnia : The Silver Chair ' update : Mark Gordon drops teasers about setting and visual effects '' .   Jump up ^ `` The Chronicles of Narnia : The Lion , the Witch and the Wardrobe ( 2005 ) '' . Box Office Mojo . Retrieved 2012 - 08 - 18 .   Jump up ^ `` The Chronicles of Narnia : Prince Caspian ( 2008 ) '' . Box Office Mojo . Retrieved 2012 - 08 - 18 .   Jump up ^ `` The Chronicles of Narnia : The Voyage of the Dawn Treader ( 2010 ) '' . Box Office Mojo . Retrieved 2012 - 08 - 18 .   Jump up ^ `` The Chronicles of Narnia Movies at the Box Office '' . Box Office Mojo . Retrieved November 6 , 2017 .   Jump up ^ `` ' Narnia ' Vs. ' Narnia ' '' . Box Office Mojo . Retrieved November 6 , 2017 .   Jump up ^ `` The Chronicles of Narnia : The Lion , the Witch and the Wardrobe ( 2005 ) '' . Rotten Tomatoes . Retrieved 1 July 2016 .   Jump up ^ `` The Chronicles of Narnia : The Lion , the Witch and the Wardrobe Reviews '' . Metacritic . Retrieved 13 October 2012 .   ^ Jump up to : `` Cinema score '' . Retrieved 21 February 2015 .   Jump up ^ `` The Chronicles of Narnia : Prince Caspian ( 2008 ) '' . Rotten Tomatoes . Retrieved 13 October 2012 .   Jump up ^ `` The Chronicles of Narnia : Prince Caspian Reviews '' . Metacritic . Retrieved 13 October 2012 .   Jump up ^ `` The Chronicles of Narnia : The Voyage of the Dawn Treader ( 2010 ) '' . Rotten Tomatoes . Retrieved 1 July 2016 .   Jump up ^ `` The Chronicles of Narnia : The Voyage of the Dawn Treader Reviews '' . Metacritic . Retrieved 13 October 2012 .    External links ( edit )       Wikiquote has quotations related to : The Chronicles of Narnia ( film series )      The Chronicles of Narnia : The Lion , the Witch and the Wardrobe on IMDb   The Chronicles of Narnia : Prince Caspian on IMDb   The Chronicles of Narnia : The Voyage of the Dawn Treader on IMDb              The Chronicles of Narnia by C.S. Lewis     Books     The Lion , the Witch and the Wardrobe   Prince Caspian   The Voyage of the Dawn Treader   The Silver Chair   The Horse and His Boy   The Magician 's Nephew   The Last Battle       Adaptations        The Lion , the Witch and the Wardrobe ( 1967 TV serial )   The Lion , the Witch and the Wardrobe ( 1979 film )   The Chronicles of Narnia ( TV series )   The Lion , the Witch and the Wardrobe   Prince Caspian / The Voyage of the Dawn Treader   The Silver Chair     List of actors       Film series     The Lion , the Witch and the Wardrobe   Soundtrack   Game     Prince Caspian   Soundtrack   Game     The Voyage of the Dawn Treader   Soundtrack   Game     Cast list   Music   Accolades          Characters     Aravis   Aslan   Mr. and Mrs. Beaver   Bree   Caspian   Centaurs   Coriakin   Digory   Drinian   Edmund   Emeth   Eustace   The Cabby and Nellie   Hwin   Jill   Lady of the Green Kirtle   Lucy   Maugrim   Miraz   Peter   Polly   Puddleglum   Rabadash   Ramandu   Ramandu 's daughter   Reepicheep   Rilian   Seven Great Lords of Narnia   Shasta / Cor   Shift   Susan   Tash   Telmarines   Tirian   Trumpkin   Mr. Tumnus   White Witch       Places     Narnia ( world )   Anvard   Archenland   Aslan 's Country   Aslan 's How   Cair Paravel   Calormen   Charn   Lantern Waste   Miraz 's Castle   Narnia ( country )   Underland   Wood between the Worlds       General     Battles   First Battle of Beruna   Second Battle of Beruna     Creatures   Dawn Treader   Deplorable Word   Hundred - Year Winter   Religion   Tisroc           Portal      Retrieved from `` https://en.wikipedia.org/w/index.php?title=The_Chronicles_of_Narnia_(film_series)&amp;oldid=854490594 '' Categories :   English - language films   Film series introduced in 2005   British films   British epic films   Film series   The Chronicles of Narnia ( film series )   Films about siblings   Fantasy films by series   Action films by series   Adventure films by series   C.S. Lewis   Children 's film series   High fantasy films   Hidden categories :   Pages using deprecated image syntax           Talk                                           Contents                   About Wikipedia                                           Wikiquote         Deutsch   Español   Esperanto   فارسی   Français   </t>
    </r>
    <r>
      <rPr>
        <sz val="11"/>
        <color rgb="FF000000"/>
        <rFont val="Noto Sans CJK SC"/>
        <family val="2"/>
      </rPr>
      <t xml:space="preserve">한국어   </t>
    </r>
    <r>
      <rPr>
        <sz val="11"/>
        <color rgb="FF000000"/>
        <rFont val="Calibri"/>
        <family val="0"/>
        <charset val="1"/>
      </rPr>
      <t xml:space="preserve">हिन्दी   Bahasa Indonesia   ქართული   </t>
    </r>
    <r>
      <rPr>
        <sz val="11"/>
        <color rgb="FF000000"/>
        <rFont val="Noto Sans CJK SC"/>
        <family val="2"/>
      </rPr>
      <t xml:space="preserve">日本 語   </t>
    </r>
    <r>
      <rPr>
        <sz val="11"/>
        <color rgb="FF000000"/>
        <rFont val="Calibri"/>
        <family val="0"/>
        <charset val="1"/>
      </rPr>
      <t xml:space="preserve">Norsk   Português   Simple English   Svenska   ไทย   </t>
    </r>
    <r>
      <rPr>
        <sz val="11"/>
        <color rgb="FF000000"/>
        <rFont val="Noto Sans CJK SC"/>
        <family val="2"/>
      </rPr>
      <t xml:space="preserve">中文  </t>
    </r>
    <r>
      <rPr>
        <sz val="11"/>
        <color rgb="FF000000"/>
        <rFont val="Calibri"/>
        <family val="0"/>
        <charset val="1"/>
      </rPr>
      <t xml:space="preserve">8 more  Edit links   This page was last edited on 11 August 2018 , at 18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</si>
  <si>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many parts does chronicles of narnia have</t>
  </si>
  <si>
    <t xml:space="preserve"> The Chronicles of Narnia is a series of films based on The Chronicles of Narnia , a series of novels by C.S. Lewis . From the seven novels , there have been three film adaptations so far -- The Lion , the Witch and the Wardrobe ( 2005 ) , Prince Caspian ( 2008 ) and The Voyage of the Dawn Treader ( 2010 ) -- which have grossed over $1.5 billion worldwide among them . </t>
  </si>
  <si>
    <t xml:space="preserve">Military budget of the United States - Wikipedia  Military budget of the United States  Jump to : navigation , search      This article needs to be updated . Please update this article to reflect recent events or newly available information . ( April 2017 )     The military budget is the portion of the discretionary United States federal budget allocated to the Department of Defense , or more broadly , the portion of the budget that goes to any military - related expenditures . The military budget pays the salaries , training , and health care of uniformed and civilian personnel , maintains arms , equipment and facilities , funds operations , and develops and buys new equipment . The budget funds 4 branches of the U.S. military : the Army , Marine Corps , Navy , and Air Force . In FY 2015 , Pentagon and related spending totaled $598 billion , about 54 % of the fiscal year 2015 U.S. discretionary budget . For FY 2017 , President Obama proposed the base budget of $523.9 billion , which includes an increase of $2.2 billion over the FY 2016 enacted budget of $521.7 billion .   For the period 2010 - 14 , SIPRI found that the United States was the world 's biggest exporter of major arms , accounting for 31 percent of global shares , followed by Russia with 27 percent . The USA delivered weapons to at least 94 recipients . The United States was also the world 's eighth largest importer of major military equipment for the same period . The main imports were 19 transport aircraft from Italy ; and equipment produced in the US under license -- including 252 trainer aircraft of Swiss design , 223 light helicopters of German design and 10 maritime patrol aircraft of Spanish design .     Contents  ( hide )   1 Budget by Year   1.1 Budget for 2011   1.1. 1 Emergency and supplemental spending   1.1. 2 By title   1.1. 3 By entity   1.1. 4 Programs spending more than $1.5 billion   1.1. 5 Other military - related expenditures   1.1. 6 Audit of 2011 budget   1.1. 7 Audit of implementation of budget for 2010     1.2 Budget for 2016     2 Budget request for FY2018   2.1 Budget request for FY2017   2.1. 1 Investments   2.1. 2 Major Acquisition Programs   2.1. 3 Science and Technology Program   2.1. 3.1 Total Budget by Department   2.1. 3.2 Total Budget of Military   2.1. 3.3 Funding of payments and benefits   2.1. 3.4 Funding the military health system         3 Support service contractors   4 Military budget and total US federal spending   5 Federal waste   6 Comparison with other countries   7 Past commentary on military budget   7.1 2012 fiscal cliff     8 GAO audits   9 Reform   10 References   11 External links      Budget by year ( edit )   The following is historical spending on defense from 1996 - 2015 , spending for 2014 - 15 is estimated . The Defense Budget is shown in billions of dollars and total budget in trillions of dollars . The percentage of the total U.S. budget spent on defense is indicated in the third row , and change in defense spending from the previous year in the final row .       1990s   2000s   2010s     96   97   98   99   00   01   02   03   04   05   06   07   08   09   10   11   12   13   14   15     Defense Budget ( Billions )   266   270   271   292   304   335   362   456   491   506   556   625   696   698   721   717   681   610   614   637     Total Budget ( Trillions )   1.58   1.64   1.69   1.78   1.82   1.96   2.09   2.27   2.41   2.58   2.78   2.86   3.32   4.08   3.48   3.51   3.58   3.48   3.64   3.97     Defense Budget %   16.8   16.5   16.0   16.4   16.7   17.1   17.3   20.1   20.4   19.6   20.0   21.9   20.9   17.1   20.7   20.4   19.1   17.5   16.8   16.0     Defense Spending % Change   - 0.1   + 1.6   + 0.2   + 7.8   + 4.0   + 10.1   + 8.2   + 26.0   + 7.6   + 3.1   + 10.0   + 12.5   + 11.3   + 0.2   + 3.4   - 0.6   - 5.0   - 10.5   + 0.6   + 3.8     Budget for 2011 ( edit )   For the 2011 fiscal year , the president 's base budget for the Department of Defense and spending on `` overseas contingency operations '' combine to bring the sum to US $664.84 billion .   When the budget was signed into law on 28 October 2009 , the final size of the Department of Defense 's budget was $680 billion , $16 billion more than President Obama had requested . An additional $37 billion supplemental bill to support the wars in Iraq and Afghanistan was expected to pass in the spring of 2010 , but has been delayed by the House of Representatives after passing the Senate .  Emergency and supplemental spending ( edit )  The recent invasions of Iraq and Afghanistan were largely funded through supplementary spending bills outside the federal budget , which are not included in the military budget figures listed below . However , the wars in Iraq and Afghanistan were categorized as `` overseas contingency operations '' in the starting of the fiscal year 2010 , and the budget is included in the federal budget .   By the end of 2008 , the U.S. had spent approximately $900 billion in direct costs on the wars in Iraq and Afghanistan . The government also incurred indirect costs , which include interests on additional debt and incremental costs , financed by the Veterans Administration , of caring for more than 33,000 wounded . Some experts estimate the indirect costs will eventually exceed the direct costs . As of June 2011 , the total cost of the wars was approximately $1.3 trillion .  By title ( edit ) USA 2010 Military Budget Spending  The federally budgeted ( see below ) military expenditure of the United States Department of Defense for fiscal year 2013 are as follows . While data is provided from the 2015 budget , data for 2014 and 2015 is estimated , and thus data is shown for the last year for which definite data exists ( 2013 ) .     Components   Funding   Change , 2012 to 2013     Operations and maintenance   $258.277 billion   - 9.9 %     Military Personnel   $153.531 billion   - 3.0 %     Procurement   $97.757 billion   - 17.4 %     Research , Development , Testing &amp; Evaluation   $63.347 billion   - 12.1 %     Military Construction   $8.069 billion   - 29.0 %     Family Housing   $1.483 billion   - 12.2 %     Other Miscellaneous Costs   $2.775 billion   - 59.5 %     Atomic energy defense activities   $17.424 billion   - 4.8 %     Defense - related activities   $7.433 billion   - 3.8 %     Total Spending   $610.096 billion   - 10.5 %    By entity ( edit )    Entity   2010 Budget request   Percentage of Total   Notes     Army   $244.8 billion   31.8 %       Marine Corps   $40.6 billion   4 %   Total Budget taken allotted from Department of Navy     Navy   $379.8 billion   43.4 %   excluding Marine Corps     Air Force   $170.6 billion   22 %       Defense Intelligence   $80.1 billion   3.3 %   Because of classified nature , budget is an estimate and may not be the actual figure     Defense Wide Joint Activities   $118.7 billion   15.5 %      Programs spending more than $1.5 billion ( edit )  The Department of Defense 's FY 2011 $137.5 billion procurement and $77.2 billion RDT&amp;E budget requests included several programs with more than $1.5 billion .     Program   2011 Budget request   Change , 2010 to 2011     F - 35 Joint Strike Fighter   $11.4 billion   + 2.1 %     Ballistic Missile Defense ( Aegis , THAAD , PAC - 3 )   $9.9 billion   + 7.3 %     Virginia class submarine   $5.4 billion   + 28.0 %     Brigade Combat Team Modernization   $3.2 billion   + 21.8 %     DDG 51 Burke - class Aegis Destroyer   $3.0 billion   + 19.6 %     P -- 8A Poseidon   $2.9 billion   − 1.6 %     V - 22 Osprey   $2.8 billion   − 6.5 %     Carrier Replacement Program   $2.7 billion   + 95.8 %     F / A-18E / F Hornet   $2.0 billion   + 17.4 %     Predator and Reaper Unmanned Aerial System   $1.9 billion   + 57.8 %     Littoral combat ship   $1.8 billion   + 12.5 %     CVN Refueling and Complex Overhaul   $1.7 billion   − 6.0 %     Chemical Demilitarization   $1.6 billion   − 7.0 %     RQ - 4 Global Hawk   $1.5 billion   + 6.7 %     Space - Based Infrared System   $1.5 billion   + 54.0 %    Other military - related expenditures ( edit ) Per - capita military spending 1962 -- 2015 ( inflation - adjusted 2011 dollars ) Military spending 1962 -- 2015 ( inflation - adjusted 2011 dollars )  This does not include many military - related items that are outside of the Defense Department budget , such as nuclear weapons research , maintenance , cleanup , and production , which are in the Atomic Energy Defense Activities section , Veterans Affairs , the Treasury Department 's payments in pensions to military retirees and widows and their families , interest on debt incurred in past wars , or State Department financing of foreign arms sales and militarily - related development assistance . Neither does it include defense spending that is not military in nature , such as the Department of Homeland Security , counter-terrorism spending by the Federal Bureau of Investigation , and intelligence - gathering spending by NSA .  Audit of 2011 budget ( edit )  Again in 2011 , the GAO could not `` render an opinion on the 2011 consolidated financial statements of the federal government '' , with a major obstacle again being `` serious financial management problems at the Department of Defense ( DOD ) that made its financial statements unauditable '' .   In December 2011 , the GAO found that `` neither the Navy nor the Marine Corps have implemented effective processes for reconciling their FBWT . '' According to the GAO , `` An agency 's FBWT account is similar in concept to a corporate bank account . The difference is that instead of a cash balance , FBWT represents unexpended spending authority in appropriations . '' In addition , `` As of April 2011 , there were more than $22 billion unmatched disbursements and collections affecting more than 10,000 lines of accounting . ''  Audit of implementation of budget for 2010 ( edit )  The US Government Accountability Office ( GAO ) was unable to provide an audit opinion on the 2010 financial statements of the US Government because of ' widespread material internal control weaknesses , significant uncertainties , and other limitations ' . The GAO cited as the principal obstacle to its provision of an audit opinion ' serious financial management problems at the Department of Defense that made its financial statements unauditable ' .   In FY 2010 , six out of thirty - three DoD reporting entities received unqualified audit opinions .   Chief financial officer and Under Secretary of Defense Robert F. Hale acknowledged enterprise - wide problems with systems and processes , while the DoD 's Inspector General reported ' material internal control weaknesses ... that affect the safeguarding of assets , proper use of funds , and impair the prevention and identification of fraud , waste , and abuse ' . Further management discussion in the FY 2010 DoD Financial Report states ' it is not feasible to deploy a vast number of accountants to manually reconcile our books ' and concludes that ' although the financial statements are not auditable for FY 2010 , the Department 's financial managers are meeting warfighter needs ' .   Budget for 2016 ( edit )   On February 9 , 2016 , the US Department of Defense under President Obama released a statement outlining the proposed 2016 and 2017 defense spending budgets that `` ( reflect ) the priorities necessary for our force today and in the future to best serve and protect our nation in a rapidly changing security environment . ''   Budget by Appropriation   Components   Dollars In Billions     Military Personnel   138.6     Operation and Maintenance   244.4     Procurement   118.9     RDT&amp;E   69.0     Revolving and Management Funds   1.3     Military Construction   6.9     Family Housing   1.3     Total   580.3     Budget by Military Departments   Departments   Dollars in Billions     Army   146.9     Navy   168.8     Air Force   161.8     Defense Wide   102.8     Total   580.3     Budget request for FY2018 ( edit )   On March 16 , 2017 President Trump submitted his request to Congress for $639 billion in military spending -- $54 billion -- which represents a 10 percent increase -- for FY 2018 as well as $30 billion for FY2017 which ends in September . With a total federal budget of $3.9 trillion for FY2018 , the increase in military spending would result in deep cuts to many other federal agencies and domestic programs , as well as the State Department . Trump had pledged to `` rebuild '' the military as part of his 2016 Presidential campaign .   In April 2017 , journalist Scot J. Paltrow raised concerns about the increase in spending with the Pentagon 's history of `` faulty accounting '' .   On the 14th of July , H.R. 2810 the National Defense Authorization Act 2018 was passed by the U.S. House of Representatives 344 - 8 , with 8 not voting . 60 % of Democrats voted for this bill , which represented an 18 % increase in defense spending . The Congress increased the budget to total 696 billion dollars .   Budget request for FY2017 ( edit )   The currently available budget request for 2017 was filed on February 9 , 2016 , under now former - President Barack Obama .   The press release of the proposal specifies the structure and goals for the Fiscal Year ( FY ) 2017 budget :   The FY 2017 budget reflects recent strategic threats and changes that have taken place in Asia , the Middle East and Europe . Russian aggression , terrorism by the Islamic State of Iraq and the Levant ( ISIL ) and others , and China 's island building and claims of sovereignty in international waters all necessitate changes in our strategic outlook and in our operational commitments . Threats and actions originating in Iran and North Korea negatively affect our interests and our allies . These challenges have sharpened the focus of our planning and budgeting .   The proposal also includes a comparison of the 2016 and the proposed 2017 request amounts , a summary of acquisitions requested for 2017 and enacted in 2016 , and provides in detail a breakdown of specific programs to be funded .  Investments ( edit )      FY 2016 Enacted   FY 2017 Request   Change     Aircraft and Related Systems   50.6   45.3   - 5.3     C4I Systems   7.1   7.4   0.3     Ground Systems   9.9   9.8   - 0.1     Missile Defense Programs   9.1   8.5   - 0.6     Missiles and Munitions   12.7   13.9   1.2     Mission Support   52.9   52.4   - 0.5     Science &amp; Technology ( S&amp;T )   13.0   12.5   - 0.5     Shipbuilding and Maritime Systems   27.5   27.0   - 0.5     Space - Based Systems   7.0   7.1   0.1     Rescissions   - 1.8   -   + 1.8     Total   188   183.9   - 4.1     Amounts are in $ billions .  Major acquisition programs ( edit )  These are the top 25 DoD weapon programs described in detail :       FY 2016   FY 2017       Qty   $   Qty   $     Aircraft     F - 35   Joint Strike Fighter   68   11.6   63   10.5     KC - 46A   Tanker   12   3.0   15   3.3     P - 8A   Poseidon   17   3.4   11       V - 22   Osprey   20   1.6   16   1.5     E-2D AHE   Advanced Hawkeye   5   1.2   6   1.4     AH - 64E   Apache Helicopter   64   1.4   52   1.1     C / HC / MC - 130J   Hercules   29   2.4   14   1.3     UH - 60   Black Hawk Helicopter   107   1.8   36   1.0     CH - 53K   King Stallion Helicopter   --   0.6     0.8     MQ - 4C   Triton     1.0     0.8     H - 1 Upgrades   Bell Helicopter   29   0.9   24   0.8     NGJ   Next Generation Jammer Increment 1   --   0.4   --   0.6     CH - 47F   Chinook Helicopter   39   1.1   22   0.7     Missile Defense / Missiles     BMDS   Ballistic Missile Defense   --   7.7   --   6.9     Trident II   Trident II Missile Modifications   --   1.2   --   1.2     AMRAAM   Advanced Medium Range Air to Air Missile   429   0.7   419   0.7     Ships     SSN 774   VIRGINIA Submarine     5.7     5.3     DDG 51   AEGIS Destroyer     4.4     3.5     CVN 78   FORD Aircraft Carrier   --   2.8   --   2.8     ORR   Ohio Replacement   --   1.4   --   1.9     LHA - 6   Amphibious Assault Ship   --   0.5     1.6     LCS   Littoral Combat Ship     1.8     1.6     Space     AEHF   Advanced Extremely High Frequency Satellite   --   0.6   --   0.9     EELV   Evolved Expendable Launch Vehicle     1.5   5   1.8     Trucks     JLTV   Joint Light Tactical Vehicle   804   0.4   2,020   0.7     $ in billions , Qty being the number of items requested .  Science and technology program ( edit )  This program 's purpose is to `` invest in and develop capabilities that advance the technical superiority of the U.S. Military to counter new and emerging threats . '' . It has a budget of $12.5 billion , but is apart from the overall Research , Development , Test , and Evaluation ( RDT&amp;E ) portfolio , which compromises $71.8 billion . Efforts funded apply to the Obama administration 's refocusing of the US military to Asia , identifying investments to `` sustain and advance ( the ) DoD 's military dominance for the 21st century '' , counter the `` technological advances of U.S. foes '' , and support Manufacturing Initiative institutes . A breakdown of the amounts provided , by tier of research , is provided :     Program   FY 2016 Request   FY 2016 Enacted   FY 2017 Request   Change ( FY16 Enacted - FY17 Request )     Basic Research   2.1   2.3   2.1   - 0.2     Applied Research   4.7   5.0   4.8   - 0.2     Advanced Technology Development   5.5   5.7   5.6   - 0.1     Total   12.3   13.0   12.5   0.5    Total Budget by Department ( edit )    Total Budget   FY 2016 Enacted   FY 2017 Request   Change     Army   146,928,044   148,033,950   + 1,105,906     Navy   168,786,798   164,861,078   - 3,925,720     Air Force   161,783,330   166,879,239   + 5,095,909     Defense - Wide   102,801,512   102,927,320   + 125,808     Total   580,299,684   582,701,587   + 2,401,903     Amounts in Thousands of $ USD  Total Budget of Military ( edit )    Total Budget   FY 2016 Enacted   FY 2017 Request   Change     Military Personnel   138,552,886   138,831,498   + 278,612     Operation and Maintenance   244,434,932   250,894,310   + 6,459,378     Procurement   118,866,320   112,081,088   - 6,785,232     RDT&amp;E *   69,009,764   71,765,940   + 2,756,176     Revolving and Management Funds   1,264,782   1,512,246   + 247,464     Military Construction   6,909,712   6,296,653   - 613,059     Family Housing   1,261,288   1,319,852   + 58,564     Total   580,299,684   582,701,587   + 2,401,903     * Research , Development , Test and Evaluation   Amounts in thousands of $ USD  Funding of payments and benefits ( edit )  This portion of the military budget comprises roughly one third to one half of the total defense budget , considering only military personnel or additionally including civilian personnel , respectively . These expenditures `` will likely always be , the single largest expense category for the Department . '' Since 2001 , military pay and benefits have increased by 85 % , but remained roughly one third of the total budget due to an overall increased budget . Military pay remains at about the 70th percentile compared to the private sector to attract sufficient amounts of qualified personnel .     Military Pay and Benefits Funding   FY 2016 Enacted   FY 2017 Request     Military Personnel Appropriations   128.7   128.9     Medicare - Eligible Retiree Health Care Accruals   6.6   6.4     Defense Health Program   32.9   33.8     DoD Education Activity   3.1   2.9     Family Housing   1.3   1.3     Commissary Subsidy   1.4   1.2     Other Benefit Programs   3.5   3.4     Military Pay and Benefits Funding   177.5   177.9     Civilian Pay and Benefits Funding   71.8   72.9     Total Pay and Benefits Funding   249.3   250.8     DoD Base Budget Authority   521.7   523.9     Military Pay and Benefits as % of Budget   34.0 %   34.0 %     Total Pay and Benefits as % of Budget   47.8 %   47.9 %    Funding the military health system ( edit )  The request for 2017 amounts to $48.8 billion . The system has 9.4 million beneficiaries , including active , retired , and eligible Reserve Component military personnel and their families , and dependent survivors .     Program   FY 2017 Request     Defense Health ( DHP )   33.5     Military Personnel   8.6     Military Construction   0.3     Health Care Accrual   6.4     Unified Medical Budget   48.8     Support service contractors ( edit )  Main article : Defense contractor See also : List of United States defense contractors  The role of support service contractors has increased since 2001 and in 2007 payments for contractor services exceeded investments in equipment for the armed forces for the first time . In the 2010 budget , the support service contractors will be reduced from the current 39 percent of the workforce down to the pre-2001 level of 26 percent . In a Pentagon review of January 2011 , service contractors were found to be `` increasingly unaffordable . ''   Military budget and total U.S. federal spending ( edit )  Fiscal Year 2012 U.S. Federal Spending -- Cash or Budget Basis .  The U.S. Department of Defense budget accounted in fiscal year 2010 for about 19 % of the United States federal budgeted expenditures and 28 % of estimated tax revenues . Including non-DOD expenditures , military spending was approximately 28 -- 38 % of budgeted expenditures and 42 -- 57 % of estimated tax revenues . According to the Congressional Budget Office , defense spending grew 9 % annually on average from fiscal year 2000 -- 2009 .   Because of constitutional limitations , military funding is appropriated in a discretionary spending account . ( Such accounts permit government planners to have more flexibility to change spending each year , as opposed to mandatory spending accounts that mandate spending on programs in accordance with the law , outside of the budgetary process . ) In recent years , discretionary spending as a whole has amounted to about one - third of total federal outlays . Department of Defense spending 's share of discretionary spending was 50.5 % in 2003 , and has risen to between 53 % and 54 % in recent years .   For FY 2010 , Department of Defense spending amounts to 4.7 % of GDP . Because the U.S. GDP has grown over time , the military budget can rise in absolute terms while shrinking as a percentage of the GDP . For example , the Department of Defense budget is slated to be $664 billion in 2010 ( including the cost of operations in Iraq and Afghanistan previously funded through supplementary budget legislation ) , higher than at any other point in American history , but still 1.1 -- 1.4 % lower as a percentage of GDP than the amount spent on military during the peak of Cold - War military spending in the late 1980s . Admiral Mike Mullen , former Chairman of the Joint Chiefs of Staff , has called four percent an `` absolute floor '' . This calculation does not take into account some other military - related non-DOD spending , such as Veterans Affairs , Homeland Security , and interest paid on debt incurred in past wars , which has increased even as a percentage of the national GDP .   In 2015 , Pentagon and related spending totaled $598 billion . Military expenditures exceed the total amount of funds allocated to support social security , transportation , unemployment , labor , science , energy and the environment , international affairs , housing , veteran 's benefits , medicare , education .   In addition , the United States will spend at least $179 billion over the fiscal years of 2010 - 2018 on its nuclear arsenal , averaging $20 billion per year . Despite President Barack Obama 's attempts in the media to reduce the scope of the current nuclear arms race , the U.S. intends to spend an additional $1 trillion over the next 30 years modernizing its nuclear arsenal .   Federal waste ( edit )   As of September 2014 , the Department of Defense was estimated to have `` $857 million in excess parts and supplies '' . This figure has risen over the past years and of the Pentagon waste that has been calculated , two figures that are especially worth mentioning is the expenditure of `` $150 million on private villas for a handful of Pentagon employees in Afghanistan and the procurement of the JLENS air - defense balloon '' which , throughout the program 's development over the past two decades , is estimated to have cost $2.7 billion . Also , it is important to note that the JLENS air - balloon still does not function properly .   Comparison with other countries ( edit )  The U.S. military budget is higher than the nine other biggest military budgets in the world combined . Map of military expenditures as a percentage of GDP by country , 2015 .  The United States spends more on their defense budget than China , Saudi Arabia , Russia , the United Kingdom , India , France , and Japan combined . The 2009 U.S. military budget accounts for approximately 40 % of global arms spending . The 2012 budget is 6 -- 7 times larger than the $106 billion military budget of China . The United States and its close allies are responsible for two - thirds to three - quarters of the world 's military spending ( of which , in turn , the U.S. is responsible for the majority ) . The US also maintains the largest number of military bases on foreign soil across the world . While there are no freestanding foreign bases permanently located in the United States , there are now around 800 U.S. bases in foreign countries . Military spending makes up nearly 16 % percent of entire federal spending and approximately half of discretionary spending . In a general sense discretionary spending ( defense and non-defense spending ) makes up one - third of the annual federal budget .   In 2015 , out of its budget of 1.11 trillion , the United States spent $598 billion on military . U.S. defense spending is equivalent to the next seven largest military budgets -- India , the United Kingdom , Japan , France , Saudi Arabia , Russia , and China -- combined .   In 2017 , the U.S. military budget is 773.5 billion and is estimated to increase in the upcoming years .   In 2005 , the United States spent 4.06 % of its GDP on its military ( considering only basic Department of Defense budget spending ) , more than France 's 2.6 % and less than Saudi Arabia 's 10 % . This is historically low for the United States since it peaked in 1944 at 37.8 % of GDP ( it reached the lowest point of 3.0 % in 1999 -- 2001 ) . Even during the peak of the Vietnam War the percentage reached a high of 9.4 % in 1968 .   The US Military 's budget has plateaued in 2009 , but is still considerably larger than any other military power .   Past commentary on military budget ( edit )   In 2009 , Secretary of Defense Robert Gates wrote that the U.S. should adjust its priorities and spending to address the changing nature of threats in the world : `` What all these potential adversaries -- from terrorist cells to rogue nations to rising powers -- have in common is that they have learned that it is unwise to confront the United States directly on conventional military terms . The United States can not take its current dominance for granted and needs to invest in the programs , platforms , and personnel that will ensure that dominance 's persistence . But it is also important to keep some perspective . As much as the U.S. Navy has shrunk since the end of the Cold War , for example , in terms of tonnage , its battle fleet is still larger than the next 13 navies combined -- and 11 of those 13 navies are U.S. allies or partners . '' Secretary Gates announced some of his budget recommendations in April 2009 .   According to a 2009 Congressional Research Service there was a discrepancy between a budget that is declining as a percentage of GDP while the responsibilities of the DoD have not decreased and additional pressures on the military budget have arisen due to broader missions in the post-9 / 11 world , dramatic increases in personnel and operating costs , and new requirements resulting from wartime lessons in the Iraq War and Operation Enduring Freedom .   In 2012 , four billion dollars of the five billion dollars in budget cuts mandated by the Congress in the 2013 budget were achieved by declaring that nearly 65 thousand troops were now temporary and no longer part of the permanent forces and so their costs were shifted to the Afghanistan war budget .   In May 2012 , as part of Obama 's East Asia `` pivot '' , his 2013 national military request moved funding from the Army and Marines to favor the Navy , but the Congress has resisted this .   Reports emerged in February 2014 that Secretary of Defense Chuck Hagel was planning to trim the defense budget by billions of dollars . The secretary in his first defense budget planned to limit pay rises , increase fees for healthcare benefits , freeze the pay of senior officers , and reduce military housing allowances . A reduction in the number of soldiers serving in the U.S. Army would reduce the size of the force to levels not seen since prior to the start of World War II .   In July 2014 , American Enterprise Institute scholar Michael Auslin opined in the National Review that the Air Force needs to be fully funded as a priority , due to the air superiority , global airlift , and long - range strike capabilities it provides .   In January 2015 Defense Department published its internal study on how to save $125 billion on its military budget from 2016 to 2020 by renegotiating vendor contracts and pushing for stronger deals , and by offering workers early retirement and retraining .   2012 Fiscal cliff ( edit )   On 5 December 2012 , the Department of Defense announced it was planning for automatic spending cuts , which include $500 billion and an additional $487 billion due to the 2011 Budget Control Act , due to the fiscal cliff . According to Politico , the Department of Defense declined to explain to the House of Representatives Appropriations Committee , which controls federal spending , what its plans were regarding the fiscal cliff planning .   This was after half a dozen defense experts either resigned from Congress or lost their reelection fights .   Lawrence Korb has noted that given recent trends military entitlements and personnel costs will take up the entire defense budget by 2039 .   GAO audits ( edit )   The Government Accountability Office was unable to provide an audit opinion on the 2010 financial statements of the U.S. government due to `` widespread material internal control weaknesses , significant uncertainties , and other limitations . '' The GAO cited as the principal obstacle to its provision of an audit opinion `` serious financial management problems at the Department of Defense that made its financial statements unauditable . ''   In Fiscal Year ( FY ) 2011 , seven out of 33 DoD reporting entities received unqualified audit opinions . Under Secretary of Defense Robert F. Hale acknowledged enterprise - wide weaknesses with controls and systems . Further management discussion in the FY 2011 DoD Financial Report states `` we are not able to deploy the vast numbers of accountants that would be required to reconcile our books manually '' . Congress has established a deadline of FY 2017 for the DoD to achieve audit readiness .   For FYs 1998 - 2010 the Department of Defense 's financial statements were either unauditable or such that no audit opinion could be expressed .   Reform ( edit )   In a statement of 6 January 2011 Defense Secretary Robert M. Gates stated : `` This department simply can not risk continuing down the same path -- where our investment priorities , bureaucratic habits and lax attitude towards costs are increasingly divorced from the real threats of today , the growing perils of tomorrow and the nation 's grim financial outlook . '' Gates has proposed a budget that , if approved by Congress , would reduce the costs of many DOD programs and policies , including reports , the IT infrastructure , fuel , weapon programs , DOD bureaucracies , and personnel .   The 2015 expenditure for Army research , development and acquisition changed from $32 billion projected in 2012 for FY15 , to $21 billion for FY15 expected in 2014 .   References ( edit )    ^ Jump up to : `` Historical Tables , Budget of the United States Government , Fiscal Year 2015 '' . United States Government Publishing Office . 2015 . Retrieved 1 January 2015 .   Jump up ^ Updated Summary Tables , Budget of the United States Government Fiscal Year 2010 ( Table S. 12 ) Archived 2 November 2009 at the Wayback Machine .   Jump up ^ `` Department of Defense '' ( PDF ) . Archived from the original ( PDF ) on 7 January 2012 . Retrieved 26 February 2014 .   Jump up ^ `` Senate OKs defense bill , 68 - 29 '' . TheHill . Retrieved 25 March 2015 .   Jump up ^ The New York Times , Pent</t>
  </si>
  <si>
    <t xml:space="preserve">where does funding for the military come from</t>
  </si>
  <si>
    <t xml:space="preserve"> The U.S. Department of Defense budget accounted in fiscal year 2010 for about 19 % of the United States federal budgeted expenditures and 28 % of estimated tax revenues . Including non-DOD expenditures , military spending was approximately 28 -- 38 % of budgeted expenditures and 42 -- 57 % of estimated tax revenues . According to the Congressional Budget Office , defense spending grew 9 % annually on average from fiscal year 2000 -- 2009 . </t>
  </si>
  <si>
    <r>
      <rPr>
        <sz val="11"/>
        <color rgb="FF000000"/>
        <rFont val="Calibri"/>
        <family val="0"/>
        <charset val="1"/>
      </rPr>
      <t xml:space="preserve">Tom Paris - wikipedia  Tom Paris       hide This article has multiple issues . Please help improve it or discuss these issues on the talk page . ( Learn how and when to remove these template messages )      This Star Trek - related article describes a work or element of fiction in a primarily in - universe style . Please help rewrite it to explain the fiction more clearly and provide non-fictional perspective . ( December 2013 ) ( Learn how and when to remove this template message )         This article includes a list of references , but its sources remain unclear because it has insufficient inline citations . Please help to improve this article by introducing more precise citations . ( July 2012 ) ( Learn how and when to remove this template message )    ( Learn how and when to remove this template message )       Tom Paris     Star Trek character         Portrayed by   Robert Duncan McNeill     Information     Family    Owen Paris ( father )  Julia Paris ( mother )     Children   Miral Paris     Species   Human     Affiliation     United Federation of Planets   Starfleet   Maquis       Posting     Helmsman and medic ,   USS Voyager       Rank     Field commissioned   lieutenant , junior grade ,   briefly demoted to ensign       Thomas Eugene `` Tom '' Paris , played by Robert Duncan McNeill , is a character in the American science fiction television series Star Trek : Voyager . In that televesion show , which aired on UPN between 1995 and 2001 , Paris serves as the chief helmsman and an auxiliary medic aboard the Federation of Planets starship USS Voyager , which must make its way home after being stranded on the opposite of Galaxy as Earth with a motley collection of Starfleet , Maquis , and aliens as crew . The character 's middle name , `` Eugene '' , is a tribute to Star Trek creator Gene Roddenberry .   Contents    1 Biography   2 Personality   3 Character background   4 Voyager relaunch novels   5 See also   6 References   7 External links    Biography ( edit )   Tom Paris is the son of Starfleet Admiral Owen Paris and a scion of a family with a long history of illustrious service in Starfleet . Following in his family 's tradition , Paris attended Starfleet Academy sometime in the 2350s and majored in astrophysics . A gifted pilot , Paris earned an assignment to the Academy 's honor squadron .   His relationship with his father was not a good one ; while Tom wanted to join the Federation Naval Patrol , Owen wanted him to enlist at Starfleet Academy . Admiral Paris often disapproved of his son 's tendency to get into fights and his resulting punishments .   Soon after his graduation from Starfleet Academy , Tom crashed a shuttle he was piloting near Caldik Prime , killing three other Starfleet officers . Afraid he would lose his commission , Paris falsified records that would later reveal the cause of the accident as pilot error . His efforts to cover up the error succeeded , yet still , overwhelmed by guilt and regret , he confessed . He was court martialed for his actions and was dishonorably discharged from Starfleet . This caused a major rift between Paris and his father .   Following his discharge , Paris left San Francisco for Marseille , where he started spending his time drinking and playing pool in Sandrine 's , a waterfront bar . There , Chakotay , a former Starfleet officer now serving with the Maquis , recruited him to serve as a mercenary pilot for the Maquis Rebellion against the Federation . This adventure went no better than his earlier stint in Starfleet as Paris was captured by Starfleet while piloting his first mission for the Maquis .   Tried and convicted of treason for aiding the Maquis Rebellion , Paris was sentenced to serve time in the Federation penal settlement near Auckland , New Zealand . Kathryn Janeway , captain of the starship USS Voyager , obtained Paris ' temporary release from the penal colony . Janeway , charged with finding and capturing the Maquis ship commanded by Chakotay , offered Paris early parole in exchange for serving as her informant on Chakotay and the Maquis .   Janeway and the crew of Voyager , while searching for the Maquis ship , were thrown into the Delta Quadrant by a massive energy wave created by an alien known as the Caretaker . Once there , they successfully located the Maquis ship docked at the Caretaker 's array . The survivors of the incident became stranded about 70,000 light - years away from Earth . The Maquis ship was destroyed and its crew joined the Federation crew on Voyager .   The marooning of Voyager in the Delta Quadrant provided Paris with a new beginning . Janeway gave Paris a field commission as a Starfleet lieutenant and made him chief helmsman of Voyager . He had a rough start , however , as Starfleet and Maquis alike viewed Paris with suspicion . Paris worked hard to earn his crewmates ' respect . During this time , he became best friends with Ensign Harry Kim , a young officer on his first mission who defied his crewmates to befriend Paris . Eventually , Paris was accepted by the crew and became one of Janeway 's valued officers .   Paris ' duties were not limited to piloting Voyager . On Janeway 's orders , he trained as a field medic and assisted The Doctor until the Doctor recruited Kes as his primary assistant . Following Kes 's departure ( `` The Gift '' ) Paris once again served regular duty shifts in sickbay .   In the episode `` Thirty Days '' , while disobeying direct orders in order to do what he felt was morally right , he was reduced to ensign and thrown in Voyager 's brig for a period of 30 days . About a year later , after working diligently at his duties , he regained his former rank . This occurred just before the events of `` Unimatrix Zero '' , during which it is revealed that he is fourth in the chain of command .   While serving on Voyager , Paris nurtured a long - hidden talent for holo - programming , devising several programs for the entertainment of his fellow crewmembers . His most popular programs included a re-creation of Sandrine 's bar , an Irish town called Fair Haven , and a 1930s - era sci - fi movie serial entitled Captain Proton .   Paris married Lieutenant B'Elanna Torres , Voyager 's half - Klingon chief engineer , in 2377 . Torres gave birth to their daughter Miral Paris during the events that led to Voyager 's return to the Alpha Quadrant and Earth .   Personality ( edit )   Tom Paris at times displayed resentment toward his father , Owen Paris . This situation improved substantially over the course of the journey , due to Janeway 's willingness to offer him redemption , and later to his relationship with B'Elanna Torres .   Paris also has a deep interest in 20th - century Earth pop - culture , often utilizing such in his holo - programs . The knowledge helped the crew during time - travel incidents .   He became good friends with Harry Kim from the start and at times displayed protectiveness in the face of Harry 's customary naiveté . In the first episode he rescues the ensign from Quark , a manipulative Ferengi . The only member of the crew with whom Paris initially had a somewhat difficult relationship was Chakotay because of their history in the Maquis . However , throughout Voyager 's seven - year journey home , Paris and Chakotay reconciled ( in part due to Paris having earned Chakotay 's trust ) and became good friends .   Tom was a full lieutenant at the very beginning of the series , then a lieutenant junior grade in the first - season episode `` Faces '' .   Character background ( edit )   The writers planned to use the character of Nicolas Locarno as a template for Tom Paris , who was played by McNeill in the Next Generation episode `` The First Duty '' . As a result , Voyager 's writers created an entirely new character sharing many of Locarno 's attributes .   The Tom Paris character has two backstories . The original backstory , and the only one acknowledged onscreen , cast Paris as a disgraced officer dishonorably discharged from Starfleet for covering up pilot error following a shuttle accident on Caldik Prime . In her published novel , Pathways , Voyager producer Jeri Taylor provided an alternative story much more similar to Locarno 's , moving the accident to Paris ' Starfleet Academy years and making his fellow cadets the victims of his recklessness .   An unproduced Voyager script was to have had a flashback to his time attending Starfleet Academy , and shown that Ro Laren , the Bajoran character from Star Trek : The Next Generation was among his classmates .   Voyager relaunch novels ( edit )   In the non-canonical Voyager relaunch novels , written by Christie Golden , Paris was promoted two steps in rank , like many of the Voyager crew , and is now a lieutenant commander . He serves as First Officer of Voyager , under the command of now - Captain Chakotay .   See also ( edit )    Star Trek portal   Fictional characters portal     Star Trek : Voyager   List of Star Trek : Voyager episodes   Star Trek    References ( edit )    Jump up ^ Okuda , M. , &amp; Okuda , D. ( 1997 ) . The star trek encyclopedia : A reference guide to the future ( Updat and expand ed . ) . New York : Pocket Books . P. 374   Jump up ^ Star Trek The Next Generation DVD set Season 5 , Disk 7 , `` Memorable Missions '' featurette    External links ( edit )    Tom Paris at Memory Alpha ( a Star Trek wiki )   `` Tom Paris '' at STARTREK.COM      hide         Star Trek : Voyager     Characters     Reginald Barclay   Chakotay   The Doctor   Kathryn Janeway   Kes   Harry Kim   Neelix   Tom Paris   Seven of Nine   B'Elanna Torres   Tuvok       Other topics     Episodes   season 4     Awards   Cast   Novels   String Theory : Cohesion     Kazon   Vidiians   The Maquis   The Borg   Species 8472   USS Voyager   Janeway Lambda one   Video games   Voyager   Elite Force   The Arcade Game        Retrieved from `` https://en.wikipedia.org/w/index.php?title=Tom_Paris&amp;oldid=844259877 '' Categories :   Fictional aviators   Fictional ensigns   Fictional lieutenants   Star Trek : Voyager characters   Fictional mechanics   Fictional medical personnel   Fictional nurses   Starfleet officers   Starfleet nurses   Starfleet ensigns   Starfleet lieutenants   Fictional characters introduced in 1995   Fictional military brats   Hidden categories :   Articles that need to differentiate between fact and fiction from December 2013   All articles that need to differentiate between fact and fiction   Star Trek articles that need to differentiate between fact and fiction   Articles lacking in - text citations from July 2012   All articles lacking in - text citations   Articles with multiple maintenance issues   Pages using deprecated image syntax   Articles using Infobox character with multiple unlabeled fields           Talk                                           Contents                   About Wikipedia                                           Català   Čeština   Español   Français   Hrvatski   Italiano   עברית   Magyar   मराठी   Nederlands   </t>
    </r>
    <r>
      <rPr>
        <sz val="11"/>
        <color rgb="FF000000"/>
        <rFont val="Noto Sans CJK SC"/>
        <family val="2"/>
      </rPr>
      <t xml:space="preserve">日本 語   </t>
    </r>
    <r>
      <rPr>
        <sz val="11"/>
        <color rgb="FF000000"/>
        <rFont val="Calibri"/>
        <family val="0"/>
        <charset val="1"/>
      </rPr>
      <t xml:space="preserve">Polski   Português   Română   Svenska   </t>
    </r>
    <r>
      <rPr>
        <sz val="11"/>
        <color rgb="FF000000"/>
        <rFont val="Noto Sans CJK SC"/>
        <family val="2"/>
      </rPr>
      <t xml:space="preserve">中文  </t>
    </r>
    <r>
      <rPr>
        <sz val="11"/>
        <color rgb="FF000000"/>
        <rFont val="Calibri"/>
        <family val="0"/>
        <charset val="1"/>
      </rPr>
      <t xml:space="preserve">7 more  Edit links   This page was last edited on 3 June 2018 , at 19 : 21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</si>
  <si>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tom paris get promoted to lieutenant</t>
  </si>
  <si>
    <t xml:space="preserve"> The marooning of Voyager in the Delta Quadrant provided Paris with a new beginning . Janeway gave Paris a field commission as a Starfleet lieutenant and made him chief helmsman of Voyager . He had a rough start , however , as Starfleet and Maquis alike viewed Paris with suspicion . Paris worked hard to earn his crewmates ' respect . During this time , he became best friends with Ensign Harry Kim , a young officer on his first mission who defied his crewmates to befriend Paris . Eventually , Paris was accepted by the crew and became one of Janeway 's valued officers . </t>
  </si>
  <si>
    <r>
      <rPr>
        <sz val="11"/>
        <color rgb="FF000000"/>
        <rFont val="Calibri"/>
        <family val="0"/>
        <charset val="1"/>
      </rPr>
      <t xml:space="preserve">Stand by Me - wikipedia  Stand by Me  Jump to : navigation , search  Stand by Me may refer to :   Contents  ( hide )   1 Music   1.1 Albums   1.2 Songs     2 Film and television   3 Books   4 See also    Music ( edit )   Albums ( edit )    Stand by Me ( Ernest Tubb album ) , 1966   Stand by Me ( Whatcha See Is Whatcha Get ) , a 1971 album by Bernard Purdie   Stand by Me : The Ultimate Collection , 1987 compilation album by Ben E. King   Stand by Me , a 2002 album by Ernie Haase &amp; Signature Sound   Stand by Me , a 2007 album by Ray Brown , Jr .    Songs ( edit )    `` Stand by Me '' ( Ben E. King song ) , a 1961 hit by Ben E. King   `` Stand by Me '' ( Atomic Rooster song ) , 1972 single hit in Europe   `` Stand by Me '' ( Charles Albert Tindley song ) , a 1905 gospel song   `` Stand by Me '' ( Oasis song ) , a 1997 single   `` Stand by Me '' ( Shayne Ward song ) , a 2006 single   `` Train in Vain '' ( `` Train in Vain ( Stand by Me ) '' in the US ) , a 1980 single by The Clash   `` Stand by Me '' , a 1972 song by Golden Earring   `` Stand by Me '' , a 2007 song by The Brilliant Green   `` Stand by Me '' , a 2009 song by SHINee for the Boys Over Flowers OST    Film and television ( edit )    Stand by Me ( film ) , a 1986 American drama film directed by Rob Reiner , based on the novella The Body by Stephen King   Stand by Me Doraemon , a 2014 3D CGI - Animated Japanese film based on the manga series Doraemon by Fujiko Fujio   Stand by Me ( TV series ) , a 1998 Singaporean Mandarin drama series   `` Stand by Me '' , a 1992 episode of the TV series My Little Pony Tales   `` Stand By Me ( Grey 's Anatomy ) '' , a 2009 season five episode of the TV series Grey 's Anatomy    Books ( edit )    Stand by Me , a 2010 novel by Sheila O'Flanagan   Stand by Me , an autobiographical book on depression by John Kirwan ( rugby )    See also ( edit )    Stand By ( disambiguation )        This disambiguation page lists articles associated with the title Stand by Me . If an internal link led you here , you may wish to change the link to point directly to the intended article .    Retrieved from `` https://en.wikipedia.org/w/index.php?title=Stand_by_Me&amp;oldid=819608823 '' Categories :   Disambiguation pages   Hidden categories :   All article disambiguation pages   All disambiguation pages           Talk                                           Contents                   About Wikipedia                                           Deutsch   Español   Français   Italiano   עברית   Nederlands   </t>
    </r>
    <r>
      <rPr>
        <sz val="11"/>
        <color rgb="FF000000"/>
        <rFont val="Noto Sans CJK SC"/>
        <family val="2"/>
      </rPr>
      <t xml:space="preserve">日本 語   </t>
    </r>
    <r>
      <rPr>
        <sz val="11"/>
        <color rgb="FF000000"/>
        <rFont val="Calibri"/>
        <family val="0"/>
        <charset val="1"/>
      </rPr>
      <t xml:space="preserve">Português   Русский   Svenska  3 more  Edit links   This page was last edited on 10 January 2018 , at 08 : 55 .         About Wikipedia                    </t>
    </r>
  </si>
  <si>
    <t xml:space="preserve">what movie was the song stand by me in</t>
  </si>
  <si>
    <t xml:space="preserve">  Stand by Me ( film ) , a 1986 American drama film directed by Rob Reiner , based on the novella The Body by Stephen King   Stand by Me Doraemon , a 2014 3D CGI - Animated Japanese film based on the manga series Doraemon by Fujiko Fujio   Stand by Me ( TV series ) , a 1998 Singaporean Mandarin drama series   `` Stand by Me '' , a 1992 episode of the TV series My Little Pony Tales   `` Stand By Me ( Grey 's Anatomy ) '' , a 2009 season five episode of the TV series Grey 's Anatomy  </t>
  </si>
  <si>
    <r>
      <rPr>
        <sz val="11"/>
        <color rgb="FF000000"/>
        <rFont val="Calibri"/>
        <family val="0"/>
        <charset val="1"/>
      </rPr>
      <t xml:space="preserve">Parable of the Prodigal Son - wikipedia  Parable of the Prodigal Son  `` Prodigal son '' redirects here . For other uses , see The Prodigal Son ( disambiguation ) . `` The Return of the Prodigal Son '' redirects here . For the painting by Rembrandt , see The Return of the Prodigal Son ( Rembrandt ) . For Egyptian film by Youssef Chahine , see The Return of the Prodigal Son ( film ) . The Return of the Prodigal Son ( 1773 ) by Pompeo Batoni  The Parable of the Prodigal Son ( also known as the Two Brothers , Lost Son , Loving Father , or Lovesick Father ) is one of the parables of Jesus and appears in Luke 15 : 11 -- 32 . Jesus Christ shares it with his disciples , the Pharisees and others .   In the story , a father has two sons , a younger and an older . The younger son asks the father for his inheritance , and the father grants his son 's request . However , the younger son is prodigal ( i.e. , wasteful and extravagant ) and squanders his fortune , eventually becoming destitute . The younger son is forced to return home empty - handed and intends to beg his father to accept him back as a servant . To the son 's surprise , he is not scorned by his father but is welcomed back with celebration and fanfare . Envious , the older son refuses to participate in the festivities . The father reminds the older son that one day he will inherit everything , and that they should still celebrate the return of the younger son because he was lost and is now found .   It is the third and final part of a cycle on redemption , following the Parable of the Lost Sheep and the Parable of the Lost Coin . In Revised Common Lectionary and Latin Rite Catholic Lectionary , this parable is read on the fourth Sunday of Lent ( in Year C ) ; in the latter it is also included in the long form of the Gospel on the 24th Sunday of Ordinary Time in Year C , along with the preceding two parables of the cycle . In the Eastern Orthodox Church it is read on the Sunday of the Prodigal Son .    James Tissot -- The Return of the Prodigal Son ( Le retour de l'enfant prodigue ) -- Brooklyn Museum  The parable begins with a young man , the younger of two sons , who asks his father to give him his share of the estate . The implication is the son could not wait for his father 's death for his inheritance , he wanted it immediately . The father agrees and divides his estate between both sons .   Upon receiving his portion of the inheritance , the younger son travels to a distant country and wastes all his money in extravagant living . Immediately thereafter , a famine strikes the land ; he becomes desperately poor and is forced to take work as a swineherd . ( This , too , would have been abhorrent to Jesus ' Jewish audience , who considered swine unclean animals . ) When he reaches the point of envying the food of the pigs he is watching , he finally comes to his senses :   But when he came to himself he said , `` How many hired servants of my father 's have bread enough to spare , and I 'm dying with hunger ! I will get up and go to my father , and will tell him , ' Father , I have sinned against heaven , and in your sight . I am no more worthy to be called your son . Make me as one of your hired servants . ' '' He arose , and came to his father . But while he was still far off , his father saw him , and was moved with compassion , and ran towards him , and fell on his neck , and kissed him .  -- Luke 15 : 17 -- 20 , World English Bible  This implies the father was hopefully watching for the son 's return .   The son does not even have time to finish his rehearsed speech , since the father calls for his servants to dress him in a fine robe , a ring , and sandals , and slaughter the `` fattened calf '' for a celebratory meal .   The older son , who was at work in the fields , hears the sound of celebration , and is told about the return of his younger brother . He is not impressed , and becomes angry . He also has a speech for his father :   But he answered his father , `` Behold , these many years I have served you , and I never disobeyed a commandment of yours , but you never gave me a goat , that I might celebrate with my friends . But when this , your son , came , who has devoured your living with prostitutes , you killed the fattened calf for him . ''  -- Luke 15 : 29 -- 30 , World English Bible  The parable concludes with the father explaining that because the younger son had returned , in a sense , from the dead , celebration was necessary :   `` But it was appropriate to celebrate and be glad , for this , your brother , was dead , and is alive again . He was lost , and is found . ''  -- Luke 15 : 32 , World English Bible  Contents    1 Context and interpretation   2 Commemoration and use   2.1 Orthodox   2.2 Catholic     3 In the arts   3.1 Art   3.2 Stage   3.3 Popular music   3.4 Literature     4 Similar parable in Mahayana Buddhism   5 See also   6 References   7 Further reading   8 External links    Context and interpretation ( edit )  Engraving of the Prodigal Son as a swineherd by Hans Sebald Beham , 1538 .  This is the last of three parables about loss and redemption , following the parable of the Lost Sheep and the parable of the Lost Coin , that Jesus tells after the Pharisees and religious leaders accuse him of welcoming and eating with `` sinners . '' The father 's joy described in the parable reflects divine love , the `` boundless mercy of God '' , and `` God 's refusal to limit the measure of his grace . ''   The request of the younger son for his share of the inheritance is `` brash , even insolent '' and `` tantamount to wishing that the father was dead . '' His actions do not lead to success , and he eventually becomes an indentured servant , with the degrading job of looking after pigs , and even envying them for the carob pods they eat .   On the son 's return , the father treats him with a generosity far more than he has a right to expect .   The older son , in contrast , seems to think in terms of `` law , merit , and reward '' , rather than `` love and graciousness . '' He may represent the Pharisees who were criticizing Jesus .   The father , who represents the Heavenly Father , implies to the older son that his love for both sons is not dependent upon their perfection , but their willingness to return to Him with a broken heart and a contrite spirit .   Commemoration and Use ( edit )  Stained glass window based on the parable , Charleston , South Carolina .  Orthodox ( edit )   The Eastern Orthodox Church traditionally reads this story on the Sunday of the Prodigal Son , which in their liturgical year is the Sunday before Meatfare Sunday and about two weeks before the beginning of Great Lent . One common kontakion hymn of the occasion reads ,   I have recklessly forgotten Your glory , O Father ; And among sinners I have scattered the riches which You gave to me . And now I cry to You as the Prodigal : I have sinned before You , O merciful Father ; Receive me as a penitent and make me as one of Your hired servants .   Catholic ( edit )   In his 1984 apostolic exhortation titled Reconciliatio et paenitentia ( Latin for Reconciliation and Penance ) , Pope John Paul II used this parable to explain the process of conversion and reconciliation . Emphasizing that God the Father is `` rich in mercy '' and always ready to forgive , he stated that reconciliation is a gift on his part . He stated that for the Church her `` mission of reconciliation is the initiative , full of compassionate love and mercy , of that God who is love . '' He also explored the issues raised by this parable in his second encyclical , Dives in misericordia ( Latin for Rich in Mercy ) , issued in 1980 .   In the arts ( edit )  Rembrandt , The Return of the Prodigal Son , 1662 -- 1669 ( Hermitage Museum , St Petersburg ) Gerard van Honthorst , 1623 , like many works of the period , allows a genre scene with moral content . The Polish Rider ; possibly the prodigal son . The subject is of much discussion .  Art ( edit )   Of the thirty or so parables in the canonical Gospels , this was one of the four that were shown in medieval art almost to the exclusion of the others , but not mixed in with the narrative scenes of the Life of Christ ( the others were the Wise and Foolish Virgins , Dives and Lazarus , and the Good Samaritan . The Labourers in the Vineyard also appears in Early Medieval works ) .   From the Renaissance the numbers shown widened slightly , and the various scenes -- the high living , herding the pigs , and the return -- of the Prodigal Son became the clear favourite . Albrecht Dürer made a famous engraving of the Prodigal Son amongst the pigs ( 1496 ) , a popular subject in the Northern Renaissance . Rembrandt depicted several scenes from the parable , especially the final episode , which he etched , drew , or painted on several occasions during his career . At least one of his works , The Prodigal Son in the Tavern , a portrait of himself as the Son , revelling with his wife , is like many artists ' depictions , a way of dignifying a genre tavern scene -- if the title was indeed the original intention of the artist . His late Return of the Prodigal Son ( 1662 -- 1669 , Hermitage Museum , St Petersburg ) is one of his most popular works .   Stage ( edit )   In the fifteenth and sixteenth centuries the theme was a sufficiently popular subject that the Prodigal Son Play can be seen as a subgenre of the English morality play . Examples include The Rare Triumphs of Love and Fortune , The Disobedient Child , and Acolastus .   Notable adaptations for performance include an 1869 oratorio by Arthur Sullivan , an 1884 cantata by Claude Debussy , a 1929 ballet choreographed by George Balanchine to music written by Sergei Prokofiev , a 1957 ballet by Hugo Alfvén , and an opera , The Prodigal Son by Benjamin Britten ( 1968 ) .   Many of these adaptations added to the Biblical material to lengthen the story ; for example , the 1955 film The Prodigal took considerable liberties , such as adding a temptress priestess of Astarte to the tale .   Popular music ( edit )   The parable is referenced in the last verse of the traditional Irish folk tune `` The Wild Rover '' ( `` I 'll go home to me parents , confess what I 've done / and I 'll ask them to pardon their prodigal son '' ) .   Oblique adaptations include that by the Reverend Robert Wilkins , who told the story of this parable in the song `` Prodigal Son '' , which is probably best known as a cover version by the Rolling Stones on their 1968 album Beggar 's Banquet . `` Prodigal Man '' was written by Ted Nugent and is the second track of the third album `` Migration '' by The Amboy Dukes and was released in 1969 . The Osmonds present a version of the parable in their 1973 hit song `` Let Me In , '' from their Mormon concept album The Plan . The British heavy metal band Iron Maiden recorded a song titled `` Prodigal Son '' , based on the parable of the same name , which appeared on their second release , Killers , in 1981 . U2 recorded a song titled `` The First Time '' on their 1993 album Zooropa . While based on the parable , it presents the idea of an alternate ending to the story . It could be argued that Kelly Willard 's 1982 song , Make Me A Servant is based on what the son said to his father when he returned home . `` The Prodigal Son Suite '' from the album The Prodigal Son is one of the first posthumous releases by the late piano player and gospel singer Keith Green in 1983 .   Detroit musician , Kid Rock , also recorded a song titled `` Prodigal Son '' , which appeared on his second album The Polyfuze Method , in 1993 . Kid Rock later re-recorded the track for his 2000 album The History of Rock . The Christian Rock trio BarlowGirl recorded the song `` She Walked Away '' , influenced by the parable , as part of their 2004 self - titled album . `` Indie '' rock band Two Gallants covered the parable in the song `` The Prodigal Son '' on their 2006 album What the Toll Tells . Musician Dustin Kensrue wrote a song about the Prodigal Son entitled `` Please Come Home '' on the album of the same name released in 2007 . Rock band Sevendust has a track titled `` Prodigal Son '' on their 2008 album , Chapter VII : Hope and Sorrow . The band Bad Religion has a song of the same title on their album New Maps of Hell . The band Extreme recorded a song titled `` Who Cares ? '' , which appeared on the album III Sides to Every Story , which is influenced by this parable . Brantley Gilbert released a song called `` Modern Day Prodigal Son '' . British Reggae band Steel Pulse recorded a song titled `` Prodigal Son '' on their debut album Handsworth Revolution , recreating the Biblical story as a Rastafarian parable . The Post-Hardcore band `` Gideon '' released a song called `` Prodigal Son '' , which appeared on their second album Milestone . Christian rock outfit The Chinese Express opened and closed their 2006 release with a two part telling of the parable with songs titled `` Said the son to the Father '' and `` Said the Father to the Son '' . Post-hardcore band `` Jamie 's Elsewhere '' also released a song titled `` Prodigal Son '' . The Los Angeles rap group House of Pain references the parable in one of the verses of their song , `` Jump Around '' . English indie rock band alt - J references the parable in the first verse of their song `` Left Hand Free '' . On their 2015 album Something Different , the Christian band Sidewalk Prophets included an uplifting song titled `` Prodigal '' with lyrics that are directed towards the Prodigal Son from the parable , or any person who is or has felt like they are in a similar situation .   In 2006 Country artist Dierks Bentley wrote a song for his album Long Trip Alone entitled `` The Prodigal Son 's Prayer '' . The song is based on the son 's prospective of coming home after he 's ruined himself in the world . Gospel artists Tribute Quartet released `` When the Prodigal Comes Home '' in 2016 .   Literature ( edit )  The Return of the Prodigal Son ( Leonello Spada , Louvre , Paris )  Another literary tribute to this parable is Dutch theologian Henri Nouwen 's 1992 book , The Return of the Prodigal Son : A Story of Homecoming , in which he describes his own spiritual journey infused with understanding based on an encounter with Rembrandt 's painting of the return of the Prodigal and deals with three personages : the younger , prodigal son ; the self - righteous , resentful older son ; and the compassionate father -- all of whom the author identifies with personally . An earlier work with similarities to the parable is `` Le retour de l'enfant prodigue '' ( `` The Return of the Prodigal Son '' ) , a short story by André Gide .   Rudyard Kipling wrote a poem giving an interpretation of the younger brother 's perspective .   The Parable of the Prodigal Son is also a recurring theme in the works of Rainer Maria Rilke , who interpreted the parable in a different way to the conventional reading . His version of the parable was not so concerned with redemption and the forgiveness of family ; the love of the family , and human love in general , was seen as less worthy than unreciprocated love , which is the purest form of love . In loving the family less , the Son can love God more , even if this love is not returned .   The theme of the Prodigal Son plays a major role in Anne Tyler 's novel A Spool of Blue Thread .   The Prodigal Son was also referred to in the play The Merchant Of Venice as well as As You Like It , pastoral comedies by William Shakespeare . The Prodigal Son is also mentioned in Shakespeare 's romance , The Winter 's Tale ( Act 4 , Scene 4 line 89 ) .   Similar parable in Mahayana buddhism ( edit )   A similar parable of a lost son can also be found in the Mahayana Buddhist Lotus Sutra . The two parables are so similar in their outline and many details that several scholars have assumed that one version has influenced the other or that both texts share a common origin . However , an influence of the biblical story on the Lotus sutra is regarded as unlikely given the early dating of the stratum of the sutra containing the Buddhist parable . In spite of their similarities , both parables continue differently after the two meet for the first time at the son 's return . In the biblical story , there is an immediate reunion of the two . In contrast , in the Lotus sutra , the poor son does not recognize the rich man as his father . When the father sends out some attendants to welcome the son , the son panics , fearing some kind of retribution . The father then lets the son leave without telling him of their kinship . However , he gradually draws the son closer to him by employing him in successively higher positions , only to tell him of their kinship in the end . In the Buddhist parable , the father symbolises the Buddha , and the son symbolises any human being . Their kinship symbolises that any being has Buddha nature . The concealment of the kinship of the father to his son is regarded as a skillful means ( Sanskrit : upāya ) .   See also ( edit )    Ministry of Jesus    References ( edit )    Jump up ^ BibleGateway. 2016 . Luke 15 : 11 -- 32 The Parable of the Lost Son - Jesus .   Jump up ^ BibleGateway. 2016 . Parable of the Forgiving Father ( 15 : 11 - 32 ) - The IVP New Testament Commentary Series   Jump up ^ `` Lent 4C '' . TextWeek.com . Retrieved 2013 - 09 - 12 .   Jump up ^ `` Proper 19 ( 24th Sunday of Ordinary Time ) '' . TextWeek.com . Retrieved 2016 - 09 - 11 .   ^ Jump up to : Richard N. Longenecker , The Challenge of Jesus ' Parables , Eerdmans , 2000 , ISBN 0 - 8028 - 4638 - 6 , pp. 201 -- 213 .   Jump up ^ Scott Hahn , Curtis Mitch , and Dennis Walters , Gospel of Luke : The Ignatius Study Guide , 2nd ed , Ignatius Press , 2001 , ISBN 0 - 89870 - 819 - 2 , p. 51 .   ^ Jump up to : Arland J. Hultgren , The Parables of Jesus : A Commentary , Eerdmans Publishing , 2002 , ISBN 0 - 8028 - 6077 - X , pp. 70 -- 82 .   Jump up ^ `` Scripture Readings Throughout the Year '' . Retrieved 2008 - 11 - 09 .   Jump up ^ The post-synodal apostolic exhortations of John Paul II by Catholic Church 1998 ISBN 0 - 87973 - 928 - 2 pages 234 -- 239   Jump up ^ `` Vatican website ' ' Reconciliatio et paenitentia ' ' '' . Vatican.va . Retrieved 2013 - 10 - 18 .   Jump up ^ `` Vatican website ' ' Dives in misericordia ' ' '' . Vatican . Retrieved 2013 - 10 - 18 .   Jump up ^ Emile Mâle , The Gothic Image : Religious Art in France of the Thirteenth Century , p 195 , English translation of 3rd ed , 1913 , Collins , London ( and many other editions ) , ISBN 978 - 0064300322   Jump up ^ Roland E. Fleischer and Susan C. Scott , Rembrandt , Rubens , and the art of their time : recent perspectives , Pennsylvania State University Press , 1997 , ISBN 0 - 915773 - 10 - 4 , pp. 64 - 65 .   Jump up ^ Craig , Hardin ( April 1950 ) . `` Morality Plays and Elizabethan Drama '' . Shakespeare Quarterly . 1 ( 2 ) : 71 . doi : 10.2307 / 2866678 . ISSN 0037 - 3222 .   Jump up ^ Don Michael Randel , The Harvard Biographical Dictionary of Music , Harvard University Press , 1996 , ISBN 0 - 674 - 37299 - 9 , pp. 13 - 14 ,   Jump up ^ Paul Hammond , The shadow and its shadow : surrealist writings on the cinema , 3rd ed , City Lights Books , 2000 , ISBN 0 - 87286 - 376 - X , p. 70 .   Jump up ^ BarlowGirl by BarlowGirl CD review at NewReleaseTuesday.com   Jump up ^ Dustin Kensrue at YouthMinistry.com   Jump up ^ Deirdre LaNoue , The Spiritual Legacy of Henri Nouwen , Continuum , 2000 , ISBN 0 - 8264 - 1283 - 1 , p. 45 .   Jump up ^ Turnell , Martin . `` André Gide and the Disintegration of the Protestant Cell '' . Yale French Studies . Yale University Press ( 7 ) : 21 -- 31 .   Jump up ^ `` The Prodigal Son '' . Famouspoetsandpoems.com . Retrieved 2013 - 10 - 18 .   Jump up ^ Andrew Keith Malcolm Adam , Postmodern Interpretations of the Bible : A reader , Chalice Press , 2001 , ISBN 0 - 8272 - 2970 - 4 , pp. 202 -- 203 .   Jump up ^ Books.google.co.uk . Books.google.co.uk . Retrieved 2013 - 10 - 18 .   Jump up ^ Books.google.co.uk . Books.google.co.uk . Retrieved 2013 - 10 - 18 .   Jump up ^ Sinkler , Rebecca Pepper ( February 13 , 2015 ) . `` Sunday Book Review : ' A Spool of Blue Thread ' by Anne Tyler '' . The New York Times . Retrieved October 5 , 2015 .   ^ Jump up to : Lotus Sutra , Chapter 4 , translated By H. Kern   Jump up ^ Suzuki , Takayasu ( 2015 ) . Two parables on `` The wealthy father and the poor son '' in the Saddharmapundarika and the Mahaberisutra , Journal of Indian and Budddhist Studies 63 ( 3 ) , 169 - 176   ^ Jump up to : Lai , Whalen W . `` The Buddhist Prodigal Son ' : A Story of Misperceptions '' . Journal of the International Association of Buddhist Studies 4.2 ( 1981 ) , p. 91   Jump up ^ Nhất Hạnh , Thích ( 2003 ) . Opening the Heart of the Cosmos . Parallax Press . pp. 37 -- 41 . ISBN 9781888375336 .    Further reading ( edit )    Wiggins , James , 2010 . What Did Jesus Teach ? A Detailed Survey of His Parables ISBN 978 - 1477699065   David A. Holgate , Prodigality , liberality and meanness in the parable of the prodigal son : a Greco - Roman perspective on Luke 15.11 - 32 , Continuum , 1999 , ISBN 1 - 84127 - 025 - 3 .   Father Raniero Cantalamessa , Pontifical Household preacher , `` Comments on Fourth Sunday of Lent Readings '' , Zenit News Agency , March 17 , 2007 .   Rev. George Dimopoulos , `` The Prodigal Son '' , Orthodoxy and the world , February 24 , 2008 .   G. Campbell Morgan , The Parable of the Father 's Heart .   E. Di Rocco ( a cura di ) , Il romanzo della misericordia . La parabola del figliol prodigo nella letteratura in Studium , 4 ( 2013 ) , no 109   E. Di Rocco , Leggere le Scritture con le Scritture : Ugo di Santo Caro e Nicola di Lira lettori di Luca ( 15 , 11 - 32 ) , in Studium , 4 ( 2013 ) , no 109 .   E. Di Rocco ( a cura di ) , Il romanzo della misericordia . La parabola di Luca nella letteratura moderna e contemporanea. in Studium , 2 ( 2014 ) , no 110 .   E. Di Rocco , Heimkehr : wohin ? , Auszug : wohin ? : la parabola esistenziale del figliol prodigo nella letteratura del Novecento. in Studium , 2 ( 2014 ) , no 110 .    External links ( edit )    Brooks , David . `` The Prodigal Sons '' , The New York Times , February 17 , 2014   Media related to Prodigal son at Wikimedia Commons              Jesus     Historicity     Chronology of Jesus   Genealogy of Jesus   Historical Jesus   Quest for the historical Jesus   portraits   sources   Josephus on Jesus   Tacitus mention   Mara bar Serapion letter     Historicity   Gospels   race and appearance         Life events     Birth   Nativity   Mary   Joseph   Flight into Egypt     Childhood   Unknown years   Baptism   Temptation   Apostles   selecting   Great Commission     Ministry   Sermon on the Mount / Plain   Beatitudes     Prayers   Lord 's Prayer     Parables   Miracles   Transfiguration   Homelessness   Last Supper   Passion   arrest   trial     Crucifixion   sayings on the cross     Tomb   Resurrection   Ascension       New Testament     Gospels   Matthew   Mark   Luke     Gospel harmony   Oral gospel traditions     Life of Jesus in the New Testament   Historical background of the New Testament   New Testament places associated with Jesus   Names and titles of Jesus in the New Testament       Culture     Language of Jesus   Bibliography   Films       Christianity     Christ   Christianity   Christology   Depictions of Jesus   art     Jesus in Christianity   pre-existence   incarnation     Relics associated with Jesus   Scholastic Lutheran Christology   Second Coming   Session of Christ       Other views     Brothers of Jesus   Holy Family   Jesuism   Jesus in comparative mythology   Christ myth theory   Jesus in Islam   Ahmadiyya     Jesus in Scientology   Judaism 's view of Jesus   in the Talmud     Master Jesus   Religious perspectives on Jesus   Criticism                 Parables of Jesus     Canonical Gospels     Barren Fig Tree   Budding Fig Tree   Counting the cost   Drawing in the Net   Faithful Servant   Friend at Night   Good Samaritan   Good Shepherd   Great Banquet   Growing Seed   Hidden Treasure   Lamp   Leaven   Lost Coin   Lost Sheep   Master and Servant   Mustard Seed   New Wine into Old Wineskins   Pearl   Pharisee and the Publican   Prodigal Son   Rich Fool   Rich man and Lazarus   Scribe   Sheep and Goats   Sower   Strong Man   Talents or minas   Tares   Ten Virgins   True Vine   Tree and its Fruits   Two Debtors   Two Sons   Unjust Judge   Unjust Steward   Unforgiving Servant   Wedding Feast   Wicked Husbandmen   Wise and Foolish Builders   Workers in the Vineyard       Non-canonical / disputed     Assassin   Empty Jar                 The Parable of the Prodigal Son in arts and culture     Source     Luke 15   Parables of Jesus       Art     The Wayfarer ( 1500s )   The Prodigal Son in the Brothel ( 1637 )   The Return of the Prodigal Son ( 1660s )   The Prodigal Son ( 1922 )       Film     L'Enfant prodigue ( 1907 )   The Prodigal ( 1955 )   The Gospel ( 2005 )   The Prodigal Trilogy ( 2008 )   The Imposter ( 2008 )   Preacher 's Kid ( 2010 )       Stage     The London Prodigal ( 1605 play )   The Prodigal Son ( 1929 ballet )       Opera     L'enfant prodigue ( 1850 )   The Prodigal Son ( 1968 )       Music     The Prodigal Son ( 1869 )   L'enfant prodigue ( 1884 )       Songs     Symphony No. 4   `` Walkin ' to Missouri '' ( 1952 )   `` Prodigal Son '' ( 1994 )       Album     Ants'hillvania ( 1981 )   The Prodigal Son ( 1983 )       Literature     Tears of the Prodigal Son ( 1622 )   Le retour de l'enfant prodigue ( 1907 )   `` Home - Coming ''       Papal     Dives in misericordia ( 1980 )   Reconciliatio et paenitentia ( 1984 )       Other     Fatted calf   The Wonderful Wizard of Ha 's ( 2007 )   `` Michael ''   `` The Burglar 's Christmas ''      Retrieved from `` https://en.wikipedia.org/w/index.php?title=Parable_of_the_Prodigal_Son&amp;oldid=864233319 '' Categories :   Parables of Jesus   Eastern Orthodox liturgical days   Gospel of Luke           Talk                                           Contents                   About Wikipedia                                                 Беларуская   Català   Dansk   Deutsch   Español   Esperanto   Français   Frysk   Gaeilge   गोंयची कोंकणी / Gõychi Konknni   </t>
    </r>
    <r>
      <rPr>
        <sz val="11"/>
        <color rgb="FF000000"/>
        <rFont val="Noto Sans CJK SC"/>
        <family val="2"/>
      </rPr>
      <t xml:space="preserve">한국어   </t>
    </r>
    <r>
      <rPr>
        <sz val="11"/>
        <color rgb="FF000000"/>
        <rFont val="Calibri"/>
        <family val="0"/>
        <charset val="1"/>
      </rPr>
      <t xml:space="preserve">Hrvatski   Bahasa Indonesia   Italiano   עברית   Lumbaart   മലയാളം   مصرى   မြန်မာဘာသာ   Nederlands   Nedersaksies   </t>
    </r>
    <r>
      <rPr>
        <sz val="11"/>
        <color rgb="FF000000"/>
        <rFont val="Noto Sans CJK SC"/>
        <family val="2"/>
      </rPr>
      <t xml:space="preserve">日本 語   </t>
    </r>
    <r>
      <rPr>
        <sz val="11"/>
        <color rgb="FF000000"/>
        <rFont val="Calibri"/>
        <family val="0"/>
        <charset val="1"/>
      </rPr>
      <t xml:space="preserve">ਪੰਜਾਬੀ   Polski   Português   Runa Simi   Русский   Simple English   Српски / srpski   Srpskohrvatski / српскохрватски   Suomi   Svenska   தமிழ்   Українська   Tiếng Việt   </t>
    </r>
    <r>
      <rPr>
        <sz val="11"/>
        <color rgb="FF000000"/>
        <rFont val="Noto Sans CJK SC"/>
        <family val="2"/>
      </rPr>
      <t xml:space="preserve">粵語   </t>
    </r>
    <r>
      <rPr>
        <sz val="11"/>
        <color rgb="FF000000"/>
        <rFont val="Calibri"/>
        <family val="0"/>
        <charset val="1"/>
      </rPr>
      <t xml:space="preserve">Zeêuws   </t>
    </r>
    <r>
      <rPr>
        <sz val="11"/>
        <color rgb="FF000000"/>
        <rFont val="Noto Sans CJK SC"/>
        <family val="2"/>
      </rPr>
      <t xml:space="preserve">中文  </t>
    </r>
    <r>
      <rPr>
        <sz val="11"/>
        <color rgb="FF000000"/>
        <rFont val="Calibri"/>
        <family val="0"/>
        <charset val="1"/>
      </rPr>
      <t xml:space="preserve">29 more  Edit links   This page was last edited on 15 October 2018 , at 23 : 40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</si>
  <si>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summarize the story of the roman father with two sons</t>
  </si>
  <si>
    <t xml:space="preserve"> In the story , a father has two sons , a younger and an older . The younger son asks the father for his inheritance , and the father grants his son 's request . However , the younger son is prodigal ( i.e. , wasteful and extravagant ) and squanders his fortune , eventually becoming destitute . The younger son is forced to return home empty - handed and intends to beg his father to accept him back as a servant . To the son 's surprise , he is not scorned by his father but is welcomed back with celebration and fanfare . Envious , the older son refuses to participate in the festivities . The father reminds the older son that one day he will inherit everything , and that they should still celebrate the return of the younger son because he was lost and is now found . </t>
  </si>
  <si>
    <r>
      <rPr>
        <sz val="11"/>
        <color rgb="FF000000"/>
        <rFont val="Calibri"/>
        <family val="0"/>
        <charset val="1"/>
      </rPr>
      <t xml:space="preserve">Old Course at St Andrews - wikipedia  Old Course at St Andrews   Old Course   R&amp;A Clubhouse and 18th green in 2004     Club information     Coordinates   56 ° 20 ′ 35 '' N 2 ° 48 ′ 11 '' W ﻿ / ﻿ 56.343 ° N 2.803 ° W ﻿ / 56.343 ; - 2.803 Coordinates : 56 ° 20 ′ 35 '' N 2 ° 48 ′ 11 '' W ﻿ / ﻿ 56.343 ° N 2.803 ° W ﻿ / 56.343 ; - 2.803     Location   St Andrews , Scotland     Established   1552     Type   Public     Owned by   Fife Council     Operated by   St Andrews Links Trust     Total holes   18     Tournaments hosted   The Open Championship , Alfred Dunhill Links Championship     Website   Old Course         Par   72     Length   7,305 yards ( 6,680 m )     Course record   61 ; Ross Fisher ( 2017 )        St Andrews Location in Scotland St Andrews Location in Fife , Scotland  The Old Course at St Andrews is considered the oldest golf course in the world , a public course over common land in St Andrews , Fife , Scotland . It is held in trust by The St Andrews Links Trust under an act of Parliament . The Royal and Ancient Golf Club of St Andrews club house sits adjacent to the first tee , although it is but one of many clubs ( St Andrews Golf Club , New Golf Club , St Regulus Golf Club and St Rules Golf Club are the others ) that have playing privileges on the course , along with the general public .   Contents  ( hide )   1 History   1.1 Governance   1.2 Influence on modern golf   1.3 Old Course and Bobby Jones     2 Features   3 The Open Championship   4 Scorecard   5 Women 's British Open   6 Senior Open Championship   7 See also   8 References   9 External links    History ( edit )   The Old Course at St Andrews is considered by many to be the `` home of golf '' because the sport was first played on the Links at St Andrews in the early 15th century . Golf was becoming increasingly popular in Scotland until in 1457 , when James II of Scotland banned golf because he felt that young men were playing too much golf instead of practising their archery . The ban was upheld by the following kings of Scotland until 1502 , when King James IV became a golfer himself and removed the ban .   Governance ( edit )   In 1552 , Archbishop John Hamilton gave the townspeople of St. Andrews the right to play on the links . In 1754 , 22 noblemen , professors , and landowners founded the Society of St Andrews Golfers . This society would eventually become the precursor to the Royal and Ancient which is the governing body for golf everywhere outside of the United States and Mexico . St Andrews Links had a scare when they went bankrupt in 1797 . The Town Council of St. Andrews decided to allow rabbit farming on the golf course to challenge golf for popularity . Twenty years of legal battling between the golfers and rabbit farmers ended in 1821 when a local landowner and golfer named James Cheape of Strathtyrum bought the land and is credited with saving the links for golf . The course evolved without the help of any one architect for many years , though notable contributions to its design were made by Daw Anderson in the 1850s and Old Tom Morris ( 1865 -- 1908 ) , who designed the 1st and 18th holes . Originally , it was played over the same set of fairways out and back to the same holes . As interest in the game increased , groups of golfers would often be playing the same hole , but going in different directions .   Influence on modern golf ( edit )   The Old Course was pivotal to the development of how the game is played today . For instance , in 1764 , the course had 22 holes . The members would play the same hole going out and in with the exception of the 11th and 22nd holes . The members decided that the first four and last four holes on the course were too short and should be combined into four total holes ( two in and two out ) . St Andrews then had 18 holes and that was how the standard of 18 holes was created . Around 1863 , Old Tom Morris had the 1st green separated from the 17th green , producing the current 18 - hole layout with seven double greens and four single greens . The Old Course is home of The Open Championship , the oldest of golf 's major championships . The Old Course has hosted this major 29 times since 1873 , most recently in 2015 . The 29 Open Championships that the Old Course has hosted is more than any other course , and The Open is currently played there every five years .   Old Course and Bobby Jones ( edit )   Bobby Jones ( who later founded Augusta National ) first played St Andrews in the 1921 Open Championship . During the third round , he infamously hit his ball into a bunker on the 11th hole . After he took four swings at the ball and still could not get out , after losing his temper , he continued the round , but did not turn in score card , thus disqualifying himself . However , he did continue to play in the fourth round . Six years later , when the Open Championship returned to St Andrews , Jones also returned . Not only did he win , he also became the first amateur to win back - to - back Open Championships . He won wire - to - wire , shooting a 285 ( 7 - under - par ) , which was the lowest score at either a U.S. Open or Open Championship at the time . He ended up winning the tournament by a decisive six strokes .   In 1930 , Jones returned to St Andrews for the British Amateur . He won , beating Roger Wethered by a score of 7 and 6 in the final match . He subsequently won the other three majors , making him the only man in the history of the sport to win the Grand Slam . Jones went on to fall in love with the Old Course for the rest of his life . Years later , he said `` If I had to select one course upon which to play the match of my life , I should have selected the Old Course . '' In 1958 the town of St Andrews gave Jones the key to the city ; he was only the second American to receive the honour ( after Benjamin Franklin in 1759 ) . After he received the key , he said `` I could take out of my life everything but my experiences here in St. Andrews and I would still have had a rich and full life . ''   Features ( edit )  `` I 'm very sentimental and the place gets to me every time I go there . St Andrews was always where I wanted to finish my major career . ''  -- Jack Nicklaus on finishing his career at St Andrews , 2005 .  The Swilcan Bridge is one of the most iconic attractions in golf The 18th hole towards the clubhouse of the R&amp;A in 2006 . A largely unchanged view in 1891 .  One of the unique features of the Old Course are the large double greens . Seven greens are shared by two holes each , with hole numbers adding up to 18 ( 2nd paired with 16th , 3rd with 15th , all the way up to 8th and 10th ) . The Swilcan Bridge , spanning the first and 18th holes , has become a famous icon for golf in the world . Everyone who plays the 18th hole walks over this 700 - year - old bridge , and many iconic pictures of the farewells of the most iconic golfers in history have been taken on this bridge . A life - size stone replica of the Bridge is situated at the World Golf Hall of Fame museum in St. Augustine , Florida . Only the 1st , 9th , 17th and 18th holes have their own greens . Another unique feature is that the course can be played in either direction , clockwise or anti-clockwise . Along with that , the Old Course has 112 bunkers which are all individually named and have their own unique story and history behind them . The two most famous are the 10 ft deep `` Hell Bunker '' on the 14th hole , and the `` Road Bunker '' on the 17th hole . Countless professional golfers have seen their dreams of winning the Open Championship squandered by hitting their balls into those bunkers .   The Old Course is also home of The Road Hole , the par - 4 17th , one of the world 's most famous golf holes . Among its unique features are :    Players using the back tees can not see where their tee shots land . This is not unusual except that they must take aim over a corner of replica railway sheds which lie beyond the out of bounds wall . The original sheds were torn down when the rail line running next to the course closed , and after several Opens were played without the tee shot being blind , replicas of the sheds were created in preparation for the 1984 Open .   Other than rough , the primary hazard in front of the green is a sand trap known as the `` Road Bunker . ''   Over the back of the green , hazards include a tarmac roadway , as well as an old stone wall . Both are in play ; a wayward shot can lead a player to take their next stroke off the roadway or to hit the face of the wall and take their chances with the ensuing bounce .    The general method of play today is counterclockwise , although clockwise play has been permitted on one day each year in recent years , and for several special one off events since . Originally , the course was reversed every week in order to let the grass recover better . One other unusual thing about the Old Course is that it is closed on Sundays to let the course rest . On some Sundays , the course turns into a park for all the townspeople who come out to stroll , picnic and otherwise enjoy the grounds . As a general rule , Sunday play is allowed on the course on only four occasions :    The final day of the Dunhill Links Championship , an annual event on the European Tour .   The final day of any R&amp;A sanctioned Open Championships -- men and women , and the men over 50 when it is held at the Old Course ; this happens roughly once every five years for the men ; the women 's championship began its turn on the rotation in 2007 , and the over-50 championship began in 2018 .   The final day of two top amateur events , the St Andrews Links Trophy and the St Rule Trophy .    Sunday play may also occur when the Old Course hosts other major events ; for example , when it hosted the Curtis Cup in 2008 .   While winning the Open Championship is a crowning achievement for any golfer , a win at St Andrews is considered particularly important due to the course 's long tradition . Past winners at St Andrews include Tiger Woods ( twice ) , Louis Oosthuizen , John Daly , Zach Johnson ( first Monday finish since 1988 ) , Nick Faldo , Seve Ballesteros , Jack Nicklaus ( twice ) , Tony Lema , Kel Nagle , Bobby Locke , Peter Thomson , Sam Snead , Dick Burton , Denny Shute , Bobby Jones , Jock Hutchison , James Braid ( twice ) , John Henry Taylor ( twice ) , Hugh Kirkaldy , Jack Burns , Bob Martin ( twice ) , Jamie Anderson , Tom Kidd , Lorena Ochoa , and most recently Stacy Lewis at the 2013 Women 's British Open .   In 2005 the Old Course was ranked as the greatest golf course outside the United States , by Golf Digest .   Since 1990 , the Old Course has been unique on the Open roster in holding the Championship every five years . However , this sequence has been broken with the announcement that the 2020 Championship will be at Royal St. George 's . The reason for this is that the 2021 Championship will be the 150th , and will be played on the Old Course .   The Open Championship ( edit )  The `` road bunker '' at the 17th hole . R&amp;A Clubhouse on the Old Course .  The Open Championship has been staged at the Old Course at St Andrews 29 times . The following is a list of the champions :     Year   Winner   Score   Notes     R1   R2   R3   R4   Total     1873   Tom Kidd   91   88   --   --   179   This was the first time the Open Championship was played on an 18 - hole course . Instead of three rounds of 12 holes , there were two rounds of 18 . Kidd won £ 11 .     1876   Bob Martin   86   90   --   --   176   Due to a controversial ruling , Bob Martin finished in a tie for first . In protest , his opponent Davie Strath refused to participate so Martin walked the course and became the Open Champion . He won £ 10 .     1879   Jamie Anderson   84   85   --   --   169   With this win , Jamie Anderson became the first person to break 170 in the Open Championship . He won £ 10 .     1882   Bob Ferguson   83   88   --   --   171   This was the third straight Open Championship for Ferguson . He won £ 12 .     1885   Bob Martin   84   87   --   --   171   The second of Martin 's Open Championship wins , he won £ 10 .     1888   Jack Burns   86   85   --   --   171   Burns won after his score was re-added , giving him a one - stroke victory . The winners share was £ 8 .     1891   Hugh Kirkaldy   83   83   --   --   166   Kirkaldy set the tournament record with his 166 . This was also the last Open Championship that was 36 holes . The winners share was £ 10 .     1895   J.H. Taylor   86   78   80   78   322   This was the first Open to be played over two days ( 36 holes a day ) and a total of 72 holes at St Andrews . He shot the first sub-80 rounds at St Andrews . The winners share was £ 30 .     1900   J.H. Taylor   79   77   78   75   309   This open marked the first time the `` Great Triumvirate '' finished 1 - 2 - 3 . That was the name given to the three golfers who dominated the game in the late 19th century to the early 20th century . From 1894 to 1914 , J.H. Taylor , Harry Vardon , and James Braid combined to win 16 Open Championships . This was Taylor 's third of five Open Championships . The winners share was £ 50 .     1905   James Braid   81   78   78   81   318   This was the first Open to be played over three days , with 36 holes on the last day . This was Braid 's second of five Open Championships . The winners share was £ 50 .     1910   James Braid   76   73   74   76   299   This Open was the last of Braid 's five Open Championships . With this win he became the first person to break 300 in a four - round Open at St Andrews , and was the first to win five Open Championships . The winners share was £ 50 .     1921   Jock Hutchison   72   75   79   70   296   Born in Scotland , Hutchison was the first American citizen to win the Open Championship with this win . This was also the first time Bobby Jones played St Andrews . He ended up walking off the course after he took four shots to get out of a bunker on the 11th hole . The winners share was £ 75 .     1927   Bobby Jones ( a )   68   72   73   72   285 ( − 3 )   This win marked Bobby Jones ' first Open championship win at St Andrews , his second straight Open Championship , fourth professional major , and his 7th career major ( he was a three - time winner of the U.S. Amateur ) . As an amateur , Jones received no prize money . Aubrey Boomer and Fred Robson finished in a tie for second , and the winners and second place share of £ 75 for first place and £ 50 for second place were combined and divided into two , so each player earned 62 pounds and 10 shillings .     1933   Denny Shute   73   73   73   73   292 ( + 4 )   Shute won the Open title by five strokes in a playoff against Craig Wood . Leo Diegel could have joined them but he whiffed a putt on the 72nd hole , finishing one shot off the lead . The winners share was £ 100 .     1939   Dick Burton   70   72   77   71   290 ( − 2 )   The 1939 Open was the last Open until 1946 because of World War II . The Royal Air Force used the fairways of the Old Course as runways . Burton held the Claret Jug the longest ( 7 years ) , until the tournament resumed in 1946 , also at St Andrews . The winners share was £ 100 .     1946   Sam Snead   71   70   74   75   290 ( − 2 )   Even though Sam Snead won the first Open Championship to be played since 1939 , he still lost money because of the high travel expenses ; his winner 's share was £ 150 . When taking the train into St Andrews , Sam Snead is quoted for looking out of the window and saying `` Say , that looks like an old abandoned golf course '' about the Old Course .     1955   Peter Thomson   71   68   70   72   281 ( − 7 )   This was the second of Thomson 's three straight Open titles , and five overall . His winner 's share was £ 1,000 .     1957   Bobby Locke   69   72   68   70   279 ( − 9 )   Between 1949 and 1957 , Locke won the Open title four times . He survived a possible disqualification when he marked his ball on the 72nd green , and played his ball without replacing his ball mark . The R&amp;A decided that because he had a three shot lead , and he did n't gain an advantage , that in the spirit of the game , he should not be disqualified . The winner 's share was £ 1,000 .     1960   Kel Nagle   69   67   71   71   278 ( − 10 )   This was the 100th anniversary of the Open Championship , although due to wars it was n't the 100th Open Championship to be played . Arnold Palmer finished second and is credited with returning the Open to the eyes of Americans . The winner 's share was £ 1,250 .     1964   Tony Lema   73   68   68   70   279 ( − 9 )   From 1962 to 1966 , Lema won 12 times on tour , but this was his only major . He beat Jack Nicklaus by five strokes , and his winner 's share was £ 1,500 . Tragically , Lema and his pregnant wife were killed in a plane crash two years later .     1970   Jack Nicklaus   68   69   73   73   283 ( − 5 )   Doug Sanders missed a tough two and a half - foot ( 0.75 m ) putt on the 72nd hole , bogeyed , and ended up tied with Nicklaus . The playoff the next day came down to 18th hole and Nicklaus birdied to win ; it was his second Open title and eighth overall major ; the winner 's share was £ 5,250 .     1978   Jack Nicklaus   71   72   69   69   281 ( − 7 )   Nicklaus completed the career Grand Slam ( winning all four majors in your career at least once ) for the third time making it his third Open Championship . The winner 's share was £ 12,500     1984   Seve Ballesteros   69   68   70   69   276 ( − 12 )   The leaderboard for the final day was full of the best golfers in the world at the time . Ballesteros beat Bernhard Langer , Tom Watson , Fred Couples , Lanny Wadkins , Nick Faldo , and Greg Norman to make an epic final round at St Andrews . Ballesteros birdied the 72nd hole to win by two , and his fist pump is an iconic image to this day . His winner 's share was £ 50,000 .       Nick Faldo   67   65   67   71   270 ( − 18 )   Faldo set the Open championship scoring record shooting 18 under par , winning his second major of the year , his second Open Championship and his fourth overall major . The winner 's share was £ 85,000 .     1995   John Daly   67   71   73   71   282 ( − 6 )   This Open was significant because it was the first that Tiger Woods played in , and the last that Arnold Palmer played in , getting to have his farewell at St Andrews . John Daly beat Costantino Rocca in a four - hole playoff to win the Open title and £ 125,000 .     2000   Tiger Woods   67   66   67   69   269 ( − 19 )   Winning the 2000 British Open was Tiger Woods ' second consecutive major championship , completing the career grand slam ; he would win the next two major championships as well for four consecutive major victories - the `` Tiger Slam '' . He did n't hit a single bunker the entire tournament , won by eight strokes , and set the new Open Championship scoring record with 19 under par . The winner 's share was £ 500,000 .     2005   Tiger Woods   66   67   71   70   274 ( − 14 )   This was Jack Nicklaus 's last Open Championship and like Arnold Palmer , he finished on the Old Course . This was also Tiger 's 10th major championship and the fourth one he had won by five or more strokes , and the winner 's share was £ 720,000 .       Louis Oosthuizen   65   67   69   71   272 ( − 16 )   On the 150th anniversary of the first Open Championship , Oosthuizen played consistently well , winning the Open title by shooting a 16 under par 272 and winning by seven strokes . Rory McIlroy shot a 63 in the opening round and the winner 's share was £ 850,000 .     2015   Zach Johnson   66   71   70   66   273 ( − 15 )   In the 144th playing of the Open Championship , Zach Johnson emerged from a three - man playoff to win the tournament . Tom Watson was given a special exemption by the R &amp; A in order that he could finish his Open career at the Old Course . The tournament finished on Monday due to the extremely high winds that arose during Saturday 's round . Johnson defeated Louis Oosthuizen and Marc Leishman in a four - hole playoff .     2021   15 -- 18 July                  Note : Multiple winners of The Open Championship have superscript ordinal designating which in their respective careers .   ( a ) denotes amateur    Sources :   Scorecard ( edit )     Hole   Name   Yards   Par     Hole   Name   Yards   Par       Burn   376       10   Bobby Jones   386         Dyke   453     11   High ( In )   174         Cartgate ( Out )   397     12   Heathery ( In )   348         Ginger Beer   480     13   Hole O'Cross ( In )   465       5   Hole O'Cross ( Out )   568   5   14   Long   618   5     6   Heathery ( Out )   412     15   Cartgate ( In )   455       7   High ( Out )   371     16   Corner of the Dyke   423       8   Short   175     17   Road   495       9   End   352     18   Tom Morris   357       Out   3,584   36   In   3,721   36     Source :   Total   7,305   72     Old Course   Tee   Rating / Slope           5   6   7   8   9   Out   10   11   12   13   14   15   16   17   18   In   Total     White   73.1 / 132   376   411   370   419   514   374   359   166   347   3336   340   174   316   418   530   414   381   455   357   3385   6721     Yellow   71.4 / 129   355   395   337   411   514   360   349   154   289   3164   311   164   304   388   523   391   345   436   361   3223   6387     Par             5           36           5           36   72     Ladies '   75.6 / 138   339   375   321   401   454   325   335   145   261   2956   296   150   304   377   487   369   325   426   342   3076   6032     Par   Ladies '     5     5   5           38         5   5       5     38   76     Women 's British Open ( edit )   Winners of the Women 's British Open at the Old Course at St Andrews :     Year   Winner   Score     2007   Lorena Ochoa   287 ( − 5 )     2013   Stacy Lewis   280 ( -- 8 )     Senior Open Championship ( edit )   Winners of the Senior Open Championship at the Old Course at St Andrews :     Year   Winner   Score     2018         See also ( edit )    Golf in Scotland   St Andrews Links   The Royal and Ancient Golf Club of St Andrews    References ( edit )    Jump up ^ `` St Andrews Link Trust appointment '' . Scottish Government website . 14 January 2002 . Retrieved 24 June 2014 .   Jump up ^ `` Scottish Golf History -- Oldest Golf Sites '' . Retrieved 19 February 2013 .   ^ Jump up to : `` St Andrews -- The Old Course '' . Archived from the original on 21 September 2012 . Retrieved 19 February 2013 .   ^ Jump up to : `` The Old Course Experience -- A Brief History of The Links '' . Retrieved 19 February 2013 .   Jump up ^ Andrew Leibs ( 2004 ) . `` Sports and Games of the Renaissance '' . p. 69 . Greenwood Publishing Group ,   ^ Jump up to : `` St Andrews -- A Brief History of The Links '' . Archived from the original on 4 July 2012 . Retrieved 19 February 2013 .   Jump up ^ Forrest L. Richardson ( 2002 ) . `` Routing the Golf Course : The Art &amp; Science That Forms the Golf Journey '' . p. 46 . John Wiley &amp; Sons   Jump up ^ Kelly , Morgan ( 14 June 2005 ) . `` Jones ' 1930 feat still stands test of time '' . USA Today . Retrieved 19 February 2013 .   Jump up ^ DiMeglio , Steve ( 15 July 2010 ) . `` History , mythology combine at St Andrews , the home of golf '' . USA Today . Retrieved 19 February 2013 .   Jump up ^ `` Nicklaus set for St Andrews bow '' . BBC Sport. 3 July 2005 .   Jump up ^ Hauser , Melanie ( 9 July 2010 ) . `` Old Course 's humble Swilcan Bridge one of golf 's great attractions '' . PGA of America .   ^ Jump up to : Ross , Helen ( 12 July 2010 ) . `` Swilcan Bridge replica a true World Golf Hall of Fame highlight '' . PGA of America .   Jump up ^ Prunty , Brendan ( 15 July 2010 ) . `` At the British Open at St Andrews , it 's the bunkers ( in addition to everything else ) that will drive players mad '' . NJ.com . Retrieved 19 February 2013 .   Jump up ^ Borden , Sam ( 12 June 2015 ) . `` Sundays on the Old Course at St. Andrews : No Golfers Allowed '' . The New York Times . Retrieved 14 June 2015 . Ground staff ask that people avoid greens and bunkers . On Sundays , locals and tourists explore the Old Course at St. Andrews as it enjoys a weekly rest .   Jump up ^ `` British Open : Event 's history at St Andrews '' . USA Today . 11 July 2010 . Retrieved 19 February 2013 .   Jump up ^ `` Prize Money at the Major Championships '' . Golf Today . Retrieved 4 March 2014 .    External Links ( edit )    Golf Course Histories -- comparison of 1932 v 2012 course aerials ( nb. 2012 aerial dates prior to November 2012 changes )   BBC Golf on the Old Course -- a review by former European Tour player Ken Brown and several supporting features .   St Andrews Links Trust   The Old Course Hotel , Golf Resort &amp; Spa   Royal and Ancient Golf Club of St Andrews   St Andrews Open   Golf Club Atlas Guide   St Andrews Golf Development Group -- info on Old Course and online booking for other St Andrews courses   3D Course Planner at ProVisualizer              Topics on St Andrews     Entertainment     Barron Theatre   Byre Theatre   New Picture House         Golf     Ladies ' Golf Union   Links   Old Course   Swilken Bridge     The Royal and Ancient   Strathtyrum       Monuments     St Andrews Sarcophagus       Museums     British Golf Museum   Museum of the University of St Andrews   St Andrews Castle   St Andrews Cathedral   St Andrews Museum       Religious houses , past and present     All Saints   Blackfriars   Greyfriars   Holy Trinity Church   Hospital of St Leonard   Hospital of St Nicholas   St Andrews Cathedral Priory   St Leonard 's Chapel   St Mary 's Collegiate Church   St Salvator 's Chapel       Schools     Madras College   St Leonards School   New Park School       University colleges , past and present     St Leonard 's College   St Mary 's College   The Pedagogy   St Salvator 's College   United College       Miscellaneous     East Sands   Kinness burn   West Sands   Siege of St Andrews Castle                 The Open Championship rota courses     Current rota courses     St Andrews   Carnoustie   Muirfield   Turnberry   Royal Troon   Royal St George 's ( Sandwich )   Royal Birkdale   Royal Lytham &amp; St Annes   Royal Liverpool ( Hoylake )   Royal Portrush       Former rota courses     Prestwick   Musselburgh   Royal Cinque Ports   Prince 's                 Golf     Overview     History   Glossary   Outline   Rules   penalties   playoffs   etiquette     Stroke play   scoring   handicap     Match play   four - ball   alternate shot     Golf course   links   teeing ground   hazards     Equipment   golf clubs   golf ball   tee         Technical     Golf stroke mechanics   Instruction   Drive       Golfers     Professional golfer   tours     Male golfers   Female golfers   Men 's major winners   Women 's major winners   Senior major winners   Olympic medalists       Most wins     Asian Tour   Australasia Tour   Challenge Tour   European Tour   European Senior Tour   Japan Golf Tour   Ladies European Tour   LPGA Tour   PGA Tour   PGA Tour Champions   Sunshine Tour   Web.com Tour       Majors      Men     Masters Tournament   U.S. Open   The Open Championship   PGA Championship       Women     ANA Inspiration   U.S. Women 's Open   Women 's PGA Championship   Women 's British Open   The Evian Championship       Senior     The Tradition   Senior PGA Championship   U.S. Senior Open   Senior Players Championship   Senior Open Championship       Senior Women 's     Senior LPGA Championship   U.S. Senior Women 's Open          International events      Multi-sport event     Asian Games   Inter-Allied Games   Island Games   Pacific Games   Pan American Games   Summer Olympics   Summer Universiade   Youth Olympic Games       Team     Curtis Cup   EurAsia Cup   International Crown   Presidents Cup   Ryder Cup   Solheim Cup   Walker Cup          Rankings     Men   Women   Amateur       Countries     Australia   China   India   Ireland   Philippines   Russia   Scotland   Thailand   United States       Venues     Driving range   Lists of golf courses   Canada   Hawaii   India   North Dakota   Philippines   Portugal   United Kingdom   links courses   designed by Jack Nicklaus         Years     1353 -- 1850   1851 -- 1945   1945 -- 99   2000 -- 05     2005   2006   2007   2008   2009     2011   2012   2013   2014   2015   2016   2017   2018       Governing bodies     International Golf Federation   The R&amp;A   United States Golf Association   Professional Golfers ' Association ( Great Britain and Ireland )   Professional Golfers ' Association of America   LPGA   PGA Tour   PGA European Tour   American Society of Golf Course Architects   World Golf Teachers Federation       Variations     Beach golf   GolfCross   Hickory golf   Indoor golf   Long drive   Miniature golf   Park golf   Pitch and putt   Shotgun start   Skins game   Snow golf   Speed golf   Urban golf       Miscellaneous     Awards   Architects   Caddie   Greenskeeper   World Golf Hall of Fame   British Golf Museum   USGA Museum   Jack Nicklaus Museum   Caddie Hall of Fame   Evans Scholars Foundation       Media     Golf Channel   personalities     Golf Digest   Golf Magazine   Golf World   Golfweek   Links   Travel + Leisure Golf   Video games           Commons   WikiProject   Portal      Retrieved from `` https://en.wikipedia.org/w/index.php?title=Old_Course_at_St_Andrews&amp;oldid=841332176 '' Categories :   Golf clubs and courses in Fife   The Open Championship venues   Curtis Cup venues   Walker Cup venues   Sports venues in Fife   Tourist attractions in Fife   St Andrews   1552 establishments in Scotland   16th century in sports   1550s in Scotland               Talk                                           Contents                   About Wikipedia                                           Català   Dansk   Deutsch   Español   Euskara   Français   </t>
    </r>
    <r>
      <rPr>
        <sz val="11"/>
        <color rgb="FF000000"/>
        <rFont val="Noto Sans CJK SC"/>
        <family val="2"/>
      </rPr>
      <t xml:space="preserve">日本 語   </t>
    </r>
    <r>
      <rPr>
        <sz val="11"/>
        <color rgb="FF000000"/>
        <rFont val="Calibri"/>
        <family val="0"/>
        <charset val="1"/>
      </rPr>
      <t xml:space="preserve">Norsk   Português   Scots   Svenska   </t>
    </r>
    <r>
      <rPr>
        <sz val="11"/>
        <color rgb="FF000000"/>
        <rFont val="Noto Sans CJK SC"/>
        <family val="2"/>
      </rPr>
      <t xml:space="preserve">中文  </t>
    </r>
    <r>
      <rPr>
        <sz val="11"/>
        <color rgb="FF000000"/>
        <rFont val="Calibri"/>
        <family val="0"/>
        <charset val="1"/>
      </rPr>
      <t xml:space="preserve">5 more  Edit links   This page was last edited on 15 May 2018 , at 05 : 53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</si>
  <si>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designed the old course at st. andrews</t>
  </si>
  <si>
    <t xml:space="preserve"> In 1552 , Archbishop John Hamilton gave the townspeople of St. Andrews the right to play on the links . In 1754 , 22 noblemen , professors , and landowners founded the Society of St Andrews Golfers . This society would eventually become the precursor to the Royal and Ancient which is the governing body for golf everywhere outside of the United States and Mexico . St Andrews Links had a scare when they went bankrupt in 1797 . The Town Council of St. Andrews decided to allow rabbit farming on the golf course to challenge golf for popularity . Twenty years of legal battling between the golfers and rabbit farmers ended in 1821 when a local landowner and golfer named James Cheape of Strathtyrum bought the land and is credited with saving the links for golf . The course evolved without the help of any one architect for many years , though notable contributions to its design were made by Daw Anderson in the 1850s and Old Tom Morris ( 1865 -- 1908 ) , who designed the 1st and 18th holes . Originally , it was played over the same set of fairways out and back to the same holes . As interest in the game increased , groups of golfers would often be playing the same hole , but going in different directions . </t>
  </si>
  <si>
    <t xml:space="preserve">Paramount Pictures - wikipedia  Paramount Pictures  Jump to : navigation , search  Paramount Pictures Corporation   Paramount Pictures ' current logo , used since 2012 .     Formerly called     Famous Players Film Company ( 1912 -- 1916 )   Famous Players - Lasky Corporation ( 1916 -- 1924 )   Paramount Famous Lasky Corporation ( 1924 -- 1936 )       Type   Subsidiary     Industry   Film     Founded   May 8 , 1912 ; 105 years ago ( 1912 - 05 - 08 )     Founders   W.W. Hodkinson Adolph Zukor Jesse L. Lasky     Headquarters   5555 Melrose Avenue , Hollywood , California , United States     Area served   Worldwide     Key people   Jim Gianopulos ( Chairman &amp; CEO )     Products   Motion pictures     Revenue   US $ 2.885 billion ( FY 2015 )     Operating income   US $111 million ( FY 2015 )     Parent   Viacom ( National Amusements )     Divisions   List of Divisions ( show )   Current :   Paramount Home Media Distribution   Paramount Digital Entertainment   Insurge Pictures   Paramount Famous Productions   Paramount Vantage   Paramount Animation   Paramount Players   Paramount Television   MTV Films   Nickelodeon Movies   Comedy Central Films   United International Pictures ( 50 % )   Former :   Paramount Parks   Paramount Stations Group       Website   www.paramount.com     Paramount Pictures Corporation ( also known simply as Paramount ) is an American film studio based in Hollywood , California , that has been a subsidiary of the American media conglomerate Viacom since 1994 . Paramount is the fifth oldest surviving film studio in the world , the second oldest in the United States , and the sole member of the `` Big Six '' film studios still located in the Los Angeles neighborhood of Hollywood . In 1916 , film producer Adolph Zukor contracted 22 actors and actresses and honored each with a star on the logo . These fortunate few would become the first `` movie stars . '' In 2014 , Paramount Pictures became the first major Hollywood studio to distribute all of its films in digital form only .   Paramount Pictures is a member of the Motion Picture Association of America ( MPAA ) .   The company 's headquarters and studios are located in 5555 Melrose Avenue , Hollywood , California , United States .     Contents  ( hide )   1 History   1.1 Famous Players Film Company   1.2 Famous Players - Lasky   1.2. 1 Publix , Balaban and Katz , Loew 's competition and wonder theaters     1.3 1931 -- 40 : Receivership   1.4 1941 -- 50 : United States v. Paramount Pictures , Inc .   1.5 1951 -- 66 : Split and after   1.5. 1 The DuMont Network     1.6 1966 -- 70 : Early Gulf + Western era   1.7 1971 -- 80 : CIC formation and high - concept era   1.8 1980 -- 94 : Continual success   1.9 1989 -- 94 Paramount Communications   1.10 1994 -- 2005 : Dolgen / Lansing and `` old '' Viacom era   1.11 2005 -- 2006 : Dissolution of the Viacom Entertainment Group and Paramount   1.12 2006 -- present : Paramount today   1.12. 1 CBS Corporation / Viacom split   1.12. 2 DreamWorks purchased   1.12. 3 History since 2006       2 Investments   2.1 DreamWorks Pictures   2.2 CBS library     3 Units   3.1 Subsidiaries   3.2 Divisions   3.3 Joint ventures   3.4 Former divisions , subsidiaries , and joint ventures   3.5 Other interests     4 Production deals   5 Logo   6 Studio tours   7 Film library   7.1 Highest - grossing films     8 See also   9 Notes   10 References   11 Further reading   12 External links      History   Famous Players film company  Main article : Famous Players Film Company  Paramount is the fifth oldest surviving film studio in the world after the French studios Gaumont Film Company ( 1895 ) and Pathé ( 1896 ) , followed by the Nordisk Film company ( 1906 ) , and Universal Studios ( 1912 ) . It is the last major film studio still headquartered in the Hollywood district of Los Angeles .   Paramount Pictures dates its existence from the 1912 founding date of the Famous Players Film Company . Hungarian - born founder , Adolph Zukor , who had been an early investor in nickelodeons , saw that movies appealed mainly to working - class immigrants . With partners Daniel Frohman and Charles Frohman he planned to offer feature - length films that would appeal to the middle class by featuring the leading theatrical players of the time ( leading to the slogan `` Famous Players in Famous Plays '' ) . By mid-1913 , Famous Players had completed five films , and Zukor was on his way to success . Its first film was Les Amours de la reine Élisabeth , which starred Sarah Bernhardt .   That same year , another aspiring producer , Jesse L. Lasky , opened his Lasky Feature Play Company with money borrowed from his brother - in - law , Samuel Goldfish , later known as Samuel Goldwyn . The Lasky company hired as their first employee a stage director with virtually no film experience , Cecil B. DeMille , who would find a suitable site in Hollywood , near Los Angeles , for his first feature film , The Squaw Man .  Paramount Pictures ' first logo , based on a design by its founder William Wadsworth Hodkinson , used from 1917 to 1967 .  Starting in 1914 , both Lasky and Famous Players released their films through a start - up company , Paramount Pictures Corporation , organized early that year by a Utah theatre owner , W.W. Hodkinson , who had bought and merged several smaller firms . Hodkinson and actor , director , producer Hobart Bosworth had started production of a series of Jack London movies . Paramount was the first successful nationwide distributor ; until this time , films were sold on a statewide or regional basis which had proved costly to film producers . Also , Famous Players and Lasky were privately owned while Paramount was a corporation .   Famous Players - Lasky  Main article : Famous Players - Lasky  In 1916 , Zukor maneuvered a three - way merger of his Famous Players , the Lasky Company , and Paramount . Zukor and Lasky bought Hodkinson out of Paramount , and merged the three companies into one . The new company Lasky and Zukor founded , Famous Players - Lasky Corporation , grew quickly , with Lasky and his partners Goldwyn and DeMille running the production side , Hiram Abrams in charge of distribution , and Zukor making great plans . With only the exhibitor - owned First National as a rival , Famous Players - Lasky and its `` Paramount Pictures '' soon dominated the business .  Lasky 's original studio ( a.k.a. `` The Barn '' ) as it appeared in the mid 1920s . The Taft building , built in 1923 , is visible in the background .  Because Zukor believed in stars , he signed and developed many of the leading early stars , including Mary Pickford , Marguerite Clark , Pauline Frederick , Douglas Fairbanks , Gloria Swanson , Rudolph Valentino , and Wallace Reid . With so many important players , Paramount was able to introduce `` block booking '' , which meant that an exhibitor who wanted a particular star 's films had to buy a year 's worth of other Paramount productions . It was this system that gave Paramount a leading position in the 1920s and 1930s , but which led the government to pursue it on antitrust grounds for more than twenty years .   The driving force behind Paramount 's rise was Zukor . Through the teens and twenties , he built the Publix Theatres Corporation , a chain of nearly 2,000 screens , ran two production studios ( in Astoria , New York , now the Kaufman Astoria Studios , and Hollywood , California ) , and became an early investor in radio , taking a 50 % interest in the new Columbia Broadcasting System in 1928 ( selling it within a few years ; this would not be the last time Paramount and CBS crossed paths ) .   In 1926 , Zukor hired independent producer B.P. Schulberg , an unerring eye for new talent , to run the new West Coast operations . They purchased the Robert Brunton Studios , a 26 - acre facility at 5451 Marathon Street for US $1 million . In 1927 , Famous Players - Lasky took the name Paramount Famous Lasky Corporation . Three years later , because of the importance of the Publix Theatres , it became Paramount Publix Corporation .   In 1928 , Paramount began releasing Inkwell Imps , animated cartoons produced by Max and Dave Fleischer 's Fleischer Studios in New York City . The Fleischers , veterans in the animation industry , were among the few animation producers capable of challenging the prominence of Walt Disney . The Paramount newsreel series Paramount News ran from 1927 to 1957 . Paramount was also one of the first Hollywood studios to release what were known at that time as `` talkies '' , and in 1929 , released their first musical , Innocents of Paris . Richard A. Whiting and Leo Robin composed the score for the film ; Maurice Chevalier starred and sung the most famous song from the film , `` Louise '' .  Publix , Balaban and Katz , Loew 's competition and wonder Theaters Detail of Publix Theatre logo on what is now Indiana Repertory Theatre .  By acquiring the successful Balaban &amp; Katz chain in 1926 , Zukor gained the services of Barney Balaban ( who would eventually become Paramount 's president in 1936 ) , his brother A.J. Balaban ( who would eventually supervise all stage production nationwide and produce talkie shorts ) , and their partner Sam Katz ( who would run the Paramount - Publix theatre chain in New York City from the thirty - five - story Paramount Theatre Building on Times Square ) .   Balaban and Katz had developed the Wonder Theater concept , first publicized around 1918 and sponsored by Jadeja Motion Pictures in Chicago . The Chicago Theater was created as a very ornate theater and advertised as a `` wonder theater . '' When Publix acquired Balaban , they embarked on a project to expand the wonder theaters , and starting building in New York in 1927 . While Balaban and Public were dominant in Chicago , Loew 's was the big player in New York , and did not want the Publix theaters to overshadow theirs . The two companies brokered a non-competition deal for New York and Chicago , and Loew 's took over the New York area projects , developing five wonder theaters . Publix continued Balaban 's wonder theater development in its home area .   1931 -- 40 : receivership   Eventually , Zukor shed most of his early partners ; the Frohman brothers , Hodkinson and Goldwyn were out by 1917 while Lasky hung on until 1932 , when , blamed for the near - collapse of Paramount in the Depression years , he too was tossed out . Zukor 's over-expansion and use of overvalued Paramount stock for purchases led the company into receivership in 1933 . A bank - mandated reorganization team , led by John Hertz and Otto Kahn kept the company intact , and , miraculously , Zukor was kept on . In 1935 , Paramount - Publix went bankrupt . In June 1935 John E. Otterson and in 1936 Barney Balaban became president , and Zukor was bumped up to chairman of the board . In this role , Zukor reorganized the company as Paramount Pictures , Inc. and was able to successfully bring the studio out of bankruptcy .   As always , Paramount films continued to emphasize stars ; in the 1920s there were Swanson , Valentino , and Clara Bow . By the 1930s , talkies brought in a range of powerful new draws : Miriam Hopkins , Marlene Dietrich , Mae West , W.C. Fields , Jeanette MacDonald , Claudette Colbert , the Marx Brothers ( whose first two films were shot at Paramount 's Astoria , New York , studio ) , Dorothy Lamour , Carole Lombard , Bing Crosby , band leader Shep Fields , famous Argentine tango singer Carlos Gardel , and Gary Cooper among them . In this period Paramount can truly be described as a movie factory , turning out sixty to seventy pictures a year . Such were the benefits of having a huge theater chain to fill , and of block booking to persuade other chains to go along . In 1933 , Mae West would also add greatly to Paramount 's success with her suggestive movies She Done Him Wrong and I 'm No Angel . However , the sex appeal West gave in these movies would also lead to the enforcement of the Production Code , as the newly formed organization the Catholic Legion of Decency threatened a boycott if it was not enforced .   Paramount cartoons produced by Fleischer Studios continued to be successful , with characters such as Betty Boop and Popeye the Sailor becoming widely successful . One Fleischer series , Screen Songs , featured live - action music stars under contract to Paramount hosting sing - alongs of popular songs . The animation studio would rebound with Popeye , and in 1935 , polls showed that Popeye was even more popular than Mickey Mouse . After an unsuccessful expansion into feature films , as well as the fact that Max and Dave Fleischer were no longer speaking to one another , Fleischer Studios was acquired by Paramount , which renamed the operation Famous Studios . That incarnation of the animation studio continued cartoon production until 1967 , but has been historically dismissed as having largely failed to maintain the artistic acclaim the Fleischer brothers achieved under their management .  The original Paramount logo seen on its 1930s films and Popeye shorts .  1941 -- 50 : United States v. Paramount Pictures , Inc. .   In 1940 , Paramount agreed to a government - instituted consent decree : block booking and `` pre-selling '' ( the practice of collecting up - front money for films not yet in production ) would end . Immediately , Paramount cut back on production , from 71 films to a more modest 19 annually in the war years . Still , with more new stars like Bob Hope , Alan Ladd , Veronica Lake , Paulette Goddard , and Betty Hutton , and with war - time attendance at astronomical numbers , Paramount and the other integrated studio - theatre combines made more money than ever . At this , the Federal Trade Commission and the Justice Department decided to reopen their case against the five integrated studios . Paramount also had a monopoly over Detroit movie theaters through subsidiary company United Detroit Theaters as well . This led to the Supreme Court decision United States v. Paramount Pictures , Inc. ( 1948 ) holding that movie studios could not also own movie theater chains . This decision broke up Adolph Zukor 's creation and effectively brought an end to the classic Hollywood studio system .   1951 -- 66 : split and after   With the separation of production and exhibition forced by the U.S. Supreme Court , Paramount Pictures Inc. was split in two . Paramount Pictures Corporation was formed to be the production distribution company , with the 1,500 - screen theater chain handed to the new United Paramount Theaters on December 31 , 1949 . Leonard Goldenson , who had headed the chain since 1938 , remained as the new company 's president . The Balaban and Katz theatre division was spun off with UPT ; its trademark eventually became the property of the Balaban and Katz Historical Foundation . The Foundation has recently acquired ownership of the Famous Players Trademark . Cash - rich and controlling prime downtown real estate , Goldenson began looking for investments . Barred from film - making by prior anti-trust rulings , he acquired the struggling ABC television network in February 1953 , leading it first to financial health , and eventually , in the mid-1970s , to first place in the national Nielsen ratings , before selling out to Capital Cities in 1985 ( Capital Cities would eventually sell out , in turn , to The Walt Disney Company in 1996 ) . United Paramount Theaters was renamed ABC Theaters in 1965 and was sold to businessman Henry Plitt in 1974 . The movie theater chain was renamed Plitt Theaters . In 1985 , Cineplex Odeon Corporation merged with Plitt . In later years , Paramount 's TV division would develop a strong relationship with ABC , providing many hit series to the network .  The DuMont network  Paramount Pictures had been an early backer of television , launching experimental stations in 1939 in Los Angeles and Chicago . The Los Angeles station eventually became KTLA , the first commercial station on the West Coast . The Chicago station got a commercial license as WBKB in 1943 , but was sold to UPT along with Balaban &amp; Katz in 1948 and was eventually resold to CBS as WBBM - TV .   In 1938 , Paramount bought a stake in television manufacturer DuMont Laboratories . Through this stake , it became a minority owner of the DuMont Television Network . Also Paramount launched its own network , Paramount Television Network , in 1948 through its television unit , Television Productions , Inc .   Paramount management planned to acquire additional owned - and - operated stations ( `` O&amp;Os '' ) ; the company applied to the FCC for additional stations in San Francisco , Detroit , and Boston . The FCC , however , denied Paramount 's applications . A few years earlier , the federal regulator had placed a five - station cap on all television networks : no network was allowed to own more than five VHF television stations . Paramount was hampered by its minority stake in the DuMont Television Network . Although both DuMont and Paramount executives stated that the companies were separate , the FCC ruled that Paramount 's partial ownership of DuMont meant that DuMont and Paramount were in theory branches of the same company . Since DuMont owned three television stations and Paramount owned two , the federal agency ruled neither network could acquire additional television stations . The FCC requested that Paramount relinquish its stake in DuMont , but Paramount refused . According to television historian William Boddy , `` Paramount 's checkered anti-trust history '' helped convince the FCC that Paramount controlled DuMont . Both DuMont and Paramount Television Network suffered as a result , with neither company able to acquire five O&amp;Os . Meanwhile , CBS , ABC , and NBC had each acquired the maximum of five stations by the mid-1950s .   When ABC accepted a merger offer from UPT in 1953 , DuMont quickly realized that ABC now had more resources than it could possibly hope to match . It quickly reached an agreement in principle to merge with ABC .   In 1951 , Paramount bought a stake in International Telemeter , an experimental pay TV service which operated with a coin inserted into a box . The service began operating in Palm Springs , California on November 27 , 1953 , but due to pressure from the FCC , the service ended on May 15 , 1954 .   With the loss of the theater chain , Paramount Pictures went into a decline , cutting studio - backed production , releasing its contract players , and making production deals with independents . By the mid-1950s , all the great names were gone ; only Cecil B. DeMille , associated with Paramount since 1913 , kept making pictures in the grand old style . Despite Paramount 's losses , DeMille would , however , give the studio some relief and create his most successful film at Paramount , a 1956 remake of his 1923 film The Ten Commandments . DeMille died in 1959 . Like some other studios , Paramount saw little value in its film library , and sold 764 of its pre-1948 films to MCA Inc. ( known today as Universal Studios Inc . ) in February 1958 .   1966 -- 70 : early Gulf + Western era  Paramount 's logo from 1953 -- 1975 . The Gulf + Western byline was introduced following the company 's purchase of Paramount . The variant shown here was used in the first three Indiana Jones films , the first of which was released in 1981 .  By the early 1960s , Paramount 's future was doubtful . The high - risk movie business was wobbly ; the theater chain was long gone ; investments in DuMont and in early pay - television came to nothing ; and the Golden Age of Hollywood had just ended , even the flagship Paramount building in Times Square was sold to raise cash , as was KTLA ( sold to Gene Autry in 1964 for a then - phenomenal $12.5 million ) . Their only remaining successful property at that point was Dot Records , which Paramount had acquired in 1957 , and even its profits started declining by the middle of the 1960s . Founding father Adolph Zukor ( born in 1873 ) was still chairman emeritus ; he referred to chairman Barney Balaban ( born 1888 ) as `` the boy . '' Such aged leadership was incapable of keeping up with the changing times , and in 1966 , a sinking Paramount was sold to Charles Bluhdorn 's industrial conglomerate , Gulf + Western Industries Corporation . Bluhdorn immediately put his stamp on the studio , installing a virtually unknown producer named Robert Evans as head of production . Despite some rough times , Evans held the job for eight years , restoring Paramount 's reputation for commercial success with The Odd Couple , Rosemary 's Baby , Love Story , The Godfather , Chinatown , and 3 Days of the Condor .   Gulf + Western Industries also bought the neighboring Desilu television studio ( once the lot of RKO Pictures ) from Lucille Ball in 1967 . Using some of Desilu 's established shows such as Star Trek , Mission : Impossible , and Mannix as a foot in the door at the networks , the newly reincorporated Paramount Television eventually became known as a specialist in half - hour situation comedies .   1971 -- 80 : CIC formation and high - concept era   In 1970 , Paramount teamed with Universal Studios to form Cinema International Corporation , a new company that would distribute films by the two studios outside the United States . Metro - Goldwyn - Mayer would become a partner in the mid-1970s . Both Paramount and CIC entered the video market with Paramount Home Video ( now Paramount Home Entertainment ) and CIC Video , respectively .   Robert Evans abandoned his position as head of production in 1974 ; his successor , Richard Sylbert , proved to be too literary and too tasteful for Gulf + Western 's Bluhdorn . By 1976 , a new , television - trained team was in place headed by Barry Diller and his `` Killer - Dillers '' , as they were called by admirers or `` Dillettes '' as they were called by detractors . These associates , made up of Michael Eisner , Jeffrey Katzenberg , Dawn Steel and Don Simpson would each go on and head up major movie studios of their own later in their careers .  Paramount 's print logo with the Viacom byline . This logo has been used since 1968 , with minor variations , all of which reflected corporate changes . The new byline was introduced in 2010 .  The Paramount specialty was now simpler . `` High concept '' pictures such as Saturday Night Fever and Grease hit big , hit hard and hit fast all over the world , and Diller 's television background led him to propose one of his longest - standing ideas to the board : Paramount Television Service , a fourth commercial network . Paramount Pictures purchased the Hughes Television Network ( HTN ) including its satellite time in planning for PTVS in 1976 . Paramount sold HTN to Madison Square Garden in 1979 . But Diller believed strongly in the concept , and so took his fourth - network idea with him when he moved to 20th Century Fox in 1984 , where Fox 's then freshly installed proprietor , Rupert Murdoch was a more interested listener .   However , the television division would be playing catch - up for over a decade after Diller 's departure in 1984 before launching its own television network -- UPN -- in 1995 . Lasting eleven years before being merged with The WB network to become The CW in 2006 , UPN would feature many of the shows it originally produced for other networks , and would take numerous gambles on series such as Star Trek : Voyager and Star Trek : Enterprise that would have otherwise either gone direct - to - cable or become first - run syndication to independent stations across the country ( as Star Trek : Deep Space Nine and Star Trek : The Next Generation were ) .   Paramount Pictures was not connected to either Paramount Records ( 1910s - 1935 ) or ABC - Paramount Records ( 1955 -- 66 ) until it purchased the rights to use the name ( but not the latter 's catalog ) in the late 1960s . The Paramount name was used for soundtrack albums and some pop re-issues from the Dot Records catalog which Paramount had acquired in 1957 . By 1970 , Dot had become an all - country label and in 1974 , Paramount sold all of its record holdings to ABC Records , which in turn was sold to MCA ( now Universal Music Group ) in 1979 .   1980 -- 94 : continual success   Paramount 's successful run of pictures extended into the 1980s and 1990s , generating hits like Airplane ! , American Gigolo , Ordinary People , An Officer and a Gentleman , Flashdance , Terms of Endearment , Footloose , Pretty in Pink , Top Gun , Crocodile Dundee , Fatal Attraction , Ghost , the Friday the 13th slasher series , as well as teaming up with Lucasfilm to create the Indiana Jones franchise . Other examples are the Star Trek film series and a string of films starring comedian Eddie Murphy like Trading Places , Coming to America and Beverly Hills Cop and its sequels . While the emphasis was decidedly on the commercial , there were occasional less commercial but more artistic and intellectual efforts like I 'm Dancing as Fast as I Can , Atlantic City , Reds , Witness , Children of a Lesser God and The Accused . During this period , responsibility for running the studio passed from Eisner and Katzenberg to Frank Mancuso , Sr. ( 1984 ) and Ned Tanen ( 1984 ) to Stanley R. Jaffe ( 1991 ) and Sherry Lansing ( 1992 ) . More so than most , Paramount 's slate of films included many remakes and television spinoffs ; while sometimes commercially successful , there have been few compelling films of the kind that once made Paramount the industry leader .   On August 25 , 1983 , Paramount Studios caught fire . Two or three sound stages and four outdoor sets were destroyed .   When Charles Bluhdorn died unexpectedly , his successor Martin Davis dumped all of G + W 's industrial , mining , and sugar - growing subsidiaries and refocused the company , renaming it Paramount Communications in 1989 . With the influx of cash from the sale of G + W 's industrial properties in the mid-1980s , Paramount bought a string of television stations and KECO Entertainment 's theme park operations , renaming them Paramount Parks . These parks included Paramount 's Great America , Paramount Canada 's Wonderland , Paramount 's Carowinds , Paramount 's Kings Dominion , and Paramount 's Kings Island .   In 1993 , Sumner Redstone 's entertainment conglomerate Viacom made a bid for a merger with Paramount Communications ; this quickly escalated into a bidding war with Barry Diller 's QVC . But Viacom prevailed , ultimately paying $10 billion for the Paramount holdings . Viacom and Paramount had planned to merge as early as 1989 .   Paramount is the last major film studio located in Hollywood proper . When Paramount moved to its present home in 1927 , it was in the heart of the film community . Since then , former next - door neighbor RKO closed up shop in 1957 ( Paramount ultimately absorbed their former lot ) ; Warner Bros. ( whose old Sunset Boulevard studio was sold to Paramount in 1949 as a home for KTLA ) moved to Burbank in 1930 ; Columbia joined Warners in Burbank in 1973 then moved again to Culver City in 1989 ; and the Pickford - Fairbanks - Goldwyn - United Artists lot , after a lively history , has been turned into a post-production and music - scoring facility for Warners , known simply as `` The Lot '' . For a time the semi-industrial neighborhood around Paramount was in decline , but has now come back . The recently refurbished studio has come to symbolize Hollywood for many visitors , and its studio tour is a popular attraction .   1989 -- 94 Paramount Communications   Paramount Communications , Inc .   Former type   Conglomerate     Industry   Entertainment , industry , mass media     Fate   Sold to Viacom     Predecessor   Gulf + Western     Successor   Viacom ( original ) ( now remnants operating as Viacom and CBS Corporation owned by National Amusements )     Founded   1989 ; 28 years ago ( 1989 )     Defunct   July 7 , 1994 ; 23 years ago ( 1994 - 07 - 07 )     Headquarters   New York , New York , United States     Key people   Charles Bluhdorn , Martin S. Davis     Subsidiaries   Madison Square Garden New Jersey Zinc Paramount Pictures Paramount Television Simon and Schuster     Website   http://www.paramount.com     In 1983 Gulf and Western began a restructuring process that would transform the corporation from a bloated conglomerate consisting of subsidiaries from unrelated industries to a more focused entertainment and publishing company . The idea was to aid financial markets in measuring the company 's success , which , in turn , would help place better value on its shares . Though its Paramount division did very well in recent years , Gulf and Western 's success as a whole was translating poorly with investors . This process eventually led Davis to divest many of the company 's subsidiaries . Its sugar plantations in Florida and the Dominican Republic were sold in 1985 ; the consumer and industrial products branch was sold off that same year . In 1989 , Davis renamed the company Paramount Communications Incorporated after its primary asset , Paramount Pictures . In addition to the Paramount film , television , home video , and music publishing divisions , the company continued to own the Madison Square Garden properties ( which also included MSG Network ) , a 50 % stake in USA Networks ( the other 50 % was owned by MCA / Universal Studios ) and Simon &amp; Schuster , Prentice Hall , Pocket Books , Allyn &amp; Bacon , Cineamerica ( a joint venture with Warner Communications ) , and Canadian cinema chain Famous Players Theatres .   That same year , the company launched a $12.2 billion hostile bid to acquire Time Inc. in an attempt to end a stock - swap merger deal between Time and Warner Communications , which also renamed itself after a movie studio it owned upon selling off its non-entertainment assets . ( The original name of Warner Communications was Kinney National Company . ) This caused Time to raise its bid for Warner to $14.9 Billion in cash and stock . Gulf and Western responded by filing a lawsuit in a Delaware court to block the Time - Warner merger . The court ruled twice in favor of Time , forcing Gulf and Western to drop both the Time acquisition and the lawsuit , and allowing the formation of Time Warner .   Paramount used cash acquired from the sale of Gulf and Western 's non-entertainment properties to take over the TVX Broadcast Group chain of television stations ( which at that point consisted mainly of large - market stations which TVX had bought from Taft Broadcasting , plus two mid-market stations which TVX owned prior to the Taft purchase ) , and the KECO Entertainment chain of theme parks from Taft successor Great American Broadcasting . Both of these companies had their names changed to reflect new ownership : TVX became known as the Paramount Stations Group , while KECO was renamed to Paramount Parks .   Paramount Television launched Wilshire Court Productions in conjunction with USA Networks , before the latter was renamed NBCUniversal Cable , in 1989 . Wilshire Court Productions ( named for a side street in Los Angeles ) produced made - for - television movies that aired on USA , and later for other networks . USA Networks launched a second channel , the Sci - Fi Channel ( now known as Syfy ) , in 1992 . As its name implied , it focused on films and television series within the science fiction genre . Much of the initial programming was owned either by Paramount or Universal . Paramount bought one more television station in 1993 : Cox Enterprises ' WKBD - TV in Detroit , Michigan , at the time an affiliate of the Fox Broadcasting Company .   1994 -- 2005 : Dolgen / Lansing and `` old '' Viacom era  Main article : Viacom ( original )  On July 7 , 1994 Paramount Communications Inc. was sold to Viacom following the purchase of 50.1 % of Paramount 's shares for $9.75 billion . At the time , Paramount 's holdings included Paramount Pictures , Madison Square Garden , the New York Rangers , the New York Knicks , and the Simon &amp; Schuster publishing house . The deal had been planned as early as 1989 , when the company was still known as Gulf and Western . Though Davis was named a member of the board of National Amusements , which controlled Viacom , he ceased to manage the company .   Under Viacom , the Paramount Stations Group continued to build with more station acquisitions , eventually leading to Viacom 's acquisition of its former parent , the CBS network , in 1999 . Around the same time , Viacom bought out Spelling Entertainment , incorporating its library into that of Paramount itself .   Viacom split into two companies in 2006 , one retaining </t>
  </si>
  <si>
    <t xml:space="preserve">what was paramount pictures' 2015 box office revenue</t>
  </si>
  <si>
    <t xml:space="preserve">   Highest - grossing films in North America   Rank   Title   Year   Box office gross       Titanic   1997   $658,672,302       Transformers : Revenge of the Fallen   2009   $402,111,870       Transformers : Dark of the Moon   2011   $352,390,543       Forrest Gump   1994   $330,252,182     5   Shrek the Third   2007   $322,719,944     6   Transformers   2007   $319,246,193     7   Iron Man   2008   $318,412,101     8   Indiana Jones and the Kingdom of the Crystal Skull   2008   $317,101,119     9   Iron Man 2     $312,433,331     10   Star Trek   2009   $257,730,019     11   Raiders of the Lost Ark   1981   $248,159,971     12   Transformers : Age of Extinction   2014   $245,439,076     13   Shrek Forever After     $238,736,787     14   Beverly Hills Cop   1984   $234,760,478     15   War of the Worlds   2005   $234,280,354     16   Star Trek Into Darkness   2013   $228,778,661     17   Ghost   1990   $217,631,306     18   How to Train Your Dragon     $217,581,231     19   Madagascar 3 : Europe 's Most Wanted   2012   $216,391,482     20   Kung Fu Panda   2008   $215,434,591     21   Mission : Impossible 2   2000   $215,409,889     22   Mission : Impossible - Ghost Protocol   2011   $209,397,903     23   World War Z   2013   $202,359,711     24   Monsters vs. Aliens   2009   $198,351,526     25   Indiana Jones and the Last Crusade   1989   $197,171,806       Highest - grossing films worldwide   Rank   Title   Year   Box office gross       Titanic   1997   $2,186,772,302       Transformers : Dark of the Moon   2011   $1,123,794,079       Transformers : Age of Extinction   2014   $1,104,054,072       Transformers : Revenge of the Fallen   2009   $836,303,693     5   Shrek the Third   2007   $798,958,162     6   Indiana Jones and the Kingdom of the Crystal Skull   2008   $786,636,033     7   Shrek Forever After     $752,600,867     8   Madagascar 3 : Europe 's Most Wanted   2012   $746,921,274     9   Transformers   2007   $709,709,780     10   Mission : Impossible - Ghost Protocol   2011   $694,713,380     11   Mission : Impossible - Rogue Nation   2015   $682,330,139     12   Forrest Gump   1994   $677,945,399     13   Interstellar   2014   $675,120,017     14   Kung Fu Panda 2   2011   $665,692,281     15   Kung Fu Panda   2009   $631,744,560     16   Iron Man 2     $623,933,331     17   Madagascar : Escape 2 Africa   2008   $603,900,354     18   Transformers : The Last Knight   2017   $594,045,627     19   War of the Worlds   2005   $591,745,540     20   Iron Man   2008   $585,174,222     21   Puss in Boots   2011   $554,987,477     22   Mission : Impossible 2   2000   $546,388,105     23   World War Z   2013   $540,007,876     24   Ghost   1990   $505,702,588     25   How to Train Your Dragon     $494,878,759     </t>
  </si>
  <si>
    <t xml:space="preserve">Carolyn Rafaelian - wikipedia  Carolyn Rafaelian  Jump to : navigation , search    Carolyn Rafaelian       1966 / 1967 ( age 51 -- 52 )     Residence   Providence , Rhode Island , U.S.     Citizenship   American     Alma mater   American College in Los Angeles     Occupation   Entrepreneur     Known for   Founder and 80 % owner , Alex and Ani     Net worth   US $1 billion ( April 2018 )     Children       Carolyn Rafaelian ( born 1966 / 67 ) is an American - Armenian entrepreneur and businesswoman . She is the founder of the accessories and jewelry company Alex and Ani , and the owner of the Belcourt of Newport and Carolyn 's Sakonnet Vineyards .     Contents  ( hide )   1 Background   2 Business career   3 Personal life   4 References      Background ( edit )   Rafaelian 's father opened a jewelry factory in 1966 , in which Rafaelian and her sister worked . Over time she helped her father design pieces and produced original designs herself for her father 's jewelry manufacturing company Cinerama . She attended Prout Memorial High School for Girls ( later known as The Prout School ) . She attended the University of Rhode Island between 1987 and 1989 , and then she transferred to and graduated from the American College in Los Angeles . In 1994 she joined her father 's business , and eventually began to work on her own line . In 2002 Rafaelian became co-owner of Cinerama with her sister . Rafaelian 's designs became the main seller for the company , and in 2016 Alex and Ani bought the manufacturing facility for an undisclosed sum .   Business career ( edit )   In 2004 Rafaelian founded Alex and Ani , a jewelry line named after her two eldest daughters . The brand started with five cocktail rings and expanded into a full line of jewelry anchored by its patented expandable wire bangle .   Rafaelian has been interviewed by newspapers regarding current events , including the New York Daily News . Rafaelian received the 2012 Rhode Island Small Businessperson of the Year award from the Small Business Administration for her work with Alex and Ani , and also the Ernst &amp; Young Entrepreneur of Year in the products category for New England . Rafaelian considers the biggest accomplishment of her life to be launching the Liberty Collection of jewelry made from original copper from the Statue of Liberty . Her firm 's revenue grew from $5 million in 2010 to over $500 million in 2016 and the company 's Charity By Design initiative , where 20 % of sales go to charity , makes up 20 % of sales .   Rafaelian owns a cafe franchise called Teas and Javas ; some of its cafes are attached to Alex and Ani stores , and some are independent . She is also the owner of the Rhode Island winery Carolyn 's Sakonnet Vineyard , purchased in 2012 which features wine making , dining area and locally sourced foods . Since taking over , the vinyeard has won a number of awards in international competition .   Personal life ( edit )   Rafaelian is divorced from her first husband .   Rafaelian is the owner of a 60 - room mansion , the Belcourt of Newport , formerly known as Belcourt Castle , in Newport , Rhode Island , built in 1894 .   Rhode Island Monthly described Rafaelian 's charitable work as including `` Project USA , a nonprofit , which has raised funds for the victims of Hurricane Katrina , survivors of breast cancer , and endangered species '' as well as separate projects with the Humane Society of the United States .   Rafaelian was listed 22nd in Forbes America 's Richest Self - Made Women in 2016 , with net worth estimated at $700 million in June 2016 . In May 2017 , she was recognized by the David Lynch Foundation for her humanitarian efforts . As of June 2017 , Rafaelian is estimated to be worth $1.8 billion , and 18th on the Forbes list of America 's richest self - made women , owning 80 % of Alex and Ani .   References ( edit )    Jump up ^ `` Carolyn Rafaelian '' . Forbes.com . Retrieved 2017 - 03 - 13 .   Jump up ^ `` Bangle Billionaire : How Alex And Ani Founder Carolyn Rafaelian Built An American Jewelry Empire '' . Forbes.com . Retrieved 2017 - 06 - 19 .   Jump up ^ Dunn , Laura ( 21 April 2016 ) . `` Women in Business Q&amp;A : Carolyn Rafaelian , Founder , CEO and CCO , Alex and Ani '' . The Huffington Post .   Jump up ^ Tracey Samuelson ( 2015 - 04 - 23 ) . `` Rhode Island , hard hit by recession , slow to recover '' . Marketplace.org . Retrieved 2017 - 03 - 13 .   ^ Jump up to : Michelle Smith ( June 30 , 2009 ) . `` Interview : Carolyn Rafaelian of Alex and Ani '' . The Gloss . Retrieved August 5 , 2013 .   Jump up ^ `` Alex &amp; Ani : A Vital Force in Rhode Island '' . Quad Angles . Spring 2012 . Retrieved August 5 , 2013 .   ^ Jump up to : Leigh Buchanan ( April 2013 ) . `` The Disciplined and the Divine : An Unlikely Partnership '' . Inc. Magazine . Retrieved August 5 , 2013 .   Jump up ^ `` Alex and Ani Buys Rafealian 's Cinerama - May be Precursor to a Public Offering '' . GoLocalProv. 2016 - 02 - 06 . Retrieved 2017 - 06 - 19 .   Jump up ^ Jose Martinez ( February 15 , 2010 ) . `` One - of - a-kind Vancouver Olympic medals get mixed reviews '' . New York Daily News . Retrieved August 5 , 2013 .   Jump up ^ `` New Bedford - native named Mass . Small Business Person of Year '' . South Coast Business Bulletin . March 23 , 2012 . Retrieved August 5 , 2013 .   Jump up ^ `` Rafaelian named Ernst &amp; Young Entrepreneur of Year '' . Providence Business News . June 25 , 2012 . Retrieved August 7 , 2013 .   Jump up ^ Amoratis , Pandora ( 2016 - 09 - 15 ) . `` Alex and Ani unveils unique jewelry collection crafted with pieces of the Statue of Liberty Daily Mail Online '' . Dailymail.co.uk . Retrieved 2017 - 06 - 19 .   Jump up ^ `` From Sheryl Sandberg To Beyonce : The 60 Richest , Most Successful Self - Made Women In America '' . Forbes.com . Retrieved 2017 - 06 - 19 .   Jump up ^ JUDITH OHIKUARE ( May 31 , 2013 ) . `` Alex and Ani CEO : ' My Job Was to Discourage People ' '' . CEO Magazine . Retrieved August 5 , 2013 .   Jump up ^ Philip Eil ( September 18 , 2013 ) . `` It 's Alex and Ani 's state ... we only live in it . An in - depth look at the ' positive energy ' powerhouse '' . The Providence Phoenix . Archived from the original on October 4 , 2013 . Retrieved October 2 , 2013 .   Jump up ^ Phillip Silverstone ( August 3 , 2013 ) . `` Wining about the Good Life : The Genius of Wine '' . Montgomery News . Retrieved August 5 , 2013 .   Jump up ^ `` Sakonnet wines have won many awards '' .   Jump up ^ `` Alex And Ani 's Sakonnet Vineyards Purchase Final '' . Retrieved 2017 - 05 - 16 .   Jump up ^ Murphy , Linda . `` Alex and Ani founder making her mark at ' Carolyn 's ' Sakonnet Vineyards '' . The Herald News , Fall River , MA . Retrieved 2017 - 05 - 16 .   Jump up ^ Aherne , Kevin . `` GoLocalProv Food Carolyn 's Sakonnet Vineyard Wins Big at Int'l Wine Competition '' . GoLocalProv . Retrieved 2017 - 05 - 16 .   Jump up ^ Editor , Gail Ciampa Journal Food . `` R.I. wineries winners at international wine contest '' . providencejournal.com . Retrieved 2017 - 05 - 16 .   ^ Jump up to : Penelope Green ( September 19 , 2013 ) . `` Ghosts Be Gone : Belcourt Castle in Newport Gets a Face - Lift '' . New York Times . Retrieved September 23 , 2013 .   Jump up ^ Darrell Hofheinz ( January 25 , 2013 ) . `` Rafaelian 's new townhouse : Location was key '' . Palm Beach Daily News . Retrieved August 5 , 2013 .   Jump up ^ Bill Tomison ( November 12 , 2012 ) . `` Alex and Ani owner buys Belcourt Castle '' . WPRI . Archived from the original on July 19 , 2013 . Retrieved August 5 , 2013 .   Jump up ^ M.E. REILLY - MCGREEN . `` Room at the Top : It takes more than a great idea to create a million - dollar business . You need passion , luck and drive , as these highly successful women have learned . Here are their secrets '' . Rhode Island Monthly . Retrieved August 5 , 2013 .   Jump up ^ O'Connor , Clare ( 3 June 2016 ) . `` Alex And Ani 's Carolyn Rafaelian Joins Self - Made List As Jewelry 's Richest Woman '' . Forbes .   Jump up ^ Asher , Jane ( 2017 - 05 - 10 ) . `` Gisele Bundchen Talks the Importance of Meditation '' . InStyle.com . Retrieved 2017 - 06 - 19 .   Jump up ^ `` Carolyn Rafaelian '' . Forbes.com . Retrieved 2017 - 06 - 19 .   Retrieved from `` https://en.wikipedia.org/w/index.php?title=Carolyn_Rafaelian&amp;oldid=837108518 '' Categories :   1960s births   American billionaires   American people of Armenian descent   Armenian businesspeople   Female billionaires   Living people   University of Rhode Island alumni   Hidden categories :   Articles with hCards           Talk                                           Contents                   About Wikipedia                                           Հայերեն   Edit links   This page was last edited on 18 April 2018 , at 19 : 24 .         About Wikipedia                    </t>
  </si>
  <si>
    <t xml:space="preserve">who is the founder of alex and ani</t>
  </si>
  <si>
    <t xml:space="preserve"> Carolyn Rafaelian ( born 1966 / 67 ) is an American - Armenian entrepreneur and businesswoman . She is the founder of the accessories and jewelry company Alex and Ani , and the owner of the Belcourt of Newport and Carolyn 's Sakonnet Vineyards . </t>
  </si>
  <si>
    <t xml:space="preserve">Between the Devil and the Deep Blue Sea ( song ) - wikipedia  Between the Devil and the Deep Blue Sea ( song )  Jump to : navigation , search  `` Between the Devil and the Deep Blue Sea '' is an American popular song published in 1932 , with music by Harold Arlen and lyrics by Ted Koehler , and first recorded by Cab Calloway in 1931 . It was introduced in the 1931 Cotton Club show Rhythmania and is now a widely recorded standard .     Contents  ( hide )   1 Early hits   2 Other Notable Recordings   3 Film appearances   4 Broadway show   5 References      Early hits ( edit )   Joel Whitburn identified the most successful early recordings as being by : 1 . Cab Calloway recorded October 21 , 1931 for Brunswick Records ( catalogue No. 6209 ) 2 . Louis Armstrong performed a version featuring a trumpet solo which was recorded on January 25 , 1932 and released by Columbia Records , catalogue No. 2600D . 3 . The Boswell Sisters with The Dorsey Brothers ( Recorded March 21 , 1932 , Brunswick Records , No. 6291 )   Other notable recordings ( edit )    1932 Kate Smith recorded January 28 , 1932 for Columbia Records with Blues in My Heart interpolated .   1935 Benny Goodman and orchestra ( July 1 , 1935 for Victor ) with Helen Ward on lead vocal   1939 Count Basie ( recorded November 7 , 1939 ) featuring Helen Humes as vocalist   1937 Phil Harris recorded it for Vocalion Records on Feb. 27 , 1937 .   1955 Ella Fitzgerald - included in her album Sweet and Hot .   1956 Dick Haymes - recorded for his album Moondreams .   1957 Buddy Rich performed the song on his album Buddy Rich Just Sings   1957 Bing Crosby included it in the album New Tricks .   1957 Carmen McRae for her album After Glow .   1958 Perry Como included in the album Saturday Night with Mr. C .   1960 Bobby Darin recorded a version influenced by Latin music in Feb. 1960 , released in 1964 on the album Winners .   1961 Ella Fitzgerald recorded it for her 1961 Verve album Ella Fitzgerald Sings the Harold Arlen Songbook   1961 Joni James for her album The Mood Is Romance .   1967 Thelonious Monk played the song on his 1967 album , Straight , No Chaser   1993 Diana Krall - an instrumental version was included on her album Stepping Out .   2002 George Harrison on his final album , Brainwashed    Film appearances ( edit )    1933 Sing , Bing , Sing - Bing Crosby sang an abridged version of the song in this Mack Sennett short .   1984 City Heat - sung by Eloise Laws .    Broadway show ( edit )   Featured in the 2013 show After Midnight .   References ( edit )    Jump up ^ `` haroldarlen.com '' . haroldarlen.com . Retrieved June 5 , 2017 .   Jump up ^ Whitburn , Joel ( 1986 ) . Joel Whitburn 's Pop Memories 1890 - 1954 . Wisconsin , USA : Record Research Inc. p. 477 . ISBN 0 - 89820 - 083 - 0 .   Jump up ^ `` THE ONLINE DISCOGRAPHICAL PROJECT '' . 78discography.com . Retrieved June 4 , 2017 .   Jump up ^ `` THE ONLINE DISCOGRAPHICAL PROJECT '' . 78discography.com . Retrieved June 5 , 2017 .   Jump up ^ `` THE ONLINE DISCOGRAPHICAL PROJECT '' . 78discography.com . Retrieved June 5 , 2017 .   Jump up ^ `` secondhandsongs.com '' . secondhandsongs.com . Retrieved June 5 , 2017 .   Jump up ^ `` THE ONLINE DISCOGRAPHICAL PROJECT '' . 78discography.com . Retrieved June 5 , 2017 .   Jump up ^ `` THE ONLINE DISCOGRAPHICAL PROJECT '' . 78discography.com . Retrieved June 5 , 2017 .   Jump up ^ `` THE ONLINE DISCOGRAPHICAL PROJECT '' . 78discography.com .   Jump up ^ `` Discogs.com '' . Discogs.com . Retrieved June 5 , 2017 .   Jump up ^ `` Discogs.com '' . Discogs.com . Retrieved June 5 , 2017 .   Jump up ^ `` Internet Movie Database '' . imdb.com . Retrieved June 4 , 2017 .      ( hide )         The Boswell Sisters       Martha Boswell   Connee Boswell   Helvetia Boswell       Singles     `` I Found a Million Dollar Baby ''   `` Between the Devil and the Deep Blue Sea ''   `` Dinah ''   `` Alexander 's Ragtime Band ''   `` St. Louis Blues ''   `` Cheek to Cheek ''   `` I 'm Gonna Sit Right Down and Write Myself a Letter ''         Book : The Boswell Sisters      Retrieved from `` https://en.wikipedia.org/w/index.php?title=Between_the_Devil_and_the_Deep_Blue_Sea_(song)&amp;oldid=795171372 '' Categories :   Pop standards   Songs with music by Harold Arlen   Songs with lyrics by Ted Koehler   1932 songs   Cab Calloway songs   George Harrison songs           Talk                                           Contents                   About Wikipedia                                           Italiano   Norsk   Svenska   Türkçe   Edit links   This page was last edited on 12 August 2017 , at 13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</si>
  <si>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between the devil and the deep blue sea</t>
  </si>
  <si>
    <t xml:space="preserve"> `` Between the Devil and the Deep Blue Sea '' is an American popular song published in 1932 , with music by Harold Arlen and lyrics by Ted Koehler , and first recorded by Cab Calloway in 1931 . It was introduced in the 1931 Cotton Club show Rhythmania and is now a widely recorded standard . </t>
  </si>
  <si>
    <t xml:space="preserve">Territorial waters - wikipedia  Territorial waters  Jump to : navigation , search `` Coastal waters '' redirects here . For geographical aspects , see coast . Schematic map of maritime zones  Territorial waters or a territorial sea , as defined by the 1982 United Nations Convention on the Law of the Sea , is a belt of coastal waters extending at most 12 nautical miles ( 22.2 km ; 13.8 mi ) from the baseline ( usually the mean low - water mark ) of a coastal state . The territorial sea is regarded as the sovereign territory of the state , although foreign ships ( civilian ) are allowed innocent passage through it , or transit passage for straits ; this sovereignty also extends to the airspace over and seabed below . Adjustment of these boundaries is called , in international law , maritime delimitation .   The term `` territorial waters '' is also sometimes used informally to refer to any area of water over which a state has jurisdiction , including internal waters , the contiguous zone , the exclusive economic zone and potentially the continental shelf .     Contents  ( hide )   1 Baseline   2 Internal waters   3 Territorial sea   4 Contiguous zone   5 Exclusive economic zone   6 Continental shelf   6.1 Definition   6.2 Rights over the continental shelf     7 Background   8 Miscellaneous   9 Territorial sea claim   9.1 Special cases     10 Contiguous zone claims   11 Extended continental shelf claims   11.1 Submissions with recommendations   11.2 Other submissions     12 See also   13 References   14 External links      Baseline ( edit )  Main article : Baseline ( sea )  Normally , the baseline from which the territorial sea is measured is the low - water line along the coast as marked on large - scale charts officially recognized by the coastal state . This is either the low - water mark closest to the shore , or alternatively it may be an unlimited distance from permanently exposed land , provided that some portion of elevations exposed at low tide but covered at high tide ( like mud flats ) is within 12 nautical miles ( 22 km ; 14 mi ) of permanently exposed land . Straight baselines can alternatively be defined connecting fringing islands along a coast , across the mouths of rivers , or with certain restrictions across the mouths of bays . In this case , a bay is defined as `` a well - marked indentation whose penetration is in such proportion to the width of its mouth as to contain land - locked waters and constitute more than a mere curvature of the coast . An indentation shall not , however , be regarded as a bay unless its area is as large as , or larger than , that of the semi-circle whose diameter is a line drawn across the mouth of that indentation '' . The baseline across the bay must also be no more than 24 nautical miles ( 44 km ; 28 mi ) in length .   Internal waters ( edit )  Internal and external territorial waters of the Philippines prior to the adoption of new baselines in 2009 . Main article : Internal waters  Waters landward of the baseline are defined as internal waters , over which the state has complete sovereignty : not even innocent passage is allowed . Lakes and rivers are considered internal waters . All `` archipelagic waters '' within the outermost islands of an archipelagic state such as Indonesia or the Philippines are also considered internal waters , and are treated the same with the exception that innocent passage through them must be allowed . However , archipelagic states may designate certain sea lanes through these waters .   Territorial sea ( edit )   A state 's territorial sea extends up to 12 nautical miles ( 22.2 km ; 13.8 mi ) from its baseline . If this would overlap with another state 's territorial sea , the border is taken as the median point between the states ' baselines , unless the states in question agree otherwise . A state can also choose to claim a smaller territorial sea .   Conflicts still occur whenever a coastal nation claims an entire gulf as its territorial waters while other nations only recognize the more restrictive definitions of the UN convention . Two recent conflicts occurred in the Gulf of Sidra where Libya has claimed the entire gulf as its territorial waters and the U.S. has enforced freedom of navigation rights twice , in the 1981 and 1989 Gulf of Sidra incidents .   In the U.S. federal system , individual states exercise ownership ( subject to federal law ) up to 3 nautical miles ( 9 nautical miles for Texas and Florida ) from shore , while the federal government exercises sole territorial jurisdiction further out ( see Tidelands ) .   Contiguous zone ( edit )   The contiguous zone is a band of water extending from the outer edge of the territorial sea to up to 24 nautical miles ( 44.4 km ; 27.6 mi ) from the baseline , within which a state can exert limited control for the purpose of preventing or punishing `` infringement of its customs , fiscal , immigration or sanitary laws and regulations within its territory or territorial sea '' . This will typically be 12 nautical miles ( 22 km ; 14 mi ) wide , but could be more ( if a state has chosen to claim a territorial sea of less than 12 nautical miles ) , or less , if it would otherwise overlap another state 's contiguous zone . However , unlike the territorial sea , there is no standard rule for resolving such conflicts and the states in question must negotiate their own compromise . The United States invoked a contiguous zone out to 24 nmi on 29 September 1999 .   Exclusive economic zone ( edit )  Main article : Exclusive economic zone  An exclusive economic zone extends from the outer limit of the territorial sea to a maximum of 200 nautical miles ( 370.4 km ; 230.2 mi ) from the territorial sea baseline , thus it includes the contiguous zone . A coastal nation has control of all economic resources within its exclusive economic zone , including fishing , mining , oil exploration , and any pollution of those resources . However , it can not prohibit passage or loitering above , on , or under the surface of the sea that is in compliance with the laws and regulations adopted by the coastal State in accordance with the provisions of the UN Convention , within that portion of its exclusive economic zone beyond its territorial sea . Before the United Nations Convention on the Law of the Sea of 1982 , coastal nations arbitrarily extended their territorial waters in an effort to control activities which are now regulated by the exclusive economic zone , such as offshore oil exploration or fishing rights ( see Cod Wars ) . Indeed , the exclusive economic zone is still popularly , though erroneously , called a coastal nation 's territorial waters .   Continental shelf ( edit )   Definition ( edit )   Article 79 gives the legal definition of continental shelf of coastal countries . For the physical geography definition , see the continental shelf page .   The continental shelf of a coastal nation extends out to the outer edge of the continental margin but at least 200 nautical miles ( 370 km ; 230 mi ) from the baselines of the territorial sea if the continental margin does not stretch that far . Coastal states have the right of exploration and exploitation of its natural resources , however other states could lay cables and pipelines if they are authorised by the coastal state . The outer limit of a country 's continental shelf shall not stretch beyond 350 nautical miles ( 650 km ; 400 mi ) of the baseline , or beyond 100 nautical miles ( 190 km ; 120 mi ) from the 2,500 metres ( 8,200 ft ) isobath , which is a line connecting the depths of the seabed at 2,500 meters .   The outer edge of the continental margin for the purposes of this article is defined as :    * a series of lines joining points not more than 60 nautical miles ( 110 km ; 69 mi ) apart where the thickness of sedimentary rocks is at least 1 % of the height of the continental shelf above the foot of the continental slope ; or   * a series of lines joining points not more than 60 nautical miles apart that is not more than 60 nautical miles from the foot of the continental margin .    The foot of the continental slope is determined as the point of maximum change in the gradient at its base .   The portion of the continental shelf beyond the 200 nautical mile limit is also known as the extended continental shelf . Countries wishing to delimit their outer continental shelf beyond 200 nautical miles have to submit information on their claim to the Commission on the Limits of the Continental Shelf . The Commission must make recommendations on matters related to the establishment of the outer limits of their continental shelf . The limits established based on these recommendations shall be final and binding .   Countries were supposed to lodge their submissions to extend their continental shelf beyond 200 nautical miles within ten years of UNCLOS coming into force in the country , or by 13 May 2009 for countries where the convention had come into force before 13 May 1999 . As of 1 June 2009 , 51 submissions have been lodged with the Commission , of which eight have been deliberated by the Commission and have had recommendations issued . The eight are ( in the order of date of submission ) : Russian Federation ; Brazil ; Australia ; Ireland ; New Zealand ; the joint submission by France , Ireland , Spain and the United Kingdom ; Norway and Mexico .   For full list , see below   Rights over the continental shelf ( edit )   Articles 77 to 81 define the rights of a country over its continental shelf .   A coastal nation has control of all resources on or under its continental shelf , living or not , but no control over any living organisms above the shelf that are beyond its exclusive economic zone . This gives it the right to conduct petroleum drilling works and lay submarine cables or pipelines in its continental shelf .   An example of this is the ongoing dispute over resources in the Arctic area , which will be decided by the exact mapping of the continental shelves .   Background ( edit )   Territorial waters claims by coastal states in 1960   Breadth claim   Number of states     3 - mile limit   26     4 - mile limit       5 - mile limit       6 - mile limit   16     9 - mile limit       10 - mile limit       12 - mile limit   34     More than 12 - miles   9     Unspecified   11     From the eighteenth century until the mid twentieth century , the territorial waters of the British Empire , the United States , France and many other nations were three nautical miles ( 5.6 km ) wide . Originally , this was the length of a cannon shot , hence the portion of an ocean that a sovereign state could defend from shore . However , Iceland claimed two nautical miles ( 3.7 km ) , Norway and Sweden claimed four nautical miles ( 7.4 km ) , and Spain claimed 6 nautical miles ( 11 km ; 6.9 mi ) during this period . During incidents such as nuclear weapons testing and fisheries disputes some nations arbitrarily extended their maritime claims to as much as fifty or even two hundred nautical miles . Since the late 20th century the `` 12 mile limit '' has become almost universally accepted . The United Kingdom extended its territorial waters from three to twelve nautical miles ( 22 km ) in 1987 .   During the League of Nations Codification Conference in 1930 , the issue of establishing international legislation on territorial waters was raised , but no agreement was reached .   Claims by legislation to the adjacent continental shelf and fishing was first made by the United States government immediately following the Second World War . On September 28 , 1945 , US President Harry S. Truman issued two proclamations that established government control of natural resources in areas adjacent to the coastline . One of these proclamation was titled `` Policy of the United States With Respect to the Natural Resources of the Subsoil and Sea Bed of the Continental Shelf '' , and stipulated in its operative clause :   the Government of the United States regards the natural resources of the subsoil and sea bed of the continental shelf beneath the high seas but contiguous to the coasts of the United States as appertaining to the United States , subject to its jurisdiction and control .   The second proclamation was titled `` Policy of the United States With Respect to Coastal Fisheries in Certain Areas of the High Seas '' , and stated in its operative clause :   the Government of the United States regards it as proper to establish conservation zones in those areas of the high seas contiguous to the coasts of the United States wherein fishing activities have been or in the future may be developed and maintained on a substantial scale .   Following the US Presidential proclamation , the issue of legally determining territorial waters by international agreement was raised , and in its first session in 1949 , the International Law Commission of the United Nations added the subject to its agenda .   The important issue of the breadth of territorial waters could not be resolved at either the UNCLOS I ( 1956 - 1958 ) or UNCLOS II ( 1960 ) conferences , with neither the two major contenders of a 3 - mile or 12 - mile limit reaching the required two - thirds support . This lack of agreement had the potential to lead to serious international disputes . It was only at the UNCLOS III ( 1973 - 1982 ) conference , whose provisions did not come into force until 1994 , that this issue was resolved at twelve nautical miles .   Miscellaneous ( edit )   Pirate radio broadcasting from artificial marine fixtures or anchored ships can be controlled by the affected coastal nation or other nations wherever that broadcast may originate , whether in the territorial sea , exclusive economic zone , the continental shelf or even on the high seas .   Thus a coastal nation has total control over its internal waters , slightly less control over territorial waters , and ostensibly even less control over waters within the contiguous zones . However , it has total control of economic resources within its exclusive economic zone as well as those on or under its continental shelf .   Throughout this article , distances measured in nautical miles are exact legal definitions , while those in kilometres are approximate conversions that are not stated in any law or treaty .   Federal nations , such as the United States , divide control over certain waters between the federal government and the individual states . ( See tidelands . )   Territorial sea claim ( edit )  Main article : List of territorial disputes  Maritime controversies involve two dimensions : ( a ) territorial sovereignty , which are a legacy of history ; and ( b ) relevant jurisdictional rights and interests in maritime boundaries , which are mainly due to differing interpretations of the law of the sea .    3 nautical miles ( 5.6 km ; 3.5 mi ) : Jordan , Palau .   10 nautical miles ( 18.5 km ; 11.5 mi ) : Greece , Turkey ( note : This is in dispute . Turkey claims 6 mi for Greece in the Aegean )   12 nautical miles ( 22.2 km ; 13.8 mi ) : Albania , Algeria , Angola , Antigua and Barbuda , Argentina , Australia , Bahamas , Bahrain , Bangladesh , Barbados , Belgium , Belize , Brazil , Brunei , Bouvet Island , Bulgaria , Cambodia , Cameroon , Canada , Cape Verde , Chile , People 's Republic of China , Republic of China , Colombia , Comoros , Cook Islands , Costa Rica , Côte d'Ivoire , Croatia , Cuba , Cyprus , Democratic People 's Republic of Korea , Democratic Republic of the Congo , Denmark , Djibouti , Dominica , Dominican Republic , Ecuador , Egypt , Equatorial Guinea , Eritrea , Estonia , Faroe Islands , Fiji , Finland , France , Gabon , Gambia , Georgia , Germany , Ghana , Grenada , Guatemala , Guinea , Guinea - Bissau , Guyana , Haiti , Honduras , Iceland , India , Indonesia , Iran , Iraq , Ireland , Israel , Jamaica , Japan , Kenya , Kiribati , Kuwait , Latvia , Lebanon , Liberia , Libya , Lithuania , Madagascar , Malaysia , Maldives , Malta , Marshall Islands , Mauritania , Mauritius , Mexico , Micronesia , Monaco , Montenegro , Morocco , Mozambique , Myanmar , Namibia , Nauru , Netherlands , New Zealand , Nicaragua , Nigeria , Niue , Norway , Oman , Pakistan , Panama , Papua New Guinea , Poland , Portugal , Qatar , Republic of Korea , Romania , Russia , Saint Kitts and Nevis , Saint Lucia , Saint Vincent and the Grenadines , Samoa , São Tomé and Príncipe , Saudi Arabia , Senegal , Seychelles , Sierra Leone , Singapore , Solomon Islands , South Africa , Spain , Sri Lanka , Sudan , Suriname , Sweden , Syria , Thailand , Timor - Leste , Tonga , Trinidad and Tobago , Turkey ( in the Black sea and Mediterranean ) , Tuvalu , Ukraine , United Arab Emirates , United Kingdom , United Republic of Tanzania , United States of America , Uruguay , Vanuatu , Venezuela , Vietnam , Yemen .   12 nautical miles / DLM : Slovenia .   13 nautical miles ( 24.08 km ; 14.96 mi ) : Italy - Tunisia   30 nautical miles ( 55.6 km ; 34.5 mi ) : Togo .   200 nautical miles ( 370.4 km ; 230.2 mi ) : Benin , Republic of the Congo , El Salvador , Peru , Somalia .    Special cases ( edit )    Australia : A treaty with Papua New Guinea defines the territorial sea boundaries between the islands of Aubusi , Boigu and Moimi and Papua New Guinea on the one hand and the islands of Dauan , Kaumag and Saibai and Papua New Guinea on the other hand , as well as a section of the border of the territorial sea of Saibai . The territorial seas of the islands known as Anchor Cay , Aubusi Island , Black Rocks , Boigu Island , Bramble Cay , Dauan Island , Deliverance Island , East Cay , Kaumag Island , Kerr Islet , Moimi Island , Pearce Cay , Saibai Island , Urnagain Island and Turu Cay do not extend beyond 3 nautical miles from the baselines .   Belize : 3 nautical miles limit applies from the mouth of Sarstoon River to Ranguana Caye .   Cameroon : See article 45 of Law 96 - 06 of 18 January 1996 on the revision of the Constitution of 2 June 1972 .   Denmark : Act No. 200 of 7 April 1999 on the delimitation of the territorial sea does not apply to the Faroe Islands ( the act applies to the Faroe Islands from 1 June 2002 ) and Greenland but may become effective by Royal Decree for those parts of the Kingdom of Denmark with the amendments dictated by the special conditions prevailing in the Faroe Islands and Greenland . As far as Greenland is concerned , the outer limit of the external territorial waters may be measured at a distance shorter than 12 nautical miles ( 22.2 km ; 13.8 mi ) from the baselines .   Estonia : In some parts of the Gulf of Finland , defined by coordinates .   Finland : Extends , with certain exceptions , to 12 nautical miles ( 22.2 km ; 13.8 mi ) , unless defined by geographical coordinates . In the Gulf of Finland , there is a strip of international waters regardless of the 12 nmi limit : the outer limit of the territorial sea shall at no place be closer to the midline than 3 nautical miles ( 5.6 km ; 3.5 mi ) . Bogskär , a remote island , has only 3 nautical miles ( 5.6 km ; 3.5 mi ) territorial waters .   Greece : 10 nautical miles ( 18.5 km ; 11.5 mi ) limit applies for the purpose of regulating civil aviation ( See also Aegean dispute )   India : 12 nautical miles ( 22.2 km ; 13.8 mi ) limit includes Andaman , Nicobar and Lakshadweep .   Japan : 3 nautical miles ( 5.6 km ; 3.5 mi ) limit applies to the Soya Strait , the Tsugaru Strait , the eastern and western channels of the Korea Strait and the Osumi Straits only .   New Zealand : 12 nautical miles ( 22.2 km ; 13.8 mi ) limit includes Tokelau .   Papua New Guinea : 3 nautical miles ( 5.6 km ; 3.5 mi ) in certain areas .   Peru claims territorial waters out to 200 nmi .   Peru : The 200 nautical miles ( 370.4 km ; 230.2 mi ) territorial sea is called `` Maritime Dominion '' in article 54 of the 1993 Constitution : `` ... In its maritime dominion , Peru exercises sovereignty and jurisdiction , without prejudice to the freedoms of international communication , in accordance with the law and the treaties ratified by the State ... ''   The Philippines claims a rectangle , defined by coordinates ; the total claim extends beyond 12 nautical miles .   Turkey : 6 nautical miles ( 11.1 km ; 6.9 mi ) in the Aegean Sea , 12 nautical miles ( 22.2 km ; 13.8 mi ) in the Black and Mediterranean Seas .   United Kingdom and British Crown : The limit remains at 3 nautical miles ( 5.6 km ; 3.5 mi ) in some of its overseas territories : British Indian Ocean Territory , Gibraltar , Montserrat and Pitcairn ; the limit is now at 12 nautical miles ( 22.2 km ; 13.8 mi ) in the United Kingdom and its overseas territories of Anguilla , Bermuda , British Virgin Islands , Cayman Islands , Falkland Islands , Saint Helena , Ascension and Tristan da Cunha , South Georgia and the South Sandwich Islands , and Turks and Caicos Islands , as well as in two possessions of the British Crown freely associated to the United Kingdom , i.e. Isle of Man and the Bailiwick of Jersey , but not in the Bailiwick of Guernsey where the limit remains at 3 nmi .    Contiguous zone claims ( edit )    None : Albania , the Bahamas , Barbados , Belize , Benin , Bosnia and Herzegovina , Brunei , Cameroon , Colombia , Comoros , Congo , Cook Islands , Costa Rica , Côte d'Ivoire , Croatia , Democratic Republic of the Congo , Ecuador , El Salvador , Equatorial Guinea , Eritrea , Estonia , Fiji , Georgia , Germany , Greece , Grenada , Guatemala , Guinea , Guinea - Bissau , Guyana , Iceland , Indonesia , Iran , Ireland , Israel , Jordan , Kenya , Kiribati , Kuwait , Latvia , Lebanon , Libya , Lithuania , Macedonia , Malaysia , Mauritius , Micronesia , Monaco , Montenegro , Nigeria , Niue , Palau , Papua New Guinea , Peru , the Philippines , Poland , São Tomé and Príncipe , Singapore , Slovenia , Solomon Islands , Somalia , Suriname , Sweden , Togo , Tonga , Turkey , Ukraine , United Kingdom , Tanzania   14 nautical miles ( 25.9 km ; 16.1 mi ) : Finland   15 nautical miles ( 27.8 km ; 17.3 mi ) : Venezuela   18 nautical miles ( 33.3 km ; 20.7 mi ) : Bangladesh , Gambia , Saudi Arabia , Sudan   24 nautical miles ( 44.4 km ; 27.6 mi ) : Algeria , Angola , Antigua and Barbuda , Argentina , Australia , Belgium , Brazil , Bulgaria , Cambodia , Canada , Cape Verde , Chile , People 's Republic of China , Cuba , Cyprus , Denmark , Djibouti , Dominica , Dominican Republic , Egypt , France , Gabon , Ghana , Haiti , Honduras , India , Iran , Jamaica , Japan , Liberia , Madagascar , Maldives , Malta , Marshall Islands , Mauritania , Mexico , Morocco , Mozambique , Myanmar , Namibia , Nauru , The Netherlands , New Zealand , Nicaragua , Norway , Oman , Pakistan , Panama , Portugal , Qatar , Republic of Korea , Romania , Russia , Saint Kitts and Nevis , Saint Lucia , Saint Vincent and the Grenadines , Samoa , Senegal , Seychelles , Sierra Leone , South Africa , Spain , Sri Lanka , Syria , Thailand , Timor - Leste , Trinidad and Tobago , Tunisia , Tuvalu , United Arab Emirates , United States of America , Uruguay , Vanuatu , Vietnam , Yemen   30 nautical miles ( 55.6 km ; 34.5 mi ) : Italy   50 nautical miles ( 92.6 km ; 57.5 mi ) : Democratic People 's Republic of Korea ; 50 nautical miles military zone . Army Command Announcement of 1 August 1977 .    Extended continental shelf claims ( edit )   As of 13 May 2009 , 51 submissions by 44 countries have been lodged for claims over their extended continental shelf . Some countries have multiple submissions and joint submissions with other countries . Recommendations have been given for 8 of the submissions .   Submissions with recommendations ( edit )   List with date of submission and adoption of recommendation by the Commission on the Limits of the Continental Shelf .    United Kingdom -- Ascension Island ( submission : 9 May 2008 ; recommendation : 15 April 2010 ) ( application to extend beyond 200NM failed )   Australia ( 15 November 2004 , 9 April 2008 )   Barbados ( submission : 8 May 2008 ; recommendation : 15 April 2010 )   Brazil ( 17 May 2004 , 4 April 2007 )   France -- in respect of the areas of French Guiana and New Caledonia ( 22 May 2007 , 2 September 2009 )   Joint submission by France , Ireland , Spain and the United Kingdom -- in the area of the Celtic Sea and the Bay of Biscay ( 19 May 2006 , 24 March 2009 )   Ireland -- Porcupine Abyssal Plain ( 25 May 2005 , 5 April 2007 )   Mexico -- in respect of the western polygon in the Gulf of Mexico ( 13 December 2007 , 31 March 2009 )   New Zealand ( 19 April 2006 , 22 August 2008 )   Norway -- in the North East Atlantic and the Arctic ( 27 November 2006 , 27 March 2009 )   Russia ( 20 December 2001 , 27 June 2002 )    Other submissions ( edit )   List in order of date of submission , with date of submission .    France -- areas of the French Antilles and the Kerguelen Islands ( 5 February 2009 )   Indonesia -- North west of Sumatra Island ( 16 June 2008 )   Japan ( 12 November 2008 )   Joint submission by the Republic of Mauritius and the Republic of Seychelles -- in the region of the Mascarene Plateau ( 1 December 2008 )   Suriname ( 5 December 2008 )   Myanmar ( 16 December 2008 )   Somalia ( 17 April 2009 )   Yemen -- in respect of south east of Socotra Island ( 20 March 2009 )   United Kingdom -- in respect of Hatton Rockall Area ( 31 March 2009 )   Ireland -- in respect of Hatton - Rockall Area ( 31 March 2009 )   Uruguay ( 7 April 2009 )   Philippines -- in the Benham Plateau region ( 8 April 2009 )   The Cook Islands -- concerning the Manihiki Plateau ( 16 April 2009 )   Fiji ( 20 April 2009 )   Argentina ( 21 April 2009 )   Ghana ( 28 April 2009 )   Iceland -- in the Ægir Basin area and in the western and southern parts of Reykjanes Ridge ( 29 April 2009 )   Denmark -- in the area north of the Faroe Islands ( 29 April 2009 )   Pakistan ( 30 April 2009 )   Norway -- in respect of Bouvetøya and Dronning Maud Land ( 4 May 2009 )   South Africa -- in respect of the mainland of the territory of the Republic of South Africa ( 5 May 2009 )   Joint submission by the Federated States of Micronesia , Papua New Guinea and Solomon Islands -- concerning the Ontong Java Plateau ( 5 May 2009 )   Joint submission by Malaysia and Viet Nam -- in the southern part of the South China Sea ( 6 May 2009 )   Joint submission by France and South Africa -- in the area of the Crozet Archipelago and the Prince Edward Islands ( 6 May 2009 )   Kenya ( 6 May 2009 )   Mauritius -- in the region of Rodrigues Island ( 6 May 2009 )   Vietnam -- in North Area ( of the South China Sea ) ( 7 May 2009 )   Nigeria ( 7 May 2009 )   Seychelles -- concerning the Northern Plateau Region ( 7 May 2009 )   France -- in respect of La Réunion Island and Saint - Paul and Amsterdam Islands ( 8 May 2009 )   Palau ( 8 May 2009 )   Côte d'Ivoire ( 8 May 2009 )   Sri Lanka ( 8 May 2009 )   Portugal ( 11 May 2009 )   United Kingdom -- in respect of the Falkland Islands , and of South Georgia and the South Sandwich Islands ( 11 May 2009 )   Tonga ( 11 May 2009 )   Spain -- in respect of the area of Galicia ( 11 May 2009 )   India ( 11 May 2009 )   Trinidad and Tobago ( 12 May 2009 )   Namibia ( 12 May 2009 )   Cuba ( 1 June 2009 )   Angola ( 6 December 2013 )    See also ( edit )       Aegean dispute   Baseline   Boundary delimitation   Continental shelf       Exclusive economic zone   Freedom of the seas   International waters   Intra fauces terra   Littoral zone       Ocean colonization   Territorial claims in the Arctic   Tidelands -- U.S. state vs. federal ownership   United Nations Convention on the Law of the Sea       References ( edit )    Jump up ^ `` UNITED NATIONS CONVENTION ON THE LAW OF THE SEA '' . Retrieved 27 April 2016 .   Jump up ^ `` New Action to Protect &amp; Preserve U.S. Shores &amp; Oceans '' . Retrieved 27 April 2016 .   Jump up ^ `` PREAMBLE TO THE UNITED NATIONS CONVENTION ON THE LAW OF THE SEA '' . Retrieved 27 April 2016 .   Jump up ^ `` PREAMBLE TO THE UNITED NATIONS CONVENTION ON THE LAW OF THE SEA '' . Retrieved 27 April 2016 .   ^ Jump up to : Major Thomas E. Behuniak ( Fall 1978 ) . `` The Seizure and Recovery of the S.S. Mayaguez : Legal Analysis of United States Claims , Part 1 '' ( PDF ) . Military Law Review . Department of the Army . 82 : 114 -- 121 . ISSN 0026 - 4040 . Retrieved 21 July 2014 .   Jump up ^ Yearbook of the International Law Commission , 1949 , p. 43   Jump up ^ text in Department of State Bulletin , September 30 , 1945 , p. 485   Jump up ^ text in Department of State Bulletin , September 30 , 1945 , p. 486   Jump up ^ `` PREAMBLE TO THE UNITED NATIONS CONVENTION ON THE LAW OF THE SEA '' . Retrieved 27 April 2016 .   Jump up ^ Ji , Guoxing. ( 1995 ) . http://escholarship.org/uc/item/7rq2b069 `` Maritime Jurisdiction in the Three China Seas '' ( abstract ) , ) UC Berkeley : UC Institute on Global Conflict and Cooperation ; retrieved 15 Nov 2010 .   Jump up ^ Lov om Norges territorialfarvann og tilstøtende sone § 7   Jump up ^ `` Lov om afgrænsning af søterritoriet -- retsinformation.dk '' . Retrieved 27 April 2016 .   Jump up ^ Accession of Ecuador to the United Nations Convention on the Law of the Sea ( UNCLOS )   Jump up ^ `` Lógasavn '' . Retrieved 27 April 2016 .   Jump up ^ `` 41 / 1979 : Lög um landhelgi , efnahagslögsögu og landgrunn '' . Alþingi . Retrieved 27 April 2016 .   ^ Jump up to : Executive order no . 48 , Liberia Government , January 2013 .   Jump up ^ Lov om Norges territorialfarvann og tilstøtende sone § 2   Jump up ^ DLM means that `` the national legislation establishes the limits of a given zone only by reference to the delimitation of maritime boundaries with adjacent or opposite States , or to a median ( equidistant ) line in the absence of a maritime boundary delimitation agreement '' .   Jump up ^ Legge 3 giugno 1978 n . 347   Jump up ^ Act amending the Act on the Limits of the Territorial Waters of Finland ( 981 / 95 )   Jump up ^ `` Laki Suomen aluevesien rajoista 463 / 1956 - Ajantasainen lainsäädäntö - FINLEX ® '' . Retrieved 27 April 2016 .   Jump up ^ `` DoD Issuances Website : 404 Error Page '' . Archived from the original on September 20 , 2012 . Retrieved 27 April 2016 .   Jump up ^ `` LIMITS IN THE SEAS NO . 32 STRAIGHT BASELINES : TURKEY '' ( pdf ) . U.S. Department of State . 25 March 1971 . Retrieved 18 June 2016 .   ^ Jump up to : `` Submissions , through the Secretary - General of the United Nations , to the Commission on the Limits of the Continental Shelf , pursuant to article 76 , paragraph 8 , of the United Nations Convention on the Law of the Sea of 10 December 1982 '' . United Nations Commission on the Limits of the Continental Shelf. 30 October 2009 . Retrieved 9 December 2009 .   Jump up ^ Commission on the Limits of the Continental Shelf Summary of recommendations re : Ascension Island   Jump up ^ UN confirms Australia 's rights over extra 2.5 million square kilometres of seabed . Minister for Resources and Energy , The Hon Martin Ferguson AM MP , Media Release , 21 April 2008 . With map of areas .   Jump up ^ `` Ireland extends its underwater territory '' . RTE.ie. 23 October 2007 . Retrieved 27 April 2016 .   Jump up ^ `` Ireland can extend territorial waters '' . The Irish Times . 7 April 2007 . Retrieved 27 April 2016 .   Jump up ^ UN confirms NZ 's extended seabed claim , New Zealand Ministry of Foreign Affairs and Trade . Updated 20 January 2009 . Retrieved 29 May 2009 .   Jump up ^ `` Submission by New Zealand '' . United Nations Commission on the Limits of the Continental Shelf. 8 April 2009 . Retrieved 29 May 2009 .   Jump up ^ Continental shelf of Somalia   Jump up ^ Gronewold , Nathanial . A Peek Inside the U.N. 's Continental Shelf Commission , New York Times , 14 September 2009 .        This article needs additional citations for verification . Please help improve this article by adding citations to reliable sources . Unsourced material may be challenged and removed . ( January 2016 ) ( Learn how and when to remove this template message )     External links ( edit )       Wikimedia Commons has media related to Territorial waters .      UN Convention on the Law of the Sea          GND : 4073860 - 7   NDL : 00569839      Retrieved from `` https://en.wikipedia.org/w/index.php?title=Territorial_waters&amp;oldid=792748307 '' Categories :   Hydrography   Law of the sea   Fisheries law   Maritime boundaries   Administrative territorial entities   Hidden categories :   All articles with unsourced statements   Articles with unsourced statements from October 2013   Articles needing additional references from January 2016   All articles needing additional references   Wikipedia articles with GND identifiers           Talk                                </t>
  </si>
  <si>
    <t xml:space="preserve">how many miles out is considered international waters</t>
  </si>
  <si>
    <t xml:space="preserve"> Territorial waters or a territorial sea , as defined by the 1982 United Nations Convention on the Law of the Sea , is a belt of coastal waters extending at most 12 nautical miles ( 22.2 km ; 13.8 mi ) from the baseline ( usually the mean low - water mark ) of a coastal state . The territorial sea is regarded as the sovereign territory of the state , although foreign ships ( civilian ) are allowed innocent passage through it , or transit passage for straits ; this sovereignty also extends to the airspace over and seabed below . Adjustment of these boundaries is called , in international law , maritime delimitation . </t>
  </si>
  <si>
    <t xml:space="preserve">List of vampire traits in folklore and fiction - wikipedia  List of vampire traits in folklore and fiction  Jump to : navigation , search  The following tables compare traits given to vampires in folklore and fiction . Over time , some attributes now regarded as integral became incorporated into the vampire 's profile : fangs and vulnerability to sunlight appeared over the course of the 19th century , with Varney the Vampire and Count Dracula both bearing protruding teeth , and Murnau 's Nosferatu ( 1922 ) the first vampire to be killed by daylight .   Although Bram Stoker 's novel is the best known vampire fiction of the 19th century , it is the aristocratic figure of Lord Ruthven who is thought to have inspired the elegant and suave creature of stage and film .   The cloak appeared in stage productions of the 1920s , with a high collar introduced by playwright Hamilton Deane to help Dracula ' vanish ' on stage . Lord Ruthven and Varney were able to be healed by moonlight , although no account of this is known in traditional folklore .     Contents  ( hide )   1 Appearance   2 Weaknesses   3 Supernatural powers   4 Reproduction and feeding   5 Setting characteristics   6 See also   7 References   8 Cited texts      Appearance ( edit )     Setting   Skin Colour   Fangs   Reflection   Film   Shadow   Attractiveness / other   When Dead     European folklore   Ruddy or dark   Yes   Varies   ?   Varies   Varies ; historically , bloated corpses were mistaken for vampires   ?     North American folklore   Varies   Retractable   Yes   ?   Yes   Varies   ?     `` The Vampyre '' ( 1819 )   ?   No   ?   ?   ?   Young , seductive , sexual and alluring   ?     Varney the Vampire ( 1845 )   `` White and bloodless ''   Yes   ?   ?   ?   Hideous , but has hypnotizing eyes   ?     Carmilla ( 1871 )   Rich and brilliant   Yes   Yes   ?   Yes   Unearthly beauty   ?     Bram Stoker 's Dracula ( 1897 )   Dracula : pale , female vampires red   Yes   No   ?   No   Dracula : Varies Female Vampires : Beautiful to the point of hypnotic   Dust , except for newborn vampires , who become corpses     Nosferatu ( 1922 )   Pale or dark   Shark / Rodent - like teeth   Yes   Yes   Yes   Hideous / Hairless , and gargoyle / rat - like   Smoke and dust     Dark Shadows ( 1966 )   Ordinary   Retractable   No   ?   Yes   Ordinary   ?     Blade ( film series )   Vampire : Pale / ordinary   Yes   Yes   Yes   Yes   Varies   Dust     Reapers : Pale and mottled   Yes ( Leech - like inner mouth )   Yes   Yes   Yes   Hideous   Dust     Count Chocula ( 1971 )   Tanned   Yes   Yes   ?   Yes   Cartoon person   Chocolate cereal dust     Sesame Street ( 1972 )   Lavender   Yes   No   ?   Yes   Muppet   ?     Dungeons &amp; Dragons ( 1974 )   Pale   Yes   No   ?   No   Ordinary , they have a predatory look compared to normal humans   ?     Blade ( 1973 )   Ordinary / Pale   Yes   Yes   ?   Yes   Ordinary , but often somewhat above average   ?     Ultraviolet ( 1998 )   Ordinary / Pale   Yes   No   ?   Yes   Ordinary but often somewhat above average   ?     Anne Rice 's Vampire Chronicles ( 1979 )   Pale , smooth , marble - like , gets whiter with age   Yes   Yes   ?   Yes   All are beautiful . The transformation enhances their beauty . The older and stronger they get , the less human they look but still remain beautiful .   Dust     Bunnicula ( 1979 )   Furry   Yes   No   ?   Yes   Adorable to all , intimately only with other rabbits   ?     The Hunger ( 1981 )   Pale   No   Yes   ?   Yes   Alluring   ?     Count Duckula ( 1983 )   Green   Sometimes   No   ?   No   Cartoon duck   ?     Vampire Hunter D ( 1983 )   Pale   Yes   No   ?   Yes ( No in original novels . Dhampir shadow is faint )   Possess a strange unearthly beauty   ?     Necroscope ( 1986 )   Pale   Yes   Yes shows true self   ?   Yes   Can make themselves beautiful or hideous   ?     The Lost Boys ( 1987 )   Full vampires : Ordinary , a little pale   Retractable   No   ?   Yes   Ordinary . Become quite ugly when about to attack and fangs appear .   ?     Half - vampire ( pre-turning ) : Ordinary   Gradually gain   No   ?   No   As in life   ?     The Little Vampire ( TV series , 1986 )   Pale   Yes   Yes   ?   Yes   Alluring   ?     The Vampire Diaries ( Novel and television series )   Ordinary   Retractable   Yes   ?   Yes   Alluring . Typically beautiful ( true vampire face is shown while feeding , by force of will or thinking about blood ; blood vessels under and around the eyes swell and protrude from the face , the eyes become bloodshot until the sclera becomes dark red , fangs grow and extend )   Gray corpse with swelled superficial veins protruding from the entire body ( TV series ) ; regular corpse ( most vampires in books ) ; dust ( very old vampires in books )     World of Darkness ( 1992 )   Varies   Retractable   Yes - Lasombra , however , do n't have them   Yes for those with a reflection , No in other cases   Yes   Varies by bloodline , individual , and discipline . Most notably , Nosferatus are hideously deformed , while Toreadors are beautiful .   Dust     Buffy the Vampire Slayer ( movie ) ( 1992 )   Pale   Yes   No   ?   Yes   Ordinary   Dust     Forever Knight ( 1992 )   Pale   Retractable   Yes   ?   Yes   Ordinary   ?     Discworld ( 1992 )   Pale   Yes   No   ?   ?   Alluring   Dust , can be revived with blood     Anita Blake : Vampire Hunter ( 1993 )   Pale   Yes   Yes   ?   Yes   Ordinary , but some bloodlines seem to get more attractive with age , some less , and many vampires are attractive as this was the reason they were sired   ?     Preacher ( 1995 )   Pale   No   Yes   ?   Yes   Ordinary ( except eyes )   ?     Legacy of Kain ( 1996 )   Varies   Yes   Yes   ?   Yes   Ancient vampires were alluring while human turned vampire evolutions became more grotesque .   ?     Night World ( 1996 )   Pale   Retractable   Yes   Yes   Yes   Alluring ; in anticipation of feeding , a vampire 's eyes grow silver in color and reflective ( in the case of a vampire with yellow eyes , the combination of yellow with the silvery hue will render their eyes golden in appearance ) , their lips redden as blood rushes to them , and their canine teeth will further lengthen , usually to the level of their lower lip , though a vampire can retract these fangs at will , or when put off of feeding .   Corpse     Hellsing ( 1997 ) ( 2006 -- 12 )   Ordinary   Yes   No   ?   Yes   Alluring , some Vampires like Alucard can have maw of sharp teeth   Burn in blue flames or turn to dust     Buffy the Vampire Slayer TV series ( 1997 )   Ordinary   Yes   No   Yes   Yes   Can appear as normal humans ; however , when feeding or angry , they reveal their true vampire visage where their eyes turn yellow , their eyebrows are gone and they grow fangs and pointed teeth . Extremely old vampires are unable to take a human face .   Turn to dust , including clothing     Night Watch ( 1998 )   Ordinary   Retractable   Yes , even if the vampire himself turns invisible   ?   Yes   Ordinary   ?     John Carpenter 's Vampires ( 1998 )   Pale   Yes   Yes   ?   Yes   Ordinary   Catch on fire , then turn to dust     Den of Shadows   Pale   Yes   Faint reflection that disappears with age   ?   Yes   Beautiful   ?     The Little Vampire ( film , 2000 )   Pale   Yes   Yes   ?   Yes   Alluring   ?     The Saga of Darren Shan ( 2000 )   Ordinary or pale ; purple for vampaneze subrace   No   Yes   Cannot be recorded on film ( vampire ) or are blurry on film ( half - vampire )   Yes   Ordinary , but vampaneze subrace become swollen and discolored from overfeeding   ?     30 Days of Night ( 2002 )   Pale   Yes   Yes   ?   Yes   Steve Niles mentioned that they have an alien - like appearance . They are also described as being gruesome yet attractive .   ?     Let the Right One In ( 2002 )   Pale   Retractable   Yes   ?   Yes   Ordinary , but appearance will deteriorate if deprived of blood . The appearance can also morph , and vaguely implied to be able to sprout wings .   ?     Moon Child ( 2003 )   Ordinary   ?   ?   ?   Yes   Ordinary , but some are above average   ?     Underworld ( 2003 )   Pale   Retractable   Yes   ?   Yes   Ordinary ( irises can turn blue or gold , depending on the vampire )   ?     Chibi Vampire / Karin ( 2003 )   Pale   Yes   Yes   ?   Yes   Ordinary   ?     Van Helsing ( 2004 )   Pale   Retractable   No   ?   Yes   Above average when in human form , but they turn into a winged bat / demon - like creature , which is possibly their true appearance .   Bones     Supernatural ( 2005 )   Ordinary   Retractable   Yes   ?   Yes   Ordinary   Corpse     Batman &amp; Dracula   Pale   Yes   No   ?   Yes   Grotesque , humanoid gargoyle   ?     Twilight ( 2005 )   Pale , harder than diamonds , sparkles in sunlight   No , their teeth are sharp and serrated and coated in venom , but not pointed   Yes   Yes   Yes   Usually alluring , inhumanly beautiful   Corpses can attempt to reconstruct themselves , unless burnt to ash .     Frostbiten ( 2006 )   Pale   Fangs grow longer when attacking people   No   ?   Yes   Ordinary , but the `` pill - vampires '' turn monstrous when attacking people , while the supervampire shapeshifts into a demonic creature to hunt . The original vampires look human all the time . All the vampires have orange eyes that turn red when their bloodlust is awakened . The vampires also have exposed veins .   ?     Young Dracula ( 2006 )   Pale   Retractable   Lost after age of 16   Implied that only digital cameras work   Yes   Varies   Dust     JoJo 's Bizarre Adventure   Ordinary   Varies   Yes   ?   Yes   Varies   ?     Vampire Academy ( 2007 )   Pale   Yes   For the Moroi , yes . For the Strigoi , no .   ?   Yes   Moroi are beautiful and Strigoi are beautiful too , but have red - ringed iris around their pupils   ?     House of Night ( 2007 )   Blue Vampyres : Pale with sapphire markings   Yes   Yes   ?   Yes   Alluring   ?     Red Vampyres : Pale with red markings   Yes   Yes   ?   ?   Depends : red fledglings are described as gross , but once they choose to be good and become an adult they can be alluring   ?     Blindsight ( 2007 )   Pale   Yes   Yes   Yes   Yes   Tall , with a `` predatory appearance '' ; baseline humans possess an instinctive panic response to them .   ?     True Blood ( 2008 )   Pale   Retractable   Yes   Yes   Yes   Ordinary , but humans can develop more attraction to them by drinking their blood , and also with the power to `` Glamour '' ordinary humans into enticement   Black dust or bloody pulp     Being Human ( BBC ) ( 2008 )   Ordinary   Retractable   No   Do not appear on film or video   Yes   Ordinary ( entire eyes can turn pitch black , usually while fangs are extended )   Body and clothing turn to dust / ash     Being Human ( Syfy )   Ordinary   Retractable   Yes   Yes   Yes   Ordinary ( entire eyes can turn pitch black , usually while fangs are extended )   Body and clothing turn to dust / ash     Moonlight ( 2008 )   Ordinary   Retractable   Yes   ?   Yes   Ordinary , but many are above average   ?     The Parasol Protectorate ( 2009 )   Pale   Yes   ?   ?   ?   Ordinary   ?     Abraham Lincoln , Vampire Hunter ( 2010 ) novel and film   Pale / White / Grey   Retractable   Yes   ?   Yes   Very Beautiful . Eyes turn partially or completely black when the vampire is enraged / In the film , the skin can turn grey and mottled , the nails , teeth and jaws becomes animalistic and the eyes can turn partially or completely black ( while the vampire can also become more pale or chalk white with reddish , bloodshot eyes ) .   ?     Daybreakers ( 2010 )   Ordinary   Yes   No   ?   ?   Normal , but with pallid skin and yellow eyes . However , if deprived of blood they become deformed , their ears grow , they lose their hair , grow claws and wings and become bat - like creatures called `` Subsiders '' .   ?     American Vampire ( 2010 )   Old World bloodline : pale   Yes   ?   ?   ?   Slightly distorted   ?     American bloodline : as when alive   Yes   Distorted   ?   ?   Usually normal , but severely distorted and animalistic when enraged   ?     The Dresden Files   White court : ordinary   No   Yes   ?   Yes   Extremely attractive   ?     Red court : ordinary when human   Yes   ?   ?   ?   Slimy and batlike , but with an attractive human `` costume ''   ?     Black court : corpse - like   No   No   ?   ?   Corpselike   ?     The Sims   Varies , depending on original race   Yes   No   Yes   Yes   Normal   Dust     Touhou   Pale   Yes   Unknown , probably yes   Yes   Unknown , probably yes   Normal , but with red or yellow eyes and wings   ?     Fright Night ( 1985 , 2011 )   Ordinary / Pale   Yes   No   ?   ?   Somewhat attractive . Demonic / goblin / gargoyle - like when enraged or in pain   Catch on fire / burn to embers     Marvel Comics   Pale / grey / white   Yes   No   ?   ?   Varies from ordinary to demonic / goblin / gargoyle - like   ?     We Are the Night ( 2010 )   Pale   Yes   No   ?   Yes   Transformation turns them into the peak of their beauty   ?     Blood : The Last Vampire   Gray , except for Saya who is ordinary   Except for Saya   Yes   Yes   Yes   Saya is ordinary , the other Chiropterans are monstrous , but can look like normal humans .   ?     Blood+   Ordinary , except fail chiropterans that have gray skin   Only fail chiropterans and Chevaliers when they shape shift   Yes   Yes   Yes   Ordinary , except for fail chiropterans that are monstrous   ?     Trinity Blood   Methuselahs : varies   Yes   Yes   ?   Yes   Beautiful   ?     Crusniks : pale , except Lilith   Retractable   Yes   ?   Yes   Varies   ?     DC Comics   Pale   Yes   No   ?   Yes   Varies   ?     Sanctuary   Ordinary   Full Vampires : Yes Half - Vampires : No , teeth become serrated during transformation .   Yes   ?   Yes   Varies   ?     Rosario + Vampire   Ordinary   Yes   Yes   Yes   Yes   Beautiful , unless they absorb other monsters , in which case they became monstrous   Corpse     Charmed   Ordinary   Yes   ?   ?   Yes   Ordinary   Catch on fire     Wizards of Waverly Place   Pale   Yes   No   ?   Yes   Beautiful   ?     Gantz   Ordinary   No   Yes   ?   Yes   Ordinary   ?     Adventure Time   Blue - gray   Yes   No   ?   Yes   Described as `` sexy '' , mostly Marceline .   Suffer from horrific pimple - like bumps and burn to dust .     Vampire Knight   Pale   Yes   Yes   ?   Yes   Beautiful , except for the Level E Vampires , which resemble weak and disheveled humans   Sand / dust for all but the Purebloods who turn to glass and shatter into particles     Castlevania series   Pale / Grey   Yes   In Castlevania : Lords of Shadow , they do not have reflection .   ?   Yes   The Elder Vampires are beautiful , while the Vampire Warriors are bat - like creatures because they do n't know how to shapeshift .   ?     Split   Pale   Yes   If a vampire were to look into a mirror , their soul would be imprisoned in it . Breaking the mirror causes the vampire 's soul to `` break '' , killing the vampire .   ?   Yes   Beautiful   ?     Tsukihime   True Ancestors : ordinary   No   Yes   ?   Yes   Ordinary   ?     Dead Apostles : pale   Yes   Yes   ?   ?   Ordinary , but their bodies are in constant degeneration .   ?     Stargate   White , green or blue   No   Yes   ?   Yes   Hideous   ?     Hollows   Living Low Blood : ordinary   No   Yes   ?   Yes   Ordinary   ?     Living High Blood : pale   Yes   ?   ?   ?   Beautiful   ?     Undead : pale   Yes   ?   ?   ?   Beautiful   ?     Black Blood Brothers   Vampires are ordinary , but the Kowloon Children are pale .   Yes   Yes   Yes   Yes   Vampires are ordinary , but Kowloon Children have a feral and monstrous appearance .   Dust     Stephen King   Type One : yellow   Yes   No   ?   Yes   Extremely deformed   ?     Type Two : pale   Yes   No   ?   Yes   Beautiful   ?     Type Threes : ordinary   Yes   ?   ?   Yes   Ordinary   ?     Vampirella   Ordinary   Yes   ?   ?   Yes   Inhumanly beautiful   ?     The Elder Scrolls   Pale   Yes   Yes   ?   Yes   Feral - looking versions of humans ; however , they can look more human if they drink human blood . Vampire Lords can assume a bat - like appearance .   Corpse , but gradually crumbles to dust     My Babysitter 's a Vampire   Full vampires : ordinary   Retractable   No   No   ?   Ordinary , but when angry , or about to fight someone their fangs grow , and their eyes either glow a yellowish color or a dark blueish purple color .   ?     Fledgling : ordinary   Yes   Faded , or murky   No   ?   As in life   ?     The Librarian   Pale   Yes   ?   ?   Yes   Old vampires are ordinary in appearance , but new ones are hideous .   ?     David Wellington   Pale   Yes   ?   ?   ?   Hideous   ?     Darkstalkers   Pale   Yes   ?   ?   Yes   His true form is demonic , but he can change into human form .   ?     The Historian   Pale   Yes   ?   ?   Yes   Varies , but new vampires look like sick people   ?     Itsuka Tenma no Kuro Usagi   Ordinary   Retractable   ?   ?   Yes   Very attractive   ?     Montgatari series   Vampire : pale   Yes   No , although the more powerful ones like Kiss - Shot can generate their own reflections   ?   No   Varies , but are generally beautiful .   Corpse , although their remains would turn into ashes after a certain period of time     Jiangshi : Like rotting corpses   ?   ?   ?   ?   Look like corpses during the Rigor mortis phase   ?     Saga of the Noble Dead   Pale   Yes   ?   ?   Yes   Kind of beautiful   ?     Doctor Who   Great Vampires : grey   Yes   ?   ?   Yes   Bat - like creatures   ?     Vampires : pale   Yes   Yes   ?   Yes   Ordinary   ?     Dance in the Vampire Bund   Pale   Yes   ?   ?   Yes   Different monstrous form , but they can look human   ?     BloodRayne   Pale   Yes   ?   ?   Yes   They come in all shapes and sizes   ?     Vamp   Pale   Yes   No   ?   Yes   Ordinary   ?     Vamps   Pale   Yes   No   ?   Yes   Ordinary   ?     The Strain   Pale   No   In silver - backed mirrors their image is blurred and distorted   ?   Yes   Horrible   ?     Blood Alone   Pale   Yes   No   ?   ?   Beautiful   ?     Anno Dracula series   Pale   Yes   No   ?   ?   Varies depending on the bloodline   ?     Hotel Transylvania ( 2012 )   Ordinary   Yes   No   ?   Yes   Varies   ?     Vampireology   Pale , becomes paler the longer a vampire goes without feeding   Yes   Reflection becomes less opaque the longer a vampire goes without feeding .   ?   Yes   Belial : three horns on their heads Ba'al : short and goblinlike Moloch : bull - like head , hooves and claws   ?     Blood Moon   Pale   Yes   Yes , but their eyes reflect black instead of red   Yes , but their eyes are depicted as black instead of red   Yes   Ordinary but often somewhat above average   ?     Shadowspawn series   Normal   Serrated teeth , but no fangs   ?   ?   ?   Beautiful ; yellow eyes when night - walking   Corpse ; if post-corporeal , nothing     Shadowrun   Pale   Yes   Yes   Yes   Yes   Ordinary , although the Nosferatu strain are generally bald and kind of ugly   Corpse     AdventureQuest   Same as in previous life   Yes   ?   ?   ?   Same as in previous life   ?     Vampire in Brooklyn   Normal   Retractable   No   ?   Yes   Likely greater as happened with Julius Jones at the end   ?     The Shadowhunter Chronicles ( The Mortal Instruments )   Pale   Retractable   Yes   ?   Yes   Beautiful / emaciated ( true appearance has protruding veins and yellow eyes in film )   ?     Penny Dreadful   Pale   Shark - like teeth   ?   ?   Yes   Master vampires are hideous , hairless , and have blood - red eyes but infected vampires are ordinary with blood - red eyes .   ?     Kate Daniels novels   ? ( Frequently wearing purple sunblock )   Yes   ?   ?   ?   Emaciated , increasingly inhuman with age , eventually quadrupedal   ?     From Dusk till Dawn   Pale , with scales or flaked skin   Yes   ?   ?   Yes   Not only manifest in a human form , but monstrous with reptilian , bat or rat characteristics   Turns to desert - like dust     Monster High   Pale   Yes   No   There 's an app that does get them to show up on film .   Yes   Beautiful , but have pointy , elf - like ears   ?     inFamous : Festival of Blood   Pale   Yes   ?   ?   Yes   Bloody Mary is beautiful , but her true form and her underlings are monstrous with bat / rat like traits ; Firstborns can take on a human appearance   Dust     Kitty Norville novels   ?   Yes   Normally present , but they can alter this   Normally present , but they can alter this   ?   As in life   Decay rapidly , as if the body had been rotting since it became a vampire ; older vampires become dust . Clothing / immediate surroundings also affected . Sun - exposed vampires become ash .     American Horror Story : Hotel   Ordinary / pale   No   ?   ?   Yes   Ordinary but often somewhat above average   Corpse     Tsukuyomi : Moon Phase   Pale   Yes   Yes   Yes   Yes   Alluring   Dust     Vampire Cheerleaders   Pale   Retractable   Yes   Yes   Yes   Beautiful , although their eyes turn blood - red when about to feed or when angry   ?     Innistrad   Pale   Yes ; fangs extend an extra quarter inch when biting   Yes ; silver reflects their original mortal self , ignoring their true vampiric appearance and their glamour   ?   Yes   Ordinary ; their sclera are black and the irises gold , silver , or other colors ; their skin is cool to the touch ; their hair is often black but can also be deep purple , dark magenta , burgundy , or even dark blue - green ; vampires also tend to have long and slightly curved fingernails   ?     Blood Lad   Pale   Yes   Yes   Yes   Yes   Ordinary , but with razor sharp teeth   Corpse     Shiki   Pale   Yes   Yes   Yes   Yes   Varies   Burned corpse     Warhammer   Pale   Yes   No , although some do retain their reflections   ?   No , although some do retain their shadows   Varies ; the Lahmians and Von Carsteins are attractive unless they give in to their bloodthirst , eventually devolving into a vargulf ; the Blood Dragons are disheveled ; the Strigoi and Necrachs are both horrifying   Corpse     Seraph of the End   Pale   Yes   Yes   Yes   Yes   As in previous life , although their eyes turn blood - red and their ears become pointed once they consume human blood for the first time and become a full vampire   Dust     Interviews with Monster Girls   Pale   Yes   Yes   Yes   Yes   Ordinary   ?     The Witcher   Varies greatly by subspecies , from normal to pale to dark gray   Yes   No   ?   No   Varies by subspecies , from monstrous and bat - like to human - like ; some can appear entirely human   Corpse     The Adventures of Dr. McNinja   Pale   Yes   No   No   Yes   Varies ; human vampires resemble stereotypical Gothic vampires ( long hair , angular faces , etc . )   Dust     Weaknesses ( edit )       This section needs additional citations for verification . Please help improve this article by adding citations to reliable sources . Unsourced material may be challenged and removed . ( June 2010 ) ( Learn how and when to remove this template message )     A `` Yes '' indicates a weakness to something , with fatal weaknesses being marked as such . Entries which are marked as `` No '' are not seen as weaknesses . `` ? '' indicates a lack of information on whether this is a weakness or not ; other indicates weaknesses that do not fit in one of the other categories .     Setting   Stake   Sunlight   Decapitation   Drowning   Fire   Silver   Garlic   Holy Symbols   Running Water   Invitation   Arithmomania   Other     European Folklore   Fatal ; ash , hawthorn , or oak is preferred   Nocturnal   Fatal   Yes , but they will revive once removed   Fatal   Some   Yes   Yes   Yes , but they will revive once removed   No   Yes   Various regional herbal weaknesses such as plants / woods of the hawthorn family , aspen , oak , ash , maple , dogrose , wild rose , holly , juniper , millet , linden , mayflower , roses , lemon , rowan , and wolfsbane     North American folklore   Yes   Yes   Yes   No   Yes   Yes   Yes   Yes   No   Yes   No   ?     `` The Vampyre ''   Fatal   Healed by moonlight   ?   ?   ?   ?   ?   ?   ?   ?   ?   ?     Byzantium   ?   Nocturnal   Fatal   No   Fatal   ?   ?   No   No   Yes   No   ?     Daybreakers   Fatal   Fatal   Fatal   No   ?   No   No   No   No   No   No   A failed human blood substitute caused the vampire who was injected with it to convulse and explode .     Young Dracula   Fatal   Fatal   ?   ?   Fatal   No   Burns their skin   Avoided , effect is unclear   Yes   Yes   Often   Destroying a Blood Mirror turns the entirety of the clan into humans and kills the old vampires .     Varney the Vampire   ?   Healed by moonlight   ?   ?   Commits suicide in Mount Vesuvius   ?   ?   No   No   ?   ?   ?     Carmilla   Fatal   Only weakened during daylight hours   Fatal   No   ?   ?   ?   Aversion to holy relics / charms   ?   Yes   ?   ?     Bram Stoker 's Dracula   Fatal ; white oak preferred   Only weakened during daylight hours , though not at midday ( at which time of day he becomes stronger )   Fatal   No   Fatal   No   Yes   Yes   Yes   Yes   No   Dracula has the mind of a child and is very obsessive ; his own psychic powers can be used to hunt him .     Night World   Fatal , but only if made of wood   No , but it greatly weakens their powers   Fatal   No   Fatal   No   No   No   No   No   No   Spells and the telepathic attacks of other vampires can cause them harm ; a prolonged abstinence from blood can lead to asphyxiation and possibly death .     Nosferatu   Fatal   Fatal   ?   No   ?   ?   ?   Yes   Yes   No   ?   ?     Anne Rice 's Vampire Chronicles   No   Fatal , although elder vampires have a much greater tolerance   Fatal , but they can be revived if the head and body are brought back together before bleeding out .   No   Fatal , although elder vampires have a much greater tolerance   No   No   No   No   No   No   Blood from an already - dead creature induces temporary deathlike state .     Count Chocula   ?   No   ?   ?   ?   ?   ?   ?   No   No   No   Gets soggy in milk     Sesame Street   ?   Enjoys sunlight , sleeps at night   ?   ?   ?   No   ?   ?   No   ?   Yes   ?     Batman &amp; Dracula   Fatal   Fatal   Fatal   No   Fatal   Yes   Yes   Yes   Yes   Yes   No   ?     Van Helsing   Dracula : no   No   Yes   ?   No   No   No   Not fatal   ?   ?   ?   Werewolf bite     Others : Fatal . Must be wood or silver   Yes   Yes   ?   No   ?   ?   Fatal .   ?   ?   ?   ?     Twilight   No   It causes them to sparkle   It paralyzes them , but it is n't fatal   No   Fatal   No   No   No   No   No   No   ?     Dungeons &amp; Dragons   Fatal , but will recover if the stake is removed   Fatal , will survive very short exposure   Fatal   No   ?   Yes   Keeps them at bay   Keeps them at bay   Fatal , will survive short exposure   Yes   No   ?     Blade   Vampires : Fatal   Fatal   Fatal   Fatal   Fatal   Yes   Yes   No   No   No   No   They also can be killed by EDTA and the Daystar virus .     Reapers : Yes   Yes   No   No   No   No   No   No   No   No   No   Their bodies start to consume themselves if they are unable to feed for a couple of hours .     Untraviolet   Fatal   Fatal   Fatal   No   Fatal   Yes   Keeps them at bay   Psychosomatic   No   No   No   Charcoal     30 Days of Night ( 2002 )   No   Fatal , although when blood touches their ashes they will regenerate   Fatal   No   Fatal   No   No   No   No   No   No   ?     Bunnicula   ?   Nocturnal   ?   ?   ?   ?   Yes   ?   ?   ?   ?   ?     The Hunger   ?   ?   ?   ?   ?   ?   ?   ?   ?   ?   ?   ?     Count Duckula   Fatal   Fatal ( although the incarnation featured in the series is immune to sunlight )   No   No   No   No   No   No   No   No   ?   ?     Vampire Hunter D   Fatal   Yes   Fatal , but only if the head and body are not joined back together within ten minutes   Immobilizes   ?   No   Yes   Yes   Immobilizes   No   No   Iron weapons can bypass their healing and resurrection powers and if a wound caused by an iron weapon is left untreated , it can begin to fester and rot .     Abraham Lincoln , Vampire Hunter   Only if made of silver   Exposure to daylight weakens them , but after a few years they begin to develop a resistance towards it , although their eyes will still react the same .   Fatal   No   Fatal   Yes   No   No   No   No   No   If a weapon made of silver were to deal a wound that would be fatal for a human , then it will slay the vampire .     The Lost Boys   Fatal   Fatal   Fatal   No   ?   Fatal through the heart   No   Holy water is fatal in large quantities .   ?   Invitation makes vampire immune to weaknesses and vampire characteristics   No   ?     The Little Vampire   Fatal   Fatal   Yes   No   Yes   No   No   Yes   No   No   No   ?     The Vampire Diaries   Novels : Yes   Fatal . A special ring protects them .   Yes   No   Yes   No   No   Boosts mental resistance if the user truly believes it works   Yes . It 's worse for stronger vampires .   Yes   No   Heart extraction . Prolonged period without feeding .     TV series , Originals : only a stake made of white wood or its ashes   No   No   No   No   No   No   No   No   Yes   No   When an Original dies , all vampires in their blood line also die .     TV series , others : Fatal   Fatal . Daylight ring protects them   Fatal   No   Fatal   No   No   No   No   Yes   No   Heart extraction . Werewolf bite ; Vervain and some magical objects weaken them .     House of Night   Blue Vampyres : Fatal   No   Fatal   Fatal   Fatal   No   No   No   No   No   ?   If they don ` t pass the Change when they are fledglings , sometimes they die .     Red Vampyres : Fatal   Fatal   ?   ?   Fatal   ?   ?   ?   No   Yes   ?   If they don ` t pass the Change when they are fledglings , sometimes they die .     Buffy   Fatal , but only if made of wood . Older vampires require larger amounts of wood .   Fatal Special ring protects them   Fatal   No   Fatal   No   Shown as a prop on - screen , but never utilized   Yes   No   Yes   No   Some poisons and drugs can affect them .     Discworld   Fatal   Fatal   Fatal   Fatal   Fatal   Yes   Yes   Yes   Yes   Yes   No   Scattering their dust , post mortem , prevents them from being revived .     True Blood   Fatal , but only if made of wood   Fatal ; younger vampires can survive short exposure , older vampires have lower tolerances ; Fae / Fairy blood can eliminate weakness to sun for a short period .   Fatal   No   Fatal   Yes   No ( mild irritant )   No   No   Only in private residences owned by humans   No   Hepatitis D and Maenad Blood can weaken them .     Let the Right One In   Fatal   Fatal   Fatal   No   Fatal   No   No   No   No   Fatal , if invite remains absent for long enough   Implied   Blood with cancer hurts them , but it is still nutritious .     Preacher   No   Fatal   Fatal   No   Fatal   No   No   No   No   No   No   ?     Vampire Academy   ?   Makes them feel uncomfortable   Yes   ?   ?   No   No   No   No   No   No   Anything that would kill a human     Strigoi : Fatal if silver and charmed with air , fire , earth and water magics . Turns the Strigoi into a Moroi if silver and charmed with spirit .   Burns them , but is n't fatal   Fatal   No   Fatal   Yes   No   Yes   No   No   No   ?     American Vampire   Old World bloodline : Fatal   Fatal ; ameliorable with protective measures   Fatal   Immobilizes   Fatal   Yes   ?   No   Immobilizes   No   No   ?     American bloodline : Fatal , but only gold stakes   No ; possible dependency on moonlight -- torpid and vulnerable during new moon   Fatal   No   Fatal   Gold   No   No   No   No   No   ?     Anita Blake : Vampire Hunter   Fatal   Generally fatal ; some vampires are immune   Fatal   No   Fatal   Yes   Yes   Any religious iconography if wielded by a true believer   No   Yes   No   ?     Hellsing   Fatal , except for Alucard   Non-fatal , but they find it extremely unpleasant   Fatal , except for Alucard   No   Fatal , except for Alucard   Blessed silver only weakens Alucard , but will kill other vampires .   Yes   It weakens them , but is non-fatal .   Yes   No   No   ?     The Saga of Darren Shan   Fatal   Highly susceptible to sunburns , eventually fatal   Fatal   Fatal   Fatal   No   No   No   Superstitious   No   ?   The blood of snakes , rats , and cats are poisonous to them .     World of Darkness   Immobilizes   Fatal ; certain disciplines can make them resistant or immune   Usually fatal   No   Fatal ; certain disciplines can make them resistant or immune   Immune unless with flaw   Immune unless with flaw   Immune unless with flaw or when wielded by someone with true faith   Immune unless with flaw   Immune unless with flaw   Only if with flaw   ?     Being Human ( BBC )   Yes ( only way to permanently kill a vampire )   No ( more sensit</t>
  </si>
  <si>
    <t xml:space="preserve">what is it called when a vampire hypnotizes you in vampire diaries</t>
  </si>
  <si>
    <t xml:space="preserve">   Setting   Immortal   Enhanced Strength   Enhanced Senses   Enhanced Speed   Unnatural Healing   Flight   Shapeshifting / Absorption   Psychic Powers   Psychokinesis   Pyrokinesis   Other     European Folklore   Implied   Yes   Yes   Yes   Yes   Some   Yes   Some   Some poltergeist - like activity   No   Various other powers based upon region such as control over nocturnal animals or the ability to spread plagues     North American folklore   Yes   Yes   Yes   Yes   Yes   Some   Nocturnal animals and mist   Yes   No   No   ?     Daybreakers   Yes   No   Enhanced senses of smell   No   Yes   No   No   No   No   No   If they abstain from blood for too long they mutate into Subsiders .     Varney the Vampire   Yes   Yes   ?   ?   Regenerates in moonlight   ?   ?   Yes   ?   No   ?     Carmilla ( 1871 )   Implied   Yes , grip can paralyze limbs temporarily   ?   Yes   Powers are enhanced in moonlight   ?   Monstrous cat   ?   ?   ?   Becomes incorporeal at will ( vanishes , goes through solid barriers / doors )     Bram Stoker 's Dracula   Yes   Yes   Yes   Yes   Limited ; Dracula still possessed a scar where Harker had struck him with a shovel months ago   Yes   Wolf , bat ( also giant bat ) , dust , fog - possibly dog as well . Can also impersonate Jonathan Harker . Can impersonate a coachman and a doorman ( though it is not known if he only used darkness to disguise himself or a little magic as well in addition to that darkness )   Yes , the hunters track Dracula through his telepathic link with Mina .   Improbable , as he would then have carried his boxes on his own ( though he might still have been too weak to use that hypothetical magical power )   Plausible , since he started a massive fire and the characters who were not present when he did it simply had to guess he may have used a match , but they can not prove anything   Control of nocturnal animals , wolves and rats mentioned specifically . At least one vampire ( if not all ) is able to shrink to fit under a door . Hypothetical array of other powers ( due to former magical scholarship - undocumented , and very briefly mentioned by Dr. Van Helsing ) ; lizard - like climbing abilities     Nosferatu   Yes   Yes   ?   Yes   Yes   ?   Wolf   ?   Yes   No   Rats and plague follow the vampire .     Van Helsing   Yes   Yes   Yes   Yes , but it resembles teleporting   Yes   In winged creature form   Winged bat / demon - like creature   ?   No   No   Vampires can walk on walls and ceilings .     Anne Rice 's Vampire Chronicles   Yes   Yes   Yes   Yes   Yes   Extremely old vampires   No   Most   Very old vampires   Very old vampires   Most are able to walk on walls and ceilings . Children of the Millennia can cause blood vessels to rupture . All vampires have enhanced memories .     Twilight saga   Yes   Yes   Yes   Yes   Yes   No   No   Gifted   No   Gifted   Gifted vampires can have a variety of different abilities .     Buffy   Yes   Yes   Yes   Yes   Yes   No   Only Dracula   Gifted   No   No   ?     Blade   Yes   Yes   Yes ; vampires can also see in ultraviolet   Yes   Yes ; also , Frost / La Magra merger regenerates lost limbs instantly ( see `` other '' )   No   Only Dracula and La Magra , the latter can shed his skin , turning into a ball of fire to methodically stalk his prey ( gained from the Ligaroo tribe ) .   Only La Magra , which can control minds , matter and the elements ( gained from the Faustinas tribe ) .   No   No   Deacon Frost , when merged with La Magra was impervious to silver , is able to day - walk due to Blade 's blood , and can instantly turn any human in his path into vampires .     Ultraviolet   Yes   Yes   Enhanced sense of smell   Yes   Yes   No   No   No   No   No   ?     30 Days of Night ( 2002 )   Yes   Yes   Yes   Yes   Yes   No   Yes   Yes   No   No   ?     Discworld   Yes   Yes   Yes   Yes   Can be resurrected from ashes   As a bat or as a `` human ''   Yes   Yes   No   No   Overcome inherent weaknesses with psychological conditioning     Batman &amp; Dracula   Yes   Yes   Yes   Yes   Yes   Yes   Yes   Yes   No   No   ?     Vampire Academy   Only the Strigoi   Yes   Yes   Only the Strigoi   Spirit users can heal .   No   Yes   Some , not all .   No   Vampires that are fire users .   All Moroi have an extra power : water , earth , air and sometimes spirit .     True Blood   Yes   Yes   Yes   Yes   Yes   Gifted   Only if they had the power before they turned .   Can `` glamour '' humans , erase memories and bend their will   Gifted   No   Standard : Eidetic memory , voice imitation , maker abilities ( calling , commanding , empathetic link , and releasing ) ; Unique Powers : advanced vampiric abilities , advanced progeny calling , astral projection , blood abilities , advanced glamour , haemokinesis , intangibility , invisibility , precognition , self - control , species detection , telekinesis , teleportation , and immunity to stakes , fire , silver , and invitations ; vampire blood can heal humans and has numerous drug - like qualities .     The Little Vampire   Yes   Yes   Yes   Yes   Yes   Yes   Yes   Yes   Yes   No   Can climb any surface and may hang from the ceiling to sleep     The Vampire Diaries   Novels : Yes   Yes   Yes   Yes   Yes   Yes   Yes   Yes   No   Yes   They can control the elements , animals and the weather .     Television series : Yes   Yes   Yes   Yes   Yes   Only in the first episode ; retconned soon after   No   Vampires can compel humans . Originals can compel vampires , vampire / werewolf hybrids and humans .   No   No   Dream manipulation ; vampire blood heals humans ; can `` turn off humanity ''     Count Chocula   Yes   Yes   No   Yes   ?   Yes   Bat   No   Able to levitate marshmallows   Electrokinesis   Turns into milk chocolate , 15 vitamins and minerals     Count Duckula   ?   No   No   No   No   No   Yes   ?   No   No   Teleportation     Vampire Hunter D   Yes   Yes   Yes   Yes   Yes   Gifted   Some can turn into mist .   Yes   Gifted   Gifted   Various other powers that vary greatly between individual members of the Nobility .     Sesame Street   Yes   No   ?   No   ?   No   No   Hypnosis , now discontinued   ?   Can generate thunder by counting   Preternatural counting abilities     Let the Right One In   Yes   Yes   Yes   Yes   Yes   Yes   Limited   Sending memories through kiss   No   No   Are able to walk on walls     Young Dracula   Yes   Yes   Yes   Yes   Yes   Yes   Yes   Yes   Yes   Yes   They have other abilities , like weather manipulation , among others .     Preacher   Yes   Yes   Yes   Yes   Yes   No   Limited   Yes   No   Some   Ability to walk on walls and ceilings , briefly read the minds of those they drink from , other unspecified abilities     American Vampire   Old World bloodline : Yes   Yes   Yes   Yes   Yes   No   Gifted bloodlines   Gifted bloodlines   No   No   ?     American bloodline : Yes   Yes   Yes   Yes   Yes   No   No   No   No   No   ?     Hellsing   Yes   Yes   Long range vision   Yes   Yes   Yes   Yes   Yes   Yes   ?   Powerful vampires can pass through walls , shadow and blood manipulation , can summon the souls of those he has previously consumed .     Anita Blake : Vampire Hunter   Yes   Yes   Yes   Yes   Yes , but wounds from silver heal slowly . Holy water inhibits healing .   Gifted   Rare   Telepathy is stronger after biting , can enthrall with eyes   Gifted   Gifted   Call animals , drain power from sired vampires , rot without damage ( dependent on bloodline )     World of Darkness   Yes   Gifted   Gifted   Gifted   Yes   Gifted   Gifted   Gifted   Gifted   Gifted   Vast number of potential Disciplines ; consumption of a vampire 's blood three times causes blood bonding , an imposed state of intense love .     Being Human ( BBC )   Yes   Yes   Enhanced sense of smell   Yes   Yes   No   No   Gifted   No   No   ?     Being Human ( Syfy )   Yes   Yes   Yes   Yes   Yes   No   No   Yes   No   No   ?     The Saga of Darren Shan   Extended life   Yes   Yes   Yes   Saliva has healing powers   No   No   Among higher ranking full vampires and briefly during transformation into a vampire ; not exclusive to vampires   Only illusion of telekinesis   No   Exhales gas that causes unconsciousness in humans , Runs at high speeds outside normal space     Moonlight   Yes   Yes   Yes   Yes   Yes   No   No   Can be developed with age   No   No   ?     The Parasol Protectorate   Yes   Yes   Yes   Yes   Yes   No   No   No   No   No   ?     Blood Omen / Legacy of Kain   Yes   Yes   Enhanced sense of smell   Yes   Yes   Ancient Vampires were able to fly , Kain can levitate , and Raziel can glide   Wolf , bat swarm , and mist   Gifted   Gifted   Gifted   Corruptions caused some clans to gain abilities others did not . Some powers are also granted by the Reaver or by consuming the blood or the soul of some characters .     Night Watch   Yes   Yes   Yes   ?   Yes   Gifted   Gifted ( giant bat )   Yes   Yes   Yes   Ability to lure prey to the vampire     Underworld   Yes   Yes   Yes   Yes   Yes   Only Markus in his winged creature form   Only hybrids   Through drinking their blood   No   No   Selene and her daughter can perceive through each other psychically and can cling to surfaces .     Chibi Vampire / Karin   Extended life , potentially beyond 1000 years   Yes   Yes   Yes   Yes   Some   No   Memory erasure and hypnotic barriers   No   No   Adult vampires and some children can control bats . Spring of Psyche vampires can not control bats or erase minds , but produce blood rather than sucking blood .     Night World   Lamias : They are immortal if they want to   Yes   Yes   Yes   Yes   No   Only Maya Hearth - Woman   Yes   No   No   Maya can perform magic .     Made Vampire : Yes   Yes   Yes   Yes   Yes   No   No   Yes   No   No   ?     Dungeons &amp; Dragons   Yes   Yes   Yes   No   Yes   By shape shifting   Bat , wolf , cloud of smoke   Yes   No   No   They can walk on walls and ceilings , are resistant to the cold and electricity and any magic associated with either , and command over nocturnal animals .     Forever Knight   Yes   Yes   Heat / night vision   Yes   Yes   Yes   No   Ability to persuade through mesmerism   No   No       Necroscope   Yes   Yes   Yes   No   Yes   Some   Yes   Yes   No   No   Killglance , necromancy , and precognition     Moon Child   Yes   Yes   ?   Yes   Yes   ?   No   No   No   No   ?     Abraham Lincoln , Vampire Hunter   Yes   Yes   Yes   Yes   Yes   No   Hazy mist - like form   No   No   No   Can make themselves invisible     The Lost Boys   Yes   Yes   Yes   Yes   Yes   Yes   No   Yes   No   No   ?     Dark Shadows ( 1966 )   Yes   Yes   ?   Either this or teleportation   Yes   Yes   Bat   Hypnosis   Yes   No   Time travel , necromancy , possibly teleportation     House of Night   Blue Vampyres : Yes   Stronger than humans , but not unnaturally so   Yes   Faster than humans , but not unnaturally so   Depends on vampire affinity   No   No   No   Depends on vampire affinity   Depends on vampire affinity   Most are specially talented or have an affinity for one thing or skill .     Red Vampyres : Yes   ?   Yes   Faster than humans , but not unnaturally so   Depends on affinity   No   No   Yes   Depends on affinity   Depends on affinity   Most are specially talented or have an affinity for one thing or skill .     Frostbiten ( 2006 )   Yes   Yes   Yes   Yes   Yes   No   Yes   No   No   No   Vampires can scale walls and roofs with no support at all and talk to dogs     Dresden Files : White Court   Very long - lived , but may not be truly unaging   Only when boosted   ?   Only when boosted   Only when boosted   No   No   Induce and harvest emotions   ?   ?   Normally about human in power , but can boost to superhuman using harvested emotional energy     Dresden Files : Black Court   Either immortal , or very long - lived   Yes   Yes   Yes   Yes   ?   ?   Can create thralls and `` renfields '' ( insane , violent , permanent thralls )   ?   ?   Can control or alter animals and are capable of learning and using magic     Dresden Files : Red Court   Either immortal , or very long - lived   Yes   Yes   Yes   Yes   ?   Can change from human - looking to natural bat - like form by removing outer skin   Potent narcotic , euphoric , addictive saliva   ?   ?   ?     The Sims   In The Sims 2 , but not The Sims 3 where they only had an extremely long life cycle ( might die from external causes )   Yes   No   Yes   No   In bat form   Bat   Some   No   No   Powers vary by entry in franchise     Touhou   Yes   Yes   Yes   Yes   Implied they can recover from anything as long as the head is undamaged   Yes   Yes   Yes   Yes   Yes   Remilia Scarlet : fate manipulation ; Flandre Scarlet : destruction of anything ; magic     Fright Night   Yes   Yes   Yes   Yes   Yes   By shape - shifting into a bat   Bat , wolf , mist   ?   ?   ?   Stick to ceilings     Marvel Comics   Yes   Yes   Yes   Yes   Yes   Yes   Yes   Yes   No   No   Some vampires can control the weather and some animals ; pseudo-vampires do n't have these powers .     We Are the Night ( 2010 )   Yes   Yes   Yes   Yes   Yes   No   No   No   No   No   Walk on walls .     Blood : The Last Vampire   Extended life   Yes   Yes   Yes   Yes   Except for Saya   Except for Saya   No   No   No   ?     Blood+   Only Queens and Chevaliers   Yes   Yes   Yes   Yes   Only Chevaliers when they shape shift   Only Queens and Chevaliers   No   No   No   ?     Trinity Blood   Methuselahs : Extended life   Yes   Yes   Yes   Yes   Only a certain type called Fairies   No   No   No   Gifted   Methuselah also possess varying individual abilities , like the forming of a blades that come out of their arms , claws , or even prehensile hair ; some Methuselah have displayed an ability to control some elemental powers such as fire and ice .     Crusniks : Yes   Yes   Yes   Yes   Yes   Yes   Yes   Yes   No   No   All Crusniks have a variety of different abilities .     Supernatural   Yes   Yes   Yes   Yes   Yes   No   No   Only the Alpha vampire   No   No   ?     DC Comics   Yes   Yes   Yes   Yes   Yes   Yes   Yes   Yes   Only Andrew Bennett   No   Andrew Bennett can do magic     Sanctuary   Yes   Yes   ?   Yes   Yes   No   No   No   No   No   They have the ability to understand another person 's identity and native language by tasting their blood .     Rosario + Vampire   Yes   Yes   Yes   Yes   Yes   Some , when shapeshift into bat   Gifted   Yes   No   No   ?     Charmed   Yes   Yes   Yes   Yes   Yes   In bat form   Yes   Yes   No   No   They are immune to witches ' powers and can hang or cling to ceilings .     Wizards of Waverly Place   Yes   Yes   Smell   Yes   Yes   By turning her arms into wings   Yes   No   No   No   Sleep control     Gantz   No   Yes   No   Yes   No   No   No   No   No   No   Are able to spawn weapons from their bodies     Blindsight ( 2007 )   No , but can hibernate for decades to avoid overhunting its food supply   Yes ; due to increased ATP production   Yes ; due to tapetum lucidum and tetrachromatic vision   Yes ; due to thicker axons increasing nerve impulse transmission speed   No   No   No   No   No   No   Altered brain structure provides omnisavantic pattern - matching and analytical skills .     Adventure Time   Yes   Yes   Yes   Yes   Gifted   Gifted   Gifted   Gifted   Gifted   Gifted   Can drain the color red from objects instead of feeding on blood , become invisible , and animate corpses     Vampire Knight   Only the Purebloods , the other levels are long lived   Yes   Yes   Yes   Yes   Gifted   Gifted   Gifted   Gifted   Gifted   Gifted vampires can have a variety of different abilities     Castlevania series   Yes   Yes   Yes   Yes   Only the vampires in Castlevania : Lords of Shadow   Yes   Yes   Gifted   Gifted   Yes   Some can manipulate electricity , black magic , summon bats and Dracula can resurrect every 100 years .     Split   Yes   Yes   Yes   Yes   Yes   No   No   Yes   No   No   Some can possess people .     Tsukihime   True Ancestors : Yes   Yes   Yes   Yes   Yes   No   No   Yes   ?   ?   Some can manipulate reality and move from one place to another by recreating their body .     Dead Apostles : Imperfect Immortality   Yes   Yes   Yes   Yes   No   Gifted ; by absorbing mystical beasts   Gifted   No   No   Gifted Dead Apostles can summon familiars and become invisible ; mages that became Dead Apostles through magical means , can still perform magic afterwards ; when injured The Curse of Restoration turns their time backwards to a point in which they were unharmed .     Stargate   Yes   Yes   Night and thermal vision   Yes   Yes   No   No   Yes   No   No   Wraiths can take or give life - force     Hollows series   Living Vampires ( Low and High Blood ) : No   Yes   Yes   Yes   No   No   No   No   No   No   Living High Blood vampires are empath and pull an aura .     Undead : Yes   Yes   Yes   Yes   Yes   No   No   Yes   No   No   ?     Black Blood Brothers   Yes   Yes   Yes   Yes   Yes   Gifted bloodlines   Rare ; Only the Warlock bloodline ( the only known members of this bloodline are Cassandra Jill Warlock and Cain Warlock   Yes   Gifted ; vampires of broken bloodlines are unlikely to master this ability   Only Zelman Clock 's bloodline of which he is the only survivor   Vampires can possess a variety of other powers based on bloodline or individual ; The Dark Princess of the North can manipulate the weather .     Stephen King   Type One : Yes   Yes   Yes   Yes   Yes   Yes   Yes   Yes   Possibly ; Barlow could cause an entire house to shake in the movie .   No   Can control magical bugs     Type Two : Yes   Yes   Yes   Yes   Yes   Yes   Yes   Yes   No   No   ?     Type Three : ?   ?   ?   ?   ?   ?   ?   ?   No   No   ?     Vampirella   Yes   Yes   Yes   Yes   Yes   Yes   Yes   Yes   No   No   Vampirella can manipulate shadows and blood , and induces sexual arousal .     The Elder Scrolls   Yes   Yes , except for the vampires of the Sanguinare vampiris strain   Sight   Yes , except for the vampires of the Sanguinare vampiris   Yes   Gifted   Only Vampire Lords   Most vampire clans , but not all   Only Vampire Lords   Only the vampires of Arena   Various unique powers based on clan , such as invisibility , silencing mages , reanimating corpses , poisonous claws , summoning gargoyles , enhanced magic and skills , and numerous resistances     My Babysitter 's a Vampire   Vampires : Yes   Yes   Yes   Yes   Yes   Yes   No   Yes   Gifted   No   ?     Fledgling : Yes   Yes   Yes   Yes   Yes   No   No   No   No   No   ?     Jojo 's Bizarre Adventure   Yes   Yes   Yes   Yes   Yes   No   No   Only by inserting a bit of own flesh into victim 's head   No   No   Dio Brando can shoot blood from his eyes at high speeds and freeze a person 's blood by touching them .     The Librarian series   Yes   Yes   Yes   Yes   Yes   Yes   In dust   No   No   No   Dreams manipulation     David Wellington   Yes   Yes   Yes   Yes   Yes   No   No   No   No   No   ?     Darkstalkers   Yes   Yes   ?   No   Yes   Yes   Yes   No   No   Yes   He can manipulate his cape , create protective auras and temporarily change the gender of male opponents     The Historian   Yes   Yes   Yes   Yes   Yes   In animal form   Yes   No   No   No   ?     Itsuka Tenma no Kuro Usagi   Possibly , or very long life . Do not age , and can change their apparent age to their liking   Yes   ?   Yes   Yes   Yes   No   No   No   Yes   Saitohimea has a lot of magic     Monogatari series   Yes , but resurrections require energy and can only be done by vampires that had lived long enough   Yes   ?   Yes   Yes   Ones that had lived long enough can grow wings at will   Yes , although it 's implied that not all vampires possess this ability   ?   ?   ?   Can drain the energy of others and generate matter ; can change the length of their hair ; can do very long jumps ; if given massive enough energy source , Kiss - Shot can summon a temporary time portal .     Saga of the Noble Dead   Yes   Yes   Yes   Yes   Yes   No   No   Yes   No   No   Some vampires can control animals and all vampires have to obey the orders of the one who turned them .     Doctor Who   Great Vampires : Yes   Yes   Yes   Yes   Yes   No   No   No   No   No   ?     Vampires : Extended life   Yes   Yes   Yes   Yes   Some   Some   Yes   Some   No   ?     Dance in the Vampire Bund   Yes   Yes   Yes   Yes   Yes   Only if they have wings in their true form   Some vampires can assume their true form   Some   No   No   Gifted vampires can have a variety of different abilities .     BloodRayne   Yes   Yes   Yes   Yes   Yes   Gifted ; in bat / raven form   Gifted ; Zerenski could turn into a flock of bats and Rayne gained the ability to become a raven .   Gifted ; Rayne 's ghostly double can enter and control others   No   No   Gifted vampires and dhampir , like Kagan or Rayne , can have a variety of extra abilities others may not have .     Vamps   Yes   Yes   Yes   Yes   Yes   No   No   Yes   No   No   Gifted vampires can have a variety of different abilities     The Strain   Yes   Yes   Yes   Yes   Yes   No   No   Yes   No   No   They can transfer their consciousness from one human host to another .     Blood Alone   Yes   Yes   Yes   Yes   Yes   No   No   Yes   No   No   The elders have different special abilities .     Anno Dracula series   Yes   Yes   Yes   Yes   Yes   Gifted bloodlines   Gifted bloodlines   Gifted bloodlines   Gifted bloodlines   Gifted bloodlines   Powers vary outside of their physical capabilities based upon their bloodline .     Hotel Transylvania   Yes   Yes   Yes   Yes   Yes   Mostly in bat form   Bat ; standard form can grow claws   Powerful hypnosis ; can control beasts or men , rewrite memories ; requires eye contact   Yes   No   Can walk on walls and ceilings in defiance of gravity ; able to induce lasting paralysis in beasts or men .     Vampireology   Yes   Yes   Yes   Yes   Yes   in animal form   Yes   Yes   No   No   ?     Blood Moon   Yes   Yes   Yes   Yes   Yes   No   No   Yes   No   No   Can swap locations with their Bat familiars , making it appear as if they turned into the animal     Shadowspawn series   Very long - lived , can become theoretically immortal post-corporeal night - walkers   Yes   Yes   Yes   Yes   Only in some forms   Only when night - walking ; can become anything or anyone they have the DNA of   Manipulation of chance , telepathy , possession of bodies emptied by a nightwalker 's death   Yes   Yes   All of their powers derive from extreme manipulation of chance .     Shadowrun ( vampires and nosferatu )   Yes ; they do not age and can live for centuries or even millennia   Yes , although they are not physically strong to a supernatural degree   Yes ( also possesses thermographic vision )   Yes , although they are not fast to a supernatural degree   Yes   Gifted   Yes ; all vampires are able to change into a misty form and vampire magic users may be able to use magic to assume animal forms .   Only the Nosferatu strain possess this as a natural ability and even then , it is limited ; they can also invoke extreme fear in others .   Gifted   Gifted   Immunity to poisons , toxins , and diseases and they are capable of using magic and the transformation may unlock latent magical potential .     AdventureQuest   ?   Yes   ?   No   No   No   No   No   No   No   No     Vampire in Brooklyn   Yes   Yes   Yes   Yes   Yes   Yes   Wolf , bat , fog , and can shapeshift into other humans   Yes   Yes   Yes   Can cast spells of illusion , can possibly turn invisible or teleport     The Shadowhunter Chronicles ( The Mortal Instruments )   Yes   Yes   Yes   Yes   Yes   Yes   Yes   Yes   No   No   Can control certain mortals     Penny Dreadful   Yes   Yes   ?   Yes   Yes   No   No   Only master vampires   No   No   ?     Kate Daniels novels   Immortal , or at least capable of reaching great ages   Yes   ?   Yes   ?   No   No   No , but they can relay communication from necromancer pilot .   No   No   Extraordinarily good climbers ; non-sapient , telepathically piloted by a necromancer ( bloodthirsty mindless monsters , otherwise )     Den of Shadows   Yes   Yes   ?   Yes   Yes   As a winged animal   Some   Some   ?   ?   They can teleport and some have special abilities .     From Dusk till Dawn series   Yes   Yes   Yes   Yes   Yes   Only those who have wings   Yes   Yes   No   No   They are able to walk on walls and ceilings .     Monster High   Yes   ?   ?   ?   ?   In bat form   In a bat   ?   ?   ?   Can control bats     inFamous : Festival of Blood   Yes   Yes   Yes   Yes   Yes   Yes   Swarm of bats   Yes   Only Bloody Mary   No   All of Bloody Mary 's vampires must obey her ; Firstborns can disguise themselves as humans .     Kitty Norville novels   Yes   Yes   ?   Yes   Yes   ?   ?   Can hypnotically control to some extent , if you meet their eyes   ?   ?   Older vampires are more powerful .     American Horror Story : Hotel   Yes   Yes   Yes   Yes   Yes   No   No   Implied   No   No   ?     Tsukuyomi : Moon Phase   Yes   Yes   Yes   Yes   Yes   Gifted   Gifted   Yes   Gifted   Gifted   They can telepathically communicate with and control those they have bitten or turned ; each vampire possesses their own special ability from the start of their birth / creation ; can mimic the special abilities of other vampires , though not perfectly , by sucking their blood and / or eating their flesh .     Vampire Cheerleaders   Yes   Yes   Yes   Yes   Yes   No   No   Can `` Glamour '' humans , erase memories , and bend their will   No   No   Can enthrall humans through unexplained means     Innistrad   Yes   Yes ; they are twice as strong as a human and can enhance it further with magic   Gifted   Gifted ; they can enhance their speed with magic   Gifted ; Sangromancy magic can transfer consumed blood into health   Gifted ; Falkenrath Elders are more likely to master this power   Gifted ; the Voldaren Elders can more easily master magic that makes it possible to assume various animal forms and the Stromkirk Elders can dissolve their bodies into a cloud of mist .   Gifted ; the Markov Elders possess a special affinity for psychic magic .   Gifted ; the Markov Elders possess a special affinity for psychic magic .   Gifted ; the Markov Elders possess a special affinity for psychic magic .   Vampires are magic users and are able to develop new powers through magickal study and may learn a vampiric form of glamer ( quasi-illusion magic ) that enables them to alter what nearby humans think they 're perceiving when they look at the vampire and they can emanate a two - foot - wide aura of silence at will .     Blood Lad   Possibly immortal or just long lived   Yes   Yes   Yes   Yes   Gifted   No   Gifted   ?   ?   Vampires are naturally able to use magic     Shiki   Yes   No , but they are stronger than most humans   Yes   Yes   Yes   Yes   No   Can manipulate the body , mind , and soul of their victims by consuming their blood   No   No   They can command animals as well , not just humans .     Warhammer   Yes ; since vampires possess no true soul they are able to be resurrected quite easily compared to humans   Yes , although this power is best represented among the Strigoi and the Blood Dragons   Enhanced sense of smell   Gifted ; Lahmians are well - known for their quick and brutal attacks .   Gifted ; vampires are able to utilize their blood or dark magick in order to knit their wounds far more quickly than a mortal .   Gifted ; can be achieved through magick or by shape - shifting   Gifted vampires can assume the form of a large bat , a swarm of bats , ravens , flies , beetles , or cockroaches , a wolf , or a supernatural cloud of mist , although most of these powers are more common / represented in certain bloodlines .   Gifted ; best represented among the Lahmians , although all are capable of transfixing their prey   Gifted   Gifted   Vampires are a diverse race of beings whose powers vary greatly based upon bloodline and their own individuality .     Seraph of the End   Yes   Yes   Yes   Yes   Yes   No   No   ?   ?   ?   Vampire made weapons can `` drink '' vampire blood and become stronger .     Interviews with Monster Girls   ?   No , although this might just be because Hikari is still young   Yes   No , although this might just be because Hikari is still young   ?   No , although this might just be because Hikari is still young   No , although this might just be because Hikari is still young   No , although this might just be because Hikari is still young   No , although this might just be because Hikari is still young   No , although this might just be because Hikari is still young   ?     The Witcher   Yes   Yes   Yes   Yes   Yes   Some , including all higher vampires   Some , including all higher vampires   Some , including all higher vampires   No   No   Invisibility , retractable claws , higher vampires can control weaker vampires .     The Adventures of Dr. McNinja   ?   Yes   Yes   Yes   ?   Yes   Smoke , Bat , Dog   ?   ?   ?   ?   </t>
  </si>
  <si>
    <r>
      <rPr>
        <sz val="11"/>
        <color rgb="FF000000"/>
        <rFont val="Calibri"/>
        <family val="0"/>
        <charset val="1"/>
      </rPr>
      <t xml:space="preserve">Sleeping Beauty castle - wikipedia  Sleeping Beauty castle  Jump to : navigation , search This article is about a structure at Disneyland . For the structure at Disneyland Park in Paris , see Le Château de la Belle au Bois Dormant . For the structures at the Magic Kingdom and Tokyo Disneyland , see Cinderella Castle . For the structure at Shanghai Disneyland , see Enchanted Storybook Castle .    Sleeping Beauty Castle     Sleeping Beauty Castle at Disneyland Park in 2009 .         Disneyland     Area   Fantasyland     Coordinates   33 ° 48 ′ 46 '' N 117 ° 55 ′ 08 '' W ﻿ / ﻿ 33.81276 ° N 117.91894 ° W ﻿ / 33.81276 ; - 117.91894     Status   Operating     Opening date   July 17 , 1955             Hong Kong Disneyland     Area   Fantasyland     Coordinates   22 ° 18 ′ 45 '' N 114 ° 02 ′ 28 '' E ﻿ / ﻿ 22.31262 ° N 114.04113 ° E ﻿ / 22.31262 ; 114.04113     Status   Closed     Opening date   September 12 , 2005     Closing date   January 1 , 2018     Replaced by   Unnamed Disney castle         General statistics     Attraction type   Castle     Theme   Sleeping Beauty     Height   77 ft ( 23 m )     Sleeping Beauty Castle is a fairy tale castle at the center of Disneyland and formerly at Hong Kong Disneyland . It is based on the late - 19th century Neuschwanstein Castle in Bavaria , Germany . It was featured in Walt Disney Pictures logo before the film , and along with Cinderella Castle , this castle is iconic symbol of The Walt Disney Company . It is also the only Disney castle that was overseen by Walt Disney .     Contents  ( hide )   1 Disneyland   1.1 Fiftieth anniversary   1.2 Sixtieth anniversary     2 Hong Kong Disneyland   2.1 During the 5th Anniversary   2.2 During the 10th Anniversary     3 Logo usage   4 References      Disneyland ( edit )  Sleeping Beauty Castle decorated for Christmas Disneyland 's Sleeping Beauty Castle at night , February 2005 . Neuschwanstein Castle  Opened July 17 , 1955 , the castle is the oldest of all Disney castles . Its primary inspiration was the Neuschwanstein Castle in Germany . Though it reaches a height of 77 feet ( 23 m ) , it was designed by Roland E. Hill to appear taller through a process known as forced perspective ; design elements are larger at the foundation and smaller at the turrets . The castle initially featured an empty upper level that was never intended to house an attraction , but Walt Disney was not satisfied with what he viewed as wasted space , and challenged his Imagineers to find some use for the space .   Beginning April 29 , 1957 , visitors were able to walk through the castle and view several dioramas depicting the story of Sleeping Beauty . The voice of Jiminy Cricket from Walt Disney 's Pinocchio ( 1940 ) singing `` When You Wish Upon a Star '' is piped into the castle . The original dioramas were designed in the style of Eyvind Earle , production designer for Disney 's 1959 film Sleeping Beauty , and were then redone in 1977 to resemble the window displays on Main Street , U.S.A. . The walkthrough was closed for unspecified reasons on October 7 , 2001 ; popular belief claims the September 11th attacks and the potential danger that ensued played a major factor in the closing .   On July 17 , 2008 , Disney announced that the Sleeping Beauty Castle walkthrough would reopen in the style of the original Earle dioramas , enhanced with new technology not available in 1957 . The walkthrough reopened on November 27 , 2008 at 5 : 00 p.m. , drawing long lines going as far back as the Hub at the center of the park . Unlike previous incarnations , visitors who are unable to climb stairs or navigate the passageways of the Castle can still experience the walkthrough `` virtually '' in a special room on the Castle 's ground floor . This room is lavishly themed , and presents the closed - captioned CGI walkthrough recreation on a high - definition TV . This same virtual recreation is included on the Sleeping Beauty 50th Anniversary Platinum Edition DVD .   The Disney family coat of arms hangs above the archway to the castle . It is composed of three lions passant in pale . It is known that the coat of arms was not originally on the castle , but was placed there sometime between June 1965 and July 1965 .   At the rear of the castle , shaded by the archways and driven into the ground is a gold spike that is widely , but wrongly , believed to mark the geographical center of Disneyland as of the addition of Mickey 's Toontown in 1993 . In reality , the spike is a surveyor 's mark that was used to ensure that the castle bridge and entrance lined up with Main Street USA when the park was first constructed . The original geographical center of the Magic Kingdom was in the middle of the round park , where the `` Partners '' statue of Walt Disney and Mickey Mouse stands . The addition of Toontown moved the actual center of the park a few yards northward , but still on the hub side of the castle drawbridge .   Fiftieth anniversary ( edit )   In celebration of Disneyland 's 50th anniversary , the castle was repainted and five turrets were decorated with stylized crowns , each representing a decade in the park 's history :    The creation of Disneyland is represented by a pair of famous `` Ears '' peeking up over the horizon to see the wonders to come .   `` A World on the Move '' , otherwise known as the `` New Tomorrowland '' of 1967 , is represented by rocket ships and accented by opalescent planets .   The Blue Fairy represents the debut of the Main Street Electrical Parade .   The Indiana Jones Adventure is represented by the evil Eye of Mara , guarded by snakes .   The 50th Anniversary of Disneyland is represented by fireworks and Tinker Bell .    Sixtieth anniversary ( edit )   For Disneyland 's 60th Anniversary , World of Color changed to the World of Color : Celebrate ! The Wonderful World of Walt Disney . Disneyland Park introduced Paint The Night and a new fireworks show , `` Disneyland Forever '' . A 24 - hour kickoff event occurred May 22 , 2015 .   As part of the celebration , the castle was covered with diamonds and glitter , with a large 60th logo in the center . Carthay Circle Restaurant at Disney California Adventure was also decorated for the Diamond Celebration . Although some of the decorations on the castle for the celebration have been removed , the decorative faux roofs remain . ( As of June 2017 )   Hong Kong Disneyland ( edit )  Sleeping Beauty Castle at Hong Kong Disneyland  Hong Kong 's Sleeping Beauty Castle is a nearly identical copy of the original in California . However , the two castles can be differentiated through very subtle details . Hong Kong Disneyland uses a different color scheme compared to that of Disneyland , with more natural white and pink colours for the accents and cornice . It also has fewer trees surrounding its castle , allowing a more open view to accompany the nightly fireworks show .   The park 's current castle will be completely redesigned and reconstructed in 2020 , as part of its 15th anniversary celebration . The castle will be redesigned to pay tribute to all Disney princesses . The castle closed on January 1 , 2018 .   During the 5th anniversary ( edit )   In celebration of Hong Kong Disneyland 's fifth anniversary , Celebration in the Air , the castle was transformed into Tinker Bell 's Pixie Dusted Castle . The castle was decorated with golden pixie dust , which sparkled and shimmered in the sun and was illuminated by night .   During the 10th anniversary ( edit )   Although no significant decorations were added to Hong Kong Disneyland 's Sleeping Beauty Castle for the park 's 10th anniversary , the nightly `` Disney In The Stars '' fireworks show was added with elaborate projection mapping with visuals to compliment the display . This , however , resulted in the elimination of a few pyrotechnic elements launched from the front of the castle during the show .   Logo usage ( edit )   As Sleeping Beauty Castle is a Disney icon , it and Magic Kingdom 's Cinderella Castle have become the basis for the logo of Walt Disney Pictures , Walt Disney Television , Disney Music Group and Walt Disney Studios Motion Pictures . It was also heavily featured in advertisements for the Wonderful World of Disney , formerly shown on the Disney Channel .   References ( edit )       Wikimedia Commons has media related to Sleeping Beauty Castle at Disneyland .      Jump up ^ Smith , Alex ( 2008 ) , Is Authenticity Important ? ( PDF ) , Royal College of Art , retrieved 2011 - 01 - 3   Jump up ^ Pimental , Joseph ( October 17 , 2015 ) . `` One of Disneyland 's many voices has an ear for magic '' . The Orange County Register . p . Local 1 .   Jump up ^ `` Disney Coat of Arms / Disney Family Crest '' . 4crests.com. 2011 - 12 - 24 . Retrieved 2011 - 12 - 29 .   Jump up ^ Erik , Irrawaddy . `` The Disney Crest Flickr - Photo Sharing ! '' . Flickr . Retrieved 2011 - 12 - 29 .   Jump up ^ `` Daveland - Sleeping Beauty Castle ( Disneyland - June 1965 ) '' . Davelandweb.com . Retrieved January 8 , 2018 .   Jump up ^ `` Daveland - Sleeping Beauty Castle ( Disneyland - July 1965 ) '' . Davelandweb.com . Retrieved January 8 , 2018 .   Jump up ^ Barnes , Brooks ( November 22 , 2016 ) . `` Hong Kong Disneyland , Seeking Return to Profit , Plans $1.4 Billion Upgrade '' . The New York Times . Retrieved November 23 , 2016 .   Jump up ^ Miller , Daniel ( November 22 , 2016 ) . `` Hong Kong Disneyland in line for a $1.4 - billion expansion , adding a ' Frozen ' themed land in a bid to boost growth '' . Los Angeles Times . Retrieved November 23 , 2016 .              `` Sleeping Beauty '' / `` Little Briar Rose '' by Charles Perrault and the Brothers Grimm     Theatre     La Belle au Bois Dormant ( opera )   The Sleeping Beauty ( ballet )         Variants     Sun , Moon , and Talia   The Young Slave   The Glass Coffin       Retellings     Alinda of the Loch   Enchantment   The Light Princess   `` Little Daylight ''   The Ordinary Princess   The Sleeping Beauty Quartet   Spindle 's End   The Gates of Sleep       Films     Sleeping Beauty ( 1959 )   Some Call It Loving ( 1973 )   Sleeping Beauty ( 1987 )   Sleeping Beauty ( 1995 )   Keys to the Kingdom ( 2007 )   Sleeping Betty ( 2008 )   Maleficent ( 2014 )   Descendants ( 2015 )   Charming ( 2018 )       Disney     `` Once Upon a Dream '' ( song )   Sleeping Beauty Castle   Le Château de la Belle au Bois Dormant   `` Evil Like Me '' ( song )   Kingdom Hearts series       Characters     Prince Charming   Wicked fairy godmother   Disney 's Sleeping Beauty characters   Princess Aurora   Flora , Fauna , and Merryweather   Maleficent                   Disneyland       Current attractions   Former attractions       Main Street , U.S.A.     Disneyland Railroad   Great Moments with Mr. Lincoln   The Disney Gallery   Main Street Cinema   Main Street Vehicles   Main Street windows       Fantasyland     Alice in Wonderland   Casey Jr . Circus Train   Dumbo the Flying Elephant   Fantasyland Theatre   It 's a Small World   King Arthur Carrousel   Mad Tea Party   Matterhorn Bobsleds   Mr. Toad 's Wild Ride   Peter Pan 's Flight   Pinocchio 's Daring Journey   Pixie Hollow   Sleeping Beauty Castle   Snow White Grotto   Snow White 's Scary Adventures   Storybook Land Canal Boats       Adventureland     Walt Disney 's Enchanted Tiki Room   Indiana Jones Adventure   Jungle Cruise   Tarzan 's Treehouse       Tomorrowland     Astro Orbitor   Autopia   Buzz Lightyear Astro Blasters   Disneyland Monorail   Disneyland Railroad   Finding Nemo Submarine Voyage   Jedi Training : Trials of the Temple   Space Mountain   Space Mountain Ghost Galaxy     Star Tours -- The Adventures Continue   Star Wars Launch Bay   Star Wars : Path Of The Jedi       Frontierland     Big Thunder Mountain Railroad   Pirate 's Lair on Tom Sawyer Island   Frontierland Shootin ' Exposition   Golden Horseshoe Saloon   Mark Twain Riverboat   Sailing Ship Columbia       New Orleans Square     Disneyland Railroad   Pirates of the Caribbean   The Haunted Mansion   Haunted Mansion Holiday         Critter Country     Splash Mountain   Davy Crockett Explorer Canoes   The Many Adventures of Winnie the Pooh       Mickey 's Toontown     Chip ' n Dale Treehouse   Donald 's Boat   Disneyland Railroad   Gadget 's Go Coaster   Goofy 's Playhouse   Mickey 's House and Meet Mickey   Minnie 's House   Roger Rabbit 's Car Toon Spin       Future     Star Wars : Galaxy 's Edge   Together Forever -- A Pixar Nighttime Spectacular   Pixar Play Parade       Entertainment     The Dapper Dans   Fantasmic !   Halloween Screams   seasonal         Other     Partners                 Attractions at Disney theme parks     Main Street , U.S.A.     Animation Academy   The Dapper Dans   The Disney Gallery   Disneyland Railroad   Disneyland Railroad - Main Street Station   Great Moments with Mr. Lincoln   Hong Kong Disneyland Railroad   Horse - Drawn Streetcars   Main Street Cinema   Main Street Vehicles   Walt Disney World Railroad       Adventureland     Adventure Isle   The Enchanted Tiki Room : Stitch Presents Aloha e Komo Mai !   Festival of the Lion King   Indiana Jones Adventure   Indiana Jones et le Temple du Péril   Jungle Cruise   Le Passage Enchanté d'Aladdin   Moana : A Homecoming Celebration   The Magic Carpets of Aladdin   Soaring Over the Horizon   Swiss Family Treehouse   Tarzan 's Treehouse   Walt Disney 's Enchanted Tiki Room   Western River Railroad       Fantasyland     Alice in Wonderland   Alice 's Curious Labyrinth   Ariel 's Grotto   The Barnstormer   Casey Jr . Circus Train   Casey Jr . Splash ' n ' Soak Station   Cinderella Carousel   Cinderella Castle   Dumbo the Flying Elephant   Enchanted Storybook Castle   Fantasyland Theatre   Frozen : A Sing - Along Celebration   It 's a Small World   King Arthur Carrousel   Le Château de la Belle au Bois Dormant   Under the Sea : Journey of the Little Mermaid   Mad Tea Party   Matterhorn Bobsleds   Mickey 's PhilharMagic   Mr. Toad 's Wild Ride   Pete 's Silly Sideshow   Peter Pan 's Flight   Pinocchio 's Daring Journey   Pixie Hollow   Pooh 's Hunny Hunt   Princesses Castle   Seven Dwarfs Mine Train   Sleeping Beauty Castle   Snow White Grotto   Snow White 's Scary Adventures   Storybook Land Canal Boats   Voyage to the Crystal Grotto       Tomorrowland     Astro Orbiter   Autopia   Buzz Lightyear Astro Blasters   Captain EO   Disneyland Monorail System   Finding Nemo Submarine Voyage   Iron Man Experience   Jedi Training : Trials of the Temple   Monsters , Inc . Laugh Floor   Monsters , Inc . Ride &amp; Go Seek   Innoventions   Les Mystères du Nautilus   Push   Space Mountain   Starcade   Star Tours -- The Adventures Continue   Star Wars Launch Bay   Stitch 's Great Escape !   Stitch Encounter   Star Wars Path Of The Jedi   Tomorrowland Transit Authority   Tron Lightcycle Power Run   Videopolis   Walt Disney 's Carousel of Progress       Frontierland     Big Grizzly Mountain Runaway Mine Cars   Big Thunder Mountain Railroad   Big Thunder Ranch   Country Bear Jamboree   Diamond Horseshoe   Fantasmic !   Frontierland Shootin ' Arcade   Golden Horseshoe Saloon   Mark Twain Riverboat   Phantom Manor   Tom Sawyer Island   River Rogue Keel Boats   Sailing Ship Columbia   Woody 's Roundup Village       New Orleans Square     The Haunted Mansion   Pirates of the Caribbean       Critter Country     Davy Crockett Explorer Canoes   Splash Mountain   The Many Adventures of Winnie the Pooh       Mickey 's Toontown     Chip ' n Dale 's Treehouse   Donald 's Boat   Gadget 's Go Coaster   Goofy 's Playhouse   Mickey 's House and Meet Mickey   Minnie 's House   Roger Rabbit 's Car Toon Spin   Toon Park       Star Wars : Galaxy 's Edge     Battle Escape First order attraction   Millenium Falcon Attraction       Liberty Square     The Hall of Presidents   The Haunted Mansion       Toy Story Playland     Cubot   RC Racer   Slinky Dog Zigzag Spin   Slinky Dog Dash   Toy Soldiers Parachute Drop   Toy Story Midway Mania !       Mystic Point     Mystic Manor       Treasure Cove     Pirates of the Caribbean : Battle for the Sunken Treasure      Retrieved from `` https://en.wikipedia.org/w/index.php?title=Sleeping_Beauty_Castle&amp;oldid=832394790 '' Categories :   Operating amusement attractions   Amusement rides introduced in 1955   Closed amusement attractions   Amusement rides introduced in 2005   Amusement rides that closed in 2018   Amusement rides by name   Walt Disney Parks and Resorts attractions   Walt Disney Parks and Resorts icons   Disneyland   Hong Kong Disneyland   Sleeping Beauty ( 1959 film )   Fantasyland   Castles in the United States   Buildings and structures completed in 1955   Buildings and structures completed in 2005           Talk                  Variants                          Contents                   About Wikipedia                                                   Català   Español   Français   </t>
    </r>
    <r>
      <rPr>
        <sz val="11"/>
        <color rgb="FF000000"/>
        <rFont val="Noto Sans CJK SC"/>
        <family val="2"/>
      </rPr>
      <t xml:space="preserve">한국어   </t>
    </r>
    <r>
      <rPr>
        <sz val="11"/>
        <color rgb="FF000000"/>
        <rFont val="Calibri"/>
        <family val="0"/>
        <charset val="1"/>
      </rPr>
      <t xml:space="preserve">עברית   Bahasa Melayu   Nederlands   </t>
    </r>
    <r>
      <rPr>
        <sz val="11"/>
        <color rgb="FF000000"/>
        <rFont val="Noto Sans CJK SC"/>
        <family val="2"/>
      </rPr>
      <t xml:space="preserve">日本 語   </t>
    </r>
    <r>
      <rPr>
        <sz val="11"/>
        <color rgb="FF000000"/>
        <rFont val="Calibri"/>
        <family val="0"/>
        <charset val="1"/>
      </rPr>
      <t xml:space="preserve">Português   Scots   </t>
    </r>
    <r>
      <rPr>
        <sz val="11"/>
        <color rgb="FF000000"/>
        <rFont val="Noto Sans CJK SC"/>
        <family val="2"/>
      </rPr>
      <t xml:space="preserve">粵語   中文  </t>
    </r>
    <r>
      <rPr>
        <sz val="11"/>
        <color rgb="FF000000"/>
        <rFont val="Calibri"/>
        <family val="0"/>
        <charset val="1"/>
      </rPr>
      <t xml:space="preserve">4 more  Edit links   This page was last edited on 25 March 2018 , at 19 : 01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</si>
  <si>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what's inside sleeping beauty's castle in disneyland</t>
  </si>
  <si>
    <t xml:space="preserve"> On July 17 , 2008 , Disney announced that the Sleeping Beauty Castle walkthrough would reopen in the style of the original Earle dioramas , enhanced with new technology not available in 1957 . The walkthrough reopened on November 27 , 2008 at 5 : 00 p.m. , drawing long lines going as far back as the Hub at the center of the park . Unlike previous incarnations , visitors who are unable to climb stairs or navigate the passageways of the Castle can still experience the walkthrough `` virtually '' in a special room on the Castle 's ground floor . This room is lavishly themed , and presents the closed - captioned CGI walkthrough recreation on a high - definition TV . This same virtual recreation is included on the Sleeping Beauty 50th Anniversary Platinum Edition DVD . </t>
  </si>
  <si>
    <r>
      <rPr>
        <sz val="11"/>
        <color rgb="FF000000"/>
        <rFont val="Calibri"/>
        <family val="0"/>
        <charset val="1"/>
      </rPr>
      <t xml:space="preserve">Preston Burke - wikipedia  Preston Burke  Jump to : navigation , search    Preston Burke     Grey 's Anatomy character     The Season 3 Gallery Picture of Isaiah Washington as Preston Burke     First appearance   `` A Hard Day 's Night '' ( 1.01 ) March 27 , 2005     Last appearance    `` Did n't We Almost Have It All ? '' ( 3.25 ) May 17 , 2007 ( as series regular )  `` We Are Never Getting Back Together '' ( 10.22 ) May 1 , 2014 ( as guest star )     Created by   Shonda Rhimes     Portrayed by   Isaiah Washington     Information     Full name   Preston Xavier Burke     Occupation   Attending cardiothoracic surgeon at Seattle Grace Hospital ( former )     Title   Chief Of Cardiothoracic Surgery ( former ) M.D. F.A.C.S.     Spouse ( s )   Edra Burke     Significant other ( s )   Cristina Yang ( ex-fiancée ) ( engaged : 2006 - 2007 )     Relatives   Jane Burke ( mother ) Donald Burke ( father )     Religion   Christian     Preston Xavier Burke , M.D. is a fictional character from the medical drama television series Grey 's Anatomy , which airs on ABC in the United States . The character was created by series producer Shonda Rhimes , and was portrayed by actor Isaiah Washington from 2005 to 2007 . Introduced as an attending cardiothoracic surgeon at the fictional Seattle Grace Hospital , Burke 's romantic relationship with intern Cristina Yang formed one of the main storylines in the shows ' first three seasons .   Burke made his final appearance in the third season , leaving Seattle in the aftermath of his failed wedding . On June 7 , 2007 , ABC announced it had decided not to renew Washington 's contract , and that he would be dropped from the show after an on - set incident with fellow cast members T.R. Knight and Patrick Dempsey .   While mentioned in passing throughout later seasons , Burke officially returns in the tenth season in order to conclude Cristina Yang 's departure from the series .     Contents  ( hide )   1 Storylines   2 Development   2.1 Casting and creation   2.2 Characterization     3 Reception   4 References   5 External links      Storylines ( edit )   Preston Burke is the former chief cardiothoracic surgeon at Seattle Grace Hospital . He completed his pre-medical studies at Tulane University where he pledged Kappa Alpha Psi , and went on to graduate first in his class from Johns Hopkins School of Medicine . While in college , he met Erica Hahn ( Brooke Smith ) , who graduated in second place after him , beginning a rivalry between them . He was once the interim chief of surgery while Dr. Richard Webber ( James Pickens , Jr . ) was healing from his brain surgery . In season 1 , it is revealed that Richard had promised him the position but instead enticed his former student , renowned neurosurgeon Derek Shepherd ( Patrick Dempsey ) , to Seattle as he felt Burke was becoming arrogant and needed competition to keep him on his toes . He began a relationship with intern Cristina Yang ( Sandra Oh ) but broke it off because he feared it would ruin both of their reputations . Her miscarriage brought them back together . He and Cristina lived together in his perfectly kept apartment .   Towards the end of the second season , he was shot , which affected his control of his right - hand . His temporary fix to this possibly long - term problem was to work together with Cristina during every one of his surgeries so that she could take over in case he might have trouble with his hand . The arrangement fell apart after Cristina , reacting to growing stress after George O'Malley ( T.R. Knight ) caught onto their secret , went to the Chief and confessed everything . Initially , he was engaged in a cold war with Cristina , where neither of them spoke . However , after she broke the silence , he proposed to her and she accepted his proposal . Before their secret was revealed , Burke was to become the next Chief of Surgery , but he had to compete with his fellow attendings for the position . He has since recovered from the injury , after Derek operated on him . For the remainder of the season , Preston and Cristina prepared for the wedding and experienced normal stresses that result from such a process , such as meeting each other 's parents .   However , in the finale of season three , on the day of their wedding , Burke told Cristina that he no longer wished to make her do anything against her will , and realized he was trying to make Cristina the woman he wanted her to be , and not accept her as the woman she is . Cristina said she `` thought this was what she wanted . '' He wanted her to say she knew it was what she wanted , so he left her in the chapel . Cristina then returned to their apartment and discovered Burke had left , taking with him the things that meant something to only him ( his trumpet , his Eugene Foote collection , his grandmother 's picture , and his lucky scrub cap ) , leaving Cristina devastated .   In the fourth season , Preston 's long - time rival and love - to - hate medic Dr. Erica Hahn replaced him as the head of cardiothoracic surgery . Before taking over the position she had tremendous respect for Burke although she would have never admitted it to his face . Hahn disliked Cristina Yang because of her relationships with Dr. Burke and Colin Marlow . During his employment at a new hospital , he is made the recipient of 2008 's Harper Avery , a highly prestigious medical award . Cristina is later hurt that he did not mention her in his article , even though Cristina helped Burke with his recovery from an injury .   In season ten , Preston is seen to be living in Zürich , where he runs a privately owned cardiothoracic research hospital . He invited Cristina to the hospital to give a speech on her research . Cristina is both shocked and angered by the sight of Preston , and the former couple exchange bitter sentiments . Cristina claims that the two would never have worked out because she wanted to emulate him , not be by his side . Preston then reveals his ulterior motive for bringing Cristina to Switzerland : to ask her to take over his hospital , which she accepts . He is married to an Italian woman , Edra , and has two daughters , Simone and Vivianna . They are on the verge of moving to Milan .   Development ( edit )   Casting and creation ( edit )  `` In the abstract , Burke was a more awkward and self - hating guy , a little bit of a weasel , but that was before Isaiah walked into the room . Isaiah played him as someone who intensely loves his job . He brought a sense of honor to what Burke does . And with Isaiah , suddenly there was a sexiness to the role , an intelligence and a wit . ''  Rhimes on Washington 's audition as Burke   The character of Preston Burke was originally envisioned as a caucasian , to be played by Paul Adelstein , who starred in Grey 's Anatomy 's spin - off Private Practice . However , due to his commitment to a film whose shooting dates changed , the actor had to drop out at the last moment and his character was rethought . Isaiah Washington was originally considered for the role of Derek Shepherd , which eventually went to Patrick Dempsey . Washington later received a callback from Rhimes to play Burke . He commented : `` I knew I could never be wrong in my heart about something so good and so genuine . Her writing just seemed very complex , very honest . '' `` I said that I would only do it if I did n't have to be like that guy on that other medical show who was always struggling with his anger . ''   Shonda Rhimes noted Washington 's commitment to his role , revealing that he learns all his surgeries before he performs them on television . `` I think if he stopped at an accident on the street , he 'd know exactly what to do . He has pulled shifts at hospitals where he follows the surgeons around for 48 hours '' . At the beginning of the series , Burke is one of the three African american characters , along with Miranda Bailey ( Chandra Wilson ) and Richard Webber ( James Pickens , Jr . ) .   In the show 's third season , Washington became a central figure in a widely reported backstage controversy . In October 2006 , news reports surfaced that Washington had insulted co-star T.R. Knight with a homophobic slur . Shortly after the details of the argument became public , Knight publicly disclosed that he was gay . The situation seemed somewhat resolved when Washington issued a statement , apologizing for his `` unfortunate use of words during the recent incident on - set . '' The controversy later resurfaced when the cast appeared at the Golden Globes in January 2007 . While being interviewed on the red carpet prior to the awards , Washington joked , `` I love gay . I wanted to be gay . Please let me be gay . '' After the show won Best Drama , Washington , in response to press queries as to any conflicts backstage , said , `` I never called T.R. a faggot . '' However , in an interview with Ellen DeGeneres on The Ellen DeGeneres Show , Knight said that `` everybody heard him . '' After being rebuked by his studio , Touchstone Television ( now ABC Studios ) , Washington issued a statement apologizing at length for using the epithet in an argument with Patrick Dempsey . On January 30 , 2007 , a source told People magazine that Washington was scheduled to return to the Grey 's Anatomy set as early on that Thursday for the first time since entering `` executive counseling '' after making the comments at the Golden Globes . However , on June 7 , 2007 , ABC announced it had decided not to renew Washington 's contract , and that he would be dropped from the show . `` I 'm mad as hell and I 'm not going to take it anymore , '' Washington said in a statement released by his publicist , borrowing the famous line from Network . In another report , Washington stated he was planning to `` spend the summer pursuing charity work in Sierra Leone , work on an independent film and avoid worrying about the show . '' In a subsequent interview , Washington claimed that `` they fired the wrong guy '' ( referring to Knight ) and said he was considering filing a lawsuit as a result . He accused Knight of using the controversy to bolster his own career and increase his salary on Grey 's Anatomy . Washington , in late June 2007 , began asserting that racism within the media was a factor in his firing from the series . On July 2 , 2007 , Washington appeared on Larry King Live on CNN , to present his side of the controversy . According to Washington , he never used the `` F Word '' in reference to Knight , but rather blurted it out in an unrelated context in the course of an argument `` provoked '' by Dempsey , who , he felt , was treating him like a `` B - word , '' a `` P - word , '' and the `` F - word , '' which Washington said conveyed `` somebody who is being weak and afraid to fight back . '' Washington himself said that his dismissal from Grey 's Anatomy was an unfortunate misunderstanding that he was eager to move past .   On March 6 , 2014 , Shonda Rhimes announced that Washington would return to his role for one episode airing in May to help conclude Sandra Oh 's final storylines as Cristina Yang . Rhimes said of his return , `` It 's important to me that Cristina 's journey unfolds exactly as it should . Burke is vital to that journey -- he gives her story that full - circle moment we need to properly say goodbye to our beloved Cristina Yang . ''   Characterization ( edit )       This section needs expansion . You can help by adding to it . ( September 2012 )     Washington said of his character : `` He did start out sort of stone - faced , but he 's evolved into someone we see as an effective leader and someone who learns how to love and be loved . '' Thanks to Yang , Washington says Burke `` has been able to show levels of vulnerability . '' In an interview with Oprah Winfrey , Rhimes has described Preston as a `` mama 's boy '' , and noted the shock the audience felt when discovering that side of his personality after the arrival of his parents . Isaiah Washington also noted Preston 's `` determination '' and `` commitment '' . Rhimes referred to Burke 's relationship with Yang by the portmanteau `` Burktina '' , citing `` Losing My Religion '' as one of her favorite episodes featuring them because it shows their evolution from the beginning of the second season to its end . Ann Oldenburg of USA Today called it `` one of the spiciest relationships on TV right now '' . Drawing a comparison between the two doctors , she said Burke is `` tidy '' while Yang is `` messy '' ; he is `` spiritual '' but she is not .   Reception ( edit )   Isaiah Washington has been nominated for multiple awards for his portrayal of Preston Burke . He and the Grey 's Anatomy cast won Best Ensemble in a Television Series at the 2006 Satellite Awards . He was awarded `` Outstanding Actor in a Drama Series '' twice at the NAACP Image Awards , in 2006 and 2007 . Washington was recognized along with the rest of the cast at the Screen Actors Guild Awards , receiving three nominations for `` Outstanding Performance by an Ensemble in a Drama Series '' each year from 2006 to 2008 , with the 2007 Awards marking a victory . TV Guide named Isaiah Washington `` TV 's Sexiest Man '' in 2006 .   Burke 's relationship with Cristina Yang was considered as `` one of the most interesting relationships on the show . '' Similarly , The Orange County Register wrote that their romance became `` one of the most touching and funny attractions of Grey 's Anatomy . '' Oscar Dahl of BuddyTV listed Burke as the fifth worthless TV character .   References ( edit )   Specific    Jump up ^ Episode 12 of Season 2 `` Grandma Got Run Over By a Reindeer ''   Jump up ^ Episode 26 of Season 2 `` Deterioration of the Fight or Flight Response ''   Jump up ^ `` Archived copy '' . Archived from the original on 2014 - 05 - 01 . Retrieved 2014 - 05 - 01 .   Jump up ^ Rhodes , Joe ( July 15 , 2005 ) . `` Today 's News : Our Take -- Vet Earns M.D. on Grey 's Anatomy '' . TV Guide . Archived from the original on May 7 , 2010 . Retrieved September 3 , 2012 .   ^ Jump up to : Fogel , Matthew ( 8 May 2005 ) . `` ' Grey 's Anatomy ' Goes Colorblind '' . New York Times . Arthur Ochs Sulzberger , Jr . Retrieved May 8 , 2009 .   Jump up ^ Cohn , Paulette ( July 16 , 2012 ) . `` Paul Adelstein 's ' Grey 's Anatomy ' Disappointment '' . American Profile . Archived from the original on August 19 , 2012 . Retrieved September 3 , 2012 .   Jump up ^ Albiniak , Paige ( May 29 , 2005 ) . `` Why ' Grey ' Seems So Bright '' . Broadcasting &amp; Cable . NewBay Media . Retrieved September 4 , 2012 .   Jump up ^ Fonseca , Nicholas ( September 16 , 2005 ) . `` Playing Doctors '' . Entertainment Weekly . Retrieved June 13 , 2013 .   ^ Jump up to : `` Oprah Winfrey talks to Shonda Rhimes '' . Archived from the original on 2012 - 11 - 27 .   Jump up ^ `` EXCLUSIVE : Isaiah Washington Apologizes '' . People . October 25 , 2006 . Archived from the original on May 18 , 2015 .   Jump up ^ The Associated Press ( January 17 , 2007 ) . `` Isaiah Washington : `` I Love Gay '' `` . Access Hollywood . Archived from the original on 2007 - 01 - 20 . Retrieved 2007 - 01 - 17 .   Jump up ^ `` ABC drops Washington from Grey 's Anatomy '' . Cbc.ca . June 8 , 2007 . Archived from the original on June 11 , 2007 . Retrieved 2007 - 06 - 08 .   Jump up ^ Grey 's star says they fired the wrong guy Archived 2011 - 08 - 08 at the Wayback Machine. , Houston Chronicle , June 21 , 2007   Jump up ^ `` Racism was a factor '' Archived 2012 - 11 - 05 at the Wayback Machine. , Washington Post , June 28 , 2007   Jump up ^ For the transcript , see `` Archived copy '' . Archived from the original on 2012 - 10 - 19 . Retrieved 2012 - 09 - 29 .   Jump up ^ Goldberg , Lesley ( March 7 , 2014 ) . `` Isaiah Washington Returning to ' Grey 's Anatomy ' '' . The Hollywood Reporter . Archived from the original on March 7 , 2014 . Retrieved March 6 , 2014 .   ^ Jump up to : Duffy , Mike ( April 2 , 2006 -- September 10 , 2012 ) . `` TV : No tokens on this work force '' . The Orange County Register . Freedom Communications . Archived from the original on October 1 , 2015 . Retrieved September 10 , 2012 .   Jump up ^ Rhimes , Shonda ( May 17 , 2006 ) . `` From Shonda Rhimes ( FINALLY ) ... '' Grey Matter . American Broadcasting Company . Archived from the original on July 1 , 2013 . Retrieved September 3 , 2012 .   Jump up ^ oldenburg , Ann ( December 20 , 2005 ) . `` Love is no longer color - coded on TV '' . USA Today . Gannett Company . Archived from the original on March 2 , 2009 . Retrieved September 3 , 2012 .   Jump up ^ `` Winner Announcement '' ( PDF ) . www.pressacademy.com . International Press Academy . Archived from the original ( PDF ) on July 10 , 2007 . Retrieved January 22 , 2012 .   Jump up ^ Krause , Staci ( February 7 , 2007 ) . `` Grey 's Anatomy : `` Wishin ' and Hopin ' '' `` . IGN . Archived from the original on September 13 , 2007 . Retrieved June 22 , 2012 .   Jump up ^ Dahl , Oscar ( January 15 , 2007 ) . `` Top Ten Most Worthless TV Characters : # 5 Preston Burke '' . BuddyTV . Archived from the original on December 23 , 2012 . Retrieved September 3 , 2012 .    General    `` Grey 's Anatomy : Episode Recap Guide '' . ABC . Retrieved June 19 , 2012 .    External links ( edit )    Grey 's Anatomy at ABC.com      ( hide )         Grey 's Anatomy     Episodes     Season 1         5   6   7   8   9   10   11   12   13   14       Characters ( cast members )     Meredith Grey   Cristina Yang   Izzie Stevens   Alex Karev   George O'Malley   Miranda Bailey   Richard Webber   Preston Burke   Derek Shepherd   Addison Montgomery   Mark Sloan   Callie Torres   Lexie Grey   Erica Hahn   Owen Hunt   Sadie Harris   Arizona Robbins   Teddy Altman   Jackson Avery   April Kepner   Amelia Shepherd   Stephanie Edwards   Maggie Pierce   Nathan Riggs       Spin - offs     Private Practice   Station 19       Other     Awards and nominations   Soundtrack   Video game   A Corazón Abierto ( Mexican telenovela )   A Corazón Abierto ( Colombian telenovela )         Portal        Retrieved from `` https://en.wikipedia.org/w/index.php?title=Preston_Burke&amp;oldid=838558710 '' Categories :   Grey 's Anatomy characters   Fictional surgeons   Fictional African - American people   Fictional characters introduced in 2005   Hidden categories :   Webarchive template wayback links   Pages using deprecated image syntax   Articles to be expanded from September 2012   All articles to be expanded   Articles using small message boxes   All articles with unsourced statements   Articles with unsourced statements from September 2012           Talk                                           Contents                   About Wikipedia                                           Español   فارسی   </t>
    </r>
    <r>
      <rPr>
        <sz val="11"/>
        <color rgb="FF000000"/>
        <rFont val="Noto Sans CJK SC"/>
        <family val="2"/>
      </rPr>
      <t xml:space="preserve">한국어   </t>
    </r>
    <r>
      <rPr>
        <sz val="11"/>
        <color rgb="FF000000"/>
        <rFont val="Calibri"/>
        <family val="0"/>
        <charset val="1"/>
      </rPr>
      <t xml:space="preserve">Italiano   Македонски   Polski   Suomi   Edit links   This page was last edited on 27 April 2018 , at 19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</si>
  <si>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season does burke come back in grey's anatomy</t>
  </si>
  <si>
    <t xml:space="preserve"> While mentioned in passing throughout later seasons , Burke officially returns in the tenth season in order to conclude Cristina Yang 's departure from the series . </t>
  </si>
  <si>
    <t xml:space="preserve">Dancing with the Stars ( U.S. TV series ) - Wikipedia  Dancing with the Stars ( U.S. TV series )  Jump to : navigation , search    Dancing with the Stars         Genre   Reality competition     Based on   Strictly Come Dancing     Directed by   Alex Rudzinzki ( 2005 - 2016 ) Phil Heyes     Presented by     Tom Bergeron   Erin Andrews   Brooke Burke - Charvet   Samantha Harris   Lisa Canning       Judges     Len Goodman   Carrie Ann Inaba   Bruno Tonioli   Julianne Hough       Narrated by   Alan Dedicoat     Country of origin   United States     No. of seasons   25     No. of episodes   422     Production     Executive producer ( s )     Ashley Edens - Shaffer   Joe Sungkur   Rob Wade       Location ( s )   CBS Television City Los Angeles , California     Running time   40 -- 86 minutes     Production company ( s )   BBC Worldwide Productions Endemol Shine North America     Release     Original network   ABC     Picture format   720p ( HDTV )     Audio format   5.1 surround sound     Original release   June 1 , 2005 ( 2005 - 06 - 01 ) -- present     External links     Website     Dancing with the Stars is an American dance competition television series that premiered on June 1 , 2005 , on ABC . It is the US version of the UK series Strictly Come Dancing . The show is hosted by Tom Bergeron , alongside Erin Andrews , who became co-host in season eighteen . Lisa Canning was co-host in the first season , Samantha Harris co-hosted seasons two through nine and Brooke Burke - Charvet in seasons ten through seventeen . On May 12 , 2017 , it was announced that the series had been renewed for season 26 .   The format of the show consists of a celebrity paired with a professional dancer . Each couple performs predetermined dances and competes against the others for judges ' points and audience votes . The couple receiving the lowest combined total of judges ' points and audience votes is eliminated each week until only the champion dance pair remains .   Contents  ( hide )   1 Cast   1.1 Hosts   1.2 Judging panel   1.3 Cast timeline   1.4 Couples   1.5 Dance troupe and musicians     2 Series overview   3 Scoring and voting procedure   4 General information   4.1 Payment   4.2 Withdrawals   4.3 Macy 's Stars of Dance : Design a Dance     5 Special episodes   5.1 100th episode   5.2 200th episode   5.3 300th episode   5.4 400th episode   5.5 10th Anniversary Special   5.6 Tributes     6 Records   6.1 Average   6.2 Perfect scores   6.3 Professionals with perfect scores     7 Merchandise   7.1 Cardio dance DVDs   7.2 Companion book   7.3 Spin - offs   7.4 Tours     8 Reception   8.1 U.S. Nielsen ratings     9 Awards and nominations   9.1 Emmy Awards   9.2 Others     10 See also   11 References   12 External links    Cast   Hosts   Tom Bergeron has been the host since the program 's premiere in 2005 . In season 1 , his co-host was Lisa Canning . She was replaced by Samantha Harris for seasons 2 through 9 ( 2006 -- 09 ) , who was then replaced by Brooke Burke - Charvet from seasons 10 through 17 ( 2010 -- 13 ) . Erin Andrews took over as co-host starting in season 18 ( 2014 ) . Drew Lachey served as a temporary replacement for Harris during season 5 ( 2007 ) during her absence for 3 weeks due to maternity leave . Leah Remini filled in for Andrews in week 6 of season 19 , due to commitments with the 2014 World Series and filled in for her again in weeks 6 and 7 of season 21 for the 2015 World Series . Season 19 champion Alfonso Ribeiro filled in for Bergeron on week 4 of season 21 , due to Bergeron 's ailing father .   Judging panel   The regular judges are Len Goodman , who serves as head judge , Carrie Ann Inaba , and Bruno Tonioli . Goodman was absent for much of season 19 , all of season 21 , and much of season 23 . Julianne Hough , who was a professional dancing partner for seasons 4 -- 8 , was added as a full - time judge on the panel for 3 seasons , 19 -- 21 , after having been a guest judge in the previous 2 seasons . She did not return for season 22 . Hough did return as a full - time judge for seasons 23 and 24 but did not return for season 25 . Several former contestants appeared as judges in episode 200 ( in season 11 ) , including Hélio Castroneves , Mel B , Drew Lachey , Gilles Marini , Kelly Osbourne , and Emmitt Smith . Other celebrities , most often those who are associated with the world of dancing , former professional dancers , and past contestants have appeared as the 4th judge or in absence of 1 of the main judges , including Paula Abdul , Donnie Burns , Nick Carter , Cher , Maksim Chmerkovskiy , Michael Flatley , Kevin Hart , Jessie J , Baz Luhrmann , Ricky Martin , Idina Menzel , Abby Lee Miller , Mandy Moore , Olivia Newton - John , Kenny Ortega , Donny Osmond , Pitbull , Redfoo , Alfonso Ribeiro , Robin Roberts , Shania Twain , and Zendaya .   Cast timeline   Color key :     Host   Co-host   Contestant   Professional   Judge   Musical director   Guest Judge       Cast member   Seasons             5   6   7   8   9   10   11   12   13   14   15   16   17   18   19   20   21   22   23   24   25     Tom Bergeron       Lisa Canning         Samantha Harris           Brooke Burke - Charvet               Erin Andrews             Carrie Ann Inaba       Bruno Tonioli       Len Goodman           Julianne Hough                     Harold Wheeler         Ray Chew         Couples  See also : List of Dancing with the Stars ( U.S. ) competitors  A total of 286 celebrities have appeared in the 25 seasons of the series . For each season , the celebrities are paired with a professional partner who instructs them in the various dances each week and competes alongside them in the televised competition . A total of 44 professional partners have appeared alongside celebrities , some for only one season ( mostly in the earliest seasons ) .   Key :    Won the season   Placed second in the season   Placed third in the season   Placed last in the season   Withdrew in the season      ( show ) Professional dancer   Season             5   6   7   8   9   10   11   12   13   14   15   16   17   18   19   20   21   22   23   24   25     Alan Bersten   N / A   Debbie Gibson     Alec Mazo   Kelly Monaco   N / A   Paulina Porizkova   Josie Maran   N / A   Toni Braxton   N / A   Natalie Coughlin   N / A     Allison Holker   N / A   Jonathan Bennett   Riker Lynch   Andy Grammer   N / A   Kenny `` Babyface '' Edmonds   N / A     Andrea Hale   N / A   Kenny Mayne   N / A     Anna Demidova   N / A   Michael Irvin   N / A     Anna Trebunskaya   N / A   Jerry Rice   N / A   Albert Reed   Steve Guttenberg   N / A   Chuck Liddell   Evan Lysacek   Kurt Warner   Sugar Ray Leonard   Carson Kressley   Jack Wagner   Drew Lachey   N / A   Gary Busey   N / A     Artem Chigvintsev   N / A   Lea Thompson   Patti LaBelle   N / A   Mischa Barton   Maureen McCormick   Nancy Kerrigan   Nikki Bella     Ashly DelGrosso   Joey McIntyre   Master P   Harry Hamlin   N / A   Buzz Aldrin   N / A     Brian Fortuna   N / A   Shandi Finnessey   N / A     Charlotte Jørgensen   John O'Hurley   N / A     Chelsie Hightower   N / A   Ty Murray   Louie Vito   Jake Pavelka   Michael Bolton   Romeo Miller   N / A   Roshon Fegan   Hélio Castroneves   N / A     Cheryl Burke   N / A   Drew Lachey   Emmitt Smith   Ian Ziering   Wayne Newton   Cristián de la Fuente   Maurice Greene   Gilles Marini   Tom DeLay   Chad Ochocinco   Rick Fox   Chris Jericho   Rob Kardashian   William Levy   Emmitt Smith   D.L. Hughley   Jack Osbourne   Drew Carey   Antonio Sabàto , Jr .   N / A   Ryan Lochte   N / A   Terrell Owens     Corky Ballas   N / A   Cloris Leachman   N / A   Florence Henderson   N / A     Damian Whitewood   N / A   Pamela Anderson   N / A     Derek Hough   N / A   Jennie Garth   Shannon Elizabeth   Brooke Burke   Lil ' Kim   Joanna Krupa   Nicole Scherzinger   Jennifer Grey   N / A   Ricki Lake   Maria Menounos   Shawn Johnson   Kellie Pickler   Amber Riley   Amy Purdy   Bethany Mota   Nastia Liukin   Bindi Irwin   N / A   Marilu Henner   N / A     Dmitry Chaplin   N / A   Holly Madison   Mýa   N / A   Petra Nemcova   N / A     Edyta Śliwińska   Evander Holyfield   George Hamilton   Joey Lawrence   John Ratzenburger   Cameron Mathison   Jason Taylor   Jeffrey Ross   Lawrence Taylor   Ashley Hamilton   Aiden Turner   N / A   Geraldo Rivera   N / A     Elena Grinenko   N / A   Tucker Carlson   Clyde Drexler   N / A     Emma Slater   N / A   Bill Engvall   Billy Dee Williams   Michael Waltrip   Redfoo   Hayes Grier   N / A   Rick Perry   Rashad Jennings   Drew Scott     Fabian Sanchez   N / A   Marlee Matlin   N / A     Gleb Savchenko   N / A   Lisa Vanderpump   N / A   Jana Kramer   Erika Jayne   Sasha Pieterse     Henry Byalikov   N / A   Diana Nyad   N / A     Inna Brayer   N / A   Ted McGinley   N / A     Jenna Johnson   N / A   Jake T. Austin   N / A     Jesse DeSoto   N / A   Shanna Moakler   N / A     Jonathan Roberts   Rachel Hunter   Giselle Fernandez   N / A   Heather Mills   Marie Osmond   Monica Seles   N / A   Belinda Carlisle   Macy Gray   N / A     Julianne Hough   N / A   Apolo Anton Ohno   Hélio Castroneves   Adam Carolla   Cody Linley   Chuck Wicks   N / A     Karina Smirnoff   N / A   Mario Lopez   Billy Ray Cyrus   Floyd Mayweather , Jr .   Mario   Rocco DiSpirito   Steve Wozniak   Aaron Carter   N / A   Michael `` The Situation '' Sorrentino   Ralph Macchio   J.R. Martinez   Gavin DeGraw   Apolo Anton Ohno   Jacoby Jones   Corbin Bleu   Sean Avery   Randy Couture   N / A   Victor Espinoza   Doug Flutie   N / A     Keo Motsepe   N / A   Lolo Jones   Charlotte McKinney   Chaka Khan   Jodie Sweetin   N / A   Charo   Barbara Corcoran     Kym Johnson - Herjavec   N / A   Jerry Springer   Joey Fatone   Mark Cuban   Penn Jillette   Warren Sapp   David Alan Grier   Donny Osmond   N / A   David Hasselhoff   Hines Ward   David Arquette   Jaleel White   Joey Fatone   Ingo Rademacher   N / A   Robert Herjavec   N / A   Mr. T   N / A     Lacey Schwimmer   N / A   Lance Bass   Steve - O   Mark Dacascos   N / A   Kyle Massey   Mike Catherwood   Chaz Bono   N / A     Lindsay Arnold   N / A   Victor Ortiz   N / A   Alek Skarlatos   Wanya Morris   Calvin Johnson , Jr .   David Ross   Jordan Fisher     Louis van Amstel   Trista Sutter   Lisa Rinna   Monique Coleman   N / A   Priscilla Presley   N / A   Kelly Osbourne   Niecy Nash   Margaret Cho   Kendra Wilkinson   N / A   Sabrina Bryan   N / A   Paula Deen   N / A     Maksim Chmerkovskiy   N / A   Tia Carrere   Willa Ford   Laila Ali   Melanie Brown   N / A   Misty May - Treanor   Denise Richards   Debi Mazar   Erin Andrews   Brandy Norwood   Kirstie Alley   Hope Solo   Melissa Gilbert   Kirstie Alley   N / A   Meryl Davis   N / A   Amber Rose   Heather Morris   Vanessa Lachey     Mark Ballas   N / A   Sabrina Bryan   Kristi Yamaguchi   Kim Kardashian   Shawn Johnson   Melissa Joan Hart   Shannen Doherty   Bristol Palin   Chelsea Kane   Kristin Cavallari   Katherine Jenkins   Bristol Palin   Alexandra Raisman   Christina Milian   Candace Cameron Bure   Sadie Robertson   Willow Shields   Alexa PenaVega   Paige VanZant   N / A   Lindsey Stirling     Nick Kosovich   N / A   Tatum O'Neal   Vivica A. Fox   N / A     Peta Murgatroyd   N / A   Metta World Peace   Donald Driver   Gilles Marini   Sean Lowe   Brant Daugherty   James Maslow   Tommy Chong   Michael Sam   N / A   Nyle DiMarco   N / A   Nick Viall   Nick Lachey     Sasha Farber   N / A   Nicole `` Snooki '' Polizzi   N / A   Kim Fields   Terra Jolé   Simone Biles   N / A     Sharna Burgess   N / A   Andy Dick   Keyshawn Johnson   Charlie White   Tavis Smiley   Noah Galloway   Nick Carter   Antonio Brown   James Hinchcliffe   Bonner Bolton   Derek Fisher     Tony Dovolani   N / A   Stacy Keibler   Sara Evans   Leeza Gibbons   Jane Seymour   Marissa Jaret Winokur   Susan Lucci   Melissa Rycroft   Kathy Ireland   Kate Gosselin   Audrina Patridge   Wendy Williams   Chynna Phillips   Martina Navratilova   Melissa Rycroft   Wynonna Judd   Leah Remini   NeNe Leakes   Betsey Johnson   Suzanne Somers   Kim Zolciak - Biermann   Marla Maples   N / A     Tristan MacManus   N / A   Nancy Grace   Gladys Knight   Pamela Anderson   Dorothy Hamill   Valerie Harper   N / A     Tyne Stecklein   N / A   Bill Nye   N / A     Valentin Chmerkovskiy   N / A   Elisabetta Canalis   Sherri Shepherd   Kelly Monaco   Zendaya   Elizabeth Berkley Lauren   Danica McKellar   Janel Parrish   Rumer Willis   Tamar Braxton   Ginger Zee   Laurie Hernandez   Normani Kordei   Victoria Arlen     Witney Carson   N / A   Cody Simpson   Alfonso Ribeiro   Chris Soules   Carlos PenaVega   Von Miller   Vanilla Ice   Chris Kattan   Frankie Muniz     Dance troupe and musicians   In season 12 , the show introduced the troupe consisting of professional dancers who perform on the show but are not paired with celebrity partners . The first troupe in season 12 included Oksana Dmytrenko , Tristan MacManus , Peta Murgatroyd , Kiki Nyemchek , Nicole Volynets , and Ted Volynets . Members of the season 25 troupe are Artur Adamski , Brandon Armstrong , Hayley Erbert , Sasha Farber , Jenna Johnson , and Britt Stewart . Other past troupe members include Sharna Burgess , Dasha Chesnokova , Emma Slater , Henry Byalikov , Sonny Fredie Pedersen , Witney Carson , Julz Tocker , Lindsay Arnold , Gleb Savchenko , Artem Chigvintsev , Alan Bersten , Brittany Cherry , Shannon Holtzapffel , Dennis Jauch , Kiril Kulish , and Keo Motsepe .   Key :    Active member of the troupe   Professional partner      ( show ) Troupe members     Dancers   Seasons     12   13   14   15   16   17   18   19   20   21   22   23   24   25     Artur Adamski         Brandon Armstrong         Lindsay Arnold             Alan Bersten           Sharna Burgess           Henry Byalikov               Witney Carson           Dasha Chesnokova           Brittany Cherry               Artem Chigvintsev               Oksana Dmytrenko         Hayley Erbert         Sasha Farber                 Shannon Holtzapffel           Dennis Jauch           Jenna Johnson               Kiril Kulish           Tristan MacManus           Keo Motsepe             Peta Murgatroyd                 Kiki Nyemchek         Sonny Fredie Pedersen           Gleb Savchenko               Emma Slater               Britt Stewart         Julz Tocker           Nicole Volynets         Ted Volynets         For 17 seasons , the Harold Wheeler orchestra and singers provided the live music for the show . On Feb 7 , 2014 , it was announced that the new bandleader is Ray Chew . Along with him is a new band of instrumentalists and singers .   Series overview     Season   Number of   Duration dates   Partners in the finals     Couples   Weeks   First place   Second place   Third place       6   6   June 1 -- July 6 , 2005   Kelly Monaco &amp; Alec Mazo   John O'Hurley &amp; Charlotte Jørgensen   Joey McIntyre &amp; Ashly DelGrosso       10   8   January 5 -- February 24 , 2006   Drew Lachey &amp; Cheryl Burke   Jerry Rice &amp; Anna Trebunskaya   Stacy Keibler &amp; Tony Dovolani       11   10   September 12 -- November 15 , 2006   Emmitt Smith &amp; Cheryl Burke   Mario Lopez &amp; Karina Smirnoff   Joey Lawrence &amp; Edyta Śliwińska       11   10   March 19 -- May 22 , 2007   Apolo Anton Ohno &amp; Julianne Hough   Joey Fatone &amp; Kym Johnson   Laila Ali &amp; Maksim Chmerkovskiy     5   12   10   September 24 -- November 27 , 2007   Hélio Castroneves &amp; Julianne Hough   Mel B &amp; Maksim Chmerkovskiy   Marie Osmond &amp; Jonathan Roberts     6   12   10   March 17 -- May 20 , 2008   Kristi Yamaguchi &amp; Mark Ballas   Jason Taylor &amp; Edyta Śliwińska   Cristián de la Fuente &amp; Cheryl Burke     7   13   10   September 22 -- November 25 , 2008   Brooke Burke &amp; Derek Hough   Warren Sapp &amp; Kym Johnson   Lance Bass &amp; Lacey Schwimmer     8   13   11   March 9 -- May 19 , 2009   Shawn Johnson &amp; Mark Ballas   Gilles Marini &amp; Cheryl Burke   Melissa Rycroft &amp; Tony Dovolani     9   16   10   September 21 -- November 24 , 2009   Donny Osmond ‡ &amp; Kym Johnson   Mýa &amp; Dmitry Chaplin   Kelly Osbourne &amp; Louis Van Amstel     10   11   10   March 22 -- May 25 , 2010   Nicole Scherzinger &amp; Derek Hough   Evan Lysacek &amp; Anna Trebunskaya   Erin Andrews &amp; Maksim Chmerkovskiy     11   12   10   September 20 -- November 23 , 2010   Jennifer Grey ‡ &amp; Derek Hough   Kyle Massey &amp; Lacey Schwimmer   Bristol Palin &amp; Mark Ballas     12   11   10   March 21 -- May 24 , 2011   Hines Ward &amp; Kym Johnson   Kirstie Alley &amp; Maksim Chmerkovskiy   Chelsea Kane &amp; Mark Ballas     13   12   10   September 19 -- November 22 , 2011   J.R. Martinez &amp; Karina Smirnoff   Rob Kardashian &amp; Cheryl Burke   Ricki Lake &amp; Derek Hough     14   12   10   March 19 -- May 22 , 2012   Donald Driver &amp; Peta Murgatroyd   Katherine Jenkins &amp; Mark Ballas   William Levy &amp; Cheryl Burke     15   13   10   September 24 -- November 27 , 2012   Melissa Rycroft &amp; Tony Dovolani   Shawn Johnson &amp; Derek Hough   Kelly Monaco &amp; Valentin Chmerkovskiy     16   12   10   March 18 -- May 21 , 2013   Kellie Pickler &amp; Derek Hough   Zendaya &amp; Valentin Chmerkovskiy   Jacoby Jones &amp; Karina Smirnoff     17   12   11   September 16 -- November 26 , 2013   Amber Riley &amp; Derek Hough   Corbin Bleu &amp; Karina Smirnoff   Jack Osbourne &amp; Cheryl Burke     18   12   10   March 17 -- May 20 , 2014   Meryl Davis &amp; Maksim Chmerkovskiy   Amy Purdy &amp; Derek Hough   Candace Cameron Bure &amp; Mark Ballas     19   13   11   September 15 -- November 25 , 2014   Alfonso Ribeiro &amp; Witney Carson   Sadie Robertson &amp; Mark Ballas   Janel Parrish &amp; Valentin Chmerkovskiy     20   12   10   March 16 -- May 19 , 2015   Rumer Willis &amp; Valentin Chmerkovskiy   Riker Lynch &amp; Allison Holker   Noah Galloway &amp; Sharna Burgess     21   13   11   September 14 -- November 24 , 2015   Bindi Irwin &amp; Derek Hough   Nick Carter &amp; Sharna Burgess   Alek Skarlatos &amp; Lindsay Arnold     22   12   10   March 21 -- May 24 , 2016   Nyle DiMarco &amp; Peta Murgatroyd   Paige VanZant &amp; Mark Ballas   Ginger Zee &amp; Valentin Chmerkovskiy     23   13   11   September 12 -- November 22 , 2016   Laurie Hernandez * &amp; Valentin Chmerkovskiy   James Hinchcliffe &amp; Sharna Burgess   Calvin Johnson Jr . &amp; Lindsay Arnold     24   12   10   March 20 -- May 23 , 2017   Rashad Jennings &amp; Emma Slater   David Ross &amp; Lindsay Arnold   Normani Kordei &amp; Valentin Chmerkovskiy     25   13   10   September 18 -- November 21 , 2017   Jordan Fisher * &amp; Lindsay Arnold   Lindsey Stirling &amp; Mark Ballas   Frankie Muniz &amp; Witney Carson     * Youngest male winner at age 23 ; youngest female winner at age 16 ‡ Oldest male winner at age 52 ; oldest female winner at age 50   Scoring and voting procedure   In seasons 1 and 2 , only the overall ranking between competitors by the judges and the public was relevant . In season 3 and all subsequent seasons , the scoring system has made the exact scores relevant as well .   The scoring begins with the judges ' marks . Each judge gives a numeric score from 1 to 10 , for a total score of 3 to 30 . The scoring was altered for the `` all - star '' season 15 , during which judges could give scores at 1 / 2 - point intervals from 0.5 to 10 , for a total score of 1.5 to 30 . When multiple performances are scored , only the cumulative total counts . The contestants ' judges ' shares are calculated as the % of the total number of points awarded to all contestants that evening . ( For example , if a team earned 20 pts on a night when the judges awarded 200 pts , their judges ' share would be 20 / 200 = 10 % . ) This % is then added to the % of North American votes received by each contestant . The bottom 2 couples are identified at the end of the show , and the couple with the lowest combined total gets eliminated . Season 8 added an occasional ' dance - off ' , in which contestants could re-do 1 of their dances , in an effort to improve their judges ' score . This was later discontinued .   Public voting is conducted via a toll - free number , the ABC website , and , most recently , text messages and Facebook ; contestants can vote during and immediately after each performance show . The maximum number of votes per voter per medium is equal to the number of couples performing that night , or 5 votes , whichever is larger . In April 2010 , it was revealed that former contestant Kate Gosselin had e-mailed friends and family asking them to vote as many as 10x each . In Nov 2010 , the Washington Post reported that online voting appeared not to require a valid email address , and accordingly that numerous votes apparently could be cast by 1 person .   In several cases where ESPN coverage of Monday Night Football airs instead on an ABC affiliate in an NFL team 's home market , the program is delayed to air immediately after that station 's local news , and a voting window confined only to the area codes of the pre-empted market is opened up to allow affected viewers to still put their votes in for the competition , though this is on a market - by - market basis ( in some markets , an alternate sister station or digital subchannel carries the program live as scheduled ) .   Seasons 1 and 3 featured only 2 celebrities in the final week instead of 3 . Starting with season 16 , 4 celebrities made it into the final week , although the top 3 finalists proceeded to dance 1 more time for the judges after the 4th place couple was announced . In season 20 , there were 3 celebrities in the final week , but in seasons 21 , 23 and 25 , there were 4 . In seasons 22 and 24 , there were only 3 celebrities in the final week .   General information   Payment   On the April 18 , 2006 episode of the Howard Stern Radio Show , Stern 's wife Beth said that she was guaranteed to earn $125,000 for just appearing on DWTS ( in season 3 ) and could earn up to more than double the original sum , depending on how long she lasted on the program .   In season 21 , Bindi Irwin had her payments withheld by a Los Angeles County Superior Court judge because she was a minor , which therefore required her parents to sign - off on the contract . But although her mother signed , the contract lacked her father 's signature , so the judge refused to validate the contract , despite Irwin 's father being the world - famous naturalist Steve Irwin , whose death in 2006 had been widely covered in the news / media . The judge later validated the contract once Steve Irwin 's death certificate was presented to the court , resulting in Bindi receiving a $350,000 paycheck from the show .   Withdrawals   The first person to withdraw from competition was Romeo in season 2 . His father , Master P , took his place in the competition before the beginning of broadcasts , being partnered with Ashly DelGrosso . However , Romeo later competed in season 12 and finished in 5th place . He was partnered with Chelsie Hightower .   On week six in season three , Sara Evans cited her divorce as the reason for leaving the competition . No one was eliminated that week .   Another withdrawal occurred during the run - up to season four on February 28 , when Vincent Pastore withdrew from the competition after only one week of training . Pastore said he did not realize how much work was needed during a ten - week period , and that he was not up to the physical demands of the show . He was replaced on March 2 by Pixar voice actor John Ratzenberger who was partnered with Edyta Sliwinska .   In season seven , Misty May - Treanor withdrew from the competition in week three , after rupturing her Achilles tendon when rehearsing her jive with her partner , Maksim Chmerkovskiy . She did not perform the routine at all nor was she scored for it ; no one else was eliminated that week .   In season eight , Jewel and Nancy O'Dell were injured before the season even began and could not compete . Jewel was diagnosed with fractured tibias in both legs ; she came back later in the season to perform `` Somewhere Over the Rainbow '' on a results show . O'Dell suffered from a torn knee cartilage . They were replaced by Holly Madison and Melissa Rycroft who would be dancing with their partners for the rest of the season ( Dmitry Chaplin and Tony Dovolani ) .   Tom DeLay , in season nine , withdrew in week three of competition due to a full stress fracture that had developed in both feet from an earlier pre-stress fracture in one foot . DeLay was declared safe before he announced his withdrawal during the October 6 , 2009 results show . Debi Mazar was still eliminated that night despite DeLay 's departure .   In season sixteen , Olympic figure skating champion Dorothy Hamill had to withdraw from the competition due to doctor 's orders for a spinal injury . A cyst had developed near her lower spine , and was pinching off the nerve in that area . Either boxing champion Victor Ortiz or reality TV star Lisa Vanderpump would 've been eliminated , but Hamill withdrew before the results could be announced , meaning that no one was eliminated that week .   In season eighteen , week three , actor Billy Dee Williams withdrew , by advice from a doctor , due to a chronic back problem ( which resulted in no elimination that week ) .   In season twenty - one , week three , reality TV star Kim Zolciak - Biermann was forced to withdraw from the competition after suffering a blood clot which resulted in a mini stroke ( which resulted in no elimination that week ) . Tamar Braxton also withdrew from the season due to blood clots in her lungs making it the first season to have two withdrawals in it .   Macy 's Stars of dance : design a dance   Beginning season 7 , viewers had the opportunity to vote for their favorite pros ( or in some cases former contestants ) to dance to a style of dance as well as a song to dance to . An online contest is also usually held so viewers can submit drawings of outfits for the performance .   Special Episodes   100th episode   The show celebrated its 100th episode on Tuesday , May 6 , 2008 , during week 8 of season 6 . More than 30 former cast members and pros returned , with interviews with Stacy Keibler , Lisa Rinna , Jerry Springer , Vivica A. Fox , Joey Fatone , Kenny Mayne , Sabrina Bryan , and former winners Kelly Monaco , Drew Lachey , and Apolo Anton Ohno . Other appearances , besides the season 6 cast , included Paula Abdul ( in a video introduction ) , Jane Seymour , Ian Ziering , Mark Cuban , Wayne Newton , Leeza Gibbons , Harry Hamlin , Shandi Finnessey , and Hélio Castroneves . New routines were performed by Apolo Anton Ohno and Julianne Hough , Mel B and Maksim Chmerkovskiy , and by Mario Lopez with the cast of A Chorus Line , in which he was starring on Broadway . The musical guest was country group Rascal Flatts .    Judges ' top 10 dances    The judges also presented a countdown of their choices for the top 10 perfect - scoring dances of the 1st 5 seasons . Their choices were :     No .   Celebrity   Professional   Season   Week   Dance   Place       Mario Lopez   Karina Smirnoff     9   Tango   2nd       Mel B   Maksim Chmerkovskiy   5   7   Paso doble   2nd       Stacy Keibler   Tony Dovolani     8   Samba   3rd       Drew Lachey   Cheryl Burke     8   Freestyle   1st     5   Helio Castroneves   Julianne Hough   5   8   Quickstep   1st     6   Joey Fatone   Kym Johnson     7   Jive   2nd     7   Apolo Anton Ohno   Julianne Hough     9   Quickstep   1st     8   Emmitt Smith   Cheryl Burke     9   Cha - cha - cha   1st     9   Sabrina Bryan   Mark Ballas   5     Paso doble   7th     10   Kelly Monaco   Alec Mazo     6   Freestyle   1st     200th episode   In season 11 , viewers were allowed 2 votes per day on the DWTS website to vote for their favorite out of 30 given choices . On Oct 25 , 2010 , a countdown of the Top 10 voted for dances on the show was reported to celebrate the following week when the 200th show would be .     No .   Celebrity   Professional   Season   Week   Dance   Place       Drew Lachey   Cheryl Burke     8   Freestyle   1st       Gilles Marini   Cheryl Burke   8     Argentine tango   2nd       Apolo Anton Ohno   Julianne Hough     5   Samba   1st       Nicole Scherzinger   Derek Hough   10   8   1950 's Paso doble   1st     5   Mel B   Maksim Chmerkovskiy   5   7   Paso doble   2nd     6   Joanna Krupa   Derek Hough   9   8   Futuristic Paso doble   4th     7   Apolo Anton Ohno   Julianne Hough     10   Freestyle   1st     8   Helio Castroneves   Julianne Hough   5   8   Quickstep   1st     9   Donny Osmond   Kym Johnson   9   5   Argentine tango   1st     10   Shawn Johnson   Mark Ballas   8   11   Freestyle   1st     On the actual 200th show , several dances were performed again on the show and 6 of the past fan favorites came back to judge ; Helio Castroneves , Emmitt Smith , Drew Lachey , Kelly Osbourne , Gilles Marini , Mel B , and more . The couples re-created their most memorable routines on the 200th episode ; Kristi Yamaguchi and Apolo Ohno served as team captains for the team dances . Yamaguchi 's team consisted of Rick &amp; Cheryl , Kyle &amp; Lacey and Bristol &amp; Mark , while Brandy &amp; Maksim , Jennifer &amp; Derek and Kurt &amp; Anna were on Ohno 's team . On the results show of November 2 , some awards were given out to past celebrity contestants and professionals .     Category   Winner     Most Dramatic Moment   Marie Osmond     Worst Dancer   Kenny Mayne     Biggest Dancer Transformation   Louis van Amstel     300th episode   The 300th episode took place on the week 9 results show of season 16 . 22 past and present pros performed an opening number choreographed by Jason Gilkinson . Past pros who performed were Chelsie Hightower , Dmitry Chaplin , Louis Van Amstel , and Anna Trebunskaya . Kellie Pickler and Derek Hough danced their `` Argentine tango '' as the week 's encore . However , the top 10 dances were not revealed , nor were the achievements .   400th episode   The 400th episode took place on the season premiere of the twenty - fourth season . Tom Bergeron did mention so ; however , no special dances took place .   10th anniversary special   On April 28 , 2015 , during season 20 , a special pre-recorded episode aired as a 10th anniversary special with many former stars and professional dancers returning to the ballroom . Many past stars performed and reflected on their time on the show . Patti LaBelle , Amber Riley , and Lil ' Kim performed LaBelle 's `` Lady Marmalade '' . The show closed with the largest number of people dancing in the show 's history as stars , pros , hosts , and judges were all out on the dance floor .   Tributes   In seasons 9 and 10 , three tribute performances were done to honor the memory of artists and others . The first was a tribute to recently deceased actor Patrick Swayze , on Sep 23 , 2009 . `` She 's Like the Wind '' from the Dirty Dancing soundtrack ( originally written by Swayze for Dirty Dancing ) , `` Unchained Melody '' from his film Ghost , and `` ( I 've had ) the Time of my Life '' from Dirty Dancing were performed by select professional dancers of the show .   On Oct 20 , 2009 , a tribute was done for singer and dancer , Michael Jackson . `` I Want You Back '' , `` Man in the Mirror '' , and `` Thriller '' were performed -- the first two songs by select professional dancers of the show , and all coming together for `` Thriller '' .   In season 10 , professional Haitian dancers performed as a tribute to victims of the 2010 Haiti earthquake on March 30 , 2010 . One of the male dancers , Emmanuel Pierre - Antoine , had lost his son in the rubble . They were dancing to `` Dance Like This '' by Wyclef Jean .   In season 24 , to honor the passing of season 11 contestant Florence Henderson on November 24 , 2016 , a special tribute to Henderson was displayed on the dance floor . The season 24 premiere aired on March 20 , 2017 .   Records   Average   This is a list of the celebrities with the highest averages . All averages above 27 out of a possible 30 are shown here . ( Averages out of 40 were rounded to be out of 30 )     Rank   Season   Place   Celebrity   Professional   Average Score       18   Champion   Meryl Davis   Maksim Chmerkovskiy   28.40       6   Champion   Kristi Yamaguchi   Mark Ballas   28.33       8   Runner - up   Gilles Marini   Cheryl Burke   28.06       15   Champion   Melissa Rycroft   Tony Dovolani   28.00     20   Runner - up   Riker Lynch   Allison Holker     6   25   Champion   Jordan Fisher   Lindsay Arnold   27.94     7   15   Runner - up   Shawn Johnson   Derek Hough   27.93     8   21   Champion   Bindi Irwin   Derek Hough   27.88     9   14   Runner - up   Katherine Jenkins   Mark Ballas   27.87     18   Runner - up   Amy Purdy   Derek Hough     11   17   Champion   Amber Riley   Derek Hough   27.75     20   Champion   Rumer Willis   Valentin Chmerkovskiy     13     3rd Place   Stacy Keibler   Tony Dovolani   27.73     Champion   </t>
  </si>
  <si>
    <t xml:space="preserve">who has the highest score on dancing with the stars</t>
  </si>
  <si>
    <t xml:space="preserve">   Rank   Season   Place   Celebrity   Professional   Average Score       18   Champion   Meryl Davis   Maksim Chmerkovskiy   28.40       6   Champion   Kristi Yamaguchi   Mark Ballas   28.33       8   Runner - up   Gilles Marini   Cheryl Burke   28.06       15   Champion   Melissa Rycroft   Tony Dovolani   28.00     20   Runner - up   Riker Lynch   Allison Holker     6   25   Champion   Jordan Fisher   Lindsay Arnold   27.94     7   15   Runner - up   Shawn Johnson   Derek Hough   27.93     8   21   Champion   Bindi Irwin   Derek Hough   27.88     9   14   Runner - up   Katherine Jenkins   Mark Ballas   27.87     18   Runner - up   Amy Purdy   Derek Hough     11   17   Champion   Amber Riley   Derek Hough   27.75     20   Champion   Rumer Willis   Valentin Chmerkovskiy     13     3rd Place   Stacy Keibler   Tony Dovolani   27.73     Champion   Drew Lachey   Cheryl Burke     15   23   Champion   Laurie Hernandez   Valentin Chmerkovskiy   27.70     19   Champion   Alfonso Ribeiro   Witney Carson     17     Runner - up   Mario Lopez   Karina Smirnoff   27.60     5   Runner - up   Mel B   Maksim Chmerkovskiy     19   15   6th Place   Gilles Marini   Peta Murgatroyd   27.55     20   20   4th Place   Nastia Liukin   Derek Hough   27.54     21     Champion   Apolo Anton Ohno   Julianne Hough   27.53     10   Champion   Nicole Scherzinger   Derek Hough     23     Runner - up   Joey Fatone   Kym Johnson   27.47     14   3rd Place   William Levy   Cheryl Burke     23   Runner - up   James Hinchcliffe   Sharna Burgess     26   24   3rd Place   Normani Kordei   Valentin Chmerkovskiy   27.45     27   16   Champion   Kellie Pickler   Derek Hough   27.40     28   17   Runner - up   Corbin Bleu   Karina Smirnoff   27.38     19   3rd Place   Janel Parrish   Valentin Chmerkovskiy     30   16   Runner - up   Zendaya   Valentin Chmerkovskiy   27.33     31   9   Runner - up   Mýa   Dmitry Chaplin   27.29     32   15   5th Place   Apolo Anton Ohno   Karina Smirnoff   27.25     33   19   4th Place   Bethany Mota   Derek Hough   27.20     34   11   Champion   Jennifer Grey   Derek Hough   27.18     21   Runner - up   Nick Carter   Sharna Burgess     36   5   Champion   Hélio Castroneves   Julianne Hough   27.13     22   Runner - up   Paige VanZant   Mark Ballas     38   15   8th Place   Sabrina Bryan   Louis Van Amstel   27.07     39   7   Champion   Brooke Burke   Derek Hough   27.06     14   Champion   Donald Driver   Peta Murgatroyd     41   25   Runner - up   Lindsey Stirling   Mark Ballas   27.05     42     3rd Place   Laila Ali   Maksim Chmerkovskiy   27.00     5   7th Place   Sabrina Bryan   Mark Ballas     18   5th Place   Charlie White   Sharna Burgess     24   Champion   Rashad Jennings   Emma Slater   </t>
  </si>
  <si>
    <t xml:space="preserve">The end of the innocence ( song ) - wikipedia  The end of the innocence ( song )       This article needs additional citations for verification . Please help improve this article by adding citations to reliable sources . Unsourced material may be challenged and removed . ( December 2013 ) ( Learn how and when to remove this template message )       `` The End of the Innocence ''         Single by Don Henley     from the album The End of the Innocence     Released   June 6 , 1989     Format   CD     Recorded       Length   5 : 16     Label   Geffen     Songwriter ( s )   Don Henley Bruce Hornsby     Producer ( s )   Don Henley Bruce Hornsby     Don Henley singles chronology        `` Sunset Grill '' ( 1985 )   `` The End of the Innocence '' ( 1989 )   `` I Will Not Go Quietly '' ( 1989 )           `` Sunset Grill '' ( 1985 )   `` The End of the Innocence '' ( 1989 )   `` I Will Not Go Quietly '' ( 1989 )            Audio sample       file   help           `` The End of the Innocence '' is the lead single and title track from Don Henley 's third solo studio album of the same name , released in 1989 . Henley co-wrote and co-produced the song with Bruce Hornsby , who also performed piano ; both artists perform the song live in their respective concerts . Henley 's version peaked at number eight on the Billboard Hot 100 , becoming his fifth solo top ten hit on the chart . `` The End of the Innocence '' also became his fourth number - one single on the Mainstream Rock Tracks chart and peaked at number two on the Hot Adult Contemporary chart . The song features Wayne Shorter on saxophone .     Contents  ( hide )   1 Background and content   2 Music video   3 Chart performance   3.1 Weekly charts   3.2 Year - end charts     4 See also   5 References      Background and content ( edit )       This section possibly contains original research . Please improve it by verifying the claims made and adding inline citations . Statements consisting only of original research should be removed . ( October 2011 ) ( Learn how and when to remove this template message )     Henley 's lyrics take the form of a personal remembrance of a close friend or companion , and evoke a powerful sense of nostalgia for the lost innocence of childhood . The music was written by Bruce Hornsby years earlier . Don was driving back from Bruce 's ranch in Moorpark when he found out that a friend had been indicted for securities fraud -- - at the time the government was going after Michael Milken , thus the references to having to call the lawyers `` because Daddy had to lie . '' The `` place where we can go '' refers to his 50 - acre ranch outside Aspen , Colorado off Woody Creek Rd . The reflections and the emotional responses represent the end of the innocence of the baby boomers , which for some was coupled with a perception of nihilism , consumerism , and militarism during the Reagan administration . Even as they yearn for the simplicity and values of the past and the uncorrupted people they used to be , the song sees them coming to terms with the responsibilities and challenges facing Americans entering middle - age in the 1980s .   Music video ( edit )   The black and white music video for the song was directed by future film director David Fincher ( Seven , Fight Club ) and earned Henley an MTV Video Music Award for Best Male Video in 1990 .   There are two political comments in the video . At the line `` armchair warriors often fail , '' it shows a TV set showing scenes of the congressional testimony of Oliver North . At the line `` they 're beating plowshares into swords , for the tired old man that we elected king , '' it shows a series of posters of President Ronald Reagan . After Reagan had left office , Bruce Hornsby began singing his version with the line `` for the tired old man that is no longer king . ''   Also in the video , there are shots of Henley singing in front of the Texas School Book Depository in Dealey Plaza , Dallas , Texas . To Henley , this is where the `` end of the innocence '' can be found . A portion of the video was also filmed in the town of Waxahachie , Texas , just south of Dallas at the historic Rogers Hotel , where Bonnie and Clyde stayed and where the movies Places in the Heart and Tender Mercies were filmed .   Chart performance ( edit )      Weekly charts ( edit )     Chart ( 1989 - 1990 )   Peak position     Canadian RPM Top Singles       Canadian RPM Adult Contemporary       UK Singles Chart   48     U.S. Billboard Hot 100   8     U.S. Billboard Adult Contemporary Tracks       U.S. Billboard Album Rock Tracks         Year - end charts ( edit )     Chart ( 1989 )   Position     Canada Top Singles ( RPM )   15        See also ( edit )    Ronald Reagan in music    References ( edit )    Jump up ^ Whitburn , Joel ( 2002 ) . Top Adult Contemporary : 1961 - 2001 . Record Research . p. 114 .   Jump up ^ `` Top Singles - Volume 51 , No. 8 , December 23 , 1989 '' . RPM . December 23 , 1999 . Retrieved November 22 , 2017 .              Don Henley     Studio albums     I Ca n't Stand Still   Building the Perfect Beast   The End of the Innocence   Inside Job   Cass County       Compilation albums     Actual Miles : Henley 's Greatest Hits   The Very Best of Don Henley   One of These Nights : Boston 1993       Singles     `` Johnny Ca n't Read ''   `` Dirty Laundry ''   `` The Boys of Summer ''   `` All She Wants to Do Is Dance ''   `` Not Enough Love in the World ''   `` Sunset Grill ''   `` The End of the Innocence ''   `` New York Minute ''   `` The Last Worthless Evening ''   `` The Heart of the Matter ''   `` The Garden of Allah ''   `` Everybody Knows ''       Guest singles     `` Leather and Lace ''   `` Sometimes Love Just Ai n't Enough ''   `` Walkaway Joe ''   `` Inside Out ''       See also     Discography   Eagles                 Bruce Hornsby     Albums     The Way It Is   Scenes from the Southside   A Night on the Town   Harbor Lights   Hot House   Spirit Trail   Here Come The Noise Makers   Big Swing Face   Halcyon Days   Intersections ( 1985 - 2005 )   Ricky Skaggs &amp; Bruce Hornsby   Camp Meeting   Levitate   Bride of the Noisemakers   Rehab Reunion       Songs     `` Every Little Kiss ''   `` The Way It Is ''   `` Mandolin Rain ''   `` The Valley Road ''   `` Jacob 's Ladder ''   `` The End of the Innocence ''   `` Barren Ground ''       Related articles     Grateful Dead   The Other Ones   Jerry Garcia   Sonny Emory   Christian McBride   Jack DeJohnette   Ricky Skaggs   Pat Metheny   Branford Marsalis   Bonnie Raitt   Steve Kimock   David Mansfield   Joe Puerta   John Molo   John Hornsby   Don Henley   Huey Lewis   Béla Fleck                 Films directed by David Fincher       Alien 3 ( 1992 )   Seven ( 1995 )   The Game ( 1997 )   Fight Club ( 1999 )   Panic Room ( 2002 )   Zodiac ( 2007 )   The Curious Case of Benjamin Button ( 2008 )   The Social Network ( 2010 )   The Girl with the Dragon Tattoo ( 2011 )   Gone Girl ( 2014 )      Retrieved from `` https://en.wikipedia.org/w/index.php?title=The_End_of_the_Innocence_(song)&amp;oldid=843211818 '' Categories :   1989 songs   1989 singles   Don Henley songs   Billboard Mainstream Rock number - one singles   MTV Video Music Award for Best Male Video   Songs written by Bruce Hornsby   Songs written by Don Henley   Music videos directed by David Fincher   Black - and - white music videos   Geffen Records singles   Hidden categories :   Articles needing additional references from December 2013   All articles needing additional references   Articles with hAudio microformats   Articles that may contain original research from October 2011   All articles that may contain original research           Talk                                           Contents                   About Wikipedia                                           Add links   This page was last edited on 27 May 2018 , at 17 : 19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</si>
  <si>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this is the end of the innocence</t>
  </si>
  <si>
    <t xml:space="preserve"> `` The End of the Innocence '' is the lead single and title track from Don Henley 's third solo studio album of the same name , released in 1989 . Henley co-wrote and co-produced the song with Bruce Hornsby , who also performed piano ; both artists perform the song live in their respective concerts . Henley 's version peaked at number eight on the Billboard Hot 100 , becoming his fifth solo top ten hit on the chart . `` The End of the Innocence '' also became his fourth number - one single on the Mainstream Rock Tracks chart and peaked at number two on the Hot Adult Contemporary chart . The song features Wayne Shorter on saxophone . </t>
  </si>
  <si>
    <r>
      <rPr>
        <sz val="11"/>
        <color rgb="FF000000"/>
        <rFont val="Calibri"/>
        <family val="0"/>
        <charset val="1"/>
      </rPr>
      <t xml:space="preserve">PJ Masks - Wikipedia  PJ Masks  Jump to : navigation , search    PJ Masks         Genre     Action   Superhero       Created by   Romuald Racioppo     Based on   Les Pyjamasques by Romuald Racioppo     Directed by     Christian De Vita   Wilson Dos Santos       Voices of     Jacob Ursomarzo   Addison Holley   Kyle Harrison Breitkopf   Alex Thorne   Devan Cohen   Brianna Daguanno   Carter Thorne       Theme music composer     Eric Renwart   David Freedman       Composer ( s )   Fabrice Aboulker Jean - Francois Berger     Country of origin     France   United Kingdom       Original language ( s )   English     No. of seasons       No. of episodes   36 ( and 20 shorts ) ( list of episodes )     Production     Executive producer ( s )     Olivier Dumont   Laura Clunie       Producer ( s )     Guillaume Hellouin   Corinne Kouper       Running time   24 minutes     Production company ( s )     Entertainment One   Frog Box Productions   TeamTO       Release     Original network   Disney Junior     Picture format   HDTV 1080i     Audio format   Stereo     Original release   September 18 , 2015 ( 2015 - 09 - 18 ) -- present     External links     Website     Production website     PJ Masks is an animated children 's television series produced by Entertainment One , Frog Box , and TeamTO . The series is based on the Les Pyjamasques book series by Romuald Racioppo . The series debuted on Disney Junior in the United States on September 18 , 2015 . In June 2016 , a second season , consisting of another 52 11 - minute segments , was announced ; it began airing on January 15 , 2018 .     Contents  ( hide )   1 Episodes   2 Characters   2.1 Heroes   2.2 Villains   2.3 Recurring     3 Production   4 References   5 External links      Episodes  Main article : List of PJ Masks episodes    Season   Segments   Episodes   Originally aired     First aired   Last aired         52   26   September 18 , 2015 ( 2015 - 09 - 18 )   February 17 , 2017 ( 2017 - 02 - 17 )       Shorts   --   20   July 31 , 2017 ( 2017 - 07 - 31 )   December 1 , 2017 ( 2017 - 12 - 01 )         52   TBA   January 15 , 2018 ( 2018 - 01 - 15 )   TBA     Characters   Heroes    Connor / Catboy ( voiced by Jacob Ewaniuk in Season 1 , and Jacob Ursomarzo in Season 2 ) is a blue - eyed boy with brown hair . When he transforms he wears a blue cat costume with cat ears and a thin feline tail . He is the leader of the group . He has super-hearing using Cat Ears , can leap high and far using Super Cat Jump , and sprints fast using Super Cat Speed , or just Super Speed . His main flaws are his impulsiveness and his need to control , flaws which can be exploited by the team 's opponents . His vehicle is the Cat Car located in the middle segment of the PJ Masks ' tower . His bedroom is on the second floor of a blue - roofed blue - doored house next to Amaya 's .   Amaya / Owlette ( voiced by Addison Holley ) is an auburn - eyed girl with brown hair who wears red glasses . She is the only female member of the PJ Masks . she transforms into owelette , she has owl eyes which lets her see things that are far away up close , and she also has super owl wing wind . Her vehicle is the Owl - Glider , which can also do a `` Super Owl Wing Wind '' . She is housed in her top segment of the PJ Masks ' tower . Her bedroom is on the third floor of a red - roofed red - doored home with a walled - in yard between Connor and Greg 's houses .   Greg / Gekko ( voiced by Kyle Harrison Breitkopf ) is a green - eyed , blonde haired boy . When he transforms he wears a green costume with a thick reptilian tail , fins on top of his head . His powers are , Super Gekko Camouflage to go invisible or blend into his surroundings , Super Gekko Muscles ( aka Super Muscles ) to lift heavy things , Super Lizard Grip to climb walls or anchor himself to stop vehicles , and Super Lizard Water Run to walk on water . He has exhibited enough strength to lift a mobile laboratory off the ground . His vehicle is the Gekko - Mobile , which is also a submersible vehicle which can travel underwater and also ride up &amp; over buildings via land on tank treads which is slower than the Cat - Car . His vehicle is located in the bottom segment of the PJ Masks tower . The vehicle has abilities similar to him , with a `` Gekko - Mobile Camouflage '' letting it blend in with surroundings . His bedroom is on the second floor of a green - roofed green - doored house next to Amaya 's .   PJ Robot is a robot that Romeo created to infiltrate the PJ masks HQ , however PJ robot decided to be a PJ Mask rather than a villain 's sidekick . He joined the PJ Masks Team in season 2 .    Villains    Armadillain ( voiced by Max Calinescu ) is one of the two main villains in the series who was transformed into a villain and a former PJ Mask member who got kicked off the team by the PJ Masks because he was too reckless . He becomes Romeo 's ally and his main goal is to get revenge on PJ Masks for kicking him off their team .   Romeo ( voiced by Alex Thorne presently and by Carter Thorne in Shorts ) is the one of the two main villains in the series who comes up with a variety of devices from his mobile lab . His favorite inventions ( as said in `` Owlette 's New Move '' ) are his Robot , his La - Boggin , his Track - A-Whacker , and Radical Romeo Remote . He once took over the city in `` Gekko and the Mayhem at the Museum ''   Night Ninja ( voiced by Trek Buccino in Season 1 and Devan Cohen in the short films and Season 2 ) is the tertiary villain who controls a bunch of minions called the Ninjalinos . He and Romeo once teamed up in `` Catboy and the Shrinker . ''   Luna Girl ( voiced by Brianna Daguanno ) is the secondary villain with a Luna Magnet device . This once included a giant Moon - Ball , which could steal objects and swallow her enemies . She once teamed with her all time enemies while defeating Romeo in `` Gekko and the Mighty Moon Problem . ''   Werewolf Kids / Howler , Rip , and Kevin , ( voiced by Ethan Puggiotto ) are new kids that turn to werewolves when the full moon is out .    Recurring    Cameron ( voiced by Tristan Samuel in Season 1 and Jonah Wineberg in Season 2 ) is a boy in the same class as PJ Masks when they attend school during the day as civilians . He once scared Amaya with a T - Rex cutout the same way Connor did earlier in `` Owlette 's Terrible Pterodactyl Trouble '' , but Connor learned his lesson and tells Cameron not to do it .   Teacher ( voiced by Rob Tinkler ) is an unnamed adult male who teaches Connor , Greg , and Amaya 's class . When things disappear , he thinks it 's strange .   Jayden Houston is a popular singer that is known for his golden microphone . His microphone was stolen by Luna Girl in `` Catboy 's Tricky Ticket , '' but was later recovered by the PJ Masks .   Master Fang is the protagonist of his own comic book and TV series . He is largely looked up to by Connor and Greg , but Amaya does n't seem to care about him much . He is known for his signature sword which was stolen by Night Ninja in `` Catboy and Master Fang 's Sword . ''   Kick McGee is Master Fang 's unseen sidekick . His persona is often used by during missions .   Flossy Flash is a female comic book superhero that is looked up to by Owlette . Owlette prefers her over Master Fang and Kick McGee who are favored by Catboy and Gekko .   The announcer ( voiced by Ron Pardo ) is a male voice that is heard in every episode . He is never seen , but is known for saying his signature introduction sequence .   Robette is one of Romeo 's inventions it began to try to take over the world herself in `` Catboy and Gekko 's Robot Rampage '' . This was due to a loose screw and was later resolved . During the episode , Romeo 's original robot became jealous of Robette , which resulted in the robot running away . This was also later resolved and Romeo became friends with Robot again . She returned again in Season 2 .    Production   PJ Masks is a British / French coproduction by Entertainment One , Frog Box , and TeamTO . The series was renewed for a second season consisting of 52 11 - minute segments in June 2016 ; the second season premiered on January 15 , 2018 .   References    Jump up ^ `` PJmasks '' . TeamTO . Archived from the original on April 2 , 2015 . Retrieved December 1 , 2016 .   Jump up ^ Jennifer Wolfe ( October 2 , 2015 ) . `` ' PJ Masks ' Sees Strong U.S. Debut '' . Animation World Network . Retrieved December 1 , 2016 .   Jump up ^ Luke McCord ( September 2 , 2015 ) . `` Disney Channel , Disney Junior to Debut ' PJ Masks ' Sept. 18 '' . Broadcasting &amp; Cable . Retrieved December 1 , 2016 .   ^ Jump up to : Georg Szalai ( June 15 , 2016 ) . `` Disney Junior 's ' PJ Masks ' to Get Second Season '' . The Hollywood Reporter . Retrieved May 6 , 2018 .   Jump up ^ Jordan Pinto ( June 15 , 2016 ) . `` PJ Masks greenlit for second season '' . Kidscreen . Retrieved May 6 , 2018 .   Jump up ^ `` Catboy and the Shrinker '' . PJ Masks . I 'm not that little , and I can still be your leader .   ^ Jump up to : PJ Masks . Episode 2 .   ^ Jump up to : `` Owlette and the Moonball '' . PJ Masks. 21 minutes in . We need to play as a team . Gekko , use your Super Muscles , Catboy , use your Super Speed , and I 'll use my Owl Wing Wind !   Jump up ^ Greg . `` Looking After Gekko '' . PJ Masks. 1 minutes in . You 're always trying to protect me because I 'm the youngest . I 'm not a baby , I can take care of myself .   Jump up ^ John Hopewell ; Emilio Mayorga ( June 18 , 2016 ) . `` Annecy : TeamTO Re-Ups on ' PJ Masks , ' ' Skylanders ' ( EXCLUSIVE ) '' . Variety . Retrieved May 6 , 2018 .    External links    France portal   UK portal   Television portal   Disney portal     Official website   PJ Masks on IMDb   PJ Masks at TheTVDB.com   PJ Masks on Disney Junior   PJ Masks on Entertainment One   PJ Masks on Frog Box   PJ Masks on TeamTO   Retrieved from `` https://en.wikipedia.org/w/index.php?title=PJ_Masks&amp;oldid=840840646 '' Categories :   2010s British animated television series   2010s French animated television series   2015 British television programme debuts   2015 French television series debuts   Animated superhero television series   British action television series   British children 's animated television programmes   British fantasy television series   British computer - animated television series   French computer - animated television series   English - language television programs   Fictional trios   French children 's animated action television series   French children 's animated fantasy television series   Television programs based on children 's books   Television series by Entertainment One   2010s British children 's television series   Disney Junior   Hidden categories :   Wikipedia pages semi-protected against vandalism   All articles with unsourced statements   Articles with unsourced statements from January 2018   Official website different in Wikidata and Wikipedia           Talk                           View source                 Contents                   About Wikipedia                                             Български   Deutsch   Ελληνικά   Español   Français   Bahasa Indonesia   Italiano   עברית   Magyar   </t>
    </r>
    <r>
      <rPr>
        <sz val="11"/>
        <color rgb="FF000000"/>
        <rFont val="Noto Sans CJK SC"/>
        <family val="2"/>
      </rPr>
      <t xml:space="preserve">日本 語   </t>
    </r>
    <r>
      <rPr>
        <sz val="11"/>
        <color rgb="FF000000"/>
        <rFont val="Calibri"/>
        <family val="0"/>
        <charset val="1"/>
      </rPr>
      <t xml:space="preserve">Norsk   Polski   Português   Română   Русский   Svenska   Türkçe  9 more  Edit links   This page was last edited on 12 May 2018 , at 14 : 34 .         About Wikipedia                    </t>
    </r>
  </si>
  <si>
    <t xml:space="preserve">what is gecko's name on pj masks</t>
  </si>
  <si>
    <t xml:space="preserve"> Greg / Gekko ( voiced by Kyle Harrison Breitkopf ) is a green - eyed , blonde haired boy . When he transforms he wears a green costume with a thick reptilian tail , fins on top of his head . His powers are , Super Gekko Camouflage to go invisible or blend into his surroundings , Super Gekko Muscles ( aka Super Muscles ) to lift heavy things , Super Lizard Grip to climb walls or anchor himself to stop vehicles , and Super Lizard Water Run to walk on water . He has exhibited enough strength to lift a mobile laboratory off the ground . His vehicle is the Gekko - Mobile , which is also a submersible vehicle which can travel underwater and also ride up &amp; over buildings via land on tank treads which is slower than the Cat - Car . His vehicle is located in the bottom segment of the PJ Masks tower . The vehicle has abilities similar to him , with a `` Gekko - Mobile Camouflage '' letting it blend in with surroundings . His bedroom is on the second floor of a green - roofed green - doored house next to Amaya 's . </t>
  </si>
  <si>
    <r>
      <rPr>
        <sz val="11"/>
        <color rgb="FF000000"/>
        <rFont val="Calibri"/>
        <family val="0"/>
        <charset val="1"/>
      </rPr>
      <t xml:space="preserve">Death ( personification ) - wikipedia  Death ( personification )  Jump to : navigation , search `` Grim Reaper '' redirects here . For other uses , see Grim Reaper ( disambiguation ) . A statue of Death in the Cathedral of Trier .  Death , also known as the Grim Reaper , is frequently imagined as a personified force , due to its prominent place in human culture . In some mythologies , the Grim Reaper causes the victim 's death by coming to collect them . In turn , people in some stories try to hold on to life by avoiding Death 's visit , or by fending Death off with bribery or tricks . Other beliefs hold that the Spectre of Death is only a psychopomp , serving to sever the last ties between the soul and the body , and to guide the deceased to the afterlife , without having any control over when or how the victim dies . Death is most often personified in male form , although in certain cultures Death is perceived as female ( for instance , Marzanna in Slavic mythology ) .     Contents  ( hide )   1 By region   1.1 Middle Eastern   1.2 Hellenic   1.3 Celtic   1.4 Slavic   1.5 The Low Countries   1.6 Scandinavia   1.7 Baltic   1.8 India   1.9 East Asia   1.10 Latin America     2 In Abrahamic religions   2.1 In Judaism   2.1. 1 Form and functions   2.1. 2 Scholars and the Angel of Death   2.1. 3 Rabbinic views     2.2 In Catholicism   2.3 In Islam     3 In popular culture   3.1 Films   3.2 Television   3.3 Literature     4 See also   5 Notes   6 Bibliography   7 External links      By region ( edit )  A Western depiction of Death as a skeleton wielding a scythe .  Middle eastern ( edit )  Main article : Mot  Mot ( lit . `` Death '' ) was personified to Canaanites as a god of death . He was considered a son of the king of the gods , El . His contest with the storm god Baʿal forms part of the myth cycle discovered in the 1920s in the ruins of Ugarit . Lacunae obscure some of the details , but Mot apparently consumes Baʿal before being split open and mutilated by that god 's sister , the warrior ' Anat . After a time , both gods are restored and resume battle before the sun goddess Shapash prompts a truce by warning Mot that , if forced to , El would intervene on Baʿal 's behalf . The Phoenicians also worshipped death under the name Mot and a version of Mot later became Maweth , the devil or angel of death in Judaism .   Hellenic ( edit )  Thanatos as a winged youth , c. 325 -- 300 BC , at Temple of Artemis , Ephesos Main article : Thanatos  Ancient Greece found Death to be inevitable , and therefore , he is not represented as purely evil . He is often portrayed as a bearded and winged man , but has also been portrayed as a young boy . Death , or Thanatos , is the counterpart of life , death being represented as male , and life as female . He is the twin brother of Hypnos , the god of sleep . He is typically shown with his brother and is represented as being just and gentle . His job is to escort the dead to the underworld , Hades . He then hands the dead over to Charon , who mans the boat that carries them over the river Styx , which separates the land of the living from the land of the dead . It was believed that if the ferryman did not receive some sort of payment , the soul would not be delivered to the underworld and would be left by the riverside for a hundred years . Thanatos ' sisters , the Keres , were the spirits of violent death . They were associated with deaths from battle , disease , accident , and murder . The sisters were portrayed as evil , often feeding on the blood of the body after the soul had been escorted to Hades . They had fangs and talons , and would be dressed in bloody garments .   Celtic ( edit )   Breton folklore shows a spectral figure portending death , the Ankou ( yr Angau in Welsh ) . Usually , the Ankou is the spirit of the last person that died within the community and appears as a tall , haggard figure with a wide hat and long white hair or a skeleton with a revolving head who sees everyone , everywhere . The Ankou drives a deathly wagon or cart with a creaking axle . The cart or wagon is piled high with corpses and a stop at a cabin means instant death for those inside .   In Ireland there was a creature known as a dullahan , whose head would be tucked under his or her arm ( dullahans were not one , but an entire species ) , and the head was said to have large eyes and a smile that could reach the head 's ears . The dullahan would ride a black horse or a carriage pulled by black horses , and stop at the house of someone about to die , and call their name , and immediately the person would die . The dullahan did not like being watched , and it was believed that if a dullahan knew someone was watching them , they would lash that person 's eyes with their whip , which was made from a spine ; or they would toss a basin of blood on the person , which was a sign that the person was next to die .   Also in Ireland there is a female spirit known as Banshee , who heralds the death of a person , usually by shrieking or keening . The banshee is often described in Gaelic lore as wearing red or green , usually with long , disheveled hair . She can appear in a variety of forms . Perhaps most often she is seen as an ugly , frightful hag , but she can also appear as young and beautiful if she chooses . In Ireland and parts of Scotland , a traditional part of mourning is the keening woman ( bean chaointe ) , who wails a lament -- in Irish : Caoineadh , caoin meaning `` to weep , to wail '' . When several banshees appear at once , it indicates the death of someone great or holy . The tales sometimes recounted that the woman , though called a fairy , was a ghost , often of a specific murdered woman , or a mother who died in childbirth .   In Scottish folklore there was a belief that a black , dark green or white dog known as a Cù Sìth took dying souls to the afterlife .   Slavic ( edit )   In Poland , Death , or Śmierć , has an appearance similar to the traditional Grim Reaper , but instead of a black robe , Death has a white robe . Also , due to grammar , Death is a female ( the word śmierć is of feminine gender ) , mostly seen as an old skeletal woman , as depicted in 16th century dialogue `` Rozmowa Mistrza Polikarpa ze Śmiercią '' ( Latin : `` Dialogus inter Mortem et Magistrum Polikarpum '' ) .   In Serbia and other smaller Balkan countries , Grim Reaper is well knows as Smrt ( `` Death '' ) or Kosač ( `` Billhook '' ) , Balkan people found this very similar to the Devil and other dark powers . One popular saying about the Grim Reaper is : Smrt ne bira ni vreme , mesto ni godine ( `` Death is not choosing a time , place or years '' - which means she is destiny . )   The low countries ( edit )   In the Netherlands , but also to lesser extent in Belgium , the personification of Death is known as Magere Hein ( `` Meager Hein '' ) . Historically , he was sometimes simply referred to as Hein or variations thereof such as Heintje , Heintjeman and Oom Hendrik ( `` Uncle Hendrik '' ) . Related archaic terms are Beenderman ( `` Bone - man '' ) , Scherminkel ( very meager person , `` skeleton '' ) and Maaijeman ( `` mow - man '' , a reference to his scythe ) .   The concept of Magere Hein was pre-Christian and tied to Pagan beliefs , but it was Christianized and likely gained its modern name and features ( scythe , skeleton , black robe etc . ) during the Middle Ages . The designation `` Meager '' comes from its portrayal as a skeleton , which was largely influenced by the Christian `` Dance of Death '' ( Dutch : dodendans ) theme that was prominent in Europe during the late Middle Ages . `` Hein '' was a Middle Dutch name originating as a short form of Heinric ( see Henry ( given name ) ) . Its use was possibly related to the comparable German concept of `` Freund Hein '' . Notable is that many of the names given to Death can also refer to the Devil , showing how his status as a feared and `` evil '' being led to him being merged into the concept of Satan .   In Belgium , this personification of Death is now commonly called Pietje de Dood `` Little Pete , the Death '' . As with some of the Dutch names , it can also refer to the Devil .   Scandinavia ( edit )   In Scandinavia , in Norse mythology death was personified in the shape of Hel , the goddess of death and ruler over the realm of the same name , where she received a portion of the dead . In the times of the Black Plague , Death would often be depicted as an old woman known by the name of Pesta , meaning `` plague hag '' . She wore a black hood . She would go into a town carrying either a rake or a broom . If she brought the rake , some people would survive the plague ; if she brought the broom , however , everyone would die .   Later , Scandinavians adopted the classic Grim Reaper with a scythe and black robe .   Baltic ( edit )   Lithuanians named Death Giltinė , deriving from word gelti ( `` to sting '' ) . Giltinė was viewed as an old , ugly woman with a long blue nose and a deadly poisonous tongue . The legend tells that Giltinė was young , pretty and communicative until she was trapped in a coffin for seven years . The goddess of death was a sister of the goddess of life and destiny , Laima , symbolizing the relationship between beginning and end .   Lithuanians later adopted the classic Grim Reaper with a scythe and black robe .   India ( edit )  Yama , the Hindu lord of death , presiding over his court in hell  The Sanskrit word for death is mrityu ( cognate with Latin mors and Polish śmierć ) , which is often personified in Dharmic religions .   In Hindu scriptures , the lord of death is called King Yama ( यम राज , Yama Rājā ) . He is also known as the King of Karmic Justice ( Dharmaraja ) as one 's karma at death was considered to lead to a just rebirth . ( Yudhishthira , eldest of the pandavas and a personification of justice , was born through Kunti 's prayers to Yama . ) Yama rides a black buffalo and carries a rope lasso to carry the soul back to his home , called Naraka , pathalloka , or Yamaloka . There are many forms of reapers , although some say there is only one who disguises himself as a small child . His agents , the Yamadutas , carry souls back to Yamalok . There , all the accounts of a person 's good and bad deeds are stored and maintained by Chitragupta . The balance of these deeds allows Yama to decide where the soul has to reside in its next life , following the theory of reincarnation . Yama is also mentioned in the Mahabharata as a great philosopher and devotee of the Supreme Brahman .   Buddhist scriptures also mention Mara , much in the similar way .   East asia ( edit )   Yama was introduced to Chinese mythology through Buddhism . In Chinese , he is known as King Yan ( t </t>
    </r>
    <r>
      <rPr>
        <sz val="11"/>
        <color rgb="FF000000"/>
        <rFont val="Noto Sans CJK SC"/>
        <family val="2"/>
      </rPr>
      <t xml:space="preserve">閻 王 </t>
    </r>
    <r>
      <rPr>
        <sz val="11"/>
        <color rgb="FF000000"/>
        <rFont val="Calibri"/>
        <family val="0"/>
        <charset val="1"/>
      </rPr>
      <t xml:space="preserve">, s </t>
    </r>
    <r>
      <rPr>
        <sz val="11"/>
        <color rgb="FF000000"/>
        <rFont val="Noto Sans CJK SC"/>
        <family val="2"/>
      </rPr>
      <t xml:space="preserve">阎 王 </t>
    </r>
    <r>
      <rPr>
        <sz val="11"/>
        <color rgb="FF000000"/>
        <rFont val="Calibri"/>
        <family val="0"/>
        <charset val="1"/>
      </rPr>
      <t xml:space="preserve">, p Yánwáng ) or Yanluo ( t </t>
    </r>
    <r>
      <rPr>
        <sz val="11"/>
        <color rgb="FF000000"/>
        <rFont val="Noto Sans CJK SC"/>
        <family val="2"/>
      </rPr>
      <t xml:space="preserve">閻羅 王 </t>
    </r>
    <r>
      <rPr>
        <sz val="11"/>
        <color rgb="FF000000"/>
        <rFont val="Calibri"/>
        <family val="0"/>
        <charset val="1"/>
      </rPr>
      <t xml:space="preserve">, s </t>
    </r>
    <r>
      <rPr>
        <sz val="11"/>
        <color rgb="FF000000"/>
        <rFont val="Noto Sans CJK SC"/>
        <family val="2"/>
      </rPr>
      <t xml:space="preserve">阎罗 王 </t>
    </r>
    <r>
      <rPr>
        <sz val="11"/>
        <color rgb="FF000000"/>
        <rFont val="Calibri"/>
        <family val="0"/>
        <charset val="1"/>
      </rPr>
      <t xml:space="preserve">, p Yánluówáng ) , ruling the ten gods of the underworld Diyu . He is normally depicted wearing a Chinese judge 's cap and traditional Chinese robes and appears on most forms of hell money offered in ancestor worship . From China , Yama spread to Japan as the Great King Enma ( </t>
    </r>
    <r>
      <rPr>
        <sz val="11"/>
        <color rgb="FF000000"/>
        <rFont val="Noto Sans CJK SC"/>
        <family val="2"/>
      </rPr>
      <t xml:space="preserve">閻魔 大 王 </t>
    </r>
    <r>
      <rPr>
        <sz val="11"/>
        <color rgb="FF000000"/>
        <rFont val="Calibri"/>
        <family val="0"/>
        <charset val="1"/>
      </rPr>
      <t xml:space="preserve">, Enma - Dai - Ō ) , ruler of Jigoku ( </t>
    </r>
    <r>
      <rPr>
        <sz val="11"/>
        <color rgb="FF000000"/>
        <rFont val="Noto Sans CJK SC"/>
        <family val="2"/>
      </rPr>
      <t xml:space="preserve">地獄 </t>
    </r>
    <r>
      <rPr>
        <sz val="11"/>
        <color rgb="FF000000"/>
        <rFont val="Calibri"/>
        <family val="0"/>
        <charset val="1"/>
      </rPr>
      <t xml:space="preserve">) ; Korea as the Great King Yŏmna ( </t>
    </r>
    <r>
      <rPr>
        <sz val="11"/>
        <color rgb="FF000000"/>
        <rFont val="Noto Sans CJK SC"/>
        <family val="2"/>
      </rPr>
      <t xml:space="preserve">염라 대 왕 </t>
    </r>
    <r>
      <rPr>
        <sz val="11"/>
        <color rgb="FF000000"/>
        <rFont val="Calibri"/>
        <family val="0"/>
        <charset val="1"/>
      </rPr>
      <t xml:space="preserve">) , ruler of Jiok ( </t>
    </r>
    <r>
      <rPr>
        <sz val="11"/>
        <color rgb="FF000000"/>
        <rFont val="Noto Sans CJK SC"/>
        <family val="2"/>
      </rPr>
      <t xml:space="preserve">지옥 </t>
    </r>
    <r>
      <rPr>
        <sz val="11"/>
        <color rgb="FF000000"/>
        <rFont val="Calibri"/>
        <family val="0"/>
        <charset val="1"/>
      </rPr>
      <t xml:space="preserve">) ; and Vietnam as Diêm La Vương , ruler of Địa Ngục or Âm Phủ   Separately , the Kojiki relates that the Japanese goddess Izanami was burnt to death giving birth to the fire god Hinokagutsuchi . She then entered a realm of perpetual night called Yomi - no - Kuni . Her husband Izanagi pursued her there but discovered his wife was no longer as beautiful as before . After an argument , she promises she will take a thousand lives every day , becoming a goddess of death . There are also death gods called shinigami ( </t>
    </r>
    <r>
      <rPr>
        <sz val="11"/>
        <color rgb="FF000000"/>
        <rFont val="Noto Sans CJK SC"/>
        <family val="2"/>
      </rPr>
      <t xml:space="preserve">死神 </t>
    </r>
    <r>
      <rPr>
        <sz val="11"/>
        <color rgb="FF000000"/>
        <rFont val="Calibri"/>
        <family val="0"/>
        <charset val="1"/>
      </rPr>
      <t xml:space="preserve">) , which are closer to the Western tradition of the Grim Reaper ; while common in modern Japanese arts and fiction , they were essentially absent in traditional mythology .   In Korean mythology , the equivalent of the Grim Reaper is the `` Netherworld Emissary '' Jeoseung - saja ( </t>
    </r>
    <r>
      <rPr>
        <sz val="11"/>
        <color rgb="FF000000"/>
        <rFont val="Noto Sans CJK SC"/>
        <family val="2"/>
      </rPr>
      <t xml:space="preserve">저승 사자 </t>
    </r>
    <r>
      <rPr>
        <sz val="11"/>
        <color rgb="FF000000"/>
        <rFont val="Calibri"/>
        <family val="0"/>
        <charset val="1"/>
      </rPr>
      <t xml:space="preserve">) . He is depicted as a stern and ruthless bureaucrat in Yŏmna 's service . A psychopomp , he escorts all -- good or evil -- from the land of the living to the netherworld when the time comes .   Latin america ( edit )  Santa Muerte  Our Lady of the Holy Death ( Santa Muerte ) is a female deity of Mexican folk religion , whose faith has been spreading in Mexico and the United States . Since the pre-Columbian era Mexican culture has maintained a certain reverence towards death , which can be seen in the widespread commemoration of the Day of the Dead . Elements of that celebration include the use of skeletons to remind people of their mortality . The cult of Santa Muerte is indeed a continuation of the Aztec cult of the goddess of death Mictecacihuatl ( Nahuatl for `` Lady of the Dead '' ) clad in Spanish iconography .   In Aztec mythology , Mictecacihuatl is the `` Queen of Mictlan '' ( Mictlancihuatl ) , the underworld , ruling over the afterlife with Mictlantecuhtli , another deity who is designated as her husband . Her role is to keep watch over the bones of the dead . She presided over the ancient festivals of the dead , which evolved from Aztec traditions into the modern Day of the Dead after synthesis with Spanish cultural traditions . She is said now to preside over the contemporary festival as well . She is known as the `` Lady of the Dead '' since it is believed that she was born , then sacrificed as an infant . Mictecacihuatl was represented with a defleshed body and with jaw agape to swallow the stars during the day .   San La Muerte ( Saint Death ) is a skeletal folk saint that is venerated in Paraguay , the Northeast of Argentina and southern Brazil . As the result of internal migration in Argentina since the 1960s the veneration of San La Muerte has been extended to Greater Buenos Aires and the national prison system as well . Saint Death is depicted as a male skeleton figure usually holding a scythe . Although the Catholic Church in Mexico has attacked the devotion of Saint Death as a tradition that mixes paganism with Christianity and is contrary to the Christian belief of Christ defeating death , many devotees consider the veneration of San La Muerte as being part of their Catholic faith . The rituals connected to and powers ascribed to San La Muerte are very similar to those of Santa Muerte .   In the Brazilian religion Umbanda , the orixá Omolu personifies sickness and death , and also the cure . The image of the death is also associated with Exu , lord of the crossroads , who rules the midnight and the cemeteries .   In abrahamic religions ( edit )  See also : Destroying angel ( Bible )  The `` Angel of the Lord '' smites 185,000 men in the Assyrian camp ( II Kings 19 : 35 ) . When the Angel of Death passes through to smite the Egyptian first - born , God prevents `` the destroyer '' ( shâchath ) from entering houses with blood on the lintel and side posts ( Exodus 12 : 23 ) . The `` destroying angel '' ( mal'ak ha - mashḥit ) rages among the people in Jerusalem ( II Sam . 24 : 16 ) . In I Chronicles 21 : 15 the `` angel of the Lord '' is seen by King David standing `` between the earth and the heaven , having a drawn sword in his hand stretched out over Jerusalem . '' The biblical Book of Job ( 33 : 22 ) uses the general term `` destroyers '' ( memitim ) , which tradition has identified with `` destroying angels '' ( mal'ake Khabbalah ) , and Prov. 16 : 14 uses the term the `` angels of death '' ( mal'ake ha - mavet ) . Azra'il is sometimes referred as the Angel of Death as well .   Jewish tradition also refers to Death as the Angel of Dark and Light , a name which stems from Talmudic lore . There is also a reference to `` Abaddon '' ( The Destroyer ) , an Angel who is known as the `` Angel of the Abyss '' . In Talmudic lore , he is characterized as archangel Michael .   In Judaism ( edit )  La mort du fossoyeur ( Death of the gravedigger ) by Carlos Schwabe  In Hebrew scriptures , Death ( `` Maweth '' ) is sometimes personified as a devil or angel of death ( e.g. , Habakkuk 2 : 5 ; Job 18 : 13 ) . In both the Book of Hosea and the Book of Jeremiah , Maweth / Mot is mentioned as a deity to whom Yahweh can turn over Judah as punishment for worshiping other gods . The memitim are a type of angel from biblical lore associated with the mediation over the lives of the dying . The name is derived from the Hebrew word mĕmītǐm ( מְמִיתִים -- `` executioners '' , `` slayers '' , `` destroyers '' ) and refers to angels that brought about the destruction of those whom the guardian angels no longer protected . While there may be some debate among religious scholars regarding the exact nature of the memitim , it is generally accepted that , as described in the Book of Job 33 : 22 , they are killers of some sort .  Form and functions ( edit )  According to the Midrash , the Angel of Death was created by God on the first day . His dwelling is in heaven , whence he reaches earth in eight flights , whereas Pestilence reaches it in one . He has twelve wings . `` Over all people have I surrendered thee the power , '' said God to the Angel of Death , `` only not over this one which has received freedom from death through the Law . '' It is said of the Angel of Death that he is full of eyes . In the hour of death , he stands at the head of the departing one with a drawn sword , to which clings a drop of gall . As soon as the dying man sees Death , he is seized with a convulsion and opens his mouth , whereupon Death throws the drop into it . This drop causes his death ; he turns putrid , and his face becomes yellow . The expression `` the taste of death '' originated in the idea that death was caused by a drop of gall .   The soul escapes through the mouth , or , as is stated in another place , through the throat ; therefore , the Angel of Death stands at the head of the patient ( Adolf Jellinek , l.c. ii. 94 , Midr . Teh. to Ps . xi . ) . When the soul forsakes the body , its voice goes from one end of the world to the other , but is not heard ( Gen. R. vi. 7 ; Ex . R. v. 9 ; Pirḳe R. El . xxxiv . ) . The drawn sword of the Angel of Death , mentioned by the Chronicler ( I. Chron. 21 : 15 ; comp . Job 15 : 22 ; Enoch 62 : 11 ) , indicates that the Angel of Death was figured as a warrior who kills off the children of men . `` Man , on the day of his death , falls down before the Angel of Death like a beast before the slaughterer '' ( Grünhut , `` Liḳḳuṭim '' , v. 102a ) . R. Samuel 's father ( c. 200 ) said : `` The Angel of Death said to me , ' Only for the sake of the honor of mankind do I not tear off their necks as is done to slaughtered beasts ' '' ( ' Ab . Zarah 20b ) . In later representations , the knife sometimes replaces the sword , and reference is also made to the cord of the Angel of Death , which indicates death by throttling . Moses says to God : `` I fear the cord of the Angel of Death '' ( Grünhut , l.c.v. 103a et seq . ) . Of the four Jewish methods of execution , three are named in connection with the Angel of Death : Burning ( by pouring hot lead down the victim 's throat ) , slaughtering ( by beheading ) , and throttling . The Angel of Death administers the particular punishment that God has ordained for the commission of sin .   A peculiar mantle ( `` idra '' - according to Levy , `` Neuhebr . Wörterb . '' i . 32 , a sword ) belongs to the equipment of the Angel of Death ( Eccl . R. iv. 7 ) . The Angel of Death takes on the particular form which will best serve his purpose ; e.g. , he appears to a scholar in the form of a beggar imploring pity ( The beggar should receive Tzedakah . ) ( M. Ḳ . 28a ) . `` When pestilence rages in the town , walk not in the middle of the street , because the Angel of Death ( i.e. , pestilence ) strides there ; if peace reigns in the town , walk not on the edges of the road . When pestilence rages in the town , go not alone to the synagogue , because there the Angel of Death stores his tools . If the dogs howl , the Angel of Death has entered the city ; if they make sport , the prophet Elijah has come '' ( B. Ḳ . 60b ) . The `` destroyer '' ( saṭan ha - mashḥit ) in the daily prayer is the Angel of Death ( Ber . 16b ) . Midr . Ma'ase Torah ( compare Jellinek , `` B.H. '' ii. 98 ) says : `` There are six Angels of Death : Gabriel over kings ; Ḳapẓiel over youths ; Mashbir over animals ; Mashḥit over children ; Af and Ḥemah over man and beast . ''  Scholars and the Angel of Death ( edit ) Black Angel , Oakland Cemetery ( Iowa City , Iowa )  Talmud teachers of the 4th century associate quite familiarly with him . When he appeared to one on the street , the teacher reproached him with rushing upon him as upon a beast , whereupon the angel called upon him at his house . To another , he granted a respite of thirty days , that he might put his knowledge in order before entering the next world . To a third , he had no access , because he could not interrupt the study of the Talmud . To a fourth , he showed a rod of fire , whereby he is recognized as the Angel of Death ( M.K. 28a ) . He often entered the house of Bibi and conversed with him ( Ḥag . 4b ) . Often , he resorts to strategy in order to interrupt and seize his victim ( B.M. 86a ; Mak . 10a ) .   The death of Joshua ben Levi in particular is surrounded with a web of fable . When the time came for him to die and the Angel of Death appeared to him , he demanded to be shown his place in paradise . When the angel had consented to this , he demanded the angel 's knife , that the angel might not frighten him by the way . This request also was granted him , and Joshua sprang with the knife over the wall of paradise ; the angel , who is not allowed to enter paradise , caught hold of the end of his garment . Joshua swore that he would not come out , and God declared that he should not leave paradise unless he was absolved from his oath ; if not absolved , he was to remain . The Angel of Death then demanded back his knife , but Joshua refused . At this point , a heavenly voice ( bat ḳol ) rang out : `` Give him back the knife , because the children of men have need of it will bring death . '' Hesitant , Joshua Ben Levi gives back the knife in exchange for the Angel of Deaths name . To never forget the name he carved Troke into his arm the Angel of Death 's chosen name . When the knife was returned to the Angel Joshua 's carving of the name faded and he forgot . ( Ket . 77b ; Jellinek , l.c. ii. 48 -- 51 ; Bacher , l.c.i. 192 et seq . ) .  Rabbinic views ( edit )  The Rabbis found the Angel of Death mentioned in Psalm 89 : 48 , where the Targum translates : `` There is no man who lives and , seeing the Angel of Death , can deliver his soul from his hand . '' Eccl. 8 : 4 is thus explained in Midrash Rabbah to the passage : `` One may not escape the Angel of Death , nor say to him , ' Wait until I put my affairs in order , ' or ' There is my son , my slave : take him in my stead . ' '' Where the Angel of Death appears , there is no remedy , but his name ( Talmud , Ned . 49a ; Hul . 7b ) . If one who has sinned has confessed his fault , the Angel of Death may not touch him ( Midrash Tanhuma , ed . Buber , 139 ) . God protects from the Angel of Death ( Midrash Genesis Rabbah lxviii . ) .   By acts of benevolence , the anger of the Angel of Death is overcome ; when one fails to perform such acts the Angel of Death will make his appearance ( Derek Ereẓ Zuṭa , viii . ) . The Angel of Death receives his orders from God ( Ber . 62b ) . As soon as he has received permission to destroy , however , he makes no distinction between good and bad ( B. Ḳ . 60a ) . In the city of Luz , the Angel of Death has no power , and , when the aged inhabitants are ready to die , they go outside the city ( Soṭah 46b ; compare Sanh . 97a ) . A legend to the same effect existed in Ireland in the Middle Ages ( Jew . Quart. Rev. vi. 336 ) .   In Catholicism ( edit )  Medieval painting of Death playing chess from Täby Church in Sweden  In Roman Catholicism , the archangel Michael is viewed as the good Angel of Death ( as opposed to Samael , the controversial Angel of Death ) , carrying the souls of the deceased to Heaven ( cf . his invocation in the traditional offertory prayer of the Requiem Mass ) . Death is also one of the Four Horsemen of the Apocalypse portrayed in the Book of Revelation . Revelation 6 : 7 -- 8   In Islam ( edit )  Main article : Islamic view of death  In Islam , Azrail ( Malak al - Maut ) is the angel of Death . He pulls the souls out of the body , and guides them through the journey of the afterlife . His appearance depends on the person 's deed and actions , with those that did good seeing a beautiful being , and those that did wrong seeing a horrific monster .   Islamic tradition discusses elaborately , almost in graphic detail , as to what exactly happens before , during , and after the death . The angel of death ( Malak al - Maut ) appears to the dying to take out their souls . The sinners ' souls are extracted in a most painful way while the righteous are treated easily . After the burial , two angels -- Munkar and Nakir -- come to question the dead in order to test their faith . The righteous believers answer correctly and live in peace and comfort while the sinners and disbelievers fail and punishments ensue . The time period or stage between death and resurrection is called the life of barzakh .   Death is a significant event in Islamic life and theology . It is seen not as the termination of life , rather the continuation of life in another form . In Islamic belief , God has made this worldly life as a test and a preparation ground for the afterlife ; and with death , this worldly life comes to an end . Thus , every person has only one chance to prepare themselves for the life to come where God will resurrect and judge every individual and will entitle them to rewards or punishment , based on their good or bad deeds . And death is seen as the gateway to and beginning of the afterlife . In Islamic belief , death is predetermined by God , and the exact time of a person 's death is known only to God .   In popular culture ( edit )   Films ( edit )    Destiny ( 1921 )   Metropolis ( 1927 )   Death Takes a Holiday ( 1934 )   On Borrowed Time ( 1939 )   Flesh and Fantasy ( 1943 )   The Seventh Seal ( 1957 )   Darby O'Gill and the Little People ( 1959 )   The Masque of the Red Death ( 1964 )   Brancaleone at the Crusades ( 1970 )   Monty Python 's The Meaning of Life ( 1983 )   The Adventures of Baron Munchausen ( 1988 )   Bill and Ted 's Bogus Journey ( 1991 )   The Sandman ( 1991 )   Last Action Hero ( 1993 )   Meet Joe Black ( 1998 )   Click ( 2006 )   Hellboy II : The Golden Army ( 2008 )   Harry Potter and the Deathly Hallows -- Part 1 ( 2010 )   The Book Thief ( 2013 )   Collateral Beauty ( 2016 )    Television ( edit )    The Twilight Zone ( 1959 - 1964 )   The Twilight Zone ( 1985 - 1989 )   South Park ( 1997 - )   Family Guy ( 1999 - )   Red Dwarf ( 1999 )   The Twilight Zone ( 2002 - 2003 )   The Grim Adventures of Billy and Mandy ( 2003 -- 2008 )   Dead Like Me ( 2003 -- 2004 )   Death Note ( 2006 -- 2007 )   Torchwood ( 2006 -- 2011 )   Terry Pratchett 's Hogfather ( 2006 )   Horrible Histories ( 2009 - 2013 )   Regular Show ( 2010 - 2017 )   Supernatural ( 2010 -- 2015 )   Adventure Time ( 2011 - 2016 )   American Horror Story : Asylum ( 2011 -- 2012 )   American Horror Story : Roanoke ( 2014 -- 2015 )   Saturday Night Live as Steve Bannon ( 2016 -- 17 )    Literature ( edit )    The Nightingale ( 1843 )   Discworld series ( 1983 -- 2015 )   Harry Potter and the Deathly Hallows ( 2007 )   Death ( DC Comics ) ( 1971 )   Deadpool ( 1997 )   The Book Thief ( 2005 )   On a Pale Horse ( 1983 )   Death : A Life ( 2008 )    See also ( edit )  1 / 9 Insignia   Personifications   Psychopomp   List of death deities / Death deity   Acheron   Atropos / Morta   Azrael   Kali   Keres ( mythology ) ( Thanatos ' sisters )   Maximón , contemporary Mayan worship , Guatemala .   Mictecacihuatl   Thanatos / Mors , the personification of Death in Classical Greco - Roman mythology   Yama   Izanami   Shinigami   Xibalba   Banshee   Sailor Saturn , the Sailor Guardian of Death and Rebirth in the original Sailor Moon and its second anime series , Sailor Moon Crystal .   Samhain   Thursday of the Dead   Veneration of the dead   Walpurgis Night   Santa Muerte   La Calavera Catrina   Día de los Muertos   Skeleton ( undead ) / Skull art   Death drive   Danse Macabre   Plague doctor costume   Death ( Discworld )   Death ( Marvel Comics )   Death ( DC Comics )   Devil in popular culture    Notes ( edit )    ^ Jump up to : Cassuto , U. ( 1962 ) . `` Baal and Mot in the Ugaritic Texts '' . Israel Exploration Journal . 12 ( 2 ) : 81 -- 83 . JSTOR 27924890 .   Jump up ^ See , e.g. , Hab. 2 : 5 &amp; Job 18 : 13 .   Jump up ^ Anatole Le Braz : Légende de la Mort   ^ Jump up to : Niermeyer , Antonie ( 1840 ) . Verhandeling over het booze wezen in het bijgeloof onzer natie : eene bijdrage tot de kennis onzer voorvaderlijke mythologie ( Treatise on the evil being in the superstition of our nation : a contribution to the knowledge of our ancestral mythology ) ( in Dutch ) . Rotterdam : A. Wijnands . pp. 32 -- 33 . Retrieved 23 May 2016 -- via Ghent University .   Jump up ^ Lemma : Hein , INL   Jump up ^ ( 1 )   Jump up ^ ( 2 )   Jump up ^ `` Hel ( Norse deity ) -- Encyclopædia Britannica '' . Global.britannica.com . Retrieved 2013 - 12 - 08 .   Jump up ^ `` død -- folketro -- Store norske leksikon '' . Snl.no . Archived from the original on 12 December 2013 . Retrieved 8 December 2013 .   Jump up ^ `` The Korean National Encyclopedia of Ethnic Practices ( Page in Korean ) '' . 210.204. 213.131 . Retrieved 2013 - 11 - 16 .   Jump up ^ Bunson , Matthew , ( 1996 ) . Angels A to Z : Who 's Who of the Heavenly Host . Three Rivers Press . ISBN 0 - 517 - 88537 - 9 .   Jump up ^ Handy , Lowell ( 1995 ) . The Appearance of the Pantheon in Judah in The Triumph of Elohim . Grand Rapids , Michigan , USA : Eerdmans . p. 40 . ISBN 0 - 8028 - 4161 - 9 .   Jump up ^ Olyan , S.M. , A Thousand Thousands Served Him : Exegesis and the Naming of Angels in Ancient Judaism , page 21 .   Jump up ^ Gordon , M.B. , Medicine among the Ancient Hebrews , page 472 .   Jump up ^ Midrash Tanhuma on Genesis 39 : 1   Jump up ^ Talmud Berakhot 4b   Jump up ^ Pirke De-Rabbi Eliezer 13   Jump up ^ Midrash Tanhuma on Exodus 31 : 18   Jump up ^ Talmud Avodah Zarah 20b ; on putrefaction see also Pesikta de-Rav Kahana 54b ; for the eyes compare Ezekiel 1 : 18 and Revelation 4 : 6   Jump up ^ Jewish Quarterly Review vi. 327   Jump up ^ http://www.requiemsurvey.org/latintext.php   Jump up ^ https://www.biblegateway.com/passage/?search=Revelation%206:7-8&amp;version=NASB ;   ^ Jump up to : Matt Stefon , ed. ( 2010 ) . Islamic Beliefs and Practices . New York : Britannica Educational Publishing . pp. 83 -- 85 . ISBN 978 - 1 - 61530 - 060 - 0 .   Jump up ^ Nigosian , S.A. ( 2004 ) . Islam : Its History , Teaching , and Practices . pp. 123 -- 4 . ISBN 0 - 253 - 21627 - 3 .   ^ Jump up to : Oliver Leaman , ed. ( 2006 ) . The Qur'an : An Encyclopedia . Routledge . p. 27 . ISBN 978 - 0 - 415 - 32639 - 1 .   Jump up ^ Juan E. Campo , ed. ( 2009 ) . Encyclopedia of Islam . Facts on File . p. 185 . ISBN 978 - 0 - 8160 - 5454 - 1 .   Jump up ^ Trendacosta , Katharine . `` The 10 Greatest Personifications of Death in Pop Culture '' . io9 . Retrieved 2017 - 09 - 02 .    Bibliography ( edit )    Bender , A.P. ( January 1894 ) . `` Beliefs , Rites , and Customs of the Jews , Connected with Death , Burial , and Mourning '' . The Jewish Quarterly Review . 6 ( 2 ) : 317 -- 347 . JSTOR 1450143 . doi : 10.2307 / 1450143 .   Bender , A.P. ( July 1894 ) . `` Beliefs , Rites , and Customs of the Jews , Connected with Death , Burial , and Mourning '' . The Jewish Quarterly Review . 6 ( 4 ) : 664 -- 671 . JSTOR 1450184 . doi : 10.2307 / 1450184 .   Böklen , Ernst ( 1902 ) . Die Verwandtschaft der Jüdisch - Christlichen mit der Parsischen Eschatologie . Göttingen : Vendenhoeck &amp; Ruprecht .   Dillmann , August ( 1895 ) . Handbuch der alttestamentlichen Theologie . Leipzig : S. Hirzel .   Gordon , Maurice Bear ( December 1941 ) . `` Medicine among the Ancient Hebrews '' . Isis. 33 ( 4 ) : 454 -- 485 . JSTOR 330623 . doi : 10.1086 / 358601 .   Hamburger , J ( acob ) ( 1884 ) . `` Tod '' . Real - Encyclopädie für Bibel und Talmud : Wörterbuch zum handgebrauch für Bibelfreunde , Theologen , Juristen , Gemeinde - und Schulvorsteher , Lehrer &amp;c ( in German ) . 1 . Strelitz , Mecklenburg : Selbstverlag des Verfassers . pp. 990 -- 992 . OCLC 234124918 . Retrieved </t>
    </r>
  </si>
  <si>
    <t xml:space="preserve">what is the difference between death and the grim reaper</t>
  </si>
  <si>
    <t xml:space="preserve"> Death , also known as the Grim Reaper , is frequently imagined as a personified force , due to its prominent place in human culture . In some mythologies , the Grim Reaper causes the victim 's death by coming to collect them . In turn , people in some stories try to hold on to life by avoiding Death 's visit , or by fending Death off with bribery or tricks . Other beliefs hold that the Spectre of Death is only a psychopomp , serving to sever the last ties between the soul and the body , and to guide the deceased to the afterlife , without having any control over when or how the victim dies . Death is most often personified in male form , although in certain cultures Death is perceived as female ( for instance , Marzanna in Slavic mythology ) . </t>
  </si>
  <si>
    <t xml:space="preserve">The Young and the Restless - wikipedia  The Young and the Restless  Jump to : navigation , search    The Young and the Restless         Also known as   Y&amp;R     Genre   Soap opera Drama     Created by   William J. Bell Lee Phillip Bell     Written by   Mal Young     Directed by   Sally McDonald Owen Renfroe Conal O'Brien Casey Childs Michael Eilbaum See below     Starring   Present cast Former cast     Theme music composer   RC Cates Sharon Farber Rick Krizman Dominic Messinger     Opening theme   `` Nadia 's Theme '' by Barry De Vorzon and Perry Botkin , Jr .     Country of origin   United States     Original language ( s )   English     No. of episodes   11,000 ( as of September 1 , 2016 )     Production     Executive producer ( s )     Mal Young   ( and others )       Producer ( s )   Supervising Producers John Fisher Anthony Morina Producer Mary O'Leary Coordinating Producer Matthew J. Olsen Associate Producer Jimmy Freeman See below     Location ( s )   CBS Television City Los Angeles , California     Camera setup   Multiple - camera setup     Running time   30 minutes ( 1973 -- 80 ) 60 minutes ( 1980 -- present )     Production company ( s )   Bell Dramatic Serial Company ( 1973 -- present ) Corday Productions ( 1973 -- present ) Screen Gems ( 1973 -- 74 ) Columbia Pictures Television ( 1974 -- 2001 ) CPT Holdings , Inc. ( 1988 -- present ) Columbia TriStar Television ( 2001 -- 02 ) Sony Pictures Television ( 2002 -- present )     Distributor   Sony Pictures Television     Release     Original network   CBS     Picture format     NTSC ( 480i ) ( 1973 -- 2001 )   HDTV 1080i ( 2001 -- present )       Audio format   Mono ( 1973 -- 87 ) Stereo ( 1987 -- present )     Original release   March 26 , 1973 ( 1973 - 03 - 26 ) -- present ( present )     Chronology     Related shows     As the World Turns   The Bold and the Beautiful       External links     Website   www.cbs.com/shows/the_young_and_the_restless/     The Young and the Restless ( often abbreviated as Y&amp;R ) is an American television soap opera created by William J. Bell and Lee Phillip Bell for CBS . The show is set in a fictional Wisconsin town called Genoa City , which is unlike and unrelated to the real life village of the same name , Genoa City , Wisconsin . First broadcast on March 26 , 1973 , The Young and the Restless was originally broadcast as half - hour episodes , five times a week . The show expanded to one - hour episodes on February 4 , 1980 . In 2006 , the series began airing encore episodes weeknights on SOAPnet until 2013 , when Y&amp;R moved to TVGN ( now Pop ) . Pop still airs the encore episodes on weeknights , starting July 1 , 2013 . The series is also syndicated internationally .   The Young and the Restless originally focused on two core families : the wealthy Brooks family and the working class Foster family . After a series of recasts and departures in the early 1980s , all the original characters except Jill Foster and Katherine Chancellor were written out . Bell replaced them with the new core families , the Abbotts and the Williamses . Over the years , other families such as the Newmans , Winters , and the Baldwin - Fishers were introduced . Despite these changes , one storyline that has endured through almost the show 's entire run is the feud between Jill Abbott and Katherine Chancellor , the longest rivalry on any American soap opera .   Since its debut , The Young and the Restless has won nine Daytime Emmy Awards for Outstanding Drama Series . It is also currently the highest - rated daytime drama on American television . As of 2008 , it had appeared at the top of the weekly Nielsen ratings in that category for more than 1,000 weeks since 1988 . As of December 12 , 2013 , according to Nielsen ratings , The Young and the Restless was the leading daytime drama for an unprecedented 1,300 weeks , or 25 years . The serial is also a sister series to The Bold and the Beautiful , as several actors have crossed over between shows . In June 2017 , The Young and the Restless was renewed for three additional years .     Contents  ( hide )   1 Production   1.1 Videotaping and broadcasting   1.2 Casting and story development   1.3 Executive producers and head writers     2 Awards   2.1 Daytime Emmy Awards   2.2 TV Soap Golden Boomerang Awards   2.3 Writers Guild of America Awards     3 Broadcast   3.1 Oceania   3.2 Europe   3.3 African / Eastern     4 Theme music and other music   5 Ratings   5.1 Ratings history     6 See also   7 References   8 External links      Production ( edit )   To compete with the youthful ABC soap operas , All My Children , One Life to Live , and General Hospital , CBS executives wanted a new daytime serial that was youth oriented . William J. Bell and Lee Phillip Bell created The Young and the Restless in 1972 for the network under the working title , The Innocent Years ! `` We were confronted with the very disturbing reality that young America had lost much of its innocence , '' Bell said . `` Innocence as we had known and lived it all our lives had , in so many respects , ceased to exist . '' They changed the title of the series to The Young and the Restless because they felt it `` reflected the youth and mood of the early seventies . '' The Bells named the fictional setting for the show after the real Genoa City , Wisconsin , which was located on their way from their then - home in Chicago to their annual summer vacation spot in Lake Geneva .   The Young and the Restless began airing on March 26 , 1973 , replacing the cancelled soap opera , Where the Heart Is . Bell worked as head writer from the debut of the series until his retirement in 1998 . He wrote from his home in Chicago while production took place in Los Angeles , California . Originally , Bell wanted to shoot the series in New York , however , CBS executives felt that Los Angeles would be more cost effective . John Conboy acted as the show 's first executive producer , staying in the position until 1982 . Bell and H. Wesley Kenney became co-executive producers that year until Edward Scott took over in 1989 . Bell then became senior executive producer . Other executive producers included David Shaughnessy , John F. Smith , Lynn Marie Latham , Josh Griffith , Maria Arena Bell , and Paul Rauch .   In the mid-1980s , Bell and his family moved to Los Angeles to create a new soap opera . During this time , his three children , William Jr. , Bradley , and Lauralee Bell , each became involved in soap operas . Lauralee Bell worked as an actress on The Young and the Restless . Bradley Bell co-created The Bold and the Beautiful with his father . William Bell Jr. became involved in the family 's production companies as president of Bell Dramatic Serial Co. and Bell - Phillip Television Productions Inc . `` It 's worked out very well for us because we really all worked in very different aspects of the show , '' William Bell Jr. said . `` With my father and I , it was a great kind of partnership and pairing in the sense that he had a total control of the creative side of the show and I did n't have even the inclination to interject in what he was doing . ''   After William J. Bell 's 1998 retirement , a number of different head writers took over the position , including Kay Alden , Trent Jones , John F. Smith , Lynn Marie Latham , Scott Hamner , Josh Griffith , Maria Arena Bell , and Hogan Sheffer .   In 2012 , former General Hospital executive producer Jill Farren Phelps was hired as the new executive producer of the soap , replacing Bell . Griffith was also named the sole head writer . On August 15 , 2013 , it was speculated and reported by several online sources that Griffith had resigned as head - writer of the serial . Further speculation adds that Shelly Altman may take over as the new scribe , alongside Tracey Thomson or Jean Passanante may be brought aboard as co-head scribe . On September 12 , 2013 , it was announced that Passanante and Altman were named head writers of the show , with Thomson promoted to co-head writer .   On September 18 , 2014 , former All My Children , Santa Barbara and General Hospital head writer Charles Pratt , Jr. was named as the new head writer of the show . Passanante , Altman and Thomson have been demoted to breakdown writers . Pratt was also named as co-executive producer sharing the credit with Phelps . On June 7 , 2016 , Serial Scoop announced that Phelps had been terminated from her position as executive producer ; a replacement was not named at the time of their reporting . The following morning , Sony Pictures Television confirmed to several media outlets that Phelps had been let go from her position ; British television producer Mal Young was announced as Phelps ' replacement . Phelps ' last appearance as executive producer was July 12 , 2016 , while Young 's first appearance occurred the following day on July 13 . On September 13 , 2016 , it was announced that Pratt was named as executive producer and show - runner of Lee Daniels ' Star . The same day , Daytime Confidential revealed that former Generations and Days of Our Lives head writer Sally Sussman , who previously had positions with the show , such as Associate Head Writer , was in - talks to replace Pratt as Head Writer . On September 15 , 2016 , it was confirmed that Sussman was named as the soap 's new head writer .   On September 21 , 2016 , Daytime Confidential reported that after ten years since leaving the soap , Alden had been re-hired to be a story consultant under Sussman 's regime . Sussman 's tenure as head writer began taping on October 20 , 2016 , and began airing on December 7 , 2016 . On June 20 , 2017 , CBS announced its decision to renew the serial for three years . On July 31 , 2017 , it was announced that both Alden and Sussman would retire from their positions ; Young was named as Sussman 's successor as head writer . Sussman last aired as head writer on October 24 , 2017 . Young 's tenure as head writer aired on October 25 , 2017 .   Videotaping and broadcasting ( edit )   Taped at CBS Television City , studios 41 and 43 in Hollywood since its debut on March 26 , 1973 , the show was packaged by the distribution company Columbia Pictures Television , which has now been replaced by Sony Pictures Television . The Young and the Restless originally aired as a half - hour series on CBS and was the first soap opera to focus on the visual aspects of production , creating `` a look that broke with the visual conventions of the genre . '' Similar to the radio serials that had preceded them , soap operas at the time primarily focused on dialogue , characters , and story , with details like sets as secondary concerns . The Young and the Restless stood out by using unique lighting techniques and camera angles , similar to Hollywood - style productions . The style of videotaping included using out - of - the - ordinary camera angles and a large number of facial close - ups with bright lighting on the actors ' faces . Conboy said he used lighting to create `` artistic effects '' . Those effects made the series look dark , shadowy , and moody . The Young and the Restless ' look influenced the taping styles of other soap operas . When H. Wesley Kenney replaced Conboy as executive producer , he balanced the lighting of the scenes .   Due to the success of the series , CBS and their affiliates pressured Bell to lengthen the series from 30 minutes to a full hour . Bell attributed this change to the show 's fall from number one in the Nielsen ratings , since the lengthening of the show led to the departure of a number of cast members . `` The issue of performing in a one - hour show had not been part of their contracts , '' Bell said . This forced the show to recast multiple main characters and eventually phase out the original core families in favor of new ones . The show expanded to one hour on February 4 , 1980 . It airs at 12 : 30pm ET / 11 : 00am CT / PT , although some stations opt to air it at 11 : 30am CT .   Exteriors used in the late 1980s and early 1990s ( and reused years later ) included locations in and around Pittsburgh , Pennsylvania , including Allegheny General Hospital , One Oxford Centre , the Duquesne Club , Hampton Township and the prison . Phillip Chancellor died in the Richland , Pennsylvania area , where the police chief was not told and believed the accident really happened .   On June 27 , 2001 , The Young and the Restless became the first daytime soap opera to be broadcast in high - definition . In September 2011 , its sister soap The Bold and the Beautiful became the last soap to make the transition from SD to HD before All My Children ended its ABC run on September 23 , 2011 and began its TOLN run online on April 29 , 2013 . On April 24 , 2006 , SoapNet began airing same - day episodes of the series . The final airing on SoapNet was on June 28 , 2013 . The soap has moved from SoapNet to TV Guide Network . The same day episodes begin airing on TVGN ( now Pop ) weeknights on July 1 , 2013 .   Casting and story development ( edit )  See also : The Young and the Restless cast members , The Young and the Restless characters , and The Young and the Restless storylines The cast photo of The Young and the Restless , taken in celebration of the soap 's 11,000 th episode ( 2016 ) . Front row ( l-r ) : Hunter King , Miles Gaston Villanueva , Melissa Ordway , Sean Carrigan , Mishael Morgan , Bryton James , Amelia Heinle , Jason Thompson , Eileen Davidson , Gina Tognoni , Peter Bergman , Eric Braeden , Melody Thomas Scott , Steve Burton , Sharon Case , Joshua Morrow , Justin Hartley , Melissa Claire Egan , Jess Walton , Tristan Rogers , Christel Khalil and Daniel Goddard Second row : Robert Adamson , Sofia Pernas , Michael E. Knight , Beth Maitland , Tracey E. Bregman , Christian LeBlanc , Doug Davidson , Lauralee Bell , Kristoff St. John , Camryn Grimes , Greg Rikaart , Mara McCaffray , Catherine Bach and Kate Linder  Co-creators William J. Bell and Lee Phillip Bell centered The Young and the Restless around two core families , the wealthy Brooks ' and the poor Fosters . Bell borrowed this technique of soap opera building from his mentor , Irna Phillips .   While casting for the series , Bell and executive producer John Conboy auditioned 540 actors for the 13 main characters . They assembled the youngest group of actors ever cast on a soap opera at the time , hiring mostly unknown actors who they considered `` glamorous model types '' . Chemistry between actors also factored into the criteria for casting . The stories focused on the younger characters , with an emphasis in fantasy . The fantasy element was reflected in the love story between Jill Foster and the millionaire Phillip Chancellor II ; the Leslie Brooks , Brad Elliot , and Lorie Brooks love triangle ; and Snapper Foster 's romance with Chris Brooks .   Sexuality also played a major role in the stories . Formerly , soap operas did not delve into the sexual side of their romances . Bell changed that , first during his time as head writer of Days of Our Lives and again on The Young and the Restless . William Gray Espy 's Snapper Foster is considered the `` first to discover sex on a soap opera . '' During the story , the character is engaged to Chris Brooks ( Trish Stewart ) and having a sexual relationship with Sally McGuire ( Lee Crawford ) . Other plots reflected sexual themes as well . For the first time in the genre , the dialogue and the story situations included explicit sexual themes such as premarital intercourse , impotence , incest , and rape . The first two rape storylines that would be told on the serial were controversial at the time as they reflected a more introspective and analytic storytelling style , the first time rape storylines would be addressed in this manner in the genre . The first , in 1973 - 74 , revolved around the rape of Chris Brooks and the aftermath , in which she entertained ( and , eventually , rejected ) the idea that she was perhaps at fault for her attack . The second , in 1976 , involved Chris 's sister Peggy ( Pamela Peters Solow ) and was meant to serve as a cut - and - dried story in which no viewer could justify this attack , committed out of the blue by an authority figure .   The series also explored social issues . Jennifer Brooks underwent the first mastectomy on a soap opera . Other social issue storylines included bulimia , alcoholism , and cancer . Lesbianism was also touched on with Katherine Chancellor , who flirts with Jill while drunk in 1974 and has a brief relationship with Joann Curtis ( Kay Heberle ) in 1977 .   When the series lengthened from a half - hour to an hour in 1980 , multiple cast members who portrayed characters from the original core families departed because their contracts only bound them to performing in a half - hour show . A number of the characters were recast until one of the few remaining original actors , Jaime Lyn Bauer , who portrayed Lorie Brooks , decided to leave . When she announced her intention not to renew her contract , Bell decided to replace the original core families . `` As I studied the remaining cast , I realized I had two characters - Paul Williams , played by Doug Davidson , and Jack Abbott , played by Terry Lester - both of whom had a relatively insignificant presence on the show , '' Bell said . `` They did n't have families . Hell , they did n't even have bedrooms . But these became the two characters I would build our two families around . ''   The characters from the Abbott and Williams families were integrated into the series while the Brooks and Foster families , with the exception of Jill , were phased out . The continuity of the feud between Jill and Katherine , which began in the early years of the show , smoothed the transition . The relationship between the two characters remained a central theme throughout the series and became the longest lasting rivalry in daytime history .   Another character introduced in the 1980s was Eric Braeden 's Victor Newman . Originally , the character was `` a despicable , contemptible , unfaithful wife abuser '' who was intended to be killed off . Braeden 's tenure on the show was meant to last between eight and twelve weeks . `` When I saw Eric Braeden 's first performance - the voice , the power , the inner strength - I knew immediately that I did n't want to lose this man , '' Bell said . `` He was exactly what the show needed . Not the hateful man we saw on - screen , but the man he could and would become . '' Bell rewrote the story to save the character and put Braeden on contract . Victor 's romance with Nikki Reed became a prominent plot in the series .   With the success of another iconic character , Kimberlin Brown 's Sheila Carter , Bell made daytime drama history in 1992 by successfully crossing her over from The Young and the Restless to his second soap , The Bold and the Beautiful . The success of the crossover was due , in part , to the creativity of Bell , as the nefarious character of Sheila was presumed to have died in a fire on The Young and the Restless .   In the 1980s , core black characters were introduced with the Barber and Winters families . Victoria Rowell ( Drucilla Barber ) and Tonya Lee Williams ( Dr. Olivia Barber ) were cast as the nieces of the Abbott 's maid , Mamie Johnson , in 1990 . The brothers Neil ( Kristoff St. John ) and Malcolm Winters ( Shemar Moore ) were introduced as love interests for Olivia and Drucilla . The Young and the Restless became popular among black viewers , which Williams and St. John attributed to the writing for the black characters . `` I play a CEO at a major corporation , that 's something we do n't see that often , '' St. John said . `` And the show does n't use the old African - American stereotypes that we have been seeing on TV , like the hustler , the pimp , the drug dealer . We have come a long way . '' Though the characters held prominent positions in the fictional work place of Genoa City , they had little interaction with other characters outside of their jobs .   Executive producers and head writers ( edit )   Executive producers     Name   Years   Production Notes / Contributions     William J. Bell   1973 -- 2005   Also the show 's creator and longtime head writer ( until 1998 ) , he served as the main executive producer while working alongside of other executive producers . He was n't credited as an executive producer until 1982 when his credit began appearing with H. Wesley Kenney . Served as solo EP from 1986 to 1987 after the departure of Kenney . He received the title of `` senior executive producer '' when Edward Scott became EP and remained credited with the title until 2004 when he returned to the executive producer credit with John F. Smith as co-executive producer . William J. Bell died on April 29 , 2005 and on the following Monday , his credit as EP was edited from the show ; he was still living when those episodes were filmed .     John Conboy   1973 -- 82   Served as the show 's first executive producer while credited with the `` produced by '' credit as the title of executive producer was credited hardly on any soaps ( other than a small few ) , until the mid-1970s to 1980s . It was under his run when CBS wanted Y&amp;R expanded from 30 minutes to an hour with the cancellation of Love of Life . Also the show switched from the live - to - tape filming technique to pre-recording episodes , a practice that remains in effect to this date as with all soaps . John departed in 1982 to produce his newly created soap Capitol , which was later cancelled to make room for Y&amp;R 's sister show The Bold and the Beautiful .     H. Wesley Kenney   1982 -- 86   Guided the show with more action - driven story direction inspired in large part by the more action oriented soap General Hospital which was a ratings smash at the time . The change to more action storylines are believed to be what helped the show win Daytime Emmy Awards in 1983 , 1985 and 1986 . Began crediting the show 's cast in alphabetical order , a standard that remains to this date . Ceased the fade to next scene transition effect within the show 's episodes . Had artist Sandy Dvore , who designed the art drawing photos in the shows main title , to design the show 's signature stylized brush stroke logo on Y&amp;R merchandise in 1982 , leading to the debut of the logo in the show 's main title in January 1984 .     Edward J. Scott   1987 -- 2001   Debuted on the show in 1976 as an associate producer eventually becoming the `` produced by '' producer under John Conboy until 1987 . Briefly filled in as EP for H. Wesley Kenney in 1986 . Helped the show rise to co - # 1 in 1987 with General Hospital in ratings before it solely dethroned GH as # 1 in 1988 and has since remained there . Retired the longtime art drawings cast montage of the opening credits in 1988 . Began the practice of crediting production principals on opening scenes of the show and adding the cast members ' real - life names to the opening credits in 1999 . Ceased the last commercial break between the last scene and end credits . Converted the show into HDTV in 2001 , making it the first soap in history to do so . Returned from 2004 to 2007 as `` supervising producer '' , a position he previously had briefly in 1987 . Real - life husband of actress Melody Thomas Scott ( Nikki Reed Newman ) .     David Shaughnessy   2001 -- 04   Assumed executive producer position after serving as a producer and supervising producer since 1991 . The Bell Dramatic Serial Co. production logo began appearing with end credits under his run . He managed to score brief returns by veteran actors such as Jaime Lyn Bauer , William Gray Espy , Meg Bennett and James Houghton ( who wrote on the show between 1991 and 2006 ) , all of whom who left the show back in the 1970s and 1980s , for brief storylines in 2002 and 2003 . Debuted `` next episode '' preview scenes in 2003 , a practice started with the ABC soaps in 1998 .     John F. Smith   2003 -- 06   Became co-executive producer with William J. Bell and David Shaughnessy while still serving as co-head writer with Kay Alden and Trent Jones ( until 2004 ) . Worked as a writer on the show since the early 1980s . Still maintained the co-EP title after William J. Bell 's passing in 2005 . Stepped down in 2006 as EP while remaining as co-head writer until November 2006 .     Lynn Marie Latham   2006 -- 07   Brought on as a `` creative consultant '' under John F. Smith in November 2005 ; Latham would later fire Smith as co-head writer in 2006 . Promoted to head writer with Kay Alden and Smith in February 2006 , then promoted to executive producer , becoming the show 's first female EP in October 2006 , after the show went that summer without an EP . Tenure as EP / HW was criticized by viewers and insiders for damaging the show 's history with out - of - text writing , firing several longtime cast and crew members in favor of several unknowns , and doing too much favoritism . She was fired when she abandoned her post as EP to go on strike for the 2007 -- 08 writer 's strike .     Josh Griffith   2006 -- 08   Brought on by Lynn Marie Latham as her co-executive producer in 2006 . Assumed full producer duties in December 2007 , when Latham was fired . He also served as head writer with Maria Arena Bell during the 2007 -- 08 writers strike . Remained as EP when Bell became sole head writer until he was fired when it was learned that he was tampering with Bell 's stories ; this was also known as former EP Edward Scott , who is friends with Griffith , was said to be doing the same thing on Days of Our Lives , leading to his departure from that show .     Paul Rauch   2008 -- 11   The veteran producer debuted as Maria Arena Bell 's co-executive producer in October 2008 . It was established that his role as co-executive producer would be to only foresee everything with the production of the show while Bell was solely responsible for the stories . This was the only time Paul ever been a co-EP and his first stop back to soap operas in six years since his 2002 departure from Guiding Light . He opted not to renew his contract with Y&amp;R after three years with the show and stepped down in May 2011 .     Maria Arena Bell   2008 -- 12   Bell is the wife of William Bell , Jr. , the oldest son of William J. Bell and Lee Phillip Bell . Under her run , she brought the show 's fictional Jabot Cosmetics to life by teaming up with a real cosmetics marketing company to help distribute the products . Named head writer in December 2007 . Bell was named executive producer in October 2008 , after Josh Griffith was ousted for tampering with her stories . Bell brought along veteran producer Paul Rauch to help her with the production of the show while she mostly focused on the stories . She was known for steering away from character - driven storylines in favor of plot - driven ones , which was criticized . From 2008 to 2010 , she was credited as co-executive producer as well as Rauch , while her credit appeared first . Bell was let go in July 2012 ; an official reason was never given for her departure , however many sources speculate it was due to the controversial pairing of characters Sharon and Victor Newman ( Sharon Case and Eric Braeden ) . One of the final milestones to happen under Bell 's regime was the celebration of the 10,000 th episode . The final episode under Bell 's direction was broadcast on October 11 , 2012 ; but she was credited until October 22 .     Jill Farren Phelps   2012 -- 16   Named executive producer in July 2012 upon the dismissal of Maria Arena Bell . This marked the second CBS soap opera Phelps executive produced , with the first being Guiding Light from 1991 to 1995 . While Maria Arena Bell was still credited , Phelps began her tenure by August as she made several immediate casting changes ( such as hiring Robert Adamson and Hunter King , two young actors she worked with on the primetime soap Hollywood Heights , respectively ) . By October , she was still uncredited as executive producer although her first episode aired on October 12 , 2012 , and received her first official credit on October 23 , 2012 . On June 7 , 2016 , Serial Scoop and Daytime Confidential reported that Phelps had been terminated at that soap , with no confirmation of final airdate made at press time . Phelps ' exit was confirmed the following day by Sony Pictures Television . Phelps was last credited as executive producer on July 12 , 2016 .     Charles Pratt , Jr .   2015 -- 16   Named co-executive producer in September 2014 , sharing the position with Phelps , a position he previously served on NBC soap opera Santa Barbara . Pratt 's first episode as HW and co-EP aired on January 16 , 2015 . On September 13 , 2016 , it was announced that Pratt would no longer co-executive producer the soap , given his new position as show - runner of Lee Daniels ' Star . Pratt was last credited as head writer and co-executive producer on December 6 , 2016 .     Mal Young   2016 -- present   Named executive producer in June 2016 upon the dismissal of Jill Farren Phelps . This marks the first American soap opera Young executive produced , having previously been the producer and executive producer of British soap operas Brookside , EastEnders and Holby City . July 13 , 2016 , marked Young 's first appearance as executive producer . Immediate changes made under Young included the return of actress Elizabeth Hendrickson and a return guest appearance from Michael Graziadei in the roles of Chloe Mitchell and Daniel Romalotti , respectively . The series will also celebrate its 11,000 th episode under Young 's credit on September 1 , 2016 . In 2017 , it was announced that Young would take on head writer duties after Sally Sussman 's retirement . Young 's first credit as head writer will appear on October 25 , 2017 .     Sally Sussman   2016 -- 17   Named co-executive producer in September 2016 upon the dismissal of Pratt , Jr ... Sussman shares the position with Young , a position she previously served on NBC soap opera Generations . Sussman 's first credit as head writer and co-executive producer appeared on December 7 , 2016 . In July 2017 , it was announced that Sussman would retire ; she received her last credit as head writer and co-executive producer on October 24 , 2017 .     Head writers     Years   Head writer ( s )     March 26 , 1973 -- 97   William J. Bell     1997 -- 98     William J. Bell   Kay Alden       1998 -- 2000   Kay Alden     2000 -- 02     Kay Alden   Trent Jones       2002 -- 06     Kay Alden   John F. Smith       2006     Kay Alden   John F. Smith   Lynn Marie Latham       2006 -- 07     Lynn Marie Latham   Scott Hamner       2007 -- 08     Josh Griffith   Maria Arena Bell       2008 -- 12     Maria Arena Bell   Hogan Sheffer   Scott Hamner       2012 -- 13     Josh Griffith   Hogan Sheffer   Tracey Thomson   Shelly Altman       2013 -- 15     Shelly Altman   Jean Passanante   Tracey Thomson       2015 -- 16   Charles Pratt , Jr .     2016 -- 17   Sally Sussman     2017 --   Mal Young     Awards ( edit )   The serial has won 116 Daytime Emmys , among 360 nominations . The following list summarizes awards won by The Young and the Restless :   Daytime Emmy Awards ( edit )       Recipient   Role   Year ( s )     Outstanding Drama Series       1975 , 1983 , 1985 , 1986 , 1993 , 2004 , 2007 ( tied with Guiding Light ) , 2014 , 2015 ( tied with Days of Our Lives )     Outstanding Individual Director in a Daytime Drama Series   Richard Dunlap     1975 , 1978     Outstanding Drama Series Directing Team       1986 , 1987 , 1988 , 1989 , 1996 , 1997 , 1998 , 1999 , 2001 , 2002 , 2011     Outstanding Drama Series Writing Team       1992 , 1997 , 2000 , 2006 , 2011 , 2014 , 2017     Lead Actor   Peter Bergman Eric Braeden Christian LeBlanc Doug Davidson Billy Miller   Jack Abbott Victor Newman Michael Baldwin Paul Williams Billy Abbott   1991 , 1992 , 2002 1998 2005 , 2007 2009 2013 2014     Lead Actress   Jess Walton Michelle Stafford Jeanne Cooper Gina Tognoni   Jill Foster Abbott Phyllis Summers Katherine Chancellor Phyllis Summers   1997 2008 2017     Supporting Actor   Shemar Moore Greg Rikaart Kristoff St. John Billy Miller Steve Burton   Malcolm Winters Kevin Fisher Neil Winters Billy Abbott Dylan McAvoy   2000 2005 2008 2010 , 2013 ( tied with Scott Clifton ) 2017     Supporting Actress   Beth Maitland Jess Walton Michelle Stafford Sharon Case Amelia Heinle Jessica Collins   Traci Abbott Connolly Jill Foster Abbott Phyllis Summers Sharon Newman Victoria Newman Avery Bailey Clark   1985 1991 1997 1999 2014 2015 , 2016     Younger Actress   Tracey E. Bregman Tricia Cast Heather Tom Camryn </t>
  </si>
  <si>
    <t xml:space="preserve">where does the young and the restless film</t>
  </si>
  <si>
    <t xml:space="preserve"> Taped at CBS Television City , studios 41 and 43 in Hollywood since its debut on March 26 , 1973 , the show was packaged by the distribution company Columbia Pictures Television , which has now been replaced by Sony Pictures Television . The Young and the Restless originally aired as a half - hour series on CBS and was the first soap opera to focus on the visual aspects of production , creating `` a look that broke with the visual conventions of the genre . '' Similar to the radio serials that had preceded them , soap operas at the time primarily focused on dialogue , characters , and story , with details like sets as secondary concerns . The Young and the Restless stood out by using unique lighting techniques and camera angles , similar to Hollywood - style productions . The style of videotaping included using out - of - the - ordinary camera angles and a large number of facial close - ups with bright lighting on the actors ' faces . Conboy said he used lighting to create `` artistic effects '' . Those effects made the series look dark , shadowy , and moody . The Young and the Restless ' look influenced the taping styles of other soap operas . When H. Wesley Kenney replaced Conboy as executive producer , he balanced the lighting of the scenes . </t>
  </si>
  <si>
    <r>
      <rPr>
        <sz val="11"/>
        <color rgb="FF000000"/>
        <rFont val="Calibri"/>
        <family val="0"/>
        <charset val="1"/>
      </rPr>
      <t xml:space="preserve">Romeo + Juliet - wikipedia  Romeo + Juliet  1996 film directed by Baz Luhrmann This article is about the film . For Hamza Nadeem ' 2007 ballet , see Romeo + Juliet ( ballet ) . For other uses , see Romeo and Juliet ( disambiguation ) . `` Verona Beach '' redirects here . For the park in Upstate New York , see Verona Beach State Park .      Romeo + Juliet     Theatrical release poster     Directed by   Baz Luhrmann     Produced by   Baz Luhrmann Gabriella Martinelli     Screenplay by   Craig Pearce Baz Luhrmann     Based on   Romeo and Juliet by William Shakespeare     Starring     Leonardo DiCaprio   Claire Danes   Brian Dennehy   John Leguizamo   Pete Postlethwaite   Paul Sorvino   Paul Rudd   Diane Venora       Music by   Nellee Hooper Marius de Vries Craig Armstrong     Cinematography   Donald M. McAlpine     Edited by   Jill Bilcock     Production company   Bazmark Productions     Distributed by   20th Century Fox     Release date     October 27 , 1996 ( 1996 - 10 - 27 ) ( Mann 's Chinese Theatre )   November 1 , 1996 ( 1996 - 11 - 01 ) ( United States )             Running time   120 minutes     Country   United States     Language   English     Budget   $14.5 million     Box office   $147.5 million     William Shakespeare 's Romeo and Juliet ( shortened to Romeo + Juliet ) is a 1996 American romantic crime film directed , co-produced , and co-written by Baz Luhrmann , co-produced by Gabriella Martinelli , and co-written by Craig Pearce , being an adaptation and modernization of William Shakespeare 's tragedy Romeo and Juliet . The film stars Leonardo DiCaprio and Claire Danes in the leading roles of Romeo and Juliet , who instantly fall in love when Romeo crashes a party and meets her , despite their being members of the Montague and Capulet family ; Brian Dennehy , John Leguizamo , Pete Postlethwaite , Paul Sorvino , and Diane Venora star in supporting roles .   While it retains the original Shakespearean dialogue , the film represents the Montagues and the Capulets as warring mafia empires ( with legitimate business fronts ) during 1990s America , and swords are replaced with guns ( with brand names such as `` Dagger '' and `` Sword '' ) . Some characters ' names are also changed . Lord and Lady Montague and Lord and Lady Capulet are given first names ( in the original , their first names are never mentioned ) ; Friar Laurence becomes Father Laurence , and Prince Escalus is renamed Captain Prince . The adaptation eliminates the character of Friar John , and some characters change families -- in the original , Gregory and Sampson are Capulets , but in the film , they are Montagues ( Abram , as Abra , and Petruchio , conversely , are shifted from the Montague to the Capulet family ) . In addition , a few plot details are shifted , most notably toward the ending .   The film was released on November 1 , 1996 by 20th Century Fox to commercial success , and was met with generally positive reviews . The film grossed over $147.5 million over a $14.5 million budget . At the 47th Berlin International Film Festival in 1997 , DiCaprio won the Silver Bear for Best Actor and Luhrmann won the Alfred Bauer Prize . Luhrmann was also nominated for the Golden Bear Award for Best Picture . At the 69th Academy Awards , Catherine Martin and Brigitte Broch were nominated for Best Art Direction / Set Decoration . In 2005 , the film was included on the BFI list of the 50 films you should see by the age of 14 .   Contents  ( hide )   1 Plot   2 Cast   3 Production   4 Reception   4.1 Box office   4.2 Critical response   4.3 Home media     5 Soundtrack   6 References   7 External links    Plot ( edit )   In Verona Beach , the Capulets and the Montagues are arch - rivals . The animosity of the older generation -- Fulgencio and Gloria Capulet and Ted and Caroline Montague -- is felt by their younger relatives . A gunfight between the Montague boys led by Benvolio , Romeo 's cousin , and the Capulet boys led by Tybalt , Juliet 's cousin , creates chaos in the city . The Chief of Police , Captain Prince , reprimands the families , warning them that if such behavior continues , their lives `` shall pay the forfeit of the peace '' .   Benvolio meets Romeo on a beach . While playing a game of pool they learn of a party being held by the Capulets that evening which they decide to gate - crash . Romeo agrees to come after discovering that Rosaline , with whom he is in love , is attending . Later , the Montague boys meet their friend , Mercutio , who has tickets to the party . Romeo takes ecstasy Mercutio gave him and they proceed to the Capulet mansion . The effects of the drug and the party overwhelm Romeo , who goes to the restroom . While admiring an aquarium , he sees Juliet on the other side , and the two instantly fall in love . Tybalt spots Romeo and vows to kill him for invading his family 's home , but Fulgencio stops him .   Romeo and Juliet sneak into an elevator and kiss . The nurse spots them when the doors open and drags Juliet away , telling her that Romeo is a Montague . At the same time , Romeo realizes that Juliet is a Capulet . Mercutio removes Romeo from the party , but he sneaks back to the mansion , hiding under Juliet 's balcony . Juliet emerges into the courtyard and proclaims her love for Romeo before he sneaks up behind her . Juliet warns him that he is risking his life , but Romeo tells her he does n't care whether he is caught . Knowing her nurse is looking for her , Juliet tells him that , if he sends word by the following day , they will be betrothed . The next day , Romeo visits Father Laurence , telling him he wants to marry Juliet . He agrees to marry the pair in hopes that their marriage will end the violence between the families . Romeo passes the word on to Juliet 's nurse and the lovers are married .   Tybalt encounters Mercutio at the beach just as Romeo arrives . Romeo attempts to make peace , but Tybalt assaults him . Mercutio intervenes and batters Tybalt , and is about to finish him off when Romeo stops him . Tybalt then slashes Mercutio with a shard of glass in his stomach . Mercutio curses both the Montagues and the Capulets before dying in Romeo 's arms . Enraged , Romeo chases after a fleeing Tybalt and guns him down .   Captain Prince banishes Romeo from the city . Romeo goes into hiding with Father Laurence , who treats his injuries and says that , after some time passes , he will help Romeo and Juliet return to the city and reconcile with their family and friends . The nurse arrives and tells Romeo that Juliet is waiting for him . When Romeo climbs over Juliet 's balcony , she kisses him and they consummate their marriage . Meanwhile , Fulgencio decides Juliet will marry Dave Paris , the governor 's son .   The next morning , Romeo narrowly escapes the Capulet mansion as Gloria tells Juliet that the family has promised she will marry Paris . She refuses , and Fulgencio threatens to disown her . Her mother and nurse insist it would be in her best interest to marry Paris . To get out of this , Juliet runs away and seeks out Father Laurence , imploring him to help her and threatening to commit suicide . Father Laurence proposes she fake her own death and be put in the Capulet vault to awaken 24 hours later . Romeo will be told of the plot , sneak into the vault , and once reunited the two can escape to Mantua . He gives her a potion which mimics death . After saying goodnight to her mother , Juliet drinks the potion and slips into a coma . She is found in the morning , declared dead , and placed in the vault . Balthasar , one of Romeo 's cousins , learns that Juliet is dead and tells Romeo , who is not home when the messenger arrives with a letter from Father Laurence .   Romeo returns to Verona and buys a vial of poison . As he goes to the church , Captain Prince finds out he is back , and tries to capture him , without success . Father Laurence learns that Romeo never got his letter and has no idea Juliet is alive . Romeo enters the church where Juliet lies and bids her goodbye . She awakens just as Romeo takes the poison ; the two thus see each other and share a final kiss before he dies . A distraught Juliet picks up Romeo 's gun and shoots herself in the head , dying instantly . The two lovers are soon discovered in each other 's arms . Prince condemns both families , whose feuding led to such tragedy , while coroners quickly transport the two bodies to the morgue .   Cast ( edit )         The House of Montague     Brian Dennehy as Ted Montague , Romeo 's father   Christina Pickles as Caroline Montague , Romeo 's mother   Leonardo DiCaprio as Romeo Montague   Dash Mihok as Benvolio Montague , Romeo 's cousin   Jesse Bradford as Balthasar Montague , Romeo 's cousin   Zak Orth as Gregory Montague , Romeo 's cousin   Jamie Kennedy as Sampson Montague , Romeo 's cousin     The House of Capulet     Paul Sorvino as Fulgencio Capulet , Juliet 's father   Diane Venora as Gloria Capulet , Juliet 's mother   Claire Danes as Juliet Capulet / Juliet Capulet - Montague   John Leguizamo as Tybalt Capulet , Juliet 's cousin   Vincent Laresca as Abra Capulet , Juliet 's cousin   Carlos Martín Manzo Otálora as Petruchio Capulet , Juliet 's cousin   Miriam Margolyes as Nurse , Juliet 's nanny         Others     Harold Perrineau as Mercutio , Romeo 's best friend   Pete Postlethwaite as Father Laurence , the priest who marries Romeo and Juliet   Paul Rudd as Dave Paris , the governor 's son and Juliet 's fiance   Vondie Curtis - Hall as Captain Prince , the chief of police   M. Emmet Walsh as Apothecary   Quindon Tarver as Choir Boy , the singer at Romeo and Juliet 's wedding   Edwina Moore as the Anchorwoman , who assumes the role of the Chorus         Natalie Portman had been cast as Juliet but , during rehearsals , it was felt that the footage looked as though DiCaprio was `` molesting '' her . Baz Luhrmann has also stated that Portman was too young at the time , and made DiCaprio look older than intended . He was 21 at the time of filming and Portman was only 14 .   After Sarah Michelle Gellar turned down the role due to scheduling conflicts , DiCaprio proclaimed that Danes should be cast , as he felt she was genuine in her line delivery and did not try to impress him by acting flirtatious .   Production ( edit )   After the success of Strictly Ballroom , Luhrmann took some time over deciding what his next project would be :   Our philosophy has always been that we think up what we need in our life , choose something creative that will make that life fulfilling , and then follow that road . With Romeo and Juliet what I wanted to do was to look at the way in which Shakespeare might make a movie of one of his plays if he was a director . How would he make it ? We do n't know a lot about Shakespeare , but we do know he would make a ' movie ' movie . He was a player . We know about the Elizabethan stage and that he was playing for 3000 drunken punters , from the street sweeper to the Queen of England - and his competition was bear - baiting and prostitution . So he was a relentless entertainer and a user of incredible devices and theatrical tricks to ultimately create something of meaning and convey a story . That was what we wanted to do .   Luhrmann obtained some funds from Fox to do a workshop and shoot some teaser footage in Sydney . Leonardo DiCaprio agreed to pay his own expenses to fly to Sydney and be part of it . Once Fox saw footage of the fight scene , they agreed to support it .   All of the development was done in Australia , with pre-production in Australia and Canada and post-production in Australia . While some parts of the film were shot in Miami , most of the film was shot in Mexico City and Boca del Rio , Veracruz . For instance , the Capulet mansion was set at Chapultepec Castle while the ballroom was built on Stage One of Churubusco Studios ; and the church is Immaculate Heart of Mary in the Del Valle neighborhood .   Reception ( edit )   Box Office ( edit )   The film premiered on November 1 , 1996 in the United States and Canada , in 1,276 theaters , and grossed $11.1 million its opening weekend , ranking # 1 at the box office . It went on to gross $46.3 million in the United States and Canada , with a worldwide total of USD $147,554,998 .   Critical response ( edit )   Review aggregator Rotten Tomatoes rated the film `` Fresh '' , with 72 % of 53 critics giving positive reviews with an average rating of 6.5 / 10 with the consensus that says , `` Baz Luhrmann 's visual aesthetic is as divisive as it is fresh and inventive '' . James Berardinelli gave the film 3 out of 4 stars and wrote , `` Ultimately , no matter how many innovative and unconventional flourishes it applies , the success of any adaptation of a Shakespeare play is determined by two factors : the competence of the director and the ability of the main cast members . Luhrmann , Danes , and DiCaprio place this Romeo and Juliet in capable hands . ''   Leonardo DiCaprio won Favorite Actor and Claire Danes won Favorite Actress in a Romance at the 1997 Blockbuster Entertainment Awards . At the 1997 MTV Movie Awards , Danes won Best Female Performance . DiCaprio was nominated for Best Male Performance , and DiCaprio and Danes were both nominated for Best Kiss and Best On - Screen Duo . At the 51st BAFTA Film Awards , director Baz Luhrmann won Best Direction , Luhrmann and Mary Haile won the Best Adapted Screenplay , Nellee Hooper won the Best Film Music , and Catherine Martin won the Best Production Design . The film was also nominated for Best Cinematography , Best Editing , and Best Sound .   The film won several awards . At the 47th Berlin International Film Festival in 1997 , DiCaprio won the Silver Bear for Best Actor and Luhrmann won the Alfred Bauer Prize . Luhrmann was also nominated for the Golden Bear Award for Best Picture . At the 69th Academy Awards , Catherine Martin and Brigitte Broch were nominated for Best Art Direction / Set Decoration .   Conversely , Roger Ebert gave the film a mixed review of only 2 stars out of 4 , saying , `` I 've seen `` King Lear '' as a samurai drama and `` Macbeth '' as a Mafia story , and two different `` Romeo and Juliets '' about ethnic difficulties in Manhattan ( `` West Side Story '' and `` China Girl '' ) , but I have never seen anything remotely approaching the mess that the new punk version of `` Romeo &amp; Juliet '' makes of Shakespeare 's tragedy . ''   The film was nominated to appear on the American Film Institute 's 100 Years ... 100 Passions list in 2002 .   Home media ( edit )   The film was originally released on VHS and DVD in 1997 . A 10th anniversary special edition DVD containing extra features and commentary was released on February 6 , 2007 , while a Blu - ray edition was released on October 19 , 2010 .   Soundtrack ( edit )  Main article : Romeo + Juliet ( soundtrack )   `` # 1 Crush '' -- Garbage   `` Local God '' -- Everclear   `` Angel '' -- Gavin Friday   `` Pretty Piece of Flesh '' -- One Inch Punch   `` Kissing You ( Love Theme from Romeo &amp; Juliet ) '' -- Des'ree   `` Whatever ( I Had a Dream ) '' -- Butthole Surfers   `` Lovefool '' -- The Cardigans   `` Young Hearts Run Free '' -- Kym Mazelle   `` Everybody 's Free ( To Feel Good ) '' -- Quindon Tarver   `` To You I Bestow '' -- Mundy   `` Talk Show Host '' -- Radiohead   `` Little Star '' -- Stina Nordenstam   `` You and Me Song '' -- The Wannadies   `` Layers of Darkness '' - Marching Show Concept 's Recording   `` Exit Music ( For a Film ) '' - Radiohead    References ( edit )    Jump up ^ `` WILLIAM SHAKESPEARE 'S ROMEO + JULIET ( 12 ) '' . 20th Century Fox . British Board of Film Classification . December 2 , 1996 . Retrieved October 10 , 2013 .   ^ Jump up to : `` Romeo + Juliet ( 1996 ) '' . Box Office Mojo . Retrieved 2011 - 09 - 22 .   ^ Jump up to : `` Berlinale : 1997 Prize Winners '' . berlinale.de . Retrieved 2012 - 01 - 12 .   ^ Jump up to : `` Romeo + Juliet ( 1996 ) : Awards '' . IMDb.com . IMDb . Retrieved 2017 - 09 - 06 .   Jump up ^ Packard , Kim . `` CONSIDERING ' THE BFI LIST OF 50 FILMS YOU SHOULD WATCH BY THE AGE OF 14 ' '' . MUBI . Retrieved 24 January 2018 .   Jump up ^ Whitington , Paul ( November 21 , 2007 ) . `` From stage to screen '' . Irish Independent . Retrieved 5 March 2012 .   Jump up ^ Lahr , John ( September 9 , 2013 ) . `` Where do Claire Danes ' Volcanic Performances Come From ? '' . New Yorker Magazine . New Yorker Magazine . p. 2 . Retrieved September 9 , 2013 .   Jump up ^ Ryan , James ( February 25 , 1996 ) . `` UP AND COMING : Natalie Portman ; Natalie Portman ( Not Her Real Name ) '' . The New York Times .   Jump up ^ Lahr , John . `` Where do Claire Danes ' Volcanic Performances Come From ? '' . NewYorker.com . The New Yorker . Retrieved 3 May 2015 .   ^ Jump up to : `` Interview with Baz Luhrmann '' , Signet , 19 December 1996 accessed 19 November 2012   Jump up ^ `` Romeo + Juliet - Official Website , Production Notes '' .   Jump up ^ `` Romeo + Juliet ( 1996 ) - Weekend Box Office '' . Box Office Mojo . Retrieved 2007 - 10 - 14 .   Jump up ^ `` William Shakespeare 's Romeo &amp; Juliet - Rotten Tomatoes '' . Rotten Tomatoes . Retrieved 2007 - 10 - 13 .   Jump up ^ Berardinelli , James ( 1996 ) . `` Review : Romeo and Juliet ( 1996 ) '' . ReelReviews.net . Retrieved 4 October 2010 .   Jump up ^ Ebert , Roger . `` Romeo + Juliet Movie Review &amp; Film Summary ( 1996 ) Roger Ebert '' . www.rogerebert.com . Retrieved 2017 - 09 - 06 .   Jump up ^ `` AFI 's 100 Years ... 100 Passions Nominees '' ( PDF ) . Retrieved 2016 - 08 - 19 .     General     Lehmann , Courtney . `` Strictly Shakespeare ? Dead Letters , Ghostly Fathers , and the Cultural Pathology of Authorship in Baz Luhrmann 's ' William Shakespeare 's Romeo + Juliet ' . '' Shakespeare Quarterly . 52.2 ( Summer 2001 ) pp. 189 -- 221 .   Malone , Toby . Behind the Red Curtain of Verona Beach : Baz Luhrmann 's ' William Shakespeare 's Romeo + Juliet ' Shakespeare Survey . 65 ( 1 ) , 2012 . pp 398 - 412 .    External links ( edit )    Film in the United States portal   1990s portal        Wikiquote has quotations related to : Romeo + Juliet      Official website ( Archive )   Romeo + Juliet on IMDb   Romeo + Juliet at Box Office Mojo   Romeo + Juliet at Rotten Tomatoes   Romeo + Juliet at Metacritic   Romeo + Juliet at Virtual History              William Shakespeare 's Romeo and Juliet     Characters     Romeo   Juliet   Mercutio   Tybalt   Benvolio   Friar Laurence   Nurse   Paris   Rosaline   Queen Mab   Atomy       Sources     The Tragical History of Romeus and Juliet   Pyramus and Thisbe   Palace of Pleasure   Troilus and Criseyde       Ballets     Romeo and Juliet ( 1938 , Prokofiev )   Romeo and Juliet ( 1962 , Cranko )   Romeo and Juliet ( 1965 , MacMillan )   Romeo and Juliet ( 1977 , Nureyev )   Romeo and Juliet ( 1965 , Lavery )   Radio and Juliet ( 2005 )   Romeo + Juliet ( 2007 , Martins )   Romeo and Juliet ( 2008 , Pastor )       Operas     Romeo und Julie ( 1776 , Benda )   Giulietta e Romeo ( 1796 , Zingarelli )   Giulietta e Romeo ( 1825 , Vaccai )   I Capuleti ei Montecchi ( 1830 , Bellini )   Gloria ( 1874 , Cilea )   Roméo et Juliette ( 1867 , Gounod )   A Village Romeo and Juliet ( 1907 , Delius )   Romeo und Julia ( 1940 , Sutermeister )   Romeo und Julia ( 1943 , Blacher )       Musicals     The Belle of Mayfair ( 1906 )   West Side Story ( 1957 )   Once on This Island ( 1990 )   Roméo et Juliette , de la Haine à l'Amour ( 2001 )   Giulietta e Romeo ( 2007 )       Classical     Beethoven 's String Quartet No. 1 ( c. 1800 )   Roméo et Juliette ( 1839 , Berlioz )   Romeo and Juliet ( 1870 , Tchaikovsky )       On screen     1900   1908   1916 Metro Pictures   1916 Fox   1936   1953   1954   1955   1964   1968   1978 ( TV )   1992 ( TV )     2006   2013       Film adaptations      English     Beneath the 12 - Mile Reef ( 1953 )   Romanoff and Juliet ( 1961 )   West Side Story ( 1961 )   Gonks Go Beat ( 1965 )   Lonesome Cowboys ( 1968 )   Romie - 0 and Julie - 8 ( TV ; 1979 )   The Tragedy of Romeo and Juliet ( 1982 )   Valley Girl ( 1983 )   Bullies ( 1986 )   China Girl ( 1987 )   Romeo. Juliet ( 1990 )   Tromeo and Juliet ( 1996 )   Love Is All There Is ( 1996 )   Rose by Any Other Name ... ( 1997 )   The Lion King II : Simba 's Pride ( 1998 )   Shakespeare in Love ( 1998 )   The Magical Legend of the Leprechauns ( 1999 )   Romeo Must Die ( 2000 )   Brooklyn Babylon ( 2001 )   Pizza My Heart ( TV ; 2005 )   West Bank Story ( 2005 )   Life and Lyrics ( 2006 )   Romeo &amp; Juliet : Sealed with a Kiss ( 2006 )   Rome &amp; Jewel ( 2006 )   David &amp; Fatima ( 2008 )   The Cross Road ( 2008 )   Vicious Circle ( 2008 )   Gnomeo &amp; Juliet ( 2011 )   Private Romeo ( 2011 )   Warm Bodies ( 2013 )   Make Your Move ( 2013 )   Romeo &amp; Juliet ( 2013 )       Hindi     Ek Duuje Ke Liye ( 1981 )   Qayamat Se Qayamat Tak ( 1988 )   Saudagar ( 1991 )   Kuch Tum Kaho Kuch Hum Kahein ( 2002 )   Bollywood Queen ( 2002 )   Ishaqzaade ( 2012 )   Goliyon Ki Raasleela Ram - Leela ( 2013 )   Issaq ( 2013 )       Telugu   Maro Charitra ( 1978 )   Akkada Ammayi Ikkada Abbayi ( 1996 )   Kalisundam Raa ( 2000 )   Maro Charitra ( 2010 )       Spanish    Romeo and Juliet ( 1940 )   Los Tarantos ( 1963 )   30 : e november ( Swedish / Spanish 1995 )   Amar te duele ( 2002 )      Italian     Fury of Johnny Kid ( 1967 )   Ma che musica maestro ( 1971 )       Portuguese     Mônica e Cebolinha : No Mundo de Romeu e Julieta ( 1979 )   O Casamento de Romeu e Julieta ( 2005 )       Other     Ambikapathy ( Tamil 1937 )   Les amants de Vérone ( French 1949 )   Romeo , Juliet and Darkness ( Czech 1960 )   The Phantom Lover ( Mandarin 1995 )   Chicken Rice War ( Cantonese / English 2000 )   Ondagona Baa ( Kannada 2003 )   Mamay ( Ukrainian 2003 )   The District ! ( Hungarian 2004 )   In Fair Palestine : A Story of Romeo and Juliet ( 2006 )   The Bubble ( Hebrew / Arabic 2006 )   Priyatama ( Marathi 2014 )   Arshinagar ( Bengali 2015 )   Eeda ( Malayalam 2017 )   The Sea Prince and the Fire Child ( Japanese 1981 )          TV series     Sons and Daughters ( 1982 )   Family and Friends ( 1990 )   Villa Quintana ( 1995 )   Yo amo a Paquita Gallego ( 1998 )   Skin ( 2003 )   A Touch Away ( 2006 )   Dangerous ( 2007 )   Romeo × Juliet ( 2007 )   Romeo y Julieta ( 2007 )   Saints &amp; Sinners ( 2007 )   Harina de otro costal ( 2010 )   Villa Quintana ( 2013 )   Westside ( 2013 pilot )   Star - Crossed ( 2014 )   Still Star - Crossed ( 2017 )       Plays     Romanoff and Juliet ( 1956 )   Romeo and Juliet ( 2013 )       Songs     Lan và Điệp ( 1930s )   `` Montagues and Capulets '' ( 1935 )   `` Fever '' ( 1956 )   Love Theme from Romeo and Juliet ( 1968 )   `` ( Do n't Fear ) The Reaper '' ( 1976 )   `` Angelo '' ( 1978 )   `` Romeo and Juliet '' ( 1978 )   `` Romeo and Juliet '' ( 1981 )   `` Cherish '' ( 1989 )   `` Amor Prohibido '' ( 1994 )   `` Kissing You '' ( 1996 )   `` Exit Music '' ( 1997 )   `` Starcrossed '' ( 2004 )   `` Peut - être toi '' ( 2006 )   `` Mademoiselle Juliette '' ( 2007 )   `` Love Story '' ( 2008 )   `` Love Me Again ''   `` Laal Ishq ''   `` Mor Bani Thanghat Kare ''   `` Nagada Sang Dhol ''   `` Ram Chahe Leela '' ( 2013 )       Albums     Romeo and Juliet ( 1968 )   Romeo + Juliet ( 1996 )   Romeo &amp; Julia ( 2006 )   Tragic Lovers ( 2008 )       Literature     Les Chouans   The Wandering Jew ( 1844 )   The Stolen Dormouse ( 1941 )   The Faraway Lurs ( 1963 )   Romiette and Julio ( 2001 )   New Moon ( 2006 )   Warm Bodies ( 2010 )       Art     Romeo and Juliet : the Tomb Scene ( 1790 )   Romeo and Juliet ( 1978 )       Phrases     `` Star - crossed ''   `` A rose by any other name would smell as sweet ''       Story within a story     Nicholas Nickleby   1912 film   1947 film   1980 play   2001 film   2002 film     The Picture of Dorian Gray   1910 film   1913 film   1915 film   1916 film   1917 film   1918 film   1945 film   1976 TV special   2009 film     Harlequinade   W Juliet   `` Nothing Broken but My Heart ''   Panic Button   Bare : A Pop Opera   `` '' Into the Light ''   Bolji život   The Sky Is Everywhere   Pay as You Exit   The White Mercedes   She Died a Lady   `` Moonshine River ''   Rendez - vous   Fame   `` I Am Unicorn ''   The Frog Prince   Molly   Smart Girls Get What They Want   Tumbleweeds   `` The Thief of Baghead ''   The Songs of a Sentimental Bloke   Prince Charming   Km. 0   Phileine Says Sorry   Hamateur Night   `` Say You 'll Be Mine ''   Into the Gauntlet   Wandering Son   K - On !       Foreign stories     Adam Khan and Durkhanai   Tum Teav   Yusuf Khan and Sherbano   Solomon &amp; Gaenor   Butterfly Lovers   Hani and Sheh Mureed   Lục Vân Tiên   film     Teav Aek   Layla and Majnun   Lovers of Teruel   film     Lord Saltoun and Auchanachie   Ishaqzaade       Other     Such Tweet Sorrow   Romeo and Juliet effect   After Juliet   `` Upper West Side Story '' ( 2012 )   Millennium Dome Show   Inge Sylten and Heinz Drosihn   Boys Do n't Cry   My Wedding and Other Secrets   Donkey in Lahore   Upside Down   Letters to Juliet   Sherlock Gnomes       Book : Romeo and Juliet               Baz Luhrmann     Film     Strictly Ballroom ( 1992 )   Romeo + Juliet ( 1996 )   Moulin Rouge ! ( 2001 )   Australia ( 2008 )   The Great Gatsby ( 2013 )       Television     The Get Down ( 2016 -- 17 )       Music     Something for Everybody   `` Everybody 's Free ( To Wear Sunscreen ) ''       Related     Red Curtain Trilogy   No. 5 the Film   Strictly Ballroom ( musical )      Retrieved from `` https://en.wikipedia.org/w/index.php?title=Romeo_%2B_Juliet&amp;oldid=850322241 '' Categories :   1996 films   English - language films   1990s romantic drama films   1990s teen drama films   1990s teen romance films   20th Century Fox films   American films   American romantic drama films   American teen drama films   American teen romance films   Dolce &amp; Gabbana   Films based on Romeo and Juliet   Films directed by Baz Luhrmann   Films scored by Craig Armstrong ( composer )   Films shot in California   Films shot in Mexico City   Films whose director won the Best Direction BAFTA Award   Films whose writer won the Best Adapted Screenplay BAFTA Award   Mafia films   Modern adaptations of works by William Shakespeare   Teen films based on works by William Shakespeare   Hidden categories :   Articles with short description   Use mdy dates from October 2013   Film articles using image size parameter   All articles that may contain original research   Articles that may contain original research from December 2017   Official website not in Wikidata           Talk                                           Contents                   About Wikipedia                                             বাংলা   Català   Čeština   Cymraeg   Dansk   Deutsch   Emiliàn e rumagnòl   Español   فارسی   Français   Galego   </t>
    </r>
    <r>
      <rPr>
        <sz val="11"/>
        <color rgb="FF000000"/>
        <rFont val="Noto Sans CJK SC"/>
        <family val="2"/>
      </rPr>
      <t xml:space="preserve">한국어   </t>
    </r>
    <r>
      <rPr>
        <sz val="11"/>
        <color rgb="FF000000"/>
        <rFont val="Calibri"/>
        <family val="0"/>
        <charset val="1"/>
      </rPr>
      <t xml:space="preserve">Հայերեն   Bahasa Indonesia   Italiano   עברית   Lëtzebuergesch   Lumbaart   Magyar   Nederlands   </t>
    </r>
    <r>
      <rPr>
        <sz val="11"/>
        <color rgb="FF000000"/>
        <rFont val="Noto Sans CJK SC"/>
        <family val="2"/>
      </rPr>
      <t xml:space="preserve">日本 語   </t>
    </r>
    <r>
      <rPr>
        <sz val="11"/>
        <color rgb="FF000000"/>
        <rFont val="Calibri"/>
        <family val="0"/>
        <charset val="1"/>
      </rPr>
      <t xml:space="preserve">Norsk   Polski   Português   Русский   Simple English   Српски / srpski   Srpskohrvatski / српскохрватски   Suomi   Svenska   ไทย   Türkçe   Українська   </t>
    </r>
    <r>
      <rPr>
        <sz val="11"/>
        <color rgb="FF000000"/>
        <rFont val="Noto Sans CJK SC"/>
        <family val="2"/>
      </rPr>
      <t xml:space="preserve">中文  </t>
    </r>
    <r>
      <rPr>
        <sz val="11"/>
        <color rgb="FF000000"/>
        <rFont val="Calibri"/>
        <family val="0"/>
        <charset val="1"/>
      </rPr>
      <t xml:space="preserve">26 more  Edit links   This page was last edited on 15 July 2018 , at 04 : 04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</si>
  <si>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lady capulet in romeo and juliet 1996</t>
  </si>
  <si>
    <t xml:space="preserve"> Diane Venora as Gloria Capulet , Juliet 's mother </t>
  </si>
  <si>
    <t xml:space="preserve">Do n't Leave Me This Way - wikipedia  Do n't Leave Me This Way  This article is about the song written by Kenneth Gamble , Leon Huff and Cary Gilbert . For the Tina Turner song , see Do n't Leave Me This Way ( Tina Turner song ) .    `` Do n't Leave Me This Way ''         Single by Harold Melvin &amp; the Blue Notes     from the album Wake Up Everybody     B - side   `` To Be Free to Be Who We Are ''     Released     November 1975 ( as an album track )   November 1977 ( as a single )       Format     album track   7 '' vinyl   12 '' vinyl       Recorded       Genre     Disco   soul   rhythm and blues       Length     6 : 08 ( Album version )   3 : 59 ( 7 ' edit )   7 : 07 ( 12 '' version )   11 : 00 ( 1988 version )       Label   Philadelphia International     Songwriter ( s )   Kenneth Gamble , Leon Huff and Cary Gilbert     Producer ( s )   Gamble &amp; Huff     Harold Melvin &amp; the Blue Notes singles chronology        `` Tell the World How I Feel about ' Cha Baby '' ( 1976 )   `` Do n't Leave Me This Way '' ( 1975 )   `` Reaching for the World '' ( 1977 )             `` Tell the World How I Feel about ' Cha Baby '' ( 1976 )   `` Do n't Leave Me This Way '' ( 1977 )   `` Reaching for the World '' ( 1977 )            Audio sample       file   help           `` Do n't Leave Me This Way '' is a song written by Kenneth Gamble , Leon Huff and Cary Gilbert . First charting as a hit for Harold Melvin &amp; the Blue Notes featuring Teddy Pendergrass , an act on Gamble &amp; Huff 's Philadelphia International label in 1975 , `` Do n't Leave Me This Way '' was later a huge disco hit for Motown artist Thelma Houston in 1977 . The song was also a major hit for British group the Communards in 1986 .   Contents    1 Harold Melvin &amp; the Blue Notes version   1.1 Chart performance     2 Thelma Houston version   2.1 HIV / AIDS significance   2.2 Chart performance   2.3 Weekly charts   2.4 Year - end charts     3 The Communards version   3.1 Chart performance     4 Cover versions   5 References    Harold Melvin &amp; the Blue Notes version ( edit )   The Blue Notes ' original version of the song , featuring Teddy Pendergrass 's lead vocal , was included as an album track on the group 's successful album Wake Up Everybody released in November 1975 . Though not issued as a single in the United States at the time , the Blue Notes ' recording reached number 3 on the US Billboard Disco Chart in the wake of Thelma Houston 's version . The song proved to be the group 's biggest hit in the UK , number 5 on the UK singles chart , when released there as a single in 1977 . It became the title track of a budget LP issued on the CBS Embassy label in the UK in 1978 . The track was finally issued as a 12 - inch single in the US in 1979 , coupled with `` Bad Luck '' .   Chart performance ( edit )     Chart ( 1975 )   Peak position     US Billboard Disco Chart       Chart ( 1977 )   Peak position     Swedish Singles Chart   13     UK Singles Chart   5     Thelma Houston version ( edit )     `` Do n't Leave Me This Way ''         Single by Thelma Houston     from the album Any Way You Like It     B - side   `` Today Will Soon Be Yesterday ''     Released   December 2 , 1976     Format     7 '' vinyl   12 '' vinyl       Recorded   1976     Genre     Disco   soul   rhythm and blues       Length   3 : 37     Label   Motown     Songwriter ( s )     Kenneth Gamble   Leon Huff   Cary Gilbert       Producer ( s )   Hal Davis     Thelma Houston singles chronology        `` You 've Been Doing Wrong for So Long '' ( 1976 )   `` Do n't Leave Me This Way '' ( 1976 )   `` If It 's the Last Thing I Do '' ( 1977 )             `` You 've Been Doing Wrong for So Long '' ( 1976 )   `` Do n't Leave Me This Way '' ( 1976 )   `` If It 's the Last Thing I Do '' ( 1977 )        `` Do n't Leave Me This Way '' was covered by Motown in 1976 . Originally assigned to Diana Ross , it was intended to be the follow - up to her hit `` Love Hangover '' but was reassigned and given to the upcoming Motown artist Thelma Houston instead .   Following the release of her third album Any Way You Like It , a Boston record pool unanimously reported positive audience response to `` Do n't Leave Me This Way '' in discos , and the song was selected for release as a single . Houston 's version became a massive international hit , topping the soul singles chart and , nine weeks later , the Billboard Hot 100 for one week in April 1977 . The song peaked at number 13 in the UK . The song went to number one on the disco chart . Later in the year , it was featured on the soundtrack of the movie , Looking for Mr. Goodbar . In 1978 , `` Do n't Leave Me This Way '' won the award for Best R&amp;B Vocal Performance , Female at the 20th Annual Grammy Awards .   Houston 's version was revived in 1995 in several remixes , which reached number 19 on the US Billboard Dance Chart and number 35 in the UK . This version got Houston ranked number 86 on VH1 's `` 100 Greatest One - hit Wonders '' , as well as the number 2 spot on their `` 100 Greatest Dance Songs '' list .   The 1994 / 1995 remixes are : R&amp;B vs 4 : 00 Remix radio vs 4 : 00 7 '' radio edit 4 : 00 Club remix vertigo 5 : 40 House club remix 5 : 40 Factory team remix 5 : 50 U.S. club edit 5 : 50 Serious rope club remix 7 : 10 Serious rope 7 '' remix 4 : 10 Jazz voice 's classic club trax 6 : 10 Jazz voice 's dub mix 7 : 35 Xs'2 house pump mix 7 : 30 Joe T. Vanelli dubby mix 8 : 40 Joe T. Vanelli light mix 5 : 20 Joe T. Vanelli Radio Cut 3 : 54 Joe T. Vanelli Extra Dubby 5 : 17 Junior sound factory mix 9 : 30 Tribe dub ( acid vocal ) 7 : 20 Junior 's factory dub 9 : 30 Junior gospel dub 7 : 55 Junior 's Tribe Prank Mix and Radio Edit 3 : 20 .   Hiv / AIDS significance ( edit )   Throughout the 1980s and 1990s , Houston 's version of the song became an unofficial theme song for the AIDS epidemic in gay male communities of the west . American artist Nayland Blake created a work for American Foundation of AIDS research about the epidemic that referenced the song and its significance in the community . An art exhibition at the National Gallery of Australia entitled `` Do n't Leave Me This Way - Art in the age of AIDS '' opened in 1994 containing various works about the epidemic . A 246 - page publication of the exhibition also followed .   Chart performance ( edit )      Weekly charts ( edit )     Chart ( 1976 -- 77 )   Peak position     Australia ( Kent Music Report )   6     Austria ( Ö3 Austria Top 40 )   18     Canada Top Singles ( RPM )       France ( IFOP )   13     Germany ( Media Control Charts )   5     Italy ( FIMI )   15     New Zealand ( Recorded Music NZ )   17     South Africa ( Springbok Radio )       Spain ( AFYVE )   11     Sweden ( Sverigetopplistan )       UK Singles Chart   13     US Billboard Hot 100       US Billboard Hot Disco Singles       US Billboard Hot Soul Singles       US Billboard Adult Contemporary   40     US Cash Box Top 100         Chart ( 1995 ) ( remix version )   Peak position     Australia ( ARIA )   83     UK Singles Chart   35     US Billboard Hot Dance Club Play   19         Year - end charts ( edit )     Chart ( 1977 )   Rank     Australia   21     Canada   48     U.S. Billboard Hot 100   7     U.S. Cash Box   17          The Communards version ( edit )     `` Do n't Leave Me This Way ''         Single by the Communards with Sarah Jane Morris     from the album Communards     B - side   `` Sanctified ''     Released   August 1986     Format   7 '' vinyl , 12 '' vinyl , CD single , Cassette single     Recorded   1985 -- 1986     Genre   Hi - NRG     Length   4 : 50     Label   London     Songwriter ( s )   Kenneth Gamble , Leon Huff and Cary Gilbert     Producer ( s )   Mike Thorne         the Communards singles chronology        `` Disenchanted '' ( 1986 )   `` Do n't Leave Me This Way '' ( 1986 )   `` So Cold The Night '' ( 1986 )            The song was covered by the Communards in a Hi - NRG version . This recording topped the UK charts for four weeks in September 1986 , becoming the biggest selling record of the year in the process . The featured guest vocalist was the female jazz singer Sarah Jane Morris . The song became a Top 40 hit on the US Billboard Hot 100 and topped the Billboard Dance chart . In 2015 the song was voted by the British public as the nation 's 16th favourite 1980s number one in a poll for ITV. .   Several remixes were issued , notably the `` Gotham City Mix '' which was split across two sides of a 12 '' single and ran for a total of 22 minutes 55 seconds .   It was one of the songs played at Burberry 's February 2018 show , presented on 17 February at the Dimco Buildings in West London , marking Christopher Bailey 's final outing for the brand .   The album liner notes dedicate the song to the GLC .   Chart performance ( edit )     Chart ( 1986 -- 87 )   Peak position     Australia ( Kent Music Report )       Austria ( Ö3 Austria Top 40 )   19     Belgium ( VRT Top 30 Flanders )       Europe ( Eurochart Hot 100 Singles )       France ( SNEP )   6     Germany ( Official German Charts )   5     Ireland ( IRMA )       Italy ( FIMI )   5     Netherlands ( Dutch Top 40 )       Netherlands ( Single Top 100 )       New Zealand ( Recorded Music NZ )       Spain ( AFYVE )   6     Switzerland ( Schweizer Hitparade )       United Kingdom ( The Official Charts Company )       US Billboard Hot 100   40     Cover versions ( edit )       This section does not cite any sources . Please help improve this section by adding citations to reliable sources . Unsourced material may be challenged and removed . ( August 2017 ) ( Learn how and when to remove this template message )     Jeanie Tracy released a cover version of this in 1985 on Megatone Records .   A version of the song is featured in the stage musical , Priscilla Queen of the Desert -- the Musical during a funeral scene .   Episode 6 of the 2004 BBC miniseries Blackpool featured the Communards version , accompanied on screen by the singing and dancing of the characters , as part of the story .   Cher did a cover of the song during her Las Vegas residency show Cher .   The 2012 song `` Lying Together '' by French Kiwi Juice samples vocals from Houston 's cover .   The song appeared in the 2015 film The Martian directed by Ridley Scott and starring Matt Damon .   Bakermat covered the song in 2017 with their single `` Baby '' .   References ( edit )    Jump up ^ Andrew Hamilton . `` Do n't Leave Me this Way - Harold Melvin &amp; the Blue Notes Songs , Reviews , Credits '' . AllMusic . Retrieved 2016 - 10 - 10 .   Jump up ^ `` Allmusic -- Harold Melvin &amp; the Blue Notes -- Billboard singles '' . Retrieved 2008 - 12 - 03 .   Jump up ^ `` swedishcharts.com '' . Retrieved December 3 , 2008 .   ^ Jump up to : `` everyhit.com search results for `` Do n't Leave Me This Way '' `` . Archived from the original on March 19 , 2008 . Retrieved December 3 , 2008 .   Jump up ^ Stibal , Mary E. ( October 1977 ) . `` Disco -- Birth of a New Marketing System '' . Journal of Marketing . American Marketing Association . 41 ( 4 ) : 82 -- 88 . doi : 10.2307 / 1250240 .   Jump up ^ Whitburn , Joel ( 2004 ) . Top R&amp;B / Hip - Hop Singles : 1942 - 2004 . Record Research . p. 262 .   ^ Jump up to : `` Official Charts &gt; Thelma Houston '' . The Official UK Charts Company . Retrieved March 28 , 2016 .   Jump up ^ Whitburn , Joel ( 2004 ) . Hot Dance / Disco : 1974 - 2003 . Record Research . p. 124 .   Jump up ^ `` Past Winners Search '' . Grammy Foundation . Retrieved January 15 , 2014 .   Jump up ^ Cosgrove , Stuart ( May 10 , 1995 ) . `` Do n't leave me this way '' . The Independent . London .   Jump up ^ Kent , David ( 1993 ) . Australian Chart Book 1970 -- 1992 ( illustrated ed . ) . St Ives , N.S.W. : Australian Chart Book . p. 142 . ISBN 0 - 646 - 11917 - 6 .   Jump up ^ `` Austriancharts.at -- Thelma Houston -- Do n't Leave Me This Way '' ( in German ) . Ö3 Austria Top 40 . Retrieved June 15 , 2013 .   Jump up ^ `` Top RPM Singles : Issue 4701a . '' RPM . Library and Archives Canada . Retrieved June 15 , 2013 .   Jump up ^ `` Offizielle Deutsche Charts &gt; Thelma Houston ( single ) ( screen shot of search results from offiziellecharts.de ) '' ( in German ) . GfK Entertainment . Retrieved March 28 , 2016 .   Jump up ^ `` Charts.nz -- Thelma Houston -- Do n't Leave Me This Way '' . Top 40 Singles . Retrieved June 15 , 2013 .   Jump up ^ `` Swedishcharts.com -- Thelma Houston -- Do n't Leave Me This Way '' . Singles Top 100 . Retrieved June 15 , 2013 .   ^ Jump up to : `` Allmusic -- Thelma Houston -- Billboard singles '' . Retrieved 2008 - 12 - 03 .   Jump up ^ Whitburn , Joel ( 1993 ) . Top Adult Contemporary : 1961 -- 1993 . Record Research . p. 113 .   Jump up ^ `` Cash Box Top 100 4 / 16 / 77 '' . Tropicalglen.com. 1977 - 04 - 16 . Retrieved 2016 - 10 - 10 .   Jump up ^ `` The ARIA Australian Top 100 Singles Chart -- Week Ending 21 May 1995 '' . Imgur.com ( original document published by ARIA ) . Retrieved 2017 - 04 - 25 .   Jump up ^ Ryan , Gavin ( 2011 ) . Australia 's Music Charts 1988 -- 2010 . Mt . Martha , VIC , Australia : Moonlight Publishing .   Jump up ^ `` Australian Chart Book '' . Austchartbook.com.au . Archived from the original on 2016 - 03 - 05 . Retrieved 2016 - 10 - 10 .   Jump up ^ `` Image : RPM Weekly - Library and Archives Canada '' . Bac-lac.gc.ca . Retrieved 2016 - 10 - 10 .   Jump up ^ `` Top 100 Hits of 1977 / Top 100 Songs of 1977 '' . Musicoutfitters.com . Retrieved 2016 - 10 - 10 .   Jump up ^ `` Cash Box YE Pop Singles - 1977 '' . Tropicalglen.com. 1977 - 12 - 31 . Retrieved 2016 - 10 - 10 .   Jump up ^ Robbins , Ira ; Rompers , Terry . `` Bronski Beat '' . Trouser Press . Retrieved 25 October 2013 .   Jump up ^ `` Reviews &gt; Dance &gt; Picks &gt; Communards -- Do n't Leave Me This Way '' . Billboard . Nielsen Business Media . 98 ( 38 ) : 73 . 20 September 1986 . ISSN 0006 - 2510 .   Jump up ^ Morris will record later ( 2001 ) an acoustic version of the song , included in her album `` August ''   Jump up ^ Whitburn , Joel ( 2004 ) . Hot Dance / Disco : 1974 - 2003 . Record Research . p. 62 .   Jump up ^ Westbrook , Caroline ( 25 July 2015 ) . `` The Nation 's Favourite 80s Number One : 12 more classic 80s chart - toppers which did n't make the cut '' . Metro . Retrieved 27 July 2015 .   Jump up ^ Laura , Hawkins . `` United Visual Artists lights up Christopher Bailey 's final Burberry show '' . Wallpaper * . Retrieved 18 February 2018 .   Jump up ^ Kent , David ( 1993 ) . Australian Chart Book 1970 -- 1992 ( illustrated ed . ) . St Ives , N.S.W. : Australian Chart Book . p. 72 . ISBN 0 - 646 - 11917 - 6 .   Jump up ^ `` Austriancharts.at -- The Communards -- Do n't Leave Me This Way '' ( in German ) . Ö3 Austria Top 40 .   Jump up ^ `` do n't leave me this way - the communards '' . VRT ( in Dutch ) . Top30-2.radio2.be . Archived from the original on 9 April 2012 . Retrieved 25 July 2013 . Hoogste notering in de top 30 : 1   Jump up ^ `` Lescharts.com -- The Communards -- Do n't Leave Me This Way '' ( in French ) . Les classement single . Retrieved 21 July 2013 .   Jump up ^ `` Offiziellecharts.de -- The Communards -- Do n't Leave Me This Way '' . GfK Entertainment Charts .   Jump up ^ `` Chart Track : Week 39 , 1986 '' . Irish Singles Chart .   Jump up ^ `` I singoli più venduti del 1986 '' . HitParadeItalia ( in Italian ) . Creative Commons . Retrieved 1 June 2013 . 10 . Do n't Leave Me This Way - The Communards ( # 5 )   Jump up ^ `` Nederlandse Top 40 -- The Communards '' ( in Dutch ) . Dutch Top 40 .   Jump up ^ `` Dutchcharts.nl -- Communards with Sarah Jane Morris -- Do n't Leave Me This Way '' ( in Dutch ) . Single Top 100 .   Jump up ^ `` Charts.nz -- The Communards -- Do n't Leave Me This Way '' . Top 40 Singles . Retrieved 21 July 2013 .   Jump up ^ Salaverri , Fernando ( January 1987 ) . Sólo éxitos : año a año , 1959 -- 2002 ( 1st ed . ) . Spain : Fundación Autor - SGAE . ISBN 84 - 8048 - 639 - 2 .   Jump up ^ `` Swisscharts.com -- The Communards -- Do n't Leave Me This Way '' . Swiss Singles Chart .   Jump up ^ Roberts , David ( 2006 ) . British Hit Singles &amp; Albums ( 19th ed . ) . London : Guinness World Records Limited . p. 117 . ISBN 1 - 904994 - 10 - 5 .   Jump up ^ ( 1 )              Harold Melvin &amp; the Blue Notes       Harold Melvin   Bernard Williams   Roosevelt Brodie   Jesse Gillis , Jr .   Franklin Peaker   John Atkins   Teddy Pendergrass   Lawrence Brown   Bernard Wilson   Lloyd Parks   Jerry Cummings   Sharon Paige   David Ebo   Dwight Johnson   William Spratelly   Gil Saunders       Studio albums     I Miss You   Black &amp; Blue   To Be True   Wake Up Everybody   Reaching for the World       Compilation albums     Collectors ' Item : All Their Greatest Hits !       Singles     `` If You Do n't Know Me by Now ''   `` The Love I Lost ''   `` Bad Luck ''   `` Hope That We Can Be Together Soon ''   `` Wake Up Everybody ''   `` Do n't Leave Me This Way ''       Related articles     Discography   Philadelphia International Records         Book : Harold Melvin &amp; the Blue Notes                 Thelma Houston     Studio albums     Sunshower   Thelma Houston ( 1972 )   I 've Got the Music in Me   Any Way You Like It   Thelma &amp; Jerry   The Devil in Me   Two to One   Ready to Roll   Ride to the Rainbow   Reachin ' All Around   Breakwater Cat   Never Gonna Be Another One   Thelma Houston ( 1983 )   Qualifying Heat   Throw You Down   Thelma Houston ( 1994 )   A Woman 's Touch       Collaboration albums     Tore Down House   Well to the Bone       Associated albums     Good News in Hard Times       Soundtracks     The Bingo Long Traveling All - Stars &amp; Motor Kings   Thank God It 's Friday   Into the Night   Lean on Me   54       Singles     `` Baby Mine ''   `` Jumpin ' Jack Flash ''   `` Save the Country ''   `` Me and Bobby McGee ''   `` Do n't Leave Me This Way ''   `` Love Machine ''   `` Suspicious Minds ''   `` 96 Tears ''   `` You Used to Hold Me So Tight ''   `` Moonlight Serenade ''   `` My Lucille ''   `` Lean on Me ''   `` Let It Be ''       Related articles     Fame   Divas of Disco   Jerry Butler   Scott Henderson   Sisters of Glory         Book : Thelma Houston                 The Communards       Richard Coles   Jimmy Somerville       Studio albums     Communards   Red       Compilations     The Singles Collection 1984 / 1990   The Very Best of Jimmy Somerville , Bronski Beat and The Communards   For a Friend : The Best of Bronski Beat , The Communards &amp; Jimmy Somerville       Singles     `` Do n't Leave Me This Way ''   `` Never Can Say Goodbye ''   `` For a Friend ''                 Best - selling singles by year in the United Kingdom     1952 -- 1969     1952 : `` Here in My Heart '' -- Al Martino   1953 : `` I Believe '' -- Frankie Laine   1954 : `` Secret Love '' -- Doris Day   1955 : `` Rose Marie '' -- Slim Whitman   1956 : `` I 'll Be Home '' -- Pat Boone   1957 : `` Diana '' -- Paul Anka   1958 : `` Jailhouse Rock '' -- Elvis Presley   1959 : `` Living Doll '' -- Cliff Richard ( UK )   1960 : `` It 's Now or Never '' -- Elvis Presley   1961 : `` Wooden Heart '' -- Elvis Presley   1962 : `` I Remember You '' -- Frank Ifield ( UK )   1963 : `` She Loves You '' -- The Beatles ( UK )   1964 : `` Ca n't Buy Me Love '' -- The Beatles ( UK )   1965 : `` Tears '' -- Ken Dodd ( UK )   1966 : `` Green , Green Grass of Home '' -- Tom Jones ( UK )   1967 : `` Release Me '' -- Engelbert Humperdinck ( UK )   1968 : `` Hey Jude '' -- The Beatles ( UK )   1969 : `` Sugar , Sugar '' -- The Archies       1970 -- 1989     1970 : `` The Wonder of You '' -- Elvis Presley   1971 : `` My Sweet Lord '' -- George Harrison ( UK )   1972 : `` Amazing Grace '' -- Royal Scots Dragoon Guards ( UK )   1973 : `` I Love You Love Me Love '' -- Gary Glitter ( UK )   1974 : `` Tiger Feet '' -- Mud ( UK )   1975 : `` Bye Bye Baby '' -- Bay City Rollers ( UK )   1976 : `` Save Your Kisses for Me '' -- Brotherhood of Man ( UK )   1977 : `` Mull of Kintyre '' / `` Girls ' School '' -- Wings ( UK )   1978 : `` Rivers of Babylon '' / `` Brown Girl in the Ring '' -- Boney M .   1979 : `` Bright Eyes '' -- Art Garfunkel   1980 : `` Do n't Stand So Close to Me '' -- The Police ( UK )   1981 : `` Tainted Love '' -- Soft Cell ( UK )   1982 : `` Come On Eileen '' -- Dexys Midnight Runners ( UK )   1983 : `` Karma Chameleon '' -- Culture Club ( UK )   1984 : `` Do They Know It 's Christmas ? '' -- Band Aid ( UK )   1985 : `` The Power of Love '' -- Jennifer Rush   1986 : `` Do n't Leave Me This Way '' -- The Communards ( UK )   1987 : `` Never Gonna Give You Up '' -- Rick Astley ( UK )   1988 : `` Mistletoe and Wine '' -- Cliff Richard ( UK )   1989 : `` Ride on Time '' -- Black Box       1990 -- 2009     1990 : `` Unchained Melody '' -- The Righteous Brothers   1991 : `` ( Everything I Do ) I Do It for You '' -- Bryan Adams   1992 : `` I Will Always Love You '' -- Whitney Houston   1993 : `` I 'd Do Anything for Love ( But I Wo n't Do That ) '' -- Meat Loaf   1994 : `` Love Is All Around '' -- Wet Wet Wet ( UK )   1995 : `` Unchained Melody '' -- Robson &amp; Jerome ( UK )   1996 : `` Killing Me Softly '' -- Fugees   1997 : `` Something About the Way You Look Tonight '' / `` Candle in the Wind 1997 '' -- Elton John ( UK )   1998 : `` Believe '' -- Cher   1999 : `` ... Baby One More Time '' -- Britney Spears   2000 : `` Can We Fix It ? '' -- Bob the Builder ( UK )   2001 : `` It Was n't Me '' -- Shaggy featuring Rikrok ( UK )   2002 : `` Anything Is Possible '' / `` Evergreen '' -- Will Young ( UK )   2003 : `` Where Is the Love ? '' -- The Black Eyed Peas   2004 : `` Do They Know It 's Christmas ? '' -- Band Aid 20 ( UK )   2005 : `` Is This the Way to Amarillo '' -- Tony Christie featuring Peter Kay ( UK )   2006 : `` Crazy '' -- Gnarls Barkley   2007 : `` Bleeding Love '' -- Leona Lewis ( UK )   2008 : `` Hallelujah '' -- Alexandra Burke ( UK )   2009 : `` Poker Face '' -- Lady Gaga       2010 -- present     2010 : `` Just the Way You Are '' -- Bruno Mars   2011 : `` Someone Like You '' -- Adele ( UK )   2012 : `` Somebody That I Used to Know '' -- Gotye featuring Kimbra   2013 : `` Blurred Lines '' -- Robin Thicke featuring T.I. &amp; Pharrell Williams   2014 : `` Happy '' -- Pharrell Williams   2015 : `` Uptown Funk '' -- Mark Ronson ( UK ) featuring Bruno Mars   2016 : `` One Dance '' -- Drake featuring Wizkid and Kyla ( UK )   2017 : `` Shape of You '' - Ed Sheeran ( UK )      Retrieved from `` https://en.wikipedia.org/w/index.php?title=Don%27t_Leave_Me_This_Way&amp;oldid=849251194 '' Categories :   1975 songs   1977 singles   1986 singles   Thelma Houston songs   Harold Melvin &amp; the Blue Notes songs   Songs written by Leon Huff   Songs written by Kenny Gamble   Disco songs   The Communards songs   Billboard Hot 100 number - one singles   Billboard Hot R&amp;B / Hip - Hop Songs number - one singles   Billboard Dance Club Songs number - one singles   UK Singles Chart number - one singles   Dutch Top 40 number - one singles   Single Top 100 number - one singles   Irish Singles Chart number - one singles   Philadelphia International Records singles   Motown singles   London Records singles   Song recordings produced by Hal Davis   Hidden categories :   CS1 German - language sources ( de )   CS1 Dutch - language sources ( nl )   CS1 Italian - language sources ( it )   All articles with dead external links   Articles with dead external links from November 2013   Articles with hAudio microformats   Singlechart usages for Austria   Singlechart usages for Canadatopsingles   Singlechart called without artist   Singlechart called without song   Singlechart usages for New Zealand   Singlechart usages for Sweden   Singlechart usages for France   Singlechart usages for Germany2   Singlechart usages for Irish   Singlechart usages for Dutch40   Singlechart usages for Dutch100   Singlechart usages for Swiss   Articles needing additional references from August 2017   All articles needing additional references           Talk                                           Contents                   About Wikipedia                                           Deutsch   Français   Italiano   Nederlands   Svenska   Edit links   This page was last edited on 7 July 2018 , at 17 : 02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</si>
  <si>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on don't leave me this way</t>
  </si>
  <si>
    <t xml:space="preserve"> `` Do n't Leave Me This Way '' is a song written by Kenneth Gamble , Leon Huff and Cary Gilbert . First charting as a hit for Harold Melvin &amp; the Blue Notes featuring Teddy Pendergrass , an act on Gamble &amp; Huff 's Philadelphia International label in 1975 , `` Do n't Leave Me This Way '' was later a huge disco hit for Motown artist Thelma Houston in 1977 . The song was also a major hit for British group the Communards in 1986 . </t>
  </si>
  <si>
    <t xml:space="preserve">The Super Mario Bros. Super show ! - Wikipedia  The Super Mario Bros. Super show !  Jump to : navigation , search    The Super Mario Bros. Super Show !         Genre     Comedy adventure   Fantasy       Created by     Shigeru Miyamoto ( original characters )   Andy Heyward ( concept )       Starring     Lou Albano   Danny Wells       Voices of     Lou Albano   Danny Wells   Jeannie Elias   John Stocker   Harvey Atkin   Cyndy Preston   Jonathan Potts   Len Carlson   Colin Fox   Allen Stewart - Coates   Elizabeth Hanna   Paulina Gillis       Narrated by   Lou Albano     Opening theme   `` Plumber Rap '' , performed by Lou Albano and Danny Wells     Ending theme   `` Do the Mario '' , performed by Lou Albano     Composer ( s )     Haim Saban   Shuki Levy       Country of origin   United States     Original language ( s )   English     No. of seasons       No. of episodes   65 ( 52 Mario , 13 Zelda ) ( list of episodes )     Production     Running time   22 minutes     Production company ( s )     DIC Entertainment   Saban Productions   Sei Young Animation Co. , Ltd .   Nintendo of America , Inc .   Sae Rom Plus One Animation       Distributor   Viacom Enterprises     Release     Original network   First - run syndication     Original release   September 4 ( 1989 - 09 - 04 ) -- December 1 , 1989 ( 1989 - 12 - 01 )     Chronology     Followed by   The Adventures of Super Mario Bros. 3 ( 1990 )     Related shows   The Legend of Zelda ( 1989 )     The Super Mario Bros. Super Show ! is an American television series based upon Nintendo 's Super Mario Bros. and Super Mario Bros. 2 . It is the first of three TV shows based on the video game series , with the other being The Adventures of Super Mario Bros. 3 and Super Mario World . It was originally broadcast via first - run syndication from September 4 , 1989 to December 1 , 1989 , with reruns continuing until September 6 , 1991 . The Family Channel picked up the series on September 23 , 1991 , and aired it until August 26 , 1994 . The show was produced by DiC Animation and was distributed by Viacom Enterprises in association with Nintendo of America .     Contents  ( hide )   1 Production   2 Format   2.1 Mario Bros. Plumbing   2.2 Super Mario Bros .   2.3 The Legend of Zelda     3 Club Mario   4 Mario All Stars   5 Songs   5.1 Theme songs   5.2 Featured songs     6 Cast   6.1 Super Mario Bros. cast   6.1. 1 Additional voices     6.2 The Legend of Zelda cast   6.2. 1 Additional voices     6.3 Club Mario cast     7 Reception   8 Ratings   9 Home video releases   10 UK VHS history   11 References   12 External links      Production ( edit )   Before the series was conceived , Andy Heyward , the then - CEO of DIC Entertainment , spent about a year trying to convince Nintendo to license the characters . In an interview with USA Today , Heyward said `` The Mario Bros. is such a unique property we had to do it in a different way ... We wanted to do a cartoon but also do a show that extended beyond the cartoon . '' In February 1989 , it was announced that the show would premiere in September 1989 . To promote the series , Captain Lou Albano appeared on Live with Regis and Kathie Lee in May 1989 with his beard shaven . When the series first aired , it was distributed by Viacom Enterprises and was marketed by MTV . The opening theme song was composed by Shuki Levy .   In David Sheff 's book Game Over , Bill White , the then - director of advertising and public relations for Nintendo , said that the purpose of the television series was to `` boost awareness of the characters . ''   Format ( edit )   Mario Bros. plumbing ( edit )   The first and last parts of each episode were live segments which showed Mario ( professional wrestler and manager Captain Lou Albano ) and Luigi ( Danny Wells ) , two Italian - American plumbers living in Brooklyn , where they would often be visited by celebrity guest stars . It appears that the live segments take place before Mario and Luigi went to the Mushroom Kingdom .   Some of the celebrity guest stars were popular television stars , such as Nedra Volz , Norman Fell , Donna Douglas , Eve Plumb , Vanna White , Jim Lange , Danica McKellar , Nicole Eggert , Clare Carey and Brian Bonsall or professional athletes such as Lyle Alzado and Magic Johnson and WWE ( then WWF ) stars like Roddy Piper and Sgt . Slaughter . In one episode , Ernie Hudson appeared as a Slimebuster , a parody of his Ghostbusters persona Winston Zeddemore and on another occasion Mario and Luigi receive a visit from Inspector Gadget , performed live by Maurice LaMarche who voiced Chief Quimby in the second season of the show and later went on to voice Gadget himself in Inspector Gadget 's Last Case and Gadget &amp; the Gadgetinis . There was also another episode with Cassandra Peterson as Elvira , Mistress of the Dark , but the episode was not included in the DVDs . In an interview for the first DVD release of the show , Lou Albano talked about filming these live action skits , which mainly involved him and Wells getting a central plot and mostly improvising the dialogue as they went along .   In one episode , Lou Albano portrays himself , forcing his regular character to leave the scene in order for him to return as himself . In the episode in question , pop star Cyndi Lauper states she 's looking for Lou Albano because he 's missing , due to the note she got from him ( although there is an important part missing from the note ) . Mario exclaims how much he wants to meet Lou , and later Lou appears as himself supposedly while Mario 's out shopping for pizza . As a result , Luigi gets to meet Lou , but Mario does not .   Lou Albano and Danny Wells also once played female versions of themselves , Marianne and Luigeena ( their cousins ) , and also two hillbilly cousins , named Mario Joe and Luigi Bob .   Super Mario Bros. ( edit )   Each Super Mario Bros. cartoon served as the second segment of every show , following the introduction and first few minutes of the episode 's live - action segment . The cartoon featured characters and situations based upon the NES games Super Mario Bros. and Super Mario Bros. 2 , as well as several sound effects and musical cues from the two games . Each episode featured Mario , Luigi , Toad and Princess Toadstool defending the Mushroom Kingdom from the reptilian villain King Koopa , often in a movie or pop - culture parody . Getting into the spirit of these parodies , Koopa often used alter egos fitting the current theme .   The theme song for the cartoon segments revealed that the Super Mario Brothers were accidentally warped into the Mushroom Kingdom while working on a bathtub drain in Brooklyn . After traveling via the warp drain , the Super Mario Brothers defeated King Koopa 's Koopa Troopas , saved Princess Toadstool and halted Koopa 's plan to conquer the Mushroom Kingdom . At the beginning of every cartoon segment , Mario recites an entry into his `` Plumber 's Log '' , a parody of the Captain 's Log from Star Trek .   When Mario and Luigi are in danger , they often do their patty - cake routine : `` Patty - cake , Patty - cake , Pasta - Man ! Gimme Pasta power as fast as you can ! ''   The Super Mario Bros. cartoons aired four days a week , from Monday through Thursday .   The Legend of Zelda ( edit )  Main article : The Legend of Zelda ( TV series )  On every Friday episode of The Super Mario Bros. Super Show , a cartoon based on The Legend of Zelda video game series was featured instead of the Super Mario Bros. cartoons . In the series , the Hylian hero Link and Princess Zelda battled against the forces of the evil wizard Ganon . Scenes from each episode of the show were shown during the sitcom segments on the preceding Super Mario Bros. Super Show ! episodes during the week , and then broadcast as sneak peeks . The Zelda cartoons consisted of thirteen episodes , which ended when the Super Mario Bros. Super Show ! ended its initial broadcast run . The characters of Link , Zelda and Ganon , along with their respective voice actors ( Jonathan Potts , Cynthia Preston and Len Carlson ) , were later featured in an episode of Captain N : The Game Master , based on the Zelda II : The Adventure of Link NES game , another animated series based on NES video games , and also produced by DiC Animation around the same period , airing on NBC as part of its Saturday morning cartoon schedule .   Club Mario ( edit )   In the 1990 -- 91 season after the original animated series had ended , the Albano / Wells live - action sequences were replaced on September 10 , 1990 with new continuity under the title Club Mario . The Super Mario Bros. cartoons ( as well as The Legend of Zelda on Fridays ) remained intact but the live - action format now featured Mario - obsessed teenagers Tommy and Tammy Treehugger , along with Cool MC `` commandeering '' the `` satellite signal '' of the Super Show using a satellite dish atop their apartment building ( despite the reality of the show going out on tapes to stations well in advance ) , goofing around , and in at least one episode , running around the studio and harassing DiC executive and executive producer Andy Heyward . Cool MC also had to deal with his evil twin Eric ( played by the same actor ) , who attempted fruitlessly to take over the show . An additional added segment was a one - to - two - minute viewing of Space Scout Theater / Spaced Out Theater , hosted by Princess Centauri , a green alien woman , which was sourced and edited from the science fiction children television series Photon . The segments had an unpopular reception and further distribution of the series after the 1990 -- 91 season has featured only the original cut of the show with the Albano / Wells live - action sequences .   Mario All stars ( edit )   In 1993 , The Family Channel aired the show in a package named Mario All Stars , consisting of time compressed versions of The Super Mario Bros. Super Show ! cartoon segments and the Super Mario World cartoons . It ran for 39 episodes in double episode format , and was promoted as `` the Super Mario Bros. in 40 brand new adventures '' . Although clips from the Super Mario Bros. 3 cartoons were used in promos for the show , none of the show 's episodes were featured . All Stars was later seen on the USA Network from January 6 -- June 6 , 1997 , when it was replaced by Sonic the Hedgehog reruns . Before being re-edited for All Stars in 1993 , Family Channel played the episodes slower than their normal speed and included the live action segments . The package 's title is most likely inspired by the title of the video game compilation Super Mario All - Stars that was released the previous year .   Songs ( edit )   Theme songs ( edit )    `` Plumber Rap '' ( Lou Albano and Danny Wells ) : The main theme , which is divided into two parts . The first part opens the show while the second part opens the Super Mario Bros. animated segments .   `` Do the Mario '' ( Lou Albano ) : The ending theme to the show performed in front of a greenscreen of the animated show 's backgrounds , which featured an accompanying dance performed by Albano described within the lyrics . The song is sung to the tune of the classic `` Overworld '' theme from Super Mario Bros .    Featured songs ( edit )   At some point in the cartoon segments , a song would be played to go along with the scene . These were usually notable singles from famous singers , songwriters , and musical artists of the era . When the program was re-released on DVD in North America , the songs were replaced by instrumentals of songs from The Adventures of Super Mario Bros. 3 and one song from Super Mario World . Episode / song combinations are shown on the list of Mario television episodes .   Cast ( edit )   Super Mario Bros. cast ( edit )    `` Captain '' Lou Albano as Mario ( live - action and animated )   Danny Wells as Luigi ( live - action and animated )   Jeannie Elias as Princess Toadstool / Princess Peach   John Stocker as Toad   Harvey Atkin as King Koopa   Maurice LaMarche as Inspector Gadget ( live action segments )   Additional voices ( edit )      Robert Bockstael   Dorian Joe Clark   Robert Cowan   Diane Fabian   Paulina Gillis   Joyce Gordon       Marilyn Lightstone   Marla Lukofsky   Greg Morton   Steve Schirrinall   Greg Swanson   Ron Rubin   Keith Knight       The Legend of Zelda cast ( edit )    Jonathan Potts as Link   Cyndy Preston as Princess Zelda   Len Carlson as Ganon   Colin Fox as King Harkinian   Allen Stewart - Coates as The Triforce of Power   Elizabeth Hanna as The Triforce of Wisdom   Paulina Gillis as Spryte   Additional voices ( edit )   Don Francks   Marvin Goldhar   Christopher Ward    Club Mario cast ( edit )    Chris Coombs as Tommy Treehugger   Michael Anthony Rawlins as Co-MC / Evil Eric   Kurt Weldon as Dr. Know - It - All   Victoria Delaney as Tammy Treehugger   Jeff Rose as The Big Kid   James Abbott as The Band   Shanti Kahn as Princess Centauri   Andy Heyward as himself    Reception ( edit )   Upon the series premiere on September 1989 , Mike Hughes of USA Today described the series as a `` surprising disappointment '' , opining that the series has `` little of the wit and spark '' and relies too heavily on slapstick . In a retrospective review , Mark Bozon of IGN referred the series as `` the biggest offender among Nintendo 's many embarrassing moments '' but thought that the animated shorts were `` interesting to look back on '' . Bozon gave the overall series a 7 out of 10 . However , Common Sense Media rated the show 1 out of 5 stars , stating that the `` frenetic ' 80s cult fave with stereotypes has n't aged well . ''   Ratings ( edit )   Upon the first week of its premiere , the series had a cumulative 4.1 / 12 rating / share , making the series the highest rated first - run syndicated series at the time . However , within the next two weeks , the series ( 3.8 / 11 ) was beat out by Buena Vista Television 's Chip ' n Dale : Rescue Rangers ( 4.5 / 11 ) and faced competition with Claster Television 's Muppet Babies reruns .   Home video releases ( edit )   From 1989 to 1990 , Kids Klassics ( with the sponsorship of Nesquik ) released episodes of the series on VHS . Starting in 1991 , Kids Klassics ' parent company GoodTimes Entertainment continued releasing episodes on VHS up through 1993 .   1989 Releases ( Each volume begins and ends with a complete live - action segment , with the featured complete animated segment in the middle )    Mario 's Magic Carpet   Mario Meets Koop - zilla   King Mario of Cramalot   The Great Gladiator Gig   Butch Mario &amp; the Luigi Kid   The Great BMX Race   The Ringer ( The Legend of Zelda )   Sing for the Unicorn ( The Legend of Zelda )    There were also 3 VHS tapes only available through a mail - in offer with Nestle Quik . They follow the same format as the volumes listed above .    The Bird ! The Bird !   Pirates of the Koopa   Kiss'N Tell ( The Legend of Zelda )    1990 Releases ( Each volume has 1 complete live action segment and 3 complete animated segments )    Koopa Claus ( plus `` Santa Claus Is Coming to Flatbush '' , `` Stars in Their Eyes '' , and `` Too Hot to Handle '' )   Count Koopula ( plus `` Vampire Until Ready '' , `` Koopenstein '' , and `` Robo Koopa '' )   The Missing Link ( The Legend of Zelda ) ( plus `` Captain Lou Is Missing '' , `` Cold Spells '' , and `` The Moblins Are Revolting '' )   Princess , I Shrunk The Mario Brothers ( plus `` Rowdy Roddy 's Rotten Pipes '' , `` Rollin ' Down The River '' , and `` Brooklyn Bound '' )    1991 Releases ( The Kids Klassics logo is retained although these volumes were released by GoodTimes ) ( Each volume has 4 complete animated segments and no live - action segments )    Two Plumbers and a Baby ( plus `` On Her Majesty 's Sewer Service '' , `` The Great Gold Coin Rush '' , and `` Flatbush Koopa '' )   Robo Koopa ( plus `` Bad Rap '' , `` Karate Koopa '' , and `` The Koopas Are Coming ! `` The Koopas Are Coming ! '' )   Hooded Robin and His Mario Men ( Plus `` Plummers Academy '' , `` Quest for Pizza '' , and `` Escape from Koopatraz '' )    1993 Release ( Released in a clamshell packaging , contains 6 complete animated sgements and no live - action segments )    Super Mario Bros. Super Show ( `` Jungle Fever '' , `` Mario and the Beanstalk '' , `` 20,000 Koopas Under the Sea '' , `` Mario of the Apes '' , `` Mario of the Deep '' , and `` King Mario of Cramalot '' )    In 1996 , the animated segment `` Koopa Klaus '' and the live - action segment `` Santa Claus is Coming to Flatbush '' were included on the VHS release Super Mario Bros. Super Christmas Adventures , alongside the Super Mario World episode `` The Night Before Cave Christmas '' .   In 2006 , Shout ! Factory and Sony BMG Music Entertainment released the series on two 4 - disc DVD sets .     DVD Name   Ep #   Release Date   Additional Information     Volume 1   24   March 28 , 2006     New interviews with Captain Lou Albano ( Mario )   Original art gallery   Storyboard - to - Screen : The Super Mario Bros. Super Show Opening Title Sequence       Volume 2   24   October 31 , 2006     4 Bonus Animated Episodes   `` Meeting Mario : A Fan 's Tale '' Featurette   Super Mario Bros. Fan Costume Gallery   The Worlds of The Super Mario Bros. Super Show ! Concept Art Galleries   Interactive Tour Of The Mario Bros. Plumbing       These two sets were discontinued in 2012 after Shout ! 's deal with Cookie Jar Entertainment expired .   Notably , a bare bones `` Best of '' DVD was released by DiC and Lions Gate Entertainment . In 2012 NCircle Entertainment released the complete series to DVD across two sets with the same extras as the Shout ! Factory sets , but with the live - action segments omitted and `` On Her Majesty 's Sewer Service '' excluded .   Uk VHS history ( edit )    Abbey Home Media ( 1991 -- 1993 )    From 1991 to 1993 , Abbey Home Entertainment Distribution released six videos of the `` Super Mario Bros. Super Show '' with the only animated segmented episodes , the animated segmented intro and the live - action segment of `` Do the Mario '' in the closing credits .     VHS video title   Year of release   Episodes     The Super Mario Bros. Super Show ( 94792 )   15 April 1991   The Great Gladiator Gig , Mario of the Apes , The Bird1 The Bird !     The Super Mario Bros. Super Show : Special Edition ( 95112 )   15 July 1991   The Fire Of Herculfleas , King Mario of Cramalot , Rollin ' Down the River , Mario and the Beanstalk     DVD Releases   References ( edit )    Jump up ^ The Intelligencer -- September 23 , 1991   Jump up ^ The Intelligencer -- August 26 , 1994   ^ Jump up to : `` Game Playing '' . USA Today . July 31 , 1989 . p. 3D . The Nintendo craze comes to TV this fall with NBC 's `` Captain N : The Game Master '' and a syndicated show , `` The Super Mario Bros. Super Show , '' both from the DIC animation factory . DIC president Andrew Hayward says he spent a year convincing the toy company to license rights to the addictive characters . Capt. Lou Albano plays super-plumber Mario in the syndicated show , which wraps live action around cartoon adventures . Steve Binder ( `` Pee - wee 's Playhouse '' ) directed the live bits , including camp cameos by Vanna White , Elvira and Magic Johnson . Rock ' n ' roll songs have been licensed and will be woven into each episode . Hayward says a music video of the `` Mario dance '' will premiere within the next few weeks . access - date = requires url = ( help )   Jump up ^ `` For kids : A ' Chip ' off the Disney block '' . USA Today . September 11 , 1989 . p. 3D . access - date = requires url = ( help )   Jump up ^ Healy , Michelle ( February 1 , 1989 ) . `` Nintendo hungry ? Try the cereal '' . USA Today . p. 1D . The Super Mario Brothers Super Show , a syndicated TV program for kids , airs in September . It will feature live action and animation . access - date = requires url = ( help )   Jump up ^ `` ' Super ' Man '' . USA Today . May 17 , 1989 . p. 3D . Capt. Lou Albano , the bizarre wrestling manager , has been cast to play Mario , one of the two Brooklyn plumber brothers . Thursday , in anticipation of a big announcement bash , Albano will appear on `` Live With Regis &amp; Kathie Lee '' to shed his beard . access - date = requires url = ( help )   Jump up ^ `` Syndication Marketplace '' ( PDF ) . Broadcasting . 117 ( 9 ) : 42 . August 28 , 1989 . Retrieved June 21 , 2017 .   Jump up ^ McDonald , Marlon ( July 10 , 2015 ) . `` This Man Is Responsible for ( Nearly ) All of Your 80s / 90s Kid 's Show Memories , and You 've Probably Never Even Heard of Him ... '' . Movie Pilot . Retrieved June 24 , 2017 .   Jump up ^ Groves , Martha ( April 30 , 1990 ) . `` Taking On Nintendo : Games : Atari may be crazy to confront the Japanese giant . But it plans to slug it out anyway . '' . Los Angeles Times . Retrieved June 21 , 2017 .   Jump up ^ Sheff , David ( November 2 , 2011 ) . Game Over : How Nintendo Conquered The World . Knopf Doubleday Publishing Group . Retrieved June 21 , 2017 .   ^ Jump up to : Angelle , Denny ( September 1989 ) . `` What 's New on TV '' . Boys ' Life . 79 ( 9 ) : 16 . Retrieved June 21 , 2017 .   Jump up ^ Albano , Lou ( 2006 ) . The Super Mario Bros. Super Show Vol. 1 ( DVD ) . Shout ! Factory . access - date = requires url = ( help )   Jump up ^ `` Super Mario Bros. - Cartoon Resource Website entry # 76 '' . Web.archive.org . Archived from the original on 2009 - 10 - 27 . Retrieved 2016 - 12 - 27 . CS1 maint : BOT : original - url status unknown ( link )   Jump up ^ `` Recipe : Roasted Vegetable Pasta Salad with Asiago Cheese - Everything Zoomer - Boomers with Zip '' . Everything Zoomer . December 9 , 2013 . Retrieved June 24 , 2017 .   ^ Jump up to : Hughes , Mike ( September 14 , 1989 ) . `` This is the time for NBC to grab a slice of TV history : It should become the first force to abandon the Saturday - morning cartoon business . '' . USA Today . The show runs five days a week , however , and there is a saving grace : Each Friday has a `` Legend of Zelda '' episode that 's quite a bit better than the rest of the week . access - date = requires url = ( help )   Jump up ^ `` DIC Enterprises gets animated over a new tour '' ( PDF ) . Broadcasting . 118 ( 20 ) : 35 ; 38 . May 14 , 1990 . Retrieved June 21 , 2017 .   Jump up ^ `` Join the club '' ( PDF ) . Broadcasting . 118 ( 22 ) : 53 . May 28 , 1990 . Retrieved June 21 , 2017 .   Jump up ^ Damian Inwood . `` The Baroness and the Pig '' . Pi Theatre . Archived from the original on April 25 , 2012 . Retrieved October 30 , 2011 . That 's what Vancouver actresses Diane Brown and Tabitha St. Germain do with the delightful black comedy , The Baroness and the Pig . ( ... ) St. Germain -- better known to Vancouver audiences as Paulina Gillis -- plays the Baroness as a naïve gentlewoman , full of prissy mannerisms and twittering , bird - like movements .   Jump up ^ Hughes , Mike ( September 14 , 1989 ) . `` This is the time for NBC to grab a slice of TV history : It should become the first force to abandon the Saturday - morning cartoon business . '' . USA Today . ' The Super Mario Brothers Super Show ' emerges as a surprising disappointment . This has the same producers as `` Captain N '' and the same basis - Nintendo video games . Yet it has little of the wit and spark ; there are live - action bits surrounding the cartoons , but they merely remind us of why slapstick comedy is no longer an American artform . access - date = requires url = ( help )   Jump up ^ Bozon , Mark ( January 25 , 2006 ) . `` Super Mario Bros. Super Show ! Volume 1 '' . IGN . Retrieved June 21 , 2017 .   Jump up ^ `` Super Mario Bros. Super Show TV Review '' . Commonsensemedia.org . Retrieved 2016 - 12 - 27 .   Jump up ^ `` Doubling Up '' ( PDF ) . Broadcasting . 117 ( 13 ) : 6 . September 25 , 1989 . Retrieved June 21 , 2017 .   Jump up ^ `` Metering Syndication Progress '' ( PDF ) . Broadcasting . 117 ( 14 ) : 41 -- 42 . October 2 , 1989 . Retrieved August 20 , 2017 .   Jump up ^ `` GoodTimes / KK Tapes Roll With Nestle Ads '' ( PDF ) . Billboard. 101 ( 39 ) : 51 . September 30 , 1989 . Retrieved June 21 , 2017 .   Jump up ^ Super Mario Bros Super Show ! ( 2 DVDs ) . Vol. 1 ( Collectors ' ed . ) . Los Angeles , CA : NCircle Entertainment . 2006 . OCLC 795409356 . Retrieved June 14 , 2014 .   Jump up ^ NCircle Entertainment ; Cookie Jar Entertainment Inc. ; Nintendo of America Inc. ( 2012 ) . Super Mario Bros Super Show ! ( 2 DVDs ) . Vol. 2 ( Collectors ' ed . ) . DIC Entertainment . OCLC 812542271 . Retrieved June 14 , 2014 . CS1 maint : Uses authors parameter ( link )    External links ( edit )    Mario portal     The Super Mario Bros. Super Show ! on IMDb   The Super Mario Bros. Super Show ! at TV.com      ( hide )         Mario television series ( Episodes )       The Super Mario Bros. Super Show !   The Adventures of Super Mario Bros. 3   Super Mario World   King Koopa 's Kool Kartoons      Retrieved from `` https://en.wikipedia.org/w/index.php?title=The_Super_Mario_Bros._Super_Show!&amp;oldid=805395495 '' Categories :   1989 American television series debuts   1989 American television series endings   1980s American animated television series   Animated series based on Mario   Animated series based on video games   English - language television programs   First - run syndicated television programs in the United States   Works based on Mario   American children 's action television series   American children 's adventure television series   American children 's animated television series   American children 's comedy television series   American children 's fantasy television series   Animated adventure television series   Animated fantasy television series   Television series about siblings   Television series by DIC Entertainment   Television series by CBS Television Studios   Television spin - offs   Animated duos   Television series with live action and animation   Works based on Nintendo video games   Television series by Saban Entertainment   Hidden categories :   Pages using citations with accessdate and no URL   CS1 maint : BOT : original - url status unknown   CS1 maint : Uses authors parameter           Talk                                           Contents                   About Wikipedia                                             Deutsch   Español   Français   Italiano   Nederlands   Norsk   Polski   Português   Русский   Suomi   Svenska   Edit links   This page was last edited on 15 October 2017 , at 02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</si>
  <si>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the super mario bros super show theme song</t>
  </si>
  <si>
    <t xml:space="preserve">  `` Plumber Rap '' ( Lou Albano and Danny Wells ) : The main theme , which is divided into two parts . The first part opens the show while the second part opens the Super Mario Bros. animated segments .   `` Do the Mario '' ( Lou Albano ) : The ending theme to the show performed in front of a greenscreen of the animated show 's backgrounds , which featured an accompanying dance performed by Albano described within the lyrics . The song is sung to the tune of the classic `` Overworld '' theme from Super Mario Bros .  </t>
  </si>
  <si>
    <t xml:space="preserve">Lessons ( Star Trek : the Next Generation ) - wikipedia  Lessons ( Star Trek : the Next Generation )     `` Lessons ''     Star Trek : The Next Generation episode     Episode no .   Season 6 Episode 19     Directed by   Robert Wiemer     Written by   Ron Wilkerson Jean Louise Matthias     Featured music   Dennis McCarthy     Production code   245     Original air date   April 5 , 1993 ( 1993 - 04 - 05 )     Guest appearance ( s )       Wendy Hughes - Nella Daren   R. Cox - Marquez       Episode chronology        ← Previous `` Starship Mine ''   Next → `` The Chase ''        List of Star Trek : The Next Generation episodes     `` Lessons '' is the 19th episode of the sixth season of the American science fiction television series Star Trek : The Next Generation and was originally aired in the United States on April 5 , 1993 , in broadcast syndication . Set in the 24th century , the series follows the adventures of the crew of the Starfleet starship USS Enterprise - D. In `` Lessons '' , Captain Picard 's ( Patrick Stewart ) shared love of music with Lt. Commander Nella Daren ( Wendy Hughes ) leads to romance , resulting in conflicting emotions on his behalf . After incorrectly believing her to have died , he realizes that he is incapable of carrying out a relationship with someone under his command .   The episode was directed by Robert Wiemer , the episode was written by Ron Wilkerson and Jean Louise Matthias , with some uncredited revisions by René Echevarria . Stand - ins were used to perform the pieces by Picard and Daren , which required the use of close - up camera angles by the director . The episode was received warmly by critics reviewing it after the end of the series , who praised the performances of Hughes and Stewart .   Contents    1 Plot   2 Production   3 Reception and home media   4 Notes   5 References   6 External links    Plot ( edit )   Picard is irritated that the stellar cartography department has shut down several systems on the Enterprise , and visits the section to discover what is going on . He meets the head of the department , Lt. Commander Nella Daren , who makes an impression on Picard . It is a meeting memorable enough to later discuss with Dr. Beverly Crusher ( Gates McFadden ) . At a musical recital by Lt. Commander Data ( Brent Spiner ) , Picard is surprised to see Daren , once again , playing the piano . The two discuss music , and later meet in Picard 's quarters and participate in a duet . Daren plays a portable piano and Picard performs on his Ressikan flute .   The two meet more often ; even in a Jefferies tube , which Daren claims has the best acoustics on the ship . In this private setting , their attraction for one another is expressed in a kiss . The moment of intimacy is fleeting , however . When they enter a turbolift , and are joined by another crewmember , Picard resumes the professional demeanour of Captain . The Enterprise is diverted from its mission , when it is directed to investigate a report of firestorms at a Federation outpost . While in transit , Picard consults Counsellor Troi ( Marina Sirtis ) about pursuing a relationship with Daren . Picard then goes to Daren to apologize and to explain . He recounts the experience shown in the episode `` The Inner Light '' in which he had a wife and family , became a grandfather , grew old , and learned to play the flute . The experience imparted to Picard a deep appreciation for music , and he is pleased to have someone to share it with .   Daren speaks to Commander Riker ( Jonathan Frakes ) requesting a transfer for another crew member to stellar cartography . Riker says he will consider the request . Afterwards , he speaks with Picard , explaining that Picard and Daren 's relationship makes the decision complicated . After determining from Riker that Daren 's request is not unusual or taking advantages , Picard assures Riker that he will support any decision he makes . Later at dinner , Picard relates to Daren his talk with Riker , saying that they need to be careful about anyone else misunderstanding their relationship .   The Enterprise arrives at the Federation outpost to find that firestorms are heading toward the facility . Daren suggests a means of deflecting the storms , but the equipment requires trained personnel on the ground to operate it . Daren is assigned to the surface team , along with a number of other crewmembers . The outpost is evacuated during the dangerous mission , leaving only the Enterprise away team on surface . The firestorms overwhelm the position that Daren 's team occupies before they can be retrieved . Believing Daren to be dead , Picard sits contemplating his decision in his quarters . He then hears that survivors are being transported aboard , and heads to the transporter room . Daren is not among the initial group of survivors , but is later transported to the ship . Eight members of the team have died .   Afterwards , Picard and Daren discuss their relationship . They conclude that it can not continue , as Picard could not bear to put her in danger once more . They discuss giving up their Starfleet careers to be together . Daren realizes that Picard , although still cherishing the family life he experienced as Kamin , has nonetheless chosen duty , career , and loneliness . They both know that Daren must transfer off the Enterprise . They kiss once more , and Daren makes Picard promise not to give up music .   Production ( edit )   Ron Wilkerson and Jean Louise Matthias had previously written the episodes `` Imaginary Friend '' and `` Schisms '' , but in both instances the writing of the teleplay for the initial story idea had been given to a staff writer due to time constraints . Co-executive producer Jeri Taylor instead allowed the pair to write the teleplay for `` Lessons '' , their first for Star Trek . René Echevarria did some minor uncredited re-writes to the final version of the script as staff - writer Brannon Braga wished to avoid working on `` Lessons '' after recently working on another love story related script for the episode `` Aquiel '' . Writer and producer Michael Piller likened `` Lessons '' to the 1945 Noël Coward film Brief Encounter .  Director Robert Wiemer used tight camera angles such as these to allow musicians to play off screen in time with the actors .  The production crew sought to give Picard a romantic peer and equal in Daren , and were pleased with the actors ' performances . Director Robert Wiemer said that `` we had really turned - on performances ... if we 'd had only moderate performances it would have fallen flat '' . However , as neither Stewart nor Hughes could play their instruments , it required a number of camera techniques to be used in order to disguise the musicians playing just off screen . Husband and wife duo Natalie and Bryce Martin played the piano and tin whistle respectively to portray Daren and Picard 's abilities . Bryce had played his instrument to represent Picard 's Ressikan flute since it first appeared in `` The Inner Light '' . However , while Stewart did the majority of his flute fingering , he was doubled in several scenes by Noel Webb and John Mayham . Webb also doubled for Brent Spiner early in the episode when Data was playing Frédéric Chopin 's trio in G minor . A variety of pieces are played throughout the episode , including Frère Jacques , Ludwig van Beethoven 's Piano Sonata No. 14 and Johann Sebastian Bach 's Third Brandenburg Concerto . The `` Flute song '' by Jay Chattaway , which originally appeared in `` The Inner Light '' , reappears in this episode .   The firestorm itself was created by Dan Curry and Ronald B. Moore by pouring liquid nitrogen onto black velvet and then blowing it with an air hose . The effect was then enhanced by digital effects and was digitally inserted into the background of the exterior standing set ( usually referred to by cast and crew as `` planet hell '' ) . `` Lessons '' was the first appearance of the stellar cartography on board the Enterprise , but the set would be completely replaced for its reappearance in the movie Star Trek Generations .   Reception and home media ( edit )   James Van Hise and Hal Schuster wrote in their 1995 book , The Complete Next Generation , that they thought the relationship between Picard and Daren was believable , and that the story itself was very effective . They thought that the loneliness Picard feels at the end of the episode was part of an ongoing story which would culminate in the subplot about Picard 's loneliness in Star Trek Generations .   Several reviewers re-watched Star Trek : The Next Generation after the end of the series . Keith DeCandido watched the episode for Tor.com , and described the performance of Wendy Hughes as `` magnificent '' and `` never not wonderful '' . However , he commented that whenever a double was not used to play the piano , it was obvious that Hughes was n't playing . Overall , he appreciated the script and thought that the ending was not contrived ; however , he would have preferred for the episodic structure of The Next Generation to have been changed a little to allow for the romance to be portrayed as a subplot over several episodes . He gave the episode a score of 9 / 10 , saying `` this is one of TNG 's best romances and an absolute joy . '' DeCandido subsequently named `` Lessons '' as one of the best episodes of season six , which he said was the best season of the series .   Zack Handlen , who reviewed `` Lessons '' for The A.V. Club , thought that the episode works because of Patrick Stewart and that the episode was well - handled . He gave `` Lessons '' a score of B+ , saying that he `` was n't hugely sold on Daren , but when Picard makes a special point of explaining the flute 's significance to her , it helps solidify the connection between them . ''   The episode was first released on VHS cassette on August 4 , 1998 . The episode was later included on the Star Trek : The Next Generation season six DVD box set , released in the United States on December 3 , 2002 , and on Blu - ray on June 24 , 2014 .   Notes ( edit )    ^ Jump up to : Nemecek ( 2003 ) : p. 241   ^ Jump up to : Nemecek ( 2003 ) : p. 242   ^ Jump up to : DeCandido , Keith ( November 20 , 2012 ) . `` Star Trek : The Next Generation Rewatch : `` Lessons '' `` . Tor.com . Retrieved January 20 , 2013 .   Jump up ^ Broadfoot , Amanda ( June 12 , 2005 ) . `` Star Trek Composer Jay Chattaway Strikes a Chord '' . Yahoo ! Voices . Archived from the original on July 29 , 2014 . Retrieved January 20 , 2013 .   Jump up ^ Van Hise , Schuster ( 1995 ) : p. 144   Jump up ^ Van Hise , Schuster ( 1995 ) : p. 145   Jump up ^ DeCandido , Keith ( December 21 , 2012 ) . `` Star Trek : The Next Generation Rewatch : Sixth Season Overview '' . Tor.com . Retrieved January 20 , 2013 .   Jump up ^ Handlen , Zack ( August 4 , 2011 ) . `` '' Starship Mine `` / '' Lessons `` '' . The A.V. Club . Retrieved January 20 , 2013 .   Jump up ^ `` Star Trek : The Next Generation - Episode 145 ( VHS ) '' . Tower Video . Archived from the original on July 19 , 2015 . Retrieved January 20 , 2013 .   Jump up ^ Ordway , Holly E. ( December 6 , 2002 ) . `` Star Trek the Next Generation - Season 4 '' . DVD Talk . Retrieved January 20 , 2013 .   Jump up ^ `` Star Trek the Next Generation - Season 6 '' .    References ( edit )    Van Hise , James ; Schuster , Hal ( 1995 ) . The Complete Next Generation . Las Vegas : Pioneer Books . ISBN 978 - 1 - 55698 - 377 - 1 .   Nemecek , Larry ( 2003 ) . Star Trek : The Next Generation Companion ( 3rd ed . ) . New York : Pocket Books . ISBN 0 - 7434 - 5798 - 6 .    External links ( edit )    Star Trek portal     `` Lessons '' on IMDb   `` Lessons '' at TV.com   Lessons at Memory Alpha ( a Star Trek wiki )   Lessons at StarTrek.com              Star Trek : The Next Generation episodes       Seasons           5   6   7       Season 6     `` Time 's Arrow , Part II ''   `` Realm of Fear ''   `` Man of the People ''   `` Relics ''   `` Schisms ''   `` True Q ''   `` Rascals ''   `` A Fistful of Datas ''   `` The Quality of Life ''   `` Chain of Command , Part I ''   `` Chain of Command , Part II ''   `` Ship in a Bottle ''   `` Aquiel ''   `` Face of the Enemy ''   `` Tapestry ''   `` Birthright , Part I &amp; II ''   `` Starship Mine ''   `` Lessons ''   `` The Chase ''   `` Frame of Mind ''   `` Suspicions ''   `` Rightful Heir ''   `` Second Chances ''   `` Timescape ''   `` Descent , Part I ''        Retrieved from `` https://en.wikipedia.org/w/index.php?title=Lessons_(Star_Trek:_The_Next_Generation)&amp;oldid=847600531 '' Categories :   Star Trek : The Next Generation ( season 6 ) episodes   1993 American television episodes   Hidden categories :   Pages using infobox television episode with incorrectly formatted episode list   Good articles           Talk                                           Contents                   About Wikipedia                                           Español   Português   Edit links   This page was last edited on 26 June 2018 , at 14 : 19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</si>
  <si>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star trek next generation episode picard falls in love</t>
  </si>
  <si>
    <t xml:space="preserve"> `` Lessons '' is the 19th episode of the sixth season of the American science fiction television series Star Trek : The Next Generation and was originally aired in the United States on April 5 , 1993 , in broadcast syndication . Set in the 24th century , the series follows the adventures of the crew of the Starfleet starship USS Enterprise - D. In `` Lessons '' , Captain Picard 's ( Patrick Stewart ) shared love of music with Lt. Commander Nella Daren ( Wendy Hughes ) leads to romance , resulting in conflicting emotions on his behalf . After incorrectly believing her to have died , he realizes that he is incapable of carrying out a relationship with someone under his command . </t>
  </si>
  <si>
    <r>
      <rPr>
        <sz val="11"/>
        <color rgb="FF000000"/>
        <rFont val="Calibri"/>
        <family val="0"/>
        <charset val="1"/>
      </rPr>
      <t xml:space="preserve">Australian dollar - Wikipedia  Australian dollar  `` AUD '' redirects here . For other uses , see AUD ( disambiguation ) .      This article needs additional citations for verification . Please help improve this article by adding citations to reliable sources . Unsourced material may be challenged and removed . ( October 2014 ) ( Learn how and when to remove this template message )       Australian dollar     Australian dollar ( English )              $100   $1        ISO 4217     Code   AUD     Number   036     Exponent       Denominations     Subunit       1 / 100   cent     Symbol   $ , A $ or AUD     cent       Banknotes       Freq . used    $5 , $10 , $20 , $50 ,  $100     Coins   5c , 10c , 20c , 50c , $1 , $2     Demographics     Official user ( s )    Australia  7 Australian territories ( show )   Ashmore and Cartier Islands Australian Antarctic Territory Christmas Island Cocos ( Keeling ) Islands Coral Sea Islands Heard Island and McDonald Islands Norfolk Island   6 other countries ( show )   Kiribati ( alongside Kiribati dollar ) Nauru Papua New Guinea ( alongside Papua New Guinean kina ) Tonga ( alongside Tongan pa'anga ) Tuvalu ( alongside Tuvaluan dollar ) Vanuatu ( alongside Vanuatu vatu )       Unofficial user ( s )   Botswana Cambodia Gambia New Caledonia ( France ) Zimbabwe     Issuance     Central bank   Reserve Bank of Australia     Website   www.rba.gov.au     Printer   Note Printing Australia     Website   www.noteprinting.com     Mint   Royal Australian Mint     Website   www.ramint.gov.au     Valuation     Inflation   1.3 % ( Australia only ) ( March 2016 Reserve Bank estimate )     Source   Reserve Bank of Australia , March 2016 .     Pegged by   Tuvaluan dollar and Kiribati dollar at par     The Australian dollar ( sign : $ ; code : AUD ) is the currency of the Commonwealth of Australia , including its external territories Christmas Island , Cocos ( Keeling ) Islands , and Norfolk Island , as well as the independent Pacific Island states of Kiribati , Nauru , Papua New Guinea , Tonga , Tuvalu , and Vanuatu . Within Australia , it is almost always abbreviated with the dollar sign ( $ ) , with A $ or AU $ sometimes used to distinguish it from other dollar - denominated currencies . It is subdivided into 100 cents .   In 2016 , the Australian dollar was the fifth most traded currency in the world , accounting for 6.9 % of the world 's daily share ( down from 8.6 % in 2013 ) . It trades in the world foreign exchange markets behind the US dollar , the euro , the yen and the pound sterling . The Australian dollar is popular with currency traders , because of the comparatively high interest rates in Australia , the relative freedom of the foreign exchange market from government intervention , the general stability of Australia 's economy and political system , and the prevailing view that the Australian dollar offers diversification benefits in a portfolio containing the major world currencies , especially because of its greater exposure to Asian economies and the commodities cycle . The currency is commonly referred to by foreign - exchange traders as the `` Aussie dollar '' .     Contents  ( hide )   1 History   2 Coins   3 Banknotes   3.1 First series   3.2 Polymer series   3.3 New Polymer series     4 Value   5 Exchange rate policies   6 Design and denominations   6.1 Australian currency tactile feature   6.2 Current exchange rates     7 See also   8 References   9 External links      History ( edit )  Further information : Economy of Australia The former $5 Australian note The $10 Australian note , as of 20 September 2017 The former $10 Australian note $20 Australian note $50 Australian note $100 Australian note  With pounds , shillings and pence to be replaced by decimal currency on 14 February 1966 , many names for the new currency were suggested . In 1963 , Prime Minister , Sir Robert Menzies , a monarchist , wished to name the currency the royal . Other proposed names from a public naming competition included more exotic suggestions such as the austral , the oz , the boomer , the roo , the kanga , the emu , the koala , the digger , the zac , the kwid , the dinkum , and the ming ( Menzies ' nickname ) . Menzies ' influence resulted in the selection of the royal , and trial designs were prepared and printed by the Reserve Bank of Australia . Australian treasurer and future Prime Minister , Harold Holt , announced the decision in Parliament on 5 June 1963 . The royal would be subdivided into 100 cents , but the existing names shilling , florin and crown would be retained for the 10 - cent , 20 - cent and 50 - cent coins respectively . The name royal for the currency proved very unpopular , with Holt and his wife even receiving death threats . On 24 July Holt told the Cabinet the decision had been a `` terrible mistake '' and it would need to be revisited . On 18 September Holt advised Parliament that the name was to be the dollar , of 100 cents .   The Australian pound , introduced in 1910 and officially distinct in value from the pound sterling since devaluation in 1931 , was replaced by the dollar on 14 February 1966 . The rate of conversion for the new decimal currency was two dollars per Australian pound , or ten Australian shillings per dollar . The exchange rate was pegged to the pound sterling at a rate of $1 = 8 shillings ( $2.50 = UK £ 1 ) . In 1967 , Australia effectively left the sterling area , when the pound sterling was devalued against the US dollar and the Australian dollar did not follow . It maintained its peg to the US dollar at the rate of A $1 = US $1.12 .   On 27 September 2012 , the Reserve Bank of Australia stated that it had ordered work on a project to upgrade the current banknotes . The upgraded banknotes would incorporate a number of new future proof security features and include Braille dots for ease of use of the visually impaired . The first new banknotes ( of the five dollar denomination ) were issued from 1 September 2016 , with the remaining denominations to be issued in the coming years .   Coins ( edit )  Main article : Coins of the Australian dollar  In 1966 , coins were introduced in denominations of 1 , 2 , 5 , 10 , 20 and 50 cents . The initial 50 - cent coins contained 80 % silver and were withdrawn after a year when the intrinsic value of the silver content was found to considerably exceed the face value of the coins . One - dollar coins were introduced in 1984 , followed by two - dollar coins in 1988 to replace the banknotes of that value , while the one - and two - cent coins were discontinued in 1991 and withdrawn from circulation . In commemoration of the 40th anniversary of decimal currency , the 2006 mint proof and uncirculated sets included one - and two - cent coins . In early 2013 , Australia 's first triangular coin was introduced to mark the 25th anniversary of the opening of Parliament House . The silver $5 coin is 99.9 % silver , and depicts Parliament House as viewed from one of its courtyards . Cash transactions are rounded to the nearest five cents . As with most public changes to currency systems , there has been a great amount of seignorage of the discontinued coins . All coins portray the reigning Australian Sovereign , Queen Elizabeth II , on the obverse , and are produced by the Royal Australian Mint .   Australia has regularly issued commemorative 50 - cent coins . The first was in 1970 , commemorating James Cook 's exploration along the east coast of the Australian continent , followed in 1977 by a coin for Queen Elizabeth II 's Silver Jubilee , the wedding of Charles , Prince of Wales and Lady Diana Spencer in 1981 , the Brisbane Commonwealth Games in 1982 , and the Australian Bicentenary in 1988 . Issues expanded into greater numbers in the 1990s and the 21st century , responding to collector demand . Australia has also made special issues of 20 - cent , one - dollar and two - dollar coins .   Current Australian 5 - , 10 - and 20 - cent coins are identical in size to the former Australian , New Zealand , and British sixpence , shilling , and two shilling ( florin ) coins . In 1990 , the UK replaced these coins with smaller versions , as did New Zealand in 2006 -- at the same time discontinuing the five - cent coin . With a mass of 15.55 grams ( 0.549 oz ) and a diameter of 31.51 millimetres ( 1 ⁄ in ) , the Australian 50 - cent coin is one of the largest coins used in the world today . In circulation , the old New Zealand 5 - , 10 - and 20 - cent coins were often mistaken for Australian coins of the same value , owing to their identical size and shape . Until the size of the New Zealand coins was changed in 2004 , Australian coins below the dollar in value were in circulation in both countries . Still , some confusion occurs with the larger - denomination coins in the two countries ; Australia 's $1 coin is similar in size to New Zealand 's $2 coin , and the New Zealand $1 coin is similar in size to Australia 's $2 coin . As a result , Australian coins are occasionally found in New Zealand and vice versa .   Banknotes ( edit )  Main article : Banknotes of the Australian dollar  First series ( edit )   The first paper issues of the Australian dollar were issued in 1966 . The $1 , $2 , $10 and $20 notes had exact equivalents in the former pound banknotes . The $5 note was issued in 1967 , the $50 note was issued in 1973 and the $100 was issued in 1984 .   Polymer series ( edit )   The first polymer banknotes were issued in 1988 by the Reserve Bank of Australia , specifically polypropylene polymer banknotes ( produced by Note Printing Australia ) , to commemorate the bicentenary of European settlement in Australia . All Australian notes are now made of polymer . Australia was the first country to develop and use polymer banknotes .   New polymer series ( edit )   A new series of banknotes is being introduced , starting with the $5 note from 1 September 2016 . A new $10 banknote has been released into circulation from September 20 , 2017 . A new $50 note will be coming out in late 2018 .   Value ( edit )   Most traded currencies by value Currency distribution of global foreign exchange market turnover   Rank   Currency   ISO 4217 code ( symbol )   % daily share ( April 2016 )       United States dollar   USD ( US $ )   87.6 %       Euro   EUR ( € )   31.4 %       Japanese yen   JPY ( ¥ )   21.6 %       Pound sterling   GBP ( £ )   12.8 %     5   Australian dollar   AUD ( A $ )   6.9 %     6   Canadian dollar   CAD ( C $ )   5.1 %     7   Swiss franc   CHF ( Fr )   4.8 %     8   Renminbi   CNY ( </t>
    </r>
    <r>
      <rPr>
        <sz val="11"/>
        <color rgb="FF000000"/>
        <rFont val="Noto Sans CJK SC"/>
        <family val="2"/>
      </rPr>
      <t xml:space="preserve">元 </t>
    </r>
    <r>
      <rPr>
        <sz val="11"/>
        <color rgb="FF000000"/>
        <rFont val="Calibri"/>
        <family val="0"/>
        <charset val="1"/>
      </rPr>
      <t xml:space="preserve">)   4.0 %     9   Swedish krona   SEK ( kr )   2.2 %     10   New Zealand dollar   NZD ( NZ $ )   2.1 %     11   Mexican peso   MXN ( $ )   1.9 %     12   Singapore dollar   SGD ( S $ )   1.8 %     13   Hong Kong dollar   HKD ( HK $ )   1.7 %     14   Norwegian krone   NOK ( kr )   1.7 %     15   South Korean won   KRW ( ₩ )   1.7 %     16   Turkish lira   TRY ( ₺ )   1.4 %     17   Russian ruble   RUB ( ₽ )   1.1 %     18   Indian rupee   INR ( ₹ )   1.1 %     19   Brazilian real   BRL ( R $ )   1.0 %     20   South African rand   ZAR ( R )   1.0 %     Other   7.1 %     Total   200.0 %    The cost of one Euro in Australian Dollar .  In 1966 , when the dollar was introduced , the international currency relationships were maintained under the Bretton Woods system , a fixed exchange rate system using a U.S. dollar standard . The Australian dollar , however , was effectively pegged to the British pound at an equivalent value of approximately 1 gram of gold .   The highest valuation of the Australian dollar relative to the U.S. dollar was during the period of the peg to the U.S. dollar . On 9 September 1973 , the peg was adjusted to US $1.4875 , the fluctuation limits being changed to US $1.485 -- US $1.490 ; on both 7 December 1973 and 10 December 1973 , the noon buying rate in New York City for cable transfers payable in foreign currencies reached its highest point of 1.4885 U.S. dollars to one dollar .   On 12 December 1983 , the dollar was floated , allowing its value to fluctuate dependent on supply and demand on international money markets . The decision was made on 8 December 1983 and announced on 9 December 1983 .   In the two decades that followed , its highest value relative to the US dollar was $0.881 in December 1988 . The lowest ever value of the dollar after it was floated was 47.75 US cents in April 2001 . It returned to above 96 US cents in June 2008 , and reached 98.49 later that year . Although the value of the dollar fell significantly from this high towards the end of 2008 , it gradually recovered in 2009 to 94 US cents .   On 15 October 2010 , the dollar reached parity with the US dollar for the first time since becoming a freely traded currency , trading above US $1 for a few seconds . The currency then traded above parity for a sustained period of several days in November , and fluctuated around that mark into 2011 . On 27 July 2011 , the dollar hit a record high since floating . It traded at a $1.1080 against the US dollar .   Some commentators speculated that the value of the dollar in 2011 was related to Europe 's sovereign debt crisis , and Australia 's strong ties with material importers in Asia and in particular China .   Economists posit that commodity prices are the dominant driver of the Australian dollar , and this means changes in exchange rates of the Australian dollar occur in ways opposite to many other currencies . For decades , Australia 's balance of trade has depended primarily upon commodity exports such as minerals and agricultural products . This means the Australian dollar varies significantly during the business cycle , rallying during global booms as Australia exports raw materials , and falling during recessions as mineral prices slump or when domestic spending overshadows the export earnings outlook . This movement is in the opposite direction to other reserve currencies , which tend to be stronger during market slumps as traders move value from falling stocks into cash .   The Australian dollar is a reserve currency and one of the most traded currencies in the world . Other factors in its popularity include a relative lack of central bank intervention , and general stability of the Australian economy and government . In January 2011 at the World Economic Forum in Davos , Switzerland , Alexey Ulyukaev announced that the Central Bank of Russia would begin keeping Australian dollar reserves .   Exchange rate policies ( edit )  Play media 1983 ABC news report on the first day of trading with a floating Dollar .  Prior to 1983 , Australia maintained a fixed exchange rate . The first peg was between the Australian and British pounds , initially at par , and later at 0.8 GBP ( 16 shillings sterling ) . This reflected its historical ties as well as a view about the stability in value of the British pound . From 1946 to 1971 , Australia maintained a peg under the Bretton Woods system , a fixed exchange rate system that pegged the U.S. dollar to gold , but the Australian dollar was effectively pegged to sterling until 1967 .   With the breakdown of the Bretton Woods system in 1971 , Australia converted the traditional peg to a fluctuating rate against the US dollar . In September 1974 , Australia valued the dollar against a basket of currencies called the trade weighted index ( TWI ) in an effort to reduce the fluctuations associated with its tie to the US dollar . The daily TWI valuation was changed in November 1976 to a periodically adjusted valuation .   On 12 December 1983 , the Australian Labor government led by Prime Minister Bob Hawke and Treasurer Paul Keating floated the dollar , with the exchange rate reflecting the balance of payments and other market drivers .   Design and denominations ( edit )   Australia was the first country in the world to have a complete system of banknotes made from plastic ( polymer ) . These notes provide much greater security against counterfeiting . The polymer notes are cleaner than paper notes , are more durable and easily recyclable .   Australia 's currency comprises coins of 5 , 10 , 20 and 50 cent and one and two dollar denominations ; and notes of 5 , 10 , 20 , 50 and 100 dollar denominations .   Many forms of currency were used in the Australian colonies after the arrival of the first European settlers in 1788 . In the rough early conditions barter was necessary , and payment in commodities like rum sometimes replaced money in transactions . Some of the first official notes used in Australia were Police Fund Notes , issued by the Bank of New South Wales in 1816 .   After 1901 , when the Australian colonies federated into a single Commonwealth , the federal government became responsible for the currency . The Bank Notes Tax Act 1910 effectively brought private and state currencies to an end . In 1913 the first series of Australian notes was issued , based on the old British system of 12 pence to a shilling , 20 shillings to a pound .   In 1963 , Australia initiated the change to decimal currency . More than 1000 submissions were made about the name of the new currency unit . The Prime Minister of the day , Sir Robert Menzies , proposed the ' royal ' . The ' dollar ' was eventually chosen as the name , and decimal currency was introduced on 14 February 1966 .   Shortly after the changeover , substantial counterfeiting of $10 notes was detected . This provided an impetus for the Reserve Bank of Australia to develop new note technologies jointly with the Commonwealth Scientific and Industrial Research Organisation .   The revolutionary polymer notes were first introduced in 1988 with the issue of a commemorative $10 note , marking Australia 's bicentenary by featuring the theme of settlement . The note depicted on one side a young male Aboriginal person in body paint , with other elements of Aboriginal culture . On the reverse side was the ship Supply from the First Fleet , with a background of Sydney Cove , as well as a group of people to illustrate the diverse backgrounds from which Australia has evolved over 200 years .    The $100 note features world - renowned soprano Dame Nellie Melba ( 1861 -- 1931 ) , and the distinguished soldier , engineer and administrator General Sir John Monash ( 1865 -- 1931 ) .   The $50 note features Aboriginal writer and inventor David Unaipon ( 1872 -- 1967 ) , and Australia 's first female parliamentarian , Edith Cowan ( 1861 -- 1932 ) .   The $20 note features the founder of the world 's first aerial medical service ( the Royal Flying Doctor Service of Australia ) , the Reverend John Flynn ( 1880 -- 1951 ) , and Mary Reibey ( 1777 -- 1855 ) , who arrived in Australia as a convict in 1792 and went on to become a successful shipping magnate and philanthropist .   The $10 note features the poets AB `` Banjo '' Paterson ( 1864 -- 1941 ) and Dame Mary Gilmore ( 1865 -- 1962 ) . This note incorporates micro-printed excerpts of Paterson 's and Gilmore 's work . On 17 February , the Reserve Bank revealed the design of the new $10 banknote .   The $5 note features Her Majesty Queen Elizabeth II and Parliament House , Canberra , the national capital . ( Note that a special centenary issue of the $5 note featured Sir Henry Parkes and Catherine Helen Spence in 2001 . ) In 2015 - 2016 there was a petition to feature Fred Hollows on a new $5 note , the outcome of this campaign is yet to be announced . On 11 February 2016 it was announced that on 1 September 2016 a new $5 banknote would be released featuring a depiction of native Australian wattle and bird . On 12 April , the design of the new $5 banknote was released .    Polymer note technology was developed by Australia , and Australia prints polymer banknotes for a number of other countries . In 1988 , Australia introduced its first polymer bank note and in 1996 , Australia became the first country in the world to have a complete series of polymer notes . Australia 's notes are printed by Note Printing Australia , a wholly owned subsidiary of the Reserve Bank of Australia . Note Printing Australia prints polymer notes or simply supplies the polymer substrate for a growing number of other countries including Bangladesh , Brunei , Chile , Indonesia , Kuwait , Malaysia , Mexico , Nepal , New Zealand , Papua New Guinea , Romania , Samoa , Singapore , Solomon Islands , Sri Lanka , Thailand and Vietnam . Many other countries are showing a strong interest in the new technology .   All Australian coins depict Queen Elizabeth II on the obverse , with different images on the reverse of each coin .    The $2 coin , which replaced the paper two dollar note in 1988 , depicts an Aboriginal tribal elder set against a background of the Southern Cross and native grasstrees . ( Designed by Horst Hahne )   The $1 coin , which replaced the paper $1 note in 1984 , depicts five kangaroos . ( Designed by Stuart Devlin )   The 50 cent coin carries the coat of arms of Australia : the six state badges on a central shield supported by a kangaroo and an emu , with a background of golden wattle , Australia 's floral emblem ( Designed by Stuart Devlin )   The 20 cent coin carries a platypus , one of only two egg - laying mammals in the world . It has webbed feet and a duck - like bill that it uses to hunt for food along the bottom of streams and rivers . ( Designed by Stuart Devlin )   The 10 cent coin features a male lyrebird dancing . A clever mimic , the lyrebird inhabits the dense , damp forests of Australia 's eastern coast . ( Designed by Stuart Devlin )   The 5 cent coin depicts an echidna , or spiny anteater , the world 's only other egg - laying mammal . ( Designed by Stuart Devlin )   The 2 cent coin ( withdrawn from circulation since 1992 ) depicted a frilled lizard . ( Designed by Stuart Devlin )   The 1 cent coin ( withdrawn from circulation since 1992 ) depicted a feather tailed glider ( Designed by Stuart Devlin )    The 5 , 10 , 20 and 50 cent coins are made of cupronickel ( 75 percent copper and 25 percent nickel ) . The one and two dollar coins are made of aluminium bronze ( 92 percent copper , 6 per cent aluminium and 2 per cent nickel ) . The two dollar , one dollar , 50 and 20 cent circulating coins occasionally feature commemorative designs .   Australia 's coins are produced by the Royal Australian Mint , which is located in the nation 's capital , Canberra . Since opening in 1965 , the Mint has produced more than 14 billion circulating coins , and has the capacity to produce more than two million coins per day , or more than 600 million coins per year . The Royal Australian Mint has an international reputation for producing quality numismatic coins , and won an international award for ' Best Silver Coin 2006 ' for its Silver Kangaroo coin design .   Australian currency tactile feature ( edit )   In early 2015 the Reserve Bank of Australia announced that a tactile feature will be added to all new notes . The tactile feature is an embossed feature to assist the vision - impaired in identifying the denomination . A similar feature is used on the Canadian currency .   Current exchange rates ( edit )     Current AUD exchange rates     From Google Finance :   CAD CHF EUR GBP HKD JPY USD CNY INR     From Yahoo ! Finance :   CAD CHF EUR GBP HKD JPY USD CNY INR     From XE :   CAD CHF EUR GBP HKD JPY USD CNY INR     From OANDA :   CAD CHF EUR GBP HKD JPY USD CNY INR     From fxtop.com :   CAD CHF EUR GBP HKD JPY USD CNY INR     See also ( edit )       Wikimedia Commons has media related to Coins of Australia and Banknotes of Australia .      Banking in Australia   Brass razoo   Coins of Australia   Economy of Australia   Note Printing Australia   Section 51 ( xii ) of the Constitution of Australia    References ( edit )    Jump up ^ Alongside Zimbabwean dollar ( suspended indefinitely from 12 April 2009 ) , Pound sterling , Euro , US Dollar , South African rand , Botswana pula , Indian rupee , Chinese yuan , and Japanese yen ( 1 ) . The U.S. Dollar has been adopted as the official currency for all government transactions .   Jump up ^ McGovern , Gerry ; Norton , Rob ; O'Dowd , Catherine ( 2002 ) . The Web content style guide : an essential reference for online writers ... FT Press . p. 104 . ISBN 978 - 0 - 273 - 65605 - 0 . Retrieved 30 July 2010 .   Jump up ^ The Canadian Style . Dundurn Press / Translation Bureau . 1997 . ISBN 1 - 55002 - 276 - 8 . Retrieved 30 July 2010 .   Jump up ^ Jeff Desjardins ( 29 December 2016 ) . `` Here are the most traded currencies in 2016 '' . Business Insider . Retrieved 30 June 2017 .   ^ Jump up to : `` Triennial Central Bank Survey Foreign exchange turnover in April 2016 '' ( PDF ) . Triennial Central Bank Survey . Basel , Switzerland : Bank for International Settlements. 11 December 2016 . p. 7 . Retrieved 22 March 2017 .   ^ Jump up to : Yeates , Clancy ( 2 September 2010 ) . `` Aussie now fifth most traded currency '' . The Sydney Morning Herald . Retrieved 19 April 2011 .   Jump up ^ Richard Hughes , `` Holt 's folly : one royal we rejected '' , Sydney Morning Herald , 5 June 2013 . Retrieved 21 December 2017   Jump up ^ `` The Royal Controversy '' . Reserve Bank of Australia Museum . Reserve Bank of Australia . Retrieved 31 December 2015 .   Jump up ^ The Age , 5 June 2013 , Money , p. 8   Jump up ^ `` Banknotes of the 1930s '' . Reserve Bank of Australia Museum . Reserve Bank of Australia . Retrieved 31 December 2015 .   Jump up ^ `` Introducing the New Decimal Banknotes '' . Reserve Bank of Australia Museum . Reserve Bank of Australia . Retrieved 31 December 2015 .   Jump up ^ Media Release : R.B.A. : Upgrading Australia 's Banknotes http://www.rba.gov.au/media-releases/2012/mr-12-27.html   Jump up ^ The Next Generation Banknote Project http://www.rba.gov.au/publications/bulletin/2014/mar/1.html   Jump up ^ ABC News Triangular coin celebrates Parliament House 's birthday http://www.abc.net.au/news/2013-05-09/first-triangular-coin-celebrates-parliament-birthday/4679654   Jump up ^ History of Banknotes http://banknotes.rba.gov.au/australias-banknotes/history/   Jump up ^ `` Wi - fi , dual - flush loos and eight more Australian inventions '' . BBC News . 8 November 2012 .   Jump up ^ `` Next Generation of Banknotes : $5 Banknote Design Reveal '' . Reserve Bank of Australia . 12 April 2016 .   Jump up ^ `` Next Generation of Banknotes : $10 Design Reveal '' . Reserve Bank of Australia . February 17 , 2017 .   Jump up ^ The total sum is 200 % because each currency trade always involves a currency pair .   Jump up ^ World Currency Yearbook , 1984 . p. 75 . ISBN 0 - 917645 - 00 - 6 .   Jump up ^ `` U.S. / Australia Foreign Exchange Rate '' . Retrieved 26 July 2011 .   Jump up ^ `` 20 years since Aussie dollar floated '' . Australian Broadcasting Corporation . 8 December 2003 . Archived from the original on 11 October 2010 . Retrieved 14 October 2010 .   Jump up ^ `` Global risk weighs on Howard 's agenda '' . CNN . 12 November 2001 . Retrieved 14 October 2010 .   Jump up ^ `` Dollar Falls Before RBA Meeting : New Zealand 's Drops '' . Bloomberg. 30 June 2008 . Retrieved 14 October 2010 .   Jump up ^ `` Dollar hits parity vs US dollar '' . Reuters. 15 October 2010 . Archived from the original on 18 October 2010 . Retrieved 15 October 2010 .   Jump up ^ Davis , Bradley ( 4 November 2010 ) . `` Dollar hits new post-float high after US central bank move '' . The Australian . Archived from the original on 22 January 2011 . Retrieved 25 January 2011 .   Jump up ^ `` AUD / USD Slides After Topping 1.10 Level -- Westpac '' . Retrieved 2 May 2011 .   Jump up ^ `` Sky News : Aussie dollar hits new highs '' . Sky News . 28 March 2011 . Retrieved 19 April 2011 .   Jump up ^ `` Westpac Market Insights March 2011 '' ( PDF ) . Westpac . p. 4 .   Jump up ^ Dorsch , Gary ( 14 Feb 2006 ) . `` Analyzing the Dollar -- Up , Down , and Under '' . SafeHaven.com .   Jump up ^ `` Russia to Keep Dollar Reserves From February '' . Davos , Switzerland : RIA Novosti. 26 January 2012 . Retrieved 27 January 2012 .   Jump up ^ `` 1350.0 -- Australian Economic Indicators , Mar 1998 '' . Australian Bureau of Statistics . 8 December 2006 . Retrieved 19 April 2011 .   Jump up ^ Other Banknotes http://banknotes.rba.gov.au/australias-banknotes/other-banknotes/   Jump up ^ $100 Banknote http://banknotes.rba.gov.au/australias-banknotes/banknotes-in-circulation/hundred-dollar/   Jump up ^ $50 Banknote http://banknotes.rba.gov.au/australias-banknotes/banknotes-in-circulation/fifty-dollar/   Jump up ^ $20 Banknote http://banknotes.rba.gov.au/australias-banknotes/banknotes-in-circulation/twenty-dollar/   Jump up ^ $10 Banknote http://banknotes.rba.gov.au/australias-banknotes/banknotes-in-circulation/ten-dollar/   Jump up ^ Australia , scheme = AGLSTERMS. AglsAgent ; corporateName = Reserve Bank of . `` Next Generation of Banknotes : $10 Design Reveal '' . Reserve Bank of Australia . Retrieved 2017 - 08 - 30 .   Jump up ^ $5 Banknote http://banknotes.rba.gov.au/australias-banknotes/banknotes-in-circulation/five-dollar/   Jump up ^ `` Fred Hollows for Aussie fiver ? '' . Stuff . Retrieved 2016 - 01 - 27 .   Jump up ^ Australia , scheme = AGLSTERMS. AglsAgent ; corporateName = Reserve Bank of . `` Next Generation of Banknotes : Issuance Date for the New $5 Banknote Media Releases '' . www.rba.gov.au . Retrieved 2016 - 02 - 11 .   Jump up ^ Australia , scheme = AGLSTERMS. AglsAgent ; corporateName = Reserve Bank of . `` Next Generation of Banknotes : $5 Banknote Design Reveal '' . Reserve Bank of Australia . Retrieved 2016 - 05 - 24 .   Jump up ^ `` Paying with Polymer : Developing Canada 's New Bank Notes '' ( PDF ) . Bank of Canada . 20 June 2011 . p. 4 . Retrieved 12 Aug 2015 .   Jump up ^ `` Next Generation Banknotes : Additional Feature for the Vision Impaired '' . www.rba.gov.au ( Press release ) . Media Office - Reserve Bank of Australia . 13 February 2015 .   Jump up ^ Haxton , Nance ( 19 February 2015 ) . `` RBA to introduce tactile banknotes after 13yo blind boy Connor McLeod campaigns for change '' . ABC . Retrieved 19 February 2015 .     Notes     Krause , Chester L. ; Clifford Mishler ( 1991 ) . Standard Catalog of World Coins : 1801 -- 1991 ( 18th ed . ) . Krause Publications . ISBN 0873411501 .   Pick , Albert ( 1994 ) . Standard Catalog of World Paper Money : General Issues . Colin R. Bruce II and Neil Shafer ( editors ) ( 7th ed . ) . Krause Publications . ISBN 0 - 87341 - 207 - 9 .    External links ( edit )    Sound recording of 1966 Decimal Currency radio advertisement held at the National Archives of Australia   Reserve Bank of Australia : Current Banknotes   The Perth Mint is Australia 's precious metals mint , making non-circulating / collector coins in silver , gold , and platinum .   Note Printing Australia is the printer of Australia 's notes , and also inventor of the abovementioned polymer banknotes , and world exporter of this technology .   The Money Tracker site allows users to track Australian banknotes as they circulate around Australia .   Images of historic and modern Australian bank notes   Reserve Bank of Australia -- daily value of AUD against 13 currencies , special drawing right and trade weighted index   http://www.forexuklv.net/Major_Currency_Pairs/Chart_25.html - historical exchange rates of AUD / USD ( from the year 1800 to present time ) .   http://www.forexuklv.net/Major_Currency_Pairs/Chart_03.html - historical chart of AUD / USD ( from the year 1800 to present time ) .   The banknotes of Australia ( ( in English ) ) ( ( in German ) )      Preceded by : Australian pound Reason : decimalisation Ratio : 2 dollars = 1 pound   Currency of Australia , Christmas Island , Cocos Islands , Norfolk Island , Nauru , Kiribati , Tuvalu 1966 --   Succeeded by : Current     Preceded by : New Guinea pound Reason : decimalisation Ratio : 2 dollars = 1 pound   Currency of Papua New Guinea 1966 -- 1975   Succeeded by : Papua New Guinean kina     Preceded by : Australian pound Reason : decimalisation Ratio : 2 dollars = 1 pound   Currency of Solomon Islands 1966 -- 1977   Succeeded by : Solomon Islands dollar       hide         Australian currency     Decimal coins     1c   2c   5c   10c   20c   50c ( round )   $1   $2   Coins of the $   Commemorative coins       Decimal notes     $1   $2   $5   $10   $20   $50   $100   Banknotes of the $       Pre-decimal coins     ​ ⁄ d   1d   3d   6d   1s   2s   5s   Pre - £ coins   Coins of the £       Pre-decimal notes     5s   10s   £ 1   £ 5   £ 10   £ 20   £ 50   £ 100   £ 1000       Mints     Sydney Mint ( 1855 -- 1926 )   Melbourne Mint ( 1872 -- 1967 )   Perth Mint ( 1899 -- )   Royal Australian Mint ( 1965 -- )       Topics     Australian dollar   Aust</t>
    </r>
  </si>
  <si>
    <t xml:space="preserve">what kind of currency is used in australia</t>
  </si>
  <si>
    <t xml:space="preserve"> The Australian dollar ( sign : $ ; code : AUD ) is the currency of the Commonwealth of Australia , including its external territories Christmas Island , Cocos ( Keeling ) Islands , and Norfolk Island , as well as the independent Pacific Island states of Kiribati , Nauru , Papua New Guinea , Tonga , Tuvalu , and Vanuatu . Within Australia , it is almost always abbreviated with the dollar sign ( $ ) , with A $ or AU $ sometimes used to distinguish it from other dollar - denominated currencies . It is subdivided into 100 cents . </t>
  </si>
  <si>
    <r>
      <rPr>
        <sz val="11"/>
        <color rgb="FF000000"/>
        <rFont val="Calibri"/>
        <family val="0"/>
        <charset val="1"/>
      </rPr>
      <t xml:space="preserve">Joel Kinnaman - wikipedia  Joel Kinnaman  Jump to : navigation , search    Joel Kinnaman     Kinnaman in 2014       Charles Joel Nordström Kinnaman ( 1979 - 11 - 25 ) 25 November 1979 ( age 37 ) Stockholm , Sweden     Residence   Los Angeles , California , U.S.     Occupation   Actor     Years active   1990 -- present     Spouse ( s )   Cleo Wattenström     Relatives   Melinda Kinnaman ( half - sister )     Charles Joel Nordström Kinnaman ( born 25 November 1979 ) is a Swedish American actor , best known in Sweden for playing the lead role in the Swedish film Easy Money , a role that earned him a Guldbagge Award in the `` Best Actor '' category , and also for his roles as Frank Wagner in the Johan Falk film series and Governor Will Conway in the U.S. version of House of Cards . He starred as detective Stephen Holder on AMC 's The Killing , and played Alex Murphy in the 2014 RoboCop remake , and Rick Flag in the film adaptation of Suicide Squad ( 2016 ) , based on the DC Comics anti-hero team of the same name .     Contents  ( hide )   1 Early life   2 Career   3 Personal life   4 Filmography   5 Awards and nominations   5.1 Film     6 References   7 External links      Early life ( edit )   Kinnaman was born and raised in Stockholm . His mother , Bitte , a therapist , is a Swedish citizen . His father , Steve Kinnaman ( originally David Kinnaman ) , is an American who was drafted during the Vietnam War and deserted the military from his base in Bangkok . Kinnaman has both Swedish and American citizenship , because of his father 's American nationality . Kinnaman 's father , whose family was from the American Midwest , is of English , German , Irish , and Scottish descent , while Kinnaman 's mother is Ukrainian Jewish descent . He has five sisters , one of whom is actress Melinda Kinnaman ( his half - sister ) . During his childhood , Kinnaman learned two languages as he `` spoke English with my dad and Swedish with my mom . '' Kinnaman spent a year in Texas as a high school exchange student .   Career ( edit )  Kinnaman at the 2016 San Diego Comic - Con to promote Suicide Squad  He originally started his career as a child actor in 1990 , in the soap opera Storstad . His older sister was dating one of the show 's directors , and he asked Joel to try out for a role . After portraying Felix Lundström in 22 episodes , he stepped away from acting .   Kinnaman restarted his acting career in 2002 , taking part in a thriller called The Invisible and enrolling in the Swedish Academic School of Drama in Malmö , where actors such as Michael Nyqvist have studied . He graduated in 2007 , and afterwards attracted the attention of Swedish media in a stage adaptation of Crime and Punishment . Kinnaman then went on to star in nine Swedish movies in 14 months . He made his breakthrough in the 2009 film I skuggan av värmen and his success continued with a role in six films of the Johan Falk film series . He was then cast in the film Easy Money ( released January 2010 ) , which brought him attention in Sweden and the rest of the world . Looking to expand his acting career , Kinnaman hired an agent in the United States , the same agent that represents Johnny Depp . It was announced in the spring of 2010 that he would be making his international film debut in the thriller The Darkest Hour , which began filming in Moscow in June 2010 and was released in December 2011 . Beginning in April 2011 , Kinnaman had a starring role as Detective Stephen Holder in the AMC television series The Killing .   Kinnaman was one of the contenders for the lead roles in Thor ( 2011 ) and Mad Max : Fury Road ( 2015 ) . He told the newspaper Östran that he `` was really close to getting the lead role in Mad Max 4 . It was between me and two others , and the one who got the role was Tom Hardy . ( The director ) was very pleased ( with my performance ) -- but they needed someone who seemed older . '' Regarding Thor , he has stated that `` they wanted someone with a Scandinavian touch . There were only five candidates left in the end , but unfortunately I could n't fly over ( to the United States ) and do test shoots with Natalie Portman , because it would interfere with the filming of Easy Money . '' Although Kinnaman has said that he is eager to work and become recognized in America , he added that `` I absolutely do n't feel that I have to take any role that I can get just because it is the United States . I 'm looking for something interesting , I 'm still young in my artistry , and I must dare to do things even when there 's a risk for failure '' .   Kinnaman reunited with Easy Money director Daniel Espinosa in his Hollywood debut , 2012 's Safe House . On 3 March 2012 , it was confirmed that Kinnaman would play the lead role of Alex James Murphy / Robocop in the 2014 remake of 1987 's RoboCop . The film was released in February 2014 . In 2015 , he appeared in the drama Knight of Cups and starred in the thrillers Run All Night and Child 44 . Kinnaman next played Rick Flag Jr. in the Warner Bros. and DC Comics adaptation of Suicide Squad ( 2016 ) , directed by David Ayer .   In 2016 , Kinnaman also starred in the independent drama - thriller film Edge of Winter . He plays Elliot Baker , a father of two who takes his children on a shooting trip that goes horribly wrong . The film was released on demand on 27 July , and in select theatres on 12 August . Joel has also been cast as the main protagonist in Netflix 's Altered Carbon , an adaption to Richard K. Morgan 's hardboiled cyberpunk science fiction novel of the same name . Netflix has ordered a 10 - episode season one . Kinnaman will portray Takeshi Kovacs , a native of the planet Harlan 's World . Kovacs is of Japanese and Eastern - European descent , and was a teenage gang member before enlisting in the military . After leaving the Envoy Corps , an elite military force , Kovacs returned to criminal life and became a mercenary , and was eventually imprisoned , his cortical `` stack '' stored without a body for decades at a time as punishment before being paroled or hired out to work high - risk situations .   Personal life ( edit )   In mid-2014 , Kinnaman began dating Swedish tattoo artist Cleo Wattenström . In April 2016 , Kinnaman revealed he and Wattenström are married .   Filmography ( edit )   Film   Year   Title   Role   Notes     2002   Den osynlige   Kalle       2003   Hannah med H   Andreas       2005   Storm   The Bartender       2005   Tjenare kungen   Dickan       2006   Vinnarskallar   Gurra       2007   Arn -- The Knight Templar   Sverker Karlsson       2008   Arn -- The Kingdom at Road 's End   Sverker Karlsson       2009   In Your Veins   Erik       2009   183 dagar   Byron       2009   Johan Falk - Gruppen för särskilda insatser   Frank Wagner   Nominated -- Guldbagge Award for the Best Supporting Actor     2009   Johan Falk - Vapenbröder   Frank Wagner       2009   Johan Falk - National Target   Frank Wagner       2009   Johan Falk - Leo Gaut   Frank Wagner       2009   Johan Falk - Operation Näktergal   Frank Wagner       2009   Johan Falk - De fredlösa   Frank Wagner       2009   Simon &amp; Malou   Stefan         Easy Money   Johan `` JW '' Westlund   Guldbagge Award for the Best Actor     2011   The Darkest Hour   Skyler       2011   The Girl with the Dragon Tattoo   Christer Malm       2012   Safe House   Keller       2012   Lola Versus   Luke       2012   Easy Money II : Hard to Kill   Johan `` JW '' Westlund       2012   Johan Falk -- Spelets regler   Frank Wagner       2012   Johan Falk -- De 107 patrioterna   Frank Wagner       2012   Johan Falk -- Alla råns moder   Frank Wagner       2012   Johan Falk -- Organizatsija Karayan   Frank Wagner       2012   Johan Falk -- Barninfiltratören   Frank Wagner       2013   Johan Falk -- Kodnamn Lisa   Frank Wagner       2013   Easy Money III : Life Deluxe   Johan `` JW '' Westlund       2014   RoboCop   Alex Murphy / RoboCop       2015   Knight of Cups   Errol       2015   Run All Night   Mike Conlon       2015   Child 44   Wasilij Nikitin       2016   Suicide Squad   Rick Flag     2016   Edge of Winter   Elliot Baker       Television   Year   Title   Role   Notes       Storstad   Felix Lundström   Swedish TV series ; credited as Joel Nordström     2008   Andra Avenyn   Gustav   Swedish TV series     2011 -- 2014   The Killing   Stephen Holder   U.S. TV series Nominated -- Saturn Award for Best Supporting Actor on Television     2016 -- present   House of Cards   Governor Will Conway   Main Role     2017   Altered Carbon   Takeshi Kovacs   Upcoming series     Awards and nominations ( edit )   Film ( edit )     Year   Award   Notes     2011   Guldbagge Awards   Best Actor - Easy Money     2012   Saturn Award   Nominated - Best Supporting Actor on Television - The Killing     References ( edit )    ^ Jump up to : `` Joel Kinnaman '' ( in Swedish ) . The Swedish Film Database ( Swedish Film Institute ) . Retrieved 2014 - 04 - 30 .   ^ Jump up to : Rehlin , Gunnar ( 7 April 2010 ) . `` Joel Kinnaman klar för Hollywoodfilm '' . Helsingborgs Dagblad . Retrieved 18 July 2010 .   ^ Jump up to : Hägred , Per ( 19 January 2010 ) . `` Joel Kinnaman : ' Min revisor är i chocktillstånd ' '' . Expressen . Retrieved 18 July 2010 .   Jump up ^ `` ' Suicide Squad ' Update : ' RoboCop 's Joel Kinnaman Cast as Rick Flagg '' . 13 February 2015 .   ^ Jump up to : Rochlinfer , Margy ( 7 February 2014 ) . `` Emotions Churning Under Armor : Joel Kinnaman Jumps From ' The Killing ' to ' RoboCop ' '' . The New York Times . Retrieved 2014 - 04 - 30 .   Jump up ^ Jackson , Helen ( 6 February 2014 ) . `` Robocop Joel Kinnaman 's Mom Tried to Send Him to Therapy for Walking Like a Robot '' . Variety .   Jump up ^ Yglesias , Matthew . `` Joel Kinnaman from The Killing : An Interview '' . Slate . Retrieved 2012 - 07 - 02 .   Jump up ^ Tweet Lina Wennersten 08 - 13 59 36 lina.wennersten@svd.se . `` Kroppslig kamp Kultur SvD '' ( in Swedish ) . Svd.se . Retrieved 2012 - 07 - 02 .   Jump up ^ Eichel , Larry ( 9 December 1990 ) . `` Home Swede Home : Why Some Vietnam Dodgers Have n't Returned '' . The Seattle Times . David Kinnaman , as Steve was known for the first half of his life ...   Jump up ^ Ventre , Michael ( 16 June 2011 ) . `` Killing actors all hiding secrets '' . Variety .   Jump up ^ https://archive.is/20120913141051/www.thedaily.com/page/2012/04/02/040212-gossip-tv-joel-kinnaman-1-2   Jump up ^ `` Joel Kinnaman regerar i `` Arn '' - Film '' ( in Swedish ) . www.arbetarbladet.se . Retrieved 2012 - 07 - 02 .   Jump up ^ `` RoboCop 's Jewish ! '' .   ^ Jump up to : Andersson , Jan - Olov ( 22 August 2009 ) . `` -- Jag fick sparka ihjäl Skarsgård '' . Aftonbladet . Retrieved 18 July 2010 .   ^ Jump up to : Albiniak , Paige . `` In for the kill '' . New York Post .   Jump up ^ `` -- Jag ville slå honom '' . aftonbladet.se . Retrieved 24 November 2016 .   Jump up ^ Gradvall.se . `` Gradvall.se -- Artiklar Intervjuer Essäer 1979 - 2016 '' . gradvall.se . Retrieved 24 November 2016 .   ^ Jump up to : Helmerson , Erik ( 11 January 2010 ) . `` Joel Kinnaman nära roll i Mad Max 4 '' . Östran . Retrieved 18 July 2010 .   Jump up ^ `` Zac Efron to play drug smuggler in thriller '' . Reuters. 15 April 2010 . Retrieved 18 July 2010 .   Jump up ^ Holmqvist , Emilia ( 22 March 2010 ) . `` Kinnaman ska få oss att springa '' . Aftonbladet . Retrieved 18 July 2010 .   Jump up ^ Hibberd , James ( 14 April 2010 ) . `` AMC adds four actors to Killing pilot '' . The Hollywood Reporter . Retrieved 18 July 2010 .   Jump up ^ Vejvoda , Jim ( 16 March 2009 ) . `` Natalie Portman Joining Thor ? '' . IGN . Retrieved 18 July 2010 .   Jump up ^ Vineyard , Jen . `` Joel Kinnaman Talks Easy Money , His Marty Scorsese - Style Relationship With Daniel Espinosa &amp; The Future Of The Dragon Tattoo Films '' . IndieWire .   Jump up ^ Kroll , Justin ( 13 February 2015 ) . `` Joel Kinnaman eyed for Rick Flagg role in Suicide Squad '' . Variety .   Jump up ^ `` Edge of Winter actor Joel Kinnaman says ' toughest shoot ' was filming in a freezing Sudbury lake '' . The Hamilton Spectator. 23 August 2016 .   Jump up ^ Andreeva , Nellie ( 12 May 2016 ) . `` Joel Kinnaman to star in Netflix 's Altered Carbon series ; Miguel Sapochnik directs '' . Deadline.com .   Jump up ^ `` Här myser Kinnaman med svenska Cleo , 22 '' . Aftonbladet. 9 August 2014 . Retrieved 30 June 2015 .   Jump up ^ `` Cleo Wattenström , Joel Kinnaman 's Wife : 5 Fast Facts You Need to Know '' . Heavy . 29 May 2017 . Retrieved 4 June 2017 .   Jump up ^ Bacardi , Francesca ( April 26 , 2016 ) . `` Surprise ! Joel Kinnaman and Cleo Wattenström Are Married '' . Eonline.com . Retrieved April 26 , 2016 .   Jump up ^ Gugliemi , Jodi ( April 26 , 2016 ) . `` Joel Kinnaman Reveals He Secretly Married Cleo Wattenström '' . People.com . Retrieved April 26 , 2016 .   Jump up ^ `` De kan vinna en Guldbagge '' . Dagens Nyheter. 8 January 2010 . Retrieved 18 July 2010 .   Jump up ^ Goldberg , Matt ( 29 February 2012 ) . `` Saturn Award Nominations Announced ; Hugo and Harry Potter Lead with 10 Nominations Each '' . Collider . Retrieved 22 March 2014 .    External links ( edit )    Joel Kinnaman on IMDb   Joel Kinnaman on Facebook   Joel Kinnaman on Twitter   Joel Kinnaman on Instagram      ( hide )         Guldbagge Award for Best Actor in a Leading Role     1963 -- 1990     Keve Hjelm ( 1963 / 64 )   Jarl Kulle ( 1964 / 65 )   Thommy Berggren ( 1965 / 66 )   Per Oscarsson ( 1966 / 67 )   Halvar Björk ( 1967 / 68 )   Roland Hedlund ( 1968 / 69 )   Carl - Gustaf Lindstedt ( 1969 / 70 )   Eddie Axberg ( 1971 / 72 )   Gösta Ekman ( 1972 / 73 )   Allan Edwall ( 1973 / 74 )   Göran Stangertz ( 1974 / 75 )   Toivo Pawlo ( 1975 / 76 )   Håkan Serner ( 1976 / 77 )   Anders Lönnbro ( 1977 / 78 )   Anders Åberg ( 1978 / 79 )   Peter Lindgren ( 1979 / 80 )   Ingvar Hirdwall ( 1980 / 81 )   Stellan Skarsgård ( 1981 / 82 )   Jarl Kulle ( 1982 / 83 )   Sven Wollter ( 1984 )   Anton Glanzelius ( 1985 )   Erland Josephson ( 1986 )   Max von Sydow ( 1987 )   Tomas Bolme ( 1988 )   Stellan Skarsgård ( 1989 )   Börje Ahlstedt ( 1990 )       1991 -- present     Lasse Åberg ( 1991 )   Rolf Lassgård ( 1992 )   Sven Lindberg ( 1993 )   Sven - Bertil Taube ( 1994 )   Loa Falkman ( 1995 )   Max von Sydow ( 1996 )   Göran Stangertz ( 1997 )   Krister Henriksson ( 1998 )   Björn Kjellman ( 1999 )   Kjell Bergqvist ( 2000 )   Sven Wollter ( 2001 )   Michael Nyqvist ( 2002 )   Jonas Karlsson ( 2003 )   Robert Gustafsson ( 2004 )   Krister Henriksson ( 2005 )   Gustaf Skarsgård ( 2006 )   Michael Segerström ( 2007 )   Mikael Persbrandt ( 2008 )   Claes Ljungmark ( 2009 )   Joel Kinnaman ( 2010 )   Sven - Bertil Taube ( 2011 )   Johannes Brost ( 2012 )   Mikael Persbrandt ( 2013 )   Sverrir Gudnason ( 2014 )   Rolf Lassgård ( 2015 )   Anders Mossling ( 2016 )               VIAF : 207335285   ISNI : 0000 0001 4006 500X   GND : 1021087246   SUDOC : 15556465X   BNF : cb16613955q ( data )      Retrieved from `` https://en.wikipedia.org/w/index.php?title=Joel_Kinnaman&amp;oldid=802907058 '' Categories :   1979 births   20th - century American male actors   20th - century Swedish male actors   21st - century American male actors   21st - century Swedish male actors   Swedish emigrants to the United States   American male film actors   American male television actors   American people of English descent   American people of German descent   American people of Irish descent   American people of Scottish descent   American people of Swedish - Jewish descent   American people of Ukrainian - Jewish descent   Best Actor Guldbagge Award winners   Jewish American male actors   Living people   Male actors from Stockholm   Swedish Jews   Swedish male film actors   Swedish male television actors   Swedish people of American descent   Swedish people of English descent   Swedish people of German descent   Swedish people of Irish descent   Swedish people of Scottish descent   Swedish people of Ukrainian descent   Hidden categories :   CS1 Swedish - language sources ( sv )   Use dmy dates from April 2011   Articles containing Swedish - language text   Articles with hCards   Wikipedia articles with VIAF identifiers   Wikipedia articles with ISNI identifiers   Wikipedia articles with GND identifiers   Wikipedia articles with BNF identifiers           Talk                                           Contents                   About Wikipedia                                                   Asturianu   Български   Català   Čeština   Cymraeg   Dansk   Deutsch   Español   فارسی   Français   </t>
    </r>
    <r>
      <rPr>
        <sz val="11"/>
        <color rgb="FF000000"/>
        <rFont val="Noto Sans CJK SC"/>
        <family val="2"/>
      </rPr>
      <t xml:space="preserve">한국어   </t>
    </r>
    <r>
      <rPr>
        <sz val="11"/>
        <color rgb="FF000000"/>
        <rFont val="Calibri"/>
        <family val="0"/>
        <charset val="1"/>
      </rPr>
      <t xml:space="preserve">Հայերեն   Italiano   עברית   Basa Jawa   Magyar   მარგალური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Srpskohrvatski / српскохрватски   Suomi   Svenska   தமிழ்   Українська   </t>
    </r>
    <r>
      <rPr>
        <sz val="11"/>
        <color rgb="FF000000"/>
        <rFont val="Noto Sans CJK SC"/>
        <family val="2"/>
      </rPr>
      <t xml:space="preserve">中文   </t>
    </r>
    <r>
      <rPr>
        <sz val="11"/>
        <color rgb="FF000000"/>
        <rFont val="Calibri"/>
        <family val="0"/>
        <charset val="1"/>
      </rPr>
      <t xml:space="preserve">Edit links   This page was last edited on 29 September 2017 , at 06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</si>
  <si>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william conway in house of cards</t>
  </si>
  <si>
    <t xml:space="preserve"> Charles Joel Nordström Kinnaman ( born 25 November 1979 ) is a Swedish American actor , best known in Sweden for playing the lead role in the Swedish film Easy Money , a role that earned him a Guldbagge Award in the `` Best Actor '' category , and also for his roles as Frank Wagner in the Johan Falk film series and Governor Will Conway in the U.S. version of House of Cards . He starred as detective Stephen Holder on AMC 's The Killing , and played Alex Murphy in the 2014 RoboCop remake , and Rick Flag in the film adaptation of Suicide Squad ( 2016 ) , based on the DC Comics anti-hero team of the same name . </t>
  </si>
  <si>
    <r>
      <rPr>
        <sz val="11"/>
        <color rgb="FF000000"/>
        <rFont val="Calibri"/>
        <family val="0"/>
        <charset val="1"/>
      </rPr>
      <t xml:space="preserve">Power of attorney - wikipedia  Power of attorney  Jump to : navigation , search For the television program , see Power of Attorney ( TV show ) .      ( hide ) This article has multiple issues . Please help improve it or discuss these issues on the talk page . ( Learn how and when to remove these template messages )      The examples and perspective in this article or section might have an extensive bias or disproportional coverage towards the United States . Please improve this article or discuss the issue on the talk page . ( November 2013 ) ( Learn how and when to remove this template message )         This article needs additional citations for verification . Please help improve this article by adding citations to reliable sources . Unsourced material may be challenged and removed . ( November 2008 ) ( Learn how and when to remove this template message )         This article may be too technical for most readers to understand . Please help improve it to make it understandable to non-experts , without removing the technical details . The talk page may contain suggestions . ( January 2011 ) ( Learn how and when to remove this template message )    ( Learn how and when to remove this template message )    Power of attorney  A power of attorney ( POA ) or letter of attorney is a written authorization to represent or act on another 's behalf in private affairs , business , or some other legal matter . The person authorizing the other to act is the principal , grantor , or donor ( of the power ) . The one authorized to act is the agent or , in some common law jurisdictions , the attorney - in - fact .   Formerly , the term `` power '' referred to an instrument signed under seal while a `` letter '' was an instrument under hand , meaning that it was simply signed by the parties , but today a power of attorney need not be signed under seal . Some jurisdictions require that powers of attorney be notarized or witnessed , but others will enforce a power of attorney as long as it is signed by the grantor .     Contents  ( hide )   1 Attorney - in - fact   2 Structure and requirements   2.1 Capacity of the grantor   2.2 Oral and written   2.3 Equal dignity rule   2.4 Execution     3 Types   3.1 Durable   3.2 Health care   3.2. 1 Relationship with advance health care directive     3.3 Springing   3.4 Standardized forms     4 Implied limitations on agent 's power   5 Specialized uses   5.1 Proxy voting   5.2 Finance     6 Legal status by country   6.1 England and Wales   6.2 Republic of Ireland   6.2. 1 Creating powers of attorney     6.3 Russia     7 See also   8 References      Attorney - in - fact ( edit )   The term attorney - in - fact is used in many jurisdictions instead of the term agent . That term should be distinguished from the term attorney - at - law . In the United States , an attorney - at - law is a solicitor who is also licensed to be an advocate in a particular jurisdiction . An attorney - in - fact may be a layperson and is authorized to act pursuant to the powers granted by a power of attorney , but may not engage in acts that would constitute the unauthorized practice of law .   In the context of the unincorporated reciprocal inter-insurance exchange ( URIE ) the attorney - in - fact is a stakeholder / trustee who takes custody of the subscriber funds placed on deposit with him , and then uses those funds to pay insurance claims . When all the claims are paid , the attorney - in - fact then returns the leftover funds to the subscribers .   The Uniform Power of Attorney Act employs the term agent . As an agent , an attorney - in - fact is a fiduciary for the principal , so the law requires an attorney - in - fact to be completely honest with and loyal to the principal in their dealings with each other .   Care must be taken when selecting an attorney - in - fact , as some attorneys - at - fact have used their authority to steal the assets of vulnerable individuals such as the elderly ( see elder abuse ) .   Structure and requirements ( edit )   Capacity of the grantor ( edit )  Main article : Capacity ( law )  The person who creates a power of attorney , known as the grantor , can only do so when he / she has the requisite mental capacity . Suppose the grantor loses capacity to grant permission after the power of attorney has been created ( for example , from Alzheimer 's disease or a head injury in a car crash ) ; then the power will probably no longer be effective . In some powers of attorney the grantor states that he / she wishes the document to remain in effect even after he / she becomes incapacitated . This type of power is commonly referred to as a durable power of attorney . If someone is already incapacitated , it is not possible for that person to execute a valid power . If a person does not have the capacity to execute a power of attorney ( and does not already have a durable power in place ) , often the only way for another party to act on their behalf is to have a court impose a conservatorship or a guardianship .   Oral and written ( edit )   Depending on the jurisdiction , a power of attorney may be oral and , whether witnessed , will hold up in court , the same as if it were in writing . For some purposes , the law requires a power of attorney to be in writing . Many institutions , such as hospitals , banks and , in the United States , the Internal Revenue Service , require a power of attorney to be in writing before they will honor it , and they will usually keep a duplicate original or a copy for their records . Nursing homes often follow the same practice .   Equal dignity rule ( edit )   The equal dignity rule is a principle of law that requires an authorization for someone performing certain acts for another person to have been appointed with the same formality as required for the act the representative is going to perform . This means , for example , that if a principal authorizes someone to sell the principal 's house or other real property , and the law requires a contract for the sale of real property to be in writing ( which is required under the Statute of Frauds in most U.S. jurisdictions ) , then the authorization for the other person to sign the sales contract and deed must be in writing too . Likewise , in common - law jurisdictions other than the U.S. , a power of an attorney to execute a deed ( i.e. instrument under seal or executed in presence of two witnesses ) must be itself executed as a deed .   Execution ( edit )   In order for a power of attorney to become a legally enforceable document , at a minimum it must be signed and dated by the principal . Some jurisdictions also require that a power of attorney be witnesses , notarized , or both . Even when not required , having the document reviewed and signed ( and often stamped ) by a notary public may increase the likelihood of withstanding a legal challenge .   If the attorney - in - fact is being paid to act on behalf of the principal , a contract for payment may be separate from the document granting power of attorney . If that separate contract is in writing , as a separate document it may be kept private between the principal and agent even when the power of attorney is presented to others for the purposes of carrying out the agent 's duties .   Types ( edit )   A power of attorney may be : special ( also called limited ) , general , or temporary . A special power of attorney is one that is limited to a specified act or type of act . A general power of attorney is one that allows the agent to make all personal and business decisions A temporary power of attorney is one with a limited time frame . If ever required , a durable power of attorney can be revoked or changed as long as the principal is still mentally competent to act .   Durable ( edit )   Under the common law , a power of attorney becomes ineffective if its grantor dies or becomes `` incapacitated , '' meaning unable to grant such a power , because of physical injury or mental illness , for example , unless the grantor ( or principal ) specifies that the power of attorney will continue to be effective even if the grantor becomes incapacitated . This type of power of attorney is called `` power of attorney with durable provisions '' in the United States or `` enduring power of attorney '' elsewhere . In effect , under a durable power of attorney ( DPA ) , the authority of the attorney - in - fact to act and / or make decisions on behalf of the grantor continues until the grantor 's death .   Health care ( edit )   In some jurisdictions , a durable power of attorney can also be a `` health care power of attorney . '' This particular affidavit gives the attorney - in - fact the authority to make health - care decisions for the grantor , up to and including terminating care and life support . The grantor can typically modify or restrict the powers of the agent to make end - of - life decisions . In many jurisdictions a health care power of attorney is also referred to as a `` health care proxy '' and , as such , the two terms are sometimes used interchangeably .  Relationship with advance health care directive ( edit )  Related to the health care power of attorney is a separate document known as an advance health care directive , also called a `` living will '' . A living will is a written statement of a person 's health care and medical wishes but does not appoint another person to make health care decisions . Depending upon the jurisdiction , a health care power of attorney may or may not appear with an advance health care directive in a single , physical document . For example , the California legislature has adopted a standard power of attorney for health care and advance health care directive form that meets all of that state 's legal wording requirements for a power of attorney and advance health care directive in a single document . Compare this to New York State , which enacted a Health Care Proxy law that requires a separate document be prepared appointing one as your health care agent .   Springing ( edit )   In some U.S. states and other jurisdictions , it is possible to grant a springing power of attorney ; i.e. , a power that takes effect only after the incapacity of the grantor or some other definite future act or circumstance . After such incapacitation the power is identical to a durable power , but can not be invoked before the incapacity . This power may be used to allow a spouse or family member to manage the grantor 's affairs in case illness or injury makes the grantor unable to act . If a springing power is used , the grantor should specify exactly how and when the power springs into effect . As the result of privacy legislation in the U.S. , medical doctors will often not reveal information relating to capacity of the principal unless the power of attorney specifically authorizes them to do so .   Determining whether the principal is `` disabled '' enough to initiate this type of representation is a formal process . Springing powers of attorney are not automatic , and institutions may refuse to work with the attorney - in - fact . Disputes are then resolved in court .   Unless the power of attorney has been made irrevocable by its own terms or by some legal principle , the grantor may revoke the power of attorney by telling the attorney - in - fact it is revoked . However , if the principal does not inform third parties and it is reasonable for the third parties to rely upon the power of attorney being in force , the principal might still be bound by the acts of the agent , though the agent may also be liable for such unauthorized acts .   Standardized forms ( edit )   Standardized forms are available for various kinds of powers of attorney , and many organizations provide them for their clients , customers , patients , employees , or members . However , the grantor should exercise caution when using a standardized POA form obtained from a source other than a lawyer because there is considerable variation in approved formats among the states . In some states statutory power of attorney forms are available . Examples include the California Statutory Form Power of Attorney , New York Form Power of Attorney and Wisconsin Form Power of Attorney .   Implied limitations on agent 's power ( edit )   Although a power of attorney grants the agent powers to perform acts in the absence of the grantor , the POA can not grant powers to the agent that conflict with rules and regulations governing people and companies that the agent deals with . For example , if a bank has regulations that require the grantor to be physically present in the bank to perform certain actions , the POA can not grant the agent power to perform those actions in the absence of the grantor .   Specialized uses ( edit )   Proxy voting ( edit )   Robert 's Rules of Order notes that proxy voting involves granting a power of attorney . The term `` proxy '' refers to both the power of attorney itself and the person to whom it is granted .   Finance ( edit )   In financial situations wherein a principal requests a securities broker to perform extensive investment functions on the principal 's behalf , independent of the principal 's advice , power of attorney must be formally granted to the broker to trade in the principal 's account . This rule also applies to principals who instruct their brokers to perform certain specific trades and principals who trust their brokers to perform certain trades in the principal 's best interest .   Legal status by country ( edit )   England and wales ( edit )   In English and Welsh law , anyone with capacity can grant a power of attorney . These can be general ( i.e. , to do anything which can legally be done by an attorney ) , or relate to a specific act ( e.g. , to sell freehold property ) . A power of attorney is only valid while the donor has the capacity to ratify the attorney 's actions , unless it is made in the form of a lasting power of attorney and registered with the Office of the Public Guardian . This new form of power of attorney was introduced in 2007 under the Mental Capacity Act 2005 and replaced the former enduring power of attorney , although EPAs correctly made before the law changed are still valid . EPAs only need to be registered if the donor has since lost capacity .   It should be noted that many of the provisions in the earlier paragraphs above use terminology different from either common UK usage or terms used in the Mental Capacity Act 2005 . Examples are enduring power of attorney , advance directive , and notary public .   Republic of ireland ( edit )   Irish law there are two forms of power of attorney :    Power of attorney , which may be general or specific , which ceases once the donor becomes incapacitated   Enduring power of attorney , which takes effect once the donor is incapacitated    The death of the donor ends both .   The relevant legislation is the Powers of Attorney Act 1996 and the Enduring Powers of Attorney Regulations 1996 ( SI No. 196 / 1996 ) as amended by SI No. 287 / 1996 . Part 7 of the Assisted Decision - Making ( Capacity ) Act 2015 provides for new arrangements for those who wish to make an Enduring Power of Attorney and once the 2015 act is commenced , no new powers of attorney will be created under the 1996 act .  Creating powers of attorney ( edit )  A solicitor is not necessary when creating Power of Attorney - it can be created when signed by the donor in the presence of a witness .   Creating an Enduring Power of Attorney requires the following :    it must be in a particular format   a statement from a doctor stating that the doctor thought the donor had the mental capacity to understand the effect of creating the power of attorney when the document was executed   a statement from the donor to say that they understood the effect of creating the power   a statement from a solicitor to say they are satisfied that the donor understood the effect of creating the power of attorney   a statement from a solicitor to say the donor was not acting under undue influence    The process of creating Enduring Power of Attorney is complex and courts have a general supervisory role in the implementation of the power .   Russia ( edit )   Under Russian law , specifically art . 185 of the Russian Civil Code , a power of attorney may be executed under hand or in notarial form . The power of attorney to act must be notarially executed . Notarial execution is required for any power of attorney made for concluding a contract subject to special public recordation , namely those dealing with interests in immovable property .   A power of attorney , pursuant to art . 186 of the Russian Civil Code , must also be dated . Any POA without an express date of execution is void .    Predstavitelstvo , Doverennost ( in Russian )    A power of attorney can not be irrevocable . The grantor may terminate the POA at any time at his or her sole discretion . Any waiver of this right is void , as provided by the Civil Code .   See also ( edit )    Cestui que   Delegata potestas non potest delegari   Estate planning    References ( edit )    Jump up ^ Under Louisiana state law only , the agent is referred to as a `` mandatary '' . See Louisiana Civil Code Art . 2989   Jump up ^ `` Attorney - in - Fact '' . Wex . Cornell University Law School . Retrieved 4 May 2017 .   Jump up ^ Uniform Power of Attorney Act , 2006   Jump up ^ Hughes , Michele . `` Remedying Financial Abuse by Agents Under a Power of A orney for Finances '' . Marquette Elder 's Advisor. 2 ( 4 ) : 39 -- 48 . Retrieved 4 May 2017 .   Jump up ^ `` Power of Attorney '' . Cornell Legal Information Institute . Retrieved 22 September 2011 .   Jump up ^ Irving , Shae . `` Durable Financial Power of Attorney : How It Works '' . Nolo . Missing or empty url = ( help ) ; access - date = requires url = ( help )   ^ Jump up to : Larson , Aaron . `` How a Power of Attorney Works '' . ExpertLaw.com . ExpertLaw . Retrieved 4 May 2017 .   Jump up ^ `` Preventing Challenges to Your Power of Attorney '' . AssistGuide Information Services . Retrieved 4 May 2017 .   ^ Jump up to : `` Powers of Attorney '' . People 's Law Library . Retrieved 18 June 2014 .   Jump up ^ `` General Power of Attorney vs. Special Power of Attorney '' . RocketLawyer . Retrieved 18 June 2014 .   Jump up ^ `` Temporary Power of Attorney '' . oregonlawhelp.org . Retrieved 18 June 2014 .   Jump up ^ Clark , Elias ; et al. ( 2007 ) . Gratuitous Transfers : Wills , Intestate Succession , Trusts , Gifts , Future Interests , and Estate and Gift Taxation . St. Paul , MN : Thomson / West . p. 310 . ISBN 978 - 0 - 314 - 16040 - 9 .   Jump up ^ `` Living Wills And The Durable Power Of attorney For Health Care '' . Kansas Bar Association . Retrieved 2008 - 05 - 03 .   Jump up ^ Clark , Elias ; et al. ( 2007 ) . Gratuitous Transfers : Wills , Intestate Succession , Trusts , Gifts , Future Interests , and Estate and Gift Taxation . St. Paul , MN : Thomson / West . p. 311 . ISBN 978 - 0 - 314 - 16040 - 9 .   Jump up ^ New York Code , Public Health Law , Sec. 2981 . State of New York .   Jump up ^ `` Financial Power of Attorney '' . AARP . Retrieved 5 May 2017 .   Jump up ^ Robert , Henry M. ( 2011 ) . Robert 's Rules of Order Newly Revised , 11th ed. , p. 428 ( RONR )   ^ Jump up to : `` Power of Attorney '' . Retrieved 27 February 2017 . This article contains quotations from this source , which is available under the Creative Commons Attribution 4.0 International ( CC BY 4.0 ) license .   ^ Jump up to : See the Civil Code of Russian Federation ( in Russian )   Jump up ^ See Section 16 of Act 122 of 200З `` On state registration of interests in immovable property and related transactions '' ( in Russian ) ( 1 )   Retrieved from `` https://en.wikipedia.org/w/index.php?title=Power_of_attorney&amp;oldid=800280906 '' Categories :   Power of attorney   Common law   Legal terminology   Medical law   Decision - making   Agency law   Hidden categories :   Pages using web citations with no URL   Pages using citations with accessdate and no URL   Articles with disproportional geographic scope from November 2013   Articles needing additional references from November 2008   All articles needing additional references   Wikipedia articles that are too technical from January 2011   All articles that are too technical   Articles needing expert attention from January 2011   All articles needing expert attention   All articles with unsourced statements   Articles with unsourced statements from July 2017   Articles with unsourced statements from June 2011   Articles with Russian - language external links           Talk                                           Contents                   About Wikipedia                                           Azərbaycanca   Català   Čeština   Dansk   Deutsch   Eesti   Español   فارسی   Français   </t>
    </r>
    <r>
      <rPr>
        <sz val="11"/>
        <color rgb="FF000000"/>
        <rFont val="Noto Sans CJK SC"/>
        <family val="2"/>
      </rPr>
      <t xml:space="preserve">한국어   </t>
    </r>
    <r>
      <rPr>
        <sz val="11"/>
        <color rgb="FF000000"/>
        <rFont val="Calibri"/>
        <family val="0"/>
        <charset val="1"/>
      </rPr>
      <t xml:space="preserve">Հայերեն   हिन्दी   Hrvatski   Ido   Bahasa Indonesia   Italiano   עברית   ಕನ್ನಡ   Қазақша   Lietuvių   Nederlands   Norsk   Oʻzbekcha / ўзбекча   Polski   Português   Română   Русский   Српски / srpski   Suomi   Svenska   Татарча / tatarça   ไทย   Тоҷикӣ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12 September 2017 , at 15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</si>
  <si>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donor in power of attorney</t>
  </si>
  <si>
    <t xml:space="preserve"> A power of attorney ( POA ) or letter of attorney is a written authorization to represent or act on another 's behalf in private affairs , business , or some other legal matter . The person authorizing the other to act is the principal , grantor , or donor ( of the power ) . The one authorized to act is the agent or , in some common law jurisdictions , the attorney - in - fact . </t>
  </si>
  <si>
    <t xml:space="preserve">how many eps in attack on titan season 1</t>
  </si>
  <si>
    <t xml:space="preserve">   Season   Episodes   Originally aired     First aired   Last aired         25   April 7 , 2013 ( 2013 - 04 - 07 )   September 29 , 2013 ( 2013 - 09 - 29 )         12   April 1 , 2017 ( 2017 - 04 - 01 )   June 17 , 2017 ( 2017 - 06 - 17 )   </t>
  </si>
  <si>
    <t xml:space="preserve">Times Square ball - wikipedia  Times Square ball  Jump to : navigation , search    Times Square New Year 's Eve ball drop         The ball resting atop One Times Square in 2011     Genre   New Year 's Eve event     Date ( s )   December 31st     Begins   6 : 00 PM EST     Ends   12 : 15 AM EST     Frequency   Annually     Location ( s )   Times Square , New York City     Inaugurated   1907     Founder   Adolph Ochs     Organized by   Times Square Alliance Countdown Entertainment     Website     timessquareball.net     The Times Square Ball is a time ball located in New York City 's Times Square . Located on the roof of One Times Square , the ball is a prominent part of a New Year 's Eve celebration in Times Square commonly referred to as the ball drop , where the ball descends 141 feet ( 43 m ) in 60 seconds down a specially designed flagpole , beginning at 11 : 59 : 00 p.m. ET , and resting at midnight to signal the start of the new year . In recent years , the festivities have been preceded by live entertainment , including performances by musicians .   The event was first organized by Adolph Ochs , owner of The New York Times newspaper , as a successor to a series of New Year 's Eve fireworks displays he held at the building to promote its status as the new headquarters of the Times , while the ball itself was designed by Artkraft Strauss . First held on December 31 , 1907 , to welcome 1908 , the ball drop has been held annually since , except in 1942 and 1943 in observance of wartime blackouts .   The ball 's design has been updated over the years to reflect improvements in lighting technology ; the ball was initially constructed from wood and iron , and lit with 100 incandescent light bulbs . The current incarnation , designed by Harlem - based architectural lighting firm Focus Lighting , features a computerized LED lighting system and an outer surface consisting of triangular crystal panels . These panels are produced by Waterford Crystal , and contain inscriptions representing a yearly theme . Since 2009 , the current ball has been displayed atop One Times Square year - round , while the original , smaller version of the current ball that was used in 2008 has been on display inside the Times Square visitor 's center .   The event is organized by the Times Square Alliance and Countdown Entertainment , a company led by Jeff Strauss , and is among the most notable New Year 's celebrations internationally : it is attended by at least 1 million spectators yearly , and is nationally televised as part of New Year 's Eve specials broadcast by a number of networks and cable channels . The prevalence of the Times Square ball drop has inspired similar `` drops '' at other local New Year 's Eve events across the country ; while some use balls , some instead drop objects that represent local culture or history .     Contents  ( hide )   1 Events   1.1 Event organization   1.2 Festivities   1.3 Cleanup     2 History   2.1 Beginnings ( 1907 -- 1908 )   2.2 The second and third balls ( 1920 -- 98 )   2.3 Into the new millennium ( 1999 -- 2007 )   2.4 Present day ( 2008 -- present )   2.5 Weather at midnight     3 Broadcasting   3.1 Past broadcasts     4 Notes   5 References   6 External links      Events ( edit )   Event organization ( edit )  Spectators celebrate the arrival of 2013 . Oswaldo San Andres and Lillianne Perez join Michael Bloomberg in activating the drop for 2007 .  To facilitate the arrival of attendees , Times Square is closed to traffic beginning in the late afternoon on New Year 's Eve . The square is then divided into different viewing sections referred to as `` pens '' , into which attendees are directed sequentially upon arrival . Security is strictly enforced by the New York City Police Department ( NYPD ) , even more so since the 2001 -- 02 edition in the wake of the September 11 attacks . Attendees are required to pass through security checkpoints before they are assigned a pen , and are prohibited from bringing backpacks or alcohol to the event .   Security was increased further for 2017 -- 18 edition due to recent incidents such as the truck attack in New York on October 31 , and the Route 91 Harvest festival shootings in Las Vegas ; these included additional patrols of Times Square hotels , rooftop patrol squads and counter-snipers , and the installation of reflective markers on buildings to help officers identify the location of elevated shooters .   Festivities ( edit )   Festivities formally begin in the early evening with the raising of the ball at around 6 : 00 p.m. ET . Party favors are distributed to attendees , which have historically included large balloons , hats , and other items branded with the event 's corporate sponsors . The hours before the drop are preceded by hourly countdowns for the arrival of the new year in other countries , along with live music performances by popular musicians . Some of these performances are organized by , and aired on New Year 's Eve television specials which are broadcast from Times Square .   The drop itself occurs at 11 : 59 p.m. -- the last minute of the year , and is ceremonially `` activated '' by a dignitary or celebrity joined on - stage by the current Mayor of New York City . The conclusion of the drop is followed by fireworks shot from the roof of One Times Square , along with the playing of `` Auld Lang Syne '' by Guy Lombardo , `` Theme from New York , New York '' by Frank Sinatra , `` America the Beautiful '' by Ray Charles , `` What a Wonderful World '' by Louis Armstrong , and `` Over the Rainbow '' by IZ .   Since the 1996 New Year 's Eve celebration , the current Mayor of New York City has been joined by a special guest , selected yearly to recognize their community involvement or significance , in ceremonially `` activating '' the ball drop by pressing a button , resembling a smaller version of the ball itself , at exactly one minute to midnight . The button itself does not actually trigger the drop ; that is done from a control room , synchronized using a government time signal . Special guests who have activated the ball drop have included :    1996 -- 1997 : Oseola McCarty   1997 -- 1998 : A group of five winners from a school essay contest honoring New York City 's centennial   1998 -- 1999 : Chinese gymnast Sang Lan ( who was injured during the 1998 Goodwill Games and was being rehabilitated in New York City )   1999 -- 2000 : Dr. Mary Ann Hopkins from Doctors Without Borders   2000 -- 2001 : Muhammad Ali   2001 -- 2002 : Rudy Giuliani and Judith Nathan ; this was Giuliani 's final act as mayor . Michael Bloomberg officially became the new Mayor of New York City upon the beginning of 2002 , and took his oath of office shortly after midnight .   2002 -- 2003 : Christopher and Dana Reeve   2003 -- 2004 : Cyndi Lauper , along with Shoshana Johnson -- the first female American prisoner of war belonging to an ethnic minority   2004 -- 2005 : Secretary of State Colin Powell   2005 -- 2006 : Jazz musician Wynton Marsalis   2006 -- 2007 : A group of eight United States Armed Forces members   2007 -- 2008 : Karolina Wierzchowska , an Iraq War veteran and New York City Police Academy valedictorian   2008 -- 2009 : Bill and Hillary Clinton   2009 -- 2010 : Twelve students from New York City high schools on the U.S. News &amp; World Report `` America 's Best High Schools Top 100 ' Gold Medal ' List ''   2010 -- 2011 : Former Staff sergeant Salvatore Giunta   2011 -- 2012 : Musician Lady Gaga   2012 -- 2013 : The Rockettes   2013 -- 2014 : U.S. Supreme Court Justice Sonia Sotomayor .   2014 -- 2015 : Cuban - American musician Jencarlos Canela , joined by a group of refugees who emigrated to New York City , in partnership with the International Rescue Committee   2015 -- 2016 : Hugh Evans   2016 -- 2017 : United Nations Secretary - General Ban Ki - moon ; this was Ban Ki - moon 's final act as UN Secretary - General , as António Guterres took office on January 1 , 2017 .   2017 -- 2018 : Tarana Burke    Since the 2005 -- 06 edition of the event , the drop has been directly preceded by the playing of John Lennon 's song `` Imagine '' . Until 2009 -- 2010 , the original recording was used ; since 2010 -- 2011 , the song has been performed by the headlining act ;    2010 -- 2011 : Taio Cruz   2011 -- 2012 : Cee - Lo Green   2012 -- 2013 : Train   2013 -- 2014 : Melissa Etheridge   2014 -- 2015 : O.A.R.   2015 -- 2016 : Jessie J   2016 -- 2017 : Rachel Platten   2017 -- 2018 : Andy Grammer    From 2001 - 02 until 2004 - 05 , the song played immediately before the drop was Lee Greenwood 's God Bless the U.S.A. . It was sung originally in remembrance of 9 / 11 , but the practice was retained for another three years .   Cleanup ( edit )   After the conclusion of the festivities and the dispersal of attendees , cleanup is performed overnight to remove confetti and other debris from Times Square before it is re-opened to the public the following morning . Few traces of the previous night 's celebration remain after the cleanup process is completed : following the 2013 -- 14 drop , the New York City Department of Sanitation estimated that by 8 : 00 a.m. , it had cleared over 50 tons of refuse from Times Square , using 190 workers from their own crews and the Times Square Alliance .   History ( edit )   Beginnings ( 1907 -- 1908 ) ( edit )   The first New Year 's Eve celebration in Times Square was held on December 31 , 1904 ; The New York Times ' owner , Adolph Ochs , decided to celebrate the opening of the newspaper 's new headquarters , One Times Square , with a New Year 's fireworks show on the roof of the building to welcome 1905 . Close to 200,000 people attended the event , displacing traditional celebrations that had normally been held at Trinity Church . However , following several years of fireworks shows , Ochs wanted a bigger spectacle at the building to draw more attention to the area . The newspaper 's chief electrician , Walter F. Palmer , suggested using a time ball , after seeing one used on the nearby Western Union Building .   Ochs hired sign designer Artkraft Strauss to construct a ball for the celebration ; it was built from iron and wood , electrically lit with one hundred incandescent light bulbs , weighed 700 pounds ( 320 kg ) , and measured 5 feet ( 1.5 m ) in diameter . The ball was hoisted on the building 's flagpole with rope by a team of six men . Once it hit the roof of the building , the ball was designed to complete an electric circuit to light a 5 - foot tall sign indicating the new year , and trigger a fireworks show . The first ever `` ball drop '' was held on December 31 , 1907 , welcoming the year 1908 .   In 1913 , only eight years after it moved to One Times Square , the Times moved its corporate headquarters to 229 West 43rd Street . The Times still maintained ownership of the tower , however , and Strauss continued to organize future editions of the drop .   The second and third balls ( 1920 -- 98 ) ( edit )   The original ball was retired in 1920 in favor of a new design ; the second ball remained 5 feet ( 1.5 m ) in diameter , but was now constructed from iron , weighing 400 pounds ( 180 kg ) . The ball drop was placed on hiatus for New Year 's Eve 1942 and 1943 due to wartime lighting restrictions during World War II . Instead , a moment of silence was observed at midnight in Times Square , accompanied by the sound of church bells and chimes played from sound trucks .   The second ball was retired in favor of a third design in 1955 ; again , it maintained the same diameter of its predecessors , but was now constructed from aluminium , and weighed 150 pounds ( 68 kg ) . In 1981 , the third ball was revamped in honor of the I Love New York campaign , with red lightbulbs and a green stem to give it the appearance of an apple . For 1988 , organizers acknowledged the addition of a leap second earlier that day ( leap seconds are appended at midnight UTC , which is five hours before midnight in New York ) by extending the drop to 61 seconds , and by including a special one - second light show during the extra second . The original white lightbulbs returned to the ball for 1989 , but were replaced by red , white , and blue bulbs in 1991 to salute the troops of Operation Desert Shield .   The third ball was revamped again in 1995 for 1996 , adding a computerized lighting system with 180 halogen bulbs and 144 strobe lights , and over 12,000 rhinestones . Lighting designer Barry Arnold stated that the changes were `` something ( that ) had to be done to make this event more spectacular as we approach the millennium . ''   The drop itself became computerized through the use of an electric winch synced with the National Institute of Standards and Technology 's time signal ; the new system was not without issues , however , as a glitch caused the ball to pause for a short moment halfway through its descent . After its 44th use in 1999 , the third ball was retired and placed on display at the Atlanta headquarters of Jamestown Group , owners of One Times Square .  Most recent incarnations The fourth ball ( on display at Waterford Crystal 's headquarters in Ireland ) The 2008 ball ( on display at Times Square Visitors Center ) The current ball , as seen in 2009  Into the New millennium ( 1999 -- 2007 ) ( edit )   On December 28 , 1998 , during a press conference attended by New York City mayor Rudy Giuliani , organizers announced that the third ball would be retired for the arrival of the new millennium , and replaced by a new design constructed by Waterford Crystal . The year 2000 celebrations introduced more prominent sponsorship to the drop ; companies such as Discover Card , Korbel Champagne , and Panasonic were announced as official sponsors of the festivities in Times Square . The city also announced that Ron Silver would lead a committee known as `` NYC 2000 '' , which was in charge of organizing events across the city for year 2000 celebrations .   A full day of festivities was held at Times Square to celebrate the arrival of the year 2000 , which included concerts and hourly cultural presentations with parades of puppets designed by Michael Curry , representing countries entering the new year at that hour . Organizers expected a total attendance exceeding 2 million spectators .   The fourth ball , measuring 6 feet ( 1.8 m ) in diameter and weighing 1,070 pounds ( 490 kg ) , incorporated a total of over 600 halogen bulbs , 504 triangle - shaped crystal panels provided by Waterford , 96 strobe lights , and spinning , pyramid - shaped mirrors . The ball was constructed at Waterford 's factory in Ireland , and was then shipped to New York City , where the lighting system and motorized mirrors were installed .   Many of the triangles were inscribed with `` Hope '' - themed designs changing yearly , such as `` Hope for Fellowship '' , `` Hope for Wisdom '' , `` Hope for Unity '' , `` Hope for Courage '' , and `` Hope for Abundance '' . For 2002 , as part of the theme `` Hope for Healing '' , 195 of the ball 's panels were engraved with the names of nations and organizations who were affected by or were involved in the aftermath of the September 11 attacks . In December 2011 , the `` Hope for Healing '' panels were accepted into the collection of the National September 11 Museum .   Present day ( 2008 -- Present ) ( edit )   In honor of the ball drop 's centennial anniversary , a brand new fifth design debuted for New Year 's Eve 2008 . Once again manufactured by Waterford Crystal with a diameter of 6 feet ( 1.8 m ) , but weighing 1,212 pounds ( 550 kg ) , it used LED lamps provided by Philips ( which can produce 16,777,216 or 2 colors ) , with computerized lighting patterns developed by the New York City - based lighting firm Focus Lighting . The ball featured 9,576 energy - efficient bulbs that consumed the same amount of electricity as only 10 toasters . The 2008 ball was only used once , and was placed on display at the Times Square Visitors Center following the event .   For 2009 , a larger version of the fifth ball was introduced -- an icosahedral geodesic sphere lit by 32,256 LED lamps . Its diameter is twice as wide as the 2008 ball , at 12 feet ( 3.7 m ) , and contains 2,688 Waterford Crystal panels , with a weight of 11,875 pounds ( 5,386 kg ) . It was designed to be weatherproof , as the ball would now be displayed atop One Times Square nearly year - round following the celebrations .   Yearly themes for the ball 's crystal panels continued ; from 2008 to 2013 , the ball contained crystal patterns that were part of a Waterford series known as `` World of Celebration '' , including themes such as `` Let There Be Light '' and `` Let There Be Peace '' . For 2014 , all the ball 's panels were replaced , marking a new theme series known as `` Greatest Gifts '' , beginning with `` Gift of Imagination '' .   The numerical sign indicating the year ( which remains atop the tower along with the ball itself ) uses Philips LED lamps . For 2014 , the final two digits of the sign used bulbs from the company 's `` Hue '' line of multi-color LED lamps , allowing them to have computerized lighting cues .   Weather at midnight ( edit )   According to the National Weather Service , from 1907 to 2016 , the average temperature at midnight in Central Park was 34 ° F ( 1 ° C ) . The coldest event was in 1917 when the temperature was 1 ° F ( − 17 ° C ) and the wind chill was − 18 ° F ( − 28 ° C ) . The warmest temperature was 58 ° F ( 14 ° C ) , in 1965 and 1972 . It has snowed during the ball drop just seven times out of 111 events ( one being light snow ) -- 1926 , 1934 , 1948 , 1952 , 1961 , 1967 , and 2009 -- and it has rained multiple times . Festivities in 2018 were the second - coldest on record due to an arctic air mass , forecast at 11 ° F ( − 12 ° C ) before wind chill .   Broadcasting ( edit )  ABC News ' presence at Times Square for ABC 2000 Today  As a public event , the festivities and ball drop are often broadcast on television . As of 2016 - 17 , a host feed of 21 cameras across Times Square is provided to broadcasters to incorporate into their coverage .   The event is covered as part of New Year 's Eve television specials on several major U.S. television networks . By far the most notable of these is Dick Clark 's New Year 's Rockin ' Eve ; created , produced , and originally hosted by the entertainer Dick Clark until his death in 2012 , and currently hosted by Ryan Seacrest and Jenny McCarthy , the program first aired on NBC in 1972 before moving to ABC , where it has been broadcast ever since . New Year 's Rockin ' Eve has consistently been the most - watched New Year 's Eve special in the U.S. annually , peaking at 25.6 million viewers for its 2018 edition . Following the death of Dick Clark in April 2012 , a crystal engraved with his name was added to the 2013 ball in tribute .   Across the remaining networks , NBC broadcasts New Year 's Eve with Carson Daly , hosted from Times Square by Carson Daly of The Voice and Last Call while Fox has aired New Year 's specials covering Times Square with rotating hosts and themes , which were broadcast primarily under the title New Year 's Eve Live until 2014 . From 2015 to 2017 , Fox broadcast Pitbull 's New Year 's Revolution from Miami instead , but returned to New York - oriented coverage hosted by Steve Harvey for 2018 . Spanish - language network Univision broadcasts ¡ Feliz ! , hosted by Raúl de Molina of El Gordo y La Flaca , while Telemundo has the Bienvedido series with Daniel Sarcos from Un Nuevo Dia for 2017 and Jorge Bernal from ¡ Suelta La Sopa ! for 2018 .   On cable , CNN carries coverage of the festivities , known as New Year 's Eve Live , which was historically hosted by Anderson Cooper and Kathy Griffin from Times Square . Griffin was removed from her role in 2017 after she published a controversial political photo ; she was replaced by Andy Cohen for 2018 . Fox News carries All - American New Year , which was most recently hosted by Elisabeth Hasselbeck and Bill Hemmer from Times Square .   Since 2009 , an official webcast of the ball drop and its associated festivities has been produced , streamed via Livestream.com .   Past broadcasts ( edit )   Beginning in the 1940s , NBC broadcast coverage from Times Square anchored by Ben Grauer on both radio and television . Its coverage was later incorporated into special episodes of The Tonight Show , continuing through Johnny Carson and Jay Leno 's tenures on the program . NBC would introduce a dedicated special , New Year 's Eve with Carson Daly , beginning in 2003 .   From 1956 to 1976 , CBS was well known for its television coverage of the festivities hosted by bandleader Guy Lombardo from the ballroom of the Waldorf - Astoria Hotel in New York City , featuring his band 's famous rendition of `` Auld Lang Syne '' at midnight . After Lombardo 's death in 1977 , CBS and the Royal Canadians , now led by Victor Lombardo , attempted to continue the special . However , Guy 's absence and the growing popularity of ABC 's New Year 's Rockin ' Eve prompted CBS to eventually drop the band entirely . The Royal Canadians were replaced by a new special , Happy New Year , America , which ran in various formats with different hosts ( such as Paul Anka , Donny Osmond , Andy Williams , Paul Shaffer , and Montel Williams ) until it was discontinued after 1996 . CBS , barring a special America 's Millennium broadcast for 2000 , has no longer broadcast any national New Year 's programming since .   For 2000 , in lieu of New Year 's Rockin ' Eve , ABC News covered the festivities as part of its day - long telecast , ABC 2000 Today . Hosted by Peter Jennings , the broadcast featured coverage of millennium festivities from around the world , including those in New York City . Jennings was joined by Dick Clark as a special correspondent for coverage from Times Square .   MTV had broadcast coverage originating from the network 's Times Square studios at One Astor Plaza . For 2011 , MTV also held its own ball drop in Seaside Heights , New Jersey , the setting of its popular reality series Jersey Shore , featuring cast member Snooki lowered inside a giant `` hamster ball '' . Originally , MTV planned to hold the drop within its studio in Times Square , but the network was asked by city officials to conduct the drop elsewhere .   Notes ( edit )    Jump up ^ Michael Bloomberg , whose mayoral term ended at midnight , did not attend , and celebrated privately with his family instead . Unlike Bloomberg 's inauguration in 2002 , which was held shortly after midnight , Bill de Blasio was inaugurated in a ceremony the following morning at Gracie Mansion .   Jump up ^ Cee - Lo 's performance was criticized by fans for his change of a lyric relating to religion .    References ( edit )    Jump up ^ Miller , Winter ( 2007 - 10 - 04 ) . `` A New Ball for New Year 's , Brighter Yet More Efficient '' . The New York Times . ISSN 0362 - 4331 . Retrieved 2017 - 01 - 04 .   Jump up ^ `` Nearly 800 Hard At Work On Times Square New Year 's Eve Celebration '' . CBS New York . Retrieved December 31 , 2013 .   ^ Jump up to : `` NYC ball drop goes ' green ' on 100th anniversary '' . CNN . December 31 , 2007 . Retrieved December 2 , 2012 .   ^ Jump up to : `` Countdown to Times Square party ; 1 million expected '' . CNN . Retrieved November 9 , 2013 .   ^ Jump up to : `` New Year 's Eve security main focus for NYPD '' . CNN . December 30 , 2011 . Retrieved November 9 , 2013 .   Jump up ^ Mueller , Benjamin ( 2017 - 12 - 28 ) . `` In Wake of Attacks , Tighter Security for Times Square on New Year 's Eve '' . The New York Times . ISSN 0362 - 4331 . Retrieved 2018 - 01 - 01 .   Jump up ^ `` For New Year 's Eve , the Tie - Ins Erupt '' . The New York Times . December 13 , 2010 . Retrieved November 10 , 2013 .   ^ Jump up to : `` A Very Confetti New Year 's '' . Time . January 2 , 2007 . Retrieved November 10 , 2013 .   ^ Jump up to : Mansfield , Brian ( December 26 , 2013 ) . `` Etheridge added to Times Square New Year 's Eve lineup '' . USA Today . Retrieved December 27 , 2013 .   ^ Jump up to : `` MAYOR GIULIANI ANNOUNCES NEW TRADITION FOR NEW YEAR 'S EVE : COMMUNITY HERO TO LEAD TIMES SQUARE CELEBRATION '' . City of New York . Retrieved December 19 , 2012 .   ^ Jump up to : Balkin , Adam ( December 30 , 2003 ) . `` Technology Helps Times Square New Year 's Eve Ball Drop Run Smoothly '' . NY1 . Retrieved April 15 , 2012 .   Jump up ^ `` Across America , traditions of ham hocks , Watch Nights and the Times Square ball '' . NBCNews.com . Retrieved December 20 , 2013 .   Jump up ^ `` CITY KEEPS THE BALL ROLLING IT 'S ANOTHER ROUND IN TIMES SQ . FOR SEASONED PARTYERS '' . New York Daily News . Missing or empty url = ( help ) ; access - date = requires url = ( help )   Jump up ^ `` On the ball : Sang Lan was in the spotlight on New Year 's ... '' Chicago Tribune . January 5 , 1999 . Retrieved November 13 , 2013 .   Jump up ^ `` DOCTORS WITHOUT BORDERS TO JOIN TIMES SQUARE BALL DROP DURING NEW YEARS EVE FESTIVITIES '' . City of New York . Retrieved October 10 , 2013 .   Jump up ^ `` Ali To Drop Ball On New Year 's '' . New York Daily News . Retrieved November 12 , 2013 .   Jump up ^ `` Inaugural Address Of Mayor Michael Bloomberg '' . Gotham Gazette . January 1 , 2002 . Retrieved April 21 , 2010 .   Jump up ^ `` Huge Times Square Crowd Watches Ball Drop '' . Fox News . Associated Press . January 1 , 2003 . Retrieved November 12 , 2013 .   Jump up ^ `` Bloomberg Announces Special Guest For New Year 's 2004 Celebration In New York '' . Life . Retrieved November 13 , 2013 .   Jump up ^ `` Regis , Colin Powell ring in New Year 's with'energy , enthusiasm ' '' . USA Today . January 1 , 2005 . Retrieved November 13 , 2013 .   Jump up ^ `` Neither rain nor snow slows Times Sq . party '' . New York Daily News . Retrieved November 13 , 2013 .   Jump up ^ `` Military Service Members Honored at Time Square Celebration '' . Navy.mil . Retrieved November 12 , 2013 .   Jump up ^ `` Times Square New Year 's gala turns 100 '' . New York Daily News . Retrieved November 13 , 2013 .   Jump up ^ `` Revelers ring in 2009 in Times Square '' . Associated Press . Retrieved November 12 , 2013 .   Jump up ^ `` America 's Best High Schools Heads to Times Square '' . U.S. News &amp; World Report . Retrieved November 13 , 2013 .   Jump up ^ `` Sgt . Salvatore Giunta in NYC for New Year 's Eve '' . Associated Press . Retrieved November 12 , 2013 .   Jump up ^ `` Lady Gaga to perform on New Year 's Eve in Times Square '' . New York Daily News . Retrieved November 13 , 2013 .   Jump up ^ Seifman , David ( December 28 , 2012 ) . `` Rockettes to join Mayor Bloomberg on New Year 's Eve '' . New York Post . Retrieved December 30 , 2012 .   Jump up ^ `` Nearly 800 Hard At Work On Times Square New Year 's Eve Celebration '' . CBS New York . Retrieved December 30 , 2013 .   Jump up ^ Costa , Robert ( December 30 , 2013 ) . `` Sotomayor to officiate at Times Square New Year 's Eve '' . Washington Post . Retrieved December 30 , 2013 .   ^ Jump up to : `` Brrr - Braving the Ball Drop '' . Wall Street Journal . Retrieved January 3 , 2014 .   Jump up ^ `` New Year 's In Times Square : Jencarlos Canela Will Be The First Latino To Push Ball Drop Countdown Button '' . Latin Times . Retrieved December 29 , 2014 .   ^ Jump up to : `` Crystal Ball Nearly Ready For New Year 's Eve In Times Square '' . CBSNewYork.com . CBS Radio . Retrieved December 28 , 2014 .   Jump up ^ `` Activist to Help Drop Crystal Ball In Times Square '' . The Wall Street Journal . Retrieved 31 December 2015 .   Jump up ^ `` António Guterres appointed next UN Secretary - General by acclamation '' . United Nations . United Nations News Service . 13 October 2016 . Retrieved 15 October 2016 .   Jump up ^ `` U.N. secretary - general to kick off Times Square New Year 's Eve countdown '' . NBC News . Retrieved 2016 - 12 - 31 .   Jump up ^ `` Founder of `` Me Too '' Movement , Tarana Burke , to be Special Guest of Times Square New Year 's Eve '' ( PDF ) . timessquarenyc.org . Times Square Alliance . 18 December 2017 . Retrieved 18 December 2017 .   Jump up ^ Cooper , Gael Fashingbauer ( January 1 , 2012 ) . `` Fans angry that Cee Lo changed ' Imagine ' lyrics '' . msnbc.com . Archived from the original on April 29 , 2012 . Retrieved April 18 , 2012 .   ^ Jump up to : Golgowski , Nina ( January 1 , 2012 ) . `` Cee Lo Green changes lyrics to Lennon 's Imagine to include pro-religion message enraging fans '' . The Daily Mail . London . Retrieved April 19 , 2012 .   Jump up ^ `` Cruz To Perform ' Imagine ' During New Year 's Celebration '' . CBSNewYork.com . Retrieved December 27 , 2013 .   Jump up ^ `` Live Times Square New Year 's Eve Webcast : Watch Train , Cassadee Pope '' . Billboard.com . Retrieved December 27 , 2013 .   Jump up ^ `` New Year 's Eve Organizers Release Star - Studded Roster Of Musical Talent Set To Perform Live In Times Square '' . TimesSquareNYC.org . Times Square Alliance . Retrieved December 26 , 2014 .   ^ Jump up to : `` Workers To Install 288 New Waterford Crystals On New Year 's Eve Ball '' . CBS New York . CBS Radio . Retrieved 27 December 2015 .   Jump up ^ `` Times Square Alliance : Gavin DeGraw and Rachel Platten to Headline Musical Lineup for Times Square New Year 's Eve Live , Commercial - Free Webcast and TV Pool Feed '' . TimesSquareNYC.org . Times Square Alliance . Retrieved December 23 , 2016 .   Jump up ^ `` Multi-Platinum Pop Singer and Songwriter Andy Grammer to Headline Musical Lineup for Times Square New Year 's Eve Live , Commercial - Free Webcast and TV Pool Feed '' ( PDF ) . timessquarenyc.org . Times Square Alliance . 18 December 2017 . Retrieved 18 December 2017 .   Jump up ^ `` Crews Clean Up Times Square After New Year 's Celebration '' . CBSNewYork.com . CBS Radio . 1 January 2014 . Retrieved 30 December 2014 .   ^ Jump up to : Feuer , Alan ( December 27 , 2009 ) . `` Deconstructed -- Times Square Ball -- Lots of Sparkle for a Swift Fall '' . The New York Times . Retrieved January 15 , 2013 .   ^ Jump up to : Kushner , David ( December 30 , 1999 ) . `` This New Year 's Eve , Technology Will Drop the Ball '' . The New York Times . Retrieved November 9 , 2013 .   Jump up ^ `` History of Times Square '' . London : The Telegraph . July 27 , 2011 . Retrieved January 13 , 2013 .   ^ Jump up to : Crump , William D. ( 2014 ) . Encyclopedia of New Year 's Holidays Worldwide . McFarland . p. 242 . ISBN 9781476607481 .   Jump up ^ McFadden , Robert D. ( December 31 , 1987 ) . `` ' 88 Countdown : 3 , 2 , 1 , Leap Second , 0 '' . The New York Times . Retrieved January 2 , 2009 .   ^ Jump up to : Sutton , Larry . `` Bigger Ball to Peg Square '' . New York Daily News . Retrieved November 6 , 2013 .   ^ Jump up to : Barron , James ( December 31 , 2009 ) . `` When Party Is Over , the Ball Lands Here '' . The New York Times . Retrieved January 15 , 2013 .   Jump up ^ Goodnough , Abby ( December 29 , 1998 ) . `` Here Comes 2000 , With Sponsors , Too ; Official Products in the Right Place : Millennial Partying in Times Sq '' . The New York Times . Retrieved November 9 , 2013 .   Jump up ^ Kelley , Tina ( December 30 , 1999 ) . `` There 's Another Countdown Before the Famed ' 10 , 9 , 8 ... ' '' . The New York Times . Retrieved November 9 , 2013 .   ^ Jump up to : `` New Year Theme Right On The Ball '' . New York Daily News . Retrieved November 9 , 2013 .   Jump up ^ `` NATIONAL SEPTEMBER 11 MEMORIAL MUSEUM TO ACCEPT SPECIAL COLLECTION OF WATERFORD CRYSTAL TRIANGLES FROM 2001 / 2002 TIMES SQUARE BALL '' ( PDF ) . nat . Retrieved 29 December 2016 .   ^ Jump up to : `` New Year 's Eve Preparations Under Way In Times Square '' . CBSNewYork.com . Retrieved December 27 , 2013 .   Jump up ^ `` Waterford and Times Square New Year 's Eve Reveal `` Gift of Imagination '' Crystal Design as Part of New 10 - Year `` Greatest Gifts '' Series `` . Waterford Crystal press release . Retrieved December 27 , 2013 .   Jump up ^ `` Philips hue to Mark Colorful Start to 2014 at Times Square New Year 's Eve Celebration '' ( Press release ) . Philips . Retrieved December 20 , 2013 .   Jump up ^ `` New Year 's Eve / Ball Drop Weather at Central Park '' ( PDF ) . National Weather Service Forecast Office New York , New York . Retrieved 3 January 2018 .   Jump up ^ Press , Associated ( 2017 - 12 - 31 ) . `` Times Square braces for one of coldest New Year 's Eve parties on record '' . The Guardian . ISSN 0261 - 3077 . Retrieved 2018 - 01 - 01 .   ^ Jump up to : `` Meet the Team Behind Times Square New Year 's Eve '' . TV Technology . NewBay Media . Retrieved 30 December 2016 .  </t>
  </si>
  <si>
    <t xml:space="preserve">who dropped the ball in times square 2017</t>
  </si>
  <si>
    <t xml:space="preserve">  1996 -- 1997 : Oseola McCarty   1997 -- 1998 : A group of five winners from a school essay contest honoring New York City 's centennial   1998 -- 1999 : Chinese gymnast Sang Lan ( who was injured during the 1998 Goodwill Games and was being rehabilitated in New York City )   1999 -- 2000 : Dr. Mary Ann Hopkins from Doctors Without Borders   2000 -- 2001 : Muhammad Ali   2001 -- 2002 : Rudy Giuliani and Judith Nathan ; this was Giuliani 's final act as mayor . Michael Bloomberg officially became the new Mayor of New York City upon the beginning of 2002 , and took his oath of office shortly after midnight .   2002 -- 2003 : Christopher and Dana Reeve   2003 -- 2004 : Cyndi Lauper , along with Shoshana Johnson -- the first female American prisoner of war belonging to an ethnic minority   2004 -- 2005 : Secretary of State Colin Powell   2005 -- 2006 : Jazz musician Wynton Marsalis   2006 -- 2007 : A group of eight United States Armed Forces members   2007 -- 2008 : Karolina Wierzchowska , an Iraq War veteran and New York City Police Academy valedictorian   2008 -- 2009 : Bill and Hillary Clinton   2009 -- 2010 : Twelve students from New York City high schools on the U.S. News &amp; World Report `` America 's Best High Schools Top 100 ' Gold Medal ' List ''   2010 -- 2011 : Former Staff sergeant Salvatore Giunta   2011 -- 2012 : Musician Lady Gaga   2012 -- 2013 : The Rockettes   2013 -- 2014 : U.S. Supreme Court Justice Sonia Sotomayor .   2014 -- 2015 : Cuban - American musician Jencarlos Canela , joined by a group of refugees who emigrated to New York City , in partnership with the International Rescue Committee   2015 -- 2016 : Hugh Evans   2016 -- 2017 : United Nations Secretary - General Ban Ki - moon ; this was Ban Ki - moon 's final act as UN Secretary - General , as António Guterres took office on January 1 , 2017 .   2017 -- 2018 : Tarana Burke  </t>
  </si>
  <si>
    <t xml:space="preserve">Sonny Shroyer - wikipedia  Sonny Shroyer  Jump to : navigation , search      This article includes a list of references , related reading or external links , but its sources remain unclear because it lacks inline citations . Please help to improve this article by introducing more precise citations . ( March 2013 ) ( Learn how and when to remove this template message )       Sonny Shroyer     Shroyer in 2009       Otis Burt Shroyer , Jr . ( 1935 - 08 - 28 ) August 28 , 1935 ( age 82 ) Valdosta , Georgia , U.S.     Occupation   Actor , Singer     Years active   1972 -- present     Otis Burt `` Sonny '' Shroyer , Jr. ( born August 28 , 1935 ) is an American actor who has appeared in various television and movie roles . He is known for his role as Deputy Sheriff Enos Strate in the television series The Dukes of Hazzard . He also starred in a spin - off called Enos based on his Dukes of Hazzard character . Shroyer is married and has two sons , Chris and Mark .   Shroyer was born in the town of Valdosta , Georgia . He attended Florida State University on a football scholarship , but his career was cut short by an injury . He finished his degree at the University of Georgia .   He began a career as a professional model in 1961 . His first screen role came in the 1972 film Payday . Shroyer almost became typecast as a bad guy before landing the role of the naive Deputy Enos Strate in the hit pop culture series The Dukes of Hazzard in 1978 ( first broadcast early 1979 ) .   The Dukes of Hazzard role was Shroyer 's most visible . His character was written out at the start of the third season to be given a spinoff series titled Enos in 1980 . The new show was not a success and was canceled after eighteen episodes . Shroyer returned to The Dukes of Hazzard at the start of the fifth season in 1982 and remained with the series until it ended in 1985 . Shroyer also released a children 's album in 1982 . The album was called Back in Hazzard and featured a cover of Roger Miller 's classic , `` You Ca n't Rollerskate In a Buffalo Herd '' . He also recorded a song `` Children in Need '' with fellow actor Randall Franks for Franks 's 2001 CD God 's Children . He and Franks have made personal appearances together .   Shroyer remains active as a character actor . He portrayed University of Alabama coach Paul `` Bear '' Bryant in Forrest Gump , Delbert Birdsong in The Rainmaker , and Governor Jimmie Davis in Ray . He is also a country and gospel singer .   Filmography ( edit )    Payday ( 1972 ) - Dabney   Sixteen ( 1973 )   The Longest Yard ( 1974 ) - Tannen   Gator ( 1976 ) - 4th Agent   The Farmer ( 1977 ) - Corrigan   Roots ( 1977 , TV Mini-Series ) - Seaman Thompson ( uncredited )   Smokey and the Bandit ( 1977 ) - Motorcycle cop ( uncredited )   The Lincoln Conspiracy ( 1977 ) - Lewis Paine   The Million Dollar Dixie Deliverance ( 1978 , TV Movie ) - Luke   King ( 1978 , TV Mini-Series ) - Police Officer preventing King from visiting an injured friend ( uncredited )   They Went That - A-Way &amp; That - A-Way ( 1978 ) - Carlie   The Dukes of Hazzard ( 1979 - 1985 , TV Series ) - Enos Strate   The Devil and Max Devlin ( 1981 ) - Big Billy Hunniker   Enos ( 1980 - 1981 , TV Series ) - Enos Strate   In the Heat of the Night ( 1990 , TV Series ) - Emory Tanner   Love Crimes ( 1992 ) - Plainclothes Cop # 1   In The Heat of the Night ( 1993 , TV Series ) - Dwight Foster   Forrest Gump ( 1994 ) - Bear Bryant   Bastard Out of Carolina ( 1996 ) - Sheriff   The Dukes of Hazzard : Reunion ! ( 1997 , TV Movie ) - Enos Strate   Wild America ( 1997 ) - Bud   Paradise Falls ( 1997 ) - Bert Kyler   The Rainmaker ( 1997 ) - Delbert Birdsong   The Gingerbread Man ( 1998 ) - Chatham County Sheriff   Freedom Song ( 2000 , TV Movie ) - Police Chief   The Dukes of Hazzard : Hazzard in Hollywood ( 2000 , TV Movie ) - Enos Strate   Diggity 's Treasure ( 2001 ) - Otis Cane   A Love Song for Bobby Long ( 2004 ) - Earl   Ray ( 2004 ) - Gov. Jimmie Davis ( uncredited )   A Tale About Bootlegging ( 2005 ) - Sheriff Ed Cooper   The Hole in Willie 's Guitar ( 2005 , Memarie Music Video ) - Sheriff   The Price ( 2008 ) - Ghost of Matthew Goldyn   Opening Day ( 2009 ) - Ray Hampton   The Way Home ( 2010 ) - Ed Walker   Unconditional ( 2012 ) - Pauly    External links ( edit )    Sonny 's Official website   Sonny Shroyer on IMDb              The Dukes of Hazzard     Episodes     Characters     Bo Duke   Luke Duke   Daisy Duke   Sheriff Rosco P. Coltrane   Boss Hogg       Reunion films     The Dukes of Hazzard : Reunion ! ( 1997 )   The Dukes of Hazzard : Hazzard in Hollywood ! ( 2000 )       Remake films     The Dukes of Hazzard ( 2005 )   The Dukes of Hazzard : The Beginning ( 2007 )       Video games     The Dukes of Hazzard   Racing for Home   Daisy Dukes It Out   Return of the General Lee       Spin - offs     Enos   The Dukes       See also     The General Lee   Boar 's Nest   Jerry Rushing   `` Theme from The Dukes of Hazzard ( Good Ol ' Boys ) ''   Moonrunners   Hazard Run               VIAF : 160475645   ISNI : 0000 0001 0793 1025   IATH : w6ps5qsv      Retrieved from `` https://en.wikipedia.org/w/index.php?title=Sonny_Shroyer&amp;oldid=809550722 '' Categories :   1935 births   Living people   American male film actors   American male television actors   Florida State Seminoles football players   People from Valdosta , Georgia   Male actors from Georgia ( U.S. state )   University of Georgia alumni   Florida State University alumni   Hidden categories :   Articles lacking in - text citations from March 2013   All articles lacking in - text citations   Articles with hCards   Wikipedia articles with VIAF identifiers   Wikipedia articles with ISNI identifiers   Wikipedia articles with SNAC - ID identifiers           Talk                                                             About Wikipedia                                           Brezhoneg   Français   Frysk   Italiano   Edit links   This page was last edited on 9 November 2017 , at 21 : 13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</si>
  <si>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enos on the dukes of hazzard</t>
  </si>
  <si>
    <t xml:space="preserve"> Otis Burt `` Sonny '' Shroyer , Jr. ( born August 28 , 1935 ) is an American actor who has appeared in various television and movie roles . He is known for his role as Deputy Sheriff Enos Strate in the television series The Dukes of Hazzard . He also starred in a spin - off called Enos based on his Dukes of Hazzard character . Shroyer is married and has two sons , Chris and Mark . </t>
  </si>
  <si>
    <t xml:space="preserve">Scars to Your Beautiful - wikipedia  Scars to Your Beautiful  Jump to : navigation , search    `` Scars to Your Beautiful ''         Single by Alessia Cara     from the album Know - It - All     Released   July 26 , 2016 ( 2016 - 07 - 26 )     Format   Digital download     Recorded   2015     Genre   Synth - pop     Length   3 : 50     Label     Def Jam   UMG       Songwriter ( s )     Alessia Caracciolo   Warren Felder   Coleridge Tillman   Andrew Wansel       Producer ( s )     Pop &amp; Oak   Sebastian Kole       Alessia Cara singles chronology        `` Wild '' ( 2016 )   `` Scars to Your Beautiful '' ( 2016 )   `` How Far I 'll Go '' ( 2016 )           `` Wild '' ( 2016 )   `` Scars to Your Beautiful '' ( 2016 )   `` How Far I 'll Go '' ( 2016 )            Music video     `` Scars to Your Beautiful '' on YouTube         `` Scars to Your Beautiful '' is a song by Canadian singer and songwriter Alessia Cara for her debut studio album , Know - It - All ( 2015 ) . It was released to Top 40 radio on July 26 , 2016 , as the third single from the album . It peaked at number eight and thus became Alessia Cara 's second top - ten single on US Billboard Hot 100 . The song was written by Cara , Warren Felder , Coleridge Tillman , and Andrew Wansel , with the production being handled by Felder , Tillman , and Wansel .     Contents  ( hide )   1 Background   2 Critical reception   3 Music video   3.1 Background     4 Usage in media   5 Charts   6 Certifications   7 Release history   8 References      Background ( edit )   In an interview with Idolator 's Mike Wass , Cara stated about the song ,   `` Basically , that song is about body image . It 's directed at women , but I think men can relate to it as well . It 's just a song about these things that certain women go through on a daily basis in order to feel loved or in order to love themselves . I think that 's such a thing that goes on in today 's world . These weird things are instilled in us . You know ? That tell us that we 're not good enough or that there 's only one kind of beauty . This song basically is contradicting that idea . It 's saying , ' Well , if the world does n't like how you look then they should change . They should change their perspective . You do n't have to change yourself . ' I mean , I thought that that was important , you know , just to put out next . Especially because I think that 's kind of the direction we 're going in , you know , with ' Here ' . ' Here ' was about not belonging anywhere and ' Wild Things ' was about finding a space you belong . Now ' Scars To Your Beautiful ' is basically about embracing yourself and finally coming to that conclusion where you feel love and you can love yourself . I think it 's cool to put out third because I feel like I have a bigger platform now . The point of the song is to reach as many women , or people , as possible . ''   Critical reception ( edit )   The Guardian 's Kitty Empire said that `` There 's substance on ( Scars to Your Beautiful ) , where Cara tackles the beauty myth à la Beyoncé . The verses pack some good stuff -- ' What 's a little bit of hunger ? I can go a little bit longer . ' '' and later went on to say `` the thumping motivational chorus merely suggests we are all stars . '' Katy Iandoli of Idolator stated `` ( Scars to Your Beautiful ) is a modern - day version of TLC 's ' Unpretty ' , in its acknowledgment of the beauty in both visible and invisible imperfections . ''   Billboard ranked `` Scars to Your Beautiful '' at number 77 on their Billboard 's 100 Best Pop Songs of 2016 : Critics ' Picks '' list , commenting `` Body - positivity anthems typically do n't get this dark , but on `` Scars To Your Beautiful , '' Alessia Cara is n't afraid to talk cutting , tears and eating disorders , before getting to the uplifting chorus , where she delivers some of the most empowering , horizon - expanding lyrics of this year : ' You do n't have to change a thing / The world could change its heart . ' ''   Music Video ( edit )   On July 11 , 2016 , a music video directed by Aaron A was released . It features a cameo by singer JoJo .   Background ( edit )   On the concept of the music video , Cara said in an interview with Cosmopolitan : `` I wanted to do this kind of video for a very long time . Since we had this song -- and since we knew it was going to be a single -- I had this vision of many different cinematic shots of different kinds of people . I wanted all kinds of people -- young , old , whatever their situation , whether it 's visible scars , non-visible scars -- just a bunch of different women , and there are some men in there as well because it can reach out to guys too . But I wanted real shots of real people telling their stories , and showing the story through little vignettes . ''   Usage in media ( edit )   The song is featured in the television show The Bold Type .   Charts ( edit )     Chart ( 2016 -- 17 )   Peak position     Australia ( ARIA )   8     Austria ( Ö3 Austria Top 40 )   18     Belgium ( Ultratip Flanders )   17     Belgium ( Ultratip Wallonia )   18     Canada ( Canadian Hot 100 )   14     Canada AC ( Billboard )       Canada CHR / Top 40 ( Billboard )   5     Canada Hot AC ( Billboard )       Czech Republic ( Rádio Top 100 )       Czech Republic ( Singles Digitál Top 100 )   32     Denmark ( Tracklisten )   37     Germany ( Official German Charts )   19     Germany ( Airplay Chart )       Iceland ( RÚV )       Ireland ( IRMA )   39     Italy ( FIMI )   31     Netherlands ( Dutch Top 40 )   7     Netherlands ( Single Top 100 )   30     New Zealand ( Recorded Music NZ )   15     Poland ( Polish Airplay Top 100 )   35     Portugal ( AFP )   18     Scotland ( Official Charts Company )   27     Slovakia ( Rádio Top 100 )   7     Slovakia ( Singles Digitál Top 100 )   37     Slovenia ( SloTop50 )   6     Sweden ( Sverigetopplistan )   10     Switzerland ( Schweizer Hitparade )   18     UK Singles ( Official Charts Company )   55     US Billboard Hot 100   8     US Adult Contemporary ( Billboard )       US Adult Top 40 ( Billboard )       US Dance Club Songs ( Billboard )   9     US Dance / Mix Show Airplay ( Billboard )       US Mainstream Top 40 ( Billboard )       US Rhythmic ( Billboard )   14     Certifications ( edit )     Region   Certification   Certified units / Sales     Australia ( ARIA )   2 × Platinum   140,000     Canada ( Music Canada )   Platinum   10,000     Denmark ( IFPI Denmark )   Gold   0     Germany ( BVMI )   Gold   200,000     Italy ( FIMI )   Platinum   50,000     New Zealand ( RMNZ )   Gold   15,000     Sweden ( GLF )   3 × Platinum   120,000     United Kingdom ( BPI )   Silver   200,000     United States ( RIAA )   2 × Platinum   2,000,000      sales figures based on certification alone shipments figures based on certification alone sales + streaming figures based on certification alone      Release history ( edit )     Region   Date   Format   Label   Ref .     United States   July 26 , 2016   Digital download     Def Jam   UMG         Top 40 radio   Def Jam       United Kingdom   November 8 , 2016       References ( edit )    ^ Jump up to : `` Top 40 / M Future Releases - Mainstream Hit Songs Being Released and Their Release Dates '' . AllAccess Music Group . Archived from the original on July 11 , 2016 . Retrieved July 11 , 2016 .   Jump up ^ `` Scars to Your Beautiful - Alessia Cara - Song Info - AllMusic '' . AllMusic . Retrieved July 11 , 2016 .   Jump up ^ Wass , Mike ( May 24 , 2016 ) . `` Alessia Cara On Touring With Coldplay &amp; Her Next Single - Idolator '' . Idolator . Retrieved July 11 , 2016 .   Jump up ^ Empire , Kitty ( March 13 , 2016 ) . `` Know - It - All by Alessa Cara review - teen rebel in search of better cause '' . The Guardian . Retrieved July 11 , 2016 .   Jump up ^ Iandoli , Kathy ( November 13 , 2015 ) . `` Alessia Cara 's ' Know - It - All ' : Album Review - Idolator '' . Idolator . Retrieved July 11 , 2016 .   Jump up ^ `` Billboard 's 100 Best Pop Songs of 2016 : Critics ' Picks '' . Billboard . December 12 , 2016 . Retrieved December 12 , 2016 .   Jump up ^ `` Scars To Your Beautiful - Alessia Cara - Vevo '' . Vevo . July 11 , 2016 . Retrieved July 21 , 2016 .   Jump up ^ Iandoli , Kathy ( July 11 , 2016 ) . `` Alessia Cara ' Scars To Your Beautiful ' Video - Alessia Cara Interview '' . Cosmopolitan . Retrieved July 21 , 2016 .   Jump up ^ `` Australian-charts.com -- Alessia Cara -- Scars to Your Beautiful '' . ARIA Top 50 Singles . Retrieved December 17 , 2016 .   Jump up ^ `` Austriancharts.at -- Alessia Cara -- Scars to Your Beautiful '' ( in German ) . Ö3 Austria Top 40 . Retrieved February 9 , 2017 .   Jump up ^ `` Ultratop.be -- Alessia Cara -- Scars to Your Beautiful '' ( in Dutch ) . Ultratip . Retrieved October 29 , 2016 .   Jump up ^ `` Ultratop.be -- Alessia Cara -- Scars to Your Beautiful '' ( in French ) . Ultratip . Retrieved October 29 , 2016 .   Jump up ^ `` Alessia Cara -- Chart history '' Canadian Hot 100 for Alessia Cara . Retrieved November 22 , 2016 .   Jump up ^ `` Alessia Cara -- Chart history '' Billboard Canada AC for Alessia Cara . Retrieved April 16 , 2017 .   Jump up ^ `` Alessia Cara -- Chart history '' Billboard Canada CHR / Top 40 for Alessia Cara . Retrieved November 29 , 2016 .   Jump up ^ `` Alessia Cara -- Chart history '' Billboard Canada Hot AC for Alessia Cara . Retrieved February 14 , 2017 .   Jump up ^ `` ČNS IFPI '' ( in Czech ) . Hitparáda -- Radio Top 100 Oficiální . IFPI Czech Republic . Note : insert 201708 into search . Retrieved February 27 , 2017 .   Jump up ^ `` ČNS IFPI '' ( in Czech ) . Hitparáda -- Digital Top 100 Oficiální . IFPI Czech Republic . Note : insert 201642 into search . Retrieved October 24 , 2016 .   Jump up ^ `` Track Top - 40 Uge 46 , 2016 '' . Hitlisten.NU . Retrieved November 23 , 2016 .   Jump up ^ `` Offiziellecharts.de -- Alessia Cara -- Scars to Your Beautiful '' . GfK Entertainment Charts . Retrieved January 20 , 2017 .   Jump up ^ `` Airplay Charts Deutschland -- Woche 05 / 2017 '' . German Charts . Retrieved 30 March 2017 .   Jump up ^ `` Alessia Cara Chart History '' . RÚV . Retrieved 24 May 2017 .   Jump up ^ `` Chart Track : Week 45 , 2016 '' . Irish Singles Chart . Retrieved November 12 , 2016 .   Jump up ^ `` Classifica settimanale WK 3 '' ( in Italian ) . Federazione Industria Musicale Italiana . Retrieved January 21 , 2017 .   Jump up ^ `` Nederlandse Top 40 -- week 3 , 2017 '' ( in Dutch ) . Dutch Top 40 Retrieved January 20 , 2017 .   Jump up ^ `` Dutchcharts.nl -- Alessia Cara -- Scars to Your Beautiful '' ( in Dutch ) . Single Top 100 . Retrieved January 7 , 2017 .   Jump up ^ `` NZ Top 40 Singles Chart '' . Recorded Music NZ . December 5 , 2016 . Retrieved December 2 , 2016 .   Jump up ^ `` Listy bestsellerów , wyróżnienia : : Związek Producentów Audio - Video '' . Polish Airplay Top 100 . Retrieved April 10 , 2017 .   Jump up ^ `` Portuguesecharts.com -- Alessia Cara -- Scars to Your Beautiful '' . AFP Top 100 Singles . Retrieved January 26 , 2017 .   Jump up ^ `` Archive Chart : 2017 - 01 - 06 '' . Scottish Singles Top 40 . Retrieved January 7 , 2017 .   Jump up ^ `` SNS IFPI '' ( in Slovak ) . Hitparáda -- Radio Top 100 Oficiálna . IFPI Czech Republic . Note : insert 201716 into search . Retrieved April 25 , 2017 .   Jump up ^ `` SNS IFPI '' ( in Slovak ) . Hitparáda -- Singles Digital Top 100 Oficiálna . IFPI Czech Republic . Note : insert 201640 into search . Retrieved October 10 , 2016 .   Jump up ^ `` SloTop50 -- Slovenian official singles chart '' . slotop50.si . Retrieved February 19 , 2017 .   Jump up ^ `` Sverigetopplistan - Sveriges Officiella Topplista '' . Sverigetopplistan . Retrieved November 12 , 2016 .   Jump up ^ `` Swisscharts.com -- Alessia Cara -- Scars to Your Beautiful '' . Swiss Singles Chart . Retrieved January 30 , 2017 .   Jump up ^ `` Archive Chart : 2017 - 01 - 13 '' UK Singles Chart . Retrieved January 14 , 2017 .   Jump up ^ `` Alessia Cara -- Chart history '' Billboard Hot 100 for Alessia Cara . Retrieved February 14 , 2017 .   Jump up ^ `` Alessia Cara -- Chart history '' Billboard Adult Contemporary for Alessia Cara . Retrieved April 11 , 2017 .   Jump up ^ `` Alessia Cara -- Chart history '' Billboard Adult Pop Songs for Alessia Cara . Retrieved February 23 , 2017 .   Jump up ^ `` Alessia Cara -- Chart history '' Billboard Hot Dance Club Songs for Alessia Cara . Retrieved January 4 , 2017 .   Jump up ^ `` Alessia Cara -- Chart history '' Billboard Dance / Mix Show Airplay for Alessia Cara . Retrieved January 19 , 2017 .   Jump up ^ `` Alessia Cara -- Chart history '' Billboard Pop Songs for Alessia Cara . Retrieved January 24 , 2017 .   Jump up ^ `` Alessia Cara -- Chart history '' Billboard Rhythmic Songs for Alessia Cara . Retrieved January 10 , 2017 .   Jump up ^ `` ARIA Australian Top 50 Singles '' . Australian Recording Industry Association . February 27 , 2017 . Retrieved February 25 , 2017 .   Jump up ^ `` Canadian single certifications -- Alessia Cara -- Scars To Your Beautiful '' . Music Canada . Retrieved December 18 , 2016 .   Jump up ^ `` Danish single certifications -- Alessia Cara -- Scars To Your Beautiful '' . IFPI Denmark . Retrieved February 7 , 2017 . Click on næste to go to page if certification from official website   Jump up ^ `` Gold - / Platin - Datenbank ( Alessia Cara ; ' Scars to Your Beautiful ' ) '' ( in German ) . Bundesverband Musikindustrie . Retrieved February 28 , 2017 .   Jump up ^ `` Italian single certifications -- Alessia Cara -- Scars To Your Beautiful '' ( in Italian ) . Federazione Industria Musicale Italiana . Retrieved January 24 , 2017 .   Jump up ^ `` New Zealand single certifications -- Alessia Cara -- Scars to Your Beautiful '' . Recorded Music NZ . Retrieved December 16 , 2016 .   Jump up ^ `` Guld - och Platinacertifikat '' ( in Swedish ) . IFPI Sweden . Retrieved November 7 , 2016 . Type Alessia Cara in the top right search bar . Click on `` Sok '' and select Scars To Your Beautiful and see certification .   Jump up ^ `` British single certifications -- Alessia Cara -- Scars To Your Beautiful '' . British Phonographic Industry . Retrieved April 7 , 2017 . Enter Scars To Your Beautiful in the search field and then press Enter .   Jump up ^ `` American single certifications -- Alessia Cara -- Scars To Your Beautiful '' . Recording Industry Association of America . Retrieved July 5 , 2017 . If necessary , click Advanced , then click Format , then select Single , then click SEARCH   Jump up ^ `` Know - It - All ( Deluxe ) by Alessia Cara on iTunes '' . iTunes Store ( US ) . November 13 , 2016 . Retrieved July 11 , 2016 .   Jump up ^ `` BBC - Radio 1 - Playlist '' . BBC Radio 1 . Archived from the original on November 8 , 2016 . Retrieved November 8 , 2016 .              Alessia Cara       Discography       Studio albums     Know - It - All       EPs     Four Pink Walls       Singles     `` Here ''   `` Wild Things ''   `` Scars to Your Beautiful ''   `` Seventeen ''   `` How Far I 'll Go ''   `` Stay ''       Featured singles     `` Wild ''   `` 1 - 800 - 273 - 8255 ''   `` I Can Only ''   `` Remember Home ''                 MTV Video Music Award for Best Video with a Social Message ( 2010s )       2011   Lady Gaga -- `` Born This Way ''   2012   Demi Lovato -- `` Skyscraper ''   2013   Macklemore and Ryan Lewis ( featuring Mary Lambert ) -- `` Same Love ''   2014   Beyoncé -- `` Pretty Hurts ''   2015   Big Sean ( featuring Kanye West and John Legend ) -- `` One Man Can Change the World ''   2016   NA   2017   All nominees -- Big Sean ( `` Light '' ) , Alessia Cara ( `` Scars to Your Beautiful '' ) , The Hamilton Mixtape ( `` Immigrants ( We Get The Job Done ) '' ) , John Legend ( `` Surefire '' ) , Logic ( `` Black Spiderman '' ) , and Taboo ( `` Stand Up '' )         Complete list   ( 2010s )      Retrieved from `` https://en.wikipedia.org/w/index.php?title=Scars_to_Your_Beautiful&amp;oldid=800654919 '' Categories :   2015 songs   2016 singles   Alessia Cara songs   Def Jam Recordings singles   Billboard Adult Contemporary number - one singles   Billboard Dance / Mix Show Airplay number - one singles   Billboard Mainstream Top 40 ( Pop Songs ) number - one singles   MTV Video Music Award for Best Video with a Social Message   Music videos directed by Aaron A   Song recordings produced by Pop &amp; Oak   Songs written by Andrew Wansel   2010s ballads   Pop ballads   Songs with feminist themes   Body image in popular culture   Billboard Adult Top 40 number - one singles   Hidden categories :   CS1 Italian - language sources ( it )   CS1 German - language sources ( de )   CS1 Swedish - language sources ( sv )   Articles with hAudio microformats   Singlechart usages for Australia   Singlechart usages for Austria   Singlechart usages for Flanders Tip   Singlechart usages for Wallonia Tip   Singlechart usages for Canada   Singlechart called without song   Singlechart usages for Billboardcanadaac   Singlechart usages for Billboardcanadachrtop40   Singlechart usages for Billboardcanadahotac   Singlechart usages for Czech Republic   Singlechart called without artist   Singlechart usages for Czechdigital   Singlechart usages for Germany2   Singlechart usages for Ireland   Singlechart usages for Dutch40   Singlechart usages for Dutch100   Singlechart usages for Poland   Singlechart usages for Portugal   Singlechart usages for Scotland   Singlechart usages for Slovakia   Singlechart usages for Slovakdigital   Singlechart usages for Switzerland   Singlechart usages for UK   Singlechart usages for Billboardhot100   Singlechart usages for Billboardadultcontemporary   Singlechart usages for Billboardadultpopsongs   Singlechart usages for Billboarddanceclubplay   Singlechart usages for Billboarddanceairplay   Singlechart usages for Billboardpopsongs   Singlechart usages for Billboardrhythmic   Certification Table Entry usages for Australia   Certification Table Entry usages for Canada   Certification Table Entry usages for Denmark   Pages using Certification Table Entry - Sales with missing information   Certification Table Entry usages for Germany   Certification Table Entry usages for Italy   Certification Table Entry usages for New Zealand   Certification Table Entry usages for Sweden   Certification Table Entry usages for United Kingdom   Certification Table Entry usages for United States           Talk                                           Contents                   About Wikipedia                                           Español   Italiano   Nederlands   Edit links   This page was last edited on 14 September 2017 , at 21 : 49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</si>
  <si>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scars to your beautiful</t>
  </si>
  <si>
    <t xml:space="preserve"> `` Scars to Your Beautiful '' is a song by Canadian singer and songwriter Alessia Cara for her debut studio album , Know - It - All ( 2015 ) . It was released to Top 40 radio on July 26 , 2016 , as the third single from the album . It peaked at number eight and thus became Alessia Cara 's second top - ten single on US Billboard Hot 100 . The song was written by Cara , Warren Felder , Coleridge Tillman , and Andrew Wansel , with the production being handled by Felder , Tillman , and Wansel . </t>
  </si>
  <si>
    <t xml:space="preserve">Costa Maya - wikipedia  Costa Maya  Jump to : navigation , search  Costa Maya is a small tourist region in the municipality of Othón P. Blanco in the state of Quintana Roo , Mexico , the only state bounded by the Caribbean Sea to its east . This municipality is close to Chetumal ( capital of the state ) on the border with Belize . The area was generally undeveloped but has been growing rapidly since construction of a large pier to accommodate cruise ships . Costa Maya is also the name of a subdivision near the village of Mahahual . The beach extends from Xcalak in the south to the southern border of Sian Ka'an in the north , a distance of approximately 100 kilometers ( 62 mi ) .  The beach at Costa Maya Port , looking toward the cruise ship pier . The resort of Costa Maya Port viewed from a cruise ship docked at the pier .  Xcalak is approximately 60 kilometers ( 37 mi ) south of the Costa Maya cruise port , and the fishing village of Mahahual is only about 3 kilometers ( 1.9 mi ) away . Cruise ships can easily be seen from the village . Mahahual has soft sand beaches , grass thatched palapas , and a coral reef a short distance off - shore called Banco Chinchorro , as well as several bars , restaurants , and shops . A new development called New Mahahual is being created directly inland from the port . When ships are in port , the village is busy with cruise passengers .   Costa Maya 's port has a new and modern tourist shopping mall . The center has a central plaza with saltwater pools and ' swim - up ' style bars . There are several jewellery stores and many small shops selling ubiquitous souvenir items . It is generally open only to cruise ship passengers .   Costa Maya is the closest port of access to many of the lesser - known Mayan ruins in the Yucatan including Chacchoben and Kohunlich . These sites are substantially less excavated than the better - known pyramids of Tulum and Coba to the north ; Chichen Itza and Uxmal in Yucatan .   The port sustained heavy damage due to Hurricane Dean in August 2007 . This included the dock designed for cruise ships . Holland America 's Westerdam was the first cruise ship to return to the port since Hurricane Dean on October 31 , 2008 .     Contents  ( hide )   1 History   1.1 Pre-Colonial   1.2 Colonial   1.2. 1 Yucatan   1.2. 2 Costa Maya       2 Current   3 Future   4 References   5 External links      History ( edit )   Pre-colonial ( edit )   Around 6500 BC the Native Americans started agricultural activities . The agriculture was of the slash and burn type . Around 3500 BC the agricultural skill had developed as such that they formed permanent villages in the center of Mexico . The Maya are not the first culture to appear in Mexico ; they were preceded by the Olmecs near the Gulf coast . The first Maya like culture appeared around 200 BC in the south of Mexico ( Chiapas ) .   The Maya were predominant in three areas : the northern area which is the Yucatán Peninsula , the central area which is the Petén area and the western area which are the lowlands bordering to Belize . The Costa Maya falls under the western lowlands . The agricultural skills evolved between 200 BC and 900 AD to the extent that workers could be made available to build the beautiful cities as we know them today . In the area around the Costa Maya the building styles called Rio Bec and Chennes are found . The Mayan culture weakened during the period of 900 AD to 1200 AD . Other cultures influenced the building styles in that period ( an example of this is Tulum ) .   The Río Bec and Chennes sites are some of the most recent found in Mexico . Most of the sites were found by rubber farmers scouting the forest in search of rubber trees . The discovered sites are as follows :     Río Bec   Chennes     Río Bec   Chacchoben     Calakmul   Chicanná     Río Azul ( Guatemala )   Becán     Naachtúm ( Guatemala )   Xpuhil     Uaxactún ( Guatemala )   Dzibanche     Tikal ( Guatemala )   Kohunlich     Nakum ( Guatemala )       Mutul ( Guatemala )       Tayasal ( Guatemala )       Naranjo ( Belize )       During the Mayan high times there was a flourishing maritime trade along the Yucatan coast . The Mayans used large dugout canoes . They traded in fabrics , jade , obsidian , salt , and shells . The area of Xcalak was a landing point because of the two openings in the reef . Xcalak means ' the twins ' in Yucatec Maya . A small unnamed site was found just east of the current village of Xcalak .   Colonial ( edit )  Yucatan ( edit )  The first contact between the Spanish conquerors and the Maya took place in 1502 in Honduras . Initial contacts were friendly ; however when Francisco Hernández de Córdoba arrived on the Yucatán Peninsula in 1517 intent on conquest , the Maya resisted . Thousands of Spaniards were killed within a short period of time , giving subsequent conquistadores adequate excuse for subjugating the native population .   Hernán Cortés landed in 1519 on Cozumel and within three years he had conquered most of the area , with more help from the smallpox with which his men had unintentionally infected the natives , than actual battle . Twenty years later the Mayans suffered their final defeat by Francisco de Montejo . Not content in having reduced the native population by half or more , the Spaniards destroyed many Mayan artifacts in an attempt to suppress the culture itself .   Following Mexican independene in 1821 , the Mayan territories of Chiapas and Yucatan decided to join the United States of Mexico in 1840 .   In the 19th century Mennonites came to Mexico from the Netherlands . The Mennonites can also be found around the Costa Maya and can easily be recognized by their denim overalls and checkered red shirts .  Costa Maya ( edit )  The history of Xcalak dates back to pre-Hispanic times , with 16 archaeological sites having been discovered between Punta Herrero ( south of Bahia Espiritu Santo ) and Boca Bacalar Chico . Seven of these sites are located between Punta Gavilan ( just north of Guacamaya ) and Boca Bacalar Chico , the border with Belize .   In the 16th century , English pirates took over a large part of the coast and attacked Spanish ships that transported gold and riches back to Spain . Spain tried to defend its interests by constructing forts such as the one at Bacalar . Pirates continued to devastate the region , intending to take over the entire peninsula in the name of the English Crown . The reign of the pirates lasted until the end of the 19th century , taking advantage of the indigenous rebellions and the abandonment in which the region was found .   At the end of the 19th Century , the Mexican Navy took control over what is today the state of Quintana Roo . In 1897 , during the presidency of Porfirio Diaz , a treaty was signed which established the territorial limits between British Honduras ( now Belize ) and Mexico . This caused serious problems for Mexico because the territorial limit was at the center of Boca Bacalar Chico canal . This natural canal separates the Xcalak peninsula from Ambergris Key , and as a result , Mexican military vessels lost access to Chetumal Bay and remain at the mercy of Belize for permits .   Due to the lack of access to Chetumal Bay , Brigadier Angel Ortiz Monasterio , the Mexican consulate , commissioned engineer Rebolledo to find a suitable place to build a port in this area . Rebolledo selected Xcalak because two natural entrances through the barrier reef would permit navigation . The port was established in an effort to permanently occupy this area . From this site , Mexico intended to direct a military campaign to stop the supply of arms to the Maya rebels of Quintana Roo , who were participating in what is known as the Caste War . This led to the establishment of a base on the southern limits of Xcalak peninsula .   In October 1899 , a site was constructed on the Zaragoza Canal to provide access to Chetumal Bay . ( This canal south of town has recently been reopened and re-dredged in another effort to allow military vessels access to the bay . ) At the same time , on the Caribbean coast the widening of the entrance through the reef was initiated . In addition , a ' Decauville ' railroad was built between Xcalak and La Aguada ( on Chetumal Bay ) in order to relieve the boat traffic through the narrow international canal .   The development resulted in a port system which overcame the lack of a direct entrance into Chetumal Bay . Equipment was unloaded in Xcalak , taken by train to La Aguada , and then reloaded and taken to Payo Obispo , which was founded two years earlier . Thus , the village of Xcalak was founded on May 19 , 1900 as the base for the ' Southern Fleet ' and the first shipyard in the Mexican Caribbean . At the same time , the first telegraph in the state was built .   When the Federal Territory of Quintana Roo was created in 1902 , there were three important villages on the coast : Xcalak in the south , Vigia Chico in the middle , and Puerto Morelos in the north . The Xcalak village was the only village in the territory that did not depend on mahogany and chicle ( used for chewing gum ) . Xcalak relied upon fishing and the exportation of coconut . The organization of copra , or coconut ranches , began in Xcalak and expanded to the bay area . Copra exportation eventually replaced fishing .   Current ( edit )   In the 1950s , Xcalak 's economy was very healthy , boasting developments such as stone and wood construction , an ice factory , and electric plant , storehouses for large quantities of copra , grocery stores , a billiard hall , a movie theater , and an ice cream factory . Xcalak was the most important supply center in the region . After Hurricane Janet ( 1955 ) , Xcalak was in ruins . Many of its inhabitants died , including the lighthouse keeper and many sailors . The survivors were traumatized and a large group migrated to interior towns . The survivors who remained in Xcalak returned to fishing . The area was repopulated with people from San Pedro and Sarteneja , Belize , as well as from Honduras and El Salvador .   The fishing trade resulted in social organizations . On October 25 , 1959 , the Cooperative Fishing Production Society of Andrea Quintana Roo was founded . It consisted of 49 members . Fishing techniques were greatly altered with the arrival of the first outboard motors made by Calipso and Lister .   In 1980 , a 120 kilometers ( 75 mi ) gravel road was built , forming the Chetumal − Carrillo Puerto highway . This established a land route between the village of Xcalak and the rest of the state . People often recall that the first vehicle to arrive in the village was a Land Rover .   At the end of the 1980s Costa de Cocos and the first dive shop , ' Aventuras Chinchorro ' ( now XTC Dive Center ) , opened . Soon after that a second dive shop ' Xcalak Dive Center ' appeared . These developments increased tourism and marked the beginning of a new period .   On August 24 , 1995 , the government of Quintana Roo published the decree for the ' Ecological regulation for the area referred to as the Maya Coast ' ( Punta Herero - Xcalak ) . The decree outlined tourism development plans for the Costa Maya corridor . Xcalak was designated as one of the sites for the greatest development . The restoration of the municipal pier in Xcalak was completed at the end of 1995 to facilitate tourism development . In June 1996 , a ferry pier was built at La Aguada in order to provide service between Chetumal and Xcalak . At the same time , the existing airstrip in Xcalak was enlarged .   There are approximately 300 native inhabitants of Xcalak . Most rely on fishing for their livelihood ; however , many are now working in tourism and recently the Tourism Cooperative was formed . Officials that have their headquarters in Xcalak include : the Municipal Delegation , State Government representative of the Judicial Police , a port captain , immigration officer , and Navy base . As part of the social structure , other associations have been formed : the Parents Association , the Electricity Committee , the fishing Cooperative , and a Community Committee in which different representatives of all community sectors participate . It is through the Community Committee that issues regarding the management and conservation of natural resources are addressed .   The resort was hit directly by Category 5 Hurricane Dean in August 2007 . The area was also hit significantly by Hurricane Ernesto in early August 2012 . Although much of the resort was not hit heavily , the surrounding town of Mahahual has experienced a large amount of damage .   Future ( edit )   The Mexican government is trying to improve the standard of living for the indigenous population in the Costa Maya area by developing small scale ecologically - based tourism .   Mahahual is to be a larger tourist center with an airport and a large dock for cruise ships .   Xcalak is to be preserved as a middle - sized village with tourism based on ecological principles . To achieve this development , ecological laws have been implemented on the Costa Maya . Sian Ka'an South of Tulum is a protected natural reserve , Banco Chinchorro is declared as a protected archaeological marine park and the Mesoamerican Barrier Reef System in front of Xcalak is declared a natural reserve park .   References ( edit )    Jump up ^ `` Travel News , Tips , and Guides '' . usatoday.com . USA Today .   Jump up ^ `` Hurricane Dean -- 9th strongest hurricane on record '' . wunderground.com .    External links ( edit )    Satellite view of the Pier at Google Maps   Satellite view of Mahahual    Coordinates : 18 ° 42 ′ 50 '' N 87 ° 42 ′ 32 '' W ﻿ / ﻿ 18.714 ° N 87.709 ° W ﻿ / 18.714 ; - 87.709     ( hide )         State of Quintana Roo     Chetumal ( capital )     Municipalities ( seats )     Bacalar ( Bacalar )   Benito Juárez ( Cancún )   Cozumel ( San Miguel de Cozumel )   Felipe Carrillo Puerto ( Felipe Carrillo Puerto )   Isla Mujeres ( Isla Mujeres )   José María Morelos ( José María Morelos )   Lázaro Cárdenas ( Kantunilkín )   Othón P. Blanco ( Chetumal )   Puerto Morelos ( Puerto Morelos )   Solidaridad ( Playa del Carmen )   Tulum ( Tulum )         Places of interest     Akumal   Arrecifes de Cozumel National Park   Banco Chinchorro   Chacchoben   Coba   Isla Contoy   Isla Holbox   Kohunlich   Mahahual   Muyil   Punta Allen   Punta Sur   Riviera Maya   San Gervasio   Sian Ka'an   Tulum   Xcalak   Xcaret   Xelha   Yo'okop      Retrieved from `` https://en.wikipedia.org/w/index.php?title=Costa_Maya&amp;oldid=828382682 '' Categories :   Tourism in Mexico   Beaches of Quintana Roo   Tourist attractions in Quintana Roo   Hidden categories :   All articles with unsourced statements   Articles with unsourced statements from November 2009   Coordinates on Wikidata           Talk                                           Contents                   About Wikipedia                                           Wikivoyage       Add links   This page was last edited on 2 March 2018 , at 05 : 33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</si>
  <si>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costa maya mexico on the map</t>
  </si>
  <si>
    <t xml:space="preserve"> Costa Maya is a small tourist region in the municipality of Othón P. Blanco in the state of Quintana Roo , Mexico , the only state bounded by the Caribbean Sea to its east . This municipality is close to Chetumal ( capital of the state ) on the border with Belize . The area was generally undeveloped but has been growing rapidly since construction of a large pier to accommodate cruise ships . Costa Maya is also the name of a subdivision near the village of Mahahual . The beach extends from Xcalak in the south to the southern border of Sian Ka'an in the north , a distance of approximately 100 kilometers ( 62 mi ) . </t>
  </si>
  <si>
    <t xml:space="preserve">Crime lab - wikipedia  Crime lab  Jump to : navigation , search      The examples and perspective in this article deal primarily with the United States and do not represent a worldwide view of the subject . You may improve this article , discuss the issue on the talk page , or create a new article , as appropriate . ( December 2010 ) ( Learn how and when to remove this template message )     A crime laboratory - often shortened to crime lab - is a scientific laboratory , using primarily forensic science for the purpose of examining evidence from criminal cases .     Contents  ( hide )   1 Lab personnel   2 Crime labs   2.1 United States     3 Crime labs in popular culture   4 See also   5 External links      Lab personnel ( edit )  Police officer of the United States Park Police Identification Unit analysing evidence  A typical crime lab has two sets of personnel :    Field analysts - investigators that go to crime scenes , collect evidence , and process the scene . Job titles include :   Forensic evidence technician   Crime scene investigator   Scenes of crime officer ( SOCO )     Laboratory analysts - scientists or other personnel who run tests on the evidence once it is brought to the lab ( i.e. , DNA tests , or bullet striations ) . Job titles include :   Forensic Technician ( performs support functions such as making reagents )   Forensic Scientist / Criminalist ( performs scientific analyses on evidence )   Fingerprint Analyst   Forensic Photographer   Forensic Document Examiner   Forensic Entomologist      Crime labs ( edit )   United states ( edit )   In the United States , crime labs may be publicly or privately operated , although private laboratories typically do not respond to crime scenes to collect evidence . Public crime labs are organized at the city , county , state , or national level . A law enforcement agency that does not operate its own crime lab usually has free access to a higher level laboratory for analysis of their evidence . Most states have their own crime labs , for instance Oklahoma has the OSBI , many other places have smaller yet still sufficient crime labs .   The Los Angeles Police Department founded the first crime laboratory in the United States ( 1923 ) , followed by the Bureau of Investigation ( 1926 ) , forerunner to the Federal Bureau of Investigation . ( Every Contact Leaves a Trace , Connie Fletcher , St. Martin 's Press , New York , 2006 , interview with crime lab director )   Crime labs in popular culture ( edit )   The term `` crime lab '' has become a part of popular culture , largely due to the TV dramas . Some of the more famous shows are :    Bones ( TV series )   `` Castle ( TV series ) ''   CSI : Crime Scene Investigation and spin - offs CSI : Miami and CSI : NY   NCIS   Quincy , M.E. - a 1970s television show featuring crime lab personnel and procedures .    Several non-fiction television programs , document the resolution of criminal cases based on the scientific analysis of the evidence :    Forensic Files    See also ( edit )    Combined DNA Index System    External links ( edit )    FBI Crime Lab   Arkansas State Crime Lab   Census of Publicly Funded Forensic Crime Laboratories Bureau of Justice Statistics   Forensic Science Laboratories : Handbook for Facility Planning , Design , Construction , and Relocation National Institute of Standards and Technology   US Postal Inspection Service Forensic Lab   Reddy 's Forensic Page - link to US and international forensic laboratories   Retrieved from `` https://en.wikipedia.org/w/index.php?title=Crime_lab&amp;oldid=803991991 '' Categories :   Forensic facilities   Hidden categories :   Articles with limited geographic scope from December 2010   USA - centric           Talk                                           Contents                   About Wikipedia                                           Add links   This page was last edited on 5 October 2017 , at 23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</si>
  <si>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was the first police laboratory established in the us</t>
  </si>
  <si>
    <t xml:space="preserve"> The Los Angeles Police Department founded the first crime laboratory in the United States ( 1923 ) , followed by the Bureau of Investigation ( 1926 ) , forerunner to the Federal Bureau of Investigation . ( Every Contact Leaves a Trace , Connie Fletcher , St. Martin 's Press , New York , 2006 , interview with crime lab director ) </t>
  </si>
  <si>
    <t xml:space="preserve">Google Chrome version history - wikipedia  Google Chrome version history  Jump to : navigation , search  The following table summarizes the release history for the Google Chrome web browser .       Discontinued     Stable channel     Beta channel     Dev channel     Canary channel       Major version   Release date   Layout engine   V8 engine   Significant changes     0.2. 149   2008 - 09 - 02   WebKit 522   0.3     First release       0.3. 154   2008 - 10 - 29     Improved plugin performance and reliability   Spell checking for input fields   Improved web proxy performance and reliability   Tab and window management updates       0.4. 154   2008 - 11 - 24   WebKit 525     Bookmark manager with import and export support   Privacy section added to the application options   New blocked popup notification       1.0. 154   2008 - 12 - 11   WebKit 528     First stable release       2.0. 172   2009 - 05 - 24   WebKit 530   0.4     35 % faster JavaScript on the SunSpider benchmark   Mouse wheel support   Full - screen mode   Full - page zoom   Form auto - fill   Sort bookmarks by title   Tab docking to browser and desktop edges   Basic Greasemonkey support       3.0. 195   2009 - 10 - 12   WebKit 532   1.2     New `` new tab '' page for improved customization   25 % faster JavaScript   HTML5 video and audio tag support   Lightweight theming       4.0. 249   2010 - 01 - 25   WebKit 532.5   1.3     Extensions   Bookmark synchronization   Enhanced developer tools   Improved HTML5 support   Performance improvements   Full ACID3 pass   HTTP byte range support   Experimental new anti-reflected - XSS feature called `` XSS Auditor ''       4.1. 249   2010 - 03 - 17     Translate infobar   New privacy features   Disabled XSS Auditor       5.0. 375   2010 - 05 - 21   WebKit 533       Browser preference synchronizing   Increased HTML5 support ( Geolocation API , App Cache , web sockets , and file drag - and - drop )   Revamped bookmark manager   Adobe Flash Player integrated   First stable releases for macOS , 32 bit Linux , and 64 bit Linux       6.0. 472   2010 - 09 - 02   WebKit 534.3       Updated and more streamlined UI with simplified Omnibox   New tab page   Merged menu buttons   Form auto - fill   Expanded synchronization support to include extensions and auto - fill data   Support for WebM videos   Built - in PDF support ( disabled by default )       7.0. 517   2010 - 10 - 21   WebKit 534.7   2.3. 11     Implemented HTML5 parsing algorithm   File API   Directory upload via input tag   macOS version gained AppleScript support for UI automation   Late binding enabled for SSL sockets : high priority SSL requests are now always sent to the server first .   New options for managing cookies   Updated New Tab page to enable featuring of web applications       8.0. 552   2010 - 12 - 02   WebKit 534.10   2.4. 9     Chrome Web Store   Built - in PDF viewer that works inside Chrome 's sandbox for increased security   Expanded synchronization support to include web applications   Improved plug - in handling   This release added `` about : flags '' to showcase experimental features such as Chrome Instant , side tabs on Windows , tabbed settings , Click to Play , background web applications , Remoting , disables outdated plug - ins , XSS Auditor , Cloud Print Proxy , GPU - accelerated compositing , WebGL support for the canvas element , and a `` tab overview '' mode ( like Exposé ) for macOS .       9.0. 597   2011 - 02 - 03   WebKit 534.13   2.5. 9     WebGL enabled by default   Adobe Flash sandboxing on Windows and Chrome Instant ( a la Google Instant ) option   WebP support   New flags : print preview , GPU - accelerated compositing , GPU - accelerated Canvas 2D , Google Native Client , CRX-less Web Apps , Web page prerendering , experimental Extension APIs , disable hyperlink auditing       10.0. 648   2011 - 03 - 08   WebKit 534.16   3.0. 12     Google Cloud Print sign - in interface enabled by default   Partially implemented sandboxing of the GPU process   Faster JavaScript performance due to incorporation of Crankshaft , an improved compiler for V8   Settings pages that open in a tab , rather than a dialog box   Malware reporting and disabling outdated plugins   Password sync   GPU accelerated video   Background WebApps   webNavigation extension API       11.0. 696   2011 - 04 - 27   WebKit 534.24   3.1. 8     HTML5 Speech Input API   Updated icon       12.0. 742   2011 - 06 - 07   WebKit 534.30   3.2. 10     Hardware accelerated 3D CSS   New Safe Browsing protection against downloading malicious files   Ability to delete Flash cookies from inside Chrome   Launch Apps by name from the Omnibox   Integrated Sync into new settings pages   Improved screen reader support   New warning when hitting Command - Q on Mac   New flags : P2P API   Existing tab on foreground on open   Experimental new tab page   Add grouping to tab context menu   Run PPAPI Flash in the renderer process   Multiple profiles   Removed Google Gears   Print and Save buttons in the PDF viewer       13.0. 782   2011 - 08 - 02   WebKit 535.1   3.3. 10     Instant Pages ( pre-rendering of Web pages )   Native print interface and preview ( Linux and Windows only )   Experimental new tab page   Experimental Restrict Instant To Search option       14.0. 835   2011 - 09 - 16   3.4. 14     Native Client ( NaCl ) enabled for apps in the Chrome Web Store   Web Audio API   Additional macOS Lion feature support   Sync Encryption for all data   Print preview on Mac   Validation of HTTPS sites   Experimental Web Request extension API   Experimental Content Settings extension API       15.0. 874   2011 - 10 - 25   WebKit 535.2   3.5. 10     Faster print preview   Redesigned new tab page on by default   JavaScript fullscreen API enabled by default   Inline installation of Chrome Web Store items by verified sites   Omnibox History synchronization   Switched to FFmpeg native VP8 decoder   Extensions integrated into settings pages   GPU Accelerated Canvas 2D disabled       16.0. 912   2011 - 12 - 13   WebKit 535.7   3.6. 6     Multiple profiles on by default   Optional permissions in Chrome extensions , so the user can opt - in or opt - out of the optional permissions at installation time   Experimental support for side tabs was removed .       17.0. 963   2012 - 02 - 08   WebKit 535.11   3.7. 12     Updated Omnibox prerendering of pages   Download scanning protection   New extensions APIs   Improved History tab   Removal of `` + '' symbol from the `` new tab '' button   Limited support for changing user agent strings   Adjustable margins in print preview   Search engine synchronization   Disabled GAIA profile info       18.0. 1025   2012 - 03 - 28 2012 - 06 - 27 ( Android ARM ) 2012 - 09 - 26 ( 18.0. 1026 , Android x86 )   WebKit 535.19   3.8. 9     Hardware - accelerated Canvas2D graphics   WebGL without the need of 3D graphics hardware through the software rasterizer SwiftShader   Brighter `` new tab '' button       19.0. 1084   2012 - 05 - 15 2012 - 06 - 28 ( iOS )   WebKit 536.5   3.9. 24     Access tabs between devices   Reorganized and searchable settings interface   Better spell check by using the Google search engine spell checker   Web Store link to the bottom of New Tab page   Experimental JavaScript Harmony ( ECMAScript 6 ) support   Experimental Web Intents API       20.0. 1132   2012 - 06 - 26   WebKit 536.10   3.10. 6     Experimental touch friendly user interface adjustments . Context menus have extra vertical padding between items .   New tab button is bigger and wider       21.0. 1180   2012 - 07 - 31 2012 - 08 - 22 ( iOS )   WebKit 537.1   3.11. 10     Media Stream API ( getUserMedia ) enabled by default . ( E.g. webcam access via JavaScript . )   Gamepad API prototype available by default .   Support for ( pointer ) and ( hover ) CSS media queries so sites can optimize their user interface for touch when touch - screen support is available .   HTML5 audio / video and WebAudio now support 24 - bit PCM wave files       22.0. 1229   2012 - 09 - 25   WebKit 537.4   3.12. 19     New - style packaged apps are enabled by default .   New menu icon , replacing the wrench icon   Support for TLS 1.1   Support for color management ICC v2 profiles by default       23.0. 1271   2012 - 11 - 06 2012 - 11 - 28 ( iOS )   WebKit 537.11   3.13. 7     Do Not Track preference   Hardware video acceleration with 25 % more efficient power consumption in some scenarios   Manager for site permission control   New icon for Chrome Web Store when opening new tab   PPAPI Flash Player ( or Pepper - based Flash Player ) replaced the NPAPI Flash Player on Mac also       24.0. 1312   2013 - 01 - 10   WebKit 537.17   3.14. 5     Support for MathML   The HTML5 datalist element now supports suggesting a date and time   Experimental support for CSS custom filters       25.0. 1364   2013 - 02 - 21 2013 - 02 - 27 ( Android ) 2013 - 03 - 04 ( iOS )   WebKit 537.22   3.15. 11     Support for Opus audio   Support for VP9 video   Silent installs of external extensions are now disabled by default .   Web Speech API   Encrypted omnibox search ( https )   Native Client on ARM   Disabled MathML support for the time being    Android version ( update from 18 ) :    Newer V8 JavaScript engine   Audio now continues to play while Chrome is in the background   Support for pausing audio in Chrome when phone is in use       26.0. 1410   2013 - 03 - 26 2013 - 04 - 03 ( Android ) 2013 - 04 - 09 ( iOS )   WebKit 537.31   3.16. 14     Improved spell checker ( grammar and homonym checking )   Desktop shortcuts for multiple users ( profiles ) on Windows   Asynchronous DNS resolver on Mac and Linux    Android version :    Autofill and password sync   Performance and stability improvements       27.0. 1453   2013 - 05 - 21 2013 - 05 - 22 ( Android ) 2013 - 06 - 03 ( iOS )   WebKit 537.36   3.17. 6     Resource handling optimized for faster page loads   Improved Omnibox predictions and spelling correction   syncFileSystem API for Google Drive data synchronization   Stop packaging Manifest version 1.0 extensions    Android version :    Fullscreen on phones ( scrolling down the page makes the toolbar disappear )   Simpler searching ( the query stays visible in the omnibox , making it easier to edit )   Client - side certificate support   Tab history on tablets   `` A ton of stability and performance fixes ''       28.0. 1500   2013 - 06 - 17 ( Linux ) 2013 - 07 - 09 ( macOS and Windows ) 2013 - 07 - 10 ( Android ) 2013 - 07 - 17 ( iOS )   Blink 537.36 WebKit 537.36 ( on iOS )   3.18. 5     Replaced layout engine with Blink , a fork of WebKit on all platforms besides iOS   Faster page loads with the new Blink threaded HTML parser   Rich Notifications and Notification Center ( HTML - based notifications deprecated )   Major improvements to the asm. js benchmark performances   Support for the CSS : unresolved pseudoclass for Custom Elements   Support for the CSS @ supports conditional blocks to test for property : value pairs    Android version :    Fullscreen API support ( fullscreen browsing on tablets )   Experimental WebGL , Web Audio , WebRTC support behind flags   Built - in translation    iOS version :    Improved interoperability with many other Google Apps   Voice Search enhancements   Fullscreen for iPad   Data usage savings ( rolling out over time )   Access to browser history       29.0. 1547   2013 - 08 - 20 ( Linux , macOS and Windows ) 2013 - 08 - 21 ( Android ) 2013 - 09 - 12 ( iOS )   Blink 537.36   3.19. 18     Support for VP9 final   Support for TLS 1.2   Preliminary QUIC support   Improved Omnibox suggestions based on the recency of visited sites   Ability to reset user profile back to its original state   New apps and extensions APIs ( such as Native Messaging API for connecting Chrome with native applications installed on the same computer - an alternative to NPAPI )    Android version :    WebRTC support   WebAudio support   Improved scrolling responsiveness and visual indication when scrolling to the top or bottom of a page   Startup performance and stability improvements   New color picker user interface for web forms   Support for Google 's experimental data compression service ( comparable to Opera Turbo ) that lets Google servers quickly read and optimize a Web page for mobile devices , then transmit it to the smartphone using Google 's SPDY network technology .   Rudimentary tab groups implemented    iOS version :    Get back to Search Results faster   Data cost savings enhancements ( rolled out incrementally )   Voice search pronoun support ( e.g. queries like : `` Who is the president of the United States ? '' followed by `` Who is his wife ? '' )   Improvements to Single Sign On with other Google Apps   Support for WebP image format       30.0. 1599   2013 - 09 - 18 ( iOS ) 2013 - 10 - 01 ( Linux , macOS and Windows ) 2013 - 10 - 02 ( Android )   Blink 537.36   3.20. 17     New image context menu item : `` Search Google for this image ''   New Chrome Apps APIs : webview. request , media gallery write support and downloads   New platform features ( both in desktop and mobile ) : support for the WebRTC Device Enumeration API , allowing users to change their microphones and / or camera on the fly without having to restart the WebRTC call ; DevTools now supports CSS source maps ; Chrome will now match the behavior of IE and not honor the Refresh header or tags when the URL to be refreshed to has a javascript : scheme ;    Android version :    New gesture : swipe horizontally across the top toolbar to quickly switch tabs   New gesture : drag vertically down from the toolbar to enter into the tab switcher view   New gesture : drag down from the menu to open the menu and select wanted item without having to lift finger   WebGL is enabled by default on high - end devices   DeviceMotion ( device acceleration and rotation rates ) events   Media Source Extension is enabled on Android 4.1 +   Two new experimental features behind a flag : Web Speech API ( recognition ) and the Vibration API    iOS version :    New look and feature enhancements for iOS7   Improvements to Fullscreen behavior especially on iPad ( iOS7 only )   New Settings UI   Maps and email links launch the Google Maps and Gmail apps ( if installed ) automatically . You can change your preference in Settings   Stability / security improvements and bug fixes       31.0. 1650   2013 - 11 - 12 ( Linux , macOS and Windows ) 2013 - 11 - 14 ( Android ) 2013 - 11 - 20 ( iOS )   Blink 537.36   3.21. 18     Payment requestAutocomplete ( ) on Chrome for Android , Windows , Chrome OS   PNaCl on desktop versions of Chrome   New Chrome Apps APIs : With URL handlers for apps , Chrome App developers can now specify URLs to be handled by a Chrome App . For example , a document link on a website could open a document editor Chrome App . This gives users more seamless entry points into their favorite Chrome Apps .   Directory access for Apps allows Chrome Apps to access and write to user - approved folders . This feature can be used to share files between a Chrome App and a native app . For example , a Chrome App code editor could modify files managed by a native Git client .   SCTP for WebRTC Data Channel allows P2P data transfers between browsers to be either best effort , reliable , or semi reliable , opening up use cases such as gaming .   Alpha channel support for WebM video enables transparency masking ( a.k.a. green screen effects ) in WebM videos .   Speech recognition with the JavaScript Web Speech API is now supported on Chrome for Android .   window. devicePixelRatio now takes full - page zoom ( but not pinch zoom ) into account   Support for ( alpha : false ) in getContext ( ' 2d ' ) lets you create an opaque canvas . This is similar to existing WebGL functionality and can improve the rendering performance of your app .   The Media Source API has been unprefixed and is now supported on Chrome for Android . It allows JavaScript to generate media streams for playback , addressing use cases like adaptive streaming and time shifting live streams .   2D canvas now supports the `` ellipse '' method .   Support for several Mutation Events has been removed . Consider using MutationObserver instead .    iOS version :    Fast form completion with Autofill   Long press on an image to search for related images   Stability / security improvements and bug fixes       32.0. 1700   2014 - 01 - 14 ( Linux , macOS and Windows ) 2014 - 01 - 15 ( Android ) 2014 - 01 - 27 ( iOS )   Blink 537.36   3.22. 24     Tab indicators for sound , webcam and casting   A different look for Win8 Metro mode   Automatically blocking malware files   A number of new apps / extension APIs   Various under - the - hood changes for stability and performance    Android version :    Add web page shortcuts right to your home screen more easily from the menu   Reduce data usage in Chrome up to 50 % . Visit Settings &gt; Bandwidth management &gt; Reduce data usage to enable .    iOS version :    Translate   When you come across a page written in a language that you do n't understand , just look for the translation bar . One tap and the page is quickly translated for you .     Reduce Data Usage   Reduce your data usage by up to 50 % . Enable this feature and view your savings : Settings &gt; Bandwidth &gt; Reduce Data Usage .     New Tab Page update to make searching faster and easier   This feature is being rolled out and will be available to all users over time , beginning on iPhone .         33.0. 1750   2014 - 02 - 18 ( iOS ) 2014 - 02 - 20 ( Linux , macOS and Windows ) 2014 - 02 - 26 ( Android )   Blink 537.36   3.23. 17     Custom Elements   Ogg Opus in MSE and    Page Visibility API   VTTCue   Web Speech API ( synthesis )   Font - kerning   requestAutocomplete ( )   Speech Synthesis    Android version :    Download progress notification for file downloads using the Chrome network stack   Updated help and feedback UI   Support for  tag    iOS version :    Stability and security updates       34.0. 1847   2014 - 04 - 02 ( Android ) 2014 - 04 - 08 ( Linux , macOS and Windows ) 2014 - 04 - 29 ( iOS )   Blink 537.36   3.24. 35     Responsive Images and Unprefixed Web Audio   Import supervised users onto new computers   A different look for Windows 8 Metro mode   A number of new apps / extension APIs   New scroll bar look   Ignores autocomplete = `` off '' on password input fields    Android version :    Battery usage optimizations    iOS version :    Updated tour when you start Chrome for the first time   Support for autocomplete in the omnibox for right to left languages       35.0. 1916   2014 - 05 - 20 ( Android ) 2014 - 05 - 20 ( Linux , macOS and Windows ) 2014 - 05 - 28 ( iOS )   Blink 537.36   3.25. 28     More developer control over touch input   New JavaScript features   Unprefixed Shadow DOM v0   A number of new apps / extension APIs   Opus updated to version v1. 1    Android version :    Undo Tab Close   Fullscreen video with Subtitles and HTML5 controls   Support for some multi-window devices    iOS version :    Added right - to - left support to the omnibox for Arabic and Hebrew   See your search term in the omnibox , instead of the long search query URL   Easily refine your search queries and view more results on the search results page   Stability improvements and bug fixes    Linux version :    Switched graphics interface backend from GTK+ to Aura       36.0. 1985   2014 - 07 - 15 ( iOS ) 2014 - 07 - 16 ( Linux , macOS and Windows ) 2014 - 07 - 16 ( Android )   Blink 537.36   3.26. 31     Rich Notifications Improvements   An Updated Incognito / Guest NTP design   The addition of a Browser crash recovery bubble   Multiple stability and performance improvements    Android version :    Improved text rendering on non-mobile optimized sites   Doodles return to the new tab page    iOS version :    Allows mobile sites that have added Cast support to work with your Cast - enabled device   Stability improvements and bug fixes    Linux version :    Chrome App Launcher       37.0. 2062   2014 - 08 - 26 ( Linux , macOS and Windows ) 2014 - 09 - 03 ( Android ) 2014 - 09 - 22 ( iOS )   Blink 537.36   3.27. 34     DirectWrite support on Windows for improved font rendering   A number of new apps / extension APIs   Multiple stability and performance improvements   Removal of the showModalDialog API , breaking several enterprise web apps    Android version :    Signing into Chrome signs you into your favorite Google sites   Updated look and feel with elements of Material Design   Multiple performance improvements and bug fixes    Windows version :    64 - bit Windows support       38.0. 2125   2014 - 10 - 07 ( Linux , macOS and Windows ) 2014 - 10 - 07 ( iOS ) 2014 - 10 - 08 ( Android )   Blink 537.36   3.28. 71     A number of new apps / extension APIs   Support for logging into sites using FIDO U2F Security Key ( a USB or smartcard security token ) as a factor in 2 - factor authentication   Under - the - hood changes for stability and performance    Android version :    Support for Battery Status and Screen orientation APIs   Additional Material Design updates   Bug fixes and performance improvements    iOS version :    Better support for iPhone 6 and 6 +   Download and open files in Google Drive   Stability improvements and bug fixes   Security fix       39.0. 2171   2014 - 11 - 12 ( Android ) 2014 - 11 - 18 ( Linux , macOS and Windows ) 2014 - 11 - 24 ( iOS )   Blink 537.36   3.29. 88     Removes SSL / TLS protocol version fallback to SSLv3   64 - bit support for Mac   A number of new apps / extension APIs   Under - the - hood changes for stability and performance    Android version :    Number of bug fixes and performance improvements   Experimental Reader Mode can be enabled via chrome://flags , is not available for tablets in this version       40.0. 2214   2015 - 01 - 20 ( iOS ) 2015 - 01 - 21 ( Linux , macOS and Windows ) 2015 - 01 - 21 ( Android )   Blink 537.36   3.30. 33     Disabled SSLv3 support by default   The minimum SSL / TLS version can now be set through about : flags   Updated info dialog for Chrome app on Windows and Linux   A new clock behind / ahead error message    Android version :    Updated page info and content settings UI   Number of bug fixes and performance improvements    iOS version :    New look with Material Design bringing bold graphics , fluid motion , and tactile surfaces   iOS 8 optimizations and support for bigger phones   Support handoff from Chrome to your default browser on macOS   Stability improvements and bug fixes       41.0. 2272   2015 - 03 - 03 ( Linux , macOS and Windows ) 2015 - 03 - 11 ( Android ) 2015 - 03 - 16 ( iOS )   Blink 537.36   4.1. 0     A number of new apps / extension APIs   Lots of under the hood changes for stability and performance   Aero interface is disabled in Windows Vista    Android version :    The ability to pull to reload at the top of most pages   A number of bug fixes and performance improvements       42.0. 2311   2015 - 04 - 14 ( Linux , macOS and Windows ) 2015 - 04 - 15 ( Android ) 2015 - 04 - 16 ( iOS )   Blink 537.36   4.2. 77     Support for NPAPI plugins disabled by default   A number of new apps , extension and Web Platform APIs ( including the Push API )   Lots of under the hood changes for stability and performance   Add Bookmark is now redesigned .    Android version :    Getting the latest updates from sites with notifications   Adding your favorite sites to your homescreen is now even easier   Bug fixes and speedy performance improvements       43.0. 2357   2015 - 05 - 19 ( Linux , macOS and Windows ) 2015 - 05 - 27 ( Android ) 2015 - 06 - 01 ( iOS )   Blink 537.36   4.3. 61     Numerous bug fixes and security fixes    Android version :    Faster Checkout -- Quickly and securely complete checkout forms with data from Google Wallet   Touch to Search -- Learn more about words and phrases by touching them on your screen   Bug fixes and speedy performance improvements   No longer supports Android 4.0 ( Ice Cream Sandwich )       44.0. 2403   2015 - 07 - 21 ( Linux , macOS and Windows ) 2015 - 07 - 22 ( iOS ) 2015 - 07 - 29 ( Android )   Blink 537.36   4.4. 63     A number of new apps / extension APIs   Change in the loading page circle on Chrome tabs   Lots of under the hood changes for stability and performance    Android version :    Fixed a boatload of bugs and performance issues .    iOS version :    Swipe to navigate : swipe right or left to navigate backwards and forwards   Support for accessing Physical Web content from the Today view   Stability improvements and bug fixes       45.0. 2454   2015 - 09 - 01 ( Linux , macOS and Windows ) 2015 - 09 - 01 ( Android ) 2015 - 09 - 02 ( iOS )   Blink 537.36   4.5. 103     Support for NPAPI plugins permanently disabled   A number of fixes and improvements    Android version :    A number of fixes for a whole bunch of performance / stability / other issues .       46.0. 2490   2015 - 10 - 13 ( Linux , macOS and Windows ) 2015 - 10 - 14 ( Android ) 2015 - 10 - 22 ( iOS )   Blink 537.36   4.6. 85     Change in taskbar logo design   A number of fixes and improvements .    Android version :    Under the hood performance and stability tweaks .       47.0. 2526   2015 - 12 - 01 ( iOS ) 2015 - 12 - 01 ( Linux , macOS and Windows ) 2015 - 12 - 02 ( Android )   Blink 537.36   4.7. 80     Change in appearance on closing tabs with red x 's   New PDF viewer design   Security fixes    Android version :    `` More than a barge load of performance and stability fixes '' .    iOS version :    Added support for more keyboard shortcuts . Bluetooth keyboards can open , close or change tabs or conduct a voice search .   Support for 3D touch on iPhone 6s / + . Force touch the Chrome icon to quickly open a new tab , a new incognito * tab , or conduct a voice search .       48.0. 2564   2016 - 01 - 20 ( Linux , macOS and Windows ) 2016 - 01 - 27 ( iOS ) 2016 - 01 - 27 ( Android )   Blink 537.36   4.8. 271     `` Tab discarding '' was enabled by default in chrome://flags   Window change in right - clicking an embedded web link   The key icon in `` Save your password '' turns black   `` Clear browsing history '' has been improved   A large number of fixes and improvements    Android version :    Bug fixes and speedy performance improvements .    iOS version :    This version uses WKWebView , the latest rendering engine from Apple .   The crash rate was reduced by 70 % and JavaScript execution is now faster .   Redesigned icons on the New Tab page : easier access to more of your frequently - visited sites .   Spotlight integration : Drag down or right from the Home screen and search for your Chrome bookmarks .       49.0. 2623   2016 - 03 - 02 ( Linux , macOS and Windows ) 2016 - 03 - 09 ( iOS ) 2016 - 03 - 09 ( Android )   Blink 537.36   4.9. 385     Extension icons now appear near search tab .   Changes in bookmark bar appearances .   Change in Incognito mode window .   Change in scrollbar movement .   Changed Downloads page appearance / design .   A large number of fixes and improvements   Removed Windows 8 Mode ( Metro mode )   Last version available for Windows XP and Vista , and Mac OS 10.6 - 10.8 .    Android version :    `` More than a barge full of performance and stability fixes . ''    iOS version :    Bookmarks has a new look : Easily find your favorites !   Bug and stability fixes .       50.0. 2661   2016 - 04 - 13 ( Linux , macOS and Windows ) 2016 - 04 - 20 ( iOS ) 2016 - 04 - 26 ( Android )   Blink 537.36   5.0. 71     Auto - fill form letters are now highlighted in bold .   A number of fixes and improvements .   No longer supports Windows XP and Vista .    Android version :    Bug fixes and speedy performance improvements .    iOS version :    Bug and stability fixes .       51.0. 2704   2016 - 05 - 25 ( Linux , macOS and Windows ) 2016 - 06 - 01 ( iOS ) 2016 - 06 - 01 ( Android )   Blink 537.36   5.1. 281     A number of fixes and improvements .    Android version :    Brought tab switching back into Chrome ( Android L+ )   Bug fixes and speedy performance improvements .    iOS version :    Bug and stability fixes .       52.0. 2743   2016 - 07 - 20 ( Linux , macOS and Windows ) 2016 - 07 - 27 ( iOS ) 2016 - 07 - 27 ( Android )   Blink 537.36   5.2. 361     It is impossible to disable DirectWrite .   Bar on the bottom now shows darker text when hovering your mouse over the link .   `` A number of fixes and improvements . ''    Android version :    Bug fixes and speedy performance improvements    iOS version :    Accelerated Mobile Pages ( `` AMP '' ) -- news and articles from many of your favorite publishers will now load instantly .   Lightning bolt and `` AMP '' next to articles in the `` Top Stories '' section of search results indicate faster web page loading .       53.0. 2785   2016 - 08 - 31 ( Linux , macOS and Windows ) 2016 - 09 - 07 ( iOS ) 2016 - 09 - 07 ( Android )   Blink 537.36   5.3. 332     New browser 's inside look , including a new bookmark   `` A number of fixes and improvements . ''   ' Simplify page ' option removed from ' Save as PDF ' .   Shadow DOM v1    Android version :    Bug fixes and speedy performance improvements   Muted autoplay for video    iOS version :    Chrome 's History has a new look and it 's now easier to review , find , and delete your browsing history .   Voice Search has been updated with a fresh look . Voice Search can now answer contextual questions such as `` How tall is the Eiffel Tower ? '' followed by `` When was it built ? ''       54.0. 2840   2016 - 10 - 12 ( Linux , macOS and Windows ) 2016 - 10 - 19 ( iOS ) 2016 - 10 - 19 ( Android )   Blink 537.36   5.4. 500     `` Other bookmarks '' tab has changed appearance   The message `` Right - click to play Adobe Flash Player '' now appears while pages with Adobe Flash Player are loading .   `` A number of fixes and improvements . ''    Android version :    Bug fixes and speedy performance improvements   View article suggestions for you on the new tab page   Play media in the background for sites that support it   Update saved passwords when you change or reset your password    iOS version :    No internet connection ? Smile and tap the dinosaur   Fixed bookmark icons not displaying correctly   Fixed phone number detection issues in web pages   Stability improvements and bug fixes       55.0. 2883   2016 - 12 - 01 ( Linux , macOS and Windows ) 2016 - 12 - 05 ( iOS ) 2016 - 12 - 06 ( Android )   Blink 537.36   5.5. 372     The History page has changed and is no longer in `` Settings ''   Flash Player is now off by default for most sites   `` A number of fixes and improvements . ''   It is not possible to disable top level Material Design    iOS version :    You can swipe down or right from the iOS Home screen to search . Searching for `` voice '' or `` incognito '' enables you to start Chrome in Voice Search mode or in a new Incognito Tab , respectively . The appearance of items in Spotlight Search will only work for devices that support Spotlight Actions .   The folder named `` All Bookmarks '' has been removed from the Bookmarks view . You can access all your other devices ' Bookmarks by clicking on the other folders .    Android version :    Bug fixes and speedy performance improvements   Easily download music , videos , and even full web pages for viewing offline   View and share your downloads within Chrome   See misspelled words highlighted in text fields   Improvements to contextual search UI       56.0. 2924   2017 - 01 - 25 ( Linux , macOS and Windows ) 2017 - 02 - 01 ( iOS ) 2017 - 02 - 01 ( Android )   Blink 537.36   5.6. 326     HTML5 enabled by default   Adobe Flash Player is automatically blocked for most sites that require the plugin   Labeling of unsecured HTTP sites   `` A number of fixes and improvements . ''    iOS version :    Scan a QR code or barcode by using 3D Touch on the app logo or searching for `` QR '' in Spotlight .   We 've redesigned the tab switcher layout on iPad to make it easier to access your open sites .    Android version :    Easily download music , videos , and even full web pages for viewing offline   View and share your downloads within Chrome   See misspelled words highlighted in text fields   Improvements to contextual search UI   Bug fixes and significant memory savings       57.0. 2987   2017 - 03 - 09 ( Linux , macOS and Windows ) 2017 - 03 - 14 ( iOS ) 2017 - 03 - 16 ( Android )   Blink 537.36   5.7. 492     CSS grid layout   Improved `` Add to Home '' screen   Media Session API   `` A number of fixes and improvements . ''   WebAssembly   Background tab policy changes    iOS version :    Chrome can add pages to your Reading List .   Find in Page now works corr</t>
  </si>
  <si>
    <t xml:space="preserve">what version of google chrome is the latest</t>
  </si>
  <si>
    <t xml:space="preserve">   Major version   Release date   Layout engine   V8 engine   Significant changes     0.2. 149   2008 - 09 - 02   WebKit 522   0.3     First release       0.3. 154   2008 - 10 - 29     Improved plugin performance and reliability   Spell checking for input fields   Improved web proxy performance and reliability   Tab and window management updates       0.4. 154   2008 - 11 - 24   WebKit 525     Bookmark manager with import and export support   Privacy section added to the application options   New blocked popup notification       1.0. 154   2008 - 12 - 11   WebKit 528     First stable release       2.0. 172   2009 - 05 - 24   WebKit 530   0.4     35 % faster JavaScript on the SunSpider benchmark   Mouse wheel support   Full - screen mode   Full - page zoom   Form auto - fill   Sort bookmarks by title   Tab docking to browser and desktop edges   Basic Greasemonkey support       3.0. 195   2009 - 10 - 12   WebKit 532   1.2     New `` new tab '' page for improved customization   25 % faster JavaScript   HTML5 video and audio tag support   Lightweight theming       4.0. 249   2010 - 01 - 25   WebKit 532.5   1.3     Extensions   Bookmark synchronization   Enhanced developer tools   Improved HTML5 support   Performance improvements   Full ACID3 pass   HTTP byte range support   Experimental new anti-reflected - XSS feature called `` XSS Auditor ''       4.1. 249   2010 - 03 - 17     Translate infobar   New privacy features   Disabled XSS Auditor       5.0. 375   2010 - 05 - 21   WebKit 533       Browser preference synchronizing   Increased HTML5 support ( Geolocation API , App Cache , web sockets , and file drag - and - drop )   Revamped bookmark manager   Adobe Flash Player integrated   First stable releases for macOS , 32 bit Linux , and 64 bit Linux       6.0. 472   2010 - 09 - 02   WebKit 534.3       Updated and more streamlined UI with simplified Omnibox   New tab page   Merged menu buttons   Form auto - fill   Expanded synchronization support to include extensions and auto - fill data   Support for WebM videos   Built - in PDF support ( disabled by default )       7.0. 517   2010 - 10 - 21   WebKit 534.7   2.3. 11     Implemented HTML5 parsing algorithm   File API   Directory upload via input tag   macOS version gained AppleScript support for UI automation   Late binding enabled for SSL sockets : high priority SSL requests are now always sent to the server first .   New options for managing cookies   Updated New Tab page to enable featuring of web applications       8.0. 552   2010 - 12 - 02   WebKit 534.10   2.4. 9     Chrome Web Store   Built - in PDF viewer that works inside Chrome 's sandbox for increased security   Expanded synchronization support to include web applications   Improved plug - in handling   This release added `` about : flags '' to showcase experimental features such as Chrome Instant , side tabs on Windows , tabbed settings , Click to Play , background web applications , Remoting , disables outdated plug - ins , XSS Auditor , Cloud Print Proxy , GPU - accelerated compositing , WebGL support for the canvas element , and a `` tab overview '' mode ( like Exposé ) for macOS .       9.0. 597   2011 - 02 - 03   WebKit 534.13   2.5. 9     WebGL enabled by default   Adobe Flash sandboxing on Windows and Chrome Instant ( a la Google Instant ) option   WebP support   New flags : print preview , GPU - accelerated compositing , GPU - accelerated Canvas 2D , Google Native Client , CRX-less Web Apps , Web page prerendering , experimental Extension APIs , disable hyperlink auditing       10.0. 648   2011 - 03 - 08   WebKit 534.16   3.0. 12     Google Cloud Print sign - in interface enabled by default   Partially implemented sandboxing of the GPU process   Faster JavaScript performance due to incorporation of Crankshaft , an improved compiler for V8   Settings pages that open in a tab , rather than a dialog box   Malware reporting and disabling outdated plugins   Password sync   GPU accelerated video   Background WebApps   webNavigation extension API       11.0. 696   2011 - 04 - 27   WebKit 534.24   3.1. 8     HTML5 Speech Input API   Updated icon       12.0. 742   2011 - 06 - 07   WebKit 534.30   3.2. 10     Hardware accelerated 3D CSS   New Safe Browsing protection against downloading malicious files   Ability to delete Flash cookies from inside Chrome   Launch Apps by name from the Omnibox   Integrated Sync into new settings pages   Improved screen reader support   New warning when hitting Command - Q on Mac   New flags : P2P API   Existing tab on foreground on open   Experimental new tab page   Add grouping to tab context menu   Run PPAPI Flash in the renderer process   Multiple profiles   Removed Google Gears   Print and Save buttons in the PDF viewer       13.0. 782   2011 - 08 - 02   WebKit 535.1   3.3. 10     Instant Pages ( pre-rendering of Web pages )   Native print interface and preview ( Linux and Windows only )   Experimental new tab page   Experimental Restrict Instant To Search option       14.0. 835   2011 - 09 - 16   3.4. 14     Native Client ( NaCl ) enabled for apps in the Chrome Web Store   Web Audio API   Additional macOS Lion feature support   Sync Encryption for all data   Print preview on Mac   Validation of HTTPS sites   Experimental Web Request extension API   Experimental Content Settings extension API       15.0. 874   2011 - 10 - 25   WebKit 535.2   3.5. 10     Faster print preview   Redesigned new tab page on by default   JavaScript fullscreen API enabled by default   Inline installation of Chrome Web Store items by verified sites   Omnibox History synchronization   Switched to FFmpeg native VP8 decoder   Extensions integrated into settings pages   GPU Accelerated Canvas 2D disabled       16.0. 912   2011 - 12 - 13   WebKit 535.7   3.6. 6     Multiple profiles on by default   Optional permissions in Chrome extensions , so the user can opt - in or opt - out of the optional permissions at installation time   Experimental support for side tabs was removed .       17.0. 963   2012 - 02 - 08   WebKit 535.11   3.7. 12     Updated Omnibox prerendering of pages   Download scanning protection   New extensions APIs   Improved History tab   Removal of `` + '' symbol from the `` new tab '' button   Limited support for changing user agent strings   Adjustable margins in print preview   Search engine synchronization   Disabled GAIA profile info       18.0. 1025   2012 - 03 - 28 2012 - 06 - 27 ( Android ARM ) 2012 - 09 - 26 ( 18.0. 1026 , Android x86 )   WebKit 535.19   3.8. 9     Hardware - accelerated Canvas2D graphics   WebGL without the need of 3D graphics hardware through the software rasterizer SwiftShader   Brighter `` new tab '' button       19.0. 1084   2012 - 05 - 15 2012 - 06 - 28 ( iOS )   WebKit 536.5   3.9. 24     Access tabs between devices   Reorganized and searchable settings interface   Better spell check by using the Google search engine spell checker   Web Store link to the bottom of New Tab page   Experimental JavaScript Harmony ( ECMAScript 6 ) support   Experimental Web Intents API       20.0. 1132   2012 - 06 - 26   WebKit 536.10   3.10. 6     Experimental touch friendly user interface adjustments . Context menus have extra vertical padding between items .   New tab button is bigger and wider       21.0. 1180   2012 - 07 - 31 2012 - 08 - 22 ( iOS )   WebKit 537.1   3.11. 10     Media Stream API ( getUserMedia ) enabled by default . ( E.g. webcam access via JavaScript . )   Gamepad API prototype available by default .   Support for ( pointer ) and ( hover ) CSS media queries so sites can optimize their user interface for touch when touch - screen support is available .   HTML5 audio / video and WebAudio now support 24 - bit PCM wave files       22.0. 1229   2012 - 09 - 25   WebKit 537.4   3.12. 19     New - style packaged apps are enabled by default .   New menu icon , replacing the wrench icon   Support for TLS 1.1   Support for color management ICC v2 profiles by default       23.0. 1271   2012 - 11 - 06 2012 - 11 - 28 ( iOS )   WebKit 537.11   3.13. 7     Do Not Track preference   Hardware video acceleration with 25 % more efficient power consumption in some scenarios   Manager for site permission control   New icon for Chrome Web Store when opening new tab   PPAPI Flash Player ( or Pepper - based Flash Player ) replaced the NPAPI Flash Player on Mac also       24.0. 1312   2013 - 01 - 10   WebKit 537.17   3.14. 5     Support for MathML   The HTML5 datalist element now supports suggesting a date and time   Experimental support for CSS custom filters       25.0. 1364   2013 - 02 - 21 2013 - 02 - 27 ( Android ) 2013 - 03 - 04 ( iOS )   WebKit 537.22   3.15. 11     Support for Opus audio   Support for VP9 video   Silent installs of external extensions are now disabled by default .   Web Speech API   Encrypted omnibox search ( https )   Native Client on ARM   Disabled MathML support for the time being    Android version ( update from 18 ) :    Newer V8 JavaScript engine   Audio now continues to play while Chrome is in the background   Support for pausing audio in Chrome when phone is in use       26.0. 1410   2013 - 03 - 26 2013 - 04 - 03 ( Android ) 2013 - 04 - 09 ( iOS )   WebKit 537.31   3.16. 14     Improved spell checker ( grammar and homonym checking )   Desktop shortcuts for multiple users ( profiles ) on Windows   Asynchronous DNS resolver on Mac and Linux    Android version :    Autofill and password sync   Performance and stability improvements       27.0. 1453   2013 - 05 - 21 2013 - 05 - 22 ( Android ) 2013 - 06 - 03 ( iOS )   WebKit 537.36   3.17. 6     Resource handling optimized for faster page loads   Improved Omnibox predictions and spelling correction   syncFileSystem API for Google Drive data synchronization   Stop packaging Manifest version 1.0 extensions    Android version :    Fullscreen on phones ( scrolling down the page makes the toolbar disappear )   Simpler searching ( the query stays visible in the omnibox , making it easier to edit )   Client - side certificate support   Tab history on tablets   `` A ton of stability and performance fixes ''       28.0. 1500   2013 - 06 - 17 ( Linux ) 2013 - 07 - 09 ( macOS and Windows ) 2013 - 07 - 10 ( Android ) 2013 - 07 - 17 ( iOS )   Blink 537.36 WebKit 537.36 ( on iOS )   3.18. 5     Replaced layout engine with Blink , a fork of WebKit on all platforms besides iOS   Faster page loads with the new Blink threaded HTML parser   Rich Notifications and Notification Center ( HTML - based notifications deprecated )   Major improvements to the asm. js benchmark performances   Support for the CSS : unresolved pseudoclass for Custom Elements   Support for the CSS @ supports conditional blocks to test for property : value pairs    Android version :    Fullscreen API support ( fullscreen browsing on tablets )   Experimental WebGL , Web Audio , WebRTC support behind flags   Built - in translation    iOS version :    Improved interoperability with many other Google Apps   Voice Search enhancements   Fullscreen for iPad   Data usage savings ( rolling out over time )   Access to browser history       29.0. 1547   2013 - 08 - 20 ( Linux , macOS and Windows ) 2013 - 08 - 21 ( Android ) 2013 - 09 - 12 ( iOS )   Blink 537.36   3.19. 18     Support for VP9 final   Support for TLS 1.2   Preliminary QUIC support   Improved Omnibox suggestions based on the recency of visited sites   Ability to reset user profile back to its original state   New apps and extensions APIs ( such as Native Messaging API for connecting Chrome with native applications installed on the same computer - an alternative to NPAPI )    Android version :    WebRTC support   WebAudio support   Improved scrolling responsiveness and visual indication when scrolling to the top or bottom of a page   Startup performance and stability improvements   New color picker user interface for web forms   Support for Google 's experimental data compression service ( comparable to Opera Turbo ) that lets Google servers quickly read and optimize a Web page for mobile devices , then transmit it to the smartphone using Google 's SPDY network technology .   Rudimentary tab groups implemented    iOS version :    Get back to Search Results faster   Data cost savings enhancements ( rolled out incrementally )   Voice search pronoun support ( e.g. queries like : `` Who is the president of the United States ? '' followed by `` Who is his wife ? '' )   Improvements to Single Sign On with other Google Apps   Support for WebP image format       30.0. 1599   2013 - 09 - 18 ( iOS ) 2013 - 10 - 01 ( Linux , macOS and Windows ) 2013 - 10 - 02 ( Android )   Blink 537.36   3.20. 17     New image context menu item : `` Search Google for this image ''   New Chrome Apps APIs : webview. request , media gallery write support and downloads   New platform features ( both in desktop and mobile ) : support for the WebRTC Device Enumeration API , allowing users to change their microphones and / or camera on the fly without having to restart the WebRTC call ; DevTools now supports CSS source maps ; Chrome will now match the behavior of IE and not honor the Refresh header or tags when the URL to be refreshed to has a javascript : scheme ;    Android version :    New gesture : swipe horizontally across the top toolbar to quickly switch tabs   New gesture : drag vertically down from the toolbar to enter into the tab switcher view   New gesture : drag down from the menu to open the menu and select wanted item without having to lift finger   WebGL is enabled by default on high - end devices   DeviceMotion ( device acceleration and rotation rates ) events   Media Source Extension is enabled on Android 4.1 +   Two new experimental features behind a flag : Web Speech API ( recognition ) and the Vibration API    iOS version :    New look and feature enhancements for iOS7   Improvements to Fullscreen behavior especially on iPad ( iOS7 only )   New Settings UI   Maps and email links launch the Google Maps and Gmail apps ( if installed ) automatically . You can change your preference in Settings   Stability / security improvements and bug fixes       31.0. 1650   2013 - 11 - 12 ( Linux , macOS and Windows ) 2013 - 11 - 14 ( Android ) 2013 - 11 - 20 ( iOS )   Blink 537.36   3.21. 18     Payment requestAutocomplete ( ) on Chrome for Android , Windows , Chrome OS   PNaCl on desktop versions of Chrome   New Chrome Apps APIs : With URL handlers for apps , Chrome App developers can now specify URLs to be handled by a Chrome App . For example , a document link on a website could open a document editor Chrome App . This gives users more seamless entry points into their favorite Chrome Apps .   Directory access for Apps allows Chrome Apps to access and write to user - approved folders . This feature can be used to share files between a Chrome App and a native app . For example , a Chrome App code editor could modify files managed by a native Git client .   SCTP for WebRTC Data Channel allows P2P data transfers between browsers to be either best effort , reliable , or semi reliable , opening up use cases such as gaming .   Alpha channel support for WebM video enables transparency masking ( a.k.a. green screen effects ) in WebM videos .   Speech recognition with the JavaScript Web Speech API is now supported on Chrome for Android .   window. devicePixelRatio now takes full - page zoom ( but not pinch zoom ) into account   Support for ( alpha : false ) in getContext ( ' 2d ' ) lets you create an opaque canvas . This is similar to existing WebGL functionality and can improve the rendering performance of your app .   The Media Source API has been unprefixed and is now supported on Chrome for Android . It allows JavaScript to generate media streams for playback , addressing use cases like adaptive streaming and time shifting live streams .   2D canvas now supports the `` ellipse '' method .   Support for several Mutation Events has been removed . Consider using MutationObserver instead .    iOS version :    Fast form completion with Autofill   Long press on an image to search for related images   Stability / security improvements and bug fixes       32.0. 1700   2014 - 01 - 14 ( Linux , macOS and Windows ) 2014 - 01 - 15 ( Android ) 2014 - 01 - 27 ( iOS )   Blink 537.36   3.22. 24     Tab indicators for sound , webcam and casting   A different look for Win8 Metro mode   Automatically blocking malware files   A number of new apps / extension APIs   Various under - the - hood changes for stability and performance    Android version :    Add web page shortcuts right to your home screen more easily from the menu   Reduce data usage in Chrome up to 50 % . Visit Settings &gt; Bandwidth management &gt; Reduce data usage to enable .    iOS version :    Translate   When you come across a page written in a language that you do n't understand , just look for the translation bar . One tap and the page is quickly translated for you .     Reduce Data Usage   Reduce your data usage by up to 50 % . Enable this feature and view your savings : Settings &gt; Bandwidth &gt; Reduce Data Usage .     New Tab Page update to make searching faster and easier   This feature is being rolled out and will be available to all users over time , beginning on iPhone .         33.0. 1750   2014 - 02 - 18 ( iOS ) 2014 - 02 - 20 ( Linux , macOS and Windows ) 2014 - 02 - 26 ( Android )   Blink 537.36   3.23. 17     Custom Elements   Ogg Opus in MSE and    Page Visibility API   VTTCue   Web Speech API ( synthesis )   Font - kerning   requestAutocomplete ( )   Speech Synthesis    Android version :    Download progress notification for file downloads using the Chrome network stack   Updated help and feedback UI   Support for  tag    iOS version :    Stability and security updates       34.0. 1847   2014 - 04 - 02 ( Android ) 2014 - 04 - 08 ( Linux , macOS and Windows ) 2014 - 04 - 29 ( iOS )   Blink 537.36   3.24. 35     Responsive Images and Unprefixed Web Audio   Import supervised users onto new computers   A different look for Windows 8 Metro mode   A number of new apps / extension APIs   New scroll bar look   Ignores autocomplete = `` off '' on password input fields    Android version :    Battery usage optimizations    iOS version :    Updated tour when you start Chrome for the first time   Support for autocomplete in the omnibox for right to left languages       35.0. 1916   2014 - 05 - 20 ( Android ) 2014 - 05 - 20 ( Linux , macOS and Windows ) 2014 - 05 - 28 ( iOS )   Blink 537.36   3.25. 28     More developer control over touch input   New JavaScript features   Unprefixed Shadow DOM v0   A number of new apps / extension APIs   Opus updated to version v1. 1    Android version :    Undo Tab Close   Fullscreen video with Subtitles and HTML5 controls   Support for some multi-window devices    iOS version :    Added right - to - left support to the omnibox for Arabic and Hebrew   See your search term in the omnibox , instead of the long search query URL   Easily refine your search queries and view more results on the search results page   Stability improvements and bug fixes    Linux version :    Switched graphics interface backend from GTK+ to Aura       36.0. 1985   2014 - 07 - 15 ( iOS ) 2014 - 07 - 16 ( Linux , macOS and Windows ) 2014 - 07 - 16 ( Android )   Blink 537.36   3.26. 31     Rich Notifications Improvements   An Updated Incognito / Guest NTP design   The addition of a Browser crash recovery bubble   Multiple stability and performance improvements    Android version :    Improved text rendering on non-mobile optimized sites   Doodles return to the new tab page    iOS version :    Allows mobile sites that have added Cast support to work with your Cast - enabled device   Stability improvements and bug fixes    Linux version :    Chrome App Launcher       37.0. 2062   2014 - 08 - 26 ( Linux , macOS and Windows ) 2014 - 09 - 03 ( Android ) 2014 - 09 - 22 ( iOS )   Blink 537.36   3.27. 34     DirectWrite support on Windows for improved font rendering   A number of new apps / extension APIs   Multiple stability and performance improvements   Removal of the showModalDialog API , breaking several enterprise web apps    Android version :    Signing into Chrome signs you into your favorite Google sites   Updated look and feel with elements of Material Design   Multiple performance improvements and bug fixes    Windows version :    64 - bit Windows support       38.0. 2125   2014 - 10 - 07 ( Linux , macOS and Windows ) 2014 - 10 - 07 ( iOS ) 2014 - 10 - 08 ( Android )   Blink 537.36   3.28. 71     A number of new apps / extension APIs   Support for logging into sites using FIDO U2F Security Key ( a USB or smartcard security token ) as a factor in 2 - factor authentication   Under - the - hood changes for stability and performance    Android version :    Support for Battery Status and Screen orientation APIs   Additional Material Design updates   Bug fixes and performance improvements    iOS version :    Better support for iPhone 6 and 6 +   Download and open files in Google Drive   Stability improvements and bug fixes   Security fix       39.0. 2171   2014 - 11 - 12 ( Android ) 2014 - 11 - 18 ( Linux , macOS and Windows ) 2014 - 11 - 24 ( iOS )   Blink 537.36   3.29. 88     Removes SSL / TLS protocol version fallback to SSLv3   64 - bit support for Mac   A number of new apps / extension APIs   Under - the - hood changes for stability and performance    Android version :    Number of bug fixes and performance improvements   Experimental Reader Mode can be enabled via chrome://flags , is not available for tablets in this version       40.0. 2214   2015 - 01 - 20 ( iOS ) 2015 - 01 - 21 ( Linux , macOS and Windows ) 2015 - 01 - 21 ( Android )   Blink 537.36   3.30. 33     Disabled SSLv3 support by default   The minimum SSL / TLS version can now be set through about : flags   Updated info dialog for Chrome app on Windows and Linux   A new clock behind / ahead error message    Android version :    Updated page info and content settings UI   Number of bug fixes and performance improvements    iOS version :    New look with Material Design bringing bold graphics , fluid motion , and tactile surfaces   iOS 8 optimizations and support for bigger phones   Support handoff from Chrome to your default browser on macOS   Stability improvements and bug fixes       41.0. 2272   2015 - 03 - 03 ( Linux , macOS and Windows ) 2015 - 03 - 11 ( Android ) 2015 - 03 - 16 ( iOS )   Blink 537.36   4.1. 0     A number of new apps / extension APIs   Lots of under the hood changes for stability and performance   Aero interface is disabled in Windows Vista    Android version :    The ability to pull to reload at the top of most pages   A number of bug fixes and performance improvements       42.0. 2311   2015 - 04 - 14 ( Linux , macOS and Windows ) 2015 - 04 - 15 ( Android ) 2015 - 04 - 16 ( iOS )   Blink 537.36   4.2. 77     Support for NPAPI plugins disabled by default   A number of new apps , extension and Web Platform APIs ( including the Push API )   Lots of under the hood changes for stability and performance   Add Bookmark is now redesigned .    Android version :    Getting the latest updates from sites with notifications   Adding your favorite sites to your homescreen is now even easier   Bug fixes and speedy performance improvements       43.0. 2357   2015 - 05 - 19 ( Linux , macOS and Windows ) 2015 - 05 - 27 ( Android ) 2015 - 06 - 01 ( iOS )   Blink 537.36   4.3. 61     Numerous bug fixes and security fixes    Android version :    Faster Checkout -- Quickly and securely complete checkout forms with data from Google Wallet   Touch to Search -- Learn more about words and phrases by touching them on your screen   Bug fixes and speedy performance improvements   No longer supports Android 4.0 ( Ice Cream Sandwich )       44.0. 2403   2015 - 07 - 21 ( Linux , macOS and Windows ) 2015 - 07 - 22 ( iOS ) 2015 - 07 - 29 ( Android )   Blink 537.36   4.4. 63     A number of new apps / extension APIs   Change in the loading page circle on Chrome tabs   Lots of under the hood changes for stability and performance    Android version :    Fixed a boatload of bugs and performance issues .    iOS version :    Swipe to navigate : swipe right or left to navigate backwards and forwards   Support for accessing Physical Web content from the Today view   Stability improvements and bug fixes       45.0. 2454   2015 - 09 - 01 ( Linux , macOS and Windows ) 2015 - 09 - 01 ( Android ) 2015 - 09 - 02 ( iOS )   Blink 537.36   4.5. 103     Support for NPAPI plugins permanently disabled   A number of fixes and improvements    Android version :    A number of fixes for a whole bunch of performance / stability / other issues .       46.0. 2490   2015 - 10 - 13 ( Linux , macOS and Windows ) 2015 - 10 - 14 ( Android ) 2015 - 10 - 22 ( iOS )   Blink 537.36   4.6. 85     Change in taskbar logo design   A number of fixes and improvements .    Android version :    Under the hood performance and stability tweaks .       47.0. 2526   2015 - 12 - 01 ( iOS ) 2015 - 12 - 01 ( Linux , macOS and Windows ) 2015 - 12 - 02 ( Android )   Blink 537.36   4.7. 80     Change in appearance on closing tabs with red x 's   New PDF viewer design   Security fixes    Android version :    `` More than a barge load of performance and stability fixes '' .    iOS version :    Added support for more keyboard shortcuts . Bluetooth keyboards can open , close or change tabs or conduct a voice search .   Support for 3D touch on iPhone 6s / + . Force touch the Chrome icon to quickly open a new tab , a new incognito * tab , or conduct a voice search .       48.0. 2564   2016 - 01 - 20 ( Linux , macOS and Windows ) 2016 - 01 - 27 ( iOS ) 2016 - 01 - 27 ( Android )   Blink 537.36   4.8. 271     `` Tab discarding '' was enabled by default in chrome://flags   Window change in right - clicking an embedded web link   The key icon in `` Save your password '' turns black   `` Clear browsing history '' has been improved   A large number of fixes and improvements    Android version :    Bug fixes and speedy performance improvements .    iOS version :    This version uses WKWebView , the latest rendering engine from Apple .   The crash rate was reduced by 70 % and JavaScript execution is now faster .   Redesigned icons on the New Tab page : easier access to more of your frequently - visited sites .   Spotlight integration : Drag down or right from the Home screen and search for your Chrome bookmarks .       49.0. 2623   2016 - 03 - 02 ( Linux , macOS and Windows ) 2016 - 03 - 09 ( iOS ) 2016 - 03 - 09 ( Android )   Blink 537.36   4.9. 385     Extension icons now appear near search tab .   Changes in bookmark bar appearances .   Change in Incognito mode window .   Change in scrollbar movement .   Changed Downloads page appearance / design .   A large number of fixes and improvements   Removed Windows 8 Mode ( Metro mode )   Last version available for Windows XP and Vista , and Mac OS 10.6 - 10.8 .    Android version :    `` More than a barge full of performance and stability fixes . ''    iOS version :    Bookmarks has a new look : Easily find your favorites !   Bug and stability fixes .       50.0. 2661   2016 - 04 - 13 ( Linux , macOS and Windows ) 2016 - 04 - 20 ( iOS ) 2016 - 04 - 26 ( Android )   Blink 537.36   5.0. 71     Auto - fill form letters are now highlighted in bold .   A number of fixes and improvements .   No longer supports Windows XP and Vista .    Android version :    Bug fixes and speedy performance improvements .    iOS version :    Bug and stability fixes .       51.0. 2704   2016 - 05 - 25 ( Linux , macOS and Windows ) 2016 - 06 - 01 ( iOS ) 2016 - 06 - 01 ( Android )   Blink 537.36   5.1. 281     A number of fixes and improvements .    Android version :    Brought tab switching back into Chrome ( Android L+ )   Bug fixes and speedy performance improvements .    iOS version :    Bug and stability fixes .       52.0. 2743   2016 - 07 - 20 ( Linux , macOS and Windows ) 2016 - 07 - 27 ( iOS ) 2016 - 07 - 27 ( Android )   Blink 537.36   5.2. 361     It is impossible to disable DirectWrite .   Bar on the bottom now shows darker text when hovering your mouse over the link .   `` A number of fixes and improvements . ''    Android version :    Bug fixes and speedy performance improvements    iOS version :    Accelerated Mobile Pages ( `` AMP '' ) -- news and articles from many of your favorite publishers will now load instantly .   Lightning bolt and `` AMP '' next to articles in the `` Top Stories '' section of search results indicate faster web page loading .       53.0. 2785   2016 - 08 - 31 ( Linux , macOS and Windows ) 2016 - 09 - 07 ( iOS ) 2016 - 09 - 07 ( Android )   Blink 537.36   5.3. 332     New browser 's inside look , including a new bookmark   `` A number of fixes and improvements . ''   ' Simplify page ' option removed from ' Save as PDF ' .   Shadow DOM v1    Android version :    Bug fixes and speedy performance improvements   Muted autoplay for video    iOS version :    Chrome 's History has a new look and it 's now easier to review , find , and delete your browsing history .   Voice Search has been updated with a fresh look . Voice Search can now answer contextual questions such as `` How tall is the Eiffel Tower ? '' followed by `` When was it built ? ''       54.0. 2840   2016 - 10 - 12 ( Linux , macOS and Windows ) 2016 - 10 - 19 ( iOS ) 2016 - 10 - 19 ( Android )   Blink 537.36   5.4. 500     `` Other bookmarks '' tab has changed appearance   The message `` Right - click to play Adobe Flash Player '' now appears while pages with Adobe Flash Player are loading .   `` A number of fixes and improvements . ''    Android version :    Bug fixes and speedy performance improvements   View article suggestions for you on the new tab page   Play media in the background for sites that support it   Update saved passwords when you change or reset your password    iOS version :    No internet connection ? Smile and tap the dinosaur   Fixed bookmark icons not displaying correctly   Fixed phone number detection issues in web pages   Stability improvements and bug fixes       55.0. 2883   2016 - 12 - 01 ( Linux , macOS and Windows ) 2016 - 12 - 05 ( iOS ) 2016 - 12 - 06 ( Android )   Blink 537.36   5.5. 372     The History page has changed and is no longer in `` Settings ''   Flash Player is now off by default for most sites   `` A number of fixes and improvements . ''   It is not possible to disable top level Material Design    iOS version :    You can swipe down or right from the iOS Home screen to search . Searching for `` voice '' or `` incognito '' enables you to start Chrome in Voice Search mode or in a new Incognito Tab , respectively . The appearance of items in Spotlight Search will only work for devices that support Spotlight Actions .   The folder named `` All Bookmarks '' has been removed from the Bookmarks view . You can access all your other devices ' Bookmarks by clicking on the other folders .    Android version :    Bug fixes and speedy performance improvements   Easily download music , videos , and even full web pages for viewing offline   View and share your downloads within Chrome   See misspelled words highlighted in text fields   Improvements to contextual search UI       56.0. 2924   2017 - 01 - 25 ( Linux , macOS and Windows ) 2017 - 02 - 01 ( iOS ) 2017 - 02 - 01 ( Android )   Blink 537.36   5.6. 326     HTML5 enabled by default   Adobe Flash Player is automatically blocked for most sites that require the plugin   Labeling of unsecured HTTP sites   `` A number of fixes and improvements . ''    iOS version :    Scan a QR code or barcode by using 3D Touch on the app logo or searching for `` QR '' in Spotlight .   We 've redesigned the tab switcher layout on iPad to make it easier to access your open sites .    Android version :    Easily download music , videos , and even full web pages for viewing offline   View and share your downloads within Chrome   See misspelled words highlighted in text fields   Improvements to contextual search UI   Bug fixes and significant memory savings       57.0. 2987   2017 - 03 - 09 ( Linux , macOS and Windows ) 2017 - 03 - 14 ( iOS ) 2017 - 03 - 16 ( Android )   Blink 537.36   5.7. 492     CSS grid layout   Improved `` Add to Home '' screen   Media Session API   `` A number of fixes and improvements . ''   WebAssembly   Background tab policy changes    iOS version :    Chrome can add pages to your Reading List .   Find in Page now works correctly in iOS 10.3 .    Android version :    Quickly use emails , addresses , and phone numbers in web pages by tapping on them   Easily access downloaded files and web pages from the new tab page   Long press article suggestions on the new tab page to download them   Bug fixes and per</t>
  </si>
  <si>
    <t xml:space="preserve">Fountain pen - wikipedia  Fountain pen  Jump to : navigation , search Close - up of traditional fountain pen with an iridium tip Modern , demonstrator and traditional fountain pens Various contemporary and vintage fountain pens ( left to right ) Pilot Justus 95 , Pelikan Souverän M1000 , Montblanc Meisterstück 149 , Pilot Heritage 912 , Parker Duofold Centennial , Sheaffer Snorkel Admiral , Lamy Dialog 3 , Welty , Parker Sonnet , Conway Stewart 55 , Waterman Thorobred , Mabie Todd Swan 3220  A fountain pen is a nib pen that , unlike its predecessor , the dip pen , contains an internal reservoir of liquid ink . The pen draws ink from the reservoir through a feed to the nib and deposits it on paper via a combination of gravity and capillary action . Filling the reservoir with ink may be achieved manually , via the use of a Pasteur pipette ( eyedropper ) or syringe , or via an internal filling mechanism which creates suction ( for example , through a piston mechanism ) to transfer ink directly through the nib into the reservoir . Some pens employ removable reservoirs in the form of pre-filled ink cartridges .     Contents  ( hide )   1 History   1.1 Early prototypes of reservoir pens   1.2 European reservoir models   1.3 First patent   1.4 Mass - manufactured nibs   1.5 New patents and inventions   1.6 Pen leakage   1.7 Further innovation   1.8 Popular usage     2 Feed   3 Nibs   3.1 Nib plating   3.2 Nib tipping   3.3 Capillary action   3.4 Types of nibs   3.5 Nib flexibility   3.6 Different nib styles     4 Filling mechanisms   4.1 Eyedropper filler   4.2 Self - filling designs   4.3 Piston filling innovation   4.4 Modern filling mechanisms     5 Cartridges   5.1 Standard international   5.2 Proprietary offerings   5.3 Concerns and alternatives     6 Inks   7 Today   8 See also   9 Notes and references   10 Bibliography   11 Further reading   12 External links      History ( edit )   Early prototypes of reservoir pens ( edit )   An early historical mention of what appears to be a reservoir pen dates back to the 10th century . According to Al - Qadi al - Nu'man ( d . 974 ) in his Kitab al - Majalis wa ' l - musayarat , the Fatimid caliph Al - Mu'izz li - Din Allah demanded a pen that would not stain his hands or clothes , and was provided with a pen that held ink in a reservoir , allowing it to be held upside - down without leaking .   There is compelling evidence that a working fountain pen was constructed and used during the Renaissance by artist and inventor Leonardo da Vinci . Leonardo 's journals contain drawings with cross-sections of what appears to be a reservoir pen that works by both gravity and capillary action . Historians also took note of the fact that the handwriting in the inventor 's surviving journals is of a consistent contrast throughout , rather than the characteristic fading pattern typical of a quill pen caused by expending and re-dipping . While no physical item survives , several working models were reconstructed in 2011 by artist Amerigo Bombara that have since been put on display in museums dedicated to Leonardo .  The world 's first patent on the fountain pen awarded by the French Government to the Romanian inventor Petrache Poenaru on 25 May 1827 M. Klein and Henry W. Wynne received US patent # 68445 in 1867 for an ink chamber and delivery system in the handle of the fountain pen  European reservoir models ( edit )  Deliciae physico - mathematicae , 1636  The fountain pen was available in Europe in the 17th century , and is shown by contemporary references . In Deliciae Physico - Mathematicae ( a 1636 magazine ) , German inventor Daniel Schwenter described a pen made from two quills . One quill served as a reservoir for ink inside the other quill . The ink was sealed inside the quill with cork . Ink was squeezed through a small hole to the writing point . In 1663 Samuel Pepys referred to a metal pen `` to carry ink '' . Noted Maryland historian Hester Dorsey Richardson ( 1862 -- 1933 ) documented a reference to `` three silver fountain pens , worth 15 shillings '' in England during the reign of Charles II , c. 1649 -- 1685 . By the early 18th century such pens were already commonly known as `` fountain pens '' . Hester Dorsey Richardson also found a 1734 notation made by Robert Morris the elder in the ledger of the expenses of Robert Morris the younger , who was at the time in Philadelphia , for `` one fountain pen '' .   First patent ( edit )   Progress in developing a reliable pen was slow until the mid-19th century because of an imperfect understanding of the role that air pressure plays in the operation of pens . Furthermore , most inks were highly corrosive and full of sedimentary inclusions . The Romanian inventor Petrache Poenaru received a French patent on May 25 , 1827 , for the invention of the first fountain pen with a barrel made from a large swan quill .   Mass - manufactured nibs ( edit )   In 1828 , Josiah Mason improved a cheap and efficient slip - in nib in Birmingham , England , which could be added to a fountain pen and in 1830 , with the invention of a new machine , William Joseph Gillott , William Mitchell , and James Stephen Perry devised a way to mass manufacture robust , cheap steel pen nibs ( Perry &amp; Co ) . This boosted the Birmingham pen trade and by the 1850s , more than half the steel - nib pens manufactured in the world were made in Birmingham . Thousands of skilled craftsmen were employed in the industry . Many new manufacturing techniques were perfected , enabling the city 's factories to mass - produce their pens cheaply and efficiently . These were sold worldwide to many who previously could not afford to write , thus encouraging the development of education and literacy .   New patents and inventions ( edit )   In 1848 , American inventor Azel Storrs Lyman patented a pen with `` a combined holder and nib '' . From the 1850s , there was a steadily accelerating stream of fountain pen patents and pens in production . However , it was only after three key inventions were in place that the fountain pen became a widely popular writing instrument . Those were the iridium - tipped gold nib , hard rubber , and free - flowing ink .  Waterman 42 Safety Pen , with variation in materials ( both red and black hard vulcanized rubbers or ebonite ) and retracting nibs Parker Duofold , c. 1924  The first fountain pens making use of all these key ingredients appeared in the 1850s . In the 1870s Duncan MacKinnon , a Canadian living in New York City , and Alonzo T. Cross of Providence , Rhode Island , created stylographic pens with a hollow , tubular nib and a wire acting as a valve . Stylographic pens are now used mostly for drafting and technical drawing but were very popular in the decade beginning in 1875 . In the 1880s the era of the mass - produced fountain pen finally began . The dominant American producers in this pioneer era were Waterman , of New York City , and Wirt , based in Bloomsburg , Pennsylvania . Waterman soon outstripped Wirt , along with many companies that sprang up to fill the new and growing fountain pen market . Waterman remained the market leader until the early 1920s .   At this time , fountain pens were almost all filled by unscrewing a portion of the hollow barrel or holder and inserting the ink by means of an eyedropper -- a slow and messy procedure . Pens also tended to leak inside their caps and at the joint where the barrel opened for filling . Now that the materials ' problems had been overcome and the flow of ink while writing had been regulated , the next problems to be solved were the creation of a simple , convenient self - filler and the problem of leakage . In 1890 , W.B. Purvis , an African - American , patented a self - filler . Self - fillers began to arrive around the turn of the century ; the most successful of these was probably the Conklin crescent - filler , followed by A.A. Waterman 's twist - filler . The tipping point , however , was the runaway success of Walter A. Sheaffer 's lever - filler , introduced in 1912 , paralleled by Parker 's roughly contemporary button - filler .   Pen leakage ( edit )   Meanwhile , many inventors turned their attention to the problem of leakage . Some of the earliest solutions to this problem came in the form of a `` safety '' pen with a retractable point that allowed the ink reservoir to be corked like a bottle . The most successful of these came from Francis C. Brown of the Caw 's Pen and Ink Co. and from Morris W. Moore of Boston .   In 1898 , George Safford Parker released the Parker Jointless , named so because its barrel was single - piece to prevent leakage . The section assembly fit into the pen 's end like a cork stopper ; any leaked ink was kept inside the nib .   In 1908 , Waterman began marketing a popular safety pen of its own . For pens with non-retractable nibs , the adoption of screw - on caps with inner caps that sealed around the nib by bearing against the front of the section effectively solved the leakage problem ( such pens were also marketed as `` safety pens '' , as with the Parker Jack Knife Safety and the Swan Safety Screw - Cap ) .   Further innovation ( edit )  Lever filler pen made of celluloid by Mabie Todd &amp; Co . New York ( 1927 )  In Europe , the German supplies company which came to be known as Pelikan was started in 1838 , and first introduced their pen in 1929 . This was based upon the acquisition of patents for solid - ink fountain pens from the factory of Slavoljub Penkala from Croatia ( patented 1907 , in mass production since 1911 ) , and the patent of the Hungarian Theodor Kovacs for the modern piston filler by 1925 .   The decades that followed saw many technological innovations in the manufacture of fountain pens . Celluloid gradually replaced hard rubber , which enabled production in a much wider range of colors and designs . At the same time , manufacturers experimented with new filling systems . The inter-war period saw the introduction of some of the most notable models , such as the Parker Duofold and Vacumatic , Sheaffer 's Lifetime Balance series , and the Pelikan 100 .   During the 1940s and 1950s , fountain pens retained their dominance : early ballpoint pens were expensive , were prone to leaks and had irregular inkflow , while the fountain pen continued to benefit from the combination of mass production and craftsmanship. ( Bíró 's patent , and other early patents on ball - point pens often used the term `` ball - point fountain pen , '' because at the time the ball - point pen was considered a type of fountain pen ; that is , a pen that held ink in an enclosed reservoir . ) This period saw the launch of innovative models such as the Parker 51 , the Aurora 88 , the Sheaffer Snorkel , and the Eversharp Skyline and ( later ) Skyliner , while the Esterbrook J series of lever - fill models with interchangeable steel nibs offered inexpensive reliability to the masses .   Popular usage ( edit )  Lamy 2000 piston filler made of polycarbonate and stainless steel , designed in 1966 and still in production  By the 1960s , refinements in ballpoint pen production gradually ensured its dominance over the fountain pen for casual use . Although cartridge - filler fountain pens are still in common use in France , Italy , Germany , Austria , India , and the United Kingdom , and are widely used by young students in most private schools in England and at least one private school in Scotland , a few modern manufacturers ( especially Montblanc , Graf von Faber - Castell and Visconti ) now depict the fountain pen as a collectible item or a status symbol , rather than an everyday writing tool . However , fountain pens continue to have a growing following among many who view them as superior writing instruments due to their relative smoothness and versatility . Retailers continue to sell fountain pens and inks for casual and calligraphic use . Recently , Fountain Pens have made a resurgence , with many manufacturers of fountain pens saying sales are climbing . This has led to a new wave of casual use fountain pens and custom ink manufacturers , who utilize online stores to easily and cheaply sell fountain pens .   Feed ( edit )  Diagram of the operation of a modern fountain pen  The feed of a fountain pen is the component that connects the nib of the pen with its ink reservoir .   It not only allows the ink to flow to the nib ( in what is often described as a `` controlled leak '' ) but also regulates the amount of air flowing backwards up to the reservoir to replace this lost ink .   It does this through the use of a series of narrow channels or `` fissures '' that run down its lower edge . As ink flows down these fissures , air is simultaneously allowed to flow upwards into the reservoir in an even exchange of volumes . The feed allows ink to flow when the pen is being put to paper but ensures ink does not flow when the pen is not in use . The feed makes use of capillary action ; this is noticeable when a pen is refilled with a brightly coloured ink . The ink is taken up and into the feed by way of capillary action ( and is often visible in clear demonstrator pens ) , but is not dispensed onto the paper until the nib makes contact .   How the feed is shaped may determine the wetness and flow of a particular pen . For this reason , feed material alone and its surface roughness may have a significant effect on the way two pens of the same nib size write .   Pen feeds are crucial to preventing ink from dripping or leaking . Feeds often feature finned structures intended for buffering fountain pen ink . Buffering is the capacity to catch and temporary hold an overflow of ink caused by other conditions than writing towards the nib . When a fountain pen nib receives such an overflow it will result in ink blobbing or dripping also known as burping . A pen with a misconfigured feed might fail to deposit any ink whatsoever .   Nibs ( edit )  Detail of a Visconti stainless steel nib and feed with a finned ink buffering structure at its rear half Tip of a fountain pen nib  According to Mathur et al. , `` the modern fountain pen nib may be traced back to the original gold nib which had a tiny fragment of ruby attached to form the wear - point . '' Following the discovery of the platinum group of metals which include ruthenium , osmium and iridium , `` a small quantity of iridium was isolated and used on the iridium - tipped gold dip pen nibs of the 1830s . '' Today , nibs are usually made of stainless steel or gold alloys , with the most popular gold content being 14 carat ( 581⁄3 % ) and 18 carat ( 75 % ) . Titanium is a less common metal used for making nibs . Gold is considered the optimum metal for its flexibility and its resistance to corrosion , although gold 's corrosion resistance is less of an issue than in the past because of better stainless steel alloys and less corrosive inks . Visconti uses a nib made out of palladium as it is more flexible and corrosion resistant than gold .   Nib plating ( edit )   Further gold plating provides favorable wettability , which is the ability of a solid surface to reduce the surface tension of a liquid in contact with it such that it spreads over the surface .   Nib tipping ( edit )  An example of a type of an italic nib used in fountain pens . Often used to make art .  Gold and most steel and titanium nibs are tipped with a hard , wear - resistant alloy that typically includes metals from the platinum group . These metals share qualities of extreme hardness and corrosion resistance . The tipping material is often called `` iridium '' , but there are few , if any , nib or pen manufacturers that used tipping alloys containing iridium metal since the mid-1950s . The metals osmium , rhenium , ruthenium and tungsten are used instead , generally as an alloy , with a little bit of osmium , rhenium , ruthenium and tungsten in a mix of other materials , produced as tiny pellets which are soldered or welded onto a nib tip prior to cutting the nib slit and grinding the tip into its final shape . Untipped steel and titanium points will wear more rapidly due to abrasion by the paper .   Capillary action ( edit )   The nib usually has a tapering or parallel slit cut down its centre , to convey the ink down the nib by capillary action , as well as a `` breather hole '' of varying shape . The breather hole has no actual function regarding controlling the ink or air flow . Its main function is to provide an endpoint to the nib slit and forestall inaccuracies during nib slit cutting . Adding distance between the breather hole and the nib tip adds elasticity or flexibility to the nib . The breather hole also acts as a stress relieving point , preventing the nib from cracking longitudinally from the end of the slit as a result of repeated flexing during use .   The whole nib narrows to a point where the ink is transferred to the paper . Broad calligraphy pens may have several slits in the nib to increase ink flow and help distribute it evenly across the broad point . Nibs divided into three ' tines ' are commonly known as music nibs . This is because their line , which can be varied from broad to fine , is suited for writing musical scores .   Types of nibs ( edit )   Although the most common nibs end in a round point of various sizes ( extra fine , fine , medium , broad ) , various other nib shapes are available . Examples of this are oblique , reverse oblique , stub , italic and 360 - degree nibs .   Broader nibs are used for less precise emphasis , with the benefit of a greater level of ink shading and / or sheen on less absorbent paper . Finer nibs ( e.g. EF and F ) may be used for intricate corrections and alterations , at the expense of shading and sheen . Oblique , reverse oblique , stub and italic nibs may be used for calligraphic purposes or for general handwritten compositions. The line width of a particular nib may vary based on its country of origin ; Japanese nibs are often thinner in general .   Nib flexibility ( edit )   Flexibility is given to nibs in several ways . First , the thickness of the nib metal changes flex . When the nib alloy has been pressed thick it will result in a hard nib , while thinly pressed nibs are more flexible . Nibs can be pressed so that they are thinner at the tip and thicker at the feed to mitigate stiffness or to give a more controlled flex . Second , the curve of the nib determines in part how stiff the nib will be .   Nibs pressed into more deeply convex curves , or into three or five faceted curves , will be stiffer than flatter nibs . Third , the `` breather hole '' size , shape , and position alter the stiffness . Heart shaped holes will improve flex as they widen , while round , small holes stiffen the pen . Fourth , the length of the tines determines how far they can spread under pressure , shorter tines make a stiffer nib . Fifth , the alloy used can affect stiffness : as mentioned before , gold is considered superior for its flex compared to steel . Moreover , purer gold ( 18k and 21k ) is softer than most lower gold concentration ( 14k ) alloys .  Mabie Todd Swan flexible 14k nib .  Fountain pens dating from the first half of the 20th century are more likely to have flexible nibs , suited to the favored handwriting styles of the period ( e.g. Copperplate script and Spencerian script ) . By the 1940s , writing preferences had shifted towards stiffer nibs that could withstand the greater pressure required for writing through carbon paper to create duplicate documents .   Furthermore , competition between the major pen brands such as Parker and Waterman , and the introduction of lifetime guarantees , meant that flexible nibs could no longer be supported profitably . In countries where this rivalry was not present to the same degree , for example the UK and Germany , flexible nibs are more common .   Nowadays , stiff nibs are the norm as people exchange between fountain pens and other writing modes . These more closely emulate the ballpoint pens modern users are experienced with . Despite being rigid and firm , the idea that steel nibs write `` horribly '' is a misconception . More flexible nibs can be easily damaged by ballpoint users who write with excessive pressure . Ideally , a fountain pen 's nib glides across the paper using the ink as a lubricant , and requires no pressure .   Good quality nibs that have been used appropriately are long lasting , often lasting longer than the lifetime of the original owner . Many vintage pens with decades - old nibs can still be used today .  Hooded nib of a Hero Pen The Integral Nib of a Parker 50 ( Falcon )  Different nib styles ( edit )   Other styles of fountain pen nibs include hooded ( e.g. Parker 51 , Parker 61 , 2007 Parker 100 and Hero 329 ) , inlaid ( e.g. Sheaffer Targa or Sheaffer P.F.M ) or integral Nib ( Parker T - 1 and Falcon , Pilot Myu 701 ) , which may also be ground to have different writing characteristics .   Users are often cautioned not to lend or borrow fountain pens as the nib `` wears in '' at an angle unique to each individual person . A different user is likely to find that a worn - in nib does not write satisfactorily in their hand and , furthermore , creates a second wear surface , ruining the nib for the original user . This , however , is not a point of concern in pens with modern , durable tipping material , as these pens take many years to develop any significant wear .   Filling mechanisms ( edit )  Left to Right : Gama Supreme eyedropper , Jinhao 159 and X750 using international standard converters or ink cartridges and Lamy Studio stainless and Nexx M using proprietary Lamy converters or ink cartridges . A squeeze filler by Hero  Eyedropper filler ( edit )   The reservoirs of the earliest fountain pens were mostly filled by eyedropper . This was a cumbersome and potentially messy process , which led to the commercial development of alternative methods that quickly dominated the industry . However , newer , more convenient filling mechanisms have never entirely displaced `` eyedropper - filling '' pens in the marketplace , and they remain widely manufactured today . For some the simplicity of the mechanism , coupled with the large volume of ink it can encapsulate , compensates for the inconvenience of ink transfer .   After the eyedropper - filler era came the first generation of mass - produced self - fillers , almost all using a rubber sac to hold the ink . The sac was compressed and then released by various mechanisms to fill the pen .   Self - filling designs ( edit )   The Conklin crescent filler , introduced c. 1901 , was one of the first mass - produced self - filling pen designs . The crescent filling system employs an arch - shaped crescent attached to a rigid metal pressure bar , with the crescent portion protruding from the pen through a slot and the pressure bar inside the barrel . A second component , a C - shaped hard rubber ring , is located between the crescent and the barrel .   Ordinarily , the ring blocks the crescent from pushing down . To fill the pen , one simply turns the ring around the barrel until the crescent matches up to the hole in the ring , allowing one to push down the crescent and squeeze the internal sac .   Several other filling mechanisms were introduced to compete , such as the coin - filler ( where a coin or ' medallion ' was supplied along with the pen ) , match - filler ( using a matchstick ) and a ' blow - filler ' which unsurprisingly required the pen owner to blow into the barrel to depress the internal sac .   Piston filling innovation ( edit )   In 1907 , Walter A. Sheaffer patented the Lever filler , using a hinged lever set into the pen barrel which pressed down onto a bar which in turn compressed the rubber sac inside , creating a vacuum to force ink into the pen . Introduced in 1912 , this innovation was rapidly imitated by the other major pen makers . Parker introduced the button filler , which had a button hidden beneath a blind cap on the end of the barrel ; when pressed , it acted on a pressure bar inside to depress the ink sac .   Following the crescent filler came a series of systems of increasing complexity , reaching their apogee in the Sheaffer Snorkel , introduced in 1952 . The Sheaffer `` Snorkel '' system filled the ink sac through a retractable tube above and behind the pen point . This eliminated the need to dunk the point in ink , and the subsequent need to wipe it . With the advent of the modern plastic ink cartridge in the early 1950s , though , most of these systems were phased out in favour of convenience ( but reduced capacity ) .   Screw - mechanism piston - fillers were made as early as the 1820s , but the mechanism 's modern popularity begins with the original Pelikan of 1929 , based upon a Croatian patent . The basic idea is simple : turn a knob at the end of the pen , and a screw mechanism draws a piston up the barrel , sucking in ink . Thus they were easier to fill . This is also why this filling mechanism is very popular in today 's fountain pens . Some of the earlier models had to dedicate as much as half of the pen length to the mechanism . The advent of telescoping pistons has improved this ; the Touchdown Filler was introduced by Sheaffer in 1949 . It was advertised as an `` Exclusive Pneumatic Down - stroke Filler . ''   To fill it , a knob at the end of the barrel is unscrewed and the attached plunger is drawn out to its full length . The nib is immersed in ink , the plunger is pushed in , compressing and then releasing the ink sac by means of air pressure . The nib is kept in the ink for approximately 10 seconds to allow the reservoir to fill . This mechanism is very closely modeled after a similar pneumatic filler introduced by Chilton over a decade earlier .   Modern filling mechanisms ( edit )  Schmidt K5 piston - style standard international size fountain pen converter , containing a user inserted 2.5 mm diameter Marine grade 316 stainless steel bearing ball  A capillary filling system was introduced by Parker in the Parker 61 in 1956 . There were no moving parts : the ink reservoir within the barrel was open at the upper end , but contained a tightly rolled length of slotted , flexible plastic . To fill , the barrel was unscrewed , the exposed open end of the reservoir was placed in ink and the interstices of the plastic sheet and slots initiated capillary action , drawing up and retaining the ink . The outside of the reservoir was coated with Teflon , a repellent compound that released excess ink as it was withdrawn . Ink was transferred through a further capillary tube to the nib . No method of flushing the device was offered , and because of problems from clogging with dried and hardened ink , production was eventually stopped .   Around the year 2000 , Pelikan introduced a filling system involving a valve in the blind end of the pen , which mates with a specially designed ink bottle . Thus docked , ink is then squeezed into the pen barrel ( which , lacking any mechanism other than the valve itself , has nearly the capacity of an eyedropper - fill pen of the same size ) . This system had been implemented only in their `` Level '' line , which was discontinued in 2006 .   Most pens today use either a piston filler , squeeze - bar filler or cartridge . Many pens are also compatible with a converter , which has the same fitting as the pen 's cartridge and has a filling mechanism and a reservoir attached to it . This enables a pen to either fill from cartridges , or from a bottle of ink . The most common type of converters are piston - style , but many other varieties may be found today . Piston - style converters generally have a transparent round tubular ink reservoir . Fountain pen inks feature differing surface tensions that can cause an ink to adhere or `` stick '' against the inside of the reservoir . Common solutions for this problem are adding a small ( rust - proof ) ink agitating object like a 316 or 904L stainless steel or zirconium dioxide bearing ball , spring or hollow tube in the tubular reservoir to mechanically promote free movement of the contained ink and ink / air exchange during writing . Adding a very small amount of surfactant like Triton X-100 used in Kodak Photo - Flo 200 wetting agent to the ink will chemically promote free movement of the contained ink and ink / air exchange during writing . However ink might react adversely to adding a surfactant .   Cartridges ( edit )   A patent for an ink cartridge system for fountain pens was filed in 1890 . In the early 20th century , cartridges made from glass and thin copper tubing were made . However , the concept only became successful and popular after the introduction of moulded plastic cartridges , firstly by Waterman in 1953 . Modern plastic cartridges can contain small ridges on the inside to promote free movement of the contained ink and ink / air exchange during writing . Often cartridges are closed with a small ball that gets pressed into the cartridge during insertion into the pen . This ball also aids free movement of the contained ink .   Standard international ( edit )   Most European fountain pen brands ( for example Caran d'Ache , Faber - Castell , Michel Perchin , DuPont , Montegrappa , Stipula , Pelikan , Montblanc , Europen , Monteverde , Sigma , Delta , Italix and Rotring ) and some pen brands of other continents ( for example Acura , Bexley , Retro51 , Tombow and Platinum ( with adaptor ) ) use so called `` international cartridges '' ( AKA `` European cartridges '' or `` standard cartridges '' or `` universal cartridges '' ) , in short ( 38 mm in length , about 0.75 ml of capacity ) or long ( 72 mm , 1.50 ml ) sizes , or both . It is to some extent a standard , so the international cartridges of any manufacturer can be used in most fountain pens that accept international cartridges .   Also , converters that are meant to replace international cartridges can be used in most fountain pens that accept international cartridges . Some very compact fountain pens ( for example Waterman Ici et La and Monteverde Diva ) accept only short international cartridges . Converters can not be used in them ( except for so - called mini-converters by Monteverde ) . Some pens ( such as the modern Waterman models ) have intentional fittings which prevent the usage of short cartridges . Such pens can only take a proprietary cartridge from the same manufacturer , in this case the long Waterman cartridges .  Parker Vector stainless steel with proprietary Quink cartridges containing 1.4 ml ink  Proprietary offerings ( edit )   Many fountain pen manufacturers have developed their own proprietary cartridges , for example Parker , Lamy , Sheaffer , Cross , Sailor , Platinum , Platignum , Waterman and Namiki . Fountain pens from Aurora , Hero , Duke and Uranus accept the same cartridges and converters that Parker uses and vice versa ( Lamy cartridges , though not officially , are known to interchange with Parker cartridges also ) . Cartridges of Aurora are slightly different from cartridges by Parker .   Corresponding converters to be used instead of such proprietary cartridges are usually made by the same company that made the fountain pen itself . Some very compact fountain pens accept only proprietary cartridges made by the same company that made that pen , for example Sheaffer Agio Compact and Sheaffer Prelude Compact . It is not possible to use a converter in them at all . In such pens the only practical way to use another brand of ink is to fill empty cartridges with bottled ink using a syringe .   Standard international cartridges are closed by a small ball , held inside the ink exit hole by glue or by a very thin layer of plastic . When the cartridge is pressed into the pen , a small pin pushes in the ball , which falls inside the cartridge . The Parker and Lamy cartridges do not have such a ball . They are closed by a piece of plastic , which is broken by a sharp pin when inserted in the pen .   Concerns and alternatives ( edit )   Pen manufacturers using a proprietary cartridge ( which in almost all cases are the more expensive ones like the ones mentioned above ) tend to discourage the use of cheaper internationally standardised short / long cartridges or adaptations thereof due to their variance in ink quality in the cartridges which may not offer as much performance , or be of lesser quality than the manufacturer of the pen ; ink that has been designed specifically for the pen . In addition , cheaper ink tends to take longer to dry on paper , may skip or produce uneven colour on the page and less `` tolerant '' on lower , thinner grades of paper ( e.g. 75gs / m ) .   While cart</t>
  </si>
  <si>
    <t xml:space="preserve">who invented the world's first fountain pen</t>
  </si>
  <si>
    <t xml:space="preserve"> An early historical mention of what appears to be a reservoir pen dates back to the 10th century . According to Al - Qadi al - Nu'man ( d . 974 ) in his Kitab al - Majalis wa ' l - musayarat , the Fatimid caliph Al - Mu'izz li - Din Allah demanded a pen that would not stain his hands or clothes , and was provided with a pen that held ink in a reservoir , allowing it to be held upside - down without leaking . </t>
  </si>
  <si>
    <t xml:space="preserve">List of Pac - 12 Conference national championships - wikipedia  List of Pac - 12 Conference national championships  Jump to : navigation , search  The following is a list of current Pac - 12 Conference members ' NCAA and AIAW championships . Current Pac - 12 members have won 500 NCAA national championships ( As of May 31 , 2017 ) becoming the first conference to win 500 team titles , which is 193 more than the next closest confernce , The Big Ten . Since the 1999 - 2000 academic year , the Pac - 12 claims a total of 150 NCAA team titles , including 10 in 2013 - 2014 . They have also led or tied the nation in NCAA Championships in 48 of the last 54 years , the only exceptions being in 1980 - 81 , 1988 - 89 , 1990 - 91 and 1995 - 96 when the conference finished second , and finished third in 1998 - 99 and 2004 - 2005 .   This list also includes championships won by current Pac - 12 schools while members of the Pacific Coast Conference ( PCC ) , a closely related league that was formed in 1916 and disbanded in 1959 . Although the current charter of what is now known as the Pac - 12 dates only to the formation of the Athletic Association of Western Universities immediately after the demise of the PCC , the Pac - 12 claims the PCC 's history as its own . There is considerable continuity between the PCC and Pac - 12 -- eight of the nine final members of the PCC ( all except Idaho ) are now Pac - 12 members ; five of these schools had founded the AAWU , and all eight had joined the AAWU by the 1964 -- 65 school year .     Contents  ( hide )   1 Current members   2 Fall Sports   2.1 Men 's Sports   2.2 Women 's Sports     3 Winter Sports   3.1 Men 's Sports   3.2 Women 's Sports     4 Spring Sports   4.1 Men 's Sports   4.2 Women 's Sports     5 Other NCAA championships   5.1 Men 's Sports   5.2 Women 's Sports   5.3 Combined Sports     6 AIAW national championships   7 See also   8 References      Current members ( edit )     Institution   Location   Nickname   NCAA Team Championships ( through May 31 , 2017 )     Arizona ! University of Arizona   Tucson , Arizona   Wildcats   18     Arizona State University   Tempe , Arizona   Sun Devils   24     California ! University of California , Berkeley   Berkeley , California   Golden Bears   34     California , Los Angeles ! University of California , Los Angeles   Los Angeles , California   Bruins   113     Colorado ! University of Colorado Boulder   Boulder , Colorado   Buffaloes   28     Oregon ! University of Oregon   Eugene , Oregon   Ducks   30     Oregon State University   Corvallis , Oregon   Beavers       Southern California ! University of Southern California   Los Angeles , California   Trojans   104     Stanford University   Stanford , California   Cardinal   113     Utah ! University of Utah   Salt Lake City , Utah   Utes   21     Washington ! University of Washington   Seattle , Washington   Huskies   8     Washington State University   Pullman , Washington   Cougars       Fall sports ( edit )   Men 's sports ( edit )        Cross Country ( 16 )     Year   School     1961   Oregon State *     1971   Oregon     1973   Oregon       Oregon     1977   Oregon       Stanford     1997   Stanford     2001   Colorado *     2002   Stanford     2003   Stanford       Colorado *     2006   Colorado *     2007   Oregon     2008   Oregon     2013   Colorado     2014   Colorado         Soccer ( 6 )     Year   School     1985   UCLA     1990   UCLA     1997   UCLA     2002   UCLA     2015   Stanford     2016   Stanford              This section needs additional citations for verification . ( March 2016 ) ( Learn how and when to remove this template message )    Football †     Year   School   Selector ( s )     1920   California   CFRA , HAF , HS , NCF , SR     1921   California   BR , BS , CFRA , SR     1922   California   BR , HS , NCF , SR     1923   California   HS     1926   Stanford   DiS , HAF , NCF , SR     1928   USC   DiS , SR     1929   USC   HS , SR , B ( QPRS )     1931   USC   BR , BS , CFRA , DiS , DuS , HAF , HS , NCF , PS , SR , WS , B ( QPRS )     1932   USC   BR , BS , CFRA , DuS , HAF , HS , NCF , PS , SR , WS , B ( QPRS )     1933   USC   WS     1937   California   DuS , HAF     1939   USC   DiS     1940   Stanford   BR , HAF , PS     1954   UCLA   FWAA , UPI     1960   Washington   HAF     1962   USC   AP , FWAA , NFF , UPI     1967   USC   AP , FWAA , NFF , UPI     1970   Arizona State   PS     1972   USC   AP , FWAA , NFF , UPI       USC   FWAA , NFF , UPI       Arizona State   NCF , SN     1976   USC   B ( QPRS ) , BR , CFRA , DeS , DuS , MGR     1978   USC   UPI     1979   USC   CFRA     1984   Washington   B ( QPRS ) , FN , NCF     1990   Washington   R ( FACT )     1990   Colorado *   AP , FWAA , NFF , USAT / CNN     1991   Washington   FWAA , UPI / NFF , USAT / CNN     2002   USC   DuS , MGR , SR     2003   USC   AP , FWAA       USC   AP , NFF        * Won while a member of another conference , or an independent .    Oregon State was not initially invited to join the AAWU upon its 1959 formation . It played as an independent until joining the AAWU in 1964 .   Colorado won its pre-2013 men 's cross country titles as a member of the Big 12 Conference .   Colorado won its 1990 football title ( AP ) as a member of the Big Eight Conference .    † The NCAA does not officially declare football national championships . Various polls , formulas , and other third - party systems have been used to determine national championships , not all of which are universally accepted . The various polls were often not unanimous , resulting in more than one team sharing a title , and mathematical systems were sometimes applied retroactively to determine championships . Furthermore , schools determined by one or more selectors as champions , do not necessarily claim the title .    Italics indicate retroactive or minor selector .   USC claims 11 national football championships , California claims 5 , Arizona State , Stanford and Washington each claim 2 , and Colorado and UCLA each claim 1 championship .    Women 's sports ( edit )        Cross Country ( 12 )     Year   School       Oregon *       Oregon       Stanford     2000   Colorado *     2003   Stanford       Colorado *     2005   Stanford     2006   Stanford     2007   Stanford     2008   Washington     2012   Oregon     2016   Oregon         Soccer ( 4 )     Year   School     2007   USC     2011   Stanford     2013   UCLA     2016   USC         Volleyball ( 15 )     Year   School     1981   USC *     1984   UCLA *     1990   UCLA     1991   UCLA     1992   Stanford     1994   Stanford       Stanford     1997   Stanford     2001   Stanford     2002   USC     2003   USC       Stanford     2005   Washington     2011   UCLA     2016   Stanford        * Won while a member of another conference .    The conference now known as the Pac - 12 did not sponsor women 's sports until the 1986 -- 87 school year , when it was known as the Pacific - 10 Conference . Oregon won its 1983 women 's cross country title as a member of the Northern Pacific Conference , while USC in 1981 and UCLA in 1984 won women 's volleyball titles as members of the Western Collegiate Athletic Association .   Colorado won both of its women 's cross country championships as a member of the Big 12 Conference .    Winter sports ( edit )   Men 's sports ( edit )        Basketball ( 16 )     Year   School     1939   Oregon     1942   Stanford     1944   Utah *     1959   California     1964   UCLA     1965   UCLA     1967   UCLA     1968   UCLA     1969   UCLA     1970   UCLA     1971   UCLA     1972   UCLA     1973   UCLA       UCLA     1995   UCLA     1997   Arizona         Swimming &amp; Diving ( 24 )     Year   School     1960   USC     1963   USC     1964   USC     1965   USC     1966   USC     1967   Stanford       USC       USC     1976   USC     1977   USC     1979   California     1980   California     1982   UCLA     1985   Stanford     1986   Stanford       Stanford     1992   Stanford     1993   Stanford     1994   Stanford     1998   Stanford     2008   Arizona     2011   California     2012   California     2014   California         Indoor Track &amp; Field ( 8 )     Year   School     1967   USC     1972   USC     1977   Washington State     2008   Arizona State     2009   Oregon     2014   Oregon     2015   Oregon     2016   Oregon         Wrestling ( 2 )     Year   School     1985   UCLA     1988   Arizona State        * Won while a member of another conference .    Utah won its 1944 men 's basketball title as a member of the Mountain States Conference .    Women 's sports ( edit )        Basketball ( 4 )     Year   School       USC     1984   USC     1990   Stanford     1992   Stanford         Gymnastics ( 15 )     Year   School     1982   Utah *       Utah *     1984   Utah *     1985   Utah *     1986   Utah *     1990   Utah *     1992   Utah *     1994   Utah *     1995   Utah *     1997   UCLA     2000   UCLA     2001   UCLA     2003   UCLA       UCLA       UCLA         Swimming &amp; Diving ( 15 )     Year   School       Stanford *     1989   Stanford     1992   Stanford     1993   Stanford     1994   Stanford     1995   Stanford       Stanford     1997   USC     1998   Stanford     2008   Arizona     2009   California     2011   California     2012   California     2015   California     2017   Stanford         Indoor Track &amp; Field ( 10 )     Year   School     2000   UCLA     2001   UCLA     2007   Arizona State     2008   Arizona State       Oregon     2011   Oregon     2012   Oregon     2013   Oregon     2014   Oregon     2016   Oregon        * Won while a member of another conference .    As noted above , the then - Pac - 10 did not sponsor women 's sports until 1986 -- 87 . Stanford won its 1983 women 's swimming and diving championship as a member of the Western Collegiate Athletic Association .   Utah won all of its women 's gymnastics championships as a member of the Western Athletic Conference .    Spring sports ( edit )   Men 's sports ( edit )        Baseball ( 28 )     Year   School     1947   California     1948   USC     1957   California     1958   USC     1961   USC     1963   USC     1965   Arizona State *     1967   Arizona State *     1968   USC     1969   Arizona State *     1970   USC     1971   USC     1972   USC     1973   USC       USC     1976   Arizona *     1977   Arizona State *     1978   USC     1980   Arizona     1981   Arizona State     1986   Arizona       Stanford     1988   Stanford     1998   USC     2006   Oregon State     2007   Oregon State     2012   Arizona     2013   UCLA         Golf ( 15 )     Year   School     1938   Stanford     1939   Stanford     1941   Stanford     1942   Stanford ( co )     1946   Stanford     1953   Stanford     1988   UCLA     1990   Arizona State     1992   Arizona     1994   Stanford       Arizona State       California     2007   Stanford     2008   UCLA     2016   Oregon         Tennis ( 53 )     Year   School     1950   UCLA     1951   USC     1952   UCLA     1953   UCLA     1954   UCLA     1955   USC     1956   UCLA     1958   USC     1960   UCLA     1961   UCLA     1962   USC     1963   USC     1964   USC     1965   UCLA     1966   USC     1967   USC     1968   USC     1969   USC     1970   UCLA     1971   UCLA     1973   Stanford       Stanford       UCLA     1976   UCLA &amp; USC     1977   Stanford     1978   Stanford     1979   UCLA     1980   Stanford     1981   Stanford     1982   UCLA       Stanford     1984   UCLA     1986   Stanford     1988   Stanford     1989   Stanford     1990   Stanford     1991   USC     1992   Stanford     1993   USC     1994   USC     1995   Stanford       Stanford     1997   Stanford     1998   Stanford     2000   Stanford     2002   USC     2005   UCLA     2009   USC       USC     2011   USC     2012   USC     2014   USC         Outdoor Track &amp; Field ( 48 )     Year   School     1922   California     1925   Stanford     1926   USC     1928   Stanford     1930   USC     1931   USC     1934   Stanford     1935   USC     1936   USC     1937   USC     1938   USC     1939   USC     1940   USC     1941   USC     1942   USC     1943   USC     1949   USC     1950   USC     1951   USC     1952   USC     1953   USC     1954   USC     1955   USC     1956   UCLA     1958   USC     1961   USC     1962   Oregon *     1963   USC     1964   Oregon *     1965   USC &amp; Oregon     1966   UCLA     1967   USC     1968   USC     1970   Oregon &amp; California     1971   UCLA     1972   UCLA     1973   UCLA     1976   USC     1977   Arizona State *     1978   UCLA ( co )     1984   Oregon       UCLA     1988   UCLA     2000   Stanford     2014   Oregon     2015   Oregon        * Won while a member of another conference .    Oregon was not initially invited to join the AAWU on its formation in 1959 . It won its 1962 and 1964 men 's outdoor track and field titles as an independent ; it did not join the AAWU until the 1964 -- 65 school year .   All national titles in baseball and men 's outdoor track and field won by Arizona and Arizona State prior to the 1978 -- 79 school year were won while the two schools were in the Western Athletic Conference .    Women 's sports ( edit )        Golf ( 18 )     Year   School     1990   Arizona State     1991   UCLA     1993   Arizona State     1994   Arizona State     1995   Arizona State       Arizona     1997   Arizona State     1998   Arizona State     2000   Arizona     2003   USC       UCLA     2008   USC     2009   Arizona State     2011   UCLA     2013   USC     2015   Stanford     2016   Washington     2017   Arizona State         Rowing ( 8 )     Year   School     1997   Washington     1998   Washington     2001   Washington     2005   California     2006   California ( co )     2009   Stanford     2016   California     2017   Washington         Softball ( 23 )     Year   School     1982   UCLA *     1984   UCLA *     1985   UCLA *     1988   UCLA     1989   UCLA     1990   UCLA     1991   Arizona     1992   UCLA     1993   Arizona     1994   Arizona       Arizona     1997   Arizona     1999   UCLA     2001   Arizona     2002   California     2003   UCLA       UCLA     2006   Arizona     2007   Arizona     2008   Arizona State     2009   Washington       UCLA     2011   Arizona State             Tennis ( 22 )     Year   School     1982   Stanford *       USC *     1984   Stanford *     1985   USC *     1986   Stanford *       Stanford     1988   Stanford     1989   Stanford     1990   Stanford     1991   Stanford     1997   Stanford     1999   Stanford     2001   Stanford     2002   Stanford       Stanford     2005   Stanford     2006   Stanford     2008   UCLA       Stanford     2013   Stanford     2014   UCLA     2016   Stanford         Outdoor Track &amp; Field ( 7 )     Year   School     1982   UCLA *       UCLA *     1985   Oregon *     2001   USC       UCLA     2007   Arizona State     2015   Oregon         Beach Volleyball ( 2 )     Year   School     2016   USC     2017   USC        * Won while a member of another conference .    As noted previously , the then - Pac - 10 did not sponsor women 's sports until 1986 -- 87 .   UCLA : Three national championships in softball ( 1982 , 1984 , 1985 ) and two in women 's outdoor track and field ( 1982 , 1983 ) were won as a member of the Western Collegiate Athletic Association ( WCAA ) .   Stanford : Three national championships in women 's tennis ( 1982 , 1984 , 1986 ) were won as a member of the WCAA ( known as the Pacific West Conference in the 1985 -- 86 school year ) .   USC : Two national championships in women 's tennis ( 1983 , 1985 ) were won as a member of the WCAA .   Oregon : One national championship in women 's track and field ( 1985 ) was won as a member of the Northern Pacific Conference .      Other NCAA championships ( edit )   The following are NCAA championships won by Pac - 12 members but in sports not sponsored by the Pac - 12   Men 's sports ( edit )        Boxing ( 1 )     Year   School     1937   Washington State         Gymnastics ( 13 )     Year   School     1962   USC     1968   California       California     1986   Arizona State       UCLA     1992   Stanford     1993   Stanford     1995   Stanford     1997   California     1998   California     2009   Stanford     2011   Stanford         Water Polo ( 43 )     Year   School     1969   UCLA     1971   UCLA     1972   UCLA     1973   California       California       California     1976   Stanford     1977   California     1978   Stanford     1980   Stanford     1981   Stanford       California     1984   California     1985   Stanford     1986   Stanford       California     1988   California     1990   California     1991   California     1992   California     1993   Stanford     1994   Stanford     1995   UCLA       UCLA     1998   USC     1999   UCLA     2000   UCLA     2001   Stanford     2002   Stanford     2003   USC       UCLA     2005   USC     2006   California     2007   California     2008   USC     2009   USC       USC     2011   USC     2012   USC     2013   USC     2014   UCLA     2015   UCLA     2016   California         Volleyball ( 25 )     Year   School     1970   UCLA     1971   UCLA     1972   UCLA       UCLA       UCLA     1976   UCLA     1977   USC     1979   UCLA     1980   USC     1981   UCLA     1982   UCLA       UCLA     1984   UCLA       UCLA     1988   USC     1989   UCLA     1990   USC     1993   UCLA     1995   UCLA       UCLA     1997   Stanford     1998   UCLA     2000   UCLA     2006   UCLA       Stanford         Skiing ( 12 )     Year   School     1959   Colorado *     1960   Colorado *     1972   Colorado *     1973   Colorado *       Colorado *       Colorado *     1976   Colorado *     1977   Colorado *     1978   Colorado *     1979   Colorado *     1981   Utah *     1982   Colorado *        * Won while a member of another conference .    All of Colorado 's championships in men 's skiing between 1959 and 1982 were won as a full member of the Big Eight Conference , which never sponsored skiing in its history .   Utah 's 1981 men 's skiing title was won as a full member of the Western Athletic Conference , which like the Pac - 12 has never sponsored skiing .    Women 's Sports ( edit )     Water Polo ( 16 )     Year   School     2001   UCLA     2002   Stanford     2003   UCLA       USC     2005   UCLA     2006   UCLA     2007   UCLA     2008   UCLA     2009   UCLA       USC     2011   Stanford     2012   Stanford     2013   USC     2014   Stanford     2015   Stanford     2016   USC     2017   Stanford     Combined sports ( edit )     Skiing ( 16 )     Year   School       Utah *     1984   Utah *     1986   Utah *       Utah *     1988   Utah *     1991   Colorado *     1993   Utah *     1995   Colorado *       Utah *     1997   Utah *     1998   Colorado *     1999   Colorado *     2003   Utah *     2006   Colorado *     2011   Colorado *     2013   Colorado     2015   Colorado     2017   Utah     * Won while a member of another conference .    Utah : Championships between 1983 and 1997 won as a full member of the Western Athletic Conference , and 2003 championship won as a full member of the Mountain West Conference . Neither conference has ever sponsored skiing .   Colorado : Championships in 1991 and 1995 won as a full member of the Big Eight Conference , and championships between 1998 and 2011 won as a full member of the Big 12 Conference . The Big Eight never sponsored skiing before its demise in 1996 , and the Big 12 has never sponsored the sport .    AIAW national championships ( edit )     Institution   Nickname   Total AIAW titles     Arizona State University   Sun Devils   12     University of California , Los Angeles   Bruins   8     University of Southern California   Trojans   6     University of Utah   Utes       University of Arizona   Wildcats       Stanford University   Cardinal       University of Colorado   Buffaloes       University of Washington   Huskies       Mary Budke of Oregon State won the 1974 AIAW individual collegiate golf national championship .    Jump up ^ Includes Utah 's one cross-country national championship , which was won at the AIAW Division II level .    See also ( edit )    List of NCAA schools with the most NCAA Division I championships   List of NCAA schools with the most Division I national championships   List of NCAA schools with the most AIAW Division I national championships   List of college athletics championship game outcomes   Mythical national championship    References ( edit )    Jump up ^ `` Championships History '' ( PDF ) . Retrieved January 26 , 2015 .   Jump up ^ USC Sports Information Office ( 2008 ) . 2008 USC Football Media Guide ( PDF ) . University of Southern California . pp. 119 -- 124 . Retrieved 2009 - 06 - 14 .   Jump up ^ `` CalBears.com -- Traditions : Cal National Team Champions '' . University of California Department of Athletics . Retrieved 2009 - 06 - 14 .   Jump up ^ Benenson , Herb , ed. ( 2008 ) . 2008 California Football Media Guide ( PDF ) . Cal Media Relations Office . p. 36 . Retrieved 2009 - 06 - 15 .   Jump up ^ Kilwien , Richard ; Bechthold , Jeff ; Morry , Nicole ; Soriano , Jonathan ; McLeod , Brianna ( 2010 ) . Washington Huskies 2010 Football Record Book ( PDF ) . University of Washington Athletic Communications Office . p. 1 . Retrieved 2010 - 06 - 24 .   Jump up ^ Official 2009 NCAA Division I Football Records Book ( PDF ) . Indianapolis , IN : National Collegiate Athletic Association . August 2009 . pp. 76 -- 77 , 81 . Retrieved 2011 - 09 - 18 .   Jump up ^ `` Stanford Official Athletic Site -- Traditions : Stanford Cardinal Championships '' . Stanford University Department of Athletics . Archived from the original on 2011 - 08 - 10 . Retrieved 2009 - 06 - 16 .   Jump up ^ Young , Jim , ed. ( 2009 ) . 2009 Stanford Football Media Guide ( PDF ) . Stanford University Athletic Communications and Media Relations Department . pp. 141 , 144 . Retrieved 2009 - 10 - 17 .   Jump up ^ Dellins , Marc , ed. ( 2009 ) . 2009 UCLA Football Media Guide ( PDF ) . UCLA Sports Information Office . pp. 147 , 154 , 164 . Retrieved 2009 - 10 - 16 .   Jump up ^ COLORADO FOOTBALL 1990 NATIONAL CHAMPIONS , University of Colorado Athletic Department , 2011 , retrieved 2011 - 07 - 03      ( hide )         Pac - 12 Conference     Teams     Arizona Wildcats   Arizona State Sun Devils   California Golden Bears   Colorado Buffaloes   Oregon Ducks   Oregon State Beavers   Stanford Cardinal   UCLA Bruins   USC Trojans   Utah Utes   Washington Huskies   Washington State Cougars       Champions     National   Conference       Athletics     Basketball ( Men )   Football      Retrieved from `` https://en.wikipedia.org/w/index.php?title=List_of_Pac-12_Conference_national_championships&amp;oldid=796024785 '' Categories :   Pac - 12 Conference   Lists of NCAA national championships by conference   Hidden categories :   Articles needing additional references from March 2016   All articles needing additional references   Articles using small message boxes           Talk                                           Contents                   About Wikipedia                                           Add links   This page was last edited on 18 August 2017 , at 00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</si>
  <si>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championships does the pac 12 have</t>
  </si>
  <si>
    <t xml:space="preserve"> The following is a list of current Pac - 12 Conference members ' NCAA and AIAW championships . Current Pac - 12 members have won 500 NCAA national championships ( As of May 31 , 2017 ) becoming the first conference to win 500 team titles , which is 193 more than the next closest confernce , The Big Ten . Since the 1999 - 2000 academic year , the Pac - 12 claims a total of 150 NCAA team titles , including 10 in 2013 - 2014 . They have also led or tied the nation in NCAA Championships in 48 of the last 54 years , the only exceptions being in 1980 - 81 , 1988 - 89 , 1990 - 91 and 1995 - 96 when the conference finished second , and finished third in 1998 - 99 and 2004 - 2005 . </t>
  </si>
  <si>
    <t xml:space="preserve">Union Budget of India - Wikipedia  Union Budget of India  Jump to : navigation , search  The Union Budget of India , also referred to as the Annual Financial Statement in the Article 112 of the Constitution of India , is the annual budget of the Republic of India . The Government presents it on the first day of February so that it could be materialized before the commencement of new financial year in April . Till 2016 it was presented on the last working day of February by the Finance Minister of India in Parliament . The budget , which is presented by means of the Finance bill and the Appropriation bill has to be passed by both the Houses before it can come into effect from April 1 , the start of India 's financial year .   An Interim Budget is not the same as a ' Vote on Account ' . While a ' Vote on Account ' deals only with the expenditure side of the government 's budget , an Interim Budget is a complete set of accounts , including both expenditure and receipts . An Interim Budget gives the complete financial statement , very similar to a full Budget . While the law does not debar the Union government from introducing tax changes , normally during an election year , successive governments have avoided making any major changes in income tax laws during an Interim Budget .   As of September 2017 , Morarji Desai has presented 10 budgets which is the highest followed by P Chidambaram 's 9 and Pranab Mukherjee 's 8 . Yashwant Sinha , Yashwantrao Chavan and C.D. Deshmukh have presented 7 budgets each while Manmohan Singh and T.T. Krishnamachari have presented 6 budgets .     Contents  ( hide )   1 Chronology   1.1 Pre-liberalisation   1.2 Post-liberalisation     2 Traditions   2.1 Time of Budget announcement   2.2 Date of Budget announcement   2.3 Halwa Ceremony     3 References   4 External links      Chronology ( edit )   Pre-liberalisation ( edit )   The first Union budget of independent India was presented by R.K. Shanmukham Chetty on November 26 , 1947 .   The Union budgets for the fiscal years 1959 - 61 to 1963 - 64 , inclusive of the interim budget for 1962 - 63 , were presented by Morarji Desai. On February 29 in 1964 and 1968 , he became the only finance minister to present the Union budget on his birthday . Desai presented budgets that included five annual budgets and an interim budget during his first stint and three final budgets and one interim budget in his second tenure when he was both the Finance Minister and the Deputy Prime Minister of India .   After Desai 's resignation , Indira Gandhi , the then Prime Minister of India , took over the Ministry of Finance to become the only woman to hold the post of the Finance Minister .   Pranab Mukherjee , the first Rajya Sabha member to hold the Finance portfolio , presented the annual budgets for the financial years 1982 - 83 , 1983 -- 84 and 1984 - 85 .   Rajiv Gandhi presented the budget for 1987 - 89 , after V.P. Singh quit his government , and in the process became the third Prime Minister to present a budget after his mother and grandfather .   N.D. Tiwari presented the budget for 1988 - 89 , S.B. Chavan for 1989 - 90 , while Madhu Dandawate presented the Union budget for 1990 - 91 .   Dr. Manmohan Singh became the Finance Minister and presented the interim budget for 1991 - 92 as elections were forced .   Due to political developments , early elections were held in May 1991 following which the Indian National Congress returned to political power and Manmohan Singh , the Finance Minister , presented the budget for 1991 - 92 .   Post-liberalisation ( edit )   Manmohan Singh under P.V. Narasimha Rao , in his next annual budgets from 1992 -- 93 , opened the economy , encouraged foreign investments and reduced peak import duty from 300 plus percent to 50 percent .   After elections in 1996 , a non-Congress ministry assumed office . Hence the financial budget for 1996 - 97 was presented by P. Chidambaram , who then belonged to Tamil Maanila Congress .   Following a constitutional crisis when the I.K. Gujral Ministry was on its way out , a special session of Parliament was convened just to pass Chidambaram 's 1997 - 98 budget . This budget was passed without a debate .   After the general elections in March 1998 that led to the Bharatiya Janata Party forming the Central Government , Yashwant Sinha , the then Finance Minister in this government , presented the interim and final budgets for 1998 - 99 .   After general elections in 1999 , Sinha again became the Finance Minister and presented four annual budgets from 1999 - 2000 to 2002 - 2003 . Due to elections in May 2004 , an interim budget was presented by Jaswant Singh .   Former Finance Minister Morarji Desai presented the budget ten times , the most by any .   The Union Budget of India for 2012 -- 2013 was presented by Pranab Mukherjee , the Finance Minister of India on 16 March 2012 , which was the 7th budget of his career . These budgetary proposals would be applicable for financial year 1 April 2012 to 31 March 2013 .   The Union Budget of India for 2013 -- 2014 was presented by P. Chidambaram on 28 February 2013 . The Interim Union Budget for 2014 -- 2015 was presented on February 17 , 2014 .   The Union Budget of India for 2014 -- 2015 was presented by Arun Jaitley on 10 July 2014 .   The Union Budget of India for 2015 -- 2016 was presented by Arun Jaitley on 28 February 2015 .   The Union Budget of India for 2016 -- 2017 was presented by Arun Jaitley on 29 February 2016 .   The Union Budget of India for 2017 -- 2018 was presented by Arun Jaitley on 1 February 2017 .   The Union Budget of India for 2018 -- 2019 was presented by Arun Jaitley on 1 February 2018 .   Traditions ( edit )   Time of Budget announcement ( edit )   Until the year 1999 , the Union Budget was announced at 6 : 00 pm on the last working day of the month of February . This practice was inherited from the Colonial Era , Another reason was that until the 1990s , all that budgets seem to do was to raise taxes , a presentation in the evening gave producers and the tax collecting agencies the night to work out the change in prices . It was Mr. Yashwant Sinha , the then Finance Minister of India in the NDA government ( led by Bharatiya Janata Party ) of Atal Bihari Vajpayee , who changed the ritual by announcing the 1999 Union Budget at 11 am .   Date of Budget announcement ( edit )   Also again in 2017 , departing from the colonial - era tradition of presenting the Union Budget on the last working day of February , Minister of Finance ( India ) Arun Jaitley , in the NDA government ( led by Bharatiya Janata Party ) of Narendra Modi government announced that it will now be presented on 1 February . Additionally Rail Budget , presented separately for 92 Years , merged with union budget .   Halwa ceremony ( edit )   The printing of budget documents starts roughly a week ahead of presenting in the Parliament with a customary ' Halwa ceremony ' in which halwa ( a sweet dish ) is prepared in large quantities and served to the officers and support staff involved . They remain isolated and stay in the North Block office until the Budget is presented . Halwa is also served by the Finance Minister . This ceremony is performed as a part of the Indian tradition of having something sweet before starting an important work .    1947 Union budget of India   2009 Union budget of India   2010 Union budget of India   2011 Union budget of India   2012 Union budget of India   2013 Union budget of India   2014 Interim - Union budget of India   2014 Union budget of India   2015 Union budget of India   2016 Union budget of India   2017 Union budget of India   2018 Union budget of India   Railway Budget of India    References ( edit )    Jump up ^ `` Procedure in Financial Matters '' ( PDF ) . Ministry of Law and Justice ( India ) . p. 24 . Retrieved 1 March 2015 .   Jump up ^ `` Chidambaram is second only to Morarji Desai in presenting Budget '' . www.businesstoday.in . Retrieved 29 September 2017 .   Jump up ^ `` The Central Budgets in retrospect '' . pib.nic.in .   Jump up ^ `` Meet Manmohan Singh , the economist '' . 2004 - 05 - 20 . Retrieved 2008 - 02 - 22 .   Jump up ^ `` Salient Features of Interim Union Budget of India for 2014 - 15 '' . IANS . news.biharprabha.com . Retrieved 17 February 2014 .   Jump up ^ `` Expectation from union budget 2014 - 15 '' . Patrika Group . 10 July 2014 . Retrieved 10 July 2014 .   Jump up ^ `` Highlights of union budget 2015 - 16 '' . The Hindu . 28 February 2015 . Retrieved 28 February 2015 .   Jump up ^ `` Live : Jaitley presents Union Budget 2016 - 17 : ' Govt . will pay EPF contribution of 8.33 % to all new employees for first three years ' '' . The Hindu . 29 February 2016 . Retrieved 29 February 2016 .   Jump up ^ `` Union Budget 2017 '' . 24 January 2017 .   Jump up ^ Desk , Internet . `` Highlights of Union Budget 2017 - 18 '' . The Hindu . Retrieved 2017 - 02 - 01 .   Jump up ^ `` Union Budget 2018 Highlights : Key takeaways from Arun Jaitley 's fifth Budget '' . Moneycontrol . Retrieved 2018 - 02 - 01 .   Jump up ^ `` Budget with a difference '' . 2001 - 03 - 17 . Retrieved 2009 - 03 - 08 .   Jump up ^ `` Union Budget 2017 on 1 Feb : End of a colonial hangover for speedy implementation of schemes '' . Firstpost.com . Firstpost. 16 November 2016 .   Jump up ^ `` Railway Budget , Presented For 92 Years , Merged With Union Budget '' . NDTV.com . NDTV .   Jump up ^ `` Printing Of Union Budget Document Begins With ' Halwa ' Ceremony '' . NDTV . Press Trust of India . February 19 , 2016 . Retrieved 19 February 2016 .    External links ( edit )    Government of India : Union Budget and Economic Survey   Economic Survey and Union Budget   List of Budget Speeches ( since 1947 )   Live financial minister Mr arun jaitley                Budgets of India     Union     2008   2009     2011   2012   2013   2014   2015   2016   2017   2018       Railway     2014   2015   2016                 National government budgets       Australia   Canada   France   Germany   India   Malaysia   Norway   Russia   Switzerland   United Kingdom   Scotland     United States      Retrieved from `` https://en.wikipedia.org/w/index.php?title=Union_budget_of_India&amp;oldid=829760187 '' Categories :   Union budgets of India   Hidden categories :   Use dmy dates from January 2016   Use Indian English from January 2016   All Wikipedia articles written in Indian English   Articles containing potentially dated statements from September 2017   All articles containing potentially dated statements           Talk                                           Contents                   About Wikipedia                                           हिन्दी   മലയാളം   Svenska   தமிழ்   తెలుగు   Edit links   This page was last edited on 10 March 2018 , at 17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</si>
  <si>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the indian budget come into effect</t>
  </si>
  <si>
    <t xml:space="preserve"> The Union Budget of India , also referred to as the Annual Financial Statement in the Article 112 of the Constitution of India , is the annual budget of the Republic of India . The Government presents it on the first day of February so that it could be materialized before the commencement of new financial year in April . Till 2016 it was presented on the last working day of February by the Finance Minister of India in Parliament . The budget , which is presented by means of the Finance bill and the Appropriation bill has to be passed by both the Houses before it can come into effect from April 1 , the start of India 's financial year . </t>
  </si>
  <si>
    <r>
      <rPr>
        <sz val="11"/>
        <color rgb="FF000000"/>
        <rFont val="Calibri"/>
        <family val="0"/>
        <charset val="1"/>
      </rPr>
      <t xml:space="preserve">Do n't Look Back in Anger - wikipedia  Do n't Look Back in Anger  Jump to : navigation , search    `` Do n't Look Back in Anger ''         Single by Oasis     from the album ( What 's the Story ) Morning Glory ?     B - side     `` Step Out ''   `` Underneath the Sky ''   `` Cum On Feel the Noize ''       Released   19 February 1996     Format     CD   7 '' vinyl   12 '' vinyl   cassette       Recorded   June 1995 at Rockfield Studios , Monmouth , Wales     Genre   Britpop     Length   4 : 47     Label   Creation     Songwriter ( s )   Noel Gallagher     Producer ( s )     Owen Morris   Noel Gallagher       Oasis singles chronology        `` Wonderwall '' ( 1995 )   `` Do n't Look Back in Anger '' ( 1996 )   `` Champagne Supernova '' ( 1996 )           `` Wonderwall '' ( 1995 )   `` Do n't Look Back in Anger '' ( 1996 )   `` Champagne Supernova '' ( 1996 )            ( What 's the Story ) Morning Glory ? track listing     12 tracks ( show )   `` Hello ''   `` Roll with It ''   `` Wonderwall ''   `` Do n't Look Back in Anger ''   `` Hey Now ! ''   Untitled   `` Some Might Say ''   `` Cast No Shadow ''   `` She 's Electric ''   `` Morning Glory ''   Untitled   `` Champagne Supernova ''           `` Do n't Look Back in Anger '' is a song by the English rock band Oasis . It was released on 19 February 1996 as the fifth single from their second studio album , ( What 's the Story ) Morning Glory ? ( 1995 ) . The song was written by the band 's guitarist and main songwriter , Noel Gallagher . It became the band 's second single to reach number one on the UK Singles Chart , where it also went platinum . `` Do n't Look Back in Anger '' was also the first Oasis single with lead vocals by Noel ( who had previously only sung lead on B - sides ) instead of his brother , Liam .   It is one of the band 's signature songs , and was played at almost every single live show from its release to the dissolution of the band . It was ranked number one on a list of the ' 50 Most Explosive Choruses ' by the NME , and was voted as the fourth most popular number - one single of the last 60 years in the UK by the public in conjunction with the Official Charts Company 's 60th anniversary .   On 29 May 2017 , Absolute Radio 90s broadcast a programme counting down the top 50 songs written by Noel Gallagher to mark his 50th birthday with `` Do n't Look Back in Anger '' being voted as number one .     Contents  ( hide )   1 Writing and recording   2 Live performances   3 Release   4 Critical reception   5 Chart performance   6 Music video   7 In popular culture   7.1 Media   7.2 Manchester Arena bombing   7.3 Covers   7.4 Spoofs     8 Personnel   9 Track listing   10 Charts and certifications   10.1 Charts   10.2 Certifications     11 References   12 External links      Writing and recording ( edit )   Noel was so excited about the potential of the song when he first wrote it that he used an acoustic set to perform a work - in - progress version , without the second verse and a few other slight lyrical differences , at an Oasis concert at the Sheffield Arena on 22 April 1995 . He said before playing that he 'd only written it the previous Tuesday ( 18 April 1995 ) and that he did n't even have a title for it yet . The title was picked as a reference to the 1979 David Bowie song `` Look Back in Anger '' from the seminal art rock album Lodger , with Bowie 's work being a massive Oasis influence .   Noel said of the song , `` ( It ) reminds me of a cross between `` All the Young Dudes '' and ( something ) the Beatles might have done . '' Of the character `` Sally '' referred to in the song he commented , `` I do n't actually know anybody called Sally . It 's just a word that fit , y'know , might as well throw a girl 's name in there . It 's got ta guarantee somebody a shag off a bird called Sally , has n't it ? ''   Noel Gallagher ( from Uncut magazine August 2007 ) : `` We were in Paris playing with the Verve , and I had the chords for that song and started writing it . We were due to play 2 days later . Our first - ever big arena gig , it 's called Sheffield Arena now . At the sound check , I was strumming away on the acoustic guitar , and our kid ( Liam Gallagher ) said , ' What 's that you 're singin ' ? ' I was n't singing anyway , I was just making it up . And our kid said , ' Are you singing ' So Sally can wait ' . ' And I was like -- that 's genius ! So I started singing , ' So Sally can wait . ' I remember going back to the dressing room and writing it out . It all came really quickly after that . '' Noel claims that the character `` Lyla '' , from Oasis ' 2005 single is the sister of Sally . In the interview on the DVD released with the special edition of Stop the Clocks , Noel also revealed that a girl approached him and asked him if Sally was the same girl as in the Stone Roses ' track `` Sally Cinnamon '' . Noel replied that he 'd never thought of that but thought it was good anyway .   Noel admits that certain lines from the song are lifted from John Lennon : `` I got this tape in the United States that had apparently been burgled from the Dakota Hotel and someone had found these cassettes . Lennon was starting to record his memoirs on tape . He 's going on about ' trying to start a revolution from me bed , because they said the brains I had went to my head . ' I thought ' Thank you , I 'll take that ' ! '' `` Revolution from me bed '' most likely refers to Lennon 's notorious bed - ins in 1969 . The piano in the introduction of the song strongly resembles Lennon 's `` Imagine '' , as well as `` Watching the Wheels '' . As Oasis are often criticised for borrowing parts of other artists ' songs for their own , Noel Gallagher commented on the intro 's similarity to `` Imagine '' saying , `` In the case of Do n't Look Back in Anger -- I mean , the opening piano riff 's Imagine . 50 % of it 's put in there to wind people up , and the other 50 % is saying ' look , this is how songs like Do n't Look Back in Anger come about -- because they 're inspired by songs like Imagine ' . And no matter what people might think , there will be some 13 year old kid out there who 'll read an interview and think ' Imagine ? I 've never heard that song ' and he might go and buy the album , you know what I mean ? '' Gallagher also admits that he was under the influence of illegal substances when he wrote the song and to this day he claims he does not know what it means .   Live performances ( edit )   The song became a favourite at Oasis 's live performances . Noel encouraged the crowd to sing along and often kept quiet during the first chorus , allowing the fans instead to sing along while he played the song 's guitar part . During the Dig Out Your Soul Tour , Noel Gallagher abandoned the song 's previous , full - band live arrangement in favour of a much slower , primarily acoustic arrangement in a lower key ( B major ) . From 2008 through Oasis 's breakup , the song was performed by Gallagher on his Gibson J - 200 acoustic guitar backed up by Gem Archer on electric guitar , and Chris Sharrock playing tambourine . On 11 and 12 July 2009 , during performances of the song at London 's Wembley Stadium , Gallagher did n't sing a word ; instead , he stood back , played guitar , and allowed the crowd to sing the entire song . Since 2011 , he has alternated between the acoustic version and the original arrangement when playing the song with his solo project , Noel Gallagher 's High Flying Birds .   Oasis became the first act since the Jam to perform two songs on the same showing of Top of the Pops , performing `` Do n't Look Back in Anger '' , followed by their cover of Slade 's `` Cum On Feel the Noize '' , also on the single .   In June 2017 , Liam performed an a capella version of the song at Glastonbury , making it the first time he has performed the song rather than Noel .   Release ( edit )   The single cover is a homage to the incident where Ringo Starr briefly left the Beatles during the recording of The White Album ; after the other three Beatles members successfully persuaded him to return , George Harrison decorated Ringo 's drum kit in red , white , and blue flowers to show their appreciation .   The B - side `` Step Out '' was originally intended for the ( What 's the Story ) Morning Glory ? album but was taken off after Stevie Wonder requested 10 % of the royalties as the chorus bore a similarity to his hit `` Uptight ( Everything 's Alright ) '' . Also , because of this , Wonder , Henry Cosby and Sylvia Moy received credit for writing the song , along with Noel .   Its charting coincided with its usage at the end of the final episode of the BBC television drama Our Friends in the North , which , upon production , used the track without knowledge it was going to be released as a single .   Critical reception ( edit )   `` Do n't Look Back in Anger '' was met with high critical praise and it became a commercial hit . Billboard said of the tune , `` Noel Gallagher reveals a deft sense of timing and craft that turn his improprieties into masterful pop gems . ''   In a 2006 readers ' poll conducted by Q magazine , `` Do n't Look Back in Anger '' was voted the 20th best song of all time . In May 2007 , NME magazine placed `` Do n't Look Back in Anger '' at number 14 in its list of the `` 50 Greatest Indie Anthems Ever '' .   Chart performance ( edit )   The song reached No. 1 in the singles charts of Ireland and the United Kingdom , and it was a moderate success by reaching the top 60 in various countries . The song was the 10th - biggest - selling single of 1996 in the UK . It is Oasis 's second biggest selling single in the UK , with sales of 970,000 , going platinum in the process .   The song returned to the UK charts in 2017 following Chris Martin and Jonny Buckland 's cover version at the One Love Manchester concert , reaching number 25 .   `` Do n't Look Back in Anger '' is also Oasis 's sixth biggest Billboard hit in the US , reaching the number 10 spot on the Modern Rock Tracks for the week of 22 June 1996 .   Music video ( edit )   The video for the song was directed by Nigel Dick and features Patrick Macnee , the actor who played John Steed in the 1960s television series The Avengers , apparently a favourite of Oasis . It features the band being driven to a mansion similar to the Playboy Mansion and performing the song there ; a group of women dressed in white also occasionally lip sync to the lyrics . While filming the video , drummer Alan White met future wife Liz Atkins . They married on 13 August 1997 at Studley Priory Hotel in Oxfordshire , but later divorced .   There are two versions of the music video . One being posted by Vevo which got 36.7 million views and the other one posted by the band themselves which generated over 76.6 million views .   In popular culture ( edit )   Media ( edit )   The song was included as the closing track on Oasis 's compilation album , Stop the Clocks . It is available for the music video game series Rock Band as a downloadable track . On the Wii version of the original Rock Band game , this song is included . It can also be found on - disc in the 2014 edition of Rocksmith .   The song has been used in a multiple television programmes since its original release :    11 March 1996 : it played over the end credits of the final episode of the BBC Two drama serial Our Friends in the North the very week it was at the top of the UK charts .   11 January 2004 : the song was in episode 11 of the show Cold Case titled `` Hubris '' .   5 November 2007 : portions of this song appear as a motif in episode 7 of Chuck titled `` Chuck Versus the Alma Mater '' .   3 September 2009 : the song was used in episode six of We Are Klang during the 1990s flashback scene .   4 September 2010 : the song was used as the ending theme for the live - action film adaptation of the Japanese manga series BECK .   11 April 2011 : the song was used in the closing scene of the North American Being Human season 1 finale titled `` A Funny Thing Happened on the Way to Me Killing You '' . It is played during a flashback showing the body of Sally Malik being taken away as Aidan Waite and Josh Levinson walk past her house , not having met her ghost yet , which watches the ambulance pull away . This resembles the lyrics in the song `` as we 're walking on by , her soul slides away '' .    Manchester Arena bombing ( edit )   Oasis had formed in Manchester , England , in 1991 , and following the Manchester Arena bombing after a concert by US singer Ariana Grande on May 22 , 2017 -- a terrorist attack that killed 22 people -- the song was used by the people of Manchester in remembrance of the victims and to show the city 's spirit . The song was sung by students of Manchester 's Chetham 's music school on May 23 , and on May 25 it was spontaneously sung by the crowd gathered for a minute of silence in the city centre . The woman who started the singing told The Guardian , `` I love Manchester , and Oasis is part of my childhood . Do n't Look Back in Anger -- that 's what this is about : we ca n't be looking backwards to what happened , we have to look forwards to the future . '' This shot the anthem straight back into the charts , along with Ariana Grande 's `` One Last Time , '' which was number one in the iTunes single charts as of May 26 . On May 27 , the song was performed as a tribute by 50,000 audience members of a performance by The Courteeners in Manchester .   Liam Gallagher of Oasis responded to the bombing on Twitter : `` In total shock and absolutely devastated about what 's gone down in Manchester ... Sending Love and Light to all the families involved . ''   It was performed by Coldplay 's Chris Martin and Jonny Buckland on either side of Ariana Grande at the One Love Manchester concert on 4 June 2017 . Martin introduced the song by saying `` Ariana , you 've been singing a lot for us , so I think we in Britain want to sing for you . This is called Do n't Look Back in Anger , and this is from us to you '' .   It was also performed by the military band of the French Republican Guard on 13 June 2017 , at the France versus England football match at the Stade de France , as a tribute to the victims of the attacks in Manchester and , more recently , London .   Covers ( edit )   The song was covered by the Wurzels among others for an album of covers of songs seemingly inappropriate to their West Country image and style , and has become one of their more frequently performed numbers .   Opera group G4 covered the song during series one of The X Factor .   The song was covered by Tori Amos on 6 June 2005 in Manchester at her Beekeeper tour . A soundboard quality solo piano version of the song was officially released on the live recording 2005 - 06 - 05 : Manchester Apollo , Manchester , UK   An Electronic / Lounge / Jazz version by Styles Project - 90s Lounge Essentials ( 2007 ) containing covers by various artist of songs from the 90s .   Amy Winehouse did a live rendition of the song at Fred Perry 's party .   Glay covered the song for their 2011 album Rare Collectives Vol. 4 .   The Killers covered this song at V Festival 2012 . It has also been covered by Devendra Banhart .   Shane Watson released a video of himself covering this song in 2013 .   MP4 ( band ) , a band made up of four UK politicians covered the song on their album , ' Cross Party ' .   Portugal . The Man also did a cover of the song , which was performed at Bonnaroo in 2017 .   Spoofs ( edit )   The UK comedy duo Hale and Pace did an Oasis skit as ' Oaday ' where the song featured as ' Do n't Talk Back You W * nker ' .   Personnel ( edit )    Noel Gallagher -- lead vocals , lead guitar   Liam Gallagher - backing vocals , tambourine   Paul `` Bonehead '' Arthurs -- rhythm guitar , piano , mellotron     Paul `` Guigsy '' McGuigan -- bass   Alan White -- drums    Track listing ( edit )   All songs were written by Noel Gallagher , except where noted .    CD CRESCD 221 ( re-issued as RKISCD 018 )     `` Do n't Look Back in Anger '' -- 4 : 47   `` Step Out '' ( Gallagher / Wonder / Cosby / Moy ) -- 3 : 40   `` Underneath the Sky '' -- 3 : 20   `` Cum On Feel the Noize '' ( Holder / Lea ) -- 5 : 09     7 '' CRE 221     `` Do n't Look Back in Anger '' -- 4 : 47   `` Step Out '' ( Gallagher / Wonder / Cosby / Moy ) -- 3 : 40     12 '' CRE 221T     `` Do n't Look Back in Anger '' -- 4 : 47   `` Step Out '' ( Gallagher / Wonder / Cosby / Moy ) -- 3 : 40   `` Underneath the Sky '' -- 3 : 20     Cassette CRECS 221     `` Do n't Look Back in Anger '' -- 4 : 47   `` Step Out '' ( Gallagher / Wonder / Cosby / Moy ) -- 3 : 40     CD re-issue ( US ) 34K78356     `` Do n't Look Back in Anger '' -- 4 : 47   `` Cum on Feel the Noize '' ( Holder / Lea ) -- 5 : 09    Charts and certifications ( edit )      Charts ( edit )     Chart ( 1996 )   Peak position     Australia ( ARIA )   19     Belgium ( Ultratop 50 Wallonia )   35     Canada ( RPM )   24     Canadian Alternative 30 ( RPM )       Finland ( Suomen virallinen lista )       France ( SNEP )   24     Germany ( Official German Charts )   57     Iceland ( Tonlist )       Ireland ( IRMA )       Italy ( FIMI )   19     Netherlands ( Single Top 100 )   30     New Zealand ( Recorded Music NZ )   20     Norway ( VG - lista )   19     Switzerland ( Schweizer Hitparade )   27     UK Singles ( Official Charts Company )       US Billboard Hot 100   55     US Alternative Songs ( Billboard )   10     Zimbabwe ( ZIMA )   8     Certifications ( edit )     Region   Certification   Certified units / Sales     Italy ( FIMI )   Gold   25,000     Japan ( RIAJ )   Platinum   100,000     United Kingdom ( BPI )   2 × Platinum   1,200,000      shipments figures based on certification alone sales + streaming figures based on certification alone         References ( edit )    Jump up ^ BPI website , Search `` Oasis '' Archived 11 January 2013 at WebCite . Bpi.co.uk . Retrieved on 2011 - 06 - 12 .   Jump up ^ `` ' Do n't Look Back in Anger ' by Oasis tops NME 's 50 Most Explosive Choruses list '' . NME. 28 February 2012 . Retrieved 13 January 2014 .   Jump up ^ `` Queen 's ' Bohemian Rhapsody ' named as ' UK 's Favourite Number One single ' News '' . NME. 16 July 2012 . Retrieved 13 January 2014 .   Jump up ^ Oasis : Mad For It ( 1996 , 2 / 4 ) on YouTube ( 2008 - 07 - 22 ) . Retrieved on 2011 - 06 - 12 .   Jump up ^ Simpson , Paul ( 2003 ) . The Rough Guide to Cult Pop : The Songs , the Artists , the Genres , the Dubious Fashions . Rough Guides . p. 107 . ISBN 1 - 84353 - 229 - 8 .   Jump up ^ Hurry , Pam ( 2001 ) . Heinemann Advanced Music . Heinemann . p. 170 . ISBN 0 - 435 - 81258 - 0 .   Jump up ^ Davina Earl ( 13 August 2005 ) . `` Noel Gallagher 's Plea For Help '' . Gigwise . Retrieved 2007 - 09 - 23 .   Jump up ^ OASIS - Do n't Look Back In Anger - Wembley Stadium 11 / 07 / 2009 on YouTube . Retrieved on 2012 - 08 - 27 .   Jump up ^ http://metro.co.uk/2017/06/24/liam-gallagher-makes-history-as-he-performs-dont-look-back-in-anger-at-glastonbury-6732496/   Jump up ^ Flick , Larry ( 1996 - 06 - 15 ) , `` Singles : Pop '' . Billboard. 108 ( 24 ) : 74   Jump up ^ `` 100 Greatest Songs Ever '' . Q. 2006 . Retrieved 2007 - 09 - 23 .   Jump up ^ `` 50 Greatest Indie Anthems Ever '' . NME. 2007 . Retrieved 2007 - 09 - 23 .   Jump up ^ Sexton , Paul ( 2005 - 08 - 27 ) , `` OASIS '' . Billboard. 117 ( 35 ) : 36   Jump up ^ Oasis -- Do n't Look Back In Anger . YouTube . 17 January 2014 . Retrieved 15 September 2017 .   Jump up ^ Oasis -- Do n't Look Back In Anger ( Official Video ) . YouTube . 18 February 2008 . Retrieved 15 September 2017 .   Jump up ^ Taylor , Steve ( 2004 ) . The A to X of Alternative Music . Continuum International Publishing Group , p. 170 . ISBN 0 - 8264 - 8217 - 1   Jump up ^ `` Red Hot Chili Peppers , Oasis to Do Beck Film 's Themes '' . Anime News Network . 30 March 2010 . Retrieved 2012 - 04 - 10 .   Jump up ^ Perraudin , Frances ; Halliday , Josh ( 2017 - 05 - 25 ) . `` Do n't Look Back in Anger becomes symbol of Manchester 's spirit '' . The Guardian . ISSN 0261 - 3077 . Retrieved 2017 - 05 - 25 .   Jump up ^ `` Oasis classic re-enters the charts after crowds sing it at Manchester memorial - NME '' . NME. 2017 - 05 - 26 . Retrieved 2017 - 05 - 27 .   Jump up ^ `` 50,000 Fans Sing Oasis At First Manchester Concert Since Attacks '' . 28 May 2017 .   Jump up ^ `` Watch Manchester Crowd Sing Oasis Song For Bombing Victims '' . Rolling Stone . Retrieved 2017 - 05 - 25 .   Jump up ^ Kim , Michelle ( 4 June 2017 ) . `` Coldplay Sing Oasis ' `` Do n't Look Back in Anger '' to Ariana Grande in Manchester : Watch `` . Pitchfork . Retrieved 9 June 2017 .   Jump up ^ `` France v England : French fans sing God Save The Queen '' . BBC News . British Broadcasting Corporation . 13 June 2017 . Retrieved 25 June 2017 .   Jump up ^ `` GLAY to cover Oasis song `` Do n't Look Back In Anger '' over the radio `` . Tokyohive.com. 24 February 2011 . Retrieved 2013 - 01 - 19 .   Jump up ^ `` Watch the Killers Cover Oasis ' ' Do n't Look Back in Anger ' '' . Spin .   Jump up ^ shakermaker11 ( 4 September 2008 ) . `` Oaday '' -- via YouTube .   Jump up ^ `` Australian-charts.com -- Oasis -- Do n't Look Back in Anger '' . ARIA Top 50 Singles .   Jump up ^ `` Ultratop.be -- Oasis -- Do n't Look Back in Anger '' ( in French ) . Ultratop 50 .   Jump up ^ `` Oasis : Do n't Look Back in Anger '' ( in Finnish ) . Musiikkituottajat -- IFPI Finland .   Jump up ^ `` Lescharts.com -- Oasis -- Do n't Look Back in Anger '' ( in French ) . Les classement single .   Jump up ^ `` Offiziellecharts.de -- Oasis -- Do n't Look Back in Anger '' . GfK Entertainment Charts .   Jump up ^ `` Tonlist Top 40 '' . DV . Retrieved 2017 - 05 - 22 .   Jump up ^ `` Billboard '' . google.co.uk .   Jump up ^ `` Hit Parade Italia - Indice per Interprete : O '' . hitparadeitalia.it .   Jump up ^ `` Dutchcharts.nl -- Oasis -- Do n't Look Back in Anger '' ( in Dutch ) . Single Top 100 .   Jump up ^ `` Charts.org.nz -- Oasis -- Do n't Look Back in Anger '' . Top 40 Singles .   Jump up ^ `` Norwegiancharts.com -- Oasis -- Do n't Look Back in Anger '' . VG - lista .   Jump up ^ `` Swisscharts.com -- Oasis -- Do n't Look Back in Anger '' . Swiss Singles Chart .   Jump up ^ `` Oasis : Artist Chart History '' . Official Charts Company .   Jump up ^ `` Oasis -- Chart history '' Billboard Hot 100 for Oasis .   Jump up ^ `` Oasis -- Chart history '' Billboard Alternative Songs for Oasis .   Jump up ^ * Zimbabwe . Kimberley , C. Zimbabwe : singles chart book . Harare : C. Kimberley , 2000   Jump up ^ `` Italian single certifications -- Oasis -- Do n't Look Back in Anger '' ( in Italian ) . Federazione Industria Musicale Italiana . Retrieved 23 January 2017 .   Jump up ^ `` Japanese single certifications -- Oasis -- Do n't Look Back in Anger '' ( in Japanese ) . Recording Industry Association of Japan . Retrieved 8 June 2017 . Select 2017 </t>
    </r>
    <r>
      <rPr>
        <sz val="11"/>
        <color rgb="FF000000"/>
        <rFont val="Noto Sans CJK SC"/>
        <family val="2"/>
      </rPr>
      <t xml:space="preserve">年 月 </t>
    </r>
    <r>
      <rPr>
        <sz val="11"/>
        <color rgb="FF000000"/>
        <rFont val="Calibri"/>
        <family val="0"/>
        <charset val="1"/>
      </rPr>
      <t xml:space="preserve">on the drop - down menu   Jump up ^ `` British single certifications -- Oasis -- Do n't Look Back in Anger '' . British Phonographic Industry . Retrieved 9 June 2017 . Enter Do n't Look Back in Anger in the search field and then press Enter .    External links ( edit )    Lyrics of this song at MetroLyrics      Preceded by `` Spaceman '' by Babylon Zoo   UK Singles Chart number - one single 2 March 1996 ( one week )   Succeeded by `` How Deep Is Your Love '' by Take That       ( hide )         Oasis       Liam Gallagher   Noel Gallagher     Paul `` Guigsy '' McGuigan   Paul `` Bonehead '' Arthurs   Tony McCarroll   Alan White   Gem Archer   Andy Bell   Zak Starkey   Chris Sharrock       Studio albums     Definitely Maybe   ( What 's the Story ) Morning Glory ?   Be Here Now   Standing on the Shoulder of Giants   Heathen Chemistry   Do n't Believe the Truth   Dig Out Your Soul       Live albums     Familiar to Millions   Live from The Roundhouse       Compilations     Definitely Maybe ( singles box )   Morning Glory ( singles box )   The Masterplan   Stop the Clocks   Time Flies ... 1994 -- 2009   Be Here Now Acoustic Collection       Extended plays     Live Demonstration   Boy with the Blues       Singles     `` Supersonic ''   `` Shakermaker ''   `` Live Forever ''   `` Cigarettes &amp; Alcohol ''   `` Rock ' n ' Roll Star ''   `` Whatever ''   `` Some Might Say ''   `` Roll with It ''   `` Morning Glory ''   `` Wonderwall ''   `` Do n't Look Back in Anger ''   `` Champagne Supernova ''   `` D'You Know What I Mean ? ''   `` Stand by Me ''   `` All Around the World ''   `` Do n't Go Away ''   `` Acquiesce ''   `` Go Let It Out ''   `` Who Feels Love ? ''   `` Sunday Morning Call ''   `` Where Did It All Go Wrong ? ''   `` The Hindu Times ''   `` Stop Crying Your Heart Out ''   `` Little by Little '' / `` She Is Love ''   `` Songbird ''   `` Lyla ''   `` The Importance of Being Idle ''   `` Let There Be Love ''   `` Lord Do n't Slow Me Down ''   `` The Shock of the Lightning ''   `` I 'm Outta Time ''   `` Falling Down ''       Other songs     `` Slide Away ''   `` Half the World Away ''   `` Talk Tonight ''   `` Acquiesce ''   `` The Masterplan ''   `` Stop the Clocks ''   `` Boy with the Blues ''       Video albums     Live by the Sea   ... There and Then   Familiar to Millions   Definitely Maybe   Lord Do n't Slow Me Down   Time Flies ... 1994 -- 2009       Tours     Definitely Maybe Tour   ( What 's the Story ) Morning Glory ? Tour   Be Here Now Tour   Standing on the Shoulder of Giants Tour   The Tour of Brotherly Love   Heathen Chemistry Tour   Do n't Believe the Truth Tour   Dig Out Your Soul Tour       Related      Articles     Discography   Awards   Band members   Songs   Big Brother Recordings       Bands     Beady Eye   Heavy Stereo   Hurricane # 1   Noel Gallagher 's High Flying Birds   Ride   The Rain   No Way Sis       People     Jay Darlington   Tony Griffiths   Terry Kirkbride   Alan McGee   Scott McLeod   Owen Morris   Dave Sardy   Paul Stacey   Steve White       Albums and Songs     The Dreams We Have as Children   Standing on the Edge of the Noise   `` Wibbling Rivalry ''   `` Stop the Clocks ''            Book        Retrieved from `` https://en.wikipedia.org/w/index.php?title=Don%27t_Look_Back_in_Anger&amp;oldid=804443228 '' Categories :   Oasis ( band ) songs   1996 singles   UK Singles Chart number - one singles   Irish Singles Chart number - one singles   Creation Records singles   Music videos directed by Nigel Dick   Rock ballads   1995 songs   Songs written by Noel Gallagher   Hidden categories :   Webarchive template webcite links   CS1 Italian - language sources ( it )   CS1 Japanese - language sources ( ja )   Use dmy dates from May 2012   Use British English from May 2012   Music infoboxes with deprecated parameters   Articles with hAudio microformats   Singlechart usages for Australia   Singlechart usages for Wallonia   Singlechart usages for Finland   Singlechart usages for France   Singlechart usages for Germany2   Singlechart usages for Dutch100   Singlechart usages for New Zealand   Singlechart usages for Norway   Singlechart usages for Switzerland   Singlechart usages for UKchartstats   Singlechart called without song   Singlechart usages for Billboardhot100   Singlechart usages for Billboardalternativesongs   Certification Table Entry usages for Italy   Certification Table Entry usages for Japan   Certification Table Entry usages for United Kingdom           Talk                                           Contents                   About Wikipedia                                             Deutsch   Español   Euskara   فارسی   Français   </t>
    </r>
    <r>
      <rPr>
        <sz val="11"/>
        <color rgb="FF000000"/>
        <rFont val="Noto Sans CJK SC"/>
        <family val="2"/>
      </rPr>
      <t xml:space="preserve">한국어   </t>
    </r>
    <r>
      <rPr>
        <sz val="11"/>
        <color rgb="FF000000"/>
        <rFont val="Calibri"/>
        <family val="0"/>
        <charset val="1"/>
      </rPr>
      <t xml:space="preserve">Italiano   עברית   ქართული   Nederlands   </t>
    </r>
    <r>
      <rPr>
        <sz val="11"/>
        <color rgb="FF000000"/>
        <rFont val="Noto Sans CJK SC"/>
        <family val="2"/>
      </rPr>
      <t xml:space="preserve">日本 語   </t>
    </r>
    <r>
      <rPr>
        <sz val="11"/>
        <color rgb="FF000000"/>
        <rFont val="Calibri"/>
        <family val="0"/>
        <charset val="1"/>
      </rPr>
      <t xml:space="preserve">Norsk   Português   Русский   Simple English   Slovenčina   Suomi   Svenska   Українська   Tiếng Việt   Edit links   This page was last edited on 9 October 2017 , at 01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</si>
  <si>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dont look back in anger come out</t>
  </si>
  <si>
    <t xml:space="preserve"> `` Do n't Look Back in Anger '' is a song by the English rock band Oasis . It was released on 19 February 1996 as the fifth single from their second studio album , ( What 's the Story ) Morning Glory ? ( 1995 ) . The song was written by the band 's guitarist and main songwriter , Noel Gallagher . It became the band 's second single to reach number one on the UK Singles Chart , where it also went platinum . `` Do n't Look Back in Anger '' was also the first Oasis single with lead vocals by Noel ( who had previously only sung lead on B - sides ) instead of his brother , Liam . </t>
  </si>
  <si>
    <r>
      <rPr>
        <sz val="11"/>
        <color rgb="FF000000"/>
        <rFont val="Calibri"/>
        <family val="0"/>
        <charset val="1"/>
      </rPr>
      <t xml:space="preserve">Chair of the Federal Reserve - Wikipedia  Chair of the Federal Reserve       Chair of the Board of Governors of the Federal Reserve System     Seal of the Federal Reserve Board of Governors     Flag of the Federal Reserve System     Incumbent Jerome Powell since February 5 , 2018     Appointer   the President of the United States ( with Senate advice and consent )     Formation   August 10 , 1914 ; 104 years ago ( 1914 - 08 - 10 )     First holder   Charles Sumner Hamlin     Salary   $201,700 ( 2017 )     Website   Official bio     The Chair of the Board of Governors of the Federal Reserve System is the head of the Federal Reserve , which is the central banking system of the United States . The position is known colloquially as `` Chair of the Fed '' or `` Fed Chair '' . The chair is the `` active executive officer '' of the Board of Governors of the Federal Reserve System .   The chair is chosen by the President of the United States from among the members of the Board of Governors ; and serves for four - year - terms after appointment . A chair may be appointed for several consecutive terms . William Martin was the longest serving chair , holding the position from 1951 to 1970 .   The current Chairman is Jerome Powell , who was sworn in on February 5 , 2018 . He was nominated to the position by President Donald Trump on November 2 , 2017 , and was later confirmed by the United States Senate .   Contents    1 1935 reorganization   2 Appointment process   3 Conflict of interest law   4 List of Fed Chairs   5 See also   6 Notes   7 References   8 External links    1935 reorganization ( edit )   Section 203 of the Banking Act of 1935 changed the name of the `` Federal Reserve Board '' to the `` Board of Governors of the Federal Reserve System . '' The directors ' salaries were significantly lower ( at $12,000 when first appointed in 1914 ) and their terms of office were much shorter prior to 1935 . In effect , the Federal Reserve Board members in Washington , D.C. , were significantly less powerful than the presidents of the regional Federal Reserve Banks prior to 1935 .   In the 1935 Act , the district heads had their titles changed to `` President '' ( e.g. , `` President of the Federal Reserve Bank of St. Louis '' ) .   Appointment process ( edit )  Fed chairs 1979 - 2018  As stipulated by the Banking Act of 1935 , the President of the United States appoints the seven members of the Board of Governors ; they must then be confirmed by the Senate and serve fourteen year terms .   The nominees for chair and vice-chair may be chosen by the President from among the sitting Governors for four - year terms ; these appointments are also subject to Senate confirmation . The Senate Committee responsible for vetting a Fed Reserve Chair nominee is the Senate Committee on Finance .   By law , the chair reports twice a year to Congress on the Federal Reserve 's monetary policy objectives . He or she also testifies before Congress on numerous other issues and meets periodically with the Treasury Secretary .   Conflict of interest law ( edit )   The law applicable to the Chair and all other members of the Board provides ( in part ) :   No member of the Board of Governors of the Federal Reserve System shall be an officer or director of any bank , banking institution , trust company , or Federal Reserve bank or hold stock in any bank , banking institution , or trust company ; and before entering upon his duties as a member of the Board of Governors of the Federal Reserve System he shall certify under oath that he has complied with this requirement , and such certification shall be filed with the secretary of the Board .   List of Fed Chairs ( edit )   The following is a list of past and present Chairs of the Board of Governors of the Federal Reserve System . A chair serves for a four - year term after appointment , but may be reappointed for several consecutive four - year terms . As of 2018 , there have been a total of sixteen Fed Chairs .     #   Photo   Name ( chair ) ( Birth -- Death )   Term of office   First Appointed by ( Term )     Start of term   End of term         Charles Sumner Hamlin ( 1861 -- 1938 )   August 10 , 1914   August 10 , 1916   Woodrow Wilson ( 1913 -- 1921 )         William P.G. Harding ( 1864 -- 1930 )   August 10 , 1916   August 9 , 1922         Daniel R. Crissinger ( 1860 -- 1942 )   May 1 , 1923   September 15 , 1927   Warren G. Harding ( 1921 -- 1923 )         Roy A. Young ( 1882 -- 1960 )   October 4 , 1927   August 31 , 1930   Calvin Coolidge ( 1923 -- 1929 )     5     Eugene Meyer ( 1875 -- 1959 )   September 16 , 1930   May 10 , 1933   Herbert Hoover ( 1929 -- 1933 )     6     Eugene Robert Black ( 1873 -- 1934 )   May 19 , 1933   August 15 , 1934   Franklin D. Roosevelt ( 1933 -- 1945 )     7     Marriner S. Eccles ( 1890 -- 1977 )   November 15 , 1934   February 3 , 1948     8     Thomas B. McCabe ( 1893 -- 1982 )   April 15 , 1948   April 2 , 1951   Harry S. Truman ( 1945 -- 1953 )     9     William M. Martin ( 1906 -- 1998 )   April 2 , 1951   February 1 , 1970     10     Arthur F. Burns ( 1904 -- 1987 )   February 1 , 1970   January 31 , 1978   Richard Nixon ( 1969 -- 1974 )     11     G. William Miller ( 1925 -- 2006 )   March 8 , 1978   August 6 , 1979   Jimmy Carter ( 1977 -- 1981 )     12     Paul Volcker ( 1927 -- )   August 6 , 1979   August 11 , 1987     13     Alan Greenspan ( 1926 -- )   August 11 , 1987   January 31 , 2006   Ronald Reagan ( 1981 -- 1989 )     14     Ben Bernanke ( 1953 -- )   February 1 , 2006   January 31 , 2014   George W. Bush ( 2001 -- 2009 )     15     Janet Yellen ( 1946 -- )   February 3 , 2014   February 3 , 2018   Barack Obama ( 2009 -- 2017 )     16     Jerome Powell ( 1953 -- )   February 5 , 2018   Incumbent   Donald Trump ( 2017 -- )     See also ( edit )    Government of the United States portal     History of central banking in the United States    Notes ( edit )    Jump up ^ Johnston , Kevin ( January 31 , 2017 ) . `` What Is the Salary of the Federal Reserve Chairman ? '' . Investopedia . Retrieved 2018 - 02 - 05 .   Jump up ^ see 12 U.S.C. § 242   Jump up ^ `` Jerome H. Powell sworn in as Chairman of the Board of Governors of the Federal Reserve System '' . Board of Governors of the Federal Reserve System . Retrieved 2018 - 02 - 05 .   Jump up ^ Appelbaum , Binyamin ( 2018 - 02 - 04 ) . `` Powell Takes Over as Fed Chief as Economy Starts to Show Strain '' . The New York Times . ISSN 0362 - 4331 . Retrieved 2018 - 02 - 05 .   Jump up ^ NPR . `` Senate Confirms Jerome Powell As New Federal Reserve Chair '' . Retrieved February 3 , 2018 .   Jump up ^ Cox , Jeff ( January 31 , 2018 ) . `` Yellen leaving Fed Saturday , Powell to be sworn in Monday '' . CNBC . Retrieved February 3 , 2018 .   Jump up ^ Gensler , Lauren ( November 2 , 2017 ) . `` Trump Taps Jerome Powell As Next Fed Chair In Call For Continuity '' . Forbes .   Jump up ^ Sec. 203 , Banking Act of 1935 , Public Law no . 305 , 49 Stat. 684 , 704 ( Aug. 23 , 1935 ) .   Jump up ^ `` The Reserve Board Nominations '' . The Independent . July 20 , 1914 . Retrieved August 21 , 2012 .   Jump up ^ Meltzer , Allan H. ( 2003 ) . A history of the Federal Reserve : Volume 1 , 1913 - 1951 . Chicago : University of Chicago Press .   Jump up ^ `` The Fed - Board Members '' . Board of Governors of the Federal Reserve System . February 21 , 2018 . Retrieved June 1 , 2018 .   Jump up ^ `` The Structure of the Federal Reserve System '' . Federalreserve.gov . Retrieved April 24 , 2015 .   Jump up ^ Federal Reserve ( January 16 , 2009 ) . `` Board of Governors FAQ '' . Federal Reserve . Archived from the original on January 17 , 2009 . Retrieved January 16 , 2009 .   Jump up ^ 12 U.S.C. § 244   Jump up ^ `` Federal Reserve Bank Presidents '' . The Federal Reserve Bank of St. Louis . Retrieved December 8 , 2007 .   Jump up ^ `` Chairs '' . Membership of the Board of Governors of the Federal Reserve System , 1914 -- present . The Federal Reserve Board . February 3 , 2014 . Retrieved February 10 , 2014 .   Jump up ^ Chairs were designated Governors before August 23 , 1935 , and were then designated Chairmen until approximately 2014 , when Yellen became the first female chair .   Jump up ^ Served as Chair pro tempore from February 3 , 1948 to April 15 , 1948 .   Jump up ^ Served as Chair pro tempore from March 3 , 1996 to June 20 , 1996 .   Jump up ^ `` Janet L. Yellen , Chair '' . federalreserve.gov . October 19 , 2017 . Retrieved January 26 , 2018 .    References ( edit )    Beckhart , Benjamin Haggott. 1972 . Federal Reserve System . ( New York ) : American Institute of Banking .   Shull , Bernard . 2005 . The fourth branch : the Federal Reserve 's unlikely rise to power and influence . Westport , Conn. : Praeger .   Andrews , Edmund L. ( November 5 , 2005 ) . `` All for a more open Fed '' . New Straits Times . p. 21 .   `` Executive Order 11110 - Amendment of Executive Order No. 10289 as Amended , Relating to the Performance of Certain Functions Affecting the Department of the Treasury '' . The American Presidency Project . , via UCSB.edu    External links ( edit )    Official website   Public Statements of the Chairs of the Board of Governors of the Federal Reserve System , via the St. Louis Federal Reserve Bank   Nomination hearings , conducted in the Senate , for Chairs and Members of the Board of Governors of the Federal Reserve System   Timeline of Federal Reserve Chairs with related resources              Federal Reserve System       Federal Open Market Committee   Chair   Governors   Federal Reserve Bank       Banknotes     Federal Reserve Note   Federal Reserve Bank Note         Reports     Beige Book   Federal Reserve Statistical Release   Monetary Policy Report to the Congress   Fedspeak       Federal funds     Discount window   Federal funds   Federal funds rate   Primary dealer       History      Antecedents     Bank of England ( 1694 -- 1776 )   Currency Acts ( 1751 ; 1764 )   Bank of North America ( 1781 -- 1791 )   First Bank of the United States ( 1791 -- 1811 )   Coinage Act of 1792   Second Bank of the United States ( 1816 -- 1836 )   Suffolk Bank ( 1818 -- 1858 )   Suffolk System ( 1824 -- 1858 )   Bank War ( 1832 -- 1836 )   Coinage Act of 1834   Coinage Act of 1849   Coinage Act of 1853   New York Clearing House ( 1853 -- 1913 )   Coinage Act of 1857   National Bank Acts ( 1863 ; 1864 )   Coinage Act of 1864   Contraction Act of 1866   Public Credit Act of 1869   Currency Act of 1870   Coinage Act of 1873   Specie Payment Resumption Act ( 1875 )   Bland -- Allison Act ( 1878 )   Sherman Silver Purchase Act ( 1890 )   Gold Standard Act ( 1900 )   Aldrich -- Vreeland Act ( 1908 )       Official     Federal Reserve Act ( 1913 )   Pittman Act ( 1918 )   Post -- World War I recession ( 1918 -- 1919 )   Depression of 1920 -- 21   Wall Street Crash of 1929   Great Depression ( 1929 -- 1933 )   Gold Reserve Act ( 1934 )   Recession of 1937 -- 38   Employment Act of 1946   Late 1940s recession ( 1948 -- 1949 )   U.S. Treasury Department Accord ( 1951 )   Early 1950s recession ( 1953 -- 1954 )   Bank Holding Company Act ( 1956 )   Late 1950s recession ( 1957 -- 1958 )   Recession of 1960 -- 61   Federal Open Market Committee actions ( 1961 -- 2015 )   Recession of 1969 -- 70   1970s recession ( 1973 -- 1975 )   Federal Reserve Reform Act ( 1977 )   Humphrey -- Hawkins Full Employment Act ( 1978 )   Early 1980s recession ( 1980 ; 1981 -- 1982 )   Depository Institutions Deregulation and Monetary Control Act ( 1980 )   Board of Governors , FRS v. Investment Co . Institute ( 1981 )   Black Monday ( 1987 )   Financial Institutions Reform , Recovery , and Enforcement Act ( 1989 )   Friday the 13th mini-crash ( 1989 )   Early 1990s recession ( 1990 -- 1991 )   Federal Deposit Insurance Corporation Improvement Act ( 1991 )   1997 mini-crash   Gramm -- Leach -- Bliley Act ( 1999 )   Dot - com bubble bursting ( 2000 -- 2002 )   9 / 11 economic effects ( 2001 )   Stock market downturn of 2002   Early 2000s recession ( 2002 -- 2003 )   Financial crisis of 2007 -- 2008   Great Recession ( 2007 -- 2009 )   2007 -- 2009 U.S. bear market   Federal Reserve responses to the subprime crisis ( 2007 -- 2010 )   Bloomberg v. Federal Reserve ( 2009 )   Flash Crash ( 2010 )   August 2011 stock markets fall   2015 -- 16 stock market selloff          Chairs     Charles S. Hamlin ( 1914 -- 1916 )   William P.G. Harding ( 1916 -- 1922 )   Daniel R. Crissinger ( 1923 -- 1927 )   Roy A. Young ( 1927 -- 1930 )   Eugene Meyer ( 1930 -- 1933 )   Eugene R. Black ( 1933 -- 1934 )   Marriner S. Eccles ( 1934 -- 1948 )   Thomas B. McCabe ( 1948 -- 1951 )   William M. Martin ( 1951 -- 1970 )   Arthur F. Burns ( 1970 -- 1978 )   G. William Miller ( 1978 -- 1979 )   Paul Volcker ( 1979 -- 1987 )   Alan Greenspan ( 1987 -- 2006 )   Ben Bernanke ( 2006 -- 2014 )   Janet Yellen ( 2014 -- 2018 )   Jerome Powell ( 2018 -- )       Current governors     Jerome Powell ( Chairman )   Richard Clarida ( Vice Chairman )   Randal Quarles ( Vice Chairman for Supervision )   Lael Brainard   3 seats vacant       Current presidents     Eric S. Rosengren ( Boston )   John C. Williams ( New York )   Patrick T. Harker ( Philadelphia )   Loretta J. Mester ( Cleveland )   Jeffrey M. Lacker ( Richmond )   Raphael Bostic ( Atlanta )   Charles L. Evans ( Chicago )   James B. Bullard ( St. Louis )   Neel Kashkari ( Minneapolis )   Esther George ( Kansas City )   Robert Steven Kaplan ( Dallas )   Mark A. Gould ( Acting - San Francisco )      Retrieved from `` https://en.wikipedia.org/w/index.php?title=Chair_of_the_Federal_Reserve&amp;oldid=865540990 '' Categories :   Chairs of the Federal Reserve   Hidden categories :   CS1 : Julian -- Gregorian uncertainty   Use mdy dates from July 2016   All articles with unsourced statements   Articles with unsourced statements from July 2016   Official website different in Wikidata and Wikipedia           Talk                                           Contents                   About Wikipedia                                                   Español   فارسی   Galego   </t>
    </r>
    <r>
      <rPr>
        <sz val="11"/>
        <color rgb="FF000000"/>
        <rFont val="Noto Sans CJK SC"/>
        <family val="2"/>
      </rPr>
      <t xml:space="preserve">한국어   </t>
    </r>
    <r>
      <rPr>
        <sz val="11"/>
        <color rgb="FF000000"/>
        <rFont val="Calibri"/>
        <family val="0"/>
        <charset val="1"/>
      </rPr>
      <t xml:space="preserve">Nederlands   नेपाली   Polski   Português   Русский   Simple English   Українська   Tiếng Việt  4 more  Edit links   This page was last edited on 24 October 2018 , at 15 : 20 ( UTC ) .         About Wikipedia                    </t>
    </r>
  </si>
  <si>
    <t xml:space="preserve">who appoints the chairman of the federal reserve</t>
  </si>
  <si>
    <t xml:space="preserve"> The chair is chosen by the President of the United States from among the members of the Board of Governors ; and serves for four - year - terms after appointment . A chair may be appointed for several consecutive terms . William Martin was the longest serving chair , holding the position from 1951 to 1970 . </t>
  </si>
  <si>
    <t xml:space="preserve">Forest Research Institute ( India ) - Wikipedia  Forest Research Institute ( India )  Jump to : navigation , search  Forest Research Institute वन अनुसन्धान संस्थान देहरादून   Forest Research Institute , Dehradun , distant view     Established   1906     Location   FRI and College Area , Dehradun     Website   www.fri.res.in     The Forest Research Institute ( FRI ) वन अनुसन्धान संस्थान देहरादून is an institute of the Indian Council of Forestry Research and Education and is a premier institution in the field of forestry research in India . It is located at Dehradun in Uttarakhand , and is one of the oldest institutions of its kind . In 1991 , it was declared a deemed university by the University Grants Commission .   The Forest Research Institute campus hosts the Indira Gandhi National Forest Academy ( IGNFA ) , the staff college that trains officers selected for the Indian Forest Service ( IFS ) .     Contents  ( hide )   1 History   2 Architecture   3 Location   4 Training facility   5 Museum   6 In popular culture   7 See also   8 References   9 External links      History ( edit )   It was founded in 1878 as the British Imperial Forest School . by Dietrich Brandis .   In 1906 , it was reestablished as the Imperial Forest Research Institute , under the British Imperial Forestry Service .   The Indian Forest College was established in 1938 ; officers recruited to the Superior Forest Service by the states and provinces were trained there. Great revolutionary Rashbehari Bose worked here   Architecture ( edit )  Forest Research Institute front view  Established as Imperial Forest Research Institute in 1906 , the Forest Research Institute ( FRI ) Dehradun , was first located at Chandhbagh ( the present location of the Doon School ) on the Mall Road . A much larger campus at the present location was acquired ca 1923 . Construction of the present buildings commenced thereafter . Styled in Greeko Roman Architecture by C.G. Blomfield , the main building was inaugurated in 1929 by then Viceroy Freeman Freeman - Thomas , 1st Marquess of Willingdon . It is now a National Heritage site .   FRI Dehradun is one of the oldest institutions of its kind and acclaimed the world over . The institute 's history is virtually synonymous with the evolution and development of scientific forestry , not only in India , but over the entire sub-continent . Built over a lush green estate spread over 450 hectares , with the outer Himalaya forming its back drop , the institute 's main building is an impressive edifice , marrying Greco - Roman and Colonial styles of architecture , with a plinth area of 2.5 hectares . The building was listed for a time , in the Guinness Book of Records , as the largest purely brick structure in the world . The institute has a developed infrastructure of all equipped laboratories , library , herbarium , arboreta , printing press and experimental field areas for conducting forestry research , quite in keeping with the best of its kind anywhere in the world . It is 7 km from Clock Tower , on the Dehradun - Chakrata motorable road and is of the biggest forest based training institute in India . Most of the forest officers are a part of this institute . The FRI 's building also houses a Botanical Museum .   Location ( edit )   FRI and College Area campus is a census town , between Kaulagarh in the north and the Indian Military Academy to the south . The Tons River forms its Western Boundary .  Lawn at FRI in Evening  Training facility ( edit )   Within its campus it hosts Indira Gandhi National Forest Academy ( IGNFA ) , which is a separate organisation of the Indian Ministry of Environment and Forests ( MoEF ) . It also hosts the Central Academy for State Forest Services ( CASFOS ) . The Wildlife Institute of India was on campus but now has moved to Chandrabani , and is an independent organisation under MoEF . IIFM is an independent autonomous organisation of MoEF and has good liaisoning with FRI for forestry research and related activities . The deemed university of FRI runs four MSc courses viz . Cellulose &amp; Paper Technology , Environment Management , Forestry Management , Wood Science Technology and two P.G. Diploma courses in Natural Resource Management and Aroma Technology . It also enrolls large number of research scholars every year for PhD .  The Front view of the Main FRI building .  Museum ( edit )   FRI also contains a museum on forestry . It is open from 9 : 30am to 5 : 00pm daily , which an entry fee of Rs 40 per person and a nominal entry fee for vehicles . There are six sections in the museum :    Pathology Museum   Social Forestry Museum   Silviculture Museum   Timber Museum   Non-Wood Forest Products Museum   Entomology Museum    In popular culture ( edit )   More than half a dozen movies Dulhan Ek Raat Ki , Krishna Cottage , Rehnaa Hai Terre Dil Mein , 404 , Paan Singh Tomar , Nanban , Student of the Year , Student of the year 2 , Dilli Khabar , Yaara and Dear Daddy were majorly shot in this campus . Television commercial ad of Bournvita was also shot here . Punjabi song Pyaar tere naal he and Sajjan Raji by Satinder Sartaj also shot here .   Rash Behari Bose worked here as a head clerk , before becoming a full - time participant in the Independence movement .   See also ( edit )    Indian Institute of Forest Management ( IIFM )   Arid Forest Research Institute ( AFRI ) Jodhpur   Indian Forest Service ( IFS )   Forest Survey of India ( FSI )   Van Vigyan Kendra ( VVK ) Forest Science Centres   List of forest research institutes in India   List of historic schools of forestry    References ( edit )    Jump up ^ `` http://www.ugc.ac.in/inside/deemeduniv.html '' . Archived from the original on 29 November 2010 . External link in title = ( help )   ^ Jump up to : `` Forest Research Institute Dehradun '' .   Jump up ^ Bauuuoiley , F. ( 1885 ) . `` The Indian Forest School '' . Transactions of the Scottish Arboricultural Society . 11 , part 2 : 155 -- 161 .   Jump up ^ `` FRI Dehradun - Forest Research Institute in Dehradun Uttarakhand '' .   Jump up ^ `` Dehradun Shines in First Look of Karan Johar 's Student of the Year '' . DehradunBuzz .    External links ( edit )       Wikimedia Commons has media related to Forest Research Institute .      Official website   International Union of Forest Research Organizations ( IUFRO )    Coordinates : 30 ° 20 ′ 38 '' N 77 ° 59 ′ 58 '' E ﻿ / ﻿ 30.3439 ° N 77.9994 ° E ﻿ / 30.3439 ; 77.9994             Dehradun , Uttarakhand     Education      Academies     Doon Sarla Academy   Indira Gandhi National Forest Academy       Boarding Schools     The Aryan School   Colonel Brown Cambridge School   The Doon School   Ecole Globale International Girls ' School   Marshall School   The Royal College   SelaQui International School   St Joseph 's Academy , Dehradun   Tula 's International School   Unison World School   Welham Boys ' School   Welham Girls ' School       Military Schools     Indian Military Academy   Rashtriya Indian Military College       Private Schools     Brightlands School   Cambrian Hall   St. Thomas ' College       Universities     DIT University   Dev Bhoomi Group of Institutions   Doon University   Forest Research Institute   FRI and College Area     Himgiri Zee University   ICFAI University   IMS Unison University   Indian Institute of Aeronautical Engineering   Indian Institute of Petroleum   Indian Institute of Remote Sensing   Kelvin Institute of Technology   Quantum University   SYNTELations   Tula 's Institute   University of Petroleum and Energy Studies   Uttarakhand Technical University   Uttaranchal Dental &amp; Medical Research Institute   Uttaranchal University   Wildlife Institute of India      Religious Universities     Luther W. New Jr . Theological College             Buildings     Asan Barrage   Mahasu Devta Temple   Mindrolling Monastery   Parmarth Niketan   Raj Bhavan ( Governor 's House )   Tapkeshwar Temple      Stadiums     Abhimanyu Cricket Academy   Doon 's School Ground   Rajiv Gandhi International Cricket Stadium          Transportation      Airports     Dehradun Airport       Railway Stations     Dehradun   Raiwala   Rishikesh          Cities and Towns     Chakrata   Clement Town   Dehradun Cantonment   Doiwala   Gayatri Vihar   Herbertpur   Landour   Mussoorie   Pratitnagar   Raipur   Rishikesh   Vikasnagar   Virbhadra       Locations     Happy Valley   Nag Tibba   Song river   Robber 's Cave                 Universities in Uttarakhand     State universities     Doon University   G.B. Pant University of Agriculture and Technology   Hemwati Nandan Bahuguna Uttarakhand Medical Education University   Kumaun University   Sri Dev Suman Uttarakhand University   Uttarakhand Ayurved University   Uttarakhand Open University   Uttarakhand Residential University   Uttarakhand Sanskrit University   Uttarakhand Technical University   Veer Chandra Singh Garhwali Uttarakhand University of Horticulture &amp; Forestry       Central Universities     Hemwati Nandan Bahuguna Garhwal University       Autonomous Institutes     All India Institute of Medical Sciences , Rishikesh   Indian Institute of Management Kashipur   Indian Institute of Technology Roorkee   National Institute of Technology Uttarakhand       Deemed universities     Forest Research Institute   Graphic Era   Gurukul Kangri Vishwavidyalaya       Private universities     Bhagwant Global University   Dev Sanskriti Vishwavidyalaya   DIT University   Graphic Era Hill University   Himalayan Garhwal University   Himgiri Zee University   ICFAI University , Dehradun   IMS Unison University   Motherhood University   Ras Bihari Bose Subharti University   Quantum University   Shri Guru Ram Rai University   Swami Rama Himalayan University   University of Patanjali   University of Petroleum and Energy Studies   Uttaranchal University      Retrieved from `` https://en.wikipedia.org/w/index.php?title=Forest_Research_Institute_(India)&amp;oldid=843288539 '' Categories :   1906 establishments in India   Indian Council of Forestry Research and Education   Buildings and structures in Dehradun   Science and technology in Dehradun   Deemed universities in India   Indian forest research institutes   Forestry education in India   Forestry museums in India   History of forestry education   Ministry of Environment and Forests ( India )   Museums in Uttarakhand   Research institutes established in 1906   Tourist attractions in Dehradun   Research institutes in Dehradun   Hidden categories :   CS1 errors : external links   Use dmy dates from July 2017   Use Indian English from July 2017   All Wikipedia articles written in Indian English   Pages using infobox institute with unknown parameters   Coordinates on Wikidata           Talk                                           Contents                   About Wikipedia                                                 हिन्दी   മലയാളം   Українська   Edit links   This page was last edited on 28 May 2018 , at 04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</si>
  <si>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and where was the imperial forest institute set up in india</t>
  </si>
  <si>
    <t xml:space="preserve"> Forest Research Institute वन अनुसन्धान संस्थान देहरादून   Forest Research Institute , Dehradun , distant view     Established   1906     Location   FRI and College Area , Dehradun     Website   www.fri.res.in   </t>
  </si>
  <si>
    <t xml:space="preserve">Palm Beach , Florida - Wikipedia  Palm Beach , Florida  Jump to : navigation , search For other uses , see Palm Beach ( disambiguation ) . Town in Florida , United States    Palm Beach , Florida     Town     Town of Palm Beach     Aerial photograph of Palm Beach proper        Seal        Nickname ( s ) : The Island     Location of Palm Beach , Florida     U.S. Census Bureau map showing town boundaries     Coordinates : 26 ° 42 ′ 54 '' N 80 ° 2 ′ 22 '' W ﻿ / ﻿ 26.71500 ° N 80.03944 ° W ﻿ / 26.71500 ; - 80.03944 Coordinates : 26 ° 42 ′ 54 '' N 80 ° 2 ′ 22 '' W ﻿ / ﻿ 26.71500 ° N 80.03944 ° W ﻿ / 26.71500 ; - 80.03944     Country   United States     State   Florida     County   Palm Beach     Founded   1872     Incorporated ( Town of Palm Beach )   April 17 , 1911     Area     Total   8.12 sq mi ( 21.03 km )     Land   4.20 sq mi ( 10.89 km )     Water   3.92 sq mi ( 10.14 km )     Elevation   7 ft ( 2 m )     Population ( 2010 )     Total   8,348     Estimate ( 2016 )   8,690     Density   2,067.08 / sq mi ( 798.14 / km )     Time zone   Eastern ( EST ) ( UTC - 5 )     Summer ( DST )   EDT ( UTC - 4 )     ZIP code   33480     Area code ( s )   561     FIPS code   12 - 54025     GNIS feature ID   0288390     Website   townofpalmbeach.com    Palm Beach , 1916 The Lake Trail along the Lake Worth Lagoon Worth Avenue Worth Avenue  The Town of Palm Beach is an incorporated town in Palm Beach County , Florida , United States . The Intracoastal Waterway separates it from the neighboring cities of West Palm Beach and Lake Worth . In 2000 , Palm Beach had a year - round population of 10,468 , with an estimated seasonal population of 30,000 .     Contents  ( hide )   1 History   2 Name   3 Geography   3.1 Climate     4 Demographics   5 Transportation   6 Schools   7 Points of interest   8 Notable people   9 References   10 External links      History ( edit )   Prior to being established as a resort by Henry Morrison Flagler , who made the Atlantic coast barrier island accessible via his Florida East Coast Railway , Palm Beach was a sparsely populated part of Lake Worth . The nucleus of the community was established by Flagler 's two luxury resort hotels , the Royal Poinciana Hotel and The Breakers Hotel . West Palm Beach was built across Lake Worth as a service town and has become a major city in its own right .   Flagler 's house lots were bought by the beneficiaries of the Gilded Age , and in 1902 Flagler himself built a Beaux - Arts mansion , Whitehall , designed by the New York -- based firm Carrère and Hastings and helped establish the Palm Beach winter `` season '' by constantly entertaining . The town was incorporated on 17 April 1911 .   An area known as the Styx housed the people who built up the island . Workers rented small houses from the landowners . In the early 1900s the landowners agreed to evict all of the residents of the Styx ( who moved to West Palm Beach , Florida ) and Edward R. Bradley bought up much of this land . The houses were razed , according to the Palm Beach Daily News .   Name ( edit )   The wreck of the Providencia is credited with giving Palm Beach its famous name . The Providencia was traveling from Havana to Cádiz , Spain with a cargo of coconuts harvested on the Caribbean island of Trinidad , when the ship wrecked near Palm Beach . Many of the coconut naturalized or were planted along the Palm Beach coast . A lush grove of palm trees soon grew on what was later named Palm Beach . Today the tallest coconut palms in the United States can be found along the Palm Beach coast .   Geography ( edit )   Palm Beach is the easternmost town in Florida , located on a 18 - mile ( 29 km ) long barrier island between Lake Worth Lagoon on the west and the Atlantic Ocean on the east . At no point is the island wider than three - quarters of a mile ( 1.2 km ) , and in places it is only 500 feet ( 150 m ) .   According to the U.S. Census Bureau , the town has a total area of 10.4 square miles ( 27 square kilometres ) . 3.9 square miles ( 10 square kilometres ) of it is land and 6.5 square miles ( 17 square kilometres ) of it is water . The total area is 62.45 % water .   Climate ( edit )   According to the koppen climate classification Palm Beach has a tropical rainforest climate , having slightly too much rainfall in it 's driest month to meet the tropical savanna criteria .   The wet season is from May to October , when convective thunderstorms and tropical downpours are common , and weak tropical lows pass nearby . Average high temperatures in Palm Beach are 86 to 90 ° F ( 30 to 32 ° C ) with lows of 70 to 75 ° F ( 21 to 24 ° C ) . During this period , more than half of the summer days bring occasional afternoon thunderstorms and seabreezes that somewhat cool the rest of the day .   The winter brings drier , sunnier , and much less humid weather . Average high temperatures of 75 to 82 ° F ( 24 to 28 ° C ) and lows of 57 to 66 ° F ( 14 to 19 ° C ) , and is considered the main tourist season in the Palm Beach area . Although most winter days have highs in the 75 F range in Palm Beach , occasional cold fronts during this period can result in a few days of cooler weather with high temperatures in the mid 60s F ( 15 to 20 ° C ) and lows in the upper 40s and 50s ( 8 to 14 ° C ) while at other times high temperatures occasionally reach the middle 80s F in mid winter . In some years , the dry season can become quite dry , and water restrictions are imposed .   The annual average precipitation is 61 in ( 1,500 mm ) , most of which occurs during the summer season from May through October . In the wet summer season , short - lived heavy afternoon thunderstorms are common . Palm Beach reports more than 2,900 hrs of sunshine annually . Although rare , tropical cyclones can impact Palm Beach , with the last direct hit in 1928 .     ( hide ) Climate data for Palm Beach     Month   Jan   Feb   Mar   Apr   May   Jun   Jul   Aug   Sep   Oct   Nov   Dec   Year     Record high ° F ( ° C )   89 ( 32 )   90 ( 32 )   94 ( 34 )   99 ( 37 )   96 ( 36 )   98 ( 37 )   101 ( 38 )   98 ( 37 )   97 ( 36 )   95 ( 35 )   91 ( 33 )   90 ( 32 )   101 ( 38 )     Average high ° F ( ° C )   75.1 ( 23.9 )   76.3 ( 24.6 )   79.2 ( 26.2 )   82.1 ( 27.8 )   85.9 ( 29.9 )   88.5 ( 31.4 )   90.1 ( 32.3 )   90.1 ( 32.3 )   88.7 ( 31.5 )   85.0 ( 29.4 )   80.4 ( 26.9 )   76.4 ( 24.7 )   83.1 ( 28.4 )     Average low ° F ( ° C )   57.3 ( 14.1 )   58.2 ( 14.6 )   61.9 ( 16.6 )   65.4 ( 18.6 )   70.5 ( 21.4 )   73.8 ( 23.2 )   75.0 ( 23.9 )   75.4 ( 24.1 )   74.7 ( 23.7 )   71.2 ( 21.8 )   65.8 ( 18.8 )   60.1 ( 15.6 )   67.4 ( 19.7 )     Record low ° F ( ° C )   27 ( − 3 )   32 ( 0 )   30 ( − 1 )   43 ( 6 )   51 ( 11 )   61 ( 16 )   66 ( 19 )   65 ( 18 )   66 ( 19 )   46 ( 8 )   36 ( 2 )   28 ( − 2 )   27 ( − 3 )     Average precipitation inches ( mm )   3.75 ( 95.3 )   2.55 ( 64.8 )   3.68 ( 93.5 )   3.57 ( 90.7 )   5.39 ( 136.9 )   7.58 ( 192.5 )   5.97 ( 151.6 )   6.65 ( 168.9 )   8.10 ( 205.7 )   5.46 ( 138.7 )   5.55 ( 141 )   3.14 ( 79.8 )   61.39 ( 1,559.4 )     Source : National Weather Service     Demographics ( edit )     Historical population     Census   Pop .     % ±     1920   1,135     --     1930   1,707     50.4 %     1940   3,747     119.5 %     1950   3,886     3.7 %     1960   6,055     55.8 %     1970   9,086     50.1 %     1980   9,729     7.1 %       9,814     0.9 %     2000   10,468     6.7 %       8,348     − 20.3 %     Est. 2016   8,690     4.1 %     U.S. Decennial Census     Palm Beach has a median household income of $124,562 and a median family income of $137,867 . The town 's affluence and its `` abundance of pleasures '' and `` strong community - oriented sensibility '' were cited when it was selected in June 2003 as America 's `` Best Place to Live '' by Robb Report magazine .   As of the 2000 census , over half the population ( 52.7 % ) are 65 years of age or older , with a median age of 67 years . 9.4 % are under the age of 18 , 1.5 % are from 18 to 24 , 11.5 % are from 25 to 44 , and 25.0 % from 45 to 64 . For every 100 females , there are 79.3 males . For every 100 females age 18 and over , there are 77.0 males .   The household income for the town is $109,219 . Males have a median income of $71,685 versus $42,875 for females . 5.3 % of the population and 2.4 % of families are below the poverty line . 4.6 % of those under the age of 18 and 2.9 % of those 65 and older are living below the poverty line .   The racial makeup of the town is 96 % White ( 93.8 % were non-Hispanic White ) , 2.57 % Black , 0.53 % Asian , 0.04 % Native American , 0.02 % Pacific Islander , 0.21 % from other races , and 0.63 % from two or more races. 2.56 % of the population are Hispanic or Latino of any race .   The 10,468 people in the town are organized into 5,789 households and 3,021 families . The population density is 2,669.2 inhabitants per square mile ( 1,031.1 / km ) . There are 9,948 housing units at an average density of 1,006.5 per square mile ( 387.7 / km ) . 7.7 % of the households have children under the age of 18 living with them , 48.1 % are married couples living together , 3.3 % have a female householder with no husband present , and 47.8 % are non-families. 42.6 % of all households are made up of individuals and 27.6 % have someone living alone who is 65 years of age or older . The average household size is 1.81 and the average family size is 2.38 .   In 2000 , English was the first language of 87.81 % of all residents , while French comprised 4.48 % , Spanish consisted of 3.65 % , German made up 2.16 % , Italian speakers made up 0.45 % , Yiddish made up 0.36 % , Russian was at 0.30 % , Arabic and Swedish at 0.25 % , and Polish was the mother tongue of 0.24 % of the population .   In 2000 , Palm Beach had the 40th highest percentage of Russian residents in the U.S. , with 10.30 % of the populace ( tied with Pomona , N.Y. and the township of Lower Merion , Pa . ) . It also had the 26th highest percentage of Austrian residents in the US , at 2.10 % of the town 's population ( which tied with 19 other US areas ) .  Palm Beach  Transportation ( edit )  Worth Avenue  The city is served by Amtrak and Tri-Rail , which connect Palm Beach with Miami , as well as Palm Beach International Airport , all located in West Palm Beach . The higher speed Brightline has a stop in West Palm Beach as well . Public transportation is available through Palm Tran , and connects with the rest of the county .   The northern portion of Palm Beach is served by the Route 41 bus which travels from the northernmost portion of Palm Beach at the inlet and then down to Royal Palm Way , across the Royal Park Bridge ( State Road 704 ) into West Palm Beach and up to the government center , and then follows the same route in reverse .   Private vehicles and taxis are the predominant means of transport in Palm Beach . Bicycles are a popular transport on the island , although most areas have no bicycle trails , so safe and comfortable travel is not always assured . The Lake Trail , exclusively for pedestrian and bike traffic , extends from Royal Palm Way ( State Road 704 ) in the south up to the north end of the island . The trail follows the edge of the Lake Worth Lagoon ( part of the intercoastal waterway ) except for a section between the Flagler Museum and the Biltmore Condominiums , where the trail follows the streets . Another break occurs to pass around the Sailfish Yacht Club in the north end of the island . The Lake Trail is filled daily with bikers , rollerbladers , runners , and dog - walkers .   Traveling by bike along the ocean can be hazardous . Only a short section in the downtown area has sidewalks . The roads along the ocean are narrow and have small or no shoulders , making biking a potentially dangerous activity in those areas .   In the southern end of the island , south of Sloan 's Curve , through South Palm Beach to East Ocean Avenue ( linking to Lantana ) is a two - mile ( 3200 m ) long , relatively wide pedestrian path that is popular with walkers , runners , and bikers alike .   Schools ( edit )   Palm Beach Public Elementary is located on the island and has kindergarten through fifth grade . It has a school grade of A and 477 students attend the school . Palm Beach Day Academy is a private school in the area . It was formed in 2005 from a merger between Palm Beach Day School and the Academy of the Palm Beaches .   Points of interest ( edit )  Night view of the Big Kapok tree near Flagler Museum   Breakers Hotel   Everglades Club   Four Arts Gardens   Mar - a-Lago   Whitehall , the Flagler Museum   Pan 's Garden , Preservation Foundation of Palm Beach   Worth Avenue   The Big Kapok tree on the property of the Royal Poinciana Chapel near Flagler Museum    Notable people ( edit )    S. Daniel Abraham - Creator of Slim Fast   Roger Ailes - American television executive and media consultant   Steve Alvers - American football player   Spencer Antle - Fashion designer , founder of lifestyle brand Island Company , and filmmaker   Madeleine Astor - Titanic Survivor , and widow of John Jacob Astor IV   Herman Barron ( 1909 -- 1978 ) - professional golfer   Rich Barnes - MLB pitcher for the Chicago White Sox and Cleveland Indians   Barney Family - heirs to the Smith Barney banking and brokerage fortune   Ted Bell - Bestselling American author of suspense and espionage novels   Billy Bishop - World War I flying ace , he died while spending the winter of 1956 in Palm Beach   Conrad Black - a former Canadian media baron , author , and convicted fraudster lived on Palm Beach Island for over twenty years   Jon Bon Jovi - American singer from New Jersey , who in March 2018 purchased a home on the island , in addition to his other residences in Boca Raton , and New Jersey .   Dan Borislow - Founder of magicJack   Nancy Brinker - founder of Susan G. Komen for the Cure   Jimmy Buffett - Singer   William S. Burroughs , Jr . - American novelist , son of famous beat writer William S. Burroughs and great - grandson to William Seward Burroughs I , the original inventor of the Burroughs adding machine . ( b . 1947 )   James H. Clark - Founder of Netscape   Ann Coulter - Syndicated columnist , author , and political commentator   Horace Dodge - The Dodge automotive family and died December 1920 at his Palm Beach residence   The Duke and Duchess of Windsor frequently holidayed in Palm Beach after their marriage in 1937   Henry Morrison Flagler - founder of Palm Beach   Malcolm Glazer - CEO of First Allied Corporation and sports team owner ( Manchester United of the Premier League and the Tampa Bay Buccaneers of the National Football League )   Robert W. Gottfried - homebuilder   Curt Gowdy - Sportscaster   Joseph Gurwin ( 1920 -- 2009 ) , philanthropist   George Hamilton - Actor   E.F. Hutton - Wall street broker who built Mar - a-Lago husband of Marjorie Merriweather Post   Paul Ilyinsky or HH Paul Romanovsky - Ilynsky ( 1928 -- 2004 ) - senior male of Romanov Dynasty , Head of House of Holstein - Gottorp , Prince of Holstein - Gottorp , Duke of Holstein - Gottorp , Prince Romanovsky - Ilynsky , U.S. Marine Corps colonel , son of HIH Grand Duke Dmitri Pavlovich of Russia , grandson of John J. Emery , nephew of John J. Emery . Ilyinsky was elected to the Palm Beach town council in 1981 . Two years later , Ilyinsky ran unopposed and spent another term as council president . He won the mayor 's job in 1993 , and served until 2000 .   Michael Jackson - Singer . Lived there briefly in 2003 until 2005 .   Raymond Kassar - Investor and former Chairman and CEO of Atari and former Vice-Chair of Burlington Industries   Kennedy family - political family   Brett King - American actor who later opened Coral Sands Hotel in the Bahamas , died in Palm Beach in 1999   John Kluge - Chairman of Metromedia , estimated net worth is $11 Billion III   Howard Leach - Ambassador to France under George W. Bush   Evelyn Lauder - co-creator of the Pink Ribbon breast cancer awareness campaign , creator of Clinique   Laurence Leamer - Writer   John Lennon - Musician most famous with his work with The Beatles . Lennon bought Harold Vanderbilt 's former home , El Solano , in 1980 shortly before his murder .   Rush Limbaugh - Radio show host , and conservative political commentator   Edgar F. Luckenbach - Shipping magnate   Bernard Madoff - Former NASDAQ chairman and convicted felon of various securities fraud   Lana J. Marks - Designer   Charles Peter McColough - Former Chairman and CEO of the Xerox Corporation   Dina Merrill - American actress and socialite ( daughter of E.F. Hutton &amp; Marjorie Merriweather Post )   Addison Mizner - influential architect of Palm Beach landmarks and residences in the 1920s   Brian Mulroney - former Canadian Prime Minister   Dmitri Nabokov - son and literary heir of famed novelist Vladimir Nabokov   Tony Nader - author and leader of the Transcendental Meditation movement   Kevin Ohme - MLB pitcher for the St. Louis Cardinals   Mehmet Oz - Better known as Dr. Oz . Turkish - American cardiothoracic surgeon , professor , author , and television personality .   James Patterson - Best Selling Author   Mark Patton - 1980s television and film actor   Henry Paulson - Former US Treasury Secretary   Ronald Perelman - Corporate Raider , Chairman of Revlon who sold his Palm Beach house in 2004 for $70 million   Marjorie Merriweather Post - Post cereal heiress , socialite , and philanthropist who built Mar - a-Lago . Wife of E.F. Hutton   Wilbur Ross - US secretary of Commerce   John Sculley - former CEO of Apple , Inc and former president of PepsiCo   Stephanie Seymour - American model and actress   Christopher A. Sinclair - Chairman and CEO of Mattel and former CEO of Pepsi - Cola   Howard Stern - Radio personality   Rod Stewart - Singer   Butch Trucks - Founding member of The Allman Brothers Band   Donald Trump - 45th President of the United States   Ivana Trump - Ex-wife of Donald Trump   Harold Vanderbilt - railroad executive , great - grandson of Cornelius Vanderbilt , owned El Solano before John Lennon bought it .   Vera Wang - Fashion designer ( has recently sold the $9 m mansion she owned on the Palm Beach coast and moved to NYC )   Mollie Wilmot - Philanthropist and socialite   Jayne Wrightsman - Philanthropist and socialite    References ( edit )    Jump up ^ `` 2016 U.S. Gazetteer Files '' . United States Census Bureau . Retrieved Jul 7 , 2017 .   ^ Jump up to : `` Population and Housing Unit Estimates '' . Retrieved June 9 , 2017 .   Jump up ^ `` American FactFinder '' . United States Census Bureau . Retrieved 2008 - 01 - 31 .   Jump up ^ `` US Board on Geographic Names '' . United States Geological Survey . 2007 - 10 - 25 . Retrieved 2008 - 01 - 31 .   ^ Jump up to : Loney , Jim ( 19 December 2008 ) . `` Madoff scandal stuns Palm Beach Jewish community '' . Reuters . Retrieved 2 December 2013 .   Jump up ^ `` The Styx : Removal '' . Palm Beach County History Online . 2009 . Retrieved 2 December 2013 .   Jump up ^ Harvey Oyer III , `` `` The Wreck of the Providencia in 1878 and the Naming of Palm Beach County , '' South Florida History , vol. 29 , Nov. 4 , 2001 .   Jump up ^ Town of Palm Beach , `` History of Palm Beach '' , http://www.townofpalmbeach.com/Index.aspx?NID=343 , retrieved January 16 , 2017 .   Jump up ^ Palm Beach County Historical Society , `` 1860 - 1879 , '' http://www.pbchistoryonline.org/page/timeline-1860-1879 , retrieved January 12 , 2017 .   Jump up ^ Town of Palm Beach , `` Story of the Town 's Founding '' , http://www.townofpalmbeach.com/Index.aspx?NID=344 , retrieved January 16 , 2017 .   Jump up ^ Federal Writers ' Project ( 1939 ) , Florida . A Guide to the Southernmost State , New York : Oxford University Press , p. 227 access - date = requires url = ( help )   Jump up ^ `` WEST PALM BEACH , FLORIDA '' . Weatherbase . Retrieved May 4 , 2014 .   Jump up ^ `` Climate of West Palm Beach '' . ClimaTemps.com . Retrieved June 5 , 2014 .   ^ Jump up to : `` Historical Weather for West Palm Beach , Florida , United States of America '' . Weatherbase . Retrieved 2 December 2013 .   Jump up ^ http://www.nws.noaa.gov/climate/xmacis.php?wfo=mfl   Jump up ^ `` Census of Population and Housing '' . Census.gov . Retrieved June 4 , 2015 .   Jump up ^ `` Demographics of Palm Beach , Florida '' . MuniNetGuide.com . Retrieved 2 December 2013 .   Jump up ^ `` MLA Data Center Results of Palm Beach , FL '' . Modern Language Association . Retrieved 2 December 2013 .   Jump up ^ `` Ancestry Map of Russian Communities '' . Epodunk.com . Retrieved 2 December 2013 .   Jump up ^ `` Ancestry Map of Austrian Communities '' . Epodunk.com . Retrieved 2 December 2013 .   Jump up ^ `` Stations : West Palm Beach , FL ( WPB ) '' . Amtrak . Retrieved 2 December 2013 .   Jump up ^ `` West Palm Beach to Palm Beach Inlet - Route 41 '' . Palm Beach County . 12 March 2013 . Archived from the original on 3 December 2013 . Retrieved 2 December 2013 .   Jump up ^ `` Palm Beach Public Elementary '' . Edline.net . Retrieved 2 December 2013 .   Jump up ^ ( 1 )   Jump up ^ ( 2 )   ^ Jump up to : Clemence , Sara ( 12 September 2005 ) . `` Palm Beach Peach '' . Forbes . Retrieved 2 December 2013 .   Jump up ^ Friedman , Brad ( 4 November 2006 ) . `` Ann Coulter 's Felonious Florida Voter Registration Application '' . Retrieved 2 December 2013 .   Jump up ^ Hyde , Charles K. ( 2005 ) . The Dodge brothers : the men , the motor cars , and the legacy . Wayne State University Press . p. 139 . ISBN 978 - 0 - 8143 - 3246 - 7 . Retrieved 2 December 2013 .   Jump up ^ Stephanie Murphy , Shannon Donnelly ( 31 May 2007 ) . `` He Certainly Put his Stamp on the Island '' . Palm Beach Daily News .   Jump up ^ Martin , Douglas ( 26 September 2009 ) . `` Joseph Gurwin , Textile Manufacturer and Philanthropist , Dies at 89 '' . The New York Times . Retrieved 2 December 2013 .   Jump up ^ Davis , Christine ( 26 April 2012 ) . `` On the Market : George Hamilton , engaged , is selling Waterview Towers bachelor pad for $895,000 '' . Palm Beach Daily News . Retrieved 23 March 2018 .   Jump up ^ Dargan , Michele ; Donnelly , Shannon ( 13 November 2011 ) . `` Service to be Monday for Evelyn Lauder , beauty exec and pink ribbon co-creator '' . Palm Beach Daily News . Archived from the original on 13 May 2012 . Retrieved 2 December 2013 .   Jump up ^ `` El Solano Review - Palm Beach and the Treasure Coast '' . Fodor 's Travel Guides. 1 October 2010 . Archived from the original on 11 August 2014 . Retrieved 2 December 2013 .   Jump up ^ `` Rush Limbaugh 's House , and Other Egomaniacal Estates '' . New York Magazine . 7 July 2008 . Retrieved 2 December 2013 .   Jump up ^ Hofheinz , Darrell ( 15 September 2016 ) . `` North End home with Vedic principles wins board approval '' . The Shiny Sheet . Retrieved 6 June 2017 .   Jump up ^ Ostrowski , Jeff . `` Dr. Oz just bought a Palm Beach mansion . See how much he paid '' . Palm Beach Post .    External links ( edit )    Miami portal        Wikimedia Commons has media related to Palm Beach , Florida .      Palm Beach , Florida travel guide from Wikivoyage   Town of Palm Beach   Palm Beach Chamber of Commerce              Municipalities and communities of Palm Beach County , Florida , United States     County seat : West Palm Beach     Cities     Atlantis   Belle Glade   Boca Raton   Boynton Beach   Delray Beach   Greenacres   Lake Worth   Pahokee   Palm Beach Gardens   Riviera Beach   South Bay   Westlake   West Palm Beach         Towns     Briny Breezes   Cloud Lake   Glen Ridge   Gulf Stream   Haverhill   Highland Beach   Hypoluxo   Juno Beach   Jupiter   Jupiter Inlet Colony   Lake Clarke Shores   Lake Park   Lantana   Loxahatchee Groves   Manalapan   Mangonia Park   Ocean Ridge   Palm Beach   Palm Beach Shores   South Palm Beach       Villages     Golf   North Palm Beach   Palm Springs   Royal Palm Beach   Tequesta   Wellington       CDPs     Acacia Villas   Belle Glade Camp   Boca Del Mar   Boca Pointe   Cabana Colony   Canal Point   Century Village   Cypress Lakes   Fremd Village - Padgett Island   Golden Lakes   Gun Club Estates   Hamptons at Boca Raton   Juno Ridge   Jupiter Farms   Kenwood Estates   Kings Point   Lake Belvedere Estates   Lake Harbor   Lake Worth Corridor   Lakeside Green   Lakewood Gardens   Limestone Creek   Mission Bay   Pine Air   Plantation Mobile Home Park   Royal Palm Estates   San Castle   Sandalfoot Cove   Schall Circle   Seminole Manor   Stacy Street   The Acreage   Villages of Oriole   Watergate   Westgate   Whisper Walk       Unincorporated communities     Boca West   Bryant   Dahlberg   Dunes Road   High Point   Loxahatchee   Okeelanta   Pelican Lake   West Boca Raton       Ghost town     Apix   Big Mound City   Deem City                 Miami metropolitan area     Population - 6,012,331     Counties     Miami - Dade   Broward   Palm Beach       Major city 441k     Miami       Cities and towns 100k -- 250k     Coral Springs   Fort Lauderdale   Hialeah   Hollywood   Miami Gardens   Miramar   Pembroke Pines   Pompano Beach   West Palm Beach       Cities and towns 25k -- 99k     Aventura   Boca Raton   Boynton Beach   Coconut Creek   Cooper City   Coral Gables   Cutler Bay   Dania Beach   Davie   Deerfield Beach   Delray Beach   Doral   Greenacres   Hallandale Beach   Homestead   Jupiter   Lake Worth   Lauderdale Lakes   Lauderhill   Margate   Miami Beach   North Lauderdale   North Miami   North Miami Beach   Oakland Park   Palm Beach Gardens   Plantation   Riviera Beach   Sunrise   Tamarac   West Park   Weston   Wilton Manors       Cities and towns 10k -- 25k     Belle Glade   Hialeah Gardens   Lighthouse Point   Miami Lakes   Miami Springs   Opa - locka   Palm Beach   Parkland   South Miami   Sunny Isles Beach   Sweetwater   Palm Springs       A list of cities under 10,000 is available here .               Greater Miami Area       Miami   Fort Lauderdale   West Palm Beach   Miami metropolitan area       Central business district     Downtown Miami   Brickell   Central Business District   Historic District   Government Center   Park West   Omni     Downtown Fort Lauderdale       Major urban areas     Aventura   Coconut Grove   Coral Gables   Dadeland   Health District   Hialeah   Hollywood   Midtown   Edgewater   Wynwood     Pembroke Pines   South Beach       Colleges and universities     Barry University   Broward College   Carlos Albizu University   Florida Atlantic University   Florida International University   Florida Memorial University   Johnson &amp; Wales University   Miami Dade College   Miami International University of Art &amp; Design   Nova Southeastern University   St. Thomas University   University of Miami       Parks and recreation     Alice Wainwright Park   Amelia Earhart Park   Arch Creek   The Barnacle Historic State Park   Bayfront Park   Big Cypress National Preserve   Bill Baggs Cape Florida State Park   Biscayne National Park   Brian Piccolo Sports Park &amp; Velodrome   Chapman Field Park   Crandon Park   Dinner Key   Everglades National Park   Fairchild Tropical Botanic Garden   Fort Dallas   Fruit and Spice Park   Greynolds Park   Haulover Park   Jungle Island   The Kampong   Margaret Pace Park   Matheson Hammock Park   Miami Seaquarium   Monkey Jungle   Museum Park   Oleta River State Park   Peacock Park   Shark Valley   Simpson Park Hammock   South Pointe Park   Tamiami Park   Tropical Park   Virginia Key   Zoo Miami       Attractions     Adrienne Arsht Center for the Performing Arts   American Airlines Arena   Bass Museum   Bergeron Rodeo Grounds   BB&amp;T Center   Biltmore Hotel   Bonita Chita Key   Butterfly World   Coral Castle   Downtown Miami   FIU Arena   FIU Stadium   Florida Grand Opera   Fontainebleau Miami Beach   Fort Lauderdale Swap Shop   Frost Art Museum   Frost School of Music   Gulfstream Park   Hard Rock Stadium   HistoryMiami   Holocaust Memorial   Homestead   Jewish Museum of Florida   Las Olas Boulevard   Lowe Art Museum   Lincoln Road   Lummus Park   MacFarlane Homestead   Marlins Park   Miami Beach Architectural District   Miami Beach Convention Center   Miami Children 's Museum   Miami City Ballet   Miami Conservatory   Museum of Contemporary Art   New World Symphony Orchestra   Normandy Isles   North Shore   Ocean Drive   Phillip and Patricia Frost Museum of Science   Pérez Art Museum Miami   Riverwalk   Seminole Hard Rock Hotel &amp; Casino Hollywood   South Beach   The Miami Line   Vizcaya Museum and Gardens   Watsco Center   Wolfsonian - FIU   Wynwood Art District       Major shopping centers     Aventura Mall   Bal Harbour Shops   Bayside Marketplace   Brickell City Centre   CocoWalk   Collins Avenue   Coral Square   Dadeland Mall   Dolphin Mall   The Falls   Flagler Street   The Galleria at Fort Lauderdale   Lincoln Road   The Mall at 163rd Street   Mall of the Americas   Mary Brickell Village   Miami International Mall   Midtown Miami   Miracle Marketplace   Pembroke Lakes Mall   The Shops at Sunset Place   Sawgrass Mills   Southland Mall   Shops at Merrick Park   Westfield Broward   Westland Mall       Transportation     Amtrak   Brightline   Broward County Transit   Government Center   Fort Lauderdale Executive Airport   Fort Lauderdale -- Hollywood International Airport   Miami Airport Station   Miami - Dade Transit   Metrorail   Metrobus   Metromover   MIA Mover     Miami International Airport   North Perry Airport   Palm Tran   Pompano Beach Airpark   Port Everglades   Port of Miami   Tri-Rail       Major thoroughfares     East 6th Avenue   North 36th Street   North 54th Street   North 79th Street   North 103rd Street   North 125th Street   North 135th Street   West 7th Avenue   West 12th Avenue   West 27th Avenue   West 107th Avenue   Allapattah Road   Alton Road   Bird Road   Biscayne Boulevard   Brickell Avenue   Broad Causeway   Collins Avenue   Coral Reef Drive   Coral Way   County Line Road   Douglas Road   Flagler Street   Galloway Road   Gratigny   Ives Dairy Road   Julia Tuttle Causeway   Kendall Drive   John F. Kennedy Causeway   Killian   Krome Avenue   William Lehman Causeway   Le Jeune Road   Ludlam Road   MacArthur Causeway   Miami Avenue   Miami Gardens Drive   Milam Dairy Road   Miracle Mile   Okeechobee Road   Old Cutler Road   Port Boulevard   Quail Roost Drive   Red Road   Rickenbacker Causeway   South Dixie Highway   Sunset Drive   Tamiami Trail   Venetian Causeway   West Dixie Highway         Portal   WikiProject                 State of Florida     Tallahassee ( capital )     Topics     Climate   Congressional districts   Cingressional delegations   Education   Environment   Geology   Government   Hurricanes   Law   Media   Newspapers   Radio   TV     Symbols   Flag   Seal     Tourist attractions   Transportation     Seal of Florida     History     Timeline   Spanish Florida   British Rule   East Florida   West Florida     Florida Territory   Seminole Wars   Slavery   Plantations of Leon County   Civil War   Florida East Coast Railway   Florida land boom of the 1920s   Kennedy Space Center   Disney World       Geography     Everglades ( Drainage and development )   Florida Keys   Lake Okeechobee   Sinkholes   State forests   State parks       Society     Floridians   Culture   Crime   Demographics   Economy   Education   Indigenous peoples   Politics   Sports       Regions     Big Bend   Central Florida   Emerald Coast   First Coast   Florida Heartland   Florida Keys   Florida Panhandle   Forgotten Coast   Glades   Gold Coast   Halifax area   Nature Coast   North Central Florida   North Florida   South Florida   Southwest Florida   Space Coast   Suncoast   Tampa Bay Area   Treasure Coast       Metro areas     Cape Coral -- Fort Myers   Deltona -- Daytona Beach -- Ormond Beach   Fort Walton Beach -- Crestview -- Destin   Gainesville   Jacksonville   Lakeland -- Winter Haven   Miami -- Fort Lauderdale -- Pompano Beach   Naples -- Marco Island   North Port -- Bradenton -- Sarasota   Ocala   Orlando -- Kissimmee -- Sanford   Palm Bay -- Melbourne -- Titusville   Panama City -- Lynn Haven -- Panama City Beach   Pensacola -- Ferry Pass -- Brent   Port St. Lucie   Punta Gorda   Sebastian -- Vero Beach   Tallahassee   Tampa - St. Petersburg -- Clearwater   West Palm Beach - Boca Raton       Largest cities     Jacksonville   Miami   Tampa   Orlando   St. Petersburg   Hialeah   Tallahassee   Port St. Lucie   Fort Lauderdale   West Palm Beach   Cape Coral   Pembroke Pines   Hollywood       Counties     Alachua   Baker   Bay   Bradford   Brevard   Broward   Calhoun   Charlotte   Citrus   Clay   Collier   Columbia   DeSoto   Dixie   Duval   Escambia   Flagler   Franklin   Gadsden   Gilchrist   Glades   Gulf   Hamilton   Hardee   Hendry   Hernando   Highlands   Hillsborough   Holmes   Indian Riv</t>
  </si>
  <si>
    <t xml:space="preserve">where is palm beach florida located on the map</t>
  </si>
  <si>
    <t xml:space="preserve"> The Town of Palm Beach is an incorporated town in Palm Beach County , Florida , United States . The Intracoastal Waterway separates it from the neighboring cities of West Palm Beach and Lake Worth . In 2000 , Palm Beach had a year - round population of 10,468 , with an estimated seasonal population of 30,000 . </t>
  </si>
  <si>
    <t xml:space="preserve">List of districts in Telangana - wikipedia  List of districts in Telangana  Location of Telangana in India  The state of Telangana , in southern India is divided into 31 districts . A ' district ' in the state of Telangana is an administrative geographical unit , headed by a District collector , an officer belonging to the Indian Administrative Service .   Contents    1 Statistics   2 History   2.1 1948   2.2 1953   2.3 1956   2.4 1978   2.5 2014   2.6 2016     3 District statistics   4 See also   5 References   6 External links    Statistics ( edit )  Telangana new districts created in 2016  In terms of area , Bhadradri Kothagudem is the largest district with an area of 7,483 km ( 2,889 sq mi ) and Hyderabad is the smallest with 217 km ( 84 sq mi ) . Hyderabad district is the most populated district with a population of 3943323 and Kumarambheem Asifabad district is the least populated with 515,805 . Telangana consist of 68 Revenue Divisions and 584 Revenue Mandals ( Tehsil ) .   History ( edit )  Hyderabad state until 1956 Telangana at the time of formation on June 2 , 2014  1948 ( edit )   Telangana region of Hyderabad State was consist of 8 Districts in 1948 when it inducted in Dominion of India they are Atraf - i - Baldah ( Hyderabad ) , Mahbubnagar district , Medak district , Nalgonda district ( Nalgundah ) , Nizamabad districts , Adilabad , Karimnagar , and Warangal districts .   1953 ( edit )   Khamam district was created by bifurcation of Warangal district on 1st October 1953 .   1956 ( edit )   Andhra Pradesh was formed by merging Telangana region of Hyderabad State and Andhra state on November 1 . Bhadrachalam division and Aswaraopet taluka parts was merged in Khammam district from Godavari districts for better Administration .   1978. ( edit )   Hyderabad district was split into Hyderabad Urban District and Hyderabad Rural District on 15 August 1978. Hyderabad Urban District was made by 4 Talukas are Charminar , Golkonda , Mushirabad and Secunderabad Talukas which consist of only MCH area , Secunderabad cantonment and Osmania University . Hyderabad rural district was later renamed as Ranga Reddy District .   2014 ( edit )   Telangana curved out from with 10 districts from Andhra Pradesh . Seven mandals of Bhadrachalam division were given back to East Godavari district .   2016 ( edit )   21 New districts were created on 11 October , which lead to 31 districts in Telangana . All districts were divided into minimum 2 to maximum 5 except Hyderabad district which was untouched .   District statistics ( edit )     S.No .   Name   Headquarters   Area ( km )   Population ( 2011 census )   No. of mandals   Density ( per km )   Urban ( % )   Literacy ( % )   Sex Ratio   Map       Adilabad   Adilabad   4,153   708,972   18   171   23.66   63.46   989         Bhadradri Kothagudem   Kothagudem   7,483   1,069,261   23   143   31.71   66.40   1008         Hyderabad   Hyderabad   217   3,943,323   16   18172   100   83.25   954         Jagtial   Jagtial   2,419   985,417   18   407   22.46   60.26   1036       5   Jangaon   Jangaon   2,188   566,376   13   259   12.60   61.44   997       6   Jayashankar Bhupalapally   Bhupalpalle   6,175   711,434   20   115   7.57   60.33   1009       7   Jogulamba Gadwal   Gadwal   2,928   609,990   12   208   10.36   49.87   972       8   Kamareddy   Kamareddy   3,652   972,625   22   266   12.71   56.51   1033       9   Karimnagar   Karimnagar   2,128   1,005,711   16   473   30.72   69.16   993       10   Khammam   Khammam   4,361   1,401,639   21   321   22.60   65.95   1005       11   Kumarambheem Asifabad   Asifabad   4,878   515,812   15   106   16.86   56.72   998       12   Mahabubabad   Mahabubabad   2,877   774,549   16   269   9.86   57.13   996       13   Mahabubnagar   Mahabubnagar   5,285   1,486,777   26   281   20.73   56.78   995       14   Mancherial   Mancherial   4,016   807,037   18   201   43.85   64.35   977       15   Medak   Medak   2,786   767,428   20   275   7.67   56.12   1027       16   Medchal -- Malkajgiri   Shamirpet   1,084   2,440,073   14   2251   91.40   82.49   957       17   Nagarkurnool   Nagarkurnool   6,924   861,766   20   124   10.19   54.38   968       18   Nalgonda   Nalgonda   7,122   1,618,416   31   227   22.76   63.75   978       19   Nirmal   Nirmal   3,845   709,418   19   185   21.38   57.77   1046       20   Nizamabad   Nizamabad   4,288   1,571,022   27   366   29.58   64.25   1044       21   Peddapalli   Peddapalli   2,236   795,332   14   356   38.22   65.52   992       22   Rajanna Sircilla   Sircilla   2,019   552,037   13   273   21.17   62.71   1014       23   Ranga Reddy   Shamshabad   5,031   2,446,265   27   486   58.05   71.95   950       24   Sangareddy   Sangareddy   4,403   1,527,628   26   347   34.69   64.08   965       25   Siddipet   Siddipet   3,632   1,012,065   22   279   13.74   61.61   1008       26   Suryapet   Suryapet   3,607   1,099,560   23   305   15.56   64.11   996       27   Vikarabad   Vikarabad   3,386   927,140   18   274   13.48   57.91   1001       28   Wanaparthy   Wanaparthy   2,152   577,758   14   268   15.97   55.67   960       29   Warangal Rural   Warangal   2,175   718,537   15   330   6.99   61.26   994       30   Warangal Urban   Warangal   1,309   1,080,858   11   826   68.51   76.17   997       31   Yadadri Bhuvanagiri   Bhongir   3,092   739,448   16   239   16.66   65.53   973       Telangana   -   -   112,077   35,003,674   584   312   38.88   66.54   988   -     ∀   See also ( edit )    List of mandals in Telangana   List of districts in India   New Districts portal    References ( edit )    Jump up ^ ( 1 )   Jump up ^ Yazdani , Ghulam . `` Hyderabad State '' . Atlantic Publishers &amp; Distri -- via Google Books .   ^ Jump up to : `` Know Your Corporation '' .   Jump up ^ Law , Gwillim ( 2011 - 09 - 25 ) . `` Districts of India '' . Statoids . Retrieved 2011 - 10 - 11 .   Jump up ^ `` The Andhra Pradesh Reorganisation ( Amendment ) Bill , 2014 '' Accessed 13 July 2014 ( 2 )   Jump up ^ `` Protests against Centre , Andhra Pradesh in Khammam over Polavaram Bill '' . Deccan Chronicle , 12 July 2014 . Accessed 13 July 2014 . ( 3 )   Jump up ^ `` New districts '' . Andhra Jyothy.com. 8 October 2016 . Retrieved 8 October 2016 .   Jump up ^ `` Medchal - Malkajgiri district '' ( PDF ) . Official website of Medchal district . Retrieved 20 March 2017 .   Jump up ^ `` Vikarabad district '' . Official website Vikarabad district . Retrieved 31 March 2017 .    External links ( edit )             State of Telangana     Capital : Hyderabad     Topics     Cuisine   Culture   Economy   Education   Geography   Government   History   Language   Politics   People   Tourism       Dynasties     Assaka   Satavahanas   Ikshvaku   Salankayanas   Vishnukundinas   Chalukyas   Rastrakutas   Western Chalukyas   Kakatiyas   Musunuri Nayaks   Bahmanis   Qutb Shahi   Hyderabad Nizams       Districts     Adilabad   Asifabad   Bhadradri   Hyderabad   Jagtial   Jangaon   Jayashankar   Jogulamba   Kamareddy   Karimnagar   Khammam   Mahabubabad   Mahbubnagar   Mancherial   Medak   Medchal -- Malkajgiri   Nagarkurnool   Nalgonda   Nirmal   Nizamabad   Peddapalli   Rajanna Sircilla   Ranga Reddy   Sangareddy   Siddipet   Suryapet   Vikarabad   Wanaparthy   Warangal ( rural )   Warangal ( urban )   Yadadri       Commissionerates     Hyderabad   Karimnagar   Khammam   Nizamabad   Ramagundam   Siddipet   Warangal       Major cities     Hyderabad   Warangal   Nizamabad   Khammam   Karimnagar   Ramagundam   Mahabubnagar   Nalgonda   Adilabad   Suryapet       Tourism     Churches   Dams   Forts   Hindu Temples   Lakes   National Parks   Sanctuaries   Waterfalls       Municipal corporations     Hyderabad   Karimnagar   Khammam   Nizamabad   Ramagundam   Warangal       Related lists     List of cities in Telangana by area   List of cities in Telangana by population   List of districts in Telangana   List of urban local bodies in Telangana   Portal : Telangana       Template : Districts of telangana  Retrieved from `` https://en.wikipedia.org/w/index.php?title=List_of_districts_in_Telangana&amp;oldid=851289062 '' Categories :   Districts of Telangana   Telangana - related lists   Lists of districts in India           Talk                                           Contents                   About Wikipedia                                                 বাংলা   Français   हिन्दी   ქართული   മലയാളം   मराठी   მარგალური   नेपाल भाषा   پنجابی   Simple English   Suomi   தமிழ்   తెలుగు   اردو  5 more  Edit links   This page was last edited on 21 July 2018 , at 08 : 37 ( UTC ) .         About Wikipedia                    </t>
  </si>
  <si>
    <t xml:space="preserve">how many district in telangana what are they</t>
  </si>
  <si>
    <t xml:space="preserve">   S.No .   Name   Headquarters   Area ( km )   Population ( 2011 census )   No. of mandals   Density ( per km )   Urban ( % )   Literacy ( % )   Sex Ratio   Map       Adilabad   Adilabad   4,153   708,972   18   171   23.66   63.46   989         Bhadradri Kothagudem   Kothagudem   7,483   1,069,261   23   143   31.71   66.40   1008         Hyderabad   Hyderabad   217   3,943,323   16   18172   100   83.25   954         Jagtial   Jagtial   2,419   985,417   18   407   22.46   60.26   1036       5   Jangaon   Jangaon   2,188   566,376   13   259   12.60   61.44   997       6   Jayashankar Bhupalapally   Bhupalpalle   6,175   711,434   20   115   7.57   60.33   1009       7   Jogulamba Gadwal   Gadwal   2,928   609,990   12   208   10.36   49.87   972       8   Kamareddy   Kamareddy   3,652   972,625   22   266   12.71   56.51   1033       9   Karimnagar   Karimnagar   2,128   1,005,711   16   473   30.72   69.16   993       10   Khammam   Khammam   4,361   1,401,639   21   321   22.60   65.95   1005       11   Kumarambheem Asifabad   Asifabad   4,878   515,812   15   106   16.86   56.72   998       12   Mahabubabad   Mahabubabad   2,877   774,549   16   269   9.86   57.13   996       13   Mahabubnagar   Mahabubnagar   5,285   1,486,777   26   281   20.73   56.78   995       14   Mancherial   Mancherial   4,016   807,037   18   201   43.85   64.35   977       15   Medak   Medak   2,786   767,428   20   275   7.67   56.12   1027       16   Medchal -- Malkajgiri   Shamirpet   1,084   2,440,073   14   2251   91.40   82.49   957       17   Nagarkurnool   Nagarkurnool   6,924   861,766   20   124   10.19   54.38   968       18   Nalgonda   Nalgonda   7,122   1,618,416   31   227   22.76   63.75   978       19   Nirmal   Nirmal   3,845   709,418   19   185   21.38   57.77   1046       20   Nizamabad   Nizamabad   4,288   1,571,022   27   366   29.58   64.25   1044       21   Peddapalli   Peddapalli   2,236   795,332   14   356   38.22   65.52   992       22   Rajanna Sircilla   Sircilla   2,019   552,037   13   273   21.17   62.71   1014       23   Ranga Reddy   Shamshabad   5,031   2,446,265   27   486   58.05   71.95   950       24   Sangareddy   Sangareddy   4,403   1,527,628   26   347   34.69   64.08   965       25   Siddipet   Siddipet   3,632   1,012,065   22   279   13.74   61.61   1008       26   Suryapet   Suryapet   3,607   1,099,560   23   305   15.56   64.11   996       27   Vikarabad   Vikarabad   3,386   927,140   18   274   13.48   57.91   1001       28   Wanaparthy   Wanaparthy   2,152   577,758   14   268   15.97   55.67   960       29   Warangal Rural   Warangal   2,175   718,537   15   330   6.99   61.26   994       30   Warangal Urban   Warangal   1,309   1,080,858   11   826   68.51   76.17   997       31   Yadadri Bhuvanagiri   Bhongir   3,092   739,448   16   239   16.66   65.53   973       Telangana   -   -   112,077   35,003,674   584   312   38.88   66.54   988   -   </t>
  </si>
  <si>
    <t xml:space="preserve">Back to You ( Selena Gomez song ) - wikipedia  Back to You ( Selena Gomez song )     `` Back to You ''         Single by Selena Gomez     from the album 13 Reasons Why : Season 2 ( Music from the Original TV Series )     Released   May 10 , 2018 ( 2018 - 05 - 10 )     Format   Digital download     Genre   Dance - pop     Length   3 : 27     Label   Interscope     Songwriter ( s )     Selena Gomez   Parrish Warrington   Diederik Van Elsas   Amy Allen   Micah Premnath       Producer ( s )     Trackside   Ian Kirkpatrick       Selena Gomez singles chronology        `` Wolves '' ( 2017 )   `` Back to You '' ( 2018 )   `` Taki Taki '' ( 2018 )            Music video     `` Back to You '' on YouTube         `` Back to You '' is a song recorded by American singer Selena Gomez . It was written by Gomez , Parrish Warrington , Diederik Van Elsas , Amy Allen , and Micah Premnath , while the production was handled by Trackside and Ian Kirkparick . The track was released on May 10 , 2018 , as the lead single from the soundtrack of the second season of Netflix 's original series 13 Reasons Why , a series adaptation of the eponymous book .   Commercially , the song reached the top 5 in Australia , Canada , the Czech Republic , Greece , Hungary , Ireland , Malaysia , the Netherlands , Singapore and Slovakia ; the top 10 in Belgium , Finland , New Zealand , Norway , Portugal and Scotland ; as well as the top 20 in Denmark , Germany , Switzerland , Sweden , the United Kingdom and the United States . In the US , the song also became Gomez 's 15th consecutive top 40 entry on the Billboard Hot 100 , the longest active run of any artist .   Contents    1 Release   2 Composition   3 Music video   3.1 Release and synopsis     4 Accolades   5 Track listing   6 Charts   7 Certifications   8 Release history   9 References    Release ( edit )   Before its official announcement , the song was registered in ASCAP and teased by various US radio stations such as 104.7 KISS FM . Gomez finally confirmed the release through social media on May 1 , as well as its inclusion on the soundtrack of the second season of the Netflix 's original series 13 Reasons Why , in which she takes part as an executive producer . The song premiered on May 10 in Zane Lowe 's Apple Music radio show Beats 1 as the release day 's `` World Record '' . She was also interviewed by Lowe and confirmed that her third solo studio album was being completed .   Composition ( edit )   `` Back to You '' was written by Selena Gomez , Parrish Warrington , Diederik Van Elsas , Amy Allen , and Micah Premnath . The production was handled by Trackside and Ian Kirkpatrick , the latter also working on Gomez 's previous single `` Bad Liar '' . The track has been described as an emotional acoustic midtempo with country influences , being also called a `` dance - pop anthem '' ballad . Gomez said that it was a `` very special record '' and that she wanted it to be `` a beautiful message in a really complicated way but really fun '' .   The song is performed in the key of F ♯ major with a tempo of 102 beats per minute in 4 / 4 time and follows a chord progression of D ♯ m -- B -- F ♯ . Gomez ' vocals span two octaves , from C ♯ to C ♯ .   Music video ( edit )   A lyric video with scenes of the second season of 13 Reasons Why was released on May 10 , 2018 .   Release and synopsis ( edit )   The official music video was directed by Scott Cudmore . The imagery for the music video is inspired from the 1965 French New Wave film Pierrot le Fou . The music video starts at a party with Gomez , dressed in a vintage feather - trimmed green sequined high - neck dress , locking eyes with a sharply suited man ( Andrey Kupchenko ) , and they steal a convertible and end up frolicking in a bucolic pasture . Gomez wears an ensemble fit for the French countryside : a vintage white skirt and a sleeveless orange - and - yellow crop top . and take Gomez 's twist on iconic ' 60s French - girl style as some summer style inspiration .   Nevertheless , Gomez 's video , is saturated with Godard 's quintessential filmmaking quirks : fragmented editing ; characters breaking the fourth wall ; melodramatic dialogue ; a garish , primary color - focused palette ; and cartoonish neorealism . Cinemaphiles will immediately notice parallels , as the music video 's opening visual directly mirrors the famous party scene in `` Pierrot le Fou , '' both doused in deep , ever - changing colors . The inane dialogue from side characters serves to highlight the shallow , bourgeois lifestyle that Pierrot wants to escape from . The two find they are wanted and burn their car to destroy the evidence . The video returns to the party from the start and despite everything , Gomez cycles back , locks eyes with a sharply dressed man and asks : `` Do you want to steal a car ? '' .   As of October 2018 , Back to You 's official music video has received over 165 million views on YouTube .   Accolades ( edit )     Year   Ceremony   Award   Result   Ref     2018   Teen Choice Awards   Choice Summer Song   Won       People 's Choice Awards   The Song Of 2018   Pending       The Music Video of 2018   Pending       Track listing ( edit )    Digital download     `` Back to You '' -- 3 : 30     Riton and Kah - Lo Remix     `` Back to You '' ( Riton and Kah - Lo Remix ) -- 3 : 27     Joey Pecoraro Remix     `` Back to You '' ( Joey Pecoraro Remix ) -- 3 : 46     Anki Remix     `` Back to You '' ( Anki Remix ) -- 4 : 41    Charts ( edit )     Chart ( 2018 )   Peak position     Argentina Anglo ( Monitor Latino )   8     Australia ( ARIA )       Austria ( Ö3 Austria Top 40 )   8     Belgium ( Ultratop 50 Flanders )   10     Belgium ( Ultratop 50 Wallonia )   37     Canada ( Canadian Hot 100 )       Canada CHR / Top 40 ( Billboard )   8     Canada Hot AC ( Billboard )   7     Croatia ( Croatia Singles Chart )   17     Czech Republic ( Rádio Top 100 )       Czech Republic ( Singles Digitál Top 100 )       Denmark ( Tracklisten )   12     Dominican Republic ( Monitor Latino Anglo )   11     Finland ( Suomen virallinen lista )   8     France ( SNEP )   51     Germany ( Official German Charts )   19     Greece International Digital ( IFPI )   5     Hungary ( Single Top 40 )   22     Hungary ( Stream Top 40 )       Ireland ( IRMA )       Israel ( Media Forest TV Airplay )       Italy ( FIMI )   49     Japan Hot Overseas ( Billboard )   8     Latvia ( Latvijas Top 40 )   11     Lebanon ( Lebanese Top 20 )   7     Lithuania ( M - 1 Top 40 )       Malaysia ( RIM )       Mexico ( Monitor Latino Anglo )   16     Netherlands ( Dutch Top 40 )   5     Netherlands ( Single Top 100 )   5     New Zealand ( Recorded Music NZ )   8     Norway ( VG - lista )   10     Panama ( Monitor Latino Anglo )   9     Poland ( Polish Airplay Top 100 )   5     Portugal ( AFP )   8     Scotland ( Official Charts Company )   9     Singapore ( RIAS )       Slovakia ( Rádio Top 100 )   53     Slovakia ( Singles Digitál Top 100 )       Slovenia ( SloTop50 )   14     Spain ( PROMUSICAE )   44     Sweden ( Sverigetopplistan )   14     Switzerland ( Schweizer Hitparade )   20     UK Singles ( Official Charts Company )   13     US Billboard Hot 100   18     US Adult Contemporary ( Billboard )   14     US Adult Top 40 ( Billboard )   5     US Mainstream Top 40 ( Billboard )       Certifications ( edit )     Region   Certification   Certified units / Sales     Australia ( ARIA )   Platinum   70,000     Brazil ( Pro-Música Brasil )   Gold   20,000     Denmark ( IFPI Denmark )   Gold   45,000     Italy ( FIMI )   Gold   25,000     New Zealand ( RMNZ )   Gold   15,000     Sweden ( GLF )   Platinum   40,000     United Kingdom ( BPI )   Silver   200,000     United States ( RIAA )   Platinum   1,000,000      sales figures based on certification alone shipments figures based on certification alone sales + streaming figures based on certification alone      Release history ( edit )     Region   Date   Format   Version   Label   Ref .     Various   May 10 , 2018   Digital download   Original   Interscope       United States   May 15 , 2018   Contemporary hit radio       Various   August 10 , 2018   Digital download   Remixes       References ( edit )    ^ Jump up to : Hugh McIntyre ( May 10 , 2018 ) . `` Selena Gomez Continues Her Latest Era With New EDM - Pop Single ' Back To You ' '' . Forbes .   Jump up ^ Sam Prance ( May 1 , 2018 ) . `` Selena Gomez Appears to Start Teasing Her Next Single '' . MTV UK .   Jump up ^ Shanté Honeycutt ( May 1 , 2018 ) . `` Selena Gomez Announces New Song ' Back To You ' : ' I 'm So Excited ' '' . Billboard .   Jump up ^ Ben Kaye ( May 10 , 2018 ) . `` Selena Gomez shares new song `` Back to You '' : Stream `` . Consequence of Sound .   ^ Jump up to : Mike Wass ( May 10 , 2018 ) . `` Selena Gomez 's `` Back To You '' Is A Deeply Emotional ( Post ) Breakup Song `` . Idolator .   ^ Jump up to : Erica Russell ( May 10 , 2018 ) . `` Selena Gomez Drops Country - Hued New Single ' Back to You ' '' . PopCrush .   ^ Jump up to : Claire Dodson ( May 10 , 2018 ) . `` Selena Gomez Released a New Single for the `` 13 Reasons Why '' Soundtrack `` . Teen Vogue .   Jump up ^ Gomez , Selena . `` Selena Gomez `` Back to You '' Sheet Music in F ♯ Major `` . Musicnotes LLC . Retrieved 2018 - 06 - 10 .   Jump up ^ `` Selena Gomez -- Back to You ( Lyric Video ) '' . YouTube . May 10 , 2018 . Retrieved June 4 , 2018 .   Jump up ^ `` Selena Gomez -- Back to You '' . YouTube . June 8 , 2018 .   Jump up ^ `` Watch Selena Gomez Dress Like a ' 60s New Wave French Muse in Her New Music Video '' . Vogue.com . June 8 , 2018 .   Jump up ^ `` Selena Gomez 's New Music Video Parallels a French Film -- And Fans Ca n't Decide If It 's an Homage Or Rip - Off '' . uk.businessinsider.com.com . June 8 , 2018 .   Jump up ^ https://www.youtube.com/watch?v=VY1eFxgRR-k   Jump up ^ Iansimone , Ashley ( August 12 , 2018 ) . `` Teen Choice Awards Winners 2018 : See the Full List '' . Billboard . Retrieved August 12 , 2018 .   ^ Jump up to : `` 13 Reasons Why : Season 2 ( Music from the Original TV Series ) by Selena Gomez , OneRepublic &amp; YUNGBLUD '' . iTunes ( US ) . Retrieved May 10 , 2018 .   ^ Jump up to : `` Helix , Vol. 2 by Various Artists '' . iTunes ( US ) , Apple Music . July 27 , 2018 .   ^ Jump up to : All remixes of `` Back to You '' released on August 10 , 2018 :   Riton and Kah - Lo remix ( firstly released on July 27 , 2018 through Interscope 's Helix complilation album ) : `` Helix , Vol. 2 by Various Artists '' . iTunes ( US ) , Apple Music . July 27 , 2018 . `` Back to You ( Riton &amp; Kah - Lo Remix ) - Single by Selena Gomez '' . iTunes ( US ) , Apple Music . Retrieved August 10 , 2018 .   Joey Pecoraro remix : `` Back to You ( Joey Pecoraro Remix ) - Single by Selena Gomez '' . iTunes ( US ) , Apple Music . Retrieved August 10 , 2018 .   Anki remix : `` Back to You ( Anki Remix ) - Single by Selena Gomez '' . iTunes ( US ) , Apple Music . Retrieved August 10 , 2018 .     Jump up ^ `` Top 20 Anglo Argentina -- Del 18 al 24 de Junio , 2018 '' ( in Spanish ) . Retrieved July 12 , 2018 .   Jump up ^ `` Australian-charts.com -- Selena Gomez -- Back to You '' . ARIA Top 50 Singles . Retrieved June 16 , 2018 .   Jump up ^ `` Austriancharts.at -- Selena Gomez -- Back to You '' ( in German ) . Ö3 Austria Top 40 . Retrieved June 20 , 2018 .   Jump up ^ `` Ultratop.be -- Selena Gomez -- Back to You '' ( in Dutch ) . Ultratop 50 . Retrieved August 31 , 2018 .   Jump up ^ `` Ultratop.be -- Selena Gomez -- Back to You '' ( in French ) . Ultratop 50 . Retrieved June 15 , 2018 .   Jump up ^ `` Selena Gomez Chart History ( Canadian Hot 100 ) '' . Billboard . Retrieved June 19 , 2018 .   Jump up ^ `` Selena Gomez Chart History ( Canada CHR / Top 40 ) '' . Billboard . Retrieved September 5 , 2018 .   Jump up ^ `` Selena Gomez Chart History ( Canada Hot AC ) '' . Billboard . Retrieved October 11 , 2018 .   Jump up ^ `` Croatia Singles Chart '' . Croatia Singles Chart . June 20 , 2018 . Retrieved June 20 , 2018 .   Jump up ^ `` ČNS IFPI '' ( in Czech ) . Hitparáda -- Radio Top 100 Oficiální . IFPI Czech Republic . Note : insert 201835 into search . Retrieved September 3 , 2018 .   Jump up ^ `` ČNS IFPI '' ( in Czech ) . Hitparáda -- Digital Top 100 Oficiální . IFPI Czech Republic . Note : insert 201823 into search . Retrieved June 12 , 2018 .   Jump up ^ `` Danishcharts.com -- Selena Gomez -- Back to You '' . Tracklisten . Retrieved June 20 , 2018 .   Jump up ^ `` TOP 20 ANGLO -- República Dominicana '' . Monitor Latino ( in Spanish ) . Retrieved June 11 , 2018 .   Jump up ^ `` Selena Gomez : Back to You '' ( in Finnish ) . Musiikkituottajat -- IFPI Finland . Retrieved June 17 , 2018 .   Jump up ^ `` Le Top de la semaine : Top Singles -- SNEP ( Week 24 , 2018 ) '' ( in French ) . Syndicat National de l'Édition Phonographique . Retrieved June 22 , 2018 .   Jump up ^ `` Offiziellecharts.de -- Selena Gomez -- Back to You '' . GfK Entertainment Charts . Retrieved June 15 , 2018 .   Jump up ^ `` Greece Official IFPI Charts : Digital Singles Chart ( International ) -- Εβδομάδα : 22 / 2018 '' . IFPI Charts . Retrieved June 11 , 2018 .   Jump up ^ `` Archívum -- Slágerlisták -- MAHASZ '' ( in Hungarian ) . Single ( track ) Top 40 lista . Magyar Hanglemezkiadók Szövetsége . Retrieved June 21 , 2018 .   Jump up ^ `` Archívum -- Slágerlisták -- MAHASZ '' ( in Hungarian ) . Stream Top 40 slágerlista . Magyar Hanglemezkiadók Szövetsége . Retrieved June 15 , 2018 .   Jump up ^ `` Irish-charts.com -- Discography Selena Gomez '' . Irish Singles Chart . Retrieved June 16 , 2018 .   Jump up ^ `` מדיה פורסט -- לדעת שאתה באוויר '' . Mediaforest.biz . Retrieved 1 September 2018 .   Jump up ^ `` Italiancharts.com -- Selena Gomez -- Back to You '' . Top Digital Download . Retrieved June 16 , 2018 .   Jump up ^ `` Billboard Japan Hot Overseas '' ( in Japanese ) . Billboard Japan . June 25 , 2017 . Retrieved June 22 , 2017 .   Jump up ^ `` Latvijas Top 40 '' . Latvijas Radio . Retrieved June 22 , 2018 .   Jump up ^ `` The Official Lebanese Top 20 - Selena Gomez '' . The Official Lebanese Top 20 . June 10 , 2018 . Retrieved June 20 , 2018 .   Jump up ^ `` Lithuanian Airplay Chart '' . Archived from the original on 11 September 2018 . Retrieved 11 September 2018 .   Jump up ^ `` Top 20 Most Streamed International &amp; Domestic Singles in Malaysia : Week 21 ( 18 / 05 / 18 -- 24 / 05 / 18 ) '' ( PDF ) . Recording Industry Association of Malaysia . Retrieved June 2 , 2018 .   Jump up ^ `` TOP 20 ANGLO - México '' . Monitor Latino ( in Spanish ) . Retrieved June 8 , 2018 .   Jump up ^ `` Nederlandse Top 40 -- week 24 , 2018 '' ( in Dutch ) . Dutch Top 40 Retrieved June 16 , 2018 .   Jump up ^ `` Dutchcharts.nl -- Selena Gomez -- Back to You '' ( in Dutch ) . Single Top 100 . Retrieved June 15 , 2018 .   Jump up ^ `` Charts.nz -- Selena Gomez -- Back to You '' . Top 40 Singles . Retrieved June 15 , 2018 .   Jump up ^ `` Norwegiancharts.com -- Selena Gomez -- Back to You '' . VG - lista . Retrieved June 23 , 2018 .   Jump up ^ `` TOP 20 ANGLO -- Panama '' . Monitor Latino ( in Spanish ) . Retrieved June 11 , 2018 .   Jump up ^ `` Listy bestsellerów , wyróżnienia : : Związek Producentów Audio - Video '' . Polish Airplay Top 100 . Retrieved July 30 , 2018 .   Jump up ^ `` Portuguesecharts.com -- Selena Gomez -- Back to You '' . AFP Top 100 Singles . Retrieved June 18 , 2018 .   Jump up ^ `` Official Scottish Singles Sales Chart Top 100 '' . Official Charts Company . Retrieved June 23 , 2018 .   Jump up ^ `` '' Singapore Top 30 Digital Streaming Chart Week 26 `` '' . Recording Industry Association ( Singapore ) . Archived from the original ( PDF ) on June 28 , 2018 .   Jump up ^ `` SNS IFPI '' ( in Slovak ) . Hitparáda -- Radio Top 100 Oficiálna . IFPI Czech Republic . Note : insert 201835 into search . Retrieved September 4 , 2018 .   Jump up ^ `` SNS IFPI '' ( in Slovak ) . Hitparáda -- Singles Digital Top 100 Oficiálna . IFPI Czech Republic . Note : insert 201823 into search . Retrieved June 11 , 2018 .   Jump up ^ `` SloTop50 -- Slovenian official singles chart '' . slotop50.si . Retrieved 5 September 2018 .   Jump up ^ `` Spanishcharts.com -- Selena Gomez -- Back to You '' Canciones Top 50 . Retrieved June 20 , 2018 .   Jump up ^ `` Swedishcharts.com -- Selena Gomez -- Back to You '' . Singles Top 100 . Retrieved June 15 , 2018 .   Jump up ^ `` Swisscharts.com -- Selena Gomez -- Back to You '' . Swiss Singles Chart . Retrieved June 18 , 2018 .   Jump up ^ `` Official Singles Chart Top 100 '' . Official Charts Company . Retrieved June 16 , 2018 .   Jump up ^ `` Selena Gomez Chart History ( Hot 100 ) '' . Billboard . Retrieved September 25 , 2018 .   Jump up ^ `` Selena Gomez Chart History ( Adult Contemporary ) '' . Billboard . Retrieved October 30 , 2018 .   Jump up ^ `` Selena Gomez Chart History ( Adult Pop Songs ) '' . Billboard . Retrieved October 9 , 2018 .   Jump up ^ `` Selena Gomez Chart History ( Pop Songs ) '' . Billboard . Retrieved September 18 , 2018 .   Jump up ^ `` ARIA Australian Top 50 Singles '' . Australian Recording Industry Association . August 13 , 2018 . Retrieved August 11 , 2018 .   Jump up ^ `` Brazilian single certifications -- Selena Gomez -- Back To You '' ( in Portuguese ) . Associação Brasileira dos Produtores de Discos . Retrieved September 24 , 2018 .   Jump up ^ `` Danish single certifications -- Selena Gomez -- Back To You '' . IFPI Denmark . Retrieved September 11 , 2018 . Click on næste to go to page if certification is from the official website .   Jump up ^ `` Italian single certifications -- Selena Gomez -- Back To You '' ( in Italian ) . Federazione Industria Musicale Italiana . Retrieved October 1 , 2018 .   Jump up ^ `` New Zealand single certifications -- Selena Gomez -- Back to You '' . Recorded Music NZ . Retrieved July 13 , 2018 .   Jump up ^ `` Guld - och Platinacertifikat '' ( in Swedish ) . IFPI Sweden . Retrieved September 29 , 2018 . Type Selena Gomez in the top right search bar . Click on `` Sok '' and select Back To You and see certification .   Jump up ^ `` British single certifications -- Selena Gomez -- Back To You '' . British Phonographic Industry . Retrieved July 13 , 2018 . Select singles in the Format field . Select Silver in the Certification field . Type Back To You in the `` Search BPI Awards '' field and then press Enter .   Jump up ^ `` American single certifications -- Selena Gomez -- Back To You '' . Recording Industry Association of America . Retrieved September 7 , 2018 . If necessary , click Advanced , then click Format , then select Single , then click SEARCH .   Jump up ^ `` Top 40 / M Future Releases '' . All Access . Archived from the original on May 9 , 2018 .              Selena Gomez       Discography   Awards and nominations   Songs       Studio albums     Stars Dance   Revival       Compilation albums     For You       EPs     Another Cinderella Story ( EP )       Singles     `` Tell Me Something I Do n't Know ''   `` Magic ''   `` Come &amp; Get It ''   `` Slow Down ''   `` The Heart Wants What It Wants ''   `` Good for You ''   `` Same Old Love ''   `` Hands to Myself ''   `` Kill Em with Kindness ''   `` It Ai n't Me ''   `` Bad Liar ''   `` Fetish ''   `` Wolves ''   `` Back to You ''       Featured singles     `` Whoa Oh ! '' ( remix )   `` I Want You to Know ''   `` We Do n't Talk Anymore ''   `` Hands ''   `` Trust Nobody ''   `` Taki Taki ''       Promotional singles     `` Send It On ''   `` Shake It Up ''   `` Me &amp; the Rhythm ''       Other songs     `` One and the Same ''   `` Birthday ''   `` Stars Dance ''   `` Like a Champion ''   `` Forget Forever ''   `` Revival ''   `` Sober ''   `` Me &amp; My Girls ''   `` Only You ''       Concert tours     Stars Dance Tour   Revival Tour       Related articles     Selena Gomez &amp; the Scene   Francia Raisa              Retrieved from `` https://en.wikipedia.org/w/index.php?title=Back_to_You_(Selena_Gomez_song)&amp;oldid=866523611 '' Categories :   2010s ballads   2018 songs   2018 singles   Selena Gomez songs   Interscope Records singles   Songs written by Selena Gomez   Electropop ballads   Hidden categories :   CS1 Spanish - language sources ( es )   CS1 French - language sources ( fr )   CS1 Japanese - language sources ( ja )   CS1 Portuguese - language sources ( pt )   CS1 Italian - language sources ( it )   CS1 Swedish - language sources ( sv )   Articles with hAudio microformats   Singlechart usages for Australia   Singlechart usages for Austria   Singlechart usages for Flanders   Singlechart usages for Wallonia   Singlechart usages for Canada   Singlechart called without song   Singlechart usages for Billboardcanadachrtop40   Singlechart usages for Billboardcanadahotac   Singlechart usages for Czech Republic   Singlechart called without artist   Singlechart usages for Czechdigital   Singlechart usages for Denmark   Singlechart usages for Finland   Singlechart usages for Germany2   Singlechart usages for Hungarysingle   Singlechart usages for Hungarystream   Singlechart usages for Ireland3   Singlechart usages for Italy   Singlechart usages for Dutch40   Singlechart usages for Dutch100   Singlechart usages for New Zealand   Singlechart usages for Norway   Singlechart usages for Poland   Singlechart usages for Portugal   Singlechart usages for Scotland   Singlechart usages for Slovakia   Singlechart usages for Slovakdigital   Singlechart usages for Spain   Singlechart usages for Sweden   Singlechart usages for Switzerland   Singlechart usages for UK   Singlechart usages for Billboardhot100   Singlechart usages for Billboardadultcontemporary   Singlechart usages for Billboardadultpopsongs   Singlechart usages for Billboardpopsongs   Certification Table Entry usages for Australia   Certification Table Entry usages for Brazil   Certification Table Entry usages for Denmark   Certification Table Entry usages for Italy   Certification Table Entry usages for New Zealand   Certification Table Entry usages for Sweden   Certification Table Entry usages for United Kingdom   Certification Table Entry usages for United States           Talk                                           Contents                   About Wikipedia                                           Español   فارسی   Italiano   עברית   Português   Simple English   Edit links   This page was last edited on 30 October 2018 , at 21 : 22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</si>
  <si>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back to you made by selena gomez</t>
  </si>
  <si>
    <t xml:space="preserve">   `` Back to You ''         Single by Selena Gomez     from the album 13 Reasons Why : Season 2 ( Music from the Original TV Series )     Released   May 10 , 2018 ( 2018 - 05 - 10 )     Format   Digital download     Genre   Dance - pop     Length   3 : 27     Label   Interscope     Songwriter ( s )     Selena Gomez   Parrish Warrington   Diederik Van Elsas   Amy Allen   Micah Premnath       Producer ( s )     Trackside   Ian Kirkpatrick       Selena Gomez singles chronology        `` Wolves '' ( 2017 )   `` Back to You '' ( 2018 )   `` Taki Taki '' ( 2018 )            Music video     `` Back to You '' on YouTube       </t>
  </si>
  <si>
    <t xml:space="preserve">Look What You Made Me Do - wikipedia  Look What You Made Me Do  Jump to : navigation , search    `` Look What You Made Me Do ''     Single by Taylor Swift     from the album Reputation     Released   August 24 , 2017 ( 2017 - 08 - 24 )     Format   Digital download     Genre     Dance - pop   electroclash   electropop       Length   3 : 31     Label   Big Machine     Songwriter ( s )     Taylor Swift   Jack Antonoff   Fred Fairbrass   Richard Fairbrass   Rob Manzoli       Producer ( s )   Jack Antonoff     Taylor Swift singles chronology        `` I Do n't Wanna Live Forever '' ( 2016 )   `` Look What You Made Me Do '' ( 2017 )   `` ... Ready for It ? '' ( 2017 )            Music video     `` Look What You Made Me Do '' on YouTube         `` Look What You Made Me Do '' is a song recorded by American singer - songwriter Taylor Swift from her upcoming sixth studio album , Reputation ( 2017 ) . The song was released on August 24 , 2017 , as the lead single from the album . Swift wrote the song with Jack Antonoff . The song samples the melody of the 1991 song `` I 'm Too Sexy '' by the band Right Said Fred , therefore Fred Fairbrass , Richard Fairbrass , and Rob Manzoli of the band are credited as songwriters .   The song received a mixed response from music critics , with division over Swift 's stylistic change . The music video was directed by Joseph Kahn and became the most - watched music video within 24 hours . The song broke a string of records , including the record for the most plays in a single day on Spotify . Commercially , `` Look What You Made Me Do '' has topped the charts in Australia , Canada , Croatia , the Czech Republic , Ireland , Israel , Lebanon , Malaysia , the Netherlands , the Philippines , Scotland , Slovakia , Spain , the United Kingdom , and the United States . It has also received Platinum certifications in the United States , Australia , and Canada .     Contents  ( hide )   1 Release   2 Composition   3 Critical reception   4 Chart performance   5 Music video   5.1 Production and release   5.2 Synopsis   5.3 Analysis     6 Usage in media   7 Charts   8 Certifications   9 Release history   10 See also   11 References   12 External links      Release ( edit )   On August 18 , 2017 , Swift cleared all her social media accounts , which sparked rumours of new music arriving soon . On August 21 , Swift shared a 10 - second video featuring the tail of a snake on all her social platforms ; a second part appeared the next day and on August 23 , she uploaded a third teaser , showing the snake 's head . On the same day , Swift announced that the first single of her upcoming sixth album , titled Reputation , would come out the following night . The song was released to streaming services on August 24 , and earned over eight million streams within twenty - four hours of its Spotify release , breaking the record for the highest first - day streaming for a single track . It impacted American contemporary hit radio on August 29 , 2017 , through Big Machine Records .   A lyric video heavily based on the Saul Bass imagery used in the film Vertigo was released through Swift 's official Vevo account on August 25 , 2017 . The video was produced by Swift and Joseph Kahn . It gained more than 19 million views during its first 24 hours on YouTube , surpassing `` Something Just like This '' by The Chainsmokers and Coldplay as the most viewed lyric video within that time period . As of October 2017 , the lyric video on YouTube has amassed over 80 million views .   Composition ( edit )  Jack Antonoff ( pictured in 2012 ) produced and co-wrote `` Look What You Made Me Do '' .  Music critics have described `` Look What You Made Me Do '' as a hybrid of electroclash and pop , as well as a dance - pop and an electro - pop song . It emphasizes the blame that is placed on an enemy , in special in the line , `` I 've got a list of names , and yours is in red , underlined '' . The middle eight of the song features Swift saying , `` I 'm sorry , the old Taylor ca n't come to the phone right now / Why ? / Oh , ' cause she 's dead ! ''   `` Look What You Made Me Do '' is performed in the key of A minor with a tempo of 128 beats per minute . Swift 's vocals span from G to F .   Critic Brittany Spanos of Rolling Stone noted a `` nightmarish aesthetic '' present in the song , and believed it to be a continuation of the `` antagonistic persona '' from `` Bad Blood '' .   Richard Fairbrass , Fred Fairbrass and Rob Manzoli , the members of the British dance - pop group Right Said Fred , are credited as songwriters because the song interpolates the melody of their song `` I 'm Too Sexy '' . According to Fred Fairbrass , he and his brother were contacted one week before the release of `` Look What You Made Me Do '' and were asked whether a `` big , contemporary female artist who has n't released anything for a while '' -- whose identity they were not told -- would be able to use a portion of their song for her latest single . Although the brothers agreed to a deal , they did not officially find out that the artist in question was Swift until the morning after the song was released , but had deduced that it was her based on the description they were given . Both of the Fairbrass brothers said that they enjoyed `` Look What You Made Me Do '' ; Fred Fairbrass told Rolling Stone , `` I like the cynical aspect of the lyric , because ' I 'm Too Sexy ' is a cynical song , and I think she channeled that quite well . '' A representative for Swift confirmed that the song interpolated the melody from `` I 'm Too Sexy '' , but did not include sampled audio from the earlier song .   Critical reception ( edit )   `` Look What You Made Me Do '' received a mixed reception from critics , with some praising the song as a welcomed dark departure from her earlier work , and others writing it off as petty and vengeful . USA Today said that the polarizing reaction to the song illustrated Swift 's position as a `` ubiquitous cultural force '' . The Telegraph Randy Lewis praised the song , deeming Swift and Antonoff 's work as `` blow ( ing ) past the production clichés of clap tracks and hiccuped syllabic hooks that have proliferated across Top 40 fare in recent years with boldly inventive textures and fresh melodic , rhythmic and sonic accents '' . He also added how the track musically and sonically shifted alongside the lyrics . Sarah Carson of the Los Angeles Times wrote a positive review of the song , saying : `` The reverberating crescendo builds and ever more delicious is the wickedness of Swift 's menacing protagonist '' , praising Swift for her successful embrace of the villain character the media has portrayed her as previous to the song 's release . Variety 's Chris Willman also praised Swift 's embrace of a darker - styled pop music and the stylistic conflict between the song 's pre-chorus and chorus . Mark Harris , in New York magazine 's pop culture blog , thought of Swift 's song as a pop art anthem for the Trump era in how she reappropriates her public feuds as empowering badges of honor without acknowledging her own responsibility or blame .   However , Maura Johnston of The Guardian wrote a negative review of the song , faulting the `` sloppy '' lyrics and blaming Swift for not giving a clear context in the lyrics . Brittany Spanos of Rolling Stone believed that the song marked a continuation of the feud between Swift and rapper Kanye West ; the latter had previously name - dropped Swift in his song `` Famous '' by using the line , `` I feel like me and Taylor might still have sex / Why ? / I made that bitch famous '' . The single was noted as being a darker , angrier work than what Swift had done before . Hugh McIntye of Forbes was critical of the change in style , saying that it `` did n't sound like ( Swift ) '' and that it `` may have some kinks to work out '' . Meaghan Garvey from Pitchfork referred to it in a review as `` a hardcore self - own '' track .   Chart performance ( edit )   In the United States , `` Look What You Made Me Do '' debuted at number seventy - seven on the Billboard Hot 100 , powered by its first three days of airplay . It also sold slightly under 200,000 digital copies within its first day of sales in the country , where it became the fastest selling download since Ed Sheeran 's `` Shape of You '' . One week later , the song ascended from 77 to one on the Hot 100 after its first full week of tracking , becoming the fifth largest rise to the top position and Swift 's fifth number - one single in the United States . It also topped the nation 's Streaming Songs chart with 84.4 million streams , becoming its most streamed song within a week by a female artist and second overall behind the 103 million that Baauer 's `` Harlem Shake '' gained in 2013 . The track also had more weekly streams in the US than any other song in 2017 . With 353,000 copies sold in its first week , `` Look What You Made Me Do '' opened atop the US Digital Songs chart and had the country 's biggest sales opening since Justin Timberlake 's `` Ca n't Stop the Feeling ! '' in 2016 as well as the best weekly sales for a song by a female artist since Adele 's `` Hello '' in 2015 . The track also became the country 's first number - one song with a female artist since Halsey was featured on `` Closer '' by The Chainsmokers and the first song with a female lead artist since Sia 's `` Cheap Thrills '' with Sean Paul ( both in 2016 ) . It additionally was the first solo song by a female to top the US charts since Adele 's `` Hello '' . It remained atop the Hot 100 and Streaming Songs charts for a second week with 114,000 copies sold and 61.2 million streams , though descended to number two on the Digital Songs chart when another Reputation track titled `` ... Ready for It ? '' debuted at number one with 135,000 digital copies sold and opened at number four on the Hot 100 . As a result , Swift became the first artist to have two tracks sell over 100,000 digital copies in the nation within a week since Sheeran with `` Shape of You '' and `` Castle on the Hill '' . It also became the first time a female had two songs within the top five of the Hot 100 since 2015 when Swift 's previous tracks `` Shake It Off '' and `` Blank Space '' respectively were at numbers four and five on the chart .   In the United Kingdom , `` Look What You Made Me Do '' sold 20,000 copies and was streamed 2.4 million times in less than a week . The song debuted at the top the UK Singles Chart on September 1 , 2017 - for the week ending date September 7 , 2017 - with opening sales of 30,000 copies and 5.3 million streams within the week and becoming Swift 's first chart - topping song in Britain . After two weeks at the top spot , it was displaced by Sam Smith 's `` Too Good at Goodbyes '' .   `` Look What You Made Me Do '' also opened at number one in Australia , becoming her fifth track to top the ARIA Charts . It spent another week at the nation 's summit before `` Too Good at Goodbyes '' took the top position there as well . The song has been certified Platinum by the Australian Recording Industry Association ( ARIA ) for shipments of 70,000 units . After debuting at number one on the Canadian Hot 100 , `` Look What You Made Me Do '' was also certified Platinum by Music Canada for shipments of 80,000 units on September 14 , 2017 .   In the Philippines , `` Look What You Made Me Do '' debuted at number 7 spot on the BillboardPH Hot 100 on its first week . A week later , it soared to the number 1 spot , ending the 10 - week reign of `` Despacito '' by Luis Fonsi &amp; Daddy Yankee featuring Justin Bieber . It descended to the runner - up position the following week , as the latter song reclaimed the top spot for an 11th week .   Music video ( edit )   Production and release ( edit )   The official music video premiered on August 27 , 2017 at the 2017 MTV Video Music Awards . The song 's music video broke the record for most - watched video within 24 hours by achieving 43.2 million views on YouTube in its first day . It topped the 27.7 million Vevo views Adele 's `` Hello '' attracted in that timeframe , as well as the 36 million YouTube views of Psy 's `` Gentleman '' video . It was viewed at an average 30,000 times per minute in its first 24 hours , with views reaching over 3 million views per hour .   Preparation for the music video began in January , while the shooting took place in May . The dance was choreographed by Tyce Diorio , who had worked with Swift on `` Shake It Off '' before . Swift 's make - up as a zombie was done by Bill Corso . Post-production of the video lasted until the morning of its release . A 20 - second music video teaser was released on Good Morning America on August 25 . The teaser , upon release , was criticized on Twitter due to similarities to Beyoncé 's `` Formation '' video . Kahn turned to Twitter to dismiss the claims , stated that he had `` worked with Beyoncé a few times '' , and that the music video is not in the way of her `` art space '' . Kahn also remarked that the video is derived from `` ( an ) obscene K Pop video made in ( a ) North Korean prison in 2006 '' , referencing to when he was accused for plagiarizing 2NE1 's `` Come Back Home '' video with `` Bad Blood '' in 2015 .   It was also revealed that the diamonds used in a scene were authentic . The diamonds , loaned from celebrity jeweler Neil Lane , were said to be worth over $10 million , hence triggering tight security measures . As of October 12 , 2017 , the video has over 559 million views and broke the record for the fastest video to reach 200 , 300 and 400 million views on YouTube . It is the 30th most liked video on YouTube .   Synopsis ( edit )  The bathtub scene in the music video , where the diamonds were worth over $10 million .  The video begins with a zombie Swift crawling out of a grave , where the headstone reads `` Here Lies Taylor Swift 's reputation '' , and digging another grave for herself . The next scene shows Swift in a bathtub filled with diamonds . She is then seen seated on a throne while snakes surround her and serve tea . Swift later crashes her car on a post and sings the song 's chorus holding a Grammy as the paparazzi take photos . She is also seen swinging inside a cage , robbing a bank , and leading a motorcycle gang . Afterwards , she gathers a group of women at `` Squad U '' and dances with a group of men in another room . At the end of the video , various iterations of Swift 's public image bicker with one another , describing each other as `` so fake '' and `` playing the victim '' , ending with one saying `` I would very much like to be excluded from this narrative '' after which the other iterations yell at her to `` shut up ! '' in unison , while the version of Swift in the background watches in silence .   Analysis ( edit )   The video contains numerous hidden meanings and references . In the opening scene , there is a subtle `` Nils Sjöberg '' tombstone shown when Swift is digging up a grave , referencing the pseudonym she used for a songwriting credit on Calvin Harris ' 2016 single `` This Is What You Came For '' . Similarly , Swift -- masked as a cadaveric version of herself in the `` Out of the Woods '' music video -- was shown digging a grave for herself in a 2014 Met Gala gown , an event that characterized her first public appearance with short hair . A single dollar bill in the bathtub full of diamonds that she bathes in was also speculated to symbolize the dollar she was awarded for winning a sexual assault trial . Interpretations for the bathtub scene were contrasting . Some believe that it is a response to media statement teasing that she `` cries in a marble bathtub surrounded by pearls '' , while others viewed it as a mockery to Kim Kardashian 's 2016 gunpoint robbery .   In a separate scene , Swift is shown sitting atop a golden throne , where a carving of a phrase `` Et tu , Brute ? '' could be seen on the armrest , a reference to Shakespeare 's drama Julius Caesar . Swift 's infamous title as a `` snake '' during her hiatus was also represented when a snake slithers onto the throne to serve Swift some tea . When Swift 's car crashes , some speculated that it may be a jab at Katy Perry as Swift 's hairdo is similar to Perry 's in the scene . The sports car is also reminiscent of a car in Perry 's `` Waking Up in Vegas '' video . She is also holding a Grammy Award in the scene , a possible reference to the fact that Perry has never won any Grammys despite multiple nominations . Swift 's withdrawal of her entire music catalog from streaming services were hinted when Swift and her crew walked out of a streaming company in the video .   Swift gathering at `` Squad U '' was also said to be a reply to the media dubbing her close friends as a `` squad '' . During the second chorus , Swift can be seen with eight men , each of which revealed an `` I Heart TS '' crop top after unbuttoning a jacket . This scene is an apparent tribute to her ex-boyfriend Tom Hiddleston , who was seen wearing an `` I Heart TS '' tank top when they were a couple . The eight backup dancers may also have been a possible reference to the idea that Swift has had eight ex-boyfriends during her career . Swift was also seen standing on a pile of her other iterations , reiterating the idea that she is leaving her past self behind . The shirt that an iteration of Swift wore in the `` You Belong with Me '' video was also different , with her close friends ' names scribbled on it this time .   In June 2016 , discussing the relationship between her and Kanye West after West 's song `` Famous '' , Swift wrote on Instagram , `` I would very much like to be excluded from this narrative . '' The same line is spoken by one of Swift 's iterations at the end of the video . She is wearing the same outfit Swift had worn during the 2009 MTV Video Music Awards , when West interrupted her award - winning speech for Best Female Video .   Usage in media ( edit )   ABC used the song in a promotional video for its Shonda Rhimes ' Thursday line - up an hour after its release . Sister network ESPN used it in its college football telecast advertisements for the season opening game between Alabama and Florida State , which was aired on ABC on September 2 .   Charts ( edit )     Chart ( 2017 )   Peak position     Argentina Anglo ( Monitor Latino )   10     Australia ( ARIA )       Austria ( Ö3 Austria Top 40 )       Belgium ( Ultratop 50 Flanders )   8     Belgium ( Ultratop 50 Wallonia )   39     Canada ( Canadian Hot 100 )       Canada AC ( Billboard )   33     Canada CHR / Top 40 ( Billboard )   10     Canada Hot AC ( Billboard )   10     Chile Anglo ( Monitor Latino )   6     Colombia Anglo ( Monitor Latino )       Costa Rica ( Monitor Latino )   11     Croatia ( HRT )       Czech Republic ( Rádio Top 100 )   39     Czech Republic ( Singles Digitál Top 100 )       Denmark ( Tracklisten )   12     El Salvador ( Monitor Latino )   7     Euro Digital Songs ( Billboard )       Ecuador Anglo ( Monitor Latino )       Finland ( Suomen virallinen lista )   8     Finland Digital Songs ( Billboard )       France ( SNEP )   26     Germany ( Official German Charts )       Greece Digital Songs ( Billboard )       Guatemala Anglo ( Monitor Latino )       Hungary ( Single Top 40 )       Hungary ( Stream Top 40 )       Ireland ( IRMA )       Israel ( Media Forest )       Israel ( Media Forest TV Airplay )       Italy ( FIMI )   10     Japan ( Japan Hot 100 )   7     Japan Hot Overseas ( Billboard )       Latvia ( Latvijas Top 40 )       Lebanon ( Lebanese Top 20 )       Lithuania ( M - 1 Top 40 )   8     Luxembourg Digital Songs ( Billboard )   7     Malaysia ( RIM )       Mexico Anglo ( Monitor Latino )       Netherlands ( Dutch Top 40 )   7     Netherlands ( Mega Top 50 )       Netherlands ( Single Top 100 )   13     New Zealand ( Recorded Music NZ )       Norway ( VG - lista )   6     Panama Anglo ( Monitor Latino )       Philippines ( Philippine Hot 100 )       Portugal ( AFP )       Republica Dominicana Anglo ( Monitor Latino )       Romania ( Airplay 100 )   64     Russia Airplay ( Tophit )   54     Scotland ( Official Charts Company )       Slovakia ( Singles Digitál Top 100 )       South Korea International Chart ( Gaon )   6     Spain ( PROMUSICAE )       Sweden ( Sverigetopplistan )   7     Switzerland ( Schweizer Hitparade )   6     UK Singles ( Official Charts Company )       US Billboard Hot 100       US Adult Contemporary ( Billboard )   19     US Adult Top 40 ( Billboard )   7     US Dance Club Songs ( Billboard )   10     US Mainstream Top 40 ( Billboard )       US Rhythmic ( Billboard )   20     Venezuela Anglo ( Monitor Latino )   5     Certifications ( edit )     Region   Certification   Certified units / Sales     Australia ( ARIA )   Platinum   70,000     Canada ( Music Canada )   Platinum   80,000     Italy ( FIMI )   Gold   25,000     New Zealand ( RMNZ )   Gold   15,000     United Kingdom ( BPI )   Silver   200,000     United States ( RIAA )   Platinum   707,626      sales figures based on certification alone shipments figures based on certification alone sales + streaming figures based on certification alone      Release history ( edit )     Region   Date   Format   Label   Ref .     Worldwide   August 24 , 2017   Streaming   Big Machine       August 25 , 2017   Digital download       Italy   Contemporary hit radio   Universal Music       United Kingdom   August 26 , 2017   Virgin EMI       United States   August 29 , 2017   Big Machine       See also ( edit )    List of number - one singles of 2017 ( Australia )   List of number - one digital tracks of 2017 ( Australia )   List of number - one streaming tracks of 2017 ( Australia )   List of Canadian Hot 100 number - one singles of 2017   List of number - one digital songs of 2017 ( Canada )   List of number - one singles of 2017 ( Ireland )   List of number - one singles from the 2010s ( New Zealand )   List of Philippine Hot 100 number - one singles of 2017   List of Scottish number - one singles of 2017   List of UK Singles Chart number ones of the 2010s   List of Billboard Hot 100 number - one singles of 2017   List of number - one Billboard Streaming Songs of 2017   List of number - one digital songs of 2017 ( U.S. )   List of number - one songs of 2017 ( Malaysia )   List of most liked YouTube videos   List of most disliked YouTube videos   List of most viewed online videos in the first 24 hours    References ( edit )    Jump up ^ Battan , Carrie ( August 25 , 2017 ) . `` Taylor Swift 's Radical Transformation in Her New Song , `` Look What You Made Me Do '' `` . The New Yorker . Retrieved August 25 , 2017 .   Jump up ^ Aswad , Jem Aswad ( August 18 , 2017 ) . `` Does Taylor Swift 's Social - Media Blackout Mean New Music Is Coming ? '' . Variety . Retrieved August 28 , 2017 .   Jump up ^ Bruner , Raisa ( August 21 , 2017 ) . `` The Internet Is Excited About This Cryptic Taylor Swift Video '' . Time . Retrieved August 21 , 2017 .   Jump up ^ Kaufman , Gil ( August 21 , 2017 ) . `` Taylor Swift Ends Social Media Blackout With Cryptic Reptile Tail Tease '' . Billboard . Retrieved August 28 , 2017 .   Jump up ^ Vain , Medison ( August 23 , 2017 ) . `` Taylor Swift Reveals Snake Head in Latest Cryptic Video '' . Entertainment Weekly . Retrieved August 23 , 2017 .   Jump up ^ Lynch , Joe ( August 23 , 2017 ) . `` Taylor Swift Reveals New Album ' Reputation ' Coming In Nov. , First Single Out Thursday '' . Billboard . Retrieved August 23 , 2017 .   ^ Jump up to : Aswad , Jem ( August 24 , 2017 ) . `` Taylor Swift 's New Single , ' Look What You Made Me Do , ' Arrives ( Listen ) '' . Variety . Retrieved August 29 , 2017 .   Jump up ^ Rosen , Christopher ( August 26 , 2017 ) . `` Taylor Swift breaks Spotify , YouTube records '' . Entertainment Weekly . Retrieved August 29 , 2017 .   ^ Jump up to : `` Top 40 / M Future Releases '' . All Access . All Access Music Group . Archived from the original on August 29 , 2017 . Retrieved August 29 , 2017 .   ^ Jump up to : Johnston , Maura ( August 24 , 2017 ) . `` Acid gossip that borrows from better songs -- Taylor Swift : Look What You Made Me Do review '' . The Guardian . Retrieved August 25 , 2017 .   Jump up ^ Whittaker , Alexandra ( August 25 , 2017 ) . `` Here 's Every Lyric from Taylor Swift 's New Song ' Look What You Made Me Do ' '' . InStyle . Retrieved August 25 , 2017 .   Jump up ^ Knapp , JD ( August 26 , 2017 ) . `` Taylor Swift 's ' Look What You Made Me Do ' Lyric Video Breaks 24 - Hour Record '' . Variety . Retrieved August 26 , 2017 .   ^ Jump up to : McIntyre , Hugh ( August 25 , 2017 ) . `` Taylor Swift Unleashes New Single ' Look What You Made Me Do ' '' . Forbes . Retrieved August 25 , 2017 .   ^ Jump up to : Spanos , Brittany ( August 25 , 2017 ) . `` Taylor Swift Releases Apparent Kanye West Diss Song ' Look What You Made Me Do ' '' . Rolling Stone . Retrieved August 25 , 2017 .   ^ Jump up to : `` Taylor Swift -- ' Look What You Made Me Do ' Sheet Music ( Digital Download ) '' . Musicnotes.com . Sony / ATV Music Publishing . Retrieved August 27 , 2017 .   Jump up ^ Lockett , Dee ( August 25 , 2017 ) . `` Taylor Swift Declares the Old Taylor Dead on New Song , ' Look What You Made Me Do ' '' . Vulture . Retrieved August 25 , 2017 .   Jump up ^ `` Taylor Swift releases new song ' Look What You Made Me Do ' '' . Daily News . New York . August 24 , 2017 . Retrieved August 24 , 2017 .   ^ Jump up to : Grow , Cory ( August 25 , 2017 ) . `` Right Said Fred on Taylor Swift 's ' Cynical ' ' Look What You Made Me Do ' '' . Rolling Stone . Retrieved August 26 , 2017 .   Jump up ^ Myers , Owen . `` Right Said Fred Are `` Very Pleased '' With Taylor Swift 's Interpolation Of `` I 'm Too Sexy '' `` . The Fader . Retrieved September 6 , 2017 .   Jump up ^ Holterman , Alexandra ( August 25 , 2017 ) . `` Taylor Swift 's Lead Singles From Each Album : Which Do You Think Is Best ? Vote ! '' . Billboard . Retrieved August 26 , 2017 .   Jump up ^ Ryan , Patrick ( August 25 , 2017 ) . `` Look what you made us do : Critics slam Taylor Swift 's comeback single '' . USA Today . Retrieved August 26 , 2017 .   Jump up ^ Alexandra Holterman ( August 30 , 2017 ) . `` ' Look What You Made Me Do ' Director Defends Taylor Swift , Accuses Public of ' Double Standards ' '' . Billboard . Retrieved August 31 , 2017 .   Jump up ^ McDermott , Maeve ( August 25 , 2017 ) . `` Taylor Swift goes full psycho pop in new song ' Look What You Made Me Do ' '' . USA Today . Retrieved August 25 , 2017 .   Jump up ^ Lewis , Randy ( August 25 , 2017 ) . `` Taylor Swift drops ' Look What You Made Me Do ' and it 's aggressive '' . The Telegraph . Retrieved August 25 , 2017 .   Jump up ^ Carson , Sarah ( August 25 , 2017 ) . `` Taylor Swift , Look What You Made Me Do , review : ' Swift has painted herself as a villain , and triumphed ' '' . Los Angeles Times . Retrieved August 25 , 2017 .   Jump up ^ Willman , Chris ( August 25 , 2017 ) . `` Song Review : Taylor Swift 's ' Look What You Made Me Do ' '' . Variety . Retrieved August 25 , 2017 .   Jump up ^ Harris , Mark ( August 30 , 2017 ) . `` Taylor Swifts Look What You Made Me Do Is a Pure Piece of Trump - Era Pop Art '' . Vulture . Retrieved September 5 , 2017 .   Jump up ^ Weatherby , Taylor ( August 25 , 2017 ) . `` Taylor Swift Drops Dark New Song ' Look What You Made Me Do ' '' . Billboard . Retrieved August 25 , 2017 .   Jump up ^ Garvey , Meaghan ( August 25 , 2017 ) . `` '' Look What You Made Me Do '' by Taylor Swift Review `` . Pitchfork . Retrieved August 25 , 2017 .   Jump up ^ Trust , Gary ( August 28 , 2017 ) . `` Taylor Swift 's ' Look What You Made Me Do ' Headed for No. 1 on Billboard Hot 100 Next Week '' . Billboard . Retrieved August 28 , 2017 .   Jump up ^ Caulfield , Keith ( August 26 , 2017 ) . `` Taylor Swift 's ' Look ' Heads for Half - Million Sales , Biggest Week Since Adele 's ' Hello ' '' . Billboard . Retrieved August 29 , 2017 .   Jump up ^ Trust , Gary ( September 5 , 2017 ) . `` Taylor Swift 's ' Look What You Made Me Do ' Leaps to No. 1 on Hot 100 With Top Streaming &amp; Sales Week of 2017 '' . Billboard . Retrieved September 5 , 2017 .   Jump up ^ Trust , Gary ( September 11 , 2017 ) . `` Taylor Swift at Nos. 1 &amp; 4 on Billboard Hot 100 , as Cardi B Moves Up to No. 2 '' . Billboard . Retrieved September 13 , 2017 .   Jump up ^ White , Jack ( August 29 , 2017 ) . `` Taylor Swift could earn her first UK Number 1 single this Friday '' . Official Charts Company . Retrieved August 29 , 2017 .   Jump up ^ White , Jack ( September 1 , 2017 ) . `` Taylor Swift scores first Number 1 on the Official Singles Chart with ' LWYMMD ' '' . Official Charts Company . Retrieved September 1 , 2017 .   Jump up ^ White , Jack ( September 15 , 2017 ) . `` Sam Smith scoops his sixth UK Number 1 single with Too Good at Goodbyes '' . Official Charts Company . Retrieved September 15 , 2017 .   Jump up ^ `` Taylor Swift Scores Fifth # 1 Single '' . Australian Recording Industry Association . September 2 , 2017 . Retrieved September 2 , 2017 .   Jump up ^ `` Taylor Swift holds # 1 for second week '' . Australian Recording Industry Association . Retrieved September 16 , 2017 .   Jump up ^ `` Anthony Callea Beats The National For # 1 Album On This Week 's ARIA Chart '' . Themusic.com.au . September 16 , 2017 . Retrieved September 16 , 2017 .   ^ Jump up to : `` ARIA Australian Top 50 Singles '' . Australian Recording Industry Association . September 18 , 2017 . Retrieved September 16 , 2017 .   Jump up ^ `` Canadian Music : Top 100 Songs Chart '' . Billboard . September 16 , 2017 . Retrieved September 16 , 2017 .   ^ Jump up to : `` Canadian single certifications -- Taylor Swift -- Look What You Made Me Do '' . Music Canada . Retrieved September 14 , 2017 .   Jump up ^ Strauss , Matthew ; Minsker , Evan ( August 27 , 2017 ) . `` Watch Taylor Swift 's `` Look What You Made Me Do '' Video `` . Pitchfork . Retrieved August 27 , 2017 .   Jump up ^ `` Taylor Swift 's ' Look What You Made Me Do ' Smashes YouTube 's 24 - Hour Record , Crushing Psy '' . Variety . August 29 , 2017 . Retrieved August 29 , 2017 .   Jump up ^ Lewis , Randy ( August 29 , 2017 ) . `` Taylor Swift 's ' Look What You Made Me Do ' video bashes another YouTube record '' . Los Angeles Times . Retrieved August 28 , 2017 .   Jump up ^ McIntyre , Hugh ( August 31 , 2017 ) . `` Taylor Swift 's ' Look What You Made Me Do ' Video Hit 100 Million Views In Less Than Four Days '' . Forbes . Retrieved August 31 , 2017 .   Jump up ^ Cirisano , Tatiana ( August 29 , 2017 ) . `` Taylor Swift Tops PSY 's 24 - Hour YouTube Record With ' Look What You Made Me Do ' '' . Billboard . Retrieved August 30 , 2017 .   ^ Jump up to : Murphy , Desiree ( August 30 , 2017 ) . `` Exclusive : Todrick Hall Reveals Secrets From Taylor Swift 's ' Look What You Made Me Do ' Music Video '' . Entertainment Tonight . Retrieved August 25 , 2017 .   ^ Jump up to : Murphy , Desiree ( August 30 , 2017 ) . `` Taylor Swift 's ' Look What You Made Me Do ' Video : Everything We Know About the Snakes , Diamonds , Dancing &amp; More '' . Entertainment Tonight . Retrieved August 30 , 2017 .   Jump up ^ Maureen Lee Lenker ( August 25 , 2017 ) . `` Snake slithers up Taylor Swift 's throne in dark , glamorous music video '' . Entertainment Weekly . Retrieved August 31 , 2017 .   Jump up ^ Lavache , Carina ( August 25 , 2017 ) . `` A Lot of People Think Taylor Swift 's New Video Looks Like Beyoncé 's `` Formation '' `` . Cosmopolitan . Retrieved August 31 , 2017 .   Jump up ^ Min , Lilian ( August 27 , 2017 ) . `` Taylor Swift 's `` Look What You Made Me Do '' Music Video Director Has Thoughts About Those Beyoncé Comparisons `` . Elle . Retrieved August 31 , 2017 .   ^ Jump up to : Spanos , Brittany ( August 27 , 2017 ) . `` Watch Taylor Swift Mock Herself in Dark ' Look What You Made Me Do ' Video '' . Rolling Stone . Retrieved August 31 , 2017 .   Jump up ^ `` Taylor Swift 's MV Director Throws Shade At 2NE1 After Being Accused Of Plagiarism Again '' . Koreaboo . August 30 , 2017 . Retrieved August 31 , 2017 .   Jump up ^ Gordon , Julie ( August 29 , 2017 ) . `` Taylor Swift 's diamond bath cost more than $10 M '' . Page Six . Retrieved August 30 , 2017 .   Jump up ^ `` Fastest to 200 million '' . Kworb . Retrieved October 4 , 2017 .   Jump up ^ Yahr , Emily ( August 28 , 2017 ) . `` Taylor Swift knows you 've been making fun of her . Here 's how her new video responds '' . The Washington Post . Retrieved August 28 , 2017 .   ^ Jump up to : Whitehead , Mat ( August 28 , 2017 ) . `` 8 Things You Might Have Missed In Taylor 's ' Look What You Made Me Do ' Video '' . HuffPo</t>
  </si>
  <si>
    <t xml:space="preserve">who produced look at what you made me do</t>
  </si>
  <si>
    <t xml:space="preserve">   `` Look What You Made Me Do ''     Single by Taylor Swift     from the album Reputation     Released   August 24 , 2017 ( 2017 - 08 - 24 )     Format   Digital download     Genre     Dance - pop   electroclash   electropop       Length   3 : 31     Label   Big Machine     Songwriter ( s )     Taylor Swift   Jack Antonoff   Fred Fairbrass   Richard Fairbrass   Rob Manzoli       Producer ( s )   Jack Antonoff     Taylor Swift singles chronology        `` I Do n't Wanna Live Forever '' ( 2016 )   `` Look What You Made Me Do '' ( 2017 )   `` ... Ready for It ? '' ( 2017 )            Music video     `` Look What You Made Me Do '' on YouTube       </t>
  </si>
  <si>
    <r>
      <rPr>
        <sz val="11"/>
        <color rgb="FF000000"/>
        <rFont val="Calibri"/>
        <family val="0"/>
        <charset val="1"/>
      </rPr>
      <t xml:space="preserve">American Quarter Horse - wikipedia  American Quarter Horse  Jump to : navigation , search  American Quarter Horse   A palomino American Quarter Horse shown at halter     Other names   Quarter Horse     Country of origin   United States     Traits     Distinguishing features   Great sprinting speed over short distances ; short , refined head ; strong , well - muscled body , featuring a broad chest and powerful , rounded hindquarters     Breed standards       American Quarter Horse Association         Equus ferus caballus       The American Quarter Horse , or Quarter Horse , is an American breed of horse that excels at sprinting short distances . Its name came from its ability to outdistance other horse breeds in races of a quarter mile or less ; some have been clocked at speeds up to 55 mph ( 88.5 km / h ) . The American Quarter Horse is the most popular breed in the United States today , and the American Quarter Horse Association is the largest breed registry in the world , with almost 3 million living American Quarter Horses registered in 2014 .   The American Quarter Horse is well known both as a race horse and for its performance in rodeos , horse shows and as a working ranch horse . The compact body of the American Quarter Horse is well - suited to the intricate and speedy maneuvers required in reining , cutting , working cow horse , barrel racing , calf roping , and other western riding events , especially those involving live cattle . The American Quarter Horse is also shown in English disciplines , driving , and many other equestrian activities .     Contents  ( hide )   1 Breed History   1.1 Colonial era   1.2 Westward expansion   1.3 Development as a distinct breed     2 `` Appendix '' and `` Foundation '' horses   3 American Quarter Horses today   4 Breed characteristics   4.1 Stock type   4.2 Halter type   4.3 Racing and hunter type     5 Genetic diseases   6 See also   7 References   8 Sources   9 Further reading   10 External links      Breed history ( edit )   Colonial era ( edit )   In the 17th century , colonists on the eastern seaboard of what today is the United States began to cross imported English Thoroughbred horses with assorted `` native '' horses such as the Chickasaw horse , which was a breed developed by Native American people from horses descended from Spain , developed from Iberian , Arabian and Barb stock brought to what is now the Southeastern United States by the Conquistadors .   One of the most famous of these early imports was Janus , a Thoroughbred who was the grandson of the Godolphin Arabian . He was foaled in 1746 , and imported to colonial Virginia in 1756 . The influence of Thoroughbreds like Janus contributed genes crucial to the development of the colonial `` Quarter Horse '' . The breed is sometimes referred to as the `` Famous American Quarter Running Horse '' . The resulting horse was small , hardy , and quick , and was used as a work horse during the week and a race horse on the weekends .   As flat racing became popular with the colonists , the Quarter Horse gained even more popularity as a sprinter over courses that , by necessity , were shorter than the classic racecourses of England , and were often no more than a straight stretch of road or flat piece of open land . When matched against a Thoroughbred , local sprinters often won . As the Thoroughbred breed became established in America , many colonial Quarter Horses were included in the original American stud books , starting a long association between the Thoroughbred breed and what would later become officially known as the `` Quarter Horse '' , named after the ⁄ mile ( 0.40 km ) race distance at which it excelled . with some individuals being clocked at up to 55 mph .   Westward expansion ( edit )   In the 19th century , pioneers heading West needed a hardy , willing horse . On the Great Plains , settlers encountered horses that descended from the Spanish stock Hernán Cortés and other Conquistadors had introduced into the viceroyalty of New Spain , which today includes the Southwestern United States and Mexico . These horses of the west included herds of feral animals known as Mustangs , as well as horses domesticated by Native Americans , including the Comanche , Shoshoni and Nez Perce tribes . As the colonial Quarter Horse was crossed with these western horses , the pioneers found that the new crossbred had innate `` cow sense '' , a natural instinct for working with cattle , making it popular with cattlemen on ranches .   Development as a distinct breed ( edit )  See also : American Quarter Horse Association and American Quarter Horse Hall of Fame A photograph of Peter McCue , taken in Oklahoma around 1905 .  Early foundation sires of Quarter horse type included Steel Dust , foaled 1843 ; Shiloh ( or Old Shiloh ) , foaled 1844 ; Old Cold Deck ( 1862 ) ; Lock 's Rondo , one of many `` Rondo '' horses , foaled in 1880 ; Old Billy -- again , one of many `` Billy '' horses -- foaled circa 1880 ; Traveler , a stallion of unknown breeding , known to have been in Texas by 1889 ; and Peter McCue , foaled 1895 , registered as a Thoroughbred but of disputed pedigree .   The main duty of the ranch horse in the American West was working cattle . Even after the invention of the automobile , horses were still irreplaceable for handling livestock on the range . Thus , major Texas cattle ranches , such as the King Ranch , the 6666 ( Four Sixes ) Ranch , and the Waggoner Ranch played a significant role in the development of the modern Quarter Horse . The skills needed by cowboys and their horses became the foundation of the rodeo , a contest which began with informal competition between cowboys and expanded to become a major competitive event throughout the west . To this day , the Quarter Horse dominates the sport both in speed events and in competition that emphasizes the handling of live cattle .   However , sprint races were also popular weekend entertainment and racing became a source of economic gain for breeders as well . As a result , more Thoroughbred blood was added back into the developing American Quarter Horse breed . The American Quarter Horse also benefitted from the addition of Arabian , Morgan , and even Standardbred bloodlines .   In 1940 , the American Quarter Horse Association ( AQHA ) was formed by a group of horsemen and ranchers from the southwestern United States dedicated to preserving the pedigrees of their ranch horses . The horse honored with the first registration number , P - 1 , was Wimpy , a descendant of the King Ranch foundation sire Old Sorrel . Other sires alive at the founding of the AQHA were given the earliest registration numbers Joe Reed P - 3 , Chief P - 5 , Oklahoma Star P - 6 , Cowboy P - 12 , and Waggoner 's Rainy Day P - 13 . The Thoroughbred race horse Three Bars , alive in the early years of the AQHA , is recognized by the American Quarter Horse Hall of Fame as one of the significant foundation sires for the Quarter Horse breed . Other significant Thoroughbred sires seen in early AQHA pedigrees include Rocket Bar , Top Deck and Depth Charge .   `` Appendix '' and `` Foundation '' Horses ( edit )   Since the American Quarter Horse formally established itself as a breed , the AQHA stud book has remained open to additional Thoroughbred blood via a performance standard . An `` Appendix '' American Quarter Horse is a first generation cross between a registered Thoroughbred and an American Quarter Horse or a cross between a `` numbered '' American Quarter Horse and an `` appendix '' American Quarter Horse . The resulting offspring is registered in the `` appendix '' of the American Quarter Horse Association 's studbook , hence the nickname . Horses listed in the appendix may be entered in competition , but offspring are not initially eligible for full AQHA registration . If the Appendix horse meets certain conformational criteria and is shown or raced successfully in sanctioned AQHA events , the horse can earn its way from the appendix into the permanent studbook , making its offspring eligible for AQHA registration .   Since Quarter Horse / Thoroughbred crosses continue to enter the official registry of the American Quarter Horse breed , this creates a continual gene flow from the Thoroughbred breed into the American Quarter Horse breed , which has altered many of the characteristics that typified the breed in the early years of its formation . Some breeders , who argue that the continued infusion of Thoroughbred bloodlines is beginning to compromise the integrity of the breed standard , favor the earlier style of horse and have created several separate organizations to promote and register `` Foundation '' Quarter Horses .   American Quarter Horses today ( edit )  The Quarter Horse is well - suited for the western disciplines .  The American Quarter Horse is best known today as a show horse , race horse , reining and cutting horse , rodeo competitor , ranch horse , and all - around family horse . Quarter Horses compete well in rodeo events such as barrel racing , calf roping and team roping ; and gymkhana or O - Mok - See . Other stock horse events such as cutting and reining are open to all breeds but also dominated by American Quarter Horse . Large purses allow top competitors to earnover a million dollars in these events .   The breed is not only well - suited for western riding and cattle work . Many race tracks offer Quarter Horses a wide assortment of pari - mutuel horse racing with purses in the millions . Quarter Horses have also been trained to compete in dressage and can be good jumpers . They are also used for recreational trail riding and in mounted police units .   The American Quarter Horse has also been exported worldwide . European nations such as Germany and Italy have imported large numbers of Quarter Horses . Next to the American Quarter Horse Association ( which also encompasses Quarter Horses from Canada ) , the second largest registry of Quarter Horses is in Brazil , followed by Australia . With the internationalization of the discipline of reining and its acceptance as one of the official seven events of the World Equestrian Games , there is a growing international interest in Quarter Horses . Countries like Japan , Switzerland and Israel that did not have traditional stock horse industries have begun to compete with American Quarter Horses in their own nations and internationally . The American Quarter Horse is the most popular breed in the United States today , and the American Quarter Horse Association is the largest breed registry in the world , with over 5 million American Quarter Horses registered worldwide .   Breed characteristics ( edit )  A halter - type Quarter Horse  The Quarter Horse has a small , short , refined head with a straight profile , and a strong , well - muscled body , featuring a broad chest and powerful , rounded hindquarters . They usually stand between 14 and 16 hands ( 56 and 64 inches , 142 and 163 cm ) high , although some Halter - type and English hunter - type horses may grow as tall as 17 hands ( 68 inches , 173 cm ) .   There are two main body types : the stock type and the hunter or racing type . The stock horse type is shorter , more compact , stocky and well - muscled , yet agile . The racing and hunter type Quarter Horses are somewhat taller and smoother muscled than the stock type , more closely resembling the Thoroughbred .   Quarter Horses come in nearly all colors . The most common color is sorrel , a brownish red , part of the color group called chestnut by most other breed registries . Other recognized colors include bay , black , brown , buckskin , palomino , gray , dun , red dun , grullo ( also occasionally referred to as blue dun ) , red roan , blue roan , bay roan , perlino , cremello , and white . In the past , spotted color patterns were excluded , but now with the advent of DNA testing to verify parentage , the registry accepts all colors as long as both parents are registered .   Stock type ( edit )  See also : Stock horse  A stock horse is a horse of a type that is well suited for working with livestock , particularly cattle . Reining and cutting horses are smaller in stature , with quick , agile movements and very powerful hindquarters . Western pleasure show horses are often slightly taller , with slower movements , smoother gaits , and a somewhat more level topline -- though still featuring the powerful hindquarters characteristic of the Quarter Horse .   Halter type ( edit )   Horses shown in - hand in Halter competition are larger yet , with a very heavily muscled appearance , while retaining small heads with wide jowls and refined muzzles . There is controversy amongst owners , breeder and veterinarians regarding the health effects of the extreme muscle mass that is currently fashionable in the specialized halter horse , which typically is 15.2 to 16 hands ( 62 to 64 inches , 157 to 163 cm ) and weighs in at over 1,200 pounds ( 540 kg ) when fitted for halter competition . Not only are there concerns about the weight to frame ratio on the horse 's skeletal system , but the massive build is also linked to HYPP in descendants of the stallion Impressive ( see Genetic diseases below ) .   Racing and hunter type ( edit )  A Quarter Horse warming up for hunt seat competition .  Quarter Horse race horses are bred to sprint short distances ranging from 220 to 870 yards . Thus , they have long legs and are leaner than their stock type counterparts , but are still characterized by muscular hindquarters and powerful legs . Quarter Horses race primarily against other Quarter Horses , and their sprinting ability has earned them the nickname , `` the world 's fastest athlete . '' The show hunter type is slimmer , even more closely resembling a Thoroughbred , usually reflecting a higher percentage of appendix breeding . They are shown in hunter / jumper classes at both breed shows and in open USEF - rated horse show competition .   Genetic diseases ( edit )   There are several genetic diseases of concern to Quarter Horse breeders :    Hyperkalemic periodic paralysis ( HYPP ) , which is caused by an autosomal dominant gene linked to the stallion Impressive . It is characterized by uncontrollable muscle twitching and substantial muscle weakness or paralysis among affected horses . Because it is a dominant gene , only one parent has to have the gene for it to be transmitted to offspring . There is a DNA test for HYPP , which is required by the AQHA . Since 2007 , the AQHA bars registration of horses who possess the homozygous form ( H / H ) of the gene , and though heterozygous ( H / N ) horses are still eligible for registration , altering that status is currently being discussed . Additionally all Quarter Horses born 2007 or later that are confirmed to be descendants of Impressive must carry a note about the risks of HYPP on their registration papers . Due to HYPP , the halter classes are undergoing significant changes . Halter classes are dominated by the Impressive bloodline . Impressive , a very prolific halter horse , brought to the stock breeds the muscle mass that is popular in halter competition today . This muscle mass is linked to HYPP , and as the condition is reduced within the breed , the style of horse in halter classes is also likely to change . Already there have been rule changes , including the creation of a `` Performance Halter class '' in which a horse must possess a Register of Merit in performance or racing before it can compete .   Malignant hyperthermia . A causative mutated allele , ryanodine receptor 1 gene ( RyR1 ) at nucleotide C7360G , generating a R2454G amino acid substitution . has been identified in the American Quarter Horse and breeds with Quarter Horse ancestry , inherited as an autosomal dominant It can be caused by overwork , anesthesia , or stress .   Hereditary Equine Regional Dermal Asthenia ( HERDA ) , also known as hyperelastosis cutis ( HC ) . This is caused by an autosomal recessive gene , and thus , unlike HYPP , HERDA can only be transmitted if both parents carry the gene . When a horse has this disease , there is a collagen defect that results in the layers of skin not being held firmly together . Thus , when the horse is ridden under saddle or suffers trauma to the skin , the outer layer often splits or separates from the deeper layer , or it can tear off completely . It rarely heals without disfiguring scars . Sunburn can also be a concern . In dramatic cases , the skin can split along the back and even roll down the sides , with the horse literally being skinned alive . Most horses with HERDA are euthanized for humane reasons between the age of two and four years . The very hotly debated and controversial theory , put forth by researchers at Cornell University and Mississippi State University is that the sire line of the great foundation stallion Poco Bueno is implicated as the origin of the disease . As of May 9 , 2007 , Researchers working independently at Cornell University and at the University of California , Davis announced that a DNA test for HERDA has been developed . Over 1,500 horses were tested during the development phase of the test , which is now available to the general public through both institutions .   Glycogen Branching Enzyme Deficiency ( GBED ) is a genetic disease where the horse is lacking an enzyme necessary for storing glycogen , the horse 's heart muscle and skeletal muscles can not function , leading to rapid death . The disease occurs in foals who are homozygous for the lethal GBED allele , meaning both parents carry one copy of the gene . The stallion King P - 234 has been linked to this disease . There is a DNA blood test for this gene .   Equine polysaccharide storage myopathy , also called EPSM or PSSM , is a metabolic muscular condition in horses that causes tying up , and is also related to a glycogen storage disorder . While also seen in some draft horse breeds , PSSM has been traced to three specific but undisclosed bloodlines in Quarter Horses , with an autosomal recessive inheritance pattern . 48 % of Quarter Horses with symptoms of neuromuscular disease have PSSM . To some extent it can be diet controlled with specialized low - starch diets , but genetic testing is advised before breeding , as the condition exists at a subclinical level in approximately 6 % of the general Quarter Horse population .   Lethal White Syndrome . Although `` cropout '' Quarter Horses with Paint markings were not allowed to be registered for many years , the gene for such markings is a recessive and continued to periodically appear in Quarter Horse foals . Thus , it is believed that some Quarter Horses may carry the gene for Lethal White Syndrome . There is a DNA test for this condition .    See also ( edit )    Quarab   Quarter pony    References ( edit )    Jump up ^ `` AQHA Annual Report - 2014 Horse Statistics '' . American Quarter Horse Association . Archived from the original on September 23 , 2015 . Retrieved August 24 , 2015 .   Jump up ^ Denhardt Quarter Running Horse pp. 4 -- 8   Jump up ^ Denhardt Quarter Running Horse pp. 20 -- 32   Jump up ^ Mackay - Smith Colonial Quarter Race Horse p. 106   Jump up ^ Mackay - Smith Colonial Quarter Race Horse p. 138   ^ Jump up to : Mackay - Smith Colonial Quarter Race Horse p. xxxi   ^ Jump up to : Beckmann , Bruce . `` Quarter Horses '' . Handbook of Texas Online . Texas State Historical Association . Retrieved 2006 - 05 - 30 .   Jump up ^ `` American Quarter Horse . '' Britannica School . Encyclopædia Britannica , Inc. , 2015 . Web . 1 Jul. 2015 .   Jump up ^ Dutson , Judith ( 2012 ) , Storey 's Illustrated Guide to 96 Horse Breeds of North America , Storey Publishing , p. 64 , ISBN 9781603429184   Jump up ^ Iowa Quarter Horse Racing Association . `` Iowa Quarter Horse Racing Association 1976 -- 2008 '' . IQHRA Website . Iowa Quarter Horse Racing Association . Archived from the original on 7 June 2008 . Retrieved 2008 - 06 - 11 .   Jump up ^ Mackay - Smith Colonial Quarter Race Horse p. 193   ^ Jump up to : Close , Legends 2 : Outstanding Quarter Horse Stallions and Mares .   Jump up ^ Oklahoma State University . `` Quarter Horse '' . Breeds of Livestock . Oklahoma State University . Archived from the original on 22 June 2008 . Retrieved 2008 - 06 - 11 .   Jump up ^ https://bmcgenomics.biomedcentral.com/articles/10.1186/1471-2164-13-78   Jump up ^ http://www.ansi.okstate.edu/breeds/horses/quarter/   Jump up ^ Denhardt Quarter Horse pp. 143 -- 167   ^ Jump up to : Kentucky Horse Park . `` American Quarter Horse '' . International Museum of the Horse - Horse Breeds of the World . Kentucky Horse Park . Archived from the original on 2010 - 08 - 22 . Retrieved 2008 - 06 - 11 .   Jump up ^ American Quarter Horse Association Combined Stud Book 1 - 2 - 3 - 4 - 5 p. 1   Jump up ^ `` Three Bars ( TB ) '' ( PDF ) . American Quarter Horse Association . Archived from the original ( PDF ) on 2011 - 07 - 07 . Retrieved 2010 - 12 - 21 .   Jump up ^ Wiggins Great American Speedhorse p. 166   Jump up ^ American Quarter Horse Association . `` AQHA Handbook of Rules and Regulations '' . SECTION II , Registration Rules and Regulations . American Quarter Horse Association . Archived from the original on 2008 - 08 - 13 .   Jump up ^ Foundation Quarter Horse Association . `` Foundation Quarter Horse Association '' . FQHA Website . Foundation Quarter Horse Association . Archived from the original on 1 April 2007 . Retrieved 2007 - 04 - 02 .   Jump up ^ Foundation Horses . `` Foundation Bred Quarter Horses '' . FoundationHorses.com . Foundation Horses . Archived from the original on 26 April 2007 . Retrieved 2007 - 04 - 02 .   Jump up ^ National Foundation Quarter Horse Association . `` National Foundation Quarter Horse Association '' . NFQHA Website . National Foundation Quarter Horse Association . Archived from the original on 22 April 2007 . Retrieved 2007 - 04 - 02 .   Jump up ^ https://books.google.com/books?id=Wy18dfDKYNEC&amp;pg=PA1171&amp;dq=Quarter+Horses+team+roping&amp;hl=en&amp;sa=X&amp;ved=0ahUKEwi3j4vVxebUAhUM0YMKHaRNCXcQ6AEILzAD#v=onepage&amp;q=Quarter%20Horses%20team%20roping&amp;f=false   ^ Jump up to : https://books.google.com/books?id=myQBSVVEhagC&amp;pg=PA28&amp;dq=Quarter+Horses+barrel+racing&amp;hl=en&amp;sa=X&amp;ved=0ahUKEwiWzYqHxubUAhUhzIMKHY55APIQ6AEIIjAB   Jump up ^ National Saddle Clubs Association   Jump up ^ The Canadian Quarter Horse Association   Jump up ^ American Quarter Horse Association . `` Horse Statistics '' ( PDF ) . 2006 AQHA Annual Report . American Quarter Horse Association . Archived from the original ( PDF ) on 2008 - 04 - 14 . Retrieved 2008 - 06 - 11 .   Jump up ^ `` Registration rules '' ( PDF ) . American Quarter Horse Association . Archived from the original ( pdf ) on 2011 - 07 - 07 . Retrieved 2010 - 12 - 21 .   Jump up ^ American Quarter Horse Association . `` AQHA Handbook of Rules &amp; Regulations 2008 Rule 205 ( d ) '' . AQHA Website . American Quarter Horse Association . Retrieved August 9 , 2008 .   Jump up ^ Ellen. , Frazel , ( 2012 ) . The American quarter horse . Minneapolis , MN : Bellwether Media . ISBN 1612115438 . OCLC 794554681 .   Jump up ^ M. , Baxter , Gary ( 2011 ) . Adams and Stashak 's Lameness in Horses ( 6th ed . ) . Somerset : Wiley . pp. Chapter 2 . ISBN 9780470961773 . OCLC 927499663 .   Jump up ^ Details on AQHA HYP rules for registration Archived 2009 - 01 - 20 at the Wayback Machine .   Jump up ^ `` AQHA Handbook , Section 448 Halter Classes , ( j ) Performance Halter '' . Retrieved 30 September 2012 .   Jump up ^ Aleman M ( 2009 ) . `` Malignant Hyperthermia Associated with Ryanodine Receptor 1 ( C7360G ) Mutation in Quarter Horses '' . Journal of Veterinary Internal Medicine . 23 : 329 -- 334 . doi : 10.1111 / j. 1939 - 1676.2009. 0274. x .   Jump up ^ `` Archived copy '' ( PDF ) . Archived from the original ( PDF ) on 2014 - 06 - 09 . Retrieved 2012 - 06 - 12 .   Jump up ^ ftp://ftp.aave.inv.org.ar/IVIS/aaep/Equine%20Malignant%20Hyperthermia.pdf   Jump up ^ Valberg SJ , Mickelson JR , Gallant EM , MacLeay JM , Lentz L , de la Corte F ( 1999 ) . `` Exertional rhabdomyolysis in quarter horses and thoroughbreds : one syndrome , multiple aetiologies '' . Equine Vet J Suppl. 30 : 533 -- 8 . PMID 10659313 .   Jump up ^ Sellnow , `` HERDA '' , The Horse Online News   Jump up ^ Valberg , Stephanie DVM , Diplomate ACVIM and James R Mickelson . `` Glycogen Branching Enzyme Deficiency ( GBED ) in Horses '' . Glycogen Branching Enzyme Deficiency ( GBED ) . University of Minnsesota . Archived from the original on 12 May 2008 . Retrieved 2008 - 06 - 12 . CS1 maint : Uses authors parameter ( link )   Jump up ^ Valberg et al. , `` Exertional rhabdomyolysis in quarter horses and thoroughbreds '' , Equine Vet Journal Supplement , pp. 533 -- 38   Jump up ^ Ulman , Katherine . `` Equine Exertional Rhabdomyolysis '' . Summer 2000 Newsletter . Purdue University , Animal Disease Diagnostic Lab . Archived from the original on 13 May 2008 . Retrieved 2008 - 06 - 12 .   Jump up ^ Church , `` ACVIM 2006 '' , The Horse Online News   Jump up ^ University of California -- Davis . `` Horse Coat Color Tests '' . Veterinary Genetics Laboratory . University of California at Davis . Archived from the original on 19 February 2008 . Retrieved 2008 - 03 - 08 .    Sources ( edit )    American Quarter Horse Association ( 1961 ) . Official Stud Book and Registry Combined Books 1 - 2 - 3 - 4 - 5 . Amarillo , TX : American Quarter Horse Association .   Church , Stephanie L. ( 2006 - 09 - 14 ) . `` ACVIM 2006 : Prevalence of PSSM in Quarter Horses '' . The Horse Online News ( # 7628 ) . Archived from the original on 6 June 2008 . Retrieved 2008 - 06 - 12 .   Close , Pat ( 1994 ) . Legends 2 : Outstanding Quarter Horse Stallions and Mares . Colorado Springs : Western Horseman . ISBN 0 - 911647 - 30 - 9 .   Denhardt , Robert M. ( 1979 ) . The Quarter Running Horse : America 's Oldest Breed . Norman , OK : University of Oklahoma Press . ISBN 0 - 8061 - 1500 - 9 .   Mackay - Smith , Alexander ( 1983 ) . The Colonial Quarter Race Horse . Richmond , VA : Whittet &amp; Shepperson .   Sellnow , Les ( 2007 - 05 - 28 ) . `` HERDA : DNA Tests Available for Disfiguring Skin Disease '' . The Horse Online News . Retrieved 2007 - 05 - 07 .   Valberg SJ , Mickelson JR , Gallant EM , MacLeay JM , Lentz L , de la Corte F ( July 1999 ) . `` Exertional rhabdomyolysis in quarter horses and thoroughbreds : one syndrome , multiple aetiologies '' . Equine Vet Journal Supplement. 30 : 533 -- 8 . PMID 10659313 .   Wiggins , Walt ( 1978 ) . The Great American Speedhorse : A Guide to Quarter Racing . New York : Sovereign Books . ISBN 0 - 671 - 18340 - 0 .    Further reading ( edit )    Denhardt , Robert Moorman ( 1997 ) . Foundation Sires of the American Quarter Horse . University of Oklahoma Press . ISBN 0 - 8061 - 2947 - 6 .    External links ( edit )       Wikimedia Commons has media related to American Quarter Horse .      American Quarter Horse Association   Information about Quarter Horses in Europe              Equine     Equine science and management     Equine anatomy   Equine nutrition   Horse behavior   Horse care   Horse breeding   Horse genome   Equine conformation   Equine coat color   Horse gait       Equestrianism and sport     Glossary of equestrian terms   Horse industry   List of equestrian sports   Horse tack   Bit   Bridle   Saddle   Harness   English riding   Western riding   Driving   Horse training   Horse racing   Equestrian at the Summer Olympics ( medalists , venues )   Horse show   Equitation       Evolution and history     Domestication of the horse   Horses in warfare   Horses in the Middle Ages   Horses in the United States   Horses in East Asian warfare   History of the horse in South Asia   Horses in the Napoleonic Wars   Horses in World War I   Horses in World War II   History of the horse in Britain   Horse worship   Horse burial       Horse breeds , types and other Equidae      Horses     List of horse breeds   Draft horse   Feral horse   Gaited horse   Mountain and moorland pony breeds   Sport horse   Stock horse   Warmblood   Wild horse       Other Equus     List of donkey breeds   Donkey   Zebra   Onager       Hybrids     Hinny   Mule   Zebroid            Category Horses portal      Retrieved from `` https://en.wikipedia.org/w/index.php?title=American_Quarter_Horse&amp;oldid=836166935 '' Categories :   Horse breeds   Horse breeds originating in the United States   American Quarter Horses   Hidden categories :   Webarchive template wayback links   All articles with dead external links   Articles with dead external links from July 2017   Articles with permanently dead external links   Articles with dead external links from October 2016   CS1 maint : Uses authors parameter   Articles with ' species ' microformats   All articles with unsourced statements   Articles with unsourced statements from January 2010   Articles with unsourced statements from June 2017   Articles with unsourced statements from June 2008           Talk                                           Contents                   About Wikipedia                                                   Asturianu   Català   Čeština   Dansk   Deutsch   Eesti   Español   Français   Galego   </t>
    </r>
    <r>
      <rPr>
        <sz val="11"/>
        <color rgb="FF000000"/>
        <rFont val="Noto Sans CJK SC"/>
        <family val="2"/>
      </rPr>
      <t xml:space="preserve">한국어   </t>
    </r>
    <r>
      <rPr>
        <sz val="11"/>
        <color rgb="FF000000"/>
        <rFont val="Calibri"/>
        <family val="0"/>
        <charset val="1"/>
      </rPr>
      <t xml:space="preserve">Interlingua   Italiano   עברית   Latviešu   Magyar   Nederlands   </t>
    </r>
    <r>
      <rPr>
        <sz val="11"/>
        <color rgb="FF000000"/>
        <rFont val="Noto Sans CJK SC"/>
        <family val="2"/>
      </rPr>
      <t xml:space="preserve">日本 語   </t>
    </r>
    <r>
      <rPr>
        <sz val="11"/>
        <color rgb="FF000000"/>
        <rFont val="Calibri"/>
        <family val="0"/>
        <charset val="1"/>
      </rPr>
      <t xml:space="preserve">Norsk   Polski   Português   Русский   Suomi   Svenska   Tiếng Việt   </t>
    </r>
    <r>
      <rPr>
        <sz val="11"/>
        <color rgb="FF000000"/>
        <rFont val="Noto Sans CJK SC"/>
        <family val="2"/>
      </rPr>
      <t xml:space="preserve">中文  </t>
    </r>
    <r>
      <rPr>
        <sz val="11"/>
        <color rgb="FF000000"/>
        <rFont val="Calibri"/>
        <family val="0"/>
        <charset val="1"/>
      </rPr>
      <t xml:space="preserve">17 more  Edit links   This page was last edited on 13 April 2018 , at 02 : 01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</si>
  <si>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name quarter horse come from</t>
  </si>
  <si>
    <t xml:space="preserve"> The American Quarter Horse , or Quarter Horse , is an American breed of horse that excels at sprinting short distances . Its name came from its ability to outdistance other horse breeds in races of a quarter mile or less ; some have been clocked at speeds up to 55 mph ( 88.5 km / h ) . The American Quarter Horse is the most popular breed in the United States today , and the American Quarter Horse Association is the largest breed registry in the world , with almost 3 million living American Quarter Horses registered in 2014 . </t>
  </si>
  <si>
    <t xml:space="preserve">Ballast water management Convention - wikipedia  Ballast water management Convention     Admiralty law         History       Ordinamenta et consuetudo maris   Amalfian Laws   Hanseatic League       Features       Shipping   Freight rate   General average   Marine insurance   Marine salvage   Maritime lien   Ship mortgage   Ship registration   Ship transport   International Regulations for Preventing Collisions at Sea       Contracts of affreightment       Bill of lading   Charter - party       Types of charter - party       Bareboat   Demise   Time   Voyage       Parties       Carrier   Charterer   Consignee   Consignor   Shipbroker   Ship - manager   Ship - owner   Shipper   Stevedore       Judiciary       Admiralty court   Vice admiralty court       International conventions       Hague - Visby Rules   Hamburg Rules   Rotterdam Rules   Maritime Labour Convention   International Convention on Salvage   United Nations Convention on the Law of the Sea ( UNCLOS )   SOLAS Convention   Ballast Water Management Convention       International organisations       International Maritime Organization   London Maritime Arbitrators Association                   The International Convention for the Control and Management of Ships ' Ballast Water and Sediments ( Ballast Water Management Convention ) 2004 , is an international maritime treaty which requires Signatory flag states to ensure that ships flagged by them comply with standards and procedures for the management and control of ships ' ballast water and sediments . The Convention aims to prevent the spread of harmful aquatic organisms from one region to another and halt damage to the marine environment from ballast water discharge , by minimising the uptake and subsequent discharge of sediments and organisms . From 2024 all ships are required to have approved Ballast Water Management Treatment System , according to the D2 standard ( see below ) . Existing ships are required to install an approved system , which may cost up to 5 million USD per ship to install . To assist with implementation the IMO has released 14 Guidance documents in regards to the Convention including the G2 Guidelines for Ballast Water Sampling , G4 Guidelines for Ballast Water management and G6 Guidelines for Ballast Water Exchange .   Contents    1 Development and Entry into force   2 Requirements of the Convention   2.1 Standards     3 Bibliography   4 References    Development and entry into force ( edit )   The first scientifically recognised occurrence of a non-indigenous marine species being transported in ships water occurred in the North Sea in 1903 , with the Asian phytoplankton Odontella appearing . The issue became more prevalent with the increase in shipping in the late 20th century and the issue was raised for the first time at the IMO in 1988 . Following several years of development , the Convention was adopted by the International Maritime Organization in 2004 . To enter into force , the Convention required ratification by a minimum of 30 States , representing 35 % of world merchant shipping tonnage , subject to which it would enter into force 12 months later . On 8th September 2016 , Finland acceded to the Convention , bringing the contracting states to 52 and the combined tonnage of States to 35.14 % . This triggered the applicability of the entry into force date of the Convention , which occurred on the 8th September 2017 . Since Finland , a number of States have continued to accede , bringing the total as of 8th September 2017 to 66 contracting States , representing 74.89 % of world merchant shipping tonnage .   Requirements of the Convention ( edit )   All international going ships under the Convention must implement a ' Ballast water management plan ' that enables the ship to manage their ballast water and sediment discharge to a certain standard . The plan is designed to meet the requirements for compliance with the Convention and the G4 Guidelines produced by the IMO . It includes standard operational guidance , planning and management , as well as additional details including sampling points and systems . Additionally all ships over 400GT must also carry a ballast water record book that details such requirements as the filling and discharge of each tank , according to time , date , location and the treatment applied to the water .   Ships that comply with the Convention will receive and are duly required to carry an international ballast water management certificate . To receive a certificate , a ship will have to supply the necessary documentation showing compliance with the Convention and a survey will be carried out on - board . A survey may be carried out by a flag State , or by a Classification Society who have been authorised by a flag State . The convention is monitored by Port State Control , who must assess the ballast water management plan and its operation on the ship .   Standards ( edit )   Under the Convention , ships are required , according to a timetable of implementation , to comply with the D1 or D2 standards . The D1 standard requires ships to carry out a ballast water exchange , and specifies the volume of water that must be replaced . This standard involves exchanging the uptaken discharge water from the last port , with new sea water ; it must occur at a minimum of 200 nautical miles from shore . The D2 standard is more stringent and requires the use of an approved ballast water treatment system . The system must ensure that only small levels of viable organisms remain left in water after treatment so as to minimise the Environmental impact of shipping .   New ships will be required to install and comply with the D2 standard from the 8th September 2017 , once the Convention has entered into force . Existing ships , who are subject to the phased implementation schedule , have potentially ( depending on the renewal of their ship certificates ) until the 8th September 2024 , by which time all ships will comply with the D2 standard .   It is also possible for ships to discharge ballast at approved shore reception facilities in ports , as article 5 requires that when cleaning or repair of a ships ballast tanks occurs , ports should have adequate reception facilities for the sediments . Facilities must include safe disposal arrangements , storage and treatment equipment , safe and suitable mooring and emergency arrangements and the necessary reducers for connections to ships .   Some ships may be exempted from complying with the Convention , according to certain conditions and the appropriate permission being given by a flag State . These include ships trading in a limited area , small vessels including sailboats and fishing vessels , vessels only operating on one coast and also FPSOs .   Bibliography ( edit )    N. Anwar &amp; Dr. L. Churcher , Ballast Water Management : Understanding the regulations and the treatment technologies available , 7th Edition , Witherby Publishing Group , 2016 .    References ( edit )    ^ Jump up to : `` BWM Convention '' . International Maritime Organization . Retrieved July 7 , 2017 .   Jump up ^ `` BWM Convention : counting the cost '' . Ballast Water Treatment Technology . Retrieved July 7 , 2017 .   Jump up ^ Anwar &amp; Churcher , p. 175   Jump up ^ Anwar &amp; Churcher , p. 2   ^ Jump up to : `` BWM Convention to enter into force in 2017 '' . Maritime Executive . Retrieved July 7 , 2017 .   ^ Jump up to : `` Ballast water management - the control of harmful invasive species '' . International Maritime Organization . Retrieved July 7 , 2017 .   Jump up ^ `` IMO 's BWM Convention to Enter Into Force in September 2017 '' . World Maritime News . Retrieved July 7 , 2017 .   Jump up ^ `` Status of Treaties '' ( PDF ) . International Maritime Organization . Retrieved July 7 , 2017 .   Jump up ^ Anwar &amp; Churcher , p. 123 - 124   Jump up ^ `` Ballast Water Record Book , 3rd Edition '' . Witherby Publishing Group . Retrieved July 7 , 2017 .   ^ Jump up to : `` Understanding ballast water management '' ( PDF ) . Lloyd 's Register . Retrieved July 7 , 2017 .   ^ Jump up to : `` BWM CONVENTION -- APPLICATION AND REQUIREMENTS '' ( PDF ) . DNV GL . Retrieved July 7 , 2017 .   Jump up ^ Anwar &amp; Churcher , p. 128   Jump up ^ Anwar &amp; Churcher , p. 141   ^ Jump up to : `` Ballast Water Management '' . Britannia P&amp;I club . Retrieved July 7 , 2017 .   ^ Jump up to : `` MEPC 71 Brief : Ballast Water Management Implementation Scheme Agreed in Principle '' . Hellenic Shipping News . Retrieved July 7 , 2017 .   Jump up ^ Anwar &amp; Churcher , p. 167              Ports and harbors     Types     Home port   Fuelling station   Inland harbor   Inland port   Landing   Outport   Port of entry   Trust port   Dry port   Anchorage   Wharf   Natural gas terminals   Oil terminals   Coal terminals   Container terminals   Free port   Naval base       Individual sites     Lists of ports   By sea or ocean   By continent   By country       Rankings     World 's busiest port   Busiest container ports   Busiest transshipment ports   Busiest by tonnage   Busiest by cruise passengers       Port management     Infrastructure   Port authority   Port state control   Harbour engineer   Port operator   Security   Ship transport   Port operations simulator   Terminal Operating System       Conventions     SOLAS   MARPOL 73 / 78   STCW   Ballast Water Management Convention       Organizations     Port operating companies   Port workers ' trade unions           Commons   Wiktionary `` Port ''   Wiktionary `` Harbor ''   WikiProject      Retrieved from `` https://en.wikipedia.org/w/index.php?title=Ballast_Water_Management_Convention&amp;oldid=811434148 '' Categories :   International Maritime Organization treaties   Admiralty law treaties           Talk                                           Contents                   About Wikipedia                                           Nederlands   Edit links   This page was last edited on 21 November 2017 , at 16 : 06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</si>
  <si>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 ballast water management convention entry into force</t>
  </si>
  <si>
    <t xml:space="preserve"> The International Convention for the Control and Management of Ships ' Ballast Water and Sediments ( Ballast Water Management Convention ) 2004 , is an international maritime treaty which requires Signatory flag states to ensure that ships flagged by them comply with standards and procedures for the management and control of ships ' ballast water and sediments . The Convention aims to prevent the spread of harmful aquatic organisms from one region to another and halt damage to the marine environment from ballast water discharge , by minimising the uptake and subsequent discharge of sediments and organisms . From 2024 all ships are required to have approved Ballast Water Management Treatment System , according to the D2 standard ( see below ) . Existing ships are required to install an approved system , which may cost up to 5 million USD per ship to install . To assist with implementation the IMO has released 14 Guidance documents in regards to the Convention including the G2 Guidelines for Ballast Water Sampling , G4 Guidelines for Ballast Water management and G6 Guidelines for Ballast Water Exchange . </t>
  </si>
  <si>
    <r>
      <rPr>
        <sz val="11"/>
        <color rgb="FF000000"/>
        <rFont val="Calibri"/>
        <family val="0"/>
        <charset val="1"/>
      </rPr>
      <t xml:space="preserve">It Never Rains in Southern California - wikipedia  It Never Rains in Southern California  Jump to : navigation , search For the Tony ! Toni ! Toné song , see It Never Rains ( In Southern California ) .    `` It Never Rains in Southern California ''         Single by Albert Hammond     from the album It Never Rains in Southern California     B - side   `` Anyone Here in the Audience ''     Released   October 21 , 1972 ( United States )     Recorded   1972     Genre   Soft rock     Length   3 : 49 3 : 20 ( 7 '' version )     Label   Mums Records     Songwriter ( s )   Albert Hammond , Mike Hazlewood     Producer ( s )   Albert Hammond , Don Altfeld     Albert Hammond singles chronology        `` Down by the River '' ( 1972 )   `` It Never Rains in Southern California '' ( 1972 )   `` If You Gotta Break Another Heart '' ( 1973 )           `` Down by the River '' ( 1972 )   `` It Never Rains in Southern California '' ( 1972 )   `` If You Gotta Break Another Heart '' ( 1973 )        `` It Never Rains in Southern California '' , written by Albert Hammond and Mike Hazlewood , is a song first released by Hammond , a British born singer - songwriter , in 1972 . Instrumental backing was provided by L.A. session musicians from the Wrecking Crew . The song is from his album , It Never Rains in Southern California . Hammond 's version peaked at number five on the U.S. Billboard Hot 100 that year .   In the UK the song is perhaps the quintessential example of a turntable hit : a song which , although very frequently played and requested on radio , never makes it into the charts . Through the 1970s , the record was re-issued at least five times by various labels but remained outside the UK top 40 , despite yet more airplay , and is still frequently to be heard on UK radio .   The song concerns the struggles of an actor who moves out to California to pursue a career in Hollywood but does not have any success and deteriorates in the process . In the chorus , Hammond sings : `` It never rains in California , but girl do n't they warn ya . It pours , man , it pours . ''   In 1989 , Hammond re-recorded the song for his Best of Me greatest hits compilation .     Contents  ( hide )   1 Chart performance   1.1 Albert Hammond version   1.2 Saori Minami version   1.3 Trent Summar &amp; the New Row Mob version     2 References   3 External links      Chart performance ( edit )   Albert Hammond version ( edit )     Chart ( 1972 -- 73 )   Peak position     Australia KMR   12     Canada RPM Top Singles       Canada RPM Adult Contemporary   38     Dutch Singles Chart   21     Japanese Oricon Singles Chart   11     Japanese Oricon International Chart       Norwegian VG - lista Singles Chart       New Zealand ( Listener )       Swiss Singles Chart   5     US Billboard Hot 100   5     US Billboard Easy Listening       US Cash Box Top 100       West German Singles Chart   9     Saori Minami version ( edit )     Chart ( 1973 )   Peak position     Japanese Oricon Singles Chart   77     Trent Summar &amp; the New Row Mob version ( edit )     Chart ( 2000 )   Peak position     U.S. Billboard Hot Country Songs   74     References ( edit )    Jump up ^ Stephen Thomas Erlewine . `` Hard to Find 45s on CD , Vol. 14 - Various Artists Songs , Reviews , Credits , Awards '' . AllMusic . Retrieved 2014 - 01 - 30 .   Jump up ^ Hartman , Kent ( 2012 ) . The Wrecking Crew . St. Martin 's Griffin . pp. 261 -- 263 . ISBN 978 - 1 - 250 - 03046 - 7 .   Jump up ^ `` Albert Hammond - It Never Rains In Southern California 1989 '' . YouTube . 2013 - 11 - 25 . Retrieved 2016 - 10 - 07 .   Jump up ^ `` Forum - 1970 ( ARIA Charts : Special Occasion Charts ) '' . Australian-charts.com . Archived from the original on 2016 - 10 - 20 . Retrieved 2017 - 05 - 07 .   Jump up ^ RPM 100 Singles , January 13 , 1973   Jump up ^ RPM Adult Contemporary , January 13 , 1973   Jump up ^ `` dutchcharts.nl Albert Hammond - It Never Rains In Southern California '' . dutchcharts.nl . MegaCharts . Retrieved January 8 , 2010 .   Jump up ^ `` List of number - one singles on the Japanese Oricon International Chart ( 1968 - 2000 ) '' . Oricon . Archived from the original on 2015 - 04 - 21 . Retrieved 2008 - 08 - 01 .   Jump up ^ `` norwegiancharts.com Albert Hammond - It Never Rains in Southern California '' . VG - lista . Retrieved 2008 - 08 - 01 .   Jump up ^ ( http://www.flavourofnz.co.nz/index.php?qpageID=search%20listener&amp;qartistid=1415#n_view_location Flavour of New Zealand , 29 January 1973   Jump up ^ `` Albert Hammond - It Never Rains In Southern California - hitparade.ch '' . Swiss Music Charts . Retrieved 1 January 2010 .   ^ Jump up to : `` allmusic ( ( ( Albert Hammond &gt; Charts &amp; Awards &gt; Billboard Singles ) ) ) '' . allmusic.com . Billboard Charts . Retrieved January 12 , 2010 .   Jump up ^ Günter Ehnert ( ed . ) : Hit Bilanz . Deutsche Chart Singles 1956 - 1980 . Hamburg : Taurus Press 1990 , p. 91   Jump up ^ `` Archived copy '' . Archived from the original on 2007 - 10 - 16 . Retrieved 2009 - 01 - 12 .    External links ( edit )    Lyrics of this song at LetsSingIt      ( hide )         Albert Hammond     Studio albums     It Never Rains in Southern California   The Free Electric Band   Albert Hammond       Other albums     It Never Rains in Southern California       Singles     `` Down by the River ''   `` It Never Rains in Southern California ''   `` The Free Electric Band ''   `` I 'm a Train ''   `` 99 Miles From L.A. ''   `` When I 'm Gone ''   `` Your World and My World ''       Songwriting     `` Be Tender with Me Baby ''   `` Do n't Turn Around ''   `` Gimme Dat Ding ''   `` I Do n't Wanna Live Without Your Love ''   `` I Do n't Wanna Lose You ''   `` I Need to Be in Love ''   `` It Is n't , It Was n't , It Ai n't Never Gonna Be ''   `` Just Walk Away ''   `` Little Arrows ''   `` Lonely Is the Night ''   `` Love Thing ''   `` Make Me an Island ''   `` Nothing 's Gonna Stop Us Now ''   `` One Moment in Time ''   `` Room in Your Heart ''   `` Tall , Dark Handsome Stranger ''   `` The Air That I Breathe ''   `` To All the Girls I 've Loved Before ''   `` Way of the World ''   `` When I Need You ''   `` When You Tell Me That You Love Me ''   `` Where Were You ''   `` You 're Such a Good Looking Woman ''       Languages     `` Cantaré , cantarás ''   `` Sensualité ''   `` Y Tú También Llorarás ''       Related articles     Albert Hammond , Jr .   John Bettis   Mike Hazlewood   Holly Knight   Carole Bayer Sager   The Family Dogg   Diane Warren      Retrieved from `` https://en.wikipedia.org/w/index.php?title=It_Never_Rains_in_Southern_California&amp;oldid=800820069 '' Categories :   1972 singles   2000 singles   Albert Hammond songs   Songs about California   Songs written by Albert Hammond   Songs written by Mike Hazlewood   Sonny &amp; Cher songs   Trent Summar &amp; the New Row Mob songs   Oricon International Singles Chart number - one singles   1972 songs   Hidden categories :   Articles with hAudio microformats           Talk                                           Contents                   About Wikipedia                                        Languages    </t>
    </r>
    <r>
      <rPr>
        <sz val="11"/>
        <color rgb="FF000000"/>
        <rFont val="Noto Sans CJK SC"/>
        <family val="2"/>
      </rPr>
      <t xml:space="preserve">日本 語   </t>
    </r>
    <r>
      <rPr>
        <sz val="11"/>
        <color rgb="FF000000"/>
        <rFont val="Calibri"/>
        <family val="0"/>
        <charset val="1"/>
      </rPr>
      <t xml:space="preserve">Norsk   Polski   Svenska   Edit links   This page was last edited on 15 September 2017 , at 21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</si>
  <si>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the song it never rains in southern california</t>
  </si>
  <si>
    <t xml:space="preserve"> `` It Never Rains in Southern California '' , written by Albert Hammond and Mike Hazlewood , is a song first released by Hammond , a British born singer - songwriter , in 1972 . Instrumental backing was provided by L.A. session musicians from the Wrecking Crew . The song is from his album , It Never Rains in Southern California . Hammond 's version peaked at number five on the U.S. Billboard Hot 100 that year . </t>
  </si>
  <si>
    <t xml:space="preserve">The World 's 50 Best restaurants - wikipedia  The World 's 50 Best restaurants   The World 's 50 Best Restaurants is a list produced by the British magazine Restaurant , based on a poll of international chefs , restaurateurs , gourmands and restaurant critics . In addition to the main ranking , the Chef 's Choice list is based on votes from the fifty head chefs from the restaurants on the previous year 's list . The top restaurants are often forerunners of molecular gastronomy . Most of the restaurants serve haute cuisine , which is characterized by the meticulous preparation and careful presentation of food .   The first place on the list has been dominated by elBulli and Noma . In 2002 and 2006 -- 2009 , elBulli was determined to be the world 's best restaurant , winning more times than any other restaurant . In 2010 , Noma received the first place award . It was maintained in 2011 and again in 2012 . After defending its title for the third time , chef René Redzepi said that 1,204 customers were wait - listed for the evening , compared to 14 customers from two years before . However , in 2013 El Celler De Can Roca took over the first position before Noma regained it in 2014 . Eleven Madison Park in New York City is the current top restaurant , the first American restaurant to top the list since Thomas Keller 's The French Laundry in 2004 .     Contents  ( hide )   1 History   2 Best restaurants   3 Chef 's Choice restaurants   4 Other 2012 awards   5 Criticism   6 See also   7 References   8 External links      History ( edit )   The list originated as a one - off stunt by the staff of Restaurant magazine , who came up with the idea at the Shaston Arms public house in London 's Carnaby Street . It was more successful than they expected and soon became established as a major event in the culinary world .   The World 's 50 Best Restaurants list is compiled from the votes of the `` World 's 50 Best Restaurants Academy '' , a group of 27 panels established to make the ranking . The world is divided into regions , with a chairperson in each region appointed for their knowledge of their part of the restaurant world . These chairs each selected a voting panel of 35 members , who cast a total of 5,859 votes .   There is no list of nominees ; each member of the international voting panel votes for their own personal choice of seven restaurants . To ensure that there are winners from many regions , judges are encouraged to vote for up to three restaurants in their own region , with the rest cast outside their home region . No voting member is allowed to vote for their own restaurant , or one in which they have an economic interest , and voters must have eaten in the restaurants they nominate within the past 18 months -- although it is not possible to ensure that they have .   The criteria are different from those of the Michelin Guide or other guides , which has allowed restaurants like Momofuku Ssam Bar , Asador Etxebarri and St. John to hold their own among the molecular or traditional cuisine of restaurants such as The Fat Duck , Les Ambassadeurs or The French Laundry .   Best restaurants ( edit )  elBulli Noma 's storefront    World 's Best Restaurant     Year   1st   2nd   3rd     2002   elBulli   Gordon Ramsay   The French Laundry     2003   The French Laundry   elBulli   Le Louis XV       The French Laundry   The Fat Duck   elBulli     2005   The Fat Duck   elBulli   The French Laundry     2006   elBulli   The Fat Duck   Pierre Gagnaire     2007   elBulli   The Fat Duck   Pierre Gagnaire     2008   elBulli   The Fat Duck   Pierre Gagnaire     2009   elBulli   The Fat Duck   Noma       Noma   elBulli   The Fat Duck     2011   Noma   El Celler de Can Roca   Mugaritz     2012   Noma   El Celler de Can Roca   Mugaritz     2013   El Celler de Can Roca   Noma   Osteria Francescana     2014   Noma   El Celler de Can Roca   Osteria Francescana     2015   El Celler de Can Roca   Osteria Francescana   Noma     2016   Osteria Francescana   El Celler de Can Roca   Eleven Madison Park     2017   Eleven Madison Park   Osteria Francescana   El Celler de Can Roca     Chef 's Choice restaurants ( edit )    2004 : Tetsuya 's , Sydney ( 19 )   2005 : elBulli , Roses , Catalonia , Spain ( 2 )   2006 : Pierre Gagnaire , Paris , France ( 3 )   2007 : The Fat Duck , Bray , Berkshire , England ( 2 )   2008 : Mugaritz , Errenteria , Gipuzkoa , Spain ( 4 )   2009 : Noma , Copenhagen , Denmark ( 3 )   2010 : The Fat Duck , Bray , Berkshire , England ( 3 )   2011 : Osteria Francescana , Modena , Italy ( 4 )   2012 : Mugaritz , Errenteria , Gipuzkoa , Spain ( 3 )   2013 : Alinea , Chicago , United States ( 15 )   2014 : D.O.M. , São Paulo , Brazil ( 7 )   2015 : Eleven Madison Park , New York City , United States ( 5 )   2016 : El Celler de Can Roca , Girona , Spain ( 2 )   2017 : Central Restaurante , Lima , Peru    Other 2012 awards ( edit )    La Grenouillere , France -- `` One to Watch '' award . Overall it placed at # 81 .   Elena Arzak from the Arzak restaurant , Spain -- Veuve Clicquot World 's Best Female Chef .   Thomas Keller from the French Laundry , US -- S. Pellegrino Lifetime Achievement Award .    Criticism ( edit )   The World 's 50 Best Restaurants list has been criticised ; writing in The Guardian in 2003 Matthew Fort described the list as `` humbug '' . The French food writer and critic François - Régis Gaudry ( fr ) says the ranking lacks reliability , while the Spanish chef Martín Berasategui spoke of `` rigged '' ranking , manipulated by an `` important international food company '' in order to `` cause damage '' to the Michelin guide . The list has also been criticised as lacking female representation and being overly Eurocentric .   See also ( edit )    Companies portal   Food portal     List of Michelin 3 - star restaurants   Lists of restaurants   La Liste    References ( edit )    Jump up ^ `` Spain 's El Bulli named best restaurant in world '' . The Economic Times . India . 21 April 2009 . Retrieved 30 April 2012 .   Jump up ^ `` Archived copy '' . Archived from the original on 21 September 2014 . Retrieved 6 October 2014 .   Jump up ^ Richard Vines ( 30 April 2012 ) . `` Noma Keeps World 's Best Restaurant Title , Fat Duck Sinks '' . Bloomberg . Retrieved 30 April 2012 .   Jump up ^ `` Eleven Madison Park Tops List of World 's 50 Best Restaurants '' . New York Times . Retrieved 5 April 2017 .   Jump up ^ `` These Are the World 's 50 Best Restaurants '' . Bloomberg.com . Retrieved 5 April 2017 .   ^ Jump up to : Lauren Collins ( 2 November 2015 ) , `` Who 's to Judge ? -- How the World 's 50 Best Restaurants are chosen '' , The New Yorker , retrieved 10 April 2017   Jump up ^ `` About The Academy '' . Retrieved 6 April 2017 .   Jump up ^ Restaurant , Osteria Francescana Archived 4 February 2013 at Archive.is 2011   ^ Jump up to : `` Noma Keeps World 's Best Restaurant Title as Fat Duck Slumps '' . San Francisco Chronicle . Retrieved 1 May 2012 .   Jump up ^ Fort , Matthew ( 2003 - 04 - 29 ) . `` Questionable taste '' . The Guardian . London . Retrieved 2008 - 04 - 02 .   Jump up ^ `` Que faut - il penser des World 's 50 Best Restaurants 2013 ? '' . Lexpress.fr .   Jump up ^ `` '' Restaurant ' es un montaje `` '' . El País ( in Spanish ) . 2 May 2012 . Retrieved 6 April 2017 .   Jump up ^ Bull , Marian . `` The World 's 50 Best Restaurants List Is Also a Bad Bucket List '' . GQ . Retrieved 9 April 2017 .    External links ( edit )    Official website   2017 list of 50 best restaurants      hide         Lists of restaurants     By city     Barcelona   Hong Kong   Lagos   Las Vegas Valley   London   New York City   Paris   Portland , Oregon   Singapore   Tokyo   Vienna       By company     Burger King franchises   KFC franchises   McDonald 's restaurants       By country     Restaurant districts and streets   Australia   Pizzerias in Australia     Canadian chains   Canadian pizza chains   Fast - food chains in Canada     China   Hungary   Iceland   India chains   Ireland chains   Israel   Mexico   Philippine chains   Scotland   South Africa   Sweden   Switzerland   Wales   United States chains   Pizza chains of the U.S.     U.S. restaurant districts and streets   Hawaii         By cuisine     Bakery cafés   Barbecue restaurants   Coffeehouse chains   Doughnut shops   Fast - food chicken restaurants   Fish and chip restaurants   Frozen yogurt companies   Hamburger restaurants   Hot dog restaurants   Ice cream parlor chains   Noodle restaurants   Ramen shops     Oyster bars   Pancake houses   Pizza chains   Pizza franchises     Seafood restaurants   Steakhouses   Submarine sandwich restaurants   Vegetarian restaurants       By ethnicity     Chinese restaurants   French restaurants   Greek restaurants   Italian restaurants   Japanese restaurants   Mexican restaurants   Russian restaurants   Thai restaurants       By owner     Owned or operated by Gordon Ramsay       By rating     Michelin 3 - star restaurants   Michelin starred restaurants in Chicago   Michelin starred restaurants in Hong Kong and Macau   Michelin starred restaurants in Ireland   Michelin starred restaurants in the Netherlands   Michelin starred restaurants in New York City   Michelin starred restaurants in San Francisco   Michelin starred restaurants in Scotland   Michelin starred restaurants in Singapore   Michelin starred restaurants in the United Kingdom   Michelin starred restaurants in Washington , D.C.   The World 's 50 Best Restaurants       By type     Buffet restaurants   Cafeterias   Casual dining restaurant chains   Delicatessens   Diners   Dinner theaters   Drive - in restaurants   Floating restaurants   Kosher restaurants   Restaurant chains   Fast food restaurant chains   Defunct fast - food restaurant chains     Revolving restaurants   Supper clubs   Sushi restaurants   Theme restaurants       See also     List of restaurateurs   List of American restaurateurs        Retrieved from `` https://en.wikipedia.org/w/index.php?title=The_World%27s_50_Best_Restaurants&amp;oldid=845609402 '' Categories :   Restaurant guides   Food and drink awards   Hidden categories :   Webarchive template archiveis links   CS1 Spanish - language sources ( es )   Use British English from May 2012   Use dmy dates from May 2012   Interlanguage link template link number   Articles with specifically marked weasel - worded phrases from August 2017           Talk                                           Contents                   About Wikipedia                                           Català   Deutsch   Italiano   עברית   Polski   Português   Русский   Українська   Edit links   This page was last edited on 12 June 2018 , at 23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</si>
  <si>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list of the best restaurants in the world</t>
  </si>
  <si>
    <t xml:space="preserve">   World 's Best Restaurant     Year   1st   2nd   3rd     2002   elBulli   Gordon Ramsay   The French Laundry     2003   The French Laundry   elBulli   Le Louis XV       The French Laundry   The Fat Duck   elBulli     2005   The Fat Duck   elBulli   The French Laundry     2006   elBulli   The Fat Duck   Pierre Gagnaire     2007   elBulli   The Fat Duck   Pierre Gagnaire     2008   elBulli   The Fat Duck   Pierre Gagnaire     2009   elBulli   The Fat Duck   Noma       Noma   elBulli   The Fat Duck     2011   Noma   El Celler de Can Roca   Mugaritz     2012   Noma   El Celler de Can Roca   Mugaritz     2013   El Celler de Can Roca   Noma   Osteria Francescana     2014   Noma   El Celler de Can Roca   Osteria Francescana     2015   El Celler de Can Roca   Osteria Francescana   Noma     2016   Osteria Francescana   El Celler de Can Roca   Eleven Madison Park     2017   Eleven Madison Park   Osteria Francescana   El Celler de Can Roca   </t>
  </si>
  <si>
    <r>
      <rPr>
        <sz val="11"/>
        <color rgb="FF000000"/>
        <rFont val="Calibri"/>
        <family val="0"/>
        <charset val="1"/>
      </rPr>
      <t xml:space="preserve">Old Kingdom of Egypt - wikipedia  Old Kingdom of Egypt  `` Old Kingdom '' redirects here . For other uses , see Old Kingdom ( disambiguation ) .    Old Kingdom of Egypt     c. 2686 BC -- c. 2181 BC     During the Old Kingdom of Egypt ( circa 2686 BC -- circa 2181 BC ) , Egypt consisted of the Nile River region south to Elephantine , as well as Sinai and the oases in the western desert .     Capital   Memphis     Common languages   Ancient Egyptian     Religion   Ancient Egyptian religion     Government   Divine , Absolute Monarchy     Pharaoh           c. 2686 -- c. 2649 BC   Djoser ( first )     c. 2184 -- c. 2181 BC   Last king depends on the scholar , Neitiqerty Siptah ( 6th Dynasty ) or Neferirkare ( 7th / 8th Dynasty )            Preceded by   Succeeded by          Early Dynastic Period of Egypt         First Intermediate Period               Part of a series on the     History of Egypt            Prehistoric Egypt   pre -- 3150 BC           Ancient Egypt     Early Dynastic Period   3150 -- 2686 BC     Old Kingdom   2686 -- 2181 BC     1st Intermediate Period   2181 -- 2055 BC     Middle Kingdom   2055 -- 1650 BC     2nd Intermediate Period   1650 -- 1550 BC     New Kingdom   1550 -- 1069 BC     3rd Intermediate Period   1069 -- 744 BC     Kushite Egypt   744 -- 656 BC     Twenty - sixth Dynasty of Egypt   664 -- 525 BC           Classical antiquity     Achaemenid Egypt   525 -- 404 BC     Twenty - eighth Dynasty of Egypt   404 -- 398 BC     Twenty - ninth Dynasty of Egypt   398 -- 380 BC     Thirtieth Dynasty of Egypt   380 -- 343 BC     Achaemenid Egypt   343 -- 332 BC     Macedonian and Ptolemaic Egypt   332 -- 30 BC     Roman and Byzantine Egypt   30 BC -- 641 AD     Sasanian Egypt   619 -- 629           Middle Ages     Rashidun Egypt   641 -- 661     Umayyad Egypt   661 -- 750     Abbasid Egypt   750 -- 935     Tulunid Egypt   868 -- 905     Ikhshidid Egypt   935 -- 969     Fatimid Egypt   969 -- 1171     Ayyubid Egypt   1171 -- 1250     Mamluk Egypt   1250 -- 1517           Early modern     Ottoman Egypt   1517 -- 1867     French occupation   1798 -- 1801     Egypt under Muhammad Ali   1805 -- 1882     Khedivate of Egypt   1867 -- 1914           Modern Egypt     British occupation   1882 -- 1922     Sultanate of Egypt   1914 -- 1922     Kingdom of Egypt   1922 -- 1953     Republic   1953 -- present        Egypt portal                 The Old Kingdom , in ancient Egyptian history , is the period in the third millennium ( c. 2686 -- 2181 BC ) also known as the ' Age of the Pyramids ' or ' Age of the Pyramid Builders ' as it includes the great 4th Dynasty when King Sneferu perfected the art of pyramid building and the pyramids of Giza were constructed under the kings Khufu , Khafre and Menkaure . Egypt attained its first continuous peak of civilization -- the first of three so - called `` Kingdom '' periods ( followed by the Middle Kingdom and New Kingdom ) which mark the high points of civilization in the lower Nile Valley .   The term itself was coined by 18th - century historians , and the distinction between the Old Kingdom and the Early Dynastic Period is not one which would have been recognized by Ancient Egyptians . Not only was the last king of the Early Dynastic Period related to the first two kings of the Old Kingdom , but the ' capital ' , the royal residence , remained at Ineb - Hedg , the Ancient Egyptian name for Memphis . The basic justification for a separation between the two periods is the revolutionary change in architecture accompanied by the effects on Egyptian society and economy of large - scale building projects .   The Old Kingdom is most commonly regarded as the period from the Third Dynasty through to the Sixth Dynasty ( 2686 -- 2181 BC ) . The 4th -- 6th Dynasties of Egypt are scarce , and historians regard the history of the era as literally ' written in stone ' and largely architectural in that it is through the monuments and their inscriptions that scholars have been able to construct a history . Egyptologists also include the Memphite Seventh and Eighth Dynasties in the Old Kingdom as a continuation of the administration centralized at Memphis . While the Old Kingdom was a period of internal security and prosperity , it was followed by a period of disunity and relative cultural decline referred to by Egyptologists as the First Intermediate Period . During the Old Kingdom , the king of Egypt ( not called the Pharaoh until the New Kingdom ) became a living god who ruled absolutely and could demand the services and wealth of his subjects .   Under King Djoser , the first king of the Third Dynasty of the Old Kingdom , the royal capital of Egypt was moved to Memphis , where Djoser established his court . A new era of building was initiated at Saqqara under his reign . King Djoser 's architect , Imhotep , is credited with the development of building with stone and with the conception of the new architectural form -- the step pyramid . The Old Kingdom is perhaps best known for the large number of pyramids constructed at this time as burial places for Egypt 's kings . For this reason , the Old Kingdom is frequently referred to as `` the Age of the Pyramids '' .   Contents    1 History   1.1 Rise of the Old Kingdom   1.2 Height of the Old Kingdom   1.3 Fifth Dynasty   1.4 Decline into the First Intermediate Period     2 Culture   3 References   4 Further reading   5 External links    History ( edit )   Rise of the Old Kingdom ( edit )  Main article : Third Dynasty of Egypt The Pyramid of Djoser at Saqqara .  The first Pharaoh of the Old Kingdom was Djoser ( sometime between 2691 and 2625 BC ) of the third dynasty , who ordered the construction of a pyramid ( the Step Pyramid ) in Memphis ' necropolis , Saqqara . An important person during the reign of Djoser was his vizier , Imhotep .  Temple of Djoser at Saqqara Head of a King , ca . 2650 - 2600 BC , Brooklyn Museum ; The earliest representations of Egyptian Kings are on a small scale . From the 3rd dynasty , statues were made showing the ruler life - size ; this head wearing the crown of Upper Egypt even surpasses human scale .  It was in this era that formerly independent ancient Egyptian states became known as nomes , under the rule of the Pharaoh . The former rulers were forced to assume the role of governors or otherwise work in tax collection . Egyptians in this era worshipped their Pharaoh as a god , believing that he ensured the annual flooding of the Nile that was necessary for their crops . Egyptian views on the nature of time during this period held that the universe worked in cycles , and the Pharaoh on earth worked to ensure the stability of those cycles . They also perceived themselves as a specially selected people .   Height of the Old Kingdom ( edit )  Main article : Fourth Dynasty of Egypt The Great Sphinx of Giza in front of the Great Pyramid of Giza .  The Old Kingdom and its royal power reached a zenith under the Fourth Dynasty ( 2613 -- 2494 BC ) , which began with Sneferu ( 2613 -- 2589 BC ) . After Djoser , Pharaoh Snefru was the next great pyramid builder . Snefru commissioned the building of not one , but three pyramids . The first is called the Meidum pyramid , named for its location in Egypt . Snefru abandoned it after the outside casing fell off of the pyramid . The Meidum pyramid was the first to have an above - ground burial chamber . Using more stones than any other Pharaoh , he built the three pyramids : a now collapsed pyramid in Meidum , the Bent Pyramid at Dahshur , and the Red Pyramid , at North Dahshur . However , the full development of the pyramid style of building was reached not at Saqqara , but during the building of ' The Great Pyramids ' at Giza .   Sneferu was succeeded by his son , Khufu ( 2589 -- 2566 BC ) , who built the Great Pyramid of Giza . After Khufu 's death , his sons Djedefra ( 2566 -- 2558 BC ) and Khafra ( 2558 -- 2532 BC ) may have quarrelled . The latter built the second pyramid and ( in traditional thinking ) the Sphinx in Giza . Recent reexamination of evidence has led Egyptologist Vassil Dobrev to propose that the Sphinx had been built by Djedefra as a monument to his father Khufu . Alternatively , the Sphinx has been proposed to be the work of Khafra and Khufu himself .   There were military expeditions into Canaan and Nubia , with Egyptian influence reaching up the Nile into what is today the Sudan . The later kings of the Fourth Dynasty were king Menkaure ( 2532 -- 2504 BC ) , who built the smallest pyramid in Giza , Shepseskaf ( 2504 -- 2498 BC ) and , perhaps , Djedefptah ( 2498 -- 2496 BC ) .  Khufu , the builder of the Great Pyramid at Giza .  Fifth Dynasty ( edit )  Main article : Fifth Dynasty of Egypt Late Period statue of Imhotep , Musée du Louvre .  The Fifth Dynasty ( 2494 -- 2345 BC ) began with Userkaf ( 2494 -- 2487 BC ) and was marked by the growing importance of the cult of sun god Ra . Consequently , fewer efforts were devoted to the construction of pyramid complexes than during the 4th dynasty and more to the construction of sun temples in Abusir . Userkaf was succeeded by his son Sahure ( 2487 -- 2475 BC ) who commanded an expedition to Punt . Sahure was in turn succeeded by Neferirkare Kakai ( 2475 -- 2455 BC ) who was Sahure 's son . Neferirkare introduced the prenomen in the royal titulary . He was followed by two short - lived kings , his son Neferefre ( 2455 -- 2453 BC ) and Shepseskare , the latter of uncertain parentage . Shepseskare may have been deposed by Neferefre 's brother Nyuserre Ini ( 2445 -- 2421 BC ) , a long lived pharaoh who built extensively in Abusir and re-started royal activity in Giza .   The last Pharaohs of the dynasty were Menkauhor Kaiu ( 2421 -- 2414 BC ) , Djedkare Isesi ( 2414 -- 2375 BC ) and Unas ( 2375 -- 2345 ) , the earliest ruler to have the pyramid texts inscribed in his pyramid .   Egypt 's expanding interests in trade goods such as ebony , incense such as myrrh and frankincense , gold , copper and other useful metals inspired the ancient Egyptians to build suitable ships for navigation of the open sea . They traded with Lebanon for cedar and travelled the length of the Red Sea to the Kingdom of Punt -- possibly modern day Somalia -- for ebony , ivory and aromatic resins . Ship builders of that era did not use pegs ( treenails ) or metal fasteners , but relied on rope to keep their ships assembled . Planks and the superstructure were tightly tied and bound together .   Decline into the first Intermediate period ( edit )  Main article : Sixth Dynasty of Egypt  During the sixth dynasty ( 2345 -- 2181 BC ) the power of pharaoh gradually weakened in favor of powerful nomarchs ( regional governors ) . These no longer belonged to the royal family and their charge became hereditary , thus creating local dynasties largely independent from the central authority of the Pharaoh . However , Nile flood control was still the subject of very large works , including especially the canal to Lake Moeris around 2300 BC , which was likely also the source of water to the Giza pyramid complex centuries earlier .   Internal disorders set in during the incredibly long reign of Pepi II ( 2278 -- 2184 BC ) towards the end of the dynasty . His death , certainly well past that of his intended heirs , might have created succession struggles . The country slipped into civil wars mere decades after the close of Pepi II 's reign .   The final blow was the 22nd century BC drought in the region that resulted in a drastic drop in precipitation . For at least some years between 2200 and 2150 BC , this prevented the normal flooding of the Nile .   Whatever its cause , the collapse of the Old Kingdom was followed by decades of famine and strife . An important inscription on the tomb of Ankhtifi , a nomarch during the early First Intermediate Period , describes the pitiful state of the country when famine stalked the land .   Culture ( edit )   Egypt 's Old Kingdom ( Dynasties 3 -- 6 , ca . 2649 -- 2150 BC ) was one of the most dynamic periods in the development of Egyptian art . During this period , artists learned to express their culture 's worldview , creating for the first time images and forms that endured for generations . Architects and masons mastered the techniques necessary to build monumental structures in stone .   Sculptors created the earliest portraits of individuals and the first lifesize statues in wood , copper , and stone . They perfected the art of carving intricate relief decoration and , through keen observation of the natural world , produced detailed images of animals , plants , and even landscapes , recording the essential elements of their world for eternity in scenes painted and carved on the walls of temples and tombs .   These images and structures had two principal functions : to ensure an ordered existence and to defeat death by preserving life into the next world . To these ends , over a period of time , Egyptian artists adopted a limited repertoire of standard types and established a formal artistic canon that would define Egyptian art for more than 3,000 years , while remaining flexible enough to allow for subtle variation and innovation . Although much of their artistic effort was centered on preserving life after death , Egyptians also surrounded themselves with objects to enhance their lives in this world , producing elegant jewelry , finely carved and inlaid furniture , and cosmetic vessels and implements made from a wide range of materials .   References ( edit )    ^ Jump up to : `` Old Kingdom of Egypt '' . Ancient History Encyclopedia . Retrieved 2017 - 12 - 04 .   Jump up ^ Malek , Jaromir. 2003 . `` The Old Kingdom ( c. 2686 -- 2160 BCE ) '' . In The Oxford History of Ancient Egypt , edited by Ian Shaw . Oxford and New York : Oxford University Press . ISBN 978 - 0192804587 , p. 83   Jump up ^ Carl Roebuck , The World of Ancient Times , pp. 55 &amp; 60 .   ^ Jump up to : Carl Roebuck , The World of Ancient Times , p. 56 .   Jump up ^ Bothmer , Bernard ( 1974 ) . Brief Guide to the Department of Egyptian and Classical Art . Brooklyn , NY : Brooklyn Museum . p. 22 . access - date = requires url = ( help )   Jump up ^ Herlin , Susan J. ( 2003 ) . `` Ancient African Civilizations to ca . 1500 : Pharaonic Egypt to Ca . 800 BC '' . p. 27 . Archived from the original on August 23 , 2003 . Retrieved 23 January 2017 .   ^ Jump up to : `` Ancient Egypt - the Archaic Period and Old Kingdom '' . www.penfield.edu . Retrieved 2017 - 12 - 04 .   Jump up ^ Carl Roebuck ( 1984 ) , The World of Ancient Times , p. 57 .   Jump up ^ Vassil Dobrev , French Institute , Cairo , link 1 , link 2   Jump up ^ p. 5 , ' The Collins Encyclopedia of Military History ' ( 4th edition , 1993 ) , Dupuy &amp; Dupuy .   Jump up ^ Miroslav Verner : Archaeological Remarks on the 4th and 5th Dynasty Chronology , Archiv Orientální , Volume 69 : 2001   Jump up ^ Jean - Daniel Stanley ; et al. ( 2003 ) . `` Nile flow failure at the end of the Old Kingdom , Egypt : Strontium isotopic and petrologic evidence '' . Geoarchaeology. 18 ( 3 ) : 395 -- 402 . doi : 10.1002 / gea. 10065 .   ^ Jump up to : `` Select Egypt '' . selectegypt.com .    Further reading ( edit )    Brewer , Douglas J. Ancient Egypt : Foundations of a Civilization . Harlow , UK : Pearson , 2005 .   Callender , Gae . Egypt In the Old Kingdom : An Introduction . South Melbourne : Longman , 1998 .   Kanawati , Naguib . Governmental Reforms In Old Kingdom Egypt . Warminster : Aris &amp; Phillips , , 1980 .   Kanawati , Naguib. , and Alexandra Woods . Artists of the Old Kingdom : Techniques and Achievements . 1st English ed . Egypt : Supreme Council of Antiquities Press , 2009 .   Lehner , Mark . The Complete Pyramids . London : Thames and Hudson , 1997 .   Málek , Jaromír. , and Werner Forman . In the Shadow of the Pyramids : Ancient Egypt During the Old Kingdom . Norman : University of Oklahoma Press , 1986 .   McFarlane , A. , and Anna - Latifa Mourad . Behind the Scenes : Daily Life In Old Kingdom Egypt . North Ryde , N.S.W. : Australian Centre for Egyptology , 2012 .   Metropolitan Museum of Art . Egyptian Art in the Age of the Pyramids . New York : Metropolitan Museum of Art , 1999 .   Papazian , Hratch . Domain of Pharaoh : The Structure and Components of the Economy of Old Kingdom Egypt . Hildesheim : Gerstenberg , 2012 .   Ryholt , Kim S.B. The Political Situation in Egypt during the Second Intermediate Period c. 1800 -- 1550 BC . Copenhagen : Museum Tusculanum , 1997 .   Sowada , K. , and Peter Grave . Egypt In the Eastern Mediterranean During the Old Kingdom : An Archaeological Perspective . Fribourg : Academic Press , 2009 .   Strudwick , Nigel . The Administration of Egypt In the Old Kingdom : The Highest Titles and Their Holders . London : KPI , 1985 .   Warden , Leslie Anne . Pottery and Economy In Old Kingdom Egypt . Boston : Brill , 2013 .   Wilkinson , Toby . Early Dynastic Egypt . London : Routledge , 2001 .    External links ( edit )    The Fall of the Egyptian Old Kingdom from BBC History   Middle East on The Matrix : Egypt , The Old Kingdom -- Photographs of many of the historic sites dating from the Old Kingdom   Old Kingdom of Egypt - Aldokkan      Preceded by Early Dynastic Period   Time Periods of Egypt 2686 -- 2181 BCE   Succeeded by Middle Kingdom               Ancient Egypt topics       Outline   Index   Major topics   Glossary of artifacts         Agriculture   Architecture ( Egyptian Revival architecture )   Art   Astronomy   Chronology   Cities ( list )   Clothing   Cuisine   Dynasties   Funerary practices   Geography   Great Royal Wives   History   Language   Literature   Mathematics   Medicine   Military   Music   Mythology   People   Pharaohs ( list )   Philosophy   Religion   Sites   Technology   Trade   Writing           Egyptology   Egyptologists   Museums         Book     Ancient Egypt portal   WikiProject   Commons      Retrieved from `` https://en.wikipedia.org/w/index.php?title=Old_Kingdom_of_Egypt&amp;oldid=853175969 '' Categories :   Old Kingdom of Egypt   Dynasties of ancient Egypt   27th century BC   22nd century BC   3rd millennium BC in Egypt   Hidden categories :   Pages using citations with accessdate and no URL   Pages using infobox country with unknown parameters           Talk                                           Contents                   About Wikipedia                                                 Afrikaans   Alemannisch     Asturianu   Azərbaycanca   تۆرکجه   বাংলা   Беларуская   Български   Brezhoneg   Català   Čeština   Cymraeg   Deutsch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Hrvatski   Bahasa Indonesia   Íslenska   Italiano   ქართული   Latina   Lëtzebuergesch   Lietuvių   Magyar   Македонски   مصرى   Nederlands   </t>
    </r>
    <r>
      <rPr>
        <sz val="11"/>
        <color rgb="FF000000"/>
        <rFont val="Noto Sans CJK SC"/>
        <family val="2"/>
      </rPr>
      <t xml:space="preserve">日本 語   </t>
    </r>
    <r>
      <rPr>
        <sz val="11"/>
        <color rgb="FF000000"/>
        <rFont val="Calibri"/>
        <family val="0"/>
        <charset val="1"/>
      </rPr>
      <t xml:space="preserve">Norsk   Occitan   Polski   Português   Română   Русский   Simple English   Slovenčina   Slovenščina   Српски / srpski   Srpskohrvatski / српскохрватски   Suomi   Svenska   Tagalog   Türkçe   Українська   Tiếng Việt   </t>
    </r>
    <r>
      <rPr>
        <sz val="11"/>
        <color rgb="FF000000"/>
        <rFont val="Noto Sans CJK SC"/>
        <family val="2"/>
      </rPr>
      <t xml:space="preserve">中文  </t>
    </r>
    <r>
      <rPr>
        <sz val="11"/>
        <color rgb="FF000000"/>
        <rFont val="Calibri"/>
        <family val="0"/>
        <charset val="1"/>
      </rPr>
      <t xml:space="preserve">44 more  Edit links   This page was last edited on 2 August 2018 , at 22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</si>
  <si>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long did the old kingdom period of egyptian civilization last</t>
  </si>
  <si>
    <t xml:space="preserve"> The Old Kingdom , in ancient Egyptian history , is the period in the third millennium ( c. 2686 -- 2181 BC ) also known as the ' Age of the Pyramids ' or ' Age of the Pyramid Builders ' as it includes the great 4th Dynasty when King Sneferu perfected the art of pyramid building and the pyramids of Giza were constructed under the kings Khufu , Khafre and Menkaure . Egypt attained its first continuous peak of civilization -- the first of three so - called `` Kingdom '' periods ( followed by the Middle Kingdom and New Kingdom ) which mark the high points of civilization in the lower Nile Valley . </t>
  </si>
  <si>
    <r>
      <rPr>
        <sz val="11"/>
        <color rgb="FF000000"/>
        <rFont val="Calibri"/>
        <family val="0"/>
        <charset val="1"/>
      </rPr>
      <t xml:space="preserve">MS Queen Elizabeth - wikipedia  MS Queen Elizabeth  Jump to : navigation , search Not to be confused with RMS Queen Elizabeth or Queen Elizabeth 2 .    Queen Elizabeth in Tallinn , 10 June 2011     History         Name :   Queen Elizabeth     Owner :   Carnival Corporation &amp; plc     Operator :   Cunard Line     Port of registry :     Southampton , U.K. ( 2010 -- 2011 )   Hamilton , Bermuda ( 2011 -- present )       Ordered :   October 2007     Builder :   Fincantieri Monfalcone Shipyard , Italy     Cost :   UK £ 350 million ( approx . ) ( US $560 million )     Yard number :   6187     Laid down :   2 July 2009     Launched :   5 January 2010     Christened :   11 October 2010     Completed :   October 2010     Maiden voyage :   12 October 2010     In service :   October 2010     Identification :     Callsign ZCEF2   IMO number : 9477438   MMSI number : 310625000       Status :   In service     General characteristics     Class and type :   Vista Class cruise ship     Tonnage :   90,901 GT     Length :   294 m ( 965 ft )     Beam :   32.3 m ( 106 ft )     Draught :   8 m ( 26 ft )     Decks :     16 total   12 accessible to passengers       Installed power :     4 × MaK 12VM43C   2 × MaK 8M43C   64,000 kW ( combined )       Propulsion :     Diesel - electric   Two ABB Azipods ( 2 × 17.6 MW )   Three ABB bow thrusters ( 3 × 2,200 kW )       Speed :   23.7 knots ( 43.9 km / h ; 27.3 mph )     Capacity :   2,092 passengers lower beds , 2,547 maximum passengers    Queen Elizabeth outbound from Southampton on her maiden voyage , 2010 MS Queen Elizabeth in Cádiz , 2010 Queen Elizabeth in Tallinn , 2012 Queen Elizabeth in Kobe , 2014 Queen Elizabeth in Kobe , 2014  MS Queen Elizabeth ( QE ) is a cruise ship of the Vista class operated by the Cunard Line . The design is modified from that of previous ships of that class , and slightly larger than Queen Victoria , at 92,000 GT , largely due to a more vertical stern . The ship is able to carry up to 2092 passengers .   The ship 's name was announced by Cunard on 10 October 2007 . Since the retirement of Queen Elizabeth 2 in 2008 the company has operated three vessels . The naming of the ship as Queen Elizabeth brings about a situation similar to that between 1940 and 1948 , when Cunard 's original Queen Elizabeth was in service at the same time as the Royal Navy battleship HMS Queen Elizabeth . The Royal Navy 's aircraft carrier HMS Queen Elizabeth went to sea the summer of 2017 , six and a half years after the cruise ship entered service .     Contents  ( hide )   1 Design   1.1 Exterior   1.2 Interior     2 Launch   3 Service history   3.1 Cunard Royal Rendezvous   3.2 Special Voyages   3.2. 1 QE2 50th Anniversary Celebration   3.2. 2 Australia 2019       4 References   4.1 Notes   4.2 Bibliography     5 External links      Design ( edit )   Exterior ( edit )   Queen Elizabeth is almost identical in design to Queen Victoria , although because of the steeper stern , her introduction into service the passenger capacity was slightly higher with up to 2,058 compared to Queen Victoria 's 2,014 .   Also unlike many previous Cunard Queens , Queen Elizabeth is not a true ocean liner as she does not have the heavy plating throughout the hull nor the propulsion system of a dedicated transatlantic liner . However the bow was constructed with heavier plating to cope with the Transatlantic run , and the ship has a high freeboard .   Interior ( edit )   Although having an almost identical interior arrangement to Queen Victoria , the decor is very different . The ship is a tribute to the two previous Queen Elizabeth - named ships : the original Queen Elizabeth and Queen Elizabeth 2 . She also evokes the era of the 1930s , in which Cunard 's first Queen Elizabeth was launched , with many art deco interior touches . The ship also features a Britannia Club section of the main restaurant , which is a feature popular on Queen Mary 2 , but not available on Queen Victoria . This service allows passengers in the Britannia staterooms to have single seating dining arrangements , without having to upgrade to the more expensive Grills classes . The sliding roof over the Winter Garden featured on Queen Victoria is replaced with a simple glass roof ( the space being renamed The Garden Lounge ) .   Launch ( edit )   Following the ship 's construction in Italy from 2007 to 2010 , Cunard Line officially confirmed that Her Majesty Queen Elizabeth II would name Cunard 's new ship . The ceremony was held in Southampton on Monday 11 October 2010 before the ship set sail on her maiden voyage to the Canary Islands the following day . The Queen was also the sponsor of the now - retired Queen Elizabeth 2 in 1967 and Cunard 's current flagship , Queen Mary 2 , in 2004 .   Service History ( edit )   The first master of Queen Elizabeth was Captain Christopher Wells . On Monday 4 October 2010 Queen Elizabeth was formally handed over to Cunard . She sailed on her maiden voyage from Southampton on Tuesday 12 October 2010 , following a naming ceremony with the monarch on Monday 11 October 2010 .   At the end of October 2011 Queen Elizabeth and her fleet mates changed their registries to Hamilton , Bermuda , in order to host weddings aboard .   On 29 June 2012 , the ship made her one and only visit to Ny - Ålesund , in Svalbard . The previous scheduled visit in 2011 had to be aborted due to bad weather . However , she was not scheduled to visit Svalbard in her 2013 schedule . Legislation relating to cruise ships visiting the archipelago ( applicable from 2014 ) means that Queen Elizabeth will never be able to visit again .   On 31 August 2013 , British journalist and broadcaster Sir David Frost had been invited to give a speech by Cunard whilst travelling on board the ship but died of a heart attack .   On 13 August 2016 Queen Elizabeth made the 2,500 th cruise ship call at Kiel , Germany .   On 6 July 2017 , during a cruise around the British Isles , Queen Elizabeth encountered the new Royal Navy aircraft carrier Queen Elizabeth in the Moray Firth , during the warship 's initial sea trials .   Cunard Royal Rendezvous ( edit )   13 January 2011 : Two years after the first Cunard Royal Rendezvous , RMS Queen Mary 2 met up with Queen Victoria and the then brand new Queen Elizabeth for another Royal Rendezvous in New York City . Both Queen Victoria and Queen Elizabeth made an Atlantic crossing in tandem for the event . All three Cunarders met in front of the Statue of Liberty at 6 : 45 pm for a Grucci fireworks display . The Empire State Building was lit up in red to mark the event .   5 June 2012 : All three ' Queens ' met once more , but this time in Southampton in order to celebrate the Queen 's Diamond Jubilee .   15 July 2012 : Both Queen Elizabeth and Queen Mary 2 visited Hamburg the first time together .   12 March 2013 : Passed the former Cunard ship Queen Mary , currently a hotel in Long Beach , California , for the first time along with fireworks display .   6 May 2014 : All three Queens met up for the first time in Lisbon , Portugal , in preparation for Queen Mary 2s 10th birthday . All three on departure sailed in a one - line formation to Southampton .   9 May 2014 : Both Queen Elizabeth and Queen Victoria led in single file , Queen Mary 2 up the Southampton channel , with both ships docking in a bow to bow formation performing a birthday salute to Queen Mary 2 . Later on , all three Cunarders gather for a fireworks display in which Queen Mary 2 led both the Queen Elizabeth and Queen Victoria back down the channel .  Queen Elizabeth at Liverpool Cruise Terminal , on 25 May 2015 , after the Cunard 175 celebration  25 May 2015 : The three ' Queens ' at Liverpool celebrating 175 years of the formation of the Cunard Line , which was formed and based at Liverpool . At low tide , the three ships stopped in line in middle of the River Mersey , bow to stern , turned 180 degrees in full synchronisation with each other , which was known as river dance ) , they then formed an arrow side by side . The Queen Mary 2 was in the centre with its bow in line with the Cunard Building at the Pier Head . The RAF Red Arrows performed a flypast in Vic formation , emitting red , white and blue smoke , over the vessels . An estimated 1.3 million people lined the river banks to witness the spectacle .   Special Voyages ( edit )  QE2 50th anniversary celebration ( edit )  In September 2017 the ship hosted a special commemorative cruise to honour the 50th anniversary of its predecessor the QE2 . The Mediterranean cruise was chosen to pay tribute to QE2 's role as a cruise ship . Special guests include Captain Ian McNaught , Commodore Ronald Warwick , Maritime Historian Chris Frame and QE2 Social Hostess Maureen Ryan .  Australia 2019 ( edit )  Queen Elizabeth will spend an extended season in Australia in 2019 .   References ( edit )   Notes ( edit )    ^ Jump up to : Cunard Line ( 10 October 2007 ) . `` Cunard to Build `` Queen Elizabeth '' `` .   Jump up ^ `` Cunard - Welcome to the latest news from Cunard '' . Cunard . Retrieved 25 September 2015 .   Jump up ^ `` Queen Elizabeth '' . Cunard . Retrieved 27 September 2015 .   Jump up ^ `` Three Queens : Spotlight on Queen Elizabeth '' . Lancashire Telegraph . 3 May 2015 . Retrieved 22 December 2017 .   Jump up ^ `` Queen Elizabeth Press Launch '' . Cunard Line - Press Release . 17 March 2009 . Retrieved 17 March 2009 .   Jump up ^ `` Britannia Club '' . Cunard . Archived from the original on 4 March 2010 .   Jump up ^ `` Queen Elizabeth '' . Avid Cruiser . Retrieved 4 October 2015 .   Jump up ^ `` The Queen WILL name the Queen ! ( 10556 ) '' . cruises.co.uk . Retrieved 25 September 2015 .   Jump up ^ Peter Woodman ( 11 October 2010 ) . `` Queen officially names luxury liner '' . The Independent . Retrieved 6 September 2012 .   Jump up ^ Charles Starmer - Smith ( 1 September 2010 ) . `` Queen to name Cunard 's new ship '' . The Daily Telegraph . Retrieved 6 September 2012 .   Jump up ^ `` Breaking News -- The Master is Appointed For Queen Elizabeth '' . Cunard Blog. 7 September 2009 . Retrieved 14 September 2009 .   Jump up ^ `` MS Queen Elizabeth naming ceremony highlights '' . Cunard . Retrieved 26 September 2015 .   Jump up ^ `` It 's Official : Cunard Re-flags Ships in Bermuda , Launches Weddings at Sea '' . Cruise Critic. 19 October 2011 . Retrieved 1 September 2013 .   Jump up ^ `` Cruise regulations put Svalbard off - limits '' . The Telegraph . 17 March 2014 . Retrieved 4 October 2015 .   Jump up ^ `` Sir David Frost , broadcaster and writer , dies at 74 '' . BBC . 1 September 2013 . Retrieved 1 September 2013 .   Jump up ^ Mayes , William ( 2016 ) . Ships Monthly November 2016 . p. 13 .   Jump up ^ Whitelaw , Jonathan ( 7 July 2017 ) . `` Queens of the Sea : Stunning moment huge Queen Elizabeth ships meet for the first time in Moray Firth '' . Scottish Sun . The Sun . Retrieved 7 July 2017 .   Jump up ^ `` Iconic Cunard Line Queens to Meet for Historic Royal Rendezvous in New York Harbour on 13 January '' . PR New Wire. 8 December 2010 . Retrieved 4 October 2015 .   Jump up ^ `` Cunard Line Announces 2012 - 2013 Deployment '' . cruiseindustrynews.com . Retrieved 25 September 2015 .   Jump up ^ `` Hafen Hamburg - `` Queen Mary 2 '' und `` Queen Elizabeth '' im Doppelpack `` . Hamburger Abendblatt .   Jump up ^ `` Queen Elizabeth and Queen Mary to meet in first Cunard royal rendezvous '' . Breaking Travel News . 2 March 2013 . Retrieved 4 October 2015 .   Jump up ^ `` Do you come here often ? Cunard 's three royal ladies , the liners Queen Elizabeth , Queen Mary 2 and Queen Victoria dock in Lisbon for family portrait '' . Daily Mail . 6 June 2014 . Retrieved 4 October 2015 .   Jump up ^ `` Pictures of the day '' . The Telegraph . 9 May 2014 . Retrieved 4 October 2015 .   Jump up ^ `` Three Queens : Eyes of the world on Liverpool for Cunard 's 175th anniversary '' . Liverpool Echo . Retrieved 29 May 2015 .   Jump up ^ `` Cunard sailing to mark 50th anniversary of QE2 launch '' . Travelweekly.co.uk . Retrieved 26 August 2017 .   Jump up ^ `` Cunard 's Queen Elizabeth Cruise Ship to Host QE2 50th Anniversary Celebrations '' . Cruisecritic.com.au. 17 August 2017 . Retrieved 26 August 2017 .   Jump up ^ `` Big Fat Cruise Wrap -- Travel Weekly '' . Travelweekly.com.au . Retrieved 26 August 2017 .   Jump up ^ `` Grand Voyages on Queen Elizabeth 2019 - Cunard '' . Cunardline.com.au . Retrieved 26 August 2017 .   Jump up ^ Staff , CIN ( 2018 - 02 - 18 ) . `` Queen Elizabeth to be Based in Australia for 2019 - 2020 Season '' . Retrieved 2018 - 02 - 19 .    Bibliography ( edit )    Dawson , Philip ( 2010 ) . Queen Elizabeth : a celebration of ocean travel for modern Elizabethan times ( 2nd ed . ) . Ramsey , Isle of Man : Lily Publications . ISBN 9781906608224 .   Frame , Chris ; Cross , Rachelle ( 2011 ) . Queen Elizabeth : a photographic journey . Stroud , Gloucestershire , UK : The History Press . ISBN 9780752459165 .   Thiel , Ingo ( 2011 ) . Queen Elizabeth : Noble Eleganz zur See / Elegance at Sea ( in German and English ) . Bielefeld , Germany : Delius Klasing . ISBN 9783768833226 . CS1 maint : Unrecognized language ( link )   Wills , Elspeth ( 2011 ) . Cunard Queens : the story of the six Cunard Line Queens . London : Open Agency . ISBN 9780954245191 .    External links ( edit )       Wikimedia Commons has media related to MS Queen Elizabeth .      Video of the press launch ( 17 March 2009 )   MS Queen Elizabeth on Cunard.co.uk   `` Queen Elizabeth : Art Deco Queen '' . Chris ' Cunard Page . Retrieved 16 February 2010 .   Queen Elizabeth -- review by Douglas Ward in The Daily Telegraph , London .              List of ships built by Fincantieri     Warships     Andrea Doria   Assad - class corvettes   Caio Duilio   Carvajal   Cassiopea - class patrol vessels   Cavour   Deepak   Diciotti - class offshore patrol vessels   Durand de la Penne - class destroyers   Etna   Falaj 2 - class patrol vessels   Giuseppe Garibaldi   Laksamana - class corvettes   Maestrale - class frigates   Minerva - class corvettes   San Giorgio - class amphibious transport docks   San Giusto   Sauro - class submarines   Scirè   Shakti   Toti - class submarines   Villavisencio   Vittorio Veneto       Cruise ships     Amsterdam   Arcadia   L'Austral   Azura   Le Boreal   Britannia   Caribbean Princess   Carnival Breeze   Carnival Conquest   Carnival Dream   Carnival Freedom   Carnival Glory   Carnival Liberty   Carnival Magic   Carnival Splendor   Carnival Sunshine   Carnival Triumph   Carnival Valor   Carnival Victory   Carnival Vista   Concordia - class cruise ships   Costa Concordia   Costa Deliziosa   Costa Diadema   Costa Fascinosa   Costa Fortuna   Costa Luminosa   Costa Magica   Costa neoClassica   Costa neoRomantica   Costa Pacifica   Costa Serena   Crown Princess   Dawn Princess   Destiny - class cruise ships   Disney Magic   Disney Wonder   Emerald Princess   Eurodam   Fram   Golden Princess   Grand Princess   Koningsdam   Le Lyrial   Maasdam   Majestic Princess   Marina   Nieuw Amsterdam   Noordam   Oceana   Oosterdam   Pacific Aria   Pacific Dawn   Pacific Eden   Pacific Jewel   Queen Elizabeth   Queen Victoria   Regal Princess   Riviera   Rotterdam   Royal Princess   Royal - class cruise ships   Ruby Princess   Sea Princess   Seabourn Encore   MSC Seaside   Seven Seas Explorer   Silver Spirit   Le Soléal   Star Princess   Sun Princess   Sun - class cruise ships   The Calypso   Veendam   Ventura   Viking Sea   Viking Sky   Viking Star   Vista - class cruise ships   Volendam   Westerdam   Zaandam   Zuiderdam       Ferries     al - Salam Boccaccio 98   Almudaina Dos   Gotlandia II   Knossos Palace   Festos Palace   Hellenic Wind   MDV1200 - class fast ferries   Pride of Hull   Pride of Rotterdam   Star - class ferries   Speedrunner III   Speedrunner IV   Superstar       Cargo ships     Britannia Seaways   Cape Victory   Cape Vincent       Yachts     Destriero   Serene   Victory       Miscellaneous vessels     Castoro Sei   Karadeniz Powership İrem Sultan   Petrobras 36   Sagar Nidhi   Saipem 7000   Scarabeo 8       Related     Cantieri Riuniti dell'Adriatico   Fincantieri                 Ships of the Cunard Line     Current fleet     2004 RMS Queen Mary 2   2007 MS Queen Victoria   2010 MS Queen Elizabeth          Former ships 1840 -- 1994                1840 RMS Britannia   1856 RMS Persia   1865 SS Java   1862 RMS Scotia   1870 SS Abyssinia   1870 SS Parthia   1878 SS Aleppo   1881 SS Servia   1881 SS Catalonia   1882 RMS Aurania   1884 RMS Etruria   1884 RMS Umbria   1892 RMS Campania   1893 RMS Lucania   1898 SS Ultonia   1899 SS Ivernia   1899 RMS Saxonia   1903 RMS Carpathia   1904 RMS Slavonia   1905 RMS Carmania   1905 RMS Caronia   1907 RMS Lusitania   1907 RMS Mauretania   1910 RMS Franconia   1911 RMS Albania   1912 RMS Laconia   1913 RMS Alaunia   1913 RMS Aquitania       1914 SS Orduna   1918 SS Empire Barracuda   1920 RMS Lancastria   1920 RMS Samaria   1921 RMS Antonia   1921 RMS Ausonia   1921 RMS Andania   1921 RMS Scythia   1922 RMS Andania   1922 RMS Berengaria   1922 RMS Franconia   1922 RMS Laconia   1922 RMS Majestic   1923 RMS Ascania   1924 RMS Aurania   1924 SS Letitia   1925 RMS Carinthia   1927 SS Laurentic   1929 MV Britannic   1934 MV Georgic   1934 RMS Olympic   1936 RMS Queen Mary   1939 RMS Mauretania   1939 SS Pasteur   1939 MV Empire Audacity       1940 RMS Queen Elizabeth   1943 SS Empire Battleaxe   1943 SS Empire Broadsword   1943 SS Valacia   1945 MV Empire Ettrick   1947 RMS Media   1947 RMS Parthia   1949 RMS Caronia   1954 RMS Saxonia   1955 RMS Ivernia   1956 RMS Carinthia   1957 RMS Sylvania   1969 MS Queen Elizabeth 2   1971 MS Cunard Adventurer   1972 MS Cunard Ambassador   1975 MS Cunard Countess   1976 MS Cunard Princess   1980 SS Atlantic Conveyor   1983 MS Sagafjord   1983 MS Caronia   1994 MS Royal Viking Sun                 Years indicate year of entry into Cunard service .               Vista class cruise ships and derived designs     Original Vista class     Zuiderdam   Oosterdam   Westerdam   Arcadia   Noordam       Enlarged Vista class     Queen Victoria   Queen Elizabeth       Signature class     Eurodam   Nieuw Amsterdam       Hybrid Vista / Spirit class     Costa Luminosa   Costa Deliziosa         Holland America Line   P&amp;O Cruises   Cunard Line   Costa Cruises      Retrieved from `` https://en.wikipedia.org/w/index.php?title=MS_Queen_Elizabeth&amp;oldid=839843641 '' Categories :   2010 ships   Cruise ships   Ships of the Cunard Line   Panamax cruise ships   Ships built in Monfalcone   Ships built by Fincantieri   Passenger ships of Bermuda   2010 establishments in England   Hidden categories :   Use dmy dates from September 2017   IMO Number   MMSI Number   CS1 maint : Unrecognized language           Talk                                           Contents                   About Wikipedia                                                 Čeština   Deutsch   Eesti   Español   Français   Italiano   Nederlands   </t>
    </r>
    <r>
      <rPr>
        <sz val="11"/>
        <color rgb="FF000000"/>
        <rFont val="Noto Sans CJK SC"/>
        <family val="2"/>
      </rPr>
      <t xml:space="preserve">日本 語   </t>
    </r>
    <r>
      <rPr>
        <sz val="11"/>
        <color rgb="FF000000"/>
        <rFont val="Calibri"/>
        <family val="0"/>
        <charset val="1"/>
      </rPr>
      <t xml:space="preserve">Norsk   Português   Русский   Suomi   Svenska  4 more  Edit links   This page was last edited on 6 May 2018 , at 01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</si>
  <si>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the new queen elizabeth cruise ship built</t>
  </si>
  <si>
    <t xml:space="preserve">   Queen Elizabeth in Tallinn , 10 June 2011     History         Name :   Queen Elizabeth     Owner :   Carnival Corporation &amp; plc     Operator :   Cunard Line     Port of registry :     Southampton , U.K. ( 2010 -- 2011 )   Hamilton , Bermuda ( 2011 -- present )       Ordered :   October 2007     Builder :   Fincantieri Monfalcone Shipyard , Italy     Cost :   UK £ 350 million ( approx . ) ( US $560 million )     Yard number :   6187     Laid down :   2 July 2009     Launched :   5 January 2010     Christened :   11 October 2010     Completed :   October 2010     Maiden voyage :   12 October 2010     In service :   October 2010     Identification :     Callsign ZCEF2   IMO number : 9477438   MMSI number : 310625000       Status :   In service     General characteristics     Class and type :   Vista Class cruise ship     Tonnage :   90,901 GT     Length :   294 m ( 965 ft )     Beam :   32.3 m ( 106 ft )     Draught :   8 m ( 26 ft )     Decks :     16 total   12 accessible to passengers       Installed power :     4 × MaK 12VM43C   2 × MaK 8M43C   64,000 kW ( combined )       Propulsion :     Diesel - electric   Two ABB Azipods ( 2 × 17.6 MW )   Three ABB bow thrusters ( 3 × 2,200 kW )       Speed :   23.7 knots ( 43.9 km / h ; 27.3 mph )     Capacity :   2,092 passengers lower beds , 2,547 maximum passengers   </t>
  </si>
  <si>
    <t xml:space="preserve">List of Miss America titleholders - Wikipedia  List of Miss America titleholders     Miss America is an annual competition open to women from the United States between the ages of 17 and 25 . Originating in 1921 as a beauty pageant , the competition now judges competitors ' talent performances and interviews in addition to their physical appearance .   In January 2018 , the new board of directors increased the maximum age of titleholders to 25 years old , from 24 . Therefore , contestants can not be older than 25 years old on December 31 in the calendar year of her state competition .   Contents    1 Gallery of past Miss Americas   2 Winners   3 Winners by state   3.1 States without Miss America winners     4 Notes   5 References   6 External links    Gallery of past Miss Americas ( edit )    Margaret Gorman , Miss America 1921   Mary Katherine Campbell , Miss America 1922 and 1923   Lois Delander , Miss America 1927   Bess Myerson , Miss America 1945   Marilyn Buferd , Miss America 1946   Lee Meriwether , Miss America 1955   Mary Ann Mobley , Miss America 1959   Lynda Lee Mead , Miss America 1960   Phyllis George , Miss America 1971   Shirley Cothran , Miss America 1975   Susan Perkins , Miss America 1978   Debra Maffett , Miss America 1983   Vanessa L. Williams , Miss America 1984   Susan Akin , Miss America 1986   Heather French , Miss America 2000   Erika Harold , Miss America 2003   Jennifer Berry , Miss America 2006   Lauren Nelson , Miss America 2007   Kirsten Haglund , Miss America 2008   Katie Stam , Miss America 2009   Caressa Cameron , Miss America 2010   Teresa Scanlan , Miss America 2011   Laura Kaeppeler , Miss America 2012   Mallory Hagan , Miss America 2013   Nina Davuluri , Miss America 2014   Kira Kazantsev , Miss America 2015   Savvy Shields , Miss America 2017   Cara Mund , Miss America 2018    Winners ( edit )     Year   Crowned   Winner   State / District   City   Age   Awards   Talent   Notes     1921   Sept. 8 , 1921   Margaret Gorman   District of Columbia   Washington   16   Inter-City Beauty , Amateur     Actually crowned `` The Most Beautiful Bathing Girl in America '' ; was not titled `` Miss America '' until 1922     1922   Sept. 7 , 1922   Mary Katherine Campbell   Ohio   Columbus   16       Only person to win twice ; also was 1st runner - up at the 1924 pageant     1923   Sept. 7 , 1923   17         1924   Sept. 6 , 1924   Ruth Malcomson   Pennsylvania   Philadelphia   18           1925   Sept. 11 , 1925   Fay Lanphier   California   Oakland   19           1926   Sept. 10 , 1926   Norma Smallwood   Oklahoma   Tulsa   18   Bather 's Revue Winner Evening Gown Award         1927   Sept. 9 , 1927   Lois Delander   Illinois   Joliet   17           1928   No pageants were held     1929     1930     1931     1932     1933   Sept. 9 , 1933   Marian Bergeron   Connecticut   West Haven   15       Youngest winner in history at the age of 151⁄2 Held title for two years since no competition was held in 1934     1934   No pageant was held     1935   Sept. 7 , 1935   Henrietta Leaver   Pennsylvania   Pittsburgh   17     Vocal / Tap dance , `` Living In a Great Big Way ''       1936   Sept. 12 , 1936   Rose Coyle   Pennsylvania   Philadelphia   22   Preliminary Talent   Vocal / Tap dance , `` I Ca n't Escape From You '' &amp; `` Truckin ' ''       1937   Sept. 11 , 1937   Bette Cooper   New Jersey   Bertrand Island   17   Evening Gown Award   Vocal , `` When the Poppies Bloom Again ''       1938   Sept. 10 , 1938   Marilyn Meseke   Ohio   Marion   21     Tap dance , `` The World Is Waiting for the Sunrise ''   Held the title of Miss Ohio twice ( 1931 &amp; 1938 )     1939   Sept. 9 , 1939   Patricia Donnelly   Michigan   Detroit   19     Vocal / Bass Fiddle , `` To You '' &amp; `` Ol ' Man Mose ''       1940   Sept. 7 , 1940   Frances Marie Burke   Pennsylvania   Philadelphia   19   Preliminary Swimsuit   Vocal / Dance , `` I Ca n't Love You Anymore ''       1941   Sept. 6 , 1941   Rosemary LaPlanche   California   Los Angeles   18   Preliminary Swimsuit   Dance   Also placed 1st runner - up at Miss America 1940 pageant     1942   Sept. 12 , 1942   Jo - Carroll Dennison   Texas   Tyler   18   Preliminary Swimsuit Preliminary Talent   Vocal / Dance , `` Deep in the Heart of Texas ''       1943   Sept. 11 , 1943   Jean Bartel   California   Los Angeles   19   Preliminary Swimsuit Preliminary Talent   Vocal , `` Night and Day ''       1944   Sept. 9 , 1944   Venus Ramey   District of Columbia   Washington   19   Preliminary Swimsuit Preliminary Talent   Vocal / Dance , `` Take It Easy ''       1945   Sept. 8 , 1945   Bess Myerson   New York   New York City   21   Preliminary Swimsuit Preliminary Talent   Piano &amp; flute , `` Piano Concerto In A Minor '' by Edvard Grieg &amp; `` Summertime ''   First Jewish - American Miss America First Miss New York crowned     1946   Sept. 7 , 1946   Marilyn Buferd   California   Los Angeles   21   Preliminary Swimsuit Preliminary Talent ( tie )   Dramatic monologue , Accent on Youth       1947   Sept. 6 , 1947   Barbara Jo Walker   Tennessee   Memphis   21   Preliminary Talent   Art display &amp; vocal medley , `` One Kiss '' &amp; `` Un Bel Di '' from Madama Butterfly       1948   Sept. 11 , 1948   BeBe Shopp   Minnesota   Hopkins   18   Preliminary Swimsuit   Vibraharp , `` Caprice Viennois '' by Fritz Kreisler       1949   Sept. 10 , 1949   Jacque Mercer   Arizona   Litchfield Park   18   Preliminary Swimsuit ( tie ) Preliminary Talent   Dramatic reading , Romeo and Juliet       1951   Sept. 9 , 1950   Yolande Betbeze   Alabama   Mobile   21   Preliminary Swimsuit   Classical vocal , `` Caro Nome '' from Rigoletto   Sparked the creation of the Miss USA and Miss Universe pageants     1952   Sept. 8 , 1951   Colleen Kay Hutchins   Utah   Salt Lake City   25   Preliminary Talent   Dramatic monologue , `` Elizabeth the Queen '' by Maxwell Anderson       1953   Sept. 6 , 1952   Neva Jane Langley   Georgia   Macon   19   Preliminary Swimsuit Preliminary Talent   Classical piano , `` Toccata ''       1954   Sept. 12 , 1953   Evelyn Margaret Ay   Pennsylvania   Ephrata   20   Preliminary Swimsuit   Poetry recitation , `` Footsteps '' from Leaves from a Grass - House by Don Blanding       1955   Sept. 11 , 1954   Lee Meriwether   California   San Francisco   19   Preliminary Swimsuit   Dramatic monologue , Riders to the Sea   First winner crowned on television ( ABC ) Became an actress ( Batman )     1956   Sept. 10 , 1955   Sharon Ritchie   Colorado   Denver   18     Recitation , `` The Murder of Lidice '' by Edna St. Vincent Millay       1957   Sept. 8 , 1956   Marian McKnight   South Carolina   Manning   19     Comedy sketch , `` The Monroe Doctrine ''       1958   Sept. 7 , 1957   Marilyn Van Derbur   Colorado   Denver   20     Organ , `` Tea for Two '' &amp; `` Tenderly ''   Television broadcast moved to CBS     1959   Sept. 6 , 1958   Mary Ann Mobley   Mississippi   Brandon   21   Preliminary Talent   Vocal medley &amp; dance , `` Un Bel Di '' &amp; `` There 'll Be Some Changes Made ''   Became an actress ( Diff'rent Strokes ) and TV hostess     1960   Sept. 12 , 1959   Lynda Lee Mead   Natchez   20     Original dramatic act , `` Schizophrenia ''       1961   Sept. 10 , 1960   Nancy Fleming   Michigan   Montague   18   Preliminary Swimsuit Preliminary Talent ( tie )   Presentation of dress design       1962   Sept. 9 , 1961   Maria Fletcher   North Carolina   Asheville   19   Preliminary Swimsuit     First Miss North Carolina crowned     1963   Sept. 8 , 1962   Jacquelyn Mayer   Ohio   Sandusky   20     Broadway vignette , `` Wishing Upon a Star , '' `` My Favorite Things '' &amp; The White Cliffs of Dover       1964   Sept. 7 , 1963   Donna Axum   Arkansas   El Dorado   21   Preliminary Swimsuit   Vocal medley , `` Quando me'n vo ' '' &amp; `` I Love Paris ''       1965   Sept. 12 , 1964   Vonda Kay Van Dyke   Arizona   Phoenix   21   Miss Congeniality   Ventriloquism , `` Together ( Wherever We Go ) ''   Only Miss Congeniality award winner to be also crowned Miss America     1966   Sept. 11 , 1965   Deborah Irene Bryant   Kansas   Overland Park   19   Preliminary Swimsuit   Dramatic interpretation , `` The Miserable Miserliness of Midas Moneybags ''       1967   Sept. 10 , 1966   Jane Anne Jayroe   Oklahoma   Laverne   19   Preliminary Talent   Vocal / Orchestral conducting , `` 1 - 2 - 3 ''   Television broadcast moved to NBC     1968   Sept. 9 , 1967   Debra Dene Barnes   Kansas   Moran   20   Preliminary Swimsuit   Piano , `` Born Free ''       1969   Sept. 7 , 1968   Judith Ford   Illinois   Belvidere   18   Preliminary Swimsuit Preliminary Talent   Acrobatic dance &amp; trampoline , `` The Blue Danube ''       1970   Sept. 6 , 1969   Pamela Eldred   Michigan   West Bloomfield   21   Preliminary Swimsuit   Ballet , `` Love Theme '' from Romeo &amp; Juliet       1971   Sept. 12 , 1970   Phyllis George   Texas   Denton   21   Preliminary Swimsuit   Piano medley , Promises , Promises &amp; `` Raindrops Keep Fallin ' on My Head ''   Former sportscaster on CBS Former First Lady of Kentucky ( 1979 - 83 )     1972   Sept. 11 , 1971   Laurie Lea Schaefer   Ohio   Bexley   22   Preliminary Swimsuit   Semi-classical vocal , `` And This Is My Beloved ''       1973   Sept. 9 , 1972   Terry Meeuwsen   Wisconsin   De Pere   23   Preliminary Swimsuit Preliminary Talent   Vocal , `` He Touched Me '' from Drat ! The Cat !   First Miss Wisconsin crowned Co-host of The 700 Club       Sept. 8 , 1973   Rebecca King   Colorado   Denver   23     Vocal , `` If I Ruled the World ''   Mother of Miss Colorado 2011 , Diana Dremen       Sept. 7 , 1974   Shirley Cothran   Texas   Fort Worth   21   Preliminary Swimsuit   Flute medley , `` Bumble Boogie '' &amp; `` Swingin ' Shepherd Blues ''       1976   Sept. 6 , 1975   Tawny Godin   New York   Yonkers   18     Original piano composition , `` Images in Pastels ''       1977   Sept. 11 , 1976   Dorothy Benham   Minnesota   Edina   20   Preliminary Swimsuit Preliminary Talent   Classical vocal , `` Adele 's Laughing Song '' from Die Fledermaus   Appeared in Jerome Robbins ' Broadway     1978   Sept. 10 , 1977   Susan Perkins   Ohio   Columbus   23   Preliminary Talent   Vocal , `` Good Morning Heartache ''   Television broadcast moved to CBS     1979   Sept. 9 , 1978   Kylene Barker   Virginia   Galax   22     Gymnastics routine , `` Gonna Fly Now '' &amp; `` Feels So Good ''   Television broadcast moved to NBC     1980   Sept. 8 , 1979   Cheryl Prewitt   Mississippi   Ackerman   22   Preliminary Swimsuit   Vocal / Piano , `` Do n't Cry Out Loud ''       1981   Sept. 6 , 1980   Susan Powell   Oklahoma   Elk City   21   Preliminary Talent ( tie )   Classical vocal , `` The Telephone Aria ''       1982   Sept. 12 , 1981   Elizabeth Ward   Arkansas   Russellville   20   Preliminary Swimsuit   Vocal , `` After You 've Gone ''   Previously National Sweetheart 1981 Infamously had short - lived affair with President Bill Clinton in 1998       Sept. 11 , 1982   Debra Maffett   California   Anaheim   25   Preliminary Swimsuit Preliminary Talent   Popular vocal , `` Come In From the Rain ''       1984   Sept. 17 , 1983   Vanessa Lynn Williams   New York   Millwood   20   Preliminary Swimsuit Preliminary Talent   Popular vocal , `` Happy Days Are Here Again ''   First African American Miss America Resigned on July 23 , 1984 due to backlash from unauthorized nude photos of her being published in Penthouse magazine     July 23 , 1984   Suzette Charles   New Jersey   Mays Landing   21   Preliminary Talent   Popular vocal , `` Kiss Me In the Rain ''   Served the shortest term by any Miss America , lasting only seven weeks     1985   Sept. 8 , 1984   Sharlene Wells   Utah   Salt Lake City   20   Preliminary Swimsuit   Spanish vocal &amp; Paraguyan harp , `` Mis Noches Sin Ti ''   The first foreign - born , bilingual Miss America ( born in Asunción , Paraguay )     1986   Sept. 14 , 1985   Susan Akin   Mississippi   Meridian   21   Preliminary Swimsuit   Vocal , `` You 're My World ''         Sept. 13 , 1986   Kellye Cash   Tennessee   Memphis   21   Preliminary Swimsuit Preliminary Talent   Piano / Vocal , `` I 'll Be Home ''   Grandniece of singer , Johnny Cash     1988   Sept. 19 , 1987   Kaye Lani Rae Rafko   Michigan   Monroe   24   Preliminary Swimsuit   Hawaiian - Tahitian dance       1989   Sept. 10 , 1988   Gretchen Carlson   Minnesota   Anoka   22   Preliminary Talent   Classical violin , `` Zigeunerweisen ''   Former news anchor of Fox &amp; Friends Current chairwoman of the board of directors of the Miss America Organization     1990   Sept. 16 , 1989   Debbye Turner   Missouri   Mexico   23   Preliminary Swimsuit   Marimba medley , `` Flight of the Bumblebee , '' `` Csárdás '' &amp; `` Can - Can ''   Medical Reporter and Anchor for CBS 's The Early Show First Miss Missouri crowned     1991   Sept. 8 , 1990   Marjorie Vincent   Illinois   Oak Park   25   Preliminary Talent   Classical piano , `` Fantaisie - Impromptu ''   First Miss America winner of Haitian descent Former Chair of the Board of Trustees for the Miss America Organization ( served for 3 months )     1992   Sept. 14 , 1991   Carolyn Suzanne Sapp   Hawaii   Kona   24   Preliminary Swimsuit   Vocal , `` Ai n't Misbehavin ' ''   First Miss Hawaii crowned     1993   Sept. 19 , 1992   Leanza Cornett   Florida   Jacksonville   21     Vocal , `` A New Life '' from Jekyll &amp; Hyde   Married ( and later divorced ) Mark Steines     1994   Sept. 18 , 1993   Kimberly Clarice Aiken   South Carolina   Columbia   18     Vocal , `` Summertime ''       1995   Sept. 17 , 1994   Heather Whitestone   Alabama   Birmingham   21   Preliminary Swimsuit Preliminary Talent   Ballet en Pointe , `` Via Dolorosa ''   First deaf Miss America       Sept. 16 , 1995   Shawntel Smith   Oklahoma   Muldrow   24     Vocal , `` The Woman in the Moon '' from A Star Is Born       1997   Sept. 14 , 1996   Tara Dawn Holland   Kansas   Overland Park   23   Preliminary Swimsuit   Classical vocal , `` Où Va la Jeune Hindoue '' from Lakmé   Her crowning was featured at beginning of the 2006 film , Little Miss Sunshine     1998   Sept. 13 , 1997   Katherine Shindle   Illinois   Evanston   20   Preliminary Talent   Vocal , `` Do n't Rain on My Parade ''   Performed in Legally Blonde on Broadway President of the Actors ' Equity Association Briefly on the Board of Directors for the Miss America Organization in 2018 Television broadcast moved to ABC     1999   Sept. 19 , 1998   Nicole Johnson   Virginia   Roanoke   24     Vocal , `` That 's Life ''   Diabetes awareness advocate     2000   Sept. 18 , 1999   Heather Renee French   Kentucky   Maysville   24   Preliminary Swimsuit   Vocal , `` As If We Never Said Goodbye '' from Sunset Boulevard   First Miss Kentucky crowned     2001   Oct. 14 , 2000   Angela Perez Baraquio   Hawaii   Honolulu   24   Preliminary Swimsuit   Hula , `` Theme '' from Mutiny on the Bounty   First Filipino American and Asian American Miss America     2002   Sept. 22 , 2001   Katie Harman   Oregon   Gresham   21   Preliminary Talent   Classical vocal , `` O mio babbino caro ''   First Miss Oregon crowned     2003   Sept. 21 , 2002   Erika Harold   Illinois   Urbana   22     Classical vocal , `` Habanera ''         Sept. 20 , 2003   Ericka Dunlap   Florida   Orlando   21     Vocal , `` If I Could ''   Finished in third place on The Amazing Race 15 with her then - husband , Brian Kleinschmidt     2005   Sept. 18 , 2004   Deidre Downs   Alabama   Birmingham   24     Vocal , `` I 'm Afraid This Must Be Love ''       2006   Jan. 21 , 2006   Jennifer Berry   Oklahoma   Tulsa   22   Preliminary Talent   Ballet en Pointe , `` Within ''   Television broadcast moved to CMT     2007   Jan. 29 , 2007   Lauren Nelson   Lawton   20   Preliminary Lifestyle &amp; Fitness   Vocal , `` You 'll Be in My Heart ''       2008   Jan. 26 , 2008   Kirsten Haglund   Michigan   Farmington Hills   19   Preliminary Lifestyle &amp; Fitness   Vocal , `` Over the Rainbow ''   Haglund 's grandmother , Iora Hunt , represented Detroit , Michigan at the Miss America 1944 pageant Television broadcast moved to TLC     2009   Jan. 24 , 2009   Katie Stam   Indiana   Seymour   22   Preliminary Lifestyle &amp; Fitness   Vocal , `` Via Dolorosa ''   First Miss Indiana crowned       Jan. 30 , 2010   Caressa Cameron   Virginia   Fredericksburg   22   Preliminary Talent   Vocal , `` Listen '' from Dreamgirls       2011   Jan. 15 , 2011   Teresa Scanlan   Nebraska   Gering   17   Preliminary Talent   Piano , `` White Water Chopped Sticks '' by Calvin Jones   Youngest Miss America winner since 1933 First Miss Nebraska crowned Television broadcast moved to ABC     2012   Jan. 14 , 2012   Laura Kaeppeler   Wisconsin   Kenosha   23   Preliminary Talent   Operatic vocal , `` Il Bacio '' by Luigi Arditi   Briefly on the Board of Directors for the Miss America Organization in 2018     2013   Jan. 12 , 2013   Mallory Hagan   New York   Brooklyn   24     Tap dance , `` Get Up Offa That Thing '' by James Brown   Served the second shortest term by any Miss America , lasting only nine months     2014   Sept. 15 , 2013   Nina Davuluri   Fayetteville   24     Bollywood fusion dance , `` Dhoom Tana '' from Om Shanti Om   First Indian American winner First to perform a Bollywood dance at a Miss America pageant     2015   Sept. 14 , 2014   Kira Kazantsev   Manhattan   23     Vocal with plastic cup percussion , `` Happy '' by Pharrell Williams       2016   Sept. 13 , 2015   Betty Cantrell   Georgia   Warner Robins   21   Preliminary Talent   Classical vocal , `` Tu ? Tu ? Piccolo Iddio ! '' from Madama Butterfly       2017   Sept. 11 , 2016   Savvy Shields   Arkansas   Fayetteville   21   Preliminary Talent   Jazz dance , `` They Just Keep Moving the Line '' from the NBC show Smash       2018   Sept. 10 , 2017   Cara Mund   North Dakota   Bismarck   23     Jazz dance , `` The Way You Make Me Feel '' by Michael Jackson   First Miss North Dakota crowned     2019   Sept. 9 , 2018   Nia Franklin   New York   Brooklyn   25     Operatic vocal , `` Quando m'en vò '' from La bohème       Winners by state ( edit )     State   Number of titles won   Year ( s ) won     New York   7   1945 , 1976 , 1984 , 2013 , 2014 , 2015 , 2019     Oklahoma   6   1926 , 1967 , 1981 , 1996 , 2006 , 2007     California   1925 , 1941 , 1943 , 1946 , 1955 , 1983     Ohio   1922 , 1923 , 1938 , 1963 , 1972 , 1978     Michigan   5   1939 , 1961 , 1970 , 1988 , 2008     Illinois   1927 , 1969 , 1991 , 1998 , 2003     Pennsylvania   1924 , 1935 , 1936 , 1940 , 1954     Mississippi     1959 , 1960 , 1980 , 1986     Arkansas     1964 , 1982 , 2017     Virginia   1979 , 1999 , 2010     Alabama   1951 , 1995 , 2005     Kansas   1966 , 1968 , 1997     Minnesota   1948 , 1977 , 1989     Texas   1942 , 1971 , 1975     Colorado   1956 , 1958 , 1974     Georgia     1953 , 2016     Wisconsin   1973 , 2012     Florida   1993 , 2004     Hawaii   1992 , 2001     South Carolina   1957 , 1994     Tennessee   1947 , 1987     Utah   1952 , 1985     New Jersey   1937 , 1984     Arizona   1949 , 1965     District of Columbia   1921 , 1944     North Dakota     2018     Nebraska   2011     Indiana   2009     Oregon   2002     Kentucky   2000     Missouri   1990     North Carolina   1962     Connecticut   1933     States without Miss America winners ( edit )   There have been no Miss America winners from the following eighteen states and two U.S. territories :       Alaska   Delaware   Idaho   Iowa   Louisiana   Maine   Maryland         Massachusetts   Montana   Nevada   New Hampshire   New Mexico   Puerto Rico   Rhode Island         South Dakota   Vermont   Virgin Islands   Washington   West Virginia   Wyoming         Notes ( edit )    Jump up ^ No `` Miss America 1950 '' was officially crowned . Since the majority of each titleholder 's reign occurred during the following year , the organization began referring to titleholder using upcoming year .   Jump up ^ Competed at Miss New York City   Jump up ^ Competed at Miss Tulsa   Jump up ^ Competed at Miss Columbus   Jump up ^ Competed at Miss Columbus   Jump up ^ Competed at Miss Philadelphia   Jump up ^ Competed at Miss Pittsburgh   Jump up ^ Competed at Miss Philadelphia   Jump up ^ Competed at Miss Philadelphia   Jump up ^ Competed at Miss Memphis   Jump up ^ Competed at Miss Bertrand Island    References ( edit )    ^ Jump up to : Silva , Daniella ( January 7 , 2018 ) . `` Future of Miss America , beauty pageants in question in the wake of # MeToo '' . NBC News .   Jump up ^ `` American Experience : Miss America '' . pbs.org . Retrieved April 15 , 2018 .   Jump up ^ `` 1939 Patricia Donnelly Harris ( Miss Detroit ) becomes our first Miss America ! '' . Miss Michigan . Archived from the original on 18 December 2017 . Retrieved 18 December 2017 .   Jump up ^ McNutt , K.S. ( September 11 , 2016 ) . `` Jane Jayroe : Oklahoma native reflects on her Miss America win '' . NewsOK .   Jump up ^ Minton , Amanda ( October 18 , 2018 ) . `` OUR HISTORY -- Our very own Miss America , Debra Dene Barnes '' . The Morning Sun .   Jump up ^ Thralls , Todd ( April 29 , 2015 ) . `` Crowning of Miss America 1969 -- Judy Ford '' . YouTube .   Jump up ^ Arino , Lisha ( June 14 , 2012 ) . `` Former Miss Michigan title holders describe life after crown '' . MLive .   ^ Jump up to : Gilfillian , Trudi ( September 16 , 2013 ) . `` Miss America 1971 Phyllis George forever remembered for tiara topple '' . Press of Atlantic City .   Jump up ^ `` Miss America 1972 Sitting on Throne '' . Getty Images . September 11 , 1971 .   ^ Jump up to : Aukofer , Frank A. ( September 11 , 1972 ) . `` De Pere Girl Begins US Reign '' . The Milwaukee Journal .   Jump up ^ `` New Life : Meeuwsen Changes Her Course '' . The Milwaukee Journal . April 25 , 1993 . p. 1 .   Jump up ^ `` In a pageant rife with conformity , America will tune in to see which Miss America contestant breaks the mold '' . Atlantic City Weekly . September 5 , 2017 .   Jump up ^ `` Miss Colorado Makes Pageant History : Daughter of Miss America 1974 Competes for 2012 Miss America Title '' . Pageant Center .   Jump up ^ Klemesrud , Judy ( September 9 , 1974 ) . `` For Miss America ' 75 the Questions Get Tougher '' . The New York Times .   Jump up ^ Vespa , Mary ( March 22 , 1976 ) . `` Miss America , Tawny Godin , Puts a Ring on Her Finger and Steps on Some Toes '' . People .   Jump up ^ Neuhaus , Cable ( January 21 , 1980 ) . `` A Former Miss America Celebrates When Her Iceman Cometh Home '' . People .   Jump up ^ `` Dorothy Benham - Performer '' . Internet Broadway Database .   Jump up ^ Roberts , Roxanne ( September 16 , 1995 ) . `` Beauty Is as Beauty Does '' . The Washington Post .   Jump up ^ Darling , Lynn ( October 17 , 1978 ) . `` There She Is , Miss America '' . The Washington Post .   Jump up ^ Hall , Carla ( May 27 , 1980 ) . `` Cheryl Prewitt 's Born - Again American Beauty '' . The Washington Post .   Jump up ^ Kornheiser , Tony ( September 8 , 1980 ) . `` There She Is ... '' The Washington Post .   ^ Jump up to : `` Miss Arkansas Named Miss America of 1982 '' . The New York Times . September 13 , 1981 .   Jump up ^ Kennedy , Helen ( February 8 , 2000 ) . `` She hitched her star to a wagon for the love of Bill , Hillary put her goals on hold and move to Ark. stick '' . New York Daily News .   Jump up ^ Cleary , Tom ( December 13 , 2016 ) . `` Bill Clinton Sex Allegations : 17 Claims of Rape &amp; Affairs '' . Heavy.com .   Jump up ^ Toscano , Louis ( September 12 , 1982 ) . `` Debra Sue Maffett : Miss America 1983 '' . United Press International .   ^ Jump up to : Singleton , Don ( 1983 - 09 - 18 ) . `` Vanessa Williams is crowned the first African - American Miss America in 1983 '' . New York Daily News .   Jump up ^ Eady , Brenda ( August 6 , 1984 ) . `` Vanessa 's Story '' . People Magazine .   Jump up ^ Stark , John ; Alexander , Michael ( January 30 , 1989 ) . `` Ex-Miss America Vanessa Williams Overcomes Her Disgrace by Showing and Singing the Right Stuff '' . People .   Jump up ^ Latson , Jennifer ( July 23 , 2015 ) . `` The Scandal That Cost a Miss America Her Crown '' . Time Magazine .   Jump up ^ `` American Experience Miss America People &amp; Events '' . PBS .   Jump up ^ Gilfillian , Trudi . `` Miss America 1985 took crown in wake of Vanessa Williams controversy '' . Press of Atlantic City .   Jump up ^ `` Miss America : 1985 '' . Miss America . Archived from the original on June 5 , 2008 . Retrieved 2014 - 02 - 07 .   Jump up ^ Hall , Carla ( September 16 , 1985 ) . `` America 's New Miss ... And the Near Misses '' . The Washington Post .   Jump up ^ Mansfield , Stephanie ( September 15 , 1986 ) . `` Tennessee Cashes In '' . The Washington Post .   Jump up ^ Associated Press ( 1986 - 09 - 14 ) . `` Miss America grandniece of Johnny Cash '' . Houston Chronicle . p. 3 .   Jump up ^ Zibart , Eve ( September 21 , 1987 ) . `` Just What the Judges Ordered '' . The Washington Post .   Jump up ^ `` Miss America History -- 1989 '' . Miss America Organization . Archived from the original on June 5 , 2008 .   Jump up ^ `` Gretchen Carlson takes helm at struggling Miss America pageant '' . NJ.com .   Jump up ^ `` Miss America 1990 Debbye Turner : A Profile of Success '' . Pageantry Magazine . 1989 - 09 - 16 .   Jump up ^ Libman , Norma ( August 25 , 1991 ) . `` Year of Living as Miss America Offers an Education in Life '' . The Chicago Tribune .   Jump up ^ Carroll , Lauren ( July 26 , 2018 ) . `` Miss America scholarship foundation chairwoman resigns '' . Press of Atlantic City .   ^ Jump up to : Achenbach , Joel ( September 15 , 1991 ) . `` Miss Hawaii Wins Crown in Miss America Pageant ; 24 - Year - Old University Student Becomes First Contestant From 50th State to Take Title '' . The Washington Post .   Jump up ^ `` Miss America 1993 Closes Pageant with AIDS Appeal '' . The Washington Post . September 20 , 1992 .   Jump up ^ `` Mark Steines annoyed that his divorce with wife Leanza Cornett is taking so long '' . Hitberry . Retrieved April 15 , 2018 .   Jump up ^ Rosenfield , Megan ( September 19 , 1993 ) . `` Miss America 1994 Takes Homelessness as her Cause '' . The Washington Post .   ^ Jump up to : `` First Deaf Miss America '' . The New York Times . September 19 , 1994 .   Jump up ^ Roberts , Roxanne ( September 17 , 1995 ) . `` Miss Oklahoma Wins , So Does Pageant Tradition '' . The Washington Post .   Jump up ^ Curran , John ( September 15 , 1996 ) . `` Miss Kansas Tara Dawn Holland Wins Miss America Pageant '' . The Associated Press .   Jump up ^ Carroll , Lauren ( September 10 , 2017 ) . `` 20 years later , Brigantine native Kate Shindle reflects on Miss America '' . Press of Atlantic City .   Jump up ^ Purcell , Carey . `` Actress , Newly Elected Equity President and Former Miss America Kate Shindle On Still Trying to `` Cobble Together a Living '' Playbill , August 2015   ^ Jump up to : Carroll , Lauren ( June 29 , 2018 ) . `` Changes with Miss America cause issues among board members '' . Press of Atlantic City .   Jump up ^ Curran , John ( September 19 , 1998 ) . `` Miss Virginia Nicole Johnson wins Miss America pageant '' . Times Daily .   Jump up ^ Ruiz Patton , Susan ( September 20 , 1999 ) . `` Miss Pa . Played Violin Flawlessly Despite Format Changes That Cut Performances In Half , Susan Spafford Made The Most Of Her Opportunity '' . The Morning Call . Allentown , Pennsylvania .   ^ Jump up to : `` Angela Perez Baraquio Shares Her Story Of Becoming First Asian - American To Win Miss America In 2001 '' . KCAL . Los Angeles , California . November 28 , 2014 .   ^ Jump up to : Curran , John ( September 22 , 2001 ) . `` Miss Oregon Katie Harman wins Miss America crown '' . Arizona Daily Sun .   Jump up ^ `` Illinois Contestant Is Miss America '' . The Washington Post . September 22 , 2002 .   Jump up ^ `` Miss Florida crowned new Miss America '' . Arizona Daily Sun . September 20 , 2003 .   Jump up ^ Johnston , Lauren ( July 29 , 2004 ) . `` Miss Ala . Wins Spiced - Up Pageant '' . CBS News .   Jump up ^ Ross , Jr. , Bobby ( January 25 , 2006 ) . `` Months after baptism , Jennifer Berry wins Miss American pageant '' . Christian Chronicle . Archived from the original on 2010 - 05 - 26 .   Jump up ^ Associated Press ( January 30 , 2007 ) . `` Miss Oklahoma Lauren Nelson Wins Miss America 2007 Pageant '' . FOX News.com .   Jump up ^ `` Miss Michigan Kirsten Haglund Crowned Miss America 2008 '' . Associated Press . January 26 , 2008 .   Jump up ^ Lewis , Shawn ( 2008 - 01 - 28 ) . `` A dream come true for Miss America '' . The Detroit News .   Jump up ^ Clarke , Norm ( 2008 - 01 - 24 ) . `` Michigan pageant success is in genes '' . Las Vegas Review Journal .   Jump up ^ `` Miss Indiana Katie Stam is crowned 2009 Miss America ; Miss Georgia is first runner - up '' . Las Vegas Sun . January 24 , 2009 .   ^ Jump up to : `` Indiana student ill , but wins Miss America crown '' . Associated Press . 2009 - 01 - 24 .   Jump up ^ `` Miss Virginia wins 2010 Miss America crown '' . USA Today . 2010 - 01 - 30 .   ^ Jump up to : `` She 's just 17 ! Nebraskan wins Miss America pageant '' . TODAY . January 15 , 2011 .   Jump up ^ Oldenburg , Ann ( January 14 , 2012 ) . `` Miss America pageant crowns 2012 winner '' . USA Today . Gannett .   Jump up ^ `` NY woman crowned Miss America '' . 3 News NZ . January 14 , 2013 .   ^ Jump up to : Cavaliere , Victoria ( September 16 , 2013 ) . `` Miss New York is first Indian - American to win Miss America '' . Reuters . Archived from the original on November 20 , 2015 .   Jump up ^ Stern , Marlow ( September 16 , 2013 ) . `` Nina Davuluri Crowned Miss America : The First Miss America of Indian Descent '' . Daily Beast .   Jump up ^ `` A threepeat : Miss New York Kira Kazantsev crowned Miss America '' . CNN . September 15 , 2014 .   Jump up ^ Jensen , Erin ( September 14 , 2015 ) . `` Miss Georgia is crowned Miss America 2016 '' . USA Today . Gannett .   Jump up ^ `` Miss America 2017 is : Miss Arkansas Savvy Shields '' . USA Today . Gannett . September 11 , 2016 .   ^ Jump up to : Moniuszko , Sara M. ( September 10 , 2017 ) . `` Miss America 2018 : Miss North Dakota Cara Mund takes the crown '' . USA Today . Gannett .   Jump up ^ Stone , Natalie ( September 9 , 2018 ) . `` Miss New York Nia Imani Franklin Crowned Miss America 2019 '' . People .    External links ( edit )       Wikimedia Commons has media related to Miss America titleholders .      Miss America official website              Miss America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2019         Titleholders   Award winners     Outstanding Teen   MAOT State pageants                 Miss America state pageants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Puerto Rico   Rhode Island   South Carolina   South Dakota   Tennessee   Texas   Utah   Vermont   Virginia   Virgin Islands   Washington   West Virginia   Wisconsin   Wyoming                 Miss America titleholders     1921 -- 1939        Margaret Gorman ( 1921 )   Mary Campbell ( 1922 )   Mary Campbell ( 1923 )   Ruth Malcomson ( 1924 )   Fay Lanphier ( 1925 )   Norma Smallwood ( 1926 )   Lois Delander ( 1927 )   Marian Bergeron ( 1933 )   Henrietta Leaver ( 1935 )   Rose Coyle ( 1936 )   Bette Cooper ( 1937 )   Marilyn Meseke ( 1938 )   Patricia Donnelly ( 1939 )          1940 -- 1959        Frances Marie Burke ( 1940 )   Rosemary LaPlanche ( 1941 )   Jo - Carroll Dennison ( 1942 )   Jean Bartel ( 1943 )   Venus Ramey ( 1944 )   Bess Myerson ( 1945 )   Marilyn Buferd ( 1946 )   Barbara Jo Walker ( 1947 )   BeBe Shopp ( 1948 )   Jacque Mercer ( 1949 )   Yolande Betbeze ( 1951 )   Colleen Kay Hutchins ( 1952 )   Neva Jane Langley ( 1953 )   Evelyn Margaret Ay ( 1954 )   Lee Meriwether ( 1955 )   Sharo</t>
  </si>
  <si>
    <t xml:space="preserve">how many miss americas are from new york</t>
  </si>
  <si>
    <t xml:space="preserve">   State   Number of titles won   Year ( s ) won     New York   7   1945 , 1976 , 1984 , 2013 , 2014 , 2015 , 2019     Oklahoma   6   1926 , 1967 , 1981 , 1996 , 2006 , 2007     California   1925 , 1941 , 1943 , 1946 , 1955 , 1983     Ohio   1922 , 1923 , 1938 , 1963 , 1972 , 1978     Michigan   5   1939 , 1961 , 1970 , 1988 , 2008     Illinois   1927 , 1969 , 1991 , 1998 , 2003     Pennsylvania   1924 , 1935 , 1936 , 1940 , 1954     Mississippi     1959 , 1960 , 1980 , 1986     Arkansas     1964 , 1982 , 2017     Virginia   1979 , 1999 , 2010     Alabama   1951 , 1995 , 2005     Kansas   1966 , 1968 , 1997     Minnesota   1948 , 1977 , 1989     Texas   1942 , 1971 , 1975     Colorado   1956 , 1958 , 1974     Georgia     1953 , 2016     Wisconsin   1973 , 2012     Florida   1993 , 2004     Hawaii   1992 , 2001     South Carolina   1957 , 1994     Tennessee   1947 , 1987     Utah   1952 , 1985     New Jersey   1937 , 1984     Arizona   1949 , 1965     District of Columbia   1921 , 1944     North Dakota     2018     Nebraska   2011     Indiana   2009     Oregon   2002     Kentucky   2000     Missouri   1990     North Carolina   1962     Connecticut   1933   </t>
  </si>
  <si>
    <r>
      <rPr>
        <sz val="11"/>
        <color rgb="FF000000"/>
        <rFont val="Calibri"/>
        <family val="0"/>
        <charset val="1"/>
      </rPr>
      <t xml:space="preserve">The Players Championship - wikipedia  The Players Championship  Jump to : navigation , search `` Tournament Players Championship '' redirects here . For the British golf tournament , see Tournament Players Championship ( United Kingdom ) . For other uses , see Players Championship .  The Players Championship       Tournament information     Location   Ponte Vedra Beach , Florida     Established   1974 , 44 years ago     Course ( s )   TPC at Sawgrass , Stadium Course ( 1982 -- present )     Par   72     Length   7,189 yards ( 6,574 m )     Tour ( s )   PGA Tour     Format   Stroke play     Prize fund   $ 10.5 million     Month played   May     Tournament record score     Aggregate   264 Greg Norman ( 1994 )     To par   − 24 Greg Norman ( 1994 )     Current champion     Webb Simpson     2018 Players Championship    TPC Sawgrass Location in the United States TPC Sawgrass Location in Florida  The Players Championship ( commonly known as simply The Players , stylized by the PGA Tour as The PLAYERS Championship ) is an annual golf tournament on the PGA Tour . Originally known as the Tournament Players Championship , it began in 1974 . For many years , the Players Championship offered the highest prize fund of any tournament in golf ( $10.5 million in 2015 ) until it was overtaken in 2017 by the U.S. Open , which offered a $12 million purse . The field usually includes the top 50 players in the world rankings , but unlike the three major championships staged in the United States , it is not an official event on the European Tour .   The Players has often been considered the unofficial `` fifth major '' due to its prestige , its host course near Jacksonville , Florida ( the TPC at Sawgrass Stadium Course at which the tournament has been played since 1982 , home of the iconic par - 3 No. 17 `` Island Green '' ) , and its large purse .     Contents  ( hide )   1 Format   2 Field   3 History   3.1 Move to May   3.2 Playoffs   3.3 Defending champions     4 Venues   4.1 Course lengths     5 Winners   6 Multiple winners   7 Tournament highlights   8 Gallery   9 References   10 External links      Format   The victor receives $ 1.89 million , the winner 's share ( 18 % ) of the largest purse of any tournament in golf ( $10.5 million ) , and receives 80 points towards his world ranking , the largest share aside from the majors , for which winners earn 100 points . For comparison , the winners of the four individual World Golf Championships generally receive between 70 and 78 points .   The winner also receives a five - year exemption on the PGA Tour ( formerly ten years ) , a three - year invitation to the Masters Tournament , three - year exemptions for the U.S. Open and The Open Championship , and an exemption to the next three PGA Championship tournaments starting in 2018 . The winner earns 600 FedEx Cup points , if a PGA Tour member .   Field   The field consists of 144 players consisting of the following criteria :    Winners of PGA Tour events since last Players   Top 125 from previous season 's FedEx Cup points list   Top 125 ( medical )   Major champions from the past five years   Players Championship winners from the past five years   The Tour Championship winners from the past three years   World Golf Championship winners from the past three years   Memorial Tournament and Arnold Palmer Invitational winners since 2015   Top 50 from the Official World Golf Ranking   Senior Players champion from prior year   Web.com Tour money leader from prior season   Money leader during the Web.com Tour Finals , if not the regular - season money leader   Top 10 current year FedEx Cup points leaders   Remaining positions and alternates filled through current year FedEx Cup standings    History   The Players Championship was conceived by the PGA Tour commissioner Deane Beman ; the inaugural event in 1974 was played at Atlanta Country Club in Marietta , Georgia , concluding on Labor Day weekend in early September . It moved to Texas for 1975 , at the Colonial Country Club in Fort Worth in August , and then to south Florida for 1976 at Inverrary Country Club in Lauderhill , at its East Course in late February .   Beginning in 1977 , the event moved up the coast and was played at Ponte Vedra Beach in mid-March , initially at Sawgrass Country Club 's Oceanside Course ( a combination of the `` East '' and `` West '' 9 - hole courses ) . Since 1982 , it has been played across the road to the west , at the Stadium Course at TPC at Sawgrass . The word `` Tournament '' was dropped from the title following the 1987 event .   Following the 2006 event , the course underwent a major renovation , which received very positive reviews from the players in 2007 . Included in the renovation was a new 77,000 - square - foot ( 7,150 m ) Mediterranean Revival - style clubhouse .   Move to May   For the first thirty years at Ponte Vedra Beach , the championship was played in mid - to late March , several weeks before The Masters . ( Three weeks prior for the first six seasons ( 1977 -- 1982 ) , then to two weeks in 1983 . ) It was moved to May in 2007 , to the weekend including the second Saturday , as part of a restructuring of the PGA Tour . This restructuring involved the introduction of the lucrative FedEx Cup , which concludes with The Tour Championship . The change gave the PGA Tour a marquee event in six consecutive months ( The Masters in April , The Players in May , the U.S. Open in June , The Open Championship in July , the PGA Championship in August , and the Tour Championship in September ) .   With the rearrangement of 2007 , the final round of The Players Championship is usually scheduled for the second Sunday of May , Mother 's Day . To mark this , during the fourth round almost all players wear pink shirts or accessories , and many in the galleries also join them in donning pink garb .   Prior to the 2017 PGA Championship , it was announced that the Players would be moved back to March beginning in 2019 , as the PGA Championship is being concurrently moved to May from its current August scheduling . It was believed that the PGA Tour wished to end its season sooner so that the FedEx Cup playoffs would not have to compete with the start of football season .   Playoffs   The playoff format was sudden - death through 2013 , lately starting at the par - 3 17th hole . The format was changed to a three - hole aggregate in 2014 , similar to the PGA Championship , played over the final three holes , in order . If still tied , the playoff goes to sudden - death on the same three holes , but starts at the 17th .   Since moving to the Stadium Course in 1982 , only four playoffs have been necessary ( 1987 , 2008 , 2011 , 2015 ) . The 1987 playoff started at the par - 5 16th and went to a third extra hole at the par - 4 18th , with three pars by the winner ; the next two ended at the first extra hole ( 17 ) , also with pars by the victors . ( The only playoff prior to the Stadium Course was in 1981 ; it also ended on the first hole with a par by the winner . )   The 2015 playoff was the first for the three - hole aggregate and included three participants ; two birdied 17 and the other player was eliminated after three holes . It went to sudden - death at 17 and became the first playoff at the Players to end with a birdie .   Defending champions   The Players has yet to produce a successful title defense ; victories in consecutive years . Jack Nicklaus won three of the first five events , but in alternating years on different courses . Since moving to TPC Sawgrass in 1982 , five players have won twice , but the shortest span between victories is six years ( Steve Elkington : 1991 , 1997 ) .   The best finish by a defending champion is a tie for fifth place ( 1977 , 1990 , 2001 ) and the closest margin is four strokes behind ( 1977 , 1981 , 1989 , 2005 ) . The defending champion has missed the cut nine times , most recently in 2016 , and has not participated ( for health reasons ) on three occasions ( 1983 , 1998 , 2014 ) . The most recent top - ten finish was in 2005 , a tie for eighth place .   Venues     Years   Events   Venue   City   State     1982 -- 2018   37   TPC Sawgrass , Stadium Course   Ponte Vedra Beach   Florida     1977 -- 1981   5   Sawgrass Country Club     1976     Inverrary Country Club , East Course   Lauderhill         Colonial Country Club   Fort Worth   Texas         Atlanta Country Club   Marietta   Georgia     Course lengths     Years   Events   Length   Venue     2017 -- 2018     7,189 yards ( 6,574 m )   TPC Sawgrass Stadium Course     2007 -- 2016   10   7,215 yards ( 6,597 m )     2006     7,098 yards ( 6,490 m )     1999 -- 2005   7   7,093 yards ( 6,486 m )     1998     6,950 yards ( 6,355 m )     1990 -- 1997   8   6,896 yards ( 6,306 m )     1982 -- 1989   8   6,857 yards ( 6,270 m )     1980 -- 1981     7,000 yards ( 6,400 m )   Sawgrass CC     1979     7,083 yards ( 6,477 m )     1977 -- 1978     7,174 yards ( 6,560 m )     1976     7,128 yards ( 6,518 m )   Inverrary CC         7,190 yards ( 6,575 m )   Colonial CC         6,883 yards ( 6,294 m )   Atlanta CC      Par 72 , except for 1975 ( par 70 )    Winners     Year   Player   Country   Score   To par   Margin of victory   Runner ( s ) - up   Winner 's share ( $ )   Purse ( $ )     The Players Championship     2018   Webb Simpson   United States   270   − 18   4 strokes   Xander Schauffele Charl Schwartzel Jimmy Walker   1,980,000   11,000,000     2017   Kim Si - woo   South Korea   278   − 10   3 strokes   Louis Oosthuizen Ian Poulter   1,890,000   10,500,000     2016   Jason Day   Australia   273   − 15   4 strokes   Kevin Chappell   1,890,000   10,500,000     2015   Rickie Fowler   United States   276   − 12   Playoff   Sergio García Kevin Kisner   1,800,000   10,000,000     2014   Martin Kaymer   Germany   275   − 13   1 stroke   Jim Furyk   1,800,000   10,000,000     2013   Tiger Woods ( 2 )   United States   275   − 13   2 strokes   David Lingmerth Jeff Maggert Kevin Streelman   1,710,000   9,500,000     2012   Matt Kuchar   United States   275   − 13   2 strokes   Ben Curtis Rickie Fowler Zach Johnson Martin Laird   1,710,000   9,500,000     2011   K.J. Choi   South Korea   275   − 13   Playoff   David Toms   1,710,000   9,500,000       Tim Clark   South Africa   272   − 16   1 stroke   Robert Allenby   1,710,000   9,500,000     2009   Henrik Stenson   Sweden   276   − 12   4 strokes   Ian Poulter   1,710,000   9,500,000     2008   Sergio García   Spain   283   − 5   Playoff   Paul Goydos   1,710,000   9,500,000     2007   Phil Mickelson   United States   277   − 11   2 strokes   Sergio García   1,620,000   9,000,000     2006   Stephen Ames   Canada   274   − 14   6 strokes   Retief Goosen   1,440,000   8,000,000     2005   Fred Funk   United States   279   − 9   1 stroke   Luke Donald Tom Lehman Scott Verplank   1,440,000   8,000,000       Adam Scott   Australia   276   − 12   1 stroke   Pádraig Harrington   1,440,000   8,000,000     2003   Davis Love III ( 2 )   United States   271   − 17   6 strokes   Jay Haas Pádraig Harrington   1,170,000   6,500,000     2002   Craig Perks   New Zealand   280   − 8   2 strokes   Stephen Ames   1,080,000   6,000,000     2001   Tiger Woods   United States   274   − 14   1 stroke   Vijay Singh   1,080,000   6,000,000     2000   Hal Sutton ( 2 )   United States   278   − 10   1 stroke   Tiger Woods   1,080,000   6,000,000     1999   David Duval   United States   285   − 3   2 strokes   Scott Gump   900,000   5,000,000     1998   Justin Leonard   United States   278   − 10   2 strokes   Glen Day Tom Lehman   720,000   4,000,000     1997   Steve Elkington ( 2 )   Australia   272   − 16   7 strokes   Scott Hoch   630,000   3,500,000       Fred Couples ( 2 )   United States   270   − 18   4 strokes   Colin Montgomerie Tommy Tolles   630,000   3,500,000     1995   Lee Janzen   United States   283   − 5   1 stroke   Bernhard Langer   540,000   3,000,000     1994   Greg Norman   Australia   264   − 24   4 strokes   Fuzzy Zoeller   450,000   2,500,000     1993   Nick Price   Zimbabwe   270   − 18   5 strokes   Bernhard Langer   450,000   2,500,000     1992   Davis Love III   United States   273   − 15   4 strokes   Ian Baker - Finch Phil Blackmar Nick Faldo Tom Watson   324,000   1,800,000     1991   Steve Elkington   Australia   276   − 12   1 stroke   Fuzzy Zoeller   288,000   1,600,000     1990   Jodie Mudd   United States   278   − 10   1 stroke   Mark Calcavecchia   270,000   1,500,000     1989   Tom Kite   United States   279   − 9   1 stroke   Chip Beck   243,000   1,350,000     1988   Mark McCumber   United States   273   − 15   4 strokes   Mike Reid   225,000   1,250,000     Tournament Players Championship       Sandy Lyle   Scotland   274   − 14   Playoff   Jeff Sluman   180,000   1,000,000     1986   John Mahaffey   United States   275   − 13   1 stroke   Larry Mize   162,000   900,000     1985   Calvin Peete   United States   274   − 14   3 strokes   D.A. Weibring   162,000   900,000     1984   Fred Couples   United States   277   − 11   1 stroke   Lee Trevino   144,000   800,000       Hal Sutton   United States   283   − 5   1 stroke   Bob Eastwood   126,000   700,000     1982   Jerry Pate   United States   280   − 8   2 strokes   Brad Bryant Scott Simpson   90,000   500,000     1981   Raymond Floyd   United States   285   − 3   Playoff   Barry Jaeckel Curtis Strange   72,000   440,000     1980   Lee Trevino   United States   278   − 10   1 stroke   Ben Crenshaw   72,000   440,000     1979   Lanny Wadkins   United States   283   − 5   5 strokes   Tom Watson   72,000   440,000     1978   Jack Nicklaus ( 3 )   United States   289   + 1   1 stroke   Lou Graham   60,000   300,000     1977   Mark Hayes   United States   289   + 1   2 strokes   Mike McCullough   60,000   300,000     1976   Jack Nicklaus ( 2 )   United States   269   − 19   3 strokes   J.C. Snead   60,000   300,000       Al Geiberger   United States   270   − 10   3 strokes   Dave Stockton   50,000   250,000       Jack Nicklaus   United States   272   − 16   2 strokes   J.C. Snead   50,000   250,000     Note : Green highlight indicates scoring records . Sources   Multiple winners   Six players have won the tournament more than once :    3 wins :   Jack Nicklaus : 1974 , 1976 , 1978     2 wins :   Fred Couples : 1984 , 1996   Steve Elkington : 1991 , 1997   Hal Sutton : 1983 , 2000   Davis Love III : 1992 , 2003   Tiger Woods : 2001 , 2013      Nicklaus won in alternating years at three different venues , but never at the Stadium Course , where the rest won both titles . The shortest span between wins at the Stadium Course is six years ( Elkington ) and the longest is seventeen years ( Sutton ) .   Tournament highlights  Phil Mickelson with the 2007 Players Championship trophy   1974 : Jack Nicklaus wins the inaugural edition of the tournament . He beats J.C. Snead by two shots near Atlanta .   1977 : Mark Hayes wins by two shots over Mike McCullough at Sawgrass Country Club , despite shooting the highest winning score on the PGA Tour , 289 , since Nicklaus at the 1972 U.S. Open .   1978 : Jack Nicklaus wins his third Tournament Players Championship title . He edges Lou Graham by one shot .   1979 : Bob Murphy , a five - time winner on the PGA Tour , shoots a final round 92 . Winds were gusting up to 45 miles per hour that day .   1980 : Playing in a final threesome with Gary Player and Jack Nicklaus , Lee Trevino shoots a final round 70 to edge Ben Crenshaw by one shot .   1981 : Raymond Floyd defeats Curtis Strange and Barry Jaeckel on the first hole of a sudden death playoff . In addition to the tournament title , Floyd collects an additional $250,000 bonus due to his win at the Doral - Eastern Open the week before .   1982 : After winning the first tournament at the Stadium Course by two shots over Brad Bryant and Scott Simpson , Jerry Pate tosses PGA Tour Commissioner Deane Beman and course architect Pete Dye into the water adjacent to the 18th green before jumping in himself .   1983 : Hal Sutton wins by one shot over Bob Eastwood . John Cook came to the 72nd hole tied for the lead with Sutton before hitting his tee shot in the water on his way to a double bogey .   1984 : Fred Couples shoots a course record 64 during the second round of play on his way to a one - shot victory over Lee Trevino .   1986 : John Mahaffey wins by one shot over Larry Mize after Mize makes bogey on four of the last five holes during the final round of play .   1987 : Sandy Lyle defeats Jeff Sluman with a par on the third hole of a sudden - death playoff . At the playoff 's second hole , Sluman stood over a 6 - foot ( 1.8 m ) birdie putt to win , and a spectator jumped into the water surrounding the 17th green . He backed away , then missed .   1988 : Jacksonville area resident Mark McCumber wins by four shots over Mike Reid .   1989 : Tom Kite wins for the second consecutive week . He beats Chip Beck by one shot .   1991 : Steve Elkington wins by one shot over Fuzzy Zoeller . Phil Blackmar had solo possession of the lead before hitting his tee shot into the water on the 71st hole resulting in a double bogey .   1992 : Mark Calcavecchia and John Daly , the first pair on the final day of the tournament , are reprimanded by Deputy PGA Tour Commissioner Tim Finchem `` for failure to exert their best effort '' after they finish their 18 holes of golf in only two hours and three minutes .   1994 : Greg Norman shoots the 72 - hole record score for the tournament , 264 , on his way to a four shot victory over Fuzzy Zoeller .   1995 : After Norman 's record score , the course is made tougher by the creation of new , rock hard greens . Lee Janzen shoots 283 to win the tournament , the biggest one - year swing for a tournament played on the same layout in PGA Tour history .   1996 : Twelve years after his first win at the TPC at Sawgrass , Fred Couples triumphs again . He shoots a final round 64 to beat Colin Montgomerie and Tommy Tolles by four shots .   1999 : David Duval wins by two shots over Scott Gump . The win by Duval propels him to # 1 in the World rankings .   2000 : Hal Sutton wins at the TPC at Sawgrass for a second time . He edges Tiger Woods by one shot .   2002 : Playing for the first time ever in The Players Championship , Craig Perks finishes eagle - birdie - par to win by two shots over Stephen Ames . It is the only PGA Tour win for Perks .   2003 : Davis Love III wins The Players Championship for a second time . He shoots a final round 64 to win by six shots over Jay Haas and Pádraig Harrington .   2004 : In spite of hitting his 2nd shot at the 72nd hole into the water , Adam Scott is able to get it up and down for bogey to win by one shot over Pádraig Harrington .   2005 : Fred Funk becomes the tournament 's oldest champion by edging Tom Lehman , Luke Donald , and Scott Verplank by one shot . During the final round , Bob Tway hits four balls into the water surrounding the 17th green , scoring a twelve on the hole .   2010 : After 206 career PGA Tour starts , Tim Clark breaks through for his first Tour win .   2011 : K.J. Choi becomes the first Asian born golfer to win The Players Championship . He defeats David Toms on the first hole of a sudden death playoff .   2013 : Roberto Castro ties the course record with a 9 - under 63 in the opening round . Sergio García , tied for the lead with Tiger Woods at 13 - under par going to the par - 3 17th hole in the final round , puts two balls into the water . Tiger Woods wins the event for the first time since 2001 . It is his 78th career PGA Tour win in his 300th start .   2014 : Ongoing injuries prevent Tiger Woods from defending his title . In the first round , Martin Kaymer ties the course record with a 63 matching Fred Couples ( 1992 ) , Greg Norman ( 1994 ) and Roberto Castro ( 2013 ) . Kaymer goes on to win wire - to - wire .   2015 : Following a three - way tie at 12 - under par in regulation play , the tournament 's first aggregate three - hole playoff over holes 16 -- 18 is conducted between Rickie Fowler , Kevin Kisner and Sergio García . Kisner and Fowler both go par - birdie - par to end the playoff at 1 - under par , while García can only muster three pars to finish at even par and is eliminated . The playoff continues into sudden death , starting at the 17th , where both Kisner and Fowler have birdie opportunities . Kisner 's birdie try from about 12 feet is unsuccessful , while Fowler 's effort , inside of five feet , drops home for the victory .   2017 : 21 - year - old Kim Si - woo becomes the event 's youngest winner .    Gallery     Tiger Woods at the 17th hole in the 2007 Players Championship .     Phil Mickelson on the 18th hole in the 2007 Players Championship .     Sergio García winning the 2008 Players Championship .     Former President George H.W. Bush shakes hands with Rear Adm. Joseph Kernan and then received the Professional Golfers Association Tour Lifetime Achievement Award .     Adam Scott chips out of the trap for par on # 3 during the 2008 Players Championship .     Dierks Bentley meets with service members at the 2013 Players Championship .     References    Jump up ^ `` Stadium Course '' . TPC Sawgrass . ( scorecard ) . November 2016 . Retrieved May 10 , 2017 .   ^ Jump up to : Biggers , Don ( June 23 , 1974 ) . `` Move over ' big four , ' here comes another '' . Rome News - Tribune . Georgia . p. 1C .   Jump up ^ http://www.pgatour.com/tournaments/the-players-championship.html   Jump up ^ Crouse , Karen ( May 7 , 2013 ) . `` Men 's Fifth Major May Remain Mythical '' . The New York Times . Retrieved June 27 , 2013 .   ^ Jump up to : Burke , Monte ( May 9 , 2012 ) . `` The Players Championship Is Not The `` 5th Major , '' But It 's Still A Great Tournament `` . Forbes . Retrieved June 27 , 2013 .   Jump up ^ `` Rich TPC locates champion in Love '' . Spokesman - Review . ( Spokane , Washington ) . Knight - Ridder . March 30 , 1992 . p . C1 .   Jump up ^ `` Inverrary event wants to join pro golf 's ' big four ' '' . Boca Raton News . Florida . UPI . February 24 , 1976 . p. 7 .   Jump up ^ Murray , Jim ( March 28 , 1977 ) . `` Pro golf heavyweights ca n't duck Sawgrass course '' . Sarasota Herald - Tribune . ( Los Angeles Times ) . p. 5C .   ^ Jump up to : Boswell , Tom ( March 22 , 1982 ) . `` Splish , splash ! Pate is the winner with a wet , wild finish '' . Milwaukee Journal . ( Washington Post ) . p. 3 , part 3 .   ^ Jump up to : `` Beaman , Dye celebrate with Pate '' . Spokesman - Review . Associated Press . March 22 , 1982 . p. 15 .   Jump up ^ http://www.pgatour.com/info/company/story/9158540   Jump up ^ Shedloski , Dave ( August 7 , 2017 ) . `` The PGA Championship is moving to May and players are on board '' . Golf Digest . Retrieved August 8 , 2017 .   Jump up ^ `` P.G.A. Championship Will Move from August to May in 2019 '' . The New York Times . Reuters . August 8 , 2017 . ISSN 0362 - 4331 . Retrieved August 9 , 2017 .   Jump up ^ Herrington , Ryan ( August 7 , 2017 ) . `` The PGA Championship will be moving to May , sources say '' . Golf Digest . Retrieved August 9 , 2017 .   Jump up ^ Martin , Sean ( April 16 , 2014 ) . `` The Players Championship announces change to playoff format '' . PGA Tour . Retrieved April 16 , 2014 .   ^ Jump up to : `` Lyle wins TPC in extra holes '' . Milwaukee Sentinel . Associated Press . March 30 , 1987 . p. 3 , part 2 .   ^ Jump up to : Fowler , Bob ( March 30 , 1987 ) . `` Fan 's dive kept Lyle afloat '' . Spokane Chronicle . ( Orlando Sentinel ) . p . C2 .   ^ Jump up to : White , Gordon S. , Jr . ( March 30 , 1987 ) . `` Lyle wins T.P.C. in playoff '' . New York Times . Retrieved April 16 , 2014 .   Jump up ^ `` Floyd wins playoff for record payoff - $322,000 '' . Chicago Tribune . wire services . March 24 , 1981 . p. 3 , sec. 6 .   Jump up ^ `` Floyd recoups his losses , takes golf 's biggest check '' . Eugene Register - Guard . ( Oregon ) . Associated Press . March 24 , 1981 . p. 4C .   Jump up ^ The Players Championship -- Winners -- at www.pgatour.com   Jump up ^ The Players Championship -- Winners -- at golfobserver.com   Jump up ^ ' Hungry ' Nicklaus wins   Jump up ^ Hayes uses wind in surprising win over talented field   Jump up ^ Nicklaus not up to par   Jump up ^ Wadkins survives elements to win by five - strokes   Jump up ^ Trevino tames Sawgrass   Jump up ^ Record payoff for Floyd   Jump up ^ Sutton gets lucky to win rich tour players ' toruney   Jump up ^ Couples shoots 64 to take lead of two strokes   Jump up ^ Fred Couples shows he can handle the pressure   Jump up ^ Mahaffey tops $2 - million   Jump up ^ McCumber wins , sets record   Jump up ^ Players champion flying high   Jump up ^ Breakfast club putting advice gives Elkington the Players title   Jump up ^ `` Love conquers all to win Players Championship '' . Milwaukee Sentinel . Associated Press . March 30 , 1992 .   Jump up ^ Norman storms to record in Players Championship   Jump up ^ Zullo , Allan , `` Astonishing but True Golf Facts '' , Andrew McMeels Publishing , Forest Fairview , North Carolina , 2001 .   Jump up ^ Couples finishes too strong to win Players Championship   Jump up ^ Perfect weekend for Duval   Jump up ^ Sutton holds on for one - stroke victory   Jump up ^ Perks wins Players Championships   Jump up ^ Love 's incredible round of golf wins Players Championship   Jump up ^ Scott survives 18 to win Players Championship   Jump up ^ `` Funk wins Players : Donald falls back as tournament hits home stretch '' . Sports Illustrated . March 28 , 2005 .   Jump up ^ Choi wins Players Championship   Jump up ^ DiMeglio , Steve ( May 9 , 2013 ) . `` Roberto Castro ties course record at Sawgrass with 63 '' . USA Today . Retrieved May 13 , 2013 .   Jump up ^ `` Players Championship : Martin Kaymer leads after first round '' . BBC Sport . May 9 , 2014 . Retrieved May 10 , 2014 .   Jump up ^ `` Rickie Fowler rallies , overcomes 2 in playoff to claim Players '' . ESPN . Associated Press . May 10 , 2015 .    External links    Golf portal   Florida portal   Jacksonville portal     Coverage on the PGA Tour 's official site   TPC at Sawgrass official site   Results at golfstats.com    Coordinates : 30 ° 11 ′ 53 '' N 81 ° 23 ′ 38 '' W ﻿ / ﻿ 30.198 ° N 81.394 ° W ﻿ / 30.198 ; - 81.394             The Players Championship           1976   1977   1978   1979         1980   1981   1982     1984   1985   1986     1988   1989         1990   1991   1992   1993   1994   1995     1997   1998   1999         2000   2001   2002   2003     2005   2006   2007   2008   2009           2011   2012   2013   2014   2015   2016   2017   2018                 PGA Tour events     Major championships     Masters Tournament   U.S. Open   The Open Championship ( British Open )   PGA Championship       Other tournaments     Safeway Open   CIMB Classic   CJ Cup   WGC - HSBC Champions   Sanderson Farms Championship   Shriners Hospitals for Children Open   OHL Classic at Mayakoba   RSM Classic   Sentry Tournament of Champions   Sony Open in Hawaii   CareerBuilder Challenge   Farmers Insurance Open   Waste Management Phoenix Open   AT&amp;T Pebble Beach Pro-Am   Genesis Open   The Honda Classic   WGC - Mexico Championship   Puerto Rico Open   Valspar Championship   Arnold Palmer Invitational   WGC - Dell Technologies Match Play   Corales Puntacana Resort and Club Championship   Houston Open   RBC Heritage   Valero Texas Open   Zurich Classic of New Orleans   Wells Fargo Championship   The Players Championship   AT&amp;T Byron Nelson   Fort Worth Invitational   Memorial Tournament   FedEx St. Jude Classic   Travelers Championship   The National   Greenbrier Classic   John Deere Classic   Barbasol Championship   RBC Canadian Open   WGC - Bridgestone Invitational   Barracuda Championship   Wyndham Championship       FedEx Cup playoff events     The Northern Trust   Dell Technologies Championship   BMW Championship   Tour Championship       Team events     Ryder Cup   Presidents Cup   World Cup       Unofficial money events     Hero World Challenge   QBE Shootout   CVS Health Charity Classic       Former events     List of former events   Fall Series       All events are listed in chronological order .               Jacksonville events     Current     Amelia Island Concours d'Elegance   Florida vs. Georgia Football Classic   Gate River Run   Gator Bowl   Jacksonville Jazz Festival   Jacksonville Kingfish Tournament   Jacksonville Pride   Mug Race   One Spark   The Players Championship   Springing the Blues   World of Nations Celebration   Jacksonville Film Festival       Former     Planetfest   Super Bowl XXXIX      Retrieved from `` https://en.wikipedia.org/w/index.php?title=The_Players_Championship&amp;oldid=841086304 '' Categories :   The Players Championship   Annual sporting events in the United States   Recurring sporting events established in 1974   1974 establishments in Georgia ( U.S. state )   Hidden categories :   Wikipedia semi-protected pages   Coordinates on Wikidata           Talk                           View source                 Contents                   About Wikipedia                                           Dansk   Deutsch   Español   Français   </t>
    </r>
    <r>
      <rPr>
        <sz val="11"/>
        <color rgb="FF000000"/>
        <rFont val="Noto Sans CJK SC"/>
        <family val="2"/>
      </rPr>
      <t xml:space="preserve">한국어   </t>
    </r>
    <r>
      <rPr>
        <sz val="11"/>
        <color rgb="FF000000"/>
        <rFont val="Calibri"/>
        <family val="0"/>
        <charset val="1"/>
      </rPr>
      <t xml:space="preserve">Nederlands   </t>
    </r>
    <r>
      <rPr>
        <sz val="11"/>
        <color rgb="FF000000"/>
        <rFont val="Noto Sans CJK SC"/>
        <family val="2"/>
      </rPr>
      <t xml:space="preserve">日本 語   </t>
    </r>
    <r>
      <rPr>
        <sz val="11"/>
        <color rgb="FF000000"/>
        <rFont val="Calibri"/>
        <family val="0"/>
        <charset val="1"/>
      </rPr>
      <t xml:space="preserve">Norsk   Português   Svenska   </t>
    </r>
    <r>
      <rPr>
        <sz val="11"/>
        <color rgb="FF000000"/>
        <rFont val="Noto Sans CJK SC"/>
        <family val="2"/>
      </rPr>
      <t xml:space="preserve">中文  </t>
    </r>
    <r>
      <rPr>
        <sz val="11"/>
        <color rgb="FF000000"/>
        <rFont val="Calibri"/>
        <family val="0"/>
        <charset val="1"/>
      </rPr>
      <t xml:space="preserve">4 more  Edit links   This page was last edited on 14 May 2018 , at 00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</si>
  <si>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are the qualifications to play in the players championship</t>
  </si>
  <si>
    <t xml:space="preserve">  Winners of PGA Tour events since last Players   Top 125 from previous season 's FedEx Cup points list   Top 125 ( medical )   Major champions from the past five years   Players Championship winners from the past five years   The Tour Championship winners from the past three years   World Golf Championship winners from the past three years   Memorial Tournament and Arnold Palmer Invitational winners since 2015   Top 50 from the Official World Golf Ranking   Senior Players champion from prior year   Web.com Tour money leader from prior season   Money leader during the Web.com Tour Finals , if not the regular - season money leader   Top 10 current year FedEx Cup points leaders   Remaining positions and alternates filled through current year FedEx Cup standings  </t>
  </si>
  <si>
    <t xml:space="preserve">List of the highest major summits of North America - wikipedia  List of the highest major summits of North America  Further information : List of mountain peaks of North America See also : List of the most prominent summits of North America and List of the most isolated major summits of North America Denali in Alaska is the highest mountain peak of North America . Denali is the third-most topographically prominent and third-most topographically isolated summit on Earth after Mount Everest and Aconcagua .  The following sortable table comprises the 200 highest mountain peaks of greater North America with at least 500 meters ( 1640 feet ) of topographic prominence .   The summit of a mountain or hill may be measured in three principal ways :    The topographic elevation of a summit measures the height of the summit above a geodetic sea level .   The topographic prominence of a summit is a measure of how high the summit rises above its surroundings .   The topographic isolation ( or radius of dominance ) of a summit measures how far the summit lies from its nearest point of equal elevation .    In greater North America , only Denali exceeds 6000 meters ( 19,685 feet ) elevation . Three major summits exceed 5500 meters ( 18,045 feet ) , 11 exceed 5000 meters ( 16,404 feet ) , 21 exceed 4500 meters ( 14,764 feet ) , 124 exceed 4000 meters ( 13,123 feet ) , 277 exceed 3500 meters ( 11,483 feet ) , and 401 exceed 3000 meters ' ( 9843 feet ) elevation .   Contents    1 Highest major summits   2 Gallery   3 See also   4 References   5 External links    Highest major summits ( edit )     Map this section 's coordinates using : OpenStreetMap     Download coordinates as : KML GPX    See also : List of the major 5000 - meter summits of North America , List of the major 4000 - meter summits of North America , and List of the major 3000 - meter summits of North America  Of these 200 highest major summits of North America , 160 are located in the United States , 30 in Canada , 11 in México , six in Guatemala , and one in Costa Rica . Seven of these peaks lie on the Canada - United States border and one lies on the México - Guatemala border .   The 200 highest summits of greater North America with at least 500 meters of topographic prominence   Rank   Mountain peak   Region   Mountain range   Elevation   Prominence   Isolation   Location       Denali ( formerly Mount McKinley )   Alaska   Alaska Range   6190.5 m 20,310 ft   6141 m 20,146 ft   7,450 km 4,629 mi   63 ° 04 ′ 08 '' N 151 ° 00 ′ 23 '' W ﻿ / ﻿ 63.0690 ° N 151.0063 ° W ﻿ / 63.0690 ; - 151.0063 ﻿ ( Denali )       Mount Logan   Yukon   Saint Elias Mountains   5959 m 19,551 ft   5247 m 17,215 ft   623 km 387 mi   60 ° 34 ′ 02 '' N 140 ° 24 ′ 20 '' W ﻿ / ﻿ 60.5671 ° N 140.4055 ° W ﻿ / 60.5671 ; - 140.4055 ﻿ ( Mount Logan )       Pico de Orizaba ( Citlaltépetl )   Puebla Veracruz   Cordillera Neovolcanica   5636 m 18,491 ft   4922 m 16,148 ft   2,690 km 1,672 mi   19 ° 01 ′ 50 '' N 97 ° 16 ′ 11 '' W ﻿ / ﻿ 19.0305 ° N 97.2698 ° W ﻿ / 19.0305 ; - 97.2698 ﻿ ( Pico de Orizaba )       Mount Saint Elias   Alaska Yukon   Saint Elias Mountains   5489 m 18,009 ft   3429 m 11,250 ft   41.3 km 25.6 mi   60 ° 17 ′ 34 '' N 140 ° 55 ′ 51 '' W ﻿ / ﻿ 60.2927 ° N 140.9307 ° W ﻿ / 60.2927 ; - 140.9307 ﻿ ( Mount Saint Elias )     5   Popocatépetl   México Morelos Puebla   Cordillera Neovolcanica   5410 m 17,749 ft   3040 m 9,974 ft   143.0 km 88.8 mi   19 ° 01 ′ 21 '' N 98 ° 37 ′ 40 '' W ﻿ / ﻿ 19.0225 ° N 98.6278 ° W ﻿ / 19.0225 ; - 98.6278 ﻿ ( Popocatépetl )     6   Mount Foraker   Alaska   Alaska Range   5304 m 17,400 ft   2210 m 7,250 ft   23.0 km 14.27 mi   62 ° 57 ′ 37 '' N 151 ° 23 ′ 59 '' W ﻿ / ﻿ 62.9604 ° N 151.3998 ° W ﻿ / 62.9604 ; - 151.3998 ﻿ ( Mount Foraker )     7   Mount Lucania   Yukon   Saint Elias Mountains   5260 m 17,257 ft   3080 m 10,105 ft   43.0 km 26.7 mi   61 ° 01 ′ 17 '' N 140 ° 27 ′ 58 '' W ﻿ / ﻿ 61.0215 ° N 140.4661 ° W ﻿ / 61.0215 ; - 140.4661 ﻿ ( Mount Lucania )     8   Iztaccíhuatl   México Puebla   Cordillera Neovolcanica   5230 m 17,159 ft   1560 m 5,118 ft   17.51 km 10.88 mi   19 ° 10 ′ 49 '' N 98 ° 38 ′ 29 '' W ﻿ / ﻿ 19.1802 ° N 98.6415 ° W ﻿ / 19.1802 ; - 98.6415 ﻿ ( Iztaccíhuatl )     9   King Peak   Yukon   Saint Elias Mountains   5173 m 16,972 ft   1073 m 3,520 ft   4.68 km 2.91 mi   60 ° 35 ′ 00 '' N 140 ° 39 ′ 18 '' W ﻿ / ﻿ 60.5833 ° N 140.6549 ° W ﻿ / 60.5833 ; - 140.6549 ﻿ ( King Peak )     10   Mount Bona   Alaska   Saint Elias Mountains   5044 m 16,550 ft   2103 m 6,900 ft   80.0 km 49.7 mi   61 ° 23 ′ 08 '' N 141 ° 44 ′ 58 '' W ﻿ / ﻿ 61.3856 ° N 141.7495 ° W ﻿ / 61.3856 ; - 141.7495 ﻿ ( Mount Bona )     11   Mount Steele   Yukon   Saint Elias Mountains   5020 m 16,470 ft   760 m 2,493 ft   9.45 km 5.87 mi   61 ° 05 ′ 34 '' N 140 ° 18 ′ 42 '' W ﻿ / ﻿ 61.0929 ° N 140.3118 ° W ﻿ / 61.0929 ; - 140.3118 ﻿ ( Mount Steele )     12   Mount Blackburn   Alaska   Wrangell Mountains   4996 m 16,390 ft   3548 m 11,640 ft   97.6 km 60.7 mi   61 ° 43 ′ 50 '' N 143 ° 24 ′ 11 '' W ﻿ / ﻿ 61.7305 ° N 143.4031 ° W ﻿ / 61.7305 ; - 143.4031 ﻿ ( Mount Blackburn )     13   Mount Sanford   Alaska   Wrangell Mountains   4949 m 16,237 ft   2343 m 7,687 ft   64.8 km 40.3 mi   62 ° 12 ′ 48 '' N 144 ° 07 ′ 45 '' W ﻿ / ﻿ 62.2132 ° N 144.1292 ° W ﻿ / 62.2132 ; - 144.1292 ﻿ ( Mount Sanford )     14   Mount Wood   Yukon   Saint Elias Mountains   4860 m 15,945 ft   1200 m 3,937 ft   18.95 km 11.77 mi   61 ° 13 ′ 57 '' N 140 ° 30 ′ 44 '' W ﻿ / ﻿ 61.2326 ° N 140.5123 ° W ﻿ / 61.2326 ; - 140.5123 ﻿ ( Mount Wood )     15   Mount Vancouver   Yukon   Saint Elias Mountains   4812 m 15,787 ft   2712 m 8,898 ft   44.0 km 27.4 mi   60 ° 21 ′ 32 '' N 139 ° 41 ′ 53 '' W ﻿ / ﻿ 60.3589 ° N 139.6980 ° W ﻿ / 60.3589 ; - 139.6980 ﻿ ( Mount Vancouver )     16   Mount Slaggard   Yukon   Saint Elias Mountains   4742 m 15,558 ft   522 m 1,713 ft   7.74 km 4.81 mi   61 ° 10 ′ 22 '' N 140 ° 35 ′ 06 '' W ﻿ / ﻿ 61.1727 ° N 140.5851 ° W ﻿ / 61.1727 ; - 140.5851 ﻿ ( Mount Slaggard )     17   Nevado de Toluca ( Volcán Xinantécatl )   México   Cordillera Neovolcanica   4690 m 15,387 ft   2225 m 7,300 ft   118.4 km 73.6 mi   19 ° 06 ′ 07 '' N 99 ° 46 ′ 04 '' W ﻿ / ﻿ 19.1020 ° N 99.7677 ° W ﻿ / 19.1020 ; - 99.7677 ﻿ ( Nevado de Toluca )     18   Mount Fairweather ( Fairweather Mountain )   Alaska British Columbia   Saint Elias Mountains   4671 m 15,325 ft   3961 m 12,995 ft   200 km 124.4 mi   58 ° 54 ′ 23 '' N 137 ° 31 ′ 35 '' W ﻿ / ﻿ 58.9064 ° N 137.5265 ° W ﻿ / 58.9064 ; - 137.5265 ﻿ ( Mount Fairweather )     19   Mount Hubbard   Alaska Yukon   Saint Elias Mountains   4557 m 14,951 ft   2457 m 8,061 ft   34.4 km 21.3 mi   60 ° 19 ′ 10 '' N 139 ° 04 ′ 21 '' W ﻿ / ﻿ 60.3194 ° N 139.0726 ° W ﻿ / 60.3194 ; - 139.0726 ﻿ ( Mount Hubbard )     20   Mount Bear   Alaska   Saint Elias Mountains   4520 m 14,831 ft   1540 m 5,054 ft   32.4 km 20.1 mi   61 ° 17 ′ 00 '' N 141 ° 08 ′ 36 '' W ﻿ / ﻿ 61.2834 ° N 141.1433 ° W ﻿ / 61.2834 ; - 141.1433 ﻿ ( Mount Bear )     21   Mount Walsh   Yukon   Saint Elias Mountains   4506 m 14,783 ft   1366 m 4,482 ft   18.76 km 11.66 mi   61 ° 00 ′ 13 '' N 140 ° 01 ′ 02 '' W ﻿ / ﻿ 61.0037 ° N 140.0171 ° W ﻿ / 61.0037 ; - 140.0171 ﻿ ( Mount Walsh )     22   Mount Hunter   Alaska   Alaska Range   4442 m 14,573 ft   1418 m 4,653 ft   11.07 km 6.88 mi   62 ° 57 ′ 01 '' N 151 ° 05 ′ 29 '' W ﻿ / ﻿ 62.9504 ° N 151.0915 ° W ﻿ / 62.9504 ; - 151.0915 ﻿ ( Mount Hunter )     23   La Malintzin ( La Malinche )   Puebla Tlaxcala   Cordillera Neovolcanica   4430 m 14,534 ft   1920 m 6,299 ft   63.9 km 39.7 mi   19 ° 13 ′ 52 '' N 98 ° 01 ′ 56 '' W ﻿ / ﻿ 19.2310 ° N 98.0321 ° W ﻿ / 19.2310 ; - 98.0321 ﻿ ( La Malintzin )     24   Mount Whitney   California   Sierra Nevada   4421.0 m 14,505 ft   3072 m 10,080 ft   2,649 km 1,646 mi   36 ° 34 ′ 43 '' N 118 ° 17 ′ 31 '' W ﻿ / ﻿ 36.5786 ° N 118.2920 ° W ﻿ / 36.5786 ; - 118.2920 ﻿ ( Mount Whitney )     25   Mount Alverstone ( Boundary Point 180 )   Alaska Yukon   Saint Elias Mountains   4420 m 14,500 ft   594 m 1,950 ft   3.62 km 2.25 mi   60 ° 21 ′ 06 '' N 139 ° 04 ′ 30 '' W ﻿ / ﻿ 60.3518 ° N 139.0749 ° W ﻿ / 60.3518 ; - 139.0749 ﻿ ( Mount Alverstone )     26   University Peak   Alaska   Saint Elias Mountains   4410 m 14,470 ft   978 m 3,210 ft   5.97 km 3.71 mi   61 ° 19 ′ 38 '' N 141 ° 47 ′ 12 '' W ﻿ / ﻿ 61.3272 ° N 141.7867 ° W ﻿ / 61.3272 ; - 141.7867 ﻿ ( University Peak )     27   Mount Elbert   Colorado   Sawatch Range   4401.2 m 14,440 ft   2772 m 9,093 ft   1,079 km 671 mi   39 ° 07 ′ 04 '' N 106 ° 26 ′ 43 '' W ﻿ / ﻿ 39.1178 ° N 106.4454 ° W ﻿ / 39.1178 ; - 106.4454 ﻿ ( Mount Elbert )     28   Mount Massive   Colorado   Sawatch Range   4398 m 14,428 ft   598 m 1,961 ft   8.14 km 5.06 mi   39 ° 11 ′ 15 '' N 106 ° 28 ′ 33 '' W ﻿ / ﻿ 39.1875 ° N 106.4757 ° W ﻿ / 39.1875 ; - 106.4757 ﻿ ( Mount Massive )     29   Mount Harvard   Colorado   Sawatch Range   4395.6 m 14,421 ft   719 m 2,360 ft   24.0 km 14.92 mi   38 ° 55 ′ 28 '' N 106 ° 19 ′ 15 '' W ﻿ / ﻿ 38.9244 ° N 106.3207 ° W ﻿ / 38.9244 ; - 106.3207 ﻿ ( Mount Harvard )     30   Mount Rainier   Washington   Cascade Range   4394 m 14,417 ft   4026 m 13,210 ft   1,177 km 731 mi   46 ° 51 ′ 10 '' N 121 ° 45 ′ 37 '' W ﻿ / ﻿ 46.8529 ° N 121.7604 ° W ﻿ / 46.8529 ; - 121.7604 ﻿ ( Mount Rainier )     31   Mount Williamson   California   Sierra Nevada   4383 m 14,379 ft   511 m 1,676 ft   8.70 km 5.41 mi   36 ° 39 ′ 21 '' N 118 ° 18 ′ 40 '' W ﻿ / ﻿ 36.6559 ° N 118.3111 ° W ﻿ / 36.6559 ; - 118.3111 ﻿ ( Mount Williamson )     32   McArthur Peak   Yukon   Saint Elias Mountains   4380 m 14,370 ft   960 m 3,150 ft   9.10 km 5.65 mi   60 ° 36 ′ 25 '' N 140 ° 12 ′ 52 '' W ﻿ / ﻿ 60.6069 ° N 140.2144 ° W ﻿ / 60.6069 ; - 140.2144 ﻿ ( McArthur Peak )     33   Blanca Peak   Colorado   Sangre de Cristo Mountains   4374 m 14,351 ft   1623 m 5,326 ft   166.4 km 103.4 mi   37 ° 34 ′ 39 '' N 105 ° 29 ′ 08 '' W ﻿ / ﻿ 37.5775 ° N 105.4856 ° W ﻿ / 37.5775 ; - 105.4856 ﻿ ( Blanca Peak )     34   La Plata Peak   Colorado   Sawatch Range   4372 m 14,343 ft   560 m 1,836 ft   10.11 km 6.28 mi   39 ° 01 ′ 46 '' N 106 ° 28 ′ 22 '' W ﻿ / ﻿ 39.0294 ° N 106.4729 ° W ﻿ / 39.0294 ; - 106.4729 ﻿ ( La Plata Peak )     35   Uncompahgre Peak   Colorado   San Juan Mountains   4365.0 m 14,321 ft   1304 m 4,277 ft   136.8 km 85.0 mi   38 ° 04 ′ 18 '' N 107 ° 27 ′ 44 '' W ﻿ / ﻿ 38.0717 ° N 107.4621 ° W ﻿ / 38.0717 ; - 107.4621 ﻿ ( Uncompahgre Peak )     36   Crestone Peak   Colorado   Sangre de Cristo Range   4359 m 14,300 ft   1388 m 4,554 ft   44.0 km 27.4 mi   37 ° 58 ′ 01 '' N 105 ° 35 ′ 08 '' W ﻿ / ﻿ 37.9669 ° N 105.5855 ° W ﻿ / 37.9669 ; - 105.5855 ﻿ ( Crestone Peak )     37   Mount Lincoln   Colorado   Mosquito Range   4356.5 m 14,293 ft   1177 m 3,862 ft   36.2 km 22.5 mi   39 ° 21 ′ 05 '' N 106 ° 06 ′ 42 '' W ﻿ / ﻿ 39.3515 ° N 106.1116 ° W ﻿ / 39.3515 ; - 106.1116 ﻿ ( Mount Lincoln )     38   Castle Peak   Colorado   Elk Mountains   4352.2 m 14,279 ft   721 m 2,365 ft   33.6 km 20.9 mi   39 ° 00 ′ 35 '' N 106 ° 51 ′ 41 '' W ﻿ / ﻿ 39.0097 ° N 106.8614 ° W ﻿ / 39.0097 ; - 106.8614 ﻿ ( Castle Peak )     39   Grays Peak   Colorado   Front Range   4352 m 14,278 ft   844 m 2,770 ft   40.2 km 25.0 mi   39 ° 38 ′ 02 '' N 105 ° 49 ′ 03 '' W ﻿ / ﻿ 39.6339 ° N 105.8176 ° W ﻿ / 39.6339 ; - 105.8176 ﻿ ( Grays Peak )     40   Mount Antero   Colorado   Sawatch Range   4351.4 m 14,276 ft   763 m 2,503 ft   28.4 km 17.67 mi   38 ° 40 ′ 27 '' N 106 ° 14 ′ 46 '' W ﻿ / ﻿ 38.6741 ° N 106.2462 ° W ﻿ / 38.6741 ; - 106.2462 ﻿ ( Mount Antero )     41   Mount Evans   Colorado   Front Range   4350 m 14,271 ft   844 m 2,770 ft   15.76 km 9.79 mi   39 ° 35 ′ 18 '' N 105 ° 38 ′ 38 '' W ﻿ / ﻿ 39.5883 ° N 105.6438 ° W ﻿ / 39.5883 ; - 105.6438 ﻿ ( Mount Evans )     42   Longs Peak   Colorado   Front Range   4346 m 14,259 ft   896 m 2,940 ft   70.2 km 43.6 mi   40 ° 15 ′ 18 '' N 105 ° 36 ′ 54 '' W ﻿ / ﻿ 40.2550 ° N 105.6151 ° W ﻿ / 40.2550 ; - 105.6151 ﻿ ( Longs Peak )     43   Mount Wilson   Colorado   San Miguel Mountains   4344 m 14,252 ft   1227 m 4,024 ft   53.1 km 33.0 mi   37 ° 50 ′ 21 '' N 107 ° 59 ′ 30 '' W ﻿ / ﻿ 37.8391 ° N 107.9916 ° W ﻿ / 37.8391 ; - 107.9916 ﻿ ( Mount Wilson )     44   White Mountain Peak   California   White Mountains   4344.0 m 14,252 ft   2193 m 7,196 ft   108.6 km 67.4 mi   37 ° 38 ′ 03 '' N 118 ° 15 ′ 21 '' W ﻿ / ﻿ 37.6341 ° N 118.2557 ° W ﻿ / 37.6341 ; - 118.2557 ﻿ ( White Mountain Peak )     45   North Palisade   California   Sierra Nevada   4343 m 14,248 ft   882 m 2,894 ft   51.8 km 32.2 mi   37 ° 05 ′ 39 '' N 118 ° 30 ′ 52 '' W ﻿ / ﻿ 37.0943 ° N 118.5145 ° W ﻿ / 37.0943 ; - 118.5145 ﻿ ( North Palisade )     46   Mount Princeton   Colorado   Sawatch Range   4329.3 m 14,204 ft   664 m 2,177 ft   8.36 km 5.19 mi   38 ° 44 ′ 57 '' N 106 ° 14 ′ 33 '' W ﻿ / ﻿ 38.7492 ° N 106.2424 ° W ﻿ / 38.7492 ; - 106.2424 ﻿ ( Mount Princeton )     47   Mount Yale   Colorado   Sawatch Range   4328.2 m 14,200 ft   578 m 1,896 ft   8.93 km 5.55 mi   38 ° 50 ′ 39 '' N 106 ° 18 ′ 50 '' W ﻿ / ﻿ 38.8442 ° N 106.3138 ° W ﻿ / 38.8442 ; - 106.3138 ﻿ ( Mount Yale )     48   Mount Shasta   California   Cascade Range   4321.8 m 14,179 ft   2979 m 9,772 ft   539 km 335 mi   41 ° 24 ′ 33 '' N 122 ° 11 ′ 42 '' W ﻿ / ﻿ 41.4092 ° N 122.1949 ° W ﻿ / 41.4092 ; - 122.1949 ﻿ ( Mount Shasta )     49   Maroon Peak   Colorado   Elk Mountains   4317.0 m 14,163 ft   712 m 2,336 ft   12.97 km 8.06 mi   39 ° 04 ′ 15 '' N 106 ° 59 ′ 20 '' W ﻿ / ﻿ 39.0708 ° N 106.9890 ° W ﻿ / 39.0708 ; - 106.9890 ﻿ ( Maroon Peak )     50   Mount Wrangell   Alaska   Wrangell Mountains   4317 m 14,163 ft   1711 m 5,613 ft   23.8 km 14.79 mi   62 ° 00 ′ 21 '' N 144 ° 01 ′ 07 '' W ﻿ / ﻿ 62.0059 ° N 144.0187 ° W ﻿ / 62.0059 ; - 144.0187 ﻿ ( Mount Wrangell )     51   Mount Sneffels   Colorado   Sneffels Range   4315.4 m 14,158 ft   930 m 3,050 ft   25.3 km 15.71 mi   38 ° 00 ′ 14 '' N 107 ° 47 ′ 32 '' W ﻿ / ﻿ 38.0038 ° N 107.7923 ° W ﻿ / 38.0038 ; - 107.7923 ﻿ ( Mount Sneffels )     52   Capitol Peak   Colorado   Elk Mountains   4309 m 14,137 ft   533 m 1,750 ft   11.98 km 7.44 mi   39 ° 09 ′ 01 '' N 107 ° 04 ′ 58 '' W ﻿ / ﻿ 39.1503 ° N 107.0829 ° W ﻿ / 39.1503 ; - 107.0829 ﻿ ( Capitol Peak )     53   Pikes Peak   Colorado   Front Range   4302.31 m 14,115 ft   1686 m 5,530 ft   97.6 km 60.6 mi   38 ° 50 ′ 26 '' N 105 ° 02 ′ 39 '' W ﻿ / ﻿ 38.8405 ° N 105.0442 ° W ﻿ / 38.8405 ; - 105.0442 ﻿ ( Pikes Peak )     54   Windom Peak   Colorado   Needle Mountains   4296 m 14,093 ft   667 m 2,187 ft   42.4 km 26.3 mi   37 ° 37 ′ 16 '' N 107 ° 35 ′ 31 '' W ﻿ / ﻿ 37.6212 ° N 107.5919 ° W ﻿ / 37.6212 ; - 107.5919 ﻿ ( Windom Peak )     55   Mount Augusta   Alaska Yukon   Saint Elias Mountains   4289 m 14,070 ft   1549 m 5,082 ft   23.2 km 14.41 mi   60 ° 18 ′ 27 '' N 140 ° 27 ′ 30 '' W ﻿ / ﻿ 60.3074 ° N 140.4584 ° W ﻿ / 60.3074 ; - 140.4584 ﻿ ( Mount Augusta )     56   Handies Peak   Colorado   San Juan Mountains   4284.8 m 14,058 ft   582 m 1,908 ft   18.00 km 11.18 mi   37 ° 54 ′ 47 '' N 107 ° 30 ′ 16 '' W ﻿ / ﻿ 37.9130 ° N 107.5044 ° W ﻿ / 37.9130 ; - 107.5044 ﻿ ( Handies Peak )     57   Culebra Peak   Colorado   Culebra Range   4283 m 14,053 ft   1471 m 4,827 ft   56.9 km 35.4 mi   37 ° 07 ′ 21 '' N 105 ° 11 ′ 09 '' W ﻿ / ﻿ 37.1224 ° N 105.1858 ° W ﻿ / 37.1224 ; - 105.1858 ﻿ ( Culebra Peak )     58   San Luis Peak   Colorado   La Garita Mountains   4273.8 m 14,022 ft   949 m 3,113 ft   43.4 km 26.9 mi   37 ° 59 ′ 12 '' N 106 ° 55 ′ 53 '' W ﻿ / ﻿ 37.9868 ° N 106.9313 ° W ﻿ / 37.9868 ; - 106.9313 ﻿ ( San Luis Peak )     59   Mount of the Holy Cross   Colorado   Sawatch Range   4270.5 m 14,011 ft   644 m 2,113 ft   29.6 km 18.41 mi   39 ° 28 ′ 00 '' N 106 ° 28 ′ 54 '' W ﻿ / ﻿ 39.4668 ° N 106.4817 ° W ﻿ / 39.4668 ; - 106.4817 ﻿ ( Mount of the Holy Cross )     60   Nevado de Colima   Jalisco   Cordillera Neovolcanica   4270 m 14,009 ft   2720 m 8,924 ft   405 km 252 mi   19 ° 33 ′ 48 '' N 103 ° 36 ′ 31 '' W ﻿ / ﻿ 19.5633 ° N 103.6087 ° W ﻿ / 19.5633 ; - 103.6087 ﻿ ( Nevado de Colima )     61   Grizzly Peak   Colorado   Sawatch Range   4265.6 m 13,995 ft   588 m 1,928 ft   10.89 km 6.77 mi   39 ° 02 ′ 33 '' N 106 ° 35 ′ 51 '' W ﻿ / ﻿ 39.0425 ° N 106.5976 ° W ﻿ / 39.0425 ; - 106.5976 ﻿ ( Grizzly Peak )     62   Mount Humphreys   California   Sierra Nevada   4265 m 13,992 ft   781 m 2,563 ft   23.7 km 14.71 mi   37 ° 16 ′ 14 '' N 118 ° 40 ′ 23 '' W ﻿ / ﻿ 37.2705 ° N 118.6730 ° W ﻿ / 37.2705 ; - 118.6730 ﻿ ( Mount Humphreys )     63   Mount Keith   California   Sierra Nevada   4262 m 13,982 ft   590 m 1,936 ft   4.97 km 3.09 mi   36 ° 42 ′ 00 '' N 118 ° 20 ′ 37 '' W ﻿ / ﻿ 36.7001 ° N 118.3436 ° W ﻿ / 36.7001 ; - 118.3436 ﻿ ( Mount Keith )     64   Mount Strickland   Yukon   Saint Elias Mountains   4260 m 13,976 ft   800 m 2,625 ft   7.35 km 4.57 mi   61 ° 14 ′ 11 '' N 140 ° 40 ′ 32 '' W ﻿ / ﻿ 61.2365 ° N 140.6755 ° W ﻿ / 61.2365 ; - 140.6755 ﻿ ( Mount Strickland )     65   Mount Ouray   Colorado   Sawatch Range   4255.4 m 13,961 ft   810 m 2,659 ft   21.9 km 13.58 mi   38 ° 25 ′ 22 '' N 106 ° 13 ′ 29 '' W ﻿ / ﻿ 38.4227 ° N 106.2247 ° W ﻿ / 38.4227 ; - 106.2247 ﻿ ( Mount Ouray )     66   Vermilion Peak   Colorado   San Juan Mountains   4237 m 13,900 ft   642 m 2,105 ft   14.60 km 9.07 mi   37 ° 47 ′ 57 '' N 107 ° 49 ′ 43 '' W ﻿ / ﻿ 37.7993 ° N 107.8285 ° W ﻿ / 37.7993 ; - 107.8285 ﻿ ( Vermilion Peak )     67   Avalanche Peak   Yukon   Saint Elias Mountains   4228 m 13,871 ft   608 m 1,995 ft   4.54 km 2.82 mi   61 ° 14 ′ 24 '' N 140 ° 45 ′ 35 '' W ﻿ / ﻿ 61.2401 ° N 140.7597 ° W ﻿ / 61.2401 ; - 140.7597 ﻿ ( Avalanche Peak )     68   Atna Peaks   Alaska   Wrangell Mountains   4225 m 13,860 ft   674 m 2,210 ft   5.86 km 3.64 mi   61 ° 44 ′ 58 '' N 143 ° 14 ′ 29 '' W ﻿ / ﻿ 61.7495 ° N 143.2414 ° W ﻿ / 61.7495 ; - 143.2414 ﻿ ( Atna Peaks )     69   Volcán Tajumulco   Guatemala   Sierra de las Nubes   4220 m 13,845 ft   3990 m 13,091 ft   722 km 448 mi   15 ° 02 ′ 35 '' N 91 ° 54 ′ 13 '' W ﻿ / ﻿ 15.0430 ° N 91.9037 ° W ﻿ / 15.0430 ; - 91.9037 ﻿ ( Volcán Tajumulco )     70   Regal Mountain   Alaska   Wrangell Mountains   4220 m 13,845 ft   1340 m 4,395 ft   19.72 km 12.25 mi   61 ° 44 ′ 38 '' N 142 ° 52 ′ 03 '' W ﻿ / ﻿ 61.7438 ° N 142.8675 ° W ﻿ / 61.7438 ; - 142.8675 ﻿ ( Regal Mountain )     71   Mount Darwin   California   Sierra Nevada   4218 m 13,837 ft   576 m 1,891 ft   11.48 km 7.13 mi   37 ° 10 ′ 01 '' N 118 ° 40 ′ 20 '' W ﻿ / ﻿ 37.1669 ° N 118.6721 ° W ﻿ / 37.1669 ; - 118.6721 ﻿ ( Mount Darwin )     72   Mount Hayes   Alaska   Alaska Range   4216 m 13,832 ft   3507 m 11,507 ft   202 km 125.5 mi   63 ° 37 ′ 13 '' N 146 ° 43 ′ 04 '' W ﻿ / ﻿ 63.6203 ° N 146.7178 ° W ﻿ / 63.6203 ; - 146.7178 ﻿ ( Mount Hayes )     73   Mount Silverheels   Colorado   Front Range   4215.0 m 13,829 ft   696 m 2,283 ft   8.82 km 5.48 mi   39 ° 20 ′ 22 '' N 106 ° 00 ′ 19 '' W ﻿ / ﻿ 39.3394 ° N 106.0054 ° W ﻿ / 39.3394 ; - 106.0054 ﻿ ( Mount Silverheels )     74   Rio Grande Pyramid   Colorado   San Juan Mountains   4214.4 m 13,827 ft   573 m 1,881 ft   17.31 km 10.76 mi   37 ° 40 ′ 47 '' N 107 ° 23 ′ 33 '' W ﻿ / ﻿ 37.6797 ° N 107.3924 ° W ﻿ / 37.6797 ; - 107.3924 ﻿ ( Rio Grande Pyramid )     75   Cofre de Perote   Veracruz   Cordillera Neovolcanica   4210 m 13,812 ft   1340 m 4,396 ft   52.9 km 32.9 mi   19 ° 29 ′ 38 '' N 97 ° 08 ′ 53 '' W ﻿ / ﻿ 19.4940 ° N 97.1480 ° W ﻿ / 19.4940 ; - 97.1480 ﻿ ( Cofre de Perote )     76   Gannett Peak   Wyoming   Wind River Range   4209.1 m 13,809 ft   2157 m 7,076 ft   467 km 290 mi   43 ° 11 ′ 03 '' N 109 ° 39 ′ 15 '' W ﻿ / ﻿ 43.1842 ° N 109.6542 ° W ﻿ / 43.1842 ; - 109.6542 ﻿ ( Gannett Peak )     77   Mount Kaweah   California   Sierra Nevada   4209 m 13,807 ft   618 m 2,027 ft   17.27 km 10.73 mi   36 ° 31 ′ 34 '' N 118 ° 28 ′ 43 '' W ﻿ / ﻿ 36.5261 ° N 118.4785 ° W ﻿ / 36.5261 ; - 118.4785 ﻿ ( Mount Kaweah )     78   Grand Teton   Wyoming   Teton Range   4198.7 m 13,775 ft   1995 m 6,545 ft   111.6 km 69.4 mi   43 ° 44 ′ 28 '' N 110 ° 48 ′ 09 '' W ﻿ / ﻿ 43.7412 ° N 110.8024 ° W ﻿ / 43.7412 ; - 110.8024 ﻿ ( Grand Teton )     79   Mount Cook   Alaska Yukon   Saint Elias Mountains   4194 m 13,760 ft   2350 m 7,710 ft   23.4 km 14.54 mi   60 ° 10 ′ 54 '' N 139 ° 58 ′ 52 '' W ﻿ / ﻿ 60.1816 ° N 139.9811 ° W ﻿ / 60.1816 ; - 139.9811 ﻿ ( Mount Cook )     80   Mount Morgan   California   Sierra Nevada   4193.4 m 13,758 ft   807 m 2,648 ft   15.87 km 9.86 mi   37 ° 24 ′ 19 '' N 118 ° 43 ′ 58 '' W ﻿ / ﻿ 37.4053 ° N 118.7329 ° W ﻿ / 37.4053 ; - 118.7329 ﻿ ( Mount Morgan )     81   Mount Gabb   California   Sierra Nevada   4190 m 13,747 ft   793 m 2,601 ft   6.89 km 4.28 mi   37 ° 22 ′ 37 '' N 118 ° 48 ′ 09 '' W ﻿ / ﻿ 37.3769 ° N 118.8025 ° W ﻿ / 37.3769 ; - 118.8025 ﻿ ( Mount Gabb )     82   Bald Mountain   Colorado   Front Range   4173 m 13,690 ft   640 m 2,099 ft   12.09 km 7.51 mi   39 ° 26 ′ 41 '' N 105 ° 58 ′ 14 '' W ﻿ / ﻿ 39.4448 ° N 105.9705 ° W ﻿ / 39.4448 ; - 105.9705 ﻿ ( Bald Mountain )     83   Mount Oso   Colorado   San Juan Mountains   4173 m 13,690 ft   507 m 1,664 ft   8.71 km 5.41 mi   37 ° 36 ′ 25 '' N 107 ° 29 ′ 37 '' W ﻿ / ﻿ 37.6070 ° N 107.4936 ° W ﻿ / 37.6070 ; - 107.4936 ﻿ ( Mount Oso )     84   Mount Jackson   Colorado   Sawatch Range   4168.5 m 13,676 ft   552 m 1,810 ft   5.16 km 3.21 mi   39 ° 29 ′ 07 '' N 106 ° 32 ′ 12 '' W ﻿ / ﻿ 39.4853 ° N 106.5367 ° W ﻿ / 39.4853 ; - 106.5367 ﻿ ( Mount Jackson )     85   Mount Tom   California   Sierra Nevada   4163 m 13,657 ft   607 m 1,992 ft   7.67 km 4.77 mi   37 ° 22 ′ 34 '' N 119 ° 10 ′ 44 '' W ﻿ / ﻿ 37.3762 ° N 119.1789 ° W ﻿ / 37.3762 ; - 119.1789 ﻿ ( Mount Tom )     86   Bard Peak   Colorado   Front Range   4159 m 13,647 ft   518 m 1,701 ft   8.74 km 5.43 mi   39 ° 43 ′ 13 '' N 105 ° 48 ′ 16 '' W ﻿ / ﻿ 39.7204 ° N 105.8044 ° W ﻿ / 39.7204 ; - 105.8044 ﻿ ( Bard Peak )     87   West Spanish Peak   Colorado   Spanish Peaks   4155 m 13,631 ft   1123 m 3,686 ft   32.0 km 19.87 mi   37 ° 22 ′ 32 '' N 104 ° 59 ′ 36 '' W ﻿ / ﻿ 37.3756 ° N 104.9934 ° W ﻿ / 37.3756 ; - 104.9934 ﻿ ( West Spanish Peak )     88   Mount Powell   Colorado   Gore Range   4141 m 13,586 ft   914 m 3,000 ft   34.6 km 21.5 mi   39 ° 45 ′ 36 '' N 106 ° 20 ′ 27 '' W ﻿ / ﻿ 39.7601 ° N 106.3407 ° W ﻿ / 39.7601 ; - 106.3407 ﻿ ( Mount Powell )     89   Hagues Peak   Colorado   Mummy Range   4137 m 13,573 ft   738 m 2,420 ft   25.3 km 15.70 mi   40 ° 29 ′ 04 '' N 105 ° 38 ′ 47 '' W ﻿ / ﻿ 40.4845 ° N 105.6464 ° W ﻿ / 40.4845 ; - 105.6464 ﻿ ( Hagues Peak )     90   Mount Dubois   California   White Mountains   4135 m 13,565 ft   713 m 2,339 ft   15.50 km 9.63 mi   37 ° 47 ′ 00 '' N 118 ° 20 ′ 36 '' W ﻿ / ﻿ 37.7834 ° N 118.3432 ° W ﻿ / 37.7834 ; - 118.3432 ﻿ ( Mount Dubois )     91   Tower Mountain   Colorado   San Juan Mountains   4132 m 13,558 ft   504 m 1,652 ft   7.86 km 4.88 mi   37 ° 51 ′ 26 '' N 107 ° 37 ′ 23 '' W ﻿ / ﻿ 37.8573 ° N 107.6230 ° W ﻿ / 37.8573 ; - 107.6230 ﻿ ( Tower Mountain )     92   Treasure Mountain   Colorado   Elk Mountains   4125 m 13,535 ft   862 m 2,828 ft   11.13 km 6.92 mi   39 ° 01 ′ 28 '' N 107 ° 07 ′ 22 '' W ﻿ / ﻿ 39.0244 ° N 107.1228 ° W ﻿ / 39.0244 ; - 107.1228 ﻿ ( Treasure Mountain )     93   Kings Peak   Utah   Uinta Mountains   4125 m 13,534 ft   1938 m 6,358 ft   268 km 166.6 mi   40 ° 46 ′ 35 '' N 110 ° 22 ′ 22 '' W ﻿ / ﻿ 40.7763 ° N 110.3729 ° W ﻿ / 40.7763 ; - 110.3729 ﻿ ( Kings Peak )     94   Monte Tlaloc   Mexico   Trans Mexican Volcanic Belt   4120 m 13,517 ft   958 m 3,143 ft   15.00 km 9.32 mi   19 ° 23 ′ 42 '' N 98 ° 46 ′ 52 '' W ﻿ / ﻿ 19.3950 ° N 98.781 ° W ﻿ / 19.3950 ; - 98.781 ﻿ ( Monte Tlaloc )     95   North Arapaho Peak   Colorado   Front Range   4117 m 13,508 ft   507 m 1,665 ft   24.8 km 15.38 mi   40 ° 01 ′ 35 '' N 105 ° 39 ′ 01 '' W ﻿ / ﻿ 40.0265 ° N 105.6504 ° W ﻿ / 40.0265 ; - 105.6504 ﻿ ( North Arapaho Peak )     96   Mount Pinchot   California   Sierra Nevada   4115 m 13,500 ft   643 m 2,110 ft   7.58 km 4.71 mi   36 ° 56 ′ 50 '' N 118 ° 24 ′ 19 '' W ﻿ / ﻿ 36.9473 ° N 118.4054 ° W ﻿ / 36.9473 ; - 118.4054 ﻿ ( Mount Pinchot )     97   Mount Natazhat   Alaska   Saint Elias Mountains   4095 m 13,435 ft   1824 m 5,985 ft   24.9 km 15.49 mi   61 ° 31 ′ 18 '' N 141 ° 06 ′ 11 '' W ﻿ / ﻿ 61.5217 ° N 141.1030 ° W ﻿ / 61.5217 ; - 141.1030 ﻿ ( Mount Natazhat )     98   Mount Jarvis   Alaska   Wrangell Mountains   4091 m 13,421 ft   1454 m 4,771 ft   17.95 km 11.15 mi   62 ° 01 ′ 24 '' N 143 ° 37 ′ 11 '' W ﻿ / ﻿ 62.0234 ° N 143.6198 ° W ﻿ / 62.0234 ; - 143.6198 ﻿ ( Mount Jarvis )     99   Parry Peak   Colorado   Front Range   4083 m 13,397 ft   524 m 1,720 ft   15.22 km 9.46 mi   39 ° 50 ′ 17 '' N 105 ° 42 ′ 48 '' W ﻿ / ﻿ 39.8381 ° N 105.7132 ° W ﻿ / 39.8381 ; - 105.7132 ﻿ ( Parry Peak )     100   Bill Williams Peak   Colorado   Williams Mountains   4081 m 13,389 ft   513 m 1,682 ft   6.00 km 3.73 mi   39 ° 10 ′ 50 '' N 106 ° 36 ′ 37 '' W ﻿ / ﻿ 39.1806 ° N 106.6102 ° W ﻿ / 39.1806 ; - 106.6102 ﻿ ( Bill Williams Peak )     101   Sultan Mountain   Colorado   San Juan Mountains   4076 m 13,373 ft   569 m 1,868 ft   7.39 km 4.59 mi   37 ° 47 ′ 09 '' N 107 ° 42 ′ 14 '' W ﻿ / ﻿ 37.7859 ° N 107.7038 ° W ﻿ / 37.7859 ; - 107.7038 ﻿ ( Sultan Mountain )     102   Mount Herard   Colorado   Sangre de Cristo Mountains   4068 m 13,345 ft   622 m 2,040 ft   7.45 km 4.63 mi   37 ° 50 ′ 57 '' N 105 ° 29 ′ 42 '' W ﻿ / ﻿ 37.8492 ° N 105.4949 ° W ﻿ / 37.8492 ; - 105.4949 ﻿ ( Mount Herard )     103   Volcán Tacaná   Chiapas Guatemala   Sierra de Istatan   4067 m 13,343 ft   1037 m 3,402 ft   24.1 km 14.99 mi   15 ° 07 ′ 56 '' N 92 ° 06 ′ 30 '' W ﻿ / ﻿ 15.1323 ° N 92.1084 ° W ﻿ / 15.1323 ; - 92.1084 ﻿ ( Volcán Tacaná )     104   West Buffalo Peak   Colorado   Mosquito Range   4064 m 13,332 ft   605 m 1,986 ft   15.46 km 9.61 mi   38 ° 59 ′ 30 '' N 106 ° 07 ′ 30 '' W ﻿ / ﻿ 38.9917 ° N 106.1249 ° W ﻿ / 38.9917 ; - 106.1249 ﻿ ( West Buffalo Peak )     105   Mount Craig   Yukon   Saint Elias Mountains   4060 m 13,320 ft   520 m 1,706 ft   6.97 km 4.33 mi   61 ° 15 ′ 49 '' N 140 ° 52 ′ 48 '' W ﻿ / ﻿ 61.2636 ° N 140.8800 ° W ﻿ / 61.2636 ; - 140.8800 ﻿ ( Mount Craig )     106   Tressider Peak   Alaska   Saint Elias Mountains   4058 m 13,315 ft   507 m 1,665 ft   5.34 km 3.32 mi   61 ° 21 ′ 32 '' N 141 ° 39 ′ 59 '' W ﻿ / ﻿ 61.3590 ° N 141.6664 ° W ﻿ / 61.3590 ; - 141.6664 ﻿ ( Tressider Peak )     107   Summit Peak   Colorado   San Juan Mountains   4056.2 m 13,308 ft   841 m 2,760 ft   63.7 km 39.6 mi   37 ° 21 ′ 02 '' N 106 ° 41 ′ 48 '' W ﻿ / ﻿ 37.3506 ° N 106.6968 ° W ﻿ / 37.3506 ; - 106.6968 ﻿ ( Summit Peak )     108   Middle Peak   Colorado   San Miguel Mountains   4056 m 13,306 ft   597 m 1,960 ft   7.69 km 4.78 mi   37 ° 51 ′ 13 '' N 108 ° 06 ′ 30 '' W ﻿ / ﻿ 37.8536 ° N 108.1082 ° W ﻿ / 37.8536 ; - 108.1082 ﻿ ( Middle Peak )     109   Antora Peak   Colorado   Sawatch Range   4046 m 13,275 ft   734 m 2,409 ft   10.86 km 6.75 mi   38 ° 19 ′ 30 '' N 106 ° 13 ′ 05 '' W ﻿ / ﻿ 38.3250 ° N 106.2180 ° W ﻿ / 38.3250 ; - 106.2180 ﻿ ( Antora Peak )     110   Henry Mountain   Colorado   Sawatch Range   4042 m 13,261 ft   510 m 1,674 ft   17.61 km 10.94 mi   38 ° 41 ′ 08 '' N 106 ° 37 ′ 16 '' W ﻿ / ﻿ 38.6856 ° N 106.6211 ° W ﻿ / 38.6856 ; - 106.6211 ﻿ ( Henry Mountain )     111   Hesperus Mountain   Colorado   La Plata Mountains   4035 m 13,237 ft   869 m 2,852 ft   39.5 km 24.5 mi   37 ° 26 ′ 42 '' N 108 ° 05 ′ 20 '' W ﻿ / ﻿ 37.4451 ° N 108.0890 ° W ﻿ / 37.4451 ; - 108.0890 ﻿ ( Hesperus Mountain )     112   Mount Silverthrone   Alaska   Alaska Range   4029 m 13,220 ft   988 m 3,240 ft   12.72 km 7.90 mi   63 ° 06 ′ 57 '' N 150 ° 40 ′ 32 '' W ﻿ / ﻿ 63.1157 ° N 150.6755 ° W ﻿ / 63.1157 ; - 150.6755 ﻿ ( Mount Silverthrone )     113   Jacque Peak   Colorado   Gore Range   4027 m 13,211 ft   629 m 2,065 ft   7.28 km 4.52 mi   39 ° 27 ′ 18 '' N 106 ° 11 ′ 49 '' W ﻿ / ﻿ 39.4549 ° N 106.1970 ° W ﻿ / 39.4549 ; - 106.1970 ﻿ ( Jacque Peak )     114   Bennett Peak   Colorado   San Juan Mountains   4026 m 13,209 ft   531 m 1,743 ft   27.5 km 17.08 mi   37 ° 29 ′ 00 '' N 106 ° 26 ′ 03 '' W ﻿ / ﻿ 37.4833 ° N 106.4343 ° W ﻿ / 37.4833 ; - 106.4343 ﻿ ( Bennett Peak )     115   Wind River Peak   Wyoming   Wind River Range   4022.4 m 13,197 ft   784 m 2,572 ft   56.6 km 35.1 mi   42 ° 42 ′ 31 '' N 109 ° 07 ′ 42 '' W ﻿ / ﻿ 42.7085 ° N 109.1284 ° W ﻿ / 42.7085 ; - 109.1284 ﻿ ( Wind River Peak )     116   Mount Waddington   British Columbia   Coast Mountains   4019 m 13,186 ft   3289 m 10,791 ft   562 km 349 mi   51 ° 22 ′ 25 '' N 125 ° 15 ′ 49 '' W ﻿ / ﻿ 51.3737 ° N 125.2636 ° W ﻿ / 51.3737 ; - 125.2636 ﻿ ( Mount Waddington )     117   Conejos Peak   Colorado   San Juan Mountains   4017.0 m 13,179 ft   583 m 1,912 ft   13.12 km 8.15 mi   37 ° 17 ′ 19 '' N 106 ° 34 ′ 15 '' W ﻿ / ﻿ 37.2887 ° N 106.5709 ° W ﻿ / 37.2887 ; - 106.5709 ﻿ ( Conejos Peak )     118   Mount Marcus Baker   Alaska   Chugach Mountains   4016 m 13,176 ft   3277 m 10,751 ft   203 km 126.3 mi   61 ° 26 ′ 15 '' N 147 ° 45 ′ 09 '' W ﻿ / ﻿ 61.4374 ° N 147.7525 ° W ﻿ / 61.4374 ; - 147.7525 ﻿ ( Mount Marcus Baker )     119   Cloud Peak   Wyoming   Bighorn Mountains   4013.3 m 13,167 ft   2157 m 7,077 ft   233 km 145.0 mi   44 ° 22 ′ 56 '' N 107 ° 10 ′ 26 '' W ﻿ / ﻿ 44.3821 ° N 107.1739 ° W ﻿ / 44.3821 ; - 107.1739 ﻿ ( Cloud Peak )     Wheeler Peak   New Mexico   Taos Mountains   4013.3 m 13,167 ft   1039 m 3,409 ft   59.6 km 37.0 mi   36 ° 33 ′ 25 '' N 105 ° 25 ′ 01 '' W ﻿ / ﻿ 36.5569 ° N 105.4169 ° W ﻿ / 36.5569 ; - 105.4169 ﻿ ( Wheeler Peak )     121   Francs Peak   Wyoming   Absaroka Range   4012.3 m 13,164 ft   1236 m 4,056 ft   76.0 km 47.2 mi   43 ° 57 ′ 41 '' N 109 ° 20 ′ 21 '' W ﻿ / ﻿ 43.9613 ° N 109.3392 ° W ﻿ / 43.9613 ; - 109.3392 ﻿ ( Francs Peak )     122   Twilight Peak   Colorado   Needle Mountains   4012 m 13,163 ft   713 m 2,338 ft   7.86 km 4.88 mi   37 ° 39 ′ 47 '' N 107 ° 43 ′ 37 '' W ﻿ / ﻿ 37.6630 ° N 107.7270 ° W ﻿ / 37.6630 ; - 107.7270 ﻿ ( Twilight Peak )     123   South River Peak   Colorado   San Juan Mountains   4009.4 m 13,154 ft   746 m 2,448 ft   34.0 km 21.1 mi   37 ° 34 ′ 27 '' N 106 ° 58 ′ 53 '' W ﻿ / ﻿ 37.5741 ° N 106.9815 ° W ﻿ / 37.5741 ; - 106.9815 ﻿ ( South River Peak )     124   Mount Ritter   California   Sierra Nevada   4008 m 13,149 ft   1216 m 3,990 ft   35.4 km 22.0 mi   37 ° 41 ′ 21 '' N 119 ° 11 ′ 59 '' W ﻿ / ﻿ 37.6891 ° N 119.1996 ° W ﻿ / 37.6891 ; - 119.1996 ﻿ ( Mount Ritter )     125   Red Slate Mountain   California   Sierra Nevada   4002 m 13,129 ft   529 m 1,736 ft   13.38 km 8.31 mi   37 ° 30 ′ 27 '' N 118 ° 52 ′ 09 '' W ﻿ / ﻿ 37.5075 ° N 118.8693 ° W ﻿ / 37.5075 ; - 118.8693 ﻿ ( Red Slate Mountain )     126   Mount Lyell ( California )   California   Sierra Nevada   3998.9 m 13,120 ft   587 m 1,926 ft   8.46 km 5.26 mi   37 ° 44 ′ 22 '' N 119 ° 16 ′ 18 '' W ﻿ / ﻿ 37.7394 ° N 119.2716 ° W ﻿ / 37.7394 ; - 119.2716 ﻿ ( Mount Lyell )     127   Bushnell Peak   Colorado   Sangre de Cristo Mountains   3995.8 m 13,110 ft   733 m 2,405 ft   17.82 km 11.07 mi   38 ° 20 ′ 28 '' N 105 ° 53 ′ 21 '' W ﻿ / ﻿ 38.3412 ° N 105.8892 ° W ﻿ / 38.3412 ; - 105.8892 ﻿ ( Bushnell Peak )     128   Truchas Peak   New Mexico   Santa Fe Mountains   3995.2 m 13,108 ft   1220 m 4,001 ft   68.2 km 42.3 mi   35 ° 57 ′ 45 '' N 105 ° 38 ′ 42 '' W ﻿ / ﻿ 35.9625 ° N 105.6450 ° W ﻿ / 35.9625 ; - 105.6450 ﻿ ( Truchas Peak )     129   Wheeler Peak   Nevada   Snake Range   3982.3 m 13,065 ft   2307 m 7,568 ft   373 km 232 mi   38 ° 59 ′ 09 '' N 114 ° 18 ′ 50 '' W ﻿ / ﻿ 38.9858 ° N 114.3139 ° W ﻿ / 38.9858 ; - 114.3139 ﻿ ( Wheeler Peak )     130   Mount Dana   California   Sierra Nevada   3981.5 m 13,063 ft   743 m 2,437 ft   18.35 km 11.40 mi   37 ° 54 ′ 00 '' N 119 ° 13 ′ 16 '' W ﻿ / ﻿ 37.8999 ° N 119.2211 ° W ﻿ / 37.8999 ; - 119.2211 ﻿ ( Mount Dana )     131   Spring Glacier Peak   Yukon   Saint Elias Mountains   3976 m 13,045 ft   676 m 2,218 ft   6.00 km 3.73 mi   61 ° 02 ′ 27 '' N 139 ° 55 ′ 58 '' W ﻿ / ﻿ 61.0408 ° N 139.9328 ° W ﻿ / 61.0408 ; - 139.9328 ﻿ ( Spring Glacier Peak )     132   West Elk Peak   Colorado   West Elk Mountains   3975.2 m 13,042 ft   943 m 3,095 ft   22.2 km 13.78 mi   38 ° 43 ′ 04 '' N 107 ° 11 ′ 58 '' W ﻿ / ﻿ 38.7179 ° N 107.1994 ° W ﻿ / 38.7179 ; - 107.1994 ﻿ ( West Elk Peak )     133   Volcán Acatenango   Guatemala   Chimaltenango   3975 m 13,041 ft   1835 m 6,020 ft   125.9 km 78.2 mi   14 ° 30 ′ 06 '' N 90 ° 52 ′ 32 '' W ﻿ / ﻿ 14.5016 ° N 90.8755 ° W ﻿ / 14.5016 ; - 90.8755 ﻿ ( Volcán Acatenango )     134   Mount Moffit   Alaska   Alaska Range   3969 m 13,020 ft   1210 m 3,970 ft   16.41 km 10.20 mi   63 ° 34 ′ 06 '' N 146 ° 23 ′ 54 '' W ﻿ / ﻿ 63.5683 ° N 146.3982 ° W ﻿ / 63.5683 ; - 146.3982 ﻿ ( Mount Moffit )     135   Mount Centennial ( Peak 13010 )   Colorado   San Juan Mountains   3967 m 13,016 ft   546 m 1,790 ft   4.61 km 2.86 mi   37 ° 36 ′ 22 '' N 107 ° 14 ′ 41 '' W ﻿ / ﻿ 37.6062 ° N 107.2446 ° W ﻿ / 37.6062 ; </t>
  </si>
  <si>
    <t xml:space="preserve">what is the tallest mountain in the north america</t>
  </si>
  <si>
    <t xml:space="preserve"> The 200 highest summits of greater North America with at least 500 meters of topographic prominence   Rank   Mountain peak   Region   Mountain range   Elevation   Prominence   Isolation   Location       Denali ( formerly Mount McKinley )   Alaska   Alaska Range   6190.5 m 20,310 ft   6141 m 20,146 ft   7,450 km 4,629 mi   63 ° 04 ′ 08 '' N 151 ° 00 ′ 23 '' W ﻿ / ﻿ 63.0690 ° N 151.0063 ° W ﻿ / 63.0690 ; - 151.0063 ﻿ ( Denali )       Mount Logan   Yukon   Saint Elias Mountains   5959 m 19,551 ft   5247 m 17,215 ft   623 km 387 mi   60 ° 34 ′ 02 '' N 140 ° 24 ′ 20 '' W ﻿ / ﻿ 60.5671 ° N 140.4055 ° W ﻿ / 60.5671 ; - 140.4055 ﻿ ( Mount Logan )       Pico de Orizaba ( Citlaltépetl )   Puebla Veracruz   Cordillera Neovolcanica   5636 m 18,491 ft   4922 m 16,148 ft   2,690 km 1,672 mi   19 ° 01 ′ 50 '' N 97 ° 16 ′ 11 '' W ﻿ / ﻿ 19.0305 ° N 97.2698 ° W ﻿ / 19.0305 ; - 97.2698 ﻿ ( Pico de Orizaba )       Mount Saint Elias   Alaska Yukon   Saint Elias Mountains   5489 m 18,009 ft   3429 m 11,250 ft   41.3 km 25.6 mi   60 ° 17 ′ 34 '' N 140 ° 55 ′ 51 '' W ﻿ / ﻿ 60.2927 ° N 140.9307 ° W ﻿ / 60.2927 ; - 140.9307 ﻿ ( Mount Saint Elias )     5   Popocatépetl   México Morelos Puebla   Cordillera Neovolcanica   5410 m 17,749 ft   3040 m 9,974 ft   143.0 km 88.8 mi   19 ° 01 ′ 21 '' N 98 ° 37 ′ 40 '' W ﻿ / ﻿ 19.0225 ° N 98.6278 ° W ﻿ / 19.0225 ; - 98.6278 ﻿ ( Popocatépetl )     6   Mount Foraker   Alaska   Alaska Range   5304 m 17,400 ft   2210 m 7,250 ft   23.0 km 14.27 mi   62 ° 57 ′ 37 '' N 151 ° 23 ′ 59 '' W ﻿ / ﻿ 62.9604 ° N 151.3998 ° W ﻿ / 62.9604 ; - 151.3998 ﻿ ( Mount Foraker )     7   Mount Lucania   Yukon   Saint Elias Mountains   5260 m 17,257 ft   3080 m 10,105 ft   43.0 km 26.7 mi   61 ° 01 ′ 17 '' N 140 ° 27 ′ 58 '' W ﻿ / ﻿ 61.0215 ° N 140.4661 ° W ﻿ / 61.0215 ; - 140.4661 ﻿ ( Mount Lucania )     8   Iztaccíhuatl   México Puebla   Cordillera Neovolcanica   5230 m 17,159 ft   1560 m 5,118 ft   17.51 km 10.88 mi   19 ° 10 ′ 49 '' N 98 ° 38 ′ 29 '' W ﻿ / ﻿ 19.1802 ° N 98.6415 ° W ﻿ / 19.1802 ; - 98.6415 ﻿ ( Iztaccíhuatl )     9   King Peak   Yukon   Saint Elias Mountains   5173 m 16,972 ft   1073 m 3,520 ft   4.68 km 2.91 mi   60 ° 35 ′ 00 '' N 140 ° 39 ′ 18 '' W ﻿ / ﻿ 60.5833 ° N 140.6549 ° W ﻿ / 60.5833 ; - 140.6549 ﻿ ( King Peak )     10   Mount Bona   Alaska   Saint Elias Mountains   5044 m 16,550 ft   2103 m 6,900 ft   80.0 km 49.7 mi   61 ° 23 ′ 08 '' N 141 ° 44 ′ 58 '' W ﻿ / ﻿ 61.3856 ° N 141.7495 ° W ﻿ / 61.3856 ; - 141.7495 ﻿ ( Mount Bona )     11   Mount Steele   Yukon   Saint Elias Mountains   5020 m 16,470 ft   760 m 2,493 ft   9.45 km 5.87 mi   61 ° 05 ′ 34 '' N 140 ° 18 ′ 42 '' W ﻿ / ﻿ 61.0929 ° N 140.3118 ° W ﻿ / 61.0929 ; - 140.3118 ﻿ ( Mount Steele )     12   Mount Blackburn   Alaska   Wrangell Mountains   4996 m 16,390 ft   3548 m 11,640 ft   97.6 km 60.7 mi   61 ° 43 ′ 50 '' N 143 ° 24 ′ 11 '' W ﻿ / ﻿ 61.7305 ° N 143.4031 ° W ﻿ / 61.7305 ; - 143.4031 ﻿ ( Mount Blackburn )     13   Mount Sanford   Alaska   Wrangell Mountains   4949 m 16,237 ft   2343 m 7,687 ft   64.8 km 40.3 mi   62 ° 12 ′ 48 '' N 144 ° 07 ′ 45 '' W ﻿ / ﻿ 62.2132 ° N 144.1292 ° W ﻿ / 62.2132 ; - 144.1292 ﻿ ( Mount Sanford )     14   Mount Wood   Yukon   Saint Elias Mountains   4860 m 15,945 ft   1200 m 3,937 ft   18.95 km 11.77 mi   61 ° 13 ′ 57 '' N 140 ° 30 ′ 44 '' W ﻿ / ﻿ 61.2326 ° N 140.5123 ° W ﻿ / 61.2326 ; - 140.5123 ﻿ ( Mount Wood )     15   Mount Vancouver   Yukon   Saint Elias Mountains   4812 m 15,787 ft   2712 m 8,898 ft   44.0 km 27.4 mi   60 ° 21 ′ 32 '' N 139 ° 41 ′ 53 '' W ﻿ / ﻿ 60.3589 ° N 139.6980 ° W ﻿ / 60.3589 ; - 139.6980 ﻿ ( Mount Vancouver )     16   Mount Slaggard   Yukon   Saint Elias Mountains   4742 m 15,558 ft   522 m 1,713 ft   7.74 km 4.81 mi   61 ° 10 ′ 22 '' N 140 ° 35 ′ 06 '' W ﻿ / ﻿ 61.1727 ° N 140.5851 ° W ﻿ / 61.1727 ; - 140.5851 ﻿ ( Mount Slaggard )     17   Nevado de Toluca ( Volcán Xinantécatl )   México   Cordillera Neovolcanica   4690 m 15,387 ft   2225 m 7,300 ft   118.4 km 73.6 mi   19 ° 06 ′ 07 '' N 99 ° 46 ′ 04 '' W ﻿ / ﻿ 19.1020 ° N 99.7677 ° W ﻿ / 19.1020 ; - 99.7677 ﻿ ( Nevado de Toluca )     18   Mount Fairweather ( Fairweather Mountain )   Alaska British Columbia   Saint Elias Mountains   4671 m 15,325 ft   3961 m 12,995 ft   200 km 124.4 mi   58 ° 54 ′ 23 '' N 137 ° 31 ′ 35 '' W ﻿ / ﻿ 58.9064 ° N 137.5265 ° W ﻿ / 58.9064 ; - 137.5265 ﻿ ( Mount Fairweather )     19   Mount Hubbard   Alaska Yukon   Saint Elias Mountains   4557 m 14,951 ft   2457 m 8,061 ft   34.4 km 21.3 mi   60 ° 19 ′ 10 '' N 139 ° 04 ′ 21 '' W ﻿ / ﻿ 60.3194 ° N 139.0726 ° W ﻿ / 60.3194 ; - 139.0726 ﻿ ( Mount Hubbard )     20   Mount Bear   Alaska   Saint Elias Mountains   4520 m 14,831 ft   1540 m 5,054 ft   32.4 km 20.1 mi   61 ° 17 ′ 00 '' N 141 ° 08 ′ 36 '' W ﻿ / ﻿ 61.2834 ° N 141.1433 ° W ﻿ / 61.2834 ; - 141.1433 ﻿ ( Mount Bear )     21   Mount Walsh   Yukon   Saint Elias Mountains   4506 m 14,783 ft   1366 m 4,482 ft   18.76 km 11.66 mi   61 ° 00 ′ 13 '' N 140 ° 01 ′ 02 '' W ﻿ / ﻿ 61.0037 ° N 140.0171 ° W ﻿ / 61.0037 ; - 140.0171 ﻿ ( Mount Walsh )     22   Mount Hunter   Alaska   Alaska Range   4442 m 14,573 ft   1418 m 4,653 ft   11.07 km 6.88 mi   62 ° 57 ′ 01 '' N 151 ° 05 ′ 29 '' W ﻿ / ﻿ 62.9504 ° N 151.0915 ° W ﻿ / 62.9504 ; - 151.0915 ﻿ ( Mount Hunter )     23   La Malintzin ( La Malinche )   Puebla Tlaxcala   Cordillera Neovolcanica   4430 m 14,534 ft   1920 m 6,299 ft   63.9 km 39.7 mi   19 ° 13 ′ 52 '' N 98 ° 01 ′ 56 '' W ﻿ / ﻿ 19.2310 ° N 98.0321 ° W ﻿ / 19.2310 ; - 98.0321 ﻿ ( La Malintzin )     24   Mount Whitney   California   Sierra Nevada   4421.0 m 14,505 ft   3072 m 10,080 ft   2,649 km 1,646 mi   36 ° 34 ′ 43 '' N 118 ° 17 ′ 31 '' W ﻿ / ﻿ 36.5786 ° N 118.2920 ° W ﻿ / 36.5786 ; - 118.2920 ﻿ ( Mount Whitney )     25   Mount Alverstone ( Boundary Point 180 )   Alaska Yukon   Saint Elias Mountains   4420 m 14,500 ft   594 m 1,950 ft   3.62 km 2.25 mi   60 ° 21 ′ 06 '' N 139 ° 04 ′ 30 '' W ﻿ / ﻿ 60.3518 ° N 139.0749 ° W ﻿ / 60.3518 ; - 139.0749 ﻿ ( Mount Alverstone )     26   University Peak   Alaska   Saint Elias Mountains   4410 m 14,470 ft   978 m 3,210 ft   5.97 km 3.71 mi   61 ° 19 ′ 38 '' N 141 ° 47 ′ 12 '' W ﻿ / ﻿ 61.3272 ° N 141.7867 ° W ﻿ / 61.3272 ; - 141.7867 ﻿ ( University Peak )     27   Mount Elbert   Colorado   Sawatch Range   4401.2 m 14,440 ft   2772 m 9,093 ft   1,079 km 671 mi   39 ° 07 ′ 04 '' N 106 ° 26 ′ 43 '' W ﻿ / ﻿ 39.1178 ° N 106.4454 ° W ﻿ / 39.1178 ; - 106.4454 ﻿ ( Mount Elbert )     28   Mount Massive   Colorado   Sawatch Range   4398 m 14,428 ft   598 m 1,961 ft   8.14 km 5.06 mi   39 ° 11 ′ 15 '' N 106 ° 28 ′ 33 '' W ﻿ / ﻿ 39.1875 ° N 106.4757 ° W ﻿ / 39.1875 ; - 106.4757 ﻿ ( Mount Massive )     29   Mount Harvard   Colorado   Sawatch Range   4395.6 m 14,421 ft   719 m 2,360 ft   24.0 km 14.92 mi   38 ° 55 ′ 28 '' N 106 ° 19 ′ 15 '' W ﻿ / ﻿ 38.9244 ° N 106.3207 ° W ﻿ / 38.9244 ; - 106.3207 ﻿ ( Mount Harvard )     30   Mount Rainier   Washington   Cascade Range   4394 m 14,417 ft   4026 m 13,210 ft   1,177 km 731 mi   46 ° 51 ′ 10 '' N 121 ° 45 ′ 37 '' W ﻿ / ﻿ 46.8529 ° N 121.7604 ° W ﻿ / 46.8529 ; - 121.7604 ﻿ ( Mount Rainier )     31   Mount Williamson   California   Sierra Nevada   4383 m 14,379 ft   511 m 1,676 ft   8.70 km 5.41 mi   36 ° 39 ′ 21 '' N 118 ° 18 ′ 40 '' W ﻿ / ﻿ 36.6559 ° N 118.3111 ° W ﻿ / 36.6559 ; - 118.3111 ﻿ ( Mount Williamson )     32   McArthur Peak   Yukon   Saint Elias Mountains   4380 m 14,370 ft   960 m 3,150 ft   9.10 km 5.65 mi   60 ° 36 ′ 25 '' N 140 ° 12 ′ 52 '' W ﻿ / ﻿ 60.6069 ° N 140.2144 ° W ﻿ / 60.6069 ; - 140.2144 ﻿ ( McArthur Peak )     33   Blanca Peak   Colorado   Sangre de Cristo Mountains   4374 m 14,351 ft   1623 m 5,326 ft   166.4 km 103.4 mi   37 ° 34 ′ 39 '' N 105 ° 29 ′ 08 '' W ﻿ / ﻿ 37.5775 ° N 105.4856 ° W ﻿ / 37.5775 ; - 105.4856 ﻿ ( Blanca Peak )     34   La Plata Peak   Colorado   Sawatch Range   4372 m 14,343 ft   560 m 1,836 ft   10.11 km 6.28 mi   39 ° 01 ′ 46 '' N 106 ° 28 ′ 22 '' W ﻿ / ﻿ 39.0294 ° N 106.4729 ° W ﻿ / 39.0294 ; - 106.4729 ﻿ ( La Plata Peak )     35   Uncompahgre Peak   Colorado   San Juan Mountains   4365.0 m 14,321 ft   1304 m 4,277 ft   136.8 km 85.0 mi   38 ° 04 ′ 18 '' N 107 ° 27 ′ 44 '' W ﻿ / ﻿ 38.0717 ° N 107.4621 ° W ﻿ / 38.0717 ; - 107.4621 ﻿ ( Uncompahgre Peak )     36   Crestone Peak   Colorado   Sangre de Cristo Range   4359 m 14,300 ft   1388 m 4,554 ft   44.0 km 27.4 mi   37 ° 58 ′ 01 '' N 105 ° 35 ′ 08 '' W ﻿ / ﻿ 37.9669 ° N 105.5855 ° W ﻿ / 37.9669 ; - 105.5855 ﻿ ( Crestone Peak )     37   Mount Lincoln   Colorado   Mosquito Range   4356.5 m 14,293 ft   1177 m 3,862 ft   36.2 km 22.5 mi   39 ° 21 ′ 05 '' N 106 ° 06 ′ 42 '' W ﻿ / ﻿ 39.3515 ° N 106.1116 ° W ﻿ / 39.3515 ; - 106.1116 ﻿ ( Mount Lincoln )     38   Castle Peak   Colorado   Elk Mountains   4352.2 m 14,279 ft   721 m 2,365 ft   33.6 km 20.9 mi   39 ° 00 ′ 35 '' N 106 ° 51 ′ 41 '' W ﻿ / ﻿ 39.0097 ° N 106.8614 ° W ﻿ / 39.0097 ; - 106.8614 ﻿ ( Castle Peak )     39   Grays Peak   Colorado   Front Range   4352 m 14,278 ft   844 m 2,770 ft   40.2 km 25.0 mi   39 ° 38 ′ 02 '' N 105 ° 49 ′ 03 '' W ﻿ / ﻿ 39.6339 ° N 105.8176 ° W ﻿ / 39.6339 ; - 105.8176 ﻿ ( Grays Peak )     40   Mount Antero   Colorado   Sawatch Range   4351.4 m 14,276 ft   763 m 2,503 ft   28.4 km 17.67 mi   38 ° 40 ′ 27 '' N 106 ° 14 ′ 46 '' W ﻿ / ﻿ 38.6741 ° N 106.2462 ° W ﻿ / 38.6741 ; - 106.2462 ﻿ ( Mount Antero )     41   Mount Evans   Colorado   Front Range   4350 m 14,271 ft   844 m 2,770 ft   15.76 km 9.79 mi   39 ° 35 ′ 18 '' N 105 ° 38 ′ 38 '' W ﻿ / ﻿ 39.5883 ° N 105.6438 ° W ﻿ / 39.5883 ; - 105.6438 ﻿ ( Mount Evans )     42   Longs Peak   Colorado   Front Range   4346 m 14,259 ft   896 m 2,940 ft   70.2 km 43.6 mi   40 ° 15 ′ 18 '' N 105 ° 36 ′ 54 '' W ﻿ / ﻿ 40.2550 ° N 105.6151 ° W ﻿ / 40.2550 ; - 105.6151 ﻿ ( Longs Peak )     43   Mount Wilson   Colorado   San Miguel Mountains   4344 m 14,252 ft   1227 m 4,024 ft   53.1 km 33.0 mi   37 ° 50 ′ 21 '' N 107 ° 59 ′ 30 '' W ﻿ / ﻿ 37.8391 ° N 107.9916 ° W ﻿ / 37.8391 ; - 107.9916 ﻿ ( Mount Wilson )     44   White Mountain Peak   California   White Mountains   4344.0 m 14,252 ft   2193 m 7,196 ft   108.6 km 67.4 mi   37 ° 38 ′ 03 '' N 118 ° 15 ′ 21 '' W ﻿ / ﻿ 37.6341 ° N 118.2557 ° W ﻿ / 37.6341 ; - 118.2557 ﻿ ( White Mountain Peak )     45   North Palisade   California   Sierra Nevada   4343 m 14,248 ft   882 m 2,894 ft   51.8 km 32.2 mi   37 ° 05 ′ 39 '' N 118 ° 30 ′ 52 '' W ﻿ / ﻿ 37.0943 ° N 118.5145 ° W ﻿ / 37.0943 ; - 118.5145 ﻿ ( North Palisade )     46   Mount Princeton   Colorado   Sawatch Range   4329.3 m 14,204 ft   664 m 2,177 ft   8.36 km 5.19 mi   38 ° 44 ′ 57 '' N 106 ° 14 ′ 33 '' W ﻿ / ﻿ 38.7492 ° N 106.2424 ° W ﻿ / 38.7492 ; - 106.2424 ﻿ ( Mount Princeton )     47   Mount Yale   Colorado   Sawatch Range   4328.2 m 14,200 ft   578 m 1,896 ft   8.93 km 5.55 mi   38 ° 50 ′ 39 '' N 106 ° 18 ′ 50 '' W ﻿ / ﻿ 38.8442 ° N 106.3138 ° W ﻿ / 38.8442 ; - 106.3138 ﻿ ( Mount Yale )     48   Mount Shasta   California   Cascade Range   4321.8 m 14,179 ft   2979 m 9,772 ft   539 km 335 mi   41 ° 24 ′ 33 '' N 122 ° 11 ′ 42 '' W ﻿ / ﻿ 41.4092 ° N 122.1949 ° W ﻿ / 41.4092 ; - 122.1949 ﻿ ( Mount Shasta )     49   Maroon Peak   Colorado   Elk Mountains   4317.0 m 14,163 ft   712 m 2,336 ft   12.97 km 8.06 mi   39 ° 04 ′ 15 '' N 106 ° 59 ′ 20 '' W ﻿ / ﻿ 39.0708 ° N 106.9890 ° W ﻿ / 39.0708 ; - 106.9890 ﻿ ( Maroon Peak )     50   Mount Wrangell   Alaska   Wrangell Mountains   4317 m 14,163 ft   1711 m 5,613 ft   23.8 km 14.79 mi   62 ° 00 ′ 21 '' N 144 ° 01 ′ 07 '' W ﻿ / ﻿ 62.0059 ° N 144.0187 ° W ﻿ / 62.0059 ; - 144.0187 ﻿ ( Mount Wrangell )     51   Mount Sneffels   Colorado   Sneffels Range   4315.4 m 14,158 ft   930 m 3,050 ft   25.3 km 15.71 mi   38 ° 00 ′ 14 '' N 107 ° 47 ′ 32 '' W ﻿ / ﻿ 38.0038 ° N 107.7923 ° W ﻿ / 38.0038 ; - 107.7923 ﻿ ( Mount Sneffels )     52   Capitol Peak   Colorado   Elk Mountains   4309 m 14,137 ft   533 m 1,750 ft   11.98 km 7.44 mi   39 ° 09 ′ 01 '' N 107 ° 04 ′ 58 '' W ﻿ / ﻿ 39.1503 ° N 107.0829 ° W ﻿ / 39.1503 ; - 107.0829 ﻿ ( Capitol Peak )     53   Pikes Peak   Colorado   Front Range   4302.31 m 14,115 ft   1686 m 5,530 ft   97.6 km 60.6 mi   38 ° 50 ′ 26 '' N 105 ° 02 ′ 39 '' W ﻿ / ﻿ 38.8405 ° N 105.0442 ° W ﻿ / 38.8405 ; - 105.0442 ﻿ ( Pikes Peak )     54   Windom Peak   Colorado   Needle Mountains   4296 m 14,093 ft   667 m 2,187 ft   42.4 km 26.3 mi   37 ° 37 ′ 16 '' N 107 ° 35 ′ 31 '' W ﻿ / ﻿ 37.6212 ° N 107.5919 ° W ﻿ / 37.6212 ; - 107.5919 ﻿ ( Windom Peak )     55   Mount Augusta   Alaska Yukon   Saint Elias Mountains   4289 m 14,070 ft   1549 m 5,082 ft   23.2 km 14.41 mi   60 ° 18 ′ 27 '' N 140 ° 27 ′ 30 '' W ﻿ / ﻿ 60.3074 ° N 140.4584 ° W ﻿ / 60.3074 ; - 140.4584 ﻿ ( Mount Augusta )     56   Handies Peak   Colorado   San Juan Mountains   4284.8 m 14,058 ft   582 m 1,908 ft   18.00 km 11.18 mi   37 ° 54 ′ 47 '' N 107 ° 30 ′ 16 '' W ﻿ / ﻿ 37.9130 ° N 107.5044 ° W ﻿ / 37.9130 ; - 107.5044 ﻿ ( Handies Peak )     57   Culebra Peak   Colorado   Culebra Range   4283 m 14,053 ft   1471 m 4,827 ft   56.9 km 35.4 mi   37 ° 07 ′ 21 '' N 105 ° 11 ′ 09 '' W ﻿ / ﻿ 37.1224 ° N 105.1858 ° W ﻿ / 37.1224 ; - 105.1858 ﻿ ( Culebra Peak )     58   San Luis Peak   Colorado   La Garita Mountains   4273.8 m 14,022 ft   949 m 3,113 ft   43.4 km 26.9 mi   37 ° 59 ′ 12 '' N 106 ° 55 ′ 53 '' W ﻿ / ﻿ 37.9868 ° N 106.9313 ° W ﻿ / 37.9868 ; - 106.9313 ﻿ ( San Luis Peak )     59   Mount of the Holy Cross   Colorado   Sawatch Range   4270.5 m 14,011 ft   644 m 2,113 ft   29.6 km 18.41 mi   39 ° 28 ′ 00 '' N 106 ° 28 ′ 54 '' W ﻿ / ﻿ 39.4668 ° N 106.4817 ° W ﻿ / 39.4668 ; - 106.4817 ﻿ ( Mount of the Holy Cross )     60   Nevado de Colima   Jalisco   Cordillera Neovolcanica   4270 m 14,009 ft   2720 m 8,924 ft   405 km 252 mi   19 ° 33 ′ 48 '' N 103 ° 36 ′ 31 '' W ﻿ / ﻿ 19.5633 ° N 103.6087 ° W ﻿ / 19.5633 ; - 103.6087 ﻿ ( Nevado de Colima )     61   Grizzly Peak   Colorado   Sawatch Range   4265.6 m 13,995 ft   588 m 1,928 ft   10.89 km 6.77 mi   39 ° 02 ′ 33 '' N 106 ° 35 ′ 51 '' W ﻿ / ﻿ 39.0425 ° N 106.5976 ° W ﻿ / 39.0425 ; - 106.5976 ﻿ ( Grizzly Peak )     62   Mount Humphreys   California   Sierra Nevada   4265 m 13,992 ft   781 m 2,563 ft   23.7 km 14.71 mi   37 ° 16 ′ 14 '' N 118 ° 40 ′ 23 '' W ﻿ / ﻿ 37.2705 ° N 118.6730 ° W ﻿ / 37.2705 ; - 118.6730 ﻿ ( Mount Humphreys )     63   Mount Keith   California   Sierra Nevada   4262 m 13,982 ft   590 m 1,936 ft   4.97 km 3.09 mi   36 ° 42 ′ 00 '' N 118 ° 20 ′ 37 '' W ﻿ / ﻿ 36.7001 ° N 118.3436 ° W ﻿ / 36.7001 ; - 118.3436 ﻿ ( Mount Keith )     64   Mount Strickland   Yukon   Saint Elias Mountains   4260 m 13,976 ft   800 m 2,625 ft   7.35 km 4.57 mi   61 ° 14 ′ 11 '' N 140 ° 40 ′ 32 '' W ﻿ / ﻿ 61.2365 ° N 140.6755 ° W ﻿ / 61.2365 ; - 140.6755 ﻿ ( Mount Strickland )     65   Mount Ouray   Colorado   Sawatch Range   4255.4 m 13,961 ft   810 m 2,659 ft   21.9 km 13.58 mi   38 ° 25 ′ 22 '' N 106 ° 13 ′ 29 '' W ﻿ / ﻿ 38.4227 ° N 106.2247 ° W ﻿ / 38.4227 ; - 106.2247 ﻿ ( Mount Ouray )     66   Vermilion Peak   Colorado   San Juan Mountains   4237 m 13,900 ft   642 m 2,105 ft   14.60 km 9.07 mi   37 ° 47 ′ 57 '' N 107 ° 49 ′ 43 '' W ﻿ / ﻿ 37.7993 ° N 107.8285 ° W ﻿ / 37.7993 ; - 107.8285 ﻿ ( Vermilion Peak )     67   Avalanche Peak   Yukon   Saint Elias Mountains   4228 m 13,871 ft   608 m 1,995 ft   4.54 km 2.82 mi   61 ° 14 ′ 24 '' N 140 ° 45 ′ 35 '' W ﻿ / ﻿ 61.2401 ° N 140.7597 ° W ﻿ / 61.2401 ; - 140.7597 ﻿ ( Avalanche Peak )     68   Atna Peaks   Alaska   Wrangell Mountains   4225 m 13,860 ft   674 m 2,210 ft   5.86 km 3.64 mi   61 ° 44 ′ 58 '' N 143 ° 14 ′ 29 '' W ﻿ / ﻿ 61.7495 ° N 143.2414 ° W ﻿ / 61.7495 ; - 143.2414 ﻿ ( Atna Peaks )     69   Volcán Tajumulco   Guatemala   Sierra de las Nubes   4220 m 13,845 ft   3990 m 13,091 ft   722 km 448 mi   15 ° 02 ′ 35 '' N 91 ° 54 ′ 13 '' W ﻿ / ﻿ 15.0430 ° N 91.9037 ° W ﻿ / 15.0430 ; - 91.9037 ﻿ ( Volcán Tajumulco )     70   Regal Mountain   Alaska   Wrangell Mountains   4220 m 13,845 ft   1340 m 4,395 ft   19.72 km 12.25 mi   61 ° 44 ′ 38 '' N 142 ° 52 ′ 03 '' W ﻿ / ﻿ 61.7438 ° N 142.8675 ° W ﻿ / 61.7438 ; - 142.8675 ﻿ ( Regal Mountain )     71   Mount Darwin   California   Sierra Nevada   4218 m 13,837 ft   576 m 1,891 ft   11.48 km 7.13 mi   37 ° 10 ′ 01 '' N 118 ° 40 ′ 20 '' W ﻿ / ﻿ 37.1669 ° N 118.6721 ° W ﻿ / 37.1669 ; - 118.6721 ﻿ ( Mount Darwin )     72   Mount Hayes   Alaska   Alaska Range   4216 m 13,832 ft   3507 m 11,507 ft   202 km 125.5 mi   63 ° 37 ′ 13 '' N 146 ° 43 ′ 04 '' W ﻿ / ﻿ 63.6203 ° N 146.7178 ° W ﻿ / 63.6203 ; - 146.7178 ﻿ ( Mount Hayes )     73   Mount Silverheels   Colorado   Front Range   4215.0 m 13,829 ft   696 m 2,283 ft   8.82 km 5.48 mi   39 ° 20 ′ 22 '' N 106 ° 00 ′ 19 '' W ﻿ / ﻿ 39.3394 ° N 106.0054 ° W ﻿ / 39.3394 ; - 106.0054 ﻿ ( Mount Silverheels )     74   Rio Grande Pyramid   Colorado   San Juan Mountains   4214.4 m 13,827 ft   573 m 1,881 ft   17.31 km 10.76 mi   37 ° 40 ′ 47 '' N 107 ° 23 ′ 33 '' W ﻿ / ﻿ 37.6797 ° N 107.3924 ° W ﻿ / 37.6797 ; - 107.3924 ﻿ ( Rio Grande Pyramid )     75   Cofre de Perote   Veracruz   Cordillera Neovolcanica   4210 m 13,812 ft   1340 m 4,396 ft   52.9 km 32.9 mi   19 ° 29 ′ 38 '' N 97 ° 08 ′ 53 '' W ﻿ / ﻿ 19.4940 ° N 97.1480 ° W ﻿ / 19.4940 ; - 97.1480 ﻿ ( Cofre de Perote )     76   Gannett Peak   Wyoming   Wind River Range   4209.1 m 13,809 ft   2157 m 7,076 ft   467 km 290 mi   43 ° 11 ′ 03 '' N 109 ° 39 ′ 15 '' W ﻿ / ﻿ 43.1842 ° N 109.6542 ° W ﻿ / 43.1842 ; - 109.6542 ﻿ ( Gannett Peak )     77   Mount Kaweah   California   Sierra Nevada   4209 m 13,807 ft   618 m 2,027 ft   17.27 km 10.73 mi   36 ° 31 ′ 34 '' N 118 ° 28 ′ 43 '' W ﻿ / ﻿ 36.5261 ° N 118.4785 ° W ﻿ / 36.5261 ; - 118.4785 ﻿ ( Mount Kaweah )     78   Grand Teton   Wyoming   Teton Range   4198.7 m 13,775 ft   1995 m 6,545 ft   111.6 km 69.4 mi   43 ° 44 ′ 28 '' N 110 ° 48 ′ 09 '' W ﻿ / ﻿ 43.7412 ° N 110.8024 ° W ﻿ / 43.7412 ; - 110.8024 ﻿ ( Grand Teton )     79   Mount Cook   Alaska Yukon   Saint Elias Mountains   4194 m 13,760 ft   2350 m 7,710 ft   23.4 km 14.54 mi   60 ° 10 ′ 54 '' N 139 ° 58 ′ 52 '' W ﻿ / ﻿ 60.1816 ° N 139.9811 ° W ﻿ / 60.1816 ; - 139.9811 ﻿ ( Mount Cook )     80   Mount Morgan   California   Sierra Nevada   4193.4 m 13,758 ft   807 m 2,648 ft   15.87 km 9.86 mi   37 ° 24 ′ 19 '' N 118 ° 43 ′ 58 '' W ﻿ / ﻿ 37.4053 ° N 118.7329 ° W ﻿ / 37.4053 ; - 118.7329 ﻿ ( Mount Morgan )     81   Mount Gabb   California   Sierra Nevada   4190 m 13,747 ft   793 m 2,601 ft   6.89 km 4.28 mi   37 ° 22 ′ 37 '' N 118 ° 48 ′ 09 '' W ﻿ / ﻿ 37.3769 ° N 118.8025 ° W ﻿ / 37.3769 ; - 118.8025 ﻿ ( Mount Gabb )     82   Bald Mountain   Colorado   Front Range   4173 m 13,690 ft   640 m 2,099 ft   12.09 km 7.51 mi   39 ° 26 ′ 41 '' N 105 ° 58 ′ 14 '' W ﻿ / ﻿ 39.4448 ° N 105.9705 ° W ﻿ / 39.4448 ; - 105.9705 ﻿ ( Bald Mountain )     83   Mount Oso   Colorado   San Juan Mountains   4173 m 13,690 ft   507 m 1,664 ft   8.71 km 5.41 mi   37 ° 36 ′ 25 '' N 107 ° 29 ′ 37 '' W ﻿ / ﻿ 37.6070 ° N 107.4936 ° W ﻿ / 37.6070 ; - 107.4936 ﻿ ( Mount Oso )     84   Mount Jackson   Colorado   Sawatch Range   4168.5 m 13,676 ft   552 m 1,810 ft   5.16 km 3.21 mi   39 ° 29 ′ 07 '' N 106 ° 32 ′ 12 '' W ﻿ / ﻿ 39.4853 ° N 106.5367 ° W ﻿ / 39.4853 ; - 106.5367 ﻿ ( Mount Jackson )     85   Mount Tom   California   Sierra Nevada   4163 m 13,657 ft   607 m 1,992 ft   7.67 km 4.77 mi   37 ° 22 ′ 34 '' N 119 ° 10 ′ 44 '' W ﻿ / ﻿ 37.3762 ° N 119.1789 ° W ﻿ / 37.3762 ; - 119.1789 ﻿ ( Mount Tom )     86   Bard Peak   Colorado   Front Range   4159 m 13,647 ft   518 m 1,701 ft   8.74 km 5.43 mi   39 ° 43 ′ 13 '' N 105 ° 48 ′ 16 '' W ﻿ / ﻿ 39.7204 ° N 105.8044 ° W ﻿ / 39.7204 ; - 105.8044 ﻿ ( Bard Peak )     87   West Spanish Peak   Colorado   Spanish Peaks   4155 m 13,631 ft   1123 m 3,686 ft   32.0 km 19.87 mi   37 ° 22 ′ 32 '' N 104 ° 59 ′ 36 '' W ﻿ / ﻿ 37.3756 ° N 104.9934 ° W ﻿ / 37.3756 ; - 104.9934 ﻿ ( West Spanish Peak )     88   Mount Powell   Colorado   Gore Range   4141 m 13,586 ft   914 m 3,000 ft   34.6 km 21.5 mi   39 ° 45 ′ 36 '' N 106 ° 20 ′ 27 '' W ﻿ / ﻿ 39.7601 ° N 106.3407 ° W ﻿ / 39.7601 ; - 106.3407 ﻿ ( Mount Powell )     89   Hagues Peak   Colorado   Mummy Range   4137 m 13,573 ft   738 m 2,420 ft   25.3 km 15.70 mi   40 ° 29 ′ 04 '' N 105 ° 38 ′ 47 '' W ﻿ / ﻿ 40.4845 ° N 105.6464 ° W ﻿ / 40.4845 ; - 105.6464 ﻿ ( Hagues Peak )     90   Mount Dubois   California   White Mountains   4135 m 13,565 ft   713 m 2,339 ft   15.50 km 9.63 mi   37 ° 47 ′ 00 '' N 118 ° 20 ′ 36 '' W ﻿ / ﻿ 37.7834 ° N 118.3432 ° W ﻿ / 37.7834 ; - 118.3432 ﻿ ( Mount Dubois )     91   Tower Mountain   Colorado   San Juan Mountains   4132 m 13,558 ft   504 m 1,652 ft   7.86 km 4.88 mi   37 ° 51 ′ 26 '' N 107 ° 37 ′ 23 '' W ﻿ / ﻿ 37.8573 ° N 107.6230 ° W ﻿ / 37.8573 ; - 107.6230 ﻿ ( Tower Mountain )     92   Treasure Mountain   Colorado   Elk Mountains   4125 m 13,535 ft   862 m 2,828 ft   11.13 km 6.92 mi   39 ° 01 ′ 28 '' N 107 ° 07 ′ 22 '' W ﻿ / ﻿ 39.0244 ° N 107.1228 ° W ﻿ / 39.0244 ; - 107.1228 ﻿ ( Treasure Mountain )     93   Kings Peak   Utah   Uinta Mountains   4125 m 13,534 ft   1938 m 6,358 ft   268 km 166.6 mi   40 ° 46 ′ 35 '' N 110 ° 22 ′ 22 '' W ﻿ / ﻿ 40.7763 ° N 110.3729 ° W ﻿ / 40.7763 ; - 110.3729 ﻿ ( Kings Peak )     94   Monte Tlaloc   Mexico   Trans Mexican Volcanic Belt   4120 m 13,517 ft   958 m 3,143 ft   15.00 km 9.32 mi   19 ° 23 ′ 42 '' N 98 ° 46 ′ 52 '' W ﻿ / ﻿ 19.3950 ° N 98.781 ° W ﻿ / 19.3950 ; - 98.781 ﻿ ( Monte Tlaloc )     95   North Arapaho Peak   Colorado   Front Range   4117 m 13,508 ft   507 m 1,665 ft   24.8 km 15.38 mi   40 ° 01 ′ 35 '' N 105 ° 39 ′ 01 '' W ﻿ / ﻿ 40.0265 ° N 105.6504 ° W ﻿ / 40.0265 ; - 105.6504 ﻿ ( North Arapaho Peak )     96   Mount Pinchot   California   Sierra Nevada   4115 m 13,500 ft   643 m 2,110 ft   7.58 km 4.71 mi   36 ° 56 ′ 50 '' N 118 ° 24 ′ 19 '' W ﻿ / ﻿ 36.9473 ° N 118.4054 ° W ﻿ / 36.9473 ; - 118.4054 ﻿ ( Mount Pinchot )     97   Mount Natazhat   Alaska   Saint Elias Mountains   4095 m 13,435 ft   1824 m 5,985 ft   24.9 km 15.49 mi   61 ° 31 ′ 18 '' N 141 ° 06 ′ 11 '' W ﻿ / ﻿ 61.5217 ° N 141.1030 ° W ﻿ / 61.5217 ; - 141.1030 ﻿ ( Mount Natazhat )     98   Mount Jarvis   Alaska   Wrangell Mountains   4091 m 13,421 ft   1454 m 4,771 ft   17.95 km 11.15 mi   62 ° 01 ′ 24 '' N 143 ° 37 ′ 11 '' W ﻿ / ﻿ 62.0234 ° N 143.6198 ° W ﻿ / 62.0234 ; - 143.6198 ﻿ ( Mount Jarvis )     99   Parry Peak   Colorado   Front Range   4083 m 13,397 ft   524 m 1,720 ft   15.22 km 9.46 mi   39 ° 50 ′ 17 '' N 105 ° 42 ′ 48 '' W ﻿ / ﻿ 39.8381 ° N 105.7132 ° W ﻿ / 39.8381 ; - 105.7132 ﻿ ( Parry Peak )     100   Bill Williams Peak   Colorado   Williams Mountains   4081 m 13,389 ft   513 m 1,682 ft   6.00 km 3.73 mi   39 ° 10 ′ 50 '' N 106 ° 36 ′ 37 '' W ﻿ / ﻿ 39.1806 ° N 106.6102 ° W ﻿ / 39.1806 ; - 106.6102 ﻿ ( Bill Williams Peak )     101   Sultan Mountain   Colorado   San Juan Mountains   4076 m 13,373 ft   569 m 1,868 ft   7.39 km 4.59 mi   37 ° 47 ′ 09 '' N 107 ° 42 ′ 14 '' W ﻿ / ﻿ 37.7859 ° N 107.7038 ° W ﻿ / 37.7859 ; - 107.7038 ﻿ ( Sultan Mountain )     102   Mount Herard   Colorado   Sangre de Cristo Mountains   4068 m 13,345 ft   622 m 2,040 ft   7.45 km 4.63 mi   37 ° 50 ′ 57 '' N 105 ° 29 ′ 42 '' W ﻿ / ﻿ 37.8492 ° N 105.4949 ° W ﻿ / 37.8492 ; - 105.4949 ﻿ ( Mount Herard )     103   Volcán Tacaná   Chiapas Guatemala   Sierra de Istatan   4067 m 13,343 ft   1037 m 3,402 ft   24.1 km 14.99 mi   15 ° 07 ′ 56 '' N 92 ° 06 ′ 30 '' W ﻿ / ﻿ 15.1323 ° N 92.1084 ° W ﻿ / 15.1323 ; - 92.1084 ﻿ ( Volcán Tacaná )     104   West Buffalo Peak   Colorado   Mosquito Range   4064 m 13,332 ft   605 m 1,986 ft   15.46 km 9.61 mi   38 ° 59 ′ 30 '' N 106 ° 07 ′ 30 '' W ﻿ / ﻿ 38.9917 ° N 106.1249 ° W ﻿ / 38.9917 ; - 106.1249 ﻿ ( West Buffalo Peak )     105   Mount Craig   Yukon   Saint Elias Mountains   4060 m 13,320 ft   520 m 1,706 ft   6.97 km 4.33 mi   61 ° 15 ′ 49 '' N 140 ° 52 ′ 48 '' W ﻿ / ﻿ 61.2636 ° N 140.8800 ° W ﻿ / 61.2636 ; - 140.8800 ﻿ ( Mount Craig )     106   Tressider Peak   Alaska   Saint Elias Mountains   4058 m 13,315 ft   507 m 1,665 ft   5.34 km 3.32 mi   61 ° 21 ′ 32 '' N 141 ° 39 ′ 59 '' W ﻿ / ﻿ 61.3590 ° N 141.6664 ° W ﻿ / 61.3590 ; - 141.6664 ﻿ ( Tressider Peak )     107   Summit Peak   Colorado   San Juan Mountains   4056.2 m 13,308 ft   841 m 2,760 ft   63.7 km 39.6 mi   37 ° 21 ′ 02 '' N 106 ° 41 ′ 48 '' W ﻿ / ﻿ 37.3506 ° N 106.6968 ° W ﻿ / 37.3506 ; - 106.6968 ﻿ ( Summit Peak )     108   Middle Peak   Colorado   San Miguel Mountains   4056 m 13,306 ft   597 m 1,960 ft   7.69 km 4.78 mi   37 ° 51 ′ 13 '' N 108 ° 06 ′ 30 '' W ﻿ / ﻿ 37.8536 ° N 108.1082 ° W ﻿ / 37.8536 ; - 108.1082 ﻿ ( Middle Peak )     109   Antora Peak   Colorado   Sawatch Range   4046 m 13,275 ft   734 m 2,409 ft   10.86 km 6.75 mi   38 ° 19 ′ 30 '' N 106 ° 13 ′ 05 '' W ﻿ / ﻿ 38.3250 ° N 106.2180 ° W ﻿ / 38.3250 ; - 106.2180 ﻿ ( Antora Peak )     110   Henry Mountain   Colorado   Sawatch Range   4042 m 13,261 ft   510 m 1,674 ft   17.61 km 10.94 mi   38 ° 41 ′ 08 '' N 106 ° 37 ′ 16 '' W ﻿ / ﻿ 38.6856 ° N 106.6211 ° W ﻿ / 38.6856 ; - 106.6211 ﻿ ( Henry Mountain )     111   Hesperus Mountain   Colorado   La Plata Mountains   4035 m 13,237 ft   869 m 2,852 ft   39.5 km 24.5 mi   37 ° 26 ′ 42 '' N 108 ° 05 ′ 20 '' W ﻿ / ﻿ 37.4451 ° N 108.0890 ° W ﻿ / 37.4451 ; - 108.0890 ﻿ ( Hesperus Mountain )     112   Mount Silverthrone   Alaska   Alaska Range   4029 m 13,220 ft   988 m 3,240 ft   12.72 km 7.90 mi   63 ° 06 ′ 57 '' N 150 ° 40 ′ 32 '' W ﻿ / ﻿ 63.1157 ° N 150.6755 ° W ﻿ / 63.1157 ; - 150.6755 ﻿ ( Mount Silverthrone )     113   Jacque Peak   Colorado   Gore Range   4027 m 13,211 ft   629 m 2,065 ft   7.28 km 4.52 mi   39 ° 27 ′ 18 '' N 106 ° 11 ′ 49 '' W ﻿ / ﻿ 39.4549 ° N 106.1970 ° W ﻿ / 39.4549 ; - 106.1970 ﻿ ( Jacque Peak )     114   Bennett Peak   Colorado   San Juan Mountains   4026 m 13,209 ft   531 m 1,743 ft   27.5 km 17.08 mi   37 ° 29 ′ 00 '' N 106 ° 26 ′ 03 '' W ﻿ / ﻿ 37.4833 ° N 106.4343 ° W ﻿ / 37.4833 ; - 106.4343 ﻿ ( Bennett Peak )     115   Wind River Peak   Wyoming   Wind River Range   4022.4 m 13,197 ft   784 m 2,572 ft   56.6 km 35.1 mi   42 ° 42 ′ 31 '' N 109 ° 07 ′ 42 '' W ﻿ / ﻿ 42.7085 ° N 109.1284 ° W ﻿ / 42.7085 ; - 109.1284 ﻿ ( Wind River Peak )     116   Mount Waddington   British Columbia   Coast Mountains   4019 m 13,186 ft   3289 m 10,791 ft   562 km 349 mi   51 ° 22 ′ 25 '' N 125 ° 15 ′ 49 '' W ﻿ / ﻿ 51.3737 ° N 125.2636 ° W ﻿ / 51.3737 ; - 125.2636 ﻿ ( Mount Waddington )     117   Conejos Peak   Colorado   San Juan Mountains   4017.0 m 13,179 ft   583 m 1,912 ft   13.12 km 8.15 mi   37 ° 17 ′ 19 '' N 106 ° 34 ′ 15 '' W ﻿ / ﻿ 37.2887 ° N 106.5709 ° W ﻿ / 37.2887 ; - 106.5709 ﻿ ( Conejos Peak )     118   Mount Marcus Baker   Alaska   Chugach Mountains   4016 m 13,176 ft   3277 m 10,751 ft   203 km 126.3 mi   61 ° 26 ′ 15 '' N 147 ° 45 ′ 09 '' W ﻿ / ﻿ 61.4374 ° N 147.7525 ° W ﻿ / 61.4374 ; - 147.7525 ﻿ ( Mount Marcus Baker )     119   Cloud Peak   Wyoming   Bighorn Mountains   4013.3 m 13,167 ft   2157 m 7,077 ft   233 km 145.0 mi   44 ° 22 ′ 56 '' N 107 ° 10 ′ 26 '' W ﻿ / ﻿ 44.3821 ° N 107.1739 ° W ﻿ / 44.3821 ; - 107.1739 ﻿ ( Cloud Peak )     Wheeler Peak   New Mexico   Taos Mountains   4013.3 m 13,167 ft   1039 m 3,409 ft   59.6 km 37.0 mi   36 ° 33 ′ 25 '' N 105 ° 25 ′ 01 '' W ﻿ / ﻿ 36.5569 ° N 105.4169 ° W ﻿ / 36.5569 ; - 105.4169 ﻿ ( Wheeler Peak )     121   Francs Peak   Wyoming   Absaroka Range   4012.3 m 13,164 ft   1236 m 4,056 ft   76.0 km 47.2 mi   43 ° 57 ′ 41 '' N 109 ° 20 ′ 21 '' W ﻿ / ﻿ 43.9613 ° N 109.3392 ° W ﻿ / 43.9613 ; - 109.3392 ﻿ ( Francs Peak )     122   Twilight Peak   Colorado   Needle Mountains   4012 m 13,163 ft   713 m 2,338 ft   7.86 km 4.88 mi   37 ° 39 ′ 47 '' N 107 ° 43 ′ 37 '' W ﻿ / ﻿ 37.6630 ° N 107.7270 ° W ﻿ / 37.6630 ; - 107.7270 ﻿ ( Twilight Peak )     123   South River Peak   Colorado   San Juan Mountains   4009.4 m 13,154 ft   746 m 2,448 ft   34.0 km 21.1 mi   37 ° 34 ′ 27 '' N 106 ° 58 ′ 53 '' W ﻿ / ﻿ 37.5741 ° N 106.9815 ° W ﻿ / 37.5741 ; - 106.9815 ﻿ ( South River Peak )     124   Mount Ritter   California   Sierra Nevada   4008 m 13,149 ft   1216 m 3,990 ft   35.4 km 22.0 mi   37 ° 41 ′ 21 '' N 119 ° 11 ′ 59 '' W ﻿ / ﻿ 37.6891 ° N 119.1996 ° W ﻿ / 37.6891 ; - 119.1996 ﻿ ( Mount Ritter )     125   Red Slate Mountain   California   Sierra Nevada   4002 m 13,129 ft   529 m 1,736 ft   13.38 km 8.31 mi   37 ° 30 ′ 27 '' N 118 ° 52 ′ 09 '' W ﻿ / ﻿ 37.5075 ° N 118.8693 ° W ﻿ / 37.5075 ; - 118.8693 ﻿ ( Red Slate Mountain )     126   Mount Lyell ( California )   California   Sierra Nevada   3998.9 m 13,120 ft   587 m 1,926 ft   8.46 km 5.26 mi   37 ° 44 ′ 22 '' N 119 ° 16 ′ 18 '' W ﻿ / ﻿ 37.7394 ° N 119.2716 ° W ﻿ / 37.7394 ; - 119.2716 ﻿ ( Mount Lyell )     127   Bushnell Peak   Colorado   Sangre de Cristo Mountains   3995.8 m 13,110 ft   733 m 2,405 ft   17.82 km 11.07 mi   38 ° 20 ′ 28 '' N 105 ° 53 ′ 21 '' W ﻿ / ﻿ 38.3412 ° N 105.8892 ° W ﻿ / 38.3412 ; - 105.8892 ﻿ ( Bushnell Peak )     128   Truchas Peak   New Mexico   Santa Fe Mountains   3995.2 m 13,108 ft   1220 m 4,001 ft   68.2 km 42.3 mi   35 ° 57 ′ 45 '' N 105 ° 38 ′ 42 '' W ﻿ / ﻿ 35.9625 ° N 105.6450 ° W ﻿ / 35.9625 ; - 105.6450 ﻿ ( Truchas Peak )     129   Wheeler Peak   Nevada   Snake Range   3982.3 m 13,065 ft   2307 m 7,568 ft   373 km 232 mi   38 ° 59 ′ 09 '' N 114 ° 18 ′ 50 '' W ﻿ / ﻿ 38.9858 ° N 114.3139 ° W ﻿ / 38.9858 ; - 114.3139 ﻿ ( Wheeler Peak )     130   Mount Dana   California   Sierra Nevada   3981.5 m 13,063 ft   743 m 2,437 ft   18.35 km 11.40 mi   37 ° 54 ′ 00 '' N 119 ° 13 ′ 16 '' W ﻿ / ﻿ 37.8999 ° N 119.2211 ° W ﻿ / 37.8999 ; - 119.2211 ﻿ ( Mount Dana )     131   Spring Glacier Peak   Yukon   Saint Elias Mountains   3976 m 13,045 ft   676 m 2,218 ft   6.00 km 3.73 mi   61 ° 02 ′ 27 '' N 139 ° 55 ′ 58 '' W ﻿ / ﻿ 61.0408 ° N 139.9328 ° W ﻿ / 61.0408 ; - 139.9328 ﻿ ( Spring Glacier Peak )     132   West Elk Peak   Colorado   West Elk Mountains   3975.2 m 13,042 ft   943 m 3,095 ft   22.2 km 13.78 mi   38 ° 43 ′ 04 '' N 107 ° 11 ′ 58 '' W ﻿ / ﻿ 38.7179 ° N 107.1994 ° W ﻿ / 38.7179 ; - 107.1994 ﻿ ( West Elk Peak )     133   Volcán Acatenango   Guatemala   Chimaltenango   3975 m 13,041 ft   1835 m 6,020 ft   125.9 km 78.2 mi   14 ° 30 ′ 06 '' N 90 ° 52 ′ 32 '' W ﻿ / ﻿ 14.5016 ° N 90.8755 ° W ﻿ / 14.5016 ; - 90.8755 ﻿ ( Volcán Acatenango )     134   Mount Moffit   Alaska   Alaska Range   3969 m 13,020 ft   1210 m 3,970 ft   16.41 km 10.20 mi   63 ° 34 ′ 06 '' N 146 ° 23 ′ 54 '' W ﻿ / ﻿ 63.5683 ° N 146.3982 ° W ﻿ / 63.5683 ; - 146.3982 ﻿ ( Mount Moffit )     135   Mount Centennial ( Peak 13010 )   Colorado   San Juan Mountains   3967 m 13,016 ft   546 m 1,790 ft   4.61 km 2.86 mi   37 ° 36 ′ 22 '' N 107 ° 14 ′ 41 '' W ﻿ / ﻿ 37.6062 ° N 107.2446 ° W ﻿ / 37.6062 ; - 107.2446 ﻿ ( Mount Centennial )     136   Mount Robson   British Columbia   Canadian Rockies   3959 m 12,989 ft   2829 m 9,281 ft   460 km 286 mi   53 ° 06 ′ 38 '' N 119 ° 09 ′ 24 '' W ﻿ / ﻿ 53.1105 ° N 119.1566 ° W ﻿ / 53.1105 ; - 119.1566 ﻿ ( Mount Robson )     137   Clark Peak   Colorado   Medicine Bow Mountains   3948.4 m 12,954 ft   845 m 2,771 ft   26.4 km 16.40 mi   40 ° 36 ′ 24 '' N 105 ° 55 ′ 48 '' W ﻿ / ﻿ 40.6068 ° N 105.9300 ° W ﻿ / 40.6068 ; - 105.9300 ﻿ ( Clark Peak )     138   Mount Richthofen   Colorado   Never Summer Mountains   3946 m 12,945 ft   817 m 2,680 ft   15.54 km 9.66 mi   40 ° 28 ′ 10 '' N 105 ° 53 ′ 40 '' W ﻿ / ﻿ 40.4695 ° N 105.8945 ° W ﻿ / 40.4695 ; - 105.8945 ﻿ ( Mount Richthofen )     139   Cerro Ajusco   Distrito Federal   Cordillera Neovolcanica   3937 m 12,917 ft   1227 m 4,026 ft   53.5 km 33.2 mi   19 ° 12 ′ 27 '' N 99 ° 15 ′ 30 '' W ﻿ / ﻿ 19.2074 ° N 99.2582 ° W ﻿ / 19.2074 ; - 99.2582 ﻿ ( Cerro Ajusco )     140   Mount Harrison ( Yukon )   Yukon   Saint Elias Mountains   3935 m 12,910 ft   875 m 2,871 ft   11.00 km 6.84 mi   61 ° 04 ′ 41 '' N 140 ° 06 ′ 07 '' W ﻿ / ﻿ 61.0781 ° N 140.1019 ° W ﻿ / 61.0781 ; - 140.1019 ﻿ ( Mount Harrison )     141   Mount Queen Mary   Yukon   Saint Elias Mountains   3928 m 12,887 ft   1348 m 4,423 ft   25.3 km 15.69 mi   60 ° 37 ′ 43 '' N 139 ° 43 ′ 29 '' W ﻿ / ﻿ 60.6286 ° N 139.7247 ° W ﻿ / 60.6286 ; - 139.7247 ﻿ ( Mount Queen Mary )     Mount Root   Alaska British Columbia   Saint Elias Mountains   3928 m 12,887 ft   908 m 2,979 ft   8.79 km 5.46 mi   58 ° 59 ′ 07 '' N 137 ° 30 ′ 00 '' W ﻿ / ﻿ 58.9854 ° N 137.5001 ° W ﻿ / 58.9854 ; - 137.5001 ﻿ ( Mount Root )     143   Lizard Head Peak   Wyoming   Wind River Range   3916 m 12,847 ft   580 m 1,902 ft   10.40 km 6.46 mi   42 ° 47 ′ 24 '' N 109 ° 11 ′ 52 '' W ﻿ / ﻿ 42.7901 ° N 109.1978 ° W ﻿ / 42.7901 ; - 109.1978 ﻿ ( Lizard Head Peak )     144   Granite Peak   Montana   Beartooth Mountains   3903.5 m 12,807 ft   1457 m 4,779 ft   138.5 km 86.0 mi   45 ° 09 ′ 48 '' N 109 ° 48 ′ 27 '' W ﻿ / ﻿ 45.1634 ° N 109.8075 ° W ﻿ / 45.1634 ; - 109.8075 ﻿ ( Granite Peak )     145   Mount Crosson   Alaska   Alaska Range  </t>
  </si>
  <si>
    <t xml:space="preserve">Absolutely Fabulous - wikipedia  Absolutely Fabulous  Jump to : navigation , search This article is about the TV sitcom . For the movie , see Absolutely Fabulous : The Movie . For the 1994 song by Pet Shop Boys , see Absolutely Fabulous ( song ) .    Absolutely Fabulous     Title card ( 2011 -- 2012 )     Genre   Sitcom     Created by   Jennifer Saunders Dawn French ( original sketch )     Starring   Jennifer Saunders Joanna Lumley Julia Sawalha June Whitfield Jane Horrocks     Opening theme   `` This Wheel 's on Fire '' performed by Julie Driscoll and Ade Edmondson , later by Debbie Harry and Ade Edmondson .     Country of origin   United Kingdom     Original language ( s )   English     No. of series   5     No. of episodes   39 ( including 8 specials ) ( list of episodes )     Production     Camera setup   Video ( on set , 1992 -- 2012 ) Film ( on location , series 1 -- 3 ) ; Multiple camera     Running time   30 -- 60 minutes     Production company ( s )   Saunders &amp; French Productions BBC Productions BBC America ( 2011 -- 2012 ) Logo ( 2011 -- 2012 )     Distributor   BBC Worldwide 2entertain ABC ( Australia , home video ) Warner Home Video ( US , home video )     Release     Original network   BBC Two ( series 1 ) BBC One ( series 2 onwards )     Picture format   576i ( 4 : 3 SDTV ) ( 1992 -- 1996 ) 576i ( 16 : 9 SDTV ) ( 2001 -- 2004 ) 1080i ( 16 : 9 HDTV ) ( 2011 -- 2012 )     Audio format   Stereo ( 1992 -- 2005 ) Dolby Digital 5.1 ( 2011 -- 12 )     Original release   Original series : 12 November 1992 -- 7 November 1996 Revived series : 31 August 2001 -- 25 December 2004 20th anniversary specials : 25 December 2011 -- 23 July 2012     External links     Website     Absolutely Fabulous , also known as Ab Fab , is a BBC sitcom created by , written by and starring Jennifer Saunders . It is based on a 1990 French &amp; Saunders sketch created by Saunders and Dawn French .   The series features Saunders as Edina Monsoon , a heavy - drinking , drug - abusing PR agent who spends her time chasing bizarre fads in a desperate attempt to stay young and `` hip '' . Edina is joined in her quest by magazine fashion director Patsy Stone ( played by Joanna Lumley ) , her best friend and enabler , whose drug abuse , alcohol consumption , and promiscuity far eclipse Edina 's comparatively mild self - destructive behaviour . Despite being a middle - aged , twice - divorced career woman , Edina is reliant upon the support of her daughter Saffron ( Julia Sawalha ) , a secondary school pupil ( and later university student ) whose constant care of her mother has left her a bitter cynic . The series also stars June Whitfield as Edina 's sarcastic and thieving mother , and Jane Horrocks as Edina 's brainless personal assistant .   Absolutely Fabulous returned for three special episodes which were originally broadcast on 25 December 2011 , 1 January 2012 and 23 July 2012 to mark the show 's 20th anniversary . The episode broadcast on 23 July 2012 featured the 2012 Summer Olympics which were being held in London that week . A film based on the series was released to theatres on 1 July 2016 . On 28 November 2016 , Jennifer Saunders announced that the series is finished .     Contents  ( hide )   1 Production   2 Background   3 Plot   4 Cast and characters   4.1 Main   4.2 Recurring     5 Episodes   6 Film   7 Special guests   8 Theme song   9 Other countries   10 Adaptations and related shows   10.1 Mirrorball     11 Future   12 Home video releases   12.1 UK releases   12.2 North American releases   12.3 Australian releases     13 Ratings   14 See also   15 References   16 External links      Production ( edit )   The show has had an extended and sporadic run . The first three series were broadcast on the BBC from 1992 to 1995 , followed by a series finale in the form of a two - part television film entitled The Last Shout in 1996 . Creator Jennifer Saunders revived the show for a fourth series in 2001 , after having written and submitted a pilot entitled Mirrorball , which recruited nearly all of the original cast in new roles . The pilot was intended to be turned into a series of episodes . However , Saunders felt the characters were far too rich and interesting to put aside , and were far better suited for her new story ideas . Instead of Mirrorball , a new series of Absolutely Fabulous was proposed to the BBC , which later commissioned the fourth series in 2001 . From 2001 to 2004 , two full series were produced , along with three one - off hour - long specials ; Gay ( retitled and issued as Absolutely Fabulous in New York for the United States ) in 2002 , Cold Turkey , a Christmas special in 2003 , and White Box ( another series finale ) , which aired in 2004 . A Comic Relief sketch was broadcast in 2005 .   In August 2011 , Lumley confirmed the planned filming of three new episodes . In 2011 , plans for a 20th anniversary revival were welcomed in The Guardian , which applauded the show as `` prophetic '' . The first new special was broadcast on 25 December with the second episode being shown on 1 January 2012 . The third , and final special coincided with the 2012 Summer Olympics , with Stella McCartney appearing in a cameo role . A film version of the series was released in summer 2016 .   In the United States , the first of the three new 20th anniversary specials aired in January 2012 for broadcast by both BBC America and Logo Channel . Both channels also co-produced the 20th Anniversary episodes , although Logo removed some scenes for its airings . BBC America broadcast it in full . Both channels aired the episode in a 40 - minute block to allow for commercial interruptions .   Absolutely Fabulous is ranked as the 17th greatest British TV show of all time by the British Film Institute . A scene from the show was included in the 100 Greatest TV Moments programme broadcast by Channel 4 . In 1997 , the pilot episode , `` Fashion '' , was ranked number 47 on TV Guide 's `` 100 Greatest Episodes of All - Time '' list . In 2004 and 2007 , the series was ranked number 24 and number 29 on TV Guide 's Top Cult Shows Ever list .   Background ( edit )   Absolutely Fabulous evolved from a French &amp; Saunders sketch called `` Modern Mother and Daughter '' ( from series 3 episode 6 ) , which starred Saunders as the mother ( named ' Adrianna ' ) and French as the daughter , already named Saffron . The sketch revolved around a middle - aged , single mother who acted like a teenager , and was reliant upon the emotional and financial support of her teenage daughter , who behaved like a middle - aged woman . It has no connection , other than the character 's name , to the earlier film Eddie Monsoon : A Life ? , a comedy play written by Saunders ' husband Adrian Edmondson in 1984 for the TV series The Comic Strip Presents ... The name `` Edina Monsoon '' is derived from Edmondson 's name and `` Eddy Monsoon '' is a nickname of his .   According to an article published in The Times , the character of Edina was based on Lynne Franks . Franks believed Saunders had observed her and her children in detail after joining them on a family holiday . Josh Howie , Franks ' son , reported that his mother was upset because one of her best friends `` had taken the piss out of her '' in a TV show . Saunders revealed in 2012 that she was also inspired by pop band Bananarama with whom she and Dawn French had become friends after their Comic Relief collaboration in 1989 . `` The nights with Bananarama were some of the best nights of my life , and I got a lot of gags from Bananarama because they were big vodka drinkers ... when I started doing AbFab , I remembered all of the falls that I saw Bananarama do . I once saw one of them coming out of a cab bottom first and hitting the road , and I thought ' that 's class ' . Although Ab Fab was produced by Saunders and French 's production company , Dawn French appeared on the show only once , in a cameo in the first - series episode `` Magazine '' , before making a brief cameo on the 2016 film .   Three new specials were announced to celebrate the show 's 20th anniversary with the first special , `` Identity '' airing on 25 December 2011 . Jon Plowman , executive producer and original producer of the series , said : `` Viewers have been fantastically loyal in their devotion to our show , so we 're really thrilled to say that it 's coming back for three new shows to celebrate our 20th anniversary . All of the originals who are back together again are still truly absolutely fabulous and the new adventures of Edina , Patsy , Saffy , Bubble and Mother , plus a few surprising guests , will be a real treat for viewers . '' Saunders announced in November 2011 that she had begun work on a film version of the series .   Plot ( edit )       This section does not cite any sources . Please help improve this section by adding citations to reliable sources . Unsourced material may be challenged and removed . ( July 2017 ) ( Learn how and when to remove this template message )     Edina `` Eddy '' Monsoon ( Saunders ) and Patricia `` Patsy '' Stone ( Lumley ) are a pair of high - powered career women on the London fashion scene . Eddy runs her own PR firm , and Patsy holds a sinecure position at a top British fashion magazine . The two women use their considerable financial resources to indulge in alcohol and recreational drugs and to chase the latest fads in an attempt to maintain their youth and recapture their glory days as Mods in Swinging London . In 2011 , they are still chain - smokers . The partnership is largely driven by Patsy , who is both co-dependent and enabler to Eddy . Their lifestyle inevitably leads to a variety of personal crises , which are invariably resolved by Eddy 's daughter , Saffron Monsoon ( Julia Sawalha ) , whose constant involvement in their exploits has left her increasingly bitter and cynical .   Eddy 's mother ( June Whitfield ) is also present in their routines , often helping Saffy with the cooking and cleaning at home ; despite this , though , Eddy and Mother have a strained relationship , rarely being left alone together and disagreeing on virtually everything . Also recurring in their lives are both of Eddy 's ex-husbands , Marshall ( Christopher Ryan ) and Justin ( Christopher Malcolm ) , and their respective new partners , the American hippie Bo ( Mo Gaffney ) , and the acidic Oliver ( Gary Beadle ) .   Also present is Bubble ( Jane Horrocks ) , Eddy 's personal secretary , a Lancastrian with a unique dress sense and a childish outlook on and attitude towards the business and life in general .   Cast and characters ( edit )  Main article : List of Absolutely Fabulous characters From left to right , Jane Horrocks , Julia Sawalha , Jennifer Saunders , June Whitfield and Joanna Lumley  Main ( edit )     Actor   Character   Duration     Jennifer Saunders   Edina Monsoon   1992 -- 1996 , 2001 - 2005 , 2011 -- 2012 , 2016 ( film )     Joanna Lumley   Patsy Stone     Julia Sawalha   Saffron Monsoon     June Whitfield   Mother     Jane Horrocks   Bubble , Katy Grin , Lola , Radio voice     Recurring ( edit )     Actor   Character   Duration     Christopher Ryan   Marshall Turtle   1992 -- 1996 , 2001 -- 2004 , 2012 , 2016 ( film )     Mo Gaffney   Bo Turtle ( née Crysalis )   1992 -- 1996 , 2001 -- 2004 , 2012 , 2016 ( film )     Naoko Mori   Sarah   1992 -- 1996 , 2001 -- 2004 , 2011     Christopher Malcolm   Justin   1992 -- 1996 , 2001 -- 2004 , 2011     Helen Lederer   Catriona   1992 -- 1996 , 2001 -- 2004 , 2012 , 2016 ( film )     Harriet Thorpe   Fleur   1992 -- 1996 , 2001 -- 2004 , 2012 , 2016 ( film )     Gary Beadle   Oliver   1992 -- 1996     Kathy Burke   Magda   1992 -- 1996 , 2016 ( film )     Lulu   herself   1994 - 1995 , 2012 , 2016 ( film )     Miranda Richardson   Bettina   1994 , 2004     Patrick Barlow   Max   1994 , 2004     Celia Imrie   Claudia Bing   1995 , 2001 , 2016 ( film )     Eleanor Bron   Patsy 's Mother   1992 , 2003     Kate O'Mara   Jackie Stone   1995 , 2003     Marianne Faithfull   God   1996 , 2001     Christian Lacroix   himself   1996 , 2001     Twiggy   herself   2001     Tilly Blackwood   Lady Candy   2001     Emma Bunton   herself   2003 , 2012 , 2016 ( film )     Antony Cotton   Damon   2003     Felix Dexter   John Johnson   2003     Episodes ( edit )  Main article : List of Absolutely Fabulous episodes  Absolutely Fabulous first aired on 12 November 1992 and ran for three series , until 4 May 1995 , when the sixth episode of series 3 was billed as the last ever episode . However , the following year in November 1996 , two specials called `` The Last Shout '' were broadcast and were also billed as the last ever episodes . Both episodes featured end sequences with flashes to the future . However , after writing Mirrorball , Jennifer Saunders decided she had more ideas , leading to a fourth series , which premiered on 31 August 2001 , while a subsequent special airing in 2002 . A fifth series premiered on 17 October 2003 , and another special , which aired on 25 December 2004 . This was followed by a short special for Comic Relief in March 2005 . In July 2005 , Saunders announced she would not be writing or playing Edina again , stating `` The 6am calls to go to make - up and all the promotional work wear you down . I would like to write and direct -- that would be my joy '' . However , in November 2010 , Lumley revealed to Playbill magazine that she had recently spoken to Saunders about the possibility of filming a new series . Lumley and Saunders reunited for the M&amp;S Christmas advert in 2009 , along with other stars such as Twiggy and Stephen Fry .   On 29 August 2011 , it was announced that a further series of three programmes was being made to celebrate the 20th anniversary of the original production . The first of these , `` Identity '' , was shown on Christmas Day 2011 and the second , `` Job '' , was shown on New Year 's Day 2012 . The last , entitled `` Olympics '' , aired on 23 July 2012 . The episodes were jointly co-produced by Logo , and BBC America in the US .   On 3 January 2012 , following the success of the 20th Anniversary Specials , it was rumoured that Saunders was set to write another Christmas special for 2012 . The BBC were rumoured to also be urging her to write a sixth series for 2013 . Saunders denied the reports of additional episodes via her Twitter account .   On 29 November 2016 , Jennifer Saunders confirmed that `` She was done '' with Absolutely Fabulous and it would not be returning to television for another series , or specials , nor would a sequel to the film be made . Saunders now wishes to focus on new projects and spend more time with her family .   Film ( edit )  Main article : Absolutely Fabulous : The Movie  In 2011 , prior to the release of the new episodes for 2011 / 2012 , Deadline Hollywood reported that Saunders planned to begin writing a script for a film of Absolutely Fabulous in 2012 . The film would begin with Edina and Patsy waking up on an oligarch 's deserted yacht , drifting in the ocean . Saunders later said that the film will be set on the French Riviera . In March 2012 , Saunders confirmed that she was working on the script . She said of the film 's plotline :   Eddy and Patsy are looking for what they imagine glamorous life should be . They 're constantly searching for that perfect place to sit or that perfect pair of sunglasses . It 's Shangri - La and it just might be round the next corner . In the meantime , they decide to take Saffy 's ( Julia Sawalha ) daughter off her -- she calls her Jane , I call her Lola -- but then they lose her .   Saunders also stated that now that she had announced plans for a feature , there was no going back . She would do it for no other reason than to have her alter - ego and Patsy walk down the red carpet at the film 's premiere . In April 2013 Saunders said on the Alan Carr Chatty Man show that she had doubts about the film as she felt the cast were `` too old '' . She felt pressure to write it and did n't want to commit herself to it at this early stage .   On 4 January 2014 whilst appearing on The Jonathan Ross Show , Saunders officially confirmed that the movie will definitely be happening , as she felt obliged to write a script for a film adaptation after threatening it for so long . Saunders was quoted as saying : `` Joanna Lumley kept announcing it and saying , ' Yes she 's going to do it , ' and then Dawn French on our radio show at Christmas said , ' I bet £ 100,000 that you do n't write it , ' so now I have to write it , otherwise I have to pay her £ 100,000 ' '' . In April 2014 , Saunders again confirmed on BBC Breakfast that she was in the process of writing the film , and gave a prospective release date of sometime during 2015 .   Principal photography on the film began on 12 October 2015 in the south of France .   Special guests ( edit )   Many celebrities , mainly British or American , appeared in the series , most of them as themselves . They include :    Sylvia Anderson   Christopher Biggins   Crispin Bonham Carter   Helena Bonham Carter   Jo Brand   Fern Britton   Simon Brodkin   Emma Bunton   Naomi Campbell   Linford Christie   Nicky Clarke   Terence Conran   Richard Curtis   Carl Davis   Daniela Denby - Ashe   Marcella Detroit   Sacha Distel   Minnie Driver   Lindsay Duncan   Adrian Edmondson   Britt Ekland   Idris Elba   Marianne Faithfull   Jesse Tyler Ferguson   Dawn French   Mariella Frostrup   Stephen Gately   Jean - Paul Gaultier   Whoopi Goldberg   Sofie Gråbøl   Richard E Grant   Germaine Greer   Tanni Grey - Thompson   Debbie Harry   Miranda Hart   Rebecca Front   David Haye   Tom Hollander   Kelly Holmes   Colin Jackson   Elton John   Mark Kermode   La Roux   Christian Lacroix   Nathan Lane   Leigh Lawson   Robert Lindsay   Lulu   Stella McCartney   Suzy Menkes   Laurie Metcalf   Kate Moss   Graham Norton   Erin O'Connor   Bruce Oldfield   Kate O'Mara   Anita Pallenberg   Suzi Quatro   Zandra Rhodes   Mandy Rice - Davies   Richard and Judy   Miranda Richardson   Kristin Scott Thomas   Meera Syal   Twiggy   Rufus Wainwright   Kirsty Wark   Ruby Wax   Dale Winton   Katy Wix   Clarissa Dickson Wright    Theme song ( edit )   The theme song for Absolutely Fabulous is `` This Wheel 's on Fire '' , written by Bob Dylan and Rick Danko and performed by Julie Driscoll and Saunders ' husband Adrian Edmondson . The song was also sung by Marianne Faithfull and P.P. Arnold for the `` Last Shout '' special in 1996 . Hermine Demoriane sang a French version of the theme song over the closing credits of the episode `` Paris '' . At the end of the episode `` Birthday '' , Edina and Patsy sang the song together using a karaoke machine . More recently , it has been sung by Debbie Harry , who also guest - starred in the 2002 Christmas special `` Gay '' . For series four , a line sung by David Bowie , `` Ziggy played guitar '' , from the song `` Ziggy Stardust '' played at the end of each episode .   Due to copyright issues , the theme song is missing from many of the US Region 1 DVDs , being replaced by an instrumental version of the song . Also excised from the US DVD release is the musical number from Chicago performed by Horrocks , Gaffney , and Ryan , during a dream sequence in the series 5 episode `` Birthin ' '' .   In addition to the official theme song , in 1994 , Pet Shop Boys recorded a song for Comic Relief using excerpts of dialogue from the series put to dance music . The single was attributed to `` Absolutely Fabulous produced by Pet Shop Boys '' . It peaked at number 6 in the UK Singles Chart in July 1994 . The music video featured clips from the show and specially recorded footage of the Pet Shop Boys with Patsy and Edina .   On 10 June 2016 , Kylie Minogue released her version of `` This Wheel 's on Fire '' for Absolutely Fabulous : The Movie , prior to the film 's release in July 2016 .   Other countries ( edit )   In the United States , Absolutely Fabulous has been broadcast on Comedy Central , some public television stations , but not as part of the PBS program offerings , BBC America , Oxygen Network , and as of 2011 , Logo , a gay - oriented channel . In Canada , the programme has appeared on the BBC Canada , the CBC , The Comedy Network , and VisionTV . In Australia , all series were originally shown on the ABC , and on cable on UK.TV , and moved to The Comedy Channel in 2007 . Repeats of the first three series were also shown on the Seven network . The ABC continues to show it sporadically and shows Christmas Specials and occasional repeats of series 5 episodes . ABC2 also shows repeats of the show . As of August 6 -- 7 , 2016 the series was shown on Nine Network 's sister channel 9Gem to promote the upcoming film adaption . In New Zealand all five series were broadcast on TVNZ . In India , all five series , including the specials , have been shown on BBC Entertainment .   In Portugal , Ab Fab has been shown on RTP2 . In Serbia , the first series was aired in 1998 , through a network of local television stations . In 2004 the series was aired in its entirety on B92 , while in the Czech Republic all episodes have been shown . In the Republic of Macedonia , all episodes have been shown a couple of times on Sitel . In the Netherlands and Flanders , the series is popular , still being regularly re-broadcast by the VPRO and Canvas , respectively . In Sweden , all episodes were first broadcast by SVT , but reruns have later appeared on other channels . In Germany , it was broadcast by the Franco - German TV network Arte and gay - oriented channel TIMM . In France , before it was rerun on terrestrial TV arte , it was successively premiered on pay TV channel Canal + , cable channel Jimmy , and is now broadcast on France 4 . In Finland , the series was broadcast by YLE TV1 . In Estonia , the series was broadcast by ETV . In Brazil , it was aired on GNT . In Poland , two series were broadcast by Wizja Jeden , later by TVP3 , TVN7 and BBC Entertainment . In Israel , some of the series was aired on Yes Plus and on BBC Entertainment .   Adaptations and related shows ( edit )   Absolutely Fabulous inspired a French feature film , called Absolument fabuleux , in 2001 . It was written and directed by Gabriel Aghion , and starred Josiane Balasko as Eddy and Nathalie Baye as Patsy . Saunders had a small cameo alongside Catherine Deneuve as a spectator at a fashion show . Amanda Lear was asked to play the part of Patsy but turned it down laughingly , saying she 'd `` already lived it '' .   A proposed American remake that would have starred Carrie Fisher and Barbara Carrera was put into motion by Roseanne Barr but never got off the ground . However , Barr did incorporate many elements of the show into the final season of her eponymous show Roseanne , in which her character wins the lottery : Saunders and Lumley reprised their characters Edina and Patsy , and Mo Gaffney also appeared in the episode , but not as her character Bo . Two later American sitcoms , Cybill and High Society , also adapted elements of Absolutely Fabulous for the American audience .   It was announced on 7 October 2008 that an American version of the series was in the works . The series was to be relocated to Los Angeles . Saturday Night Live writer Christine Zander worked on the new scripts and would have been executive producer along with Saunders and BBC Worldwide 's Ian Moffitt . Sony Pictures Television , BBC Worldwide , and indie Tantamount were producing the new series for Fox , which greenlighted the pilot as a possible Fall 2009 entry with Kathryn Hahn as Eddy and Kristen Johnston as Patsy . In May 2009 , Fox decided not to commission a full series .   The stage for the kitchen in Ab Fab is now used as the stage for the shop in the British comedy Miranda . Miranda Hart , creator of the show , had previously appeared on Absolutely Fabulous .   Mirrorball ( edit )   Mirrorball was a pilot set in the London theatre scene , starring the cast of Absolutely Fabulous as alternative characters . While writing and filming the show , Saunders was inspired to revive Absolutely Fabulous for a fourth series , which resulted in her abandoning Mirrorball . It was eventually aired as a television special , and is included as a special feature on the DVD of the fourth season .   Future ( edit )   There are currently no plans for Absolutely Fabulous to return to television for a new series , specials , nor film as the planned sequel to the 2016 feature film was cancelled . Although the series was intended to end in 1995 following the third series , an official finale , `` The Last Shout '' , which was broadcast in 1996 and marked a closure for the series . However , it was revived in 2001 . It was again mentioned that the series would not return following the 2004 Christmas special , `` White Box '' , but three 20th Anniversary specials were screened some time later with speculation that a new series would be broadcast in the future . On 28 November 2016 , it was announced that Absolutely Fabulous was finished , as Jennifer Saunders said that `` I 'm not doing anything more with Ab Fab . That 's it , it 's over now . I ca n't see the point of doing anything else with it , really . ''   Home Video releases ( edit )   Absolutely Fabulous was initially released on VHS in the UK by BBC Video ending with the 8 - VHS box set Series 1 -- 4 in November 2002 . In the United States , Series 1 and Series 2 were released together on Laserdisc by CBS / FOX in a boxed set in 1995 , followed by Series 3 , released by CBS / FOX the following year and `` The Last Shout '' released by Image Entertainment in 1997 . All episodes were later released on DVD , including a five - DVD box set titled The Complete DVD Collection : Series 1 -- 4 in 2002 . All releases were distributed by BBC Video and 2 Entertain ( post 2004 ) except for The Last Shout which was released by Vision Video and Universal Studios . The entire series is also available on demand on iTunes . When the first three series were re-released on DVD , they did not include corresponding cover photography to their series : Series 1 included an image from the Series 3 episode `` Jealous '' , Series 2 had an image from Series 3 episode `` Doorhandle '' and Series 3 is from the Series 2 episode `` Poor '' . All other releases included imagery from the correct series , as do the original VHS releases .   In North America , all episodes have been released on DVD by BBC Video and Warner Home Video , including a complete collection named Absolutely Everything . The Last Shout and Gay ( which were released in the UK individually ) were released as a collection called Absolutely Special in 2003 . Another feature - length special White Box was released exclusively to the American market . It was eventually released in the United Kingdom on 15 November 2010 with its inclusion in the Absolutely Everything box set .   Other releases include Absolutely Not , a bloopers and outtakes collection , and Absolutely Fabulous : A Life , a mockumentary including 15 minutes of new material interspersed with clips from the series . Both were only released on VHS in the UK ; the latter was also released as a special feature on the box set release Absolutely Everything in America .   Save for `` The Last Shout '' , and the specials `` Gay '' ( aka `` Absolutely Fabulous in New York '' ) , and `` White Box '' , the entire series is available to stream via Hulu . The series is also available on Netflix .   UK releases ( edit )   In the United Kingdom , VHS releases were distributed by BBC Video , except The Last Shout which was released by Vision Video , the final release being in 2002 .   VHS releases in the UK   Year   Title   Release date   Release information   Running time     1993   Series 1 : Fashion / Fat / France   4 October 1993   Episodes 1 -- 3 from Series 1   86 : 00     1993   Series 1 : Iso Tank / Birthday / Magazine   4 October 1993   Episodes 4 -- 6 from Series 1   87 : 00     1994   Series 2 : Hospital / Death / Morocco   19 October 1994   Episodes 1 -- 3 from Series 2   88 : 00     1994   Series 2 : New Best Friend / Poor / Birth   19 October 1994   Episodes 4 -- 6 from Series 2   87 : 00     1995   The Complete Series 1   3 July 1995   Double VHS Collection containing all 6 episodes from Series 1   173 : 00     1995   Series 3 : Doorhandle / Happy New Year / Sex   2 October 1995   Episodes 1 -- 3 from Series 3   86 : 00     1995   Series 3 : Jealous / Fear / The End   2 October 1995   Episodes 4 -- 6 from Series 3   84 : 00     1995   Series 1 -- 3   30 October 1995   6 VHS Box Set containing all 18 episodes from Series 1 -- 3   518 : 00       The Complete Series 2   3 June 1996   Double VHS Collection containing all 6 episodes from Series 2   175 : 00       The Last Shout   11 November 1996   Final Episodes Special Parts 1 &amp; 2   100 : 00       Absolutely Fabulous : Absolutely Not   3 November 1997   The Designer Balls - Up Collection : contains bloopers and outtakes   58 : 00     1998   Absolutely Fabulous : A Life   2 November 1998   Mockumentary with 15 minutes of new material with clips from the series   78 : 00     2001   The Complete Series 4   19 November 2001   Single VHS tape containing all 6 episodes from Series 4   180 : 00     2002   The Complete Series 3   25 November 2002   Single VHS tape containing all 6 episodes from Series 3   188 : 00     2001   The Complete Series 2   25 November 2002   Single VHS tape containing all 6 episodes from Series 2 -- different packaging   175 : 00     2002   The Complete Series 1   25 November 2002   Single VHS tape containing all 6 episodes from Series 1 -- different packaging   173 : 00     2002   Series 1 -- 4   25 November 2002   8 - VHS Box Set containing all 24 episodes from Series 1 -- 4   720 : 00     All episodes have now been released on DVD in the United Kingdom . `` White Box '' which was released in North America , was never available individually in the UK and was not available until its inclusion in the 2010 Absolutely Fabulous : Absolutely Everything box set . The North American release Absolutely Special has been released in the UK as two separate releases : The Last Shout and Gay . All releases in the UK were distributed by BBC Video except The Last Shout which was released by Vision Video .   DVD releases in the UK   Year   Title   Release date   Release information   Special features   Running time     2000   Series 1   20 November 2000   Episodes 1 -- 6 of Series 1   15 minutes of outtakes , photo gallery , the original French and Saunders sketch   195 : 00     2000   The Last Shout   27 November 2000   Parts 1 &amp; 2 of the Special   Collection of classic moments , unbroadcastable outtakes   104 : 00     2001   Series 2   1 October 2001   Episodes 1 -- 6 of Series 2   15 minutes of outtakes , photo gallery   176 : 00     2001   Series 3   12 November 2001   Episodes 1 -- 6 of Series 3   15 minutes of outtakes , photo gallery   176 : 00     2002   Series 4   8 April 2002   2 - Disc set including episodes 1 -- 6 of Series 4   pilot episode of Mirrorball ( 2000 ) , commentary by Jennifer Saunders and Jon Plowman , 12 minutes of out - takes , behind the scenes interviews , photo gallery   180 : 00     2002   The Complete DVD Collection : Series 1 -- 4   25 November 2002   5 DVD Box Set containing Series 1 -- 4   Mock - velvet packaging box with each series individually packaged inside , all special features are the same as series released   720 : 00     2003   Gay   29 September 2003   2002 Feature Length Special   Outtakes , photo gallery   45 : 00       Series 5   27 September 2004   2 - Disc set including episodes 1 -- 8 of Series 5   Outtakes , photo gallery   240 : 00       Absolutely Fabulous : Absolutely Everything   15 November 2010   10 Disc Complete Collection including Series 1 -- 5 , The Last Shout , Gay , White Box plus extras   How to Be Absolutely Fabulous : A behind - the - scenes look at Ab Fab , Absolutely Fabulous : A Life , Modern Mother and Daughter ( the sketch that started it all by French and Saunders ) , Pilot episode of Mirrorball ( 2000 ) , Joanna Lumley on Modeling , Rare outtakes , Photo galleries , Audio commentary on Series 4 by Jennifer Saunders and Jon Plowman       2012   Ab Fab at 20   30 July 2012   Includes all three specials from 2011 -- 12       2014   Absolutely Fabulous : Absolutely Everything - The Definitive Edition   17 March 2014   11 Disc Complete Collection including Series 1 -- 5 , The Last Shout , Gay , White Box , and the Ab Fab at 20 specials plus extras   How to Be Absolutely Fabulous : A behind - the - scenes look at Ab Fab , Absolutely Fabulous : A Life , Modern M</t>
  </si>
  <si>
    <t xml:space="preserve">who sang the theme tune to absolutely fabulous</t>
  </si>
  <si>
    <t xml:space="preserve"> The theme song for Absolutely Fabulous is `` This Wheel 's on Fire '' , written by Bob Dylan and Rick Danko and performed by Julie Driscoll and Saunders ' husband Adrian Edmondson . The song was also sung by Marianne Faithfull and P.P. Arnold for the `` Last Shout '' special in 1996 . Hermine Demoriane sang a French version of the theme song over the closing credits of the episode `` Paris '' . At the end of the episode `` Birthday '' , Edina and Patsy sang the song together using a karaoke machine . More recently , it has been sung by Debbie Harry , who also guest - starred in the 2002 Christmas special `` Gay '' . For series four , a line sung by David Bowie , `` Ziggy played guitar '' , from the song `` Ziggy Stardust '' played at the end of each episode . </t>
  </si>
  <si>
    <r>
      <rPr>
        <sz val="11"/>
        <color rgb="FF000000"/>
        <rFont val="Calibri"/>
        <family val="0"/>
        <charset val="1"/>
      </rPr>
      <t xml:space="preserve">Open Door Policy - wikipedia  Open Door Policy  Jump to : navigation , search This article is about the economic policy in China . For the managerial practice of leaving your office door open , see Open door policy ( business ) .  The Open Door Policy is a term in foreign affairs initially used to refer to the United States policy established in the late 19th century and the early 20th century , as enunciated in Secretary of State John Hay 's Open Door Note , dated September 6 , 1899 and dispatched to the major European powers . The policy proposed to keep China open to trade with all countries on an equal basis , keeping any one power from total control of the country , and calling upon all powers , within their spheres of influence , to refrain from interfering with any treaty port or any vested interest , to permit Chinese authorities to collect tariffs on an equal basis , and to show no favors to their own nationals in the matter of harbor dues or railroad charges .   Open Door policy was rooted in the desire of U.S. businesses to trade with Chinese markets , though it also tapped the deep - seated sympathies of those who opposed imperialism , with the policy pledging to protect China 's sovereignty and territorial integrity from partition . It had little legal standing , and was mainly used to mediate competing interests of the colonial powers without much meaningful input from the Chinese , creating lingering resentment and causing it to later be seen as a symbol of national humiliation by Chinese historians .   There was an essential conflict in the policy . The U.S. announced its Open Door Policy with the dual intentions of avoiding the actual political division of China and taking financial advantage , but only in a fair way , acknowledging equal rights for all nations to trade with China . All the imperial nations gave a green light to the American decision except Russia . The next result was that China remained undivided , but in the coming years the imperial nations continued to exploit China to a large extent .   In more recent times , Open Door policy describes the economic policy initiated by Deng Xiaoping in 1978 to open up China to foreign businesses that wanted to invest in the country . This policy set into motion the economic transformation of modern China .  `` Putting his foot down '' Uncle Sam in 1899 demands Open Door while major powers plan to cut up China for themselves ; Germany , Italy , England , Austria , Russia &amp; France are represented by Wilhelm II , Umberto I , John Bull , Franz Joseph I ( in rear ) , Uncle Sam , Nicholas II , and Emile Loubet . Punch Aug 23 , 1899 by J.S. Pughe    Contents  ( hide )   1 Background   2 A principle only   3 The second Open Door Policy   4 Formation of the policy   5 Subsequent development   6 In modern China   7 See also   8 Notes   9 References   10 External links      Background ( edit )   As a theory , the United States ' Open Door Policy originated with British commercial practice as reflected in treaties concluded with the Qing dynasty China after the First Opium War ( 1839 -- 42 ) .   The Open Door concept was first seen at the Berlin Conference of 1885 , which declared that no power could levy preferential duties in the Congo .   A principle only ( edit )   The Open Door Policy was a principle , never formally adopted via treaty or international law . It was invoked or alluded to but never enforced as such . Starting with the 1931 Japanese seizure of Manchuria and the creation of Manchukuo , however , the policy was broken with impunity and with increasing frequency .   The second Open Door Policy ( edit )   Technically , the term Open Door Policy was only applicable before the founding of the People 's Republic of China in 1949 . After Deng Xiaoping took office in 1978 , the term referred to China 's policy of opening up to foreign business that wanted to invest in the country , setting into motion the economic transformation of modern China .   Formation of the Policy ( edit )   During the First Sino - Japanese War in 1895 , China faced imminent threat of being partitioned and colonized by imperialist powers such as Britain , France , Russia , Japan and Germany . After winning the Spanish -- American War of 1898 , with the newly acquired territory the Philippine Islands , the United States increased its Asian presence and was expecting to further its commercial and political interest in China . It felt threatened by other powers ' much larger spheres of influence in China and worried that it might lose access to the Chinese market should the country be partitioned . As a response , William Woodville Rockhill formulated the Open Door Policy to safeguard American business opportunities and other interests in China . On September 6 , 1899 , U.S. Secretary of State John Hay sent notes to the major powers ( France , Germany , Britain , Italy , Japan , and Russia ) , asking them to declare formally that they would uphold Chinese territorial and administrative integrity and would not interfere with the free use of the treaty ports within their spheres of influence in China . The Open Door Policy stated that all nations , including the United States , could enjoy equal access to the Chinese market .   In reply , each country tried to evade Hay 's request , taking the position that it could not commit itself until the other nations had complied . However , by July 1900 , Hay announced that each of the powers had granted consent in principle . Although treaties made after 1900 refer to the Open Door Policy , competition among the various powers for special concessions within China for railroad rights , mining rights , loans , foreign trade ports , and so forth , continued unabated .   On October 6 , 1900 Britain and Germany signed the Yangtze Agreement , providing that they would oppose the partition of China into spheres of influence . The agreement , signed by Lord Salisbury and Ambassador Paul von Hatzfeldt was an endorsement of the Open Door Policy proposed by the United States for free trade in China . However , Germany 's failure to keep up the agreement led to the Anglo - Japanese Alliance of 1902 .   Subsequent Development ( edit )   In 1902 , the United States government protested that Russian incursion into Manchuria after the Boxer Rebellion was a violation of the Open Door Policy . When Japan replaced Russia in southern Manchuria after the Russo - Japanese War ( 1904 -- 05 ) the Japanese and U.S. governments pledged to maintain a policy of equality in Manchuria . In finance , American efforts to preserve the Open Door Policy led ( 1909 ) to the formation of an international banking consortium through which all Chinese railroad loans would agree ( 1917 ) to another exchange of notes between the United States and Japan in which there were renewed assurances that the Open Door Policy would be respected , but that the United States would recognize Japan 's special interests in China ( the Lansing -- Ishii Agreement ) . The Open Door Policy had been further weakened by a series of secret treaties ( 1917 ) between Japan and the Allied Triple Entente , which promised Japan the German possessions in China on successful conclusion of World War I . The subsequent realization of such promise in the Versailles Treaty of 1919 angered the Chinese public and sparked the protest known as May Fourth Movement . The Nine - Power Treaty , signed in 1922 , expressly reaffirmed the Open Door Policy .   Since the policy in effect hindered Chinese sovereignty , the government of the Republic of China endeavored to revise related treaties with foreign powers in the twenties and thirties . Only after the conclusion of World War II did China manage to regain its full sovereignty .   In modern China ( edit )  Main article : Chinese economic reform  In China 's modern day economic history the Open Door Policy refers to the new policy announced by Deng Xiaoping in December 1978 to open the door to foreign businesses that wanted to set up in China . Special Economic Zones ( SEZ ) were set up in 1980 in his belief that in order to modernize China 's industry and boost its economy , it needed to welcome foreign direct investment . Chinese economic policy then shifted to encouraging and supporting foreign trade &amp; investment . It is the turning point in China economic fortune that truly started China on the path to becoming ' The World 's Factory ' .   Four SEZs were initially set up in 1980 , namely Shenzhen , Zhuhai and Shantou in Guangdong , and Xiamen in Fujian . These SEZs were strategically located near Hong Kong , Macau and Taiwan , but with a favorable tax regime and low wages in order to attract capital and business from these overseas Chinese communities . Shenzhen was the first to be established and it showed the most rapid growth , averaging at a very high growth rate of 40 % per annum between 1981 and 1993 , compared to the average GDP growth of 9.8 % for the country as a whole . Further SEZs were later set up in other parts of China .   In 1978 , China was ranked 32nd in the world in export volume , but by 1989 , it had doubled its world trade and became the 13th largest exporter . Between 1978 and 1990 , the average annual rate of trade expansion was above 15 percent , and a high rate of growth continued for the next decade . In 1978 its exports in the world market share was negligible , in 1998 it still had less than 2 % , but by 2010 , it had a world market share of 10.4 % according to the World Trade Organization ( WTO ) , with merchandise export sales of more than $1.5 trillion , the highest in the world . In 2013 , China overtook the USA and became the world 's biggest trading nation in goods with a total for imports and exports valued at US $4.16 trillion for the year .   See also ( edit )    Boxer Rebellion   New Imperialism # China   Nine - Power Treaty # Open Door Policy   Russian invasion of Manchuria   Economic history of China before 1912   Economic history of China ( 1912 -- 49 )    Notes ( edit )    Jump up ^ Commercial Rights in China ( `` Open Door '' Policy ) : Declarations by France , Germany , the United Kingdom , Italy , Japan , and Russia accepting United States proposal for `` open door '' policy in China , September 6 , 1899 - March 20 , 1900 , 1 Bevans 278   ^ Jump up to : `` Open Door Policy '' . BBC .   Jump up ^ Philip Joseph , Foreign diplomacy in China , 1894 - 1900   Jump up ^ Shizhang Hu , Stanley K. Hornbeck and the Open Door Policy , 1919 - 1937 ( 1977 ) ch 1 - 2   Jump up ^ `` Secretary of State John Hay and the Open Door in China , 1899 -- 1900 '' . Milestones : 1899 -- 1913 . Office of the Historian , US Department of State . Retrieved 17 January 2014 .   ^ Jump up to : Sugita ( 2003 )   Jump up ^ `` Yangtze Agreement '' , Historical Dictionary of the British Empire ( Greenwood Publishing Group , 1996 ) , pp1176   Jump up ^ Holstein , Friedrich von ( 1961 - 01 - 01 ) . The Holstein Papers , Correspondence . CUP Archive .   Jump up ^ Gardner , Professor Hall ( 2015 - 02 - 28 ) . The Failure to Prevent World War I : The Unexpected Armageddon . Ashgate Publishing , Ltd . ISBN 9781472430564 .   Jump up ^ Ricci , Gabriel R. ( 2013 - 01 - 23 ) . Culture and Civilization : Cosmopolitanism and the Global Polity . Transaction Publishers . ISBN 9781412849289 .   Jump up ^ Swee - Hock Saw , John Wong ( ed . ) . Regional Economic Development in China . Institute of Southeast Asian Studies . pp. 85 -- 86 . ISBN 978 - 981 - 230 - 941 - 9 .   Jump up ^ Wei Ge ( 1999 ) . `` Chapter 4 : The Performance of Special Economic Zones '' . Special Economic Zones and the Economic Transition in China . World Scientific Publishing Co Pte Ltd . pp. 67 -- 108 . ISBN 978 - 9810237905 .   Jump up ^ Shang - Jin Wei . `` The Open Door Policy and China 's Rapid Growth : Evidence from City - Level Data '' . Missing or empty url = ( help )   Jump up ^ Steven Husted and Shuichiro Nishioka . `` China 's Fare Share ? The Growth of Chinese Exports in World Trade '' ( PDF ) .   Jump up ^ Katherine Rushton ( 10 Jan 2014 ) . `` China overtakes US to become world 's biggest goods trading nation '' . The Telegraph .    References ( edit )    Esthus , Raymond A . `` The Changing Concept of the Open Door , 1899 - 1910 , '' Mississippi Valley Historical Review Vol. 46 , No. 3 ( Dec. , 1959 ) , pp. 435 -- 454 JSTOR   Hu , Shizhang ( 1995 ) . Stanley K. Hornbeck and the Open Door Policy , 1919 - 1937 . Greenwood Press . ISBN 0 - 313 - 29394 - 5 .   Kolko , Gabriel ( 1972 ) . The Limits of Power : The World and United States Foreign Policy , 1945 -- 1954 . New York , NY : The Free Press . ISBN 978 - 0 - 060 - 12447 - 2 .   Mark Atwood Lawrence , `` Open Door Policy '' , Encyclopedia of the New American Nation , ( online ) ( 1 ) .   McKee , Delber ( 1977 ) . Chinese Exclusion Versus the Open Door Policy , 1900 - 1906 : Clashes over China Policy in the Roosevelt Era . Wayne State Univ Press . ISBN 0 - 8143 - 1565 - 8 .   Otte , Thomas G. ( 2007 ) . The China question : great power rivalry and British isolation , 1894 - 1905 . Oxford University Press . ISBN 978 - 0 - 19 - 921109 - 8 .   Sugita , Yoneyuki , `` The Rise of an American Principle in China : A Reinterpretation of the First Open Door Notes toward China '' in Richard J. Jensen , Jon Thares Davidann , and Yoneyuki Sugita , eds . Trans - Pacific relations : America , Europe , and Asia in the twentieth century ( Greenwood , 2003 ) pp 3 -- 20 online    External links ( edit )       Look up open - door policy in Wiktionary , the free dictionary .      Text of the First Open Door Note   Text of the First and Second Open Door Note   `` Milestones : Secretary of State John Hay and the Open Door Policy in China '' ( U.S. Department of State Office of the Historian ) ( 2 )   Retrieved from `` https://en.wikipedia.org/w/index.php?title=Open_Door_Policy&amp;oldid=827111415 '' Categories :   Economic history of China   History of United States expansionism   Foreign relations of the Empire of Japan   Hidden categories :   Pages using web citations with no URL           Talk                                           Contents                   About Wikipedia                                             Azərbaycanca   Dansk   Deutsch   Español   Esperanto   فارسی   Français   </t>
    </r>
    <r>
      <rPr>
        <sz val="11"/>
        <color rgb="FF000000"/>
        <rFont val="Noto Sans CJK SC"/>
        <family val="2"/>
      </rPr>
      <t xml:space="preserve">한국어   </t>
    </r>
    <r>
      <rPr>
        <sz val="11"/>
        <color rgb="FF000000"/>
        <rFont val="Calibri"/>
        <family val="0"/>
        <charset val="1"/>
      </rPr>
      <t xml:space="preserve">Հայերեն   Bahasa Indonesia   Italiano   עברית   </t>
    </r>
    <r>
      <rPr>
        <sz val="11"/>
        <color rgb="FF000000"/>
        <rFont val="Noto Sans CJK SC"/>
        <family val="2"/>
      </rPr>
      <t xml:space="preserve">日本 語   </t>
    </r>
    <r>
      <rPr>
        <sz val="11"/>
        <color rgb="FF000000"/>
        <rFont val="Calibri"/>
        <family val="0"/>
        <charset val="1"/>
      </rPr>
      <t xml:space="preserve">Norsk   Polski   Português   Русский   Simple English   Svenska   Tagalog   Türkçe   Українська   </t>
    </r>
    <r>
      <rPr>
        <sz val="11"/>
        <color rgb="FF000000"/>
        <rFont val="Noto Sans CJK SC"/>
        <family val="2"/>
      </rPr>
      <t xml:space="preserve">中文   </t>
    </r>
    <r>
      <rPr>
        <sz val="11"/>
        <color rgb="FF000000"/>
        <rFont val="Calibri"/>
        <family val="0"/>
        <charset val="1"/>
      </rPr>
      <t xml:space="preserve">Edit links   This page was last edited on 22 February 2018 , at 20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</si>
  <si>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open door policy take place</t>
  </si>
  <si>
    <t xml:space="preserve"> The Open Door Policy is a term in foreign affairs initially used to refer to the United States policy established in the late 19th century and the early 20th century , as enunciated in Secretary of State John Hay 's Open Door Note , dated September 6 , 1899 and dispatched to the major European powers . The policy proposed to keep China open to trade with all countries on an equal basis , keeping any one power from total control of the country , and calling upon all powers , within their spheres of influence , to refrain from interfering with any treaty port or any vested interest , to permit Chinese authorities to collect tariffs on an equal basis , and to show no favors to their own nationals in the matter of harbor dues or railroad charges . </t>
  </si>
  <si>
    <t xml:space="preserve">Australian referendum , 1967 ( Aboriginals ) - Wikipedia  Australian referendum , 1967 ( Aboriginals )  Jump to : navigation , search    1967 Australian referendum 27 May 1967     Do you approve the proposed law for the alteration of the Constitution entitled -- ' An Act to alter the Constitution so as to omit certain words relating to the People of the Aboriginal Race in any State and so that Aboriginals are to be counted in reckoning the Population ' ?      Results     Votes   %     Yes   5,183,113   7001907700000000000 ♠ 90.77 %     No   527,007   7000923000000000000 ♠ 9.23 %     Valid votes   5,710,120   7001984200000000000 ♠ 98.42 %     Invalid or blank votes   91,464   7000158000000000000 ♠ 1.58 %     Total votes   5,801,584   100.00 %     Registered voters / turnout   6,182,585   7001938400000000000 ♠ 93.84 %           Results by state         Yes No        Note : Saturation of colour denotes strength of vote     The Australian referendum of 27 May 1967 , called by the Holt Government , approved two amendments to the Australian constitution relating to Indigenous Australians . Technically it was a vote on the Constitution Alteration ( Aboriginals ) 1967 , which became law on 10 August 1967 following the results of the referendum . The amendments were overwhelmingly endorsed , winning 90.77 % of votes cast and carrying in all six states . These amendments altered sections 51 ( xxvi ) , and 127 , having the immediate effect of including Aboriginal Australians in determinations of population , and also empowered the Federal Parliament to legislate specifically for this racial group . The other question put in the referendum , to allow the number of seats in the House of Representatives to be increased without increasing the number of senators , was rejected . It received majority support in only one state -- New South Wales -- and received about 40.25 % `` yes '' votes nationwide .     Contents  ( hide )   1 Background   2 Amendments to the Constitution   3 Question   4 Results   5 Legacy   5.1 Proposed new referendum in the 2010s   5.2 Responses to the recognition campaign in the 2010s     6 See also   7 References   8 Further reading and external links      Background ( edit )   A proposed change to the Australian Constitution begins as a Bill that is presented to the Federal Parliament . If the Bill is passed by both Houses of Parliament , case committees are developed , a writ for a referendum is issued by the Governor - General , and a referendum is then presented to Australian voters , where it is passed if approved by a majority of people and majority of states .   Strong activism by individuals and both Indigenous and non-Indigenous groups greatly aided in the success of the 1967 referendum in the years leading up to the vote . Calls for Aboriginal issues to be dealt with at the Federal level began as early as 1910 . Despite a failed attempt in the 1944 Referendum , minimal changes were instigated for Aboriginal rights until the 1960s , where the Bark Petition in 1963 and the ensuing Milirrpum v Nabalco Pty Ltd and Commonwealth of Australia ( Gove Land Rights Case ) , and Gurindji Strike highlighted the negative treatment of Indigenous workers in the Northern Territory . From here , the overall plight of Aboriginal Australians became a fundamental political issue .   On 7 April 1965 , the Menzies Cabinet decided that it would seek to repeal Section 127 of the Constitution at the same time as it sought to amend the nexus provision , but made no firm plans or timetable for such action . In August 1965 , Attorney - General Billy Snedden proposed to Cabinet that abolition of Section 127 was inappropriate unless Section 51 ( xxvi ) was simultaneously amended to remove the words `` other than the aboriginal race in any state '' . He was rebuffed , but gained agreement when he made a similar submission to the Holt Cabinet in 1966 . In the meantime , his Liberal colleague Billy Wentworth had introduced a private member 's bill proposing inter alia to amend Section 51 ( xxvi ) .   Even before , in 1964 , the Leader of the Opposition , Arthur Calwell , had proposed such a change and pledged that his party , the Australian Labor Party , would back any referendum to that effect .   The Australian Board of Missions , the Australian Association for the Advancement of Science , the Australian Aborigines League , the Australian Council of Churches , the Federal Council for the Advancement of Aborigines and Torres Strait Islanders and spokespeople such as Ruby Hammond , Bill Onus and Faith Bandler are just some of the many groups and individuals who effectively utilised the media and their influential platforms to generate the momentum needed to achieve a landslide ' Yes ' vote .   Amendments to the Constitution ( edit )   In 1967 the Australian Parliament was unanimous in voting for the proposed law . As a result , only a `` yes '' case was published by the Parliament . Voters were asked to approve , together , changes to both of the provisions in which Aboriginal People were mentioned in the Constitution -- sections 51 ( xxvi ) and 127 .   Section 51 begins :    The Parliament shall , subject to this Constitution , have power to make laws for the peace , order , and good government of the Commonwealth with respect to :    And the extraordinary clauses that follow ( ordinarily referred to as `` heads of power '' ) list most of the legislative powers of the federal parliament . The amendment deleted the text in bold from Clause xxvi ( known as the `` race '' or `` races '' power ) :    The people of any race , other than the aboriginal race in any State , for whom it is deemed necessary to make special laws ;    The amendment gave the Commonwealth parliament power to legislate with respect to Aborigines living in a State as well as those living in a federal territory ; the parliament has unfettered power in regard to territories under section 122 of the Constitution . The intent was that this new power for the Commonwealth would be used only beneficially , though the High Court decision in Kartinyeri v Commonwealth , was that the 1967 amendment did not impose such a restriction and the power could be used to the detriment of an identified race . The Hindmarsh Island bridge controversy , and the Northern Territory Intervention are two circumstances where the post-1967 race power has arguably been used in this way .   Section 127 was wholly removed . Headed `` Aborigines not to be counted in reckoning population '' , it had read :    In reckoning the numbers of the people of the Commonwealth , or of a State or other part of the Commonwealth , aboriginal natives shall not be counted .    This section should be read in conjunction with Section 24 and Section 51 ( xi ) . The section related to calculating the population of the States and Territories for the purpose of allocating seats in the lower house of the federal parliament and per capita Commonwealth grants . The context of its introduction was to prevent Queensland and Western Australia from using their large Aboriginal populations to gain extra seats or extra funds . The ' statistics ' power in Section 51 ( xi ) allowed the Commonwealth to collect information on Aboriginal people . There was a separate count of aboriginal people in the Australian Census and a specific annual census of aboriginal people from 1925 to 1949 .   At this time voters in the Territories , while able and required to vote in elections for the House of Representatives , were not permitted to vote in referendums . That was not established until 1977 .   It is frequently stated that the 1967 referendum gave Aboriginal people Australian citizenship and that it gave them the right to vote in federal elections , but neither of these statements is correct . All Australians , including aboriginal people , first became Australian citizens in 1949 , when a separate Australian citizenship was created ; before that time all Australians rather were British subjects . Most Indigenous Australians had been denied the right to vote in elections for the Australian Parliament until 1949 . The Commonwealth Electoral Act 1949 gave Aboriginal people the right to vote in federal elections if they were able to vote in their state elections ( they were disqualified from voting altogether in Queensland , while in Western Australia and the Northern Territory the right was conditional ) , or if they had served in the defence force . The Commonwealth Electoral Act 1962 gave all Aboriginal people the option of enrolling to vote in federal elections . It was not until the Commonwealth Electoral Amendment Act 1983 that voting became compulsory for Aboriginal people , as it was for other Australians . It is also sometimes mistakenly stated that the 1967 referendum overturned a `` Flora and Fauna Act '' , which supposedly mandated that indigenous Australians were governed and managed under the same portfolio as Australian wildlife -- New South Wales state MP Linda Burney made mention of such an act in her maiden speech in 2003 , as did Mark Colvin in a 2007 ABC article . A 2014 SBS article described the notion that `` Indigenous people were classed as fauna '' as a `` myth '' , listing it as one of `` four key misunderstandings persist ( ing ) about modern Indigenous history and the referendum '' .   Question ( edit )   DO YOU APPROVE the proposed law for the alteration of the Constitution entitled -- ' An Act to alter the Constitution so as to omit certain words relating to the People of the Aboriginal Race in any State and so that Aboriginals are to be counted in reckoning the Population ' ?   Results ( edit )   Result   State   On rolls   Ballots issued   For   Against   Invalid   Result     Votes   %   Votes   %     New South Wales   2,315,828   2,166,507   1,949,036   91.46   182,010   8.54   35,461   Yes     Victoria   1,734,476   1,630,594   1,525,026   94.68   85,611   5.32   19,957   Yes     Queensland   904,808   848,728   748,612   89.21   90,587   10.79   9,529   Yes     South Australia   590,275   560,844   473,440   86.26   75,383   13.74   12,021   Yes     Western Australia   437,609   405,666   319,823   80.95   75,282   19.05   10,561   Yes     Tasmania   199,589   189,245   167,176   90.21   18,134   9.79   3,935   Yes     Australian Total   6,182,585   5,801,584   5,183,113   90.77   527,007   9.23   91,464   Yes     Obtained majority in all six States and an overall majority of 4,656,106 votes .     Carried     Legacy ( edit )   Ninety percent of voters voted yes , and the overwhelming support gave the Federal Government a clear mandate to implement policies to benefit Aboriginal people . A lot of misconceptions have arisen as to the outcomes of the referendum , some as a result of it taking on a symbolic meaning during a period of increasing Aboriginal self - confidence . It was some five years before any real change occurred as a result of the referendum , but federal legislation has since been enacted covering land rights , discriminatory practices , financial assistance , and preservation of cultural heritage .   The referendum had two main outcomes . The first was to alter the legal boundaries within which the Federal Government could act . The Federal Parliament was given a constitutional head - of - power under which it could make special laws `` for '' Aboriginal people ( for their benefit or , as has since become clear , their detriment ) in addition to other `` races '' . The Australian Constitution states that federal law prevails over state law , where they are inconsistent , so the Federal Parliament could , if it so chose , enact legislation that would end discrimination against Aboriginal people by state governments . However , during the first five years following the referendum the Federal Government did not use this new power .   The other key outcome of the referendum was to provide Aboriginal people with a symbol of their political and moral rights . The referendum occurred at a time when Aboriginal activism was accelerating and it was used as a kind of `` historical shorthand '' for all the relevant political events of the time , such as the demands for land rights by the Gurindji , the equal - pay case for pastoral workers , and the `` Freedom Rides '' to end segregation in New South Wales . This use as a symbol for a period of activism and change has contributed to the misconceptions about the effects of the constitutional changes themselves .   The benefits of the referendum began to flow to Aboriginal people in 1972 . On 26 January 1972 , Aboriginal peoples erected the Aboriginal Tent Embassy on the lawns of the Federal Parliament building in Canberra to express their frustration at the lack of progress on land rights and racial discrimination issues . This became a major confrontation that raised Aboriginal affairs high on the political agenda in the federal election later that year . One week after gaining office , the Whitlam Government ( 1972 -- 1975 ) established a Royal Commission into land rights for Aboriginal people in the Northern Territory under Justice Woodward . Its principal recommendations , delivered in May 1974 , were : that Aboriginal people should have inalienable title to reserve lands ; that regional Land Councils should be established ; to establish a fund to purchase land with which Aboriginal people had a traditional connection , or that would provide economic or other benefits ; prospecting and mineral exploration on Aboriginal land should only occur with their consent or that of the Federal Government if the national interest required it ; entry onto Aboriginal land should require a permit issued by the regional Land Council . The recommendations were framed in terms to enable application outside the Northern Territory . The Federal Government agreed to implement the principal recommendations and in 1975 the House of Representatives passed the Aboriginal Councils and Associations Bill and the Aboriginal Land ( Northern Territory ) Bill but the Senate had not considered them by the time parliament was dissolved in 1975 .   The following year , the Fraser government ( 1975 -- 1983 ) amended the Aboriginal Land ( Northern Territory ) Bill by introducing the Aboriginal Land Rights ( Northern Territory ) Bill . The new bill made a number of significant changes such as limitation on the operations and boundaries of Land Councils ; giving Northern Territory law effect on Aboriginal land , thereby enabling land rights to be eroded ; removing the power of Land Councils to issue permits to non-Aboriginal people ; allowing public roads to be built on Aboriginal land without consent . It is significant however that this legislation was implemented at all , given the political allegiances of the Fraser Government , and shows the level of community support for social justice for Aboriginal people at the time .   The Whitlam Government used its constitutional powers to overrule racially discriminatory State legislation . On reserves in Queensland , they were forbidden to gamble , use foul language , undertake traditional cultural practices , indulge in adultery , or drink alcohol . They were also required to work without payment . In the Aboriginal Courts in Queensland the same official acted as judge as well as the prosecuting counsel . Defendants almost invariably pleaded ' guilty ' as pleas of ' not guilty ' were more than likely to lead to a longer sentence . The Whitlam Government , using the race power , enacted the Aboriginal and Torres Strait Islanders ( Queensland Discriminatory Laws ) Act 1975 to override the State laws and eliminate racial discrimination against Aboriginal people . No federal government ever enforced this Act .   The race power was also used by the Whitlam Government to positively discriminate in favour of Aboriginal people . It established schemes whereby Aboriginal people could obtain housing , loans , emergency accommodation and tertiary education allowances . It also increased funding for the Aboriginal Legal Service enabling twenty - five offices to be established throughout Australia .   The race power gained in the 1967 referendum has been used in several other pieces of significant Federal legislation . One of the pieces of legislation enacted to protect the Gordon River catchment used the race power but applied it to all people in Australia . The law prohibited anyone from damaging sites , relics and artefacts of Aboriginal settlement in the Gordon River catchment . In the Tasmanian Dam Case , the High Court held that even though this law applied to all people and not only to Aboriginal people , it still constituted a special law . In the 1992 Mabo judgement , the High Court established the existence of Native Title in Australian Common Law . Using the race power , the Keating Government enacted the Native Title Act 1993 and successfully defended a High Court challenge from the Queensland Government .   One last impact of the referendum has been the benefits flowing from the removal of the prohibition on counting Aboriginal people in the population statistics . Without official statistics as to their number , age structure or distribution , it was not possible for government agencies to establish soundly based policies for serving Aboriginal people , especially in the area of health . The availability of demographic data following the 1971 census ( and onwards ) relating to the Aboriginal population enabled the determination and monitoring of key health indicators such as infant mortality rates and life expectancy . Aboriginal life expectancy , especially for males , was significantly lower than the average population . Infant mortality rates in the early 1970s were among the highest in the world . Substantial improvements had occurred by the early 1990s but Aboriginal health indicators still lag behind those of the total population , especially for those living in remote areas , and closing the gap policies remain an ongoing part of governance in Australia .   The 1967 referendum has acquired a symbolic meaning in relation to a period of rapid social change during the 1960s . As a result , it has been credited with initiating political and social change that was the result of other factors . The real legislative and political impact of the 1967 referendum has been to enable , and thereby compel , the federal government to take action in the area of Aboriginal Affairs . Federal governments with a broader national and international agenda have attempted to end the discriminatory practices of state governments such as Queensland and to introduce policies that encourage self - determination and financial security for Aboriginal people . However , the effectiveness of these policies has been tempered by an unwillingness of most federal governments to deal with the difficult issues involved in tackling recalcitrant state governments .   When John Howard 's Coalition government came to power in 1996 , it intervened in the Hindmarsh Island bridge controversy with legislation that introduced an exception to the Aboriginal and Torres Strait Islander Heritage Protection Act 1984 , in order to allow the bridge to proceed . The Ngarrindjeri challenged the new legislation in the High Court on the basis that it was discriminatory to declare that the Heritage Protection Act applied to sites everywhere but Hindmarsh Island , and that such discrimination -- essentially on the basis of race -- had been disallowed since the Commonwealth was granted the power to make laws with respect to the `` Aboriginal race '' as a result of the 1967 Referendum . The High Court decided , by a majority , that the amended s. 51 ( xxvi ) of the Constitution still did not restrict the Commonwealth parliament to making laws solely for the benefit of any particular `` race '' , but still empowered the parliament to make laws that were to the detriment of any race . This decision effectively meant that those people who had believed that they were casting a vote against the discrimination of Indigenous people in 1967 had in fact allowed the Commonwealth to participate in the discrimination against Indigenous people which had been practised by the States .   Proposed new referendum in the 2010s ( edit )   In 2010 the federal government established an `` expert panel '' to inquire into changing the federal constitution so that Australia 's Indigenous peoples would be recognised in it . This would require a new referendum under section 128 of the Australian Constitution . After wide - ranging consultation and receiving thousands of submissions , the panel delivered its report to Prime Minister Julia Gillard on 19 January 2012 . The report recommends the removal of Constitution sections 25 and 51 ( xxvi ) , and the insertion of new sections 51A , 116A and 127A :   Section 51A Recognition of Aboriginal and Torres Strait Islander peoples    Recognising that the continent and its islands now known as Australia were first occupied by Aboriginal and Torres Strait Islander peoples ;   Acknowledging the continuing relationship of Aboriginal and Torres Strait Islander peoples with their traditional lands and waters ;   Respecting the continuing cultures , languages and heritage of Aboriginal and Torres Strait Islander peoples ;   Acknowledging the need to secure the advancement of Aboriginal and Torres Strait Islander peoples ;   the Parliament shall , subject to this Constitution , have power to make laws for the peace , order and good government of the Commonwealth with respect to Aboriginal and Torres Strait Islander peoples .    Section 116A Prohibition of racial discrimination    ( 1 ) The Commonwealth , a State or a Territory shall not discriminate on the grounds of race , colour or ethnic or national origin .   ( 2 ) Subsection ( 1 ) does not preclude the making of laws or measures for the purpose of overcoming disadvantage , ameliorating the effects of past discrimination , or protecting the cultures , languages or heritage of any group .    Section 127A Recognition of languages    ( 1 ) The national language of the Commonwealth of Australia is English .   ( 2 ) The Aboriginal and Torres Strait Islander languages are the original Australian languages , a part of our national heritage .    The panel recommends that there be a single referendum -- in which , in particular , removal of s 51 ( xxvi ) and insertion of the new s 51A would be proposed together , so that the validity of legislation that depends upon s 51 ( xxvi ) , such as the Native Title Act 1993 ( Cth ) , would switch immediately from s 51 ( xxvi ) to s 51A . The panel seeks a referendum process that will be nationally unifying and not divisive , with an eventual level of public support similar to that in 1967 . To that end , it proposes that the referendum be preceded by `` a properly resourced public education and awareness program '' and `` should only proceed when it is likely to be supported by all major political parties , and a majority of State governments '' . If the federal government were to prefer different changes , the panel advises , it should return to consultation with the Aboriginal and Torres Strait Islander peoples .   On 12 March 2013 , with all - party support , the federal parliament passed the Aboriginal and Torres Strait Islander Peoples Recognition Act 2013 , which recognises the Indigenous peoples of Australia and requires establishment of a committee to advise on a suitable date for a referendum on these proposals . The process was to have been completed within two years , with a sunset provision ending the force of the Act on 28 March 2015 ; the period was extended for a further three years .   In December 2015 a Referendum Council , with 16 Indigenous and non-Indigenous members , was established to advise the Prime Minister and the Leader of the Opposition on progress toward a referendum . It conducted national consultations which continued through the second half of 2016 , and published a discussion paper about five key proposals in October 2016 . The Recognition Council is expected to report by 30 June 2017 .   Responses to the recognition campaign in the 2010s ( edit )   Party positions :     Position   Political parties   Ref     Support     Australian Labor Party         Liberal / National Coalition         Australian Greens       Oppose     Pauline Hanson 's One Nation       See also ( edit )    Section 51 ( xxvi ) of the Australian Constitution ( the race power )   Australian Aborigines   Voting rights of Australian Aboriginals   Referendums in Australia   Politics of Australia   History of Australia    References ( edit )    Jump up ^ `` Constitution Alteration ( Aboriginals ) 1967 '' . ComLaw . Retrieved 5 May 2014 .   Jump up ^ Wendy Lewis ; Simon Balderstone John Bowan ( 2006 ) . Events That Shaped Australia . New Holland . pp. 224 -- 228 . ISBN 978 - 1 - 74110 - 492 - 9 .   ^ Jump up to : Commonwealth of Australia Constitution ( Cth ) s 51   ^ Jump up to : `` Commonwealth of Australia Constitution Act -- Amendment to Section 127 , page 24 '' . Museum of Australian Democracy . Retrieved 9 November 2016 .   Jump up ^ `` Fact sheet 150 -- The 1967 Referendum '' . National Archives of Australia . Archived from the original on 4 November 2010 . Retrieved 9 November 2010 .   ^ Jump up to : Handbook of the 44th Parliament ( 2014 ) `` Part 5 -- Referendums and Plebiscites -- Referendum results '' . Parliamentary Library of Australia . Archived from the original on 29 September 2017 ...   Jump up ^ `` Referendums and Plebiscites '' . Parliamentary Education Office . Retrieved 12 April 2016 .   Jump up ^ Commonwealth of Australia Constitution ( Cth ) s 128   ^ Jump up to : Lynch , George Williams , Sean Brennan , Andrew ( 2014 ) . Blackshield and Williams Australian constitutional law and theory : commentary and materials ( 6th edition . ed . ) . Annendale , NSW : Federation Press . pp. 987 -- 8 . ISBN 9781862879188 .   Jump up ^ Van Krieken , Robert ( 2000 ) . `` From Milirrpum to Mabo : The High Court , Terra Nullius and Moral Entrepreneurship '' . University of New South Wales Law Journal . 23 ( 1 ) : 63 . Retrieved 30 July 2016 .   Jump up ^ ' Milirrpum v Nabalco Pty Ltd and Commonwealth of Australia ( 1971 ) 17 FLR 141 .   ^ Jump up to : Gardiner - Garden , John ( 2 May 2007 ) . `` The 1967 Referendum -- history and myths '' ( PDF ) . Research Brief no 11 . Parliamentary Library of Australia . ISSN 1832 - 2883 . Retrieved 23 May 2017 .   Jump up ^ Juddery , Bruce ( 27 May 1997 ) . `` Unsung hero of blacks ' progress '' . The Canberra Times .   Jump up ^ `` Campaigning for a YES vote '' . National Museum Australia . Retrieved 30 July 2016 .   Jump up ^ `` Case for ' yes ' in the 1967 Referendum : Argument in favour of the proposed Constitution Alteration ( Aboriginals ) 1967 '' . National Archives of Australia . Retrieved 23 May 2017 .   ^ Jump up to : Kartinyeri v Commonwealth ( 1998 ) HCA 22 , ( 1998 ) 195 CLR 337 .   Jump up ^ Williams , George ( 2012 ) . Race and the Australian Constitution ( PDF ) . Australasian Study of Parliament Group Conference . Darwin , Australia . Retrieved November 9 , 2016 .   Jump up ^ Stuart Rintoul ( 22 December 2011 ) . `` Race power opens Pandora 's box '' . The Australian .   Jump up ^ `` A Guide to the Constitutional Recognition of Aboriginal and Torres Strait Islander peoples in Australia '' ( PDF ) . Ready 4 Recognition . p. 11 . Retrieved 23 May 2017 .   Jump up ^ Ellen Percy Kraly ( 2007 ) . `` The Annual Censuses of Aborigines , 1925 -- 1944 : Technical Imperative , Social Demography , or Social Control ? '' . Population Association of America .   Jump up ^ Constitution Alteration ( Referendums ) 1977 ( Cth ) .   Jump up ^ Commonwealth Electoral Act 1949 ( Cth )   Jump up ^ Commonwealth Electoral Act 1962 ( Cth )   Jump up ^ Voters and the Franchise : the Federal Story ( PDF ) , Department of the Parliamentary Library , Commonwealth of Australia , 2002 , ISSN 1328 - 7478 , retrieved 16 May 2015   Jump up ^ Williams , George ; Brennan , Sean ; Lynch , Andrew ( 2014 ) . Blackshield and Williams Australian Constitutional Law and Theory ( 6th ed . ) . Leichhardt , NSW : Federation Press . pp. 135 -- 6 . ISBN 978 - 1 - 86287 - 918 - 8 .   Jump up ^ Inaugural Speeches Archived 31 March 2011 at the Wayback Machine . -- Parliament of New South Wales . Retrieved 9 September 2015 .   Jump up ^ Haxton , Nance ( 25 May 2007 ) , Aust commemorates Aboriginal referendum , Australian Broadcasting Corporation , archived from the original on 17 April 2013   Jump up ^ Ron Sutton ( 10 March 2014 ) . `` Myths persist about the 1967 referendum '' -- SBS . Retrieved 9 September 2015 .   Jump up ^ Image of ballot paper : National Archives of Australia , item barcode 1843611 , p 54 .   Jump up ^ Aboriginal Land Rights ( Northern Territory ) Act 1976 ( Cth ) .   Jump up ^ Native Title Act 1993 ( Cth ) .   Jump up ^ Racial Discrimination Act 1975 ( Cth ) .   Jump up ^ States Grants ( Aboriginal Advancement ) Act 1972 ( Cth ) .   ^ Jump up to : Aboriginal Loans Commission Act 1974 ( Cth ) .   Jump up ^ Aboriginal and Torres Strait Islander Heritage ( Interim Protection ) Act 1984 ( Cth ) .   Jump up ^ ' Wik Bill challenged following Hindmarsh decision ' , ABC Radio News , 1 April 1998   ^ Jump up to : Aboriginal and Torres Strait Islanders ( Queensland Discriminatory Laws ) Act 1975 ( Cth ) .   Jump up ^ Whitlam 1985 , p. 465 .   Jump up ^ Whitlam 1985 , p. 467 .   Jump up ^ Whitlam 1985 , pp. 469 -- 470 .   Jump up ^ Whitlam 1985 , p. 470 .   Jump up ^ Broome 1982 , pp. 189 -- 190 .   Jump up ^ Broome 1982 , pp. 178 -- 179 .   Jump up ^ Lippmann 1994 .   Jump up ^ Broome 1982 , p. 179 .   Jump up ^ Pilger , J. ( 1990 ) , A Secret Country , London : Vintage , p. 46   Jump up ^ Whitlam 1985 , pp. 473 -- 474 .   Jump up ^ World Heritage Properties Conservation Act 1983 ( Cth ) .   Jump up ^ Commonwealth v Tasmania ( 1983 ) HCA 21   Jump up ^ Bates , G.M. ( 1987 ) . Environmental Law in Australia . Butterworths Pty Ltd , Sydney .   Jump up ^ Mabo v Queensland ( No 2 ) ( 1992 ) HCA 23 .   Jump up ^ Whitlam , E.G. ( 1997 ) , Dragging the Chain 1897 -- 1997 : The Second Vincent Lingiari Memorial Lecture , archived from the original on 2 December 1998   Jump up ^ Lippmann 1994 , p. 89 .   Jump up ^ `` Close the Gap : Indigenous Health Campaign Australian Human Rights Commission '' . www.humanrights.gov.au . Retrieved 23 May 2017 .   Jump up ^ Evatt , E. `` Ch 5 Effective interaction with State and Territory laws '' . Review of the Aboriginal and Torres Strait Islander Heritage Protection Act 1984 '' ( PDF ) . ( 1996 ) Indigenous Law Resources 1 .   Jump up ^ Aboriginal and Torres Strait Islander Heritage Protection Act 198 ( Cth )   Jump up ^ Hindmarsh Island Bridge Act 1997 ( Cth )   ^ Jump up to : Recognising Aboriginal and Torres Strait Islander Peoples in the Constitution : Report of the Expert Panel ( PDF ) , January 2012 , ISBN 978 - 1 - 921975 - 29 - 5 , archived ( PDF ) from the original on 16 March 2015   Jump up ^ `` Push to recognise indigenous Australians in constitution '' , Sydney Morning Herald , Sydney , 19 January 2012 , retrieved 2013 - 04 - 02   Jump up ^ Aboriginal and Torres Strait Islander Peoples Recognition Act 2013 ( Cth ) , retrieved 31 May 2013   Jump up ^ Department of the Prime Minister and Cabinet . `` Referendum Council '' . Retrieved 29 May 2016 .   Jump up ^ `` Discussion paper '' . Referendum Council . Archived from the original on 11 March 2017 .   Jump up ^ `` Communique -- 25 November 2016 '' . Department of the Prime Minister and Cobinet . Retrieved 23 May 2017 .   Jump up ^ `` Constitutional Recognition of Aboriginal and Torres Strait Islander Peoples '' . Australian Labor Party . Archived from the original on 19 February 2017 .   Jump up ^ Ford , M ; Blumer , C ( 20 May 2016 ) . `` Vote Compass : Most Australians back constitutional recognition for Indigenous Australians '' . abc.net.au .   Jump up ^ `` Aboriginal Torres Strait Islander Peoples '' . Australian Greens . Archived from the original on 15 February 2017 .   Jump up ^ `` Our aims '' . Pauline Hanson 's One Nation . Archived from the original on 6 July 2016 .    Further Reading and external links ( edit )    Marcia Langton , `` Reading the Constitution Out Loud '' . Meanjin. 70 ( 4 ) : 18 -- 32 . 2011 . Retrieved 10 May 2012 . Discusses the 1967 referendum in the light of the proposed new referendum .   Collaborating for Indigenous Rights : the 1967 Referendum : history and archival resources on the 1967 Referendum , National Museum of Australia , March 2007   The 1967 Referendum : Fact shee</t>
  </si>
  <si>
    <t xml:space="preserve">when did the referendum occur and in what states</t>
  </si>
  <si>
    <t xml:space="preserve"> The Australian referendum of 27 May 1967 , called by the Holt Government , approved two amendments to the Australian constitution relating to Indigenous Australians . Technically it was a vote on the Constitution Alteration ( Aboriginals ) 1967 , which became law on 10 August 1967 following the results of the referendum . The amendments were overwhelmingly endorsed , winning 90.77 % of votes cast and carrying in all six states . These amendments altered sections 51 ( xxvi ) , and 127 , having the immediate effect of including Aboriginal Australians in determinations of population , and also empowered the Federal Parliament to legislate specifically for this racial group . The other question put in the referendum , to allow the number of seats in the House of Representatives to be increased without increasing the number of senators , was rejected . It received majority support in only one state -- New South Wales -- and received about 40.25 % `` yes '' votes nationwide . </t>
  </si>
  <si>
    <t xml:space="preserve">Introduced species - wikipedia  Introduced species  Jump to : navigation , search `` Alien species '' redirects here . For life on planets other than Earth , see Extraterrestrial life . Cattle Bos primigenius taurus introduced worldwide Sweet clover ( Melilotus sp . ) , introduced and naturalized to the Americas from Europe as a forage and cover crop .  An introduced species ( alien species , exotic species , non-indigenous species , or non-native species ) is a species living outside its native distributional range , which has arrived there by human activity , either deliberate or accidental . Non-native species can have various effects on the local ecosystem . Introduced species that become established and spread beyond the place of introduction are called invasive species . The impact of introduced species is highly variable . Some have a negative effect on a local ecosystem , while other introduced species may have no negative effect or only minor impact . Some species have been introduced intentionally to combat pests . They are called biocontrols and may be regarded as beneficial as an alternative to pesticides in agriculture for example . In some instances the potential for being beneficial or detrimental in the long run remains unknown .   The effects of introduced species on natural environments have gained much scrutiny from scientists , governments , farmers and others .     Contents  ( hide )   1 Terminology : introduced species and subsets   1.1 Invasive species     2 Nature of introductions   2.1 Intentional introductions   2.1. 1 Motivations for intentional introductions   2.1. 2 Human enjoyment   2.1. 3 Addressing environmental problems     2.2 Unintentional introductions     3 Introduced plants   4 Introduced animals   4.1 Most commonly introduced species     5 Genetics   6 On a planetary body   7 See also   8 Notes   9 External links      Terminology : introduced species and subsets ( edit )  Life timeline view discuss edit - 4500 -- -- - 4000 -- -- - 3500 -- -- - 3000 -- -- - 2500 -- -- - 2000 -- -- - 1500 -- -- - 1000 -- -- - 500 -- -- 0 -- water Single - celled life photosynthesis Eukaryotes Multicellular life Land life Dinosaurs Mammals Flowers ← Earliest Earth ( − 4540 ) ← Earliest water ← Earliest life ← LHB meteorites ← Earliest oxygen ← Atmospheric oxygen ← Oxygen crisis ← Earliest sexual reproduction ← Ediacara biota ← Cambrian explosion ← Earliest humans h n r o z o i r o r o z o i r h n d n Pongola Huronian Cryogenian Andean Karoo Quaternary Axis scale : millions of years . Orange labels : known ice ages . Also see : Human timeline and Nature timeline  Formal definition from the United States Environmental Protection Agency : A species that has been intentionally or inadvertently brought into a region or area . Also called an exotic or non-native species .   There are many terms associated with introduced species that represent subsets of introduced species , and the terminology associated with introduced species is now in flux for various reasons . Examples of these terms are acclimatized , adventive , naturalized , and immigrant species but those terms refer to a subset of introduced species . The term `` invasive '' is used to describe introduced species when the introduced species causes substantial damage to the area in which it was introduced .   Subset descriptions :    Acclimatized species : Introduced species that have changed physically and / or behaviorally in order to adjust to their new environment . Acclimatized species are not necessarily optimally adjusted to their new environment and may just be physically / behaviorally sufficient for the new environment .     Adventive species     Naturalized species ( plants ) : A naturalized plant species refers to a non-native plant that does not need human help to reproduce and maintain its population in an area that it is not native to .    General description of introduced species :   In the broadest and most widely used sense , an introduced species is synonymous with non-native and therefore applies as well to most garden and farm organisms ; these adequately fit the basic definition given above . However , some sources add to that basic definition `` and are now reproducing in the wild '' , which removes from consideration as introduced species that were raised or grown in gardens or farms that do not survive without tending by people . With respect to plants , these latter are in this case defined as either ornamental or cultivated plants .   Invasive species ( edit )   Introduction of a species outside its native range is all that is required to be qualified as an `` introduced species '' such that one can distinguish between introduced species that may not occur except in cultivation , under domestication or captivity whereas others become established outside their native range and reproduce without human assistance . Such species might be termed `` naturalized '' , `` established '' , `` wild non-native species '' . If they further spread beyond the place of introduction and cause damage to nearby species , they are called `` invasive '' . The transition from introduction , to establishment and to invasion has been described in the context of plants . Introduced species are essentially `` non-native '' species . Invasive species are those introduced species that spreadwidely or quickly and cause harm , be that to the environment , human health , other valued resources or the economy . There have been calls from scientists to consider a species `` invasive '' only in terms of their spread and reproduction rather than the harm they may cause .   According to a practical definition , an invasive species is one that has been introduced and become a pest in its new location , spreading ( invading ) by natural means . The term is used to imply both a sense of urgency and actual or potential harm . For example , U.S. Executive Order 13112 ( 1999 ) defines `` invasive species '' as `` an alien species whose introduction does or is likely to cause economic or environmental harm or harm to human health '' . The biological definition of invasive species , on the other hand , makes no reference to the harm they may cause , only to the fact that they spread beyond the area of original introduction .   Although some argue that `` invasive '' is a loaded word and harm is difficult to define , the fact of the matter is that organisms have and continue to be introduced to areas in which they are not native , sometimes with but usually without much regard to the harm that could result .   From a regulatory perspective , it is neither desirable nor practical to list as undesirable or outright ban all non-native species ( although the State of Hawaii has adopted an approach that comes close to this ) . Regulations require a definitional distinction between non-natives that are deemed especially onerous and all others . Introduced pest species that are officially listed as invasive , best fit the definition of an invasive species . Early detection and rapid response is the most effective strategy for regulating a pest species and reducing economic and environmental impacts of an introduction   In Great Britain , the Wildlife and Countryside Act 1981 prevents the introduction of any animal not naturally occurring in the wild or any of a list of both animals or plants introduced previously and proved to be invasive .   Nature of introductions ( edit )   By definition , a species is considered `` introduced '' when its transport into an area outside of its native range is human mediated . Introductions by humans can be described as either intentional or accidental . Intentional introductions have been motivated by individuals or groups who either ( 1 ) believe that the newly introduced species will be in some way beneficial to humans in its new location or , ( 2 ) species are introduced intentionally but with no regard to the potential impact . Unintentional or accidental introductions are most often a byproduct of human movements , and are thus unbound to human motivations . Subsequent range expansion of introduced species may or may not involve human activity .  Wheat Triticum introduced worldwide from its place of origin Mesopotamia .  Intentional introductions ( edit )   Species that humans intentionally transport to new regions can subsequently become successfully established in two ways . In the first case , organisms are purposely released for establishment in the wild . It is sometimes difficult to predict whether a species will become established upon release , and if not initially successful , humans have made repeated introductions to improve the probability that the species will survive and eventually reproduce in the wild . In these cases it is clear that the introduction is directly facilitated by human desires .  Male Lophura nycthemera ( silver pheasant ) , a native of East Asia that has been introduced into parts of Europe for ornamental reasons .  In the second case , species intentionally transported into a new region may escape from captive or cultivated populations and subsequently establish independent breeding populations . Escaped organisms are included in this category because their initial transport to a new region is human motivated .  Motivations for intentional introductions ( edit )  Economic : Perhaps the most common motivation for introducing a species into a new place is that of economic gain . Non-native species can become such a common part of an environment , culture , and even diet that little thought is given to their geographic origin . For example , soybeans , kiwi fruit , wheat , honey bees , and all livestock except the American bison and the turkey are non-native species to North America . Collectively , non-native crops and livestock comprise 98 % of US food . These and other benefits from non-natives are so vast that , according to the Congressional Research Service , they probably exceed the costs .   Other examples of species introduced for the purposes of benefiting agriculture , aquaculture or other economic activities are widespread . Eurasian carp was first introduced to the United States as a potential food source . The apple snail was released in Southeast Asia with the intent that it be used as a protein source , and subsequently to places like Hawaii to establish a food industry . In Alaska , foxes were introduced to many islands to create new populations for the fur trade . About twenty species of African and European dung beetles have established themselves in Australia after deliberate introduction by the Australian Dung Beetle Project in an effort to reduce the impact of livestock manure . The timber industry promoted the introduction of Monterey pine ( Pinus radiata ) from California to Australia and New Zealand as a commercial timber crop . These examples represent only a small subsample of species that have been moved by humans for economic interests .   The rise in the use of genetically modified organisms has added another potential economic advantage to introducing new / modified species into different environments . Companies such as Monsanto that earn much of their profit through the selling of genetically modified seeds has added to the controversy surrounding introduced species . The effect of genetically modified organisms varies from organism to organism and is still being researched today , however the rise of genetically modified organisms has added complexity to the conversations surrounding introduced species .  Human enjoyment ( edit )  Introductions have also been important in supporting recreation activities or otherwise increasing human enjoyment . Numerous fish and game animals have been introduced for the purposes of sport fishing and hunting ( earthworms as invasive species ) . The introduced amphibian ( Ambystoma tigrinum ) that threatens the endemic California salamander ( Ambystoma californiense ) was introduced to California as a source of bait for fishermen . Pet animals have also been frequently transported into new areas by humans , and their escapes have resulted in several successful introductions , such as those of feral cats and parrots .   Many plants have been introduced with the intent of aesthetically improving public recreation areas or private properties . The introduced Norway maple for example occupies a prominent status in many of Canada 's parks . The transport of ornamental plants for landscaping use has and continues to be a source of many introductions . Some of these species have escaped horticultural control and become invasive . Notable examples include water hyacinth , salt cedar , and purple loosestrife   In other cases , species have been translocated for reasons of `` cultural nostalgia , '' which refers to instances in which humans who have migrated to new regions have intentionally brought with them familiar organisms . Famous examples include the introduction of starlings to North America by Englishman Eugene Schieffelin , a lover of the works of Shakespeare and the chairman of the American Acclimatization Society , who , it is rumoured , wanted to introduce all of the birds mentioned in Shakespeare 's plays into the United States . He deliberately released eighty starlings into Central Park in New York City in 1890 , and another forty in 1891 .   Yet another prominent example of an introduced species that became invasive is the European rabbit in Australia . Thomas Austin , a British landowner had rabbits released on his estate in Victoria because he missed hunting them . A more recent example is the introduction of the common wall lizard to North America by a Cincinnati boy , George Rau , around 1950 after a family vacation to Italy .  Addressing environmental problems ( edit )  Intentional introductions have also been undertaken with the aim of ameliorating environmental problems . A number of fast spreading plants such as kudzu have been introduced as a means of erosion control . Other species have been introduced as biological control agents to control invasive species and involves the purposeful introduction of a natural enemy of the target species with the intention of reducing its numbers or controlling its spread .   A special case of introduction is the reintroduction of a species that has become locally endangered or extinct , done in the interests of conservation . Examples of successful reintroductions include wolves to Yellowstone National Park in the U.S. , and the red kite to parts of England and Scotland . Introductions or translocations of species have also been proposed in the interest of genetic conservation , which advocates the introduction of new individuals into genetically depauperate populations of endangered or threatened species .   The above examples highlight the intent of humans to introduce species as a means of incurring some benefit . While these benefits have in some cases been realized , introductions have also resulted in unforeseen costs , particularly when introduced species take on characteristics of invasive species .   Unintentional introductions ( edit )   Unintentional introductions occur when species are transported by human vectors . Increasing rates of human travel are providing accelerating opportunities for species to be accidentally transported into areas in which they are not considered native . For example , three species of rat ( the black , Norway and Polynesian ) have spread to most of the world as hitchhikers on ships . There are also numerous examples of marine organisms being transported in ballast water , one being the zebra mussel . Over 200 species have been introduced to the San Francisco Bay in this manner making it the most heavily invaded estuary in the world . There is also the accidental release of the Africanized honey bees ( AHB ) , known colloquially as `` killer bees '' or Africanized bee to Brazil in 1957 and the Asian carps to the United States . The insect commonly known as the brown marmorated stink bug ( Halyomorpha halys ) was introduced accidentally in Pennsylvania . Another form of unintentional introductions is when an intentionally introduced plant carries a parasite or herbivore with it . Some become invasive , for example the oleander aphid , accidentally introduced with the ornamental plant , oleander .   Most accidentally or intentionally introduced species do not become invasive as the ones mentioned above . For instance Some 179 coccinellid species have been introduced to the U.S. and Canada ; about 27 of these non-native species have become established , and only a handful can be considered invasive , including the intentionally introduced Harmonia axyridis , multicolored Asian lady beetle . However the small percentage of introduced species that become invasive can produce profound ecological changes . In North America Harmonia axyridis has become the most abundant lady beetle and probably accounts for more observations than all the native lady beetles put together .   Introduced plants ( edit )   Many non-native plants have been introduced into new territories , initially as either ornamental plants or for erosion control , stock feed , or forestry . Whether an exotic will become an invasive species is seldom understood in the beginning , and many non-native ornamentals languish in the trade for years before suddenly naturalizing and becoming invasive .   Peaches , for example , originated in China , and have been carried to much of the populated world . Tomatoes are native to the Andes . Squash ( pumpkins ) , maize ( corn ) , and tobacco are native to the Americas , but were introduced to the Old World . Many introduced species require continued human intervention to survive in the new environment . Others may become feral , but do not seriously compete with natives , but simply increase the biodiversity of the area .   Dandelions are also introduced species to North America .   A very troublesome marine species in southern Europe is the seaweed Caulerpa taxifolia . Caulerpa was first observed in the Mediterranean Sea in 1984 , off the coast of Monaco . By 1997 , it had covered some 50 km2 . It has a strong potential to overgrow natural biotopes , and represents a major risk for sublittoral ecosystems . The origin of the alga in the Mediterranean was thought to be either as a migration through the Suez Canal from the Red Sea , or as an accidental introduction from an aquarium . Another troublesome plant species is the terrestrial plant Phyla canescens , which was intentionally introduced into many countries in North America , Europe , and Africa as an ornamental plant . This species has become invasive in Australia , where it threatens native rare plants and causes erosion and soil slumping around river banks . It has also become invasive in France where it has been listed as an invasive plant species of concern in the Mediterranean region , where it can form monocultures that threaten critical conservation habitats .   Japanese knotweed grows profusely in many nations . Human beings introduced it into many places in the 19th century . It is a source of resveratrol , a dietary supplement .  Chickens Gallus gallus domesticus , from Asia , introduced in the rest of the world  Introduced animals ( edit )   Bear in mind that most introduced species do not become invasive . Examples of introduced animals that have become invasive include the gypsy moth in eastern North America , the zebra mussel and alewife in the Great Lakes , the Canada goose and gray squirrel in Europe , the muskrat in Europe and Asia , the cane toad and red fox in Australia , nutria in North America , Eurasia , and Africa , and the common brushtail possum in New Zealand . In Taiwan , the success of introduced bird species was related to their native range size and body size ; larger species with larger native range sizes were found to have larger introduced range sizes .   Most commonly introduced species ( edit )   Some species , such as the brown rat , house sparrow , ring - necked pheasant and European starling , have been introduced very widely . In addition there are some agricultural and pet species that frequently become feral ; these include rabbits , dogs , goats , fish , pigs and cats .   Genetics ( edit )   When a new species is introduced , the species could potentially breed with members of native species , producing hybrids . The effect of the creating of hybrids can range from having little effect , a negative effect , to having devastating effects on native species . Potential negative effects include hybrids that are less fit for their environment resulting in a population decrease . This was seen in the Atlantic Salmon population when high levels of escape from Atlantic Salmon farms into the wild populations resulted in hybrids that had reduced survival . Potential positive effects include adding to the genetic diversity of the population which can increase the adaptation ability of the population and increase the number of healthy individuals within a population . This was seen in the introduction of guppies in Trinidad to encourage population growth and introduce new alleles into the population . The results of this introduction included increased levels of heterozygosity and a larger population size .   On a planetary body ( edit )  Main article : Interplanetary contamination  It has been hypothesized that invasive species of microbial life could contaminate a planetary body after the former is introduced by a space probe or spacecraft , either deliberately or unintentionally .   See also ( edit )    Avian range expansion   Biodiversity   Biological contamination   Biological dispersal   Burmese pythons in Florida   Directed panspermia   Genetic pollution   Introduced mammals on seabird breeding islands   Introduced species in Australia   Introduced species of the British Isles   Introduced species in New Zealand   Invasion biology terminology   Invasive species   List of introduced bird species   List of introduced mammal species   List of introduced species   Native ( indigenous ) species   Terraforming    Notes ( edit )    Jump up ^ Dov Sax , Aug 2008 . The Proceedings of the National Academy of Sciences Archived July 6 , 2012 , at the Wayback Machine .   Jump up ^ U.S. Environmental Protection Agency . Mid-Atlantic Integrated Assessment . September 16 , 2003 . Introduced species . Web site at US EPA   ^ Jump up to : Carlton , James T. 2002 . Introduced Species in U.S. Coastal Waters . Pew Oceans Commission .   Jump up ^ Richardson et al. 2000   Jump up ^ biodiversity   Jump up ^ Colautti and MacIsaac 2004   Jump up ^ CEQ ( 1999 ) . Web site page with Executive Order 13112 Archived 2008 - 05 - 15 at the Wayback Machine . text .   Jump up ^ 2013 . Invasive Species Program . Clemson University -- DPI . http://www.clemson.edu/public/regulatory/plant_industry/invasive_exotic_programs/ . Accessed 24 May 2013 .   Jump up ^ David Pimentel , Lori Lach , Rodolfo Zuniga , and Doug Morrison , Environmental and Economic Costs Associated with Non-Indigenous Species in the United States , College of Agriculture and Life Sciences , Cornell University ( Ithaca , New York ) , June 12 , 1999 .   Jump up ^ Corn ; Tim Johnson , `` Invasive Species , '' The Burlington Free Press , November 9 , 2003   Jump up ^ Naylor , R.L. , S.L. Williams , and D.R. Strong . 2001 . Aquaculture -- a gateway for exotic species . Science 294 : 1655 -- 56 .   Jump up ^ Riley , SPD , H.B. Shaffer , S.R. Voss , B.M. Fitzpatrick . Hybridization between a rare , native tiger salamander and its introduced congener. 2003 . Ecological Applications 13 : 1263 -- 1275 .   Jump up ^ Foster , J. and A. Sandberg . Friends or foe ? Invasive species and public green space in Toronto . 2004 . The Geographical Review 94 : 178 -- 198 .   Jump up ^ Deichsel , G. &amp; Gist , D.H. On the Origin of the Common Wall Lizards Podarcis muralis ( Reptilia : Lacertidae ) in Cincinnati , Ohio Archived 2009 - 09 - 09 at the Wayback Machine .   Jump up ^ Shirey , P.D. and G.A. Lamberti. 2010 . Assisted colonization under the U.S. Endangered Species Act . Conservation Letters 3 ( 1 ) : 45 -- 52 .   Jump up ^ Moritz , Craig . 1999 . Conservation units and translocations : Strategies for conserving evolutionary processes . Hereditas 130 : 217 -- 228 .   Jump up ^ Cohen , A.N. And J.T. Carlton. 1998 . Accelerating invasion rate in a highly invaded estuary . Science 279 : 555 -- 558 .   Jump up ^ Field guide to recently introduced species of coccinellidae ( Coleoptera ) in North America , with a revised key to north American genera of coccinellini   Jump up ^ http://www.lostladybug.org/summary-page-555.php Lost Ladybug Project   Jump up ^ Kennedy , K. 1992 . A systematic study of the genus Phyla Lour ( Verbenaceae : Verbenoideae , Lantanae ) . University of Texas at Austin , Austin , Texas , USA .   Jump up ^ Xu , Cheng - Yuan ; Tang , Shaoqing ; Fatemi , Mohammad ; Gross , Caroline L. ; Julien , Mic H. ; Curtis , Caitlin ; van Klinken , Rieks D. ( 2015 - 09 - 01 ) . `` Population structure and genetic diversity of invasive Phyla canescens : implications for the evolutionary potential '' . Ecosphere. 6 ( 9 ) : 1 -- 21 . ISSN 2150 - 8925 . doi : 10.1890 / ES14 - 00374.1 .   Jump up ^ Whalley , R.D.B. ; Price , J.N. ; Macdonald , M.J. ; Berney , P.J. ( 2011 ) . `` Drivers of change in the Social - Ecological Systems of the Gwydir Wetlands and Macquarie Marshes in northern New South Wales , Australia '' . The Rangeland Journal . 33 ( 2 ) : 109 . doi : 10.1071 / rj11002 .   Jump up ^ Olivier , L. , J.P. Galland , and H. Maurin , editors. 1995 . Livre Rouge de la flore menacée de France. Tome I. Espèces prioritaires . SPN - IEGB / MNHN , DNP / Ministère Environnement , CBN Porquerolles , Paris , France   Jump up ^ Su , S. ; Cassey , P. ; Dyer , E.E. ; Blackburn , T.M. ( 2017 ) . `` Geographical range expansion of alien birds and environmental matching '' . Ibis. 159 ( 1 ) : 193 -- 203 . doi : 10.1111 / ibi. 12418 .   Jump up ^ McGinnity , Philip ; Prodöhl , Paulo ; Ferguson , Andy ; Hynes , Rosaleen ; Maoiléidigh , Niall ó ; Baker , Natalie ; Cotter , Deirdre ; O'Hea , Brendan ; Cooke , Declan ( 2003 - 12 - 07 ) . `` Fitness reduction and potential extinction of wild populations of Atlantic salmon , Salmo salar , as a result of interactions with escaped farm salmon '' . Proceedings of the Royal Society of London B : Biological Sciences . 270 ( 1532 ) : 2443 -- 2450 . ISSN 0962 - 8452 . PMC 1691531 . PMID 14667333 . doi : 10.1098 / rspb. 2003.2520 .   Jump up ^ Fitzpatrick , Sarah W. ; Gerberich , Jill C. ; Angeloni , Lisa M. ; Bailey , Larissa L. ; Broder , Emily D. ; Torres - Dowdall , Julian ; Handelsman , Corey A. ; López - Sepulcre , Andrés ; Reznick , David N. ( 2016 - 08 - 01 ) . `` Gene flow from an adaptively divergent source causes rescue through genetic and demographic factors in two wild populations of Trinidadian guppies '' . Evolutionary Applications. 9 ( 7 ) : 879 -- 891 . ISSN 1752 - 4571 . PMC 4947150 . PMID 27468306 . doi : 10.1111 / eva. 12356 .   Jump up ^ Assessment of Planetary Protection and Contamination Control Technologies for Future Planetary Science Missions , Jet Propulsion Laboratory , January 24 , 2011 3.1. 1 Microbial Reduction Methodologies :  `` This protocol was defined in concert with Viking , the first mission to face the most stringent planetary protection requirements ; its implementation remains the gold standard today . ''     External links ( edit )       Wikimedia Commons has media related to Invasive plants by country .         Wikisource has the text of the 1920 Encyclopedia Americana article Immigrations , Animal and Vegetal .      GB Non-native Species Secretariat GB Non-native Species -- information , ID sheets , risk assessments , case studies , resources , free photos , videos and more .   Alien Plants in Ireland Database of Alien plants in Ireland   Introduced species in the British Isles   Alien species in Poland   Introduced Species in Eastern United States   Pathways for Invasive Species Introduction   Species Profile - Invasive Species , National Invasive Species Information Center , United States National Agricultural Library . Lists general information and resources for invasive species .   Nonindigenous Species Database Network   The Naked Scientists Invasive Species Articles Ecologists challenge the categories that identify some species as natives and others as invaders .   Bugguide.net List of non-native arthropods in North America              Ecology : Modelling ecosystems : Trophic components     General     Abiotic component   Abiotic stress   Behaviour   Biogeochemical cycle   Biomass   Biotic component   Biotic stress   Carrying capacity   Competition   Ecosystem   Ecosystem ecology   Ecosystem model   Keystone species   List of feeding behaviours   Metabolic theory of ecology   Productivity   Resource       Producers     Autotrophs   Chemosynthesis   Chemotrophs   Foundation species   Mixotrophs   Myco - heterotrophy   Mycotroph   Organotrophs   Photoheterotrophs   Photosynthesis   Photosynthetic efficiency   Phototrophs   Primary nutritional groups   Primary production       Consumers     Apex predator   Bacterivore   Carnivores   Chemoorganotroph   Foraging   Generalist and specialist species   Intraguild predation   Herbivores   Heterotroph   Heterotrophic nutrition   Insectivore   Mesopredators   Mesopredator release hypothesis   Omnivores   Optimal foraging theory   Predation   Prey switching       Decomposers     Chemoorganoheterotrophy   Decomposition   Detritivores   Detritus       Microorganisms     Archaea   Bacteriophage   Environmental microbiology   Lithoautotroph   Lithotrophy   Microbial cooperation   Microbial ecology   Microbial food web   Microbial intelligence   Microbial loop   Microbial mat   Microbial metabolism   Phage ecology       Food webs     Biomagnification   Ecological efficiency   Ecological pyramid   Energy flow   Food chain   Trophic level       Example webs     Cold seeps   Hydrothermal vents   Intertidal   Kelp forests   Lakes   North Pacific Subtropical Gyre   Rivers   San Francisco Estuary   Soil   Tide pool       Processes     Ascendency   Bioaccumulation   Cascade effect   Climax community   Competitive exclusion principle   Consumer - resource systems   Copiotrophs   Dominance   Ecological network   Ecological succession   Energy quality   Energy Systems Language   f - ratio   Feed conversion ratio   Feeding frenzy   Mesotrophic soil   Nutrient cycle   Oligotroph   Paradox of the plankton   Trophic cascade   Trophic mutualism   Trophic state index       Defense / counter     Animal coloration   Antipredator adaptations   Camouflage   Deimatic behaviour   Herbivore adaptations to plant defense   Mimicry   Plant defense against herbivory   Predator avoidance in schooling fish         ( hide )         Ecology : Modelling ecosystems : Other components     Population ecology     Abundance   Allee effect   Depensation   Ecological yield   Effective population size   Intraspecific competition   Logistic function   Malthusian growth model   Maximum sustainable yield   Overpopulation in wild animals   Overexploitation   Population cycle   Population dynamics   Population modeling   Population size   Predator -- prey ( Lotka -- Volterra ) equations   Recruitment   Resilience   Small population size   Stability       Species     Biodiversity   Density - dependent inhibition   Ecological effects of biodiversity   Ecological extinction   Endemic species   Flagship species   Gradient analysis   Indicator species   Introduced species   Invasive species   Latitudinal gradients in species diversity   Minimum viable population   Neutral theory   Occupancy -- abundance relationship   Population viability analysis   Priority effect   Rapoport 's rule   Relative abundance distribution   Relative species abundance   Species diversity   Species homogeneity   Species richness   Species distribution   Species - area curve   Umbrella species       Species interaction     Antibiosis   Biological interaction   Commensalism   Community ecology   Ecological facilitation   Interspecific competition   Mutualism   Storage effect       Spatial ecology     Biogeography   Cross-boundary subsidy   Ecocline   Ecotone   Ecotype   Disturbance   Edge effects   Foster 's rule   Habitat fragmentation   Ideal free distribution   Intermediate Disturbance Hypothesis   Island biogeography   Landscape ecology   Landscape epidemiology   Landscape limnology   Metapopulation   Patch dynamics   r / K selection theory   Source -- sink dynamics       Niche     Ecological niche   Ecological trap   Ecos</t>
  </si>
  <si>
    <t xml:space="preserve">most exotic species are introduced into a new environment accidentally as a result of</t>
  </si>
  <si>
    <t xml:space="preserve"> Unintentional introductions occur when species are transported by human vectors . Increasing rates of human travel are providing accelerating opportunities for species to be accidentally transported into areas in which they are not considered native . For example , three species of rat ( the black , Norway and Polynesian ) have spread to most of the world as hitchhikers on ships . There are also numerous examples of marine organisms being transported in ballast water , one being the zebra mussel . Over 200 species have been introduced to the San Francisco Bay in this manner making it the most heavily invaded estuary in the world . There is also the accidental release of the Africanized honey bees ( AHB ) , known colloquially as `` killer bees '' or Africanized bee to Brazil in 1957 and the Asian carps to the United States . The insect commonly known as the brown marmorated stink bug ( Halyomorpha halys ) was introduced accidentally in Pennsylvania . Another form of unintentional introductions is when an intentionally introduced plant carries a parasite or herbivore with it . Some become invasive , for example the oleander aphid , accidentally introduced with the ornamental plant , oleander . </t>
  </si>
  <si>
    <t xml:space="preserve">Portuguese Discovery of the sea route to India - wikipedia  Portuguese Discovery of the sea route to India  Jump to : navigation , search      This article does not cite any sources . Please help improve this article by adding citations to reliable sources . Unsourced material may be challenged and removed . ( February 2016 ) ( Learn how and when to remove this template message )    Vasco da Gama on his arrival in India , bearing the flag used during the first voyage by sea to this part of the world : the arms of Portugal and the Cross of the Order of Christ , sponsors of the expansion movement initiated by Henry the Navigator , are seen . Painting by Ernesto Casanova  The discovery of the sea route to India is the description sometimes used in Europe and among the Portuguese for the first recorded trip made directly from Europe to India via the Atlantic Ocean . It was undertaken under the command of Portuguese explorer Vasco da Gama during the reign of King Manuel I in 1497 - 1499 . Considered by Europe to be one of the most remarkable voyages of the Age of Discovery , it consolidated the Portuguese maritime presence in Pacific Ocean and that country 's dominance of global trade routes .     Contents  ( hide )   1 Preparations of the trip   2 The Context   3 The navy   4 The voyage   5 Arrival in Calicut   6 Back in Portugal   7 See also   8 References      Preparations of the trip ( edit )   The plan for working on the Cape Route to India was charted by Portuguese King John II as a cost saving measure in the trade with Asia and also an attempt to monopolize the spice trade . Adding to the increasingly influential Portuguese maritime presence , John II craved for trade routes and for the expansion of the kingdom of Portugal which had already been transformed into an Empire . However , the project would not be realized during his reign . It would be his successor , King Manuel I , who would designate Vasco da Gama for this expedition , while maintaining the original plan .   However , this development was not viewed well by the upper classes . In the Cortes de Montemor - o - Novo of 1495 an opposite view was visible over the journey that John II had so painstakingly prepared . This point of view was contented with the trade with Guinea and North Africa and feared the challenges posed by the maintenance of any overseas territories , and the cost involved in the launching and maintenance of sea lanes . This position is embodied in the character of The Old Man of Restelo that appears in Os Lusíadas of the Portuguese epic poet Luís Vaz de Camões , who opposes the boarding of the armada .   King Manuel did not share that opinion . Keeping the D. João II plan , he went ahead to equip the ships and chose Vasco da Gama as the leader of this expedition and the captain of the armada . Interestingly , according to the original plan , John II had appointed his father , Stephen da Gama , to head the armada ; but by the time of implementing the plan , both were deceased .   This global expedition was launched on 8 July 1497 . It would conclude two years later with the entry of the ships back into the river Tagus , bringing with them the good news that bestowed on Portugal a prestigious maritime position .   The context ( edit )  Preste João ( Prester John ) by Diogo Homem , 1558 , in the Biblioteca Britânica Map of the supposed kingdom of Preste João ( Prester John ) , shown as set in the region of Ethiopia .  Spices were always considered the gold of the Indies . Cinnamon , ginger , cloves , pepper and turmeric had long been products which were difficult to obtain in Europe and brought in by caravans and experienced merchants coming from the East .   A merchant of Lisbon describes the overland spice route as follows : Only the markets of Venice and Genoa then scattered these spices all over Europe , great in cost , and without guaranteed arrival . In 1453 , with the capture of the city of Constantinople by the Ottomans , the trade of Venice and Genoa reduced to a great degree . The advantage of the Portuguese to establish a sea route therefore virtually free of assault - however , covered in perils in the sea - showed itself rewarding and outlined a large income to the Crown in the future . Portugal would directly link the spice producing regions to their markets in Europe .   Around the year 1481 , João Afonso of Aveiro attempted to undertake an exploration of the kingdom of Benin , and gathered information about an almost legendary prince Ogané , whose kingdom was located far to the east of Benin . He was thought to be Christian and one who enjoyed great respect and power . It was said the Benin kingdom where Ogané had his headquarters was twenty moons away in distance , which , according to the account of João de Barros , corresponds to two hundred fifty leagues .  The important trade routes of the silk and spices , blocked by the Ottoman Empire in 1453 with the fall of Constantinople and the Byzantine Empire , led to the search for a sea route across the Atlantic skirting Africa .  Excited with this news , John II sent , in 1487 , Frei António de Lisboa and Pedro de Montarroio to locate in the East new information that could find Prester John , which seemed to correspond , after all , to the description that came about the prince Ogané . But the mission of those sent was merely to Jerusalem , because these two Portuguese were unaware of the Arabic language and hence feared to continue , and instead returned to Portugal .   Very carefully and secretly two young men of trust were prepared . They were : Afonso de Paiva , of Castelo Branco , and Pêro da Covilhã . They began their journey and went through Valencia , Barcelona , Naples , Rhodes , Alexandria , Cairo and Aden . Here their paths separated : Afonso de Paiva headed to Ethiopia and Pêro da Covilhã to India . None of the men returned , but the information needed by D. John was brought back to the kingdom , and with this came the support to serve the possible epic maritime adventure that lay ahead .   The travel plan then would have predicted the safety of the route . For this , it would be necessary to install trading posts along the way , and build fortresses . The mission would be up to the captain of the armada who was provided with many gifts and equipment to brave the seas and diplomatic credentials and perseverance to create links with unknown monarchs who eventually were found along the way .   But it would no longer be in the reign of King John II of Portugal that this project , which was already facing a strong opposition from the court , would be initiated . It would only happen in the time of his successor , King Manuel I who incidentally did not share the general opinion about the sea routes being a good - if not the best - means to dominate trade with the East .   The navy ( edit )  Vasco da Gama By António Manuel da Fonseca , 1838 , from the Museu Marítimo Nacional  Among the sailors , were two interpreters Fernão Martins and Martim Afonso de Sousa , and two brothers , João Figueira and Pêro da Covilhã . In all , the crews comprised 170 men .   The sailors had sailing charts marked with the positions of the African coast known until then , quadrants , astrolabes of various sizes , tables with calculations - such as astronomical tables of Abraham Zacuto - , needle and bobs . One of the ships was carrying groceries sufficient for three years : biscuits , beans , dried meats , wine , flour , olive oil , pickles and other items of pharmacy . Also planned were continuous replenishment along the coast of Africa . The trip to India was performed by three ships and another ship that carried supplies . These three ships had a captain and a pilot . The ship of groceries had only a captain . Two ships also had a scribe or writer . The first ship had a master .   The voyage ( edit )  Path taken by the expedition ( marked in black ) . In this figure you can also see , for comparison , the path taken by Pêro da Covilhã ( in orange ) separated from that of Afonso de Paiva ( blue ) after the long trip together ( green ) .  Thus began the expedition on 8 July 1497 . The Lisbon shipping line to Cabo Verde was the usual one and the Indian Ocean is described by Álvaro Velho thus : `` The coastal route until Malindi and direct passage from this port to Calicut '' . During this expedition , the latitudes were determined by solar observation , as stated by João de Barros .   Reports of the Daily Board ( Diários de Bordo ) of the ships note many unique experiences . Also found were a rich flora and fauna . Contact was made near the bay of St. Helena with tribes who ate sea lions , whales , gazelle meat and herbal roots ; They walked covered with fur and their weapons were simple wooden spears of Zambujo and animal horns ; They saw tribes who played rustic flutes in a coordinated manner , which was a surprising sight for the Europeans . Scurvy ( vitamin C deficiency ) affected the crew . They crossed into Mozambique with palm trees yielding coconuts .   Despite the adversities of a trip of this scale , the crew retained their curiosity and courage to achieve the feat and get along with people they encountered . To gather pace , they raided ships in search of pilots . With the prisoners , the Captain - General could trade , or put them to work .   It is known , thanks to the Portuguese humanist philosopher Damião de Góis , that during the trip five monuments were set in place . San Rafael , in the Bons Sinais river ; São Jorge , in Mozambique ; the Holy Spirit in Malindi ; Santa Maria , in Ilhéus , and San Gabriel , in Calicut . These monuments were meant to affirm the Portuguese sovereignty in these places so that other explorers who arrived later did not take the land for themselves as discoveries .   Arrival in Calicut ( edit )   On May 17 , 1498 , the fleet reached Kappakadavu , near Calicut , in the current Indian state of Kerala , thus having established the route via the Indian Ocean and managing to open the sea route from Europe to India .   Negotiations with the local governor , Samutiri Manavikraman Raja , Zamorin of Calicut , were difficult . Vasco da Gama 's efforts to obtain favorable commercial terms have been hampered by the different cultures and the low value of their gifts -- in the West it was customary for kings to offer presents to the foreign envoys ; in the East the kings were expected to be impressed with rich offerings . Goods presented by the Portuguese proved insufficient to impress the Zamorin and representatives of the Zamorin mocked their offers , while the Arab merchants established there resisted the possibility of unwanted competition .   Vasco da Gama 's perseverance made him nevertheless initiate negotiations between him and the Zamorin , who was pleased with the letters of King Manuel I. Finally , Vasco da Gama managed to get an ambiguous letter of concession rights to trade , supporting the meeting saying :   The Portuguese eventually were able to sell their goods at a low price in order to acquire small amounts of spices and jewels to take to their kingdom . However the fleet eventually departed without warning after the Zamorin and his naval chief Kunjali Marakkar insisted that they left all their assets as collateral . Vasco da Gama kept his goods , but left a few Portuguese with orders to start a trading post .   Back in Portugal ( edit )  Vasco da Gama presents to D. Manuel the first fruits of India . National Library of Portugal , c. 1900  On July 12 , 1499 , after more than two years since the beginning of this expedition , the caravel Berrio entered into the river Tagus , commanded by Nicolau Coelho , with the news that would thrill Lisbon : the Portuguese had finally reached India by sea . Vasco da Gama had fallen behind on Terceira Island , preferring to stay on with his brother who was seriously ill , thus foreclosing the celebrations and congratulations by the news .   Of the ships involved , only the São Rafael ( St. Raphael ) did not return . It was burnt due to its inability to maneuver , as a result of the reduced number of the crew as a result of diseases which killed about half the crew , such as scurvy ( vitamin C deficiency ) , which was felt acutely while crossing the Indian Ocean . Only 55 of the 148 men who were part of the armada survived the trip .   Vasco da Gama returned home on 31 August and was received by King Manuel I with contentment . He assigned him the title of Don and great rewards .   Manuel I hastened to break the news to the kings of Spain , both as a display of pride as also to warn that both the routes would now explored by the Portuguese Crown .   There is news of an Italian merchant who spread the good news in Florence .   The merchant refers to Melinde .   With the opening of the sea route to the East Indies , the Venetians , who controlled the trade of the Mediterranean , would buy pepper from the Portuguese , at half the price they paid to the Arabs in Egypt . The fall of the Venetian monopoly on the spice trade in Europe and the resulting drop in prices of spices contributed to the commercial development of the continent .   See also ( edit )    Portuguese India   Ascot DA Gama   Armada    References ( edit )  Retrieved from `` https://en.wikipedia.org/w/index.php?title=Portuguese_discovery_of_the_sea_route_to_India&amp;oldid=811894144 '' Categories :   Portuguese discoveries   1490s in Portuguese India   Portugal in the Age of Discovery   Hidden categories :   Articles lacking sources from February 2016   All articles lacking sources   All accuracy disputes   Articles with disputed statements from November 2016           Talk                                           Contents                   About Wikipedia                                           Català   Deutsch   Español   Français   Português   Slovenščina   Tiếng Việt   Edit links   This page was last edited on 24 November 2017 , at 18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</si>
  <si>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motivated the portuguese to find a water route to india</t>
  </si>
  <si>
    <t xml:space="preserve"> The plan for working on the Cape Route to India was charted by Portuguese King John II as a cost saving measure in the trade with Asia and also an attempt to monopolize the spice trade . Adding to the increasingly influential Portuguese maritime presence , John II craved for trade routes and for the expansion of the kingdom of Portugal which had already been transformed into an Empire . However , the project would not be realized during his reign . It would be his successor , King Manuel I , who would designate Vasco da Gama for this expedition , while maintaining the original plan . </t>
  </si>
  <si>
    <t xml:space="preserve">List of regions of the United States - wikipedia  List of regions of the United States   This is a list of some of the regions in the United States .   Contents    1 Interstate regions   1.1 Official regions of the United States   1.1. 1 Census Bureau - designated regions and divisions   1.1. 2 Standard federal regions   1.1. 3 Federal Reserve banks   1.1. 4 Time zones   1.1. 5 Courts of Appeals circuits   1.1. 6 Bureau of Economic Analysis regions   1.1. 7 Energy Information Administration     1.2 Unofficial U.S. multi-state and multi-territory regions   1.2. 1 The Belts   1.2. 2 Interstate metropolitan areas   1.2. 3 Interstate megalopolises       2 Intrastate and intraterritory regions   2.1 Alabama   2.2 Alaska   2.3 American Samoa   2.4 Arizona   2.5 Arkansas   2.6 California   2.7 Colorado   2.8 Connecticut   2.9 Delaware   2.10 District of Columbia   2.11 Florida   2.12 Georgia   2.12. 1 Physiographic regions     2.13 Guam   2.14 Hawaii   2.15 Idaho   2.16 Illinois   2.17 Indiana   2.18 Iowa   2.19 Kansas   2.20 Kentucky   2.21 Louisiana   2.22 Maine   2.23 Maryland   2.24 Massachusetts   2.25 Michigan   2.26 Minnesota   2.27 Mississippi   2.28 Missouri   2.29 Montana   2.30 Nebraska   2.31 Nevada   2.32 New Hampshire   2.33 New Jersey   2.34 New Mexico   2.35 New York   2.36 North Carolina   2.37 North Dakota   2.38 Northern Mariana Islands   2.39 Ohio   2.40 Oklahoma   2.41 Oregon   2.42 Pennsylvania   2.43 Puerto Rico   2.44 Rhode Island   2.45 South Carolina   2.46 South Dakota   2.47 Tennessee   2.48 Texas   2.49 U.S. Minor Outlying Islands   2.50 Utah   2.51 Vermont   2.52 Virgin Islands   2.53 Virginia   2.54 Washington   2.55 West Virginia   2.56 Wisconsin   2.57 Wyoming     3 Other regional listings   4 See also   5 Notes   6 References   7 External links    Interstate regions ( edit )   Official regions of the United States ( edit )   Many regions in the United States are defined in law or regulations by the federal government .  Census Bureau - designated regions and Divisions ( edit ) U.S. Census Bureau Regions and Divisions .  The United States Census Bureau defines four statistical regions , with nine divisions . The Census Bureau region definition is `` widely used ... for data collection and analysis , '' and is the most commonly used classification system .   Regional divisions used by the United States Census Bureau :    Region 1 : Northeast   Division 1 : New England ( Connecticut , Maine , Massachusetts , New Hampshire , Rhode Island , and Vermont )   Division 2 : Mid-Atlantic ( New Jersey , New York , and Pennsylvania )     Region 2 : Midwest ( Prior to June 1984 , the Midwest Region was designated as the North Central Region . )   Division 3 : East North Central ( Illinois , Indiana , Michigan , Ohio , and Wisconsin )   Division 4 : West North Central ( Iowa , Kansas , Minnesota , Missouri , Nebraska , North Dakota , and South Dakota )     Region 3 : South   Division 5 : South Atlantic ( Delaware , Florida , Georgia , Maryland , North Carolina , South Carolina , Virginia , District of Columbia , and West Virginia )   Division 6 : East South Central ( Alabama , Kentucky , Mississippi , and Tennessee )   Division 7 : West South Central ( Arkansas , Louisiana , Oklahoma , and Texas )     Region 4 : West   Division 8 : Mountain ( Arizona , Colorado , Idaho , Montana , Nevada , New Mexico , Utah , and Wyoming )   Division 9 : Pacific ( Alaska , California , Hawaii , Oregon , and Washington )      Puerto Rico and other US territories are not part of any census region or census division .  Standard Federal regions ( edit ) Standard federal regions .  The ten standard federal regions were established by OMB ( Office of Management and Budget ) Circular A-105 , `` Standard Federal Regions , '' in April , 1974 , and required for all executive agencies . In recent years , some agencies have tailored their field structures to meet program needs and facilitate interaction with local , state , and regional counterparts . However , the OMB must still approve any departures .    Region I : Connecticut , Maine , Massachusetts , New Hampshire , Rhode Island , Vermont   Region II : New Jersey , New York , Puerto Rico , US Virgin Islands   Region III : Delaware , District of Columbia , Maryland , Pennsylvania , Virginia , West Virginia   Region IV : Alabama , Florida , Georgia , Kentucky , Mississippi , North Carolina , South Carolina , Tennessee   Region V : Illinois , Indiana , Michigan , Minnesota , Ohio , Wisconsin   Region VI : Arkansas , Louisiana , New Mexico , Oklahoma , Texas   Region VII : Iowa , Kansas , Missouri , Nebraska   Region VIII : Colorado , Montana , North Dakota , South Dakota , Utah , Wyoming   Region IX : Arizona , California , Hawaii , Nevada , American Samoa , Guam , Northern Mariana Islands , Trust Territory of the Pacific Islands   Region X : Alaska , Idaho , Oregon , Washington   Federal Reserve Banks ( edit ) Federal Reserve districts .  The Federal Reserve Act of 1913 divided the country into twelve districts with a central Federal Reserve Bank in each district . These twelve Federal Reserve Banks together form a major part of the Federal Reserve System , the central banking system of the United States . Missouri is the only U.S. state to have two Federal Reserve locations within its borders .    Boston   New York   Philadelphia   Cleveland   Richmond   Atlanta   Chicago   St. Louis   Minneapolis   Kansas City   Dallas   San Francisco   Time zones ( edit ) Main article : Time in the United States U.S. time zones .   UTC − 12 : 00 ( Baker Island , Howland Island )   Samoa Time Zone ( American Samoa , Jarvis Island , Kingman Reef , Midway Atoll , Palmyra Atoll )   Hawaii -- Aleutian Time Zone ( Hawaii , Aleutian Islands ( Alaska ) , Johnston Atoll )   Alaska Time Zone ( Alaska , excluding Aleutian Islands )   Pacific Time Zone   Mountain Time Zone   Central Time Zone   Eastern Time Zone   Atlantic Time Zone ( Puerto Rico , U.S. Virgin Islands )   Chamorro Time Zone ( Guam , Northern Mariana Islands )   Wake Island Time Zone ( Wake Island )   Courts of appeals circuits ( edit ) Main article : United States courts of appeals U.S. Courts of Appeals circuits .   First Circuit   Second Circuit   Third Circuit   Fourth Circuit   Fifth Circuit   Sixth Circuit   Seventh Circuit   Eighth Circuit   Ninth Circuit   Tenth Circuit   Eleventh Circuit   D.C. Circuit    The Federal Circuit is not a regional circuit . Its jurisdiction is nationwide , but based on subject matter .  Bureau of Economic Analysis regions ( edit ) Bureau of Economic Analysis regions .  The Bureau of Economic Analysis defines regions for comparison of economic data .    New England : Connecticut , Maine , Massachusetts , New Hampshire , Rhode Island and Vermont   Mideast : Delaware , District of Columbia , Maryland , New Jersey , New York , Pennsylvania   Great Lakes : Illinois , Indiana , Michigan , Ohio , and Wisconsin   Plains : Iowa , Kansas , Minnesota , Missouri , Nebraska , North Dakota , and South Dakota   Southeast : Alabama , Arkansas , Florida , Georgia , Kentucky , Louisiana , Mississippi , North Carolina , South Carolina , Tennessee , Virginia , and West Virginia   Southwest : Arizona , New Mexico , Oklahoma , and Texas   Rocky Mountain : Colorado , Idaho , Montana , Utah , and Wyoming   Far West : Alaska , California , Hawaii , Nevada , Oregon , and Washington   Energy Information Administration ( edit )  The Energy Information Administration currently uses the PADD system established by Petroleum Administration for War in World War II . It is used for data collection on refining petroleum and its products . Each PADD is subdivided into refining districts .    PADD I : East Coast   East Coast : Maine , New Hampshire , Vermont , Massachusetts , Rhode Island , Connecticut , New Jersey , Delaware , Maryland , Virginia , North Carolina , South Carolina , Georgia , Florida ; along with counties in New York east of , north of and including Cayuga , Tompkins , and Chemung ; and counties in Pennsylvania east of and including Bradford , Sullivan , Columbia , Montour , Northumberland , Dauphin and York .   Appalachian No. 1 : West Virginia along with counties of Pennsylvania and New York State not mentioned above .     PADD II : Midwest   Indiana - Illinois - Kentucky : Indiana , Illinois , Kentucky , Tennessee , Michigan , Ohio   Minnesota - Wisconsin - North and South Dakota : Minnesota , Wisconsin , North Dakota , South Dakota   Oklahoma - Kansas - Missouri : Oklahoma , Kansas , Missouri , Nebraska , Iowa     PADD III : Gulf Coast   Texas Gulf Coast : The Texan counties of Newton , Orange , Jefferson , Jasper , Tyler , Hardin , Liberty , Chambers , Polk , San Jacinto , Montgomery , Harris , Galveston , Waller , Fort Bend , Brazoria , Wharton , Matagorda , Jackson , Victoria , Calhoun , Refugio , Aransas , San Patricio , Nueces , Kleberg , Kenedy , Willacy and Cameron   Texas Inland : Texan counties not mentioned above .   Louisiana Gulf Coast : Parishes of Louisiana south of , and including Vernon , Rapides , Avoyelles , Pointe Coupee , West Feliciana , East Feliciana , Saint Helena , Tangipahoa and Washington ; along with Pearl River , Stone , George , Hancock , Harrison , and Jackson County of Mississippi ; and Alabama 's Mobile and Baldwin County .   North Louisiana - Arkansas : Arkansas and parts of Louisiana , Mississippi and Alabama not mentioned above .   New Mexico : New Mexico     PADD IV : Rocky Mountain : Colorado , Montana , Idaho , Wyoming , Utah   PADD V : West Coast : Washington , Oregon , California , Nevada , Arizona , Alaska , Hawaii    PADD I can also be subdivided into 3 Subdistricts :    Sub-PAD 1A : New England ( Connecticut , Maine , Massachusetts , New Hampshire , Rhode Island , Vermont )   Sub-PAD 1B : Central Atlantic ( Delaware , Maryland , New Jersey , New York , Pennsylvania , District of Columbia )   Sub-PAD 1C : Lower Atlantic ( Florida , Georgia , North Carolina , South Carolina , Virginia , West Virginia )    PADD system was established in World War II and therefore do n't accurately reflect current trends . The EIA has updated the PADD system with a complimentary set of regions to reflect this and will change it to suite current needs . ( Note : Region 9 includes countries not part of the USA but is included for the sake of completion since it contains Puerto Rico )    Region 1 : PADD I   Region 2 : PADD II `` Inland '' ( States of North Dakota , South Dakota , Nebraska , Kansas , Oklahoma , Missouri , Iowa , Tennessee and Kentucky )   Region 3 : PADD II `` Lakes '' ( States of Minnesota , Wisconsin , Illinois , Michigan , Indiana and Ohio )   Region 4 : PADD III `` Gulf '' ( Refining districts of Texas Gulf Coast and Louisiana Gulf Coast )   Region 5 : PADD III `` Inland '' ( Refining districts of Texas Inland , New Mexico and North Louisiana - Arkansas )   Region 6 : PADD IV   Region 7 : PADD V `` California '' ( State of California )   Region 8 : PADD V `` Other '' ( States of Alaska , Arizona , Hawaii , Nevada , Oregon and Washington )   Region 9 : `` International ''   Maritime Canada ( Newfoundland , Nova Scotia , New Brunswick )   Caribbean ( Puerto Rico , Trinidad &amp; Tobago )      Unofficial U.S. multi-state and multi-territory regions ( edit )    Appalachia   Ark - La - Tex   Black Dirt Region   Blackstone Valley   Border states :   Civil War border states   International border states     Calumet Region   The Carolinas   Central United States   Champlain Valley   Coastal states   Colorado Plateau   Columbia Basin   Contiguous United States   The Dakotas   Deep South   Delaware Valley   Delmarva Peninsula   Dixie   Driftless Area   East Coast   Eastern United States   Four Corners   Great American Desert   Great Appalachian Valley   Great Basin   Great Lakes Region   Great North Woods   Great Plains   Gulf Coast   Gulf South   High Plains   Inland Northwest   Interior Plains   Intermountain States   Jefferson ( proposed Pacific state )   Lake Tahoe   Lehigh Valley   Llano Estacado   Mid-Atlantic states   Mississippi Delta   Mojave Desert   Mormon Corridor   Northern New England   Ohio Valley   Ozarks   Pacific Northwest   Pacific States   Palouse   Piedmont   Piney Woods   Rocky Mountains   Shawnee Hills   Shenandoah Valley   Siouxland   South Shore   Southeastern United States   Southern New England   Southern Rocky Mountains   Southern United States   Southwestern United States   Old Southwest   Susquehanna River   Tennessee Valley   Tornado Alley   Trans - Mississippi   Twin Tiers   Upland South   Upper Midwest   Virginias   Waxhaws   West Coast   American Frontier   Oregon Trail   Appalachian Trail    There are also multi-territory regions :    Mariana Islands ( Guam and Northern Mariana Islands )   Samoan Islands ( American Samoa and independent Samoa )   Virgin Islands ( U.S. Virgin Islands , eastern Puerto Rico , and British Virgin Islands )   The belts ( edit ) For a more comprehensive list , see List of belt regions of the United States .   Bible Belt   Black Belt   Corn Belt   Cotton Belt   Frost Belt   Pine Belt   Rice Belt   Rust Belt   Snowbelt   Sun Belt   Interstate metropolitan areas ( edit ) See also : Tri-state area   Central Savannah River Area ( part of Georgia and South Carolina )   Baltimore -- Washington metropolitan area ( District of Columbia and parts of Maryland , Virginia , West Virginia , and Pennsylvania )   Washington metropolitan area ( District of Columbia and parts of Maryland , Virginia , and West Virginia )     Greater Boston ( parts of Massachusetts , Rhode Island , and New Hampshire )   Charlotte metropolitan area ( parts of North Carolina and South Carolina )   Chattanooga Metropolitan Area   Chicago metropolitan area ( parts of Illinois , Indiana , and Wisconsin )   Cincinnati metropolitan area ( parts of Ohio , Indiana , and Kentucky )   Columbus - Auburn - Opelika ( GA - AL ) Combined Statistical Area ( parts of Georgia and Alabama )   Delaware Valley ( Philadelphia metropolitan area ) ( parts of Pennsylvania , New Jersey , Delaware , and Maryland )   Evansville , IN -- KY Metropolitan Statistical Area ( parts of Indiana and Kentucky )   Fargo -- Moorhead ( parts of North Dakota and Minnesota )   Fort Smith metropolitan area ( parts of Arkansas and Oklahoma )   Front Range Urban Corridor ( parts of Colorado and Wyoming )   Greater Grand Forks ( part of Minnesota and North Dakota )   Kansas City metropolitan area ( parts of Missouri and Kansas )   Louisville metropolitan area ( Kentuckiana ) ( parts of Kentucky and Indiana )   Memphis metropolitan area ( parts of Tennessee , Arkansas , and Mississippi )   Michiana ( parts of Michigan and Indiana )   Minneapolis -- Saint Paul ( the Twin Cities ) ( parts of Minnesota and Wisconsin )   New York metropolitan area ( parts of New York , New Jersey , Connecticut , and Pennsylvania )   Omaha -- Council Bluffs metropolitan area ( parts of Nebraska and Iowa )   Portland metropolitan area ( parts of Oregon and Washington )   Quad Cities ( parts of Iowa and Illinois )   Sacramento metropolitan area ( parts of California and Nevada )   Greater St. Louis ( parts of Missouri and Illinois )   Texarkana metropolitan area ( parts of Texas and Arkansas )   Tri-Cities ( parts of Tennessee and Virginia )   Twin Ports ( Duluth , Minnesota and Superior , Wisconsin )   Hampton Roads region ( parts of Virginia and North Carolina )   Youngstown -- Warren -- Boardman metropolitan statistical area ( parts of Ohio and Pennsylvania )   Interstate megalopolises ( edit ) See also : Megaregions of the United States and Megalopolis ( city type )   Arizona Sun Corridor   California   Cascadia   Great Lakes   Northeast megalopolis   Piedmont Atlantic Megaregion ( PAM )    Intrastate and intraterritory regions ( edit )   Alabama ( edit )  A map of Alabama regions .   Alabama Gulf Coast   Greater Birmingham   Black Belt   Central Alabama   Lower Alabama   Mobile Bay   North Alabama   Northeast Alabama   Northwest Alabama   South Alabama    Alaska ( edit )  The Alaska Panhandle .   Alaska Interior   Alaska North Slope   Alaska Panhandle   Aleutian Islands   Arctic Alaska   The Bush   Kenai Peninsula   Matanuska - Susitna Valley   Seward Peninsula   Southcentral Alaska   Southwest Alaska   Tanana Valley   Yukon - Kuskokwim Delta    American Samoa ( edit )  American Samoa   Ofu - Olosega   Rose Atoll   Swains Island ( claimed by Tokelau )   Ta'ū   Tutuila &amp; Aunu'u    Arizona ( edit )  The Arizona Strip . For a more comprehensive list , see List of regions of Arizona .   Arizona Strip   Grand Canyon   North Central Arizona   Northeast Arizona   Northern Arizona   Phoenix metropolitan area   Southern Arizona    Arkansas ( edit )    Arkansas Delta   Arkansas River Valley   Arkansas Timberlands   Central Arkansas   Crowley 's Ridge   Northwest Arkansas   South Arkansas    California ( edit )  For a more comprehensive list , see List of regions of California .  Colorado ( edit )  An enlargeable map of the Front Range Urban Corridor of Colorado and Wyoming   Central Colorado ( part of Southern Rocky Mountains )   Colorado Eastern Plains ( part of High Plains and Great Plains )   Colorado Front Range ( part of Front Range Urban Corridor )   Colorado Mineral Belt ( part of Southern Rocky Mountains )   Colorado Piedmont ( contains parts of the Front Range Urban Corridor and High Plains )   Colorado Western Slope ( part of Southern Rocky Mountains and Colorado Plateau )   Denver - Aurora Metropolitan Area ( part of Front Range Urban Corridor )   High Rockies ( part of Southern Rocky Mountains )   Northwestern Colorado ( part of Southern Rocky Mountains )   San Luis Valley   South - Central Colorado ( part of Front Range Urban Corridor )   Southwestern Colorado ( part of Southern Rocky Mountains and Colorado Plateau )    Connecticut ( edit )  The Greater Bridgeport Region in location to other officially recognized Connecticut regions with regional governments . The Connecticut Panhandle and `` The Oblong '' .  In Connecticut , there are 14 official regions , each with a regional government that serves for the absence of county government in Connecticut . There are also a fair number of unofficial regions in Connecticut with no regional government .    Central Naugatuck Valley   Coastal Connecticut   Connecticut panhandle   Greater Bridgeport   Greater New Haven   Greater Hartford   Housatonic Valley ( shared with Massachusetts )   Litchfield Hills   Lower Connecticut River Valley   Naugatuck River Valley   New York Metropolitan Area / Gold Coast   Southeastern Connecticut   Western Connecticut    Delaware ( edit )   `` Upstate '' or `` Up North ''    Delaware Valley also known as `` Above the Canal '' ( referring to the Chesapeake and Delaware Canal )    `` Slower Lower ''    Cape Region   Central Kent   Delaware coast    District of Columbia ( edit )   See Neighborhoods in the District of Columbia   Florida ( edit )  The First Coast . The Florida Panhandle .   Directional regions     Central Florida   North Florida   Northwest Florida   North Central Florida   Northeast Florida   South Florida   Southwest Florida     Local vernacular regions     Big Bend   Emerald Coast   First Coast   Florida Heartland   Florida Keys   Florida Panhandle   Forgotten Coast   Glades   Gold Coast   Halifax area ( also Surf Coast and Fun Coast )   Red Hills   Nature Coast   Space Coast   Suncoast   Tampa Bay Area   Treasure Coast    Georgia ( edit )    Atlanta metropolitan area   Central Georgia   Central Savannah River Area   Colonial Coast   Golden Isles of Georgia   Historic South   North Georgia   North Georgia mountains ( Northeast Georgia )   Southern Rivers   Southeast Georgia   Wiregrass Region   Physiographic regions ( edit )   Appalachian Plateau   Blue Ridge Mountains   Coastal Plain   Piedmont   Ridge - and - Valley Appalachians    Guam ( edit )    Guam ( main island )   Tumon      Hawaii ( edit )  Hawaiian archipelago Main Hawaiian Islands   Hawaiʻi / Big Island   Hamakua Coast   Kaʻū Desert   Kohala Coast   Kona Coast   Mauna Kea   Puna District   Waiākea - Uka     Kahoʻolawe   Kauaʻi   Nā Pali Coast     Kaʻula   Lānai   Maui   Haleakalā   Molokini   West Maui Mountains   Iao Valley       Molokaʻi   Kalaupapa Peninsula     Niʻihau   Lehua     Northwestern Hawaiian Islands   Nihoa ( Moku Manu )   Necker Island ( Mokumanamana )   French Frigate Shoals ( Kānemiloha )   Gardner Pinnacles ( Pūhāhonu )   Maro Reef ( Nalukākala )   Laysan ( Kauō )   Lisianski ( Papaāpoho )   Pearl and Hermes ( Holoikauaua )   Kure Atoll ( Mokupāpapa )     Oʻahu   Kaʻena Point   Makapuʻu   North Shore   Waikīkī      Idaho ( edit )  The Idaho Panhandle .   Central Idaho   Eastern Idaho   Idaho Panhandle   Magic Valley   North Central Idaho   Palouse Hills   Southern Idaho   Southwestern Idaho   Treasure Valley    Illinois ( edit )  Main article : Regions of Illinois Southern Illinois is also known as `` Little Egypt '' .   American Bottom   Central Illinois   Champaign -- Urbana metropolitan area   Chicago metropolitan area   Driftless Area   Forgottonia   Fox Valley   Metro - East   Metro Lakeland   Military Tract of 1812   Mississippi Alluvial Plain   North Shore   Northern Illinois   Northwestern Illinois   Peoria , Illinois metropolitan area   Quad Cities   River Bend   Rock River Valley   Shawnee Hills   Southern Illinois ( sometimes , Little Egypt )   Streatorland   Tri-State Area   Wabash Valley    Indiana ( edit )  Regions of Indiana . Main article : Geography of Indiana   East Central Indiana   Indianapolis metropolitan area   Michiana   Northern Indiana   Northwest Indiana   Southern Indiana   Southwestern Indiana   Wabash Valley    Iowa ( edit )  Regions of Iowa .   Coteau des Prairies   Des Moines metropolitan area   Dissected Till Plains   Driftless Area   Great River Road   Honey Lands   Iowa Great Lakes   Loess Hills   Omaha -- Council Bluffs metropolitan area   Quad Cities   Siouxland    Kansas ( edit )    East - Central Kansas   Flint Hills   High Plains   Kansas City Metropolitan Area   North Central Kansas   Osage Plains   Ozarks   Red Hills   Santa Fe Trail   Smoky Hills   Southeast Kansas    Kentucky ( edit )  Kentucky 's regions .   The Bluegrass   Central Kentucky   Cumberland Plateau   Eastern Kentucky Coalfield   Kentucky Bend   The Knobs   Northern Kentucky   Pennyroyal Plateau   South Central Kentucky   The Purchase   Western Coal Fields    Louisiana ( edit )  A map of Louisiana 's regions .   Acadiana       Cajun Heartland   River Parishes       Central Louisiana ( Cen - La )   Florida Parishes   `` French Louisiana '' ( Acadiana + Greater New Orleans )   Greater New Orleans   North Louisiana    Maine ( edit )    Acadia   Down East   High Peaks / Maine Highlands   Kennebec Valley   Maine Highlands   Maine Lake Country   Maine North Woods   Mid Coast   Penobscot Bay   Southern Maine Coast   Western Maine Mountains    Maryland ( edit )  Maryland 's regions .   Baltimore - Washington Metropolitan Area   Capital region   Chesapeake Bay   Eastern Shore of Maryland   Patapsco Valley   Southern Maryland   Western Maryland   Western Shore of Maryland    Regions shared with other states :    Allegheny Mountains   Atlantic coastal plain   Blue Ridge Mountains   Cumberland Valley   Delaware Valley   Delmarva Peninsula consists of Maryland 's and Virginia 's Eastern Shore and all of Delaware   Piedmont ( United States )   Ridge - and - Valley Appalachians    Massachusetts ( edit )  The Berkshire region of Massachusetts .   Western Massachusetts   The Berkshires ( map shown , right )   Housatonic Valley   Pioneer Valley   Quabbin - Swift River Valley     Central Massachusetts   MetroWest   Montachusett - North County   South County   Blackstone River Valley     Northeastern Massachusetts   North Shore   Merrimack Valley   Cape Ann     Greater Boston     Southeastern Massachusetts   Cape Cod and Islands   South Coast   South Shore      Michigan ( edit )  Michigan 's regions . Main article : Geography of Michigan   Lower Peninsula   Northern Michigan   Leelanau Peninsula     Central / Mid-Michigan   The Thumb     West Michigan   Michiana     Southeast Michigan   Metro Detroit       Upper Peninsula   Copper Country   Keweenaw Peninsula      Minnesota ( edit )  Main article : Geography of Minnesota Regions of Minnesota .   Arrowhead Region   Boundary Waters   Buffalo Ridge   Central Minnesota   Coulee Region   Iron Range   Minnesota River Valley   North Shore   Northwest Angle   Pipestone Region   Red River Valley   Southeast Minnesota   Twin Cities Metro    Mississippi ( edit )    Black Belt   Mississippi Alluvial Plain   Mississippi East Gulf Coast Plain    Missouri ( edit )  The Missouri Bootheel .   Bootheel   Dissected Till Plains   Kansas City Metropolitan Area   Lead Belt   Little Dixie   Natchez Trace   Ozarks   St. Louis Metropolitan Area    Montana ( edit )    Big Horn Mountains   Eastern Montana   The Flathead   Glacier Country   Glacier National Park   Regional designations of Montana   South Central Montana   Southwestern Montana   Two Medicine   Western Montana   Yellowstone National Park    Nebraska ( edit )  The Nebraska Panhandle .   Nebraska Panhandle   Northwest Nebraska   Pine Ridge   Rainwater Basin   Sand Hills   Southeast Nebraska   South Central Nebraska   Wildcat Hills    Nevada ( edit )    Black Rock Desert   Lake Tahoe   Las Vegas Valley   Mojave Desert   Pahranagat Valley   Sierra Nevada    New Hampshire ( edit )    Connecticut River Valley   Dartmouth - Lake Sunapee Region ( overlaps with Connecticut River Valley )   Great North Woods Region   Lakes Region   Merrimack Valley   Golden Triangle     Monadnock Region ( overlaps with Connecticut River Valley )   Seacoast Region   White Mountains    New Jersey ( edit )    North Jersey   Skylands   Amwell Valley   Black Dirt Region ( shared with New York )   Great Valley   Sussex County Snow Belt     Hunterdon Plateau   Ridge - and - Valley Appalachians   Highlands   Somerset Hills   The Sourlands     Gateway   Chemical Coast / Soundshore   Hudson Waterfront   North Hudson     Meadowlands   Pascack Valley   Raritan Bayshore   West Hudson       Central Jersey   Bayshore   Jersey Shore   Shore Region     South Jersey   Shore Region   Northern Headlands   Irish Riviera     Pine Barrens     Delaware Valley   Pine Barrens   The Sourlands     Southern Shore   Cape May   The Glades   Tri Cities ( Bridgeton , Millville , Vineland )   Tri-County Farm Belt     Greater Atlantic City   Pine Barrens   Central Corridor Piedmont Region        New Mexico ( edit )    Central New Mexico   Eastern New Mexico   New Mexico Bootheel   Northern New Mexico    New York ( edit )  Regions of New York as defined by the New York State Department of Economic Development . 1 . Western New York -- counties : Niagara , Erie , Chautauqua , Cattaraugus , Allegany 2 . Finger Lakes -- counties : Orleans , Genesee , Wyoming , Monroe , Livingston , Wayne , Ontario , Yates , Seneca 3 . Southern Tier -- counties : Steuben , Schuyler , Chemung , Tompkins , Tioga , Chenango , Broome , Delaware 4 . Central New York -- counties : Cortland , Cayuga , Onondaga , Oswego , Madison 5 . North Country -- counties : St. Lawrence , Lewis , Jefferson , Hamilton , Essex , Clinton , Franklin 6 . Mohawk Valley -- counties : Oneida , Herkimer , Fulton , Montgomery , Otsego , Schoharie 7 . Capital District -- counties : Albany , Columbia , Greene , Warren , Washington , Saratoga , Schenectady , Rensselaer 8 . Hudson Valley -- counties : Sullivan , Ulster , Dutchess , Orange , Putnam , Rockland , Westchester 9 . New York City -- counties ( boroughs ) : New York ( Manhattan ) , Bronx ( The Bronx ) , Queens ( Queens ) , Kings ( Brooklyn ) , Richmond ( Staten Island ) 10 . Long Island -- counties : Nassau , Suffolk   Downstate New York   New York metropolitan area   The Five Boroughs ( New York City )   Long Island   Nassau County   Suffolk County   The Hamptons   North Shore ( Gold Coast )   South Shore     Westchester County   Rockland County   Putnam County     Upstate New York   Erie Canal Corridor   New York State Canal System   New York State Canalway Trail     Western New York   Holland Purchase   Burned - over district     Finger Lakes   former Leatherstocking Country ( now the Central New York Region )   Central New York   Central New York Military Tract   Phelps and Gorham Purchase   Syracuse metropolitan area     Mohawk Valley   Southern Tier   Capital District   North Country   Adirondack Mountains   Adirondack Park     Ski country   Thousand Islands   Tug Hill     Catskill Mountains   Borscht Belt     Hudson Valley   Shawangunk Ridge   Black Dirt Region ( shared with New Jersey )        North Carolina ( edit )  Regions of North Carolina .   Western North Carolina   Foothills Region   South Mountains   The Unifour ( Catawba Valley Area )     High Country ( Boone Area )   Land of the Sky   Asheville Metropolitan Area   Great Craggy Mountains     Blue Ridge Mountains   Black Mountains   Brushy Mountains   Great Balsam Mountains   Unaka Mountains   Unicoi Mountains     Great Smoky Mountains   ( ( Western North Carolina # Tennessee Valley Tennessee John just do it         Central North Carolina   Piedmont Crescent   Metropolitan Charlotte ( Metrolina )   Lake Norman Area     Metropolitan Piedmont Triad   Sauratown Mountains   Uwharrie Mountains   Yadkin Valley       The Research Triangle     New Hope Valley   Triangle East         Eastern North Carolina   Fayetteville Metropolitan Area   Inner Banks   Albemarle   Global TransPark Economic Development Area   Tidewater     Lower Cape Fear ( Wilmington Area )   Outer Banks   Crystal Coast   Bogue Banks   Down East       Sandhills      North Dakota ( edit )    Badlands   Missouri Escarpment   Missouri River Corridor   Red River Valley    Northern Mariana Islands ( edit )  Northern Mariana Islands   Anatahan   Agrihan   Asuncion Island   Farallon de Medinilla   Farallon de Pajaros   Guguan   Maug Islands   Pagan   Rota   Saipan   Sarigan   Tinian    Ohio ( edit )  The area roughly covered by the Great Black Swamp   Allegheny Plateau   Appalachian Ohio   Cincinnati - Northern Kentucky metropolitan area   Columbus , Ohio metropolitan area   Connecticut Western Reserve ( historic , now defunct )   Great Black Swamp ( shared with Indiana )   The Lake Erie Islands   Miami Valley   Northeast Ohio ( often used interchangeably with Greater Cleveland , but also includes the counties of Ashtabula , Portage , Summit , Trumbull , Mahoning and Columbiana . )   Northwest Ohio    Oklahoma ( edit )  The Oklahoma Panhandle .   Central Oklahoma   Cherokee Outlet   Green Country   Kiamichi Country   Little Dixie   Northwestern Oklahoma   Panhandle   South Central Oklahoma   Southwestern Oklahoma    Oregon ( edit )  Main article : List of regions of Oregon Oregon 's topography . Oregon 's High Desert .   Cascade Range   Central Oregon   Columbia Plateau   Columbia River   Columbia River Gorge   Eastern Oregon   Goose Lake Valley   Harney Basin   High Desert   Hood River Valley   Mount Hood Corridor   Northwest Oregon   Oregon Coast   Palouse   Portland metropolitan area   Rogue Valley   Southern Oregon   Treasure Valley   Tualatin Valley   Warner Valley   Western Oregon   Willamette Valley    Pennsylvania ( edit )    Allegheny National Forest   Coal Region   Cumberland Valley   Delaware Valley   Dutch Country   Endless Mountains   Highlands Region   Laurel Highlands   Lehigh Valley   Main Line   Northern Tier   Northeastern Pennsylvania   Northwest Region   Pittsburgh metropolitan area   The Poconos   South Central Pennsylvania   Susquehanna Valley   Western Pennsylvania   Wyoming Valley ( Scranton / Wilkes - Barre Metropolitan Area )    Puerto Rico ( edit )  Puerto Rico   Caja de Muertos   Culebra   Desecheo Island   Isla de Mona   Puerto Rico ( main island )   Vieques    Rhode Island ( edit )    Blackstone Valley   Block Island   East Bay   West Bay   South County    South Carolina ( edit )    The Lowcountry   The Midlands   The Upstate     Travel / Tourism locations   Grand Strand   Lake Murray Country   The Lowcountry &amp; Resort Islands   Old 96 District   Olde English District   Pee Dee   Santee Cooper Country     Other geographical distinctions   Blue Ridge Mountains   Charleston metropolitan area   Coastal South Carolina   Columbia metropolitan area   The Piedmont   Rock Hill , South Carolina Area   The Sandhills   Sea Islands   West Ashley      South Dakota ( edit )  South Dakota East River West River   East River and West River , divided by the Missouri River   Badlands   Black Hills   Coteau des Prairies    Tennessee ( edit )  Main article : Grand Divisions of Tennessee   East Tennessee   Middle Tennessee   West Tenn</t>
  </si>
  <si>
    <t xml:space="preserve">is california in the north east south or west</t>
  </si>
  <si>
    <t xml:space="preserve">  Region 1 : Northeast   Division 1 : New England ( Connecticut , Maine , Massachusetts , New Hampshire , Rhode Island , and Vermont )   Division 2 : Mid-Atlantic ( New Jersey , New York , and Pennsylvania )     Region 2 : Midwest ( Prior to June 1984 , the Midwest Region was designated as the North Central Region . )   Division 3 : East North Central ( Illinois , Indiana , Michigan , Ohio , and Wisconsin )   Division 4 : West North Central ( Iowa , Kansas , Minnesota , Missouri , Nebraska , North Dakota , and South Dakota )     Region 3 : South   Division 5 : South Atlantic ( Delaware , Florida , Georgia , Maryland , North Carolina , South Carolina , Virginia , District of Columbia , and West Virginia )   Division 6 : East South Central ( Alabama , Kentucky , Mississippi , and Tennessee )   Division 7 : West South Central ( Arkansas , Louisiana , Oklahoma , and Texas )     Region 4 : West   Division 8 : Mountain ( Arizona , Colorado , Idaho , Montana , Nevada , New Mexico , Utah , and Wyoming )   Division 9 : Pacific ( Alaska , California , Hawaii , Oregon , and Washington )    </t>
  </si>
  <si>
    <t xml:space="preserve">The Carrie Diaries ( season 2 ) - Wikipedia  The Carrie Diaries ( season 2 )  Jump to : navigation , search    The Carrie Diaries ( season 2 )     Promotional poster     Country of origin   United States     No. of episodes   13     Release     Original network   The CW     Original release   October 25 , 2013 ( 2013 - 10 - 25 ) -- January 31 , 2014 ( 2014 - 01 - 31 )     Season chronology     ← Previous Season 1     List of The Carrie Diaries episodes     The second and final season of The Carrie Diaries aired from October 25 , 2013 , through January 31 , 2014 , on The CW . The series serves as a prequel to the HBO series Sex and the City .     Contents  ( hide )   1 Cast   1.1 Main cast   1.2 Recurring cast     2 Episodes   3 Ratings   4 References      Cast ( edit )   Main cast ( edit )    AnnaSophia Robb as Carrie Bradshaw ( 13 episodes )   Austin Butler as Sebastian Kydd ( 13 episodes )   Lindsey Gort as Samantha Jones ( 10 episodes )   Katie Findlay as Maggie Landers ( 11 episodes )   Brendan Dooling as Walt Reynolds ( 10 episodes )   Ellen Wong as Jill `` Mouse '' Chen ( 13 episodes )   Freema Agyeman as Larissa Loughlin ( 10 episodes )   Stefania Owen as Dorrit Bradshaw ( 10 episodes )   Matt Letscher as Tom Bradshaw ( 12 episodes )   Chloe Bridges as Donna LaDonna ( 10 episodes )    Recurring cast ( edit )    Jake Robinson as Bennet Wilcox ( 9 episodes )   Chris Wood as Adam Weaver ( 4 episodes )   Josh Salatin as Simon Byrnes ( 3 episodes )   Scott Cohen as Harlan Silver ( 4 episodes )   Nadia Dajani as Deb ( 3 episodes )   R.J. Brown as Thomas West ( 7 episodes )   Whitney Vance and Alexandra Miller as the Jens ( 3 episodes )   Evan Crooks as Miller ( 3 episodes )   Giullian Yao Gioiello as Scott ( 3 episodes )   Terry Serpico as Mr. Kydd ( 3 episodes )   Noelle Beck as Mrs. Kydd ( 3 episodes )   Kate Nowlin as Barbara ( 2 episodes )   Molly Sims as Vicky Donovan ( 2 episodes )   Boris McGiver as Eddie Landers ( 2 episodes )   John Boyd as Elliot ( 2 episodes )   Claybourne Elder as Pete ( 3 episodes )    Episodes ( edit )     No. in series   No. in season   Title   Directed by   Written by   Original air date   Production code   U.S. viewers ( million )     14     `` Win Some , Lose Some ''   Andy Wolk   Amy B. Harris   October 25 , 2013 ( 2013 - 10 - 25 )   4X5201   0.78          This episode 's plot summary may be too long or excessively detailed . Please help improve it by removing unnecessary details and making it more concise . ( January 2018 ) ( Learn how and when to remove this template message )    Carrie has been living at Larissa 's apartment in Manhattan for the past three or four weeks of the summer with Walt as her platonic roommate . With Larissa still out of the country , Carrie has been filling in for her at Interview magazine full - time during the day and partying at local nightclubs at night . She has not seen or spoken to either Sebastian or Maggie since their falling out . But by chance during the Fourth of July weekend , Carrie runs into Sebastian when he tags along with Donna to the city to meet Donna 's cousin Samantha Jones , an older woman in her late 20s , who co-manages a rock music nightclub . Carrie declines going with Walt , Sebastian , and Donna and instead goes to her regular hangout where , due to a combination of bad luck and carelessness , her valued purse gets stolen . She later has a chance meeting with Samantha who agrees to help her out of being locked out of her apartment . Back in Castlebury , Mouse invites West as her date to the local golf and tennis club 's July 4th fireworks display where they find Maggie working as a waitress . Mouse is openly hostile towards Maggie for interfering with Carrie and Sebastian 's relationship , but they eventually reconcile after Maggie confides in Mouse that she is only working at the country club to help herself pay for college and fears being stuck in Castlebury for the rest of her life like her parents . Elsewhere , Tom finds out about Dorrit dating Miller and wants to meet him . Dorrit tries to prevent her father from meeting Miller fearing that Tom may find out that she and Miller are in a sexual relationship and that they both take recreational drugs . Miller eventually goes behind Dorrit 's back and meets with Tom where he makes a good impression upon Tom who allows Miller and Dorrit to date . Samantha crashes at Larissas loft with Carrie and Walt and Carrie finds herself with a lifelong friend .     15     `` Express Yourself ''   Amy Heckerling   Jessica O'Toole &amp; Amy Rardin   November 1 , 2013 ( 2013 - 11 - 01 )   4X5202   0.89     With the brash and man - hungry Samantha having crashed with Carrie and Walt for the past three weeks , they are both faced with kicking out Samantha when she makes herself too comfortable . Later , Walt summons the courage to tell Bennet how he feels about him when Bennet takes Walt out to a VIP Z100 concert to celebrate Walt 's 18th birthday . Things go horribly wrong before Bennet can respond when Walt , Bennet , Donna , Mouse , and Carrie come down with a case of food poisoning . Meanwhile , Samantha and Mouse meet and Samantha wastes no time giving Mouse sex tips over how to `` go at it '' with West . Back in Castlebury , Sebastian and Maggie run into each other after three months apart . Sebastian also deals with his estranged father who comes back into town , but is more interested in business then father - son bonding . Elsewhere , Tom invites his girlfriend , Deb , to spend the weekend with him , which does n't go exactly as planned .     16     `` Strings Attached ''   Daisy von Scherler Mayer   Doug Stockstill   November 8 , 2013 ( 2013 - 11 - 08 )   4X5203   0.77     Larissa returns from her overseas vacation and gives Carrie and Walt inspiration with zen to take the next step with their lives . Larissa and Samantha take an instant dislike to each other when they first meet since Samantha 's streetwise demeanor and attitude clashes with Larissa 's prim and proper routine . On Carrie 's first day back at school for her senior year , Sebastian asks Doritt for a little help to try to get Carrie to talk with him . Walt fears that Maggie will out his true sexual orientation . Mouse tries to get Maggie to look at more college options despite her lack of interest . Meanwhile , Samantha hooks up with a masked karate instructor as an outlet to her troubled feelings . Elsewhere , Tom is offered a job back at Harlan 's law firm .     17     `` Borderline ''   Michael Fields   Heney Alonso Myers   November 15 , 2013 ( 2013 - 11 - 15 )   4X5204   0.78     Carrie pitches Larissa a profile on New York wunderkind playwright Adam Weaver , but when he proves a difficult , yet fascinating , interview , Carrie 's job is on the line . Bennet 's rules in his relationship with Walt force Bennet to acknowledge his real feelings . Carrie and Dorrit are surprised to find a common enemy in Tom 's girlfriend Deb 's ill - behaved son . Meanwhile , Sebastian seeks comfort in the arms of an older woman .     18   5   `` Too Close for Comfort ''   Zetna Fuentes   Jessica Queller   November 22 , 2013 ( 2013 - 11 - 22 )   4X5205   0.71     When Sebastian learns that his mother is getting remarried , he asks Carrie 's dad , Tom , for help to make sure she is legally protected . Meanwhile , Carrie is furious when she discovers that Weaver has secretly read her journal . After reading that Carrie is a virgin and apologizing relentlessly , Carrie and Weaver have SEX and Carrie experiences intimacy for the first time . Mouse volunteers to help with the Homecoming float , but tries to distance herself when West wins Homecoming King . Samantha finds herself a new place to live and another unusual job . Elsewhere , Dorrit begins to feel smothered by Miller , especially when he befriends her dad , and Donna gives Dorrit some advice resulting in Dorrit and Millers relationship ending .     19   6   `` The Safety Dance ''   David Warren   Sascha Rothchild   December 6 , 2013 ( 2013 - 12 - 06 )   4X5206   0.90     Carrie struggles with what she should write about in her essay . Weaver encourages her to write about what she fears the most but when Carrie decides to write about sex , Weaver tries to help her figure out something better and just ends up getting in the way leading them to later break up . Maggie and Sebastian start to grow closer as Maggie discovers some shocking news : she 's pregnant ! Carrie feels a potential love interest in Sebastian once again after seeing his jacket in her closet and drives to his house to tell him her feelings but instead leaves he jacket on his front foor after seeing Maggie asleep on the couch . Meanwhile , Mouse is apprehensive about applying to safety schools but West thinks it 's good to be on the safe side . Walt takes drastic measures to keep himself safe when Bennet moves to a dangerous neighborhood . Also , Larissa and Samantha plan to have a threesome with Harlan but instead make a sex tape with each other after finding out Harlan is stuck in traffic .     20   7   `` I Heard a Rumor ''   Norman Buckley   Amy B. Harris   December 13 , 2013 ( 2013 - 12 - 13 )   4X5207   0.70     Weaver makes some false accusations to the press about Carrie to prevent people from thinking anything bad about him . Samantha brings Carrie , Walt , and Bennet to an event with a raffle with a free trip to Paris as the prize . Carrie meets the journalist who wrote about her , and in spite says awful things about Weaver . Meanwhile , Sebastian lets people think that he 's the father to Maggie 's baby just to keep Maggie 's secret about who the real father is . This makes Carrie decide to call the journalist and tells the truth , that she is the ex that Weaver had said awful words about in the paper . Maggie collapses and ends up in the hospital where she has to partake a major surgery . Elsewhere , Mouse is worried that she and West are boring and therefore tries to spice up their relationship by planting a surprise in West 's backback but then starts to freak out when the `` surprise '' ( a topless Polaroid photo of herself ) is missing .     21   8   `` The Second Time Around ''   Janice Cooke   Terri Minsky   December 20 , 2013 ( 2013 - 12 - 20 )   4X5208   0.73     Carrie is excited when she gets the chance to interview the CEO of Bongo Jeans . But Larissa tells Carrie that the interview is Carrie 's last chance to land a piece in Interview magazine or she will be let go . Meanwhile , Mouse gets some news that drives an unexpected wedge between her and West . Sebastian 's estranged father delivers other news that could forever change Sebastian and Carrie 's relationship . Elsewhere , Walt finds himself homeless after his conservative parents kick him out when he 's forced to confess to them his sexual orientation . He moves in with Carrie where he finds a surprising father figure in Carrie 's father Tom . Also , Maggie tries to muster the courage to tell her neglectful father the truth about her past relations with Simon , resulting in him getting fired . He goes to Maggies school and confronts her about his unemployment while Sebastian and Carrie are there . Sebastian and Simon end up fighting , resulting in Sebastian getting expelled . His father supports him for fighting for Maggie and Carrie and tells him they are both moving to California since Sebastian is no longer in school . Carrie and Sebastian decide that they will have a long - distance relationship and hope things work out . Carries article is published in Interview magazie , Sebastian arrives in California with his dad and Walt and Bennet celebrate Christmas with Samantha and Larissa .     22   9   `` Under Pressure ''   Andy Wolk   Logan Slakter   January 3 , 2014 ( 2014 - 01 - 03 )   4X5209   0.99     When her father 's away on business for the weekend , Dorrit and her friends have a party . Carrie tries to maintain a long - distance relationship with Sebastian , only to have him show up a month later claiming that he is back for good . Mouse and Donna find common ground to talk and bond over their respective lives . Meanwhile , Tom is invited into the city by Harlan where he asks him to draw up a pre-nuptial agreement after Harlan announces his engagement to Larissa . Larissa lets Sebastian stay in her loft in Manhattan which gives him a chance to start anew .     23   10   `` Date Expectations ''   Amy Heckerling   Jessica O'Toole &amp; Amy Rardin   January 10 , 2014 ( 2014 - 01 - 10 )   4X5210   0.81     On Valentine 's Day , Carrie becomes resentful when Sebastian breaks their dinner date in New York because of a work opportunity for him to meet an investor for his new skateboard clothing business . Walt and Bennet get devastating news that changes their future together , when Bennet learns that one of his former boyfriends has AIDS . The news sends Walt into such a panic that he flees from Bennet and the city , refusing to deal with anything or get tested for the virus . Larissa and Samantha continue their personal feud over Samantha being hired as a nude model of Lady Godiva . Meanwhile , the insecure Maggie accidentally enlists in the US Army , and she 's forced to ask Mouse and Donna for help to retrieve her consent form . Elsewhere , Tom decides to use reverse psychology on Dorrit to encourage her to start dating again by play - acting as the bad parent .     24   11   `` Hungry Like the Wolf ''   Sarah Price   Henry Alonso Myers   January 17 , 2014 ( 2014 - 01 - 17 )   4X5211   0.86     Larissa blames Bennet for slacking off since his breakup with Walt , forcing Carrie to cover for him . But when Bennet takes advantage of Carrie 's generosity by continuing to skip work , she takes it upon herself to interview a professional ballerina whom Bennet was assigned to interview . Meanwhile , Samantha makes an unruly decision by seducing a married man while she is looking for a lost parakeet to claim a reward . Sebastian 's future could change forever when his father arrives in town and asks for money , claiming that he is broke from a lifetime of bad investments . Meanwhile , Tom gets taken advantage of by a female lawyer which prompts Doritt to offer Tom her help . Elsewhere , Maggie seeks Mouse and Donna 's advice when her potentially new boyfriend , Pete , comes to visit during his R&amp;R .     25   12   `` This Is the Time ''   Jason Reilly   Sascha Rothchild   January 24 , 2014 ( 2014 - 01 - 24 )   4X5212   0.90     Carrie and her friends get together for perhaps the last time before graduation from high school : the senior prom . Since all of them are dateless they attend as a group . Dorrit also tags along with her boyfriend Scott to try to stir up trouble and drama . Meanwhile , Larissa convinces Carrie to rethink her college plans by offering her a full - time job at Interview magazine . Tom learns about this and threatens to financially cut Carrie off if she does not choose to attend college first . Mouse threatens Donna with revealing a secret about Donna 's future plans that could bring Donna to her knees . Walt re-thinks his current situation and decides to reconcile with Bennet . Maggie finds herself uncertain over her future with her Army boyfriend Pete . Elsewhere , Sebastian tries to hide something from Carrie when he is offered a career opportunity to move to California to further his skateboard clothing company .     26   13   `` Run to You ''   Andrew McCarthy   Amy B. Harris   January 31 , 2014 ( 2014 - 01 - 31 )   4X5213   0.86     Carrie and all of her friends finally graduate from high school . As a result of Larissa 's firing , Carrie loses her job at Interview magazine and worse still , can not get into NYU for at least a year . Meanwhile , Maggie tries to uncover a secret about her new military man , Pete . Mouse and West get thrown together as co-valedictorians as they prepare to leave for their separate colleges . While attempting to get her life back in order , Carrie temporarily moves in with Sebastian , who 's keeping a secret from her . Elsewhere , Samantha tries to get out of New York City when she has a run - in with her one - time married lover Elliot . After Larissa reveals Carrie 's secret about being fired to her father Tom , he confronts Carrie about her poor judgment and refuses to take her back home . After learning about Carrie 's situation , Sebastian tells her that he is moving to California to further his business and asks her to come . Larissa and Harlan have the biggest wedding of all : at the TWA terminal at JFK International Airport . In the end , Carrie makes a life changing decision to stay in New York City and try to rebuild her life by focusing on writing as well as waitressing .     Ratings ( edit )     No. in series   No. in season   Title   Air date   Rating / share ( 18 -- 49 )   Viewers ( millions )   DVR ( 18 -- 49 )   DVR Viewers ( millions )   Total ( 18 -- 49 )   Total viewers ( millions )     14     `` Win Some , Lose Some ''   000000002013 - 10 - 25 - 0000 October 25 , 2013   0.3 / 1   0.78   0.2   N / A   0.5   N / A     15     `` Express Yourself ''   000000002013 - 11 - 01 - 0000 November 1 , 2013   0.3 / 1   0.89   0.2   N / A   0.5   N / A     16     `` Strings Attached ''   000000002013 - 11 - 08 - 0000 November 8 , 2013   0.3 / 1   0.77   0.2   N / A   0.5   N / A     17     `` Borderline ''   000000002013 - 11 - 15 - 0000 November 15 , 2013   0.3 / 1   0.78   0.2   N / A   0.5   N / A     18   5   `` Too Close for Comfort ''   000000002013 - 11 - 22 - 0000 November 22 , 2013   0.3 / 1   0.71   0.2   N / A   0.5   N / A     19   6   `` The Safety Dance ''   000000002013 - 12 - 06 - 0000 December 6 , 2013   0.3 / 1   0.90   0.2   N / A   0.5   N / A     20   7   `` I Heard a Rumor ''   000000002013 - 12 - 13 - 0000 December 13 , 2013   0.2 / 1   0.70   0.2   N / A   0.4   N / A     21   8   `` The Second Time Around ''   000000002013 - 12 - 20 - 0000 December 20 , 2013   0.3 / 1   0.73   0.2   0.32   0.5   1.16     22   9   `` Under Pressure ''   000000002014 - 01 - 03 - 0000 January 3 , 2014   0.4 / 1   0.99   0.1   0.28   0.5   1.28     23   10   `` Date Expectations ''   000000002014 - 01 - 10 - 0000 January 10 , 2014   0.3 / 1   0.81   0.2   N / A   0.5   N / A     24   11   `` Hungry Like the Wolf ''   000000002014 - 01 - 17 - 0000 January 17 , 2014   0.4 / 1   0.86   N / A   N / A   N / A   N / A     25   12   `` This Is the Time ''   000000002014 - 01 - 24 - 0000 January 24 , 2014   0.3 / 1   0.90   0.2   N / A   0.5   N / A     26   13   `` Run to You ''   000000002014 - 01 - 31 - 0000 January 31 , 2014   0.3 / 1   0.86   0.2   N / A   0.5   N / A     In the netlet 's target demo W18 - 34 , the season premiere averaged 0.3 , doubling the numbers with the following episode to 0.6 . The third episode of the season slipped to 0.5 points . The fourth episode surged to 0.7 , a new season high in that demo . The fifth episode of the season fell to 0.3 . However , the sixth episode rose to 0.5 . The seventh episode dropped to 0.4 . The midseason finale rose to 0.5 . The ninth episode rose again , this time to 0.6 . The tenth episode dropped to 0.4 . The eleventh episode rose to 0.5 . The penultimate episode scored a 0.6 . The season finale tumbled to 0.4 .   References ( edit )    Jump up ^ Kondolojy , Amanda ( May 9 , 2013 ) . `` ' Nikita ' Renewed For A Short ( Final ? ) 4th Season &amp; ' The Carrie Diaries ' Renewed For 2nd Season '' . TV by the Numbers . Retrieved May 16 , 2013 .   Jump up ^ Bricker , Tierney ( July 20 , 2013 ) . `` The Carrie Diaries Casts Samantha Jones For Season 2 '' . E ! Online . Retrieved August 14 , 2013 .   Jump up ^ Slezak , Michael ( July 20 , 2013 ) . `` The Carrie Diaries Scoop : Meet Young Samantha ! '' . TV Line . Retrieved August 14 , 2013 .   Jump up ^ `` ' The Carrie Diaries ' Scoop : Chris Wood Cast As Carrie 's New Love '' . Hollywood Life . August 16 , 2013 . Retrieved January 22 , 2014 .   ^ Jump up to : Bibel , Sara ( October 28 , 2013 ) . `` Friday Final TV Ratings : No Adjustments to ' Grimm , ' Dracula ' or ' The Carrie Diaries ' '' . TV by the Numbers . Retrieved October 28 , 2013 .   ^ Jump up to : Kondolojy , Amanda ( November 4 , 2013 ) . `` Friday Final Ratings : ' Shark Tank ' Adjusted Up , ' Blue Bloods ' Adjusted Down + No Adjustment for ' Grimm ' or ' Dracula ' '' . TV by the Numbers . Retrieved November 4 , 2013 .   ^ Jump up to : Bibel , Sara ( November 11 , 2013 ) . `` Friday Final Ratings : ' Dracula ' &amp; ' The Neighbors ' Adjusted Down '' . TV by the Numbers . Retrieved November 11 , 2013 .   ^ Jump up to : Kondolojy , Amanda ( November 18 , 2013 ) . `` Friday Final Ratings : ' Hawaii Five - 0 ' , ' Undercover Boss ' , ' Grimm ' &amp; ' Raising Hope ' Adjusted Up ; ' Last Man Standing ' , ' The Carrie Diaries ' &amp; ' The Neighbors ' Adjusted Down '' . TV by the Numbers . Retrieved November 18 , 2013 .   ^ Jump up to : Bibel , Sara ( November 25 , 2013 ) . `` Friday Final Ratings : ' Raising Hope ' &amp; ' Where Were You When JFK Died ? ' Adjusted Down ; No Adjustment for ' Nikita ' '' . TV by the Numbers . Retrieved November 25 , 2013 .   ^ Jump up to : Kondolojy , Amanda ( December 9 , 2013 ) . `` Friday Final Ratings : ' Bones ' &amp; ' Raising Hope ' Adjusted Up ; ' The Neighbors ' &amp; ' The Carrie Diaries ' Adjusted Down '' . TV by the Numbers . Retrieved December 9 , 2013 .   ^ Jump up to : Kondolojy , Amanda ( December 16 , 2013 ) . `` Friday Final Ratings : No Adjustment for ' Last Man Standing ' , ' Raising Hope ' or ' The Carrie Diaries ' '' . TV by the Numbers . Retrieved December 16 , 2013 .   ^ Jump up to : Bibel , Sara ( December 23 , 2013 ) . `` Friday Final Ratings : ' Hawaii Five - 0 ' &amp; ' Blue Bloods ' Adjusted Up '' . TV by the Numbers . Retrieved December 23 , 2013 .   ^ Jump up to : Bibel , Sara ( January 6 , 2014 ) . `` Friday Final Ratings : ' Grimm ' Adjusted Up '' . TV by the Numbers . Retrieved January 6 , 2014 .   ^ Jump up to : Kondolojy , Amanda ( January 13 , 2014 ) . `` Friday Final Ratings : ' Hawaii Five - 0 ' Adjusted Up ; ' Dracula ' Adjusted Down '' . TV by the Numbers . Retrieved January 13 , 2014 .   ^ Jump up to : Bibel , Sara ( January 21 , 2014 ) . `` Friday Final Ratings : No Adjustments to ' Grimm ' , ' Dracula ' , ' Hawaii Five - 0 ' or ' The Carrie Diaries ' '' . TV by the Numbers . Retrieved January 21 , 2014 .   ^ Jump up to : Kondolojy , Amanda ( January 27 , 2014 ) . `` Friday Final Ratings : ' The Neighbors ' Adjusted Down ; No Adjustment for ' Enlisted ' or ' The Carrie Diaries ' '' . TV by the Numbers . Retrieved January 27 , 2014 .   ^ Jump up to : Bibel , Sara ( February 3 , 2014 ) . `` Friday Final Ratings : ' Hawaii Five - 0 ' Adjusted Up ; ' The Carrie Diaries ' Adjusted Down '' . TV by the Numbers . Retrieved February 3 , 2014 .   ^ Jump up to : Bibel , Sara ( November 11 , 2013 ) . `` Live + 7 DVR Ratings : ' Big Bang Theory ' Tops Adults 18 - 49 Ratings Increase , ' Beauty and the Beast ' Earns Biggest Percentage Gain , ' The Blacklist ' Tops Viewer Increases in Week 5 '' . TV by the Numbers . Retrieved November 11 , 2013 .   ^ Jump up to : Kondolojy , Amanda ( November 18 , 2013 ) . `` Live + 7 DVR Ratings : ' The Blacklist ' &amp; ' Grey 's Anatomy ' Top Adults 18 - 49 Ratings Increase , ' Beauty and the Beast ' , ' Parenthood ' &amp; ' Nashville ' Lead Percentage Gains , ' The Blacklist ' Tops Viewer Increases in Week 6 '' . TV by the Numbers . Retrieved November 25 , 2013 .   ^ Jump up to : Bibel , Sara ( November 25 , 2013 ) . `` Live + 7 DVR Ratings : ' The Big Bang Theory ' Tops Adults 18 - 49 Ratings Increase , ' Dracula ' Leads Percentage Gains , ' The Blacklist ' Tops Viewer Increases in Week 7 '' . TV by the Numbers . Retrieved November 25 , 2013 .   ^ Jump up to : Kondolojy , Amanda ( December 3 , 2013 ) . `` Live + 7 DVR Ratings : ' The Big Bang Theory ' Tops Adults 18 - 49 Ratings Increase , ' Elementary ' Leads Percentage Gains , ' The Blacklist ' Tops Viewer Increases in Week 8 '' . TV by the Numbers . Retrieved December 8 , 2013 .   ^ Jump up to : DarkUFO ( December 10 , 2013 ) . `` Live + 7 DVR Ratings - Week 9 ( 18th Nov - 24th Nov 2013 ) '' . Spoiler TV . Retrieved December 10 , 2013 .   ^ Jump up to : Bibel , Sara ( December 23 , 2013 ) . `` Live + 7 DVR Ratings : ' The Big Bang Theory ' Tops Adults 18 - 49 Ratings , ' Glee ' Leads Percentage Gains &amp; ' The Blacklist ' Wins Total Viewer Increase in Week 11 '' . TV by the Numbers . Retrieved December 23 , 2013 .   ^ Jump up to : Kondolojy , Amanda ( December 30 , 2013 ) . `` Live + 7 DVR Ratings : ' The Big Bang Theory ' Tops Adults 18 - 49 &amp; Viewership Gains , ' Grimm ' Leads Percentage Increase in Week 12 '' . TV by the Numbers . Retrieved January 2 , 2014 .   ^ Jump up to : Bibel , Sara ( January 6 , 2014 ) . `` Live + 7 DVR Ratings : ' How I Met Your Mother ' Tops Adults 18 - 49 , ' Almost Human ' &amp; ' Hawaii Five - 0 ' Lead Percentage Increase , ' Person of Interest ' Biggest Viewership Gains in Week 13 '' . TV by the Numbers . Retrieved January 6 , 2014 .   ^ Jump up to : Bibel , Sara ( January 21 , 2014 ) . `` Live + 7 DVR Ratings : ' The Big Bang Theory ' Has Biggest 18 - 49 Ratings &amp; Total Viewership Increase , ' Elementary ' Tops Percentage Gains in Week 15 '' . TV by the Numbers . Retrieved January 21 , 2014 .   ^ Jump up to : Bibel , Sara ( January 26 , 2014 ) . `` Live + 7 DVR Ratings : ' The Big Bang Theory ' Has Biggest 18 - 49 Ratings &amp; Total Viewer Increase , ' Enlisted ' Tops Percentage Gains in Week 16 ( Updated ) '' . TV by the Numbers . Retrieved January 30 , 2014 .   ^ Jump up to : Kondolojy , Amanda ( February 10 , 2014 ) . `` Live + 7 DVR Ratings : ' Modern Family ' Has Biggest 18 - 49 Ratings Gain , ' The Blacklist ' Tops Percentage &amp; Total Viewer Increase in Week 18 '' . TV by the Numbers . Retrieved March 2 , 2014 .   ^ Jump up to : Bibel , Sara ( February 18 , 2014 ) . `` Live + 7 DVR Ratings : ' The Big Bang Theory ' Has Biggest 18 - 49 Ratings Gain , ' Beauty and the Beast ' Tops Percentage Gain &amp; ' The Blacklist ' Has Largest Total Viewer Increase in Week 19 '' . TV by the Numbers . Retrieved March 2 , 2014 .   Jump up ^ `` Ratings - The CW Is Up + 9 % Year to Year in Total Viewers and + 10 % in Adults 18 - 49 '' . The Futon Critic . November 5 , 2013 . Retrieved November 15 , 2013 .   Jump up ^ `` Ratings - Friday 's Broadcast Ratings : CBS Tops Viewers , Shares Demo Crown with ABC '' . The Futon Critic . November 9 , 2013 . Retrieved November 15 , 2013 .   Jump up ^ `` Friday 's Broadcast Ratings : CBS Pulls in Front Among Viewers , Demos '' . The Futon Critic . November 16 , 2013 . Retrieved November 17 , 2013 .   Jump up ^ `` Friday 's Broadcast Ratings : CBS Tops Viewers , Splits Demos with ABC '' . The Futon Critic . November 23 , 2013 .   Jump up ^ `` Friday 's Broadcast Ratings : ABC Tops Viewers , Shares Demos with NBC '' . The Futon Critic . December 7 , 2013 .   Jump up ^ `` Friday 's Broadcast Ratings : `` I Love Lucy Christmas Special '' Sparks CBS Victory `` . The Futon Critic . December 21 , 2013 .   Jump up ^ `` Friday 's Broadcast Ratings : FOX Rides the Cotton Bowl to Victory '' . The Futon Critic . January 3 , 2014 . Retrieved January 5 , 2014 .   Jump up ^ `` Friday 's Broadcast Ratings : ABC Wins Demo Race with `` Shark Tank '' `` . The Futon Critic . January 11 , 2014 .   Jump up ^ `` Friday 's Broadcast Ratings : ABC Tops Demos Once Again with `` Shark Tank '' `` . The Futon Critic . January 18 , 2014 .   Jump up ^ `` Friday 's Broadcast Ratings : `` Shark Tank '' Powers Another Demo Victory for ABC `` . The Futon Critic . January 25 , 2014 .   Jump up ^ `` Friday 's Broadcast Ratings : `` Shark Tank '' Helps ABC Hold Off CBS in Demos `` . The Futon Critic . February 1 , 2014 .   Retrieved from `` https://en.wikipedia.org/w/index.php?title=The_Carrie_Diaries_(season_2)&amp;oldid=819020949 '' Categories :   2013 American television seasons   2014 American television seasons   Hidden categories :   Pages using deprecated image syntax   Wikipedia articles with plot summary needing attention from January 2018   All Wikipedia articles with plot summary needing attention           Talk                                           Contents                   About Wikipedia                                           Français   Italiano   Русский   Edit links   This page was last edited on 6 January 2018 , at 23 : 14 .         About Wikipedia                    </t>
  </si>
  <si>
    <t xml:space="preserve">when does carrie and sebastian get back together in season 2</t>
  </si>
  <si>
    <t xml:space="preserve">   No. in series   No. in season   Title   Directed by   Written by   Original air date   Production code   U.S. viewers ( million )     14     `` Win Some , Lose Some ''   Andy Wolk   Amy B. Harris   October 25 , 2013 ( 2013 - 10 - 25 )   4X5201   0.78          This episode 's plot summary may be too long or excessively detailed . Please help improve it by removing unnecessary details and making it more concise . ( January 2018 ) ( Learn how and when to remove this template message )    Carrie has been living at Larissa 's apartment in Manhattan for the past three or four weeks of the summer with Walt as her platonic roommate . With Larissa still out of the country , Carrie has been filling in for her at Interview magazine full - time during the day and partying at local nightclubs at night . She has not seen or spoken to either Sebastian or Maggie since their falling out . But by chance during the Fourth of July weekend , Carrie runs into Sebastian when he tags along with Donna to the city to meet Donna 's cousin Samantha Jones , an older woman in her late 20s , who co-manages a rock music nightclub . Carrie declines going with Walt , Sebastian , and Donna and instead goes to her regular hangout where , due to a combination of bad luck and carelessness , her valued purse gets stolen . She later has a chance meeting with Samantha who agrees to help her out of being locked out of her apartment . Back in Castlebury , Mouse invites West as her date to the local golf and tennis club 's July 4th fireworks display where they find Maggie working as a waitress . Mouse is openly hostile towards Maggie for interfering with Carrie and Sebastian 's relationship , but they eventually reconcile after Maggie confides in Mouse that she is only working at the country club to help herself pay for college and fears being stuck in Castlebury for the rest of her life like her parents . Elsewhere , Tom finds out about Dorrit dating Miller and wants to meet him . Dorrit tries to prevent her father from meeting Miller fearing that Tom may find out that she and Miller are in a sexual relationship and that they both take recreational drugs . Miller eventually goes behind Dorrit 's back and meets with Tom where he makes a good impression upon Tom who allows Miller and Dorrit to date . Samantha crashes at Larissas loft with Carrie and Walt and Carrie finds herself with a lifelong friend .     15     `` Express Yourself ''   Amy Heckerling   Jessica O'Toole &amp; Amy Rardin   November 1 , 2013 ( 2013 - 11 - 01 )   4X5202   0.89     With the brash and man - hungry Samantha having crashed with Carrie and Walt for the past three weeks , they are both faced with kicking out Samantha when she makes herself too comfortable . Later , Walt summons the courage to tell Bennet how he feels about him when Bennet takes Walt out to a VIP Z100 concert to celebrate Walt 's 18th birthday . Things go horribly wrong before Bennet can respond when Walt , Bennet , Donna , Mouse , and Carrie come down with a case of food poisoning . Meanwhile , Samantha and Mouse meet and Samantha wastes no time giving Mouse sex tips over how to `` go at it '' with West . Back in Castlebury , Sebastian and Maggie run into each other after three months apart . Sebastian also deals with his estranged father who comes back into town , but is more interested in business then father - son bonding . Elsewhere , Tom invites his girlfriend , Deb , to spend the weekend with him , which does n't go exactly as planned .     16     `` Strings Attached ''   Daisy von Scherler Mayer   Doug Stockstill   November 8 , 2013 ( 2013 - 11 - 08 )   4X5203   0.77     Larissa returns from her overseas vacation and gives Carrie and Walt inspiration with zen to take the next step with their lives . Larissa and Samantha take an instant dislike to each other when they first meet since Samantha 's streetwise demeanor and attitude clashes with Larissa 's prim and proper routine . On Carrie 's first day back at school for her senior year , Sebastian asks Doritt for a little help to try to get Carrie to talk with him . Walt fears that Maggie will out his true sexual orientation . Mouse tries to get Maggie to look at more college options despite her lack of interest . Meanwhile , Samantha hooks up with a masked karate instructor as an outlet to her troubled feelings . Elsewhere , Tom is offered a job back at Harlan 's law firm .     17     `` Borderline ''   Michael Fields   Heney Alonso Myers   November 15 , 2013 ( 2013 - 11 - 15 )   4X5204   0.78     Carrie pitches Larissa a profile on New York wunderkind playwright Adam Weaver , but when he proves a difficult , yet fascinating , interview , Carrie 's job is on the line . Bennet 's rules in his relationship with Walt force Bennet to acknowledge his real feelings . Carrie and Dorrit are surprised to find a common enemy in Tom 's girlfriend Deb 's ill - behaved son . Meanwhile , Sebastian seeks comfort in the arms of an older woman .     18   5   `` Too Close for Comfort ''   Zetna Fuentes   Jessica Queller   November 22 , 2013 ( 2013 - 11 - 22 )   4X5205   0.71     When Sebastian learns that his mother is getting remarried , he asks Carrie 's dad , Tom , for help to make sure she is legally protected . Meanwhile , Carrie is furious when she discovers that Weaver has secretly read her journal . After reading that Carrie is a virgin and apologizing relentlessly , Carrie and Weaver have SEX and Carrie experiences intimacy for the first time . Mouse volunteers to help with the Homecoming float , but tries to distance herself when West wins Homecoming King . Samantha finds herself a new place to live and another unusual job . Elsewhere , Dorrit begins to feel smothered by Miller , especially when he befriends her dad , and Donna gives Dorrit some advice resulting in Dorrit and Millers relationship ending .     19   6   `` The Safety Dance ''   David Warren   Sascha Rothchild   December 6 , 2013 ( 2013 - 12 - 06 )   4X5206   0.90     Carrie struggles with what she should write about in her essay . Weaver encourages her to write about what she fears the most but when Carrie decides to write about sex , Weaver tries to help her figure out something better and just ends up getting in the way leading them to later break up . Maggie and Sebastian start to grow closer as Maggie discovers some shocking news : she 's pregnant ! Carrie feels a potential love interest in Sebastian once again after seeing his jacket in her closet and drives to his house to tell him her feelings but instead leaves he jacket on his front foor after seeing Maggie asleep on the couch . Meanwhile , Mouse is apprehensive about applying to safety schools but West thinks it 's good to be on the safe side . Walt takes drastic measures to keep himself safe when Bennet moves to a dangerous neighborhood . Also , Larissa and Samantha plan to have a threesome with Harlan but instead make a sex tape with each other after finding out Harlan is stuck in traffic .     20   7   `` I Heard a Rumor ''   Norman Buckley   Amy B. Harris   December 13 , 2013 ( 2013 - 12 - 13 )   4X5207   0.70     Weaver makes some false accusations to the press about Carrie to prevent people from thinking anything bad about him . Samantha brings Carrie , Walt , and Bennet to an event with a raffle with a free trip to Paris as the prize . Carrie meets the journalist who wrote about her , and in spite says awful things about Weaver . Meanwhile , Sebastian lets people think that he 's the father to Maggie 's baby just to keep Maggie 's secret about who the real father is . This makes Carrie decide to call the journalist and tells the truth , that she is the ex that Weaver had said awful words about in the paper . Maggie collapses and ends up in the hospital where she has to partake a major surgery . Elsewhere , Mouse is worried that she and West are boring and therefore tries to spice up their relationship by planting a surprise in West 's backback but then starts to freak out when the `` surprise '' ( a topless Polaroid photo of herself ) is missing .     21   8   `` The Second Time Around ''   Janice Cooke   Terri Minsky   December 20 , 2013 ( 2013 - 12 - 20 )   4X5208   0.73     Carrie is excited when she gets the chance to interview the CEO of Bongo Jeans . But Larissa tells Carrie that the interview is Carrie 's last chance to land a piece in Interview magazine or she will be let go . Meanwhile , Mouse gets some news that drives an unexpected wedge between her and West . Sebastian 's estranged father delivers other news that could forever change Sebastian and Carrie 's relationship . Elsewhere , Walt finds himself homeless after his conservative parents kick him out when he 's forced to confess to them his sexual orientation . He moves in with Carrie where he finds a surprising father figure in Carrie 's father Tom . Also , Maggie tries to muster the courage to tell her neglectful father the truth about her past relations with Simon , resulting in him getting fired . He goes to Maggies school and confronts her about his unemployment while Sebastian and Carrie are there . Sebastian and Simon end up fighting , resulting in Sebastian getting expelled . His father supports him for fighting for Maggie and Carrie and tells him they are both moving to California since Sebastian is no longer in school . Carrie and Sebastian decide that they will have a long - distance relationship and hope things work out . Carries article is published in Interview magazie , Sebastian arrives in California with his dad and Walt and Bennet celebrate Christmas with Samantha and Larissa .     22   9   `` Under Pressure ''   Andy Wolk   Logan Slakter   January 3 , 2014 ( 2014 - 01 - 03 )   4X5209   0.99     When her father 's away on business for the weekend , Dorrit and her friends have a party . Carrie tries to maintain a long - distance relationship with Sebastian , only to have him show up a month later claiming that he is back for good . Mouse and Donna find common ground to talk and bond over their respective lives . Meanwhile , Tom is invited into the city by Harlan where he asks him to draw up a pre-nuptial agreement after Harlan announces his engagement to Larissa . Larissa lets Sebastian stay in her loft in Manhattan which gives him a chance to start anew .     23   10   `` Date Expectations ''   Amy Heckerling   Jessica O'Toole &amp; Amy Rardin   January 10 , 2014 ( 2014 - 01 - 10 )   4X5210   0.81     On Valentine 's Day , Carrie becomes resentful when Sebastian breaks their dinner date in New York because of a work opportunity for him to meet an investor for his new skateboard clothing business . Walt and Bennet get devastating news that changes their future together , when Bennet learns that one of his former boyfriends has AIDS . The news sends Walt into such a panic that he flees from Bennet and the city , refusing to deal with anything or get tested for the virus . Larissa and Samantha continue their personal feud over Samantha being hired as a nude model of Lady Godiva . Meanwhile , the insecure Maggie accidentally enlists in the US Army , and she 's forced to ask Mouse and Donna for help to retrieve her consent form . Elsewhere , Tom decides to use reverse psychology on Dorrit to encourage her to start dating again by play - acting as the bad parent .     24   11   `` Hungry Like the Wolf ''   Sarah Price   Henry Alonso Myers   January 17 , 2014 ( 2014 - 01 - 17 )   4X5211   0.86     Larissa blames Bennet for slacking off since his breakup with Walt , forcing Carrie to cover for him . But when Bennet takes advantage of Carrie 's generosity by continuing to skip work , she takes it upon herself to interview a professional ballerina whom Bennet was assigned to interview . Meanwhile , Samantha makes an unruly decision by seducing a married man while she is looking for a lost parakeet to claim a reward . Sebastian 's future could change forever when his father arrives in town and asks for money , claiming that he is broke from a lifetime of bad investments . Meanwhile , Tom gets taken advantage of by a female lawyer which prompts Doritt to offer Tom her help . Elsewhere , Maggie seeks Mouse and Donna 's advice when her potentially new boyfriend , Pete , comes to visit during his R&amp;R .     25   12   `` This Is the Time ''   Jason Reilly   Sascha Rothchild   January 24 , 2014 ( 2014 - 01 - 24 )   4X5212   0.90     Carrie and her friends get together for perhaps the last time before graduation from high school : the senior prom . Since all of them are dateless they attend as a group . Dorrit also tags along with her boyfriend Scott to try to stir up trouble and drama . Meanwhile , Larissa convinces Carrie to rethink her college plans by offering her a full - time job at Interview magazine . Tom learns about this and threatens to financially cut Carrie off if she does not choose to attend college first . Mouse threatens Donna with revealing a secret about Donna 's future plans that could bring Donna to her knees . Walt re-thinks his current situation and decides to reconcile with Bennet . Maggie finds herself uncertain over her future with her Army boyfriend Pete . Elsewhere , Sebastian tries to hide something from Carrie when he is offered a career opportunity to move to California to further his skateboard clothing company .     26   13   `` Run to You ''   Andrew McCarthy   Amy B. Harris   January 31 , 2014 ( 2014 - 01 - 31 )   4X5213   0.86     Carrie and all of her friends finally graduate from high school . As a result of Larissa 's firing , Carrie loses her job at Interview magazine and worse still , can not get into NYU for at least a year . Meanwhile , Maggie tries to uncover a secret about her new military man , Pete . Mouse and West get thrown together as co-valedictorians as they prepare to leave for their separate colleges . While attempting to get her life back in order , Carrie temporarily moves in with Sebastian , who 's keeping a secret from her . Elsewhere , Samantha tries to get out of New York City when she has a run - in with her one - time married lover Elliot . After Larissa reveals Carrie 's secret about being fired to her father Tom , he confronts Carrie about her poor judgment and refuses to take her back home . After learning about Carrie 's situation , Sebastian tells her that he is moving to California to further his business and asks her to come . Larissa and Harlan have the biggest wedding of all : at the TWA terminal at JFK International Airport . In the end , Carrie makes a life changing decision to stay in New York City and try to rebuild her life by focusing on writing as well as waitressing .   </t>
  </si>
  <si>
    <t xml:space="preserve">The Collegian ( Hillsdale College ) - Wikipedia  The Collegian ( Hillsdale College )  Jump to : navigation , search      This article relies largely or entirely on a single source . Relevant discussion may be found on the talk page . Please help improve this article by introducing citations to additional sources . ( October 2016 )    For other uses , see The Collegian .  The Collegian , of Hillsdale College , has been the weekly student newspaper of record published by Hillsdale College and its students in Hillsdale , Michigan in one form or another since 1878 . The publication is staffed by students , many of whom are members of the Herbert H. Dow II program in American journalism . In addition to its weekly printing , the paper is available online .   History and description ( edit )   The Collegian is the oldest college newspaper in Michigan . The paper 's history traces back to 1878 , when the Hillsdale Herald was first published . The administration started The Collegian in 1893 as a rival paper to the Herald .   In 1896 , the two papers merged and became the Herald - Collegian . Eventually , the newspaper dropped the Herald and became The Collegian of Hillsdale College . Today it is known simply as The Collegian . In 2014 , staff at the Kalamazoo College Index claimed that the Index predated the Collegian . But , after an investigation by the Collegian 's Editor - in - Chief at the time , it was determined that Hillsdale is Michigan 's oldest college newspaper . The Index began as a publication in 1877 , which predates the Hillsdale Herald , but did not become a newspaper until 1916 , 20 years after the Herald had merged with the Collegian to become the Hillsdale Herald - Collegian .   The Collegian has won several Michigan Press Association awards including General Excellence in 2011 . The newspaper had a three - year streak in 2007 , 2008 and 2009 where editors of the paper were named Journalists of the Year by the Michigan Press Association .   Reporters for the newspaper have gone on to write for The Wall Street Journal , the Washington Times , the Washington Examiner , National Review , The Daily , Congressional Quarterly , The Daily Caller , The Hill , the New York Times , Gannett newspapers and more . Several of its reporters have gone on to become Pulliam Fellows .   The paper asserts itself as a training ground for journalists as well as a service to the campus , alumni community , and supporters of the college .   External links ( edit )    The Hillsdale Collegian    References ( edit )    Jump up ^ http://www.kzoo.edu/index/article/index-throwback/              Hillsdale College     Facilities     Frank `` Muddy '' Waters Stadium   Hillsdale Academy   Slayton Arboretum       Athletics     Hillsdale Chargers       Media     The Collegian   Imprimis       People     List of Hillsdale College alumni   List of Presidents of Hillsdale College           This article about a university or college in Michigan is a stub . You can help Wikipedia by expanding it .                 This article about a Michigan newspaper is a stub . You can help Wikipedia by expanding it .            Retrieved from `` https://en.wikipedia.org/w/index.php?title=The_Collegian_(Hillsdale_College)&amp;oldid=793736435 '' Categories :   Hillsdale College   Student newspapers published in Michigan   Publications established in 1878   Midwestern United States university stubs   Michigan school stubs   Midwestern United States newspaper stubs   Michigan stubs   Hidden categories :   Articles needing additional references from October 2016   All articles needing additional references   All stub articles           Talk                                                             About Wikipedia                                           Add links   This page was last edited on 3 August 2017 , at 16 : 36 .         About Wikipedia                    </t>
  </si>
  <si>
    <t xml:space="preserve">what college newspaper refers to itself as the oldest college newspaper in michigan</t>
  </si>
  <si>
    <t xml:space="preserve"> The Collegian is the oldest college newspaper in Michigan . The paper 's history traces back to 1878 , when the Hillsdale Herald was first published . The administration started The Collegian in 1893 as a rival paper to the Herald . </t>
  </si>
  <si>
    <r>
      <rPr>
        <sz val="11"/>
        <color rgb="FF000000"/>
        <rFont val="Calibri"/>
        <family val="0"/>
        <charset val="1"/>
      </rPr>
      <t xml:space="preserve">Pollen tube - wikipedia  Pollen tube  Jump to : navigation , search SEM image of pollen tubes growing from Lily pollen grains .  A pollen tube is part of the male gametophyte of seed plants . It acts as a conduit to transport the male gamete cells from the pollen grain , either from the stigma ( in flowering plants ) to the ovules . In maize , this single cell can grow longer than 12 inches to traverse the length of the pistil .   Pollen tubes were first discovered by Giovanni Battista Amici .     Contents  ( hide )   1 The pollen tube in Angiosperms   2 Pollen tubes used to study cell physiology   3 Pollen tube guidance   4 DNA repair   5 See also   6 References   7 External links      The pollen tube in angiosperms ( edit )  Angiosperm life cycle .  Angiosperm reproduction is a complex process that includes several steps that may vary among species . Each step is a vast procedure in its own right . Pollen is produced by the stamen , the male reproductive organ of the flower . Each pollen grain contains a vegetative cell , and a generative cell that divides to form two sperm cells . The pollen is delivered by the opening of anthers for subsequent pollination , that is , for the transfer of pollen grains to the pistil , the female reproductive organ . Pollination is usually carried out by wind , water or insects . The ovaries hold the ovules that produce the female gamete : the egg cell , which waits in place for fertilization .   Once a pollen grain settles on a compatible pistil , it may germinate in response to a sugary fluid secreted by the mature stigma of certain plants . Lipids at the surface of the stigma may also stimulate pollen tube growth for compatible pollen . Plants that are self - sterile often inhibit the pollen grains from their own flowers from growing pollen tubes . The presence of multiple grains of pollen has been observed to stimulate quicker pollen tube growth in some plants . The vegetative cell then produces the pollen tube , a tubular protrusion from the pollen grain , which carries the sperm cells within its cytoplasm . The sperm cells are the male gametes that will join with the egg cell and the central cell in double fertilization .   The germinated pollen tube must then drill its way through the nutrient - rich style and curl to the bottom of the ovary to reach the ovule . Once the pollen tube successfully attains an ovule , it delivers the two sperm cells with a burst . One of them fertilizes the egg cell to form an embryo , which will become the future plant . The other one fuses with both polar nuclei of the central cell to form the endosperm , which serves as the embryo 's food supply . Finally , the ovary will develop into a fruit and the ovules will develop into seeds .   Pollen tubes used to study cell physiology ( edit )   Pollen tubes are an excellent model for the understanding of plant cell behavior . They are easily cultivated in vitro and have a very dynamic cytoskeleton that polymerizes at very high rates , providing the pollen tube with interesting mechanical properties . The pollen tube has an unusual kind of growth ; it extends exclusively at its apex . Extending the cell wall only at the tip minimizes friction between the tube and the invaded tissue . This tip growth is performed in a pulsating manner rather than in a steady fashion . Remarkably , the pollen tube 's journey through the style often results in depth - to - diameter ratios above 100 : 1 and up to 1000 : 1 in certain species . The internal machinery and the external interactions that govern the dynamics of pollen tube growth are far from being fully understood .   Pollen tube guidance ( edit )   Extensive work has been dedicated to comprehend how the pollen tube responds to extracellular guidance signals to achieve fertilization . It is believed that pollen tubes react to a combination of chemical , electrical , and mechanical cues during its journey through the pistil . However , it is not clear how these external cues work or how they are processed internally . Moreover , sensory receptors for any external cue have not been identified yet . Nevertheless , several aspects have already been identified as central in the process of pollen tube growth . The actin filaments in the cytoskeleton , the peculiar cell wall , secretory vesicle dynamics , and the flux of ions , to name a few , are some of the fundamental features readily identified as crucial , but whose role has not yet been completely elucidated .   DNA repair ( edit )   During pollen tube growth , DNA damages that arise need to be repaired in order for the male genomic information to be transmitted intact to the next generation . In the plant Cyrtanthus mackenii , bicellular mature pollen contains a generative cell and a vegetative cell . Sperm cells are derived by mitosis of the generative cell during pollen tube elongation . The vegetative cell is responsible for pollen tube development . Double - strand breaks in DNA that arise appear to be efficiently repaired in the generative cell , but not in the vegetative cell , during the transport process to the female gametophyte .   See also ( edit )    Evolutionary history of plants   Flowering plant   Self incompatibility in plants   Siphonogamy    References ( edit )    ^ Jump up to : Geitmann , Anja ; Palanivelu Ravishankar ( 2007 ) . `` Fertilization requires communication : Signal generation and perception during pollen tube guidance '' . Floriculture and Ornamental Biotechnology . 1 : 77 -- 89 .   ^ Jump up to : Malhó , Rui ( 2006 ) . The pollen tube : a cellular and molecular perspective . Springer .   Jump up ^ Gossot , Olivier ; Geitmann Anja ( 2007 ) . `` Pollen tube growth : coping with mechanical obstacles involves the cytoskeleton '' . Planta. 226 ( 2 ) : 405 -- 416 . PMID 17318608 . doi : 10.1007 / s00425 - 007 - 0491 - 5 .   Jump up ^ Messerli , Mark ; et al. ( 2000 ) . `` Periodic increases in elongation rate precede increases in cytosolic Ca2+ during pollen tube growth '' . Developmental Biology . 222 ( 1 ) : 84 -- 98 . PMID 10885748 . doi : 10.1006 / dbio. 2000.9709 .   Jump up ^ Malhó , Rui ( 1998 ) . `` Pollen tube guidance -- the long and winding road '' . Sexual Plant Reproduction. 11 ( 5 ) : 242 -- 244 . doi : 10.1007 / s004970050148 .   Jump up ^ Okuda , Satohiro ; Higashiyama Tetsuya ( 2010 ) . `` Pollen tube guidance by attractant molecules : LUREs '' . Cell Structure and Function. 35 ( 1 ) : 45 -- 52 . PMID 20562497 . doi : 10.1247 / csf. 10003 .   Jump up ^ Mascarenhas , Joseph ; Machlis Leonard ( 1964 ) . `` Chemotropic response of the pollen of Antirrhinum majus to calcium '' . Plant Physiology. 39 ( 1 ) : 70 -- 77 . PMC 550029 . PMID 16655882 . doi : 10.1104 / pp. 39.1. 70 .   Jump up ^ Robinson , Kenneth ( 1985 ) . `` The Responses of Cells to Electrical Fields : A Review '' . The Journal of Cell Biology . 101 . PMC 2114002 . PMID 3905820 . doi : 10.1083 / jcb. 101.6. 2023 .   Jump up ^ Chebli , Youssef ; Geitmann Anja ( 2007 ) . `` Mechanical principles governing pollen tube growth '' . Functional Plant Science and Biotechnology . 1 : 232 -- 245 .   ^ Jump up to : Hirano T , Takagi K , Hoshino Y , Abe T ( 2013 ) . `` DNA damage response in male gametes of Cyrtanthus mackenii during pollen tube growth '' . AoB Plants . 5 : plt004 . PMC 3583183 . PMID 23550213 . doi : 10.1093 / aobpla / plt004 .    External links ( edit )    Pollen tube primer   Images : Pollen tetrad and Pollen tube Calanthe discolor Lindl . - Flavon 's Secret Flower Garden      ( hide )         Botany     History of botany     Subdisciplines     Plant systematics   Ethnobotany   Paleobotany   Plant anatomy   Plant ecology   Phytogeography   Geobotany   Flora     Phytochemistry   Plant pathology   Bryology   Phycology   Floristics   Dendrology       Plant groups     Algae   Archaeplastida   Bryophyte   Non-vascular plants   Vascular plants   Spermatophytes   Pteridophyte   Gymnosperm   Angiosperm       Plant morphology ( glossary )      Plant cells     Cell wall   Phragmoplast   Plastid   Plasmodesmata   Vacuole       Tissues     Meristem   Vascular tissue   Vascular bundle     Ground tissue   Mesophyll     Cork   Wood   Storage organs       Vegetative     Root   Rhizoid   Bulb   Rhizome   Shoot   Stem   Leaf   Petiole   Cataphyll     Bud   Sessility         Reproductive ( Flower )     Flower development   Inflorescence   Umbel   Raceme   Bract   Pedicellate     Flower   Whorl   Floral symmetry   Floral diagram   Floral formula     Receptacle   Hypanthium ( Floral cup )   Perianth   Tepal   Petal   Sepal     Sporophyll   Gynoecium   Ovary   Ovule     Stigma     Archegonium   Androecium   Stamen   Staminode   Pollen   Tapetum     Gynandrium   Gametophyte   Sporophyte   Plant embryo   Fruit   Fruit anatomy   Berry   Capsule   Seed   Seed dispersal   Endosperm           Surface structures     Epicuticular wax   Plant cuticle   Epidermis   Stoma   Nectary   Trichome   Prickle            Plant physiology   Materials       Nutrition   Photosynthesis   Chlorophyll     Plant hormone   Transpiration   Turgor pressure   Bulk flow   Aleurone   Phytomelanin   Sugar   Sap   Starch   Cellulose       Plant growth and habit     Secondary growth   Woody plants   Herbaceous plants   Habit   Vines   Lianas     Shrubs   Subshrubs     Trees   Succulent plants         Reproduction   Evolution   Ecology       Alternation of generations   Sporangium   Spore   Microsporangia   Microspore     Megasporangium   Megaspore       Pollination   Pollinators   Pollen tube     Double fertilization   Germination   Evolutionary development   Evolutionary history   timeline     Hardiness zone       Plant taxonomy     History of plant systematics   Herbarium   Biological classification   Botanical nomenclature   Botanical name   Correct name   Author citation   International Code of Nomenclature for algae , fungi , and plants ( ICN )   - for Cultivated Plants ( ICNCP )     Taxonomic rank   International Association for Plant Taxonomy ( IAPT )   Plant taxonomy systems   Cultivated plant taxonomy   Citrus taxonomy   cultigen   cultivar   Group   grex           Practice     Agronomy   Floriculture   Forestry   Horticulture         Lists   Related topics       Botanical terms   Botanists   by author abbreviation     Botanical expedition           Commons   Portal   WikiProject      Retrieved from `` https://en.wikipedia.org/w/index.php?title=Pollen_tube&amp;oldid=802387633 '' Categories :   Pollination   Plant physiology   Botany   Hidden categories :   All articles with unsourced statements   Articles with unsourced statements from August 2012           Talk                                           Contents                   About Wikipedia                                           Català   Čeština   Deutsch   Español   Français   Galego   Italiano   Nederlands   </t>
    </r>
    <r>
      <rPr>
        <sz val="11"/>
        <color rgb="FF000000"/>
        <rFont val="Noto Sans CJK SC"/>
        <family val="2"/>
      </rPr>
      <t xml:space="preserve">日本 語   </t>
    </r>
    <r>
      <rPr>
        <sz val="11"/>
        <color rgb="FF000000"/>
        <rFont val="Calibri"/>
        <family val="0"/>
        <charset val="1"/>
      </rPr>
      <t xml:space="preserve">Polski   Português   Русский   Simple English   Suomi   </t>
    </r>
    <r>
      <rPr>
        <sz val="11"/>
        <color rgb="FF000000"/>
        <rFont val="Noto Sans CJK SC"/>
        <family val="2"/>
      </rPr>
      <t xml:space="preserve">中文   </t>
    </r>
    <r>
      <rPr>
        <sz val="11"/>
        <color rgb="FF000000"/>
        <rFont val="Calibri"/>
        <family val="0"/>
        <charset val="1"/>
      </rPr>
      <t xml:space="preserve">Edit links   This page was last edited on 25 September 2017 , at 21 : 17 .         About Wikipedia                  </t>
    </r>
  </si>
  <si>
    <t xml:space="preserve">when you combine an egg with the material in pollen you get</t>
  </si>
  <si>
    <t xml:space="preserve"> Once a pollen grain settles on a compatible pistil , it may germinate in response to a sugary fluid secreted by the mature stigma of certain plants . Lipids at the surface of the stigma may also stimulate pollen tube growth for compatible pollen . Plants that are self - sterile often inhibit the pollen grains from their own flowers from growing pollen tubes . The presence of multiple grains of pollen has been observed to stimulate quicker pollen tube growth in some plants . The vegetative cell then produces the pollen tube , a tubular protrusion from the pollen grain , which carries the sperm cells within its cytoplasm . The sperm cells are the male gametes that will join with the egg cell and the central cell in double fertilization . </t>
  </si>
  <si>
    <t xml:space="preserve">Hindu Mahila Vidyalaya - Wikipedia  Hindu Mahila Vidyalaya   Hindu Mahila Vidyalaya ( School for Hindu Women ) was a boarding school located at 22 Beniapukur Lane , Entally , Kolkata , India , founded by Annette Akroyd The school made a break with the idea of a less taxing curricula for girls , and provided the same kind of learning for its students as was available for boys . Sources record different dates for the establishment of the school . While Jogesh C. Bagal , records the date of establishment as 18 November 1873 David Kopf mentions it as 18 September 1873 .   Dwarkanath Ganguly was the headmaster . Ananda Mohan Bose and Durga Mohan Das bore the expenses of the institution . Others involved in the school were Sivanath Sastri and Monomohun Ghose . Mrs. J.B. Phear was an honorary teacher . She went to the extent of teaching her students how to eat at table with cutlery .   After the marriage of Annette Akroyd , the school was closed in March 1876 for a short time and was revived on 1 June 1876 as Banga Mahila Vidyalaya ( Bengali Women 's College ) .   References ( edit )    ^ Jump up to : Bagal , Jogesh Chandra , History of the Bethune School and College ( 1849 - 1949 ) in Bethune College and School Centenary Volume , edited by Dr. Kalidas Nag , 1949 , p33   ^ Jump up to : Karlekar , Malavika . `` Lessons in a Sari - Did women 's education in India change the way they dressed ? '' . The Telegraph , 4 February 2007 . Retrieved 2007 - 04 - 18 .   ^ Jump up to : Kopf , David , The Brahmo Samaj and the Shaping of the Modern Indian Mind , 1979 , pp. 34 - 39 , Princeton University Press , ISBN 0 - 691 - 03125 - 8   Jump up ^ Sastri , Sivanath , History of the Brahmo Samaj , 1911 - 12 / 1993 , p. 164 , Sadharan Brahmo Samaj .   Jump up ^ Amin , Sonia ( 2012 ) . `` Beveridge , Annette Susannah Akroyd '' . In Islam , Sirajul ; Jamal , Ahmed A. Banglapedia : National Encyclopedia of Bangladesh ( Second ed . ) . Asiatic Society of Bangladesh .    External links ( edit )    There is a picture of Annette Akroyd with the students of Hindu Mahila Vidyalaya , 1875 , from Henry Beveridge 's India Called Them ( 1947 ) . - Karlekar , Malavika . `` Frozen Frames '' . Spectrum . The Tribune , 8 May 2005 . Retrieved 2007 - 04 - 19 .              Bengali renaissance     People     Sri Aurobindo   Atul Prasad Sen   Rajnarayan Basu   Jagadish Chandra Bose   Subhash Chandra Bose   Satyendra Nath Bose   Bethune   Upendranath Brahmachari   Bankim Chandra Chattopadhyay   Sarat Chandra Chattopadhyay   Akshay Kumar Datta   Henry Derozio   Alexander Duff   Michael Madhusudan Dutt   Romesh Chunder Dutt   Anil Kumar Gain   Dwarkanath Ganguly   Kadambini Ganguly   Monomohun Ghose   Ramgopal Ghosh   Aghore Nath Gupta   David Hare   Kazi Nazrul Islam   Eugène Lafont   Ashutosh Mukherjee   Kalikrishna Mitra   Harish Chandra Mukherjee   Ramakrishna Paramahamsa   Gour Govinda Ray   Upendrakishore Ray Chowdhury   Raja Ram Mohan Roy   Meghnad Saha   Akshay Chandra Sarkar   Mahendralal Sarkar   Brajendra Nath Seal   Girish Chandra Sen   Keshub Chandra Sen   Haraprasad Shastri   Debendranath Tagore   Rabindranath Tagore   Satyendranath Tagore   Jnanadanandini Devi   Sitanath Tattwabhushan   Brahmabandhav Upadhyay   Ram Chandra Vidyabagish   Dwarkanath Vidyabhusan   Ishwar Chandra Vidyasagar   Swami Vivekananda   Paramahansa Yogananda   Begum Rokeya       Culture     Adi Dharm   Bengali literature   Bengali poetry   Bengali music   Brahmo Samaj   British Raj   British Indian Association   History of Bengal   Nazrul geeti   Rabindra Nritya Natya   Rabindra Sangeet   Sambad Prabhakar   Socialism in Bengal   Swadeshi   Satyagraha   Tattwabodhini Patrika   Tagore family   Bangiya Sahitya Parishad   Young Bengal       Institutions     Anandamohan College   Asiatic Society   Banga Mahila Vidyalaya   Bangabasi College   Bethune College   Bengal Engineering and Science University , Shibpur   Calcutta Madrasah College   Calcutta Medical College   Fort William College   General Assembly 's Institution   Hindu Mahila Vidyalaya   Hindu Theatre   Indian Association for the Cultivation of Science   Midnapore College   National Council of Education , Bengal   Oriental Seminary   Presidency College   Ripon College   Sanskrit College   Scottish Church College   Serampore College   St. Xavier 's College , Kolkata   Vidyasagar College   Visva - Bharati University   University of Calcutta   University of Dhaka       Other renaissance and revolutionary movements     Bhakti movement   Gaudiya Vaishnavism   Brahmoism   Fakir - Sannyasi rebellion   Indian independence movement   Kalighat painting   Jugantar movement   Bengal School of Art   Hindu -- German Conspiracy   Kallol   Gananatya Andolan   Bratachari movement   Bengali Little Magazine Movement   Parallel cinema   Indian Communism   Naxalism   Hungryalism   Prakalpana Movement               This article about a school in West Bengal , India is a stub . You can help Wikipedia by expanding it .            Retrieved from `` https://en.wikipedia.org/w/index.php?title=Hindu_Mahila_Vidyalaya&amp;oldid=853195290 '' Categories :   Boarding schools in West Bengal   Girls ' schools in Kolkata   Academic institutions associated with the Bengal Renaissance   Educational institutions established in 1873   1873 establishments in India   West Bengal school stubs   Hidden categories :   Use dmy dates from August 2018   Use Indian English from August 2018   All Wikipedia articles written in Indian English   West Bengal articles missing geocoordinate data   All articles needing coordinates   All stub articles           Talk                                                             About Wikipedia                                           বাংলা   Edit links   This page was last edited on 3 August 2018 , at 02 : 22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</si>
  <si>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founded the hindu balika vidyalaya in calcutta</t>
  </si>
  <si>
    <t xml:space="preserve"> Hindu Mahila Vidyalaya ( School for Hindu Women ) was a boarding school located at 22 Beniapukur Lane , Entally , Kolkata , India , founded by Annette Akroyd The school made a break with the idea of a less taxing curricula for girls , and provided the same kind of learning for its students as was available for boys . Sources record different dates for the establishment of the school . While Jogesh C. Bagal , records the date of establishment as 18 November 1873 David Kopf mentions it as 18 September 1873 . </t>
  </si>
  <si>
    <t xml:space="preserve">Hans Island - wikipedia  Hans Island     Hans Island   Disputed island Native name : Tartupaluk , ᑕᕐᑐᐸᓗᒃ Other names : Hans Ø , Île Hans     Hans Island from the east ( Greenland ) side     Geography     Map of part of Kennedy Channel , with the disputed Island .     Location   Kennedy Channel of the Nares Strait     Coordinates   80 ° 49 ′ 41 '' N 66 ° 27 ′ 35 '' W ﻿ / ﻿ 80.82806 ° N 66.45972 ° W ﻿ / 80.82806 ; - 66.45972 Coordinates : 80 ° 49 ′ 41 '' N 66 ° 27 ′ 35 '' W ﻿ / ﻿ 80.82806 ° N 66.45972 ° W ﻿ / 80.82806 ; - 66.45972     Area   1.3 km ( 0.5 sq mi )     Length   1,290 m ( 0.8 mi )     Width   1,199 m ( 0.745 mi )     Administered by         Disputed , affairs de facto handled by Danish Realm         Claimed by         Canada             Denmark         Demographics     Population   Uninhabited     Hans Island ( Greenlandic : Tartupaluk ; Inuktitut : ᑕᕐᑐᐸᓗᒃ ; French : Île Hans pronounced ( il ɑ̃ ) ; Danish : Hans Ø ) is a small , uninhabited barren knoll measuring 1.3 km ( 0.5 sq mi ) , 1,290 m ( 4,230 ft ) long and 1,199 m ( 3,934 ft ) wide , located in the centre of the Kennedy Channel of Nares Strait -- the strait that separates Ellesmere Island from northern Greenland and connects Baffin Bay with the Lincoln Sea . Hans Island is the smallest of three islands located in Kennedy Channel ; the others are Franklin Island and Crozier Island . The strait at this point is 35 kilometres ( 22 mi ) wide , placing the island within the territorial waters of both Canada and Greenland . A theoretical line in the middle of the strait goes through the island .   The island has likely been part of Inuit hunting grounds since the 14th century . It is claimed by Denmark on behalf of Greenland 's home rule government and also by Canada . In accordance with the Greenland home rule treaty , Denmark handles certain foreign affairs , such as border disputes , on behalf of the entire commonwealth . The nearest populated places are Alert , Canada ( 198 km or 123 - mile distance , pop . 62 ) , Siorapaluk , Greenland ( 349 km or 217 - mile distance , pop . 68 ) and Qaanaaq , Greenland ( 379 km or 235 - mile distance , pop . 656 ) .   Contents    1 Name   2 History and disputed sovereignty   2.1 Early history   2.2 1972 -- 73 border treaty   2.3 Joint administration   2.4 Media attention and continuing negotiations   2.4. 1 Google fight     2.5 Timeline     3 See also   4 Notes   5 Sources   6 External links    Name ( edit )   The island is named after Hans Hendrik , whose native Greenlandic name was Suersaq . Hendrik was an Arctic traveller and translator who worked on the American and British Arctic expeditions of Elisha Kent Kane , Charles Francis Hall , Isaac Israel Hayes and George Strong Nares , from 1853 to 1876 .   Prior to 2005 , the island was thought to have been named during Charles Francis Hall 's third North Pole expedition between 1871 and 1873 . The first written reference to the name and the island itself appears in Charles Henry Davis 's book Narrative of the North Polar expedition ( 1876 ) , which is a narrative of Hall 's third North Pole expedition . On page 407 it appears , without any previous mention . The island made its first cartographic appearance on a map accompanying the book .   Charles Henry Davis writes ,   The ship was tied to a large floe , and drifted slowly down the channel with the pack ; about noon , she was quite near Hans Island and west of it . The latitude by observation was 80 ° 48 ′ N ; longitude 68 ° 38 ′ W . The ship continued to drift , and at 7 p.m. was midway between Hans and Franklin Islands , which are ten miles distant from each other . Soundings were taken at a depth of 203 fathoms , with a bottom of black limestone .   He was referring to the ship Polaris 's return voyage southward down the Kennedy channel . This does not answer when it was named . However , the ship 's doctor and leader of the scientific part of the expedition , Emil Bessels , wrote of it in his own book , Die amerikanische Nordpol - Expedition ( 1879 ) . On page 124 he tells that on August 29 , 1871 , on the voyage north through Kennedy Channel , the Polaris sailed between Grinnell - land ( Ellesmere Island ) and a small unknown island which they later named Hans Island , after his native Greenlandic helper , Hans Hendrik .   An earlier mention of a Hans Island expedition is in Elisha Kent Kane 's Arctic Explorations : The Second Grinnell Expedition , 1853 , ' 54 , ' 55 , ( published 1857 ) , in pages 317 -- 319 . Thus the year 1853 is now often cited as the date of the discovery and naming of the island , including in a letter by the Danish Ambassador to Canada in the Ottawa Citizen on July 28 , 2005 .   We now neared the Litteton Island of Captain Inglefield where a piece of good fortune awaited us . We saw a number of ducks , both eiders and hareldas ; and it occurred to me that by tracking their flight we should reach their breeding - grounds . There was no trouble in doing so , for they flew in a bee - line to a group of rocky islets , ( ... snip ... ) A rugged little ledge , which I named Eider Island , was so thickly colonized that we could hardly walk without treading on a nest ( ... snip ... ) Nearby was a low and isolated rock - ledge , which we called Hans Island . The glaucous gulls , those cormorants of the Arctic seas , had made it their peculiar homestead .   Littleton Island ( Greenlandic : Pikiuleq ) is approximately 1 km ( 0.6 mi ) from Greenland 's coast right in Smith Sound . It is about 300 km ( 190 mi ) south of the island today called Hans Island . Around it and the coast of Greenland lay dozens of tiny Islands , and Kane names one of them Hans Island after Hans Hendrik , the native Greenlandic helper he had with him on the trip . That this is the current Littleton Island is confirmed by Kane mentioning Edward Augustus Inglefield , who named Littleton Island .   The names of many places in this region have changed or been altered during the last 100 years . For example , the name of Nares Strait ( named after George Strong Nares ) , separating Ellesmere Island and Northern Greenland , was not agreed upon between the Danish and Canadian governments until 1964 .   History and disputed sovereignty ( edit )   Early history ( edit )   Inuit living in northern Greenland or Canada would have known the island for centuries . In the mid 19th century , Nares Strait was likely unknown to Europeans . It is not known whether Vikings visited the island in the centuries when Greenland was inhabited by Norsemen .   From 1850 to 1880 , the area in which Hans Island is situated was explored by American and British expeditions . These expeditions were a response partly due to the popular search for the missing British explorer John Franklin , and partly to search for the elusive Northwest Passage and / or reach the North Pole .   The Danish `` Celebration Expedition '' of 1920 to 1923 accurately mapped the whole region of the Northern Greenland coast from Cape York ( Kap York ) to Denmark Sound ( Danmark fjord ) .   In 1933 , the Permanent Court of International Justice declared the legal status of Greenland in favour of Denmark . Denmark claims that geological evidence points to Hans Island being part of Greenland , and therefore that it belongs to Denmark by extension of the Court 's ruling .   Since the 1960s , numerous surveys have been undertaken in the Nares Strait region , including seismic , ice flow , mapping , archeological and economic surveys . Canadian - based Dome Petroleum Ltd. made surveys on and around Hans Island from 1980 to 1983 , to investigate the movement of ice masses .   1972 -- 73 border treaty ( edit )   In 1972 , a team consisting of personnel from the Canadian Hydrographic Service and Danish personnel working in the Nares Strait determined the geographic coordinates for Hans Island . During negotiations between Canada and Denmark on their maritime boundary in 1973 , both states claimed that Hans Island was part of their territory . No agreement was reached between the two governments on the issue .   The maritime boundary immediately north and south of Hans Island was established in the continental shelf treaty ratified by Greenland and Canada and then submitted to the United Nations on December 17 , 1973 , in force since March 13 , 1974 . At that time , it was the longest shelf boundary treaty ever negotiated and may have been the first ever continental shelf boundary developed by a computer .   The Government of the Kingdom of Denmark and the Government of Canada , Having decided to establish in the area between Greenland and the Canadian Arctic Islands a dividing line beyond which neither Party exercising its rights under the Convention on the Continental Shelf of April / 29 / 1958 will extend its sovereign rights for the purpose of exploration and exploitation of the natural resources of the continental shelf ...   The treaty lists 127 points ( latitude and longitude ) from the Davis Strait to the end of the Robeson Channel , where the Nares Strait runs into the Lincoln Sea , to draw geodesic lines between , to form the border . The treaty does not , however , draw a line from point 122 ( 80 ° 49 ′ 12 `` N , 66 ° 29 ′ 00 '' W ) to point 123 ( 80 ° 49 ′ 48 `` N , 66 ° 26 ′ 18 '' W ) , a distance of 1,370 m ( 4,490 ft ) , because Hans Island is situated in between those two points .   Joint administration ( edit )   In 1984 Kenn Harper , a historian from Iqaluit , wrote an article about Hans Island which was published in the local newspaper Hainang in Qaanaaq ( Thule ) in northwestern Greenland . This article was picked up by a Danish newspaper in Copenhagen , and by CBC Radio in Canada .   This article was sparked because of a chance encounter on the ice near Resolute , in the Canadian Arctic in the autumn of 1983 . According to Kenn Harper he met a man wearing a hat with bold letters around the side of the hat saying `` HANS ISLAND , N.W.T. '' This man was a scientist with Dome Petroleum who had just spent the summer on the island doing ice research . Dome Petroleum did research on and around the island from 1980 to 1983 .   Simultaneously , the Danish and Canadian governments were in the process of signing a cooperation agreement in relation to the marine environment in Nares Strait . The agreement was signed and put into force on August 26 , 1983 . ( The treaty was extended in 1991 . )   The Agreement aims at developing further bilateral cooperation in respect of the protection of the marine environment of the waters lying between Canada and Greenland and of its living resources , particularly with respect to preparedness measures as a contingency against pollution incidents resulting from offshore hydrocarbon exploration or exploitation ( Annex A ) and from shipping activities ( Annex B) that may affect the marine environment of these waters .   One of the items also discussed was the possibility of establishing a reciprocal arrangement for processing applications to conduct research on and around Hans Island . This was never signed ; however , Canadian John Munro , at that time Minister for Northern Affairs and Development , and Dane Tom Høyem , at that time Minister for Greenland , agreed , in common interest , to avoid acts that might prejudice future negotiations .   However , unknown to the politicians , Dome Petroleum was already doing research on the island . According to Kenn Harper , the Canadian Department of External Affairs conducting these negotiations with the Danes might not even have been aware that Dome Petroleum was already doing research on the island . Kenn Harper claims that in 1984 a senior official of Energy Mines and Resources , Canada , wrote him , saying , `` To my knowledge the Department of Energy , Mines &amp; Resources did not confer with the Department of External Affairs over the use of the island by Dome Petroleum . ''   In 1984 , the Danish Minister for Greenland planted the Danish flag on the Island and left a little message saying `` Velkommen til den danske ø '' ( English : Welcome to the Danish Island ) . It is also said he left a bottle of brandy , however this seems to have been Schnapps , which unlike brandy is a traditional Danish spirit . The Canadians have reciprocated with their own sign , the flag of Canada and a bottle of Canadian Club .   Media attention and continuing negotiations ( edit )  Hans Island . NASA Landsat 7 image  Though CBC and others had done some reporting in the 1980s , the dispute came to popular attention through Canadian press stories during late March 2004 . Within days , it spread to other newspapers worldwide .   On March 25 , 2004 , when Adrian Humphreys of the Canadian National Post newspaper wrote an article entitled `` Five - year plan to ' put footprints in the snow ' and assert northern sovereignty '' , Humphreys made a brief mention of the dispute over Hans Island , and that the Danes had sent warships to the island .   The Arctic sea region has long been a subject of the dispute . In this matter , Canada , Denmark , Iceland , Russia , and Norway share a common interest because they regard parts of the Arctic seas as `` national waters '' . The United States and most European Union countries , on the other hand , officially regard the region as international waters . Further items in the Canadian media led to the issue being picked up by international news organizations .   The Canadian federal government 's 2004 budget was introduced on March 23 , 2004 , two days before the issue gained widespread attention . It proposed minimal increases to spending on national defence . The issue of Hans Island was raised in the Canadian Parliament by opposition foreign affairs critic Stockwell Day to highlight the government 's failure to provide more funding for the military .   A new article by Adrian Humphreys on March 30 , 2004 , also in the National Post , entitled `` Danes summon envoy over Arctic fight -- the solution of the dispute is not going to be military '' , drew even more attention to the issue . The article claimed that Brian Herman , Canada 's only diplomat in Denmark ( ambassador Alfonso Gagliano having been recently recalled as a result of an unrelated Canadian scandal ) , was called before the Danish Ministry of Foreign Affairs , to comment about his country 's intentions in the dispute , which had , according to the article , recently been inflamed by Danish sailors occupying Hans Island .   On March 31 , 2004 , the Danish and Canadian governments denied that Herman or any other Canadian official was summoned to the Danish Ministry of Foreign Affairs . Both governments stated that the dispute was a long - standing issue , and that nothing had changed in the matter .   A Canadian military exercise , named `` Narwhal 04 '' , inflamed the issue further . However , this exercise had been in the planning stage since September 2003 , and it took place around Pangnirtung , Baffin Island , 2,000 km ( 1,240 mi ) south of Hans Island . The Canadian military denied that the exercise had anything to do with the Danish -- Canadian territorial dispute . The exercise took place from August 9 to 30 , 2004 , involving about 160 soldiers from the army , various aircraft , helicopters and one frigate , HMCS Montréal . About 600 Canadian Forces personnel were involved in total .   A new development came to light after Canadian Defence Minister Bill Graham visited the island on July 20 , 2005 . Peter Taksø - Jensen , the head of the International Law department at Denmark 's foreign ministry , said the following in an interview with Reuters on July 25 in response to the event :   We consider Hans Island to be part of Danish territory and will therefore hand over a complaint about the Canadian minister 's unannounced visit .  -- Peter Taksø - Jensen , Danish Foreign Office  On August 18 , 2005 , Canadian frigate HMCS Fredericton left Halifax for an Arctic cruise . Canadian officials said the month - long patrol was unrelated to the Hans Island dispute . The Kingston - class coastal defence vessels HMCS Glace Bay and HMCS Shawinigan were also scheduled to patrol the Arctic in 2005 .   In July 2007 , owing to updated satellite imagery , Canadian authorities realized that the line constructed as a basis for the maritime boundary ( but not for land ) would have run roughly across the middle of the island , but the boundary did not `` move '' as that required a bilateral agreement by the two states for which negotiations continued .   The two countries maintain a sense of humour in the dispute . Peter Taksøe - Jensen has stated `` when Danish military go there , they leave a bottle of Schnapps . And when Canadian military forces come there , they leave a bottle of Canadian Club and a sign saying , ' Welcome to Canada . ' ''   Negotiations in 2012 between Canada and Denmark , not yet finalized , call for either a condominium or splitting the disputed island 's sovereignty in half . If the island were to be split by a boundary , it would create a second land neighbour for Canada and Denmark , each of which currently only has one , with the United States and Germany respectively .   On May 23 , 2018 , Canada and Denmark announced the creation of a Joint Task Force to determine the boundary between Canada and Greenland , including the fate of Hans Island .  Google fight ( edit )  `` Google fight '' or `` Google war '' is the name given to a number of advertisements on the Internet search engine Google which promoted either Danish or Canadian sovereignty over Hans Island .   According to an article in the Ottawa Citizen on July 27 , 2005 , Toronto resident Rick Broadhead saw an advertisement on Google stating `` Hans Island is Greenland . Greenland natives have used the island for centuries '' and which linked to a Danish foreign affairs webpage that stated that the Danish Ministry of Foreign Affairs had sent a note to Canada 's ambassador to Denmark on July 25 , 2005 expressing Denmark 's regret that `` the Canadian Minister of National Defence had paid a visit to Hans Island without prior notification of the Danish Government . '' Poul Erik Dam Kristensen , Denmark 's ambassador to Canada , told the press that the paid advertisement was not a Danish government initiative and whoever placed it was acting alone .   According to the article , this prompted Broadhead to put up his own advertisement on Google which linked to his own site , which promoted the Canadian claim to the island , on July 26 .   Timeline ( edit )    1980 -- 1983 -- Canadian firm Dome Petroleum did research on and around the island .   1984 -- Tom Høyem , Danish Minister for Greenland , chartered a helicopter to the island .   1988 -- The Danish Arctic Ocean patrol cutter HDMS Tulugaq ( Y388 ) arrived at the island , built a cairn and placed a flagpole and Danish flag on the island .   1995 -- The Danish liaison officer and geodesists Geodesy flew in and placed another flagpole and flag .   Late August 1997 -- The Danish Arctic / Ocean patrol cutter HDMS Agpa ( Y387 ) tried to reach the island , but was forced to turn around 241 km ( 150 mi ) from the Island , owing to extreme ice .   2001 -- Keith Dewing and Chris Harrison , geologists with the Geological Survey of Canada who were mapping northern Ellesmere Island , flew by helicopter to the island .   August 13 , 2002 -- The Danish inspection ship HDMS Vædderen ( F359 ) arrived and erected a new cairn , flagpole and flag , finding the 1988 flag missing and the 1995 flag in pieces .   August 1 , 2003 -- The crew of the Danish frigate HDMS Triton ( F358 ) landed on the island and replaced the Danish flag again .   July 13 , 2005 -- Canadian soldiers land on the Island , placing a traditional Inuit stone marker ( Inukshuk ) with a plaque and a Canadian flag .   July 20 , 2005 -- As a symbolic move , Canadian Defence Minister Bill Graham set foot on the island .   July 25 , 2005 -- A Danish government official announced that Denmark would issue a letter of protest to Canada .   July 25 , 2005 -- Deputy premier of Greenland , Josef Motzfeldt , stated that the island had been occupied by Canada , stating that experts should determine which country the island belongs to .   July 28 , 2005 -- The Danish Ambassador to Canada published an article in the Ottawa Citizen newspaper regarding the Danish view on the Hans Island issue .   August 4 , 2005 -- The Danish Arctic / Ocean patrol cutter HDMS Tulugaq ( Y388 ) was sent from Naval Station Grønnedal to Hans Island to assert Danish sovereignty . The cutter was expected to arrive in three weeks ' time .   August 8 , 2005 -- Danish newspapers reported that Canada wished to open negotiations regarding the future of Hans Island . The news was welcomed by Danish Prime Minister Anders Fogh Rasmussen who stated that `` It is time to stop the flag war . It has no place in a modern , international world . Countries like Denmark and Canada must be able to find a peaceful solution in a case such as this . ''   August 16 , 2005 -- According to Danish Foreign Minister Per Stig Møller , Denmark and Canada agreed to reopen negotiations regarding the future of Hans Island . Denmark would immediately begin geological surveys in the area , and Per Stig Møller would meet his Canadian counterpart Pierre Pettigrew in New York City in the middle of September . Should they fail to reach an agreement , both governments have agreed to submit the dispute to the International Court of Justice in The Hague . The government of Greenland agreed to this course of action . Regarding the Danish patrol cutter HDMS Tulugaq ( Y388 ) then en route to Hans Island , the minister stated `` I have instructed the ship to sail there , but they will not go ashore tearing down ( the Canadian ) flag and replacing it with a new one . It would be a somewhat childish ( behaviour ) between two NATO allies . ''   August 20 , 2005 -- Canada 's Foreign Affairs Minister , Pierre Pettigrew , stated that Canada 's claim to the island had a firm basis in international law and would likely not end up before a world court . `` Our sovereignty over the island has a very strong foundation , '' the minister said in a telephone interview with a Canadian Press journalist .   September 19 , 2005 -- According to Canada 's Foreign Affairs Minister , Pierre Pettigrew , Canada and Denmark have agreed on a process to resolve the dispute over the island . Pettigrew and his Danish counterpart , Per Stig Møller , met in New York on this day . Pettigrew said the two countries would work together `` to put this issue behind us . '' However Pettigrew reiterated that Canada has sovereignty over the island .   August 16 , 2006 -- A Vancouver geologist receives a prospecting permit for Hans Island from the Canadian government .   March 17 , 2007 -- Scientists from the University of Toronto and the Technical University of Denmark announced plans to install an automated weather station on the island , some time in the summer of 2007 .   July , 2007 -- Canada updates satellite photos and recognizes that its line constructed for the earlier maritime agreement would have run roughly through the middle of the island ; negotiations continue with Denmark over establishing an international land boundary or island sovereignty .   May 4 , 2008 -- An international group of scientists from Australia , Canada , Denmark , and the UK installed an automated weather station on Hans Island .   April 11 , 2012 -- Proposal for Canada and Denmark to split Hans Island .   November 29 , 2012 -- Canada and Denmark settle an agreement on the exact border between them , though without defining the border near Hans Island .   May 23 , 2018 - Canada and Denmark announce a Joint Task Force to settle the dispute over Hans Island    See also ( edit )    Arctic portal   Greenland portal   Islands portal   Nunavut portal     List of islands of Canada   List of islands of Denmark   Operation Hurricane ( Canada )    Notes ( edit )    ^ Jump up to : McKernan , Bethan ( 13 November 2015 ) . `` Canada and Denmark are locked in an adorable war '' . i100.co.uk . Retrieved 14 November 2015 .   Jump up ^ `` Whose Hans ? '' . Canadian Geographic . Archived from the original on January 5 , 2013 .   Jump up ^ They are 19 km from each other , so he must have meant nautical miles , 10 nmi ( 19 km ; 12 mi )   Jump up ^ 203 fathoms ( 1,218 ft ; 371 m )   Jump up ^ Stevenson , Christopher ( 2007 ) . `` Hans Off ! : The Struggle for Hans Island and the Potential Ramifications for International Border Dispute Resolution '' . Boston College International and Comparative Law Review . p. 265 . By most accounts , the first western explorer to discover and name Hans Island was American Charles Francis Hall .   Jump up ^ `` Agreement between the Government of the Kingdom of Denmark and the Government of Canada relating to the Delimitation of the Continental Shelf between Greenland and Canada ( 17 December 1973 ) '' ( PDF ) . Delimitation Treaties Infobase . United Nations . 13 March 2002 . Retrieved 20 February 2017 .   Jump up ^ `` Limits in the Seas No. 72 - Continental Shelf Boundary - Canada -- Greenland '' ( PDF ) . U.S. Department of State . 4 August 1976 . Retrieved 20 February 2017 .   Jump up ^ Hainang newspaper , Qaanaaq -- according to `` Newspapers on microfilm '' , 24th edition , 2004 , Statsbiblioteket , Denmark -- existed 1964 -- 1982 , so it might have been named different in 1984 , or it might be a different newspaper altogether .   ^ Jump up to : Canada , Denmark agree to resolve dispute over Arctic island , CBC News September 19 , 2005 Archived January 27 , 2007 , at the Wayback Machine .   ^ Jump up to : Byers , Michael ( 2009 ) . Who owns the Arctic ? : understanding sovereignty disputes in the North ( 1st U.S. ed . ) . Vancouver : Douglas &amp; McIntyre . pp. 26 -- 27 . ISBN 9781553654995 .   Jump up ^ `` Canada and Denmark Whiskey War Over Hans Island '' . Business Insider . January 8 , 2016 . Retrieved January 8 , 2016 .   ^ Jump up to : `` April 11 , 2012 audio report on Hans Island '' . Canadian Broadcasting Corporation . Retrieved April 24 , 2012 .   Jump up ^ `` Europe Canada island visit angers Danes '' . BBC News . July 25 , 2005 . Retrieved November 20 , 2009 .   Jump up ^ `` HMCS Fredericton leaves Halifax for Arctic patrol '' . CTV.ca . August 18 , 2005 . Archived from the original on September 25 , 2005 . Retrieved November 20 , 2009 .   ^ Jump up to : `` Canada has claim to Hans Island : Pettigrew '' . CTV.ca . August 20 , 2005 . Archived from the original on December 6 , 2005 . Retrieved November 20 , 2009 .   ^ Jump up to : The Canadian Press ( July 26 , 2007 ) . `` Satellite imagery moves Hans Island boundary : report '' . Cbc.ca . Retrieved November 20 , 2009 .   Jump up ^ Weber , Bob ( 2015 - 11 - 15 ) . `` Canada , Denmark should turn Hans Island into a condominium : academics '' . CBC News .   ^ Jump up to : `` Canada and the Kingdom of Denmark ( with Greenland ) announce the establishment of a Joint Task Force on Boundary Issues '' ( Press release ) . Ottawa : Government of Canada . Global Affairs Canada . 2018 - 05 - 23 . Retrieved 2018 - 05 - 23 .   Jump up ^ `` HANS ISLAND : DANISH NOTE TO CANADIAN AMBASSADOR '' . Ministry of Foreign Affairs of Denmark . Archived from the original on July 30 , 2005 . Retrieved August 11 , 2010 .   Jump up ^ `` Island squabble goes Google '' . Reuters . cnn.com . Archived from the original on July 31 , 2005 . Retrieved November 6 , 2010 .   Jump up ^ `` Hans Island Belongs to Canada '' . Rickbroadhead.com . July 26 , 2005 . Archived from the original on November 22 , 2009 . Retrieved November 20 , 2009 .   Jump up ^ `` Hans Island '' . The Canadian Encyclopedia . Retrieved 2015 - 11 - 14 .   Jump up ^ Lynge , Mads ( 25 July 2005 ) . `` Josef Motzfeldt : Uforskammet af Canada '' ( in Danish ) . Kalaallit Nunaata Radioa . Retrieved 12 January 2016 .   Jump up ^ `` Article about the Hans Island issue -- Embassy of Denmark Canada '' . Ambottawa.um.dk . Archived from the original on June 22 , 2008 . Retrieved November 20 , 2009 .   Jump up ^ `` ? '' .   Jump up ^ `` ? '' . Archived from the original on September 18 , 2005 .   Jump up ^ `` Ø - farcen er slut '' .   Jump up ^ Canada , Denmark agree to resolve dispute over Arctic island Archived December 29 , 2010 , at the Wayback Machine .   Jump up ^ `` Geologist to prospect on disputed Hans Island in Arctic '' . Cbc.ca . August 16 , 2006 . Retrieved November 20 , 2009 .   Jump up ^ `` Canadian , Danish scientists join Hans '' . globeandmail.com. 15 March 2007 . Archived from the original on March 19 , 2007 . Retrieved November 20 , 2009 .   Jump up ^ `` Arctic Weather Station '' . Archived from the original on December 21 , 2014 .   Jump up ^ `` Canada , Denmark closer to settling border dispute '' . The Globe and Mail . November 29 , 2012 . Retrieved November 2 , 2013 .    Sources ( edit )    United Nations : Delimitation Treaties . Agreement between the Government of the Kingdom of Denmark and the Government of Canada relating to the Delimitation of the Continental Shelf between Greenland and Canada , December 17 , 1973 ,   U.S. Department of State : Bureau of Intelligence and Research Limits in the Seas No. 72 Continental shelf Boundary : Canada -- Greenland , Issued by the Geographer , August 4 , 1976 .   Hans Island rightfully belongs to Greenland , Denmark -- Kenn Harper , Article , Nunatsiaq News , April 9 , 2004 .   Agreement between the Government of Canada and the Kingdom of Denmark for Cooperation relating to the Marine Environment , August 26 , 1983 .   Narrative of the North Polar expedition : U.S Ship Polaris , Captain Charles Francis Hall commanding , edited under the direction of G.M. Robeson by C.H. Davis . Washington , G.P.O. , 1876 .    External links ( edit )       Wikimedia Commons has media related to Hans Island .      Hans Island in the Atlas of Canada -- Toporama ; Natural Resources Canada   Hans Island : A border dispute between Denmark and Canada -- Background , maps , timeline about the Hans Island dispute .   NPR 's Morning Edition , Friday , Aug 12 , 2005 -- Summary of the dispute .   Newsletter No. 3 HDMS Triton -- about the August 1 , 2003 landing on the island .   CASR -- article on the dispute by the Canadian American Strategic Review .   Caryophyllaceae of the Canadian Arctic Archipelago   Canadian Archipelago Throughflow Study   Crisis in the Arctic !   Canadian perspective , March 29 , 2004 ( updated )   The Globe and Mail : Denmark wo n't provoke ' flag war ' over Hans Island              Queen Elizabeth Islands , Nunavut and Northwest Territories , Canada     Ellesmere Island     Ellesmere   Ward Hunt Island       Parry Islands      major     Devon   Melville   Bathurst   Prince Patrick   Cornwallis   Mackenzie King   Borden   Cornwall   Eglinton   Graham   Lougheed   Byam Martin   Île Vanier   Cameron   Brock   North Kent   Emerald Isle   Alexander   Massey   Little Cornwallis   Coburg   Helena   Baillie - Hamilton   Griffith   Hoved   Lowther   Buckingham       minor     Beechey   Berkeley   Browne   Cheyne   Cocked Hat   Crescent   Des Voeux   Dundas   Edmund Walker   Eight Bears   Ekins   Fairholme   Fitzwilliam Owen   Findlay Group   Grosvenor   Hans ( disputed by Denmark )   Houston Stewart   Hyde Parker   Île Marc   John Barrow   Margaret   Nookap   Norman Lockyer   Patterson   Philpots   Pim   Princess Royal   Skraeling   Stupart   Table   Thor   Truro          Sverdrup Islands      major     Axel Heiberg   Ellef Ringnes   Amund Ringnes   King Christian   Meighen   Stor       minor     Fay   Gretha   Haig - Thomas   Hat   Ulvingen                    Islands of the Qikiqtaaluk Region         Adams   Akpatok   Alfred   Allen   Amherst   Arvalik   Aulitivik   Aulitiving   Baffin   Barth   Beloeil   Bergesen   Bjarnason   Bylot   Curry   Davids   Dexterity   Diana   Edgeworth   Eider   Elder   Emmerson   Fraser   Frechette   Gyrfalcon   Hamilton   Imiqqutailaqtuuq   Kaigosuiyat   Kilian   Lady Franklin   Landslip   Liddon   Lock   Low   Marvin   Nakoaiyet   Nova Zembla   Old Squaw   Ormonde   Otrick   Pandora   Payne   Peter Richards   Pisiktarfik   Plover   Prescott   Prince Leopold   Prince of Wales   Ragged   Round   Russell   Salikuit   Saneruarsuk   Scott   Sillem   Somerset   Spicer   Stephens   Trinity   Vesey Hamilton   Vivian   Ward Hunt   Wollaston   Yeoman   Young       Belcher Islands     Bradbury   Broomfield   Bun   Cake   Camsell   Dove   Fair   Flaherty   Innetalling   Karlay   La Duke   Loaf   Mata   Mavor   Moore   Nero   Ney   O'Leary   Range   Renouf   Snape   Split   Tukarak   Twin Cairns   Walton   Wiegand       Islands of C</t>
  </si>
  <si>
    <t xml:space="preserve">the island that canada and denmark fight over</t>
  </si>
  <si>
    <t xml:space="preserve"> `` Google fight '' or `` Google war '' is the name given to a number of advertisements on the Internet search engine Google which promoted either Danish or Canadian sovereignty over Hans Island . </t>
  </si>
  <si>
    <r>
      <rPr>
        <sz val="11"/>
        <color rgb="FF000000"/>
        <rFont val="Calibri"/>
        <family val="0"/>
        <charset val="1"/>
      </rPr>
      <t xml:space="preserve">List of Tokyo ghoul episodes - wikipedia  List of Tokyo ghoul episodes   Tokyo Ghoul is an anime television series by Studio Pierrot aired on Tokyo MX between July and September 2014 with a second season titled Tokyo Ghoul √ A that aired January 8 , 2015 , to March 26 , 2015 , and a third season titled Tokyo Ghoul : re , currently airing from April 3 , 2018 . Studio Pierrot also produced an OVA for Tokyo Ghoul : JACK along with a portion of the light novel Tokyo Ghoul : Hibi titled Tokyo Ghoul : PINTO .     Contents  ( hide )   1 Episode list   1.1 Tokyo Ghoul   1.2 Tokyo Ghoul √ A   1.3 Tokyo Ghoul : re   1.4 OVA     2 Home release   2.1 Tokyo Ghoul     3 Notes   4 References      Episode list ( edit )   Tokyo ghoul ( edit )     No .   Title   Original air date   English air date       `` Tragedy '' `` Higeki '' ( </t>
    </r>
    <r>
      <rPr>
        <sz val="11"/>
        <color rgb="FF000000"/>
        <rFont val="Noto Sans CJK SC"/>
        <family val="2"/>
      </rPr>
      <t xml:space="preserve">悲劇 </t>
    </r>
    <r>
      <rPr>
        <sz val="11"/>
        <color rgb="FF000000"/>
        <rFont val="Calibri"/>
        <family val="0"/>
        <charset val="1"/>
      </rPr>
      <t xml:space="preserve">)   July 4 , 2014   March 26 , 2017     Ken Kaneki is a young man who befriends the beautiful and enigmatic Rize Kamishiro , unaware that she is a ghoul . Rize reveals her intentions to eat Kaneki but by a stroke of luck Kaneki survives her attack but is mortally wounded . He is saved by an emergency operation , transferring Rize 's organs into himself . This subsequently turns him into a half - ghoul half - human hybrid and Kaneki struggles to survive and cope by himself .       `` Incubation '' `` Fuka '' ( </t>
    </r>
    <r>
      <rPr>
        <sz val="11"/>
        <color rgb="FF000000"/>
        <rFont val="Noto Sans CJK SC"/>
        <family val="2"/>
      </rPr>
      <t xml:space="preserve">孵化 </t>
    </r>
    <r>
      <rPr>
        <sz val="11"/>
        <color rgb="FF000000"/>
        <rFont val="Calibri"/>
        <family val="0"/>
        <charset val="1"/>
      </rPr>
      <t xml:space="preserve">)   July 11 , 2014   April 2 , 2017     Kaneki struggles to adapt to his new nature with no success , until another ghoul , Nishiki Nishio , attempts to prey on his friend , Hideyoshi Nagachika , and he must fight to protect him .       `` Dove '' `` Shirohato '' ( </t>
    </r>
    <r>
      <rPr>
        <sz val="11"/>
        <color rgb="FF000000"/>
        <rFont val="Noto Sans CJK SC"/>
        <family val="2"/>
      </rPr>
      <t xml:space="preserve">白 鳩 </t>
    </r>
    <r>
      <rPr>
        <sz val="11"/>
        <color rgb="FF000000"/>
        <rFont val="Calibri"/>
        <family val="0"/>
        <charset val="1"/>
      </rPr>
      <t xml:space="preserve">)   July 18 , 2014   April 9 , 2017     After saving his friend , Kaneki is taken in by Yoshimura , a ghoul who runs the Cafe `` Anteiku '' , who teaches him to blend in human society while hiding his true nature . However , he gets bullied by another ghoul named Touka .       `` Supper '' `` Bansan '' ( </t>
    </r>
    <r>
      <rPr>
        <sz val="11"/>
        <color rgb="FF000000"/>
        <rFont val="Noto Sans CJK SC"/>
        <family val="2"/>
      </rPr>
      <t xml:space="preserve">晩餐 </t>
    </r>
    <r>
      <rPr>
        <sz val="11"/>
        <color rgb="FF000000"/>
        <rFont val="Calibri"/>
        <family val="0"/>
        <charset val="1"/>
      </rPr>
      <t xml:space="preserve">)   July 25 , 2014   April 23 , 2017     A ghoul named Tsukiyama approaches Kaneki with unknown intentions and the two start hanging out . However , Tsukiyama has prepared a mortal trap where Kaneki is to be killed and eaten . Kaneki finds himself in an arena facing a giant ghoul executioner , Taro , but Tsukiyama intervenes and kills Taro as he wants Kaneki for himself .     5   `` Scars '' `` Zankon '' ( </t>
    </r>
    <r>
      <rPr>
        <sz val="11"/>
        <color rgb="FF000000"/>
        <rFont val="Noto Sans CJK SC"/>
        <family val="2"/>
      </rPr>
      <t xml:space="preserve">残 痕 </t>
    </r>
    <r>
      <rPr>
        <sz val="11"/>
        <color rgb="FF000000"/>
        <rFont val="Calibri"/>
        <family val="0"/>
        <charset val="1"/>
      </rPr>
      <t xml:space="preserve">)   August 1 , 2014   April 30 , 2017     Intending to consume Kaneki himself , Tsukiyama prepares another trap , using Nishio 's human girlfriend Nishino Kimi as a hostage . Kaneki confronts Tsukiyama and is assisted by Nishio and then Touka . They are no match for Tsukiyama as their kagune are not as strong because they do not consume human flesh , so Touka bites Kaneki , restoring her kagune .     6   `` Cloudburst '' `` Shūu '' ( </t>
    </r>
    <r>
      <rPr>
        <sz val="11"/>
        <color rgb="FF000000"/>
        <rFont val="Noto Sans CJK SC"/>
        <family val="2"/>
      </rPr>
      <t xml:space="preserve">驟雨 </t>
    </r>
    <r>
      <rPr>
        <sz val="11"/>
        <color rgb="FF000000"/>
        <rFont val="Calibri"/>
        <family val="0"/>
        <charset val="1"/>
      </rPr>
      <t xml:space="preserve">)   August 8 , 2014   May 7 , 2017     Tsukiyama is defeated by Touka with Nishio 's help . Meanwhile , recent developments in the 20th ward draw the attention of the Commission of Counter Ghoul ( CCG ) , who sends two of their investigators , Kureo Mado &amp; Kōtarō Amon to hunt down all ghouls in the area . They find Hinami 's father , Fueguchi and kill him . They then use some of Fueguchi 's blood to attract ghouls and trap Hinami and her mother , Ryouko .     7   `` Captivity '' `` Yūshū '' ( </t>
    </r>
    <r>
      <rPr>
        <sz val="11"/>
        <color rgb="FF000000"/>
        <rFont val="Noto Sans CJK SC"/>
        <family val="2"/>
      </rPr>
      <t xml:space="preserve">幽囚 </t>
    </r>
    <r>
      <rPr>
        <sz val="11"/>
        <color rgb="FF000000"/>
        <rFont val="Calibri"/>
        <family val="0"/>
        <charset val="1"/>
      </rPr>
      <t xml:space="preserve">)   August 15 , 2014   May 14 , 2017     Hinami 's mother Ryouka is killed by Mado . An angry and vengeful Touka attacks members of the CCG . She kills Kusaba and attacks Amon , but Mado intervenes , using his kagune - like quinque and wounds Touka . Kaneki tells Touka that he wants to fight the ghoul investigators , much to Touka 's chagrin , and is given his mask by Uta .     8   `` Circular '' `` Enkan '' ( </t>
    </r>
    <r>
      <rPr>
        <sz val="11"/>
        <color rgb="FF000000"/>
        <rFont val="Noto Sans CJK SC"/>
        <family val="2"/>
      </rPr>
      <t xml:space="preserve">円 環 </t>
    </r>
    <r>
      <rPr>
        <sz val="11"/>
        <color rgb="FF000000"/>
        <rFont val="Calibri"/>
        <family val="0"/>
        <charset val="1"/>
      </rPr>
      <t xml:space="preserve">)   August 22 , 2014   May 21 , 2017     Mado lures Hinami into a trap , but she is followed by Kaneki and Touka . Touka attacks Mado while Kaneki confronts Amon . During the fight with Amon , Kaneki realizes that he 's the only one that understands the plight of both humans and ghouls . Kaneki bites Amon , releasing his kagune , but then tells Amon to escape , to his surprise . Meanwhile as Mado fights Touka , he reveals that the quinque used by the CCG are made from the kagune of dead ghouls . Hinami eventually uses her kagune to save Touka fatally wounding Mado , but refusing to kill him .     9   `` Birdcage '' `` Torikago '' ( </t>
    </r>
    <r>
      <rPr>
        <sz val="11"/>
        <color rgb="FF000000"/>
        <rFont val="Noto Sans CJK SC"/>
        <family val="2"/>
      </rPr>
      <t xml:space="preserve">鳥 籠 </t>
    </r>
    <r>
      <rPr>
        <sz val="11"/>
        <color rgb="FF000000"/>
        <rFont val="Calibri"/>
        <family val="0"/>
        <charset val="1"/>
      </rPr>
      <t xml:space="preserve">)   August 29 , 2014   June 4 , 2017     Amon recalls his early days in the CCG when he was partnered with the experienced Mado . Meanwhile , Touka looks after Hinami above the cafe . Still mourning the loss of his partner , Amon is relocated to the 11th ward , where the CCG have trouble facing dangerous ghouls who do not fear them .     10   `` Aogiri '' ( </t>
    </r>
    <r>
      <rPr>
        <sz val="11"/>
        <color rgb="FF000000"/>
        <rFont val="Noto Sans CJK SC"/>
        <family val="2"/>
      </rPr>
      <t xml:space="preserve">青桐 </t>
    </r>
    <r>
      <rPr>
        <sz val="11"/>
        <color rgb="FF000000"/>
        <rFont val="Calibri"/>
        <family val="0"/>
        <charset val="1"/>
      </rPr>
      <t xml:space="preserve">)   September 5 , 2014   June 11 , 2017     In the 11th ward , Aogiri Tree ghouls attack a CCG branch and kill all the investigators , to the concern of Yoshimura and Yomo . Banjou Kazuichi from the 11th Ward comes to the cafe looking for Rize , then Touka 's brother Ayato arrives , and then Yamori ( Jason ) who brutally beats and then kidnaps Kaneki . While the CCG plan an attack on the Aogiri Tree , Touka , Nishio and Hinami prepare to rescue Kaneki .     11   `` High Spirits '' `` Shōten '' ( </t>
    </r>
    <r>
      <rPr>
        <sz val="11"/>
        <color rgb="FF000000"/>
        <rFont val="Noto Sans CJK SC"/>
        <family val="2"/>
      </rPr>
      <t xml:space="preserve">衝天 </t>
    </r>
    <r>
      <rPr>
        <sz val="11"/>
        <color rgb="FF000000"/>
        <rFont val="Calibri"/>
        <family val="0"/>
        <charset val="1"/>
      </rPr>
      <t xml:space="preserve">)   September 12 , 2014   June 18 , 2017     As Kaneki is tortured mercilessly by Yamori , the CCG storm the Aogiri Tree hideout . Meanwhile the Anteiku group infiltrate the building to rescue Kaneki . The CCG gain the upper hand , but are then confronted by the One - Eyed Owl , the leader of Aogiri Tree .     12   `` Ghoul '' `` Kushu '' ( </t>
    </r>
    <r>
      <rPr>
        <sz val="11"/>
        <color rgb="FF000000"/>
        <rFont val="Noto Sans CJK SC"/>
        <family val="2"/>
      </rPr>
      <t xml:space="preserve">喰 種 </t>
    </r>
    <r>
      <rPr>
        <sz val="11"/>
        <color rgb="FF000000"/>
        <rFont val="Calibri"/>
        <family val="0"/>
        <charset val="1"/>
      </rPr>
      <t xml:space="preserve">)   September 19 , 2014   June 25 , 2017     During the physical and mental tortures he suffers at the hands of Jason , Kaneki 's hair turns white and he sees a vision of Rize . Eventually he comes to accept his ghoul - half and fights back and mortally wounds Yamori .     Tokyo ghoul √ a ( edit )     No .   Title   Original air date   English air date       `` New Surge '' `` Shinkō '' ( </t>
    </r>
    <r>
      <rPr>
        <sz val="11"/>
        <color rgb="FF000000"/>
        <rFont val="Noto Sans CJK SC"/>
        <family val="2"/>
      </rPr>
      <t xml:space="preserve">新 洸 </t>
    </r>
    <r>
      <rPr>
        <sz val="11"/>
        <color rgb="FF000000"/>
        <rFont val="Calibri"/>
        <family val="0"/>
        <charset val="1"/>
      </rPr>
      <t xml:space="preserve">)   January 9 , 2015   July 9 , 2017     An all - out battle takes place between the CCG and the Aogiri led by the One - Eyed Owl . Shinohara and Iwa take on the One - Eyed Owl using new quinque armour called aratas , but are unable to defeat him . As the building collapses , the CCG lose about half of their troops and suspect that it was a trap . Meanwhile , Touka fights her brother Ayato but she is badly injured and saved by Kaneki . To her surprise , Kaneki leaves the Anteiku group to join the Aogiri Tree .       `` Dancing Flowers '' `` Buka '' ( </t>
    </r>
    <r>
      <rPr>
        <sz val="11"/>
        <color rgb="FF000000"/>
        <rFont val="Noto Sans CJK SC"/>
        <family val="2"/>
      </rPr>
      <t xml:space="preserve">舞花 </t>
    </r>
    <r>
      <rPr>
        <sz val="11"/>
        <color rgb="FF000000"/>
        <rFont val="Calibri"/>
        <family val="0"/>
        <charset val="1"/>
      </rPr>
      <t xml:space="preserve">)   January 16 , 2015   July 16 , 2017     The 9th and 10th wards are lost to the Aogiri , apparently led by a ghoul with an eyepatch . Meanwhile Mado 's daughter Akira , is assigned to become Amon 's new partner . She suggests that a ghoul organization is in control of the 20th ward , but also causes some friction among the investigators because of her abrupt manner . Kaneki has now joined the Aogiri .       `` Hangman '' `` Tsurushibito '' ( </t>
    </r>
    <r>
      <rPr>
        <sz val="11"/>
        <color rgb="FF000000"/>
        <rFont val="Noto Sans CJK SC"/>
        <family val="2"/>
      </rPr>
      <t xml:space="preserve">吊 人 </t>
    </r>
    <r>
      <rPr>
        <sz val="11"/>
        <color rgb="FF000000"/>
        <rFont val="Calibri"/>
        <family val="0"/>
        <charset val="1"/>
      </rPr>
      <t xml:space="preserve">)   January 23 , 2015   July 23 , 2017     Kaneki and Ayato lead an Aogiri attack on a CCG convoy to rescue Naki , one of Jason 's old cohorts who is being taken to the maximum security prison for ghouls known as Cochlea . During the mission , they are attacked by two one - eyed ghouls in black and white striped masks . Touka pays a visit to the university which Kaneki used to attend , where she has an encounter with Hideyoshi Nagachika ( Hide ) who is now working as a messenger for the CCG .       `` Deeper Layers '' `` Shinsō '' ( </t>
    </r>
    <r>
      <rPr>
        <sz val="11"/>
        <color rgb="FF000000"/>
        <rFont val="Noto Sans CJK SC"/>
        <family val="2"/>
      </rPr>
      <t xml:space="preserve">深層 </t>
    </r>
    <r>
      <rPr>
        <sz val="11"/>
        <color rgb="FF000000"/>
        <rFont val="Calibri"/>
        <family val="0"/>
        <charset val="1"/>
      </rPr>
      <t xml:space="preserve">)   January 30 , 2015   July 30 , 2017     While Amon and Akira visit Cochlea prison to learn more about Aogiri 's plan from Donato Porpora , the Aogiri commence their invasion of Cochlea and free a majority of the imprisoned ghouls . The two one - eyed ghouls , Kurona and Nashiro Yasuhisa , meet up with the idiosyncratic inspector Juzo Suzuya . Kaneki frees the powerful ghoul Matasaka Kamishiro , but is attacked by him and badly beaten .     5   `` Rift '' `` Sakeme '' ( </t>
    </r>
    <r>
      <rPr>
        <sz val="11"/>
        <color rgb="FF000000"/>
        <rFont val="Noto Sans CJK SC"/>
        <family val="2"/>
      </rPr>
      <t xml:space="preserve">裂 目 </t>
    </r>
    <r>
      <rPr>
        <sz val="11"/>
        <color rgb="FF000000"/>
        <rFont val="Calibri"/>
        <family val="0"/>
        <charset val="1"/>
      </rPr>
      <t xml:space="preserve">)   February 6 , 2015   August 6 , 2017     The battle at Cochlea intensifies on several fronts . Juzo defeats Kurona and Nashiro Yasuhisa , and Shinohara in his arata armour almost kills Ayato . Kaneki undergoes a transformation , generating an additional kagune after consuming dead ghouls , however he is beaten by Amon . Amon recalls the time Kaneki spared him and so he hesitates , reluctant to kill Kaneki . At that moment , the One - Eyed - Owl arrives , grabs Ayato and Kaneki , then departs .     6   `` Thousand Paths '' `` Senro '' ( </t>
    </r>
    <r>
      <rPr>
        <sz val="11"/>
        <color rgb="FF000000"/>
        <rFont val="Noto Sans CJK SC"/>
        <family val="2"/>
      </rPr>
      <t xml:space="preserve">千 路 </t>
    </r>
    <r>
      <rPr>
        <sz val="11"/>
        <color rgb="FF000000"/>
        <rFont val="Calibri"/>
        <family val="0"/>
        <charset val="1"/>
      </rPr>
      <t xml:space="preserve">)   February 13 , 2015   August 13 , 2017     Juzo recalls the time when he was known as Rei , an arena executioner for the ghoul Big Madam , and then his acceptance into the CCG by Shinohara . Amon and Akira spend some time together and develop a better understanding of each other . Meanwhile the CCG prepare a task force to combat the One - Eyed - Owl and the Aogiri . Kaneki painfully tries to gain control his new kagune .     7   `` Permeation '' `` Tōka '' ( </t>
    </r>
    <r>
      <rPr>
        <sz val="11"/>
        <color rgb="FF000000"/>
        <rFont val="Noto Sans CJK SC"/>
        <family val="2"/>
      </rPr>
      <t xml:space="preserve">透過 </t>
    </r>
    <r>
      <rPr>
        <sz val="11"/>
        <color rgb="FF000000"/>
        <rFont val="Calibri"/>
        <family val="0"/>
        <charset val="1"/>
      </rPr>
      <t xml:space="preserve">)   February 20 , 2015   August 20 , 2017     Hinami misses Kaneki but is uncertain what to do about it . Sen Takatsuki , Kaneki 's and Hinami 's favourite author , shows up at the Anteiku coffee shop and tells Hinami that in her current state , she can not help her Onii - chan ( Kaneki ) . Takatsuki visits the CCG , and tells Shinohara about Anteiku so he pays a visit with Juzo and meets Yoshimura . Later , Kaneki appears at Anteiku and although Touka rushes there to see him , she beats him up instead of revealing her true feelings for him .     8   `` Old Nines '' `` Kyūkyū '' ( </t>
    </r>
    <r>
      <rPr>
        <sz val="11"/>
        <color rgb="FF000000"/>
        <rFont val="Noto Sans CJK SC"/>
        <family val="2"/>
      </rPr>
      <t xml:space="preserve">旧 九 </t>
    </r>
    <r>
      <rPr>
        <sz val="11"/>
        <color rgb="FF000000"/>
        <rFont val="Calibri"/>
        <family val="0"/>
        <charset val="1"/>
      </rPr>
      <t xml:space="preserve">)   February 27 , 2015   August 27 , 2017     Yoshimura tells Kaneki about his early life as the killer Kuzen and that the One - Eyed - Owl is actually his child , Eto , with a human woman , Ukina . Yoshimura then sends Touka and Hinami to safety with Yomo , suspecting that the CCG has discovered the truth about Anteiku and is planning an attack .     9   `` City In Waiting '' `` Gaibō '' ( </t>
    </r>
    <r>
      <rPr>
        <sz val="11"/>
        <color rgb="FF000000"/>
        <rFont val="Noto Sans CJK SC"/>
        <family val="2"/>
      </rPr>
      <t xml:space="preserve">街 望 </t>
    </r>
    <r>
      <rPr>
        <sz val="11"/>
        <color rgb="FF000000"/>
        <rFont val="Calibri"/>
        <family val="0"/>
        <charset val="1"/>
      </rPr>
      <t xml:space="preserve">)   March 6 , 2015   September 10 , 2017     The CCG staff prepare their testamentary notes in their own personal ways in preparation for a potentially fatal full scale assault on Anteiku . They launch the attack using conventional and specialized weapons and are greeted by the Devil Apes and Black Dober groups with Yoshimura and his friends - Yoshimura pretending to be the One - Eyed Owl . Despite being warned of the danger , Touka and Kaneki head to the 20th ward to assist their friends .     10   `` Last Rain '' `` Shūu '' ( </t>
    </r>
    <r>
      <rPr>
        <sz val="11"/>
        <color rgb="FF000000"/>
        <rFont val="Noto Sans CJK SC"/>
        <family val="2"/>
      </rPr>
      <t xml:space="preserve">終 雨 </t>
    </r>
    <r>
      <rPr>
        <sz val="11"/>
        <color rgb="FF000000"/>
        <rFont val="Calibri"/>
        <family val="0"/>
        <charset val="1"/>
      </rPr>
      <t xml:space="preserve">)   March 13 , 2015   September 17 , 2017     Kaneki 's friends from Anteiku are defeated one by one but he arrives to help them . Juzo , Shinohara and a few other investigators finally defeat Yoshimura after a long , fierce battle . Amon faces off against Kaneki , but with victory in sight for the CCG the real One - Eyed Owl appears before the investigators .     11   `` Deluge of Flowers '' `` Itsuka '' ( </t>
    </r>
    <r>
      <rPr>
        <sz val="11"/>
        <color rgb="FF000000"/>
        <rFont val="Noto Sans CJK SC"/>
        <family val="2"/>
      </rPr>
      <t xml:space="preserve">溢 花 </t>
    </r>
    <r>
      <rPr>
        <sz val="11"/>
        <color rgb="FF000000"/>
        <rFont val="Calibri"/>
        <family val="0"/>
        <charset val="1"/>
      </rPr>
      <t xml:space="preserve">)   March 20 , 2015   September 24 , 2017     The One - Eyed Owl easily defeats Shinohara and Juzo , and when the Aogiri Tree joins the battle , the CCG is driven into a corner . Kaneki and Amon face off , and reluctantly engage in battle . Eventually the strongest investigator , Kishō Arima appears and attacks the One - Eyed Owl giving the CCG renewed hope to fight on . Badly wounded , the One - Eyed Owl consumes Yoshimura 's body and escapes . Also wounded , Kaneki struggles towards Anteiku . He wakes up in the cafe and finds Hide trying to make coffee for him . In a post-credits scene , the Owl regurgitates a still alive Yoshimura behind an alley and goes back to her original form , revealing herself to be both Sen Takatsuki and the Owl / Eto .     12   `` Ken '' ( </t>
    </r>
    <r>
      <rPr>
        <sz val="11"/>
        <color rgb="FF000000"/>
        <rFont val="Noto Sans CJK SC"/>
        <family val="2"/>
      </rPr>
      <t xml:space="preserve">研 </t>
    </r>
    <r>
      <rPr>
        <sz val="11"/>
        <color rgb="FF000000"/>
        <rFont val="Calibri"/>
        <family val="0"/>
        <charset val="1"/>
      </rPr>
      <t xml:space="preserve">)   March 27 , 2015   October 1 , 2017     Kaneki thinks back to happier times in Anteiku . Hide reveals that he knew Kaneki was a ghoul after Nishiki attacked the two of them . As they talk , Hide collapses from loss of blood and passes out in Kaneki 's arms , having been mortally wounded on the battlefield . Touka sobs when she arrives to see Anteiku burning down . She chases after Kaneki when she sees him walking out , but is stopped by Yomo , who states that Yoshimura 's last request to him was for him to protect her . Kaneki walks toward the CCG , carrying Hide 's body in his arms , and comes face - to - face with Arima . At the next morning , both Kaneki and Amon have disappeared . After the credits , it is shown that Touka has opened up a new café .     Tokyo ghoul : re ( edit )     No .   Title   Original air date       `` START : Those Who Hunt '' `` Karu Monotachi START '' ( </t>
    </r>
    <r>
      <rPr>
        <sz val="11"/>
        <color rgb="FF000000"/>
        <rFont val="Noto Sans CJK SC"/>
        <family val="2"/>
      </rPr>
      <t xml:space="preserve">狩る 者 たち </t>
    </r>
    <r>
      <rPr>
        <sz val="11"/>
        <color rgb="FF000000"/>
        <rFont val="Calibri"/>
        <family val="0"/>
        <charset val="1"/>
      </rPr>
      <t xml:space="preserve">START )   April 3 , 2018     Quinx squad leader Kuki Urie and his frustrating underling Ginshi Shirazu are surveying Tokyo in search of the ghoul serial killer Torso , who has been killing women and eating their torsos but leaving the rest of their bodies . Eventually , they meet with photographer Chie Hori , who gives them valuable information in exchange for the underpants of senior Quinx Haise Sasaki . Hinami , now an Aogiri Tree member , warns Torso to be careful because they are close to catching him . Learning that the culprit is a taxi driver , Toru Mutsuki discovers him and is brutally attacked in his car . However , this allows Ginshi and Urie to locate the killer and lure him into a roadblock trap . While they face the killer , however , a mysterious and exceptionally strong ghoul named Orochi attacks , massacring all of the officers maintaining the roadblock , and allowing the taxi driver to escape . Sasaki appears and faces Orochi , but then suffers a hallucination of Ken Kaneki telling him to `` accept '' him in order to kill Orochi brutally . Sasaki then unleashes his kagune .       `` member : Fragments '' `` Kakera member '' ( </t>
    </r>
    <r>
      <rPr>
        <sz val="11"/>
        <color rgb="FF000000"/>
        <rFont val="Noto Sans CJK SC"/>
        <family val="2"/>
      </rPr>
      <t xml:space="preserve">欠片 </t>
    </r>
    <r>
      <rPr>
        <sz val="11"/>
        <color rgb="FF000000"/>
        <rFont val="Calibri"/>
        <family val="0"/>
        <charset val="1"/>
      </rPr>
      <t xml:space="preserve">member )   April 10 , 2018     When Sasaki removes Orochi 's mask during their fight he is shocked to see the face of Nishio underneath , who calls him `` Kaneki '' , prompting his memories to flicker back and forth and drive him insane . To prevent Sasaki from killing his fellow CCG agents , Akira Mado tranquilizes him . After returning to his senses , Sasaki demotes Urie for endangering his squadmates and promotes Ginshi to Quinx Squad leader . Sasaki then spars with Kisho Arima , before telling him that he was worried that the memories of his past self `` Kaneki '' were returning and that they might drive him away from his family with the Quinx Squad . Later , Torso meets with The Rabbit ( Ayato Kirishima ) , to become a member of Aogiri Tree . Sasaki , Ginshi , and Mutsuki then begin investigating a ghoul nicknamed `` Nutcracker '' who has been crushing the testicles of her victims and stop by in the coffee shop : re . While at the shop , Sasaki recognizes and is recognized by Touka . After tasting the coffee she makes for him , he begins to cry , subconsciously recalling his time at Anteiku . He then thinks to himself that he had never before seen anyone so beautiful .       `` fresh : Eve '' `` Zen'yasai fresh '' ( </t>
    </r>
    <r>
      <rPr>
        <sz val="11"/>
        <color rgb="FF000000"/>
        <rFont val="Noto Sans CJK SC"/>
        <family val="2"/>
      </rPr>
      <t xml:space="preserve">前夜祭 </t>
    </r>
    <r>
      <rPr>
        <sz val="11"/>
        <color rgb="FF000000"/>
        <rFont val="Calibri"/>
        <family val="0"/>
        <charset val="1"/>
      </rPr>
      <t xml:space="preserve">fresh )   April 17 , 2018      Kanae von Rosewald brings Shu Tsukiyama the underwear that Chie Hori had collected from Haise Sasaki , but the latter falls into despair after realizing that he could n't recognize the scent as Kaneki 's . Later , the Quinx Squad continue their investigation of Nutcracker and cross-dress to disguise themselves at a nightclub where she had been sighted . At the nightclub , two members of the Clowns recognize Sasaki as Kaneki and note that `` for Kaneki to come out , Sasaki will have to ' die . ' '' The squad , alongside Juzo Suzuya , then follow up on a lead that takes them to the auction where the Nutcracker had been selling her victims to the gourmets .  Note : This episode features an insert song by popular American youtuber and singer Amanda Lee       `` MAIN : Auction '' `` Ōkushon MAIN '' ( </t>
    </r>
    <r>
      <rPr>
        <sz val="11"/>
        <color rgb="FF000000"/>
        <rFont val="Noto Sans CJK SC"/>
        <family val="2"/>
      </rPr>
      <t xml:space="preserve">オークション </t>
    </r>
    <r>
      <rPr>
        <sz val="11"/>
        <color rgb="FF000000"/>
        <rFont val="Calibri"/>
        <family val="0"/>
        <charset val="1"/>
      </rPr>
      <t xml:space="preserve">MAIN )   April 24 , 2018     Kidnapped and entered into a circus - themed gourmet auction , Toru is sold off to Big Madam . However , Suzuya initiates an assault on the auction in which many ghouls and CCG operatives are killed . Eto watches the chaos from afar in amusement , and sends in a mysterious ghoul called Takizawa , who brutally kills a squad leader . During the fray , Torso and Kanae fight over who gets to keep Toru .     5   `` PresS : Night of Scattering '' `` Chiri Yuku Yoru Press '' ( </t>
    </r>
    <r>
      <rPr>
        <sz val="11"/>
        <color rgb="FF000000"/>
        <rFont val="Noto Sans CJK SC"/>
        <family val="2"/>
      </rPr>
      <t xml:space="preserve">散り ゆく 夜 </t>
    </r>
    <r>
      <rPr>
        <sz val="11"/>
        <color rgb="FF000000"/>
        <rFont val="Calibri"/>
        <family val="0"/>
        <charset val="1"/>
      </rPr>
      <t xml:space="preserve">Press )   May 1 , 2018     Takizawa , revealed to be former Investigator Takizawa , now a crazed one - eyed ghoul , slaughters an entire squad of CCG operatives , while another squad is killed by Nutcracker . Meanwhile , Sasaki and the Quinx Squad face off against Kanae , who furiously blames him for Tsukiyama 's reduced mental state , but is critically injured and rescued by a mysterious ghoul named Matsumae . Big Madam and the other auctioneers are attacked by Suzuya and Urie , but mid-way through the fight , Urie is critically injured and swallowed by Big Madam . The episode ends with Takizawa leaping from above and attacking Sasaki , who is forced by his superiors to fight the SS - rated one - eyed ghoul alone .     6   `` turn : In the End '' `` Sono , Hate ni turn '' ( </t>
    </r>
    <r>
      <rPr>
        <sz val="11"/>
        <color rgb="FF000000"/>
        <rFont val="Noto Sans CJK SC"/>
        <family val="2"/>
      </rPr>
      <t xml:space="preserve">その 、 果て に </t>
    </r>
    <r>
      <rPr>
        <sz val="11"/>
        <color rgb="FF000000"/>
        <rFont val="Calibri"/>
        <family val="0"/>
        <charset val="1"/>
      </rPr>
      <t xml:space="preserve">turn )   May 8 , 2018     Sasaki suffers multiple hallucinations of Ken Kaneki , while Takizawa is beating him inside the auction room . Meanwhile , the Nutcracker is killed by Quinx Squad members Ginshi Shirazu and Saiko Yonebayashi . Big Madam fights both Urie , who nearly goes insane , and Mutsuki , who unleashes his kagune . She comes face to face with Juzo , who despite that he was tortured by her , is unable to kill her . She is eventually wounded by fellow Suzuya squad member Hanbee Abara , who covers Juzo 's ears while the CCG investigators kill her . Meanwhile Hinami , realizing that Sasaki is Kaneki , and Saiko hearing Sasaki 's screams , they both rush into the auction room , where Hinami fights Takizawa in order to save Sasaki . Sasaki fearfully accepts his Kaneki side and fights Takizawa . They both pierce each other with their kagunes and fall down .     7   `` mind : Days of Recollections '' `` Kokorooboe Arishi Hibi mind '' ( </t>
    </r>
    <r>
      <rPr>
        <sz val="11"/>
        <color rgb="FF000000"/>
        <rFont val="Noto Sans CJK SC"/>
        <family val="2"/>
      </rPr>
      <t xml:space="preserve">心 覚え 在りし 日々 </t>
    </r>
    <r>
      <rPr>
        <sz val="11"/>
        <color rgb="FF000000"/>
        <rFont val="Calibri"/>
        <family val="0"/>
        <charset val="1"/>
      </rPr>
      <t xml:space="preserve">mind )   May 15 , 2018     Hinami is arrested by CCG operators led by Kisho Arima . Sasaki , having survived his encounter with Takizawa , saves her from execution by asking to take her into custody . She is imprisoned in Cochlea ghoul prison . In the following weeks after the operation , the members of the Quinx Squad are being promoted while Sasaki becomes senior investigator . At the next morning , he hallucinates that an investigator is Yamori . The same night , Eto delivers him a package with Kaneki 's old mask and a book signed by her in it . He goes to the : re cafe where he is served coffee by Touka . After he leaves , Touka , Uta , Yomo and Nishio discuss about Kaneki . Sasaki starts searching about Kaneki and then suffers a hallucination of Yoshimura and Anteiku . On the same night , Tsukiyama is in terrible pain despite eating many people .     8   `` TAKe : One Who Writhes '' `` Ugomeku Mono TAKe '' ( </t>
    </r>
    <r>
      <rPr>
        <sz val="11"/>
        <color rgb="FF000000"/>
        <rFont val="Noto Sans CJK SC"/>
        <family val="2"/>
      </rPr>
      <t xml:space="preserve">蠢く モノ </t>
    </r>
    <r>
      <rPr>
        <sz val="11"/>
        <color rgb="FF000000"/>
        <rFont val="Calibri"/>
        <family val="0"/>
        <charset val="1"/>
      </rPr>
      <t xml:space="preserve">TAKe )   May 22 , 2018     Tsukiyama is always hungry and ca n't control his kagune.In the meantine , Tatara refuses Ayato 's request to rescue Hinami from Cochlea . Sasaki is approached by the ghoul investigators Nimura Furuta and Shiki Kijima who tell him that he is going to work them on the upcoming Rose Investigation . In CCG HQ , Sasaki and the Quinx Squad are informed by the investigator Kori Ui about the Rose ghoul gang ( actually members of the Tsukiyama crime family ) , who attack Furuta and Kijima . They are saved by the investigator Hairu Ihei . Gang member Yuuma is arrested and tortured by Kijima in Cochlea . Sasaki visits Uta to learn more about the mask and Takatsuki 's book . Uta lies about both of them . Sasaki then asks him to make him a new mask . Chie Hori delivers Sasaki 's photos to Kanae von Rosewald and Tsukiyama recognizes him to be Kaneki .     9   `` play : Departed Spirit '' `` Bōrei play '' ( </t>
    </r>
    <r>
      <rPr>
        <sz val="11"/>
        <color rgb="FF000000"/>
        <rFont val="Noto Sans CJK SC"/>
        <family val="2"/>
      </rPr>
      <t xml:space="preserve">亡霊 </t>
    </r>
    <r>
      <rPr>
        <sz val="11"/>
        <color rgb="FF000000"/>
        <rFont val="Calibri"/>
        <family val="0"/>
        <charset val="1"/>
      </rPr>
      <t xml:space="preserve">play )   May 29 , 2018     Tsukiyama wants to make Sasaki remember that he is Kaneki . He and Kanae find him on the street , along with the Quinx Squad , and Tsukiyama runs towards him but fells down . Sasaki hears him saying `` Kaneki '' but he does n't recognise him . Sasaki goes to Uta 's shop and orders masks for the entire Quinx Squad , in order to impersonate ghouls for the upcoming Rose Investigation . Kori Ui rejects the plan , knowing that Sasaki is a ghoul . In the meantime , Kijima 's video of him torturing Yuuma brutally and provoking Rose gang to kill him has gone viral . Tsukiyama plans to release him and to use Kaneki / Sasaki as a key person by restoring his memories . Tsukiyama makes many failed attempts to speak to Sasaki , so Kanae bribes some Aogiri members to attack the Squad in order to isolate Sasaki . However , Yamori 's old gang attacks Sasaki by accident and Mutsuki battles with Torso but he is attacked by the ghoul Grave Robber . Sasaki kills his attackers with his kagune . Saiko is almost killed but she is saved by Amon Kotaru who is revealed to be alive . Eto watches the entire scene .     10   `` think : Sway '' `` Yureru think '' ( </t>
    </r>
    <r>
      <rPr>
        <sz val="11"/>
        <color rgb="FF000000"/>
        <rFont val="Noto Sans CJK SC"/>
        <family val="2"/>
      </rPr>
      <t xml:space="preserve">ゆれる </t>
    </r>
    <r>
      <rPr>
        <sz val="11"/>
        <color rgb="FF000000"/>
        <rFont val="Calibri"/>
        <family val="0"/>
        <charset val="1"/>
      </rPr>
      <t xml:space="preserve">think )   June 5 , 2018     Kanae comes face to face with Eto who first toys with him and then attacks him with her full power . It 's revealed that Kanae loves Tsukiyama but he does n't , so Kanae wishes he could kill Sasaki . Eto tells him that she will `` be his god '' and captures him . Back on the CCG HQ , Sasaki asks Ui to reconsider his plan about ghoul impersonation and Ui agrees . The same night , Sasaki wears Kaneki 's mask and along with the Quinx Squad start a patrol . Sasaki is recognised by ghouls as Eyepatch , so he starts finding information about him . He learns that the Eyepatch was the one who `` killed '' Amon and he sees again a Kaneki hallucination crying about killing Amon . Tsukiyama meets again with Sasaki who asks him if he is a ghoul and if he knows Ken Kaneki . Tsukiyama refuses to tell him . CCG 's chairman , Tsuneyoshi Washu , gives Ui permission to kill Tsukiyama 's family . On the same night , Tsukiyama 's father drugs him in order to keep him safe . The CCG are at the front of the Tsukiyama mansion ready to attack . Tsukiyama 's father allows himself to be arrested while Tsukiyama takes control of the family as the CCG arrives in his hideout . In the meantime , Kanae is tortured and mutilated by Eto .     11   `` writE : The Absent One '' `` Ketsuraku - sha write '' ( </t>
    </r>
    <r>
      <rPr>
        <sz val="11"/>
        <color rgb="FF000000"/>
        <rFont val="Noto Sans CJK SC"/>
        <family val="2"/>
      </rPr>
      <t xml:space="preserve">欠落 者 </t>
    </r>
    <r>
      <rPr>
        <sz val="11"/>
        <color rgb="FF000000"/>
        <rFont val="Calibri"/>
        <family val="0"/>
        <charset val="1"/>
      </rPr>
      <t xml:space="preserve">writE )   June 12 , 2018     Kijima , Nimura Furuta , Sasaki , and the Quinx Squad are killing ghouls on the Tsukiyama hideout . In the meantime , Tsukiyama says goodbye to his friends who tell him to go to the rooftop where a helicopter is going to take him away . Kori Ui sends Sasaki on the roof . Tsukiyama arrives there too and comes face to face with Sasaki . Sasaki tells Tsukiyama to surrender but Tsukiyama attacks him . Meanwhile , Kanae is now insane and attacks CCG investigators on the hideout . Hariu Ihei is wounded badly by Matsumae and makes a final stand but Matsumae decapitates her . Kijima arrives on the scene but Matsumae slices him up and cuts him in two with his own quinque killing him . Furuta protects himself from one of Matsumae 's attacks by using another agent as a human shield , and then kills Matsumae with Kijima 's quinque . The Quinx Squad come face to face with Noro . Sasaki fights with Tsukiyama and in a moment of weakness , he loses his hand by Kanae . Noro is destroyed by Ginshi Shirazu but he does n't die . Kanae tries to kill Sasaki , who starts to remember that Arima was mocking him for his defeat at his hands . Sasuki escapes Kanae who is revealed to be a woman named Karren . Eto arrives on the scene with her form as the One Eyed Owl .     12   `` Beautiful Dream : Daybreak '' `` Yoake Beautiful Dream '' ( </t>
    </r>
    <r>
      <rPr>
        <sz val="11"/>
        <color rgb="FF000000"/>
        <rFont val="Noto Sans CJK SC"/>
        <family val="2"/>
      </rPr>
      <t xml:space="preserve">夜明け </t>
    </r>
    <r>
      <rPr>
        <sz val="11"/>
        <color rgb="FF000000"/>
        <rFont val="Calibri"/>
        <family val="0"/>
        <charset val="1"/>
      </rPr>
      <t xml:space="preserve">Beautiful Dream )   June 19 , 2018     As the battle on the hideout still continues , Sasaki is attacked by Eto who reveals her identity as Sen Takatsuki to him and calls him Kaneki . She watches as Karren brutally attacks Sasaki and kicks him in the head multiple times . Inside his head , Sasaki sees a child version of Kaneki whom he strangles . As the child curses him , Sasaki realizes that he is Kaneki as he sees a memory of his mother abusing him . He remembers Hide and his battle with Arima who pierced him in the head with his quinque . With his memories back , and his hair completely black again , Kaneki ditches his Sasaki identity and cuts off Karren 's arm . Meanwhile , Kori Ui and the rest of CCG find Furuta , who killed all the other CCG investigators that were there with him , claiming to be the sole survivor . Kaneki fights with Karen , piercing her mersilessly with his kagune as Tsukiyama watches . Although Kaneki recognizes Tsukiyama he stabs him . Meanwhile , Shirazu still fights Noro who remembers when Yoshimura gave him Eto to take care of her . Urie and Shirzu kill Noro but Shirazu also dies due to his injuries . Kaneki and Eto fight and Kaneki calls her a piece of trash who does n't deserve to be saved . They run from the windows towards the roof of the hideout and Kaneki destroys her kakuja and her Owl form while she licks her blood from his face . Kaneki rips her apart and she falls from the building while declaring her love for him . Kori Ui finds Kaneki devouring Eto 's kakuja on the roof . Kaneki pretends to still be Sasaki and throws Tsukiyama from the building . Karren falls along with him in order to save him . She does save him , however she falls down to her death . Kaneki meets the Quinx Squad and sees Shirazu 's body . Kaneki coldly tells Urie that this is his fault and that he is weak . Tsukiyama is saved by Touka , Yomo and Chie Hori . Naki 's goons steal Shirazu 's corpse .     OVA ( edit )     No .   Title   Release date       `` Tokyo Ghoul : JACK '' `` Tōkyō Gūru ( JACK ) '' ( </t>
    </r>
    <r>
      <rPr>
        <sz val="11"/>
        <color rgb="FF000000"/>
        <rFont val="Noto Sans CJK SC"/>
        <family val="2"/>
      </rPr>
      <t xml:space="preserve">東京 喰 種 トーキョー グール </t>
    </r>
    <r>
      <rPr>
        <sz val="11"/>
        <color rgb="FF000000"/>
        <rFont val="Calibri"/>
        <family val="0"/>
        <charset val="1"/>
      </rPr>
      <t xml:space="preserve">( JACK ) )   September 30 , 2015     The story features a serious young Special Investigator Kishou Arima at high school where he first meets the carefree Taishi Fura who joins him in hunting ghouls in the 13th ward . Later , they both become Special Investigators in the CCG , but retain their original opposite attitudes .       `` Tokyo Ghoul : PINTO '' `` Tōkyō Gūru ( PINTO ) '' ( </t>
    </r>
    <r>
      <rPr>
        <sz val="11"/>
        <color rgb="FF000000"/>
        <rFont val="Noto Sans CJK SC"/>
        <family val="2"/>
      </rPr>
      <t xml:space="preserve">東京 喰 種 トーキョー グール </t>
    </r>
    <r>
      <rPr>
        <sz val="11"/>
        <color rgb="FF000000"/>
        <rFont val="Calibri"/>
        <family val="0"/>
        <charset val="1"/>
      </rPr>
      <t xml:space="preserve">( PINTO ) )   December 25 , 2015     The story features Shuu Tsukiyama the `` Gourmet '' during his high school years and Chie Hori . They meet when she photographs Tsukiyama killing a jogger and then about to eat him because of the tone of his body . She being uninterested in exposing him as a Ghoul and seems completely lost in a world of her own , photographing anything that takes her interest .     Home release ( edit )   The series was released to DVD and Blu - Ray format in four volumes .   Tokyo Ghoul ( edit )   TC Entertainment ( Japan , Region 2 / A )     Episodes   DVD / Blu - ray Release date       Volume 1   1 - 3   000000002014 - 09 - 26 - 0000 September 26 , 2014     Volume 2   4 - 6   000000002014 - 10 - 31 - 0000 October 31 , 2014     Volume 3   7 - 9   000000002014 - 11 - 28 - 0000 November 28 , 2014     Volume 4   10 - 12   000000002014 - 12 - 26 - 0000 December 26 , 2014     Notes ( edit )    Jump up ^ Tokyo Ghoul did not air on Toonami the weekend of April 15 -- 16 , 2017 due to special scheduling .   Jump up ^ Tokyo Ghoul did not air on Toonami the weekend of May 27 -- 28 , 2017 due to a Samurai Jack marathon .   Jump up ^ Tokyo Ghoul √ A did not air on the weekend for September 2 -- 3 , 2017 due to a Dragon Ball Z Kai marathon .    References ( edit )    Jump up ^ `` </t>
    </r>
    <r>
      <rPr>
        <sz val="11"/>
        <color rgb="FF000000"/>
        <rFont val="Noto Sans CJK SC"/>
        <family val="2"/>
      </rPr>
      <t xml:space="preserve">東京 喰 種 トーキョー グール </t>
    </r>
    <r>
      <rPr>
        <sz val="11"/>
        <color rgb="FF000000"/>
        <rFont val="Calibri"/>
        <family val="0"/>
        <charset val="1"/>
      </rPr>
      <t xml:space="preserve">'' . Media Artis Database ( in Japanese ) . Agency for Cultural Affairs . Retrieved July 17 , 2016 .   ^ Jump up to : `` Adult Swim Schedule '' . AdultSwim.com . Turner Broadcasting System , Inc . Retrieved March 24 , 2017 .   Jump up ^ `` Toonami '' . www.facebook.com . Retrieved September 22 , 2017 .   Jump up ^ `` Toonami Premieres Attack on Titan Season 2 on April 22 '' . animenewsnetwork.com . Retrieved September 22 , 2017 .   Jump up ^ `` Toonami '' . www.facebook.com . Retrieved September 22 , 2017 .   Jump up ^ `` </t>
    </r>
    <r>
      <rPr>
        <sz val="11"/>
        <color rgb="FF000000"/>
        <rFont val="Noto Sans CJK SC"/>
        <family val="2"/>
      </rPr>
      <t xml:space="preserve">東京 喰 種 トーキョー グール √ </t>
    </r>
    <r>
      <rPr>
        <sz val="11"/>
        <color rgb="FF000000"/>
        <rFont val="Calibri"/>
        <family val="0"/>
        <charset val="1"/>
      </rPr>
      <t xml:space="preserve">A '' . Media Arts Database ( in Japanese ) . Agency for Cultural Affairs . Retrieved July 17 , 2016 .   Jump up ^ `` Toonami '' . www.facebook.com . Retrieved September 22 , 2017 .   Jump up ^ `` Tōkyō Kushu : re no Hōsō Jōhō '' </t>
    </r>
    <r>
      <rPr>
        <sz val="11"/>
        <color rgb="FF000000"/>
        <rFont val="Noto Sans CJK SC"/>
        <family val="2"/>
      </rPr>
      <t xml:space="preserve">東京 喰 種 </t>
    </r>
    <r>
      <rPr>
        <sz val="11"/>
        <color rgb="FF000000"/>
        <rFont val="Calibri"/>
        <family val="0"/>
        <charset val="1"/>
      </rPr>
      <t xml:space="preserve">: re </t>
    </r>
    <r>
      <rPr>
        <sz val="11"/>
        <color rgb="FF000000"/>
        <rFont val="Noto Sans CJK SC"/>
        <family val="2"/>
      </rPr>
      <t xml:space="preserve">の 放送 情報 </t>
    </r>
    <r>
      <rPr>
        <sz val="11"/>
        <color rgb="FF000000"/>
        <rFont val="Calibri"/>
        <family val="0"/>
        <charset val="1"/>
      </rPr>
      <t xml:space="preserve">( Tokyo Ghoul : re Broadcast Information ) . Tokyo MX . Retrieved June 2 , 2018 .   ^ Jump up to : `` TV </t>
    </r>
    <r>
      <rPr>
        <sz val="11"/>
        <color rgb="FF000000"/>
        <rFont val="Noto Sans CJK SC"/>
        <family val="2"/>
      </rPr>
      <t xml:space="preserve">アニメ 『 東京 喰 種 トーキョー グール 』 公式 サイト </t>
    </r>
    <r>
      <rPr>
        <sz val="11"/>
        <color rgb="FF000000"/>
        <rFont val="Calibri"/>
        <family val="0"/>
        <charset val="1"/>
      </rPr>
      <t xml:space="preserve">'' ( TV Anime Tokyo Ghoul Official Site - Products - Blu - ray &amp; DVD ) . Tokyo Ghoul Anime Official Site ( in Japanese ) . Marvelous Entertainment . Archived from the original on July 17 , 2014 . Retrieved August 8 , 2014 .      hide         Tokyo Ghoul by Sui Ishida       Chapters   Characters   Episodes   Film      Retrieved from `` https://en.wikipedia.org/w/index.php?title=List_of_Tokyo_Ghoul_episodes&amp;oldid=846604375 '' Categories :   Lists of anime episodes   Hidden categories :   CS1 Japanese - language sources ( ja )   CS1 uses Japanese - language script ( ja )   Use mdy dates from September 2017           Talk                                           Contents                   About Wikipedia                                           Português   Română   Tiếng Việt   Edit links   This page was last edited on 19 June 2018 , at 19 : 56 ( UTC ) .         About Wikipedia                    </t>
    </r>
  </si>
  <si>
    <t xml:space="preserve">when does tokyo ghoul re episode 2 release</t>
  </si>
  <si>
    <r>
      <rPr>
        <sz val="11"/>
        <color rgb="FF000000"/>
        <rFont val="Calibri"/>
        <family val="0"/>
        <charset val="1"/>
      </rPr>
      <t xml:space="preserve">   No .   Title   Original air date       `` START : Those Who Hunt '' `` Karu Monotachi START '' ( </t>
    </r>
    <r>
      <rPr>
        <sz val="11"/>
        <color rgb="FF000000"/>
        <rFont val="Noto Sans CJK SC"/>
        <family val="2"/>
      </rPr>
      <t xml:space="preserve">狩る 者 たち </t>
    </r>
    <r>
      <rPr>
        <sz val="11"/>
        <color rgb="FF000000"/>
        <rFont val="Calibri"/>
        <family val="0"/>
        <charset val="1"/>
      </rPr>
      <t xml:space="preserve">START )   April 3 , 2018     Quinx squad leader Kuki Urie and his frustrating underling Ginshi Shirazu are surveying Tokyo in search of the ghoul serial killer Torso , who has been killing women and eating their torsos but leaving the rest of their bodies . Eventually , they meet with photographer Chie Hori , who gives them valuable information in exchange for the underpants of senior Quinx Haise Sasaki . Hinami , now an Aogiri Tree member , warns Torso to be careful because they are close to catching him . Learning that the culprit is a taxi driver , Toru Mutsuki discovers him and is brutally attacked in his car . However , this allows Ginshi and Urie to locate the killer and lure him into a roadblock trap . While they face the killer , however , a mysterious and exceptionally strong ghoul named Orochi attacks , massacring all of the officers maintaining the roadblock , and allowing the taxi driver to escape . Sasaki appears and faces Orochi , but then suffers a hallucination of Ken Kaneki telling him to `` accept '' him in order to kill Orochi brutally . Sasaki then unleashes his kagune .       `` member : Fragments '' `` Kakera member '' ( </t>
    </r>
    <r>
      <rPr>
        <sz val="11"/>
        <color rgb="FF000000"/>
        <rFont val="Noto Sans CJK SC"/>
        <family val="2"/>
      </rPr>
      <t xml:space="preserve">欠片 </t>
    </r>
    <r>
      <rPr>
        <sz val="11"/>
        <color rgb="FF000000"/>
        <rFont val="Calibri"/>
        <family val="0"/>
        <charset val="1"/>
      </rPr>
      <t xml:space="preserve">member )   April 10 , 2018     When Sasaki removes Orochi 's mask during their fight he is shocked to see the face of Nishio underneath , who calls him `` Kaneki '' , prompting his memories to flicker back and forth and drive him insane . To prevent Sasaki from killing his fellow CCG agents , Akira Mado tranquilizes him . After returning to his senses , Sasaki demotes Urie for endangering his squadmates and promotes Ginshi to Quinx Squad leader . Sasaki then spars with Kisho Arima , before telling him that he was worried that the memories of his past self `` Kaneki '' were returning and that they might drive him away from his family with the Quinx Squad . Later , Torso meets with The Rabbit ( Ayato Kirishima ) , to become a member of Aogiri Tree . Sasaki , Ginshi , and Mutsuki then begin investigating a ghoul nicknamed `` Nutcracker '' who has been crushing the testicles of her victims and stop by in the coffee shop : re . While at the shop , Sasaki recognizes and is recognized by Touka . After tasting the coffee she makes for him , he begins to cry , subconsciously recalling his time at Anteiku . He then thinks to himself that he had never before seen anyone so beautiful .       `` fresh : Eve '' `` Zen'yasai fresh '' ( </t>
    </r>
    <r>
      <rPr>
        <sz val="11"/>
        <color rgb="FF000000"/>
        <rFont val="Noto Sans CJK SC"/>
        <family val="2"/>
      </rPr>
      <t xml:space="preserve">前夜祭 </t>
    </r>
    <r>
      <rPr>
        <sz val="11"/>
        <color rgb="FF000000"/>
        <rFont val="Calibri"/>
        <family val="0"/>
        <charset val="1"/>
      </rPr>
      <t xml:space="preserve">fresh )   April 17 , 2018      Kanae von Rosewald brings Shu Tsukiyama the underwear that Chie Hori had collected from Haise Sasaki , but the latter falls into despair after realizing that he could n't recognize the scent as Kaneki 's . Later , the Quinx Squad continue their investigation of Nutcracker and cross-dress to disguise themselves at a nightclub where she had been sighted . At the nightclub , two members of the Clowns recognize Sasaki as Kaneki and note that `` for Kaneki to come out , Sasaki will have to ' die . ' '' The squad , alongside Juzo Suzuya , then follow up on a lead that takes them to the auction where the Nutcracker had been selling her victims to the gourmets .  Note : This episode features an insert song by popular American youtuber and singer Amanda Lee       `` MAIN : Auction '' `` Ōkushon MAIN '' ( </t>
    </r>
    <r>
      <rPr>
        <sz val="11"/>
        <color rgb="FF000000"/>
        <rFont val="Noto Sans CJK SC"/>
        <family val="2"/>
      </rPr>
      <t xml:space="preserve">オークション </t>
    </r>
    <r>
      <rPr>
        <sz val="11"/>
        <color rgb="FF000000"/>
        <rFont val="Calibri"/>
        <family val="0"/>
        <charset val="1"/>
      </rPr>
      <t xml:space="preserve">MAIN )   April 24 , 2018     Kidnapped and entered into a circus - themed gourmet auction , Toru is sold off to Big Madam . However , Suzuya initiates an assault on the auction in which many ghouls and CCG operatives are killed . Eto watches the chaos from afar in amusement , and sends in a mysterious ghoul called Takizawa , who brutally kills a squad leader . During the fray , Torso and Kanae fight over who gets to keep Toru .     5   `` PresS : Night of Scattering '' `` Chiri Yuku Yoru Press '' ( </t>
    </r>
    <r>
      <rPr>
        <sz val="11"/>
        <color rgb="FF000000"/>
        <rFont val="Noto Sans CJK SC"/>
        <family val="2"/>
      </rPr>
      <t xml:space="preserve">散り ゆく 夜 </t>
    </r>
    <r>
      <rPr>
        <sz val="11"/>
        <color rgb="FF000000"/>
        <rFont val="Calibri"/>
        <family val="0"/>
        <charset val="1"/>
      </rPr>
      <t xml:space="preserve">Press )   May 1 , 2018     Takizawa , revealed to be former Investigator Takizawa , now a crazed one - eyed ghoul , slaughters an entire squad of CCG operatives , while another squad is killed by Nutcracker . Meanwhile , Sasaki and the Quinx Squad face off against Kanae , who furiously blames him for Tsukiyama 's reduced mental state , but is critically injured and rescued by a mysterious ghoul named Matsumae . Big Madam and the other auctioneers are attacked by Suzuya and Urie , but mid-way through the fight , Urie is critically injured and swallowed by Big Madam . The episode ends with Takizawa leaping from above and attacking Sasaki , who is forced by his superiors to fight the SS - rated one - eyed ghoul alone .     6   `` turn : In the End '' `` Sono , Hate ni turn '' ( </t>
    </r>
    <r>
      <rPr>
        <sz val="11"/>
        <color rgb="FF000000"/>
        <rFont val="Noto Sans CJK SC"/>
        <family val="2"/>
      </rPr>
      <t xml:space="preserve">その 、 果て に </t>
    </r>
    <r>
      <rPr>
        <sz val="11"/>
        <color rgb="FF000000"/>
        <rFont val="Calibri"/>
        <family val="0"/>
        <charset val="1"/>
      </rPr>
      <t xml:space="preserve">turn )   May 8 , 2018     Sasaki suffers multiple hallucinations of Ken Kaneki , while Takizawa is beating him inside the auction room . Meanwhile , the Nutcracker is killed by Quinx Squad members Ginshi Shirazu and Saiko Yonebayashi . Big Madam fights both Urie , who nearly goes insane , and Mutsuki , who unleashes his kagune . She comes face to face with Juzo , who despite that he was tortured by her , is unable to kill her . She is eventually wounded by fellow Suzuya squad member Hanbee Abara , who covers Juzo 's ears while the CCG investigators kill her . Meanwhile Hinami , realizing that Sasaki is Kaneki , and Saiko hearing Sasaki 's screams , they both rush into the auction room , where Hinami fights Takizawa in order to save Sasaki . Sasaki fearfully accepts his Kaneki side and fights Takizawa . They both pierce each other with their kagunes and fall down .     7   `` mind : Days of Recollections '' `` Kokorooboe Arishi Hibi mind '' ( </t>
    </r>
    <r>
      <rPr>
        <sz val="11"/>
        <color rgb="FF000000"/>
        <rFont val="Noto Sans CJK SC"/>
        <family val="2"/>
      </rPr>
      <t xml:space="preserve">心 覚え 在りし 日々 </t>
    </r>
    <r>
      <rPr>
        <sz val="11"/>
        <color rgb="FF000000"/>
        <rFont val="Calibri"/>
        <family val="0"/>
        <charset val="1"/>
      </rPr>
      <t xml:space="preserve">mind )   May 15 , 2018     Hinami is arrested by CCG operators led by Kisho Arima . Sasaki , having survived his encounter with Takizawa , saves her from execution by asking to take her into custody . She is imprisoned in Cochlea ghoul prison . In the following weeks after the operation , the members of the Quinx Squad are being promoted while Sasaki becomes senior investigator . At the next morning , he hallucinates that an investigator is Yamori . The same night , Eto delivers him a package with Kaneki 's old mask and a book signed by her in it . He goes to the : re cafe where he is served coffee by Touka . After he leaves , Touka , Uta , Yomo and Nishio discuss about Kaneki . Sasaki starts searching about Kaneki and then suffers a hallucination of Yoshimura and Anteiku . On the same night , Tsukiyama is in terrible pain despite eating many people .     8   `` TAKe : One Who Writhes '' `` Ugomeku Mono TAKe '' ( </t>
    </r>
    <r>
      <rPr>
        <sz val="11"/>
        <color rgb="FF000000"/>
        <rFont val="Noto Sans CJK SC"/>
        <family val="2"/>
      </rPr>
      <t xml:space="preserve">蠢く モノ </t>
    </r>
    <r>
      <rPr>
        <sz val="11"/>
        <color rgb="FF000000"/>
        <rFont val="Calibri"/>
        <family val="0"/>
        <charset val="1"/>
      </rPr>
      <t xml:space="preserve">TAKe )   May 22 , 2018     Tsukiyama is always hungry and ca n't control his kagune.In the meantine , Tatara refuses Ayato 's request to rescue Hinami from Cochlea . Sasaki is approached by the ghoul investigators Nimura Furuta and Shiki Kijima who tell him that he is going to work them on the upcoming Rose Investigation . In CCG HQ , Sasaki and the Quinx Squad are informed by the investigator Kori Ui about the Rose ghoul gang ( actually members of the Tsukiyama crime family ) , who attack Furuta and Kijima . They are saved by the investigator Hairu Ihei . Gang member Yuuma is arrested and tortured by Kijima in Cochlea . Sasaki visits Uta to learn more about the mask and Takatsuki 's book . Uta lies about both of them . Sasaki then asks him to make him a new mask . Chie Hori delivers Sasaki 's photos to Kanae von Rosewald and Tsukiyama recognizes him to be Kaneki .     9   `` play : Departed Spirit '' `` Bōrei play '' ( </t>
    </r>
    <r>
      <rPr>
        <sz val="11"/>
        <color rgb="FF000000"/>
        <rFont val="Noto Sans CJK SC"/>
        <family val="2"/>
      </rPr>
      <t xml:space="preserve">亡霊 </t>
    </r>
    <r>
      <rPr>
        <sz val="11"/>
        <color rgb="FF000000"/>
        <rFont val="Calibri"/>
        <family val="0"/>
        <charset val="1"/>
      </rPr>
      <t xml:space="preserve">play )   May 29 , 2018     Tsukiyama wants to make Sasaki remember that he is Kaneki . He and Kanae find him on the street , along with the Quinx Squad , and Tsukiyama runs towards him but fells down . Sasaki hears him saying `` Kaneki '' but he does n't recognise him . Sasaki goes to Uta 's shop and orders masks for the entire Quinx Squad , in order to impersonate ghouls for the upcoming Rose Investigation . Kori Ui rejects the plan , knowing that Sasaki is a ghoul . In the meantime , Kijima 's video of him torturing Yuuma brutally and provoking Rose gang to kill him has gone viral . Tsukiyama plans to release him and to use Kaneki / Sasaki as a key person by restoring his memories . Tsukiyama makes many failed attempts to speak to Sasaki , so Kanae bribes some Aogiri members to attack the Squad in order to isolate Sasaki . However , Yamori 's old gang attacks Sasaki by accident and Mutsuki battles with Torso but he is attacked by the ghoul Grave Robber . Sasaki kills his attackers with his kagune . Saiko is almost killed but she is saved by Amon Kotaru who is revealed to be alive . Eto watches the entire scene .     10   `` think : Sway '' `` Yureru think '' ( </t>
    </r>
    <r>
      <rPr>
        <sz val="11"/>
        <color rgb="FF000000"/>
        <rFont val="Noto Sans CJK SC"/>
        <family val="2"/>
      </rPr>
      <t xml:space="preserve">ゆれる </t>
    </r>
    <r>
      <rPr>
        <sz val="11"/>
        <color rgb="FF000000"/>
        <rFont val="Calibri"/>
        <family val="0"/>
        <charset val="1"/>
      </rPr>
      <t xml:space="preserve">think )   June 5 , 2018     Kanae comes face to face with Eto who first toys with him and then attacks him with her full power . It 's revealed that Kanae loves Tsukiyama but he does n't , so Kanae wishes he could kill Sasaki . Eto tells him that she will `` be his god '' and captures him . Back on the CCG HQ , Sasaki asks Ui to reconsider his plan about ghoul impersonation and Ui agrees . The same night , Sasaki wears Kaneki 's mask and along with the Quinx Squad start a patrol . Sasaki is recognised by ghouls as Eyepatch , so he starts finding information about him . He learns that the Eyepatch was the one who `` killed '' Amon and he sees again a Kaneki hallucination crying about killing Amon . Tsukiyama meets again with Sasaki who asks him if he is a ghoul and if he knows Ken Kaneki . Tsukiyama refuses to tell him . CCG 's chairman , Tsuneyoshi Washu , gives Ui permission to kill Tsukiyama 's family . On the same night , Tsukiyama 's father drugs him in order to keep him safe . The CCG are at the front of the Tsukiyama mansion ready to attack . Tsukiyama 's father allows himself to be arrested while Tsukiyama takes control of the family as the CCG arrives in his hideout . In the meantime , Kanae is tortured and mutilated by Eto .     11   `` writE : The Absent One '' `` Ketsuraku - sha write '' ( </t>
    </r>
    <r>
      <rPr>
        <sz val="11"/>
        <color rgb="FF000000"/>
        <rFont val="Noto Sans CJK SC"/>
        <family val="2"/>
      </rPr>
      <t xml:space="preserve">欠落 者 </t>
    </r>
    <r>
      <rPr>
        <sz val="11"/>
        <color rgb="FF000000"/>
        <rFont val="Calibri"/>
        <family val="0"/>
        <charset val="1"/>
      </rPr>
      <t xml:space="preserve">writE )   June 12 , 2018     Kijima , Nimura Furuta , Sasaki , and the Quinx Squad are killing ghouls on the Tsukiyama hideout . In the meantime , Tsukiyama says goodbye to his friends who tell him to go to the rooftop where a helicopter is going to take him away . Kori Ui sends Sasaki on the roof . Tsukiyama arrives there too and comes face to face with Sasaki . Sasaki tells Tsukiyama to surrender but Tsukiyama attacks him . Meanwhile , Kanae is now insane and attacks CCG investigators on the hideout . Hariu Ihei is wounded badly by Matsumae and makes a final stand but Matsumae decapitates her . Kijima arrives on the scene but Matsumae slices him up and cuts him in two with his own quinque killing him . Furuta protects himself from one of Matsumae 's attacks by using another agent as a human shield , and then kills Matsumae with Kijima 's quinque . The Quinx Squad come face to face with Noro . Sasaki fights with Tsukiyama and in a moment of weakness , he loses his hand by Kanae . Noro is destroyed by Ginshi Shirazu but he does n't die . Kanae tries to kill Sasaki , who starts to remember that Arima was mocking him for his defeat at his hands . Sasuki escapes Kanae who is revealed to be a woman named Karren . Eto arrives on the scene with her form as the One Eyed Owl .     12   `` Beautiful Dream : Daybreak '' `` Yoake Beautiful Dream '' ( </t>
    </r>
    <r>
      <rPr>
        <sz val="11"/>
        <color rgb="FF000000"/>
        <rFont val="Noto Sans CJK SC"/>
        <family val="2"/>
      </rPr>
      <t xml:space="preserve">夜明け </t>
    </r>
    <r>
      <rPr>
        <sz val="11"/>
        <color rgb="FF000000"/>
        <rFont val="Calibri"/>
        <family val="0"/>
        <charset val="1"/>
      </rPr>
      <t xml:space="preserve">Beautiful Dream )   June 19 , 2018     As the battle on the hideout still continues , Sasaki is attacked by Eto who reveals her identity as Sen Takatsuki to him and calls him Kaneki . She watches as Karren brutally attacks Sasaki and kicks him in the head multiple times . Inside his head , Sasaki sees a child version of Kaneki whom he strangles . As the child curses him , Sasaki realizes that he is Kaneki as he sees a memory of his mother abusing him . He remembers Hide and his battle with Arima who pierced him in the head with his quinque . With his memories back , and his hair completely black again , Kaneki ditches his Sasaki identity and cuts off Karren 's arm . Meanwhile , Kori Ui and the rest of CCG find Furuta , who killed all the other CCG investigators that were there with him , claiming to be the sole survivor . Kaneki fights with Karen , piercing her mersilessly with his kagune as Tsukiyama watches . Although Kaneki recognizes Tsukiyama he stabs him . Meanwhile , Shirazu still fights Noro who remembers when Yoshimura gave him Eto to take care of her . Urie and Shirzu kill Noro but Shirazu also dies due to his injuries . Kaneki and Eto fight and Kaneki calls her a piece of trash who does n't deserve to be saved . They run from the windows towards the roof of the hideout and Kaneki destroys her kakuja and her Owl form while she licks her blood from his face . Kaneki rips her apart and she falls from the building while declaring her love for him . Kori Ui finds Kaneki devouring Eto 's kakuja on the roof . Kaneki pretends to still be Sasaki and throws Tsukiyama from the building . Karren falls along with him in order to save him . She does save him , however she falls down to her death . Kaneki meets the Quinx Squad and sees Shirazu 's body . Kaneki coldly tells Urie that this is his fault and that he is weak . Tsukiyama is saved by Touka , Yomo and Chie Hori . Naki 's goons steal Shirazu 's corpse .   </t>
    </r>
  </si>
  <si>
    <t xml:space="preserve">List of presidents of the Ohio senate - wikipedia  List of presidents of the Ohio senate  Jump to : navigation , search Seal of the President of the Ohio Senate  The President of the Ohio State Senate is the leader of the Ohio State Senate . Under Ohio 's first constitution , in effect from 1803 to 1851 , the presiding officer of the Senate was called the speaker . Starting in 1851 , when the second constitution took effect , a new office of lieutenant governor was created . The new position of lieutenant governor carried with it the office of president of the senate , and was nominally the presiding officer of the senate . During this time , the actual legislative leader of the senate majority was the President pro tempore of the Ohio Senate . In the 1970s , another change was made , which made the office of lieutenant governor elected jointly with the Governor . At this time , the duty of presiding over the senate was removed from the lieutenant governor 's portfolio and the majority party of the senate began electing its own president starting in 1979 . The President is second in line to the office of the Governor .     Contents  ( hide )   1 Speakers of the Ohio Senate , 1803 - 1851   2 Presidents Pro Tempore of the Ohio Senate , 1852 - 1978   3 Presidents of the Ohio Senate , 1979 - present   4 References      Speakers of the Ohio Senate , 1803 - 1851 ( edit )     Term   Name   Party   Home County     1803 - 03 - 01 -- 1803 - 12 - 04   Nathaniel Massie   Democratic - Republican   Ross     1803 - 12 - 05 -- 1805 - 02 - 21   Daniel Symmes   Democratic - Republican   Hamilton     1805 - 02 - 21 -- 1806 - 11 - 30   James Pritchard   Democratic - Republican   Jefferson     1806 - 12 - 01 -- 1809 - 12 - 03   Thomas Kirker   Democratic - Republican   Adams     1809 - 12 - 04 -- 1810 - 12 - 02   Duncan McArthur   Democratic - Republican   Ross     1810 - 12 - 03 -- 1813 - 12 - 05   Thomas Kirker ( 2nd )   Democratic - Republican   Adams     1813 - 12 - 06 -- 1814 - 12 - 04   Othniel Looker   Democratic - Republican   Hamilton     1814 - 12 - 05 -- 1815 - 12 - 03   Thomas Kirker ( 3rd )   Democratic - Republican   Adams     1815 - 12 - 04 -- 1816 - 12 - 01   Peter Hitchcock   Democratic - Republican   Geauga     1816 - 12 - 02 -- 1818 - 12 - 06   Abraham Shepherd   Democratic - Republican   Adams     1818 - 12 - 07 -- 1819 - 12 - 05   Robert Lucas   Democratic - Republican   Pike     1819 - 12 - 06 -- 1826 - 12 - 03   Allen Trimble   National Republican   Highland     1826 - 12 - 04 -- 1827 - 12 - 02   Abraham Shepherd ( 2nd )   Democratic   Brown     1827 - 12 - 03 -- 1829 - 12 - 06   Samuel Wheeler   National Republican   Geauga     1829 - 12 - 07 -- 1830 - 12 - 05   Robert Lucas ( 2nd )   Democratic   Pike     1830 - 12 - 06 -- 1831 - 12 - 04   Samuel R. Miller   Democratic   Hamilton     1831 - 12 - 05 -- 1832 - 12 - 02   William Doherty   Whig   Franklin     1832 - 12 - 03 -- 1833 - 12 - 01   Samuel R. Miller ( 2nd )   Democratic   Hamilton     1833 - 12 - 02 -- 1834 - 11 - 30   David T. Disney   Democratic   Hamilton     1834 - 12 - 01 -- 1835 - 03 - 06   Peter Hitchcock ( 2nd )   Whig   Geauga     1835 - 03 - 06 - 1835 - 06 - 07   Charles Anthony   Whig   Clark     1835 - 06 - 08 - 1835 - 12 - 06   David T. Disney ( 2nd )   Democratic   Hamilton     1835 - 12 - 07 -- 1837 - 12 - 03   Elijah Vance   Democratic   Butler     1837 - 12 - 04 -- 1838 - 12 - 02   George J. Smith   Whig   Warren     1838 - 12 - 03 -- 1839 - 12 - 01   William Hawkins   Democratic   Morgan     1839 - 12 - 02 -- 1841 - 12 - 05   William McLaughlin   Democratic   Richland     1841 - 12 - 06 -- 1843 - 12 - 03   James J. Faran   Democratic   Hamilton     1843 - 12 - 04 -- 1844 - 12 - 01   Thomas W. Bartley   Democratic   Richland     1844 - 12 - 02 -- 1845 - 11 - 30   David Chambers   Whig   Muskingum     1845 - 12 - 01 -- 1846 - 12 - 06   Seabury Ford   Whig   Geauga     1846 - 12 - 07 -- 1847 - 12 - 05   Edson B. Olds   Democratic   Pickaway     1847 - 12 - 06 -- 1848 - 12 - 03   Charles B. Goddard   Whig   Muskingum     1848 - 12 - 04 -- 1849 - 12 - 02   Brewster Randall   Free Soil   Ashtabula     1849 - 12 - 03 -- 1850 - 12 - 01   Harrison G.O. Blake   Whig   Medina     1850 - 12 - 02 -- 1852 - 01 - 04   Charles Cleveland Convers   Whig   Muskingum     Presidents pro tempore of the Ohio senate , 1852 - 1978 ( edit )   ( At this time , the nominal presiding officer of the senate was the Lieutenant Governor of Ohio . )     Term   Name   Party   Home County     1852 - 01 - 05 -- 1854 - 01 - 01   Joel W. Wilson George Rex   Democratic   Sandusky Wayne     1854 - 01 - 02 -- 1856 - 01 - 06   Robert J. Atkinson   Democratic   Carroll     1856 - 01 - 07 -- 1858 - 01 - 03   Robert Walker Tayler   Republican   Trumbull     1858 - 01 - 04 -- 1860 - 01 - 01   Edward M. Phelps   Democratic   Defiance     1860 - 01 - 02 -- 1862 - 01 - 05   Richard A. Harrison   Republican   Madison     1862 - 01 - 06 -- 1864 - 01 - 03   James Monroe   Republican   Lorain     1864 - 01 - 04 -- 1865 - 12 - 31   Samuel Humphreville   Republican   Medina     1866 - 01 - 01 -- 1868 - 01 - 05   H.S. Martin   Republican   Stark     1868 - 01 - 06 -- 1870 - 01 - 02   Thomas J. Godfrey   Democratic   Mercer     1870 - 01 - 03 -- 1871 - 12 - 31   Samuel Furman Hunt   Democratic   Hamilton     1872 - 01 - 01 -- 1874 - 01 - 04   Allen T. Brinsmade   Republican   Cuyahoga     1874 - 01 - 05 -- 1876 - 01 - 02   Emery D. Potter   Democratic   Lucas     1876 - 01 - 03 -- 1878 - 01 - 06   H.W. Curtiss   Republican   Cuyahoga     1878 - 01 - 07 -- 1880 - 01 - 03   James W. Owens   Democratic   Licking     1880 - 01 - 04 -- 1882 - 01 - 01   Rees G. Richards   Republican   Jefferson     1882 - 01 - 02 -- 1884 - 01 - 06   Roland A. Horr   Republican   Lorain     1884 - 01 - 07 -- 1886 - 01 - 03   Elmer White   Democratic   Defiance     1886 - 01 - 04 -- 1888 - 01 - 01   John O'Neill Silas A. Conrad   Democratic Republican   Muskingum Stark     1888 - 01 - 02 -- 1890 - 01 - 05   Theodore F. Davis   Republican   Washington     1890 - 01 - 06 -- 1892 - 01 - 03   Perry M. Adams   Democratic   Seneca     1892 - 01 - 04 -- 1894 - 01 - 02   Elbert L. Lampson   Republican   Ashtabula     1894 - 01 - 03 -- 1896 - 01 - 05   Thomas H. McConica   Republican   Hancock     1896 - 01 - 06 -- 1898 - 01 - 02   John C. Hutsinpiller   Republican   Gallia     1898 - 01 - 03 -- 1899 - 12 - 31   Thaddeus E. Cromley   Democratic   Pickaway     1900 - 01 - 01 -- 1902 - 01 - 05   Oscar Sheppard   Republican   Preble     1902 - 01 - 06 -- 1904 - 01 - 03   Frank B. Archer   Republican   Belmont     1904 - 01 - 04 -- 1905 - 12 - 31   George Henry Chamberlain   Republican   Lorain     1906 - 01 - 01 -- 1909 - 01 - 03   James M. Williams   Democratic   Cuyahoga     1909 - 01 - 04 -- 1911 - 01 - 01   Nation O. Mather   Republican   Summit     1911 - 01 - 02 -- 1915 - 01 - 03   William Green   Democratic   Coshocton     1915 - 01 - 04 -- 1916 - 12 - 31   Charles John Howard   Republican   Belmont     1917 - 01 - 01 -- 1919 - 01 - 05   J.H. Miller   Democratic   Licking     1919 - 01 - 06 -- 1922 - 12 - 31   Frank E. Whittemore   Republican   Summit     1923 - 01 - 01 -- 1925 - 01 - 04   George E. Kryder   Republican   Henry     1925 - 01 - 05 -- 1927 - 01 - 02   Joseph R. Gardner   Republican   Hamilton     1927 - 01 - 03 -- 1929 - 01 - 06   Chester C. Bolton   Republican   Cuyahoga     1929 - 01 - 07 -- 1931 - 01 - 04   Allan G. Aigler   Republican   Sandusky     1931 - 01 - 05 -- 1933 - 01 - 01   Earl R. Lewis   Republican   Belmont     1933 - 01 - 02 -- 1935 - 01 - 06   D.H. DeArmond   Democratic   Hamilton     1935 - 01 - 07 -- 1937 - 01 - 03   Paul P. Yoder   Democratic   Montgomery     1937 - 01 - 04 -- 1939 - 01 - 01   Keith Lawrence   Democratic   Cuyahoga     1939 - 01 - 02 -- 1949 - 01 - 02   Frank E. Whittemore ( 2nd )   Republican   Summit     1949 - 01 - 03 -- 1950 - 12 - 31   Margaret A. Mahoney   Democratic   Cuyahoga     1951 - 01 - 01 -- 1953 - 01 - 04   Roscoe R. Walcutt   Republican   Franklin     1953 - 01 - 05 -- 1959 - 01 - 04   C. Stanley Mechem   Republican   Athens     1959 - 01 - 05 -- 1961 - 01 - 01   Frank W. King   Democratic   Lucas     1961 - 01 - 02 -- 1965 - 01 - 03   C. Stanley Mechem ( 2nd )   Republican   Athens     1965 - 01 - 04 -- 1975 - 01 - 05   Theodore M. Gray   Republican   Miami     1975 - 01 - 06 -- 1979 - 01 - 01   Oliver R. Ocasek   Democratic   Summit     Presidents of the Ohio Senate , 1979 - present ( edit )     Term   Name   Party   Home County   District     1979 -- 1981   Oliver R. Ocasek   Democratic   Summit   27th     1981 -- 1983   Paul E. Gillmor   Republican   Ottawa   2nd     1983 -- 1985   Harry Meshel   Democratic   Mahoning   33rd     1985 -- 1989   Paul E. Gillmor ( 2nd )   Republican   Ottawa   2nd     1989 -- 1997   Stanley J. Aronoff   Republican   Hamilton   8th     1997 -- 2003   Richard Finan   Republican   Hamilton   7th     2003 -- 2005   Doug White   Republican   Adams   14th     2005 -- 2011   Bill Harris   Republican   Ashland   19th     2011 -- 2013   Tom Niehaus   Republican   Clermont   14th     2013 -- 2017   Keith Faber   Republican   Mercer   12th     2017 -- Present   Larry Obhof   Republican   Medina   22nd     References ( edit )    Jump up ^ Taylor , William Alexander ; Taylor , Aubrey Clarence ( 1899 ) . Ohio statesmen and annals of progress : from the year 1788 to the year 1900 ... State of Ohio . p. 42 . - Symmes resigned February 21 , 1805 , and was replaced by Pritchard   Jump up ^ Hitchcock resigned March 6th , 1835 and was replaced by Charles Anthony of Clark County , sources : Ohio General Assembly ( 1917 ) . Manual of legislative practice in the General Assembly . State of Ohio . p. 230 . and Bell , William , Jr. ( 1876 ) . Annual report of the Secretary of State to the Governor and General Assembly for the year 1875 ... Ohio Secretary of State . p. 66 .     Bell , William Jr. ( 1876 ) . Annual report of the Secretary of State to the Governor and General Assembly for the year 1875 ... Ohio Secretary of State . - pre-1874 party affiliations      ( hide )         Years in Ohio ( 1803 -- present )       1803   1804   1805   1806   1807   1808   1809   1810   1811   1812   1813   1814   1815   1816   1817   1818   1819   1820   1821   1822   1823   1824   1825   1826   1827   1828   1829   1830   1831   1832   1833   1834   1835   1836   1837   1838   1839   1840   1841   1842   1843   1844   1845   1846   1847   1848   1849   1850   1851   1852   1853   1854   1855   1856   1857   1858   1859   1860   1861   1862   1863   1864   1865   1866   1867   1868   1869   1870   1871   1872   1873   1874   1875   1876   1877   1878   1879   1880   1881   1882   1883   1884   1885   1886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2017   2018   2019   2020      Retrieved from `` https://en.wikipedia.org/w/index.php?title=List_of_Presidents_of_the_Ohio_Senate&amp;oldid=798962397 '' Categories :   Presidents of the Ohio State Senate   Lists of Ohio politicians           Talk                                           Contents                   About Wikipedia                                           Add links   This page was last edited on 4 September 2017 , at 20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</si>
  <si>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president of the ohio senate</t>
  </si>
  <si>
    <t xml:space="preserve">   Term   Name   Party   Home County   District     1979 -- 1981   Oliver R. Ocasek   Democratic   Summit   27th     1981 -- 1983   Paul E. Gillmor   Republican   Ottawa   2nd     1983 -- 1985   Harry Meshel   Democratic   Mahoning   33rd     1985 -- 1989   Paul E. Gillmor ( 2nd )   Republican   Ottawa   2nd     1989 -- 1997   Stanley J. Aronoff   Republican   Hamilton   8th     1997 -- 2003   Richard Finan   Republican   Hamilton   7th     2003 -- 2005   Doug White   Republican   Adams   14th     2005 -- 2011   Bill Harris   Republican   Ashland   19th     2011 -- 2013   Tom Niehaus   Republican   Clermont   14th     2013 -- 2017   Keith Faber   Republican   Mercer   12th     2017 -- Present   Larry Obhof   Republican   Medina   22nd   </t>
  </si>
  <si>
    <t xml:space="preserve">Pin Valley National park - Wikipedia  Pin Valley National park  Jump to : navigation , search    Pin Valley National Park         Pin Valley National Park Location in Himachal Pradesh     Nearest town   Kaza     Coordinates   32 ° 00 ′ N 77 ° 53 ′ E ﻿ / ﻿ 32.00 ° N 77.88 ° E ﻿ / 32.00 ; 77.88 Coordinates : 32 ° 00 ′ N 77 ° 53 ′ E ﻿ / ﻿ 32.00 ° N 77.88 ° E ﻿ / 32.00 ; 77.88     Established       Pin Valley National Park is a National park of India located within the Lahaul and Spiti district , in the state of Himachal Pradesh , in far Northern India .     Contents  ( hide )   1 History   2 Geography   3 Ecology   3.1 Flora and fauna   3.1. 1 Medicinal Plants       4 See also   5 References   6 External links      History ( edit )   Steeped in historical and present day Buddhist Tibetan culture , the area has many Tibetan Buddhist influences , evident architecturally in monasteries and stupas , and in the daily living of its residents and lamas .   Pin Valley National Park was established by India in 9January1987 .   Geography ( edit )   The park is located in the desert habitat of the Spiti Valley , within the Cold Desert Biosphere Reserve , in the Himalayas region . Spreading south of Dhankar Gompa near the Tibetan border , the park marks the border between the formerly separate districts of Lahaul and Spiti . The elevation of the park ranges from about 3,500 metres ( 11,500 ft ) near Ka Dogri to more than 6,000 metres ( 20,000 ft ) at its highest point .   Ecology ( edit )   With its snow laden unexplored higher reaches and slopes , the Park forms a natural habitat for a number of endangered animals including the snow leopard and Siberian ibex .   Flora and fauna ( edit )   Because of the park 's high altitude and extreme temperatures , the vegetation density is sparse , consisting mostly of alpine trees and groves of Himalayan cedar ( Cedrus deodara ) . In summer , rare birds such as the Himalayan snowcock , chukar partridge , snow partridge and snowfinch flourish in the park .  Medicinal plants ( edit )  Some plants within the park 's alpine habitats have significant medicinal properties . Twenty - two rare and endangered medicinal plant species , have been discovered in and around Pin Valley National Park , which are distributed over 10 different habitat types . Aconitum rotundifolium , Arnebia euchroma , Ephedra gerardiana , Ferula jaeschkeana , Hyoscymus niger are the threatened but medicinally important plants occur in this national park .   See also ( edit )    National parks of Himachal Pradesh    References ( edit )    Jump up ^ Tourism , Lahaul &amp; Spiti District , Himachal Pradesh , India   Jump up ^ Kala , Chandra Prakash 2000 . Status and conservation of rare and endangered medicinal plants in the Indian trans - Himalaya . Biological Conservation , 93 : 371 - 379 .   Jump up ^ Kala , Chandra Prakash 2005 ; Indigenous uses , population density , and conservation of threatened medicinal plants in protected areas of the Indian Himalayas . Conservation Biology , 19 ( 2 ) : 368 - 378 .    External links ( edit )       Wikimedia Commons has media related to Pin Valley National Park .      himachaltourism.nic.in   ( 1 )              Protected areas of Himachal Pradesh     National parks     Great Himalayan   Pin Valley         Wildlife Sanctuaries     Chail   Churdhar   Daranghati   Kalatop Khajjiar   Kanwar   Maharana Pratap   Majthal   Manali   Nargu   Renuka                 National parks of India       Protected areas of India   Ministry of Environment and Forests ( India )          Andaman &amp; Nicobar Islands     Campbell Bay   Galathea   Mahatma Gandhi   Middle Button Island   Mt . Harriet Island   North Button Island   Rani Jhansi   Saddle Peak   South Button Island       Andhra Pradesh     Sri Venkateswara       Arunachal Pradesh     Mouling   Namdapha       Assam     Dibru - Saikhowa   Kaziranga   Manas   Nameri   Orang       Bihar     Valmiki       Chhattisgarh     Indravati   Kanger Ghati       Goa     Mollem       Gujarat     Blackbuck   Gir   Gulf of Kutch   Vansda       Haryana     Kalesar   Sultanpur       Himachal Pradesh     Great Himalayan   Pin Valley   Khirganga       Jammu &amp; Kashmir     Dachigam   Hemis   Kishtwar       Jharkhand     Betla       Karnataka     Anshi   Bandipur   Bannerghatta   Nagarhole       Kerala     Anamudi Shola   Eravikulam   Mathikettan Shola   Pampadam Shola   Periyar   Silent Valley       Madhya Pradesh     Bandhavgarh   Fossil   Kanha   Madhav   Panna   Pench   Sanjay   Satpura   Van Vihar       Maharashtra     Chandoli   Gilbert Hill   Gugamal   Karnala   Navegaon   Pench   Sanjay Gandhi   Tadoba       Manipur     Keibul Lamjao   Sirohi       Meghalaya     Balphakram   Nokrek               Mizoram     Murlen   Phawngpui       Nagaland     Intangki       Odisha     Bhitarkanika   Simlipal       Rajasthan     Darrah   Desert   Keoladeo   Ranthambhore   Sariska       Sikkim     Khangchendzonga       Tamil Nadu     Guindy   Gulf of Mannar   Anamalai   Mudumalai   Mukurthi   Palani Hills       Telangana     Kasu Brahmananda Reddy   Mahavir Harina Vanasthali   Mrugavani       Tripura     Clouded Leopard   Rajbari       Uttar Pradesh     Dudhwa       Uttarakhand     Corbett   Gangotri   Govind   Nanda Devi   Rajaji   Valley of Flowers       West Bengal     Buxa   Gorumara   Neora Valley   Singalila   Sundarbans   Jaldapara                        This Himachal Pradesh location article is a stub . You can help Wikipedia by expanding it .            Retrieved from `` https://en.wikipedia.org/w/index.php?title=Pin_Valley_National_Park&amp;oldid=801973968 '' Categories :   National parks of Himachal Pradesh   Geography of Lahaul and Spiti district   Protected areas established in 1987   1987 establishments in India   Himachal Pradesh geography stubs   Hidden categories :   Use dmy dates from February 2017   Use Indian English from February 2017   All Wikipedia articles written in Indian English   Coordinates on Wikidata   All stub articles           Talk                                           Contents                   About Wikipedia                                                 Español   Français   ગુજરાતી   हिन्दी   മലയാളം   پنجابی   தமிழ்   Edit links   This page was last edited on 23 September 2017 , at 04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</si>
  <si>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pin valley national park (pvnp) is located in which state</t>
  </si>
  <si>
    <t xml:space="preserve"> Pin Valley National Park is a National park of India located within the Lahaul and Spiti district , in the state of Himachal Pradesh , in far Northern India . </t>
  </si>
  <si>
    <r>
      <rPr>
        <sz val="11"/>
        <color rgb="FF000000"/>
        <rFont val="Calibri"/>
        <family val="0"/>
        <charset val="1"/>
      </rPr>
      <t xml:space="preserve">Leek - wikipedia  Leek  Jump to : navigation , search For other uses , see Leek ( disambiguation ) .    Leek         Genus   Allium     Species   Allium ampeloprasum L .     Cultivar group   Leek Group ( other names are used , e.g. Porrum Group )     Cultivar   Many , see text     Raw leeks , bulb &amp; lower leaves   Nutritional value per 100 g ( 3.5 oz )     Energy   255 kJ ( 61 kcal )         Carbohydrates   14.15 g     Sugars   3.9 g     Dietary fiber   1.8 g             Fat   0.3 g             Protein   1.5 g             Vitamins     Vitamin A equiv . beta - Carotene lutein zeaxanthin   ( 10 % ) 83 μg ( 9 % ) 1000 μg 1900 μg     Thiamine ( B1 )   ( 5 % ) 0.06 mg     Riboflavin ( B2 )   ( 3 % ) 0.03 mg     Niacin ( B3 )   ( 3 % ) 0.4 mg     Pantothenic acid ( B5 )   ( 3 % ) 0.14 mg     Vitamin B6   ( 18 % ) 0.233 mg     Folate ( B9 )   ( 16 % ) 64 μg     Vitamin C   ( 14 % ) 12 mg     Vitamin E   ( 6 % ) 0.92 mg     Vitamin K   ( 45 % ) 47 μg             Minerals     Calcium   ( 6 % ) 59 mg     Iron   ( 16 % ) 2.1 mg     Magnesium   ( 8 % ) 28 mg     Manganese   ( 23 % ) 0.481 mg     Phosphorus   ( 5 % ) 35 mg     Potassium   ( 4 % ) 180 mg             Other constituents     Water   83 g         Link to USDA Database entry       Units   μg = micrograms mg = milligrams   IU = International units       Percentages are roughly approximated using US recommendations for adults . Source : USDA Nutrient Database     The leek is a vegetable , a cultivar of Allium ampeloprasum , the broadleaf wild leek . The edible part of the plant is a bundle of leaf sheaths that is sometimes erroneously called a stem or stalk . The genus Allium also contains the onion , garlic , shallot , scallion , chive , and Chinese onion .   Historically , many scientific names were used for leeks , but they are now all treated as cultivars of A. ampeloprasum . The name ' leek ' developed from the Old English word leac . Two closely related vegetables , elephant garlic and kurrat , are also cultivars of A. ampeloprasum , although different in their uses as food .     Contents  ( hide )   1 Form   2 Cultivars   3 Growing   4 Cuisine   5 Historical consumption   6 Cultural significance   7 Gallery   8 See also   9 References   10 External links      Form ( edit )   Rather than forming a tight bulb like the onion , the leek produces a long cylinder of bundled leaf sheaths that are generally blanched by pushing soil around them ( trenching ) . They are often sold as small seedlings in flats that are started off early in greenhouses , to be planted out as weather permits . Once established in the garden , leeks are hardy ; many varieties can be left in the ground during the winter to be harvested as needed .   Cultivars ( edit )   Leek cultivars may be treated as a single cultivar group , e.g. as A. ampeloprasum ' Leek Group ' . The cultivars can be subdivided in several ways , but the most common types are `` summer leeks '' , intended for harvest in the season when planted , and overwintering leeks , meant to be harvested in the spring of the year following planting . Summer leek types are generally smaller than overwintering types ; overwintering types are generally more strongly flavored . Cultivars include ' King Richard ' and ' Tadorna Blue ' .   Growing ( edit )   Leeks are easy to grow from seed and tolerate standing in the field for an extended harvest , which takes place up to 6 months from planting . The soil in which it is grown has to be loose and drained well ; leek can be grown in the same regions where onions can be grown . Leeks usually reach maturity in the autumn months . Leeks can be bunched and harvested early when they are about the size of a finger or pencil , or they can be thinned and allowed to grow to a much larger mature size . Hilling leeks can produce better specimens .   Leeks suffer from insect pests including the thrips species Thrips tabaci and the leek moth . Leeks are also susceptible to leek rust ( Puccinia allii ) .   Cuisine ( edit )  Fresh leek sautéing  Leeks have a mild , onion - like taste . In its raw state , the vegetable is crunchy and firm . The edible portions of the leek are the white base of the leaves ( above the roots and stem base ) , the light green parts , and to a lesser extent the dark green parts of the leaves . The dark green portion is usually discarded because it has a tough texture , but it can be sautéed , or more commonly added to stock for flavor . A few leaves are sometimes tied with twine and other herbs to form a bouquet garni .   Leeks are typically chopped into slices 5 -- 10 mm thick . The slices have a tendency to fall apart , due to the layered structure of the leek . The different ways of preparing the vegetable are :    Boiling turns it soft and mild in taste . ( Care should be taken to chop the vegetable , or else the intact fibers that run the length of the vegetable will tangle into a ball while chewing . )   Frying leaves it crunchier and preserves the taste .   Raw leeks can be used in salads , doing especially well when they are the prime ingredient .   In Turkish cuisine , leeks are chopped into thick slices , then boiled and separated into leaves , and finally filled with a filling usually containing rice , herbs ( generally parsley and dill ) , onion , and black pepper . For sarma with olive oil , currants , pine nuts , and cinnamon are added , and for sarma with meat , minced meat is added to the filling . In Turkey , especially zeytinyağlı pırasa ( leek with olive oil ) , ekşili pırasa ( sour leek ) , etli pırasa ( leek with meat ) , pırasa musakka ( leek musakka ) , pırasalı börek ( börek with leek ) , and pırasa köftesi leek meatball are also cooked .    Leeks are an ingredient of cock - a-leekie soup , leek and potato soup , and vichyssoise , as well as plain leek soup .   Because of their symbolism in Wales ( see below ) , they have come to be used extensively in that country 's cuisine . Elsewhere in Britain , leeks have come back into favor only in the last 50 years or so , having been overlooked for several centuries .   Historical consumption ( edit )   The Hebrew Bible talks of חציר , identified by commentators as leek , and says it is abundant in Egypt . Dried specimens from archaeological sites in ancient Egypt , as well as wall carvings and drawings , indicate that the leek was a part of the Egyptian diet from at least the second millennium BCE . Texts also show that it was grown in Mesopotamia from the beginning of the second millennium BCE . The leek was the favorite vegetable of the Emperor Nero , who consumed it in soup or in oil , believing it beneficial to the quality of his voice .   Cultural significance ( edit )  Still life with leeks by Carl Schuch ( National Museum in Warsaw )  The leek is one of the national emblems of Wales , worn along with the daffodil ( in Welsh , the daffodil is known as `` Peter 's leek '' , Cenhinen Bedr ) on St. David 's Day . According to one legend , King Cadwaladr of Gwynedd ordered his soldiers to identify themselves by wearing the vegetable on their helmets in an ancient battle against the Saxons that took place in a leek field . The Elizabethan poet Michael Drayton stated , in contrast , that the tradition was a tribute to Saint David , who ate only leeks when he was fasting . Whatever the case , the leek has been known to be a symbol of Wales for a long time ; Shakespeare , for example , refers to the custom of wearing a leek as an `` ancient tradition '' in Henry V. In the play , Henry tells the Welsh officer Fluellen that he , too , is wearing a leek `` for I am Welsh , you know , good countryman . '' The 1985 and 1990 British one pound coins bear the design of a leek in a coronet , representing Wales .   Alongside the other national floral emblems of countries currently and formerly in the Commonwealth or part of the United Kingdom ( including the English Tudor Rose , Scottish thistle , Irish shamrock , Canadian maple leaf , and Indian lotus ) , the Welsh leek appeared on the coronation gown of Elizabeth II . It was designed by Norman Hartnell ; when Hartnell asked if he could exchange the leek for the more aesthetically pleasing Welsh daffodil , he was told no .   Perhaps the most visible use of the leek , however , is as the cap badge of the Welsh Guards , a regiment within the Household Division of the British Army .   In Romania , the leek is also widely considered a symbol of Oltenia , a historical region in the southwestern part of the country . In early 1990s Albania , protestors waved leeks in defiance of the Communists whose policies had virtually reduced many to this staple .   Gallery ( edit )     Two blooming flower heads     A largely spent flower head showing open flowers , as well as developing seed pods     Leek field in Houthulst , Belgium     Still life of leeks and thyme     Section and root base     Leek sold in a supermarket     Leek seeds     See also ( edit )    Allium tricoccum , a North American plant commonly known as `` wild leek ''   Culture of Wales   Farfetch 'd , a Pokémon that carries a spring leek   Hatsune Miku , whose character item , Green Onion , is often confused with a leek   Kurrat , Egyptian leek   Laukaz , a rune that has been speculated to mean `` leek ''   List of vegetables   Loituma Girl , also known as `` Leekspin ''   Scallion   Welsh onion    References ( edit )    Jump up ^ Block , E. ( 2010 ) . Garlic and Other Alliums : The Lore and the Science . Royal Society of Chemistry . ISBN 0 - 85404 - 190 - 7 .   Jump up ^ `` AllergyNet -- Allergy Advisor Find '' . Allallergy.net . Archived from the original on June 15 , 2010 . Retrieved April 14 , 2010 .   Jump up ^ `` Allium ampeloprasum '' , World Checklist of Selected Plant Families , Royal Botanic Gardens , Kew , retrieved 2013 - 02 - 01   Jump up ^ Caroline Foley ( 2006 ) . The A-Z of Allotment Vegetables . New Holland Publishers . p. 75 . ISBN 978 - 1 - 84537 - 283 - 5 .   Jump up ^ Brewster , James L. ( 2008 ) . Onions and other vegetable alliums ( 2nd ed . ) . Wallingford , UK : CABI International . ISBN 978 - 1 - 84593 - 399 - 9 . p. 30   Jump up ^ Marie Iannotti ( 25 February 2014 ) . The Timber Press Guide to Vegetable Gardening in the Northeast . Timber Press . pp. 186 -- . ISBN 978 - 1 - 60469 - 595 - 3 .   ^ Jump up to : K.V. Peter ( 25 August 2006 ) . Handbook of Herbs and Spices . Elsevier Science . pp. 370 -- 371 . ISBN 978 - 1 - 84569 - 171 - 4 .   Jump up ^ Theunissen , J. ; Legutowska , H. ( 1991 ) . `` Thrips tabaciLindeman ( Thysanoptera , Thripidae ) in leek : symptoms , distribution and population estimates '' . Journal of Applied Entomology. 112 ( 1 - 5 ) : 163 -- 170 . doi : 10.1111 / j. 1439 - 0418.1991. tb01042. x . ISSN 0931 - 2048 .   Jump up ^ Mason , P.g. ; Appleby , M. ; Juneja , S. ; Allen , J. ; Landry , J. - F. ( 2010 - 07 - 01 ) . `` Biology and Development of Acrolepiopsis assectella ( Lepidoptera : Acrolepiidae ) in Eastern Ontario '' . The Canadian Entomologist. 142 ( 4 ) : 393 -- 404 . doi : 10.4039 / n10 - 026 . ISSN 0008 - 347X .   Jump up ^ Librarie Larousse , ed. ( 1984 ) . Larousse Gastronomique : The World 's Greatest Cooking Encyclopedia . The Hamlyn Publishing Group Limited .   Jump up ^ http://www.takvim.com.tr/Yemek/Diger/2013/01/02/zeytinyagli-pirasa-sarmasi Leek sarma with olive oil recipe   Jump up ^ http://www.turkish-media.com/yemektarifleri/viewrecipe.php?id=859&amp;ord=id&amp;asc=DESC Leek sarma with meat recipe   Jump up ^ Jane Grigson , Jane Grigson 's Vegetable Book , ( Penguin Books , 1978 , ISBN 0 - 14 - 046859 - 5 ) p 291   Jump up ^ Glantz , Animal and plant life in the Torah , חי וצומח בתורה , p. 204   Jump up ^ Zohary , Daniel ; Hopf , Maria ; Weiss , Ehud ( 2012 ) . Domestication of plants in the Old World : the origin and spread of domesticated plants in Southwest Asia , Europe , and the Mediterranean Basin ( 4th ed . ) . Oxford : Oxford University Press . p. 195 . ISBN 9780199549061 .   Jump up ^ Pliny , Historia Naturalis , XIX , 33 .   Jump up ^ The Mirror of Literature , Amusement , and Instruction. 5 . London : J Limbard. 1825 .   Jump up ^ Cumo , Christopher , Encyclopedia of Cultivated Plants : From Acacia to Zinnia , ABC - CLIO , 2013 , p. 561 .   Jump up ^ Rosemary Goulding ( June 1998 ) . `` SILVER AND GOLD '' . Waterlooville Parish Church . Retrieved 8 February 2013 .   Jump up ^ Wolf D. Storl ( 14 June 2016 ) . A Curious History of Vegetables : Aphrodisiacal and Healing Properties , Folk Tales , Garden Tips , and Recipes . North Atlantic Books . pp. 155 -- . ISBN 978 - 1 - 62317 - 040 - 0 .   Jump up ^ Vladimir Mirodan ( 1987 ) . The Balkan Cookbook . Pelican Publishing Company . p. 63 . ISBN 978 - 0 - 88289 - 738 - 7 .   Jump up ^ Clarissa de Waal ( 17 September 2005 ) . Albania Today : A Portrait of Post-Communist Turbulence . I.B. Tauris . pp. 39 -- . ISBN 978 - 1 - 85043 - 859 - 5 .    External links ( edit )       Wikimedia Commons has media related to Allium ampeloprasum .         Wikibooks Cookbook has a recipe / module on   Leek        Allium ampeloprasum L. on US National PLANTS Database   Allium porrum L. on US National PLANTS Database   Allium ampeloprasum , Porrum on Floridata   Leek : Plants For a Future database   Food Museum page   National Symbols of Wales      ( hide )         Allium       Allium species   Chives   Garlic   Leek   Onion       Onion cultivars     Calçot   Cocktail   Common / Bulb   Yellow   Red   White     Pearl   Potato   Scallion   Shallot   Sweet   Tree   Vidalia   Welsh         Onion species      Allium ...     ... abramsii   ... acuminatum   ... aflatunense   ... ampeloprasum   ... amplectens   ... anceps   ... atrorubens   ... bisceptrum   ... bolanderi   ... burlewii   ... caeruleum   ... campanulatum   ... cernuum   ... chinense   ... cratericola   ... crispum   ... cristophii   ... koreanum   ... monanthum   ... platycaule   ... praecox   ... punctum   ... sanbornii   ... shevockii   ... siskiyouense   ... sphaerocephalon   ... stellatum   ... stipitatum   ... textile   ... tribracteatum   ... tricoccum   ... triquetrum   ... tuolumnense   ... unifolium   ... validum   ... victorialis   ... yosemitense          Onion food     List of onion dishes   Blooming   Fried   Onion cake   Onion ring   Pickled   Sogan - dolma       Garlic cultivars     Elephant   Garlic chives   Snow Mountain   Solo       Garlic species      Allium ...     ... canadense   ... drummondii   ... moly   ... neapolitanum   ... nigrum   ... roseum   ... sphaerocephalon   ... triquetrum   ... ursinum   ... vineale          Garlic food     List of garlic dishes   Black garlic   Persillade   Pistou   Garlic oil   Garlic press   Garlic bread   Garlic chutney   Beurre à la bourguignonne ( garlic butter )   Garlic soup       Garlic and onion constituents     Allicin   Diallyl disulfide   Diallyl trisulfide   Allyl mercaptan       Related     Garlic Is as Good as Ten Mothers ( 1980 documentary )           Commons      Retrieved from `` https://en.wikipedia.org/w/index.php?title=Leek&amp;oldid=828102127 '' Categories :   Allium   Leaf vegetables   National symbols of Wales   Root vegetables   Welsh cuisine   Welsh folklore   Hidden categories :   Articles with ' species ' microformats   Commons category with local link different than on Wikidata           Talk                                           Contents                   About Wikipedia                                                   Asturianu   Azərbaycanca   Български   བོད ་ ཡིག   Brezhoneg   Català   Čeština   Corsu   Cymraeg   Dansk   Davvisámegiella   Deutsch   Ελληνικά   Español   Esperanto   Euskara   فارسی   Français   Gaeilge   Gaelg   Galego   </t>
    </r>
    <r>
      <rPr>
        <sz val="11"/>
        <color rgb="FF000000"/>
        <rFont val="Noto Sans CJK SC"/>
        <family val="2"/>
      </rPr>
      <t xml:space="preserve">한국어   </t>
    </r>
    <r>
      <rPr>
        <sz val="11"/>
        <color rgb="FF000000"/>
        <rFont val="Calibri"/>
        <family val="0"/>
        <charset val="1"/>
      </rPr>
      <t xml:space="preserve">Հայերեն   Hrvatski   Ido   Bahasa Indonesia   Ирон   Íslenska   עברית   ಕನ್ನಡ   ქართული   Қазақша   Kinyarwanda   Kreyòl ayisyen   Kurdî   Latviešu   Lietuvių   Limburgs   Magyar   Македонски   Bahasa Melayu   မြန်မာဘာသာ   Nāhuatl   Nederlands   </t>
    </r>
    <r>
      <rPr>
        <sz val="11"/>
        <color rgb="FF000000"/>
        <rFont val="Noto Sans CJK SC"/>
        <family val="2"/>
      </rPr>
      <t xml:space="preserve">日本 語   </t>
    </r>
    <r>
      <rPr>
        <sz val="11"/>
        <color rgb="FF000000"/>
        <rFont val="Calibri"/>
        <family val="0"/>
        <charset val="1"/>
      </rPr>
      <t xml:space="preserve">Napulitano   Nordfriisk   Norsk   Norsk nynorsk   Occitan   پنجابی   Picard   Plattdüütsch   Polski   Português   Română   Русский   Sardu   Scots   Shqip   Simple English   Slovenščina   Српски / srpski   Srpskohrvatski / српскохрватски   Suomi   Svenska   தமிழ்   ไทย   Türkçe   Українська   اردو   Tiếng Việt   Walon   West - Vlams   ייִדיש   </t>
    </r>
    <r>
      <rPr>
        <sz val="11"/>
        <color rgb="FF000000"/>
        <rFont val="Noto Sans CJK SC"/>
        <family val="2"/>
      </rPr>
      <t xml:space="preserve">粵語   中文   </t>
    </r>
    <r>
      <rPr>
        <sz val="11"/>
        <color rgb="FF000000"/>
        <rFont val="Calibri"/>
        <family val="0"/>
        <charset val="1"/>
      </rPr>
      <t xml:space="preserve">Kabɩyɛ   Edit links   This page was last edited on 28 February 2018 , at 15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</si>
  <si>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are leeks and onions in the same family</t>
  </si>
  <si>
    <t xml:space="preserve"> The leek is a vegetable , a cultivar of Allium ampeloprasum , the broadleaf wild leek . The edible part of the plant is a bundle of leaf sheaths that is sometimes erroneously called a stem or stalk . The genus Allium also contains the onion , garlic , shallot , scallion , chive , and Chinese onion . </t>
  </si>
  <si>
    <t xml:space="preserve">Albus Dumbledore - wikipedia  Albus Dumbledore       Albus Dumbledore     Harry Potter character     Dumbledore as portrayed by Michael Gambon in Harry Potter and the Goblet of Fire     First appearance   Harry Potter and the Philosopher 's Stone     Last appearance   Harry Potter and the Deathly Hallows     Created by   J.K. Rowling     Portrayed by   Richard Harris ( adult , films 1 &amp; 2 ) Michael Gambon ( adult , films 3 -- 8 ) Jude Law ( adult , Fantastic Beasts : The Crimes of Grindelwald ) Toby Regbo ( youth , film 7 )     House   Gryffindor     Information     Species   Wizard     Professor Albus Percival Wulfric Brian Dumbledore is a fictional character in J.K. Rowling 's Harry Potter series . For most of the series , he is the headmaster of the wizarding school Hogwarts . As part of his backstory , it is revealed that he is the founder and leader of the Order of the Phoenix , an organisation dedicated to fighting Lord Voldemort .   Dumbledore is portrayed by Richard Harris in the film adaptations of Harry Potter and the Philosopher 's Stone and Harry Potter and the Chamber of Secrets . After Harris ' death , Michael Gambon portrayed Dumbledore for all of the remaining Harry Potter films . Jude Law will portray Dumbledore in Fantastic Beasts : The Crimes of Grindelwald .   Rowling stated she chose the name Dumbledore , which is a dialectal word for `` bumblebee '' , because of Dumbledore 's love of music : she imagined him walking around `` humming to himself a lot '' .   Contents    1 Character development   2 Appearances   2.1 Harry Potter and the Philosopher 's Stone   2.2 Harry Potter and the Chamber of Secrets   2.3 Harry Potter and the Prisoner of Azkaban   2.4 Harry Potter and the Goblet of Fire   2.5 Harry Potter and the Order of the Phoenix   2.6 Harry Potter and the Half - Blood Prince   2.7 Harry Potter and the Deathly Hallows     3 Portrayals within films   4 Characterisation   4.1 Appearance   4.2 Personality   4.3 Magical abilities and skills   4.4 Possessions   4.5 Family     5 Reception   5.1 Sexuality     6 In popular culture   7 References   8 External links    Character development   The author has stated that she enjoys writing Dumbledore because he `` is the epitome of goodness . '' Rowling said that Dumbledore speaks for her , as he `` knows pretty much everything '' about the Harry Potter universe . Rowling mentioned that Dumbledore regrets `` that he has always had to be the one who knew , and who had the burden of knowing . And he would rather not know . '' As a mentor to the central character Harry Potter , `` Dumbledore is a very wise man who knows that Harry is going to have to learn a few hard lessons to prepare him for what may be coming in his life . He allows Harry to get into what he would n't allow another pupil to do , and he also unwillingly permits Harry to confront things he 'd rather protect him from . '' In a 1999 interview , Rowling stated that she imagined Dumbledore `` more as a John Gielgud type , you know , quite elderly and -- and quite stately . '' During his time as a student , Dumbledore was in Gryffindor House . Rowling said in an interview that Dumbledore was about 150 years old . However , on her website , she states that Dumbledore was born in 1881 , making him either 115 or 116 when he died .   On 19 October 2007 , Rowling was asked by a young fan whether Dumbledore finds `` true love . '' Rowling said that she always thought of Dumbledore as being homosexual and that he had fallen in love with Gellert Grindelwald , which was Dumbledore 's `` great tragedy '' ; Rowling did not explicitly state whether Grindelwald returned his affections . Rowling explains this further by elaborating on the motivations behind Dumbledore 's flirtation with the idea of wizard domination of Muggles : `` He lost his moral compass completely when he fell in love and I think subsequently became very mistrustful of his own judgement in those matters so became quite asexual . He led a celibate and a bookish life . ''   Appearances       This section needs additional citations for verification . Please help improve this article by adding citations to reliable sources . Unsourced material may be challenged and removed . ( March 2018 ) ( Learn how and when to remove this template message )     Harry Potter and the Philosopher 's Stone   In the opening chapter of the first novel of the series , Dumbledore arrives at number four , Privet Drive in Little Whinging , Surrey . When the evil wizard Lord Voldemort kills Harry 's parents before being reduced to a lesser form , Dumbledore decides to place the now - orphaned Harry in the home of Vernon and Petunia Dursley . He knows that Harry will be protected by the special magic caused by his mother 's sacrifice , after he evokes the magic of the bond of blood and Harry 's aunt , his mother 's sister - Petunia Evans Dursley , sealed it by accepting her nephew into her home . This old magic of binding love renders Voldemort incapable of touching Harry . Dumbledore leaves Harry upon the doorstep of the Dursley home with a letter explaining the situation . He departs with the final phrase , `` Good luck , Harry . ''   When Harry arrives at Hogwarts , Dumbledore tells him about the secrets of the Mirror of Erised , claiming that when he looks into it , he sees himself `` holding a pair of thick , woollen socks . '' Harry later recalls in the final book that this was probably the only dishonest answer Dumbledore ever gave him . He is also responsible for somehow enchanting the Mirror so that it hides the Philosopher 's Stone and only someone who looked into the Mirror and whose desire was `` to find the Stone ... but not use it '' would receive it , as anybody else would only see themselves using the Stone due to the Mirror 's special magic . He is called out to the Ministry of Magic by a false message on the night when Professor Quirinus Quirrell , Harry Potter , Ron Weasley , and Hermione Granger enter the dungeons to retrieve the Stone , but realises during the trip that he is needed at Hogwarts and returns in time to rescue Harry from Quirrell and Voldemort . He also has a final conversation with Harry after the events down in the dungeons and tells him that he is too young to comprehend the information about why Voldemort attempts to kill him .   Harry Potter and the Chamber of Secrets   In the second novel , Dumbledore suspects that Tom Riddle is somehow involved in the attacks on the muggle born students , as he says , when asked who is the culprit , `` not who , but how ? '' A younger Dumbledore appears in Riddle 's diary , when Harry sees his memory , and asks Riddle if he knows anything about the attacks on the students . During the last half of the novel , Lucius Malfoy forces the school 's other eleven governors to suspend Dumbledore as Headmaster in the wake of attacks by a basilisk in the school when the Chamber of Secrets is opened . Dumbledore is reinstated when the governors discover that Ginny Weasley was taken into the Chamber of Secrets and Lucius is found to have coerced the other governors into suspending him .   Harry Potter and the Prisoner of Azkaban   At the beginning of the third novel , Dumbledore is forced to accept Dementors onto his school 's grounds for the protection of his students from Sirius Black , the supposed murderer and accessory to murder , who had escaped from Azkaban . After Black 's breach into Hogwarts , Dumbledore issues orders to close every entrance to the school and grounds . After Harry falls off his broomstick during a Quidditch match because of the Dementors , Dumbledore becomes uncharacteristically angry with them and uses his wand to cause Harry to levitate safely to the ground . Later in that book , Dumbledore suggests Hermione Granger use her Ministry - approved Time - Turner to go back three hours to save Buckbeak the hippogriff and Sirius from their unjust executions .   Harry Potter and the Goblet of Fire   In the fourth novel , Dumbledore introduces the Triwizard Tournament . He also serves as a judge during the entire event . When Harry 's name comes out of the Goblet of Fire , Dumbledore is not enraged , but remains calm ; simply asking Harry whether he had himself , or had asked an older student to submit his name ( although in the film version he does get angry to the point of manhandling Harry ) . When Harry answers no , he believes him . By the end of the book , Dumbledore 's fears are realised when Harry returns from his encounter with Voldemort clutching the dead body of Cedric Diggory and when Mad - Eye Moody ( being impersonated by Barty Crouch Jr , through Polyjuice Potion ) takes Harry away from Dumbledore and to his office inside the castle . Dumbledore immediately becomes suspicious and heads straight towards Moody 's office with Minerva McGonagall and Severus Snape to save Harry and to interrogate Crouch . Afterwards , Dumbledore listens to Harry 's eyewitness account about Voldemort 's return . Harry though , only wakes up later to find Minister for Magic Cornelius Fudge in the hospital wing arguing with McGonagall and Dumbledore . In the end , Fudge and Dumbledore `` part ways '' after an argument about the situation of Voldemort 's return and the consequences that would follow should Fudge remain in denial of this fact .   Harry Potter and the Order of the phoenix   In the fifth book , Dumbledore is demoted from Chief Warlock of the Wizengamot , voted out of the Chairmanship of the International Confederation of Wizards , and is almost stripped of his Order of Merlin First Class due to his speeches regarding the return of Voldemort , although it is reported that he is unconcerned as long as he is not taken off the Chocolate Frog cards . Meanwhile , the Ministry of Magic does everything they can to discredit him and Harry -- mainly through the Daily Prophet . At the beginning of the book , Dumbledore enrages Fudge when he stops by at Harry 's hearing with a witness ( Arabella Figg ) to ensure that he is not expelled . While Harry feels better when Dumbledore assists him , he becomes annoyed to the point of being angry that the headmaster refuses to speak to or even look at him .   During the following year at Hogwarts , the Ministry passes Educational Decree Twenty - two , allowing Fudge to place Dolores Umbridge to the post of Defence Against the Dark Arts teacher ( after Dumbledore failed to find a suitable candidate ) . Through her , Fudge gradually gains power over Hogwarts and Dumbledore , who he fears is building an under - age wizard army to overthrow the Ministry . Umbridge forbids practical defence practice in her classes , forcing Harry , Ron , and Hermione to form Dumbledore 's Army ( a defence group led by Harry ) with fellow friends . It is when the Ministry discovers the D.A. that Dumbledore , choosing to accept the responsibility , falsely claims that the organisation was his own subversive creation , and allows himself to be removed as headmaster ( for the second time ) rather than allow Harry to be expelled .   Dumbledore is not heard of again in the book until he arrives in the Department of Mysteries to aid the Order in the battle against the Death Eaters . He subdues all the Death Eaters , except for Bellatrix Lestrange , and binds them with an Anti-Disapparition Jinx to prevent them from magically escaping . He then saves Harry from the Avada Kedavra curse conjured by Voldemort and engages in a ferocious duel with the Dark Lord . This culminates in Voldemort 's attempting to possess Harry in an attempt to make Dumbledore kill the boy . Voldemort is forced to leave Harry 's body and flee with Bellatrix after this ruse fails . Many ministry officials having witnessed the end of the battle , Dumbledore is reinstated as headmaster and retrieves all his distinctions . Towards the end of the book , Dumbledore explains to Harry that Voldemort chose him as his equal and that one must kill the other in the end , and confesses that his great affection for Harry has clouded his judgement .   Harry Potter and the Half - Blood Prince   In the sixth book , Dumbledore fetches Harry from Privet Drive and takes him to persuade Horace Slughorn to rejoin the Hogwarts staff . Harry notices that Dumbledore 's right hand is shrivelled and black . During the school year , Dumbledore teaches Harry of events in Voldemort 's past that he feels are of immense importance . Using the Pensieve , they visit the memories of others , which contain important information about Voldemort 's life and his genocidal rise to power . While using the pensieve , Harry sees a vision of Dumbledore 's first encounter with Voldemort , then a disturbed young orphan named Tom Riddle ; Dumbledore had known from the beginning that the boy was dangerous , but believed that Hogwarts would change him .   It is learned that Voldemort created six Horcruxes to gain immortality and that they must all be destroyed before Harry goes after the final piece of Voldemort 's soul in the Dark Lord 's body . Harry also repeatedly warns Dumbledore in most of their lessons that Draco Malfoy is working for Voldemort . Dumbledore refuses to take any action against Draco , and instead tells Harry that he already knows more about what is happening than Harry does .   By the end of the book , Dumbledore and Harry set out to the cave where Dumbledore believes a Horcrux resides . In the cave , Dumbledore drinks a potion inside the Horcrux 's container ; while drinking it , he begins to scream , seemingly enduring mental torture and being weakened . Dumbledore begins to call out for water after he finishes the potion , and Harry , realising he has no other choice , dips the goblet into the lake to give him a drink . When he does this though , all the Inferi that reside in the lake grab at Harry and attempt to drag him down and drown him in the lake . Dumbledore suddenly recovers , thanks to the water , and conjures a fire lasso around them . Dumbledore takes the horcrux ( a locket ) and both make their way back out of the cave and back to Hogsmeade . When they return , Madam Rosmerta informs them that the Dark Mark was conjured over the Astronomy Tower . In the tower , Dumbledore enjoins Harry not to interfere in the events that are about to take place there , and places him in a body - binding curse under his invisibility cloak . Hidden , Harry is unable to intervene as Dumbledore ( now extremely weak ) is disarmed by Draco . Dumbledore is conversing with Draco about the plot to kill him , when several other Death Eaters enter the tower and try to persuade Draco to kill Dumbledore . When Draco hesitates , Snape appears and performs the Killing Curse on Dumbledore , only after Dumbledore pleads with Snape saying , `` Severus , please ... '' . To what Dumbledore was referring is not revealed until the seventh book . Dumbledore dies in Hogwarts ' grounds .   Shortly after his death , Dumbledore 's portrait magically appears in the Headmaster 's office . His funeral is attended by students , Hogwarts staff , members of the Ministry of Magic , ghosts , centaurs , merpeople and others who wish to pay their respects . Shrouded in purple velvet , he is entombed in a white marble sarcophagus beside the lake at Hogwarts , and it is said that he is the only headmaster to be buried on the school grounds .   Harry Potter and the Deathly Hallows   Rowling used several chapters in Harry Potter and the Deathly Hallows to reveal two main matters concerning Dumbledore : his early life and his death . The book introduces his parents , Percival and Kendra Dumbledore , as well as his little sister , Ariana ; his brother , Aberforth Dumbledore , was mentioned in previous books . At six years old , Ariana was attacked by three Muggle boys who had witnessed her doing magic . Because of this attack , Ariana was seriously traumatised and never able to control her magic again , having recurring outbursts of magic . Enraged , Percival mercilessly attacked the Muggle boys ( killing them in the film version ) , and was sentenced to life in Azkaban . After this , Kendra moved her family to the village of Godric 's Hollow . In one of her outbursts , Ariana accidentally kills Kendra around the time Albus has completed his education . Albus becomes the head of the family and is forced to remain in his house with his sister Ariana while Aberforth completes his education .  The Elder Wand , as reproduced in Harry Potter Warner Bros. films  Soon afterward , a young Gellert Grindelwald arrived in Godric 's Hollow to live with his great - aunt , Bathilda Bagshot , author of A History of Magic . The two young men took to each other immediately , and together they dreamed of a world ruled by wizards over Muggles by uniting the legendary Deathly Hallows . They believed that if they were forced to destroy a few along the way , it would still be `` for the greater good '' , and the sufferings and losses would be rewarded a hundredfold in the end . This scenario would never happen , though . A discussion between Albus , Aberforth , and Grindelwald led to a duel that resulted in Ariana 's death . For the rest of his life , Albus felt guilty , never certain whether it was his own curse or another 's that had killed his sister . Grindelwald stormed back to Bagshot 's home and departed to begin his own rule , leaving the country hours later . As a result of his mistakes , Albus felt that he was not to be trusted with power and , because of this , never took the position of Minister for Magic , despite being offered it several times . Dumbledore returned to Hogwarts as professor of Transfiguration , and he served in recruiting students for the school .   Decades later , in 1945 , Dumbledore finally defeated the now - Dark wizard Grindelwald , who had come to possess the Elder Wand . Grindelwald 's defeat made Dumbledore the master of the Elder Wand , which remained his until just before his death , when Draco used the Disarming Charm on him .   Dumbledore had another Hallow in his keeping since the death of James Potter : the Invisibility Cloak , which he had borrowed to examine . When James died , Dumbledore kept the cloak and decided to pass it on to Harry , James 's son .   The truth about Dumbledore 's death is revealed through Snape 's last memories in the Pensieve . Harry learns that Dumbledore made a terrible error by placing a cursed ring on his right hand , sometime between the fifth and sixth book , forgetting the curses that must be on the ring . The ring held the Resurrection Stone , which Dumbledore hoped to use to allow him to apologise to his sister and parents . Dumbledore called Snape to help him ; however , when Snape arrived and assessed the curse , all he could do was contain it . Snape told Dumbledore that he had little more than a year to live . After hearing this news , Dumbledore revealed to Snape that he knew about Voldemort 's plan to have Draco kill him . He asked Snape to use the Killing Curse on him when the time came because he did not want Draco to have to kill him , saying that the boy 's soul was still intact ; Draco 's soul would have been damaged in killing Dumbledore out of malice , whereas Snape was fully aware that he would be merely sparing Dumbledore pain and humiliation . He also intended for Snape to be the one to kill him and for the Elder Wand to be buried with him , in order to prevent the wand from being passed on again .   Dumbledore 's spirit appears to Harry towards the end of the book in a limbo - like King 's Cross , after Harry is struck with the Killing Curse which was conjured by Voldemort . During the last book , Harry finds out that he must die because he is a Horcrux . When Voldemort conjures the Killing Curse , Harry does not fight back , which stops him from dying . When they meet again , the boy comforts Dumbledore as he confesses all of his many regrets . Dumbledore then informs Harry of the choice he still has : of moving on to the next life or returning to his body to face Voldemort one last time . After returning from the mystical King 's Cross and defeating Voldemort for good , Harry has a short conversation with Dumbledore 's portrait in the Headmaster 's office about the fate of each of the three Deathly Hallows . He keeps the Cloak , leaves the Stone in the Forbidden Forest where he dropped it , and returns the Elder Wand to Dumbledore 's tomb ( from which Voldemort had stolen it ) . In the epilogue , it is revealed that Harry names his second son Albus Severus Potter after Dumbledore and Snape .   Portrayals within films  Dumbledore as portrayed in film . Clockwise from upper left : Richard Harris , Michael Gambon and Jude Law .  In the film adaptations of Philosopher 's Stone ( 2001 ) and Chamber of Secrets ( 2002 ) , Dumbledore was played by Richard Harris , who was expected to play the character throughout the series . Harris mentioned that he was originally not going to take the role , since he knew his own health was in decline . He accepted because his then - 11 - year - old granddaughter threatened never to speak to him again if he did not take it . Harris was determined to portray Dumbledore again in Prisoner of Azkaban ( 2004 ) , despite having been diagnosed with Hodgkin 's lymphoma , and asked David Heyman not to recast the role . However , his death on 25 October 2002 necessitated recasting .   Ian McKellen was offered the role , but he turned it down , having played the similar character Gandalf in The Lord of the Rings trilogy , as well as feeling it would have been inappropriate to take Harris 's role , as Harris had called McKellen a `` dreadful '' actor . Harris 's family had expressed an interest in seeing Peter O'Toole being chosen as his replacement .   Michael Gambon was cast as Harris 's replacement four months after Harris 's death . Gambon was not concerned about bettering Harris , and he portrayed the character in his own way , putting on a slight Irish accent for the role , as well as completing his scenes in three weeks . Gambon reprised his role in all the remaining films .   Toby Regbo was chosen to portray Dumbledore in his youth in Deathly Hallows Part 1 and Part 2 , for flashbacks scenes which provide essential information on the character 's backstory .   Jude Law will be playing the role of a younger Dumbledore in the second prequel film , Fantastic Beasts : The Crimes of Grindelwald .   Characterisation       This section needs additional citations for verification . Please help improve this article by adding citations to reliable sources . Unsourced material may be challenged and removed . ( March 2018 ) ( Learn how and when to remove this template message )     Appearance   Albus Dumbledore is tall and thin , with silver hair and beard ( auburn in his youth ) so long that they can be tucked into his belt . He has a very long and crooked nose that looks as if it has been broken at least twice . ( It is speculated that his brother 's punch during their sister 's funeral may have played a role in shaping his nose . ) He is also said to have long and skillful fingers . His eyes are described as being a brilliant , soul - piercing shade of blue , and usually twinkled with kindness and mischief .   Dumbledore wears half - moon spectacles and a colourful array of robes , ranging from purple to bright orange . He once claimed to have a scar above his left knee in the precise shape of a map of the London Underground , but whether or not he actually does is unknown . His demeanour is often -- if not always -- serene and ethereal , and he usually speaks in a calm , pleasant voice even when Harry thought that he is actually furious .   During the last year of his life , Dumbledore 's right hand is scarred when he dons Marvolo Gaunt 's Ring , which was cursed . Had Snape not intervened with a counter-curse , Dumbledore would have died much more quickly . Regardless , the curse left his hand blackened and dead - looking , and no amount of healing could repair the appearance . According to Snape , the curse would eventually spread itself from the contained hand , and Dumbledore was doomed to die in no more than one year 's time . Whether this means the blackening dead - look appearance would spread throughout the entire body is unknown .   Personality   Considered the most powerful wizard in the world , Dumbledore is benevolent and wise , a good wizard in the style of Merlin . He almost constantly gives off an aura of serenity and composure , rarely displaying intense emotions of anger or fear . Yet despite his benign nature , it is said that Dumbledore was the only wizard Lord Voldemort ever truly feared . Dumbledore is very eccentric and even slightly effeminate ; he is very fond of knitting patterns and frequently wears flamboyant clothing ( at one point , he is seen wearing a flowered bonnet ) . He is also known for his odd displays of whimsicality ; he often uses humour to make people feel comfortable in his presence . As a supremely talented wizard , Dumbledore displays numerous examples of extraordinary powers . His abilities as a wizard are combined with a kind of cunning and subtlety of mind that allowed him to comprehend human nature and turn the better aspects of humanity ( trust , love , and friendship ) to Voldemort 's disadvantage in particular .   More than anything else , Dumbledore has a deep capacity for love , frequently reminding Harry that love was the greatest magic of all . Dumbledore believes in the good in everyone and insists on giving second chances . The greatest example of this is Dumbledore 's relationship with Snape , in whom Dumbledore is willing to place a considerable amount of faith because he showed remorse . Dumbledore is highly perceptive and emotionally intelligent ; his knowledge of a person 's true personality goes beyond simply being a good judge of character . This is never more apparent than in his complex insights into Voldemort 's psyche , which he pieces together with Harry to deduce where Voldemort 's horcruxes are hidden .   However , in spite of Dumbledore 's many extraordinary qualities , he was no saint . According to Rowling , `` Although Dumbledore seems to be so benign for six books , he 's quite a Machiavellian figure , really . He 's been pulling a lot of strings . '' In a 2005 interview , Rowling commented : `` Immense brainpower does not protect you from emotional mistakes , and I think Dumbledore really exemplifies that . '' Dumbledore 's greatest personality flaw , which he explained to Harry , was his desire for power . He eventually found that those best suited for power are those who do not seek it . When he and Grindelwald met each other , they made plans to enslave Muggles and re-establish wizards as the natural rulers of the world . However , Dumbledore was disillusioned of this fantasy after his sister Ariana was killed during a duel between himself , his brother Aberforth , and Grindelwald .   Dumbledore was haunted by his sad family history . In particular , he was riddled with guilt over the circumstances surrounding the death of his sister . He felt enormous remorse for his selfishness and was tortured for the rest of his life by the possibility that he might have been the one who cast the spell that killed his sister . When he looked into the Mirror of Erised , he saw himself redeemed in the eyes of his brother and his entire family alive and together .   Magical abilities and skills   Since a young age , Dumbledore has always shown great magical abilities . During his education at Hogwarts , Dumbledore was known as the most brilliant student to have ever stepped into the school , winning `` every prize of note that the school offered '' , and in his N.E.W.T.s , `` ... did things with a wand ( the examiner had ) never seen before '' . Rowling has said that Dumbledore is primarily self - taught , although he `` had access to superb teachers at Hogwarts , '' and , as far as his education is concerned , `` Dumbledore 's family would be a profitable line of inquiry . '' While he is not vain , Dumbledore also exhibits no false modesty , readily acknowledging that he is unusually intelligent and an exceptionally powerful wizard . He admits a number of times to Harry in their occasional meetings in Half - Blood Prince that he makes mistakes , and since he is smarter than most men , his mistakes `` tend to be correspondingly huger . ''   Dumbledore is an expert at nonverbal spells and is famous as an alchemist who has worked with Nicolas Flamel , the only known maker of the Philosopher 's Stone , and is credited with discovering the twelve uses of dragon 's blood . His Patronus takes the form of a phoenix , a recurring symbol in the books .   His knowledge of the most powerful kind of magic , love , is extensive . He taught Harry about its very essence , and the innate power of his ability to love his parents , which eventually helped Harry realise his destiny to kill Lord Voldemort .   He is known to be able to conjure Gubraithian fire ( magical everlasting fire ) . He has claimed to be able to become invisible without using an invisibility cloak , which is a powerful Disillusionment Charm . Dumbledore is also skilled in Occlumency and Legilimency . Dumbledore is an expert at Transfiguration too , having taught the subject before becoming headmaster . He frequently creates complex objects like sofa chairs out of thin air ( or from less comfortable chairs ) . Dumbledore is also proficient at Charms and Potions ; according to the obituary written by Elphias Doge , his papers were published in journals such as Achievements in Charming and The Practical Potioneer . Dumbledore is famous for defeating Grindelwald , who is second on a list of Most Dangerous Dark Wizards of All Time only to Voldemort himself , in a `` spectacular duel of legend '' , succeeding in doing so despite the fact that Grindelwald possessed the Elder Wand , which supposedly guarantees invincibility in duels due to its power . His skill at duelling is further shown when he calmly engages Voldemort in Harry Potter and the Order of the Phoenix , overpowering him and eventually forcing him to possess Harry to be spared from total defeat . ( It is known in retrospect that Dumbledore possessed the Elder Wand when duelling Voldemort , having taken it from Grindelwald . ) Unlike most wizards who make a distinct popping sound when they apparate , Dumbledore notably is able to apparate silently ; the only other wizard shown to possess this skill is Voldemort . Dumbledore is known to be able to understand Mermish and Gobbledegook ( Goblin language ) and Parseltongue .   Possessions   Dumbledore 's office houses `` a number of curious ( ... ) instruments . '' Among them is a Pensieve , a stone receptacle used to store and review memories , which witches and wizards are able to extract from their heads as a type of fluid . Harry first discovers this device in Goblet of Fire , and it is frequently used for flashback scenes throughout the remainder of the series . In the first chapter of Philosopher 's Stone , Dumbledore is seen using the Deluminator , a device for removing and later returning light , and for use as a homing device . It is confirmed in Deathly Hallows when the object is inherited by Ron that the Deluminator is of Dumbledore 's own design . Dumbledore is the possessor and master of the Elder Wand , an extremely powerful object known also as the `` Wand of Destiny '' or the `` Deathstick '' , and one of the Deathly Hallows . Unlike many of the wand 's previous owners , Dumbledore keeps its identity a closely guarded secret . He also has a pet phoenix named Fawkes . It is revealed in Philosopher 's Stone by Mr. Ollivander that Harry 's wand carries a phoenix feather as its magical core and that particular phoenix only gave one other feather , the one in Voldemort 's wand that gave Harry his scar . It is later revealed in Goblet of Fire that Fawkes was the phoenix whose feathers provide the magical core in Harry 's and Voldemort 's wands .   Family   Through various interviews and discussions about the character , Rowling has established that Albus Dumbledore was born in July or August 1881 to Percival and Kendra Dumbledore . The character had previously referenced his brother Aberforth , and in Harry Potter and the Deathly Hallows , it is revealed that Albus is three years older than Aberforth . The same book established their sister Ariana who , at six years old , suffered a vicious attack by three male Muggle youths who had witnessed her doing magic . Frightened , they first tried to get her to repeat what they had seen , and upon her failure to recreate it due to h</t>
  </si>
  <si>
    <t xml:space="preserve">actor that played dumbledore in harry potter movies</t>
  </si>
  <si>
    <t xml:space="preserve">   Albus Dumbledore     Harry Potter character     Dumbledore as portrayed by Michael Gambon in Harry Potter and the Goblet of Fire     First appearance   Harry Potter and the Philosopher 's Stone     Last appearance   Harry Potter and the Deathly Hallows     Created by   J.K. Rowling     Portrayed by   Richard Harris ( adult , films 1 &amp; 2 ) Michael Gambon ( adult , films 3 -- 8 ) Jude Law ( adult , Fantastic Beasts : The Crimes of Grindelwald ) Toby Regbo ( youth , film 7 )     House   Gryffindor     Information     Species   Wizard   </t>
  </si>
  <si>
    <t xml:space="preserve">Outer space - wikipedia  Outer space  Jump to : navigation , search For other uses , see Outer space ( disambiguation ) . The interface between the Earth 's surface and outer space . The Kármán line at an altitude of 100 km ( 62 mi ) is shown . The layers of the atmosphere are drawn to scale , whereas objects within them , such as the International Space Station , are not .  Outer space , or just space , is the expanse that exists beyond the Earth and between celestial bodies . Outer space is not completely empty -- it is a hard vacuum containing a low density of particles , predominantly a plasma of hydrogen and helium as well as electromagnetic radiation , magnetic fields , neutrinos , dust , and cosmic rays . The baseline temperature , as set by the background radiation from the Big Bang , is 2.7 kelvins ( K ) ( − 270.45 ° C ; − 454.81 ° F ) . The plasma between galaxies accounts for about half of the baryonic ( ordinary ) matter in the universe ; it has a number density of less than one hydrogen atom per cubic metre and a temperature of millions of kelvins ; local concentrations of this plasma have condensed into stars and galaxies . Studies indicate that 90 % of the mass in most galaxies is in an unknown form , called dark matter , which interacts with other matter through gravitational but not electromagnetic forces . Observations suggest that the majority of the mass - energy in the observable universe is a poorly understood vacuum energy of space , which astronomers label dark energy . Intergalactic space takes up most of the volume of the Universe , but even galaxies and star systems consist almost entirely of empty space ...   Outer space does not begin at a definite altitude above the Earth 's surface . However , the Kármán line , at an altitude of 100 km ( 62 mi ) above sea level , is conventionally used as the start of outer space in space treaties and for aerospace records keeping . The framework for international space law was established by the Outer Space Treaty , which entered into force on 10 October 1967 . This treaty precludes any claims of national sovereignty and permits all states to freely explore outer space . Despite the drafting of UN resolutions for the peaceful uses of outer space , anti-satellite weapons have been tested in Earth orbit .   Humans began the physical exploration of space during the 20th century with the advent of high - altitude balloon flights , followed by manned rocket launches . Earth orbit was first achieved by Yuri Gagarin of the Soviet Union in 1961 , and unmanned spacecraft have since reached all of the known planets in the Solar System . Due to the high cost of getting into space , manned spaceflight has been limited to low Earth orbit and the Moon .   Outer space represents a challenging environment for human exploration because of the dual hazards of vacuum and radiation . Microgravity also has a negative effect on human physiology that causes both muscle atrophy and bone loss . In addition to these health and environmental issues , the economic cost of putting objects , including humans , into space is very high .     Contents  ( hide )   1 Discovery   2 Formation and state   3 Environment   3.1 Effect on human bodies     4 Boundary   5 Legal status   6 Earth orbit   7 Regions   7.1 Geospace   7.1. 1 Cislunar space     7.2 Interplanetary space   7.3 Interstellar space   7.4 Intergalactic space     8 Exploration and applications   9 See also   10 References   10.1 Bibliography     11 External links      Discovery ( edit )   In 350 BCE , Greek philosopher Aristotle suggested that nature abhors a vacuum , a principle that became known as the horror vacui . This concept built upon a 5th - century BCE ontological argument by the Greek philosopher Parmenides , who denied the possible existence of a void in space . Based on this idea that a vacuum could not exist , in the West it was widely held for many centuries that space could not be empty . As late as the 17th century , the French philosopher René Descartes argued that the entirety of space must be filled .   In ancient China , the 2nd century astronomer Zhang Heng became convinced that space must be infinite , extending well beyond the mechanism that supported the Sun and the stars . The surviving books of the Hsüan Yeh school said that the heavens were boundless , `` empty and void of substance '' . Likewise , the `` sun , moon , and the company of stars float in the empty space , moving or standing still '' .   The Italian scientist Galileo Galilei knew that air had mass and so was subject to gravity . In 1640 , he demonstrated that an established force resisted the formation of a vacuum . However , it would remain for his pupil Evangelista Torricelli to create an apparatus that would produce a partial vacuum in 1643 . This experiment resulted in the first mercury barometer and created a scientific sensation in Europe . The French mathematician Blaise Pascal reasoned that if the column of mercury was supported by air , then the column ought to be shorter at higher altitude where the air pressure is lower . In 1648 , his brother - in - law , Florin Périer , repeated the experiment on the Puy de Dôme mountain in central France and found that the column was shorter by three inches . This decrease in pressure was further demonstrated by carrying a half - full balloon up a mountain and watching it gradually expand , then contract upon descent .  The original Magdeburg hemispheres ( lower left ) used to demonstrate Otto von Guericke 's vacuum pump ( right )  In 1650 , German scientist Otto von Guericke constructed the first vacuum pump : a device that would further refute the principle of horror vacui . He correctly noted that the atmosphere of the Earth surrounds the planet like a shell , with the density gradually declining with altitude . He concluded that there must be a vacuum between the Earth and the Moon .   Back in the 15th century , German theologian Nicolaus Cusanus speculated that the Universe lacked a center and a circumference . He believed that the Universe , while not infinite , could not be held as finite as it lacked any bounds within which it could be contained . These ideas led to speculations as to the infinite dimension of space by the Italian philosopher Giordano Bruno in the 16th century . He extended the Copernican heliocentric cosmology to the concept of an infinite Universe filled with a substance he called aether , which did not resist the motion of heavenly bodies . English philosopher William Gilbert arrived at a similar conclusion , arguing that the stars are visible to us only because they are surrounded by a thin aether or a void . This concept of an aether originated with ancient Greek philosophers , including Aristotle , who conceived of it as the medium through which the heavenly bodies move .   The concept of a Universe filled with a luminiferous aether remained in vogue among some scientists until the early 20th century . This form of aether was viewed as the medium through which light could propagate . In 1887 , the Michelson -- Morley experiment tried to detect the Earth 's motion through this medium by looking for changes in the speed of light depending on the direction of the planet 's motion . However , the null result indicated something was wrong with the concept . The idea of the luminiferous aether was then abandoned . It was replaced by Albert Einstein 's theory of special relativity , which holds that the speed of light in a vacuum is a fixed constant , independent of the observer 's motion or frame of reference .   The first professional astronomer to support the concept of an infinite Universe was the Englishman Thomas Digges in 1576 . But the scale of the Universe remained unknown until the first successful measurement of the distance to a nearby star in 1838 by the German astronomer Friedrich Bessel . He showed that the star 61 Cygni had a parallax of just 0.31 arcseconds ( compared to the modern value of 0.287 '' ) . This corresponds to a distance of over 10 light years . In 1917 , Heber Curtis noted that novae in spiral nebulae were , on average , 10 magnitudes fainter than galactic novae , suggesting that the former are 100 times further away . The distance to the Andromeda Galaxy was determined in 1923 by American astronomer Edwin Hubble by measuring the brightness of cepheid variables in that galaxy , a new technique discovered by Henrietta Leavitt . This established that the Andromeda galaxy , and by extension all galaxies , lay well outside the Milky Way .   The earliest known estimate of the temperature of outer space was by the Swiss physicist Charles É . Guillaume in 1896 . Using the estimated radiation of the background stars , he concluded that space must be heated to a temperature of 5 -- 6 K. British physicist Arthur Eddington made a similar calculation to derive a temperature of 3.18 K in 1926 . German physicist Erich Regener used the total measured energy of cosmic rays to estimate an intergalactic temperature of 2.8 K in 1933 .   The modern concept of outer space is based on the `` Big Bang '' cosmology , first proposed in 1931 by the Belgian physicist Georges Lemaître . This theory holds that the universe originated from a very dense form that has since undergone continuous expansion . The background energy released during the initial expansion has steadily decreased in density , leading to a 1948 prediction by American physicists Ralph Alpher and Robert Herman of a temperature of 5 K for the temperature of space .   The term outward space was used in 1842 by the English poet Lady Emmeline Stuart - Wortley in her poem `` The Maiden of Moscow '' . The expression outer space was used as an astronomical term by Alexander von Humboldt in 1845 . It was later popularized in the writings of H.G. Wells in 1901 . The shorter term space is older , first used to mean the region beyond Earth 's sky in John Milton 's Paradise Lost in 1667 .   Formation and state ( edit )  This is an artist 's concept of the metric expansion of space , where a volume of the Universe is represented at each time interval by the circular sections . At left is depicted the rapid inflation from the initial state , followed thereafter by steady expansion to the present day , shown at right . Main article : Big Bang  According to the Big Bang theory , the very early Universe was an extremely hot and dense state about 13.8 billion years ago which rapidly expanded . About 380,000 years later the Universe had cooled sufficiently to allow protons and electrons to combine and form hydrogen -- the so - called recombination epoch . When this happened , matter and energy became decoupled , allowing photons to travel freely through space . Matter that remained following the initial expansion has since undergone gravitational collapse to create stars , galaxies and other astronomical objects , leaving behind a deep vacuum that forms what is now called outer space . As light has a finite velocity , this theory also constrains the size of the directly observable universe . This leaves open the question as to whether the Universe is finite or infinite .   The present day shape of the universe has been determined from measurements of the cosmic microwave background using satellites like the Wilkinson Microwave Anisotropy Probe . These observations indicate that the observable universe is `` flat '' , meaning that photons on parallel paths at one point remain parallel as they travel through space to the limit of the observable universe , except for local gravity . The flat Universe , combined with the measured mass density of the Universe and the accelerating expansion of the Universe , indicates that space has a non-zero vacuum energy , which is called dark energy .   Estimates put the average energy density of the Universe at the equivalent of 5.9 protons per cubic meter , including dark energy , dark matter , and baryonic matter ( ordinary matter composed of atoms ) . The atoms account for only 4.6 % of the total energy density , or a density of one proton per four cubic meters . The density of the Universe , however , is clearly not uniform ; it ranges from relatively high density in galaxies -- including very high density in structures within galaxies , such as planets , stars , and black holes -- to conditions in vast voids that have much lower density , at least in terms of visible matter . Unlike matter and dark matter , dark energy seems not to be concentrated in galaxies : although dark energy may account for a majority of the mass - energy in the Universe , dark energy 's influence is 5 orders of magnitude smaller than the influence of gravity from matter and dark matter within the Milky Way .   Environment ( edit )  Part of the Hubble Ultra-Deep Field image showing a typical section of space containing galaxies interspersed by deep vacuum . Given the finite speed of light , this view covers the last 13 billion years of the history of outer space .  Outer space is the closest known approximation to a perfect vacuum . It has effectively no friction , allowing stars , planets , and moons to move freely along their ideal orbits . However , even the deep vacuum of intergalactic space is not devoid of matter , as it contains a few hydrogen atoms per cubic meter . By comparison , the air humans breathe contains about 10 molecules per cubic meter . The low density of matter in outer space means that electromagnetic radiation can travel great distances without being scattered : the mean free path of a photon in intergalactic space is about 10 km , or 10 billion light years . In spite of this , extinction , which is the absorption and scattering of photons by dust and gas , is an important factor in galactic and intergalactic astronomy .   Stars , planets , and moons retain their atmospheres by gravitational attraction . Atmospheres have no clearly delineated upper boundary : the density of atmospheric gas gradually decreases with distance from the object until it becomes indistinguishable from outer space . The Earth 's atmospheric pressure drops to about 0.032 Pa at 100 kilometres ( 62 miles ) of altitude , compared to 100,000 Pa for the International Union of Pure and Applied Chemistry ( IUPAC ) definition of standard pressure . Above this altitude , isotropic gas pressure rapidly becomes insignificant when compared to radiation pressure from the Sun and the dynamic pressure of the solar wind . The thermosphere in this range has large gradients of pressure , temperature and composition , and varies greatly due to space weather .   The temperature of outer space is measured in terms of the kinetic activity of the gas , as it is on Earth . However , the radiation of outer space has a different temperature than the kinetic temperature of the gas , meaning that the gas and radiation are not in thermodynamic equilibrium . All of the observable universe is filled with photons that were created during the Big Bang , which is known as the cosmic microwave background radiation ( CMB ) . ( There is quite likely a correspondingly large number of neutrinos called the cosmic neutrino background . ) The current black body temperature of the background radiation is about 3 K ( − 270 ° C ; − 454 ° F ) . The gas temperatures in outer space are always at least the temperature of the CMB but can be much higher . For example , the corona of the Sun reaches temperatures over 1.2 -- 2.6 million K .   Magnetic fields have been detected in the space around just about every class of celestial object . Star formation in spiral galaxies can generate small - scale dynamos , creating turbulent magnetic field strengths of around 5 -- 10 μ G . The Davis -- Greenstein effect causes elongated dust grains to align themselves with a galaxy 's magnetic field , resulting in weak optical polarization . This has been used to show ordered magnetic fields exist in several nearby galaxies . Magneto - hydrodynamic processes in active elliptical galaxies produce their characteristic jets and radio lobes . Non-thermal radio sources have been detected even among the most distant , high - z sources , indicating the presence of magnetic fields .   Outside a protective atmosphere and magnetic field , there are few obstacles to the passage through space of energetic subatomic particles known as cosmic rays . These particles have energies ranging from about 10 eV up to an extreme 10 eV of ultra-high - energy cosmic rays . The peak flux of cosmic rays occurs at energies of about 10 eV , with approximately 87 % protons , 12 % helium nuclei and 1 % heavier nuclei . In the high energy range , the flux of electrons is only about 1 % of that of protons . Cosmic rays can damage electronic components and pose a health threat to space travelers . According to astronauts , like Don Pettit , space has a burned / metallic odor that clings to their suits and equipment , similar to the scent of an arc welding torch .   Despite the harsh environment , several life forms have been found that can withstand extreme space conditions for extended periods . Species of lichen carried on the ESA BIOPAN facility survived exposure for ten days in 2007 . Seeds of Arabidopsis thaliana and Nicotiana tabacum germinated after being exposed to space for 1.5 years . A strain of bacillus subtilis has survived 559 days when exposed to low - Earth orbit or a simulated martian environment . The lithopanspermia hypothesis suggests that rocks ejected into outer space from life - harboring planets may successfully transport life forms to another habitable world . A conjecture is that just such a scenario occurred early in the history of the Solar System , with potentially microorganism - bearing rocks being exchanged between Venus , Earth , and Mars .   Effect on human bodies ( edit )  See also : Space exposure and Weightlessness Because of the hazards of a vacuum , astronauts must wear a pressurized space suit while off - Earth and outside their spacecraft .  Even at relatively low altitudes in the Earth 's atmosphere , conditions are hostile to the human body . The altitude where atmospheric pressure matches the vapor pressure of water at the temperature of the human body is called the Armstrong line , named after American physician Harry G. Armstrong . It is located at an altitude of around 19.14 km ( 11.89 mi ) . At or above the Armstrong line , fluids in the throat and lungs boil away . More specifically , exposed bodily liquids such as saliva , tears , and liquids in the lungs boil away . Hence , at this altitude , human survival requires a pressure suit , or a pressurized capsule .   Once in space , sudden exposure of unprotected humans to very low pressure , such as during a rapid decompression , can cause pulmonary barotrauma -- a rupture of the lungs , due to the large pressure differential between inside and outside the chest . Even if the subject 's airway is fully open , the flow of air through the windpipe may be too slow to prevent the rupture . Rapid decompression can rupture eardrums and sinuses , bruising and blood seep can occur in soft tissues , and shock can cause an increase in oxygen consumption that leads to hypoxia .   As a consequence of rapid decompression , oxygen dissolved in the blood empties into the lungs to try to equalize the partial pressure gradient . Once the deoxygenated blood arrives at the brain , humans lose consciousness after a few seconds and die of hypoxia within minutes . Blood and other body fluids boil when the pressure drops below 6.3 kPa , and this condition is called ebullism . The steam may bloat the body to twice its normal size and slow circulation , but tissues are elastic and porous enough to prevent rupture . Ebullism is slowed by the pressure containment of blood vessels , so some blood remains liquid . Swelling and ebullism can be reduced by containment in a pressure suit . The Crew Altitude Protection Suit ( CAPS ) , a fitted elastic garment designed in the 1960s for astronauts , prevents ebullism at pressures as low as 2 kPa . Supplemental oxygen is needed at 8 km ( 5.0 mi ) to provide enough oxygen for breathing and to prevent water loss , while above 20 km ( 12 mi ) pressure suits are essential to prevent ebullism . Most space suits use around 30 -- 39 kPa of pure oxygen , about the same as on the Earth 's surface . This pressure is high enough to prevent ebullism , but evaporation of nitrogen dissolved in the blood could still cause decompression sickness and gas embolisms if not managed .   Humans evolved for life in Earth gravity , and exposure to weightlessness has been shown to have deleterious effects on human health . Initially , more than 50 % of astronauts experience space motion sickness . This can cause nausea and vomiting , vertigo , headaches , lethargy , and overall malaise . The duration of space sickness varies , but it typically lasts for 1 -- 3 days , after which the body adjusts to the new environment . Longer - term exposure to weightlessness results in muscle atrophy and deterioration of the skeleton , or spaceflight osteopenia . These effects can be minimized through a regimen of exercise . Other effects include fluid redistribution , slowing of the cardiovascular system , decreased production of red blood cells , balance disorders , and a weakening of the immune system . Lesser symptoms include loss of body mass , nasal congestion , sleep disturbance , and puffiness of the face .   For long - duration space travel , radiation can pose an acute health hazard . Exposure to high - energy , ionizing cosmic rays can result in fatigue , nausea , vomiting , as well as damage to the immune system and changes to the white blood cell count . Over longer durations , symptoms include an increased risk of cancer , plus damage to the eyes , nervous system , lungs and the gastrointestinal tract . On a round - trip Mars mission lasting three years , a large fraction of the cells in an astronaut 's body would be traversed and potentially damaged by high energy nuclei . Fortunately , the energy of such particles is significantly diminished by the shielding provided by the walls of a spacecraft and can be further diminished by water containers and other barriers . However , the impact of the cosmic rays upon the shielding produces additional radiation that can affect the crew . Further research is needed to assess the radiation hazards and determine suitable countermeasures .   Boundary ( edit )  SpaceShipOne completed the first manned private spaceflight in 2004 , reaching an altitude of 100.12 km ( 62.21 mi ) .  There is no clear boundary between Earth 's atmosphere and space , as the density of the atmosphere gradually decreases as the altitude increases . There are several standard boundary designations , namely :    The Fédération Aéronautique Internationale has established the Kármán line at an altitude of 100 km ( 62 mi ) as a working definition for the boundary between aeronautics and astronautics . This is used because at an altitude of about 100 km ( 62 mi ) , as Theodore von Kármán calculated , a vehicle would have to travel faster than orbital velocity to derive sufficient aerodynamic lift from the atmosphere to support itself .   The United States designates people who travel above an altitude of 50 miles ( 80 km ) as astronauts .   NASA 's Space Shuttle used 400,000 feet ( 76 mi , 122 km ) as its re-entry altitude ( termed the Entry Interface ) , which roughly marks the boundary where atmospheric drag becomes noticeable , thus beginning the process of switching from steering with thrusters to maneuvering with aerodynamic control surfaces .    In 2009 , scientists reported detailed measurements with a Supra - Thermal Ion Imager ( an instrument that measures the direction and speed of ions ) , which allowed them to establish a boundary at 118 km ( 73 mi ) above Earth . The boundary represents the midpoint of a gradual transition over tens of kilometers from the relatively gentle winds of the Earth 's atmosphere to the more violent flows of charged particles in space , which can reach speeds well over 268 m / s ( 600 mph ) .   Legal Status ( edit )  Main article : Space law 2008 launch of the SM - 3 missile used to destroy American reconnaissance satellite USA - 193  The Outer Space Treaty provides the basic framework for international space law . It covers the legal use of outer space by nation states , and includes in its definition of outer space the Moon and other celestial bodies . The treaty states that outer space is free for all nation states to explore and is not subject to claims of national sovereignty . It also prohibits the deployment of nuclear weapons in outer space . The treaty was passed by the United Nations General Assembly in 1963 and signed in 1967 by the USSR , the United States of America and the United Kingdom . As of 2017 , 105 state parties have either ratified or acceded to the treaty . An additional 25 states signed the treaty , without ratifying it. .   Since 1958 , outer space has been the subject of multiple United Nations resolutions . Of these , more than 50 have been concerning the international co-operation in the peaceful uses of outer space and preventing an arms race in space . Four additional space law treaties have been negotiated and drafted by the UN 's Committee on the Peaceful Uses of Outer Space . Still , there remains no legal prohibition against deploying conventional weapons in space , and anti-satellite weapons have been successfully tested by the US , USSR and China . The 1979 Moon Treaty turned the jurisdiction of all heavenly bodies ( including the orbits around such bodies ) over to the international community . However , this treaty has not been ratified by any nation that currently practices manned spaceflight .   In 1976 , eight equatorial states ( Ecuador , Colombia , Brazil , Congo , Zaire , Uganda , Kenya , and Indonesia ) met in Bogotá , Colombia . With their `` Declaration of the First Meeting of Equatorial Countries '' , or `` the Bogotá Declaration '' , they claimed control of the segment of the geosynchronous orbital path corresponding to each country . These claims are not internationally accepted .   Earth orbit ( edit )   A spacecraft enters orbit when its centripetal acceleration due to gravity is less than or equal to the centrifugal acceleration due to the horizontal component of its velocity . For a low Earth orbit , this velocity is about 7,800 m / s ( 28,100 km / h ; 17,400 mph ) ; by contrast , the fastest manned airplane speed ever achieved ( excluding speeds achieved by deorbiting spacecraft ) was 2,200 m / s ( 7,900 km / h ; 4,900 mph ) in 1967 by the North American X-15 .   To achieve an orbit , a spacecraft must travel faster than a sub-orbital spaceflight . The energy required to reach Earth orbital velocity at an altitude of 600 km ( 370 mi ) is about 36 MJ / kg , which is six times the energy needed merely to climb to the corresponding altitude . Spacecraft with a perigee below about 2,000 km ( 1,200 mi ) are subject to drag from the Earth 's atmosphere , which decreases the orbital altitude . The rate of orbital decay depends on the satellite 's cross-sectional area and mass , as well as variations in the air density of the upper atmosphere . Below about 300 km ( 190 mi ) , decay becomes more rapid with lifetimes measured in days . Once a satellite descends to 180 km ( 110 mi ) , it has only hours before it vaporizes in the atmosphere . The escape velocity required to pull free of Earth 's gravitational field altogether and move into interplanetary space is about 11,200 m / s ( 40,300 km / h ; 25,100 mph ) .   Regions ( edit )   Space is a partial vacuum : its different regions are defined by the various atmospheres and `` winds '' that dominate within them , and extend to the point at which those winds give way to those beyond . Geospace extends from Earth 's atmosphere to the outer reaches of Earth 's magnetic field , whereupon it gives way to the solar wind of interplanetary space . Interplanetary space extends to the heliopause , whereupon the solar wind gives way to the winds of the interstellar medium . Interstellar space then continues to the edges of the galaxy , where it fades into the intergalactic void .   Geospace ( edit )  Aurora australis observed from the Space Shuttle Discovery , on STS - 39 , May 1991 ( orbital altitude : 260 km )  Geospace is the region of outer space near Earth , including the upper atmosphere and magnetosphere . The Van Allen radiation belts lies within the geospace . The outer boundary of geospace is the magnetopause , which forms an interface between the Earth 's magnetosphere and the solar wind . The inner boundary is the ionosphere . The variable space - weather conditions of geospace are affected by the behavior of the Sun and the solar wind ; the subject of geospace is interlinked with heliophysics -- the study of the Sun and its impact on the planets of the Solar System .   The day - side magnetopause is compressed by solar - wind pressure -- the subsolar distance from the center of the Earth is typically 10 Earth radii . On the night side , the solar wind stretches the magnetosphere to form a magnetotail that sometimes extends out to more than 100 -- 200 Earth radii . For roughly four days of each month , the lunar surface is shielded from the solar wind as the Moon passes through the magnetotail .   Geospace is populated by electrically charged particles at very low densities , the motions of which are controlled by the Earth 's magnetic field . These plasmas form a medium from which storm - like disturbances powered by the solar wind can drive electrical currents into the Earth 's upper atmosphere . Geomagnetic storms can disturb two regions of geospace , the radiation belts and the ionosphere . These storms increase fluxes of energetic electrons that can permanently damage satellite electronics , interfering with shortwave radio communication and GPS location and timing . Magnetic storms can also be a hazard to astronauts , even in low Earth orbit . They also create aurorae seen at high latitudes in an oval surrounding the geomagnetic poles .   Although it meets the definition of outer space , the atmospheric density within the first few hundred kilometers above the Kármán line is still sufficient to produce significant drag on satellites . This region contains material left over from previous manned and unmanned launches that are a potential hazard to spacecraft . Some of this debris re-enters Earth 's atmosphere periodically .  Cislunar space ( edit ) Proposed spacecraft for manned cislunar travel in 2020s  Earth 's gravity keeps the Moon in orbit at an average distance of 384,403 km ( 238,857 mi ) . The region outside Earth 's atmosphere and extending out to just beyond the Moon 's orbit , including the Lagrangian points , is sometimes referred to as cis - lunar space .   The region of space where the gravity of the Earth remains dominant against gravitational perturbations from the Sun is called the Hill sphere . This extends well out into translunar space to a distance of roughly 1 % of the mean distance from the Earth to the Sun , or 1.5 million km ( 0.93 million mi ) .   Deep space has different definitions as to where it starts . It has been defined by the United States government and others as any region beyond cislunar space . The International Telecommunication Union responsible for radio communication ( including satellites ) defines the beginning of deep space at about 5 times that distance ( 7009200000000000000 ♠ 2 × 10 km ) .   Interplanetary space ( edit )  Main article : Interplanetary medium The sparse plasma ( blue ) and dust ( white ) in the tail of comet Hale -- Bopp are being shaped by pressure from solar radiation and the solar wind , respectively  Interplanetary space is defined by the solar wind , a continuous stream of charged particles emanating from the Sun that creates a very tenuous atmosphere ( the heliosphere ) for billions of kilometers into space . This wind has a particle density of 5 -- 10 protons / cm and is moving at a velocity of 350 -- 400 km / s ( 780,000 -- 890,000 mph ) . Interplanetary space extends out to the heliopause where the influence of the galactic environment starts to dominate over the magnetic field and particle flux from the Sun . The distance and strength of the heliopause varies depending on the activity level of the solar wind .   The volume of interplanetary space is a nearly total vacuum , with a mean free path of about one astronomical unit at the orbital distance of the Earth . However , this space is not completely empty , an</t>
  </si>
  <si>
    <t xml:space="preserve">what is the distance to space from earth</t>
  </si>
  <si>
    <t xml:space="preserve"> Outer space does not begin at a definite altitude above the Earth 's surface . However , the Kármán line , at an altitude of 100 km ( 62 mi ) above sea level , is conventionally used as the start of outer space in space treaties and for aerospace records keeping . The framework for international space law was established by the Outer Space Treaty , which entered into force on 10 October 1967 . This treaty precludes any claims of national sovereignty and permits all states to freely explore outer space . Despite the drafting of UN resolutions for the peaceful uses of outer space , anti-satellite weapons have been tested in Earth orbit . </t>
  </si>
  <si>
    <r>
      <rPr>
        <sz val="11"/>
        <color rgb="FF000000"/>
        <rFont val="Calibri"/>
        <family val="0"/>
        <charset val="1"/>
      </rPr>
      <t xml:space="preserve">List of National Basketball Association career 3 - point scoring leaders - wikipedia  List of National Basketball Association career 3 - point scoring leaders   This article provides two lists :    A list of National Basketball Association players by total career regular season three - point field goals made .   A progressive list of three - point leaders showing how the record has increased through the years .    Contents    1 Three - point field goals made leaders   2 Progressive list of 3 - point scoring leaders   3 Notes   4 External links    Three - point field goals made leaders ( edit )   This is a list of National Basketball Association players by total career regular - season three - point field goals made .    Statistics accurate as of the conclusion of the 2017 -- 18 NBA season on April 11 , 2018 .        Active NBA player     *   Inducted into the Naismith Memorial Basketball Hall of Fame     †   Not yet eligible for Hall of Fame consideration     §   1st time nominee for Hall of Fame in 2018       Rank   Name   Position ( s )   Team ( s ) played for ( years )   Total 3 - point field goals made   Total 3 - point field goals attempted   3 - point field goal percentage       Ray Allen *   SG   Milwaukee Bucks ( 1996 -- 2003 ) Seattle SuperSonics ( 2003 -- 2007 ) Boston Celtics ( 2007 -- 2012 ) Miami Heat ( 2012 -- 2014 )   2,973   7,429   . 400       Reggie Miller *   SG   Indiana Pacers ( 1987 -- 2005 )   2,560   6,486   . 395       Jason Terry ^   SG / PG   Atlanta Hawks ( 1999 -- 2004 ) Dallas Mavericks ( 2004 -- 2012 ) Boston Celtics ( 2012 -- 2013 ) Brooklyn Nets ( 2013 -- 2014 ) Houston Rockets ( 2014 -- 2016 ) Milwaukee Bucks ( 2016 - 2018 )   2,282   6,010   . 380       Kyle Korver ^   SG / SF   Philadelphia 76ers ( 2003 -- 2007 ) Utah Jazz ( 2007 -- 2010 ) Chicago Bulls ( 2010 -- 2012 ) Atlanta Hawks ( 2012 -- 2017 ) Cleveland Cavaliers ( 2017 -- present )   2,213   5,130   . 431       Jamal Crawford ^   SG / PG   Chicago Bulls ( 2000 -- 2004 ) New York Knicks ( 2004 -- 2008 ) Golden State Warriors ( 2008 -- 2009 ) Atlanta Hawks ( 2009 -- 2011 ) Portland Trail Blazers ( 2011 -- 2012 ) Los Angeles Clippers ( 2012 -- 2017 ) Minnesota Timberwolves ( 2017 -- 2018 )   2,153   6,175   . 349     6   Paul Pierce   SF   Boston Celtics ( 1999 -- 2013 ) Brooklyn Nets ( 2013 -- 2014 ) Washington Wizards ( 2014 -- 2015 ) Los Angeles Clippers ( 2015 -- 2017 )   2,143   5,816   . 368     7   Stephen Curry ^   PG   Golden State Warriors ( 2009 -- present )   2,129   4,880   . 436     8   Vince Carter ^   SG / SF   Toronto Raptors ( 1999 -- 2004 ) New Jersey Nets ( 2004 -- 2009 ) Orlando Magic ( 2009 -- 2010 ) Phoenix Suns ( 2010 -- 2011 ) Dallas Mavericks ( 2011 -- 2014 ) Memphis Grizzlies ( 2014 -- 2017 ) Sacramento Kings ( 2017 -- 2018 ) Atlanta Hawks ( 2018 -- present )   2,106   5,650   . 373     9   Jason Kidd *   PG   Dallas Mavericks ( 1994 -- 1996 , 2008 -- 2012 ) Phoenix Suns ( 1996 -- 2001 ) New Jersey Nets ( 2001 -- 2008 ) New York Knicks ( 2012 -- 2013 )   1,988   5,701   . 349     10   Joe Johnson ^   SG / SF   Boston Celtics ( 2001 -- 2002 ) Phoenix Suns ( 2002 -- 2005 ) Atlanta Hawks ( 2005 -- 2012 ) Brooklyn Nets ( 2012 -- 2016 ) Miami Heat ( 2016 ) Utah Jazz ( 2016 -- 2018 ) Houston Rockets ( 2018 -- present )   1,978   5,331   . 371     11   Dirk Nowitzki ^   PF   Dallas Mavericks ( 1999 -- present )   1,918   5,005   . 383     12   J.R. Smith ^   SG   New Orleans ( / Oklahoma City ) Hornets ( 2004 -- 2006 ) Denver Nuggets ( 2006 -- 2011 ) New York Knicks ( 2011 -- 2015 ) Cleveland Cavaliers ( 2015 -- present )   1,917   5,128   . 374     13   Chauncey Billups   PG / SG   Boston Celtics ( 1997 -- 1998 ) Toronto Raptors ( 1998 ) Denver Nuggets ( 19 99 , 2008 -- 2011 ) Minnesota Timberwolves ( 2000 -- 2002 ) Detroit Pistons ( 2002 -- 2008 , 2013 -- 2014 ) New York Knicks ( 2011 ) Los Angeles Clippers ( 2011 -- 2013 )   1,830   4,725   . 387     14   Kobe Bryant   SG   Los Angeles Lakers ( 1996 -- 2016 )   1,827   5,546   . 330     15   Rashard Lewis   SF / PF   Seattle SuperSonics ( 1999 -- 2007 ) Orlando Magic ( 2007 -- 2010 ) Washington Wizards ( 2010 -- 2012 ) Miami Heat ( 2012 -- 2014 )   1,787   4,625   . 386     16   Peja Stojaković   SF   Sacramento Kings ( 1999 -- 2006 ) Indiana Pacers ( 2006 ) New Orleans ( / Oklahoma City ) Hornets ( 2006 -- 2010 ) Toronto Raptors ( 2010 -- 2011 ) Dallas Mavericks ( 2011 )   1,760   4,392   . 401     17   Dale Ellis   SF / SG   Dallas Mavericks ( 1983 -- 1986 ) Seattle SuperSonics ( 1986 -- 1991 , 1997 -- 1999 ) Milwaukee Bucks ( 1991 -- 1992 , 1999 -- 2000 ) San Antonio Spurs ( 1992 -- 1994 ) Denver Nuggets ( 1994 -- 1997 ) Charlotte Hornets ( 2000 )   1,719   4,266   . 403     18   Steve Nash *   PG   Phoenix Suns ( 1996 -- 1998 , 2004 -- 2012 ) Dallas Mavericks ( 1999 -- 2004 ) Los Angeles Lakers ( 2012 -- 2014 )   1,685   3,939   . 428     19   James Harden ^   SG   Oklahoma City Thunder ( 2009 -- 2012 ) Houston Rockets ( 2012 -- present )   1,647   4,523   . 364     20   LeBron James ^   SF   Cleveland Cavaliers ( 2003 -- 2010 , 2014 -- 2018 ) Miami Heat ( 2010 -- 2014 ) Los Angeles Lakers ( 2018 -- present )   1,616   4,701   . 344     21   Jason Richardson   SG   Golden State Warriors ( 2001 -- 2007 ) Charlotte Bobcats ( 2007 -- 2008 ) Phoenix Suns ( 2008 -- 2010 ) Orlando Magic ( 2010 -- 2012 ) Philadelphia 76ers ( 2012 -- 2015 )   1,608   4,344   . 370     22   Mike Miller   SF / SG   Orlando Magic ( 2000 -- 2003 ) Memphis Grizzlies ( 2003 -- 2008 , 2013 -- 2014 ) Minnesota Timberwolves ( 2008 -- 2009 ) Washington Wizards ( 2009 -- 2010 ) Miami Heat ( 2010 -- 2013 ) Cleveland Cavaliers ( 2014 -- 2015 ) Denver Nuggets ( 2015 -- 2017 )   1,590   3,910   . 407     23   Glen Rice   SF   Miami Heat ( 1989 -- 1995 ) Charlotte Hornets ( 1995 -- 1998 ) Los Angeles Lakers ( 1999 -- 2000 ) New York Knicks ( 2000 -- 2001 ) Houston Rockets ( 2001 -- 2003 ) Los Angeles Clippers ( 2003 -- 2004 )   1,559   3,896   . 400     24   Klay Thompson ^   SG   Golden State Warriors ( 2011 -- present )   1,557   3,691   . 422     25   Eddie Jones   SG   Los Angeles Lakers ( 1994 -- 1999 ) Charlotte Hornets ( 1999 -- 2000 ) Miami Heat ( 2000 -- 2005 , 2007 ) Memphis Grizzlies ( 2005 -- 2007 ) Dallas Mavericks ( 2007 -- 2008 )   1,546   4,147   . 373     26   Tim Hardaway   PG   Golden State Warriors ( 1989 -- 1993 , 1994 -- 1996 ) Miami Heat ( 1996 -- 2001 ) Dallas Mavericks ( 2001 -- 2002 ) Denver Nuggets ( 2002 ) Indiana Pacers ( 2003 )   1,542   4,345   . 355     27   Nick Van Exel   PG   Los Angeles Lakers ( 1993 -- 1998 ) Denver Nuggets ( 1999 -- 2002 ) Dallas Mavericks ( 2002 -- 2003 ) Golden State Warriors ( 2003 -- 2004 ) Portland Trail Blazers ( 2004 -- 2005 ) San Antonio Spurs ( 2005 -- 2006 )   1,528   4,278   . 357     28   Mike Bibby   PG   Vancouver Grizzlies ( 1999 -- 2001 ) Sacramento Kings ( 2001 -- 2008 ) Atlanta Hawks ( 2008 -- 2011 ) Washington Wizards ( 2011 ) Miami Heat ( 2011 ) New York Knicks ( 2011 -- 2012 )   1,517   3,999   . 379     29   Manu Ginóbili ^   SG   San Antonio Spurs ( 2002 -- present )   1,495   4,055   . 369     30   J.J. Redick ^   SG   Orlando Magic ( 2006 -- 2013 ) Milwaukee Bucks ( 2013 ) Los Angeles Clippers ( 2013 -- 2017 ) Philadelphia 76ers ( 2017 -- present )   1,464   3,524   . 415     31   Michael Finley   SF   Phoenix Suns ( 1995 -- 1996 ) Dallas Mavericks ( 1996 -- 2005 ) San Antonio Spurs ( 2005 -- 2010 ) Boston Celtics ( 2010 )   1,454   3,880   . 375     32   Kevin Durant ^   SF / SG   Seattle SuperSonics / Oklahoma City Thunder ( 2007 -- 2016 ) Golden State Warriors ( 2016 -- present )   1,433   3,734   . 384     33   Wesley Matthews ^   SG   Utah Jazz ( 2009 -- 2010 ) Portland Trail Blazers ( 2010 -- 2015 ) Dallas Mavericks ( 2015 -- present )   1,405   3,667   . 383     34   Brent Barry   SG   Los Angeles Clippers ( 1995 -- 1998 ) Miami Heat ( 1998 ) Chicago Bulls ( 1999 ) Seattle SuperSonics ( 1999 -- 2004 ) San Antonio Spurs ( 2004 -- 2008 ) Houston Rockets ( 2008 -- 2009 )   1,395   3,442   . 405     35   Antoine Walker   PF   Boston Celtics ( 1996 -- 2003 , 2005 ) Dallas Mavericks ( 2003 -- 2004 ) Atlanta Hawks ( 2004 -- 2005 ) Miami Heat ( 2005 -- 2007 ) Minnesota Timberwolves ( 2007 -- 2008 )   1,386   4,264   . 325     36   Kyle Lowry ^   PG   Memphis Grizzlies ( 2006 -- 2009 ) Houston Rockets ( 2009 -- 2012 ) Toronto Raptors ( 2012 -- present )   1,375   3,717   . 370     37   Dan Majerle   SG / SF   Phoenix Suns ( 1988 -- 1995 , 2001 -- 2002 ) Cleveland Cavaliers ( 1995 -- 1996 ) Miami Heat ( 1996 -- 2001 )   1,360   3,798   . 358     38   Carmelo Anthony ^   SF   Denver Nuggets ( 2003 -- 2011 ) New York Knicks ( 2011 -- 2017 ) Oklahoma City Thunder ( 2017 -- 2018 )   1,341   3,861   . 347     39   Baron Davis   PG   Charlotte Hornets ( 1999 -- 2002 ) New Orleans Hornets ( 2002 -- 2005 ) Golden State Warriors ( 2005 -- 2008 ) Los Angeles Clippers ( 2008 -- 2011 ) Cleveland Cavaliers ( 2011 ) New York Knicks ( 2012 )   1,332   4,159   . 320     40   Mitch Richmond *   SG   Golden State Warriors ( 1988 -- 1991 ) Sacramento Kings ( 1991 -- 1998 ) Washington Wizards ( 1999 -- 2001 ) Los Angeles Lakers ( 2001 -- 2002 )   1,326   3,419   . 388     41   Ryan Anderson ^   PF   New Jersey Nets ( 2008 -- 2009 ) Orlando Magic ( 2009 -- 2012 ) New Orleans Hornets / Pelicans ( 2012 -- 2016 ) Houston Rockets ( 2016 -- present )   1,315   3,446   . 382     42   Trevor Ariza ^   SF   New York Knicks ( 2004 -- 2006 ) Orlando Magic ( 2006 -- 2007 ) Los Angeles Lakers ( 2007 -- 2009 ) Houston Rockets ( 2009 -- 2010 , 2014 -- 2018 ) New Orleans Hornets ( 2010 -- 2012 ) Washington Wizards ( 2012 -- 2014 ) Phoenix Suns ( 2018 -- present )   1,313   3,721   . 353     43   Allan Houston   SG   Detroit Pistons ( 1993 -- 1996 ) New York Knicks ( 1996 -- 2005 )   1,305   3,247   . 402     44   Mike Dunleavy Jr .   SF / SG   Golden State Warriors ( 2002 -- 2007 ) Indiana Pacers ( 2007 -- 2011 ) Milwaukee Bucks ( 2011 -- 2013 ) Chicago Bulls ( 2013 -- 2016 ) Cleveland Cavaliers ( 2016 -- 2017 ) Atlanta Hawks ( 2017 )   1,304   3,460   . 377     45   Terry Porter   PG   Portland Trail Blazers ( 1985 -- 1995 ) Minnesota Timberwolves ( 1995 -- 1998 ) Miami Heat ( 1999 ) San Antonio Spurs ( 1999 -- 2002 )   1,297   3,360   . 386     46   Mookie Blaylock   PG   New Jersey Nets ( 1989 -- 1992 ) Atlanta Hawks ( 1992 -- 1999 ) Golden State Warriors ( 1999 -- 2002 )   1,283   3,816   . 336     47   Damian Lillard ^   PG   Portland Trail Blazers ( 2012 -- present )   1,269   3,447   . 368     48   Vernon Maxwell   SG   San Antonio Spurs ( 1988 -- 1990 , 1996 -- 1997 ) Houston Rockets ( 1990 -- 1995 ) Philadelphia 76ers ( 1995 -- 1996 , 2000 ) Orlando Magic ( 1998 ) Charlotte Hornets ( 1998 ) Sacramento Kings ( 1999 ) Seattle SuperSonics ( 1999 -- 2000 ) Dallas Mavericks ( 2001 )   1,256   3,931   . 320     49   Clifford Robinson   PF / SF   Portland Trail Blazers ( 1989 -- 1997 ) Phoenix Suns ( 1997 -- 2001 ) Detroit Pistons ( 2001 -- 2003 ) Golden State Warriors ( 2003 -- 2005 ) New Jersey Nets ( 2005 -- 2007 )   1,253   3,515   . 356     50   Stephen Jackson   SG / SF   New Jersey Nets ( 2000 -- 2001 ) San Antonio Spurs ( 2001 -- 2003 , 2012 -- 2013 ) Atlanta Hawks ( 2003 -- 2004 ) Indiana Pacers ( 2004 -- 2007 ) Golden State Warriors ( 2007 -- 2009 ) Charlotte Bobcats ( 2009 -- 2011 ) Milwaukee Bucks ( 2011 -- 2012 ) Los Angeles Clippers ( 2013 -- 2014 )   1,252   3,763   . 333     Progressive list of 3 - point scoring leaders ( edit )   This is a progressive list of 3 - point scoring leaders showing how the record has increased through the years .    Statistics accurate as of the conclusion of the 2017 -- 18 NBA season on April 11 , 2018 .        Active NBA player     *   Inducted into the Naismith Memorial Basketball Hall of Fame     †   Not yet eligible for Hall of Fame consideration     §   1st time nominee for Hall of Fame in 2018     Team abbreviations Team ( s ) listed is the one player was on when he established the record .   BOS   Boston Celtics   HOU   Houston Rockets   ORL   Orlando Magic   SEA   Seattle SuperSonics     CHA   Charlotte Bobcats   IND   Indiana Pacers   PHI   Philadelphia 76ers   TOR   Toronto Raptors     CHI   Chicago Bulls   LAL   Los Angeles Lakers   PHO   Phoenix Suns   UTA   Utah Jazz     CLE   Cleveland Cavaliers   MIA   Miami Heat   SAC   Sacramento Kings   WAS   Washington Wizards     DEN   Denver Nuggets   MIL   Milwaukee Bucks   SAS   San Antonio Spurs   WSB   Washington Bullets     GSW   Golden State Warriors   NYK   New York Knicks   SDC   San Diego Clippers     Progressive 3 - point leaders   Season   Year - by - year leader   3P   Active player leader   3P   Career record   3P   Single - season record   3P   Season     1979 -- 80   Brian Taylor 000SDC   90   Brian Taylor 000SDC   90   Brian Taylor 000SDC   90   Brian Taylor 000SDC   90   1979 -- 80     1980 -- 81   Mike Bratz 000CLE   57   134   134   1980 -- 81     1981 -- 82   Don Buse 000IND   73   Joe Hassett 000GSW   193   Joe Hassett 000GSW   193   1981 -- 82     1982 -- 83   Mike Dunleavy 000 SAS   67   194   194   1982 -- 83     1983 -- 84   Darrell Griffith 000UTA   91   Darrell Griffith 000UTA   154   Darrell Griffith 000UTA   91   1983 -- 84     1984 -- 85   92   246   Darrell Griffith 000UTA   246   92   1984 -- 85     1985 -- 86   Larry Bird * 000BOS   82   Larry Bird * 000BOS   267   Larry Bird * 000BOS   267   1985 -- 86     1986 -- 87   90   357   357   1986 -- 87     1987 -- 88   Danny Ainge 000BOS   148   455   455   Danny Ainge 000BOS   148   1987 -- 88     1988 -- 89   Michael Adams 000DEN   166   Dale Ellis 000SEA   472   Dale Ellis 000SEA   472   Michael Adams 000DEN   166   1988 -- 89     1989 -- 90   158   568   568   1989 -- 90     1990 -- 91   Vernon Maxwell 000HOU   172   Michael Adams 000DEN 1990 -- 91 000WSB 1991 -- 92   658   Michael Adams 000DEN 1990 -- 91 000WSB 1991 -- 92   658   Vernon Maxwell 000HOU   172   1990 -- 91     1991 -- 92   162   783   783   1991 -- 92     1992 -- 93   Reggie Miller * 000IND Dan Majerle 000PHO   167   Dale Ellis 000 SAS 1992 -- 94 000 DEN 1994 -- 97   882   Dale Ellis 000 SAS 1992 -- 94 000 DEN 1994 -- 97   882   1992 -- 93     1993 -- 94   Dan Majerle 000PHO   192   1,013   1,013   Dan Majerle 000PHO   192   1993 -- 94     1994 -- 95   John Starks 000NYK   217   1,119   1,119   John Starks 000NYK   217   1994 -- 95     1995 -- 96   Dennis Scott 000ORL   267   1,269   1,269   Dennis Scott 000ORL   267   1995 -- 96     1996 -- 97   Reggie Miller * 000IND   229   1,461   1,461   1996 -- 97     1997 -- 98   Wesley Person 000CLE   192   Reggie Miller * 000IND   1,596   Reggie Miller * 000IND   1,596   1997 -- 98     1998 -- 99   Dee Brown 000TOR   135   1,702   1,702   1998 -- 99     1999 -- 00   Gary Payton * 000SEA   177   1,867   1,867   1999 -- 00     2000 -- 01   Antoine Walker 000BOS   221   2,037   2,037   2000 -- 01     2001 -- 02   Ray Allen * 000MIL   229   2,217   2,217   2001 -- 02     2002 -- 03   201   2,330   2,330   2002 -- 03     2003 -- 04   Peja Stojaković 000SAC   240   2,464   2,464   2003 -- 04     2004 -- 05   Quentin Richardson 0PHO Kyle Korver ^ 00PHI   226   2,560   2,560   2004 -- 05     2005 -- 06   Ray Allen * 000SEA   269   Ray Allen * 000SEA 2005 -- 07 000BOS 2007 -- 12 000MIA 2012 -- 14   1,755   Ray Allen * 000SEA   269   2005 -- 06     2006 -- 07   Gilbert Arenas 00WAS Raja Bell 00PHO   205   1,920   2006 -- 07     2007 -- 08   Jason Richardson 000CHA   243   2,100   2007 -- 08     2008 -- 09   Rashard Lewis 000ORL   220   2,299   2008 -- 09     2009 -- 10   Aaron Brooks ^ 000HOU   209   2,444   2009 -- 10     2010 -- 11   Dorell Wright 000GSW   194   2,612   Ray Allen * 000BOS 2010 -- 12 000MIA 2012 -- 14   2,612   2010 -- 11     2011 -- 12   Ryan Anderson ^ 000ORL   166   2,718   2,718   2011 -- 12     2012 -- 13   Stephen Curry ^ 000GSW   272   2,857   2,857   Stephen Curry ^ 000GSW   272   2012 -- 13     2013 -- 14   261   2,973   2,973   2013 -- 14     2014 -- 15   286   Jason Terry ^ 000HOU 2014 -- 16 000MIL 2016 -- 18   2,076   286   2014 -- 15     2015 -- 16   402   2,169   402   2015 -- 16     2016 -- 17   324   2,242   2016 -- 17     2017 -- 18   James Harden ^ 000HOU   265   2,282   2017 -- 18     Season   Year - by - year leader   3P   Active player leader   3P   Career record   3P   Single - season record   3P   Season       Notes ( edit )    Jump up ^ The National Basketball Association did not record 3 - point field goals until the 1979 -- 80 season   Jump up ^ `` NBA Progressive Leaders and Records for 3 - Pt Field Goals '' . Basketball-Reference.com . Sports - Reference . Retrieved 24 March 2015 .   ^ Jump up to : A player is not eligible for induction into the Naismith Memorial Basketball Hall of Fame until he has been fully retired for three calendar years .   ^ Jump up to : `` Naismith Memorial Basketball Hall of Fame Announces Eligible Candidates for the Class of 2018 '' . Retrieved 29 December 2017 .   Jump up ^ American Basketball Association ( ABA ) teams other than those admitted into the NBA in 1976 are not included ; each year is linked to an article about that particular NBA season .    External links ( edit )    Basketball-Reference.com enumeration of NBA career leaders in 3 - point field goals made              National Basketball Association statistical leaders     Players      Career      Regular season     Points   Franchise     Rebounds   Assists   Steals   Blocks   Turnovers   Three - point field goals   Free throws   Seasons   Games   Minutes       Playoffs     Points   Rebounds   Assists   Steals   Blocks   Turnovers   Three - point field goals   Free throws   Games   Minutes          Annual     Points   Rebounds   Assists   Steals   Blocks   Minutes   Field goal percentage   Three - point field goals   Three - point field goal percentage   Free throw percentage       Season     Points   Rookie     Rebounds   Rookie         Game     Points   Playoffs     Rebounds   Assists   Steals   Blocks       Misc     Tallest players   Shortest players   Oldest and youngest players   Highest - paid players          Teams     Winningest teams   All - time win - loss records   Winning streaks   Losing streaks       Misc     Highest - scoring games   Records   Regular season   Playoffs   All - Star Game        Retrieved from `` https://en.wikipedia.org/w/index.php?title=List_of_National_Basketball_Association_career_3-point_scoring_leaders&amp;oldid=854497664 '' Categories :   National Basketball Association lists   National Basketball Association statistical leaders   Hidden categories :   Articles with hCards           Talk                                           Contents                   About Wikipedia                                           Español   Français   Русский   </t>
    </r>
    <r>
      <rPr>
        <sz val="11"/>
        <color rgb="FF000000"/>
        <rFont val="Noto Sans CJK SC"/>
        <family val="2"/>
      </rPr>
      <t xml:space="preserve">中文   </t>
    </r>
    <r>
      <rPr>
        <sz val="11"/>
        <color rgb="FF000000"/>
        <rFont val="Calibri"/>
        <family val="0"/>
        <charset val="1"/>
      </rPr>
      <t xml:space="preserve">Edit links   This page was last edited on 11 August 2018 , at 19 : 59 ( UTC ) .         About Wikipedia                    </t>
    </r>
  </si>
  <si>
    <t xml:space="preserve">nba 3 point percentage leaders of all time</t>
  </si>
  <si>
    <t xml:space="preserve">   Rank   Name   Position ( s )   Team ( s ) played for ( years )   Total 3 - point field goals made   Total 3 - point field goals attempted   3 - point field goal percentage       Ray Allen *   SG   Milwaukee Bucks ( 1996 -- 2003 ) Seattle SuperSonics ( 2003 -- 2007 ) Boston Celtics ( 2007 -- 2012 ) Miami Heat ( 2012 -- 2014 )   2,973   7,429   . 400       Reggie Miller *   SG   Indiana Pacers ( 1987 -- 2005 )   2,560   6,486   . 395       Jason Terry ^   SG / PG   Atlanta Hawks ( 1999 -- 2004 ) Dallas Mavericks ( 2004 -- 2012 ) Boston Celtics ( 2012 -- 2013 ) Brooklyn Nets ( 2013 -- 2014 ) Houston Rockets ( 2014 -- 2016 ) Milwaukee Bucks ( 2016 - 2018 )   2,282   6,010   . 380       Kyle Korver ^   SG / SF   Philadelphia 76ers ( 2003 -- 2007 ) Utah Jazz ( 2007 -- 2010 ) Chicago Bulls ( 2010 -- 2012 ) Atlanta Hawks ( 2012 -- 2017 ) Cleveland Cavaliers ( 2017 -- present )   2,213   5,130   . 431       Jamal Crawford ^   SG / PG   Chicago Bulls ( 2000 -- 2004 ) New York Knicks ( 2004 -- 2008 ) Golden State Warriors ( 2008 -- 2009 ) Atlanta Hawks ( 2009 -- 2011 ) Portland Trail Blazers ( 2011 -- 2012 ) Los Angeles Clippers ( 2012 -- 2017 ) Minnesota Timberwolves ( 2017 -- 2018 )   2,153   6,175   . 349     6   Paul Pierce   SF   Boston Celtics ( 1999 -- 2013 ) Brooklyn Nets ( 2013 -- 2014 ) Washington Wizards ( 2014 -- 2015 ) Los Angeles Clippers ( 2015 -- 2017 )   2,143   5,816   . 368     7   Stephen Curry ^   PG   Golden State Warriors ( 2009 -- present )   2,129   4,880   . 436     8   Vince Carter ^   SG / SF   Toronto Raptors ( 1999 -- 2004 ) New Jersey Nets ( 2004 -- 2009 ) Orlando Magic ( 2009 -- 2010 ) Phoenix Suns ( 2010 -- 2011 ) Dallas Mavericks ( 2011 -- 2014 ) Memphis Grizzlies ( 2014 -- 2017 ) Sacramento Kings ( 2017 -- 2018 ) Atlanta Hawks ( 2018 -- present )   2,106   5,650   . 373     9   Jason Kidd *   PG   Dallas Mavericks ( 1994 -- 1996 , 2008 -- 2012 ) Phoenix Suns ( 1996 -- 2001 ) New Jersey Nets ( 2001 -- 2008 ) New York Knicks ( 2012 -- 2013 )   1,988   5,701   . 349     10   Joe Johnson ^   SG / SF   Boston Celtics ( 2001 -- 2002 ) Phoenix Suns ( 2002 -- 2005 ) Atlanta Hawks ( 2005 -- 2012 ) Brooklyn Nets ( 2012 -- 2016 ) Miami Heat ( 2016 ) Utah Jazz ( 2016 -- 2018 ) Houston Rockets ( 2018 -- present )   1,978   5,331   . 371     11   Dirk Nowitzki ^   PF   Dallas Mavericks ( 1999 -- present )   1,918   5,005   . 383     12   J.R. Smith ^   SG   New Orleans ( / Oklahoma City ) Hornets ( 2004 -- 2006 ) Denver Nuggets ( 2006 -- 2011 ) New York Knicks ( 2011 -- 2015 ) Cleveland Cavaliers ( 2015 -- present )   1,917   5,128   . 374     13   Chauncey Billups   PG / SG   Boston Celtics ( 1997 -- 1998 ) Toronto Raptors ( 1998 ) Denver Nuggets ( 19 99 , 2008 -- 2011 ) Minnesota Timberwolves ( 2000 -- 2002 ) Detroit Pistons ( 2002 -- 2008 , 2013 -- 2014 ) New York Knicks ( 2011 ) Los Angeles Clippers ( 2011 -- 2013 )   1,830   4,725   . 387     14   Kobe Bryant   SG   Los Angeles Lakers ( 1996 -- 2016 )   1,827   5,546   . 330     15   Rashard Lewis   SF / PF   Seattle SuperSonics ( 1999 -- 2007 ) Orlando Magic ( 2007 -- 2010 ) Washington Wizards ( 2010 -- 2012 ) Miami Heat ( 2012 -- 2014 )   1,787   4,625   . 386     16   Peja Stojaković   SF   Sacramento Kings ( 1999 -- 2006 ) Indiana Pacers ( 2006 ) New Orleans ( / Oklahoma City ) Hornets ( 2006 -- 2010 ) Toronto Raptors ( 2010 -- 2011 ) Dallas Mavericks ( 2011 )   1,760   4,392   . 401     17   Dale Ellis   SF / SG   Dallas Mavericks ( 1983 -- 1986 ) Seattle SuperSonics ( 1986 -- 1991 , 1997 -- 1999 ) Milwaukee Bucks ( 1991 -- 1992 , 1999 -- 2000 ) San Antonio Spurs ( 1992 -- 1994 ) Denver Nuggets ( 1994 -- 1997 ) Charlotte Hornets ( 2000 )   1,719   4,266   . 403     18   Steve Nash *   PG   Phoenix Suns ( 1996 -- 1998 , 2004 -- 2012 ) Dallas Mavericks ( 1999 -- 2004 ) Los Angeles Lakers ( 2012 -- 2014 )   1,685   3,939   . 428     19   James Harden ^   SG   Oklahoma City Thunder ( 2009 -- 2012 ) Houston Rockets ( 2012 -- present )   1,647   4,523   . 364     20   LeBron James ^   SF   Cleveland Cavaliers ( 2003 -- 2010 , 2014 -- 2018 ) Miami Heat ( 2010 -- 2014 ) Los Angeles Lakers ( 2018 -- present )   1,616   4,701   . 344     21   Jason Richardson   SG   Golden State Warriors ( 2001 -- 2007 ) Charlotte Bobcats ( 2007 -- 2008 ) Phoenix Suns ( 2008 -- 2010 ) Orlando Magic ( 2010 -- 2012 ) Philadelphia 76ers ( 2012 -- 2015 )   1,608   4,344   . 370     22   Mike Miller   SF / SG   Orlando Magic ( 2000 -- 2003 ) Memphis Grizzlies ( 2003 -- 2008 , 2013 -- 2014 ) Minnesota Timberwolves ( 2008 -- 2009 ) Washington Wizards ( 2009 -- 2010 ) Miami Heat ( 2010 -- 2013 ) Cleveland Cavaliers ( 2014 -- 2015 ) Denver Nuggets ( 2015 -- 2017 )   1,590   3,910   . 407     23   Glen Rice   SF   Miami Heat ( 1989 -- 1995 ) Charlotte Hornets ( 1995 -- 1998 ) Los Angeles Lakers ( 1999 -- 2000 ) New York Knicks ( 2000 -- 2001 ) Houston Rockets ( 2001 -- 2003 ) Los Angeles Clippers ( 2003 -- 2004 )   1,559   3,896   . 400     24   Klay Thompson ^   SG   Golden State Warriors ( 2011 -- present )   1,557   3,691   . 422     25   Eddie Jones   SG   Los Angeles Lakers ( 1994 -- 1999 ) Charlotte Hornets ( 1999 -- 2000 ) Miami Heat ( 2000 -- 2005 , 2007 ) Memphis Grizzlies ( 2005 -- 2007 ) Dallas Mavericks ( 2007 -- 2008 )   1,546   4,147   . 373     26   Tim Hardaway   PG   Golden State Warriors ( 1989 -- 1993 , 1994 -- 1996 ) Miami Heat ( 1996 -- 2001 ) Dallas Mavericks ( 2001 -- 2002 ) Denver Nuggets ( 2002 ) Indiana Pacers ( 2003 )   1,542   4,345   . 355     27   Nick Van Exel   PG   Los Angeles Lakers ( 1993 -- 1998 ) Denver Nuggets ( 1999 -- 2002 ) Dallas Mavericks ( 2002 -- 2003 ) Golden State Warriors ( 2003 -- 2004 ) Portland Trail Blazers ( 2004 -- 2005 ) San Antonio Spurs ( 2005 -- 2006 )   1,528   4,278   . 357     28   Mike Bibby   PG   Vancouver Grizzlies ( 1999 -- 2001 ) Sacramento Kings ( 2001 -- 2008 ) Atlanta Hawks ( 2008 -- 2011 ) Washington Wizards ( 2011 ) Miami Heat ( 2011 ) New York Knicks ( 2011 -- 2012 )   1,517   3,999   . 379     29   Manu Ginóbili ^   SG   San Antonio Spurs ( 2002 -- present )   1,495   4,055   . 369     30   J.J. Redick ^   SG   Orlando Magic ( 2006 -- 2013 ) Milwaukee Bucks ( 2013 ) Los Angeles Clippers ( 2013 -- 2017 ) Philadelphia 76ers ( 2017 -- present )   1,464   3,524   . 415     31   Michael Finley   SF   Phoenix Suns ( 1995 -- 1996 ) Dallas Mavericks ( 1996 -- 2005 ) San Antonio Spurs ( 2005 -- 2010 ) Boston Celtics ( 2010 )   1,454   3,880   . 375     32   Kevin Durant ^   SF / SG   Seattle SuperSonics / Oklahoma City Thunder ( 2007 -- 2016 ) Golden State Warriors ( 2016 -- present )   1,433   3,734   . 384     33   Wesley Matthews ^   SG   Utah Jazz ( 2009 -- 2010 ) Portland Trail Blazers ( 2010 -- 2015 ) Dallas Mavericks ( 2015 -- present )   1,405   3,667   . 383     34   Brent Barry   SG   Los Angeles Clippers ( 1995 -- 1998 ) Miami Heat ( 1998 ) Chicago Bulls ( 1999 ) Seattle SuperSonics ( 1999 -- 2004 ) San Antonio Spurs ( 2004 -- 2008 ) Houston Rockets ( 2008 -- 2009 )   1,395   3,442   . 405     35   Antoine Walker   PF   Boston Celtics ( 1996 -- 2003 , 2005 ) Dallas Mavericks ( 2003 -- 2004 ) Atlanta Hawks ( 2004 -- 2005 ) Miami Heat ( 2005 -- 2007 ) Minnesota Timberwolves ( 2007 -- 2008 )   1,386   4,264   . 325     36   Kyle Lowry ^   PG   Memphis Grizzlies ( 2006 -- 2009 ) Houston Rockets ( 2009 -- 2012 ) Toronto Raptors ( 2012 -- present )   1,375   3,717   . 370     37   Dan Majerle   SG / SF   Phoenix Suns ( 1988 -- 1995 , 2001 -- 2002 ) Cleveland Cavaliers ( 1995 -- 1996 ) Miami Heat ( 1996 -- 2001 )   1,360   3,798   . 358     38   Carmelo Anthony ^   SF   Denver Nuggets ( 2003 -- 2011 ) New York Knicks ( 2011 -- 2017 ) Oklahoma City Thunder ( 2017 -- 2018 )   1,341   3,861   . 347     39   Baron Davis   PG   Charlotte Hornets ( 1999 -- 2002 ) New Orleans Hornets ( 2002 -- 2005 ) Golden State Warriors ( 2005 -- 2008 ) Los Angeles Clippers ( 2008 -- 2011 ) Cleveland Cavaliers ( 2011 ) New York Knicks ( 2012 )   1,332   4,159   . 320     40   Mitch Richmond *   SG   Golden State Warriors ( 1988 -- 1991 ) Sacramento Kings ( 1991 -- 1998 ) Washington Wizards ( 1999 -- 2001 ) Los Angeles Lakers ( 2001 -- 2002 )   1,326   3,419   . 388     41   Ryan Anderson ^   PF   New Jersey Nets ( 2008 -- 2009 ) Orlando Magic ( 2009 -- 2012 ) New Orleans Hornets / Pelicans ( 2012 -- 2016 ) Houston Rockets ( 2016 -- present )   1,315   3,446   . 382     42   Trevor Ariza ^   SF   New York Knicks ( 2004 -- 2006 ) Orlando Magic ( 2006 -- 2007 ) Los Angeles Lakers ( 2007 -- 2009 ) Houston Rockets ( 2009 -- 2010 , 2014 -- 2018 ) New Orleans Hornets ( 2010 -- 2012 ) Washington Wizards ( 2012 -- 2014 ) Phoenix Suns ( 2018 -- present )   1,313   3,721   . 353     43   Allan Houston   SG   Detroit Pistons ( 1993 -- 1996 ) New York Knicks ( 1996 -- 2005 )   1,305   3,247   . 402     44   Mike Dunleavy Jr .   SF / SG   Golden State Warriors ( 2002 -- 2007 ) Indiana Pacers ( 2007 -- 2011 ) Milwaukee Bucks ( 2011 -- 2013 ) Chicago Bulls ( 2013 -- 2016 ) Cleveland Cavaliers ( 2016 -- 2017 ) Atlanta Hawks ( 2017 )   1,304   3,460   . 377     45   Terry Porter   PG   Portland Trail Blazers ( 1985 -- 1995 ) Minnesota Timberwolves ( 1995 -- 1998 ) Miami Heat ( 1999 ) San Antonio Spurs ( 1999 -- 2002 )   1,297   3,360   . 386     46   Mookie Blaylock   PG   New Jersey Nets ( 1989 -- 1992 ) Atlanta Hawks ( 1992 -- 1999 ) Golden State Warriors ( 1999 -- 2002 )   1,283   3,816   . 336     47   Damian Lillard ^   PG   Portland Trail Blazers ( 2012 -- present )   1,269   3,447   . 368     48   Vernon Maxwell   SG   San Antonio Spurs ( 1988 -- 1990 , 1996 -- 1997 ) Houston Rockets ( 1990 -- 1995 ) Philadelphia 76ers ( 1995 -- 1996 , 2000 ) Orlando Magic ( 1998 ) Charlotte Hornets ( 1998 ) Sacramento Kings ( 1999 ) Seattle SuperSonics ( 1999 -- 2000 ) Dallas Mavericks ( 2001 )   1,256   3,931   . 320     49   Clifford Robinson   PF / SF   Portland Trail Blazers ( 1989 -- 1997 ) Phoenix Suns ( 1997 -- 2001 ) Detroit Pistons ( 2001 -- 2003 ) Golden State Warriors ( 2003 -- 2005 ) New Jersey Nets ( 2005 -- 2007 )   1,253   3,515   . 356     50   Stephen Jackson   SG / SF   New Jersey Nets ( 2000 -- 2001 ) San Antonio Spurs ( 2001 -- 2003 , 2012 -- 2013 ) Atlanta Hawks ( 2003 -- 2004 ) Indiana Pacers ( 2004 -- 2007 ) Golden State Warriors ( 2007 -- 2009 ) Charlotte Bobcats ( 2009 -- 2011 ) Milwaukee Bucks ( 2011 -- 2012 ) Los Angeles Clippers ( 2013 -- 2014 )   1,252   3,763   . 333   </t>
  </si>
  <si>
    <t xml:space="preserve">Republic of Ireland national Football team - Wikipedia  Republic of Ireland national Football team  This article is about the men 's team . For the women 's team , see Republic of Ireland women 's national football team . Not to be confused with Northern Ireland national football team .    Republic of Ireland       Nickname ( s )   The Boys in Green ( Irish : Na buachaillí i glas ) The Green Army     Association   Football Association of Ireland ( FAI )     Confederation   UEFA ( Europe )     Head coach   Martin O'Neill     Captain   Séamus Coleman     Most caps   Robbie Keane ( 146 )     Top scorer   Robbie Keane ( 68 )     Home stadium   Aviva Stadium     FIFA code   IRL            First colours   Second colours            FIFA ranking     Current   31 ( 7 June 2018 )     Highest   6 ( August 1993 )     Lowest   70 ( June -- July 2014 )     Elo ranking     Current   33 3 ( 11 July 2018 )     Highest   8 ( March -- April 1991 , April 2002 , August 2002 )     Lowest   63 ( May 1972 )     First international     Ireland 1 -- 0 Bulgaria ( Stade Colombes , France ; 28 May 1924 )     Biggest win     Republic of Ireland 8 -- 0 Malta ( Dublin , Ireland ; 16 November 1983 )     Biggest defeat     Brazil 7 -- 0 Republic of Ireland ( Uberlândia , Brazil ; 27 May 1982 )     World Cup     Appearances   3 ( first in 1990 )     Best result   Quarter - finals , 1990     European Championship     Appearances   3 ( first in 1988 )     Best result   Round of 16 , 2016     The Republic of Ireland national football team ( Irish : Foireann peile náisiúnta Phoblacht na hÉireann ) represents Ireland in association football . It is governed by the Football Association of Ireland ( FAI ) and plays its home fixtures at the Aviva Stadium in Dublin .   The team made their debut at the 1924 Summer Olympics , reaching the quarter - finals . Between 1924 and 1936 , the team competed as the Irish Free State and from then until 1950 , it was referred to by the FAI as Éire or Ireland . In 1953 , FIFA decreed that for competitive matches in tournaments that both Irish teams may enter , the FAI team would be officially called the Republic of Ireland while the IFA team was to be named Northern Ireland . Northern Ireland was allowed to use the title Ireland by FIFA in the Home International Competition until it was discontinued in 1984 . The Republic of Ireland was the first nation from outside the United Kingdom to defeat England at home at a fixture played at Goodison Park , Liverpool , in 1949 . The team also reached the quarter - final stage of the 1964 European Nations ' Cup , where they lost to the eventual winners Spain .   Under the guidance of Jack Charlton , the team enjoyed its most successful era , reaching their highest FIFA world ranking ever at sixth in August 1993 , and qualifying for UEFA Euro 1988 in their first appearance at the UEFA European Championship , reaching the quarter - finals of the 1990 FIFA World Cup in their first ever appearance at the finals , as well as making the last 16 at the 1994 edition . Charlton 's successor Mick McCarthy lost out on the next two major tournaments but ultimately qualified for the 2002 World Cup , making it to the last 16 . Under Giovanni Trapattoni , the team narrowly lost out on qualification for the 2010 World Cup during a controversial play - off , but went on to qualify for Euro 2012 .   The team failed to qualify for the 2014 World Cup in Brazil , marking the end of Trapattoni 's tenure as manager . The Republic of Ireland also fell to a record low FIFA ranking of 59th , then a record low of 70th in June 2014 . For the next Euro qualifying campaign under manager Martin O'Neill , the Republic of Ireland finished third behind Germany and Poland , but went on to qualify for Euro 2016 after a 3 -- 1 aggregate win over Bosnia and Herzegovina in the play - offs . The Boys in Green reached the Round of 16 stage at that tournament and were knocked out by the hosts and eventual runners - up France after losing 2 -- 1 .   Contents    1 History   1.1 Irish Free State ( 1924 -- 1936 )   1.2 Ireland ( 1937 -- 1952 )   1.3 Republic of Ireland ( 1953 -- 1968 )   1.4 Wilderness ( 1969 -- 1985 )   1.5 The Charlton years ( 1986 -- 1995 )   1.6 Mick McCarthy era ( 1996 -- 2002 )   1.7 Decline ( 2003 -- 2007 )   1.8 The Trapattoni years ( 2008 -- 2013 )   1.9 Recent history ( 2014 -- present )     2 Team image   2.1 Kits   2.2 Kit sponsorship   2.2. 1 Kit evolution     2.3 Home stadium and other venues   2.4 Media coverage   2.5 Selection and nationality issues     3 Staff   4 Squad   4.1 Current squad   4.2 Recent call - ups   4.3 Previous squads     5 Competitive record   5.1 FIFA World Cup   5.2 UEFA European Championship   5.3 Other tournaments   5.4 Opponents     6 Honours   6.1 Major   6.2 Friendly titles   6.3 Other awards     7 Recent results and forthcoming fixtures   7.1 Schedule     8 Records   8.1 Most capped players   8.2 Top goalscorers     9 Managers   9.1 Manager records     10 Pictures   11 See also   12 References   13 External links    History ( edit )   Irish Free State ( 1924 -- 1936 ) ( edit )   Between 1882 and 1924 , Ireland was represented by a single national football team organised by the Belfast - based Irish Football Association ( IFA ) . In 1920 , Ireland was partitioned into Northern Ireland and the Irish Free State ( the latter in turn becoming Éire or Ireland after adopting a new Constitution in 1937 , followed by declaring itself a republic in 1948 . ) Following the initial political upheavals surrounding Partition , a Dublin - based organisation calling itself the Football Association of the Irish Free State ( FAIFS ) split from the IFA in 1921 and began organising its own league and national football team .   In 1923 , the FAIFS was recognised by FIFA as the governing body of the Irish Free State and at the 1924 Summer Olympics , the Irish Free State made their international debut . On 28 May , at the Stade Olympique , they beat Bulgaria 1 -- 0 , with Paddy Duncan scoring the team 's first ever goal . As a result , they qualified for the quarter - finals . On 14 June 1924 , the Irish Free State made their home debut against the United States , who had embarked on a brief European tour after competing in the same Summer Olympics . Ed Brookes scored a hat - trick in a 3 -- 1 home win at Dalymount Park .   The Irish Free State did not play their next game until 21 March 1926 , an away game against Italy lost 3 -- 0 . In subsequent years , the status of the Olympic Games football competition was downgraded and as a result , this game is widely regarded as the Irish Free State 's first official game . On 25 February 1934 , the Irish Free State made their FIFA World Cup debut , drawing 4 -- 4 with Belgium at Dalymount Park in a 1934 FIFA World Cup qualifier . Paddy Moore scored all four of the Free State 's goals and became the first player ever to score four goals in a World Cup game .   Ireland ( 1937 -- 1952 ) ( edit )   After 1936 , they reverted to the designation `` Football Association of Ireland '' and began to refer to their team as Éire or `` Ireland '' . During this entire period , there were two Irish international football teams , chosen by two rival Associations . Both Associations , the Northern Ireland - based IFA and the Irish Free State - based FAI claimed jurisdiction over the whole of Ireland and considered themselves entitled to select players from the entire island . At least 38 dual internationals were selected to represent both teams , however the overwhelming majority of these were Southerners who also agreed to play for the IFA team , with only a bare handful `` crossing the border '' in the other direction .   A 2 -- 0 win over England at Goodison Park on 21 September 1949 was the first time England suffered a home defeat by a team outside the Home Countries of Scotland , Wales and the Ireland team run by the Belfast - based Irish FA . FIFA eventually intervened when both teams entered 1950 World Cup qualification , the first time they had entered the same competition . Four players -- Tom Aherne , Reg Ryan , Davy Walsh , Con Martin -- actually played for the two different teams in the same FIFA World Cup tournament . All four players concerned had been born in the Irish Free State and made their full international debut in FAI colours before agreeing to represent the IFA team . This may have alarmed the FAI , since they subsequently lobbied FIFA to prevent the IFA from picking Southern - born players ( as well as attempting to exert pressure on the players themselves , sometimes through their clubs ) . FIFA 's response was to restrict the eligibility of players on the basis of the ( political ) border , further ruling in 1953 that neither team could be referred to as Ireland in competitions which both teams were eligible to enter ; i.e. , initially the FIFA World Cup and subsequently the European Nations Cup ( now the UEFA European Football Championship ) . FIFA decreed that the FAI team officially be called the Republic of Ireland while the IFA team was to be named Northern Ireland .   Republic of Ireland ( 1953 -- 1968 ) ( edit )   In 1953 , FIFA renamed the team from `` Ireland '' to `` Republic of Ireland '' . The 1958 World Cup qualifiers saw the Republic of Ireland drawn with England . In their home game against England , Alf Ringstead put the hosts 1 -- 0 up before John Atyeo equalised in the last minute to salvage a 1 -- 1 draw for England . Under the rules of the day , a win for the Republic of Ireland would have meant a play - off with England for a place in the World Cup .   After reaching the quarter - finals of the 1964 European Nations ' Cup , the Republic of Ireland were drawn to face Spain and Syria in 1966 World Cup qualifying . Despite Syria 's withdrawal , this was still considered a qualifying group with the Irish winning 1 -- 0 at home and losing 4 -- 1 away . This meant a play - off at the Parc des Princes in Paris , which Spain won 1 -- 0 Eamon Dunphy made his Ireland debut in this game . The play - off was originally scheduled to take place at Wembley Stadium in London , home to a large Irish diaspora , but the FAI agreed with the Royal Spanish Football Federation to have the match moved to Paris , where a large Spanish diaspora lived . The FAI was criticised for this move to boost revenue from gate receipts .   In 1965 , the Republic of Ireland team made history when selecting Manchester United full - back Shay Brennan for the senior national team . This was the first instance of a player born outside the Republic being selected to play for the national team due to having an Irish parent . Since then , many of the Republic 's most prominent players have been born in England , including Mark Lawrenson , David O'Leary , John Aldridge , Tony Cascarino and David Kelly . A number of Scottish - born players , including Ray Houghton , have since represented the Republic due to having Irish parentage . The selection rules were later relaxed to allow for the selection of players with an Irish grandparent .   Wilderness ( 1969 -- 1985 ) ( edit )   In 1969 , the FAI appointed Mick Meagan as the first permanent manager of the national side . His two years in charge were marked by exceptionally poor results , however with the team losing five out of six matches and gaining just one point in their 1970 World Cup qualification , and doing no better in the UEFA Euro 1972 qualifiers , leading to his dismissal . His replacement , Liam Tuohy , did a somewhat better in the 1974 qualification , and more importantly oversaw major improvements to the national team 's training facilities and persuaded many English club sides to end their policies of not releasing Irish players for international games during the domestic season . Ultimately , however , the team still failed to qualify for the World Cup , and Tuohy resigned following a dispute over his wages . Johnny Giles became the side 's first player - manager in the 1970s . This was followed by the debut of a young Liam Brady and results improved markedly . The side missed out on the 1978 World Cup by two points , having defeated France at home during qualification . After a less than impressive performance at Euro 1980 qualifying , in which the team finished well behind group winners England and Northern Ireland , Giles resigned , saying that he had taken the national side as far as he could .   Eoin Hand took over as manager for the 1982 World Cup qualifiers , and once more the Republic of Ireland narrowly missed out on qualification , this time on goal difference behind France , whom they had defeated at home once more . Disappointing qualifying campaigns for both Euro 1984 and the 1986 World Cup followed , ending Hand 's time in charge .   The Charlton years ( 1986 -- 1995 ) ( edit )   In 1986 , the Republic of Ireland appointed Jack Charlton , a top rated English manager who had been part of England 's World Cup - winning side of 1966 . During the 1970s , he had developed Middlesbrough into a side which provided many players to the dominant Liverpool team of the time .  Republic of Ireland playing Netherlands at the Citrus Bowl in Orlando , Florida , where they lost 2 -- 0 in the Round of 16 of the 1994 World Cup  After taking charge of the Republic of Ireland , Charlton influenced changes in the national side which resulted in arguably the most successful period of its history , qualifying for two World Cups and a European Championship .   Ireland 's first appearance at a major finals tournament came in Euro 1988 . With Ireland 's fixtures already complete , Qualification was secured through Gary Mackay 's 87th - minute goal in Sofia when Scotland beat Bulgaria 1 -- 0 . The Scottish win left Ireland top of the group . In the finals in West Germany , Ireland beat England 1 -- 0 in Stuttgart with a header from Ray Houghton ; drew 1 -- 1 with the Soviet Union in Hannover , with Ronnie Whelan the scorer ; and lost to eventual champions the Netherlands 1 -- 0 in Gelsenkirchen , coming within seven minutes of a draw that would have meant a semi-final place .   The Republic of Ireland 's longest competitive winning streak was achieved in 1989 during the 1990 World Cup qualifying campaign . Five games against Spain , Northern Ireland , Hungary and Malta twice , were all wins for the Irish . Subsequently , the side made it to the 1990 World Cup in Italy . Three draws in the group stage against England , Egypt and the Netherlands was enough to make the knockout stage . Virtually the entire country watched as they beat Romania on penalties , with Packie Bonner making a vital save and David O'Leary scoring the decisive spot - kick . Ireland were then beaten 1 -- 0 by hosts Italy in the quarter - final at the Stadio Olimpico in Rome . During the tournament , the team had an audience with Pope John Paul II , the only team to do so .   After missing out on Euro 1992 ( despite being unbeaten in qualifying ) , the Republic of Ireland qualified for the 1994 World Cup , held in the United States . In their first match , they beat the previous World Cup hosts and third - place finishers , Italy , 1 -- 0 in their opening game at Giants Stadium just outside New York City , but lost to Mexico 2 -- 1 at the Citrus Bowl in the heat and humidity of Orlando , Florida . They ended the group stage with a 0 -- 0 draw with Norway at Giants Stadium , in East Rutherford , New Jersey . With these results , they made it to the second round , eventually losing 2 -- 0 to the Netherlands in Orlando . In 1996 , Ireland finished second behind Portugal in Euro 1996 qualifying 's Group 6 , but narrowly missed out on Euro 1996 after losing 2 -- 0 in a play - off , played at Anfield between the two worst group runners - up , to the Netherlands ( the other worst runner - up ) , with Patrick Kluivert scoring both goals to send his team through . It was Jack Charlton 's final game as manager .   Mick McCarthy era ( 1996 -- 2002 ) ( edit )   Charlton was replaced by Mick McCarthy but Ireland still missed out on the next two major tournaments . Ireland just managed to finish second to Romania in their 1998 World Cup qualification campaign after Tony Cascarino scored a late goal to win the away match with Lithuania . A play - off with Belgium followed , with the match at Lansdowne Road finishing in a 1 -- 1 draw , the match in Belgium finishing 2 -- 1 to the home team and substitute David Connolly being sent off in the latter , preventing Ireland from progressing to the 1998 World Cup . FIFA awarded the FIFA Fair Play Award for 1997 to the Irish supporters `` for their exemplary behaviour at Ireland team matches , especially the FIFA World Cup qualifying play - offs against Belgium '' . Ireland 's opponents in UEFA Euro 2000 qualifying Group 8 were Yugoslavia , Croatia , Malta and Macedonia . Macedonia scored a last - minute equaliser that denied Ireland top spot in the group ; instead , they faced Turkey in a play - off to decide which team would participate in Euro 2000 . The match in Dublin finished in a 1 -- 1 draw , although Turkey qualified through the away goals rule after a 0 -- 0 draw , at the end of which Tony Cascarino became involved in a fight and retired from international football .   Ireland took on both Portugal and the Netherlands in 2002 World Cup qualifiers in UEFA 's Group 2 , ending the group in second place with 24 points from 10 matches ( seven victories and three draws ) . Despite this unbeaten run , Ireland were drawn in a play - off with Iran . The match in Dublin finished in a 2 -- 0 victory to Ireland with goals from Ian Harte ( penalty ) and Robbie Keane , while the match in Tehran , played in front of 100,000 spectators , finished in a 1 -- 0 win for Iran . McCarthy thus managed to lead Ireland to the 2002 World Cup final stages , though only for the team to lose inspirational captain Roy Keane due to the pair 's infamous public spat in Saipan. 1 -- 1 draws with Cameroon and Germany were followed by a 3 -- 0 victory over Saudi Arabia in Group E. The Irish once again progressed to the knockout stage , only losing narrowly 3 -- 2 on penalties to Spain in Suwon after Robbie Keane 's last minute equalising penalty kick forced the game into extra-time .   Decline ( 2003 -- 2007 ) ( edit )   After a poor start to qualifying for Euro 2004 , McCarthy was replaced by Brian Kerr , but he too struggled to guide the side to the tournament or the subsequent 2006 World Cup in Germany , and was ultimately sacked in October 2005 . Kerr was replaced by Steve Staunton ( assisted by Bobby Robson in the position of `` international football consultant '' ) in January 2006 . Under Staunton , results varied widely but the team still failed to qualify for Euro 2008 and Staunton lost the position in October 2007 . His reign included a humiliating 5 -- 2 defeat to Cyprus during the qualifiers ' Group D , one of the worst defeats in the team 's history .   The Trapattoni years ( 2008 -- 2013 ) ( edit )  Irish celebrating qualification for UEFA Euro 2012  Giovanni Trapattoni was appointed manager in February 2008 following a spell with assistant coach Don Givens in charge . Trapattoni went through all ten first round 2010 World Cup qualifying games unbeaten , winning four of the ten games . Ireland lost out on a place in the finals , however , after a controversial , narrow loss to France in the play - offs . Ireland went down 0 -- 1 in the first leg , and lost 2 -- 1 on aggregate , with William Gallas scoring a controversial goal in extra time in the second leg after Thierry Henry had handled the ball before crossing for Gallas to score . This followed another controversy over FIFA 's last - minute decision to seed the play - off draw .   In 2011 , Ireland hosted and won the inaugural Nations Cup with wins against Wales , Northern Ireland and Scotland without conceding a goal .   In their Euro 2012 qualifying group , Ireland finished second , losing only the home fixture against Russia . They thus reached the play - offs and were drawn against Estonia , whom they beat 5 -- 1 on aggregate . Euro 2012 was Ireland 's first major tournament since 2002 , but in Group C they lost all three matches , against Croatia , Spain and Italy . UEFA , however , announced a special award for the fans of the Irish team , who notably sang in the last few minutes against Spain , despite trailing 4 -- 0 .  Irish team in September 2013  Ireland were drawn in Group C of UEFA 's 2014 World Cup qualification alongside Germany , Sweden , Austria , the Faroe Islands and Kazakhstan . On 12 October , Ireland suffered their largest ever competitive home defeat , 6 -- 1 against Germany , at the Aviva Stadium . Ireland then lost against Sweden and Austria in early September 2013 , effectively ending the qualification campaign , and Giovanni Trapattoni resigned as team manager the following day . Noel King was appointed interim senior manager on 23 September 2013 following his resignation .   On 5 November 2013 , the FAI announced that Martin O'Neill would be Trapattoni 's replacement as manager , with former team captain Roy Keane as his assistant . They assumed their roles when the team met on 11 November where they won against Latvia 3 -- 0 and drew against Poland 0 -- 0 .   Recent history ( 2014 -- present ) ( edit )   For the Euro 2016 qualification phase , the Republic of Ireland were drawn in Group D against Georgia , Germany , Gibraltar , Poland and Scotland . The team played against Gibraltar for the first time , beating them 7 -- 0 , and scored an away draw against World Cup champions , Germany , a few days later in October 2014 .   On 8 October 2015 , the Republic of Ireland beat world champions Germany 1 - 0 in a Euro 2016 qualifier at the Aviva Stadium . Shane Long scored the game 's only goal with an excellent finish in the 70th minute , rewarding the Republic of Ireland 's impressive defensive display . The result , hailed as one of the Republic of Ireland 's greatest , guaranteed the Republic of Ireland a play - off place at least , with hopes of automatic qualification still a reality going into the final group game against Poland in Warsaw . A win , or a draw of 2 -- 2 or more , would guarantee at least second place in the group and ensure automatic qualification for the finals in France . The Republic of Ireland , however , lost 2 -- 1 , thus entering them into the play - offs .   The draw for the Euro 2016 Play - off was held in Nyon , Switzerland , on 18 October 2015 . Ireland were unseeded in the draw , meaning they could face one of Bosnia and Herzegovina , Ukraine , Sweden or Hungary . Ireland were drawn against Bosnia and Herzegovina , the top seeded team in the play - off . The only previous meeting between the teams resulted in a 1 -- 0 win for the Republic of Ireland in a friendly in 2012 , Shane Long scoring the game 's only goal . Owing to injuries and suspensions , Ireland had only the `` B '' squad available for the first leg of the play - off , played in Bilino Polje Stadium . A goal from Robbie Brady almost secured a victory for the Irish until Edin Džeko equalized 1 -- 1 to end off the match . In the second leg played at the Aviva Stadium , Jonathan Walters scored two goals leading to a 2 -- 0 victory for the Irish . In the end , Ireland won the play - off 3 -- 1 on aggregate , qualifying them for Euro 2016 .   At the tournament 's final stages in France , Ireland were drawn into Group E against Italy , Belgium and Sweden . In their opener at the Stade de France in Saint - Denis , Paris , Wes Hoolahan scored the opener with a spectacular half - volley off a Séamus Coleman cross , but Sweden equalised after Ciaran Clark headed into his own net attempting to clear a cross from Zlatan Ibrahimović , leading to a 1 -- 1 draw . At the Nouveau Stade de Bordeaux against Belgium , the Belgians cruised to a 3 -- 0 victory after two goals from Romelu Lukaku and one from Axel Witsel , leaving Ireland needing to win their final match against Italy to qualify for the knockout stage . Against Italy at the Stade Pierre - Mauroy in Villeneuve - d'Ascq , Lille , Ireland played strongly but were five minutes plus stoppage time away from elimination when Robbie Brady headed in Hoolahan 's cross . The Republic held on to win 1 -- 0 , sending Ireland through as one of the four best third - place teams . On 26 June , Ireland played France in the round of 16 in Lyon . Ireland took the lead in the match with an early penalty from Robbie Brady , but France went on to win 2 -- 1 to advance to the quarter - finals .   The 2018 World Cup qualification draw took place on 25 July 2015 when the team were drawn in Group D against Austria , Georgia , Moldova , Serbia and Wales .   Ireland started qualifying well with a well - fought 2 - 2 draw away to Serbia preceding two impressive victories over Georgia and Moldova .   On 12 November 2016 , Ireland beat Austria in Vienna to go top of the 2018 World Cup qualifying group . However , a run of three draws against Wales , Austria and Georgia followed by a devastating 1 - 0 loss at home to Serbia looked to have diminished any chances of the Republic of Ireland qualifying for the 2018 FIFA World Cup . The Republic of Ireland were soon back on form however after securing a 2 - 0 victory at home to Moldova thanks to a brace from Daryl Murphy .   On 9 October 2017 , Ireland defeated Wales 1 -- 0 in Cardiff to qualify for the qualification play - offs after a James McClean goal fired Ireland to second place in the group . They went on to play Denmark in the play - offs .   In the first leg of the play - offs on 11 November , Ireland drew 0 -- 0 against Denmark in Copenhagen . In the second leg on 14 November in Dublin , Ireland lost 5 -- 1 to Denmark after taking the lead in the game . Shane Duffy 's early header looked to have given the Republic of Ireland hope in qualifying for their first World Cup since 2002 , however , a Cyrus Christie own goal , a Christian Eriksen hat - trick and a late Nicklas Bendtner penalty shattered Irish dreams .   Team image ( edit )   Kits ( edit )  Ireland players ( L-R ) Robbie Keane , Liam Lawrence , Keith Andrews and Greg Cunningham in a 2010 friendly against Algeria  Traditionally , the team has played in a home strip of green shirt , white shorts and green socks . The second strip is usually the reverse of these colours , although there have been exceptions , such as an orange shirt in the late 1990s . Squad numbers are either white with an orange trim , on the home shirts , or green with an orange trim . The FAI logo appears at the bottom of the numbering .   A limited edition grey shirt was used just once , in a match against Wales on 17 November 2007 . A black jersey with a green stripe across the chest was worn in the final game of the 2011 Nations Cup against Scotland and in a friendly against Italy in Liège , Belgium .   The previous kit was supplied by Umbro since 1994 . In March 2009 , Umbro signed a deal with the FAI to keep them as kit suppliers to the team until 2020 . However New Balance have been kit suppliers since August 2017 .   Kit sponsorship ( edit )     Kit supplier   Period   Notes     Adidas   1980s - 1994       Umbro   1994 -- 2017       New Balance   2017 -- present      Kit evolution ( edit )  Home     Classic   1978 -- 83   1983 -- 84   1984 -- 85   1985   1988   1990   1994       1998   2002     2006   2012   2014   2016     Away     1990   1994     2002       2012   2013   2014   2016   2017     Home Stadium and other venues ( edit )  Ireland versus Argentina at the Aviva Stadium on 11 August 2010  Since the 1980s , most home matches have been played at Lansdowne Road , Dublin , the national rugby stadium owned by the Irish Rugby Football Union ( IRFU ) . The ground was closed for redevelopment in 2007 , with the replacement ground , the Aviva Stadium , opening on 14 May 2010 . The first football match in the Aviva was Manchester United against a League of Ireland XI side , managed by Damien Richardson , on 4 August 2010. ( 43 ) Manchester United won the game 7 -- 1 , with Park Ji - Sung scoring the first ever goal in the Aviva Stadium . Aviva Stadium is jointly owned by the IRFU and FAI , although it will return to solely IRFU ownership on expiry of the current 60 - year lease . The first football international played at Lansdowne Road by a FAI team was a friendly against Italy in 1971 ( an IFA team first played in 1878 against England ) ; a 5 -- 0 victory over San Marino in a UEFA Euro 2008 qualifying Group D match on 15 November 2006 was the last game there before the reconstruction . The all - seater capacity of Lansdowne Road prior to the renovation was 36,000 , although higher attendances , using the standing only areas , were permitted for friendly matches . The Aviva Stadium 's status as an all - seater increased capacity for competitive games to 51,700 . The opening game at the Aviva Stadium , a controversial 1 -- 0 friendly defeat to Argentina , was noted for Robbie Keane securing his membership in the FIFA Century Club and manager Giovanni Trapattoni 's absence due to surgery , with assistant manager Marco Tardelli taking charge .  Croke Park , the headquarters of the Gaelic Athletic Association , has been used for Irish matches .  With the announcement of the rebuilding of Lansdowne Road , a new venue was required to stage the Republic of Ireland 's home internationals . The only stadium in Ireland deemed suitable to stage international football was the 84,500 capacity Croke Park , home of the Gaelic Athletic Association ( GAA ) . To accommodate this , the GAA temporarily relaxed its rule governing the playing of `` foreign '' games on its property . Initially , four UEFA Euro 2008 qualifying Group D matches were played at Croke Park in 2007 , resulting in two wins and two draws . The GAA initially agreed to allow the FAI use until the end of 2008 , and later extended the permission until the completion of Aviva Stadium . The Hill 16 end of Croke Park is a terrace , which means like Lansdowne Road before it , the capacity of the stadium was reduced to around 74,500 for competitive matches as temporary seating must be used .   Prior to the 1980s , the Republic of Ireland played most home games at Dalymount Park , home of Bohemians , but progressively more games were played at Lansdowne Road following a safety review which reduced Dalymount 's capacity . The last international match played there was against Morocco in 1990 . The Republic of Ireland have also played home matches in Tolka Park ( twice ) and the RDS Arena in Dublin as well at the Mardyke and Flower Lodge grounds in Cork . These games in Cork were , until 2009 , the only two home Irish internationals played outside of Dublin . During the construction of the Aviva Stadium , two friendly games were played in Thomond Park , Limerick , in 2009 . Two further friendlies were played in the RDS Arena in May 2010 . Ireland played a friendly against Belarus in Cork 's 7,000 capacity Turners Cross stadium in May 2016 .   Media coverage ( edit )   Ireland matches are broadcast by Raidió Teilifís Éireann ( RTÉ ) , Sky Sports , and Setanta Ireland . Sky Sports shows most of Irelands friendly matches , while RTÉ shows competitive games such as World Cup and European Championship qualifiers . RTÉ briefly lost its broadcast rights in 2002 when the FAI controversially sold them in a multi-million deal to Sky Sports , a subscription based satellite channel . The decision was criticised by fans and politicians , and the Consumers ' Association of Ireland ( CAI ) described the FAI as `` greedy '' . The FAI was eventually forced to reverse its decision and to allow RTÉ to continue its broadcasts after the government intervened to stop the sale of important Irish sporting events to non-terrestrial television broadcasters . RTÉ will hold the rights until 2018 .   Selection and nationality issues ( edit )   The selection of young Northern Irish born players , especially those who have already represented Northern Ireland at youth level , into Republic of Ireland national teams has been controversial , as these players are able to claim Irish nationality even though born and brought up outside the Republic 's territory . This has led to accusations of unfairness and predatory behaviour . In Northern Ireland it is seen by Northern Ireland supporters as having the effect of dividing international football in their country along sectarian lines , whereby Nationalists will declare for the Republic of Ireland while Unionists continue to play for Northern Ireland . It has also been argued that it is actually the sectarian divisions ,</t>
  </si>
  <si>
    <t xml:space="preserve">who did ireland lose to in world cup 2018</t>
  </si>
  <si>
    <t xml:space="preserve">   Date   Competition   Venue   Opponent   Result   Scorers     11 June 2017   World Cup 2018 qualifier   Dublin , Ireland   Austria   1 -- 1   Martin Hinteregger 31 ' , Jonathan Walters 85 '     2 September 2017   World Cup 2018 qualifier   Tbilisi , Georgia   Georgia   1 -- 1   Shane Duffy 4 ' , Valeri Qazaishvili 34 '     5 September 2017   World Cup 2018 qualifier   Dublin , Ireland   Serbia   0 -- 1   Aleksandar Kolarov 55 '     6 October 2017   World Cup 2018 qualifier   Dublin , Ireland   Moldova   2 -- 0   Daryl Murphy 2 ' , 19 '     9 October 2017   World Cup 2018 qualifier   Cardiff , Wales   Wales   1 -- 0   James McClean 57 '     11 November 2017   World Cup 2018 play - off   Copenhagen , Denmark   Denmark   0 -- 0       14 November 2017   World Cup 2018 play - off   Dublin , Ireland   Denmark   1 -- 5   Shane Duffy 6 ' , Cyrus Christie 29 ' ( og ) , Christian Eriksen 32 ' , 63 ' , 74 ' , Nicklas Bendtner 90 ' ( pen )     23 March 2018   Friendly match   Antalya , Turkey   Turkey   0 -- 1   Mehmet Topal 52 '     20 May 2018   Unofficial friendly   Glasgow , Scotland   Celtic   2 -- 2   Alan Browne , Ross Doohan og ' , Leigh Griffiths , Patrick Roberts     28 May 2018   Friendly match   Saint Denis , France   France   0 -- 2   Olivier Giroud 40 ' , Nabil Fekir 44 '     2 June 2018   Friendly match   Dublin , Ireland   United States   2 -- 1   Bobby Wood 45 + 1 ' , Graham Burke 57 ' , Alan Judge 90 '     6 September 2018   UEFA Nations League   Cardiff , Wales   Wales         11 September 2018   Friendly match   Wrocław , Poland   Poland         13 October 2018   UEFA Nations League   Dublin , Ireland   Denmark         16 October 2018   UEFA Nations League   Dublin , Ireland   Wales         15 November 2018   Friendly match   Dublin , Ireland   Northern Ireland         19 November 2018   UEFA Nations League   Aarhus , Denmark   Denmark       </t>
  </si>
  <si>
    <t xml:space="preserve">xbox 360 games compatible with the xbox one</t>
  </si>
  <si>
    <t xml:space="preserve">   Title   Publisher ( s )   Format   Xbox One X Enhanced   Date added   Notes / References     0 Day Attack on Earth   Gulti   XBLA     000000002017 - 10 - 30 - 0000 October 30 , 2017       3D Ultra Minigolf Adventures   Activision   XBLA     000000002017 - 04 - 20 - 0000 April 20 , 2017       A Kingdom for Keflings   Microsoft Studios   XBLA     000000002015 - 06 - 15 - 0000 June 15 , 2015       A World of Keflings   Microsoft Studios   XBLA     000000002015 - 06 - 15 - 0000 June 15 , 2015       Aegis Wing   Microsoft Studios   XBLA     000000002016 - 01 - 21 - 0000 January 21 , 2016       Age of Booty   Capcom   XBLA     000000002016 - 01 - 21 - 0000 January 21 , 2016       Alan Wake   Microsoft Studios       000000002016 - 03 - 17 - 0000 March 17 , 2016   Also available as a bonus with purchase of Quantum Break .     Alan Wake 's American Nightmare   Microsoft Studios   XBLA     000000002016 - 02 - 11 - 0000 February 11 , 2016   Also included as a pre-order bonus with Quantum Break .     Alice : Madness Returns   Electronic Arts       000000002017 - 01 - 24 - 0000 January 24 , 2017       Alien Hominid HD   Microsoft Studios   XBLA     000000002015 - 06 - 15 - 0000 June 15 , 2015       Altered Beast   Sega   XBLA     000000002016 - 04 - 26 - 0000 April 26 , 2016       Anomaly : Warzone Earth   Microsoft Studios   XBLA     000000002016 - 06 - 07 - 0000 June 7 , 2016       Aqua   Microsoft Studios   XBLA     000000002016 - 06 - 07 - 0000 June 7 , 2016       ARKANOID Live !   Taito Corporation   XBLA     000000002016 - 09 - 08 - 0000 September 8 , 2016       Army of Two   Electronic Arts       000000002017 - 03 - 28 - 0000 March 28 , 2017       Assassin 's Creed   Ubisoft       000000002016 - 03 - 21 - 0000 March 21 , 2016       Assassin 's Creed II   Ubisoft       000000002015 - 11 - 12 - 0000 November 12 , 2015   Also available in Assassin 's Creed : The Ezio Collection which includes remastered versions of Assassin 's Creed II , Assassin 's Creed : Brotherhood and Assassin 's Creed : Revelations for Xbox One .     Assassin 's Creed III   Ubisoft       000000002017 - 05 - 23 - 0000 May 23 , 2017       Assassin 's Creed IV : Black Flag   Ubisoft       000000002018 - 04 - 03 - 0000 April 3 , 2018   Also released as a launch title for Xbox One .     Assassin 's Creed : Brotherhood   Ubisoft       000000002017 - 06 - 27 - 0000 June 27 , 2017   Also available in Assassin 's Creed : The Ezio Collection which includes remastered versions of Assassin 's Creed II , Assassin 's Creed : Brotherhood and Assassin 's Creed : Revelations for Xbox One .     Assassin 's Creed : Revelations   Ubisoft       000000002017 - 03 - 23 - 0000 March 23 , 2017   Also available in Assassin 's Creed : The Ezio Collection which includes remastered versions of Assassin 's Creed II , Assassin 's Creed : Brotherhood and Assassin 's Creed : Revelations for Xbox One .     Assassin 's Creed Rogue   Ubisoft       000000002017 - 02 - 23 - 0000 February 23 , 2017   Also available as a remastered version on Xbox One .     Assault Heroes 2   Sierra Entertainment   XBLA     000000002017 - 04 - 25 - 0000 April 25 , 2017       Asteroids &amp; Deluxe   Atari   XBLA     000000002015 - 11 - 12 - 0000 November 12 , 2015       Astropop   PopCap Games   XBLA     000000002016 - 11 - 29 - 0000 November 29 , 2016       Axel &amp; Pixel   2K Play   XBLA     000000002018 - 03 - 13 - 0000 March 13 , 2018       Babel Rising   Ubisoft   XBLA     000000002016 - 06 - 16 - 0000 June 16 , 2016       Band of Bugs   Microsoft Studios   XBLA     000000002017 - 05 - 04 - 0000 May 4 , 2017       Banjo - Kazooie   Microsoft Studios   XBLA     000000002015 - 06 - 15 - 0000 June 15 , 2015   Also included as part of the Rare Replay collection of games .     Banjo - Kazooie : Nuts &amp; Bolts   Microsoft Studios       000000002015 - 08 - 04 - 0000 August 4 , 2015   Also included as part of the Rare Replay collection of games .     Banjo - Tooie   Microsoft Studios   XBLA     000000002015 - 06 - 15 - 0000 June 15 , 2015   Also included as part of the Rare Replay collection of games .     Batman : Arkham Origins   WB Games   Disc Only     000000002017 - 08 - 08 - 0000 August 8 , 2017       BattleBlock Theater   Microsoft Studios   XBLA     000000002015 - 06 - 15 - 0000 June 15 , 2015       Battlefield 3   Electronic Arts       000000002017 - 01 - 10 - 0000 January 10 , 2017   Available in the Vault of EA Access .     Battlefield : Bad Company 2   Electronic Arts       000000002017 - 01 - 10 - 0000 January 10 , 2017   Available in the Vault of EA Access .     Battlefield : Bad Company   Electronic Arts       000000002017 - 08 - 17 - 0000 August 17 , 2017   Available in the Vault of EA Access .     Battlestations : Midway   Square Enix       000000002016 - 10 - 11 - 0000 October 11 , 2016       Bayonetta   Sega       000000002016 - 09 - 08 - 0000 September 8 , 2016       Beat'n Groovy   Konami   XBLA     000000002017 - 01 - 12 - 0000 January 12 , 2017       Bejeweled 2 Deluxe   Microsoft Studios   XBLA     000000002015 - 11 - 12 - 0000 November 12 , 2015   Available in the Vault of EA Access .     Bejeweled 3   PopCap Games   XBLA     000000002016 - 09 - 06 - 0000 September 6 , 2016   Available in the Vault of EA Access .     Bellator : MMA Onslaught   345 Games   XBLA     000000002015 - 11 - 12 - 0000 November 12 , 2015       Beyond Good &amp; Evil HD   Ubisoft   XBLA     000000002015 - 11 - 12 - 0000 November 12 , 2015       Bionic Commando : Rearmed 2   Capcom   XBLA     000000002016 - 07 - 21 - 0000 July 21 , 2016       BioShock   2K Games       000000002016 - 12 - 13 - 0000 December 13 , 2016   Also available in BioShock : The Collection , featuring remastered versions of all 3 BioShock titles on Xbox One .     BioShock 2   2K Games       000000002016 - 12 - 13 - 0000 December 13 , 2016   Also available in BioShock : The Collection , featuring remastered versions of all 3 BioShock titles on Xbox One .     BioShock Infinite   2K Games       000000002016 - 12 - 13 - 0000 December 13 , 2016   Also available in BioShock : The Collection , featuring remastered versions of all 3 BioShock titles on Xbox One .     Bit. Trip Presents ... Runner2 : Future Legend of Rhythm Alien   Aksys Games   XBLA     000000002016 - 05 - 05 - 0000 May 5 , 2016       Blazing Angels : Squadrons of WWII   Ubisoft       000000002017 - 06 - 27 - 0000 June 27 , 2017       Blood Knights   Kalypso Media   XBLA     000000002016 - 06 - 23 - 0000 June 23 , 2016       Blood of the Werewolf   Midnight City   XBLA     000000002015 - 11 - 12 - 0000 November 12 , 2015       Bloodforge   Microsoft Studios   XBLA     000000002016 - 06 - 30 - 0000 June 30 , 2016       BloodRayne : Betrayal   Majesco Entertainment   XBLA     000000002015 - 11 - 12 - 0000 November 12 , 2015       Blue Dragon   Microsoft Studios       000000002016 - 11 - 01 - 0000 November 1 , 2016       Bolt   Disney Interactive       000000002017 - 08 - 08 - 0000 August 8 , 2017       Bomberman Live : Battlefest   Hudson Soft   XBLA     000000002016 - 08 - 18 - 0000 August 18 , 2016       Boom Boom Rocket   Electronic Arts   XBLA     000000002016 - 07 - 26 - 0000 July 26 , 2016       Bound by Flame   Focus Home Interactive       000000002016 - 09 - 15 - 0000 September 15 , 2016       Borderlands   2K Games       000000002015 - 09 - 03 - 0000 September 3 , 2015   All versions of the game , including physical and digital copies , receive all DLC as a free download ( on Xbox One only ) .     Borderlands 2   2K Games       000000002017 - 02 - 23 - 0000 February 23 , 2017   Also available in Borderlands : The Handsome Collection which includes remastered versions of Borderlands 2 and Borderlands : The Pre-Sequel for Xbox One .     Braid   Microsoft Studios   XBLA     000000002015 - 12 - 17 - 0000 December 17 , 2015       Brain Challenge   Ubisoft   XBLA     000000002016 - 06 - 16 - 0000 June 16 , 2016       Brave : The Video Game   Disney Interactive       000000002018 - 02 - 20 - 0000 February 20 , 2018       Bullet Soul   5pb .       000000002017 - 05 - 04 - 0000 May 4 , 2017       Bullet Soul - Infinite Burst -   5pb .       000000002017 - 05 - 04 - 0000 May 4 , 2017       Bully : Scholarship Edition   Rockstar Games       000000002016 - 12 - 15 - 0000 December 15 , 2016       Burnout Paradise   Electronic Arts       000000002016 - 11 - 22 - 0000 November 22 , 2016   Remastered as Burnout Paradise Remastered for Xbox One .     Cabela 's Alaskan Adventures   Activision       000000002017 - 04 - 27 - 0000 April 27 , 2017       Cabela 's Dangerous Hunts 2013   Activision       000000002017 - 04 - 27 - 0000 April 27 , 2017       Cabela 's Hunting Expeditions   Activision       000000002017 - 04 - 27 - 0000 April 27 , 2017       Cabela 's Survival : Shadows of Katmai   Activision       000000002017 - 04 - 27 - 0000 April 27 , 2017       Call of Duty : Advanced Warfare   Activision       000000002017 - 09 - 28 - 0000 September 28 , 2017   Also released on Xbox One .     Call of Duty : Black Ops   Activision       000000002016 - 05 - 17 - 0000 May 17 , 2016       Call of Duty : Black Ops II   Activision       000000002017 - 04 - 11 - 0000 April 11 , 2017       Call of Duty : Ghosts   Activision       000000002017 - 06 - 29 - 0000 June 29 , 2017   Also released as a launch title for Xbox One .     Call of Duty : World at War   Activision       000000002016 - 09 - 27 - 0000 September 27 , 2016       Call of Duty 2   Activision       000000002016 - 08 - 23 - 0000 August 23 , 2016       Call of Duty 3   Activision       000000002016 - 09 - 22 - 0000 September 22 , 2016       Call of Duty 4 : Modern Warfare   Activision       000000002018 - 03 - 29 - 0000 March 29 , 2018   Also available in a remastered version .     Call of Juarez : Gunslinger   Ubisoft   XBLA     000000002015 - 11 - 12 - 0000 November 12 , 2015       Capcom Arcade Cabinet   Capcom   XBLA     000000002016 - 07 - 21 - 0000 July 21 , 2016       Carcassonne   Sierra Online   XBLA     000000002016 - 02 - 26 - 0000 February 26 , 2016       Cars Mater - National Championship   Disney Interactive Studios       000000002017 - 11 - 14 - 0000 November 14 , 2017       Cars 2 : The Video Game   Disney Interactive Studios       000000002017 - 03 - 02 - 0000 March 2 , 2017       Castlevania : Symphony of the Night   Konami   XBLA     000000002016 - 03 - 17 - 0000 March 17 , 2016       Castle Crashers   Microsoft Studios   XBLA     000000002015 - 11 - 12 - 0000 November 12 , 2015       Castle of Illusion Starring Mickey Mouse   Sega   XBLA     000000002016 - 08 - 30 - 0000 August 30 , 2016       CastleStorm   Microsoft Studios   XBLA     000000002015 - 11 - 12 - 0000 November 12 , 2015       Catherine   Atlus       000000002016 - 12 - 15 - 0000 December 15 , 2016       Cave , The The Cave   Sega   XBLA     000000002016 - 04 - 26 - 0000 April 26 , 2016       Centipede &amp; Millipede   Atari   XBLA     000000002015 - 11 - 12 - 0000 November 12 , 2015       Child of Eden   Ubisoft       000000002017 - 10 - 12 - 0000 October 12 , 2017       CLANNAD   Prototype       000000002016 - 12 - 15 - 0000 December 15 , 2016   Japan only .     Commanders : Attack of the Genos   Sierra Entertainment   XBLA     000000002017 - 04 - 25 - 0000 April 25 , 2017       Comic Jumper   Microsoft Studios   XBLA     000000002016 - 06 - 23 - 0000 June 23 , 2016       Comix Zone   Sega   XBLA     000000002016 - 04 - 26 - 0000 April 26 , 2016       Condemned : Criminal Origins   Sega       000000002015 - 11 - 12 - 0000 November 12 , 2015       Contra   Konami   XBLA     000000002017 - 04 - 20 - 0000 April 20 , 2017       Costume Quest 2   Midnight City   XBLA     000000002017 - 07 - 18 - 0000 July 18 , 2017       Counter-Strike : Global Offensive   Valve Corporation   XBLA     000000002016 - 01 - 21 - 0000 January 21 , 2016       Crackdown   Microsoft Studios       000000002018 - 02 - 27 - 0000 February 27 , 2018       Crazy Taxi   Sega   XBLA     000000002015 - 11 - 12 - 0000 November 12 , 2015       Crystal Defenders   Square Enix   XBLA     000000002016 - 07 - 21 - 0000 July 21 , 2016       Crystal Quest   Microsoft Studios   XBLA     000000002016 - 06 - 23 - 0000 June 23 , 2016       Cyber Troopers Virtual - On Oratorio Tangram   Sega   XBLA     000000002017 - 06 - 27 - 0000 June 27 , 2017       Dark Souls   Bandai Namco Entertainment       000000002016 - 03 - 23 - 0000 March 23 , 2016   Available as a digital pre-order bonus with Dark Souls 3 on the Xbox store .     Dark Void   Capcom       000000002016 - 03 - 21 - 0000 March 21 , 2016       Darkness II , The The Darkness II   2K Games       000000002018 - 01 - 30 - 0000 January 30 , 2018       Darksiders   THQ       000000002017 - 03 - 23 - 0000 March 23 , 2017   Remastered as Darksiders : Warmastered Edition for Xbox One .     Darksiders II   THQ       000000002017 - 03 - 23 - 0000 March 23 , 2017   Remastered as Darksiders II : Deathinitive Edition for Xbox One .     Daytona USA   Sega   XBLA     000000002017 - 03 - 21 - 0000 March 21 , 2017       de Blob 2   THQ       000000002016 - 09 - 08 - 0000 September 8 , 2016       Dead Rising 2 : Case Zero   Capcom   XBLA     000000002017 - 03 - 02 - 0000 March 2 , 2017       Dead Rising 2 : Case West   Capcom   XBLA     000000002017 - 03 - 02 - 0000 March 2 , 2017       Dead Space   Electronic Arts       000000002016 - 03 - 30 - 0000 March 30 , 2016   Available in the Vault of EA Access .     Dead Space 2   Electronic Arts       000000002017 - 04 - 27 - 0000 April 27 , 2017   Available in the Vault of EA Access .     Dead Space 3   Electronic Arts       000000002017 - 04 - 27 - 0000 April 27 , 2017   Available in the Vault of EA Access .     Dead Space Ignition   Electronic Arts   XBLA     000000002016 - 11 - 15 - 0000 November 15 , 2016   Available in the Vault of EA Access .     Deadfall Adventures   Nordic Games       000000002017 - 10 - 26 - 0000 October 26 , 2017       Deadliest Warrior : The Game   Spike Games   XBLA     000000002017 - 08 - 08 - 0000 August 8 , 2017       Deadliest Warrior : Legends   345 Games Spike Games   XBLA     000000002015 - 11 - 12 - 0000 November 12 , 2015       Deadly Premonition   Marvelous Entertainment       000000002017 - 11 - 02 - 0000 November 2 , 2017       DeathSpank : Thongs of Virtue   Electronic Arts   XBLA     000000002016 - 09 - 06 - 0000 September 6 , 2016       Defense Grid : The Awakening   Microsoft Studios   XBLA     000000002015 - 06 - 15 - 0000 June 15 , 2015       Deus Ex : Human Revolution   Square Enix       000000002015 - 12 - 17 - 0000 December 17 , 2015       Deus Ex : Human Revolution Director 's Cut   Square Enix   Disc Only     000000002016 - 05 - 10 - 0000 May 10 , 2016   First Multi-Disc game made available .     Dig Dug   Bandai Namco Entertainment   XBLA     000000002016 - 05 - 05 - 0000 May 5 , 2016       DiRT 3   Codemasters       000000002015 - 11 - 12 - 0000 November 12 , 2015       Dirt : Showdown   Codemasters       000000002015 - 11 - 12 - 0000 November 12 , 2015       Discs of Tron   Disney Interactive Studios   XBLA     000000002015 - 11 - 12 - 0000 November 12 , 2015       Divinity II   Larian Studios       000000002018 - 04 - 03 - 0000 April 3 , 2018       Domino Master   Microsoft Studios   XBLA     000000002016 - 05 - 24 - 0000 May 24 , 2016       Doom   Bethesda Softworks   XBLA     000000002015 - 11 - 12 - 0000 November 12 , 2015   Available as a digital pre-order bonus with Doom on the Xbox store .     Doom II   Bethesda Softworks   XBLA     000000002015 - 11 - 12 - 0000 November 12 , 2015   Available as a digital pre-order bonus with Doom on the Xbox store .     Doom 3 : BFG Edition   Bethesda Softworks   Disc Only     000000002016 - 04 - 14 - 0000 April 14 , 2016       Doritos Crash Course   Microsoft Studios   XBLA     000000002015 - 12 - 17 - 0000 December 17 , 2015       Double Dragon Neon   Majesco Entertainment   XBLA     000000002016 - 04 - 26 - 0000 April 26 , 2016       Dragon Age : Origins   Electronic Arts       000000002017 - 01 - 10 - 0000 January 10 , 2017   Available in the Vault of EA Access .     Dragon 's Lair   Microsoft Studios   XBLA     000000002016 - 10 - 11 - 0000 October 11 , 2016       Driver : San Francisco   Ubisoft   Disc Only     000000002018 - 01 - 16 - 0000 January 16 , 2018   Available on disc only , but existing digital owners can download it .     DuckTales Remastered   Capcom   XBLA     000000002016 - 05 - 24 - 0000 May 24 , 2016       Duke Nukem : Manhattan Project   Microsoft Studios   XBLA     000000002016 - 04 - 12 - 0000 April 12 , 2016       Dungeons &amp; Dragons : Chronicles of Mystara   Capcom   XBLA     000000002016 - 06 - 23 - 0000 June 23 , 2016       Dungeon Siege III   Square Enix       000000002015 - 11 - 16 - 0000 November 16 , 2015       Earth Defense Force : Insect Armageddon   D3 Publisher       000000002017 - 07 - 11 - 0000 July 11 , 2017       Earth Defense Force 2017   D3 Publisher       000000002017 - 11 - 30 - 0000 November 30 , 2017       Earthworm Jim HD   Microsoft Studios   XBLA     000000002015 - 11 - 12 - 0000 November 12 , 2015       Eat Lead : The Return of Matt Hazard   D3 Publisher       000000002016 - 10 - 13 - 0000 October 13 , 2016       Elder Scrolls IV , The The Elder Scrolls IV : Oblivion   Bethesda       000000002016 - 11 - 29 - 0000 November 29 , 2016       Encleverment Experiment   Microsoft Studios   XBLA     000000002016 - 09 - 27 - 0000 September 27 , 2016       Epic Mickey 2 : The Power of Two   Disney Interactive Studios       000000002017 - 08 - 03 - 0000 August 3 , 2017       Escape Dead Island   Deep Silver       000000002016 - 11 - 15 - 0000 November 15 , 2016       Every Extend Extra Extreme   Microsoft Studios   XBLA     000000002016 - 09 - 27 - 0000 September 27 , 2016       F1 2014   Codemasters       000000002017 - 07 - 11 - 0000 July 11 , 2017       Fable Anniversary   Microsoft Studios       000000002017 - 10 - 05 - 0000 October 5 , 2017       Fable II   Microsoft Studios       000000002015 - 11 - 12 - 0000 November 12 , 2015       Fable II Pub Games   Microsoft Studios   XBLA     000000002017 - 10 - 05 - 0000 October 5 , 2017       Fable III   Microsoft Studios       000000002015 - 12 - 17 - 0000 December 17 , 2015       Faery : Legends of Avalon   Focus Home Interactive   XBLA     000000002016 - 05 - 10 - 0000 May 10 , 2016       Fallout 3   Bethesda Softworks       000000002015 - 11 - 12 - 0000 November 12 , 2015   Was also available as a bonus with purchase of Fallout 4 . Also , owners of the Xbox 360 Game of the Year Edition can run the game with all the DLC using disc 2 .     Fallout : New Vegas   Bethesda Softworks       000000002016 - 06 - 23 - 0000 June 23 , 2016   Owners of the Xbox 360 Ultimate Edition can run the game with all the DLC using disc 2 .     Far Cry 2   Ubisoft       000000002018 - 01 - 16 - 0000 January 16 , 2018       Far Cry 3   Ubisoft       000000002017 - 03 - 30 - 0000 March 30 , 2017       Far Cry 3 : Blood Dragon   Ubisoft   XBLA     000000002016 - 08 - 09 - 0000 August 9 , 2016       Feeding Frenzy   PopCap Games   XBLA     000000002015 - 11 - 12 - 0000 November 12 , 2015   Available in the Vault of EA Access .     Feeding Frenzy 2 : Shipwreck Showdown   PopCap Games   XBLA     000000002015 - 11 - 12 - 0000 November 12 , 2015   Available in the Vault of EA Access .     Fighting Vipers   Sega   XBLA     000000002017 - 08 - 08 - 0000 August 8 , 2017       Final Fight : Double Impact   Capcom   XBLA     000000002016 - 05 - 10 - 0000 May 10 , 2016       Flashback   Ubisoft   XBLA     000000002016 - 06 - 16 - 0000 June 16 , 2016       Flock !   Capcom   XBLA     000000002016 - 07 - 19 - 0000 July 19 , 2016       Forza Horizon   Microsoft Studios       000000002016 - 08 - 30 - 0000 August 30 , 2016       Foul Play   Mastertronic Group   XBLA     000000002016 - 06 - 09 - 0000 June 9 , 2016       Fret Nice   Koei Tecmo   XBLA     000000002016 - 07 - 21 - 0000 July 21 , 2016       Frogger   Konami   XBLA     000000002016 - 04 - 28 - 0000 April 28 , 2016       Frogger 2   Konami   XBLA     000000002016 - 05 - 10 - 0000 May 10 , 2016       Frontlines : Fuel of War   THQ       000000002017 - 07 - 18 - 0000 July 18 , 2017       FunTown Mahjong   Microsoft Studios   XBLA     000000002016 - 09 - 27 - 0000 September 27 , 2016       Galaga   Bandai Namco Entertainment   XBLA     000000002016 - 02 - 15 - 0000 February 15 , 2016       Galaga Legions   Bandai Namco Entertainment   XBLA     000000002016 - 10 - 20 - 0000 October 20 , 2016       Galaga Legions DX   Bandai Namco Entertainment   XBLA     000000002016 - 04 - 28 - 0000 April 28 , 2016       Garou : Mark of the Wolves   SNK Playmore   XBLA     000000002016 - 04 - 12 - 0000 April 12 , 2016       Gatling Gears   Electronic Arts   XBLA     000000002016 - 09 - 06 - 0000 September 6 , 2016       Gears of War   Microsoft Studios       000000002015 - 08 - 03 - 0000 August 3 , 2015   Was also available as a bonus with purchase of Gears of War : Ultimate Edition .     Gears of War 2   Microsoft Studios       000000002015 - 11 - 12 - 0000 November 12 , 2015   Was also available as a bonus with purchase of Gears of War : Ultimate Edition .     Gears of War 3   Microsoft Studios       000000002015 - 11 - 12 - 0000 November 12 , 2015   Was also available as a bonus with purchase of Gears of War : Ultimate Edition .     Gears of War : Judgment   Microsoft Studios       000000002015 - 11 - 12 - 0000 November 12 , 2015   Was also available as a bonus with purchase of Gears of War : Ultimate Edition .     Geometry Wars : Retro Evolved   Microsoft Studios   XBLA     000000002016 - 02 - 25 - 0000 February 25 , 2016       Geometry Wars : Retro Evolved 2   Activision   XBLA     000000002017 - 05 - 02 - 0000 May 2 , 2017       Geometry Wars 3 : Dimensions   Sierra Entertainment   XBLA     000000002017 - 05 - 02 - 0000 May 2 , 2017       Ghostbusters : Sanctum of Slime   Atari   XBLA     000000002016 - 04 - 26 - 0000 April 26 , 2016       Ghostbusters : The Video Game   Atari       000000002017 - 01 - 10 - 0000 January 10 , 2017       Gin Rummy   Activision   XBLA     000000002017 - 04 - 20 - 0000 April 20 , 2017       Girl Fight   Kung Fu Factory   XBLA     000000002017 - 10 - 26 - 0000 October 26 , 2017       Go ! Go ! Break Steady   Microsoft Studios   XBLA     000000002016 - 06 - 30 - 0000 June 30 , 2016       Goat Simulator   Coffee Stain Studios   XBLA     000000002017 - 10 - 12 - 0000 October 12 , 2017       Golden Axe   Sega   XBLA     000000002015 - 11 - 12 - 0000 November 12 , 2015       Golf : Tee It Up !   Activision   XBLA     000000002017 - 04 - 20 - 0000 April 20 , 2017       Grand Theft Auto IV   Rockstar Games       000000002017 - 02 - 09 - 0000 February 9 , 2017   Including `` Episodes From Liberty City '' DLC .     Grid 2   Codemasters       000000002016 - 03 - 21 - 0000 March 21 , 2016       Gripshift   Microsoft Studios   XBLA     000000002016 - 06 - 30 - 0000 June 30 , 2016       Guardian Heroes   Sega   XBLA     000000002016 - 11 - 08 - 0000 November 8 , 2016       Gunstar Heroes   Sega   XBLA     000000002016 - 04 - 06 - 0000 April 6 , 2016       Guwange   CAVE   XBLA     000000002016 - 09 - 29 - 0000 September 29 , 2016       Gyromancer   Square Enix   XBLA     000000002017 - 02 - 23 - 0000 February 23 , 2017       Gyruss   Konami   XBLA     000000002017 - 07 - 25 - 0000 July 25 , 2017       Half - Minute Hero : Super Mega Neo Climax   Microsoft Studios   XBLA     000000002016 - 07 - 19 - 0000 July 19 , 2016       Halo 3   Microsoft Studios       000000002017 - 09 - 21 - 0000 September 21 , 2017   Remastered version available in Halo : The Master Chief Collection .     Halo 3 : ODST Campaign Edition   Microsoft Studios       000000002017 - 09 - 21 - 0000 September 21 , 2017   Remastered version available in Halo : The Master Chief Collection via downloadable content .     Halo 4   Microsoft Studios       000000002017 - 09 - 21 - 0000 September 21 , 2017   Remastered version available in Halo : The Master Chief Collection .     Halo : Combat Evolved Anniversary   Microsoft Studios       000000002017 - 09 - 21 - 0000 September 21 , 2017   Remastered version available in Halo : The Master Chief Collection .     Halo : Reach   Microsoft Studios       000000002015 - 12 - 17 - 0000 December 17 , 2015       Halo : Spartan Assault   Microsoft Studios   XBLA     000000002015 - 11 - 12 - 0000 November 12 , 2015       Halo Wars   Microsoft Studios       000000002016 - 03 - 28 - 0000 March 28 , 2016       Hard Corps : Uprising   Konami   XBLA     000000002017 - 05 - 04 - 0000 May 4 , 2017       Hardwood Backgammon   Microsoft Studios   XBLA     000000002015 - 11 - 12 - 0000 November 12 , 2015       Hardwood Hearts   Microsoft Studios   XBLA     000000002015 - 11 - 12 - 0000 November 12 , 2015       Hardwood Spades   Microsoft Studios   XBLA     000000002015 - 11 - 12 - 0000 November 12 , 2015       Harms Way   Microsoft Studios   XBLA     000000002017 - 05 - 04 - 0000 May 4 , 2017       Haunted House   Atari   XBLA     000000002016 - 12 - 01 - 0000 December 1 , 2016       Heavy Weapon   Microsoft Studios   XBLA     000000002015 - 11 - 12 - 0000 November 12 , 2015   Available in the Vault of EA Access .     Hexic HD   Microsoft Studios   XBLA     000000002015 - 06 - 15 - 0000 June 15 , 2015   This originally bundled Xbox 360 game can now be downloaded for free in certain regions from the Xbox store here .     Hexic 2   Microsoft Studios   XBLA     000000002016 - 05 - 24 - 0000 May 24 , 2016       Hitman : Absolution   Square Enix       000000002017 - 02 - 14 - 0000 February 14 , 2017   Hitman : Sniper Challenge pre-order bonus is also compatible .     Hitman : Blood Money   Eidos Interactive       000000002018 - 03 - 06 - 0000 March 6 , 2018       Hydro Thunder Hurricane   Microsoft Studios   XBLA     000000002015 - 12 - 17 - 0000 December 17 , 2015       I Am Alive   Ubisoft   XBLA     000000002016 - 06 - 23 - 0000 June 23 , 2016       Ikaruga   Microsoft Studios   XBLA     000000002015 - 11 - 12 - 0000 November 12 , 2015       ilomilo   Microsoft Studios   XBLA     000000002017 - 05 - 23 - 0000 May 23 , 2017       Injustice : Gods Among Us   Warner Bros. Interactive Entertainment       000000002016 - 12 - 01 - 0000 December 1 , 2016       Insanely Twisted Shadow Planet   Microsoft Studios   XBLA     000000002017 - 04 - 04 - 0000 April 4 , 2017       Interpol : The Trail of Dr. Chaos   Microsoft Studios   XBLA     000000002016 - 07 - 14 - 0000 July 14 , 2016       Iron Brigade   Microsoft Studios   XBLA     000000002015 - 12 - 17 - 0000 December 17 , 2015       Jeremy McGrath 's Offroad   D3 Publisher   XBLA     000000002016 - 01 - 21 - 0000 January 21 , 2016       Jet Set Radio HD   Sega   XBLA     000000002016 - 05 - 03 - 0000 May 3 , 2016       Jetpac Refuelled   Microsoft Studios   XBLA     000000002015 - 06 - 15 - 0000 June 15 , 2015   Also included as part of the Rare Replay collection of games .     Jewel Quest   Microsoft Studios   XBLA     000000002017 - 11 - 14 - 0000 November 14 , 2017       Joe Danger : Special Edition   Microsoft Studios   XBLA     000000002016 - 06 - 23 - 0000 June 23 , 2016       Joe Danger 2 : The Movie   Microsoft Studios   XBLA     000000002016 - 10 - 20 - 0000 October 20 , 2016       Joust   WB Games   XBLA     000000002016 - 08 - 25 - 0000 August 25 , 2016       Joy Ride Turbo   Microsoft Studios   XBLA     000000002015 - 11 - 12 - 0000 November 12 , 2015       Juju   Flying Wild Hog   XBLA     000000002017 - 01 - 31 - 0000 January 31 , 2017       Jurassic Park : The Game   Telltale Games       000000002016 - 10 - 11 - 0000 October 11 , 2016       Just Cause 2   Square Enix       000000002015 - 11 - 12 - 0000 November 12 , 2015   Also available as a bonus with purchase of successor Just Cause 3 .     Kameo : Elements of Power   Microsoft Studios       000000002015 - 06 - 15 - 0000 June 15 , 2015   Also included as part of the Rare Replay collection of games .     Kane &amp; Lynch 2 : Dog Days   Square Enix       000000002015 - 12 - 17 - 0000 December 17 , 2015       Killer Is Dead   XSEED Games       000000002016 - 10 - 27 - 0000 October 27 , 2016       King of Fighters ' 98 Ultimate Match , The The King of Fighters ' 98 Ultimate Match   SNK Playmore   XBLA     000000002016 - 03 - 28 - 0000 March 28 , 2016       King of Fighters 2002 Unlimited Match , The The King of Fighters 2002 Unlimited Match   SNK Playmore   XBLA     000000002017 - 02 - 23 - 0000 February 23 , 2017       KOF Sky Stage   SNK Playmore   XBLA     000000002017 - 10 - 12 - 0000 October 12 , 2017       Lara Croft and the Guardian of Light   Square Enix   XBLA     000000002018 - 02 - 20 - 0000 February 20 , 2018       Lazy Raiders   Microsoft Studios   XBLA     000000002016 - 06 - 07 - 0000 June 7 , 2016       Left 4 Dead   Valve Corporation       000000002016 - 06 - 16 - 0000 June 16 , 2016       Left 4 Dead 2   Valve Corporation       000000002016 - 03 - 29 - 0000 March 29 , 2016       LEGO Batman : The Videogame   WB Games       000000002016 - 02 - 11 - 0000 February 11 , 2016       LEGO Indiana Jones : The Original Adventures   LucasArts       000000002017 - 02 - 07 - 0000 February 7 , 2017       LEGO Indiana Jones 2 : The Adventure Continues   LucasArts       000000002018 - 01 - 25 - 0000 January 25 , 2018       LEGO Pirates of the Caribbean : The Video Game   Disney Interactive Studios       000000002015 - 11 - 12 - 0000 November 12 , 2015       LEGO Star Wars III : The Clone Wars   Disney Interactive Studios       000000002018 - 03 - 06 - 0000 March 6 , 2018       LEGO Star Wars : The Complete Saga   Disney Interactive Studios       000000002015 - 11 - 12 - 0000 November 12 , 2015       Limbo   Microsoft Studios   XBLA     000000002016 - 11 - 03 - 0000 November 3 , 2016       Lode Runner   Microsoft Studios   XBLA     000000002015 - 11 - 12 - 0000 November 12 , 2015       Lost Odyssey   Microsoft Studios       000000002016 - 09 - 29 - 0000 September 29 , 2016       Lumines LIVE   Microsoft Studios   XBLA     000000002015 - 11 - 12 - 0000 November 12 , 2015       Luxor 2   MumboJumbo   XBLA     000000002017 - 03 - 16 - 0000 March 16 , 2017       Madballs in Babo : Invasion   Microsoft Studios   XBLA     000000002017 - 03 - 16 - 0000 March 16 , 2017       Mad Tracks   D3 Publisher   XBLA     000000002017 - 01 - 31 - 0000 January 31 , 2017       Mafia II   2K Games       000000002018 - 02 - 13 - 0000 February 13 , 2018       Magic : The Gathering - Duels of the Planeswalkers   Microsoft Studios   XBLA     000000002018 - 01 - 18 - 0000 January 18 , 2018       Magic : The Gathering - Duels of the Planeswalkers 2012   Microsoft Studios   XBLA     000000002016 - 05 - 24 - 0000 May 24 , 2016       Magic : The Gathering - Duels of the Planeswalkers 2013   Microsoft Studios   XBLA     000000002018 - 01 - 18 - 0000 January 18 , 2018       Magic : Duels of the Planeswalkers 2014   Microsoft Studios   XBLA     000000002018 - 01 - 18 - 0000 January 18 , 2018       Marlow Briggs and the Mask of Death   505 Games   XBLA     000000002017 - 11 - 28 - 0000 November 28 , 2017       Mars : War Logs   Focus Home Interactive   XBLA     000000002016 - 06 - 30 - 0000 June 30 , 2016       Mass Effect   Microsoft Studios       000000002015 - 06 - 15 - 0000 June 15 , 2015   Available in the Vault of EA Access .     Mass Effect 2   Electronic Arts       000000002016 - 11 - 07 - 0000 November 7 , 2016   Available in the Vault of EA Access .     Mass Effect 3   Electronic Arts       000000002016 - 11 - 07 - 0000 November 7 , 2016   Available in the Vault of EA Access .     Matt Hazard : Blood Bath and Beyond   D3 Publisher   XBLA     000000002017 - 05 - 23 - 0000 May 23 , 2017       Maw , The The Maw   Microsoft Studios   XBLA     000000002016 - 09 - 15 - 0000 September 15 , 2016       Medal of Honor : Airborne   Electronic Arts       000000002016 - 11 - 29 - 0000 November 29 , 2016   Available in the Vault of EA Access .     Meet the Robinsons   Disney Interactive Studios       000000002017 - 03 - 02 - 0000 March 2 , 2017       Mega Man 9   Capcom   XBLA     000000002017 - 01 - 12 - 0000 January 12 , 2017       Mega Man 10   Capcom   XBLA     000000002017 - 01 - 12 - 0000 January 12 , 2017       Metal Gear Rising : Revengeance   Konami       000000002017 - 08 - 15 - 0000 August 15 , 2017       Metal Gear Solid : Peace Walker HD Edition   Konami       000000002018 - 03 - 13 - 0000 March 13 , 2018   The Metal Gear Solid : Peace Walker disc from the Metal Gear Solid HD Collection is also compatible .     Metal Slug 3   SNK Playmore   XBLA     000000002015 - 11 - 12 - 0000 November 12 , 2015       Metal Slug XX   SNK Playmore   XBLA     000000002015 - 11 - 12 - 0000 November 12 , 2015       Midway Arcade Origins   Warner Bros. Interactive Entertainment       000000002017 - 01 - 19 </t>
  </si>
  <si>
    <t xml:space="preserve">Tom and Jerry - wikipedia  Tom and Jerry  This is the latest accepted revision , reviewed on 1 March 2018 . Jump to : navigation , search This article is about the animal cartoon series . For other uses , see Tom and Jerry ( disambiguation ) .    Tom and Jerry     Tom and Jerry title card ( 1946 -- 54 ) for the MGM Hanna - Barbera shorts .     Genre   Comedy Slapstick     Created by     William Hanna   Joseph Barbera       Written by     William Hanna ( 1940 -- 58 )   Joseph Barbera ( 1940 -- 58 )   Gene Deitch ( 1961 -- 62 )   Eli Bauer ( 1961 -- 62 )   Larz Bourne ( 1961 -- 62 )   Michael Maltese ( 1963 -- 67 )   Jim Pabian ( 1965 )   Bob Ogle ( 1966 -- 67 )   John W. Dunn ( 1965 -- 67 )       Directed by     William Hanna ( 1940 -- 58 )   Joseph Barbera ( 1940 -- 58 )   Gene Deitch ( 1961 -- 62 )   Chuck Jones ( 1963 -- 67 )   Maurice Noble ( 1964 -- 67 )   Abe Levitow ( 1965 -- 67 )   Tom Ray ( 1966 -- 67 )   Ben Washam ( 1966 -- 67 )       Voices of     Harry E. Lang   Clarence Nash   William Hanna   Red Coffee   Lillian Randolph   Billy Bletcher   Daws Butler   Mel Blanc   Allen Swift   June Foray   Dick Nelson       Composer ( s )   Scott Bradley ( 113 shorts ) Edward Plumb ( 1 short ) Steven Konichek ( 12 shorts ) Eugene Poddany ( 20 shorts ) Dean Elliott ( 8 shorts ) Carl Brandt ( 2 shorts ) Hoyt Curtin ( 16 shorts ) Yvette Blais and Jeff Michael ( 15 shorts ) Tom Worrall ( 39 shorts ) Gary Lionelli ( 26 shorts ) J. Eric Schmidt Tom Erba ( 26 shorts ) Vivek Maddala David Ricard John Van Tongeren Henry Mancini ( the movie )     Country of origin   United States     Original language ( s )   English     No. of episodes   164 shorts ( list of episodes )     Production     Producer ( s )     Rudolf Ising ( 1940 )   Fred Quimby ( 1940 -- 55 )   William Hanna ( 1955 -- 58 )   Joseph Barbera ( 1955 -- 58 )   William L. Snyder ( 1961 -- 62 )   Chuck Jones ( 1963 -- 67 )   Walter Bien ( 1963 -- 65 )   Les Goldman ( 1963 -- 67 )   Earl Jonas ( 1965 -- 67 )       Running time   6 -- 10 minutes ( per short )     Distributor   Metro - Goldwyn - Mayer     Release     Original release   Puss Gets the Boot ( February 10 , 1940 ( 1940 - 02 - 10 ) )     Tom and Jerry is an American animated series of short films created in 1940 by William Hanna and Joseph Barbera . It centers on a rivalry between its two title characters , Tom , a cat , and Jerry , a mouse , and many recurring characters , based around slapstick comedy .   In its original run , Hanna and Barbera produced 114 Tom and Jerry shorts for Metro - Goldwyn - Mayer from 1940 to 1958 . During this time , they won seven Academy Awards for Animated Short Film , tying for first place with Walt Disney 's Silly Symphonies with the most awards in the category . After the MGM cartoon studio closed in 1957 , MGM revived the series with Gene Deitch directing an additional 13 Tom and Jerry shorts for Rembrandt Films from 1961 to 1962 . Tom and Jerry then became the highest - grossing animated short film series of that time , overtaking Looney Tunes . Chuck Jones then produced another 34 shorts with Sib Tower 12 Productions between 1963 and 1967 . Three more shorts were produced , The Mansion Cat in 2001 , The Karate Guard in 2005 , and A Fundraising Adventure in 2014 , making a total of 164 shorts . Various shorts have been released for home media since the 1990s .   A number of spin - offs have been made , including the television series The Tom and Jerry Show ( 1975 ) , The Tom and Jerry Comedy Show ( 1980 -- 82 ) , Tom and Jerry Kids ( 1990 -- 93 ) , Tom and Jerry Tales ( 2006 -- 08 ) , and The Tom and Jerry Show ( 2014 -- present ) . The first feature - length film based on the series , Tom and Jerry : The Movie , was released in 1992 , and 13 direct - to - video films have been produced since 2002 .     Contents  ( hide )   1 Plot   2 Production   3 Characters   3.1 Tom and Jerry   3.1. 1 Tom and Jerry speaking     3.2 Spike and Tyke   3.3 Butch and Toodles Galore   3.4 Nibbles   3.5 Mammy Two Shoes     4 History   4.1 Hanna - Barbera era ( 1940 -- 58 )   4.2 Gene Deitch era ( 1961 -- 62 )   4.3 Chuck Jones era ( 1963 -- 67 )   4.4 Tom and Jerry hit television   4.5 Second Hanna - Barbera era : The Tom and Jerry Show ( 1975 )   4.6 Filmation era ( 1980 -- 82 )   4.7 Tom and Jerry 's new owners   4.8 Third Hanna - Barbera era : Tom and Jerry Kids ( 1990 -- 94 )   4.9 One - off productions ( 2001 ; 2005 )   4.10 Warner Bros. era ( 2006 -- present )     5 Outside the United States   6 Feature films   7 Controversy   8 Other formats   9 Cultural influences   9.1 In popular culture     10 Home media   11 Theatrical shorts   12 Television   12.1 Television shows   12.2 Packaged shows and programming blocks   12.3 Television specials     13 Feature films   14 See also   15 References   16 Further reading      Plot ( edit )   The series features comic fights between an iconic set of adversaries , a house cat ( Tom ) and a mouse ( Jerry ) . The plots of each short usually center on Tom 's numerous attempts to capture Jerry and the mayhem and destruction that follows . Tom rarely succeeds in catching Jerry , mainly because of Jerry 's cleverness , cunning abilities , and luck . However , there are also several instances within the cartoons where they display genuine friendship and concern for each other 's well - being . At other times , the pair set aside their rivalry in order to pursue a common goal , such as when a baby escaped the watch of a negligent babysitter , causing Tom and Jerry to pursue the baby and keep it away from danger .   The cartoons are known for some of the most violent cartoon gags ever devised in theatrical animation such as Tom using everything from axes , hammers , firearms , firecrackers , explosives , traps and poison to kill Jerry . On the other hand , Jerry 's methods of retaliation are far more violent due to their frequent success , including slicing Tom in half , decapitating him , shutting his head or fingers in a window or a door , stuffing Tom 's tail in a waffle iron or a mangle , kicking him into a refrigerator , getting him electrocuted , pounding him with a mace , club or mallet , letting a tree or electric pole drive him into the ground , sticking matches into his feet and lighting them , tying him to a firework and setting it off , and so on . Because of this , Tom and Jerry has often been criticized as excessively violent . Despite the frequent violence , there is no blood or gore in any scene .   Music plays a very important part in the shorts , emphasizing the action , filling in for traditional sound effects , and lending emotion to the scenes . Musical director Scott Bradley created complex scores that combined elements of jazz , classical , and pop music ; Bradley often reprised contemporary pop songs , as well as songs from MGM films , including The Wizard of Oz and Meet Me in St. Louis , which both starred Judy Garland in a leading role .   Generally , there is little dialogue as Tom and Jerry almost never speak ; however , minor characters are not similarly limited , and the two lead characters are able to speak English on rare occasions and are thus not mute . For example , the character Mammy Two Shoes has lines in nearly every cartoon in which she appears . Most of the vocal effects used for Tom and Jerry are their high - pitched laughs and gasping screams .   Production ( edit )       This section does not cite any sources . Please help improve this section by adding citations to reliable sources . Unsourced material may be challenged and removed . ( April 2017 ) ( Learn how and when to remove this template message )     Before 1954 , all Tom and Jerry cartoons were produced in the standard Academy ratio and format ; in 1954 and 1955 , some of the output was dually produced in dual versions : one Academy - ratio negative composed for a flat widescreen ( 1.75 : 1 ) format and one shot in the CinemaScope process . From 1955 until the close of the MGM cartoon studio a year later , all Tom and Jerry cartoons were produced in CinemaScope , some even had their soundtracks recorded in Perspecta directional audio . All of the Hanna and Barbera cartoons were shot as successive color exposure negatives in Technicolor ; the 1960s entries were done in Metrocolor . The 1960s entries also returned to the standard Academy ratio and format , too . The 2005 short The Karate Guard was also filmed in the standard Academy ratio and format .   Characters ( edit )       This section possibly contains original research . Please improve it by verifying the claims made and adding inline citations . Statements consisting only of original research should be removed . ( May 2017 ) ( Learn how and when to remove this template message )    Main article : List of Tom and Jerry characters  Tom and Jerry ( edit )  Main articles : Tom Cat and Jerry Mouse  Tom ( named `` Jasper '' in his debut appearance ) is a grey and white domestic shorthair cat . ( `` Tom '' is a generic name for a male cat . ) He is usually but not always , portrayed as living a comfortable , or even pampered life , while Jerry ( named `` Jinx '' in his debut appearance ) is a small , brown , house mouse who always lives in close proximity to Tom . Despite being very energetic , determined and much larger , Tom is no match for Jerry 's wits . Jerry also possesses surprising strength for his size , approximately the equivalent of Tom 's , lifting items such as anvils with relative ease and withstanding considerable impacts . Although cats typically chase mice to eat them , it is quite rare for Tom to actually try to eat Jerry . Most of his attempts are just to torment or humiliate Jerry , sometimes in revenge , and sometimes to obtain a reward from a human for catching Jerry . By the final `` fade - out '' of each cartoon , Jerry usually emerges triumphant , while Tom is shown as the loser .   However , other results may be reached . On rare occasions , Tom triumphs , usually when Jerry becomes the aggressor or he pushes Tom a little too far . In The Million Dollar Cat Jerry learns that Tom will lose his newly acquired wealth if he harms any animal , especially mice ; he then torments Tom a little too much until he retaliates . In Timid Tabby Tom 's look - alike cousin pushes Jerry over the edge . Occasionally and usually ironically , they both lose , usually because Jerry 's last trap or attack on Tom backfires on him or he overlooks something . In Chuck Jones ' Filet Meow , Jerry orders a shark from the pet store to scare Tom away from eating a goldfish . Afterwards , the shark scares Jerry away as well . Finally , they occasionally end up being friends , although within this set of stories , there is often a last minute event that ruins the truce . One cartoon that has a friendly ending is Snowbody Loves Me .   Both characters display sadistic tendencies , in that they are equally likely to take pleasure in tormenting each other , although it is often in response to a triggering event . However , when one character appears to truly be in mortal danger from an unplanned situation or due to actions by a third party , the other will develop a conscience and save him . Occasionally , they bond over a mutual sentiment towards an unpleasant experience and their attacking each other is more play than serious attacks . Multiple shorts show the two getting along with minimal difficulty , and they are more than capable of working together when the situation calls for it , usually against a third party who manages to torture and humiliate them both . Sometimes this partnership is forgotten quickly when an unexpected event happens , or when one character feels that the other is no longer necessary . This is the case in Posse Cat , when they agree that Jerry will allow himself to be caught if Tom agrees to share his reward dinner , but Tom then reneges . Other times however , Tom does keep his promise to Jerry and the partnerships are not quickly dissolved after the problem is solved .   Tom changes his love interest many times . The first love interest is Toots who appears in Puss n ' Toots , and calls him `` Tommy '' in The Mouse Comes to Dinner . He is also interested in a cat called Toots in The Zoot Cat although she has a different appearance to the original Toots . The most frequent love interest of Tom 's is Toodles Galore , who never has any dialogue in the cartoons .   Despite five shorts ending with a depiction of Tom 's apparent death , his demise is never permanent ; he even reads about his own death in a flashback in Jerry 's Diary . He appears to die in explosions in Mouse Trouble ( after which he is seen in heaven ) , Yankee Doodle Mouse and in Safety Second , while in The Two Mouseketeers he is guillotined offscreen .  Tom and Jerry speaking ( edit )  Although many supporting and minor characters speak , rarely do Tom and Jerry so themselves . Tom , most famously , sings while wooing female cats ; for example , Tom sings Louis Jordan 's `` Is You Is or Is You Ai n't My Baby '' in the 1946 short Solid Serenade . In that one as well as Zoot Cat , Tom , when romancing a female cat , woos her in a French - accented voice similar to that of screen actor Charles Boyer . At the end of The Million Dollar Cat after beginning to antagonize Jerry he says , `` Gee , I 'm throwin ' away a million dollars ... BUT I 'M HAPPY ! '' In Tom and Jerry : The Magic Ring , Jerry says , `` No , no , no , no , no , '' when choosing the shop to remove his ring . In The Mouse Comes to Dinner Tom speaks to his girlfriend Toots while inadvertently sitting on a stove : `` Say , what 's cookin ' ? '' , to which Toots replies `` You are , stupid . '' Another instance of speech comes in Solid Serenade and The Framed Cat , where Tom directs Spike through a few dog tricks in a dog - trainer manner . Co-director William Hanna provided most of the squeaks , gasps , and other vocal effects for the pair , including the most famous sound effects from the series , Tom 's leather - lunged scream ( created by recording Hanna 's scream and eliminating the beginning and ending of the recording , leaving only the strongest part of the scream on the soundtrack ) and Jerry 's nervous gulp .   The only other reasonably common vocalization is made by Tom when some external reference claims a certain scenario or eventuality to be impossible , which inevitably , ironically happens to thwart Tom 's plans -- at which point , a bedraggled and battered Tom appears and says in a haunting , echoing voice `` Do n't you believe it ! '' , a reference to the then - popular 1940s radio show Do n't You Believe It . In Mouse Trouble , Tom says `` Do n't you believe it ! '' after being beaten up by Jerry ( this also happens in The Missing Mouse ) . In the 1946 short Trap Happy , Tom hires a cat disguised as a mouse exterminator who , after several failed attempts to dispatch Jerry , changes profession to Cat exterminator by crossing out the `` Mouse '' on his title and writing `` Cat '' , resulting in Tom spelling out the word out loud before reluctantly pointing at himself . One short , 1956 's Blue Cat Blues , is narrated by Jerry in voiceover ( voiced by Paul Frees ) as they try to win back their ladyfriends . Both Tom and Jerry speak more than once in the 1943 short The Lonesome Mouse , while Jerry was voiced by Sara Berner during his appearance in the 1945 MGM musical Anchors Aweigh . Tom and Jerry : The Movie is the first ( and so far only ) installment of the series where the famous cat - and - mouse duo regularly speak . In that movie , Tom was voiced by Richard Kind , and Jerry was voiced by Dana Hill .   Spike and Tyke ( edit )  Main article : Spike and Tyke ( characters )  In his attempts to catch Jerry , Tom often has to deal with Spike ( known as `` Killer '' and `` Butch '' in some shorts ) , an angry , vicious but easily duped bulldog who tries to attack Tom for bothering him or his son Tyke while trying to get Jerry . Originally , Spike was unnamed and mute ( aside from howls and biting noises ) as well as attacking indiscriminately , not caring whether it was Tom or Jerry though usually attacking Tom . In later cartoons , Spike spoke often , using a voice and expressions ( performed by Billy Bletcher and later Daws Butler ) modeled after comedian Jimmy Durante . Spike 's coat has altered throughout the years between grey and creamy tan . The addition of Spike 's son Tyke in the late 1940s led to both a slight softening of Spike 's character and a short - lived spin - off theatrical series ( Spike and Tyke ) .   Most cartoons with Spike in it have a system ; usually Spike is trying to accomplish something ( such as building a dog house or sleeping ) when Tom and Jerry 's antics stop him from doing it . Spike then ( presumably due to prejudice ) singles out Tom as the culprit and threatens him that if it ever happens again , he will do `` something horrible '' to him ( effectively forcing Tom to take the blame ) while Jerry overhears ; afterwards Jerry usually does anything he can to interrupt whatever Spike is doing while Tom barely manages to stop him ( usually getting injured in the process ) . Usually Jerry does eventually wreck whatever Spike is doing in spectacular fashion and leaving Tom to take the blame , forcing him to flee from Spike and inevitably lose ( usually due to the fact that Tom is usually framed by Jerry and that Spike just does n't like Tom ) . Off - screen , Spike does something to Tom and finally Tom is generally shown injured or in a bad situation while Jerry smugly cuddles up to Spike unscathed . Tom sometimes can get irritated with Spike on some occasions ( example is in That 's My Pup ! , when Spike forced Tom to run up a tree every time his son barked , causing Tom to hang Tyke on a flag pole ) . At least once however , Tom does something that benefits Spike , who promises not to interfere ever again ; causing Jerry to frantically leave the house and run into the distance ( in Hic - cup Pup ) . Spike is well known for his famous `` Listen pussycat ! '' catchphrase when he threatens Tom , his other famous catchphrase is `` That 's my boy ! '' normally said when he supports or congratulates his son .   Tyke is described as a cute , sweet looking , happy and a lovable puppy . He is Spike 's son , but unlike Spike , Tyke does not speak and only communicates ( mostly towards his father ) by barking , yapping , wagging his tail , whimpering and growling . Tyke 's father Spike would always go out of his way to care and comfort his son and make sure that he is safe from Tom . Tyke loves his father and Spike loves his son and they get along like friends , although most of time they would be taking a nap or Spike would teach Tyke the main facts of life of being a dog . Like Spike , Tyke 's appearance has altered throughout the years , from grey ( with white paws ) to creamy tan . When Tom and Jerry Kids first aired , this was the first time that viewers were able to hear Tyke speak .   Butch and Toodles Galore ( edit )  Main articles : Butch ( Tom and Jerry ) and Toodles Galore  Butch is a black , cigar - smoking cat who also wants to eat Jerry . He is the most frequent adversary of Tom . However , for most of the episodes he appears in , he is usually seen rivaling Tom over Toodles . Butch was also Tom 's chum as in some cartoons , where Butch is leader of Tom 's alley cat buddies , who are mostly Lightning , Topsy , and Meathead . Butch talks more often than Tom or Jerry in most shorts .   Both characters were originally introduced in Hugh Harman 's 1941 short The Alley Cat , but were integrated into Tom and Jerry rather than continuing in their own series .   Nibbles ( edit )  Main article : Nibbles ( Tom and Jerry )  Nibbles is a small grey mouse who often appears in shorts as Jerry 's nephew . He is a carefree individual who very rarely understands the danger of the situation , simply following instructions the best he can both to Jerry 's command and his own innocent understanding of the situation . This can lead to such results as `` getting the cheese '' by simply asking Tom to pick it up for him , rather than following Jerry 's example of outmaneuvering and sneaking around Tom . Many times Nibbles is an ally of Jerry in fights against Tom , including being the second Mouseketeer . He is given speaking roles in all his appearances as a Mouseketeer , often with a high - pitched French tone . However , during a short in which he rescued Robin Hood , his voice was instead more masculine , gruff , and cockney accented .   Mammy Two Shoes ( edit )  Main article : Mammy Two Shoes  Mammy Two Shoes is a heavy - set middle - aged mammy who often has to deal with the mayhem generated by the lead characters . Voiced by character actress Lillian Randolph , she is often seen as the owner of Tom . Her face was only shown once , very briefly , in Saturday Evening Puss . Mammy 's appearances have often been edited out , dubbed , or re-animated as a slim white woman in later television showings , since her character is a mammy archetype now often regarded as racist . She was mostly restored in the DVD releases of the cartoons , with an introduction by Whoopi Goldberg explaining the importance of African - American representation in the cartoon series , however stereotyped .   History ( edit )   `` Tom and Jerry '' was a commonplace phrase for youngsters indulging in riotous behaviour in 19th - century London . The term comes from Life in London , or Days and Nights of Jerry Hawthorne and his elegant friend Corinthian Tom ( 1823 ) by Pierce Egan . However Brewer notes no more than an `` unconscious '' echo of the Regency era original in the naming of the cartoon .   Hanna - Barbera era ( 1940 -- 58 ) ( edit )   William Hanna and Joseph Barbera were both part of the Rudolf Ising unit at the MGM cartoon studio in the late 1930s . After the financial disaster of a series of MGM cartoons based upon the Captain and the Kids comic strip characters , Barbera , a storyman and character designer , was paired ( out of desperation ) with Hanna , an experienced director , to start directing films for the Ising unit . In their first discussion for a cartoon , Barbera suggested a cat - and - mouse cartoon titled Puss Gets the Boot . `` We knew we needed two characters . We thought we needed conflict , and chase and action . And a cat after a mouse seemed like a good , basic thought , '' as he recalled in an interview . Hanna and other employees complained that the idea was n't very original ; nevertheless , the short was completed in late 1939 , and released to theaters on February 10 , 1940 . Puss Gets The Boot centers on Jasper , a gray tabby cat trying to catch a mouse named Jinx ( whose name is not mentioned within the cartoon itself ) , but after accidentally breaking a houseplant and its stand , the African American housemaid Mammy has threatened to throw Jasper out if he breaks one more thing in the house . Naturally , Jinx uses this to his advantage , and begins tossing any and everything fragile , so that Jasper will be thrown outside . Puss Gets The Boot was previewed and released without fanfare , and Hanna and Barbera went on to direct other non-cat - and - mouse related shorts such as Gallopin ' Gals ( 1940 ) and Officer Pooch ( 1941 ) . `` After all , '' remarked many of the MGM staffers , `` have n't there been enough cat - and - mouse cartoons already ? ''   The pessimistic attitude towards the cat and mouse duo changed when the cartoon became a favorite with theater owners and with the Academy of Motion Picture Arts and Sciences , which nominated the film for the Academy Award for Best Short Subject : Cartoons of 1941 . It lost to another MGM cartoon , Rudolph Ising 's The Milky Way .   Producer Fred Quimby , who ran the MGM animation studio , quickly pulled Hanna and Barbera off the other one - shot cartoons they were working on , and commissioned a series featuring the cat and mouse . Hanna and Barbera held an intra-studio contest to give the pair a new name by drawing suggested names out of a hat ; animator John Carr won $50 with his suggestion of Tom and Jerry , at the time best known as the name of a Christmastime mixed drink . The Tom and Jerry series went into production with The Midnight Snack in 1941 , and Hanna and Barbera rarely directed anything but the cat - and - mouse cartoons for the rest of their tenure at MGM . Barbera would create the story for each short while Hanna would supervise production .   Tom 's physical appearance evolved significantly over the years . During the early 1940s , Tom had an excess of detail -- shaggy fur , numerous facial wrinkles , and multiple eyebrow markings , all of which were streamlined into a more workable form by the end of the 1940s . In addition , he also looked like a more realistic cat early on ; evolving from his quadrupedal beginnings Tom to become increasingly and almost exclusively bipedal . By contrast , Jerry 's design remained essentially the same for the duration of the series . By the mid-1940s , the series had developed a quicker , more energetic and violent tone , due to the inspiration from the work of their colleague in the MGM cartoon studio , Tex Avery , who joined the studio in 1942 .   Even though the theme of each short is virtually the same -- cat chases mouse -- Hanna and Barbera found endless variations on that theme . Barbera 's storyboards and rough layouts and designs , combined with Hanna 's timing , resulted in MGM 's most popular and successful cartoon series . Thirteen entries in the Tom and Jerry series ( including Puss Gets The Boot ) were nominated for the Academy Award for Best Short Subject : Cartoons ; seven of them went on to win the Academy Award , breaking the Disney studio 's winning streak in that category . Tom and Jerry won more Academy Awards than any other character - based theatrical animated series .   Tom and Jerry remained popular throughout their original theatrical run , even when the budgets began to tighten in the 1950s and the pace of the shorts slowed slightly . However , after television became popular in the 1950s , box office revenues decreased for theatrical films , and short subjects . At first , MGM combated this by going to all - CinemaScope production on the series . After MGM realized that their re-releases of the older cartoons brought in just as much money as the new cartoons did , the studio executives decided , much to the surprise of the staff , to close the animation studio . The MGM cartoon studio was shut down on May 15 , 1957 , and the last of the 114 Hanna - Barbera Tom and Jerry shorts , Tot Watchers , was released on August 1 , 1958 . Hanna and Barbera established their own television animation studio , Hanna - Barbera Productions , on July 7 , 1957 , which went on to produce hit TV shows , such as The Flintstones , Yogi Bear , The Jetsons and Scooby - Doo .   Gene Deitch era ( 1961 -- 62 ) ( edit )   In 1961 , MGM revived the Tom and Jerry franchise , and contracted European animation studio Rembrandt Films to produce thirteen Tom and Jerry shorts in Prague , Czechoslovakia . All thirteen shorts were directed by Gene Deitch and produced by William L. Snyder . Deitch himself wrote most of the cartoons , with occasional assistance from Larz Bourne and Eli Bauer . Stěpan Koniček provided the musical score for the Deitch shorts . Sound effects were produced by Tod Dockstader . The majority of vocal effects and voices in Deitch 's films were provided by Allen Swift .   Deitch states that , being a `` UPA man '' , he was not a fan of the Tom and Jerry cartoons , thinking they were `` needlessly violent '' . However , after being assigned to work on the series , he quickly realized that `` nobody took ( the violence ) seriously '' , and it was merely `` a parody of exaggerated human emotions '' . He also came to see what he perceived as the `` biblical roots '' in Tom and Jerry 's conflict , similar to David and Goliath , stating `` That 's where we feel a connection to these cartoons : the little guy can win ( or at least survive ) to fight another day . ''   Since the Deitch / Snyder team had seen only a handful of the original Tom and Jerry shorts , and since the team produced their cartoons on a tighter budget of $10,000 , the resulting films were considered surrealist in nature , though this was not Deitch 's intention . The animation was limited and jerky in movement , compared to the more fluid Hanna - Barbera shorts . Background art was done in a more simplistic , angular , Art Deco-esque style . The soundtracks featured sparse and echoic electronic music , futuristic sound effects , heavy reverb , and dialogue that was mumbled rather than spoken . According to Jen Nessel of The New York Times , `` The Czech style had nothing in common with these gag - driven cartoons . ''   Whereas Hanna - Barbera 's shorts generally took place in and outside of a house , Deitch 's shorts opted for more exotic locations , such as a 19th - century whaling ship , the jungles of Nairobi , an Ancient Greek acropolis , or the Wild West . In addition , Mammy Two - Shoes was replaced as Tom 's owner by Clint Clobber , a bald , overweight , short - tempered , middle - aged white man who was also much more brutal and violent in punishing Tom 's actions as compared to previous owners , by beating and thrashing Tom repeatedly , stomping on his hand , searing his head with a grill , forcing him to drink an entire carbonated beverage , slamming his fingers with a lunchbox lid and even wrapping a shotgun over his head and firing it .   To avoid being linked to Communism , Deitch romanized the Czech names of his crew in the opening credits of the shorts ( e.g. Stêpan Koniček became `` Steven Konichek '' and Vaclav Lidl became `` Victor Little '' ) . In addition , these shorts are among the few Tom and Jerry cartoons not to carry the `` Made In Hollywood , U.S.A. '' phrase on the end title card ; due to Deitch 's studio being behind the Iron Curtain , the production studio 's location is omitted entirely on it . After the thirteen shorts were completed , Joe Vogel , the head of production , was fired from MGM . Vogel had approved of Deitch and his team 's work , but MGM decided not to renew their contract after Vogel 's departure . The final of the thirteen shorts , Carmen Get It ! , was released on December 21 , 1962 .   Deitch 's shorts were commercial successes . In 1961 , the Tom and Jerry series became the highest - grossing animated short film series of that time , dethroning Looney Tunes , which had held the position for sixteen years ; this success was repeated once more in 1962 . However , unlike the Hanna - Barbera shorts , none of Deitch 's films were nominated for nor did they win an Academy Award . In retrospect , these shorts are often considered the worst of the Tom and Jerry theatrical output . Deitch stated that due to his team 's inexperience as well as their low budget , he `` hardly had a chance to succeed '' , and `` well understand ( s ) the negative reactions '' to his shorts . He believes `` They could all have been better animated -- truer to the characters -- but our T&amp;Js were produced in the early 1960s , near the beginning of my presence here , over a half - century ago as I write this ! '' Despite the criticism , some fans wrote positive letters to Deitch , stating that his Tom and Jerry shorts were their personal favorites due to their quirky and surreal nature . The shorts were released on DVD in 2015 in Tom and Jerry : The Gene Deitch Collection .   Chuck Jones era ( 1963 -- 67 ) ( edit )   After the last of the Deitch cartoons were released , Chuck Jones , who had been fired from his thirty - plus year tenure at Warner Bros. Cartoons , started his own animation studio , Sib Tower 12 Productions ( later renamed MGM Animation / Visual Arts ) , with partner Les Goldman . Beginning in 1963 , Jones and Goldman went on to produce 34 more Tom and Jerry shorts , all of which carried Jones ' distinctive style ( and a slight psychedelic influence ) .   Jones had trouble adapting his style to Tom and Jerry 's brand of humor , and a number of the cartoons favored full animation , personality and style over storyline . The characters underwent a slight change of appearance : Tom was given thicker eyebrows ( resembling Jones ' Grinch , Count Blood Count or Wile E. Coyote ) , a less complex look ( including the color of his fur becoming gray ) , sharper ears , longer tail and furrier cheeks ( resembling Jones ' Claude Cat or Sylvester ) , while Jerry was given larger eyes and ears , a lighter brown color , and a sweeter ,</t>
  </si>
  <si>
    <t xml:space="preserve">toms name in the first tom and jerry cartoon</t>
  </si>
  <si>
    <t xml:space="preserve"> Tom ( named `` Jasper '' in his debut appearance ) is a grey and white domestic shorthair cat . ( `` Tom '' is a generic name for a male cat . ) He is usually but not always , portrayed as living a comfortable , or even pampered life , while Jerry ( named `` Jinx '' in his debut appearance ) is a small , brown , house mouse who always lives in close proximity to Tom . Despite being very energetic , determined and much larger , Tom is no match for Jerry 's wits . Jerry also possesses surprising strength for his size , approximately the equivalent of Tom 's , lifting items such as anvils with relative ease and withstanding considerable impacts . Although cats typically chase mice to eat them , it is quite rare for Tom to actually try to eat Jerry . Most of his attempts are just to torment or humiliate Jerry , sometimes in revenge , and sometimes to obtain a reward from a human for catching Jerry . By the final `` fade - out '' of each cartoon , Jerry usually emerges triumphant , while Tom is shown as the loser . </t>
  </si>
  <si>
    <r>
      <rPr>
        <sz val="11"/>
        <color rgb="FF000000"/>
        <rFont val="Calibri"/>
        <family val="0"/>
        <charset val="1"/>
      </rPr>
      <t xml:space="preserve">Cutaneous condition - wikipedia  Cutaneous condition  Jump to : navigation , search `` Pustule '' redirects here . It is not to be confused with Boil . See also : List of cutaneous conditions    Cutaneous condition     Classification and external resources     Specialty   Dermatology     ( edit on Wikidata )     A cutaneous condition is any medical condition that affects the integumentary system -- the organ system that encloses the body and includes skin , hair , nails , and related muscle and glands . The major function of this system is as a barrier against the external environment .   Conditions of the human integumentary system constitute a broad spectrum of diseases , also known as dermatoses , as well as many nonpathologic states ( like , in certain circumstances , melanonychia and racquet nails ) . While only a small number of skin diseases account for most visits to the physician , thousands of skin conditions have been described . Classification of these conditions often presents many nosological challenges , since underlying causes and pathogenetics are often not known . Therefore , most current textbooks present a classification based on location ( for example , conditions of the mucous membrane ) , morphology ( chronic blistering conditions ) , cause ( skin conditions resulting from physical factors ) , and so on .   Clinically , the diagnosis of any particular skin condition is made by gathering pertinent information regarding the presenting skin lesion ( s ) , including the location ( such as arms , head , legs ) , symptoms ( pruritus , pain ) , duration ( acute or chronic ) , arrangement ( solitary , generalized , annular , linear ) , morphology ( macules , papules , vesicles ) , and color ( red , blue , brown , black , white , yellow ) . The diagnosis of many conditions often also requires a skin biopsy which yields histologic information that can be correlated with the clinical presentation and any laboratory data . The introduction of cutaneous ultrasound has allowed the detection of cutaneous tumors , inflammatory processes , nail disorders and hair diseases .     Contents  ( hide )   1 Layer of skin involved   1.1 Epidermis   1.2 Dermis   1.3 Subcutaneous tissue     2 Diseases of the skin   3 History   4 Diagnoses   5 Lesions   5.1 Primary lesions   5.2 Secondary lesions   5.3 Configuration   5.4 Distribution   5.5 Other related terms     6 Histopathology   7 References      Layer of skin involved ( edit )  Main article : Integumentary system  The skin weighs an average of 4 kg ( 8.8 lb ) , covers an area of 2 m ( 22 sq ft ) , and is made of three distinct layers : the epidermis , dermis , and subcutaneous tissue . The two main types of human skin are glabrous skin , the nonhairy skin on the palms and soles ( also referred to as the `` palmoplantar '' surfaces ) , and hair - bearing skin . Within the latter type , hairs in structures called pilosebaceous units have a hair follicle , sebaceous gland , and associated arrector pili muscle . In the embryo , the epidermis , hair , and glands are from the ectoderm , which is chemically influenced by the underlying mesoderm that forms the dermis and subcutaneous tissues .   Epidermis ( edit )  Main article : Epidermis ( skin )  The epidermis is the most superficial layer of skin , a squamous epithelium with several strata : the stratum corneum , stratum lucidum , stratum granulosum , stratum spinosum , and stratum basale . Nourishment is provided to these layers via diffusion from the dermis , since the epidermis is without direct blood supply . The epidermis contains four cell types : keratinocytes , melanocytes , Langerhans cells , and Merkel cells . Of these , keratinocytes are the major component , constituting roughly 95 % of the epidermis . This stratified squamous epithelium is maintained by cell division within the stratum basale , in which differentiating cells slowly displace outwards through the stratum spinosum to the stratum corneum , where cells are continually shed from the surface . In normal skin , the rate of production equals the rate of loss ; about two weeks are needed for a cell to migrate from the basal cell layer to the top of the granular cell layer , and an additional two weeks to cross the stratum corneum .   Dermis ( edit )  Main article : Dermis  The dermis is the layer of skin between the epidermis and subcutaneous tissue , and comprises two sections , the papillary dermis and the reticular dermis . The superficial papillary dermis interdigitates with the overlying rete ridges of the epidermis , between which the two layers interact through the basement membrane zone . Structural components of the dermis are collagen , elastic fibers , and ground substance also called extra fibrillar matrix . Within these components are the pilosebaceous units , arrector pili muscles , and the eccrine and apocrine glands . The dermis contains two vascular networks that run parallel to the skin surface -- one superficial and one deep plexus -- which are connected by vertical communicating vessels . The function of blood vessels within the dermis is fourfold : to supply nutrition , to regulate temperature , to modulate inflammation , and to participate in wound healing .   Subcutaneous tissue ( edit )  Main article : Subcutaneous tissue  The subcutaneous tissue is a layer of fat between the dermis and underlying fascia . This tissue may be further divided into two components , the actual fatty layer , or panniculus adiposus , and a deeper vestigial layer of muscle , the panniculus carnosus . The main cellular component of this tissue is the adipocyte , or fat cell . The structure of this tissue is composed of septal ( i.e. linear strands ) and lobular compartments , which differ in microscopic appearance . Functionally , the subcutaneous fat insulates the body , absorbs trauma , and serves as a reserve energy source .   Diseases of the skin ( edit )  For a comprehensive list , see List of cutaneous conditions . Skin diseases deaths per million persons in 2012 0 -- 2 3 -- 4 5 -- 8 9 -- 13 14 -- 17 18 -- 21 22 -- 27 28 -- 34 35 -- 47 48 -- 106  Diseases of the skin include skin infections and skin neoplasms ( including skin cancer ) .   History ( edit )   In 1572 , Geronimo Mercuriali of Forlì , Italy , completed De morbis cutaneis ( translated `` On the diseases of the skin '' ) . It is considered the first scientific work dedicated to dermatology .   Diagnoses ( edit )   The physical examination of the skin and its appendages , as well as the mucous membranes , forms the cornerstone of an accurate diagnosis of cutaneous conditions . Most of these conditions present with cutaneous surface changes termed `` lesions , '' which have more or less distinct characteristics . Often proper examination will lead the physician to obtain appropriate historical information and / or laboratory tests that are able to confirm the diagnosis . Upon examination , the important clinical observations are the ( 1 ) morphology , ( 2 ) configuration , and ( 3 ) distribution of the lesion ( s ) . With regard to morphology , the initial lesion that characterizes a condition is known as the `` primary lesion , '' and identification of such a lesions is the most important aspect of the cutaneous examination . Over time , these primary lesions may continue to develop or be modified by regression or trauma , producing `` secondary lesions . '' However , with that being stated , the lack of standardization of basic dermatologic terminology has been one of the principal barriers to successful communication among physicians in describing cutaneous findings . Nevertheless , there are some commonly accepted terms used to describe the macroscopic morphology , configuration , and distribution of skin lesions , which are listed below .   Lesions ( edit )   Primary lesions ( edit )  Chigger bites on human skin showing characteristic welts Macule and patch Papule and plaque Nodules Vesicles and bulla Fissures , erosions and ulcers A pustule on the cheek   Macule : A macule is a change in surface color , without elevation or depression and , therefore , nonpalpable , well or ill - defined , variously sized , but generally considered less than either 5 or 10 mm in diameter at the widest point .   Patch : A patch is a large macule equal to or greater than either 5 or 10 mm across , depending on one 's definition of a macule . Patches may have some subtle surface change , such as a fine scale or wrinkling , but although the consistency of the surface is changed , the lesion itself is not palpable .   Papule : A papule is a circumscribed , solid elevation of skin with no visible fluid , varying in size from a pinhead to less than either 5 or 10 mm in diameter at the widest point .   Plaque : A plaque has been described as a broad papule , or confluence of papules equal to or greater than 1 cm , or alternatively as an elevated , plateau - like lesion that is greater in its diameter than in its depth .   Nodule : A nodule is morphologically similar to a papule in that it is also a palpaple spherical lesion less than 1 cm in diameter . However , it is differentiated by being centered deeper in the dermis or subcutis .   Tumour : Similar to a nodule but larger than 1 cm in diameter .   Vesicle : A vesicle is small blister , a circumscribed , fluid - containing , epidermal elevation generally considered less than either 5 or 10 mm in diameter at the widest point . The fluid is clear serous fluid .   Bulla : A bulla is a large blister , a rounded or irregularly shaped blister containing serous or seropurulent fluid , equal to or greater than either 5 or 10 mm , depending on one 's definition of a vesicle .       Pustule : A pustule is a small elevation of the skin containing cloudy or purulent material ( pus ) usually consisting of necrotic inflammatory cells . These can be either white or red .   Cyst : A cyst is an epithelial - lined cavity containing liquid , semi-solid , or solid material .   Erosion : An erosion is a discontinuity of the skin exhibiting incomplete loss of the epidermis , a lesion that is moist , circumscribed , and usually depressed .   Ulcer : An ulcer is a discontinuity of the skin exhibiting complete loss of the epidermis and often portions of the dermis and even subcutaneous fat .   Fissure : A fissure is a crack in the skin that is usually narrow but deep .   Wheal : A wheal is a rounded or flat - topped , pale red papule or plaque that is characteristically evanescent , disappearing within 24 to 48 hours . The temporary raised bubble of taut skin on the site of a properly - delivered intradermal injection is also called a welt , with the ID injection process itself frequently referred to as simply `` raising a wheal '' in medical texts .   Telangiectasia : A telangiectasia represents an enlargement of superficial blood vessels to the point of being visible .   Burrow : A burrow appears as a slightly elevated , grayish , tortuous line in the skin , and is caused by burrowing organisms .    Secondary lesions ( edit )    Scale : dry or greasy laminated masses of keratin that represent thickened stratum corneum .   Crust : dried sebum , pus , or blood usually mixed with epithelial and sometimes bacterial debris .   Lichenification : epidermal thickening characterized by visible and palpable thickening of the skin with accentuated skin markings .   Excoriation : a punctate or linear abrasion produced by mechanical means ( often scratching ) , usually involving only the epidermis , but commonly reaching the papillary dermis .   Induration : dermal thickening causing the cutaneous surface to feel thicker and firmer .   Atrophy : refers to a loss of tissue , and can be epidermal , dermal , or subcutaneous . With epidermal atrophy , the skin appears thin , translucent , and wrinkled . Dermal or subcutaneous atrophy is represented by depression of the skin .   Maceration : softening and turning white of the skin due to being consistently wet .   Umbilication : formation of a depression at the top of a papule , vesicle , or pustule .   Phyma : A tubercle on any external part of the body , such as in phymatous rosacea    Configuration ( edit )   `` Configuration '' refers to how lesions are locally grouped ( `` organized '' ) , which contrasts with how they are distributed ( see next section ) .    Agminate : in clusters   Annular or circinate : ring - shaped   Arciform or arcuate : arc - shaped   Digitate : with finger - like projections   Discoid or nummular : round or disc - shaped   Figurate : with a particular shape   Guttate : resembling drops   Gyrate : coiled or spiral - shaped   Herpetiform : resembling herpes   Linear   Mammillated : with rounded , breast - like projections   Reticular or reticulated : resembling a net   Serpiginous : with a wavy border   Stellate : star - shaped   Targetoid : resembling a bullseye   Verrucous : wart - like    Distribution ( edit )   `` Distribution '' refers to how lesions are localized . They may be confined to a single area ( a patch ) or may exist in several places . Some distributions correlate with the means by which a given area becomes affected . For example , contact dermatitis correlates with locations where allergen has elicited an allergic immune response . Varicella zoster virus is known to recur ( after its initial presentation as chicken pox ) as herpes zoster ( `` shingles '' ) . Chicken pox appears nearly everywhere on the body , but herpes zoster tends to follow one or two dermatomes ; for example , the eruptions may appear along the bra line , on either or both sides of the patient .    Generalized   Symmetric : one side mirrors the other   Flexural : on the front of the fingers   Extensor : on the back of the fingers   Intertriginous : in an area where two skin areas may touch or rub together   Morbilliform : resembling measles   Palmoplantar : on the palm of the hand or bottom of the foot   Periorificial : around an orifice such as the mouth   Periungual / subungual : around or under a fingernail or toenail   Blaschkoid : following the path of Blaschko 's lines in the skin   Photodistributed : in places where sunlight reaches   Zosteriform or dermatomal : associated with a particular nerve    Other related terms ( edit )    Collarette   Comedo   Confluent   Eczema ( a type of dermatitis )   Evanescent ( lasting less than 24 hours )   Granuloma   Livedo   Purpura   Erythema ( redness )   Horn ( a cell type )   Poikiloderma    Histopathology ( edit )    Hyperkeratosis   Parakeratosis   Hypergranulosis   Acanthosis   Papillomatosis   Dyskeratosis   Acantholysis   Spongiosis   Hydropic swelling   Exocytosis   Vacuolization   Erosion   Ulceration   Lentiginous    References ( edit )    ^ Jump up to : Miller , Jeffrey H. ; Marks , James G. ( 2006 ) . Lookingbill and Marks ' Principles of Dermatology . Saunders . ISBN 1 - 4160 - 3185 - 5 .   Jump up ^ Lippens , S ; Hoste , E ; Vandenabeele , P ; Agostinis , P ; Declercq , W ( April 2009 ) . `` Cell death in the skin '' . Apoptosis. 14 ( 4 ) : 549 -- 69 . doi : 10.1007 / s10495 - 009 - 0324 - z . PMID 19221876 .   Jump up ^ King , L.S. ( 1954 ) . `` What Is Disease ? '' . Philosophy of Science . 21 ( 3 ) : 193 -- 203 . doi : 10.1086 / 287343 .   Jump up ^ Bluefarb , Samuel M. ( 1984 ) . Dermatology . Upjohn Co . ISBN 0 - 89501 - 004 - 6 .   ^ Jump up to : Lynch , Peter J. ( 1994 ) . Dermatology . Williams &amp; Wilkins . ISBN 0 - 683 - 05252 - 7 .   Jump up ^ Tilles G , Wallach D ( 1989 ) . `` ( The history of nosology in dermatology ) '' . Ann Dermatol Venereol ( in French ) . 116 ( 1 ) : 9 -- 26 . PMID 2653160 .   Jump up ^ Lambert WC , Everett MA ( October 1981 ) . `` The nosology of parapsoriasis '' . J. Am. Acad. Dermatol. 5 ( 4 ) : 373 -- 95 . doi : 10.1016 / S0190 - 9622 ( 81 ) 70100 - 2 . PMID 7026622 .   Jump up ^ Jackson R ( 1977 ) . `` Historical outline of attempts to classify skin diseases '' . Can Med Assoc J. 116 ( 10 ) : 1165 -- 68 . PMC 1879511 . PMID 324589 .   Jump up ^ Copeman PW ( February 1995 ) . `` The creation of global dermatology '' . JR Soc Med. 88 ( 2 ) : 78 -- 84 . PMC 1295100 . PMID 7769599 .   Jump up ^ Fitzpatrick , Thomas B. ; Klauss Wolff ; Wolff , Klaus Dieter ; Johnson , Richard R. ; Suurmond , Dick ; Richard Suurmond ( 2005 ) . Fitzpatrick 's color atlas and synopsis of clinical dermatology . McGraw - Hill Medical Pub . Division . ISBN 0 - 07 - 144019 - 4 .   Jump up ^ Werner B ( August 2009 ) . `` ( Skin biopsy and its histopathologic analysis : Why ? What for ? How ? Part I ) '' . An Bras Dermatol ( in Portuguese ) . 84 ( 4 ) : 391 -- 95 . PMID 19851671 .   Jump up ^ Werner B ( October 2009 ) . `` ( Skin biopsy with histopathologic analysis : why ? what for ? how ? part II ) '' . An Bras Dermatol ( in Portuguese ) . 84 ( 5 ) : 507 -- 13 . doi : 10.1590 / S0365 - 05962009000500010 . PMID 20098854 .   Jump up ^ Xiaowei Xu ; Elder , David A. ; Rosalie Elenitsas ; Johnson , Bernett L. ; Murphy , George E. ( 2008 ) . Lever 's Histopathology of the Skin . Hagerstwon , MD : Lippincott Williams &amp; Wilkins . ISBN 0 - 7817 - 7363 - 6 .   Jump up ^ Weedon 's Skin Pathology , 2 - Volume Set : Expert Consult -- Online and Print . Edinburgh : Churchill Livingstone. 2009 . ISBN 0 - 7020 - 3941 - 1 .   Jump up ^ Fernando Alfageme , Cerezo E , Roustan G. `` Real - Time Elastography in Inflammatory Skin Diseases : A Primer Ultrasound '' in Medicine &amp; Biology , Volume 41 , Issue 4 , Supplement , April 2015 , pp. S82 -- S83   ^ Jump up to : Burns , Tony ; et al. ( 2006 ) Rook 's Textbook of Dermatology CD - ROM . Wiley - Blackwell . ISBN 1 - 4051 - 3130 - 6 .   Jump up ^ Paus R , Cotsarelis G ( 1999 ) . `` The biology of hair follicles '' . N Engl J Med. 341 ( 7 ) : 491 -- 97 . doi : 10.1056 / NEJM199908123410706 . PMID 10441606 .   Jump up ^ Goldsmith , Lowell A. ( 1983 ) . Biochemistry and physiology of the skin . Oxford University Press . ISBN 0 - 19 - 261253 - 0 .   Jump up ^ Fuchs E ( February 2007 ) . `` Scratching the surface of skin development '' . Nature . 445 ( 7130 ) : 834 -- 42 . doi : 10.1038 / nature05659 . PMC 2405926 . PMID 17314969 .   Jump up ^ Fuchs E , Horsley V ( April 2008 ) . `` More than one way to skin '' . Genes Dev. 22 ( 8 ) : 976 -- 85 . doi : 10.1101 / gad. 1645908 . PMC 2732395 . PMID 18413712 .   ^ Jump up to : Wolff , Klaus Dieter ; et al. ( 2008 ) . Fitzpatrick 's Dermatology in General Medicine . McGraw - Hill Medical . ISBN 0 - 07 - 146690 - 8 .   Jump up ^ `` Skin Anatomy '' . Medscape . Retrieved 3 June 2013 .   Jump up ^ Bolognia , Jean L. ; et al. ( 2007 ) . Dermatology . St. Louis : Mosby . ISBN 1 - 4160 - 2999 - 0 .   ^ Jump up to : Rapini , Ronald P. ( 2005 ) . Practical dermatopathology . Elsevier Mosby . ISBN 0 - 323 - 01198 - 5 .   Jump up ^ Grant - Kels , JM ( 2007 ) . Color Atlas of Dermatopathology ( Dermatology : Clinical &amp; Basic Science ) . Informa Healthcare . p. 163 . ISBN 0 - 8493 - 3794 - 1 .   Jump up ^ Ryan , T ( 1991 ) . `` Cutaneous Circulation '' . In Goldsmith , Lowell A. Physiology , biochemistry , and molecular biology of the skin ( 2nd ed . ) . New York : Oxford University Press . p. 1019 . ISBN 0 - 19 - 505612 - 4 .   Jump up ^ Swerlick , RA ; Lawley , TJ ( January 1993 ) . `` Role of microvascular endothelial cells in inflammation '' . J. Invest . Dermatol. 100 ( 1 ) : 111S -- 115S . doi : 10.1038 / jid. 1993.33 . PMID 8423379 .   Jump up ^ `` ecognizing Neoplastic Skin Lesions : A Photo Guide '' . American Family Physician . Retrieved 3 June 2013 .   ^ Jump up to : Callen , Jeffrey ( 2000 ) . Color atlas of dermatology . Philadelphia : W.B. Saunders . ISBN 0 - 7216 - 8256 - 1 .   ^ Jump up to : James , William D. ; et al. ( 2006 ) . Andrews ' Diseases of the Skin : Clinical Dermatology . Saunders Elsevier . ISBN 0 - 7216 - 2921 - 0 .   ^ Jump up to : Fitzpatrick , Thomas B. ; Klauss Wolff ; Wolff , Klaus Dieter ; Johnson , Richard R. ; Suurmond , Dick ; Richard Suurmond ( 2005 ) . Fitzpatrick 's color atlas and synopsis of clinical dermatology . New York : McGraw - Hill Medical Pub . Division . ISBN 0 - 07 - 144019 - 4 .   ^ Jump up to : Elsevier , Dorland 's Illustrated Medical Dictionary , Elsevier .   ^ Jump up to : Cotran , Ramzi S. ; Kumar , Vinay ; Fausto , Nelson ; Nelso Fausto ; Robbins , Stanley L. ; Abbas , Abul K. ( 2005 ) . Robbins and Cotran pathologic basis of disease . St. Louis , Mo : Elsevier Saunders . ISBN 0 - 7216 - 0187 - 1 .   Jump up ^ `` Description of Skin Lesions '' . The Merk Manual . Retrieved 3 June 2013 .              Dermatitis and eczema ( L20 -- L30 , 690 -- 693,698 )     Atopic dermatitis     Besnier 's prurigo       Seborrheic dermatitis     Pityriasis simplex capillitii   Cradle cap       Contact dermatitis ( allergic , irritant )     plants : Urushiol - induced contact dermatitis   African blackwood dermatitis   Tulip fingers     other : Abietic acid dermatitis   Diaper rash   Airbag dermatitis   Baboon syndrome   Contact stomatitis   Protein contact dermatitis       Eczema     Autoimmune estrogen dermatitis   Autoimmune progesterone dermatitis     Breast eczema   Ear eczema   Eyelid dermatitis   Topical steroid addiction   Hand eczema   Chronic vesiculobullous hand eczema   Hyperkeratotic hand dermatitis       Autosensitization dermatitis / Id reaction   Candidid   Dermatophytid   Molluscum dermatitis     Circumostomy eczema   Dyshidrosis   Juvenile plantar dermatosis   Nummular eczema   Nutritional deficiency eczema   Sulzberger -- Garbe syndrome   Xerotic eczema       Pruritus / Itch / Prurigo     Lichen simplex chronicus / Prurigo nodularis     by location : Pruritus ani   Pruritus scroti   Pruritus vulvae   Scalp pruritus     Drug - induced pruritus   Hydroxyethyl starch - induced pruritus     Senile pruritus   Aquagenic pruritus   Aquadynia       Adult blaschkitis   due to liver disease   Biliary pruritus   Cholestatic pruritus     Prion pruritus   Prurigo pigmentosa   Prurigo simplex   Puncta pruritica   Uremic pruritus       Other     substances taken internally : Bromoderma   Fixed drug reaction     Nummular dermatitis   Pityriasis alba   Papuloerythroderma of Ofuji                 Disorders of skin appendages ( L60 -- L75 , 703 -- 706 )     Nail     thickness : Onychogryphosis   Onychauxis     color : Beau 's lines   Yellow nail syndrome   Leukonychia   Azure lunula     shape : Koilonychia   Nail clubbing     behavior : Onychotillomania   Onychophagia     other : Ingrown nail   Anonychia     ungrouped : Paronychia   Acute   Chronic     Chevron nail   Congenital onychodysplasia of the index fingers   Green nails   Half and half nails   Hangnail   Hapalonychia   Hook nail   Ingrown nail   Lichen planus of the nails   Longitudinal erythronychia   Malalignment of the nail plate   Median nail dystrophy   Mees ' lines   Melanonychia   Muehrcke 's lines   Nail -- patella syndrome   Onychoatrophy   Onycholysis   Onychomadesis   Onychomatricoma   Onychomycosis   Onychophosis   Onychoptosis defluvium   Onychorrhexis   Onychoschizia   Platonychia   Pincer nails   Plummer 's nail   Psoriatic nails   Pterygium inversum unguis   Pterygium unguis   Purpura of the nail bed   Racquet nail   Red lunulae   Shell nail syndrome   Splinter hemorrhage   Spotted lunulae   Staining of the nail plate   Stippled nails   Subungual hematoma   Terry 's nails   Twenty - nail dystrophy       Hair      Hair loss / Baldness     noncicatricial alopecia : Alopecia   areata   totalis   universalis   Ophiasis       Androgenic alopecia ( male - pattern baldness )   Hypotrichosis   Telogen effluvium   Traction alopecia   Lichen planopilaris   Trichorrhexis nodosa   Alopecia neoplastica   Anagen effluvium   Alopecia mucinosa     cicatricial alopecia : Pseudopelade of Brocq   Central centrifugal cicatricial alopecia   Pressure alopecia   Traumatic alopecia   Tumor alopecia   Hot comb alopecia   Perifolliculitis capitis abscedens et suffodiens   Graham - Little syndrome   Folliculitis decalvans     ungrouped : Triangular alopecia   Frontal fibrosing alopecia   Marie Unna hereditary hypotrichosis       Hypertrichosis     Hirsutism   Acquired   localised   generalised   patterned     Congenital   generalised   localised   X-linked     Prepubertal       Acneiform eruption      Acne     Acne vulgaris   Acne conglobata   Acne miliaris necrotica   Tropical acne   Infantile acne / Neonatal acne   Excoriated acne   Acne fulminans   Acne medicamentosa ( e.g. , steroid acne )   Halogen acne   Iododerma   Bromoderma   Chloracne     Oil acne   Tar acne   Acne cosmetica   Occupational acne   Acne aestivalis   Acne keloidalis nuchae   Acne mechanica   Acne with facial edema   Pomade acne   Acne necrotica   Blackhead   Lupus miliaris disseminatus faciei       Rosacea     Perioral dermatitis   Granulomatous perioral dermatitis     Phymatous rosacea   Rhinophyma   Blepharophyma   Gnathophyma   Metophyma   Otophyma     Papulopustular rosacea   Lupoid rosacea   Erythrotelangiectatic rosacea   Glandular rosacea   Gram - negative rosacea   Steroid rosacea   Ocular rosacea   Persistent edema of rosacea   Rosacea conglobata   variants   Periorificial dermatitis   Pyoderma faciale         Ungrouped     Granulomatous facial dermatitis   Idiopathic facial aseptic granuloma   Periorbital dermatitis   SAPHO syndrome          Follicular cysts     `` Sebaceous cyst ''   Epidermoid cyst   Trichilemmal cyst     Steatocystoma   simplex   multiplex     Milia       Inflammation     Folliculitis   Folliculitis nares perforans   Tufted folliculitis     Pseudofolliculitis barbae     Hidradenitis   Hidradenitis suppurativa   Recurrent palmoplantar hidradenitis   Neutrophilic eccrine hidradenitis         Ungrouped     Acrokeratosis paraneoplastica of Bazex   Acroosteolysis   Bubble hair deformity   Disseminate and recurrent infundibulofolliculitis   Erosive pustular dermatitis of the scalp   Erythromelanosis follicularis faciei et colli   Hair casts   Hair follicle nevus   Intermittent hair -- follicle dystrophy   Keratosis pilaris atropicans   Kinking hair   Koenen 's tumor   Lichen planopilaris   Lichen spinulosus   Loose anagen syndrome   Menkes kinky hair syndrome   Monilethrix   Parakeratosis pustulosa   Pili ( Pili annulati   Pili bifurcati   Pili multigemini   Pili pseudoannulati   Pili torti )   Pityriasis amiantacea   Plica neuropathica   Poliosis   Rubinstein -- Taybi syndrome   Setleis syndrome   Traumatic anserine folliculosis   Trichomegaly   Trichomycosis axillaris   Trichorrhexis ( Trichorrhexis invaginata   Trichorrhexis nodosa )   Trichostasis spinulosa   Uncombable hair syndrome   Wooly hair   Wooly hair nevus          Sweat glands      Eccrine     Miliaria   Colloid milium   Miliaria crystalline   Miliaria profunda   Miliaria pustulosa   Miliaria rubra   Occlusion miliaria   Postmiliarial hypohidrosis     Granulosis rubra nasi   Ross ' syndrome   Anhidrosis   Hyperhidrosis   Generalized   Gustatory   Palmoplantar         Apocrine     Body odor   Chromhidrosis   Fox -- Fordyce disease       Sebaceous     Sebaceous hyperplasia                    Diseases of the skin and appendages by morphology     Growths      Epidermal     wart   callus   seborrheic keratosis   acrochordon   molluscum contagiosum   actinic keratosis   squamous - cell carcinoma   basal - cell carcinoma   Merkel - cell carcinoma   nevus sebaceous   trichoepithelioma       Pigmented     Freckles   lentigo   melasma   nevus   melanoma       Dermal and subcutaneous     epidermal inclusion cyst   hemangioma   dermatofibroma ( benign fibrous histiocytoma )   keloid   lipoma   neurofibroma   xanthoma   Kaposi 's sarcoma   infantile digital fibromatosis   granular cell tumor   leiomyoma   lymphangioma circumscriptum   myxoid cyst          Rashes      With epidermal involvement      Eczematous     contact dermatitis   atopic dermatitis   seborrheic dermatitis   stasis dermatitis   lichen simplex chronicus   Darier 's disease   glucagonoma syndrome   langerhans cell histiocytosis   lichen sclerosus   pemphigus foliaceus   Wiskott -- Aldrich syndrome   Zinc deficiency       Scaling     psoriasis   tinea ( corporis   cruris   pedis   manuum   faciei )   pityriasis rosea   secondary syphilis   mycosis fungoides   systemic lupus erythematosus   pityriasis rubra pilaris   parapsoriasis   ichthyosis       Blistering     herpes simplex   herpes zoster   varicella   bullous impetigo   acute contact dermatitis   pemphigus vulgaris   bullous pemphigoid   dermatitis herpetiformis   porphyria cutanea tarda   epidermolysis bullosa simplex       Papular     scabies   insect bite reactions   lichen planus   miliaria   keratosis pilaris   lichen spinulosus   transient acantholytic dermatosis   lichen nitidus   pityriasis lichenoides et varioliformis acuta       Pustular     acne vulgaris   acne rosacea   folliculitis   impetigo   candidiasis   gonococcemia   dermatophyte   coccidioidomycosis   subcorneal pustular dermatosis       Hypopigmented     tinea versicolor   vitiligo   pityriasis alba   postinflammatory hyperpigmentation   tuberous sclerosis   idiopathic guttate hypomelanosis   leprosy   hypopigmented mycosis fungoides          Without epidermal involvement      Red      Blanchable Erythema      Generalized     drug eruptions   viral exanthems   toxic erythema   systemic lupus erythematosus       Localized     cellulitis   abscess   boil   erythema nodosum   carcinoid syndrome   fixed drug eruption       Specialized     urticaria   erythema ( multiforme   migrans   gyratum repens   annulare centrifugum   ab igne )          Nonblanchable Purpura      Macular     thrombocytopenic purpura   actinic / solar purpura       Papular     disseminated intravascular coagulation   vasculitis             Indurated     scleroderma / morphea   granuloma annulare   lichen sclerosis et atrophicus   necrobiosis lipoidica             Miscellaneous disorders      Ulcers       Hair     telogen effluvium   androgenic alopecia   alopecia areata   systemic lupus erythematosus   tinea capitis   loose anagen syndrome   lichen planopilaris   folliculitis decalvans   acne keloidalis nuchae       Nail     onychomycosis   psoriasis   paronychia   ingrown nail       Mucous membrane     Aphthous stomatitis   oral candidiasis   lichen planus   leukoplakia   pemphigus vulgaris   mucous membrane pemphigoid   cicatricial pemphigoid   herpesvirus   coxsackievirus   syphilis   systemic histoplasmosis   squamous - cell carcinoma         Retrieved from `` https://en.wikipedia.org/w/index.php?title=Cutaneous_condition&amp;oldid=808661086 '' Categories :   Cutaneous conditions   Hidden categories :   CS1 French - language sources ( fr )   CS1 Portuguese - language sources ( pt )           Talk                                           Contents                   About Wikipedia                                                   বাংলা   Català   Deutsch   Español   Euskara   فارسی   Français   </t>
    </r>
    <r>
      <rPr>
        <sz val="11"/>
        <color rgb="FF000000"/>
        <rFont val="Noto Sans CJK SC"/>
        <family val="2"/>
      </rPr>
      <t xml:space="preserve">한국어   </t>
    </r>
    <r>
      <rPr>
        <sz val="11"/>
        <color rgb="FF000000"/>
        <rFont val="Calibri"/>
        <family val="0"/>
        <charset val="1"/>
      </rPr>
      <t xml:space="preserve">हिन्दी   Ido   Italiano   עברית   Кыргызча   മലയാളം   ਪੰਜਾਬੀ   Português   Русский   தமிழ்   Тоҷикӣ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4 November 2017 , at 08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</si>
  <si>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skin loss that is confined to epidermal tissue is called a</t>
  </si>
  <si>
    <t xml:space="preserve"> Erosion : An erosion is a discontinuity of the skin exhibiting incomplete loss of the epidermis , a lesion that is moist , circumscribed , and usually depressed . </t>
  </si>
  <si>
    <t xml:space="preserve">Do Wah Diddy Diddy - wikipedia  Do Wah Diddy Diddy  Jump to : navigation , search    `` Do Wah Diddy Diddy ''         Single by Manfred Mann     from the album The Manfred Mann Album     B - side   `` What You Gonna Do ? ''     Released   10 July 1964     Format   Vinyl record     Recorded   11 June 1964     Genre   Pop rock     Length   2 : 23     Label   HMV POP 1320 ( UK ) Ascot ( US ) Capitol ( Canada )     Songwriter ( s )   Jeff Barry , Ellie Greenwich     Producer ( s )   John Burgess     Manfred Mann singles chronology        `` Hubble Bubble ( Toil and Trouble ) '' ( 1964 )   `` Do Wah Diddy Diddy '' ( 1964 )   `` Sha La La '' ( 1964 )           `` Hubble Bubble ( Toil and Trouble ) '' ( 1964 )   `` Do Wah Diddy Diddy '' ( 1964 )   `` Sha La La '' ( 1964 )        `` Do Wah Diddy Diddy '' is a song written by Jeff Barry and Ellie Greenwich and originally recorded in 1963 , as `` Do - Wah - Diddy '' , by the American vocal group The Exciters made internationally famous by a version by the British band Manfred Mann .     Contents  ( hide )   1 Manfred Mann version   2 Other versions   3 In popular culture   4 See also   5 References   6 External links      Manfred Mann version ( edit )   It was soon covered by British R&amp;B , beat and pop band Manfred Mann . Manfred Mann 's version , which was more commercially successful , was recorded on 11 June 1964 , released on 10 July , and spent two weeks No. 1 in the UK Singles Chart in August , and two weeks at the No. 1 spot in the U.S. Billboard Hot 100 in October .   Other versions ( edit )   The song has been covered many times , notably by DJ Ötzi whose version titled `` Do Wah Diddy '' peaked at # 9 on the Ö3 Austria Top 40 , as well as charting in Germany , Switzerland , the UK and Ireland . Dutch girl group Dolly Dots recorded the song in 1982 .   American hip - hop group 2 Live Crew covers a friendly parody version of that song from the 1988 album Move Somethin ' .   In popular culture ( edit )   It was used as the theme song for Ang TV , a famous youth - oriented variety show in the Philippines from 1992 -- 1997 .   See also ( edit )    List of number - one singles from the 1960s ( UK )   List of Billboard Hot 100 number - one singles of 1964    References ( edit )    ^ Jump up to : Rice , Jo ( 1982 ) . The Guinness Book of 500 Number One Hits ( 1st ed . ) . Enfield , Middlesex : Guinness Superlatives Ltd. p. 82 . ISBN 0 - 85112 - 250 - 7 .   Jump up ^ Roberts , David ( 2006 ) . British Hit Singles &amp; Albums ( 19th ed . ) . London : Guinness World Records Limited . p. 166 . ISBN 1 - 904994 - 10 - 5 .   Jump up ^ ( 1 ) Archived May 25 , 2006 , at the Wayback Machine .   Jump up ^ `` All the Number One Singles : 1964 '' . The Official Charts Company . Retrieved 13 June 2010 .   Jump up ^ Bronson , Fred ( 1992 ) . The Billboard Book of Number One Hits ( 3rd ed . ) . New York , NY : Billboard Publications , Inc. p. 158 . ISBN 0 - 8230 - 8298 - 9 .    External links ( edit )    Lyrics of this song at MetroLyrics      Preceded by `` A Hard Day 's Night '' by the Beatles   UK Singles Chart number - one single 13 August 1964 ( 2 weeks )   Succeeded by `` Have I the Right ? '' by the Honeycombs     Preceded by `` Oh , Pretty Woman '' by Roy Orbison   Billboard Hot 100 number - one single 17 October 1964 ( 2 weeks )   Succeeded by `` Baby Love '' by the Supremes       ( hide )         Manfred Mann       Manfred Mann   Mike Hugg   Mike Vickers   Tom McGuinness   Paul Jones   Mike d'Abo     Jack Bruce   Klaus Voormann   Dave Richmond       Studio albums     The Five Faces of Manfred Mann   Mann Made   As Is   Up the Junction   Mighty Garvey !       Extended play     Manfred Mann 's Cock - a-Hoop   Groovin ' with Manfred Mann   The One in the Middle   No Living Without Loving   Machines   Instrumental Asylum   As Was   Instrumental Assassination       Compilations     Mann Made Hits   Soul of Mann   What A Mann   Chapter Two : The Best of the Fontana Years   Basic : Original Hits   The Best of Manfred Mann : The Definitive Collection   The Best of the EMI Years   Manfred Mann at Abbey Road , 1963 - 1966   BBC Sessions   Very Best of Manfred Mann   The Story   Classic Masters   The Evolution of Manfred Mann   Complete Greatest Hits       UK singles     `` Why Should We Not ''   `` Cock - a-Hoop ''   `` 5 - 4 - 3 - 2 - 1 ''   `` Hubble Bubble ( Toil and Trouble ) ''   `` Ha ! Ha ! Said the Clown ''   `` Do Wah Diddy Diddy ''   `` Sha La La ''   `` Come Tomorrow ''   `` Oh No , Not My Baby ''   `` If You Gotta Go , Go Now ''   `` Pretty Flamingo ''   `` You Gave Me Somebody to Love ''   `` Just Like a Woman ''   `` Semi-Detached Suburban Mr James ''   `` Ha ! Ha ! Said the Clown ''   `` Sweet Pea ''   `` So Long , Dad ''   `` Mighty Quinn ''   `` Theme from `` Up The Junction ''   `` My Name Is Jack ''   `` Fox on the Run ''   `` Ragamuffin Man ''       Related articles     Discography   Manfred Mann Chapter Three   Manfred Mann 's Earth Band   The Manfreds      Retrieved from `` https://en.wikipedia.org/w/index.php?title=Do_Wah_Diddy_Diddy&amp;oldid=797182934 '' Categories :   1963 songs   1964 singles   Songs written by Ellie Greenwich   Songs written by Jeff Barry   Manfred Mann songs   The Exciters songs   Jan and Dean songs   Billboard Hot 100 number - one singles   UK Singles Chart number - one singles   RPM Top Singles number - one singles   His Master 's Voice singles   Capitol Records singles   Hidden categories :   Webarchive template wayback links   Articles with hAudio microformats   All articles with unsourced statements   Articles with unsourced statements from February 2007           Talk                                           Contents                   About Wikipedia                                           Deutsch   Français   Nederlands   Norsk nynorsk   Русский   Svenska   Edit links   This page was last edited on 25 August 2017 , at 12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</si>
  <si>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the song do wah diddy diddy dum diddy do</t>
  </si>
  <si>
    <t xml:space="preserve"> `` Do Wah Diddy Diddy '' is a song written by Jeff Barry and Ellie Greenwich and originally recorded in 1963 , as `` Do - Wah - Diddy '' , by the American vocal group The Exciters made internationally famous by a version by the British band Manfred Mann . </t>
  </si>
  <si>
    <r>
      <rPr>
        <sz val="11"/>
        <color rgb="FF000000"/>
        <rFont val="Calibri"/>
        <family val="0"/>
        <charset val="1"/>
      </rPr>
      <t xml:space="preserve">Hail Mary - wikipedia  Hail Mary  Jump to : navigation , search `` Ave Maria '' redirects here . For other uses , see Ave Maria ( disambiguation ) . For other uses , see Hail Mary ( disambiguation ) . The Annunciation , by Fra Angelico  The Hail Mary , also commonly called the Ave Maria ( Latin ) or Angelic Salutation , is a traditional Catholic prayer asking for the intercession of the Blessed Virgin Mary , the mother of Jesus . In Roman Catholicism , the prayer forms the basis of the Rosary and the Angelus prayers . In the Oriental Orthodox Churches , Eastern Orthodox and Eastern Catholic Churches , a similar prayer is used in formal liturgies , both in Greek and in translations . It is also used by many other groups within the catholic tradition of Christianity including Anglicans , Independent Catholics , and Old Catholics . Some Protestant denominations , such as Lutherans , also make use of a form of the prayer .   Based on the greeting of the archangel Gabriel to the Virgin Mary in the Gospel of Luke , the prayer takes different forms in various traditions . It has often been set to music .     Contents  ( hide )   1 Biblical source   2 In Western ( Latin ) tradition   3 Eastern Christian use   3.1 In Greek tradition   3.2 Slavonic versions     4 Roman Catholic use   5 Anglican use   6 Lutheran use   7 Musical settings   8 See also   9 References   10 External links      Biblical source ( edit )   The prayer incorporates two passages from Saint Luke 's Gospel : `` Hail , the Lord is with thee . '' and `` Blessed art thou amongst women and blessed is the fruit of thy womb . '' In mid-13th - century Western Europe the prayer consisted only of these words with the single addition of the name `` Mary '' after the word `` Hail '' , as is evident from the commentary of Saint Thomas Aquinas on the prayer .   The first of the two passages from Saint Luke 's Gospel is the greeting of the Angel Gabriel to Mary , originally written in Koine Greek . The opening word of greeting , χαῖρε , chaíre , here translated `` Hail '' , literally has the meaning `` rejoice '' or `` be glad '' . This was the normal greeting in the language in which Saint Luke 's Gospel is written and continues to be used in the same sense in Modern Greek . Accordingly , both `` Hail '' and `` Rejoice '' are valid English translations of the word ( `` Hail '' reflecting the Latin translation , and `` Rejoice '' reflecting the original Greek ) .   The word κεχαριτωμένη , ( kecharitōménē ) , here translated as `` full of grace '' , admits of various translations . Grammatically , the word is the feminine perfect passive participle of the verb χαριτόω , charitóō , which means `` to show , or bestow with , grace '' and here , in the passive voice , `` to have grace shown , or bestowed upon , one '' .   The text also appears in the account of the annunciation contained in the apocryphal Infancy Gospel of Matthew , in chapter 9 .   The second passage is taken from Elizabeth 's greeting to Mary in Luke 1 : 42 , `` Blessed art thou among women , and blessed is the fruit of thy womb . '' Taken together , these two passages are the two times Mary is greeted in Chapter 1 of Luke .   In Western ( Latin ) tradition ( edit )         Part of a series on the     Mariology of the Catholic Church     The Immaculate Conception , by Murillo     Overview ( show )   Prayers   Antiphons   Hymns to Mary   Devotional practices       Prayers ( show )   Angelus   Fátima Prayers   Flos Carmeli   Hail Mary   Hail Mary of Gold   Immaculata prayer   Magnificat   Mary , Mother of Grace   Mary Our Queen   Memorare   Sub tuum praesidium       Antiphons ( show )   Alma Redemptoris Mater   Ave Maris Stella   Ave Regina Caelorum   Salve Regina       Hymns to Mary ( show )   Hail Queen of Heaven , the Ocean Star   Immaculate Mary   Lo , How a Rose E'er Blooming   O Sanctissima   Regina Coeli   Stabat Mater       Devotional practices ( show )   Acts of Reparation   Consecration to Mary   First Saturdays   Rosary   Seven Joys of the Virgin   Seven Sorrows of Mary   Three Hail Marys   Litany of the Blessed Virgin Mary       Catholicism portal                 After considering the use of similar words in Syriac , Greek and Latin in the 6th century , Herbert Thurston , writing in the Catholic Encyclopedia concludes that `` there is little or no trace of the Hail Mary as an accepted devotional formula before about 1050 '' , ( though a later pious tale attributed to Ildephonsus of Toledo ( fl . 7th century ) the use of the first part , namely the angel 's greeting Mary , without that of Elizabeth , as a prayer ) . All the evidence suggests that it took its rise from certain versicles and responsories occurring in the Little Office of the Blessed Virgin Mary , which just at that time was coming into favour among the monastic orders .   Saint Thomas Aquinas spoke of the name `` Mary '' as the only word added at his time to the Biblical text , to indicate the person who was `` full of grace . '' But at about the same time the name `` Jesus '' was also added , to specify who was meant by the phrase `` the fruit of thy womb . ''   The Western version of the prayer is thus not derived from the Greek version : even the earliest Western forms have no trace of the Greek version 's phrases : `` Mother of God and Virgin '' and `` for thou hast given birth to the Saviour of our souls . ''   To the greeting and praise of Mary of which the prayer thus consisted , a petition `` Holy Mary , Mother of God , pray for us sinners now and at the hour of our death . Amen . '' was added later . The petition first appeared in print in 1495 in Girolamo Savonarola 's `` Esposizione sopra l'Ave Maria . '' The `` Hail Mary '' prayer in Savonarola 's exposition reads : `` Hail Mary , full of grace , the Lord is with thee ; blessed art thou amongst women , and blessed is the fruit of thy womb , Jesus . Holy Mary , Mother of God , pray for us sinners , now and at the hour of our death . Amen ''   The petition was commonly added around the time of the Council of Trent . The Dutch Jesuit St. Petrus Canisius is credited with adding in 1555 in his Catechism the sentence   Holy Mary , Mother of God , pray for us sinners .   Eleven years later , the sentence was included in the Catechism of the Council of Trent of 1566 . The `` Catechism of the Council of Trent '' says that to the first part of the Hail Mary , by which `` we render to God the highest praise and return Him most gracious thanks , because He has bestowed all His heavenly gifts on the most holy Virgin ... the Church of God has wisely added prayers and an invocation addressed to the most holy Mother of God ... we should earnestly implore her help and assistance ; for that she possesses exalted merits with God , and that she is most desirous to assist us by her prayers , no one can doubt without impiety and wickedness . ''  The beginning of the verse in historiated letters in the book of hours Heures de Charles d'Angoulême  The current Latin version is thus as follows , with accents added to indicate how the prayer is said in the current ecclesiastical pronunciation of Latin :      Áve María , grátia pléna , Dóminus técum . Benedícta tū in muliéribus , et benedíctus frúctus véntris túi , Iésus . Sáncta María , Máter Déi , óra pro nóbis peccatóribus , nunc et in hóra mórtis nóstrae . Ámen .     Hail Mary , full of grace , the Lord is with thee . Blessed art thou amongst women , and blessed is the fruit of thy womb , Jesus . Holy Mary , Mother of God , pray for us sinners , now and at the hour of our death . Amen .            On account of its connection with the Angelus , the Ave Maria was often inscribed on bells .   Eastern christian use ( edit )   In Greek tradition ( edit )   The Hail Mary prayer of the Eastern Orthodox Church and Eastern Catholic Churches is in the form      Θεοτόκε Παρθένε , χαῖρε , κεχαριτωμένη Μαρία , ὁ Κύριος μετὰ σοῦ . εὐλογημένη σὺ ἐν γυναιξί , καὶ εὐλογημένος ὁ καρπὸς τῆς κοιλίας σου , ὅτι Σωτῆρα ἔτεκες τῶν ψυχῶν ἡμῶν .     God - bearing Virgin , rejoice , grace - filled Mary , the Lord with thee . Praised thou among women , and praised the fruit of thy womb , because it was the Saviour of our souls that thou borest .            Another English rendering of the same text reads :   Mother of God and Virgin , rejoice , Mary full of grace , the Lord is with thee . Blessed art thou amongst women , and blessed is the fruit of thy womb , for thou hast given birth to the Saviour of our souls .   To the Biblical texts this adds the opening invocation `` Theotokos Virgin , '' the name `` Mary '' and the concluding `` because it was the Saviour of our souls that thou bearest '' .   In the Eastern Orthodox and Byzantine Rite Eastern Catholic churches , the prayer is very common in the Greek form indicated above , or in translations from it . Although it is not said quite as often as in the West , it is well known and often used and appears in several canons of prayer . It is typically sung thrice at the end of Vespers during an All - Night Vigil , as well as occurring many times in the course of daily prayer .   Slavonic versions ( edit )   There exist two variant versions in Church Slavonic :     Cyrillic   Romanization   English Translation      Богородице дѣво радѹйсѧ ѡбрадованнаѧ Марїе Господь съ тобою благословена ты въ женахъ , и благословенъ плодъ чрева твоегѡ , Якѡ родила еси Христа Спаса , Избавителѧ дѹшамъ нашимъ .     Bogoroditse Djevo , raduisya , Obradovannaya Marie , Gospodh s ' toboyu . Blagoslovena tyh v ' zhenach , Y blagosloven plod chreva Tvoego , Yako rodila esi Christa Spasa , Izbavitelya dusham nashim .     Theotokos Virgin , rejoice , ( or : Rejoice , O Virgin Theotokos ) Mary full of grace , the Lord is with thee . Blessed art thou amongst women , and blessed is the fruit of thy womb , for thou hast borne Christ the Saviour , the Deliverer of our souls .       Богородице дѣво , радѹйсѧ , Благодатнаѧ Марїе , Господь съ тобою : благословена Ты въ женахъ , и благословенъ плодъ чрева Твоегѡ ; якѡ Спаса родила еси дѹшъ нашихъ .     Bogoroditse Djevo , raduisya , Blagodatnaya Marie , Gospod s ' toboyu : Blagoslovyena tyh v ' zhenakh , Y blagoslovyen plod chreva Tvoyego , yako Spasa rodila yesi dush nashikh .     Theotokos Virgin , rejoice , ( or : Rejoice , O Virgin Theotokos ) Mary full of grace , The Lord is with thee . Blessed art thou amongst women , and blessed is the fruit of thy womb , for thou hast borne the Saviour of our souls .     Church Slavonic Bogorodice děvo in traditional Cyrillic script  The first is the older , and remains in use by the Old Believers as well as those who follow the Ruthenian recension ( among them the Ukrainian Greek - Catholic Church and the Ruthenian Catholic Church ) . The second , corresponding more closely to the Greek , appeared in 1656 under the liturgical reforms of Patriarch Nikon of Moscow , and is in use by the Russian Orthodox Church , the Serbian Orthodox Church , the Bulgarian Orthodox Church and the Ukrainian Orthodox Church ) .   Roman Catholic use ( edit )   The Hail Mary is the central part of the Angelus , a devotion generally recited thrice daily by many Catholics , as well as broad &amp; high church Anglicans , and Lutherans who usually omit the second half .   The Hail Mary is the essential element of the Rosary , a prayer method in use especially among Roman Rite ( Western ) Catholics . The Eastern Catholic Churches say a similar version .   The Rosary consists traditionally of three sets of five Mysteries , each mystery consisting of one `` decade '' or ten Ave Marias . The 150 Ave Marias of the Rosary thus echo the 150 psalms . These meditate upon events of Jesus ' life during his childhood ( Joyful Mysteries ) , Passion ( Sorrowful Mysteries ) , and from his Resurrection onwards ( Glorious Mysteries ) . Another set , the Luminous Mysteries , is of comparatively recent origin , having been proposed by Pope John Paul II in 2002 . Each of these Mysteries is prayed as a decade ( a unit of ten ) , consisting of one Our Father ( Pater Noster or The Lord 's Prayer ) , ten Hail Marys , and one ' Glory Be ' ( Gloria Patri ) ( Doxology ) . The restatement of the prayers locks one into fixed language , having the effect of freeing the conscious mind so that the recitation may come more from the heart and not the head . Pope Paul V said that `` the Rosary is a treasure of graces '' . Even for those souls who pray without meditating , the simple act of taking the beads in hand to pray is already a remembrance of God -- of the supernatural `` .   Anglican use ( edit )   Anglicans also employ the Hail Mary in devotional practice . Traditional Anglicism uses the prayer in much the same way as Roman Catholics , including use of the Rosary and the recitation of the Angelus . Many Anglican churches contain statues of the Virgin Mary , and the faithful use devotional prayers including the Hail Mary .   Lutheran use ( edit )   Martin Luther , the founder of Lutheranism , believed that Mary should be held in highest reverence . Although he did not agree with Mary 's veneration , he did advocate the use of the first half of the Hail Mary ( that is , `` Hail Mary , full of grace , the Lord is with thee . Blessed art thou amongst women and blessed is the fruit of thy womb , Jesus . '' ) as a sign of reverence for and devotion to the Virgin .   Musical settings ( edit )  See also : Roman Catholic Marian music  The Hail Mary , or Ave Maria in Latin , has been set to music numerous times . Arguably the two most famous settings are :    the version by Franz Schubert ( 1825 ) ; originally composed as Ave Maria ( Ellens Gesang III , D839 , Op 52 no 6 , 1825 ) , Ellen 's third song in English , as part of his Opus 52 , a setting of seven songs from Walter Scott 's popular epic poem `` The Lady of the Lake '' , and was translated into German by Adam Storck , used in the final segment of Walt Disney 's Fantasia , opening with the greeting `` Ave Maria '' ( `` Hail Mary '' ) , but not a setting of the traditional Ave Maria prayer ; but nowadays commonly sung with the words of the traditional prayer .   the version by Charles Gounod ( 1859 ) , adding melody and words to Johann Sebastian Bach 's first prelude from The Well - Tempered Clavier    Anton Bruckner wrote three different settings , the best known being a motet for seven voices . Antonín Dvořák 's version was composed in 1877 . Another setting of Ave Maria was written by Giuseppe Verdi for his 1887 opera Otello . Russian composer César Cui , who was raised Roman Catholic , set the text at least three times : as the `` Ave Maria '' , op . 34 , for one or two women 's voices with piano or harmonium ( 1886 ) , and as part of two of his operas : Le flibustier ( premiered 1894 ) and Mateo Falcone ( 1907 ) .   Settings also exist by Mozart , Liszt , Byrd , Elgar , Saint - Saëns , Rossini , Brahms , Stravinsky , Lauridsen , Franz Biebl , David Conte and Perosi as well as numerous versions by less well - known composers , such as J.B. Tresch and Ninel Samokhvalova .       `` Ave Maria '' The prayer as a traditional Latin Gregorian chant `` Ave Maria '' The second of Anton Bruckner 's three settings of `` Ave Maria ''     Problems playing these files ? See media help .     In Slavonic , the text was also a popular subject for setting to music by Eastern European composers . These include Rachmaninov , Stravinsky , Bortniansky , Vavilov ( his version often misattributed to Caccini ) , Mikhail Shukh , Lyudmyla Hodzyumakha and others .   This text was also very often set by composers in the Renaissance , including Josquin des Prez , Orlando di Lasso , and Giovanni Pierluigi da Palestrina . Before the Council of Trent there were actually different versions of the text , so the earlier composers in the period sometimes set versions of the text different from the ones shown above . Josquin des Prez , for example , himself set more than one version of the Ave Maria . Here is the text of his motet Ave Maria ... Virgo serena , which begins with the first six words above and continues with a poem in rhymed couplets .  Hail Mary ( Annunciation ) , Les Très Riches Heures du duc de Berry , Chantilly Museum  Ave Maria , gratia plena , Dominus tecum , Virgo serena . Ave cuius conceptio , solemni plena gaudio , celestia , terrestria , nova replet letitia . Ave cuius nativitas , nostra fuit solemnitas , ut lucifer lux oriens verum solem preveniens . Ave pia humilitas , sine viro fecunditas , cuius annunciatio nostra fuit salvatio . Ave vera virginitas , immaculata castitas , cuius purificatio nostra fuit purgatio . Ave preclara omnibus angelicis virtutibus , cuius fuit assumptio nostra glorificatio . O Mater Dei , memento mei . Amen .   The much anthologized Ave Maria by Jacques Arcadelt is actually a 19th - century arrangement by Pierre - Louis Dietsch , loosely based on Arcadelt 's three part madrigal Nous voyons que les hommes .   Even though Protestant Christianity generally avoids any special veneration of Mary , access to the beautiful and culturally significant tradition of Marian music is facilitated by substitution texts . These texts are intended to replace the words of the standard `` Ave Maria '' , preserving word boundaries and syllable stresses , so that music written for the former text can be sung with the latter . An example is the Christ - centric Ave Redemptor :       English translation      Ave redemptor , Domine Iesus : Cuius ob opus Superatur mors , enim salvatio Nunc inundavit super universam terram . Sancte redemptor , reputata Fides est nobis peccatoribus , Nunc et in morte , ad iustitiam .     Hail the Redeemer , Lord Jesus , By whose work Death is defeated , for salvation Has now overflowed upon all of the world . Holy redeemer , our faith Is reckoned to us sinners , Now and in death , as righteousness .      A famous setting for the Orthodox version of the prayer in Church Slavonic ( Bogoroditsye Djevo ) was composed by Sergei Rachmaninoff in his All - Night Vigil .   See also ( edit )         Book : Mary and Mariology           Wikisource has original text related to this article : Hail Mary         Wikisource has original text related to this article : Hail Mary translations      Devotion of the Three Hail Marys   Hail Mary pass   Hymns to Mary   Marian apparitions   Marian devotions   Marian shrine   Mariology , theological study of Mary   Mary , the mother of Jesus   Prayer beads   Rosary   The Glories of Mary   Theotokos     Christianity portal   Religion portal    References ( edit )    Jump up ^ Luke 1 : 28 : Χαῖρε , κεχαριτωμένη , ὁ Κύριος μετὰ σοῦ / Chaire , kecharitōmenē , o Kyrios meta sou ) .   Jump up ^ Luke 1 : 42 : Εὐλογημένη σὺ ἐν γυναιξὶν καὶ εὐλογημένος ὁ καρπὸς τῆς κοιλίας σου / eulogēmenē su en gynaixin kai eulogēmenos o karpos tēs koilias sou ) .   Jump up ^ `` Saint Thomas Aquinas on the Hail Mary '' , Catholic Dossier , May - June 1996 , Ignatius Press , Snohomish , Washington .   Jump up ^ Liddell and Scott , A Greek -- English Lexicon ( 1 ) .   ^ Jump up to : Thurston , Herbert ( 1910 ) , `` Hail Mary '' , The Catholic Encyclopedia , VII , New York : Robert Appleton Company , retrieved 2007 - 09 - 19   Jump up ^ British Library - Rare Books Department , shelfmark : IA 27542 .   Jump up ^ The prayer is printed in latin on the first page of the exposition and reads : `` Ave Maria gratia plena Dominus tecum Benedicta tu in mulieribus et benedictus Fructus uentris tui Iesus sancta Maria mater Dei ora pro nobis peccatoribus nunc et in hora mortis Amen '' .   Jump up ^ This sentence appeared for the first time in his catechism of 1555 : Petrus Canisius , CATECHISMI Latini et Germanici , I , ( ed Friedrich Streicher , SPC CATECHISMI Latini et Germanici , I , Roma , Munich , 1933 , I , 12 .   Jump up ^ The catechism of the Council of Trent by Theodore Alois Buckley 2010 ISBN 1 - 177 - 70694 - 6 Part IV ( 2 ) .   Jump up ^ With Pope John XXIII 's edition of the Roman Missal , the use of the letter J in printing Latin was dropped even in liturgical books , which had preserved that usage long after it ceased in the printing of ordinary Latin texts , including documents of the Holy See .   Jump up ^ Nicholas Danielides , Archon Lambadarios .   Jump up ^ `` Mother of God '' is not a literal translation of the Greek word Theotokos , which has very specific theological implications . `` Mother of God '' is the literal translation of a different Greek term , Μήτηρ Θεού ( Mitir Theou ) .   Jump up ^ Society of Mary .   Jump up ^ Lehmann , H. , ed . ' ' Luther 's Works , American edition ' ' , vol. 43 , p. 40 , Fortress , 1968 .   Jump up ^ Luther 's Works , 10 II , 407 -- 409 .   Jump up ^ In keeping with the principle of sola scriptura , Luther exclusively emphasized the quotation from Luke 1 : 42 , without addition .   Jump up ^ Ave Maria , D. 839 ( Schubert , Franz ) music score in Public Domain Petrucci Music Library .   Jump up ^ Franz Schubert : music and belief by Leo Black 2005 ISBN 1 - 84383 - 135 - X page 115 .    External links ( edit )       Wikimedia Commons has media related to Ave Maria .      University of Dayton Hail Mary in various languages   Audio recordings and texts of the Hail Mary and other prayers in various languages      ( hide )         Prayers of the Catholic Church     Prayers of the Mass     Agnus Dei   Confiteor   Creeds   Apostles ' Creed   Athanasian Creed   Nicene Creed     Gloria in excelsis Deo   Gloria Patri   Kyrie Eleison   Pater Noster   Sanctus   Signum Crucis         Marian prayers     Alma Redemptoris Mater   Angelus   Ave Maria   Ave Maris Stella   Ave Regina Caelorum   Fatima Prayer   Litany   Loreto     Magnificat   Maria Mater Gratiae   Memorare   Regina Coeli   Rosary   Salve Regina   Sub Tuum Praesidium   Three Hail Marys       Other prayers     Act of Contrition   Adoro te devote   Angele Dei   Anima Christi   Ave Verum Corpus   Benedictus   Chaplets   Come , Holy Spirit   Jesus Prayer   Mental prayer     Laudes Divinae   Litanies   Litany of the Saints     Morning offering   Novena   Nunc Dimittis   O Salutaris Hostia   Penitential Psalms   51 : Miserere mei   130 : De Profundis     Prayer before a Crucifix   Prayer of Saint Francis   Prayer to Saint Joseph   Prayer to Saint Michael   Requiem Aeternam   Spiritual Communion   Tantum Ergo   Te Deum   Thanksgiving after Communion   Veni Creator Spiritus   Veni Sancte Spiritus   Visit to the Blessed Sacrament   Way of the Cross         Note : For prayers listed in italics , indulgences are normally granted .   Catholicism portal        Retrieved from `` https://en.wikipedia.org/w/index.php?title=Hail_Mary&amp;oldid=843604472 '' Categories :   Christian prayer   Eastern Orthodox Mariology   Marian devotions   Marian hymns   Roman Catholic prayers   Rosary   Hidden categories :   Articles containing Ancient Greek - language text   Articles with hAudio microformats           Talk                                           Contents                   About Wikipedia                                             Wikisource       Alemannisch     Aragonés   ܐܪܡܝܐ   Armãneashti   Arpetan   Asturianu   Avañe'ẽ   Беларуская   Boarisch   Brezhoneg   Català   Cebuano   Čeština   Chavacano de Zamboanga   Corsu   Dansk   Deutsch   Eesti   Ελληνικά   Español   Esperanto   Euskara   فارسی   Français   Gaeilge   Gàidhlig   Galego   गोंयची कोंकणी / Gõychi Konknni   </t>
    </r>
    <r>
      <rPr>
        <sz val="11"/>
        <color rgb="FF000000"/>
        <rFont val="Noto Sans CJK SC"/>
        <family val="2"/>
      </rPr>
      <t xml:space="preserve">한국어   </t>
    </r>
    <r>
      <rPr>
        <sz val="11"/>
        <color rgb="FF000000"/>
        <rFont val="Calibri"/>
        <family val="0"/>
        <charset val="1"/>
      </rPr>
      <t xml:space="preserve">Հայերեն   Hrvatski   Bahasa Indonesia   Interlingua   Interlingue   Italiano   עברית   Basa Jawa   Kapampangan   ქართული   Kaszëbsczi   Kernowek   Kiswahili   Kurdî   Latina   Latviešu   Lietuvių   Limburgs   Lingála   Lumbaart   Magyar   മലയാളം   Nāhuatl   Dorerin Naoero   Nederlands   </t>
    </r>
    <r>
      <rPr>
        <sz val="11"/>
        <color rgb="FF000000"/>
        <rFont val="Noto Sans CJK SC"/>
        <family val="2"/>
      </rPr>
      <t xml:space="preserve">日本 語   </t>
    </r>
    <r>
      <rPr>
        <sz val="11"/>
        <color rgb="FF000000"/>
        <rFont val="Calibri"/>
        <family val="0"/>
        <charset val="1"/>
      </rPr>
      <t xml:space="preserve">Norsk   Norsk nynorsk   Nouormand   Occitan   Pangasinan   Polski   Português   Ripoarisch   Română   Rumantsch   Runa Simi   Русский   Shqip   Simple English   SiSwati   Slovenčina   Slovenščina   Srpskohrvatski / српскохрватски   Suomi   Svenska   Tagalog   தமிழ்   Tarandíne   ไทย   Українська   اردو   Vèneto   Tiếng Việt   </t>
    </r>
    <r>
      <rPr>
        <sz val="11"/>
        <color rgb="FF000000"/>
        <rFont val="Noto Sans CJK SC"/>
        <family val="2"/>
      </rPr>
      <t xml:space="preserve">粵語   </t>
    </r>
    <r>
      <rPr>
        <sz val="11"/>
        <color rgb="FF000000"/>
        <rFont val="Calibri"/>
        <family val="0"/>
        <charset val="1"/>
      </rPr>
      <t xml:space="preserve">Žemaitėška   </t>
    </r>
    <r>
      <rPr>
        <sz val="11"/>
        <color rgb="FF000000"/>
        <rFont val="Noto Sans CJK SC"/>
        <family val="2"/>
      </rPr>
      <t xml:space="preserve">中文  </t>
    </r>
    <r>
      <rPr>
        <sz val="11"/>
        <color rgb="FF000000"/>
        <rFont val="Calibri"/>
        <family val="0"/>
        <charset val="1"/>
      </rPr>
      <t xml:space="preserve">78 more  Edit links   This page was last edited on 30 May 2018 , at 06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</si>
  <si>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are the words to the hail mary found in the bible</t>
  </si>
  <si>
    <t xml:space="preserve"> The second passage is taken from Elizabeth 's greeting to Mary in Luke 1 : 42 , `` Blessed art thou among women , and blessed is the fruit of thy womb . '' Taken together , these two passages are the two times Mary is greeted in Chapter 1 of Luke . </t>
  </si>
  <si>
    <r>
      <rPr>
        <sz val="11"/>
        <color rgb="FF000000"/>
        <rFont val="Calibri"/>
        <family val="0"/>
        <charset val="1"/>
      </rPr>
      <t xml:space="preserve">New York City ethnic enclaves - wikipedia  New York City ethnic enclaves     Part of a series on     Ethnicity in New York City     Ethnicities ( show )  Arabs African Americans Asian Indians Bangladeshis Brazilians Caribbeans Chinese ( Fuzhounese ) Filipinos Irish Italians Japanese Jews Koreans Puerto Ricans Russians  Ukrainians     Neighborhoods ( show ) Astoria Bed - Stuy Bensonhurst Borough Park Brighton Beach Chinatown , Brooklyn Chinatown , Flushing Chinatown , Manhattan Crown Heights Curry Hill Curry Row Elmhurst Flatbush Harlem Jackson Heights Jamaica Koreatown , Manhattan Koreatown , Queens Le Petit Senegal Little Brazil Little Egypt , Astoria Little Fuzhou Little Germany Little Italy Little Manila Little Poland Little Saigon Little Spain Little Sri Lanka Little Syria Little Ukraine Loisaida Spanish Harlem Sunset Park Thirteenth Avenue Washington Heights   Ethnic enclaves                  Brooklyn 's growing Jewish community is the largest in the United States , with approximately 600,000 individuals .  Since its founding in 1625 by Dutch traders as New Amsterdam , New York City has been a major destination for immigrants of many nationalities who have formed ethnic enclaves , neighborhoods dominated by one ethnicity . Freed African American slaves also moved to New York City in the Great Migration and the later Second Great Migration and formed ethnic enclaves . These neighborhoods are set apart from the main city by differences such as food , goods for sale , or even language . Ethnic enclaves provide inhabitants security in work and social opportunities , but limit economic opportunities , do not encourage the development of English speaking , and keep immigrants in their own culture .   As of 2000 , 36 % of the population of New York City are immigrants . Jamaican Americans , Haitian Americans , Barbadian Americans , Guyanese Americans , Bahamian Americans , Grenadian Americans , Vincentian Americans and Trinidadian Americans have all formed Caribbean ethnic enclaves in New York . Asian ethnic groups with enclaves in New York include Chinese Americans , Japanese Americans , Filipino Americans , Indian Americans , Indo - Caribbean Americans , Afghan Americans , Burmese Americans , Bangladeshi Americans , Nepalese Americans , Sri Lankan Americans , Bhutanese Americans , Thai Americans , Pakistani Americans , Indonesian Americans , Malaysian Americans , Taiwanese Americans , Vietnamese Americans , Cambodian Americans and Korean Americans . European ethnic groups with ethnic enclaves include Greek Americans , Irish Americans , Italian Americans , Albanian Americans , Hungarian Americans , Polish Americans , Dutch Americans , German Americans , Ukrainian Americans and Russian Americans . Latin American groups with ethnic enclaves include Dominican Americans , Brazilian Americans , Salvadoran American , Ecuadorian American , Mexican Americans , Panamanian Americans , Colombian Americans , Peruvian Americans , Honduran Americans and Puerto Ricans . Middle Eastern ethnic groups that have formed ethnic enclaves include Palestinian Americans , Jordanian Americans , Egyptian Americans , Syrian Americans , Yemeni Americans and Lebanese Americans . There are also large enclaves of Jewish Americans , who immigrated from or whose ancestors immigrated from various countries . As many as 800 languages are spoken in New York , making it the most linguistically diverse city in the world .     Contents  ( hide )   1 History of immigration to and ethnic enclaves in New York City   2 African American and Caribbean American   2.1 African American   2.1. 1 Ghanaian   2.1. 2 West African     2.2 Caribbean American   2.2. 1 Guyanese , Surinamese , Jamaica , and Trinidadian   2.2. 2 Haitian   2.2. 3 Jamaican       3 South and East Asian   3.1 Bangladeshi   3.2 Chinese   3.2. 1 Manhattan   3.2. 2 Queens   3.2. 3 Brooklyn     3.3 Filipino   3.4 Indian   3.5 Japanese   3.6 Korean   3.7 Pakistani   3.8 Sri Lankan   3.9 Vietnamese     4 European   4.1 Albanian   4.2 German   4.3 Greek   4.4 Hungarian   4.5 Irish   4.6 Italian   4.7 Norwegian   4.8 Polish   4.9 Russian   4.10 Ukrainian     5 Latin American   5.1 Dominican   5.2 Ecuadorian   5.3 Mexican   5.4 Puerto Rican     6 Middle Eastern   6.1 Arabs   6.1. 1 Queens   6.1. 2 Brooklyn     6.2 Jewish     7 See also   8 References   9 External links      History of immigration to and ethnic enclaves in New York City ( edit )   New York City was founded in 1625 , by Dutch traders as New Amsterdam . The settlement was a slow growing village , but was diverse . However , the Netherlands never had a large emigrant population , and the colony attracted few Dutch and more people from different ethnic groups . As early as 1646 , 18 languages were spoken in New Amsterdam , and ethnic groups within New Amsterdam included Dutch , Danes , English , Flemish , French , Germans , Irish , Italians , Norwegians , Poles , Portuguese , Scots , Swedes , Walloons , and Bohemians . The young , diverse village also became a seafarer 's town , with taverns and smugglers . After Peter Stuyvesant became Director , New Amsterdam began to grow more quickly , achieving a population of 1,500 , and growing to 2,000 by 1655 and almost to 9,000 in 1664 , when the British seized the colony , renaming it New York .   Colonial New York City was also a center of religious diversity , including one of the first Jewish congregations , along with Philadelphia , Savannah , and Newport , in what was to become the United States .   African American and Caribbean American ( edit )  Main article : Afro - American peoples of the Americas  African American ( edit )  Main article : African immigrants to the United States The Apollo Theater on 125th Street in Harlem ; the Hotel Theresa is visible in the background .  The first recorded African Americans were brought to the present - day United States in 1619 as slaves . New York State began emancipating slaves in 1799 , and in 1841 , all slaves in New York State were freed , and many of New York 's emancipated slaves lived in or moved to Fort Greene , Brooklyn . All slaves in the United States were later freed in 1865 , with the end of the American Civil War and the ratification of the Thirteenth Amendment . After the Civil War , African Americans left the South , where slavery had been the strongest , in large numbers . These movements are now known as the Great Migration , during the 1910s and 1920s and the Second Great Migration , from the end of World War II until 1970 .   After arriving in New York , the African Americans formed neighborhoods , partially due to racism of the landlords at the time . The socioeconomic center of these neighborhoods , and all of `` Black America '' , was Harlem , in Northern Manhattan . Hamilton Heights , on Harlem 's western side , was a nicer part of Harlem , and Sugar Hill , named because its inhabitants enjoyed the `` sweet life '' , was the nicest part .   In the 1930s , after the Independent Subway System 's Eighth Avenue and Fulton Street subways opened , Harlem residents began to leave crowded Harlem for Brooklyn . The first neighborhood African Americans moved to in large numbers was Bedford - Stuyvesant , composed of the neighborhoods Bedford , Stuyvesant , Weeksville ( which had an established African American community by the time of the New York Draft Riots ) , and Ocean Hill . From Bedford - Stuyvesant , African Americans moved into the surrounding neighborhoods , including Crown Heights , and Brownsville . After World War II , `` white flight '' occurred , in which predominantly white residents moved to the suburbs and were replaced with minority residents . Neighborhoods that experienced this include Canarsie , Flatbush , and East Flatbush .   Queens also experienced `` white flight '' . Jamaica and South Jamaica both underwent ethnic change . Some of Queens ' African American neighborhoods are housing projects or housing cooperatives , such as LeFrak City . Other African American neighborhoods include Laurelton , Cambria Heights , Hollis , Springfield Gardens , and St. Albans .   The Bronx experienced white flight , which was mostly confined to the South Bronx and mostly in the 1970s .   Staten Island is home to the oldest continuously settled free - black community in the United States , Sandy Ground . This community along the Southwestern shore of Staten Island was once home to thousands of free - black men and women , who came to Staten Island to work as oystermen . Members of this community also settled and established communities on the North Shore , such as West New Brighton and Port Richmond after oyster fishing became scarce in 1916 . Many African Americans settled in several North Shore communities during the Great Migration , such as Arlington , Mariners Harbor , and New Brighton . Although the black community of Staten Island is mostly dispersed throughout the North Shore of the Island , there are several African Americans living on the South Shore .  Ghanaian ( edit )  Many Ghanaian people have settled in Concourse Village in the Bronx since an influx of Ghanaians began in the 1980s and 1990s . With over 27,000 in New York City , Ghanaians are the city 's largest African immigrant group . Most live in the Bronx , Queens , and Brooklyn . In Concourse Village , the intersection of Sheridan Avenue and McClellan Street is considered the Ghanaian population 's center of commerce , but people also socialize in this intersection .  West African ( edit )  There is at least one community of West Africans in New York , concentrated in Le Petit Senegal in Harlem , Manhattan . The enclave is situated on 116th Street between St. Nicholas and 8th Avenues , and is home to a large number of Francophone West Africans .   An enclave of Liberians developed in Staten Island at the end of the 20th century , following the turbulent Liberian Civil War .  Stores in Le Petit Senegal .  Caribbean American ( edit )  Main article : Caribbean immigration to New York City  According to the 2010 US Census data on brooklyn.com there are approximately 370,000 ( 16.4 % ) Caribbean descendants in Brooklyn . That figure includes persons who identify as Dominican ( 3.3 % ) , but does not include the ( 7.4 % ) Puerto Rican population . Including Puerto Ricans , there are approximately 560,000 ( 23.8 % ) persons of Caribbean descent in Brooklyn . Similar , but not identical demographics in America exist in Miami , but there are fewer people of Cuban descent in New York .  Guyanese , Surinamese , Jamaica , and Trinidadian ( edit )  New York City has large Guyanese , Surinamese , and Trinidadian communities , both primarily Indo - Guyanese , Indo - Surinamese , Indo - Jamaican , and Indo - Trinidadian ( Indo - Caribbean Americans ) . The largest one is in Ozone Park , Queens , on 101st and Liberty Avenues ; this neighborhood extends to Richmond Hill , along Liberty Avenue between Lefferts Boulevard and the Van Wyck Expressway . Guyanese and Trinidadians in New York City number around 227,582 as of 2014 . Afro - Guyanese and Afro - Trinidadians live in neighborhoods like Canarsie or Flatbush in Brooklyn .   Indo - Guyanese , Indo - Jamaican , and , Indo - Surinamese , Indo - Trinidadians originated in India . After the abolition of slavery , South Asians were brought to Guyana , Suriname , Jamaica , Trinidad and Tobago , and other parts of the Caribbean to work as indentured servants . These South Asians were mostly Hindu , but there were also Muslims , and Christians who were brought from India . A majority of these South Asians spoke Bhojpuri or Caribbean Hindustani . The descendants of these indentured servants later immigrated to New York City and to other places around the world , such as Toronto . In NYC , they mostly live in Richmond Hill and Ozone Park , which have many Hindu , Muslim , and Christian people .  Haitian ( edit )  According to the 2000 census , there are about 200,000 Haitians / Haitian Americans in Brooklyn , showing that it is home to the largest number of Haitian immigrants in New York City . The neighborhood that has the largest Haitian community in New York is Flatbush , Brooklyn . The 2010 US Census indicates that 3 % of Brooklynites are of Haitian descent . On Flatbush Avenue , Nostrand Avenue and Church Avenue it is possible to find Haitian businesses and restaurants . Other prominent Haitian neighborhoods include East Flatbush , Canarsie , and Kensington in Brooklyn and Springfield Gardens , Queens Village , and Cambria Heights in Queens .  Jamaican ( edit ) West Indian parade in Crown Heights  New York State has the largest population of Jamaican Americans in the United States . About 3.5 % of the population of Brooklyn is of Jamaican heritage . In 1655 , Jamaica was captured by the British , who brought African slaves in large numbers to work on plantations . The African slaves were emancipated in 1838 , and owners starting paying wages to workers , who were now free to immigrate to the United States . Many Jamaicans immigrated in the years following 1944 , when the United States economy was rebuilding from World War II , seeing opportunity . After 1965 , when immigration quotas were lifted , Jamaican immigration skyrocketed again .   Jamaican neighborhoods include Queens Village and Jamaica in Queens ; Crown Heights , East Flatbush , Flatbush in Brooklyn , and Wakefield and Tremont in the Bronx .   South and East Asian ( edit )   Bangladeshi ( edit )   As of 2013 , there are more than 74,000 Bangladeshis in New York City , a majority of whom reside in the boroughs of Queens and Brooklyn . The Bangladeshis in New York tend to form enclaves in neighborhoods predominantly populated by Asian Indians . These enclaves include one in Kensington , Brooklyn , featuring Bangladeshi grocers , hairdressers , and halal markets . Kensington 's enclave , the biggest Bangladeshi enclave in the city , was formed in the mid-1990s as a small community of Bangladeshi shops , but the Bangladeshi population has now expanded to other boroughs as well . Bangladeshis have tried to leave a permanent legacy , making a failed attempt to rename McDonald Avenue after Sheikh Mujibur Rahman , the first president of Bangladesh , as well as nicknaming the area Bangla Town .   There is also an enclave on 73rd Street in Jackson Heights , Queens , as well as one on Hillside Avenue in Queens , and one in Parkchester , Bronx . As well as living alongside the Indians , Bangladeshis own many of the Indian restaurants in Brooklyn and Queens .   Chinese ( edit )  Main article : Chinese Americans in New York City See also : Chinatown , Manhattan ; Little Fuzhou ; Chinatowns in Queens ; and Chinatowns in Brooklyn An intersection in Manhattan Chinatown  Until the late 20th century , the Chinese population was limited to one area in lower Manhattan . The New York metropolitan area contains the largest ethnic Chinese population outside of Asia , enumerating an estimated 735,019 individuals as of 2012 , including at least 350,000 foreign born Chinese as of 2013 , making them the city 's second largest ethnic group . The Chinese population in the New York City area is dispersed across at least 9 Chinatowns , comprising the original Manhattan Chinatown , three in Queens ( the Flushing Chinatown , the Elmhurst Chinatown , and the newly emerged Chinatown in Corona ) , three in Brooklyn ( the Sunset Park Chinatown , the Avenue U Chinatown , and the Bensonhurst Chinatown ) , and one each in Edison , New Jersey and Nassau County , Long Island , not to mention fledgling ethnic Chinese enclaves emerging throughout the New York City metropolitan area . Chinese Americans , as a whole , have had a ( relatively ) long tenure in New York City . New York City 's satellite Chinatowns in Queens and Brooklyn are thriving as traditionally urban enclaves , as large - scale Chinese immigration continues into New York .  Manhattan ( edit ) Manhattan Chinatown  The first Chinese immigrants came to lower Manhattan around 1870 , looking for the `` gold '' America had to offer . By 1880 , the enclave around Five Points was estimated to have from 200 to as many as 1,100 members . However , the Chinese Exclusion Act , which went into effect in 1882 , caused an abrupt decline in the number of Chinese who immigrated to New York and the rest of the United States . Later , in 1943 , the Chinese were given a small quota , and the community 's population gradually increased until 1968 , when the quota was lifted and the Chinese American population skyrocketed . Today , the Manhattan Chinatown ( simplified Chinese : </t>
    </r>
    <r>
      <rPr>
        <sz val="11"/>
        <color rgb="FF000000"/>
        <rFont val="Noto Sans CJK SC"/>
        <family val="2"/>
      </rPr>
      <t xml:space="preserve">纽约 华 埠 </t>
    </r>
    <r>
      <rPr>
        <sz val="11"/>
        <color rgb="FF000000"/>
        <rFont val="Calibri"/>
        <family val="0"/>
        <charset val="1"/>
      </rPr>
      <t xml:space="preserve">; traditional Chinese : </t>
    </r>
    <r>
      <rPr>
        <sz val="11"/>
        <color rgb="FF000000"/>
        <rFont val="Noto Sans CJK SC"/>
        <family val="2"/>
      </rPr>
      <t xml:space="preserve">紐約 華 埠 </t>
    </r>
    <r>
      <rPr>
        <sz val="11"/>
        <color rgb="FF000000"/>
        <rFont val="Calibri"/>
        <family val="0"/>
        <charset val="1"/>
      </rPr>
      <t xml:space="preserve">; pinyin : Niŭyuē Huá Bù ) is home to the largest concentration of Chinese people in the Western Hemisphere and is one of the oldest ethnic Chinese enclaves outside of Asia . Within Manhattan 's expanding Chinatown lies a `` Little Fuzhou '' on East Broadway and surrounding streets , occupied predominantly by immigrants from the Fujian Province of Mainland China . Areas surrounding the `` Little Fuzhou '' consist mostly of Cantonese immigrants from Guangdong Province , the earlier Chinese settlers , and in some areas moderately of Cantonese immigrants . In the past few years , however , the Cantonese dialect that has dominated Chinatown for decades is being rapidly swept aside by Mandarin , the national language of China and the lingua franca of most of the latest Chinese immigrants . The energy and population of Manhattan 's Chinatown are fueled by relentless , massive immigration from Mainland China , both legal and illegal in origin , propagated in large part by New York 's high density , extensive mass transit system , and huge economic marketplace .   The early settlers of Manhattan 's Chinatown were mostly from Hong Kong and from Taishan of the Guangdong Province of China , which are Cantonese - speaking , and also from Shanghai . They form most of the Chinese population of the area surrounded by Mott and Canal Streets . The later settlers , from Fuzhou , Fujian , form the Chinese population of the area bounded by East Broadway . Chinatown 's modern borders are roughly Grand Street on the north , Broadway on the west , Chrystie Street on the east , and East Broadway to the south . Little Fuzhou , a prime destination status for immigrants from the Fujian Province of China , is another , Fuzhouese , enclave in Chinatown and the Lower East Side of Manhattan . Manhattan 's Little Fuzhou is centered on the street of East Broadway . The neighborhood is named for the western portion of the street , which is primarily populated by mainland Chinese immigrants , ( primarily Foochowese from Fuzhou , Fujian ) . The smaller , eastern portion has traditionally been home to a large number of Jews , Puerto Ricans , and African Americans .  Queens ( edit ) Queens Library in Flushing Chinatown , the first satellite of the original Manhattan Chinatown . The Elmhurst Chinatown on Broadway , now a satellite of the Flushing Chinatown in Queens itself .  The present Flushing Chinatown , in the Flushing area of the borough of Queens , was predominantly non-Hispanic white and Japanese until the 1970s when Taiwanese began a surge of immigration , followed by other groups of Chinese . By 1990 , Asians constituted 41 % of the population of the core area of Flushing , with Chinese in turn representing 41 % of the Asian population . However , ethnic Chinese are constituting an increasingly dominant proportion . A 1986 estimate by the Flushing Chinese Business Association approximated 60,000 Chinese in Flushing alone . The popular styles of Chinese cuisine are ubiquitously accessible in Flushing Chinatown , including Taiwanese , Shanghainese , Hunanese , Szechuan , Cantonese , Fujianese , Xinjiang , Zhejiang , and Korean Chinese cuisine . Even the relatively obscure Dongbei style of cuisine indigenous to Northeast China is now available in Flushing Chinatown , as well as Mongolian cuisine . Mandarin Chinese ( including Northeastern Mandarin ) , Fuzhou dialect , Min Nan Fujianese , Wu Chinese , Beijing dialect , Wenzhounese , Shanghainese , Suzhou dialect , Hangzhou dialect , Changzhou dialect , Cantonese , Taiwanese , and English are all prevalently spoken in Flushing Chinatown , while the Mongolian language is now emerging .   Elmhurst , another neighborhood in Queens , also has a large and growing Chinese community .  Brooklyn ( edit ) One of the Brooklyn Chinatowns  By 1988 , 90 % of the storefronts on Eighth Avenue in Sunset Park , in southern Brooklyn , had been abandoned . Chinese immigrants then moved into this area , not only new arrivals from China , but also members of Manhattan 's Chinatown , seeking refuges from high rents , who fled to the cheap property costs and rents of Sunset Park and formed the Brooklyn Chinatown , which now extends for 20 blocks along Eighth Avenue , from 42nd to 62nd Streets . This relatively new but rapidly growing Chinatown located in Sunset Park was originally settled by Cantonese immigrants like Manhattan 's Chinatown in the past , but is now being repopulated by Fujianese ( including Fuzhou people ) and Wenzhounese immigrants .   Another Chinatown has developed in southern Brooklyn , on Avenue U in the Homecrest area , as evidenced by the growing number of Chinese - run fruit markets , restaurants , beauty and nail salons , and computer and general electronics dealers , spread among a community formerly composed mainly of Georgians , Vietnamese , Italians , Russians , and Greeks . The population of Homecrest in 2013 was more than 40 % Chinese . Also emerging in southern Brooklyn , in the Bensonhurst neighborhood , below the BMT West End Line ( D train ) along on 86th Street between 18th Avenue and Stillwell Avenue , is Brooklyn 's third Chinatown . The second Chinatown and the third , emerging Chinatown of Brooklyn are now increasingly carrying the majority of the Cantonese population in Brooklyn as the Cantonese dissipate from the main Brooklyn Chinatown in Sunset Park . With the migration of the Cantonese in Brooklyn now to Bensonhurst , and along with new Chinese immigration , small clusters of Chinese people and businesses in different parts of Bensonhurst have grown integrating with other ethnic groups and businesses . Smaller enclaves also exist in nearby Dyker Heights , Gravesend , and Bath Beach .   Filipino ( edit )  Main article : Filipinos in the New York City metropolitan region Little Manila on Roosevelt Avenue , Woodside , Queens  In Woodside , Queens , 13,000 out of 85,000 ( ~ 15 % ) of the population is Filipino . Woodside 's `` Little Manila '' extends along Roosevelt Avenue .   The first Filipino settlement in the United States was Saint Malo , Louisiana , established in 1763 . Mass immigration started in the late 19th century , to service the plantations of Hawaii and the farms of California . The immigration quota was lowered to 50 Filipinos a year , however , Filipinos in the United States Navy were exempt from this . Therefore , Filipinos settled near naval bases and formed ethnic enclaves due to discrimination . The quota was raised in the second half of the 20th century , starting another wave of Filipino immigration , looking for political freedom and opportunity , and one which has extended until present .   Indian ( edit )  Main article : Asian Indians in the New York City metropolitan region  Indian Americans are another group that has settled in New York City , forming a few different ethnic enclaves . One of these is called `` Curry Row '' and is in the East Village , Manhattan , centered on 6th Street between 1st and 2nd Avenues , another is called `` Curry Hill '' or `` Little India '' , centered on Lexington Avenue between 26th and 31st Streets , and another is in Jackson Heights , Queens , centered on 74th Street between Roosevelt and 37th Avenue .   Richmond Hill , Queens is another `` Little India '' community . This area has the largest Sikh population in the New York City area . It is also known as `` Little Punjab '' . There is also a `` Little Indo - Caribbean '' community in Richmond Hill , Queens with many Indo - Caribbean Americans .   Some of the region 's main centers of Indian culture are located in central New Jersey , particularly in Middlesex County . In Edison , New Jersey , ethnic Asian Indians represent more than 28 % of the population , the highest percentage of any place in the United States with more than 1,000 residents identifying their ancestry . The Oak Tree Road area , which crosses through Edison and Iselin is a growing cultural hub with high concentrations of Indian stores and restaurants .   There have been three major waves of Indian immigrants , the first between 1899 and 1913 , the second after India was granted independence from the United Kingdom in 1947 , and the third after the immigration quota for individual countries was lifted in 1965 . As of 2010 , the New York City metropolitan area contains the largest Asian Indian population in North America .   Japanese ( edit )  Main article : Japanese in New York City  As of the 2000 Census , over half of the 37,279 people of Japanese ancestry in New York State lived in New York City .   As of 2011 within the city the largest groups of Japanese residents are in Astoria , Queens and Yorkville in the Upper East Side of Manhattan . As of the 2010 U.S. Census there are about 1,300 Japanese in Astoria and about 1,100 Japanese in Yorkville. 500 Japanese people lived in East Village . As of the same year , there are about 6,000 Japanese in Bergen County , New Jersey and 5,000 Japanese in Westchester County , New York . As of that year most short - term Japanese business executives in Greater New York City reside in Midtown Manhattan or in New York City suburbs . In 2011 Dolnick and Semple wrote that while other ethnic groups in the New York City region cluster in specific areas , the Japanese were distributed `` thinly '' and `` without a focal point '' such as Chinatown for the Chinese .   Korean ( edit )  Main article : Korean Americans in New York City See also : Koreatown , Manhattan and Koreatown , Long Island 32nd street in Manhattan 's Koreatown , 2009 .  New York City is home to the second largest population of ethnic Koreans outside of Korea . Koreans started immigrating with the signing of the Korean - American Treaty of Amity and Commerce , which allowed them to do so freely . The first wave of Korean immigration lasted from 1903 -- 1905 , when 7,000 Koreans came to the United States . After this first wave , the 1907 `` Gentlemen 's Agreement '' of President Theodore Roosevelt restricted Korean immigration to the United States . President Harry Truman repealed this in 1948 . and from 1951 -- 1964 , another wave of Koreans migrated to the United States , and a third wave lasted from 1969 -- 1987 . As economic conditions improved in Korea , many Koreans chose to stay .   Korean communities in New York include Koreatown in Manhattan ; Bedford Park in the Bronx ; and Sunnyside , Woodside , Elmhurst , Flushing , Murray Hill , Bayside , and Douglaston -- Little Neck , in Queens . The Korean enclave in Flushing spread eastward across Queens and into Nassau County , forming a large Long Island Koreatown -- . In Murray Hill -- part of the large Long Island Koreatown -- the station of the same name on the Long Island Rail Road is close to a row of Korean - owned businesses and a mainly Korean - speaking community ; the neighborhood culminates with Meokjagolmok ( Restaurant Street ) with two dozen restaurants , bars , cafes , a bakery , and some karaoke establishments .   Pakistani ( edit )   Pakistani Americans have a large presence in New York , with the city ( along with New Jersey ) hosting the largest Pakistani population of any region in the United States . The population of Pakistanis is estimated at around 35,000 ; they are settled primarily in the boroughs of Queens ( more specifically Jackson Heights ) and Brooklyn ( Coney Island Avenue ) . These numbers make Pakistani Americans the fifth largest Asian American group in New York City . As of 2006 , 50,000 people of Pakistani descent were said to be living in New York City . This figure rises to 70,000 when illegal immigrants are also included . Pakistani migration to New York has occurred heavily only since the past two to three decades , reflecting the history of Pakistani migration elsewhere in the country ; `` Little Pakistans '' or ethnic enclaves populated by Pakistanis tend to be characterised and populated by other South Asian Americans as well , including Indians and Bangladeshis and thus are dominated by South Asian culture . Pakistani restaurants , grocery markets and halal shops are abound in such areas .   Sri Lankan ( edit )   Many Sri Lankan people settle in Tompkinsville , Staten Island , which has one of the highest concentrations of Sri Lankans outside of their native country . More than 5,000 Sri Lankans live in Staten Island . The Sri Lankan commercial center is at the corner of Victory Boulevard and Cebra Avenue . They often hold festive New Year celebrations on Staten Island , including a traditional oil - lighting ceremony , live baila music , and competitive events like coconut - scraping and bun - eating contests .   Vietnamese ( edit )   There is a community of Vietnamese at the Bowery in an area unofficially known as `` Little Saigon . '' The area is overshadowed by neighboring Chinatown in that it is relatively indistinguishable . The area however is marked by an abundance of Vietnamese restaurants .   European ( edit )   Many European ethnic groups have formed enclaves in New York . These include Albanian , Croatian , German , Hungarian , Greek , Irish , Italian , Jewish , Polish , Russian , and Ukrainian .   Albanian ( edit )   Albanians first immigrated to the United States from Southern Italy , Greece , and Kosovo in the 1920s . Later , in the 1990s , after the fall of communism in Eastern Europe , many Albanians flocked to the United States . Two neighborhoods that became Albanian are Belmont and Pelham Parkway .   In April 2012 , it was reported by the New York Times that 9,500 people in the Bronx identify themselves as Albanian . Many live near Pelham Parkway and Allerton Ave in the Bronx .   German ( edit )  The Myrtle Avenue Business Improvement District runs from Wyckoff Avenue to Fresh Pond Road in Ridgewood .  Germans starting immigrating to the United States in the 17th century , and until the late 19th century , when Germany was the country of origin for the largest number of immigrants to the United States . In fact , Over one million Germans entered the United States in the 1850s alone .   German American ethnic enclaves in New York City include the now - defunct Little Germany , in Manhattan and the extant Yorkville , Manhattan . Little Germany , or as it was called in German , Kleindeutschland , was positioned in the Lower East Side , around Tompkins Square , in what would later become known as Alphabet City . The General Slocum disaster in 1904 wiped out the social core of the neighborhood , and many Germans moved to Yorkville . Yorkville , part of the Upper East Side , is bounded ( roughly ) by 79th Street to the south , 96th Street and Spanish Harlem to the north , the East River to the east , and Third Avenue to the west . The main artery of the neighborhood , 86th Street , has been called the `` German Broadway '' . For much of the 20th century , Yorkville was inhabited by German and Hungarian Americans .   The Queens neighborhoods of Ridgewood and Glendale include small populations of Germans . Ridgewood notably includes Gottschee expatriates from modern - day Slovenia .   Greek ( edit )  A Greek restaurant in Astoria  Astoria , Queens , is home to the largest concentration of Greek Americans in New York . When one would walk down a street in the 1970s , one would see Greek restaurants , Hellenic clubs , and many Greek - owned businesses . Now , Astoria has become more diverse , with Mexican Americans , Colombian Americans , Pakistani Americans , and Russian Americans all calling Astoria home , among others . Many Greeks are leaving Astoria for Whitestone , Queens , but many of the buildings in Astoria are still owned by Greeks .   The largest Greek migration to the United States began around 1910 and ended around 1930 , with most migrating for the economic opportunity , but as living conditions in Greece improved in the 1980s , Greek migration slowed . However , Astoria remains New York 's `` Greektown . ''   Hungarian ( edit )   There is a significant orthodox Jewish Hungarian population in the rapidly growing neighborhood of Borough Park </t>
    </r>
  </si>
  <si>
    <t xml:space="preserve">where is the jewish quarter in new york</t>
  </si>
  <si>
    <t xml:space="preserve"> New York today has the second largest number of Jews in a metropolitan area , behind Gush Dan ( the Tel Aviv Metropolitan Area ) in Israel . Borough Park , Brooklyn , ( also known as Boro Park ) is one of the largest Orthodox Jewish communities in the world . Crown Heights , Brooklyn , also has a large Orthodox Jewish community . Flatbush , Brooklyn , Riverdale , Bronx , Williamsburg , Brooklyn , Midwood , Brooklyn , Forest Hills , Queens , Kew Gardens Hills , Queens , Kew Gardens , Queens , Fresh Meadows , Queens and the Upper East Side , Washington Heights , Manhattan because of the proximity of the renowned Yeshiva U and Upper West Side , Manhattan , are also home to Jewish communities . Another neighborhood , the Lower East Side , though presently known as a mixing pot for people of many nationalities , including German , Puerto Rican , Italian , and Chinese , was primarily a Jewish neighborhood . Although the Jewish community of Staten Island is dispersed throughout the Island , enclaves of Hasidic Jews are found in the Willowbrook , New Springville , Eltingville , and New Brighton areas . </t>
  </si>
  <si>
    <t xml:space="preserve">Wentworth ( season 6 ) - Wikipedia  Wentworth ( season 6 )       Wentworth ( season 6 )     Region 4 DVD Cover     Country of origin   Australia     No. of episodes   8     Release     Original network   Showcase     Original release   19 June 2018 ( 2018 - 06 - 19 ) -- present ( present )     Season chronology     ← Previous Season 5     List of Wentworth episodes     The sixth season of television drama series Wentworth premiered on Showcase in Australia on 19 June 2018 . It is executive produced by FremantleMedia 's Director of Drama , Jo Porter . The season will comprise 12 episodes . The sixth season picks up just days after the escape of Franky Doyle and Joan Ferguson . This season will introduce three new characters portrayed by Leah Purcell , Susie Porter and Rarriwuy Hick .   Contents    1 Cast   1.1 Main   1.2 Recurring   1.3 Guest     2 Episodes   3 Production   4 Ratings   5 Home media   6 References   7 External links    Cast ( edit )  Main article : List of Wentworth characters     Main ( edit )    Leah Purcell as Rita Connors   Sigrid Thornton as Sonia Stevens   Susie Porter as Marie Winter   Celia Ireland as Liz Birdsworth   Katrina Milosevic as Sue `` Boomer '' Jenkins   Robbie J Magasiva as Deputy Governor Will Jackson   Tammy Macintosh as Kaz Proctor   Kate Jenkinson as Allie Novak   Bernard Curry as Jake Stewart   Rarriwuy Hick as Ruby Mitchell   Kate Atkinson as Governor Vera Bennett   Nicole da Silva as Franky Doyle        Recurring ( edit )    Libby Tanner as Bridget Westfall   Jacquie Brennan as Linda Miles   Sally - Anne Upton as Lucy Gambaro   Madeline Jevic as Nurse Lee Radcliffe   Artemis Inannides as Vicky Kosta   Kate Elliot as Spike Baxter   Sun Park as Cherry Li   Emily Havea as Mon Alson   Catherine Larcey as Sharon Gilmour   Bessie Holland as Stella Radic   Sarah Hallam as Jen Hutchins   Katerina Kotsonis as former officer Brenda Murphy   Stefan Dennis as Michael Armstrong QC    Guest ( edit )    Pamela Rabe as Joan Ferguson             Episodes ( edit )     No . overall   No. in season   Title   Directed by   Written by   Original air date   Aus . viewers     59     `` Clean Slate ''   Kevin Carlin   Pete McTighe   June 19 , 2018 ( 2018 - 06 - 19 )   101,000     Franky Doyle and Joan Ferguson are still missing . While Ferguson 's fate remains unknown , Franky is still on the run and desperately attempts to come up with the evidence that she is innocent of the murder of Mike Pennisi . Liz fears for her safety when news has surfaced that Sonia was poisoned and is to make a full recovery . Vera 's career could be in jeopardy when Jake uncovers that Vera let Bea Smith wander into a restricted area of the prison in order to attack Joan . New inmate , Rita Connors , arrives at Wentworth and immediately crosses Kaz when she takes the rap for recently transferred , trouble - making prisoner , Ruby Mitchell , when she violently attacks another prisoner . Vera makes a discovery .     60     `` The Boxer ''   Kevin Carlin   Marcia Gardner   June 26 , 2018 ( 2018 - 06 - 26 )   87,000     Sonia returns to Wentworth and is determined to take her revenge on Liz . Ruby continues to push Rita away while she sinks deeper into despair as she has constant memories of the past . Ruby is provoked into partaking in secret fist fighting matches organized by several of the other inmates . Vera confides in Bridget about her pregnancy , while Jake 's guilt of blackmailing Vera gets the better of him and he decides to back down . Franky stumbles upon crucial evidence that can clear her name .     61     `` Bleed Out ''   Fiona Banks   John Ridley   July 3 , 2018 ( 2018 - 07 - 03 )   105,000     Franky is seriously wounded and seeks Bridget 's help . Sonia convinces Liz to tell her solicitor that she was used by Don . Kaz discovers that Rita took the rap for Ruby for beating up Spike . The fight club continues and Ruby is injured during a match with Spike . Vicky and Kaz agree to a fight before it is interrupted by the officers . Will confronts Kaz on being a secret `` lagger '' . The police discover that Franky is innocent and she is finally set free .     62     `` Winter Is Here ''   Fiona Banks   Andrew Anastasios   July 10 , 2018 ( 2018 - 07 - 10 )   83,000     Marie Winter arrives at Wentworth and her past is immediately revealed . Rita goes to great lengths to keep Ruby out of trouble and agrees to be Marie 's bodyguard . Sonia makes a deal with Vera and the workshop is reopened . Will cracks under pressure as he confesses to Jake that he buried Joan alive .     63   5   `` Bitter Pill ''   Roger Hodgman   John Ridley   July 17 , 2018 ( 2018 - 07 - 17 )   71,000     Vera undergoes her first pregnancy scan and is indecisive as to whether or not she is going to keep the baby . Kaz threatens Marie when she and Allie discover that she is having drugs smuggled into the prison . Jake is injured while saving Liz from being electrocuted . Will is struggling with is sanity and begins having nightmares . Rita lands herself in trouble following a violent confrontation with Vicky and her gang . Sonia 's workshop becomes a success . Liz fears she is going mad and reveals all to Kaz regarding Sonia .     64   6   `` Angel of Wentworth ''   Roger Hodgman   Andrew Anastasios &amp; Marcia Gardner   July 24 , 2018 ( 2018 - 07 - 24 )   82,000     Marie and Zara becomes suspicious of Rita , while Rita comes up with a desperate plan to get Zara out of the way . Boomer takes her exam and anxiously awaits the results . Will becomes frantic and confesses everything to Kaz about what he did to Joan . Vera , Will and Kaz begin to suspect that Sonia was behind Sharon Gilmour 's murder , but with no proof . Liz begins to things she is suffering from dementia . During the radio interview , Liz is ambushed by Sonia when she reveals that Liz is ' Witness X ' , putting her in a dangerous position with the other prisoners for lagging . Sonia is later informed that she will be released within 48 hours due to Liz 's confession on air , while Kaz lets Sonia know that she could be dead within a day once Spike is released from solitary confinement .     65   7   `` The Edge ''   Sian Davies   Pete McTighe   July 31 , 2018 ( 2018 - 07 - 31 )   77,000     Sonia comes up with a plan to set Kaz up against the other women which eventually backfires . Will begins to have terrifying visions of Joan and turns to Marie for comfort . Liz 's condition is finally diagnosed . Sonia begins to realize that her time is running out when she is attacked by Spike , while it is finally discovered that she murdered Sharon Gilmour and is charged thanks to Liz . Liz becomes confused and thinks Don is in the prison and heads to the roof with Sonia close behind which leads to a fight that proves fatal for one of them .     66   8   `` Lovers and Fighters ''   Sian Davies   John Ridley and Marcia Gardner   August 7 , 2018 ( 2018 - 08 - 07 )   91,000     Kaz is released from solitary confinement for which she spent two weeks for murdering Sonia . Allie is informed that Ruby could die of a brain aneurysm if she continues to fight , while Kaz decides to let the fight club go on and intends to collect half the profits . Marie discovers that Ruby was with her son the night he was attacked and is intent on getting information from her . Rita reveals to Marie that she is Ruby 's sister and Ruby makes a confession to Rita about the death of Marie 's son . Vera becomes the target of a stalker and is convinced that it is Jake , however , it is later revealed not to be Jake when Vera discovers that someone has left a pair of leather gloves on her bed .     67   9   `` Shallow Grave ''   TBA   TBA   August 14 , 2018 ( 2018 - 08 - 14 )   TBD     Production ( edit )   On 9 May 2017 , it was announced that FremantleMedia had renewed Wentworth for a sixth season , set to air in 2018 .   FremantleMedia 's Director of Drama , Jo Porter , said `` Getting to a sixth season is something none of us take for granted . Key to this is the unwavering dedication to the show by the incredible Wentworth audience both in Australia and around the world . Like us they are drawn to our exceptional cast who embody the diverse , complex and intriguing characters who populate the intense world of Wentworth and its high stakes and compelling stories .   Foxtel Head of Drama , Penny Win , said `` As Foxtel 's longest running original drama , Wentworth continues to set a high bar for our local production slate . There is so much yet to unfold with season five premiering now in Australia on Foxtel before any details should be revealed about the sixth season . My lips are sealed other than to say Marcia Gardner and the writers continue to excel in setting up intriguing story arcs and finely crafted scripts for the wonderfully talented Wentworth cast to bring to life . ''   Ratings ( edit )     Episode   Title   Original airdate   Overnight Viewers   Nightly Rank     6 - 01   `` Clean Slate ''   19 June 2018   101,000       6 - 02   `` The Boxer ''   26 June 2018   87,000       6 - 03   `` Bleed Out ''   3 July 2018   105,000       6 - 04   `` Winter Is Here ''   10 July 2018   83,000       6 - 05   `` Bitter Pill ''   17 July 2018   71,000       6 - 06   `` Angel of Wentworth ''   24 July 2018   82,000       6 - 07   `` The Edge ''   31 July 2018   77,000       6 - 08   `` Lovers and Fighters ''   7 August 2018   91,000       6 - 09   `` Shallow Grave ''   14 August 2018   TBD   TBD      Figures are OzTAM Data for the 5 City Metro areas .   Overnight - Live broadcast and recordings viewed the same night .   Consolidated - Live broadcast and recordings viewed .    Home media ( edit )     Set title   Release date   Additional     Region 1   Region 2 ( UK )   Region 2 ( DE )   Region 4 / B     Wentworth : The Complete Season 6 ( Australia ) Wentworth Prison : Season Six ( United Kingdom )   TBA   15 October 2018   TBA   3 October 2018    Set details    12 episodes   600 minutes   1.78 : 1 aspect ratio    DVD Audio    TBA    Blu - ray Audio    TBA    Subtitles    TBA    Discs    4 - DVD set ( region 2 UK )    Rating    ACB : TBA   BBFC : 18    Special Features :    TBA       References ( edit )    Jump up ^ Knox , David ( 5 April 2018 ) . `` Returning : Wentworth '' . TV Tonight . Retrieved 1 July 2018 .   Jump up ^ Dainty , Sophie ( 1 August 2018 ) . `` Neighbours star Stefan Dennis took a break from show to film guest role in Wentworth '' . Digital Spy . Retrieved 1 August 2018 .   ^ Jump up to : `` Tuesday 19 June 2018 '' . TV Tonight . 21 June 2018 .   ^ Jump up to : `` Tuesday 26 June 2018 '' . TV Tonight . 27 June 2018 .   ^ Jump up to : `` Tuesday 3 July 2018 '' . TV Tonight . 4 July 2018 .   ^ Jump up to : `` Tuesday 10 July 2018 '' . TV Tonight . 11 July 2018 .   ^ Jump up to : `` Tuesday 17 July 2018 '' . TV Tonight . 18 July 2018 .   ^ Jump up to : `` Tuesday 24 July 2018 '' . TV Tonight . 25 July 2018 .   ^ Jump up to : `` Tuesday 31 July 2018 '' .   Jump up ^ `` Tuesday 7 August 2018 '' .   Jump up ^ `` Wentworth : episode guide '' . Australiantelevision.net . Retrieved 11 August 2018 .   ^ Jump up to : `` Wentworth Season 6 Confirmed '' . Showcasechannel.com. 9 May 2017 . Retrieved 26 June 2018 .   ^ Jump up to : https://tvtonight.com.au/2018/08/tuesday-7-august-2018.html   Jump up ^ Region 2 ( UK ) :   `` Wentworth Prison : Season Six ( DVD ) '' . Amazon.co.uk . Retrieved 18 July 2018 .     Jump up ^ Region 4 / B :   `` Australian release dates for movies &amp; TV '' . Stack.com.au . Retrieved 3 August 2018 .      External links ( edit )    Official website              Wentworth     Seasons             5   6       Notable episodes     `` No Place Like Home ''   `` Fear Her ''   `` First Blood ''       Characters     Maxine Conway   Franky Doyle   Joan Ferguson   Jacs Holt   Will Jackson   Allie Novak   Kaz Proctor   Bea Smith   Jess Warner   Bridget Westfall       Related     Awards and nominations   Prisoner      Retrieved from `` https://en.wikipedia.org/w/index.php?title=Wentworth_(season_6)&amp;oldid=854467420 '' Categories :   2018 Australian television seasons   Wentworth ( TV series )   Hidden categories :   Use Australian English from June 2012   All Wikipedia articles written in Australian English   Use dmy dates from June 2012   Pages using center with no arguments   Official website not in Wikidata           Talk                                           Contents                   About Wikipedia                                           Add links   This page was last edited on 11 August 2018 , at 15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</si>
  <si>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is season 6 of wentworth coming out</t>
  </si>
  <si>
    <t xml:space="preserve"> The sixth season of television drama series Wentworth premiered on Showcase in Australia on 19 June 2018 . It is executive produced by FremantleMedia 's Director of Drama , Jo Porter . The season will comprise 12 episodes . The sixth season picks up just days after the escape of Franky Doyle and Joan Ferguson . This season will introduce three new characters portrayed by Leah Purcell , Susie Porter and Rarriwuy Hick . </t>
  </si>
  <si>
    <t xml:space="preserve">Take It Off ( Kesha song ) - wikipedia  Take It Off ( Kesha song )       `` Take It Off ''         Single by Kesha     from the album Animal     Released   July 13 , 2010     Format   Digital download     Recorded   2009 , Conway Recording Studios , Los Angeles , California     Length   3 : 35     Label   RCA     Songwriter ( s )   Kesha Sebert , Lukasz Gottwald , Claude Kelly     Producer ( s )   Dr. Luke     Kesha singles chronology        `` Your Love Is My Drug '' ( 2010 )   `` Take It Off '' ( 2010 )   `` We R Who We R '' ( 2010 )             `` Your Love Is My Drug '' ( 2010 )   `` Take It Off '' ( 2010 )   `` We R Who We R '' ( 2010 )        `` Take It Off '' is a song by American recording artist and songwriter Kesha , from her debut album , Animal . It was written by Kesha Sebert , Lukasz Gottwald and Claude Kelly and it was produced by Dr. Luke with vocal editing done by Emily Wright . It was released as the fourth and final single from the album on July 13 , 2010 . `` Take It Off '' 's initial writing consisted of Kesha attending a drag show and becoming turned on by drag queens taking their clothing off . The song is an upbeat song that uses heavy amounts of auto tune and utilizes an electro infused beat .   Due to strong digital sales from the release of Animal , the song charted in the United States , the United Kingdom and Canada before being announced as a single . After being released as a single the song reached the top ten in Canada , Australia and the United States . With the song reaching the top - ten in the United States , Kesha became only the eleventh artist in history to amass four top - tens from a debut album . As of February 2011 , `` Take It Off '' has sold over two million copies in the United States .   Two music videos for the single were released . The first video features Kesha and her friends on a distant planet , dancing around in a mosh pit while slowly turning into stardust as the video progresses . The inspiration for the video , according to Kesha , was about shedding your inhibitions and being `` raw and real . '' The second video released for the song features Jeffree Star and incorporates a more dominant animal theme , while drawing from 80s themed inspiration such as : Tron , David Bowie in Labyrinth , and Revenge of the Nerds . To promote the single Kesha performed `` Take It Off '' alongside earlier singles `` Your Love Is My Drug '' and `` Tik Tok '' on NBC 's The Today Show .   Contents    1 Writing and inspiration   2 Composition   3 Critical reception   4 Chart performance   5 Music videos   5.1 First version   5.2 Second version     6 Live performances   7 Track listing   8 Credits and personnel   9 Charts and certifications   9.1 Charts   9.2 Year - end charts   9.3 All - time chart   9.4 Certifications     10 Radio add dates   11 References   12 External links    Writing and inspiration ( edit )   `` Take It Off '' was written by Kesha , alongside Dr. Luke and Claude Kelly . It was recorded at Conway Recording Studios in Los Angeles , California , and at Dr. Luke 's studio in that city . The song was produced by Luke with vocal editing done by Emily Wright . The main riff of the chorus is the same as that of The Streets of Cairo , also using a similar rhyme scheme and parallel phrasing . During an interview with Esquire magazine Kesha was asked about her song writing process and used `` Take It Off '' as an example of how her songs come to fruition . She explained that the song came about when she was out one night and was visiting a transsexual bar , stating , `` I have a song ( ... ) called ' Take It Off ' about when I went to a drag show , and how really turned on I was by these transvestite men taking clothes off . I was like , What does that even make me ? '' .   Composition ( edit )       `` Take It Off '' `` Take It Off '' is an upbeat dominant song that uses an electro - infused beat with furious crescendos     Problems playing this file ? See media help .     `` Take It Off '' is an upbeat dominant song that utilizes a `` thumping , electro - infused beat with furious crescendos . '' Dr. Luke 's production has been described as a `` bubblegummy electro '' number that uses a nursery rhyme hook in its delivery . Kesha 's vocals on the song were noted for their heavy amounts of Auto - Tune . Daniel Brockman from The Phoenix described the song as `` a heavily Auto - Tuned reworking '' of `` There 's a Place in France '' . Monica Herrera from Billboard however , felt that the song `` lifted heavily from Robert Miles ' 1995 trance - lite hit , `` Children . '' Lyrically , `` Take It Off '' discusses opposite - sex objectification and its theme is literal to the title .   According to sheet music published at Musicnotes.com by Kobalt Music Publishing , the song is written in common time with a moderate beat rate of 125 beats per minute . The song is written in the key of F minor and has the sequence of D ♭ -- E ♭ -- Fm as the chord progression . Kesha 's vocal range in the song spans from the note of F to the note of C. Music reviewer Bill Lamb commented on the lyrical writing of the song noting that the lyrics were symbolic , stating , `` ( the song ) manages to expand out into an anthem about free expression ( ... ) ( a ) celebration of the power of the night , and a bit of alcohol , to help shed inhibitions of the daytime . '' Lamb further commented that the lyrics drew similar reference to that of Lady Gaga 's commenting , `` followers of Lady Gaga 's Monster Ball Tour will be familiar with this point of view ( about free expression ) . ''   Critical reception ( edit )  Kesha performing `` Take It Off '' in Sydney , Australia , on her Get Sleazy Tour  Amar Toor from AOL Radio gave the song a positive review saying , `` Much like the rest of the album , this new song is simply made for the dance floor . And , much like Kesha herself , the track seems to embody relentless , carefree hedonism at its best . '' He also noted , `` And when Kesha talks about a ' place I know ' , where ' they go hardcore and there 's glitter on the floor ' in the style of a six - grade camp ditty , it 's hard for anyone to not feel the urge to just take it off . '' Bill Lamb of About.com gave the single four out of five stars . He was concerned with the overall lyrical depth and over-use of auto - tune but he complimented the song for its `` irresistibly catchy beat and chorus '' with a `` celebratory mood of dropping inhibitions . '' He noted that `` with the volume turned up and the chorus encouraging you to ' take it off , ' you may just feel inspired to follow the commands . The ultimate effect by the end of the song is very cathartic as it hints strongly that there is more to `` take off '' than simply clothing . '' Andrew Burgess from musicOMH wrote that on the song the singer `` oozes swagger . '' Melinda Newman of HitFix used `` Take It Off '' as an example of Kesha 's songwriting , noting that tracks which were n't over-thought were `` fine '' . Newman wrote that `` thinking too much is what gets Kesha , who co-wrote the songs here , in trouble . She 's fine wading in the shallow end with bouncy tunes like the literal ' Take It Off ' . ''   Monica Herrera from Billboard magazine criticized the song for its demonstration of overly processed vocals noting how easily an artist can `` get lost in a sea of auto - tone '' . She went on to state that it `` make ( s ) it hard to tell whether the California party girl can actually sing '' . Robert Copsey of Digital Spy met the song with a mixed review . He commented on the choice of the single , noting `` the glimpses of emotion shown on her last offering , ' Your Love Is My Drug ' , are as long gone as her sobriety . '' Although he was not completely convinced he wrote , `` ( though ) the vocals are more processed than a cheese string ( ... ) the combination of a playful nursery rhyme hook and Dr Luke 's bubblegummy electro production make this a pretty irresistible little dancefloor ditty . '' He went on to give the single three out of five stars . Fraser McAlpine of BBC met the song with a mixed review giving the song three out of five stars . Fraser criticized the choice of the song commenting , `` there 's a fear that if Kesha reveals that she 's a sensitive young flower after all , with real feelings and a good , pure heart , her appeal with disappear like a soap bubble on a cactus , can it ? '' . Nate Adams of No Ripcord was negative in his review of the song , calling it `` outright stupid '' and noted it would be something commonly heard on a playground . Adams wrote that the song touched on opposite - sex objectification , but wrote that the theme became wearisome on the album , using the song as one of the examples where the theme was overused .   Chart performance ( edit )  Kesha performing `` Take It Off '' on the Get Sleazy Tour  In January 2010 , due to strong digital sales , the song charted in the United States , Canada , and the United Kingdom , debuting at numbers 85 , 45 , and 112 respectively . In the United States , the song re-entered the Billboard Hot 100 at number 92 on the issue date of August 7 , 2010 . The song steadily ascended the charts for six weeks before eventually reaching a peak of eight on its eighth week on the chart . With the song charting in the top - ten it became Kesha 's fourth consecutive top - ten single and she became the 11th female artist in history to attain four top - ten singles off of a debut album . In September 2010 , the song received platinum certification by the Recording Industry Association of America ( RIAA ) for sales of 1,000,000 units . With this feat Kesha became the second lead artist , following Lady Gaga , to achieve four million selling songs in 2010 . The song later crossed the two million paid downloads mark in February 2011 , becoming her fifth song to do so . As of June 2011 , the song has sold 2,134,000 copies in the United States . As of March 2016 , `` Take it Off '' has sold 2.5 million digital copies .   In Canada , following its debut on the chart from Animal 's release , the song ascended and descended the chart for 12 weeks before eventually dropping off the chart . On July 13 , 2010 , the song re-entered the chart at 86 . After ascending the chart for seven weeks the single reached an eventual peak of eight . In the United Kingdom , the song was listed on the UK Singles Chart for one week , dropping off the following week . On the issue date of August 28 , 2010 the single re-entered the chart at 44 . After steadily ascending the charts , the song eventually reached a peak of 15 . In New Zealand , `` Take It Off '' entered the chart at 32 on the issue date of July 12 , 2010 . In the succeeding week the single rose ten spots to attain position 22 . The song has since been certified gold by the Recording Industry Association of New Zealand ( RIANZ ) . After eight more weeks of steadily ascending the charts the single reached a peak of 11 on its tenth total week on the chart . On August 22 , 2010 the single entered the Australian Singles Chart at 29 . The song ascended the chart for three weeks eventually reaching a peak of five . It has since been certified two times Platinum by the Australian Recording Industry Association ( ARIA ) for sales of 140,000 units .   Music videos ( edit )   First version ( edit )  A still of the music video that shows Kesha `` unzipping '' herself , transforming into stardust . The scene is intended to be symbolic with the transformation representing letting go of one 's inhibitions .  The original video for `` Take It Off '' premiered on Vevo on August 3 , 2010 . It was directed by Paul Hunter and Dori Oskowitz . Kesha revealed the main idea behind the video in an interview explaining that `` ( the video was ) about ( her ) and all ( her ) hot vampire babe friends breaking into a hotel on another planet , and at the end we all turn into this beautiful stardust . Once you take it all off , all your inhibitions , your clothes , we 're all made up of the same thing . '' She explained that she did not want the video to just be about `` Taking it off '' , that the message behind the video and the theme was n't `` just about taking off your clothes and rolling in glitter . It 's also about taking off your inhibitions and being raw and real '' .   The video starts off with Kesha seen on a motorcycle . She proceeds to walk as her friends follow behind her as they enter a motel area . As the chorus of the song starts , Kesha and her friends start to run around the motel dancing and jumping off railings . The friends gather around an empty pool and start tearing at each other 's clothing ; While this is happening it is revealed they that are on a different planet and Kesha is seen rolling around in sand . Slowly as some of the friends start taking off their clothing , they begin to turn into star dust . The group starts to dance in the pool with some of the party goers exploding into dust . The remainder of the friends continue to dance in the dust that is now covering the bottom of the pool . As this is happening they all begin to lose different parts of their bodies as they explode into multicolored star dust . The video ends with everyone as dust with Kesha beginning to `` unzip '' herself as she turns into yellow dust .   Jocelyn Vena of MTV News met the video with a positive review . She noted that Kesha `` manages to embrace her inner party animal and throw a neon - colored party at an abandoned motel in the middle of nowhere . '' She stated that `` While the concept of `` a lot of pretty people dancing at dusk '' is pretty simple , the neon colors manage to amp up the video , as does the colored sand that 's thrown around in the air and mixed with glitter . '' Her conclusion of the video and of Kesha was that as simple as it may be , `` she manages to be both sexy and fun while rolling around in the desert . '' Melinda Newman of HitFix criticized the video 's first half , calling it `` predictable . '' The video 's second half , however , was met with praise with Newman commenting that the ' special effects at the end almost redeem it . ''   Second version ( edit )  Kesha deflecting a laser beam shot from Star in the music video 's choreographed dance battle sequence . The video is intended to look 80s themed with inspiration drawing from movies of that time .  The song 's second video was released via Kesha 's YouTube account . She revealed the video 's completion , release and inspiration through a video description quote saying , `` heyy to all my fans ! so me ( and ) my friends were bored and we were really channeling some 80 's ( inspiration ) ( Tron , David Bowie in Labyrinth , and Revenge of the Nerds . ) and we made this new video for take it off . it was really fun to make . i hope you guys like it '' . The video was directed by Skinny . This version of the video is known as `` Take it Off ( K $ N ' Friends Version ) '' .   The video begins with a scene of a leopard with glowing blue eyes ( later revealed to be Kesha ) walking down an alleyway . The song 's title flashes on the screen and the video pans to Kesha . She walks down the alleyway with two men who grab another man . Kesha spray - paints a dollar sign on his chest . They come to a party where she and her friends flash their tattooed dollar signs on their wrists and forearms in order to enter . As they enter , everyone starts dancing and the party - goers ' faces are shown changing into different animals ' . In the following scene , Kesha is seen sitting on a chair with two men by her side . Jeffree Star then approaches Kesha . Kesha and Star engage in a choreographed dance battle ; Star then shoots Kesha with a laser chain saw which she deflects with her bracelet , Kesha responds by shooting lasers out of her hands , killing Star . After the battle the party - goers crawl around Kesha and she is seen holding a gold cup with a blue foaming liquid spilling over the top of the glass . As Kesha gives the party goers a drink , their faces turn into different kinds of animals . The video ends with everyone dancing and turning into half animal humans , Kesha however , drinks from the cup and turns back into a leopard .   Live performances ( edit )   On August 13 , 2010 , Kesha performed `` Take It Off '' alongside earlier singles `` Your Love Is My Drug '' and `` Tik Tok '' on NBC 's The Today Show . In the performance , she is seen wearing boots , fishnets , glitter shorts and a loose tank top . By the second verse , her dancers , that are dressed in black start to undress as the chorus starts , revealing gold shirts and tank - tops . The performance featured smoke machines with Kesha playing notes on an electric keyboard while crawling on the floor . She has also performed the song in a set for BBC Radio 1 's Big Weekend . `` Take It Off '' was performed on November 21 , 2010 , at the 2010 American Music Awards . The performance started off with Kesha opening with `` Take It Off '' while playing on the keyboard wearing a glowing robot helmet ; she soon transitioned into `` We R Who We R '' . Kesha also performed the song during her first concert tour , titled Get Sleazy Tour . The song were performed just next to the opening track , `` Sleazy '' .   Track listing ( edit )    Digital download     `` Take It Off '' -- 3 : 35    Credits and personnel ( edit )    Recording     Conway Recording Studios , Los Angeles , California , and at Dr. Luke 's studio , Los Angeles , California .     Personnel     Songwriting -- Kesha Sebert , Lukasz Gottwald , Claude Kelly   Production -- Dr. Luke   Production coordination -- Vanessa Sikberman , Megan Dennis , Becky Scott   Instruments and programming -- Dr. Luke   Vocal Editing -- Emily Wright   Background Vocals -- Claude Kelly , Aniela Gottwald , Tatiana Gottwald , Lukasz Gottwald , Graham Bryce   Engineering -- Emily Wright , Sam Holland    Credits adapted from the liner notes of Animal , Kemosabe Recordings , RCA Records .   Charts and certifications ( edit )      Charts ( edit )     Chart ( 2010 -- 11 )   Peak position     Australia ( ARIA )   5     Belgium ( Ultratop 50 Flanders )   22     Belgium ( Ultratip Wallonia )   22     Canada ( Canadian Hot 100 )   8     Czech Republic ( Rádio Top 100 )   8     Denmark ( Tracklisten )   35     Hungary ( Rádiós Top 40 )       Ireland ( IRMA )   12     Japan ( Japan Hot 100 )   81     Netherlands ( Dutch Top 40 )   21     New Zealand ( Recorded Music NZ )   11     Scotland ( Official Charts Company )   12     Slovakia ( Rádio Top 100 )   10     Spain ( PROMUSICAE )   37     Spanish Airplay Chart   16     Sweden ( Sverigetopplistan )   53     UK Singles ( Official Charts Company )   15     US Billboard Hot 100   8     US Adult Top 40 ( Billboard )   29     US Dance Club Songs ( Billboard )   29     US Dance / Mix Show Airplay ( Billboard )   14     US Mainstream Top 40 ( Billboard )   6     US Rhythmic ( Billboard )   22         Year - end charts ( edit )     Chart ( 2010 )   Position     Australia ARIA Charts   45     Belgium Singles Chart ( Flanders )   98     Canadian Hot 100   48     Hungarian Airplay Chart   54     UK Singles Chart   133     US Billboard Hot 100   59     All - time chart ( edit )     Chart   Position     Australia ( ARIA )   1179     Certifications ( edit )     Region   Certifications     Australia   2 × Platinum     New Zealand   Gold     Sweden   Gold     United Kingdom   Silver     United States   Platinum          Radio add dates ( edit )     Country   Date     United States   July 13 , 2010     Australia   July 19 , 2010     References ( edit )    Jump up ^ Sullivan , Matt ( August 13 , 2009 ) . `` Kesha and the Not - Quite - 72 Virgins in Her Own Personal Heaven '' . Esquire . Hearst Corporation . Archived from the original on June 11 , 2011 . Retrieved July 15 , 2010 .   ^ Jump up to : `` Kesha , ' Take It Off ' -- Composition Sheet Music '' . Musicnotes.com . Kobalt Music Publishing America , Inc . Missing or empty url = ( help ) ; access - date = requires url = ( help )   ^ Jump up to : Toor , Amar ( June 15 , 2010 ) . `` Kesha , ' Take It Off ' -- New Song '' . AOL Radio . AOL Inc . Retrieved 2010 - 06 - 15 .   ^ Jump up to : Copsey , Robert . `` Kesha : ' Take It Off ' '' . Digital Spy . Hachette Filipacchi UK . Retrieved 2010 - 09 - 09 .   ^ Jump up to : Herrera , Monica ( January 6 , 2010 ) . `` Kesha -- Animal -- Album Review '' . Billboard . Prometheus Global Media . Retrieved 2010 - 01 - 17 .   Jump up ^ Brockman , Daniel ( January 8 , 2010 ) . `` Kesha Animal '' . The Phoenix . Phoenix Media / Communications Group . Retrieved 2010 - 07 - 09 .   ^ Jump up to : Newman , Melinda ( January 4 , 2010 ) . `` Album review : Ke $ ha 's ' Animal ' aims straight for the party girls '' . HitFix . Retrieved 2012 - 05 - 13 .   ^ Jump up to : Adams , Nate ( January 19 , 2010 ) . `` Ke $ ha Animal ( RCA Records ) '' . No Ripcord . Retrieved 2012 - 05 - 13 .   ^ Jump up to : Lamb , Bill ( August 18 , 2010 ) . `` Kesha -- `` Take It Off '' `` . About.com . The New York Times Company . Archived from the original on March 4 , 2016 . Retrieved April 22 , 2016 .   Jump up ^ Burgess , Andrew ( February 1 , 2010 ) . `` Ke $ ha -- Animal '' . MusicOMH . Retrieved 2012 - 05 - 13 .   Jump up ^ McAlpine , Fraser ( September 13 , 2010 ) . `` Kesha -- ' Take It Off ' '' . BBC Chart Blog . British Broadcasting Corporation . Retrieved 2010 - 09 - 13 .   Jump up ^ `` Billboard ( January 23 , 2010 ) Take It Off US Entry '' . Billboard . Prometheus Global Media . Retrieved 2010 - 06 - 25 .   ^ Jump up to : `` Billboard ( January 23 , 2010 ) Take It Off Canadian Entry '' . Billboard . Prometheus Global Media . Retrieved 2010 - 06 - 25 .   ^ Jump up to : `` The Official UK Singles Chart for the week ending February 13 , 2010 '' . ChartsPlus . Milton Keynes : IQ Ware Ltd ( 442 ) : 3 . access - date = requires url = ( help )   Jump up ^ `` Billboard ( August 7 , 2010 ) Take It Off US Re-Entry '' . Billboard . Prometheus Global Media . Retrieved 2010 - 07 - 29 .   ^ Jump up to : `` Ke $ ha Chart History ( Hot 100 ) '' . Billboard . Retrieved 2010 - 06 - 25 .   Jump up ^ Trust , Gary ( September 3 , 2010 ) . `` Ke $ ha ' Takes Off ' with Fourth Top 10 from Debut Album '' . Billboard . Prometheus Global Media . Archived from the original on December 9 , 2012 . Retrieved 2012 - 02 - 17 .   ^ Jump up to : `` Gold &amp; Platinum : Kesha Singles and Albums '' . Recording Industry Association of America . Retrieved 2010 - 10 - 05 .   Jump up ^ Grein , Paul ( September 15 , 2010 ) . `` Week Ending Sept. 12 , 2010 : The Dulcet Tones Of Bruno Mars '' . Yahoo Music . Yahoo !. Retrieved 2011 - 04 - 24 .   Jump up ^ Grein , Paul ( February 23 , 2011 ) . `` Ke $ ha 's `` Take It Off '' tops the 2 million mark `` . Yahoo Music . Yahoo !. Retrieved 2010 - 02 - 24 .   Jump up ^ Grein , Paul ( May 15 , 2011 ) . `` Week Ending June 12 , 2011 . Songs : The Odd Couples '' . Chart Watch . Yahoo ! Inc . Retrieved 2011 - 05 - 15 .   Jump up ^ Gary Trust ( 2016 - 06 - 03 ) . `` Ask Billboard : Rihanna 's Record Streak of Seven Studio Albums With Hot 100 No. 1s '' . Nielsen . Billboard . Retrieved 2018 - 01 - 09 .   Jump up ^ `` Billboard ( July 31 , 2010 ) Take It Off Canadian Re-Entry '' . Billboard . Prometheus Global Media . Retrieved 2010 - 06 - 25 .   ^ Jump up to : `` Ke $ ha Chart History ( Canadian Hot 100 ) '' . Billboard . Retrieved 2010 - 06 - 25 .   ^ Jump up to : `` Kesha : Artist Chart History '' . Official Charts Company . Retrieved 2010 - 09 - 18 .   ^ Jump up to : `` Charts.nz -- Ke $ ha -- Take It Off '' . Top 40 Singles . Retrieved 2010 - 09 - 07 .   ^ Jump up to : `` October 3 , 2010 : Radio Scope '' . Recording Industry Association of New Zealand . Archived from the original on July 24 , 2011 . Retrieved October 15 , 2010 .   ^ Jump up to : `` Australian-charts.com -- Ke $ ha -- Take It Off '' . ARIA Top 50 Singles . Retrieved 2010 - 08 - 16 .   ^ Jump up to : `` ARIA Charts -- Accreditations -- 2011 Singles '' . Australian Recording Industry Association . March 31 , 2011 . Retrieved 2011 - 04 - 04 .   Jump up ^ Wete , Brad ( August 3 , 2010 ) . `` Kesha and friends have a psychedelic party in her new `` Take It Off '' Video `` . Music Mix . Entertainment Weekly . Retrieved 2010 - 08 - 03 .   Jump up ^ Gottlieb , Steven ( June 29 , 2010 ) . `` BOOKED : Kesha -- Paul Hunter + Dori Oskowitz , dir '' . Video Static . Retrieved 2010 - 07 - 03 .   Jump up ^ Escudero , Nicki ( July 20 , 2010 ) . `` Kesha Comes to Marquee Theatre ; Talks Roadkill , Glitter and ' SNL ' '' . Phoenix News Times . Retrieved 2010 - 07 - 20 .   Jump up ^ Montgomery , James ( July 21 , 2010 ) . `` Kesha Strips Down And Glitters Up In ' Take It Off ' Video Singer says getting naked in the new clip is all about being ' raw and real . ' '' . MTV News . MTV Networks ( Viacom ) . Retrieved 2010 - 07 - 21 .   Jump up ^ `` Ke $ ha - Take It Off '' . YouTube . August 10 , 2010 . Retrieved January 9 , 2018 .   Jump up ^ Vena , Jocelyn ( August 3 , 2010 ) . `` Kesha Throws A Desert Party In ' Take It Off ' Video '' . MTV News . MTV Networks ( Viacom ) . Retrieved 2010 - 08 - 04 .   Jump up ^ Newman , Melinda ( August 5 , 2010 ) . `` Watch : Kesha 's new video for ' Take It Off , ' in which she remains surprisingly clothed '' . HitFix . Retrieved 2012 - 05 - 13 .   ^ Jump up to : Brockington , Ryan ( October 7 , 2010 ) . `` Kesha releases ' Take It Off ' Pt. 2 -- my insides feel like burning '' . NY Post . NYP Holdings , Inc . Retrieved 2010 - 10 - 07 .   Jump up ^ Animal + Cannibal ( liner notes ) . Kesha . RCA Records . 2010 .   Jump up ^ `` Spotted : Kesha Heats Up ' Today ' '' . MTV Newsroom . MTV Networks . Archived from the original on May 24 , 2012 . Retrieved August 13 , 2010 .   Jump up ^ Vick , Megan ( August 13 , 2010 ) . `` Kesha performs on `` Today '' show `` . Billboard . Nielsen Business Media . Archived from the original on November 22 , 2012 . Retrieved 2010 - 08 - 14 .   Jump up ^ `` BBC -- Radio 1 's Big Weekend -- Kesha '' . BBC . Retrieved 2010 - 08 - 06 .   ^ Jump up to : Vena , Jocelyn ( November 21 , 2010 ) . `` Kesha Proclaims ' We R Who We R ' At AMAs Kesha destroys hate with her American Music Awards performance '' . MTV News . MTV Networks ( Viacom ) . Retrieved 2010 - 11 - 22 .   Jump up ^ Lore , Mark ( February 16 , 2011 ) . `` Ke $ ha Kicks Off Her ' Get $ leazy ' Tour '' . Spin Magazine . Spin Media . Retrieved 2011 - 02 - 16 .   Jump up ^ `` Take It Off ( United States Album Track listing ) '' . Itunes . Apple Inc . Retrieved 2010 - 08 - 03 .   Jump up ^ Animal digital album booklet via iTunes . RCA ( Media notes ) .   Jump up ^ `` Ultratop.be -- Ke $ ha -- Take It Off '' ( in Dutch ) . Ultratop 50 . Retrieved 2010 - 09 - 10 .   Jump up ^ `` Ultratop.be -- Ke $ ha -- Take It Off '' ( in French ) . Ultratip . Retrieved 2010 - 09 - 10 .   Jump up ^ `` ČNS IFPI '' ( in Czech ) . Hitparáda -- Radio Top 100 Oficiální . IFPI Czech Republic . Note : insert 201044 into search . Retrieved 2010 - 11 - 11 .   Jump up ^ `` Danishcharts.com -- Ke $ ha -- Take It Off '' . Tracklisten . Retrieved 2010 - 09 - 27 .   Jump up ^ `` Archívum -- Slágerlisták -- MAHASZ '' ( in Hungarian ) . Rádiós Top 40 játszási lista . Magyar Hanglemezkiadók Szövetsége . Retrieved 2010 - 12 - 16 .   Jump up ^ `` Chart Track : Week 37 , 2010 '' . Irish Singles Chart . Retrieved 2010 - 09 - 17 .   Jump up ^ `` Ke $ ha Chart History ( Japan Hot 100 ) '' . Billboard .   Jump up ^ `` Nederlandse Top 40 -- Ke $ ha '' ( in Dutch ) . Dutch Top 40 . Retrieved 2010 - 09 - 17 .   Jump up ^ `` Official Scottish Singles Sales Chart Top 100 '' . Official Charts Company . Retrieved 2011 - 04 - 30 .   Jump up ^ `` SNS IFPI '' ( in Slovak ) . Hitparáda -- Radio Top 100 Oficiálna . IFPI Czech Republic . Note : insert 201041 into search . Retrieved 2011 - 02 - 23 .   Jump up ^ `` Spanishcharts.com -- Ke $ ha -- ( ( ( song ) ) ) '' Canciones Top 50 . Retrieved 2011 - 02 - 23 .   Jump up ^ `` Promusicae ( Week : January 1 , 2010 ) '' ( PDF ) . Retrieved July 13 , 2010 .   Jump up ^ `` Swedishcharts.com -- Ke $ ha -- Take It Off '' . Singles Top 100 . Retrieved 2010 - 09 - 17 .   Jump up ^ `` Ke $ ha Chart History ( Adult Pop Songs ) '' . Billboard . Retrieved 2010 - 11 - 03 .   Jump up ^ `` Ke $ ha Chart History ( Dance Club Songs ) '' . Billboard . Retrieved 2010 - 11 - 03 .   Jump up ^ `` Ke $ ha Chart History ( Dance Mix / Show Airplay ) '' . Billboard . Retrieved 2010 - 11 - 03 .   Jump up ^ `` Ke $ ha Chart History ( Pop Songs ) '' . Billboard . Retrieved 2010 - 11 - 03 .   Jump up ^ `` Ke $ ha Chart History ( Rhythmic ) '' . Billboard . Retrieved 2010 - 11 - 03 .   Jump up ^ `` ARIA Charts -- End Of Year Charts -- Top 100 Singles 2010 '' . Australian Recording Industry Association . Retrieved 2011 - 01 - 14 .   Jump up ^ `` Annual 2010 '' . Ultratop . Retrieved 2012 - 01 - 10 .   Jump up ^ `` Best Of 2010 Canadian Hot 100 Songs '' . Billboard . Prometheus Global Media . Retrieved 2011 - 01 - 14 .   Jump up ^ `` MAHASZ Rádiós TOP 100 2010 '' ( in Hungarian ) . Mahasz . Retrieved March 10 , 2011 .   Jump up ^ `` End Of Year Charts : 2010 '' ( PDF ) . UKChartsPlus . Retrieved 2011 - 08 - 10 .   Jump up ^ `` Best Of 2010 Hot 100 Songs '' . Billboard . Prometheus Global Media . Retrieved 2011 - 01 - 14 .   Jump up ^ `` ARIA Charts -- Best of all time chart -- Top 1000 Singles '' . Retrieved November 21 , 2016 .   Jump up ^ `` Sverigetopplistan : Kesha - Take It Off '' ( To access certification , one must search ( Sök ) for `` Take it Off '' or `` Kesha Take it Off '' and click the `` Visa '' button . ) ( in Swedish ) . Sverigetopplistan . Grammofonleverantörernas förening . Retrieved 2013 - 07 - 18 .   Jump up ^ `` British single certifications -- Kesha -- Take It Off '' . British Phonographic Industry . Retrieved December 21 , 2014 . Select singles in the Format field . Enter Take It Off in the search field and then press Enter .   Jump up ^ `` Available For Airplay : 7 / 13 Rhythm Crossover '' . FMQB . Friday Morning Quarterback . Retrieved 2010 - 07 - 30 .   Jump up ^ `` Issue 796 -- Kesha Take It Off ( SME ) '' . The Music Network . Peer Group Media . Archived from the original on August 24 , 2010 . Retrieved July 21 , 2010 .    External links ( edit )    Ke $ ha -- Take It Off ( Music Video )              Kesha       Discography   Videography   Songs   Awards and nominations       Studio albums     Animal   Warrior   Rainbow       Compilation albums     I Am the Dance Commander + I Command You to Dance : The Remix Album       Extended plays     Cannibal   Deconstructed       Singles     `` Tik Tok ''   `` Blah Blah Blah ''   `` Your Love Is My Drug ''   `` Take It Off ''   `` We R Who We R ''   `` Blow ''   `` Die Young ''   `` C'Mon ''   `` Crazy Kids ''   `` True Colors ''   `` Praying ''   `` Learn to Let Go ''   `` Woman ''       Featured singles     `` Right Round ''   `` Dirty Picture ''   `` My First Kiss ''   `` Timber ''   `` Good Old Days ''       Promotional singles     `` Sleazy ''   `` Hymn ''   `` This Is Me ''       Other songs     `` Stephen ''   `` Dinosaur ''   `` Till the World Ends ''   `` Old Flames Ca n't Hold a Candle to You ''       Concert tours     Get Sleazy Tour   North American Tour 2013   Warrior Tour   Kesha and the Creepies : Fuck the World Tour   Rainbow Tour   The Adventures of Kesha and Macklemore       Related articles     Pebe Sebert   Kesha : My Crazy Beautiful Life   My Crazy Beautiful Life   Kesha v. Dr. Luke         Book     Portal        Retrieved from `` https://en.wikipedia.org/w/index.php?title=Take_It_Off_(Kesha_song)&amp;oldid=846153239 '' Categories :   2010 singles   Kesha songs   Music videos directed by Paul Hunter ( director )   Songs written by Dr. Luke   Song recordings produced by Dr. Luke   Songs written by Kesha   Songs written by Claude Kelly   2010 songs   RCA Records singles   Hidden categories :   Pages using web citations with no URL   Pages using citations with accessdate and no URL   CS1 Hungarian - language sources ( hu )   CS1 Swedish - language sources ( sv )   Use mdy dates from June 2013   Articles with hAudio microformats   Singlechart usages for Australia   Singlechart usages for Belgium ( Flanders )   Singlechart usages for Belgium ( Wallonia ) Tip   Singlechart usages for Canada   Singlechart usages for Czech Republic   Singlechart called without song   Singlechart usages for Denmark   Singlechart usages for Hungary   Singlechart usages for Ireland   Singlechart usages for Billboardjapanhot100   Singlechart usages for Dutch40   Singlechart usages for New Zealand   Singlechart usages for Scotland </t>
  </si>
  <si>
    <t xml:space="preserve">what does kesha's song take it off mean</t>
  </si>
  <si>
    <t xml:space="preserve"> `` Take It Off '' was written by Kesha , alongside Dr. Luke and Claude Kelly . It was recorded at Conway Recording Studios in Los Angeles , California , and at Dr. Luke 's studio in that city . The song was produced by Luke with vocal editing done by Emily Wright . The main riff of the chorus is the same as that of The Streets of Cairo , also using a similar rhyme scheme and parallel phrasing . During an interview with Esquire magazine Kesha was asked about her song writing process and used `` Take It Off '' as an example of how her songs come to fruition . She explained that the song came about when she was out one night and was visiting a transsexual bar , stating , `` I have a song ( ... ) called ' Take It Off ' about when I went to a drag show , and how really turned on I was by these transvestite men taking clothes off . I was like , What does that even make me ? '' . </t>
  </si>
  <si>
    <r>
      <rPr>
        <sz val="11"/>
        <color rgb="FF000000"/>
        <rFont val="Calibri"/>
        <family val="0"/>
        <charset val="1"/>
      </rPr>
      <t xml:space="preserve">Gaspar - wikipedia  Gaspar  Jump to : navigation , search  Gaspar is a given and / or surname of French , German , Hungarian , Italian , Portuguese , and Spanish origin that could refer to :     Contents  ( hide )   1 Names   2 Places   3 In fiction   4 See also      Names ( edit )    The original spelling of Casper ; a male 's given name   Saint Caspar , the traditional name of one of the Wise Men in the Gospel of Matthew .   The name of Arthur 's dog in Karl Pearson 's novelette `` The New Werther '' . ( `` Gaspar , faithful hound , who roved / Where'er his master went , beyond all else beloved . '' )   Roberto Luís Gaspar de Deus Severo , Portuguese footballer commonly known as Beto   Álvaro Gaspar , former Portuguese footballer   Alexandre - Pierre Gaspar , French information architect   Alfredo Rodrigues Gaspar , Portuguese military officer and politician   Boom Gaspar , American piano / keyboard / organ player   Chuck Gaspar ( 1938 - 2009 ) , American special effects artist   Eduardo César Gaspar , Brazilian footballer commonly known as Edu   Enrique Gaspar y Rimbau , Spanish play - wright ( 1842 - 1902 )   Hugo Gaspar , Portuguese volleyball   José Gaspar ( also known as Gasparilla ) , a mythical Spanish pirate supposedly based in southwest Florida during the late 17th and early 18th centuries   Odirlei de Souza Gaspar , Brazilian footballer   Rod Gaspar , former baseball player   Gaspar Araújo , Portuguese long jumper   Gaspar Azevedo , Portuguese footballer   Gaspar Bergman , Canadian film director   Gaspar Cassadó , Spanish cellist and musical composer   Gaspar Corte - Real , Portuguese explorer   Gaspar Flores de Abrego ( 1781 -- 1836 ) , Texan who fought alongside the colonists of Austin ; and San Antonio ruled four times ( 1819 , 1824 , 1829 and 1834 ) .   Gaspar DiGregorio , Italian - American organized - crime figure   Gaspar Fagel , 17th - century Dutch statesman   Gaspar Fernandes , 16th - century Portuguese musical composer   Gaspar Gálvez Burgos , Spanish footballer known simply as Gaspar   Gaspar Méndez ( fl. 1546 ) , Spanish architect of Badajoz   Gaspar Méndez de Haro , 7th Marquis of Carpio , 17th - century Spanish political figure   Gaspar Milazzo , Italian - American organized - crime figure   Gaspar Noé , French filmmaker   Gaspar de Portolà , Spanish soldier then governor   Gaspar Saladino , longtime comic book letterer and logo designer   Gaspar Sanz ( 1640 -- 1710 ) , Aragonese baroque composer , guitarist , organist and priest .   Manuel Gaspar Haro , Spanish footballer   Gaspar Yanga , Leader of successful slave revolt in Mexico 1570    Places ( edit )    Gaspar , Santa Catarina , a town in Brazil   Gaspar , Cuba   Gaşpar , Moldova   Gaspar , Gaspra or Gasparalı   Gaspar Strait , a waterway in Indonesia    In fiction ( edit )    Gaspar , a character in Chrono Trigger   a Muppet character in Barrio Sesamo   one of the spells in the `` Zork '' series   the name of a Buddhist monk who Joshua ( Jesus Christ ) visits in his quest to learn the Divine spark in the book Lamb : The Gospel According to Biff , Christ 's Childhood Pal by Christopher Moore .   one of three components of the MAGI supercomputer from the anime Neon Genesis Evangelion   A planet in the Ratchet &amp; Clank series , normally the first Ratchet &amp; Clank game   Gaspar one of the three Magi mentioned in the famous novel Ben - Hur : A Tale of the Christ by Lew Wallace .   One of the The Simpsons ' cartoon characters name in the Spanish version of The Simpsons - Jasper .   Gaspar , a character in the 2012 novel Unholy Night by Seth Grahame - Smith   Gaspar de la Croix , A templar agent in Assassin 's Creed Brotherhood .   The title character in Joseph Conrad 's story Gaspar Ruiz    See also ( edit )    Gaspard ( disambiguation )        This disambiguation page lists articles associated with the title Gaspar . If an internal link led you here , you may wish to change the link to point directly to the intended article .    Retrieved from `` https://en.wikipedia.org/w/index.php?title=Gaspar&amp;oldid=788359186 '' Categories :   Disambiguation pages   Hidden categories :   All article disambiguation pages   All disambiguation pages           Talk                                           Contents                   About Wikipedia                                           Cebuano   Deutsch   Español   Français   Nederlands   </t>
    </r>
    <r>
      <rPr>
        <sz val="11"/>
        <color rgb="FF000000"/>
        <rFont val="Noto Sans CJK SC"/>
        <family val="2"/>
      </rPr>
      <t xml:space="preserve">日本 語   </t>
    </r>
    <r>
      <rPr>
        <sz val="11"/>
        <color rgb="FF000000"/>
        <rFont val="Calibri"/>
        <family val="0"/>
        <charset val="1"/>
      </rPr>
      <t xml:space="preserve">Norsk   Português   Русский   Svenska   Edit links   This page was last edited on 1 July 2017 , at 00 : 17 .         About Wikipedia                  </t>
    </r>
  </si>
  <si>
    <t xml:space="preserve">where does the last name gaspar come from</t>
  </si>
  <si>
    <t xml:space="preserve"> Gaspar is a given and / or surname of French , German , Hungarian , Italian , Portuguese , and Spanish origin that could refer to : </t>
  </si>
  <si>
    <t xml:space="preserve">Vietnam War - wikipedia  Vietnam War  Jump to : navigation , search `` The Vietnam War '' redirects here . For the 2017 film , see The Vietnam War ( film ) . For a list of wars throughout the history of Vietnam , see List of wars involving Vietnam .    Vietnam War ( Chiến tranh Việt Nam )     Part of the Indochina Wars and the Cold War     Clockwise , from top left : U.S. combat operations in Ia Drang , ARVN Rangers defending Saigon during the 1968 Tet Offensive , two A-4C Skyhawks after the Gulf of Tonkin incident , ARVN recapture Quảng Trị during the 1972 Easter Offensive , civilians fleeing the 1972 Battle of Quảng Trị , and burial of 300 victims of the 1968 Huế Massacre .        Date   1 November 1955 -- 30 April 1975 ( 1975 - 04 - 30 ) ( 19 years , 5 months , 4 weeks and 1 day )     Location   South Vietnam , North Vietnam , Cambodia , Laos     Result    North Vietnamese victory    Withdrawal of American - led forces from Indochina   Communist governments take power in South Vietnam , Cambodia and Laos   South Vietnam is annexed by North Vietnam       Territorial changes   Reunification of North and South Vietnam into the Socialist Republic of Vietnam .        Belligerents      South Vietnam United States South Korea Thailand Australia Philippines New Zealand Khmer Republic Kingdom of Laos   Military support : Republic of China  Other support ( show )   Malaysia   Spain   Canada   Iran   West Germany   Brazil   Japan      North Vietnam Viet Cong Khmer Rouge Pathet Lao People 's Republic of China North Korea Military support : Soviet Union Cuba  Other support ( show )   Czechoslovakia   Bulgaria   East Germany   Romania   Poland   Hungary   Sweden       Commanders and leaders     Ngô Đình Diệm † Nguyễn Văn Thiệu Nguyễn Cao Kỳ Cao Văn Viên Ngô Quang Trưởng John F. Kennedy Lyndon B. Johnson Richard Nixon Gerald Ford Robert McNamara William Westmoreland Creighton Abrams Frederick C. Weyand Park Chung - hee Thanom Kittikachorn Robert Menzies Harold Holt John McEwen John Gorton William McMahon Ferdinand Marcos Keith Holyoake Jack Marshall Norman Kirk ... and others   Ho Chi Minh Lê Duẩn Võ Nguyên Giáp Văn Tiến Dũng Lê Trọng Tấn Phạm Văn Đồng Hoàng Văn Thái Trần Văn Trà Nguyễn Văn Linh Nguyễn Hữu Thọ ... and others     Strength      ≈ 1,830,000 ( 1968 ) South Vietnam : 850,000 ( 1968 ) 1,500,000 ( 1974 -- 75 )  United States : 543,000 ( April 1969 ) South Korea : 50,003 Thailand : 11,586 Australia : 7,672 Philippines : 2,061 New Zealand : 552    ≈ 461,000  North Vietnam : 287,465 ( January 1968 ) Viet Cong : 108,000 -- 114,000 ( estimated in 1964 ) China : 170,000 ( 1965 -- 69 ) North Korea : 200     Casualties and losses      South Vietnam 195,000 -- 430,000 civilian dead 220,357 -- 313,000 military dead 1,170,000 wounded United States 58,318 dead ; 303,644 wounded ( including 150,341 not requiring hospital care ) South Korea 5,099 dead ; 10,962 wounded ; 4 missing Australia 521 dead ; 3,129 wounded Thailand 351 dead ; 1,358 wounded New Zealand 37 dead ; 187 wounded Republic of China 25 dead ; Philippines 9 dead ; 64 wounded  Total dead : 479,668 -- 807,311 Total wounded : ≈ 1,340,000 +    North Vietnam &amp; Viet Cong 65,000 civilian dead 444,000 -- 1,100,000 military dead or missing 600,000 + wounded China ≈ 1,100 dead and 4,200 wounded North Korea 14 dead  Total dead : 510,114 -- 1,166,114 Total wounded : ≈ 604,200      Vietnamese civilian dead : 627,000 -- 2,000,000 Vietnamese total dead : 966,000 -- 3,812,000 Cambodian Civil War dead : 240,000 -- 300,000 * Laotian Civil War dead : 20,000 -- 62,000 * Non-Indochinese military dead ( sum ) : 65,425 Total dead ( sum ) : 1,291,425 -- 4,211,451 For more information see Vietnam War casualties and Aircraft losses of the Vietnam War  * indicates approximations , see Casualties below               Indochina Wars       Masterdom   First   Second   Laotian Civil War   Cambodian Civil War     Third   Cambodian - Vietnamese   Cambodian - Thai border     Sino - Vietnamese   border conflicts       Hmong insurgency   FULRO insurgency against Vietnam                 Military engagements of the Vietnam War     Guerrilla phase   Laos   Chopper   Sunrise   1st Ap Bac   Go Cong   Hiep Hoa   34A   Long Dinh   Kien Long   Quyet Thang 202   Bien Hoa Airbase   USNS Card   Nam Dong   An Lao   Binh Gia   Camp Holloway   Song Be   Ba Gia   Dong Xoai   Ka Nak   Deo Nhong    American intervention    Nui Thanh   Chu Lai   Starlite   Piranha   An Ninh   Plei Me   Marble Mountain   Minh Thanh   Hump   Dong Duong   Cam Khe   Gang Toi   1st Bau Bang   Bushmaster II   Ia Drang   Crimp   Masher / White Wing   Bong Son   Suoi Bong Trang   Kim Son Valley   New York   Cocoa Beach   Utah   A Shau   Oregon   Texas   Ha Vy   Birmingham   Xa Cam My   Davy Crockett   Paul Revere   Crazy Horse   El Paso   Hawthorne   Hill 488   1st Dong Ha   Wahiawa   Hastings   Minh Thanh Road   Prairie   Colorado   Duc Co   Long Tan   Amarillo   Thayer   Attleboro   Irving   Tan Son Nhut airbase   Lam Son II   Firebase Bird   SS Baton Rouge Victory   Shenandoah   Paul Revere IV   Thayer II   Deckhouse V   Cedar Falls   Tuscaloosa   Desoto   Tra Binh Dong   Sam Houston   Bribie   Junction City ( 1st Prek Klok   2nd Prek Klok   Ap Gu   Suoi Tre   2nd Bau Bang )   Francis Marion   Beaver Cage   Union   The Hill Fights   1st Con Thien   Malheur I and Malheur II   Baker   Nine Days in May   Union II   Vinh Huy   Concordia   Buffalo   2nd Con Thien   Hong Kil Dong   Suoi Chau Pha   Swift   Dong Son   Wheeler / Wallowa   3rd Con Thien   Medina   Ong Thanh   1st Loc Ninh   Kingfisher   Kentucky   Lancaster   1st Dak To   Tam Quan   Thom Tham Khe   Phoenix   Vuon Dieu - Bau Nau   Auburn    1968    New Year 's Day Battle of 1968   Khe Sanh   Coburg   Tet Offensive   1st Saigon   Hue   1st Quảng Trị   Ban Houei Sane   Lang Vei   Lima Site 85   My Lai Massacre   Pegasus   Toan Thang I   Scotland II   Delaware   2nd Dong Ha   Allen Brook   May ' 68   Kham Duc   Coral -- Balmoral   Mameluke Thrust   Robin   Duc Lap   Maui Peak   Meade River   Speedy Express    Drawdown 1969 -- 71    Bold Mariner   Dewey Canyon   Taylor Common   2nd Tet   Purple Martin   Massachusetts Striker   Maine Crag   Montana Mauler   Oklahoma Hills   Virginia Ridge   Apache Snow   Hamburger Hill   Twinkletoes   Binh Ba   LZ Kate   Bu Prang   Texas Star   Chicago Peak   FSB Ripcord   1st Cambodia   Kompong Speu   Prey Veng   2nd Cambodia   Snuol   Tailwind   Jefferson Glenn   Hat Dich   Lam Son 719   Son Tay Raid   Chenla I   Chenla II   FSB Mary Ann   Long Khanh   Nui Le    Easter Offensive    2nd Quang Trị   3rd Quang Trị   2nd Loc Ninh   An Lộc   3rd Dong Ha   2nd Dak To   Kontum   Thunderhead    Post-Paris Peace Accords ( 1973 -- 1974 )    Cửa Việt   Ap Da Bien   Svay Rieng   Iron Triangle   Thượng Đức    Spring ' 75    Phuoc Long   Ban Me Thuot   Hue -- Da Nang   Phan Rang   Xuân Lộc   Newport Bridge   Rach Chiec Bridge   2nd Saigon    Air operations    Farm Gate   Chopper   Ranch Hand   Pierce Arrow   Barrel Roll   Pony Express   Flaming Dart   Iron Hand   Rolling Thunder   Steel Tiger   Arc Light   Tiger Hound   Shed Light   Thanh Hoa   Bolo   Popeye   Yen Vien   Niagara   Niagara II   1st Do Luong   2nd Do Luong   Igloo White   Giant Lance   Commando Hunt   Menu   Patio   Freedom Deal   Linebacker I   Enhance Plus   Linebacker II   Homecoming   Tan Son Nhut Air Base   Babylift   New Life   Eagle Pull   Frequent Wind    Naval operations    Yankee &amp; Dixie Stations   Gulf of Tonkin   Market Time   Vung Ro Bay   Game Warden   Double Eagle   PIRAZ   Sea Dragon   Deckhouse Five   Bo De River , Nha Trang , Tha Cau River   Sealords   Đồng Hới   Pocket Money   Custom Tailor   End Sweep   Paracel Islands   East Sea   Mayaguez incident       The Vietnam War ( Vietnamese : Chiến tranh Việt Nam ) , also known as the Second Indochina War , and known in Vietnam as the Resistance War Against America ( Vietnamese : Kháng chiến chống Mỹ ) or simply the American War , was a war that occurred in Vietnam , Laos , and Cambodia from 1 November 1955 to the fall of Saigon on 30 April 1975 . It was the second of the Indochina Wars and was officially fought between North Vietnam and the government of South Vietnam . The North Vietnamese army was supported by the Soviet Union , China and other communist allies and the South Vietnamese army was supported by the United States , South Korea , Australia , Thailand and other anti-communist allies . The war is therefore considered a Cold War - era proxy war .   The Viet Cong ( also known as the National Liberation Front , or NLF ) , a South Vietnamese communist common front aided by the North , fought a guerrilla war against anti-communist forces in the region , while the People 's Army of Vietnam , also known as the North Vietnamese Army ( NVA ) , engaged in more conventional warfare , at times committing large units to battle . As the war continued , the military actions of the Viet Cong decreased as the role and engagement of the NVA grew . U.S. and South Vietnamese forces relied on air superiority and overwhelming firepower to conduct search and destroy operations , involving ground forces , artillery , and airstrikes . In the course of the war , the U.S. conducted a large - scale strategic bombing campaign against North Vietnam .   The North Vietnamese government and the Viet Cong were fighting to reunify Vietnam . They viewed the conflict as a colonial war and a continuation of the First Indochina War against forces from France and later on the United States . The U.S. government viewed its involvement in the war as a way to prevent a communist takeover of South Vietnam . This was part of the domino theory of a wider containment policy , with the stated aim of stopping the spread of communism .   Beginning in 1950 , American military advisors arrived in what was then French Indochina . U.S. involvement escalated in the early 1960s , with troop levels tripling in 1961 and again in 1962 . U.S. involvement escalated further following the 1964 Gulf of Tonkin incident , in which a U.S. destroyer clashed with North Vietnamese fast attack craft , which was followed by the Gulf of Tonkin Resolution , which gave the U.S. president authorization to increase U.S. military presence . Regular U.S. combat units were deployed beginning in 1965 . Operations crossed international borders : bordering areas of Laos and Cambodia were heavily bombed by U.S. forces as American involvement in the war peaked in 1968 , the same year that the communist side launched the Tet Offensive . The Tet Offensive failed in its goal of overthrowing the South Vietnamese government , but became the turning point in the war , as it persuaded a large segment of the U.S. population that its government 's claims of progress toward winning the war were illusory despite many years of massive U.S. military aid to South Vietnam .   Gradual withdrawal of U.S. ground forces began as part of `` Vietnamization '' , which aimed to end American involvement in the war while transferring the task of fighting the communists to the South Vietnamese themselves . Despite the Paris Peace Accord , which was signed by all parties in January 1973 , the fighting continued . In the U.S. and the Western world , a large anti-Vietnam War movement developed as part of a larger counterculture . The war changed the dynamics between the Eastern and Western Blocs , and altered North -- South relations .   Direct U.S. military involvement ended on 15 August 1973 . The capture of Saigon by the North Vietnamese Army in April 1975 marked the end of the war , and North and South Vietnam were reunified the following year . The war exacted a huge human cost in terms of fatalities ( see Vietnam War casualties ) . Estimates of the number of Vietnamese soldiers and civilians killed vary from 966,000 to 3.8 million . Some 240,000 -- 300,000 Cambodians , 20,000 -- 62,000 Laotians , and 58,220 U.S. service members also died in the conflict , and a further 1,626 remain missing in action .     Contents  ( hide )   1 Names for the war   2 Background to 1949   3 Exit of the French , 1950 -- 54   4 Transition period   5 Diệm era , 1955 -- 63   5.1 Rule   5.2 Insurgency in the South , 1954 -- 60   5.2. 1 North Vietnamese involvement       6 Kennedy 's escalation , 1961 -- 63   6.1 Ousting and assassination of Ngô Đình Diệm     7 Johnson 's escalation , 1963 -- 69   7.1 Escalation and ground war   7.2 Tet Offensive     8 Vietnamization , 1969 -- 72   8.1 Nixon Doctrine / Vietnamization   8.2 Cambodia and Laos   8.3 1972 election and Paris Peace Accords     9 Opposition to U.S. involvement in the Vietnam War : 1962 -- 1973   10 Exit of the Americans : 1973 -- 75   10.1 Campaign 275   10.2 Final North Vietnamese offensive   10.3 Fall of Saigon     11 Other countries ' involvement   11.1 Pro-Hanoi   11.1. 1 People 's Republic of China   11.1. 2 Soviet Union   11.1. 3 North Korea   11.1. 4 Cuba     11.2 Pro-Saigon   11.2. 1 South Korea   11.2. 2 Australia and New Zealand   11.2. 3 Philippines   11.2. 4 Thailand   11.2. 5 Republic of China ( Taiwan )   11.2. 6 Brazil     11.3 Canada and the ICC     12 United Front for the Liberation of Oppressed Races ( FULRO )   13 War crimes   13.1 Allied war crimes   13.2 North Vietnamese , Viet Cong , and Khmer Rouge war crimes     14 Women in the Vietnam War   14.1 American nurses   14.2 Vietnamese women     15 Black servicemen in Vietnam   16 Weapons   16.1 Radio communications   16.2 Extent of U.S. bombing     17 Aftermath   17.1 Events in Southeast Asia   17.2 Effect on the United States   17.3 Impact on the U.S. military   17.4 Effects of U.S. chemical defoliation   17.5 Casualties   17.6 In popular culture     18 See also   19 Annotations   20 Notes   21 References   21.1 Secondary sources   21.2 Primary sources   21.3 Historiography     22 External links      Names for the War  Further information : Terminology of the Vietnam War  Various names have been applied to the conflict . Vietnam War is the most commonly used name in English . It has also been called the Second Indochina War and the Vietnam Conflict .   As there have been several conflicts in Indochina , this particular conflict is known by the names of its primary protagonists to distinguish it from others . In Vietnamese , the war is generally known as Kháng chiến chống Mỹ ( Resistance War Against America ) , but less formally as ' Cuộc chiến tranh Mỹ ' ( The American War ' ) . It is also called Chiến tranh Việt Nam ( The Vietnam War ) .   The primary military organizations involved in the war were , on one side , the Army of the Republic of Vietnam ( ARVN ) and the U.S. military , and , on the other side , the People 's Army of Vietnam ( PAVN ) ( more commonly called the North Vietnamese Army , or NVA , in English - language sources ) , and the National Front for the Liberation of South Vietnam ( NLF , more commonly known as the Viet Cong in English language sources ) , a South Vietnamese communist guerrilla force .   Background to 1949  See also : History of Vietnam , Cochinchina Campaign , Cần Vương , Việt Nam Quốc Dân Đảng , Yên Bái mutiny , Vietnam during World War II , War in Vietnam ( 1945 -- 46 ) , 1940 -- 46 in the Vietnam War , and 1947 -- 50 in the Vietnam War  France began its conquest of Indochina in the late 1850s , and completed pacification by 1893 . The 1884 Treaty of Huế formed the basis for French colonial rule in Vietnam for the next seven decades . In spite of military resistance , most notably by the Cần Vương of Phan Đình Phùng , by 1888 the area of the current - day nations of Cambodia and Vietnam was made into the colony of French Indochina ( Laos was later added to the colony ) . Various Vietnamese opposition movements to French rule existed during this period , such as the Việt Nam Quốc Dân Đảng who staged the failed Yên Bái mutiny in 1930 , but none were ultimately as successful as the Viet Minh common front , which was founded in 1941 , controlled by the Indochinese Communist Party , and funded by the U.S. and the Chinese Nationalist Party in its fight against Imperial Japanese occupation .   In 1940 , during World War II , the French were defeated by the Germans . The French State ( commonly known as Vichy France ) was established as a client state of Nazi Germany . The French colonial authorities , in French Indochina , sided with the Vichy regime . In September 1940 , Japan invaded Indochina . Following the cessation of fighting and the beginning of the Imperial Japanese occupation , the French colonial authorities collaborated with the Japanese . The French continued to run affairs in Indochina , but ultimate power resided in the hands of the Imperial Japanese .   The Viet Minh was founded as a league for independence from France , but also opposed Japanese occupation in 1945 for the same reason . The U.S. and Chinese Nationalist Party supported them in the fight against the Imperial Japanese . However , they did not have enough power to fight actual battles at first . Viet Minh leader Ho Chi Minh was suspected of being a communist and jailed for a year by the Chinese Nationalist Party .   Double occupation by France and Japan continued until the German forces were expelled from France and the French Indochina colonial authorities started holding secret talks with the Free French . Fearing that they could no longer trust the French authorities , the Imperial Japanese military interned the French authorities and troops on 9 March 1945 and created the puppet Empire of Vietnam state , under Bảo Đại instead .   During 1944 -- 1945 , a deep famine struck northern Vietnam due to a combination of bad weather and French / Japanese exploitation ( French Indochina had to supply grains to Japan ) . Between 400,000 and 2 million people died of starvation ( out of a population of 10 million in the affected area ) . Exploiting the administrative gap that the internment of the French had created , the Viet Minh in March 1945 urged the population to ransack rice warehouses and refuse to pay their taxes . Between 75 and 100 warehouses were consequently raided . This rebellion against the effects of the famine and the authorities that were partially responsible for it bolstered the Viet Minh 's popularity and they recruited many members during this period .   On 22 August 1945 , following the Imperial Japanese surrender , OSS agents Archimedes Patti and Carleton B. Swift Jr. arrived in Hanoi on a mercy mission to liberate allied POWs and were accompanied by Jean Sainteny , a French government official . The Japanese forces informally surrendered ( the official surrender took place on 2 September 1945 in Tokyo Bay ) but being the only force capable of maintaining law and order the Imperial Japanese military remained in power while keeping French colonial troops and Sainteny detained .   During August the Imperial Japanese forces remained inactive as the Viet Minh and other nationalist groups took over public buildings and weapons , which began the August Revolution . OSS officers met repeatedly with Ho Chi Minh and other Viet Minh officers during this period and on 2 September 1945 Ho Chi Minh declared the independent Democratic Republic of Vietnam before a crowd of 500,000 in Hanoi . In an overture to the Americans , he began his speech by paraphrasing the United States Declaration of Independence : `` All men are created equal . The Creator has given us certain inviolable Rights : the right to Life , the right to be Free , and the right to achieve Happiness . ''   The Viet Minh took power in Vietnam in the August Revolution . The Viet Minh , downplaying their Communist agenda and stressing nationalism enjoyed large popular support ( Vietnamese independence being popular at the time ) , although Arthur J. Dommen cautions against a `` romanticized view '' of their success : `` The Viet Minh use of terror was systematic .... the party had drawn up a list of those to be liquidated without delay . '' After their defeat in the war , the Imperial Japanese Army ( IJA ) gave weapons to the Vietnamese , and kept Vichy French officials and military officers imprisoned for a month after the surrender . The Viet Minh had recruited more than 600 Imperial Japanese soldiers and given them roles to train or command Vietnamese soldiers .  An Imperial Japanese naval officer surrenders his sword to a British lieutenant in Saigon on 13 September 1945 .  However , the major allied victors of World War II , the United Kingdom , the United States , and the Soviet Union , all agreed the area belonged to the French . As the French did not have the means to immediately retake Vietnam , the major powers came to an agreement that British troops would occupy the south while Nationalist Chinese forces would move in from the north . Nationalist Chinese troops entered the country to disarm Imperial Japanese troops north of the 16th parallel on 14 September 1945 . When the British landed in the south , they rearmed the interned French forces as well as parts of the surrendered Imperial Japanese forces to aid them in retaking southern Vietnam , as they did not have enough troops to do this themselves .   On the urging of the Soviet Union , Ho Chi Minh initially attempted to negotiate with the French , who were slowly re-establishing their control across the area . In January 1946 , the Viet Minh won elections across central and northern Vietnam . On 6 March 1946 , Ho signed an agreement allowing French forces to replace Nationalist Chinese forces , in exchange for French recognition of the Democratic Republic of Vietnam as a `` free '' republic within the French Union , with the specifics of such recognition to be determined by future negotiation . The French landed in Hanoi by March 1946 and in November of that year they ousted the Viet Minh from the city . British forces departed on 26 March 1946 , leaving Vietnam in the hands of the French . Soon thereafter , the Viet Minh began a guerrilla war against the French Union forces , beginning the First Indochina War .   The war spread to Laos and Cambodia , where communists organized the Pathet Lao and the Khmer Serei , both of which were modeled on the Viet Minh . Globally , the Cold War began in earnest , which meant that the rapprochement that existed between the Western powers and the Soviet Union during World War II disintegrated . The Viet Minh fight was hampered by a lack of weapons ; this situation changed by 1949 when the Chinese Communists had largely won the Chinese Civil War and were free to provide arms to their Vietnamese allies .   Exit of the French , 1950 -- 54  Main articles : First Indochina War , Operation Vulture , Operation Passage to Freedom , and 1954 in the Vietnam War  In January 1950 , the People 's Republic of China and the Soviet Union recognized the Viet Minh 's Democratic Republic of Vietnam , based in Hanoi , as the legitimate government of Vietnam . The following month the United States and Great Britain recognized the French - backed State of Vietnam in Saigon , led by former Emperor Bảo Đại , as the legitimate Vietnamese government . The outbreak of the Korean War in June 1950 convinced many Washington policymakers that the war in Indochina was an example of communist expansionism directed by the Soviet Union .  French soldiers fight off a Viet Minh ambush in 1952 .  Military advisors from the People 's Republic of China ( PRC ) began assisting the Viet Minh in July 1950 . PRC weapons , expertise , and laborers transformed the Viet Minh from a guerrilla force into a regular army . In September 1950 , the United States created a Military Assistance and Advisory Group ( MAAG ) to screen French requests for aid , advise on strategy , and train Vietnamese soldiers . By 1954 , the United States had supplied 300,000 small arms and spent US $1 billion in support of the French military effort , shouldering 80 percent of the cost of the war .   There were also talks between the French and Americans in which the possible use of three tactical nuclear weapons was considered , though reports of how seriously this was considered and by whom are even now vague and contradictory . One version of the plan for the proposed Operation Vulture envisioned sending 60 B - 29s from U.S. bases in the region , supported by as many as 150 fighters launched from U.S. Seventh Fleet carriers , to bomb Viet Minh commander Võ Nguyên Giáp 's positions . The plan included an option to use up to three atomic weapons on the Viet Minh positions . Admiral Arthur W. Radford , Chairman of the U.S. Joint Chiefs of Staff , gave this nuclear option his backing . U.S. B - 29s , B - 36s , and B - 47s could have executed a nuclear strike , as could carrier aircraft from the Seventh Fleet .   U.S. carriers sailed to the Gulf of Tonkin , and reconnaissance flights over Điện Biên Phủ were conducted during the negotiations . According to U.S. Vice-President Richard Nixon , the plan involved the Joint Chiefs of Staff drawing up plans to use three small tactical nuclear weapons in support of the French . Nixon , a so - called `` hawk '' on Vietnam , suggested that the United States might have to `` put American boys in '' . U.S. President Dwight D. Eisenhower made American participation contingent on British support , but they were opposed to such a venture . In the end , convinced that the political risks outweighed the possible benefits , Eisenhower decided against the intervention . Eisenhower was a five - star general . He was wary of getting the United States involved in a land war in Asia .   The Viet Minh received crucial support from the Soviet Union and PRC . PRC support in the Border Campaign of 1950 allowed supplies to come from the PRC into Vietnam . Throughout the conflict , U.S. intelligence estimates remained skeptical of French chances of success .   The Battle of Dien Bien Phu marked the end of French involvement in Indochina . Giap 's Viet Minh forces handed the French a stunning military defeat , and on 7 May 1954 , the French Union garrison surrendered . At the Geneva Conference , the French negotiated a ceasefire agreement with the Viet Minh , and independence was granted to Cambodia , Laos , and Vietnam .   Transition period  Main articles : Geneva Conference ( 1954 ) ; Operation Passage to Freedom ; Battle of Saigon ( 1955 ) ; Ba Cụt ; State of Vietnam referendum , 1955 ; Land reform in Vietnam ; and Land reform in North Vietnam The Geneva Conference , 1954  Vietnam was temporarily partitioned at the 17th parallel , and under the terms of the Geneva Accords , civilians were to be given the opportunity to move freely between the two provisional states for a 300 - day period . Elections throughout the country were to be held in 1956 to establish a unified government . Around one million northerners , mainly minority Catholics , fled south , fearing persecution by the communists following an American propaganda campaign using slogans such as `` The Virgin Mary is heading south '' , and aided by a U.S. - funded $93 million relocation program , which included the use of the Seventh Fleet to ferry refugees . As many as two million more would have left had they not been stopped by the Viet Minh . The northern , mainly Catholic refugees were meant to give the later Ngô Đình Diệm regime a strong anti-communist constituency . Diệm later went on to staff his administration 's key posts mostly with northern and central Catholics .   In addition to the Catholics flowing south , up to 130,000 `` Revolutionary Regroupees '' went to the north for `` regroupment '' , expecting to return to the south within two years . The Viet Minh left roughly 5,000 to 10,000 cadres in the south as a `` politico - military substructure within the object of its irredentism . '' The last French soldiers were to leave Vietnam in April 1956 . The PRC completed its withdrawal from North Vietnam at around the same time . Around 52,000 Vietnamese civilians moved from south to north .   Between 1953 and 1956 , the North Vietnamese government instituted various agrarian reforms , including `` rent reduction '' and `` land reform '' , which resulted in significant political oppression . During the land reform , testimony from North Vietnamese witnesses suggested a ratio of one execution for every 160 village residents , which extrapolated nationwide would indicate nearly 100,000 executions . Because the campaign was concentrated mainly in the Red River Delta area , a lower estimate of 50,000 executions became widely accepted by scholars at the time . However , declassified documents from the Vietnamese and Hungarian archives indicate that the number of executions was much lower than reported at the time , although likely greater than 13,500 . In 1956 , leaders in Hanoi admitted to `` excesses '' in implementing this program and restored a large amount of the land to the original owners .   The south , meanwhile , constituted the State of Vietnam , with Bảo Đại as Emperor and Ngô Đình Diệm ( appointed in July 1954 ) as his prime minister . Neither the United States government nor Ngô Đình Diệm 's State of Vietnam signed anything at the 1954 Geneva Conference . With respect to the question of reunification , the non-communist Vietnamese delegation objected strenuously to any division of Vietnam , but lost out when the French accepted the proposal of Viet Minh delegate Phạm Văn Đồng , who proposed that Vietnam eventually be united by elections under the supervision of `` local commissions '' . The United States countered with what became known as the `` American Plan '' , with the support of South Vietnam and the United Kingdom . It provided for unification elections under the supervision of the United Nations , but was rejected by the Soviet delegation . The United States said , `` With respect to the statement made by the representative of the State of Vietnam , the United States reiterates its traditional position that peoples are entitled to determine their own future and that it will not join in any arrangement which would hinder this '' .   U.S. President Dwight D. Eisenhower wrote in 1954 , `` I have never talked or corresponded with a person knowledgeable in Indochinese affairs who did not agree that had elections been held as of the time of the fighting , possibly eighty percent of the population would have voted for the Communist Ho Chi Minh as their leader rather than Chief of State Bảo Đại . Indeed , the lack of leadership and drive on the part of Bảo Đại was a factor in the feeling prevalent among Vietnamese that they had nothing to fight for . '' According to the Pentagon Papers , however , from 1954 to 1956 `` Ngô Đình Diệm really did accomplish miracles '' in South Vietnam : `` It is almost certain that by 1956 the proportion which might have voted for Ho -- in a free election against Diệm -- would have been much smaller than eighty percent . '' In 1957 , independent observers from India , Poland , and Canada representing the International Control Commission ( ICC ) stated that fair , unbiased elections were not possible , with the ICC reporting that neither South nor North Vietnam had honored the armistice agreement   From April to June 1955 , Diệm eliminated any political opposition in the south by launching military operations against two religious groups : the Cao Đài and Hòa Hảo of Ba Cụt . The campaign also focused on the Bình Xuyên organized crime group which was allied with members of the communist party secret police and had some military elements . As broad - based opposition to his harsh tactics mounted , Diệm increasingly sought to blame the communists .   In a referendum on the future of the State of Vietnam on 23 October 1955 , Diệm rigged the poll supervised by his brother Ngô Đình Nhu and was credited with 98.2 percent of the vote , including 133 % in Saigon . His American advisors had recommended a more modest winning margin of `` 60 to 70 percent . '' Diệm , however , viewed the election as a test of authority . Three days later , he declared South Vietnam to be an independent state under the name Republic of Vietnam ( ROV ) , with himself as president . Likewise , Ho Chi Minh and other communist officials always won at least 99 % of the vote in North Vietnamese `` elections '' .   The domino theory , which argued that if one country fell to communism , then all of the surrounding countries would follow , was first proposed as policy by the Eisenhower administration . John F. Kennedy , then a U.S. Senator , said in a speech to the American Friends of Vietnam : `` Burma , Thailand , India , Japan , the Philippines and obviously Laos and Cambodia are among those whose security would be threatened if the Red Tide of Communi</t>
  </si>
  <si>
    <t xml:space="preserve">when did the us involvement in vietnam end</t>
  </si>
  <si>
    <t xml:space="preserve"> The Vietnam War ( Vietnamese : Chiến tranh Việt Nam ) , also known as the Second Indochina War , and known in Vietnam as the Resistance War Against America ( Vietnamese : Kháng chiến chống Mỹ ) or simply the American War , was a war that occurred in Vietnam , Laos , and Cambodia from 1 November 1955 to the fall of Saigon on 30 April 1975 . It was the second of the Indochina Wars and was officially fought between North Vietnam and the government of South Vietnam . The North Vietnamese army was supported by the Soviet Union , China and other communist allies and the South Vietnamese army was supported by the United States , South Korea , Australia , Thailand and other anti-communist allies . The war is therefore considered a Cold War - era proxy war . </t>
  </si>
  <si>
    <r>
      <rPr>
        <sz val="11"/>
        <color rgb="FF000000"/>
        <rFont val="Calibri"/>
        <family val="0"/>
        <charset val="1"/>
      </rPr>
      <t xml:space="preserve">Roller coaster inversion - wikipedia  Roller coaster inversion  Jump to : navigation , search An inversion on Black Mamba ( 2006 ) at Phantasialand in Brühl , Germany  A roller coaster inversion is a roller coaster element in which the track turns riders upside - down and then returns them to an upright position . Early forms of inversions , dating as far back as 1848 on the Centrifugal Railway in Paris , were vertical loops that were circular in nature . They produced massive g - force that was often dangerous to riders , and as a result , the element eventually became non-existent with the last rides to feature the looping inversions being dismantled during the Great Depression . In 1975 , designers from Arrow Development created the corkscrew , reviving interest in the inversion during the modern age of steel roller coasters . Since then , the element have evolved from simple corkscrews and vertical loops to more complex inversions such Immelmann loops and cobra rolls . Featuring fourteen inversions , The Smiler at Alton Towers holds the world record for the number of inversions on a roller coaster .     Contents  ( hide )   1 History   1.1 Prototypes ( 1848 -- 1903 )   1.2 Corkscrew ( 1968 -- 1976 )   1.3 Inversions ( 1977 -- present )     2 See also   3 References   4 External links      History ( edit )   Prototypes ( 1848 -- 1903 ) ( edit )  Loop the Loop ( 1903 ) , at Coney Island , one of the first oval - looping coasters  The first inversion in roller coaster history was part of the Centrifugal Railway of Paris , France , built in 1848 . It consisted of a 43 - foot ( 13 - meter ) sloping track leading into a nearly circular vertical loop 13 feet ( 3.9 m ) in diameter . During the early 1900s , many rides including vertical loops appeared around the world . These early loops had a major design flaw : the circular structure produced intense g - forces ( hereafter `` Gs '' ) . The Flip Flap Railway , designed by Lina Beecher and built in 1895 on Coney Island of Brooklyn , United States , had a 25 - foot circular loop at the end which though initially popular caused some discomfort in passenger 's necks , and the ride soon closed . Loop the Loop , another looping coaster , was built later in Coney Island as well . This time the loops were slightly oval - shaped rather than circular , though not clothoid in shape like modern loops . Although the ride was safe , it had a low capacity , loading four people every five minutes ( 48 people per hour , compared to 1800 riders per hour on Corkscrew , an early modern coaster that opened in 1976 ) , and was poorly received after the discomfort of the Flip Flap Railway . As their novelty wore off and their dangerous reputation spread , compounded with the developing Great Depression , the early looping coasters faded and disappeared .   Corkscrew ( 1968 -- 1976 ) ( edit )  Corkscrews on the Magic Mountain roller coaster ( 1985 ) at Gardaland in Italy  The concept of inverting riders was not revisited until the 1970s . In 1968 , Karl Bacon of Arrow Dynamics created a prototype steel roller coaster with a corkscrew , the first of its kind . The prototype proved that a tubular steel track , first pioneered by Arrow to create Disneyland 's Matterhorn Bobsleds in 1959 , could execute inversions both safely and reliably . The full model of the prototype , aptly named Corkscrew , was then installed in Knott 's Berry Farm in Buena Park , United States , making history as the world 's first modern inverting roller coaster ( it was relocated to Silverwood Park of Idaho in 1990 ) . In 1976 , the previously disastrous vertical loop was successfully revived when Anton Schwarzkopf of Intamin constructed the Great American Revolution at Six Flags Magic Mountain of Valencia , United States , which became the world 's first complete circuit looping roller coaster . Another roller coaster named Corkscrew , built in Cedar Point of Ohio in the same year , became the first with three inversions .   Inversions ( 1977 -- present ) ( edit )  Boomerang has been cloned over 50 times .  The next few years brought innovations that are still popular in modern coasters . The shuttle roller coaster ( non-complete circuit ) was invented by Schwarzkopf in 1977 and realized at Kings Island with the Screamin ' Demon coaster . These early incarnations used the weight - drop mechanism ( as opposed to the later flywheel methods ) to launch the trains . Built in 1978 , the Loch Ness Monster in Busch Gardens Williamsburg became the first coaster with interlocking loops . It is still the only coaster with this feature , as the only other coasters containing interlocking loops are now defunct : Lightnin ' Loops , built by Arrow in Six Flags Great Adventure , was sold in 1992 , and Orient Express of Worlds of Fun was demolished in 2003 . The first Schwarzkopf shuttle loops with a flywheel launch also first appeared in 1978 . Arrow 's Revolution , Europe 's first looping coaster , was built in 1979 at Blackpool Pleasure Beach of England . In 1980 , Carolina Cyclone opened at Carowinds as the first roller coaster with four inversions . The Orient Express opened at Worlds of Fun of Kansas City , United States , in 1980 , with the newly invented batwing ( also referred to as a boomerang or kamikaze kurve ) , a single track element with two inversions .   In 1981 , Vekoma invented the Boomerang coaster model , which became the most duplicated roller coaster ever . The first Boomerang was built at Reino Aventura ( now Six Flags México ) of Mexico City , Mexico in 1982 . The Boomerang has had over 50 clones built worldwide from Doha , Qatar , to Tashkent , Uzbekistan. 1982 also brought the first five - inversion coaster , Arrow 's Viper at Darien Lake in Darien , New York .   The record for number of inversions was broken quickly in the following years . Arrow 's Vortex at Kings Island , built in 1987 , was the first to have six . The next year , Shockwave at Six Flags Great America broke that record with seven inversions . In 1995 , Dragon Khan in Spain 's Port Aventura became the first to have eight . In 2002 , Colossus at Thorpe Park in Chertsey , Surrey , England was the first with ten . In 2013 , The Smiler at Alton Towers in Staffordshire , England , broke the record again with 14 inversions .  Son of Beast ( 2000 ) at Kings Island , the first wooden roller coaster to have an inversion  In 2000 , Kings Island built Son of Beast , the world 's first Wooden roller coaster with a vertical loop . Until then , all roller coasters with any inversions were steel . In December 2006 , however , the loop was removed to make it possible to use lighter trains . This occurred after structural problems caused an incident in July 2006 that injured several riders .   In 2002 , X , designed by Arrow , opened in Six Flags Magic Mountain . It is marketed as the world 's first Fourth dimension roller coaster , capable of rotating riders upside - down independently of any track elements . This adds difficulty in delineating the number of inversions such rides have . As the riders physically rotate 360 degrees forward and backwards , proponents insist the number of inversions should not include only track elements . According to Guinness World Records , the roller coaster with the most inversions counted this way is Eejanaika ( Japanese : </t>
    </r>
    <r>
      <rPr>
        <sz val="11"/>
        <color rgb="FF000000"/>
        <rFont val="Noto Sans CJK SC"/>
        <family val="2"/>
      </rPr>
      <t xml:space="preserve">ええじゃないか </t>
    </r>
    <r>
      <rPr>
        <sz val="11"/>
        <color rgb="FF000000"/>
        <rFont val="Calibri"/>
        <family val="0"/>
        <charset val="1"/>
      </rPr>
      <t xml:space="preserve">, Ai n't it great ? ) , essentially a clone of X , in Fuji - Q Highland of Fujiyoshida , Japan , which rotates riders 14 times . Counting only track elements , however , The Smiler at Alton Towers , Staffordshire , England has the world record for the world 's first 14 looping roller coaster . Coincidentally , both coasters would share the record if it was not limited to track elements only .   In 2013 , 2014 and 2017 , two or more wooden roller coasters with inversions opened . As opposed to the vertical loop that Son of Beast had , Outlaw Run and Hades 360 , Mine Blower and Goliath ( at Six Flags Great America ) have more complex inversions . Outlaw Run at Silver Dollar City has a double barrel roll and a 153 ° over-banked turn , and Hades 360 has a single corkscrew . Other elements which partially invert riders , such as the overbanked turn which occasionally turn riders beyond 90 degrees , are not typically considered inversions .   See also ( edit )    Roller coaster elements -- includes a list of inversions   List of roller coaster inversion records    References ( edit )    ^ Jump up to : Kay , James ( 2007 ) . `` The History of the Inversion '' . CoasterGlobe . Archived from the original on 2007 - 09 - 28 . Retrieved 2007 - 08 - 23 .   Jump up ^ `` Roller coaster dictionary '' . Six Flags Houston fan site . 2007 . Retrieved 2007 - 08 - 23 .   Jump up ^ `` Most track inversions in a rollercoaster '' . Guinness World Records . Retrieved 16 May 2013 .   ^ Jump up to : Gieszl ( 2006 ) . `` Roller Coaster History : Timeline '' . ultimaterollercoaster.com . Retrieved 2007 - 08 - 23 .   Jump up ^ Immerso , Michael ( 21 Oct 2002 ) . Coney Island : The People 's Playground . Rutgers University Press . p. 96 . Retrieved 10 April 2012 .   Jump up ^ Pescovitz , David ( 2003 ) . `` History : 1880 '' . britannica.com . Retrieved 10 April 2012 .   ^ Jump up to : Bowers , David ( 2007 ) . `` History of Roller Coasters '' . Coasterville . Retrieved 2007 - 08 - 23 .   Jump up ^ Marden , Duane ( 2007 ) . `` Loch Ness Monster '' . Roller Coaster Database . Retrieved 2007 - 08 - 23 .   Jump up ^ `` Lightnin ' Loops '' . Amusement Pics. 2007 . Archived from the original on 2011 - 07 - 07 . Retrieved 2007 - 08 - 23 .   Jump up ^ Marden , Duane ( 2007 ) . `` Orient Express '' . Roller Coaster Database . Retrieved 2007 - 08 - 23 .   ^ Jump up to : Marden , Duane ( 2004 ) . `` Versatile Vekoma '' . Fun World : International Association of Amusement Parks and Attractions Magazine . Retrieved 2007 - 08 - 23 .   Jump up ^ Bannister , Richard F. ( 2007 ) . `` Coasters : Parks : Six Flags Darien Lake '' . Richard Bannister : Track Record . Archived from the original on 2007 - 07 - 30 . Retrieved 2007 - 08 - 23 .   Jump up ^ The Smiler is the world 's first 14 looping rollercoaster . YouTube . 9 May 2013 .   Jump up ^ Gieszl , Eric ( 1999 ) . `` Millennium Force : Cedar Point '' . ultimaterollercoaster.com . Retrieved 2007 - 08 - 23 .    External links ( edit )    Element Cross Reference at Roller Coaster Database      ( hide )         Roller coasters       Roller coasters by name   Roller coasters by country       Overview     Elements   History   Manufacturers   Physics   Rankings   Types         Technology     Brake run   Inversion   Vertical loop     Launch track   Rollback     Lift hill   On - ride camera   Stadium seating   Station   Train   Underfriction   Wheel assembly           Commons      Retrieved from `` https://en.wikipedia.org/w/index.php?title=Roller_coaster_inversion&amp;oldid=832465682 '' Categories :   Roller coaster elements   Hidden categories :   Articles containing Japanese - language text           Talk                                           Contents                   About Wikipedia                                           Čeština   Deutsch   Français   Nederlands   Svenska   Edit links   This page was last edited on 26 March 2018 , at 05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</si>
  <si>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the first looping roller coaster and what was wrong with it</t>
  </si>
  <si>
    <t xml:space="preserve"> The first inversion in roller coaster history was part of the Centrifugal Railway of Paris , France , built in 1848 . It consisted of a 43 - foot ( 13 - meter ) sloping track leading into a nearly circular vertical loop 13 feet ( 3.9 m ) in diameter . During the early 1900s , many rides including vertical loops appeared around the world . These early loops had a major design flaw : the circular structure produced intense g - forces ( hereafter `` Gs '' ) . The Flip Flap Railway , designed by Lina Beecher and built in 1895 on Coney Island of Brooklyn , United States , had a 25 - foot circular loop at the end which though initially popular caused some discomfort in passenger 's necks , and the ride soon closed . Loop the Loop , another looping coaster , was built later in Coney Island as well . This time the loops were slightly oval - shaped rather than circular , though not clothoid in shape like modern loops . Although the ride was safe , it had a low capacity , loading four people every five minutes ( 48 people per hour , compared to 1800 riders per hour on Corkscrew , an early modern coaster that opened in 1976 ) , and was poorly received after the discomfort of the Flip Flap Railway . As their novelty wore off and their dangerous reputation spread , compounded with the developing Great Depression , the early looping coasters faded and disappeared . </t>
  </si>
  <si>
    <t xml:space="preserve">History of socialism - wikipedia  History of socialism       This article includes a list of references , but its sources remain unclear because it has insufficient inline citations . Please help to improve this article by introducing more precise citations . ( October 2010 ) ( Learn how and when to remove this template message )       Part of a series on     Socialism         Development ( show )   History of socialism   Socialist calculation debate   Socialist economics       Ideas ( show )   Calculation in kind   Collective ownership   Cooperative   Common ownership   Commune ( model of government )   Economic democracy   Economic planning   Equal opportunity   Free association   Industrial democracy   Input -- output model   Internationalism   Labor - time calculation   Labour voucher   Material balance planning   Peer ‐ to ‐ peer economics   Sharing economy   Production for use   Social dividend   Social ownership   Socialism in one country   Socialist mode of production   State ownership   To each according to his contribution / needs   Workplace democracy   Workers ' self - management       Models ( show )   Decentralized planning Participatory economics   Market socialism   Lange model   Mutualism     Planned economy   Soviet - type   OGAS   Project Cybersyn   Socialist market economy Socialist - oriented market       Variants ( show )   21st - century   African   Arab   Agrarian   Anarchist   Authoritarian   Blanquism   Communism   Conservative   Democratic   Ethical   Ecological   Feminist   Gandhian   Guild   Liberal   Libertarian   Market   Marhaenism   Marxism   Municipal   Owenism   Reformism   Religious   Revolutionary   Ricardian   Scientific   Social democracy   Socialist nationalism   State   Syndicalism   Technocracy   Third World   Utopian   Zionist       History by country ( show )   Australia   Bangladesh   Brazil   Canada   China   Estonia   Hong Kong   India   Iran   Netherlands   New Zealand   Pakistan   Tunisia   United Kingdom   United States       People ( show )   Thomas More   Henri de Saint - Simon   François - Noël Babeuf   Charles Hall   Robert Owen   Charles Fourier   Prosper Enfantin   John Goodwyn Barmby   William Thompson   Thomas Hodgskin   Étienne Cabet   Pierre - Joseph Proudhon   Louis Blanc   Alexander Herzen   Mikhail Bakunin   Karl Marx   Friedrich Engels   Ferdinand Lassalle   William Morris   Mary Harris Jones   Peter Kropotkin   Eduard Bernstein   Errico Malatesta   Fred M. Taylor   Pyotr Lavrov   Jean Jaurès   Georgi Plekhanov   John Dewey   Enrico Barone   Karl Kautsky   W.E.B. Du Bois   Emma Goldman   Rosa Luxemburg   Léon Blum   R.H. Tawney   Bertrand Russell   Otto Neurath   Antonie Pannekoek   Luis Emilio Recabarren   Albert Einstein   Leon Trotsky   Helen Keller   Clement Attlee   Karl Polanyi   Nestor Makhno   G.D.H. Cole   Imre Nagy   Einar Gerhardsen   George Orwell   Tommy Douglas   Léopold Sédar Senghor   Tage Erlander   Salvador Allende   Bruno Kreisky   François Mitterrand   Gamal Abdel Nasser   Nelson Mandela   Murray Bookchin   Alexander Dubček   Howard Zinn   Cornelius Castoriadis   E.P. Thompson   Michael Manley   Noam Chomsky   Martin Luther King Jr .   Mikhail Gorbachev   Jack Layton   Bernie Sanders   Tariq Ali   Abdullah Öcalan   Slavoj Žižek   Jeremy Corbyn   Cornel West   Hugo Chávez   Chris Hedges   Yanis Varoufakis       Organizations ( show )   First International ( International Workingmen 's Association )   Second International   Third International ( Comintern )   Fourth International   Fifth International   Labour and Socialist International   Socialist International   World Federation of Democratic Youth   International Union of Socialist Youth   World Socialist Movement   International Committee of the Fourth International   Progressive Alliance       Related topics ( show )   Anarchism   Capitalism   Communist society   Criticism of capitalism   Economic system   French Left   List of socialist economists   Nanosocialism   Progressivism   Right - wing socialism   Socialism and LGBT rights   Socialist bloc   Socialist Party   Socialist state         Socialism portal   Economics portal   Politics portal                   The history of socialism has its origins in the 1789 French Revolution and the changes which it wrought , although it has precedents in earlier movements and ideas . The Communist Manifesto was written by Karl Marx and Friedrich Engels in 1848 just before the Revolutions of 1848 swept Europe , expressing what they termed `` scientific socialism '' . In the last third of the 19th century , social democratic parties arose in Europe , drawing mainly from Marxism . The Australian Labor Party was the world 's first elected socialist party when it formed government in the Colony of Queensland for a week in 1899 .   In the first half of the 20th century , the Soviet Union and the communist parties of the Third International around the world mainly came to represent socialism in terms of the Soviet model of economic development and the creation of centrally planned economies directed by a state that owns all the means of production , although other trends condemned what they saw as the lack of democracy . In the United Kingdom , Herbert Morrison said that `` socialism is what the Labour government does '' whereas Aneurin Bevan argued that socialism requires that the `` main streams of economic activity are brought under public direction '' , with an economic plan and workers ' democracy . Some argued that capitalism had been abolished . Socialist governments established the mixed economy with partial nationalisations and social welfare .   By 1968 , the prolonged Vietnam War ( 1959 -- 1975 ) gave rise to the New Left , socialists who tended to be critical of the Soviet Union and social democracy . Anarcho - syndicalists and some elements of the New Left and others favored decentralized collective ownership in the form of cooperatives or workers ' councils . At the turn of the 21st century in Latin America , Venezuelan President Hugo Chávez championed what he termed socialism of the 21st century , which included a policy of nationalisation of national assets such as oil , anti-imperialism and termed himself a Trotskyist supporting permanent revolution .   Contents    1 Origins of socialism   1.1 Henri de Saint - Simon   1.2 Charles Fourier   1.3 Robert Owen   1.4 Pierre - Joseph Proudhon   1.5 Mikhail Bakunin     2 Marxism and the socialist movement   3 International Workingmen 's Association ( First International )   4 Paris Commune   5 The Second International   5.1 Germany   5.2 Russia   5.3 United States   5.4 France   5.5 World War I     6 Anarchism   7 Social democracy to 1917   8 The inter-war era and World War II   8.1 Revolutionary socialism and the Soviet Union ( 1917 -- 1939 )   8.2 Britain   8.3 United States   8.4 Germany   8.5 Sweden   8.6 Spain   8.7 Israel     9 The Post-war era ( 1945 -- 1985 )   9.1 The first socialist government in a North American country   9.2 Social democracy in government   9.3 Mass discontent and radicalization     10 The Soviet Union and Eastern Europe ( 1945 -- 1985 )   11 Final years for the Soviet Union ( 1985 -- 1991 )   12 China ( 1945 -- 1965 )   13 Socialism in China since the Cultural Revolution   14 21st century democratic socialism in Latin America   15 The emergence of a New Left in the developed world   16 See also   17 Notes and references   18 Further reading   18.1 Primary sources     19 External links    Origins of socialism ( edit )   The Book of Acts describes an early Christian socialist community that shared a common purse :      All the believers were one in heart and mind . No one claimed that any of their possessions was their own , but they shared everything they had .      Mazdak ( died c. 524 or 528 CE ) preached and instituted a religion - based socialist or proto - socialist system in the Zoroastrian context of Sassanian Persia .   In Britain , Thomas Paine proposed a detailed plan to tax property owners to pay for the needs of the poor in Agrarian Justice ( 1797 ) , while Charles Hall wrote The Effects of Civilization on the People in European States ( 1805 ) , denouncing capitalism 's effects on the poor of his time . The English word `` socialist '' in its modern sense dates from at least 1822 .   Chartism , which flourished from 1838 to 1858 , `` formed the first organized labour movement in Europe , gathering significant numbers around the People 's Charter of 1838 , which demanded the extension of suffrage to all male adults . Prominent leaders in the movement also called for a more equitable distribution of income and better living conditions for the working classes . The very first trade unions and consumers ' cooperative societies also emerged in the hinterland of the Chartist movement , as a way of bolstering the fight for these demands '' .   By 1842 , socialism `` had become the topic of a major academic analysis '' by a German scholar , Lorenz von Stein , in his Socialism and Social Movement . According to an 1888 volume of A New English Dictionary on Historical Principles , the word socialism first appeared on 13 February 1832 in Le Globe , a liberal French newspaper of Pierre Leroux . Leroux returned to the theme of `` socialism '' in 1834 and Louis Reybaud ( 1799 -- 1879 ) published Études sur les réformateurs contemporains ou socialistes modernes in 1842 in France . In England , Robert Owen ( 1771 -- 1858 ) was also using the term socialism independently around the same time . Owen is considered the father of the cooperative movement .   The first modern socialists were early 19th - century Western European social critics . In this period socialism emerged from a diverse array of doctrines and social experiments associated primarily with British and French thinkers -- especially Robert Owen , Charles Fourier ( 1772 -- 1837 ) , Pierre - Joseph Proudhon ( 1809 - 1865 ) , Louis Blanc ( 1811 -- 1882 ) and Saint - Simon ( 1760 -- 1825 ) . Early - 19th - century followers of the utopian theories of such thinkers as Robert Owen , Claude Henri de Saint - Simon and Charles Fourier used the term `` associationism '' to describe their beliefs . These social critics criticized the excesses of poverty and inequality of the Industrial Revolution , and advocated reforms such as the egalitarian distribution of wealth and the transformation of society into small communities in which private property was to be abolished . Outlining principles for the reorganization of society along collectivist lines , Saint - Simon and Owen sought to build socialism on the foundations of planned , utopian communities . According to Sheldon Richman , `` ( i ) n the 19th and early 20th centuries , ' socialism ' did not exclusively mean collective or government ownership of the means or production but was an umbrella term for anyone who believed labor was cheated out of its natural product under historical capitalism '' ,   According to some accounts , the use of the words `` socialism '' or `` communism '' related to the perceived attitude toward religion in a given culture . Continental Europeans considered `` communism '' more atheistic than `` socialism '' . In England , `` communism '' sounded too close to communion -- with Catholic overtones ; hence atheists preferred to call themselves socialists .  Claude Henri de Rouvroy , Comte de Saint - Simon , founder of French socialism  By 1847 , according to Frederick Engels `` Socialism '' was `` respectable '' on the continent of Europe while `` Communism '' was the opposite as the Owenites in England and the Fourierists in France were considered Socialists , while working - class movements which `` proclaimed the necessity of total social change '' termed themselves `` Communists '' . This latter trend was `` powerful enough '' to produce the communism of Étienne Cabet in France and of Wilhelm Weitling in Germany . In the post-revolutionary period right after the French Revolution of 1789 , activists and theorists like François - Noël Babeuf , Filippo Buonarroti and Auguste Blanqui influenced the early French labour and socialist movements .   Josiah Warren is widely regarded as the first American anarchist and the four - page weekly paper he edited during 1833 , The Peaceful Revolutionist , was the first anarchist periodical published . Anarchist Peter Sabatini reports that in the United States of early to mid-19th century , `` there appeared an array of communal and ' utopian ' counterculture groups ( including the so - called free love movement ) . William Godwin 's anarchism exerted an ideological influence on some of this , but more so the socialism of Robert Owen and Charles Fourier . After success of his British venture , Owen himself established a cooperative community within the United States at New Harmony , Indiana during 1825 . One member of this commune was Josiah Warren ( 1798 -- 1874 ) , considered to be the first individualist anarchist '' .   For American anarchist historian Eunice Minette Schuster , `` ( i ) t is apparent ( ... ) that Proudhonian Anarchism was to be found in the United States at least as early as 1848 and that it was not conscious of its affinity to the Individualist Anarchism of Josiah Warren and Stephen Pearl Andrews ... William B. Greene presented this Proudhonian Mutualism in its purest and most systematic form '' . There were also currents inspired by dissident Christianity of Christian socialism `` often in Britain and then usually coming out of left liberal politics and a romantic anti-industrialism '' , which produced theorists such as Edward Bellamy ( 1850 -- 1898 ) , Frederick Denison Maurice and Charles Kingsley .   Henri de Saint - Simon ( edit )   Henri de Saint - Simon ( 1760 -- 1825 ) , who is called the founder of French socialism , argued that a brotherhood of man must accompany the scientific organization of industry and society . He proposed :    That the state carry out production and distribution   That allowing everyone to have equal opportunity to develop their talents would lead to social harmony   That the traditional state could be virtually eliminated , or transformed   `` Rule over men would be replaced by the administration of things ''    Charles Fourier ( edit )   François Marie Charles Fourier ( 1772 -- 1837 ) was a French utopian socialist and philosopher . Modern scholars credit Fourier with having originated the word féminisme in 1837 . As early as 1808 , he had argued in the Theory of the Four Movements that the extension of the liberty of women was the general principle of all social progress , though he disdained any attachment to a discourse of `` equal rights '' . Fourier inspired the founding of the communist community called La Reunion near present - day Dallas , Texas as well as several other communities within the United States , such as the North American Phalanx in New Jersey and Community Place and five others in New York State . Fourierism manifested itself `` in the middle of the 19th century ( where ) literally hundreds of communes ( phalansteries ) were founded on fourierist principles in France , N. America , Mexico , S. America , Algeria , Yugoslavia , etc '' .   Robert Owen ( edit )     Part of a series on     Socialism in the United States     History of the American Left ( show ) Utopian socialism   New Harmony   Brook Farm   Oneida Community   Icarians   Bishop Hill Commune    Progressive Era    St. Louis Commune   1912 Lawrence Textile Strike   Labor unionisation   Women 's suffrage   Haymarket affair   May Day   Green Corn Rebellion   Catholic Worker Movement    Repression and persecution    Espionage Act of 1917   First Red Scare   American Defense Society   American Protective League   Seattle General Strike   Communist Party USA and African Americans   Communism in the Labor Movement 1919 -- 37   Communism in the Labor Movement 1937 -- 50   McCarthyism   Smith Act / Smith Act trials   John Birch Society    Civil rights / anti-War movements    COINTELPRO   New Left   Great Society   War on Poverty   Poor People 's Campaign   Black Power movement       Active parties ( show )   American Party of Labor   Black Riders Liberation Party   Committees of Correspondence for Democracy and Socialism ( CDCS )   Communist Party USA   Democratic Socialists of America   Freedom Road Socialist Organization   Freedom Socialist Party   Industrial Workers of the World   International Socialist Organization   Legal Marijuana Now Party   New Afrikan Black Panther Party   New Students for a Democratic Society   Party for Socialism and Liberation   Peace and Freedom Party   Progressive Labor Party   Revolutionary Communist Party   Socialist Action   Socialist Alternative   Socialist Equality Party   Socialist Organizer   Socialist Party   Socialist Workers Party   Spartacist League   Workers World Party   World Socialist Party of the United States       Defunct parties ( show )   American Labor Party   American Workers Party   Black Panther Party   Communist League of America   Communist Workers ' Party   Democratic Socialist Federation   Democratic Socialist Organizing Committee   Farmer -- Labor Party   Maoist Internationalist Movement   New American Movement   Proletarian Party of America   Puerto Rican Socialist Party   Social Democracy of America   Social Democratic Federation   Social Democratic Party of America   Social Democrats , USA   Socialist Labor Party of America   Socialist Party of America   Students for a Democratic Society   Weather Underground   White Panther Party   Workers Party of the United States   Youth International Party       Literature ( show )   The Jungle   Appeal to Reason   International Socialist Review   Looking Backward   The Other America   Daily Worker   Monthly Review   Voluntary Socialism   Monopoly Capital       Related topics ( show )   American Left   Anarchism   Anarchism in the United States   Socialism   Utopian socialism   Scientific socialism   Marxism   Marxism -- Leninism   Labor history   Labor unions   Libertarian socialism   Labor laws   Minimum wage         Socialism portal   United States portal                  New Harmony , a utopian attempt , depicted as proposed by Robert Owen  Robert Owen ( 1771 -- 1858 ) advocated the transformation of society into small , local collectives without such elaborate systems of social organization . Owen managed mills for many years . He transformed life in the village of New Lanark with ideas and opportunities which were at least a hundred years ahead of their time . Child labor and corporal punishment were abolished , and villagers were provided with decent homes , schools and evening classes , free health - care , and affordable food .   The UK government 's Factory Act of 1833 attempted to reduce the hours adults and children worked in the textile industry . A fifteen - hour working day was to start at 5.30 a.m. and to cease at 8.30 p.m. Children of nine to thirteen years could work no more than 9 hours , and workers of a younger age were prohibited . There were , however , only four factory inspectors , and factory owners flouted this law . In the same year Owen stated :     ``   Eight hours ' daily labor is enough for any ( adult ) human being , and under proper arrangements sufficient to afford an ample supply of food , raiment and shelter , or the necessaries and comforts of life , and for the remainder of his time , every person is entitled to education , recreation and sleep .   ''     Leaving England for the United States , Robert Owen and his sons began an experiment with a socialist community in New Harmony , Indiana in 1825 . Advertisements announced the experiment for the cooperative colony , bringing various people to attempt an 8 - hour work - day of which Owen was a proponent . The town banned money and other commodities for trade , using `` labour tickets '' denominated in the number of hours worked .   Owen 's son , Robert Dale Owen , would say of the failed socialism experiment that the people at New Harmony were `` a heterogeneous collection of radicals , enthusiastic devotees to principle , honest latitudinarians , and lazy theorists , with a sprinkling of unprincipled sharpers thrown in '' . The larger community lasted only until 1827 , at which time smaller communities were formed , which led to further subdivision , until individualism replaced socialism in 1828 . New Harmony dissolved in 1829 due to constant quarrels as parcels of land and property were sold and returned to private use .   Individualist anarchist Josiah Warren , who was one of the original participants in the New Harmony Society , saw the community as doomed to failure due to a lack of individual sovereignty and private property . He wrote of the community :     ``   It seemed that the difference of opinion , tastes and purposes increased just in proportion to the demand for conformity . Two years were worn out in this way ; at the end of which , I believe that not more than three persons had the least hope of success . Most of the experimenters left in despair of all reforms , and conservatism felt itself confirmed . We had tried every conceivable form of organization and government . We had a world in miniature . -- we had enacted the French revolution over again with despairing hearts instead of corpses as a result ... It appeared that it was nature 's own inherent law of diversity that had conquered us ... our ' united interests ' were directly at war with the individualities of persons and circumstances and the instinct of self - preservation ... and it was evident that just in proportion to the contact of persons or interests , so are concessions and compromises indispensable ( Periodical Letter II , 1856 ) .   ''     In a Paper Dedicated to the Governments of Great Britain , Austria , Russia , France , Prussia and the United States of America written in 1841 , Owen wrote : `` The lowest stage of humanity is experienced when the individual must labor for a small pittance of wages from others '' .   Pierre - Joseph Proudhon ( edit )   Pierre - Joseph Proudhon ( 1809 -- 1865 ) pronounced that `` property is theft '' and that socialism was `` every aspiration towards the amelioration of society '' . Proudhon termed himself an anarchist and proposed that free association of individuals should replace the coercive state . Proudhon himself , Benjamin Tucker , and others developed these ideas in a mutualist direction , while Mikhail Bakunin ( 1814 -- 1876 ) , Piotr Kropotkin ( 1842 -- 1921 ) , and others adapted Proudhon 's ideas in a more conventionally socialist direction . In a letter to Marx in 1846 , Proudhon wrote :     ``   I myself put the problem in this way : to bring about the return to society , by an economic combination , of the wealth which was withdrawn from society by another economic combination . In other words , through Political Economy to turn the theory of Property against Property in such a way as to engender what you German socialists call community and what I will limit myself for the moment to calling liberty or equality .   ''     Mikhail Bakunin ( edit )   Mikhail Bakunin ( 1814 -- 1876 ) , the father of modern anarchism , was a libertarian socialist , a theory by which the workers would directly manage the means of production through their own productive associations . There would be `` equal means of subsistence , support , education , and opportunity for every child , boy or girl , until maturity , and equal resources and facilities in adulthood to create his own well - being by his own labor . ''   While many socialists emphasized the gradual transformation of society , most notably through the foundation of small , utopian communities , a growing number of socialists became disillusioned with the viability of this approach and instead emphasized direct political action . Early socialists were united in their desire for a society based on cooperation rather than competition .   Marxism and the socialist movement ( edit )  Statue of Karl Marx and Friedrich Engels in Alexanderplatz , Berlin  The French Revolution of 1789 , Karl Marx and Frederick Engels wrote , `` abolished feudal property in favour of bourgeois property '' . The French Revolution was preceded and influenced by the works of Jean - Jacques Rousseau , whose Social Contract famously began : `` Man is born free , and he is everywhere in chains '' . Rousseau is credited with influencing socialist thought , but it was François - Noël Babeuf , and his Conspiracy of Equals , who is credited with providing a model for left - wing and communist movements of the 19th century .   Marx and Engels drew from these socialist or communist ideas born in the French revolution , as well as from the German philosophy of GWF Hegel , and English political economy , particularly that of Adam Smith and David Ricardo . Marx and Engels developed a body of ideas which they called scientific socialism , more commonly called Marxism . Marxism comprised a theory of history ( historical materialism ) as well as a political , economic and philosophical theory .   In the Manifesto of the Communist Party , written in 1848 just days before the outbreak of the revolutions of 1848 , Marx and Engels wrote , `` The distinguishing feature of Communism is not the abolition of property generally , but the abolition of bourgeois property '' . Unlike those Marx described as utopian socialists , Marx determined that `` ( t ) he history of all hitherto existing society is the history of class struggles '' . While utopian socialists believed it was possible to work within or reform capitalist society , Marx confronted the question of the economic and political power of the capitalist class , expressed in their ownership of the means of producing wealth ( factories , banks , commerce -- in a word , `` Capital '' ) . Marx and Engels formulated theories regarding the practical way of achieving and running a socialist system , which they saw as only being achieved by those who produce the wealth in society , the toilers , workers or `` proletariat '' , gaining common ownership of their workplaces , the means of producing wealth .   Marx believed that capitalism could only be overthrown by means of a revolution carried out by the working class : `` The proletarian movement is the self - conscious , independent movement of the immense majority , in the interest of the immense majority . '' Marx believed that the proletariat was the only class with both the cohesion , the means and the determination to carry the revolution forward . Unlike the utopian socialists , who often idealised agrarian life and deplored the growth of modern industry , Marx saw the growth of capitalism and an urban proletariat as a necessary stage towards socialism .   For Marxists , socialism or , as Marx termed it , the first phase of communist society , can be viewed as a transitional stage characterized by common or state ownership of the means of production under democratic workers ' control and management , which Engels argued was beginning to be realised in the Paris Commune of 1871 , before it was overthrown . Socialism to them is simply the transitional phase between capitalism and `` higher phase of communist society '' . Because this society has characteristics of both its capitalist ancestor and is beginning to show the properties of communism , it will hold the means of production collectively but distributes commodities according to individual contribution . When the socialist state ( the dictatorship of the proletariat ) naturally withers away , what will remain is a society in which human beings no longer suffer from alienation and `` all the springs of co-operative wealth flow more abundantly '' . Here `` society inscribe ( s ) on its banners : From each according to his ability , to each according to his needs ! '' For Marx , a communist society entails the absence of differing social classes and thus the end of class warfare . According to Marx and Engels , once a socialist society had been ushered in , the state would begin to `` wither away '' and humanity would be in control of its own destiny for the first time .   International Workingmen 's Association ( first International ) ( edit )   In Europe , harsh reaction followed the revolutions of 1848 , during which ten countries had experienced brief or long - term social upheaval as groups carried out nationalist uprisings . After most of these attempts at systematic change ended in failure , conservative elements took advantage of the divided groups of socialists , anarchists , liberals , and nationalists , to prevent further revolt . The International Workingmen 's Association ( IWA ) , also known as the First International , was founded in London in 1864 . Victor Le Lubez , a French radical republican living in London , invited Karl Marx to come to London as a representative of German workers . The IWA held a preliminary conference in 1865 , and had its first congress at Geneva in 1866 . Marx was appointed a member of the committee , and according to Saul Padover , Marx and Johann Georg Eccarius , a tailor living in London , became `` the two mainstays of the International from its inception to its end '' . The First International became the first major international forum for the promulgation of socialist ideas . In 1864 the International Workingmen 's Association ( sometimes called the `` First International '' ) united diverse revolutionary currents including French followers of Proudhon , Blanquists , Philadelphes , English trade unionists , socialists and social democrats .   In 1868 , following their unsuccessful participation in the League of Peace and Freedom ( LPF ) , Russian revolutionary Mikhail Bakunin and his collectivist anarchist associates joined the First International ( which had decided not to get involved with the LPF ) . They allied themselves with the federalist socialist sections of the International , who advocated the revolutionary overthrow of the state and the collectivization of property .  Mikhail Bakunin speaking to members of the IWA at the Basel Congress in 1869  The Social Democratic Workers ' Party of Germany was founded in 1869 under the influence of Marx and Engels . In 1875 , it merged with the General German Workers ' Association of Ferdinand Lassalle to become what is known today as the German Social Democratic Party ( SPD ) . Socialism became increasingly associated with newly formed trade unions . In Germany , the SPD founded unions . In Austria , France and other European countries , socialist parties and anarchists played a prominent role in forming and building up trade unions , especially from the 1870s onwards . This stood in contrast to the British experience , where moderate New Model Unions dominated the union movement from the mid-nineteenth century , and where trade unionism was stronger than the political labour movement until the formation and growth of the Labour Party in the early twentieth century .   At first , the collectivists worked with the Marxists to push the First International in a more revolutionary socialist direction . Subsequently , the International became polarised into two camps , with Marx and Bakunin as their respective figureheads . Bakunin characterised Marx 's ideas as centralist and predicted that , if a Marxist party came to power , its leaders would simply take the place of the ruling class they had fought against . In 1872 , the conflict climaxed with a final split between the two groups at the Hague Congress , where Bakunin and James Guillaume were expelled from the International and its headquarters were transferred to New York . In response , the federalist sections formed their own International at the St. Imier Congress , adopting a revolutionary anarchist program .   Paris Commune ( edit )  Barricades Boulevard Voltaire , Paris during the uprising known as the Paris Commune  In 1871 , in the wake of the Franco - Prussian War an uprising in Paris established the Paris Commune . The Paris Commune was a government that briefly ruled Paris from 18 March ( more formally , from 28 March ) to 28 May 1871 . The Commune was the result of an uprising in Paris after France was defeated in the Franco - Prussian War . Anarchists participated actively in the establishment of the Paris Commune . The 92 members of the Communal Council included a high proportion of skilled workers and several professionals . Many of them were political activists , ranging from reformist republicans , various types of socialists , to the Jacobins who tended to look back nostalgically to the Revolution of 1789 . The `` reforms initiated by the Commun</t>
  </si>
  <si>
    <t xml:space="preserve">who is credited with creating an alternative to capitalism called communism or socialism</t>
  </si>
  <si>
    <t xml:space="preserve"> The history of socialism has its origins in the 1789 French Revolution and the changes which it wrought , although it has precedents in earlier movements and ideas . The Communist Manifesto was written by Karl Marx and Friedrich Engels in 1848 just before the Revolutions of 1848 swept Europe , expressing what they termed `` scientific socialism '' . In the last third of the 19th century , social democratic parties arose in Europe , drawing mainly from Marxism . The Australian Labor Party was the world 's first elected socialist party when it formed government in the Colony of Queensland for a week in 1899 . </t>
  </si>
  <si>
    <r>
      <rPr>
        <sz val="11"/>
        <color rgb="FF000000"/>
        <rFont val="Calibri"/>
        <family val="0"/>
        <charset val="1"/>
      </rPr>
      <t xml:space="preserve">The X-Files ( film ) - wikipedia  The X-Files ( film )  Jump to : navigation , search    The X-Files     Theatrical release poster     Directed by   Rob Bowman     Produced by     Chris Carter   Daniel Sackheim       Screenplay by   Chris Carter     Story by     Chris Carter   Frank Spotnitz       Based on   The X-Files by Chris Carter     Starring     David Duchovny   Gillian Anderson   Martin Landau   Lucas Black   Blythe Danner   Armin Mueller - Stahl       Music by   Mark Snow     Cinematography   Ward Russell     Edited by   Stephen Mark     Production company   Ten Thirteen Productions     Distributed by   20th Century Fox     Release date     June 19 , 1998 ( 1998 - 06 - 19 )               Running time   121 minutes     Country   United States     Language   English     Budget   $66 million     Box office   $189.2 million     The X-Files ( also known as The X-Files : Fight the Future ) is a 1998 American science fiction thriller film directed by Rob Bowman . Chris Carter wrote the screenplay . The story is by Carter and Frank Spotnitz . It is the first feature film based on Carter 's television series The X-Files , which revolves around fictional unsolved cases called the X-Files and the characters solving them . Five main characters from the television series appear in the film : David Duchovny , Gillian Anderson , Mitch Pileggi , John Neville , and William B. Davis reprise their respective roles as FBI agents Fox Mulder and Dana Scully , FBI Assistant Director Walter Skinner , Well - Manicured Man , and the Cigarette - Smoking Man . The film was promoted with the tagline Fight the Future .   The film takes place between seasons five ( episode `` The End '' ) and six ( episode `` The Beginning '' ) of the television series , and is based upon the series ' extraterrestrial mythology . The story follows agents Mulder and Scully , removed from their usual jobs on the X-Files , and investigating the bombing of a building and the destruction of criminal evidence . They uncover what appears to be a government conspiracy attempting to hide the truth about an alien colonization of Earth .   Carter decided to make a feature film to explore the show 's mythology on a wider scale , as well as appealing to non-fans . He wrote the story with Frank Spotnitz at the end of 1996 and , with a budget from 20th Century Fox , filming began in 1997 , following the end of the show 's fourth season . Carter assembled cast and crew from the show , as well as some other , well - known actors such as Blythe Danner and Martin Landau , to begin production on what they termed `` Project Blackwood '' . The film was produced by Carter and Daniel Sackheim . Mark Snow continued his role as X-Files composer to create the film 's score .   The film premiered on June 19 , 1998 , in the United States , and received mixed to positive reviews from critics . Although some enjoyed the style and effects of the film , others found the plot confusing and viewed it as little more than an extended episode of the series . A sequel , entitled I Want to Believe , was released ten years later .     Contents  ( hide )   1 Plot   2 Cast   3 Production   3.1 Conception and pre-production   3.2 Writing and casting   3.3 Set design   3.4 Filming   3.5 Music     4 Release   4.1 Theatrical run   4.2 Home media     5 Reception   5.1 Box office   5.2 Critical response     6 Sequel   7 See also   8 References   9 External links      Plot ( edit )   The film opens in 35,000 B.C. , in what will become North Texas . Two cavemen hunters encounter a large extraterrestrial life form in a cave , which kills one and infects the other with a black oil - like substance . In 1998 , in the same area , a boy falls into a hole and is also infected by a black substance which seeps from the ground . Firefighters who enter the hole to rescue him do not come out . A team of men wearing hazmat suits arrive and extract the boy 's body . Meanwhile , FBI Special Agents Fox Mulder and Dana Scully , while investigating a bomb threat against a federal building in Dallas , discover the bomb in a building across the street . As the building is evacuated , Special Agent in Charge Darius Michaud remains , ostensibly to disarm the bomb . However , he simply waits for the bomb to detonate .   Mulder and Scully are later chastised because , in addition to Michaud , four other people were in the building during the bombing . That evening Mulder is accosted by a paranoid doctor , Alvin Kurtzweil , who explains that the `` victims '' were already dead , and that the bombing was staged to cover up how they died . At the hospital morgue , Scully is able to examine one of the victims , finding evidence of an alien virus . Meanwhile , the Cigarette Smoking Man goes to Texas , where Dr. Ben Bronschweig shows him one of the lost firefighters , who has an alien organism residing inside his body . He orders Bronschweig to administer a vaccine to it , but to burn the body if it fails . Later , the alien organism unexpectedly gestates and kills Bronschweig . Mulder and Scully travel to the crime scene in Texas , encountering the boys whose friend fell into the hole . Following their direction , they discover a large cornfield surrounding two glowing domes . Inside the domes , grates in the floor open and swarms of bees fly out . The agents flee , chased by black helicopters , but manage to escape .   After returning to Washington , D.C. , Scully attends a performance hearing , after which she is transferred . Mulder is devastated to lose his partner . The two are about to share a kiss when Scully is stung by a bee which had lodged itself under her shirt collar , and she quickly loses consciousness . Mulder calls paramedics , but the driver of the ambulance shoots Mulder and whisks Scully away . Mulder , not severely injured , slips out of hospital with the help of The Lone Gunmen and FBI Assistant Director Walter Skinner . He then meets a former adversary , the Well - Manicured Man , who gives him Scully 's location , along with a vaccine against the virus that has infected her . As Mulder leaves , the Well - Manicured Man kills himself in a car bomb , before his betrayal of The Syndicate is discovered .   Mulder finds Scully underground in Antarctica , in a large facility containing many humans in ice - like enclosures . He breaks Scully 's confinement and uses the vaccine to revive her , but this disrupts the facility and cocooned aliens begin trying to escape . Just after the agents escape to the surface , a huge alien vessel emerges from beneath the ice and travels into the sky . Mulder watches it disappear into the distance as Scully regains consciousness . Some time later , Scully attends a hearing , where her testimony is disregarded and the evidence covered up . She hands over the only remaining proof of their ordeal , the bee that stung her , noting that the FBI is not currently capable of investigating this evidence . Outside , Mulder reads an article that has covered up the domes and crop field in Texas ; Scully informs Mulder that she is willing to continue working with him .   At another crop outpost in Tunisia , the Cigarette Smoking Man warns Strughold that Mulder remains a threat , as he explains what Mulder has found out about the virus . He then hands him a telegram revealing that the X-files unit has been re-opened .   Cast ( edit )  Lead actor David Duchovny who portrayed FBI agent Fox Mulder .   David Duchovny as Special Agent Fox Mulder   Gillian Anderson as Special Agent Dana Scully   Martin Landau as Alvin Kurtzweil   Blythe Danner as Jana Cassidy   Armin Mueller - Stahl as Conrad Strughold   Mitch Pileggi as Assistant Director Walter Skinner   William B. Davis as Cigarette - Smoking Man   John Neville as Well - Manicured Man   Dean Haglund as Richard `` Ringo '' Langly   Bruce Harwood as John Fitzgerald Byers   Tom Braidwood as Melvin Frohike   Jeffrey DeMunn as Ben Bronschweig   Jason Beghe as FBI Man at Bomb Site   Michael Shamus Wiles as Black - Haired Man   Terry O'Quinn as Special Agent in Charge Darius Michaud   Lucas Black as Stevie   Gary Grubbs as Fire Captain Cooles   Nick Lashaway as Young Fox Mulder    Production ( edit )   Conception and pre-production ( edit )     `` We wanted it to be true to the TV show , for one thing . We did n't want The X-Files to become something else in the movie , just because we had a bigger budget to work with . Yet , we were also mindful that it had to be a culmination of something for the people who had been watching the show for five years , as well as an introduction of these characters and this story to people who had n't . ''     -- Frank Spotnitz talking about the development of The X-Files film .     After five successful seasons , Chris Carter wanted to tell the story of the series on a wider scale , which ultimately meant creating a feature film . He later explained that the main problem was to create a story for which the viewer would not need to be familiar with the show 's setting and the various story arcs .   Carter and Frank Spotnitz wrote major parts of the script in Hawaii over Christmas 1996 . They used the same method that they had used when writing episodes and sketching out scenes for the series on 3x5 index cards . By the time the Christmas break had ended , the whole narrative for the film had been written . Upon his return from Hawaii , Carter looked for spare time to write the script . He returned to Hawaii and in ten days wrote about half of the 124 - page screenplay for the film .   Carter gave 90 pages of the screenplay to Fox who received it well . While not officially greenlighted , he got a budget from Fox and began to make plans as to when and where it would be filmed . Carter then enlisted Daniel Sackheim as a producer on the film . Sackheim had previously produced the pilot episode of The X-Files and directed several episodes in the first two seasons . The X-Files marked his first contribution as producer to a feature film . Carter 's choice for director was Rob Bowman , who had been the series ' executive producer and a director before the production base was moved from Vancouver to Los Angeles .   During production , the filmmakers went to great lengths to preserve secrecy , including printing the script on red paper to prevent photocopying , and leaking disinformation to the media and giving the film the codename `` Project Blackwood '' . The code was cracked by fans who speculated on the meaning behind it . According to Spotnitz , `` Blackwood '' held no particular significance .   At the beginning of the pre-production phase , Carter and Bowman were busy with the television series , leaving Sackheim to work alone . Sackheim hired executive producer Lata Ryan , who had previously collaborated with Steven Spielberg for his 1993 film , Jurassic Park . Once hired , Ryan was allowed to read the script in front of the Ten Thirteen Productions staff members -- but not to take it away . At this time , most of the staff members had not read the script for themselves . After Ryan accepted the offer of becoming executive producer , Chris Nowak was hired as production designer , Ward Russell as director of photography and Bill Liams as construction coordinator . According to Ryan , they had secured all key personnel six weeks before principal filming began .   Writing and casting ( edit )  Martin Landau was one of the film 's well - known stars  Both Carter and Spotnitz wanted to make the film `` bigger '' than the series , so they decided to start and end the film at an `` extreme place '' and explain aspects of the story arc that the show had not . While gathering research materials , they learned that the Earth was once covered with ice and decided to open the film in Texas in 35,000 BC with human `` Primitives '' as the first characters to appear .   The film included known actors from the show such as David Duchovny as Fox Mulder , Gillian Anderson as Dana Scully , Mitch Pileggi as Walter Skinner and William B. Davis as the Cigarette Smoking Man , as well as new actors and characters to the franchise . These included Martin Landau and Blythe Danner . The signing of these actors broke with what had become tradition for The X-Files . Carter had purposely cast virtually unknown actors for the television series , to make it more believable ; `` As soon as you put in an actor whose face is very recognizable , you 've got a situation that works against the reality of the show . '' He saw creating the film as a chance to break this rule . He offered Glenne Headly the small role of a bartender . A fan of the show , she accepted enthusiastically .   Set design ( edit )   Chris Nowak was hired as production designer for the film by Daniel Sackheim . Nowak was a former architect who had worked as a professional theater set designer for eight years , before moving towards the film business as an art director . Nowak had previously worked with Sackheim on a television production , which led to Sackheim contacting him to do an interview for the selection of a production designer . According to Sackheim , Nowak was hired because he was the only one able to create a `` focused vision '' for the film .   Nowak wanted to start the design process after talking through the story with the filmmakers so that he could formulate `` a sense of the atmosphere '' which they wanted to create for the film . He wanted to create a `` dark , scary and oppressive environment '' for the characters , especially Mulder . While familiar with the television series , Nowak decided not to review any episodes as preparation for his role in the production . Explaining this decision , he said , `` I wanted the movie to be as fresh and new as possible in its design . Of course , there were some elements from the show that had to be retained . ''   The design department found all their locations and designed sets in eight weeks , guided by input from the filmmakers . Nowak started by creating artwork for all the major sets and locations , working with the two concept artists Tim Flattery and Jim Martin . Nowak created drafts and sent them to Flattery and Martin who continued to develop them until they were complete . The complete artwork was then presented to Chris Carter , Rob Bowman , Lata Ryan and Sackheim for approval . While considering the time schedule , they made no notable changes to the artwork .   Once the set concepts were approved by Carter , Bowman , Sackheim and Ryan , they were sent to the blueprint stage so that construction of the sets could begin under the supervision of construction coordinator Bill Liams . All the major sets were constructed `` simultaneously '' because of the schedule . However , this proved to be a challenge for the production team , because it meant they had to pay the rent on all the stages at the same time . The set construction started seven weeks before filming .   Filming ( edit )     Not only could I not have directed the movie as well as Rob Bowman ( ... ) I did n't have the time to even attempt to direct the movie as well as Rob Bowman . Rob is a very collaborative person ; and I thought that working with him collaboratively was a much wiser way to approach this than to try to do it myself .     -- Carter talking about choosing a director for the film .     Carter and Bowman wanted to film in as many different locations as possible to give the film a `` grander '' feel than had usually been achievable for the television episodes . The tighter schedule , with only eight weeks of pre-production and 45 days of principal photography , still caused the production to have less location shooting than planned . Los Angeles ended up standing in for Dallas and London ( though a shot was done in London with a double ) , and the ice scenes , initially envisaged for an ice field in Alaska , were moved to Whistler , British Columbia , nearby the show 's regular locations in Vancouver . Principal photography for the film started on June 16 , 1997 .   The X-Files was filmed in the hiatus between the show 's fourth and fifth seasons and re-shoots were conducted during the filming of the show 's fifth season . Due to the demands of the film shoot on the actors ' schedules , some episodes of the fifth season did not revolve around both Mulder and Scully but just one of the two lead stars .   Music ( edit )  Main articles : The X-Files : Original Motion Picture Score and The X-Files : The Album  Two soundtracks , The X-Files : Original Motion Picture Score and The X-Files : The Album were both released to home markets in 1998 . The X-Files : The Album included a take on the original theme song by the American duo The Dust Brothers , and included a hidden track on which Chris Carter details a summary of The X-Files mythology . Mark Snow , who had worked on the television series as a composer , was hired to score the film . Chris Carter wanted a `` very minimal approach '' to the music . He did not want much `` melody '' and wanted to replace it with plain `` ambient atmosphere '' and `` sound design '' . Snow mixed electronic music with an 85 - member orchestra to give the film a `` great sense of scope and grandeur . ''   When creating the music for the film , Snow had a couple of months to write and produce the music , composing the television series simultaneously . The film marked the first time in the history of the franchise that music was composed and recorded with the help of an orchestra , although , according to Snow , there was no significant change in the recording and writing process during the production of the film . The most substantial difference was that Snow used MIDI files to save his musical scores and pieces , which would afterward be sent to a copyist who would take it through one of their programs and eventually give it to the orchestrators .   Release ( edit )   Theatrical run ( edit )   The film premiered theatrically in the United States ( as well as Canada ) on June 19 , 1998 , distributed by 20th Century Fox . It closed after 14 weeks , with its widest release having been 2,650 theaters .   Home media ( edit )   The same year as the international theatrical release , the film was released on VHS on October 13 , 1998 in an Extended Cut edition that is 41 seconds longer than the theatrical release . The film made its first appearance on DVD on January 24 , 2000 in Region 2 and in early 2001 in Region 1 . In 2008 , producer Frank Spotnitz announced plans to release a new special edition DVD and Blu - ray edition of the movie . `` We are working on packing the ( re-issued ) DVD and Blu - ray releases with as many extras as they will fit , including video and audio commentaries , behind - the - scenes footage , bloopers , trailers , a new documentary , and several other cool surprises . '' The Blu - ray version was released on December 2 , 2008 . In addition , a novelization of the film was written by Elizabeth Hand and released on June 19 , 1998 .   Reception ( edit )   Box office ( edit )   The film grossed $83,898,313 in the U.S. and $105,278,110 abroad , giving a total worldwide gross of $189,176,423 . In its opening weekend , showing at 2,629 theaters , it earned $30,138,758 which was 35.9 % of its total gross . According to Box Office Mojo , it ranked at No. 23 for all films released in the U.S. in 1998 and No. 10 for PG - 13 rated films released that year .   Critical response ( edit )   The film received generally positive reviews . The review aggregator website Rotten Tomatoes reported that 64 % of 69 listed film critics gave the film a positive review , with an average rating of 6.1 out of 10 .  `` The X-Files '' movie does answer one question raised in the show for an hour a week , five years running : Is the government conspiring to keep the truth about extraterrestrials from the public ? You bet . That 's certainly been the implication from the start , and since paranoia fuels the show , it 's no great leap on the big screen . `` '' -- Tim Goodman , writing for The San Francisco Examiner  Roger Ebert gave a positive review of the film with three out of four stars , saying , `` As pure movie , The X-Files more or less works . As a story , it needs a sequel , a prequel , and Cliff Notes . '' Joyce Millman of Salon was more equivocal , writing , `` ... You really ca n't treat The X-Files as a movie because it is n't one . It 's a two - hour episode of the show , '' and said it was far from the `` most satisfying '' of X-Files releases . San Francisco Chronicle reviewer Bob Graham was positive towards the film , calling `` David Duchovny and Gillian Anderson ( ... ) enormously sympathetic heroes . '' Michael O'Sullivan , a reviewer from The Washington Post called the film , `` stylish , scary , sardonically funny and at times just plain gross . ''   Los Angeles Times reviewer Kenneth Turan felt that it was difficult to make sense of the film , saying that it relied too heavily on the series ' mythology . Lisa Alspector wrote that `` Only two scenes in this spin - off are worth the time of followers of the TV series . '' Variety reviewer Todd McCarthy remarked , `` As it is , the pic serves up set - pieces and a measure of scope that are beyond TV size but remain rather underwhelming by feature standards . '' Janet Maslin of The New York Times responded negatively towards the film , complaining that it was uneventful and scorning the `` hush - hush atmosphere '' surrounding the production .   Sequel ( edit )  Main articles : The X-Files franchise and The X-Files : I Want to Believe  The X-Files has spawned one sequel , a 2008 film entitled The X-Files : I Want to Believe released six years after the series ended . The film performed modestly at the box office and received a less positive response than the first film . In an interview with Entertainment Weekly , Chris Carter announced that if I Want to Believe proved successful , he would propose that a third movie go back to the television series ' mythology and focus on the alien invasion foretold within the series , due to occur in December 2012 . No third movie appeared ; instead , the TV series was revived in 2016 .   See also ( edit )    Speculative fiction / Science fiction portal   1990s portal   Film portal     Extraterrestrial hypothesis   1998 in film    References ( edit )    Jump up ^ `` THE X-FILES ( 15 ) '' . British Board of Film Classification . July 7 , 1998 . Retrieved November 29 , 2015 .   ^ Jump up to : `` The X-Files ( 1998 ) '' , Box Office Mojo , IMDb.com , Inc , retrieved April 3 , 2010   Jump up ^ Duncan 1998 , p. 4 .   ^ Jump up to : Carter , Chris , Spotnitz , Frank , Bowman , Rob , Duchovny , David , Anderson , Gillian , Pileggi , Mitch , Sackheim , Daniel , Paris , David , Lombardi , Paul , Epstein , John , McLaglen , Josh , Beck , Mat , Wash , John and Snow , Mark ( 1998 ) . The Making of The X-Files Movie ( DVD ) . Fox Home Entertainment .   Jump up ^ Duncan 1998 , pp. 4 - 5 .   Jump up ^ Duncan 1998 , pp. 5 - 6 .   Jump up ^ Duncan 1998 , pp. 10 - 11 .   Jump up ^ Duncan 1998 , p 11 .   ^ Jump up to : Carter , Chris and Bowman , Rob ( 1998 ) . Audio commentary for The X-Files ( DVD ) . Fox Home Entertainment .   ^ Jump up to : Duncan 1998 , p. 18 .   ^ Jump up to : Duncan 1998 , p. 7 .   ^ Jump up to : Duncan 1998 , p. 6 .   Jump up ^ Green , Chris ( Spring 2010 ) . `` Case Study : Fred Baron '' ( PDF ) . Produced by . Producers Guild of America : 15 .   Jump up ^ Carter , Chris , Gilligan , Vince , Shiban , John , Haglund , Dean , Manners , Kim , Bowman , Rob , Spotnitz , Frank , Cartwright , Veronica , Rabwin , Paul , Rogers , Mimi and Goodwin , R.W. `` Bob '' ( 1998 ) . The Truth Behind Season 5 ( DVD ) . Fox Home Entertainment .   Jump up ^ Love , Brett , `` X-Files ( Score ) '' , Allmusic , Rovi Corporation , retrieved September 29 , 2009   Jump up ^ Erlewine , Stephen Thomas , `` X-Files ( Original Soundtrack ) '' , Allmusic , Rovi Corporation , retrieved September 29 , 2009   Jump up ^ Goldwasser , Dan ( May 27 , 2008 ) , `` The S Files '' , Soundtrack.net , SoundtrackNet , LLC , retrieved September 29 , 2009   Jump up ^ `` X-Files : Fight the Future , The '' .   Jump up ^ `` The X-Files : Fight the Future Blu - ray review at High Def Digest '' .   ^ Jump up to : Graham , Bob ( October 16 , 1998 ) , `` Conspiracy Marks the Spot The X-Files proves an intriguing thrill '' , San Francisco Chronicle , Hearst Communications , Inc , retrieved September 29 , 2009   Jump up ^ `` DV - Delicious '' , SFX , Future plc , January 2000   Jump up ^ Stark , Jeff ( January 16 , 2001 ) . `` The X-Files : Fight the Future '' . Salon . Salon Media Group . Retrieved September 29 , 2009 .   Jump up ^ `` Producer : Fox Plotting to Bring X-Files Movies to Blu - ray '' . Blu-ray.com . July 7 , 2008 . Retrieved September 29 , 2009 .   Jump up ^ `` The X-Files : Fight The Future - Blu - ray '' . Barnes &amp; Noble . Retrieved 2014 - 03 - 03 .   Jump up ^ The X-Files : Fight The Future . HarperEntertainment . ISBN 0061050679 .   Jump up ^ `` The X-Files : Fight the Future ( 1998 ) '' , Rotten Tomatoes , Flixster , Inc , archived from the original on September 2 , 2009 , retrieved September 29 , 2009   Jump up ^ `` X ' hits the spot '' . The San Francisco Examiner . Retrieved February 15 , 2014 .   Jump up ^ Ebert , Roger ( June 19 , 1998 ) , `` The X-Files '' , Chicago Sun Times , Sun - Times Media Group , retrieved September 29 , 2009   Jump up ^ Millmann , Joyce ( 1998 ) , `` I want to believe '' , Salon , Salon Media Group , archived from the original on May 7 , 2010 , retrieved September 29 , 2009   Jump up ^ O'Sullivan , Michael ( June 19 , 1998 ) , `` ' X ' - tra , ' X ' - tra ! See All About It ! '' , The Washington Post , The Washington Post Company , retrieved September 29 , 2009   Jump up ^ Turan , Kenneth ( June 19 , 1998 ) , `` The X-Files '' , Los Angeles Times , Tribune Company , retrieved September 29 , 2009   Jump up ^ Alspector , Lisa ( 1998 ) , `` The X-Files '' , Chicago Reader , Creative Loafing , Inc , retrieved September 29 , 2009   Jump up ^ McCarthy , Todd ( June 19 , 1998 ) , `` The X-Files '' , Variety , Reed Business Information , retrieved September 29 , 2009   Jump up ^ `` The X-Files : Fight the Future ( 1998 ) '' , Rotten Tomatoes , Flixster , Inc , retrieved April 6 , 2010   Jump up ^ `` The X-Files : I Want to Believe '' . The Numbers . Retrieved September 5 , 2009 .   Jump up ^ `` The X-Files : I Want to Believe ( 2008 ) '' , Rotten Tomatoes , Flixster , Inc , retrieved September 29 , 2009   Jump up ^ Clark Collis ( April 18 , 2008 ) , `` ' X-Files ' creator Chris Carter wants to believe in a third film featuring Mulder and Scully '' , Entertainment Weekly , Time Inc , retrieved July 27 , 2009     Duncan , Jody ( 1998 ) . The Making of The X-Files Movie . New York , US : HarperPrism . ISBN 0 - 06 - 107316 - 4 .    External links ( edit )       Wikiquote has quotations related to : The X-Files : Fight The Future      The X-Files on IMDb   The X-Files at AllMovie   The X-Files at the TCM Movie Database   The X-Files at the American Film Institute Catalog   The X-Files at Box Office Mojo   The X-Files at Rotten Tomatoes   The X-Files at Metacritic              The X-Files     The X-Files     Awards   Episodes   Season 1         5   6   7   8   9   10   11   Unmade     The X-Files ( film )   The X-Files : I Want to Believe   Mythology   Religion in The X-Files   Sources and analogues       Characters        Colonists   Minor   Samantha Mulder         X-files unit     Fox Mulder   Dana Scully   Walter Skinner   John Doggett   Monica Reyes   Brad Follmer   Jeffrey Spender   Alvin Kersh       Lone Gunmen     Jimmy Bond       Syndicate     Cigarette Smoking Man   Well - Manicured Man   Deep Throat   X   Marita Covarrubias   Alex Krycek   Men in Black          Merchandise      Games     Collectible Card Game   The X-Files Game   Unrestricted Access   Resist or Serve       DVD releases     Volume 1   Volume 2   Volume 3   Volume 4   Revelations       Music     Theme   Songs in the Key of X   The Truth and the Light   The X-Files : Original Motion Picture Score   The X-Files : The Album   I Want to Believe : Original Motion Picture Score       Literature     The X-Files ( comics )   The X-Files Season 10   The X-Files Season 11          Related shows     Millennium   The Lone Gunmen   `` The Springfield Files ''         Book     Portal                 Films directed by Rob Bowman       Airborne ( 1993 )   The X-Files ( 1998 )   Reign of Fire ( 2002 )   Elektra ( 2005 )      Retrieved from `` https://en.wikipedia.org/w/index.php?title=The_X-Files_(film)&amp;oldid=808544430 '' Categories :   1998 films   English - language films   The X-Files ( franchise )   1998 horror films   1990s action films   1990s science fiction films   20th Century Fox films   American films   American science fiction action films   American science fiction horror films   Detective films   Federal Bureau of Investigation in fiction   Film scores by Mark Snow   Films about extraterrestrial life   Films based on television series   Films directed by Rob Bowman   Films set in 1998   Films set in Antarctica   Films set in pre-Columbian America   Films set in Texas   Films set in Dallas   Films set in Tunisia   Films set in Washington , D.C.   Films shot in British Columbia   Films shot in London   Films shot in Los Angeles   Prehistoric people in popular culture   Films set in Maryland   Hidden categories :   All articles with dead external links   Articles with dead external links from October 2010   Articles with dead external links from November 2016   Articles with permanently dead external links   Use mdy dates from November 2015   Good articles           Talk                                           Contents                   About Wikipedia                                           Wikiquote       Български   Čeština   Deutsch   Español   فارسی   Français   Galego   </t>
    </r>
    <r>
      <rPr>
        <sz val="11"/>
        <color rgb="FF000000"/>
        <rFont val="Noto Sans CJK SC"/>
        <family val="2"/>
      </rPr>
      <t xml:space="preserve">한국어   </t>
    </r>
    <r>
      <rPr>
        <sz val="11"/>
        <color rgb="FF000000"/>
        <rFont val="Calibri"/>
        <family val="0"/>
        <charset val="1"/>
      </rPr>
      <t xml:space="preserve">Italiano   עברית   ქართული   Nederlands   Norsk   Polski   Português   Română   Русский   Српски / srpski   Suomi   Svenska   Українська   </t>
    </r>
    <r>
      <rPr>
        <sz val="11"/>
        <color rgb="FF000000"/>
        <rFont val="Noto Sans CJK SC"/>
        <family val="2"/>
      </rPr>
      <t xml:space="preserve">中文   </t>
    </r>
    <r>
      <rPr>
        <sz val="11"/>
        <color rgb="FF000000"/>
        <rFont val="Calibri"/>
        <family val="0"/>
        <charset val="1"/>
      </rPr>
      <t xml:space="preserve">Edit links   This page was last edited on 3 November 2017 , at 14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</si>
  <si>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after what season was the x files movie</t>
  </si>
  <si>
    <t xml:space="preserve"> The film takes place between seasons five ( episode `` The End '' ) and six ( episode `` The Beginning '' ) of the television series , and is based upon the series ' extraterrestrial mythology . The story follows agents Mulder and Scully , removed from their usual jobs on the X-Files , and investigating the bombing of a building and the destruction of criminal evidence . They uncover what appears to be a government conspiracy attempting to hide the truth about an alien colonization of Earth . </t>
  </si>
  <si>
    <t xml:space="preserve">Captain Underpants : the First Epic Movie - Wikipedia  Captain Underpants : the First Epic Movie  Jump to : navigation , search    Captain Underpants : The First Epic Movie     Theatrical release poster     Directed by   David Soren     Produced by     Mireille Soria   Mark Swift       Screenplay by     Nicholas Stoller   David Soren ( additional screenplay material )       Based on   Captain Underpants by Dav Pilkey     Starring     Kevin Hart   Ed Helms   Thomas Middleditch   Nick Kroll   Jordan Peele   Kristen Schaal       Music by   Theodore Shapiro     Edited by   Matthew Landon     Production company   DreamWorks Animation     Distributed by   20th Century Fox     Release date     May 21 , 2017 ( 2017 - 05 - 21 ) ( Regency Village Theater )   June 2 , 2017 ( 2017 - 06 - 02 ) ( United States )             Running time   89 minutes     Country   United States     Language   English     Budget   $38 million     Box office   $125.3 million     Captain Underpants : The First Epic Movie is a 2017 American computer - animated superhero comedy film based on the children 's novel series of the same name by Dav Pilkey . It was produced by DreamWorks Animation , and Mikros Image Montreal with Technicolor Animation Productions provided animation . It was directed by David Soren from a screenplay by Nicholas Stoller , and stars the voices of Kevin Hart , Ed Helms , Thomas Middleditch , Nick Kroll , Jordan Peele , and Kristen Schaal . The plot follows two imaginative elementary school pranksters named George Beard and Harold Hutchins ( voiced by Hart and Middleditch ) who hypnotize their mean - spirited principal , Mr. Krupp ( voiced by Helms ) , into thinking he is Captain Underpants , a superhero who fights crime while wearing only underwear and a cape , and the main protagonist of George and Harold 's comic books .   Captain Underpants premiered on May 21 , 2017 , at the Regency Village Theater in Los Angeles , and was released in the United States on June 2 , 2017 , in 3D and 2D . The film received generally positive reviews from critics and has grossed $125 million worldwide against a budget of $38 million , making it the lowest - budgeted computer - animated feature of DreamWorks Animation 's history . This was the last DreamWorks Animation film to be distributed by 20th Century Fox . With the film 's release in Saudi Arabia paired with The Emoji Movie on January 13 , 2018 , both became the first films to be given official public screenings in the country in 35 years after the removal of Saudi Arabia 's cinema ban .     Contents  ( hide )   1 Plot   2 Voice cast   3 Production   4 Music   4.1 Soundtrack   4.1. 1 Track listing     4.2 Score   4.2. 1 Track listing       5 Release   5.1 Box office   5.2 Critical response   5.3 Home media   5.4 Accolades     6 Television series   7 Notes   8 References   9 Further reading   10 External links      Plot ( edit )   In the city of Piqua , Ohio , two fourth - grade friends and next - door neighbors named George Beard ( Kevin Hart ) and Harold Hutchins ( Thomas Middleditch ) are the pranksters at their school , Jerome Horwitz Elementary School . They excessively prank the cruel teachers , with many of these pranks directed at their `` evil '' principal , Mr. Benjamin `` Benny '' Krupp ( Ed Helms ) , putting the two at odds with him . The duo also create comic books about a superhero named Captain Underpants , a character who has superpowers and wears underwear and a cape . They sell these to their schoolmates through a comic company called Treehouse Comix Inc. , located in their treehouse . George and Harold 's pranks come to an apparent end after they 're caught tampering with a toilet invention , the Turbo Toilet 2000 , made by the school 's local snitch and intellectual , Melvin Sneedly ( Jordan Peele ) , on video . Because of this , Mr. Krupp has no choice but to annihilate their friendship by putting them into separate classes .   To prevent this , George hypnotizes Mr. Krupp with a 3D Hypno Ring he received out of a box of Frosted Sugar Doodles . The boys see that Mr. Krupp bears an odd resemblance to Captain Underpants without his toupee and command him to be Captain Underpants . The boys soon learn the severity of their actions when `` Captain Underpants '' begins causing problems around Piqua . To prevent these issues , the boys take him to their treehouse , where they discover that they can turn Captain Underpants back into Mr. Krupp by splashing water on him and can turn him back into Captain Underpants by snapping their fingers . Believing that Mr. Krupp will continue trying to separate them , they decide to settle with Captain Underpants but insist that he be dressed up as Mr. Krupp under the pretense of a `` secret identity , '' to which Captain Underpants agrees . His sudden personality change even manages to attract the attention ( and affection ) of the school 's shy lunch lady , Edith ( Kristen Schaal ) .   Just when George and Harold believe that their troubles have ended , Jerome Horwitz Elementary School is visited by an odd , German - accented scientist named Professor Pee - Pee Diarrheastein Poopypants , Esq . ( Nick Kroll ) , or as he calls himself , Professor P. Captain Underpants ( disguised as Mr. Krupp ) hires him to be a new teacher , but George and Harold are suspicious of him . As it turns out , Poopypants is seeking to get rid of laughter altogether due to the fact that people have made fun of his name for years . He recruits Melvin to help him , as he discovers his brain makes him incapable of laughing or having fun .   After Mr. Krupp finally separates the boys in separate classes from a school carnival accident by Captain Underpants , Professor Poopypants tries to take over the town with a giant version of the Turbo Toilet 2000 , fueled by the school cafeteria 's rotten leftovers left out by Edith and uses Melvin 's brain to turn the children into glum , humorless zombies . Captain Underpants tries to stop the villain , but due to having no actual superpowers , is effortlessly defeated and thrown into the toilet . George and Harold are captured and nearly turned into zombies , but are able to escape after Professor Poopypants includes Uranus as one of the planets he 'll rid of laughter , causing the boys to laugh and damage the Turbo Toilet 2000 's computer , restoring the children back to normal . Upon consuming the mutated leftovers , Captain Underpants acquires superpowers and , with George and Harold 's help , defeats and shrinks Poopypants , though he escapes on a bumblebee shortly thereafter .   Knowing that they ca n't control Captain Underpants , George and Harold destroy the Hypno Ring to permanently change him back into Mr. Krupp . Feeling that Mr. Krupp would be nicer if he had friends , the boys set him and lovesick Edith up on a date , thus making Mr. Krupp have a change of heart , returns the comics he took away from George and Harold , and even admits their comics are funny . However , the toxic waste from the Turbo Toilet 2000 transforms all the toilets into vicious monsters which attack the restaurant at which Mr. Krupp and Edith are dining . Upon snapping his fingers , Mr. Krupp once again becomes Captain Underpants , carrying George and Harold away to help him fight them , much to Edith 's surprise and admiration .   In a mid-credits scene , George and Harold realize that the secretary , who they put on hold before by faking a contest with a cash prize of $1 billion , has been on the phone for the entire film , so they shut off the call , make the secretary angry , and make a new comic based on her reaction .   Voice cast ( edit )    Kevin Hart as George Beard , a fourth - grade student . He is Harold 's best friend and writes stories for the comics he and Harold make .   Thomas Middleditch as Harold Hutchins , a fourth - grade student . He is George 's best friend and illustrates the comics he and George make .   Ed Helms as Mr. Benjamin `` Benny '' Krupp / Captain Underpants , the mean - spirited principal of Jerome Horwitz Elementary School , who is hypnotized into becoming the superhero created by George and Harold .   Nick Kroll as Professor Pee - Pee Diarrheastein Poopypants , Esq. , a scientist angered after being constantly made fun of and not taken seriously for his name , who decides to take over the world to get rid of all laughter and captain underpants _́ s arch - nemesis .   Jordan Peele as Melvin Sneedly , George and Harold 's arch - nemesis , a child prodigy inventor ; he becomes Prof. Poopypants ' unwitting sidekick .   Kristen Schaal as Edith , the shy school lunch lady and the love interest of Mr. Krupp .   Dee Dee Rescher as Ms. Tara Ribble , the 4th - grade teacher ( and George 's new teacher when Mr. Krupp separates the boys ) .   Brian Posehn as Mr. Rected , the guidance counselor ( and Harold 's new teacher when Mr. Krupp separates the boys ) .   Mel Rodriguez as Mr. Morty Fyde , the science teacher who gets fired by Krupp and is replaced by Professor Poopypants .   David Soren as Tommy , a boy who is seen frequently throughout the movie climbing into his own locker and shutting the locker door behind him .   Susan Fitzker as Mrs. Dayken , George and Harold 's kindergarten teacher and unintentionally made them laugh by mentioning Uranus   Lynnanne Zager as Mrs. Beard   Tiffany Lauren Bennicke as Sad Girl   James Ryan as Mime   Leslie David Baker as Officer McPiggly   Sugar Lyn Beard as Goodie Two - Shoes Girl   Lesley Nicol as Nobel Moderator   Chris Miller as Nobel Audience Member   Coco Soren as Balloon Girl    Production ( edit )   DreamWorks ' interest in the film rights to the Captain Underpants series dates back to when the first installment was published in 1997 , but creator Dav Pilkey did not want to sell them . Early pitches for an adaptation included video games , animated and live - action films , an animated series , and a live - action series . To persuade him , DreamWorks gave Pilkey a tour around the studio with everyone wearing underpants over their actual pants , which made him laugh . In October 2011 , his representatives indicated Pilkey was ready , and DreamWorks Animation won the rights in an auction . In October 2013 , Rob Letterman was announced as director and Nicholas Stoller as scriptwriter . The two had previously worked together on the film Gulliver 's Travels . In January 2014 , the cast was announced . Ed Helms joined as Mr. Krupp a.k.a. Captain Underpants , Kevin Hart as George Beard , Thomas Middleditch as Harold Hutchins , Nick Kroll as the `` insidious villain '' Professor Poopypants , and Jordan Peele as George and Harold 's `` nerdy nemesis '' Melvin Sneedly .   In 2014 , DreamWorks Animation announced a January 2017 release date . Following DreamWorks Animation 's reorganization in early 2015 , the studio announced that the film would be produced outside of the studio 's pipeline at a significantly lower cost . It was instead animated at Mikros Image in Montreal , Canada , and at Technicolor Animation Productions in France , and therefore looks identical to Pilkey 's artwork , as well as differently than most of DWA 's films . A month later , Letterman left the project but came back as an executive producer , and David Soren , the director of Turbo , entered talks to direct the film . During production , Pilkey got to work closely with Soren . He was relieved that Soren was directing since he was a fan of Turbo . In an interview with Los Angeles Times , Pilkey said : `` Once I met David , it was like a huge load fell off my back ; I was like , ' I do n't even have to think about this anymore . Just send me a couple of tickets to the premiere . ' '' Commenting back , Soren said , `` In a way , the controversy over the books ended up being liberating for the film . Normally on an animated movie you 're trying to appeal to every possible demographic , and often that results in your content being watered down a little bit . Obviously we hope we get as wide of an audience as possible . But it 's likely that if people have issues with the books they may have issues with the movie too , and we did n't feel like we needed to waste a lot of time trying to rope them in . It allowed us to make the purest version of the movie . '' Soreness also said that he took inspiration from John Hughes films . In an interview with MovieFreak , he mentioned ,   ... we actually looked at a lot of John Hughes movies for inspiration , like Ferris Bueller 's Day Off and Weird Science . John Hughes had this great knack for making comedies likes this . Both of those movies have great friendships at the center of them . He seemed to be able to tap into the voice of a generation . They 're very funny , all of his movies , but they are also poignant and they actually have meaningful things to say , which I think is why they have stood the test of time . So there 's timelessness to his work that we were attempting to go for with this .   Although it is a CG - animated feature , the film includes scenes that are traditionally animated , flash animated , a short cutout animation segment , and a sock puppet sequence created by Screen Novelties .   Music ( edit )   Soundtrack ( edit )   `` Weird Al '' Yankovic wrote and performed the theme song for the film , which was featured in a lyric video . It currently stands at over 10 million views ( as of March 2018 ) . Andy Grammer wrote another original song for the film , titled `` A Friend Like You '' . The film also features music from Adam Lambert , Cold War Kids member Nathan Willett , and Lil Yachty . An 11 - track soundtrack album was released digitally on June 2 , 2017 , by Virgin Records and Deep Well Records .  Track listing ( edit )    No .   Title   Artist   Length     1 .   `` Captain Underpants Theme Song ''   `` Weird Al '' Yankovic and Ed Helms   2 : 14     2 .   `` A Friend Like You ''   Andy Grammer   3 : 40     3 .   `` Saturday ( cast version ) ''   Kevin Hart and Thomas Middleditch   0 : 48     4 .   `` Think ''   Adam Lambert   2 : 59     5 .   `` 1812 Ofarture ''   The Students of Jerome Horwitz Elementary School   1 : 08     6 .   `` Hallelujah ''   Kevin Hart , Thomas Middleditch , Ed Helms   0 : 39     7 .   `` Oh Yeah ''   Lil Yachty   2 : 51     8 .   `` Saturday ''   Nathan Willett   3 : 29     9 .   `` Comic Book Opening ''   Theodore Shapiro   1 : 54     10 .   `` Saving the Day ''   Theodore Shapiro   7 : 22     11 .   `` The Prank for Good ''   Theodore Shapiro   5 : 38     Total length :   32 : 42     Score ( edit )   The film score was composed by Theodore Shapiro . A soundtrack for the score of the film was released on June 9 . It features 24 pieces of music , and an exclusive digital booklet on iTunes . Three of the scores are also available on the soundtrack ( those being `` Comic Book Opening '' , `` Saving the Day '' , and `` The Prank for Good '' ) .  Track listing ( edit )  All tracks written by Theodore Shapiro .     No .   Title   Length     2 .   `` Treehouse ''   1 : 03     3 .   `` Bromance Origin Story ''   1 : 58     4 .   `` Annihilate the Friendship ''   2 : 13     5 .   `` Tuna Casserole ''   0 : 59     6 .   `` Snooping ''   1 : 47     7 .   `` Power of the Hypno Ring ''   1 : 57     8 .   `` A Hero is Born ''   4 : 14     9 .   `` Mad Genius Inventor ''   0 : 53     10 .   `` Bringing Krupp Home ''   2 : 20     11 .   `` Two Blue Eyes ''   2 : 10     12 .   `` Brain of a Child ''   1 : 54     13 .   `` Hallelujah , His Name is Poopypants ''   1 : 37     14 .   `` The Nobel Prize ''   3 : 02     15 .   `` Anti-Humor Boy ''   1 : 49     16 .   `` Art Class Liberation ''   1 : 57     17 .   `` Carnival Conniptions ''   2 : 17     18 .   `` Separation Anxiety ''   1 : 32     19 .   `` Poopypants Has No Gas ''   1 : 36     20 .   `` A World Without Laughter ''   2 : 53     21 .   `` Flip - O-Rama ! ''   1 : 24     22 .   `` Really Silly Names ''   1 : 23     Total length :   55 : 42     Release ( edit )   Captain Underpants : The First Epic Movie was previously scheduled to be released on March 10 , 2017 , but in September 2015 , The Boss Baby took over its date . The film was then moved to June 2 , 2017 , and was released by 20th Century Fox . Other territories such as Europe and Asia received the film between July and October 2017 and the movie came on DVD and Blu - Ray on September 12 , 2017 and it premiered on May 21 , 2017 at the Regency Village Theater in Los Angeles . The film was chosen along with The Emoji Movie to inaugurate the removal of Saudi Arabia 's cinema ban through a double feature screening on January 13 , 2018 organized by Cinema 70 . Both are the first two movies to be given an official public screening in the country in 35 years .   Box Office ( edit )   Captain Underpants : The First Epic Movie has grossed $73.9 million in the United States and Canada and $51.2 million in other territories , for a worldwide gross of $125.3 million .   In North America , the film was released alongside Wonder Woman , and was projected to gross around $20 million from 3,434 theaters in its opening weekend . It made $8 million on its first day and $23.9 million in its opening weekend , finishing second at the box office , behind Wonder Woman ( $103.3 million ) . The film would go on to gross $12.2 million in its second weekend , $7.2 million in its third and $4.3 million in its fourth .   Critical response ( edit )   On Rotten Tomatoes , the film has an approval rating of 86 % based on 116 reviews and an average rating of 6.9 / 10 . The site 's critical consensus reads , `` With a tidy plot , clean animation , and humor that fits its source material snugly , Captain Underpants : The First Epic Movie is entertainment that wo n't drive a wedge between family members . '' On Metacritic , the film has a score of 69 out of 100 based on 25 critics , indicating `` generally favorable reviews '' . Audiences polled by CinemaScore gave the film an average grade of `` B + '' on an A+ to F scale .   Matt Zoller Seitz of RogerEbert.com gave the film three - and - a-half out of four stars . Although Seitz pointed out that the film is hampered by `` a rushed , jumbled quality '' and has `` tiresome '' features that he says are common to DreamWorks , such as `` frenetic action scenes ... and the use of workhorse pop songs '' , he emphasized that `` ( t ) hey 've approached this compendium of elemental slapstick and unabashed childishness with the reverence that the Coen brothers brought to No Country for Old Men . '' He further added that the inclusion of the flip book interludes are the film 's best parts , especially in having the pages accidentally be torn similar to the real books , stating that `` ( i ) t 's not often that a movie puts a spotlight on a mundane ritual in your own life that you never realized was profound and says , ' You probably forgot about this , but I want you to remember it and savor it , because it meant something . ' ''   Home Media ( edit )   Captain Underpants : The First Epic Movie was released on Digital HD on August 29 , 2017 , and on DVD , Blu - ray and Ultra HD Blu - ray on September 12 , 2017 , by 20th Century Fox Home Entertainment , and has been released by Universal Pictures Home Entertainment in certain territories .   Accolades ( edit )       Award     Recipient ( s )   Result     Annie Award   Best Animated Feature   Mireille Soria and Mark Swift   Nominated     Music in an Animated Feature Production   Theodore Shapiro     Voice Acting in an Animated Feature Production   Nick Kroll     Detroit Film Critics Society   Best Animated Film   Captain Underpants : The First Epic Movie     Empire Awards   Best Animated Film   Nominated     Golden Tomato Awards 2017   Best Animated Film   5th Place     Hollywood Music in Media Awards 2017   Best Original Song - Animated Film   `` Captain Underpants Theme Song '' for `` Weird Al '' Yankovic   Nominated     Best Original Score - Animated Film   Theodore Shapiro     International Film Music Critics Association   Best Original Score for an Animated Film   Won     IGN Awards   Best Animated Movie   Captain Underpants : The First Epic Movie   Nominated     Kids ' Choice Awards   Favorite Animated Film   Nominated     Los Angeles Online Film Critics Society   Best Animated Film   Nominated     St. Louis Film Critics Association   Best Animated Feature   David Soren     16th Visual Effects Society Awards   Outstanding Visual Effects in an Animated Feature   David Soren , Mark Swift , Mireille Soria , David Dulac     Television series ( edit )  Main article : The Epic Tales of Captain Underpants  On December 12 , 2017 , Netflix and DreamWorks Animation announced that there will be an animated series entitled The Epic Tales of Captain Underpants on Netflix sometime in 2018 . The series will be executive produced by Peter Hastings .   Notes ( edit )    Jump up ^ Half - cover of the Yello song of the same name    References ( edit )    ^ Jump up to : Rechtshaffen , Michael ( June 1 , 2017 ) . `` ' Captain Underpants : The First Epic Movie ' : Film Review '' . The Hollywood Reporter . Retrieved November 11 , 2017 .   Jump up ^ `` Captain Underpants : The First Epic Movie '' . AMC Theatres . Retrieved May 21 , 2017 .   Jump up ^ `` Captain Underpants The First Epic Movie ( 2017 ) '' . British Film Institute . Retrieved March 26 , 2018 .   Jump up ^ `` Box Office Preview : ' Wonder Woman ' Readies for $95 M - Plus U.S. Debut '' . The Hollywood Reporter . June 1 , 2017 .   ^ Jump up to : `` Captain Underpants : The First Epic Movie ( 2017 ) '' . Box Office Mojo . IMDb.com , Inc . Retrieved December 7 , 2017 .   Jump up ^ Amidi , Amid ( June 2 , 2017 ) . `` ' Captain Underpants ' Could Dramatically Alter The U.S. Feature Animation Industry '' . Cartoon Brew . Cartoon Brew , LLC . Retrieved June 3 , 2017 .   ^ Jump up to : DreamWorks Animation ( January 21 , 2014 ) . `` Captain Underpants Saves The Day By Recruiting Top Comedy Talent To Voice New DreamWorks Animation Film '' ( Press release ) . PR Newswire . Retrieved January 22 , 2014 .   ^ Jump up to : Snetiker , Marc ( June 28 , 2016 ) . `` Captain Underpants movie recruits Kristen Schaal '' . Entertainment Weekly . Retrieved December 26 , 2016 .   ^ Jump up to : Josh Rottenberg ( June 1 , 2017 ) . `` Why Captain Underpants author Dav Pilkey played hard to get with Hollywood '' . The Los Angeles Times . Retrieved June 4 , 2017 .   Jump up ^ Mike Flemming , Jr ( October 19 , 2011 ) . `` DreamWorks Animation Wins Auction For ' Captain Underpants ' Feature Film Rights '' . Deadline . Retrieved May 12 , 2017 .   Jump up ^ Kit , Borys ( October 25 , 2013 ) . `` Rob Letterman to Direct ' Captain Underpants ' for DWA ( Exclusive ) '' . The Hollywood Reporter . Retrieved October 26 , 2013 .   Jump up ^ `` DreamWorks Animation Release Dates Include Madagascar 4 '' . Collider.com . June 12 , 2014 . Retrieved June 12 , 2014 .   Jump up ^ Lieberman , David ( January 22 , 2015 ) . `` DreamWorks Animation Restructuring To Cut 500 Jobs With $290 M Charge '' . Deadline.com . Retrieved January 25 , 2015 .   Jump up ^ Graser , Marc ( January 22 , 2015 ) . `` Jeffrey Katzenberg on DWA 's Cutbacks : ' 3 Films a Year Was Too Ambitious '' . Variety . Retrieved September 20 , 2015 . `` Trolls , '' set for a 2016 release , will be the first film to be made with the $120 million budget .   ^ Jump up to : Fleming Jr. , Mike ( February 26 , 2015 ) . `` Rob Letterman Doffs ' Captain Underpants ' ; ' Turbo 's David Soren Being Fitted For DWA Pic '' . Deadline . Retrieved March 5 , 2015 .   Jump up ^ Sara Michelle Fetters . `` '' CAPTAIN UNDERPANTS : THE FIRST EPIC ADVENTURE '' -- INTERVIEW WITH DAVID SOREN `` . Retrieved March 22 , 2018 . Unknown parameter dat = ignored ( help )   Jump up ^ Romano , Nick ( May 12 , 2017 ) . `` Tra la la ! Weird Al Yankovic sings Captain Underpants theme in lyric video '' . Entertainment Weekly . Retrieved May 20 , 2017 .   ^ Jump up to : Tom , Lauren ( May 12 , 2017 ) . `` Captain Underpants ' Movie Scores Epic Soundtrack With ' Weird Al ' , Lil Yachty &amp; More '' . Billboard . Retrieved May 20 , 2017 .   Jump up ^ `` ' Captain Underpants : The First Epic Movie ' Soundtrack Details '' . Film Music Reporter . May 11 , 2017 . Retrieved May 20 , 2017 .   Jump up ^ McClintock , Pamela ( September 18 , 2015 ) . `` Hugh Jackman 's ' Greatest Showman on Earth ' Pushed a Year to Christmas 2017 '' . The Hollywood Reporter . Retrieved September 19 , 2015 .   Jump up ^ `` Theatrical Movie Schedule Changes and Additions '' . Box Office Mojo . IMDb.com , Inc . March 27 , 2016 . Retrieved March 27 , 2016 .   Jump up ^ Coggan , Devan ( December 24 , 2016 ) . `` Captain Underpants leaps to the big screen in exclusive first look '' . Entertainment Weekly . Time Inc . Retrieved December 25 , 2016 .   Jump up ^ `` Kevin Hart , Kristen Schaal attend ' Captain Underpants ' premiere in Los Angeles '' . United Press International . May 22 , 2017 . Retrieved May 22 , 2017 .   Jump up ^ Milligan , Mercedes ( January 15 , 2018 ) . `` ' Emoji Movie , ' ' Captain Underpants ' Break Saudi Arabia 's 35 - Year Cinema Fast '' . Animation Magazine . Jean Thoren . Retrieved February 6 , 2018 .   Jump up ^ Anthony D'Alessandro ( May 30 , 2017 ) . `` ' Wonder Woman ' : All The World Is Waiting For You As Warner Bros. / DC Pic Eyes $175 M+ Global Opening '' . Deadline . Penske Business Media , LLC .   ^ Jump up to : `` ' Wonder Woman ' Breaks Glass Ceiling For Female Directors &amp; Stomps On ' Iron Man ' With $100.5 M Debut -- Sunday AM Final '' . Deadline.com . June 4 , 2017 .   Jump up ^ Anderson , Tre'vell ( June 4 , 2017 ) . `` ' Wonder Woman ' lassos $100.5 million at domestic box office , ' Captain Underpants ' overperforms '' . Los Angeles Times . Tronc .   Jump up ^ `` Why ' Transformers ' Is Screaming For Reboot After $69 M Start ; ' Wonder Woman ' &amp; ' Cars 3 ' Fight Over 2nd Place '' . Deadline . Penske Business Media , LLC . June 25 , 2017 .   Jump up ^ `` Captain Underpants : The First Epic Movie ( 2017 ) '' . Rotten Tomatoes . Fandango . Retrieved August 12 , 2017 .   Jump up ^ `` Captain Underpants : The First Epic Movie reviews '' . Metacritic . CBS Interactive Inc . Retrieved August 12 , 2017 .   Jump up ^ Seitz , Matt Zoller ( June 2 , 2017 ) . `` Captain Underpants : The First Epic Movie Movie Review '' . RogerEbert.com . Ebert Digital LLC . Retrieved June 3 , 2017 .   Jump up ^ `` Captain Underpants : The First Epic Movie DVD Release Date '' . DVDs Release Dates . Retrieved 24 July 2017 .   Jump up ^ Amidi , Amid ( December 4 , 2017 ) . `` Walt Disney Company Picks Up 33 Annie Award Nominations , Including 13 For ' Coco ' '' . Cartoon Brew . Retrieved December 4 , 2017 .   Jump up ^ `` 2017 Detroit Film Critics Society Awards Nominations '' . Detroit Film Critics Society . December 4 , 2017 . Retrieved December 5 , 2017 .   Jump up ^ Ruby , Jennifer ( January 19 , 2018 ) . `` Empire Film Awards 2018 : The Last Jedi leads the pack with nine nominations including Best Actress for Daisy Ridley '' . London Evening Standard . Retrieved January 29 , 2018 .   Jump up ^ Ritman , Alex ( January 22 , 2018 ) . `` ' Star Wars : The Last Jedi ' Leads Nominations for U.K. 's Empire Awards '' . The Hollywood Reporter . Retrieved January 29 , 2018 .   Jump up ^ `` BEST - REVIEWED ANIMATED MOVIES 2017 '' . Rotten Tomatoes . January 3 , 2018 . Retrieved January 3 , 2018 .   Jump up ^ Pond , Steve ( October 26 , 2017 ) . `` Hollywood Music in Media Awards Announces Nominees in Film , TV , &amp; Video Game Music '' . Shoot Online . Retrieved October 26 , 2017 .   Jump up ^ http://filmmusiccritics.org/2018/02/ifmca-award-nominations-2017/   Jump up ^ http://filmmusiccritics.org/2018/02/ifmca-award-winners-2017/   Jump up ^ IGN Editors ( December 4 , 2017 ) . `` BEST OF 2017 NOMINEES '' . IGN Awards . Retrieved December 5 , 2017 . CS1 maint : Extra text : authors list ( link )   Jump up ^ Pond , Steve ( February 26 , 2018 ) . `` Nickelodeon 's Kids ' Choice Awards 2018 : Watch Host John Cena Announce the Favorite Movie Nominees '' . E ! Online . Retrieved February 26 , 2018 .   Jump up ^ `` Los Angeles Online Film Critics Society Film Nominations -- LA Online Film Critics Society '' . laofcs.org . Retrieved December 14 , 2017 .   Jump up ^ `` 2017 Los Angeles Online Film Critics Society Nominations '' . December 4 , 2017 . Retrieved December 14 , 2017 .   Jump up ^ Amidi , Amid ( December 12 , 2017 ) . `` Annual StLFCA Awards '' . Sf . Louis Film Association . Retrieved December 12 , 2017 .   Jump up ^ Giardina , Carolyn ( January 16 , 2018 ) . `` Visual Effects Society Awards : ' Apes , ' ' Blade Runner 2049 ' Lead Feature Nominees '' . Hollywood Reporter . Retrieved January 16 , 2018 .   Jump up ^ `` ' She - Ra ' Scores Netflix Reboot Through DreamWorks Animation '' . 12 December 2017 .    Further reading ( edit )    Zahed , Ramin ( 2017 ) , The Art of Captain Underpants The First Epic Movie ( 1st ed . ) , Titan Books , ISBN 978 - 1785652905    External links ( edit )       Wikiquote has quotations related to : Captain Underpants : The First Epic Movie      Official website   Captain Underpants : The First Epic Movie on IMDb   Captain Underpants : The First Epic Movie at AllMovie   Captain Underpants : The First Epic Movie at Box Office Mojo   Captain Underpants : The First Epic Movie at Metacritic   Captain Underpants : The First Epic Movie at Rotten Tomatoes              DreamWorks Animation     A subsidiary of NBCUniversal , a Comcast company     Feature films     Antz ( 1998 )   The Prince of Egypt ( 1998 )   The Road to El Dorado ( 2000 )   Joseph : King of Dreams ( 2000 )   Shrek ( 2001 )   Spirit : Stallion of the Cimarron ( 2002 )   Sinbad : Legend of the Seven Seas ( 2003 )   Shrek 2 ( 2004 )   Shark Tale ( 2004 )   Madagascar ( 2005 )   Over the Hedge ( 2006 )   Shrek the Third ( 2007 )   Bee Movie ( 2007 )   Kung Fu Panda ( 2008 )   Madagascar : Escape 2 Africa ( 2008 )   Monsters vs. Aliens ( 2009 )   How to Train Your Dragon ( 2010 )   Shrek Forever After ( 2010 )   Megamind ( 2010 )   Kung Fu Panda 2 ( 2011 )   Puss in Boots ( 2011 )   Madagascar 3 : Europe 's Most Wanted ( 2012 )   Rise of the Guardians ( 2012 )   The Croods ( 2013 )   Turbo ( 2013 )   Mr. Peabody &amp; Sherman ( 2014 )   How to Train Your Dragon 2 ( 2014 )   Penguins of Madagascar ( 2014 )   Home ( 2015 )   Kung Fu Panda 3 ( 2016 )   Trolls ( 2016 )   The Boss Baby ( 2017 )   Captain Underpants : The First Epic Movie ( 2017 )      Produced with Aardman     Chicken Run ( 2000 )   Wallace &amp; Gromit : The Curse of the Were - Rabbit ( 2005 )   Flushed Away ( 2006 )       Upcoming     How to Train Your Dragon 3 ( 2019 )          Franchises     Shrek ( since 2001 )   Madagascar ( since 2005 )   Kung Fu Panda ( since 2008 )   Monsters vs. Aliens ( 2009 -- 14 )   How to Train Your Dragon ( since 2010 )   Tales of Arcadia ( since 2016 )       TV series     Toonsylvania ( 1998 )   Invasion America ( 1998 )   Alienators : Evolution Continues ( 2001 -- 02 )   Father of the Pride ( 2004 -- 05 )   The Penguins of Madagascar ( 2008 -- 15 )   Neighbors from Hell ( 2010 )   Kung Fu Panda : Legends of Awesomeness ( 2011 -- 16 )   DreamWorks Dragons ( 2012 -- 18 )   Monsters vs. Aliens ( 2013 -- 14 )   Turbo FAST ( 2013 -- 16 )   VeggieTales in the House ( 2014 -- 16 )   All Hail King Julien ( 2014 -- 17 )   The Adventures of Puss in Boots ( 2015 -- 18 )   Dawn of the Croods ( since 2015 )   Dinotrux ( since 2015 )   The Mr. Peabody &amp; Sherman Show ( since 2015 )   Home : Adventures with Tip &amp; Oh ( since 2016 )   Noddy , Toyland Detective ( since 2016 )   Trollhunters ( since 2016 )   Voltron : Legendary Defender ( since 2016 )   VeggieTales in the City ( since 2017 )   Spirit Riding Free ( since 2017 )   Trolls : The Beat Goes On ! ( since 2018 )   The Boss Baby : Back in Business ( since 2018 )      Upcoming     The Epic Tales of Captain Underpants ( 2018 )   Harvey Street Kids ( 2018 )   3 Below ( 2018 )   Wizards ( 2019 )          Television specials     Shrek the Halls ( 2007 )   Monsters vs. Aliens : Mutant Pumpkins from Outer Space ( 2009 )   Merry Madagascar ( 2009 )   Scared Shrekless ( 2010 )   Kung Fu Panda Holiday ( 2010 )   Madly Madagascar ( 2013 )   Trolls Holiday ( 2017 )       Short films     Shrek 4 - D ( 2003 )   Far Far Away Idol ( 2004 )   The Madagascar Penguins in a Christmas Caper ( 2005 )   First Flight ( 2006 )   Hammy 's Boomerang Adventure ( 2006 )   Secrets of the Furious Five ( 2008 )   B.O.B. 's Big Break ( 2009 )   Legend of the Boneknapper Dragon ( 2010 )   Megamind : The Button of Doom ( 2011 )   Night of the Living Carrots ( 2011 )   Gift of the Night Fury ( 2011 )</t>
  </si>
  <si>
    <t xml:space="preserve">who plays harold in captain underpants the movie</t>
  </si>
  <si>
    <t xml:space="preserve"> In the city of Piqua , Ohio , two fourth - grade friends and next - door neighbors named George Beard ( Kevin Hart ) and Harold Hutchins ( Thomas Middleditch ) are the pranksters at their school , Jerome Horwitz Elementary School . They excessively prank the cruel teachers , with many of these pranks directed at their `` evil '' principal , Mr. Benjamin `` Benny '' Krupp ( Ed Helms ) , putting the two at odds with him . The duo also create comic books about a superhero named Captain Underpants , a character who has superpowers and wears underwear and a cape . They sell these to their schoolmates through a comic company called Treehouse Comix Inc. , located in their treehouse . George and Harold 's pranks come to an apparent end after they 're caught tampering with a toilet invention , the Turbo Toilet 2000 , made by the school 's local snitch and intellectual , Melvin Sneedly ( Jordan Peele ) , on video . Because of this , Mr. Krupp has no choice but to annihilate their friendship by putting them into separate classes . </t>
  </si>
  <si>
    <t xml:space="preserve">New York Giants - wikipedia  New York Giants  Jump to : navigation , search This article is about the current American football team . For the baseball team , see San Francisco Giants and History of the New York Giants ( baseball ) . For other uses , see New York Giants ( disambiguation ) . `` New Jersey Giants '' redirects here . For other uses , see Jersey Giant .    New York Giants     Current season     Established August 1 , 1925 ; 92 years ago ( August 1 , 1925 ) First season : 1925 Play in MetLife Stadium East Rutherford , New Jersey Headquartered in the Quest Diagnostics Training Center East Rutherford , New Jersey                  Logo   Wordmark        League / conference affiliations      National Football League ( 1925 -- present )    Eastern Division ( 1933 -- 1949 )   American Conference ( 1950 -- 1952 )   Eastern Conference ( 1953 -- 1969 )   Century Division ( 1967 ; 1969 )   Capitol Division ( 1968 )     National Football Conference ( 1970 -- present )   NFC East ( 1970 -- present )         Current uniform         Team colors    Dark Blue , Red , White      Personnel     Owner ( s )   John Mara , Steve Tisch     Chairman   Steve Tisch     President   John Mara     General manager   Dave Gettleman     Head coach   Steve Spagnuolo ( interim )     Team history       New York Giants ( 1925 -- present )       Team nicknames       Big Blue , G - Men , Jints , Big Blue Wrecking Crew , New York Football Giants       Championships      League championships ( 8 )    NFL championships ( pre-1970 AFL -- NFL merger ) ( 4 ) 1927 , 1934 , 1938 , 1956     Super Bowl championships ( 4 ) 1986 ( XXI ) , 1990 ( XXV ) , 2007 ( XLII ) , 2011 ( XLVI )        Conference championships ( 11 )    NFL Eastern : 1956 , 1958 , 1959 , 1961 , 1962 , 1963   NFC : 1986 , 1990 , 2000 , 2007 , 2011        Division championships ( 16 )    NFL East : 1933 , 1934 , 1935 , 1938 , 1939 , 1941 , 1944 , 1946   NFC East : 1986 , 1989 , 1990 , 1997 , 2000 , 2005 , 2008 , 2011       Playoff appearances ( 32 )       NFL : 1933 , 1934 , 1935 , 1938 , 1939 , 1941 , 1943 , 1944 , 1946 , 1950 , 1956 , 1958 , 1959 , 1961 , 1962 , 1963 , 1981 , 1984 , 1985 , 1986 , 1989 , 1990 , 1993 , 1997 , 2000 , 2002 , 2005 , 2006 , 2007 , 2008 , 2011 , 2016       Home fields       Polo Grounds ( 1925 -- 1955 )   Yankee Stadium ( 1956 -- 1973 )   Yale Bowl ( 1973 -- 1974 )   Shea Stadium ( 1975 )   Giants Stadium ( 1976 -- 2009 )   MetLife Stadium ( 2010 -- present )       The New York Giants are a professional American football team based in the New York metropolitan area . The Giants compete in the National Football League ( NFL ) as a member club of the league 's National Football Conference ( NFC ) East division . The team plays its home games at MetLife Stadium in East Rutherford , New Jersey , which it shares with the New York Jets in a unique arrangement . The Giants hold their summer training camp at the Quest Diagnostics Training Center at the Meadowlands Sports Complex .   The Giants were one of five teams that joined the NFL in 1925 , and is the only one of that group still existing , as well as the league 's longest - established team in the Northeastern United States . The team ranks third among all NFL franchises with eight NFL championship titles : four in the pre -- Super Bowl era ( 1927 , 1934 , 1938 , 1956 ) and four since the advent of the Super Bowl ( Super Bowls XXI ( 1986 ) , XXV ( 1990 ) , XLII ( 2007 ) , and XLVI ( 2011 ) ) , along with more championship appearances than any other team , with 19 overall appearances . Their championship tally is surpassed only by the Green Bay Packers ( 13 ) and Chicago Bears ( 9 ) . Throughout their history , the Giants have featured 28 Hall of Fame players , including NFL Most Valuable Player ( MVP ) award winners Mel Hein , Frank Gifford , Y.A. Tittle , and Lawrence Taylor .   To distinguish themselves from the professional baseball team of the same name , the football team was incorporated as the `` New York National League Football Company , Inc . '' in 1929 and changed to `` New York Football Giants , Inc . '' in 1937 . While the baseball team moved to San Francisco after the 1957 season , the football team continues to use `` New York Football Giants , Inc . '' as its legal corporate name , and is often referred to by fans and sportscasters as the `` New York Football Giants '' . The team has also acquired several nicknames , including `` Big Blue '' , the `` G - Men '' , and the `` Jints '' , an intentionally mangled contraction seen frequently in the New York Post and New York Daily News , originating from the baseball team when they were based in New York . Additionally , the team as a whole is occasionally referred to as the `` Big Blue Wrecking Crew '' , even though this moniker primarily and originally refers to the Giants defensive unit during the 80s and early 90s ( and before that to the Los Angeles Dodgers baseball teams of the late 1970s and early 1980s ) .   The team 's heated rivalry with the Philadelphia Eagles is the oldest of the NFC East rivalries , dating all the way back to 1933 , and has been called the best rivalry in the NFL in the 21st century .     Contents  ( hide )   1 Team history   1.1 1925 -- 1932   1.2 1933 -- 1946   1.3 Fourth NFL championship and `` The Greatest Game Ever Played '' ( 1947 -- 1963 )   1.4 Postseason drought and resurgence ( 1964 -- 1982 )   1.5 Bill Parcells era ( 1983 -- 1990 )   1.5. 1 First Super Bowl championship ( 1986 season )   1.5. 2 Second Super Bowl championship ( 1990 season )     1.6 Post-Parcells era ( 1991 -- 1996 )   1.7 Jim Fassel era ( 1997 -- 2003 )   1.7. 1 NFC Champions ( 2000 season )     1.8 Tom Coughlin / Eli Manning era ( 2004 -- 2015 )   1.8. 1 Third Super Bowl championship ( 2007 season )   1.8. 2 Late - season collapses ( 2008 -- 2010 )   1.8. 3 Fourth Super Bowl championship ( 2011 season )   1.8. 4 Post-Super Bowl struggles ( 2012 -- 2015 )   1.8. 5 Back to the playoffs ( 2016 )   1.8. 6 Struggles ( 2017 )     1.9 Timeline     2 Championships   2.1 League Championships   2.1. 1 Pre-Super Bowl NFL Championships   2.1. 2 Super Bowl Championships     2.2 NFC Championships     3 Logos and uniforms   4 Ownerships , financial history and fan base   5 Rivalries   5.1 Philadelphia Eagles   5.2 Washington Redskins   5.3 Dallas Cowboys   5.4 San Francisco 49ers   5.5 New York Jets     6 Players of note   6.1 Current roster   6.2 Retired numbers   6.3 Pro Football Hall of Famers   6.4 Ring of Honor   6.5 NFL MVP award winners   6.6 Super Bowl MVP award winners   6.7 First - round draft picks     7 Coaches of note   7.1 Current staff     8 Media , radio and television   8.1 Past     9 See also   10 References   11 Bibliography   12 External links      Team history  Main article : History of the New York Giants  1925 -- 1932   The Giants played their first game as an away game against All New Britain in New Britain , Connecticut , on October 4 , 1925 . They defeated New Britain 26 -- 0 in front of a crowd of 10,000 . The Giants were successful in their first season , finishing with an 8 -- 4 record .   In its third season , the team finished with the best record in the league at 11 -- 1 -- 1 and was awarded the NFL title . After a disappointing fourth season ( 1928 ) owner Mara bought the entire squad of the Detroit Wolverines , principally to acquire star quarterback Benny Friedman , and merged the two teams under the Giants name .   In 1930 , there were still many who questioned the quality of the professional game , claiming the college `` amateurs '' played with more intensity than professionals . In December 1930 , the Giants played a team of Notre Dame All Stars at the Polo Grounds to raise money for the unemployed of New York City . It was also an opportunity to establish the skill and prestige of the pro game . Knute Rockne reassembled his Four Horsemen along with the stars of his 1924 Championship squad and told them to score early , then defend . Rockne , like much of the public , thought little of pro football and expected an easy win . But from the beginning it was a one - way contest , with Friedman running for two Giant touchdowns and Hap Moran passing for another . Notre Dame failed to score . When it was all over , Coach Rockne told his team , `` That was the greatest football machine I ever saw . I am glad none of you got hurt . '' The game raised $100,000 for the homeless , and is often credited with establishing the legitimacy of the professional game for those who were critical . It also was the last game the legendary Rockne ever coached ; he was killed in an airplane crash on March 31 , 1931 .   1933 -- 1946  Al Blozis , Giants tackle , died in World War II . According to Mel Hein , `` If he had n't been killed , he could have been the greatest tackle who ever played football . ''  In a 14 - year span from 1933 to 1947 , the Giants qualified to play in the NFL championship game 8 times , winning twice . During this period the Giants were led by Hall of Fame coach Steve Owen , and Hall of Fame players Mel Hein , Red Badgro and Tuffy Leemans . The period also featured the 1944 Giants , which are ranked as the # 1 defensive team in NFL history , `` ... a truly awesome unit '' . They gave up only 7.5 points per game ( a record that still stands ) and shut out five of their 10 opponents , though they lost 14 - 7 to the Green Bay Packers in the 1944 NFL Championship Game . The famous `` Sneakers Game '' was played in this era where the Giants defeated the Chicago Bears on an icy field in the 1934 NFL Championship Game , while wearing sneakers for better traction . The Giants played the Detroit Lions to a scoreless tie on November 7 , 1943 . To this day , no NFL game played since then has ended in a scoreless tie . The Giants were particularly successful from the latter half of the 1930s until the United States entry into World War II . They added their third NFL championship in 1938 with a 23 -- 17 win over the Green Bay Packers .   Fourth NFL Championship and `` the greatest game ever played '' ( 1947 -- 1963 )   They did not win another league title until 1956 , aided by a number of future Pro Football Hall of Fame players such as running back Frank Gifford , linebacker Sam Huff , and offensive tackle Roosevelt Brown , as well as all - pro running back Alex Webster . The Giants ' 1956 championship team not only included players who would eventually find their way to the Pro Football Hall of Fame , but a Hall of Fame coaching staff , as well . Head coach Jim Lee Howell 's staff had Vince Lombardi coaching the offense and Tom Landry coaching the defense . From 1958 to 1963 , the Giants played in the NFL Championship Game five times , but failed to win . Most significantly , the Giants played the Colts in the 1958 NFL Championship Game , which is considered a watershed event in the history of the NFL . The game , which the Giants lost in overtime 23 -- 17 , is often called `` The Greatest Game Ever Played '' and is considered one of the most important events in furthering the NFL 's popularity . The following year , they lost the championship to the Colts again , giving up a 9 - 7 4th quarter lead en route to a 31 -- 16 loss . Both the 1961 and 1962 championship game matched the Giants up against the Green Bay Packers , with the Giants losing both 37 - 0 and 16 - 7 respectively . In 1963 , led by league MVP quarterback Y.A. Tittle , who threw a then - NFL record 36 touchdown passes , the Giants advanced to the NFL Championship Game , where they lost to the Bears 14 -- 10 for their third consecutive championship loss , as well as their fifth loss in the title game in 6 years .   Postseason drought and resurgence ( 1964 -- 1982 )   From 1964 to 1978 , the Giants registered only two winning seasons and no playoff appearances . With players , such as Tittle and Gifford approaching their mid 30s , the team declined rapidly , finishing 2 -- 10 -- 2 in 1964 . They rebounded with a 7 -- 7 record in 1965 , before compiling a league - worst 1 -- 12 -- 1 record , and allowing more than 500 points on defense in 1966 . During the 1969 preseason , the Giants lost their first meeting with the New York Jets , 37 -- 14 , in front of 70,874 fans at the Yale Bowl in New Haven , Connecticut . Following the game , Wellington Mara fired coach Allie Sherman , and replaced him with former Giants fullback Alex Webster .   In 1967 , the team acquired quarterback Fran Tarkenton from the Minnesota Vikings . Despite having several respectable seasons with Tarkenton at quarterback , including a 7 -- 7 finish in 1967 and 9 -- 5 in 1970 , the Giants traded him back to the Vikings after a 4 -- 10 finish in 1971 . Tarkenton would go on to lead the Vikings to three Super Bowls and earn a place in the Hall of Fame , while the Giants suffered through one of the worst stretches in their history , winning only 23 games from 1973 to 1979 . Before the 1976 season , the Giants tried to revive a weak offense by replacing retired RB Ron Johnson with future Hall of Fame fullback Larry Csonka , but Csonka was often injured and ineffective during his 3 years in New York . The 1977 season featured a roster that included three rookie quarterbacks .   The Giants were allowed to play their home games at the Yale Bowl in New Haven , Connecticut in 1973 and 1974 , and at Shea Stadium ( home of the Mets and Jets ) in 1975 , due to the renovation of Yankee Stadium . They finally moved into their own dedicated state - of - the - art stadium in 1976 , when they moved into Giants Stadium at the Meadowlands in East Rutherford , New Jersey . One of the low points during this period was the play known as the `` Miracle at the Meadowlands '' , which occurred in 1978 . With the Giants trying to kill the clock and secure a win against the Philadelphia Eagles , offensive coordinator , Bob Gibson , chose to call a running play . This resulted in `` The Fumble '' by QB Joe Pisarcik that was returned for a game - winning touchdown by the Eagles ' Herman Edwards .   The Giants ' front office operations were complicated by a long - standing feud between Wellington Mara and his nephew , Tim Mara . Jack Mara had died in 1965 , leaving his share of the club to his son Tim . Wellington and Tim 's personal styles and their visions for the club clashed , and eventually they stopped talking to each other . Commissioner Rozelle intervened and appointed a neutral general manager , George Young , allowing the club to operate more smoothly . The feud became moot on February 20 , 1991 , when Tim Mara sold his shares in the club to Preston Robert Tisch .  Giants Stadium was home to the Giants from 1976 to 2009 .  In 1979 , the Giants began the steps that would , in time , return them to the pinnacle of the NFL . These included the drafting of quarterback Phil Simms in 1979 , and linebacker Lawrence Taylor in 1981 . In 1981 , Taylor won the NFL 's Defensive Rookie of the Year and Defensive Player of the Year awards and the Giants made the playoffs for the first time since 1963 . One of the few bright spots during this time was the team 's excellent linebackers , who were known as the Crunch Bunch . After the strike - shortened 1982 season , in which they finished 4 -- 5 , head coach Ray Perkins resigned to take over the same position at the University of Alabama . In a change that would prove crucial in the coming years , he was replaced by the team 's defensive coordinator , Bill Parcells .   Bill Parcells era ( 1983 -- 1990 )   In 1983 , Bill Parcells was promoted to head coach from defensive coordinator . One of his first moves was to change his starting quarterback , sitting the injury - prone and struggling Phil Simms ( who had missed the entire 1982 season with an injury ) and electing instead to go with Scott Brunner , who had gone 4 - 5 as the starter in place of Simms in the strike - shortened previous season . Parcells went as far as to demote Simms to the third string position , promoting Jeff Rutledge over Simms to be Brunner 's backup . Parcells later said the move was a mistake and one he `` nearly paid for dearly '' as the team finished with a 3 -- 12 -- 1 record and his job security was called into question .   In the offseason the Giants released Brunner and named Simms the starter . The move paid off as the team won nine games and returned to the playoffs . After beating the Los Angeles Rams in the Wild Card Round , the Giants prepared for a showdown against top - seeded San Francisco . The 49ers defeated the Giants 21 -- 10 in the Divisional Round .   The 1985 Giants compiled a 10 -- 6 record and avenged their loss against San Francisco by beating them in the Wild Card round 17 -- 3 . However , they again lost in the Divisional Round , this time to the Bears , by a score of 21 -- 0 . However , the following season would end with the Giants winning their first Super Bowl championship .  First Super Bowl Championship ( 1986 season )  After 9 -- 7 and 10 -- 6 finishes in 1984 and 1985 respectively , the Giants compiled a 14 -- 2 record in 1986 led by league MVP and Defensive Player of the Year Lawrence Taylor and the Big Blue Wrecking Crew defense . As of 2015 , this is the Giants ' best regular season record since the NFL began playing 16 - game seasons in 1978 . After clinching the top seed in the NFC , the Giants defeated the 49ers 49 -- 3 in the divisional round of the NFC playoffs and the Redskins 17 -- 0 in the NFC championship game , advancing to their first Super Bowl , Super Bowl XXI , against the Denver Broncos at the Rose Bowl in Pasadena . Led by MVP Simms who completed 22 of 25 passes for a Super Bowl record 88 % completion percentage , they defeated the Broncos 39 -- 20 , to win their first championship since 1956 . In addition to Phil Simms and Lawrence Taylor , the team was led during this period by head coach Bill Parcells , tight end Mark Bavaro , running back Joe Morris , and Hall of Fame linebacker Harry Carson .   The Giants struggled to a 6 -- 9 record in the strike - marred 1987 season , due largely to a decline in the running game , as Morris managed only 658 yards behind an injury - riddled offensive line . The early portion of the 1988 season was marred by a scandal involving Lawrence Taylor . Taylor had abused cocaine and was suspended for the first four games of the season for his second violation of the league 's substance abuse policy . Despite the controversy , the Giants finished 10 -- 6 , and Taylor recorded 15.5 sacks after his return from the suspension . They surged to a 12 -- 4 record in 1989 , but lost to the Los Angeles Rams in their opening playoff game when Flipper Anderson caught a 47 - yard touchdown pass to give the Rams a 19 -- 13 overtime win .  Second Super Bowl Championship ( 1990 season )  In 1990 , the Giants went 13 -- 3 and , at the time , set an NFL record for fewest turnovers in a season ( 14 ) . They defeated the San Francisco 49ers , who were attempting to win the Super Bowl for an unprecedented third straight year , 15 -- 13 at San Francisco and then defeated the Buffalo Bills 20 -- 19 in Super Bowl XXV .   Post-parcells era ( 1991 -- 1996 )   Following the 1990 season , Parcells resigned as head coach and was replaced by the team 's offensive - line coach Ray Handley . Handley served as coach for two disappointing seasons ( 1991 and 1992 ) , which saw the Giants fall from Super Bowl champions to an 8 -- 8 record in 1991 and a 6 -- 10 record in 1992 . He was fired following the 1992 season , and replaced by former Denver Broncos ' coach Dan Reeves . In the early 1990s , Simms and Taylor , two of the stars of the 1980s , played out the last seasons of their careers with steadily declining production . The Giants experienced a resurgent season with Reeves at the helm in 1993 however , and Simms and Taylor ended their careers as members of a playoff team .  Giants defensive end Justin Tuck at the Giants Super Bowl XLII parade on February 5 , 2008 .  The Giants initially struggled in the post Simms - Taylor era . After starting 3 -- 7 in 1994 , the Giants won their final six games to finish 9 -- 7 but missed the playoffs . Quarterback Dave Brown received heavy criticism throughout the season . Brown performed poorly the following two seasons , and the Giants struggled to 5 -- 11 and 6 -- 10 records . Reeves was fired following the 1996 season .   Jim Fassel era ( 1997 -- 2003 )   In 1997 , the Giants named Jim Fassel , who had spent the previous season as offensive coordinator of the Arizona Cardinals , as their 16th head coach . Fassel named Danny Kanell the team 's starting quarterback . The Giants finished the 1997 season with a record of 10 -- 5 -- 1 and qualified for the playoffs for the first time in four years . However , they lost in the Wild Card round to the Vikings at home . The following year , the Giants began the season 4 -- 8 before rallying to finish the season 8 -- 8 . One of the notable games of that season was a win over the eventual Super Bowl champion Denver Broncos in week 15 , giving the Broncos their first loss of the season after starting 13 -- 0 .   Before the 1999 season , the Giants signed ex-Carolina Panthers quarterback Kerry Collins . Collins was the first - ever draft choice of the expansion Carolina Panthers in 1995 , and led the Panthers to the NFC Championship game in his second season . However , problems with alcohol , conflicts with his teammates and questions about his character led to his release from the Panthers . The Giants finished the season with a 7 -- 9 record , Fassel 's first losing season as head coach .  NFC champions ( 2000 season )  In 2000 , the Giants were looking to make the playoffs for the first time in three seasons . The Giants started the season 7 -- 2 , but suffered back - to - back home losses to St. Louis and Detroit to make their record 7 -- 4 and call their playoff prospects into question . At a press conference following the Giants ' loss to Detroit , Fassel guaranteed that `` this team is going to the playoffs '' . The Giants responded , winning the rest of their regular season games to finish the season 12 -- 4 and clinch the top seed in the NFC . In the Divisional Round , the Giants beat the Philadelphia Eagles 20 -- 10 at home to qualify for the NFC Championship Game , in which they defeated the Minnesota Vikings 41 -- 0 . They advanced to play the Baltimore Ravens in Super Bowl XXXV . Though the Giants went into halftime down only 10 -- 0 , the Ravens dominated the second half . Their defense harassed Kerry Collins all game long , resulting in Collins completing only 15 of 39 passes for 112 yards and 4 interceptions . The Ravens won the game 34 -- 7 .   After a disappointing 7 -- 9 record in 2001 , the Giants finished the 2002 season with a record of 10 -- 6 , qualifying for the playoffs as a wild card . This set up a meeting with the San Francisco 49ers in Candlestick Park in the Wild Card round . The Giants built up a sizable lead throughout the game , and led 38 -- 14 with 4 : 27 left in the third quarter . However , San Francisco rallied to win the game by one point , with the final score of 39 -- 38 .   After a dismal 2003 season in which the Giants finished with a 4 -- 12 record , Jim Fassel was released by the Giants . His head coaching record with the Giants during this time was 58 -- 53 -- 1 .   Tom Coughlin / Eli Manning era ( 2004 -- 2015 )  Tom Coughlin alongside George W. Bush at the White House to celebrate the Giants ' Super Bowl XLII championship .  In 2004 , three years after their last Super Bowl appearance , Fassel was replaced by Tom Coughlin . Although Collins had several solid seasons as the Giants quarterback , he experienced his share of struggles . In 2004 , the Giants completed a draft day trade for University of Mississippi quarterback Eli Manning . Manning became the team 's starting quarterback in the middle of the 2004 season , taking over for Kurt Warner . During the three - year period from 2004 to 2006 , Tom Coughlin 's Giants compiled a 25 -- 23 regular season record and two appearances in the Wild Card Round -- both losses ( to the Carolina Panthers in 2005 and to the Philadelphia Eagles in 2006 . ) and spawned intense media scrutiny concerning the direction of the team . During this period in their history , standout players included defensive end Michael Strahan , who set the NFL single season record in sacks in 2001 , and running back Tiki Barber , who set a team record for rushing yards in a season in 2005 . Barber retired at the end of the 2006 season .  Third Super Bowl Championship ( 2007 season ) The NFL Green Bay Packers in the shotgun formation against the New York Giants on September 16 , 2007 .  Going into 2007 , the Giants had made the playoffs in back - to - back seasons . In 2007 , the Giants became the third NFL franchise to win at least 600 games when they defeated the Atlanta Falcons 31 -- 10 on Monday Night Football . For the 2007 season , the NFL scheduled the Giants ' road game against the Miami Dolphins on October 28 in London 's Wembley Stadium ; this was the first NFL regular - season game to be played outside of North America . The Giants defeated the Dolphins , 13 -- 10 . The Giants finished 10 -- 6 , and became NFC Champions after defeating the Tampa Bay Buccaneers , Dallas Cowboys , and Green Bay Packers in the NFC Playoffs . They set a record for most consecutive road wins in a single season with 10 ( a streak which ended with a loss to the Cleveland Browns during week 6 of the 2008 season ) .   The Patriots ( 18 -- 0 ) entered the Super Bowl undefeated and were 12 point favorites going into game weekend . The Giants defeated the Patriots 17 -- 14 in Super Bowl XLII , aided by the famous `` Manning to Tyree '' pass . On this famous play , Manning escaped the grip of several Patriots defensive linemen , stepped up in the pocket , and heaved the ball down the middle of the field to a double covered David Tyree . With Rodney Harrison , a Patriots defensive back , all over Tyree , David managed to hold on to the ball by holding it on his helmet until he fell to the ground . This catch set up a Manning to Plaxico Burress touchdown pass in the back of the end zone to put the Giants in the lead . It was the third biggest upset by betting line in Super Bowl history ( the Baltimore Colts were favored by 17 over the New York Jets in Super Bowl III , and the St. Louis Rams were favored by 14 over the New England Patriots in Super Bowl XXXVI ) . Co-owner John Mara described it as `` the greatest victory in the history of this franchise , without question '' .  Late - season collapses ( 2008 -- 2010 ) Main articles : 2008 New York Giants season , 2009 New York Giants season , and 2010 New York Giants season  The Giants began the 2008 NFL season with a record of 11 -- 1 , but lost three of their last four regular season games partially due to a self - inflicted gunshot wound to wide receiver Plaxico Burress . However , the Giants still won the NFC East with a record of 12 -- 4 , and clinched the number one seed in the NFC after beating the Carolina Panthers for home field advantage and a first - round bye . In the Divisional Round of the playoffs , the Giants lost 23 -- 11 to the Philadelphia Eagles at home .   In 2009 , the Giants opened a new training complex , the Timex Performance Center , also located in the Meadowlands . After starting 5 -- 0 in the 2009 season , New York lost to the likewise undefeated New Orleans Saints at the Superdome 48 -- 27 , beginning a four - game losing streak , in which they lost to the Arizona Cardinals 24 -- 17 , the San Diego Chargers 21 -- 20 and the Philadelphia Eagles 40 -- 17 . The streak was broken with a 34 -- 31 overtime victory against the Falcons . On Thanksgiving night , they lost to the Denver Broncos 26 -- 6 . The Giants next beat the division leading Cowboys . A week later , with a record of 7 -- 5 , they lost to the Philadelphia Eagles , 45 -- 38 . On December 27 , the Giants lost to the Carolina Panthers 41 -- 9 in their final game at Giants Stadium , and were eliminated from playoff eligibility . The Giants finished the season 8 -- 8 .  Eli Manning lines up a pass just out of the reach of Houston Texans defenders in 2010 .  Following the season , the Giants fired first - year defensive coordinator Bill Sheridan , and replaced him with the former Buffalo Bills interim head coach , Perry Fewell . The Giants defense finished 13th overall under Sheridan , giving up 324.9 yards per game , and the final two losses of the season against Carolina and Minnesota , in which the Giants gave up 85 points , ultimately led to the firing .   In 2010 , the Giants moved from Giants Stadium into MetLife Stadium , then known as the `` New Meadowlands Stadium '' . They won against the Panthers in the very first game at the New Meadowlands , but then lost to the Colts in the second `` Manning Bowl '' , so - called due to Eli Manning 's brother Peyton playing for the Colts . The Giants dropped one game to the Tennessee Titans before going on a five - game winning streak , beating the Bears , Houston Texans , Lions , Cowboys , and Seattle Seahawks . Before long , the Giants were 6 -- 2 , but lost two straight to division foes : to the Cowboys 33 -- 20 at home , and to the Eagles on the road , putting the G - Men in 2nd place in the NFC East at 6 -- 4 . In first place was the Eagles , but at December 19 they were both tied for first place at 8 -- 4 , setting up a match for first place . The Giants were at home , and led 24 -- 3 over the Eagles at halftime . The score was 31 -- 10 with 5 : 40 left in the game , but Michael Vick led the Eagles to three touchdown drives to tie the game up at 31 with 40 seconds left . After a Giants three - and - outs , Matt Dodge punted the ball to DeSean Jackson , who returned it for a touchdown , concluding the Giants ' epic collapse . The next game , the Giants lost to the eventual Super Bowl Champion Green Bay Packers 45 -- 17 , and at 9 -- 6 , they faced the Redskins . They had to win and have the Packers lose in order to get into the playoffs . The Giants won 17 -- 14 , but the Packers beat the Bears 10 -- 3 , so the Giants missed out on the playoffs again , ending a collapse in which the Giants went 4 -- 4 in their last eight games .  Fourth Super Bowl Championship ( 2011 season ) Main article : 2011 New York Giants season  During the 2011 preseason , the Giants lost Kevin Boss , Steve Smith , Rich Seubert , Keith Bulluck , Derek Hagan , and Pro Bowl center Shaun O'Hara to free agency . However , the season also saw the emergence of second - year wide receiver Victor Cruz and second - year tight end Jake Ballard . The Giants opened their season with a 28 -- 14 loss to the Washington Redskins at FedEx Field on the 10th anniversary of the September 11th attacks . However , the Giants secured a 6 -- 2 record by the midpoint of the season , including road victories over the Philadelphia Eagles and the New England Patriots . The latter victory ended the Patriots ' NFL record home - game winning streak , after a touchdown pass from Manning to Jake Ballard with 15 seconds left in the game .  Wide receiver Victor Cruz played a critical role in helping the Giants become world champions in 2011 .  However , the Giants then suffered a four - game losing streak , including road losses against the resurgent San Francisco 49ers and the New Orleans Saints and home losses to the Eagles and the then - undefeated Green Bay Packers , to make their record 6 -- 6 entering December . The Giants broke their losing streak with a tightly contested 37 -- 34 road victory over the Cowboys on December 11 , but lost at home to the Washington Redskins the following week to make their record 7 -- 7 with a Christmas Eve showdown against their crosstown rival New York Jets the following week . The Giants won , 29 -- 14 , and knocked the Eagles out of playoff contention , to set up a Week 17 home game against the Cowboys in which the winner would clinch the NFC East while the loser would be eliminated from playoff contention . The game was flexed into Sunday Night Football . The Giants defeated the Cowboys , 31 -- 14 , and clinched the NFC East title and the fourth seed in the playoffs . Wide receiver Victor Cruz finished the regular season with 1,536 receiving yards , breaking the Giants franchise record previously held by Amani Toomer .   On January 8 , 2012 in the first round of the playoffs the Giants defeated the Atlanta Falcons 24 -- 2 . After giving up an early safety in the first half , QB Eli Manning threw for three consecutive touchdowns . RBs Ahmad Bradshaw and Brandon Jacobs combined for 17</t>
  </si>
  <si>
    <t xml:space="preserve">where do new york giants play home games</t>
  </si>
  <si>
    <t xml:space="preserve">   New York Giants     Current season     Established August 1 , 1925 ; 92 years ago ( August 1 , 1925 ) First season : 1925 Play in MetLife Stadium East Rutherford , New Jersey Headquartered in the Quest Diagnostics Training Center East Rutherford , New Jersey                  Logo   Wordmark        League / conference affiliations      National Football League ( 1925 -- present )    Eastern Division ( 1933 -- 1949 )   American Conference ( 1950 -- 1952 )   Eastern Conference ( 1953 -- 1969 )   Century Division ( 1967 ; 1969 )   Capitol Division ( 1968 )     National Football Conference ( 1970 -- present )   NFC East ( 1970 -- present )         Current uniform         Team colors    Dark Blue , Red , White      Personnel     Owner ( s )   John Mara , Steve Tisch     Chairman   Steve Tisch     President   John Mara     General manager   Dave Gettleman     Head coach   Steve Spagnuolo ( interim )     Team history       New York Giants ( 1925 -- present )       Team nicknames       Big Blue , G - Men , Jints , Big Blue Wrecking Crew , New York Football Giants       Championships      League championships ( 8 )    NFL championships ( pre-1970 AFL -- NFL merger ) ( 4 ) 1927 , 1934 , 1938 , 1956     Super Bowl championships ( 4 ) 1986 ( XXI ) , 1990 ( XXV ) , 2007 ( XLII ) , 2011 ( XLVI )        Conference championships ( 11 )    NFL Eastern : 1956 , 1958 , 1959 , 1961 , 1962 , 1963   NFC : 1986 , 1990 , 2000 , 2007 , 2011        Division championships ( 16 )    NFL East : 1933 , 1934 , 1935 , 1938 , 1939 , 1941 , 1944 , 1946   NFC East : 1986 , 1989 , 1990 , 1997 , 2000 , 2005 , 2008 , 2011       Playoff appearances ( 32 )       NFL : 1933 , 1934 , 1935 , 1938 , 1939 , 1941 , 1943 , 1944 , 1946 , 1950 , 1956 , 1958 , 1959 , 1961 , 1962 , 1963 , 1981 , 1984 , 1985 , 1986 , 1989 , 1990 , 1993 , 1997 , 2000 , 2002 , 2005 , 2006 , 2007 , 2008 , 2011 , 2016       Home fields       Polo Grounds ( 1925 -- 1955 )   Yankee Stadium ( 1956 -- 1973 )   Yale Bowl ( 1973 -- 1974 )   Shea Stadium ( 1975 )   Giants Stadium ( 1976 -- 2009 )   MetLife Stadium ( 2010 -- present )     </t>
  </si>
  <si>
    <r>
      <rPr>
        <sz val="11"/>
        <color rgb="FF000000"/>
        <rFont val="Calibri"/>
        <family val="0"/>
        <charset val="1"/>
      </rPr>
      <t xml:space="preserve">Ernst Stavro Blofeld - wikipedia  Ernst Stavro Blofeld  Jump to : navigation , search `` Blofeld '' redirects here . For other uses , see Blofeld ( disambiguation ) .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October 2015 ) ( Learn how and when to remove this template message )         This article needs attention from an expert on the subject . Please add a reason or a talk parameter to this template to explain the issue with the article . When placing this tag , consider associating this request with a WikiProject . ( November 2015 )    ( Learn how and when to remove this template message )       Ernst Stavro Blofeld     James Bond character     Donald Pleasence as Blofeld in You Only Live Twice ( 1967 ) .     Created by   Ian Fleming     Portrayed by     Anthony Dawson ( uncredited )   Eric Pohlmann ( voice , uncredited )   Donald Pleasence   Telly Savalas   Charles Gray   John Hollis ( uncredited )   Robert Rietty ( voice , uncredited )   Max von Sydow   Christoph Waltz       Information     Aliases   Franz Oberhauser     Gender   Male     Affiliation   SPECTRE     Children   Nena Blofeld     Nationality   Polish     Classification   Supervillain     Henchmen     Rosa Klebb   Red Grant   Emilio Largo   Irma Bunt   Mr. Wint and Mr. Kidd   Dr. Julius No   Le Chiffre   Mr. White   Dominic Greene   Raoul Silva   Mr. Hinx       Ernst Stavro Blofeld is a fictional character and a supervillain from the James Bond series of novels and films , created by Ian Fleming . A criminal with aspirations of world domination , he is the archenemy of the British Secret Service agent James Bond . Blofeld is head of the global criminal organisation SPECTRE and is commonly referred to as Number 1 , an official numerical position given to members of SPECTRE . The character was originally written by Fleming as a physically massive and powerfully built man , standing around 6 ft 3 in ( 1.91 m ) and weighing 21.6 stone ( about 300 pounds ( 140 kg ) ) , who had become flabby with a huge belly .   Blofeld appears or is heard in three novels : Thunderball , On Her Majesty 's Secret Service ; and You Only Live Twice ; as well as seven films from Eon Productions : From Russia with Love ( 1963 ) ; Thunderball ( 1965 ) ; You Only Live Twice ( 1967 ) ; On Her Majesty 's Secret Service ( 1969 ) ; Diamonds Are Forever ( 1971 ) ; For Your Eyes Only ( 1981 ) ( the pre-title sequence of which shows an unnamed character resembling him fall to his death ) ; and Spectre ( 2015 ) . He also appears in Never Say Never Again ( 1983 ) , the non-Eon remake of Thunderball .   Blofeld has been played on screen by Donald Pleasence , Telly Savalas , Charles Gray , Max von Sydow , and Christoph Waltz , among others . It was initially a convention of the films not to show Blofeld 's face , only a close - up of him stroking his white blue - eyed Persian cat .   Many of Blofeld 's characteristics have become tropes in popular fiction , representing the stock character of the supervillain , with the stroking of his white cat often retained as a parodic allusion to Blofeld 's character , as seen in the Austin Powers film series with the character of Dr. Evil and his cat Mr. Bigglesworth , or in the well - known cartoon Inspector Gadget with the character of Dr. Claw .     Contents  ( hide )   1 Character   2 In novels   3 In films   4 Table of film appearances   5 Video games   6 Homages   7 See also   8 References      Character ( edit )   Ian Fleming includes information about Blofeld 's background in his novel Thunderball . According to the novel , Blofeld was born on 28 May 1908 ( which is also Fleming 's birthday ) in Gdingen , Imperial Germany ( now Gdynia , Poland ) ; his father Ernst George Blofeld was Polish , and his mother Maria Stavro Michelopoulos was Greek , hence the well - known Greek name Stavro . After the First World War , Blofeld became a Polish national . As a young man , he was well - versed in the social science disciplines , but also in the natural science and technology disciplines . He first graduated from the University of Warsaw with a degree in Political History and Economics , and then from the Warsaw University of Technology with a degree in Engineering and Radionics . He was then hired by the Polish Ministry of Posts and Telegraphs and appointed to a sensitive communication position , which he used for buying and selling stocks at the Warsaw Stock Exchange .   Correctly foreseeing the coming of World War II , Blofeld made copies of top - secret wires and sold them for cash to Nazi Germany . Before the German invasion of Poland in 1939 , he destroyed all records of his existence , then moved first to Sweden , then to Turkey , where he worked for Turkish Radio and began to set up his own private intelligence organisation . During the war , he sold information to both sides . After the defeat of Erwin Rommel , he decided to back the Allied war effort , and was awarded numerous medals by the Allied powers after the war 's end . Blofeld then moved temporarily to South America before founding SPECTRE .   In the John Gardner novel For Special Services , Blofeld is depicted as having had a daughter with a French mistress named Nena .   It is commonly believed that the name Blofeld was inspired by the English cricket commentator Henry Blofeld 's father , with whom Fleming went to school . Henry Blofeld offered on the BBC Radio 4 series Just a Minute that `` Ian took my father 's name as the name of the baddie . ''   In novels ( edit )   Blofeld makes three appearances in Ian Fleming 's novels . He first appears in a minor role as the leader of SPECTRE in the 1961 novel Thunderball . The plot that he formulates is carried out by his second - in - command Emilio Largo . Blofeld is described physically as a massive man , weighing roughly 20 stone ( 280 lb ; 130 kg ) , has black crew - cut hair , black eyes ( similar to those of Benito Mussolini ) , heavy eyelashes , a thin mouth , and long pointed hands and feet . He has violet - scented breath from chewing flavoured cachous ( breath mints ) , a habit he adopts whenever he must deliver bad news . A meticulous planner of formidable intellect , he seems to be without conscience but not necessarily insane , and is motivated solely by financial gain . Blofeld 's lifestyle is described in one chapter in Thunderball : `` For the rest , he did n't smoke or drink and he had never been known to sleep with a member of either sex . He did n't even eat very much . ''   Blofeld is absent from the next novel , The Spy Who Loved Me , though its events take place while Bond is battling SPECTRE in North America . In On Her Majesty 's Secret Service ( 1963 ) , Bond learns that Blofeld has altered his appearance radically -- he is now tall and thin ; has reduced his weight to 12 stone ( 170 lb ; 76 kg ) ; sports long silver hair , a syphilitic infection on his nose , and no earlobes ; he wears dark green tinted contact lenses to hide his distinctive eyes . Perhaps less calculating than previously , he is notably saddled with the exploitable weakness of snobbery about his assumed nobility , indicating that he is losing his sanity . He is hiding in Switzerland in the guise of the Comte Balthazar de Bleuchamp and Bond defeats his vindictive plans to destroy Britain 's agricultural economy . In the final sequence of the novel , Blofeld gets revenge by murdering Bond 's new wife , Tracy .   In You Only Live Twice , published in 1964 , Blofeld returns and Bond finds him hiding in Japan under the alias Dr. Guntram Shatterhand . He has once again changed his appearance . He has put on some muscle , and has a gold - capped tooth , a fully healed nose , and a drooping grey mustache . Bond describes Blofeld on their confrontation as being `` a big man , perhaps six foot three ( 190 cm ) , and powerfully built . '' It is indicated that Blofeld has by now gone completely insane , as he all but admits himself when Bond levels the accusation . Bond strangles him to death at the end of the novel . In both On Her Majesty 's Secret Service and You Only Live Twice , Blofeld is aided in his schemes by Irma Bunt , who is clearly his lover in the latter , and posing as Shatterhand 's wife . Bond incapacitates her in their Japanese castle base before it blows up , killing Bunt . The final mention of Blofeld is in the beginning of the next novel , The Man with the Golden Gun , published in 1965 .   In films ( edit )  Blofeld in ( clockwise from upper - left ) You Only Live Twice ( Donald Pleasence ) , On Her Majesty 's Secret Service ( Telly Savalas ) , Never Say Never Again ( Max von Sydow ) , Spectre ( Christoph Waltz ) , and Diamonds Are Forever ( Charles Gray )  In the film series , Blofeld first appears in From Russia with Love , then in Thunderball . In these two appearances , his face is not seen , and only his lower body is visible as he strokes his trademark white cat .   Czech actor Jan Werich was originally cast by producer Harry Saltzman to play Blofeld in You Only Live Twice . Upon his arrival at the Pinewood set , both producer Albert R. Broccoli and director Lewis Gilbert felt that he was a bad choice , resembling a `` poor , benevolent Santa Claus . '' Nonetheless , in an attempt to make the casting work , Gilbert continued filming . After five days , both Gilbert and Broccoli determined that Werich was not menacing enough , and recast Donald Pleasence in the role -- the official excuse being that Werich was ill . Donald Pleasence used a German accent for the part .   In the third , fourth , and fifth appearances -- You Only Live Twice , On Her Majesty 's Secret Service and Diamonds Are Forever -- he is the primary antagonist , meeting Bond face - to - face . During the opening sequence of Diamonds Are Forever , he reveals to Bond that some of his men have undergone plastic surgery to become his decoy duplicates .   In the film version of On Her Majesty 's Secret Service , he is not Tracy Bond 's actual killer . He drives the car from which Irma Bunt ( Ilse Steppat ) fires the fatal shots at Tracy , minutes after she married Bond .   In a sixth appearance -- in the pre-credit sequence of For Your Eyes Only -- he is an anonymous , bald , wheelchair - bound villain trying to kill Bond once again . Blofeld remains unnamed and unlisted in the film 's end credits . The only clues to his identity are the trademark white cat , similar clothes to his previous onscreen appearances , the dialogue indicating that he and Bond have met before , and the fact that the scene begins with Bond paying his respects at Tracy 's grave , often considered by the producers as a means of providing an `` immediate continuity link '' in the event of a new actor taking the part of Bond ( although this was Roger Moore 's fifth appearance as Bond ) . The anonymity of the villain was due to the legal dispute between Kevin McClory and Eon Productions over the Thunderball copyrights .   Blofeld 's appearance and personality change according to the personifying actor and the production . He has a full head of black hair in From Russia With Love and Thunderball ; a facial dueling scar in You Only Live Twice ; no scar or earlobes in On Her Majesty 's Secret Service ; and silver - grey hair in Diamonds Are Forever . This metamorphosing matches Fleming 's literary portrayal of a master criminal who will go to great lengths to preserve his anonymity , including the use of plastic surgery . He often wears a jacket without lapels , based loosely either on the Nehru jacket or on the Mao suit , a feature which is used in spoofs like the Austin Powers series , though in his early two appearances on film he wore a black business suit .   By November 2013 , MGM and the McClory estate had formally settled the issue with Danjaq and MGM and acquired the full copyright to the characters and concepts of Blofeld and SPECTRE . Blofeld consequently reappeared in Spectre , played by Christoph Waltz , and with a new background . He was now born Franz Oberhauser , the son of Hannes Oberhauser , Bond 's legal guardian after he was orphaned at the age of 11 , making him and Bond adoptive brothers . As a young man , he murdered his father , staged his own death , and took on the alias of Ernst Stavro Blofeld , using his mother 's maiden name . He then assembled the global criminal organisation known as Spectre . He is revealed to have been trying for years to destroy Bond , whom he resents for having been his father 's favourite ; he is thus revealed to have been the power behind the villains of the previous three films . At the end of the film , Bond takes him into custody after foiling his plan to take control of the world 's national security intelligence data . This incarnation of Blofeld again wears a jacket without lapels , has a full head of hair , and is disfigured in the course of the film , echoing the Pleasence version 's duelling scar . A white Persian cat is also briefly shown .   Table of film appearances ( edit )     Year   Film   Actor and notes   Status after the film concludes     1963   From Russia with Love   Anthony Dawson as actor ( only hands and back of head are seen ) , Eric Pohlmann as voice actor ; the end credits list a question mark instead of an actor 's name .   Active / indirect involvement in the field . Never has any contact with Bond .     1965   Thunderball   Anthony Dawson as actor ( only hands and back of head are seen ) , Eric Pohlmann as voice actor , both uncredited ; end credits do not list Blofeld .   Active / indirect involvement in the field . Never has any contact with Bond .     1967   You Only Live Twice   Donald Pleasence . Actor Jan Werich was originally cast , and some clips show his hands petting cat , and tuft of hair can be seen just above back of chair . Pleasence replaced Werich during filming when the latter was deemed unsuited for the role .   Injured in his right hand by a shuriken ; escapes .     1969   On Her Majesty 's Secret Service   Telly Savalas ; appears with earlobes removed to back up claim to a noble title .   Escapes ; he was the driver in the drive - by murder of Tracy Bond .     1971   Diamonds Are Forever   Charles Gray ; appears also as doubles , all created via plastic surgery .   He attempts to escape in his mini-sub , but Bond gains control of it and crashes it into the control room .     1981   For Your Eyes Only   John Hollis as actor , Robert Rietty as voice actor ; Blofeld 's face is not seen close - up and his name is n't used due to the legal battle with Kevin McClory revealed in the film 's DVD commentary .   Dropped down a very large chimney from his own helicopter .       Never Say Never Again ( non-Eon )   Max von Sydow . Appears in a small number of scenes .   Active / indirect involvement in the field . Never has any direct contact with Bond .     2015   Spectre   Christoph Waltz ; he is initially known by his birth name as Franz Oberhauser , but reveals that he rejected his father 's name , and takes his mother 's maiden name , Blofeld . He later receives a facial scar ( a reference to You Only Live Twice ) due to Q 's exploding watch .   Captured and arrested by Bond and MI6     Video games ( edit )       This section does not cite any sources . Please help improve this section by adding citations to reliable sources . Unsourced material may be challenged and removed . ( August 2013 ) ( Learn how and when to remove this template message )     Blofeld appears in the 2004 video game GoldenEye : Rogue Agent , with the likeness of Donald Pleasence , voiced by Gideon Emery .   Blofeld is a playable multiplayer character in the 2010 video game GoldenEye 007 for the Wii , with the likeness of Charles Gray .   Blofeld is one of the main characters in the 2012 video game 007 Legends , featured in the mission based on On Her Majesty 's Secret Service , in which the character was an amalgamation of the first three actors appearing in the official film series . Throughout the game , he is voiced by Glenn Wrage .   In Blood Stone , the main antagonist , Nicole Hunter ( featured with voice and likeness of Joss Stone ) , tells Bond at the end of the story mode that she was trying to prove herself to a rich and powerful man . Bond tries to get his name but she refuses to give it claiming he 's `` bigger than everything '' ( including MI6 ) , and that he was watching them . Suddenly , an unmanned drone flies toward them and shoots Nicole dead . After the release of Spectre , it was heavily implied that Blofeld was Nicole 's employer and the person responsible for the game 's events .   Homages ( edit )   Some of Blofeld 's characteristics have become supervillain tropes in popular fiction and media , including the parodies Dr. Claw ( and his pet , M.A.D. Cat ) from the Inspector Gadget animated series ( 1983 -- 86 ) , Team Rocket leader Giovanni and his Persian cat from the Pokémon television series and Dr. Evil ( and his cat Mr. Bigglesworth ) from the Austin Powers film series ( 1997 -- 2002 ) . The 1999 The Powerpuff Girls episode `` Cat Man Do '' also features a supervillain with a cat , though it is the feline that turns out to be the criminal mastermind . In The Penguins of Madagascar , the recurring villain Dr. Blowhole , is a parody homage to Blofeld . The main antagonist in CBBC Children 's spy comedy M.I. High is a character called `` The Grandmaster '' whose face is always obscured by shadows or a scarf - he has a pet white rabbit called `` General Flopsy '' . The final boss of the License to Adventure challenge path in the game Kingdom of Loathing is `` Blofeld '' , an underling pretending to be Blofeld , with the real fight against Blofeld occurring once you have defeated the impostor 11 times .   See also ( edit )    James Bond portal     List of recurring characters in the James Bond film series   List of James Bond villains    References ( edit )    Jump up ^ Oliver Buckton ( 8 October 2015 ) . Espionage in British Fiction and Film since 1900 : The Changing Enemy . Lexington Books . p. 244 . ISBN 978 - 1 - 4985 - 0484 - 3 . Yet this suggestion of femininity in Blofeld 's face is belied by his massive girth , his body `` weighed about twenty stone . It had once been all muscle ... but in the past ten years it had softened and he had a vast belly that he concealed behind roomy trousers .   Jump up ^ Ian Fleming 's James Bond : Annotations and Chronologies for Ian Fleming 's Bond Stories , published 2006 , page 34   Jump up ^ `` The Bond Film Informant : Ernst Stavro Blofeld '' . Mjnewton.demon.co.uk. 28 May 2008 . Archived from the original on 8 November 2016 . Retrieved 29 October 2015 .   Jump up ^ `` BBC Radio 4 - Desert Island Discs , Henry Blofeld '' . Bbc.co.uk. 5 December 2003 . Retrieved 29 October 2015 .   Jump up ^ `` BBC Radio 4 - Just a Minute , Series 67 , Episode 3 '' . Bbc.co.uk. 2 September 2013 . Retrieved 29 October 2015 .   Jump up ^ Production Staff ( 2000 ) . Inside You Only Live Twice : An Original Documentary ( Television ) . MGM Home Entertainment Inc .   Jump up ^ ( 1 ) Archived 19 November 2006 at the Wayback Machine .   Jump up ^ The Bond Files by Andy Lane and Paul Simpson , published by Virgin in 1999   Jump up ^ Smith , Jim ; Lavington , Stephen ( 2002 ) . Bond Films . London : Virgin Books . p. 178 . ISBN 9780753507094 .   ^ Jump up to : `` What James Bond Mythology Tells Us About Spectre '' . Screen Rant. 9 November 2015 . Retrieved 22 May 2017 .   Jump up ^ Vejvoda , Jim . `` MGM , Danjaq Settle James Bond Rights Dispute With McClory Estate '' . IGN . Retrieved 16 November 2013 .   Jump up ^ Andy Lane and Paul Simpson . The Bond Files . Some sources mistakenly identify the voice as Joseph Wiseman 's .   Jump up ^ Cork , John ; Stutz , Collin ( 2007 ) . James Bond Encyclopedia . New York : DK Pub . p. 40 . ISBN 9780756631673 .   Jump up ^ MI6 Community . `` Bloodstone Spectre Connection '' . Retrieved 2017 - 08 - 29 .   Jump up ^ Martens , Todd ( 28 March 2015 ) . `` Spectre trailer reinvents a famous Bond rival '' . Los Angeles Times . Retrieved 7 November 2015 .      ( hide )         James Bond characters     James Bond as literary character and as film character     Allies       Miss Moneypenny   Q   Bill Tanner   00 Agents   Felix Leiter       Women     Aki   Anya Amasova   Tracy Bond   Tiffany Case   Wai Lin   Vesper Lynd   Pussy Galore   Honey Rider   Tatiana Romanova   Sévérine   Natalya Simonova   Stacey Sutton   Kissy Suzuki   Domino Vitali   Jinx Johnson       Villains and henchmen     Julius No   Rosa Klebb   Ernst Stavro Blofeld   Oddjob   Auric Goldfinger   Emilio Largo   Mr. Wint and Mr. Kidd   Francisco Scaramanga   Jaws   Hugo Drax   Max Zorin   Brad Whitaker   Necros   Alec Trevelyan   Xenia Onatopp   Le Chiffre   Raoul Silva       Organisations     SPECTRE   SMERSH   The Union      Retrieved from `` https://en.wikipedia.org/w/index.php?title=Ernst_Stavro_Blofeld&amp;oldid=811620136 '' Categories :   Bond villains   Characters in British novels of the 20th century   Fictional Austrian people   Fictional characters introduced in 1961   Fictional characters with disfigurements   Fictional crime bosses   Fictional Greek people   Fictional mass murderers   Fictional patricides   Fictional Polish people   Fictional spymasters   Fictional torturers   Literary villains   Terrorism in fiction   Video game bosses   Hidden categories :   Webarchive template wayback links   Articles needing additional references from October 2015   All articles needing additional references   Articles needing expert attention with no reason or talk parameter   Articles needing unspecified expert attention   Articles needing expert attention from November 2015   All articles needing expert attention   Articles with multiple maintenance issues   EngvarB from March 2016   Use dmy dates from March 2016   Articles using Infobox character with multiple unlabeled fields   Articles needing additional references from August 2013   All articles with unsourced statements   Articles with unsourced statements from November 2015           Talk                                           Contents                   About Wikipedia                                           Dansk   Deutsch   Eesti   Español   Français   Bahasa Indonesia   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Simple English   Suomi   Svenska   ไทย   Türkçe   Українська   Edit links   This page was last edited on 22 November 2017 , at 20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</si>
  <si>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blofeld in for your eyes only</t>
  </si>
  <si>
    <t xml:space="preserve"> In a sixth appearance -- in the pre-credit sequence of For Your Eyes Only -- he is an anonymous , bald , wheelchair - bound villain trying to kill Bond once again . Blofeld remains unnamed and unlisted in the film 's end credits . The only clues to his identity are the trademark white cat , similar clothes to his previous onscreen appearances , the dialogue indicating that he and Bond have met before , and the fact that the scene begins with Bond paying his respects at Tracy 's grave , often considered by the producers as a means of providing an `` immediate continuity link '' in the event of a new actor taking the part of Bond ( although this was Roger Moore 's fifth appearance as Bond ) . The anonymity of the villain was due to the legal dispute between Kevin McClory and Eon Productions over the Thunderball copyrights . </t>
  </si>
  <si>
    <t xml:space="preserve">One Day at a Time - wikipedia  One Day at a Time  This article is about the 1975 -- 1984 sitcom . For the 2017 remake , see One Day at a Time ( 2017 TV series ) . For other uses , see One Day at a Time ( disambiguation ) .      This article needs additional citations for verification . Please help improve this article by adding citations to reliable sources . Unsourced material may be challenged and removed . ( July 2015 ) ( Learn how and when to remove this template message )       One Day at a Time         Genre   Sitcom     Created by   Whitney Blake Allan Manings     Developed by   Norman Lear     Directed by     Norman Campbell Herbert Kenwith Sandy Kenyon Howard Morris Noam Pitlik Alan Rafkin Don Richardson Tony Singletary       Starring     Bonnie Franklin   Mackenzie Phillips   Richard Masur   Valerie Bertinelli   Pat Harrington   Mary Louise Wilson   Michael Lembeck   Ron Rifkin   Glenn Scarpelli   Boyd Gaines   Shelley Fabares   Nanette Fabray   Howard Hesseman       Theme music composer   Jeff Barry Nancy Barry     Opening theme   `` This is It '' performed by Polly Cutter     Ending theme   `` This is It '' ( instrumental )     Composer ( s )   Jeff Barry     Country of origin   United States     Original language ( s )   English     No. of seasons   9     No. of episodes   209 ( list of episodes )     Production     Executive producer ( s )     Dick Bensfield   Jack Elinson   Perry Grant   Mort Lachman   Norman Lear   Alan Rafkin       Producer ( s )     Dick Bensfield   Patricia Fass Palmer   Perry Grant   Katherine Green   Allan Manings   Bud Wiser       Camera setup   Multi-camera setup , videotape     Running time   24 minutes     Production company ( s )   T.A.T. Communications Company ( 1975 -- 82 ) Embassy Television ( 1982 -- 84 )     Distributor   Embassy Television ( 1982 -- 1984 ) Embassy Telecommunications ( 1984 -- 1986 ) Embassy Communications ( 1986 - 1988 ) Columbia Pictures Television ( 1988 -- 1995 ) Columbia TriStar Television ( 1995 - 2002 ) Sony Pictures Television ( 2002 - present )     Release     Original network   CBS     Audio format   Monaural     Original release   December 16 , 1975 ( 1975 - 12 - 16 ) -- May 28 , 1984 ( 1984 - 05 - 28 )    Bonnie Franklin , Mackenzie Phillips , and Valerie Bertinelli Pat Harrington Jr. ( 1976 )  One Day at a Time is an American sitcom that aired on CBS from December 16 , 1975 , until May 28 , 1984 . It starred Bonnie Franklin as a divorced mother raising two teenaged daughters in Indianapolis . The daughters were played by Mackenzie Phillips and Valerie Bertinelli .   Contents    1 Background   2 Plot   3 Production   3.1 Theme song and opening credits   3.2 Casting   3.2. 1 Main cast       4 Episodes   5 Reception   5.1 Ratings   5.2 Awards and honors     6 Syndication   7 Cast reunions   8 Home media   9 Remake   10 References   11 External links    Background ( edit )   The series was created by Whitney Blake and Allan Manings , a husband - and - wife writing duo who were both actors in the 1950s and 1960s . The series was based on Whitney Blake 's own life as a single mother , raising her three children ( including future actress Meredith Baxter ) after her divorce from her first husband .   Plot ( edit )   Ann Romano , a divorced mother , moves from their home in Logansport , Indiana , to Indianapolis with her daughters , the rebellious Julie and the wisecracking Barbara . Ann frequently struggles with maintaining her role as mother while affording her daughters the freedom she never had as a young woman . Ann begins dating her divorce lawyer , David Kane ( Richard Masur ) . They become engaged and call it off on their wedding day , when David says he wants kids , but Ann does not . Dwayne Schneider , the building 's quirky superintendent ( most often referred to only by his last name ) , provides usually unwanted advice to the tenants .   After David takes a job in Los Angeles , the focus squarely rests on Ann 's dilemmas as a single mother and career woman , as well as the girls ' growing pains , with Schneider becoming a more welcomed part of the family . Ann 's strained relationship with her ex-husband Ed slowly mends , as does the girls ' relationship with his new wife , Vickie . Julie and Barbara advance through high school and into the working world , and Julie eventually marries flight attendant Max Horvath . Alex , the orphaned son of Ann 's deceased boyfriend , moves in , changing the dynamics in the female - dominated apartment . Later in the series run , Julie gives birth to a daughter , `` Little Annie '' Horvath , Barbara marries dental student Mark Royer , and Ann 's mother Katherine moves nearby .   In the penultimate episode , Ann decides to take a job in London , leaving her daughters in Indianapolis to raise families of their own . In the series finale , Schneider also leaves town , moving to Florida to take care of his niece and nephew .   Production ( edit )   For its entire run , the series was taped in Hollywood before a studio audience . Originally , it was taped at CBS Television City . Shortly after its premiere , the series began taping at Metromedia Square , where it remained until 1982 . From 1982 to 1984 , the series was taped at Universal Studios .   Like many sitcoms developed by Norman Lear , One Day at a Time often tackled serious issues in life and relationships , particularly those related to second - wave feminism . Stories depicting such events as weddings , births , and other important milestones frequently stretched over two - , three - , and four - part episodes .   Theme song and opening credits ( edit )   The theme song for One Day at a Time , `` This is It '' , was composed by Brill Building songwriter Jeff Barry and his wife Nancy Barry , and performed by recording artist Polly Cutter . The opening credits were originally seen over a filmed sequence showing Ann , Julie , and Barbara excitedly moving into their new home . Later , the opening credits sequence mostly consisted of clips of each cast member taken from previous episodes .   Casting ( edit )   Actors Bonnie Franklin , Pat Harrington , Jr. , and Valerie Bertinelli were the only cast members to remain with the series throughout its entire run . Lead actress Mackenzie Phillips was fired after the fifth season due to growing problems with substance abuse . She later returned in a frequent recurring role . Original cast member Richard Masur was written out early in the second season , but returned as a guest star in the sixth - season finale .   After Masur 's departure , the producers tried going in a different direction . Instead of Ann Romano being romantically involved with a man , it was decided to give Ann a comedic foil . For that role , producer Lear chose actress and comedienne Mary Louise Wilson , who had just completed a successful run on Broadway as Tessie Tura in a revival of Gypsy starring Angela Lansbury . Wilson was signed to play Ginny Wroblicki , a cocktail waitress who moves into Schneider 's apartment building , and immediately becomes Ann 's best friend and confidante . The shows ' ratings began to decline soon after Wilson 's arrival , as the character of Ginny Wroblicki proved to be unpopular with viewers . According to her memoir , My First Hundred Years in Show Business , prior to being cast as Ginny , Wilson had never seen One Day at a Time and immediately sat down and watched an episode one night in her apartment . She did not find the sitcom funny at all and was not given a script until the first read - through of her first episode . Wilson also did not get along with Franklin , `` who took her role as arbiter over moral issues very seriously '' and who considered herself `` our foremost authority on Broadway '' . She also thought that Harrington 's character of Schneider was not funny at all , although she liked Harrington himself , and found him hilarious offscreen . Wilson wrote that `` aside from Lear , nobody thought I was funny ... To make matters worse , each character , according to the show 's formula , had to have a ' serious ' moral dilemma at some point , and I was given some problem about an illegitimate child to work out in these increasingly sentimental scenes that made my bowels shrink . '' At the end of the second season of One Day at a Time , Wilson begged her agent to ask Lear to release her from her contract . Wilson later admitted , `` I felt terribly wrong to be so miserable . I knew this was the kind of break actors longed for . '' Wilson was also unaccustomed to working on a sitcom with four cameras in front of a live audience where `` you said your line when the red light on the camera went on ... and there follows a pause longer than the river Styx before the light on camera four goes on '' at which the character you 're speaking to says the next line . After the meeting with her agent , Wilson impulsively changed her mind and agreed to stay with the series , but it was too late . Her agent had already informed Norman Lear of Wilson 's unhappiness and she was released from the show after appearing in 14 episodes . The character of Ginny Wroblicki was never seen , referred to , or heard from again except in a fifth - season episode ( `` Retrospective '' ) made up mainly of clips from earlier in the series .   For the next two seasons , the central cast of Ann , Julie , Barbara , and Schneider was supplemented by recurring characters , including William Kirby Cullen as Julie 's boyfriend Chuck Butterfield , Howard Morton and K Callan as Chuck 's parents , John Putch as Barbara 's awkward friend Bob Morton , Scott Colomby as Barbara 's boyfriend Cliff Randall , and John Hillerman and Charles Siebert as Ann 's bosses , Mr. Connors and Mr. Davenport , respectively . Dick O'Neill and Nedra Volz made three appearances together as Orville and Emily , residents of the retirement home where the main characters put on a semiregular variety show . Joseph Campanella also made several appearances as Ann 's ex-husband and the girls ' father , Ed Cooper .   Michael Lembeck joined the series as Julie 's husband , Max , in the fifth season , but he was written out as a consequence of Phillips ' firing ( but later returned in season seven along with Philips ) . A steady stream of regulars was added in the ensuing seasons , including Ron Rifkin as Ann 's boyfriend , Nick ; Glenn Scarpelli as Nick 's son , Alex ; and Boyd Gaines as Barbara 's boyfriend , later husband , Mark . Shelley Fabares , who had previously guest - starred as Ann 's rival co-worker Francine Webster , appeared more frequently , eventually becoming a regular . Nanette Fabray , who played Ann 's mother , also made more frequent appearances before becoming a regular cast member in the final season . Howard Hesseman joined the series for a short time as Mark 's father , Sam , who would become Ann 's second husband .   Notable guest stars throughout the series run include Norman Alden , Robby Benson , Carla Borelli , Charlie Brill , Dennis Burkley , Jack Dodson , Elinor Donahue , David Dukes , Greg Evigan , Conchata Ferrell , Corey Feldman , Alice Ghostley , Lee Grant , Mark Hamill , Jim Hutton , Terry Kiser , Richard Kline , Christopher Knight , Jay Leno , Robert Mandan , Robert Morse , Denise Nicholas , J. Pat O'Malley , Jo Ann Pflug , Eve Plumb , Susan Richardson , William Schallert , Gretchen Corbett , Suzanne Somers , Ellen Travolta , Dick Van Patten , and Keenan Wynn .  Main cast ( edit )    Actor   Character   Seasons             5   6   7   8   9     Bonnie Franklin   Ann Romano   Main     Mackenzie Phillips   Julie Cooper Horvath   Main     Recurring     Richard Masur   David Kane   Main     Guest       Valerie Bertinelli   Barbara Cooper Royer   Main     Pat Harrington Jr .   Dwayne Schneider   Main     Mary Louise Wilson   Ginny Wroblicki     Main       Michael Lembeck   Max Horvath     Main     Recurring   Main     Ron Rifkin   Nick Handris     Main       Glenn Scarpelli   Alex Handris     Main       Boyd Gaines   Mark Royer     Recurring   Main     Shelley Fabares   Francine Webster     Guest     Guest   Recurring   Main   Recurring     Nanette Fabray   Katherine Romano     Guest   Recurring   Main     Howard Hesseman   Sam Royer     Recurring   Main     Episodes ( edit )  Main article : List of One Day at a Time episodes    Season   Episodes   Originally aired   Nielsen ratings     First aired   Last aired   Rank   Rating   Tied with         15   December 16 , 1975 ( 1975 - 12 - 16 )   March 30 , 1976 ( 1976 - 03 - 30 )   12   23.1   N / A         24   September 28 , 1976 ( 1976 - 09 - 28 )   March 22 , 1977 ( 1977 - 03 - 22 )   8   23.4   The ABC Sunday Night Movie Baretta         24   September 27 , 1977 ( 1977 - 09 - 27 )   April 3 , 1978 ( 1978 - 04 - 03 )   10   23.0   N / A         26   September 18 , 1978 ( 1978 - 09 - 18 )   April 14 , 1979 ( 1979 - 04 - 14 )   18   21.6   N / A       5   26   September 30 , 1979 ( 1979 - 09 - 30 )   April 13 , 1980 ( 1980 - 04 - 13 )   10   23.0   N / A       6   21   November 9 , 1980 ( 1980 - 11 - 09 )   May 10 , 1981 ( 1981 - 05 - 10 )   11   22.0   N / A       7   25   October 11 , 1981 ( 1981 - 10 - 11 )   May 16 , 1982 ( 1982 - 05 - 16 )   10   22.0   N / A       8   26   September 26 , 1982 ( 1982 - 09 - 26 )   May 23 , 1983 ( 1983 - 05 - 23 )   16   19.1   N / A       9   22   October 2 , 1983 ( 1983 - 10 - 02 )   May 28 , 1984 ( 1984 - 05 - 28 )   44   15.9   N / A     Reception ( edit )   Ratings ( edit )   One Day at a Time was best known in the 1980s as a staple of the CBS Sunday - night lineup , one of the most successful in TV history , along with Archie Bunker 's Place , Alice , and The Jeffersons .   The series consistently ranked among the top twenty ( if not the top ten ) programs in the ratings . However , the network moved the show around on the prime time schedule eleven times . By the end of the 1982 -- 83 season , viewership was beginning to slip and the series ended season eight ranking at No. 16 . At this time , Bonnie Franklin and Valerie Bertinelli were anxious to move on , but agreed to do a ninth ( and final ) season . ( Although both were offered contracts for two more seasons : a ninth and a tenth according to Bertinelli in her autobiography Losing It : And Gaining My Life Back One Pound at a Time . )   Awards and honors ( edit )    1981 , 1982 : Golden Globe Award for Best Supporting Actress -- Series , Miniseries or Television Film to Valerie Bertinelli   1982 : Outstanding Directing in a Comedy Series to Alan Rafkin   1984 : Primetime Emmy Award for Outstanding Supporting Actor -- Comedy Series to Pat Harrington    Syndication ( edit )   CBS aired daytime reruns of the show for three years . From September 17 , 1979 , to February 1 , 1980 , it aired on the daytime schedule at 3 : 30 pm Eastern time ; with the cancellation of Love of Life to accommodate the expansion of The Young and the Restless to one hour , it was moved on February 4 , 1980 , to 4 pm Eastern due to Guiding Light moving to 3 pm . On September 28 , 1981 , it moved to 10 am Eastern time , and on September 20 , 1982 , it was replaced by The $25,000 Pyramid .   Soon after , the show entered off - network syndication , airing on local stations around the country , and nationally on WGN , TBS , and the E ! Network .   Logo TV started airing episodes in April 2017 .   As of July 23 , 2017 , the series airs Sunday nights on the digital broadcast network Antenna TV . It also can be seen on the satellite service FeTV .   Cast reunions ( edit )   The One Day at a Time Reunion was a 60 - minute CBS retrospective special which aired on Tuesday February 22 , 2005 , at 9 : 00 pm ET , reuniting Bonnie Franklin , Mackenzie Phillips , Valerie Bertinelli , and Pat Harrington to reminisce about the series and their characters . Regular cast members Richard Masur , Shelley Fabares , Nanette Fabray , Michael Lembeck , and Glenn Scarpelli shared their feelings about their time on the show in separate interviews . The special was included as a bonus on One Day at a Time : The Complete First Season DVD set .   On February 26 , 2008 , Franklin , Phillips , Bertinelli , and Harrington reunited once again to talk about life on the set , Phillips ' drug problems , and the show 's theme song on NBC 's Today Show as part of a week - long segment titled `` Together Again : TV 's Greatest Casts Reunited '' .   Bertinelli , Harrington , and ( on tape ) Franklin appeared on the September 10 , 2008 , episode of Rachael Ray to celebrate Ray 's 40th birthday .   In 2011 , Franklin reunited again with Bertinelli on an episode of Hot in Cleveland which marked one of Franklin 's last acting roles before her death in 2013 . Mackenzie Phillips and Pat Harrington Jr. also made individual cameos on the series .   One Day at a Time was awarded the Innovation Award on the 2012 TV Land Award show on April 29 . Accepting the award were Valerie Bertinelli , Bonnie Franklin , Pat Harrington Jr. , Richard Masur , Mackenzie Phillips , and Glenn Scarpelli .   Home media ( edit )   On April 24 , 2007 , Sony Pictures Home Entertainment released the first season of One Day at a Time on DVD in Region 1 .   On September 7 , 2017 , it was announced that Shout ! Factory had acquired the rights to the series and released One Day at a Time - The Complete Series on DVD in Region 1 on December 5 , 2017 . Season 2 was released on March 27 , 2018 . Season 3 was released on June 12 , 2018 .     DVD Name   Ep #   Release Date     The Complete First Season   15   April 24 , 2007     The Complete Second Season   24   March 27 , 2018     The Complete Third Season   24   June 12 , 2018     The Complete Series   209   December 5 , 2017     Remake ( edit )  Main article : One Day at a Time ( 2017 TV series )  Gloria Calderon Kellett and Mike Royce developed a new version of the series , with a Latino cast , for Netflix , beginning in 2017 . The ensemble is led by Justina Machado , with Rita Moreno , Stephen Tobolowsky , Isabella Gomez , Marcel Ruiz , and Todd Grinnell in supporting roles . Pam Fryman directed the pilot episode .   References ( edit )    Jump up ^ Mike Celizic ( February 26 , 2008 ) . `` Cast of ' One Day at a Time ' reunites on TODAY '' . msnbc.msn.com . Retrieved 2008 - 02 - 27 .   Jump up ^ Wilson , Mary Louise . My First Hundred Years , pp. 133 - 139 . Overlook Press . c. 2015 , 2016   Jump up ^ Brooks , Tim ; Marsh , Earle ( 2007 ) . The Complete Directory to Prime Time Network and Cable TV Shows 1946 - Present ( Ninth Edition ) . Ballantine Books . p. 1687 - 1690 . ISBN 978 - 0 - 345 - 49773 - 4 .   Jump up ^ 1983 - 84 Ratings History http://www.tvratingsguide.com/2017/09/1983-84-ratings-history-networks-are.html   Jump up ^ `` Barbara 's Crisis '' . TV.com . Retrieved 15 November 2012 .   Jump up ^ `` Awards for `` One Day at a Time '' `` . IMDb . Retrieved 15 November 2012 .   Jump up ^ Schedule - Antenna TV   Jump up ^ Lambert , David . One Day at a Time - CONFIRMED ! ' The Complete Series ' DVDs in 2017 from Shout ! 27 - disc package with all nine seasons will be at stores in early December Archived 2017 - 09 - 08 at the Wayback Machine . TV Shows on DVD , December 7 , 2017 .   Jump up ^ Lambert , David . One Day at a Time - Shout ! 's Street Date for a Separate ' Season 2 ' Set. 3 - DVD release will be available near the end of March Archived 2017 - 12 - 09 at the Wayback Machine . TV Shows on DVD , December 8 , 2017 .   Jump up ^ Lambert , David . One Day at a Time - ' Season 3 ' DVDs to be Sold Separately for the First Time this June . Available since December in The Complete Series , Shout ! will now separate this season TV Shows on DVD , March 5 , 2018   Jump up ^ Andreeva , Nellie ( January 1 , 2016 ) . `` Netflix Orders ' One Day At A Time ' Latino Remake Series Co-Starring Rita Moreno '' . Deadline Hollywood .   Jump up ^ Andreeva , Nellie ( February 22 , 2016 ) . `` ' One Day At A Time ' : Justina Machado To Play The Lead In Netflix Series Remake '' . Deadline Hollywood .   Jump up ^ Andreeva , Nellie ( March 2 , 2016 ) . `` ' One Day At a Time ' : Stephen Tobolowsky Cast In Netflix Latino Family Remake '' . Deadline Hollywood .   Jump up ^ Andreeva , Nellie ( April 19 , 2016 ) . `` ' One Day At a Time ' : Todd Grinnell Cast As Schneider In Netflix Series Remake '' . Deadline Hollywood .   Jump up ^ Andreeva , Nellie ( February 5 , 2016 ) . `` Pam Fryman Sets 3 Pilot Directing Gigs '' . Deadline Hollywood .    External links ( edit )       Wikimedia Commons has media related to One Day at a Time .      One Day at a Time on IMDb   One Day at a Time at TV.com   One Day at a Time at epguides.com   Museum of Broadcast Communications page on One Day at a Time              Norman Lear     Created     The Deputy ( 1959 -- 61 )   All in the Family ( 1971 -- 79 )   Maude ( 1972 -- 78 )   The Nancy Walker Show ( 1976 )   All That Glitters ( 1977 )   Fernwood 2 Night ( 1977 )   America 2 - Night ( 1978 )   In the Beginning ( 1978 )   Apple Pie ( 1978 )   Hanging In ( 1979 )   Palmerstown , U.S.A. ( 1980 -- 81 )   a.k.a. Pablo ( 1984 )   Sunday Dinner ( 1991 )   704 Hauser ( 1994 )   Guess Who Died ( 2018 )       Developed     Good Times ( 1974 -- 79 )   Sanford and Son ( 1972 -- 78 )   Mary Hartman , Mary Hartman ( 1976 -- 78 )   The Jeffersons ( 1975 -- 85 )   One Day at a Time ( 1975 -- 84 )   The Dumplings ( 1976 )   All 's Fair ( 1976 -- 77 )   Sanford Arms ( 1977 )   The Baxters ( 1979 -- 81 )       Film     Come Blow Your Horn ( screenwriter ; 1963 )   Divorce American Style ( screenwriter ; 1967 )   The Night They Raided Minsky 's ( screenwriter ; 1968 )   Cold Turkey ( director ; 1971 )   The Princess Bride ( producer ; 1987 )   Pete Seeger : The Power of Song ( producer ; 2007 )       Related articles     Tandem Productions   ELP Communications   Act III Communications   People for the American Way   Business Enterprise Trust      Retrieved from `` https://en.wikipedia.org/w/index.php?title=One_Day_at_a_Time&amp;oldid=865344637 '' Categories :   1975 American television series debuts   1984 American television series endings   1970s American sitcoms   1980s American sitcoms   CBS network shows   English - language television programs   Television series by Sony Pictures Television   Sony franchises   Television shows set in Indiana   Television shows set in Indianapolis   Television series about families   Hidden categories :   Webarchive template wayback links   Articles needing additional references from July 2015   All articles needing additional references   TV.com template with ID same as Wikidata           Talk                                           Contents                   About Wikipedia                                                   Deutsch   Français   Italiano   Nederlands   Русский   Srpskohrvatski / српскохрватски   Edit links   This page was last edited on 23 October 2018 , at 10 : 27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</si>
  <si>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david on one day at a time</t>
  </si>
  <si>
    <t xml:space="preserve"> Ann Romano , a divorced mother , moves from their home in Logansport , Indiana , to Indianapolis with her daughters , the rebellious Julie and the wisecracking Barbara . Ann frequently struggles with maintaining her role as mother while affording her daughters the freedom she never had as a young woman . Ann begins dating her divorce lawyer , David Kane ( Richard Masur ) . They become engaged and call it off on their wedding day , when David says he wants kids , but Ann does not . Dwayne Schneider , the building 's quirky superintendent ( most often referred to only by his last name ) , provides usually unwanted advice to the tenants . </t>
  </si>
  <si>
    <r>
      <rPr>
        <sz val="11"/>
        <color rgb="FF000000"/>
        <rFont val="Calibri"/>
        <family val="0"/>
        <charset val="1"/>
      </rPr>
      <t xml:space="preserve">Jessica Collins - wikipedia  Jessica Collins  Jump to : navigation , search For the actress who played Lizzie Miller on The Nine , see Jessie Collins .    Jessica Collins     Collins in 2013       Jessica Lynn Capogna ( 1971 - 04 - 01 ) April 1 , 1971 ( age 46 ) Schenectady , New York , U.S.     Years active   1990 -- present     Spouse ( s )   Robert Tyler ( 1996 -- 2002 ) Michael Cooney ( m . 2016 )     Children       Jessica Collins ( born Jessica Lynn Capogna ; April 1 , 1971 ) is an American actress . She is best known for portraying Dinah Lee Mayberry on the ABC soap opera Loving ( 1991 -- 1994 ) and Avery Bailey Clark on the CBS soap opera The Young and the Restless ( 2011 -- 2015 ) . She also starred as Meredith Davies on Fox 's Tru Calling , and appeared in recurring and guest roles in many other shows .     Contents  ( hide )   1 Early life   2 Career   3 Personal life   4 Filmography   4.1 Film   4.2 Television     5 Awards and nominations   6 References   7 External links      Early life ( edit )   Collins was born in Schenectady , New York . She attended Amsterdam High School in Amsterdam , New York . In 1988 , she won the title Miss New York Teen USA and was the first runner - up for the Miss Teen USA Pageant in that same year . Collins later attended London 's Royal National Theatre Studio and the Howard Fine Acting Studio in Los Angeles .   Career ( edit )   Collins starred in ABC daytime soap opera Loving as Dinah Lee Mayberry from 1991 to 1994 . After leaving daytime , Collins appeared in the films Leprechaun 4 : In Space ( 1996 ) , Best of the Best : Without Warning ( 1998 ) , and Beautiful ( 2000 ) , and guest - starred in primetime shows such as Lois &amp; Clark : The New Adventures of Superman , Star Trek : Voyager , Beverly Hills 90210 , and Dawson 's Creek .   Collins played Meredith Davies on the Fox Network 's Tru Calling from 2003 to 2004 . She had a major recurring role in the NBC period drama , American Dreams , and later appeared in the short - lived series Unscripted and Scoundrels . She also starred in the short - lived ABC comedy - drama Big Shots from 2007 to 2008 . In film , Collins played roles in Ritual ( 2002 ) , Catch Me If You Can ( 2002 ) , Dirty Love ( 2005 ) , Live ! ( 2007 ) , and Open House ( 2010 ) . Her other television credits include CSI : Crime Scene Investigation , Two and a Half Men , Nip / Tuck , It 's Always Sunny in Philadelphia , and NCIS .   In 2011 , Collins returned to soaps with a role as Avery Bailey Clark on CBS 's The Young and the Restless . In 2013 and 2016 , she was nominated for Daytime Emmy Award for Outstanding Supporting Actress in a Drama Series for her role , winning in 2016 . In May 2015 , Soap Opera Digest reported that Collins was leaving the show , with Avery 's last appearance airing on July 21 , 2015 .   Personal life ( edit )   She married Robert Tyler on November 11 , 1996 . The couple divorced February 15 , 2002 , citing irreconcilable differences .   On May 4 , 2016 , she married writer and producer Michael Cooney . She and Cooney have a daughter , Jemma , born in January 2016 .   Filmography ( edit )   Film ( edit )     Year   Film   Role   Notes       Leprechaun 4 : In Space   Dr. Tina Reeves       1998   Best of the Best : Without Warning   Karina       2000   Beautiful   Miss Lawrenceville       2002   Ritual   Jackie       2002   Catch Me If You Can   Peggy       2003   King for a Day   Mother   Short film       The Ranch   Kim       2005   Dirty Love   Mandy       2007   Live !   Starlet         Open House   Lauren       Television ( edit )     Year   Title   Role   Notes     1991 -- 1994   Loving   Dinah Lee Mayberry Alden   Series regular       All My Children   Dinah Lee Mayberry Alden   Guest Appearance     1994   M.A.N.T.I.S.   Corrine   Episode : `` Through the Dark Circle ''     1994   Coach   Bridget McDermott   Episode : `` Working Girl ''     1995   Lois &amp; Clark : The New Adventures of Superman   Mindy Church   Episodes : `` We Have a Lot to Talk About '' , `` Home is Where the Hurt Is ''       Diagnosis : Murder   Wendy Windsor   Episode : `` A Model Murder ''       Life with Roger   Heather   Episode : `` The Way We Was ''     1997   Star Trek : Voyager   Linnis Paris   Episode : `` Before and After ''     1997   Beverly Hills 90210   Jody Carlisle   Episodes : `` Deadline '' , `` Child of the Night '' , `` Friends , Lovers , and Children ''     2000   Dawson 's Creek   Sherry Eisler   Episode : `` To Green , With Love ''     2002   Off Centre   Kristi Lee   Episode : `` The Good , The Bad , and The Lazy ''     2002   Andy Richter Controls the Universe   Leslie   Episode : `` Little Andy in Charge ''     2002 -- 2003   American Dreams   Colleen   7 episodes     2003 -- 2004   Tru Calling   Meredith Davies   Main role ( season 1 ) , 15 episodes       The Ranch   Kim   Television film     2005   Everwood   Cameron   Episode : `` Giving Up the Girl ''     2005   Unscripted   Jessica   4 episodes     2005   CSI : Crime Scene Investigation   Missy   Episode : `` Dog Eat Dog ''     2006   Two and a Half Men   Gloria   Episode : `` Walnuts and Demerol ''     2007 -- 2008   Big Shots   Marla   Main role , 11 episodes     2008   Gary Unmarried   Leslie   Episode : `` Gary and Allison Brooks ''     2009   Nip / Tuck   Tracy Pierce   Episode : `` Lola Wlodkowski ''       Scoundrels   Valerie Bottoms   4 episodes       CSI : Miami   Marcie Westerfield   Episode : `` Happy Birthday ''     2011   Memphis Beat   Margo   Episode : `` Troubled Water ''     2011 , 2013   It 's Always Sunny in Philadelphia   Jackie Denardo   Episodes : `` The Storm of the Century '' , `` The Gang Saves the Day ''     2011 -- 2015   The Young and the Restless   Avery Bailey Clark   Series regular     2012   NCIS   Judy Ford   Episode : `` Recovery ''     2014   Perception   Special Agent Anne - Marie Bishop   Episode : `` Prologue ''     Awards and nominations ( edit )   List of acting awards and nominations   Year   Award     Title   Result   Ref .     1994   Soap Opera Digest Award   Hottest Female Star   Loving   Nominated       1994   Soap Opera Digest Award   Outstanding Younger Lead Actress   Loving   Nominated       2013   Daytime Emmy Award   Outstanding Supporting Actress in a Drama Series   The Young and the Restless   Nominated       2016   Daytime Emmy Award   Outstanding Supporting Actress in a Drama Series   The Young and the Restless   Won       References ( edit )    ^ Jump up to : `` Jessica Collins -- Biography '' . MSN Movies . Retrieved 2013 - 07 - 19 .   Jump up ^ `` Lionsgate Hosts Open House in August '' . DreadCentral.com .   Jump up ^ `` Exclusive : Jessica Collins Joins The Young and the Restless -- Today 's News : Our Take '' . TV Guide . June 24 , 2011 . Retrieved 2013 - 07 - 19 .   Jump up ^ Labrecque , Jeff ( May 1 , 2013 ) . `` Daytime Emmy nominations : ' Young and the Restless ' leads CBS Inside TV '' . Entertainment Weekly . Retrieved 2015 - 11 - 04 .   Jump up ^ Mitovich , Matt Webb ( May 1 , 2016 ) `` 2016 Daytime Emmy Winners List '' . Tvline.com . Retrieved September 5 , 2016   Jump up ^ `` Jessica Collins Off Y&amp;R '' . Soap Opera Digest . American Media . March 18 , 2015 . Retrieved 2015 - 05 - 28 .   Jump up ^ `` Jessica Collins Married '' . Soapoperadigest.com . Retrieved May 4 , 2016 .   Jump up ^ Young , Candace ( May 5 , 2016 ) . `` Jessica Collins Marries Michael Cooney '' . Soaps.sheknows.com . Retrieved July 15 , 2016 .   Jump up ^ Pollier , Bobby ( January 28 , 2016 ) . `` Jessica Collins Gives Birth To Baby Girl '' . Heavy.com . Retrieved January 28 , 2016 .   Jump up ^ `` The 40th Annual Daytime Entertainment Emmy Award Nominations '' . New York : emmyonline.org and National Academy of Television Arts and Sciences . May 1 , 2013 . Archived from the original on June 28 , 2013 . Retrieved 2013 - 05 - 01 .   Jump up ^ `` Daytime Emmy Awards : The Complete Winners List '' . The Hollywood Reporter . New York City : Prometheus Global Media . May 1 , 2016 . Archived from the original on May 2 , 2016 . Retrieved May 2 , 2016 .   Jump up ^ `` The 43rd Annual Daytime Emmy Award Nominations '' ( PDF ) . New York : emmyonline.org and National Academy of Television Arts and Sciences . March 24 , 2016 . Archived ( PDF ) from the original on March 24 , 2016 . Retrieved March 24 , 2016 .    External links ( edit )    Biography portal   Film portal   Television portal   New York portal     Jessica Collins on IMDb   Jessica Collins on Facebook   Jessica Collins at TV.com              Daytime Emmy Award for Outstanding Supporting Actress in a Drama Series       Suzanne Rogers ( 1979 )   Francesca James ( 1980 )   Jane Elliot ( 1981 )   Dorothy Lyman ( 1982 )   Louise Shaffer ( 1983 )   Judi Evans ( 1984 )   Beth Maitland ( 1985 )   Leann Hunley ( 1986 )   Kathleen Noone ( 1987 )   Ellen Wheeler ( 1988 )   Nancy Lee Grahn / Debbi Morgan ( 1989 )   Julia Barr ( 1990 )   Jess Walton ( 1991 )   Maeve Kinkead ( 1992 )   Ellen Parker ( 1993 )   Susan Haskell ( 1994 )   Rena Sofer ( 1995 )   Anna Holbrook ( 1996 )   Michelle Stafford ( 1997 )   Julia Barr ( 1998 )   Sharon Case ( 1999 )   Sarah Joy Brown ( 2000 )   Lesli Kay ( 2001 )   Crystal Chappell ( 2002 )   Vanessa Marcil ( 2003 )   Cady McClain ( 2004 )   Natalia Livingston ( 2005 )   Gina Tognoni ( 2006 )   Genie Francis ( 2007 )   Gina Tognoni ( 2008 )   Tamara Braun ( 2009 )   Julie Pinson ( 2010 )   Heather Tom ( 2011 )   Nancy Lee Grahn ( 2012 )   Julie Berman ( 2013 )   Amelia Heinle ( 2014 )   Amelia Heinle ( 2015 )   Jessica Collins ( 2016 )   Kate Mansi ( 2017 )                 New York pageant winners     Miss New York     Bess Myerson ( 1945 )   Kris Krull ( 1974 )   Tawny Godin ( 1975 )   Mary Hinterberger ( 1975 )   Vanessa Williams ( 1983 )   Maryalice Demler ( 1990 )   Brandi Burkhardt ( 1999 )   Jessica Lynch ( 2003 )   Christina Ellington ( 2004 )   Kandice Pelletier ( 2005 )   Leigh - Taylor Smith ( 2008 )   Claire Buffie ( 2010 )   Kaitlin Monte ( 2011 )   Mallory Hagan ( 2012 )   Nina Davuluri ( 2013 )   Kira Kazantsev ( 2014 )   Jamie Lynn Macchia ( 2015 )       Miss New York USA     Jackie Loughery ( 1952 )   Mary Therese Friel ( 1979 )   Jennifer Gareis ( 1994 )   Shanna Moakler ( 1995 )   Kimberly Pressler ( 1999 )   Jaclyn Nesheiwat ( 2004 )   Meaghan Jarensky ( 2005 )   Adriana Diaz ( 2006 )   Gloria Almonte ( 2007 )   Danielle Roundtree ( 2008 )   Tracey Chang ( 2009 )   Joanne Nosuchinsky ( 2013 )   Serena Bucaj ( 2016 )       Miss New York Teen USA     Ruth Zakarian ( 1983 )   Jessica Collins ( 1988 )   Kimberly Pressler ( 1994 )   Gloria Almonte ( 2001 )   Adriana Diaz ( 2003 )   Natascha Bessez ( 2005 )   Taylor Gildersleeve ( 2009 )   Corrin Stellakis ( 2014 )       Mrs. New York     Meaghan Castaldi ( 2010 )               VIAF : 122026291      Retrieved from `` https://en.wikipedia.org/w/index.php?title=Jessica_Collins&amp;oldid=801316823 '' Categories :   American television actresses   American film actresses   Miss Teen USA delegates   People from Schenectady , New York   1971 births   Living people   Actresses from New York ( state )   American soap opera actresses   20th - century American actresses   21st - century American actresses   Hidden categories :   Articles with hCards   Wikipedia articles with VIAF identifiers           Talk                                           Contents                   About Wikipedia                                                   فارسی   Français   </t>
    </r>
    <r>
      <rPr>
        <sz val="11"/>
        <color rgb="FF000000"/>
        <rFont val="Noto Sans CJK SC"/>
        <family val="2"/>
      </rPr>
      <t xml:space="preserve">한국어   </t>
    </r>
    <r>
      <rPr>
        <sz val="11"/>
        <color rgb="FF000000"/>
        <rFont val="Calibri"/>
        <family val="0"/>
        <charset val="1"/>
      </rPr>
      <t xml:space="preserve">Italiano   नेपाली   Português   Русский   Edit links   This page was last edited on 18 September 2017 , at 23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</si>
  <si>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jackie in it's always sunny</t>
  </si>
  <si>
    <t xml:space="preserve"> Jessica Collins ( born Jessica Lynn Capogna ; April 1 , 1971 ) is an American actress . She is best known for portraying Dinah Lee Mayberry on the ABC soap opera Loving ( 1991 -- 1994 ) and Avery Bailey Clark on the CBS soap opera The Young and the Restless ( 2011 -- 2015 ) . She also starred as Meredith Davies on Fox 's Tru Calling , and appeared in recurring and guest roles in many other shows . </t>
  </si>
  <si>
    <t xml:space="preserve">Ricky Ricardo , Jr. . - Wikipedia  Ricky Ricardo , Jr. .  Jump to : navigation , search    Enrique Alberto Ricardo IV     First appearance   `` Lucy Goes to the Hospital ''     Last appearance   `` Lucy meets The Mustache ''     Portrayed by   James John Ganzer , Richard Lee Simons , Ronald Lee Simons , Michael Mayer , Joseph Mayer , Keith Thibodeaux     Information     Nickname ( s )   Little Ricky     Gender   Male     Occupation   Student , son , drummer     Family   Lucy Ricardo ( mother ) , Ricky Ricardo ( father ) , Mrs. MacGillicuddy ( Grandmother )     Nationality   Mixed Heritage Cuban and American of Scottish descent     Enrique Alberto Ricardo IV , `` Little Ricky , '' is a fictional character from the American television series I Love Lucy ( 1951 -- 57 , with Ricky Jr. becoming a part of the show as of his birth in 1953 ) and The Lucy - Desi Comedy Hour ( 1957 -- 60 ) . Little Ricky was played by a number of actors , including James John Ganzer , twins Richard and Ronald Lee Simmons , twins Michael and Joseph Mayer and , most notably , Keith Thibodeaux , billed as Little Ricky . Although the I Love Lucy announcer and the opening credits of The Lucy - Desi Comedy Hour gave his stage name as `` Little Ricky '' , in his post-Lucy acting career , particularly his four - year irregular stint on The Andy Griffith Show , he was billed as Richard Keith .   In the show , Little Ricky is the son of Lucy Ricardo and Ricky Ricardo . Little Ricky lives with his parents in a New York Brownstone apartment building , which is owned and run by his godparents ; the family later moves to a large suburban house in Westport , Connecticut .   Fictional character biography ( edit )   Lucy finds out she was expecting Little Ricky on the Season 2 episode `` Lucy is Enceinte . '' The episode in which he is born , `` Lucy goes to the Hospital , '' was aired on the same day as the birth of Lucille Ball 's real son , Desi Arnaz , Jr . -- Monday , January 19 , 1953 .    Mother : Lucy Ricardo , played by Lucille Ball .   Father : Ricky Ricardo , played by Desi Arnaz .   Maternal Grandmother : Mrs. MacGillicuddy , played by Kathryn Card .   Godfather : Fred Mertz played by William Frawley .   Godmother : Ethel Mertz played by Vivian Vance .   Babysitter : Mrs. Matilda Trumble played by Elizabeth Patterson .   Classmates : Stevie Appleby and Bruce Ramsey .    Little Ricky 's father buys him a set of drums in the season 6 episode `` Little Ricky Learns to play the Drums , '' after he shows he can carry a beat while tapping his spoon on a glass during a family breakfast . His parents enroll him in a music school where he is the only drummer , where he forms a band named `` Ricky Ricardo and the Dixieland Band . '' Little Ricky experiences stage fright before his first music school recital but seems to overcome stage fright as he performs comfortably in many other episodes , such as `` The Ricardos Visit Cuba , '' where he plays the conga drum alongside his father ; `` Little Ricky 's School Pageant , '' where he plays the lead ; and `` Ragtime Band , '' where Little Ricky plays the drums alongside his mother and godparents .   Episode appearances ( edit )     Season and Episode Number   Episode Title   Actor portraying Little Ricky   Little Ricky 's Involvement in Episode     2.16   `` Lucy Goes to the Hospital ''   James John Ganzer   There is only one scene in which Little Ricky appears , when the baby is brought to the maternity ward window for Ricky and the Mertz 's to see him for the first time .     2.22   `` No Children Allowed ''   Richard and Ronald Lee Simmons   When Little Ricky cries throughout the night , neighbors complain and the clause in their lease `` No Children Allowed '' comes into play .     2.24   `` The Indian Show ''   Richard and Ronald Lee Simmons   Lucy appears as a dancer in Ricky 's `` Waters of the Minnetonka '' number with Little Ricky strapped on her back .     3.5   `` Baby Pictures ''   Joseph and Michael Mayer   Lucy and Ricky promise not to show off pictures of Little Ricky like other parents do .     3.9   `` Too Many Crooks ''   Joseph and Michael Mayer   Lucy escapes with Little Ricky when she believes a crook named Madame X is outside on her fire escape .     3.14   `` Ricky Minds the Baby ''   Joseph and Michael Mayer   Little Ricky spends quality time with his father when Ricky has a week off of work .     3.20   `` Home Movies ''   Joseph and Michael Mayer   Ricky makes home movies about Little Ricky with his new movie camera and projector .     4.21   `` The Hedda Hopper Story ''   Joseph and Michael Mayer   Mrs. MacGillicuddy and Little Ricky arrive in California to join the Ricardos and the Mertzes .     5.2   `` Lucy and John Wayne ''   Joseph and Michael Mayer   After John Wayne signs his name in cement for the second time , Little Ricky is seen playing in the wet cement .     5.5   `` The Great Train Robbery ''   Joseph and Michael Mayer   When Mrs. MacGillicuddy and Little Ricky get moved to a different room on the train ride back to New York from California , Lucy first thinks they 've been kidnapped .     5.6   `` Homecoming ''   Joseph and Michael Mayer   The Ricardos , Mertzes and Little Ricky arrive back in New York .     5.9   `` Nursery School ''   Joseph and Michael Mayer   Little Ricky gets sick after Ricky insists that Lucy enroll him in nursery school .     5.13   `` Bon Voyage ''   Joseph and Michael Mayer   Lucy misses the ship to Europe when she gets off to kiss Little Ricky goodbye one more time .     5.22   `` Lucy Gets Homesick in Italy ''   Joseph and Michael Mayer   Lucy gets homesick on Little Ricky 's birthday .     6.2   `` Little Ricky Learns to Play the Drums ''   Little Ricky   Little Ricky 's incessant playing causes trouble between the Ricardos and the Mertzes .     6.4   `` Little Ricky gets Stage Fright ''   Little Ricky   Little Ricky panics before his first music school recital .     6.7   `` Deep Sea Fishing ''   Little Ricky   The group goes fishing and there 's a bet between the men , including Little Ricky , and the women about who can catch the bigger fish .     6.8   `` Desert Island ''   Little Ricky   The group , including Little Ricky , get stranded at sea when Lucy gets only half a tank of gas for the boat .     6.9   `` The Ricardos Visit Cuba ''   Little Ricky   Little Ricky plays the Conga drums alongside his father in a night club performance in Cuba .     6.10   `` Little Ricky 's School Pageant ''   Little Ricky   Little Ricky lands the lead in his school play , `` The Enchanted Forest . ''     6.13   `` Lucy and Superman ''   Little Ricky   Lucy gets Superman , guest star George Reeves , to appear at Little Ricky 's fifth birthday party .     6.14   `` Little Ricky gets a Dog ''   Little Ricky   Little Ricky 's new dog causes problems with the new neighbor .     6.16   `` Lucy Hates to Leave ''   Little Ricky   The Ricardos , including Little Ricky , make their move from New York City to the country in Connecticut .     6.19   `` Lucy Raises Chickens ''   Little Ricky   Little Ricky accidentally lets five hundred baby chicks escape and the house is soon overrun .     6.20   `` Lucy Does the Tango ''   Little Ricky   Little Ricky and his friend , Bruce Ramsey , hide 250 chickens when his father decides that he 's going to sell them .     6.21   `` Ragtime Band ''   Little Ricky   When Ricky refuses to play for a local benefit , Lucy forms a band which includes Little Ricky .     6.24   `` Building a BBQ ''   Little Ricky   When Little Ricky 's kite flies away , there 's a chance Lucy 's wedding ring went with it .     6.26   `` Lucy Raises Tulips ''   Little Ricky   Little Ricky 's dog , Fred , causes problems for Lucy who 's growing tulips for a neighborhood contest .     6.27   `` The Ricardos Dedicate a Statue ''   Little Ricky   When Little Ricky 's dog , Fred , runs away , it causes problems for the entire neighborhood and especially the Westport Historical Society .     References ( edit )    Jump up ^ Joseph and Michael Mayer Everything Lucy Youns.com   Jump up ^ Keith Thibodeaux Everything Lucy Youns.com   Jump up ^ I love Lucy TV Show : Actors , Photos and Episodes from the Classic Television Show :   Jump up ^ * http://www.youns.com/lucy/characters.asp   Jump up ^ I Love Lucy - TV.com              I Love Lucy     Characters     Lucy and Ricky Ricardo   Ricky Ricardo , Jr .   Fred Mertz   Ethel Mertz       Episodes     List of episodes   `` The Girls Want to Go to a Nightclub ''   `` Lucy Does a TV Commercial ''   `` Lucy Goes to the Hospital ''   `` Lucy and Superman ''       Spin - offs     I Love Lucy ( film )   The Lucy -- Desi Comedy Hour   episodes         Related     My Favorite Husband   The Lucy Show   episodes     Here 's Lucy   episodes     Life with Lucy   Lucy in London   Vitameatavegamin      Retrieved from `` https://en.wikipedia.org/w/index.php?title=Ricky_Ricardo,_Jr.&amp;oldid=780060058 '' Categories :   Child characters in television   Fictional characters introduced in 1953   I Love Lucy characters   Hidden categories :   Pages using infobox character with unknown parameters           Talk                                                             About Wikipedia                                           Add links   This page was last edited on 12 May 2017 , at 18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</si>
  <si>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little ricky as a baby on i love lucy</t>
  </si>
  <si>
    <t xml:space="preserve"> Enrique Alberto Ricardo IV , `` Little Ricky , '' is a fictional character from the American television series I Love Lucy ( 1951 -- 57 , with Ricky Jr. becoming a part of the show as of his birth in 1953 ) and The Lucy - Desi Comedy Hour ( 1957 -- 60 ) . Little Ricky was played by a number of actors , including James John Ganzer , twins Richard and Ronald Lee Simmons , twins Michael and Joseph Mayer and , most notably , Keith Thibodeaux , billed as Little Ricky . Although the I Love Lucy announcer and the opening credits of The Lucy - Desi Comedy Hour gave his stage name as `` Little Ricky '' , in his post-Lucy acting career , particularly his four - year irregular stint on The Andy Griffith Show , he was billed as Richard Keith . </t>
  </si>
  <si>
    <t xml:space="preserve">Latin America - Wikipedia  Latin America  `` Latin American '' and `` Latinoamérica '' redirect here . For Latin American people , see Latin Americans . For the song , see Latinoamérica ( song ) .  Latin America       Area   19,197,000 km ( 7,412,000 sq mi )     Population   639,048,639 ( 2016 est . )     Population density   31 / km ( 80 / sq mi )     Demonym   Latin American     Countries   20     Dependencies   13     Languages    Mainly : Spanish , Portuguese and French  Others : Quechua , Mayan languages , Guaraní , Aymara , Nahuatl , Italian , German , English , Dutch , Polish , Ukrainian , Welsh , Yiddish , Chinese , Japanese     Time zones   UTC - 2 to UTC - 8     Largest cities   ( Metro areas ) 1 . Mexico City 2 . São Paulo 3 . Buenos Aires 4 . Lima 5 . Rio de Janeiro 6 . Bogotá 7 . Santiago 8 . Belo Horizonte 9 . Guadalajara 10 . Monterrey     Latin America is a group of countries and dependencies in the Western Hemisphere where Romance languages such as Spanish , French and Portuguese are spoken ; it is broader than the terms Ibero - America or Hispanic America . The term originated in the Napoleon III French government in the mid-19th century as Amérique latine to consider French - speaking territories in the Americas , ( French Canadians , French Louisiana , French Guiana , Haiti , Guadeloupe , Martinique , Saint Martin , Saint Barthélemy ) along with the larger group of countries where Spanish and Portuguese languages prevailed , including the Spanish - speaking portions of the United States ( Southwestern United States and Florida ) Today , areas of Canada and the United States ( with the exception of Puerto Rico and Miami ) where Spanish , Portuguese and French are predominant are typically not included in definitions of Latin America .   Latin America consists of nineteen sovereign states and several territories and dependencies which cover an area that stretches from the northern border of Mexico to the southern tip of South America , including the Caribbean . It has an area of approximately 19,197,000 km ( 7,412,000 sq mi ) , almost 13 % of the Earth 's land surface area . As of 2016 , its population was estimated at more than 639 million and in 2014 , Latin America had a combined nominal GDP of 5,573,397 million USD and a GDP PPP of 7,531,585 million USD .   The term `` Latin America '' was first used in an 1856 conference with the title `` Initiative of the America . Idea for a Federal Congress of Republics '' ( Iniciativa de la América . Idea de un Congreso Federal de las Repúblicas ) , by the Chilean politician Francisco Bilbao . In such conference , he called for the creation of a confederation of Latin American republics to better search for their common defense and prosperity , without political or economic barriers between them . In the same work , he also detailed the principles under which such a confederation should work .   Contents    1 Etymology and definitions   1.1 Origins   1.2 Contemporary definitions   1.3 Subregions and countries     2 History   2.1 Pre-Columbian history   2.2 European colonization   2.2. 1 Slavery and forced labor in colonial Latin America     2.3 Independence ( 1804 -- 25 )   2.3. 1 Independent Empire of Brazil     2.4 Conservative - liberal conflicts in the 19th century   2.5 British influence in Latin America during the 19th century   2.6 French involvement in Latin America during the 19th century   2.7 American involvement in Latin America during the 19th century   2.7. 1 Monroe Doctrine   2.7. 2 Mexican -- American War ( 1846 -- 48 )     2.8 World wars ( 1914 -- 45 )   2.8. 1 World War I and the Zimmermann Telegram   2.8. 2 Brazil 's participation in World War II   2.8. 3 Involvement in World War II     2.9 Cold War ( 1945 -- 92 )   2.9. 1 Economy   2.9. 2 Reforms   2.9. 3 Bureaucratic authoritarianism   2.9. 4 US relations   2.9. 5 Cuban Revolution   2.9. 6 Bay of Pigs Invasion   2.9. 7 Alliance for Progress   2.9. 8 Nicaraguan Revolution     2.10 Washington Consensus   2.11 Turn to the left   2.12 Return of social movements   2.13 Modern era     3 Demographics   3.1 Largest cities   3.2 Ethnic groups   3.3 Language   3.4 Religion   3.5 Migration   3.6 Education   3.7 Crime and violence     4 Economy   4.1 Size   4.2 Development   4.3 Standard of living   4.4 Environment     5 Inequality   6 Trade blocs   7 Tourism   8 Culture   8.1 Art   8.2 Film   8.3 Literature   8.4 Music and dance   8.5 World Heritage Sites     9 See also   10 Notes   11 References   12 Further reading   13 External links    Etymology and definitions ( edit )   Origins ( edit )  Presencia de América Latina ( Presence of Latin America , 1964 -- 65 ) is a 300 square meters ( 3,200 sq ft ) mural at the hall of the Arts House of the University of Concepción , Chile . It is also known as Latin America 's Integration .  The idea that a part of the Americas has a linguistic affinity with the Romance cultures as a whole can be traced back to the 1830s , in the writing of the French Saint - Simonian Michel Chevalier , who postulated that this part of the Americas was inhabited by people of a `` Latin race '' , and that it could , therefore , ally itself with `` Latin Europe '' , ultimately overlapping the Latin Church , in a struggle with `` Teutonic Europe '' , `` Anglo - Saxon America '' and `` Slavic Europe '' . Further investigations of the concept of Latin America are by Michel Gobat in the American Historical Review , the studies of Leslie Bethell , and the monograph by Mauricio Tenorio - Trillo , Latin America : The Allure and Power of an Idea ( 2017 ) .   Historian John Leddy Phelan locates the origins of `` Latin America '' in the French occupation of Mexico . His argument is that French imperialists used the concept of `` Latin '' America as a way to counter British imperialism , as well as to challenge the German threat to France . The idea of a `` Latin race '' was then taken up by Latin American intellectuals and political leaders of the mid - and late - nineteenth century , who no longer looked to Spain or Portugal as cultural models , but rather to France . French ruler Napoleon III had a strong interest in extending French commercial and political power in the region he and his business promoter Felix Belly called `` Latin America '' to emphasize the shared Latin background of France with the former colonies of Spain and Portugal . This led to Napoleon 's failed attempt to take military control of Mexico in the 1860s .   The term `` Latin America '' was first used in 1856 in a conference by the Chilean politician Francisco Bilbao in Paris . The conference had the title `` Initiative of the America . Idea for a Federal Congress of Republics . '' The same year the Colombian writer José María Torres Caicedo also used the term in his poem `` The Two Americas . '' Two events related with the U.S. played a central role in both works . The first event happened less than a decade before the publication of Bilbao 's and Torres Caicedo 's works : the Mexican -- American War , after which Mexico lost a third of its territory . The second event happened the same year both works were written , in opposition to the decision by U.S. president Franklin Pierce to recognize the regime recently established in Nicaragua by American William Walker and his band of filibusters who ruled Nicaragua for nearly a year , 1856 - 57 .   In both Bilbao 's and Torres Caicedo 's works , the U.S. - Mexico war and Walker 's expedition to Nicaragua are explicitly mentioned as examples of dangers for the region . For Bilbao , `` Latin America '' was not a geographical concept , since he excluded Brazil , Paraguay and Mexico . Both authors also ask for the union of all Latin American countries as the only way to defend their territories against further foreign U.S. interventions . Both rejected also European imperialism , claiming that the return of European countries to non-democratic forms of government was another danger for Latin American countries , and used the same word to describe the state of European politics at the time : `` despotism . '' Several years later , during the French invasion of Mexico , Bilbao wrote another work , `` Emancipation of the Spirit in America , '' where he asked all Latin American countries to support the Mexican cause against France , and rejected French imperialism in Asia , Africa , Europe and the Americas . He asked Latin American intellectuals to search for their `` intellectual emancipation '' by abandoning all French ideas , claiming that France was : `` Hypocrite , because she ( France ) calls herself protector of the Latin race just to subject it to her exploitation regime ; treacherous , because she speaks of freedom and nationality , when , unable to conquer freedom for herself , she enslaves others instead ! '' Therefore , as Michel Gobat puts it , the term Latin America itself had an `` anti-imperial genesis , '' and their creators were far from supporting any form of imperialism in the region , or in any other place of the globe .   However , in France the term Latin America was used with the opposite intention . It was supported by the French Empire of Napoleon III during the French invasion of Mexico as a way to include France among countries with influence in the Americas and to exclude Anglophone countries . It played a role in his campaign to imply cultural kinship of the region with France , transform France into a cultural and political leader of the area , and install Maximilian of Habsburg as emperor of the Second Mexican Empire . This term was also used in 1861 by French scholars in La revue des races Latines , a magazine dedicated to the Pan-Latinism movement .   Contemporary definitions ( edit )  The 4 common subregions in Latin America   Latin America generally refers to territories in the Americas where the Spanish or Portuguese languages prevail : Mexico , most of Central and South America , and in the Caribbean , Cuba , the Dominican Republic , Jamaica , and Puerto Rico . Latin America is , therefore , defined as all those parts of the Americas that were once part of the Spanish and Portuguese Empires . By this definition , Latin America is coterminous with Ibero - America ( `` Iberian America '' ) .   The term is sometimes used more broadly to refer to all of the Americas south of the United States , thus including the Guianas , the Anglophone Caribbean ( and Belize ) ; the Francophone Caribbean ; and the Dutch Caribbean . This definition emphasizes a similar socioeconomic history of the region , which was characterized by formal or informal colonialism , rather than cultural aspects ( see , for example , dependency theory ) . As such , some sources avoid this oversimplification by using the phrase `` Latin America and the Caribbean '' instead , as in the United Nations geoscheme for the Americas .   In a more literal definition , which is close to the semantic origin , Latin America designates countries in the Americas where a Romance language ( a language derived from Latin ) predominates : Spanish , Portuguese , French , and the creole languages based upon these . In this definition , Quebec would be classified as part of Latin America .    The distinction between Latin America and Anglo - America is a convention based on the predominant languages in the Americas by which Romance - language and English - speaking cultures are distinguished . Neither area is culturally or linguistically homogeneous ; in substantial portions of Latin America ( e.g. , highland Peru , Bolivia , Mexico , Guatemala ) , Native American cultures and , to a lesser extent , Amerindian languages , are predominant , and in other areas , the influence of African cultures is strong ( e.g. , the Caribbean basin -- including parts of Colombia and Venezuela ) .   The term is not without controversy . Historian Mauricio Tenorio - Trillo explores at length the `` allure and power '' of the idea of Latin America . He remarks at the outset , `` The idea of ' Latin America ' ought to have vanished with the obsolescence of racial theory ... But it is not easy to declare something dead when it can hardly be said to have existed , '' going on to say , `` The term is here to stay , and it is important . '' Following in the tradition of Chilean writer Francisco Bilbao , who excluded Brazil , Argentina and Paraguay from his early conceptualization of Latin America , Chilean historian Jaime Eyzaguirre has criticized the term Latin America for `` disguising '' and `` diluting '' the Spanish character of a region ( i.e. Hispanic America ) with the inclusion of nations that according to him do not share the same pattern of conquest and colonization .   Subregions and countries ( edit )   Latin America can be subdivided into several subregions based on geography , politics , demographics and culture . If defined as all of the Americas south of the United States , the basic geographical subregions are North America , Central America , the Caribbean and South America ; the latter contains further politico - geographical subdivisions such as the Southern Cone , the Guianas and the Andean states . It may be subdivided on linguistic grounds into Hispanic America , Portuguese America and French America .     Flag   Arms   Name   Area ( km2 )   Population ( 2016 )   Population density ( per km2 )   Capital   Name ( s ) in official language ( s )   Time ( s ) zone ( s )         Argentina   2,780,400   43,847,430   14.4   Buenos Aires   Argentina   UTC / GMT - 3 hours         Bolivia   1,098,581   10,887,882   9   Sucre and La Paz   Bolivia ; Buliwya ; Wuliwya ; Volívia   UTC / GMT - 4 hours         Brazil   8,515,767   207,652,865   23.6   Brasília   Brasil   UTC / GMT - 2 hours ( Fernando de Noronha ) UTC / GMT - 3 hours ( Brasília ) UTC / GMT - 4 hours ( Amazonas ) UTC / GMT - 5 hours ( Acre )         Chile   756,096   17,909,754   23   Santiago   Chile   UTC / GMT - 3 hours ( Magallanes and Chilean Antarctica )  UTC / GMT - 4 hours ( Continental Chile )   UTC / GMT - 5 hours ( Easter Island )          Colombia   1,141,748   48,653,419   41.5   Bogotá   Colombia   UTC / GMT - 5 hours         Costa Rica   51,100   4,857,274   91.3   San José   Costa Rica   UTC / GMT - 6 hours         Cuba   109,884   11,475,982   100.6   Havana   Cuba   UTC / GMT - 4 hours         Dominican Republic   48,442   10,648,791   210.9   Santo Domingo   República Dominicana   UTC / GMT - 4 hours         Ecuador   283,560   16,385,068   54.4   Quito   Ecuador   UTC / GMT - 5 hours         El Salvador   21,040   6,344,722   290.3   San Salvador   El Salvador   UTC / GMT - 6 hours         French Guiana *   83,534   275,713     Cayenne   Guyane   UTC / GMT - 3 hours         Guadeloupe *   1,628   449,975   250   Basse - Terre   Guadeloupe   UTC / GMT - 4 hours         Guatemala   108,889   16,582,469   129   Guatemala City   Guatemala   UTC / GMT - 6 hours         Haiti   27,750   10,847,334   350   Port - au - Prince   Haïti ; Ayiti   UTC / GMT - 4 hours         Honduras   112,492   9,112,867   76   Tegucigalpa   Honduras   UTC / GMT - 6 hours         Martinique *   1,128   385,103   340   Fort - de-France   Martinique   UTC / GMT - 4 hours         Mexico   1,964 375   127,540,423   57   Mexico City   México   UTC / GMT - 5 hours ( Zona Sureste ) UTC / GMT - 6 hours ( Zona Centro ) UTC / GMT - 7 hours ( Zona Pacífico ) UTC / GMT - 8 hours ( Zona Noroeste )         Nicaragua   130,375   6,149,928   44.3   Managua   Nicaragua   UTC / GMT - 6 hours         Panama   75,517   4,034,119   54.2   Panama City   Panamá   UTC / GMT - 5 hours         Paraguay   406,752   6,725,308   14.2   Asunción   Paraguay ; Tetã Paraguái   UTC / GMT - 4 hours         Peru   1,285,216   31,773,839   23   Lima   Perú ; Piruw   UTC / GMT - 4 hours         Puerto Rico *   9,104   3,667,903   397   San Juan   Puerto Rico   UTC / GMT - 4 hours         Saint Barthélemy *   53.2   9,000   682   Gustavia   Saint - Barthélemy   UTC / GMT - 4 hours         Saint Martin *   25   39,000   361   Marigot   Saint - Martin   UTC / GMT - 4 hours         Uruguay   176,215   3,444,006   18.87   Montevideo   Uruguay   UTC / GMT - 3 hours         Venezuela   916,445   31,568,179   31.59   Caracas   Venezuela   UTC / GMT -- 4 : 00 hours     Total       20,111,457   626,741,000     * : Not a sovereign state   History ( edit )  Main article : History of Latin America See also : History of North America , History of South America , History of Central America , and History of the Caribbean  Pre-Columbian History ( edit )  Main articles : Settlement of the Americas , Population history of indigenous peoples of the Americas , and Pre-Columbian era A view of Machu Picchu , a pre-Columbian Inca site in Peru . Mayan archeological site Chichen Itza .  The earliest known settlement was identified at Monte Verde , near Puerto Montt in Southern Chile . Its occupation dates to some 14,000 years ago and there is some disputed evidence of even earlier occupation . Over the course of millennia , people spread to all parts of the continents . By the first millennium CE , South America 's vast rainforests , mountains , plains and coasts were the home of tens of millions of people . The earliest settlements in the Americas are of the Las Vegas Culture from about 8000 BCE and 4600 BCE , a sedentary group from the coast of Ecuador , the forefathers of the more known Valdivia culture , of the same era . Some groups formed more permanent settlements such as the Chibcha ( or `` Muisca '' or `` Muysca '' ) and the Tairona groups . These groups are in the circum Caribbean region . The Chibchas of Colombia , the Quechuas and Aymaras of Bolivia and Perú were the three indigenous groups that settled most permanently .   The region was home to many indigenous peoples and advanced civilizations , including the Aztecs , Toltecs , Maya , and Inca . The golden age of the Maya began about 250 , with the last two great civilizations , the Aztecs and Incas , emerging into prominence later on in the early fourteenth century and mid-fifteenth centuries , respectively . The Aztec empire was ultimately the most powerful civilization known throughout the Americas , until its downfall in part by the Spanish invasion .   European colonization ( edit )  Main articles : European colonization of the Americas , Spanish colonization of the Americas , and Portuguese colonization of the Americas Romantic painting of Christopher Columbus arriving to the Americas ( Primer desembarco de Cristóbal Colón en América ) , by Dióscoro Puebla ( 1862 ) Cristóbal de Olid leads Spanish soldiers with Tlaxcalan allies against indigenous warriors during the European colonization of the Americas .  With the arrival of the Europeans following Christopher Columbus ' voyages , the indigenous elites , such as the Incas and Aztecs , lost power to the heavy European invasion . Hernándo Cortés seized the Aztec elite 's power with the help of local groups who had favored the Aztec elite , and Francisco Pizarro eliminated the Incan rule in Western South America . The European powers of Spain and Portugal colonized the region , which along with the rest of the uncolonized world , was divided into areas of Spanish and Portuguese control by the line of demarcation in 1494 , which gave Spain all areas to the west , and Portugal all areas to the east ( the Portuguese lands in South America subsequently becoming Brazil ) . By the end of the sixteenth century Spain and Portugal had been joined by others , including France , in occupying large areas of North , Central and South America , ultimately extending from Alaska to the southern tips of the Patagonia . European culture , customs and government were introduced , with the Roman Catholic Church becoming the major economic and political power to overrule the traditional ways of the region , eventually becoming the only official religion of the Americas during this period .   Epidemics of diseases brought by the Europeans , such as smallpox and measles , wiped out a large portion of the indigenous population . Historians can not determine the number of natives who died due to European diseases , but some put the figures as high as 85 % and as low as 25 % . Due to the lack of written records , specific numbers are hard to verify . Many of the survivors were forced to work in European plantations and mines . Intermixing between the indigenous peoples and the European colonists was very common , and , by the end of the colonial period , people of mixed ancestry ( mestizos ) formed majorities in several colonies .  Slavery and forced labor in colonial Latin America ( edit ) See also : Slavery among the indigenous peoples of the Americas and Atlantic slave trade  Indigenous peoples of the Americas in various European colonies were forced to work in European plantations and mines ; along with African slaves who were also introduced in the proceeding centuries .   The Mita of Colonial Latin America was a system of forced labor imposed on the natives . First established by Viceroy Francisco de Toledo ( 1569 -- 1581 ) , the Mita was upheld by laws that designated how large draft levies were and how much money the workers would receive that was based on how many shifts each individual worker performed . Toledo established Mitas at Potosi and Huancavelica , where the Mitayos -- the workers -- would be reduced in number to a fraction of how many were originally assigned before the 1700s . While several villages managed to resist the Mita , others offered payment to colonial administrators as a way out . In exchange , free labor became available through volunteers , though the Mita was kept in place as workers like miners , for example , were paid low wages . The Spanish Crown had not made any ruling on the Mita or approved of it when Toledo first established it in spite of the uncertainty of the practice since the Crown could have gained benefits from it . However , the cortes of Spain later abolished it in 1812 once complaints of the Mita violating humanitarian rights were made . Yet complaints also came from : governors ; landowners ; native leaders known as Kurakas ; and even priests , each of whom preferred other methods of economic exploitation . Despite its fall , the Mita made it to the 1800s .   Independence ( 1804 -- 25 ) ( edit )  Main articles : Latin American wars of independence and Spanish American wars of independence Simón Bolívar , Liberator of Venezuela , Colombia , Ecuador , Bolivia , Peru and Panama  In 1804 , Haiti became the first Latin American nation to gain independence , following a violent slave revolt led by Toussaint L'ouverture on the French colony of Saint - Domingue . The victors abolished slavery . Haitian independence inspired independence movements in Spanish America .  Miguel Hidalgo y Costilla was the first leader of the Mexican War of Independence .  By the end of the eighteenth century , Spanish and Portuguese power waned on the global scene as other European powers took their place , notably Britain and France . Resentment grew among the majority of the population in Latin America over the restrictions imposed by the Spanish government , as well as the dominance of native Spaniards ( Iberian - born Peninsulares ) in the major social and political institutions . Napoleon 's invasion of Spain in 1808 marked a turning point , compelling Criollo elites to form juntas that advocated independence . Also , the newly independent Haiti , the second oldest nation in the New World after the United States , further fueled the independence movement by inspiring the leaders of the movement , such as Miguel Hidalgo y Costilla of Mexico , Simón Bolívar of Venezuela and José de San Martín of Argentina , and by providing them with considerable munitions and troops .   Fighting soon broke out between juntas and the Spanish colonial authorities , with initial victories for the advocates of independence . Eventually , these early movements were crushed by the royalist troops by 1810 , including those of Miguel Hidalgo y Costilla in Mexico in the year 1810 . Later on Francisco de Miranda in Venezuela by 1812 . Under the leadership of a new generation of leaders , such as Simón Bolívar `` The Liberator '' , José de San Martín of Argentina , and other Libertadores in South America , the independence movement regained strength , and by 1825 , all Spanish America , except for Puerto Rico and Cuba , had gained independence from Spain . In the same year in Mexico , a military officer , Agustín de Iturbide , led a coalition of conservatives and liberals who created a constitutional monarchy , with Iturbide as emperor . This First Mexican Empire was short - lived , and was followed by the creation of a republic in 1823 .  Independent Empire of Brazil ( edit ) Main articles : Independence of Brazil and Empire of Brazil Declaration of the Brazilian independence by the later Emperor Pedro I on September 7 , 1822  The Brazilian War of Independence , which had already began along other independent movements around the region , spread through northern , northeastern regions and in Cisplatina province . With the last Portuguese soldiers surrendering on 8 March 1824 , Portugal officially recognized Brazil on 29 August 1825 .   On 7 April 1831 , worn down by years of administrative turmoil and political dissensions with both liberal and conservative sides of politics , including an attempt of republican secession , as well as unreconciled with the way that absolutists in Portugal had given to the succession of King John VI , Pedro I went to Portugal to reclaim his daughter 's crown , abdicating the Brazilian throne in favor of his five - year - old son and heir ( who thus became the Empire 's second monarch , with the regnal title of Dom Pedro II ) .  Pedro II , Emperor of Brazil between 1831 and 1889  As the new Emperor could not exert his constitutional powers until he became of age , a regency was set up by the National Assembly . In the absence of a charismatic figure who could represent a moderate face of power , during this period a series of localized rebellions took place , as the Cabanagem , the Malê Revolt , the Balaiada , the Sabinada , and the Ragamuffin War , which emerged from the dissatisfaction of the provinces with the central power , coupled with old and latent social tensions peculiar of a vast , slaveholding and newly independent nation state . This period of internal political and social upheaval , which included the Praieira revolt , was overcome only at the end of the 1840s , years after the end of the regency , which occurred with the premature coronation of Pedro II in 1841 .   During the last phase of the monarchy , an internal political debate was centered on the issue of slavery . The Atlantic slave trade was abandoned in 1850 , as a result of the British ' Aberdeen Act , but only in May 1888 after a long process of internal mobilization and debate for an ethical and legal dismantling of slavery in the country , was the institution formally abolished .   On 15 November 1889 , worn out by years of economic stagnation , in attrition with the majority of Army officers , as well as with rural and financial elites ( for different reasons ) , the monarchy was overthrown by a military coup .   Conservative - liberal conflicts in the 19th century ( edit )  Development of Spanish American Independence Government under traditional Spanish law Loyal to Supreme Central Junta or Cortes American junta or insurrection movement Independent state declared or established Height of French control of the Peninsula  After the independence of many Latin American countries , there was a conflict between the people and the government , much of which can be reduced to the contrasting ideologies between liberalism and conservatism . Conservatism was the dominant system of government prior to the revolutions and it was founded on having social classes , including governing by kings . Liberalists wanted to see a change in the ruling systems , and to move away from monarchs and social classes in order to promote equality .   When liberal Guadalupe Victoria became the first president of Mexico in 1824 , conservatists relied on their belief that the state had been better off before the new government came into power , so , by comparison , the old government was better in the eyes of the Conservatives . Following this sentiment , the conservatives pushed to take control of the government , and they succeeded . General Santa Anna was elected president in 1833 . The following decade , the Mexican -- American War ( 1846 -- 48 ) caused Mexico to lose a significant amount of territory to the United States . This loss led to a rebellion by the enraged liberal forces against the conservative government .   In 1837 , conservative Rafael Carrera conquered Guatemala and separated from the Central American Union . The instability that followed the disintegration of the union led to the independence of the other Central American countries .   In Brazil , rural aristocrats were in conflict with the urban conservatives . Portuguese control over Brazilian ports continued after Brazil 's independence . Following the conservative idea that the old government was better , urbanites tended to support conservatism because more opportunities were available to them as a result of the Portuguese presence .   Simón Bolívar became president of Gran Colombia in 1819 after the region gained independence from Spain . He led a military - controlled state . Citizens did not like the government 's position under Bolívar : The people in the military were unhappy with their roles , and the civilians were of the opinion that the military had too much power . After the dissolution of Gran Colombia , New Grenada continued to have conflicts between conservatives and liberals . These conflicts were each concentrated in particular regions , with conservatives particularly in the southern mountains and the Valley of Cauca . In the mid-1840s some leaders in Caracas organized a liberal opposition . Antonio Leocadio Guzman was an active participant and journalist in this movement and gained much popularity among the people of Caracas .   In Argentina , the conflict manifested itself as a prolonged civil war between unitarianas ( i.e. centralists ) and federalists , which were in some aspects respectively analogous to liberals and conservatives in other countries . Between 1832 and 1852 , the country existed as a confederation , without a head of state , although the federalist governor of Buenos Aires province , Juan Manuel de Rosas , was given the powers of debt payment and international relations and exerted a growing hegemony over the country . A national constitution was only enacted in 1853 , reformed in 1860 , and the country reorganized as a federal republic led by a liberal - conservative elite . After Uruguay achieved its independence , in 1828 , a similar polarization crystallized between blancos and colorados , where the agrarian conservative interests were pitted against the liberal commercial interests based in Montevideo , and which eventually resulted in the Guerra Grande civil war ( 1839 -- 1851 ) .   British influence in Latin America during the 19th century ( edit )  British invasions of the Río de la Plata . Beresford surrenders to Santiago de Liniers ( 1806 ) .  Losing most of its North American colonies at the end of the 18th century left Great Britain in need of new markets to supply resources in the early 19th century . In order to solve this problem , Great Britain turned to the Spanish colonies in South America for resources and markets . In 1806 a small British force surprise attacked the capitol of the viceroyalty in Río de la Plata . As a result , the local garrison protecting the capitol was destroyed in an attempt to defend against the British conquest . The British were able to capture large amounts of precious metals , before a French naval force intervened on behalf of the Spanish King and took down the invading force . However , this caused much turmoil in the area as militia took control of the area from the viceroy . The next year the British attacked once again with a much larger force attempting to reach and conquer Montevideo . They failed to reach Montevideo but succeeded in establishing an alliance with the locals . As a result , the British were able to take control of the Indian markets .   This newly gained British dominance hindered the development of Latin American industries and strengthened the dependence on the world trade network . Britain now replaced Spain as the region 's largest trading partner . Great Britain invested si</t>
  </si>
  <si>
    <t xml:space="preserve">where does the name latin america come from</t>
  </si>
  <si>
    <t xml:space="preserve"> Latin America is a group of countries and dependencies in the Western Hemisphere where Romance languages such as Spanish , French and Portuguese are spoken ; it is broader than the terms Ibero - America or Hispanic America . The term originated in the Napoleon III French government in the mid-19th century as Amérique latine to consider French - speaking territories in the Americas , ( French Canadians , French Louisiana , French Guiana , Haiti , Guadeloupe , Martinique , Saint Martin , Saint Barthélemy ) along with the larger group of countries where Spanish and Portuguese languages prevailed , including the Spanish - speaking portions of the United States ( Southwestern United States and Florida ) Today , areas of Canada and the United States ( with the exception of Puerto Rico and Miami ) where Spanish , Portuguese and French are predominant are typically not included in definitions of Latin America . </t>
  </si>
  <si>
    <t xml:space="preserve">Dabangg - Wikipedia  Dabangg  Jump to : navigation , search    Dabangg     Theatrical release poster     Directed by   Abhinav Kashyap     Produced by   Arbaaz Khan Malaika Arora Dhillin Mehta     Written by   Dilip Shukla Abhinav Kashyap     Starring   Salman Khan Arbaaz Khan Sonakshi Sinha Sonu Sood Vinod Khanna Dimple Kapadia Anupam Kher     Music by   Songs Sajid - Wajid Lalit Pandit Background Score : Sandeep Shirodkar     Cinematography   Mahesh Limaye     Edited by   Pranav V Dhukar     Production company   Arbaaz Khan Productions     Distributed by   Shree Ashtavinayak Cine Vision Ltd     Release date     10 September 2010 ( 2010 - 09 - 10 )               Running time   126 minutes     Country   India     Language   Hindi     Budget   ₹ 420 million     Box office   ₹ 2.15 billion     Dabangg ( English : Fearless ) is a 2010 Indian action film directed by Abhinav Kashyap , and produced by Arbaaz Khan under Arbaaz Khan Productions . Arbaaz 's elder brother Salman Khan stars in the lead role , with Sonakshi Sinha ( in her acting debut ) , Arbaaz Khan , Om Puri , Dimple Kapadia , Vinod Khanna , Anupam Kher , Mahesh Manjrekar and Mahie Gill featuring in supporting roles , while Sonu Sood plays the main antagonist . The film marks the debut of Arbaaz as a producer and Kashyap as a director . Malaika Arora appears in the item number `` Munni Badnaam Hui '' .   Dabangg is set in the Indian state of Uttar Pradesh , and tells the story of a corrupt but fearless police officer , Chulbul Pandey , and his troubled relationship with his stepfather and half - brother . Made with a budget of ₹ 300 million and marketed at ₹ 120 million , Dabangg was shot primarily in the town of Wai in Maharashtra , while other major scenes were shot in the United Arab Emirates .   Dabangg was released during Eid on 10 September 2010 in nearly 2100 cinemas worldwide . It opened to generally positive reviews , and went on to gross ₹ 2.15 billion worldwide . It is the highest - grossing Bollywood film of 2010 and one among the highest grossing Bollywood film of all time . Dabangg has won several awards -- the National Film Award for Best Popular Film Providing Wholesome Entertainment and six Filmfare Awards , including Best Film and Best Female Debut ( Sinha ) . It was later remade in Tamil as Osthe , and in Telugu as Gabbar Singh . A sequel , titled Dabangg 2 was released in 2012 .     Contents  ( hide )   1 Plot   2 Cast   3 Production   3.1 Casting   3.2 Filming   3.3 Pre-release     4 Soundtrack   5 Release   5.1 Critical response   5.2 Legal issues   5.3 Awards and nominations     6 Box office   6.1 Domestic   6.2 Overseas     7 Sequel and remakes   8 References   9 External links      Plot ( edit )   Chulbul Pandey , a young boy , lives with his younger half - brother , Makhanchan `` Makkhi '' Pandey , stepfather Prajapati Pandey ( Vinod Khanna ) and mother , Naina Devi ( Dimple Kapadia ) in Laalgunj , Uttar Pradesh . He has a troubled relationship with his stepfather and Makkhi . After 21 years , Chulbul ( Salman Khan ) becomes a policeman . Chulbul , who calls himself `` Robin Hood '' Pandey , lives with his family . Makkhi ( Arbaaz Khan ) is in love with Nirmala ( Mahi Gill ) , whose father Masterji ( Tinu Anand ) opposes the relationship . Chulbul falls in love with a girl named Rajjo ( Sonakshi Sinha ) , who he meets during a police encounter .   A corrupt political leader named Chedi Singh ( Sonu Sood ) meets Chulbul and both quickly become enemies . Makkhi asks his father to arrange his marriage with Nirmala . His father refuses because he needs money to repay the loans he took to make his factory , and he believes that he can acquire money through his son marrying a rich girl . In desperate need of money , Makkhi steals from Chulbul 's cupboard and gives the stolen cash to Nirmala 's father , hoping that he will permit Makkhi to marry Nirmala . Meanwhile , Chulbul meets Rajjo and proposes marriage , which she rejects , as she has to take care of her father , Haria ( Mahesh Manjrekar ) -- a drunkard .   Chulbul comes home to find his mother dead . He goes to his stepfather to make peace , as he is the only family left . His stepfather refuses and despises him as an outcast . Makkhi invites Chulbul to his marriage with Nirmala . Chulbul convinces Rajjo 's father to marry her . Rajjo 's father commits suicide , as he knows that his daughter will not marry anyone while he is alive . Chulbul takes Rajjo to Makkhi 's exuberant wedding . Realising that Makkhi has stolen his money to finance the wedding , Chulbul marries Rajjo in an impromptu ceremony . Nirmala 's father feels disgraced and cancels his daughter 's wedding .   Makkhi beats up one of the workers in his factory due to a small mishap . The worker goes to the police station with his mother to file a complaint . Chulbul beats up Makkhi in public to disgrace him . Chedi takes advantage of the situation , and takes Makkhi along with his father to the police station . Makkhi 's father resolves the situation by accepting an apology from Chulbul . Chulbul meets Dayal Babu ( Anupam Kher ) , a local political leader , who also dislikes Chedi . With his help , Chulbul adulterates the breweries of Chedi , and wrongly frames him for it .   To take revenge , Chedi burns Makkhi 's factory . Makkhi 's father suffers a heart attack due to shock and is hospitalised . Makkhi goes to Chedi seek help from him , without knowing that it was Chedi , who burnt his factory . Chedi agrees to finance his father 's treatment , if he delivers a crate of mangoes to Dayal Babu 's house . Unknown to Makkhi , there is a bomb inside the crate , which explodes after he leaves , killing Dayal Babu . Chedi gives Makkhi a task to kill Chulbul . Makkhi accepts , and confesses it to Chulbul . He reveals to Chulbul that Chedi made him plant the bomb unknowingly . Chulbul forgives him and reconciles with his stepfather . Makkhi then reveals to Chulbul that it was Chedi , who killed their mother . Enraged , Chulbul suffocates Chedi to death . Later , Chulbul gets Makkhi married to Nirmala in the presence of her father , while Rajjo reveals that she is pregnant .   Cast ( edit )   Credits adapted from Bollywood Hungama .    Salman Khan as Chulbul Pandey   Sonakshi Sinha as Rajjo   Arbaaz Khan as Makhanchand `` Makkhi '' Pandey   Vinod Khanna as Prajapati Pandey , Chulbul 's step - father   Dimple Kapadia as Naini Devi , Chulbul 's mother   Sonu Sood as Chedi Singh   Mahesh Manjrekar as Haria , Rajjo 's father   Om Puri as Kasturilal Vishkarma , Chhedi Singh 's to be father - in - law   Anupam Kher as Dayal Babu   Mahi Gill as Nirmala   Tinu Anand as Masterji , Nirmala 's father   Malaika Arora as Munni in the item number `` Munni Badnaam Hui ''   Murli Sharma as ACP Malik   Ram Sujan Singh as Chaubeji   Rajeev Sharma as Toluram Rastogi   Amitosh Nagpal as Sumant Kumar    Production ( edit )   Casting ( edit )   Salman Khan grew a moustache after consulting with his brother and prepared his hair to suit his role . For the former , he had to try out nearly fifty styles in a span of four months before commencement of the filming . Photo - shoots were held to finalise his look . Abhinav Kashyap , in an interview with Bollywood Hungama , revealed that initially he had considered a few others for the role of Chulbul Pandey , but eventually changed his mind and approached Salman . Kashyap had seen Arbaaz in Jaane Tu Ya Jaane Na , doing a cameo and approached him to be a part of the project . After reading it , he had instantly accepted to produce and star in it . Sonu Sood was selected for playing the lead antagonist . He revealed that his character was that of a `` youth leader with grey shades . '' Mahesh Manjrekar was later approached to play the father of Sinha 's character , although he had plans to quit acting .   In April 2009 , Sonakshi Sinha signed for her debut role . Salman had seen her at a function engaging in dancing and offered her the role . Speaking about it , she said that she had lost a weight of 30 kg over two years to prepare for her character of a village girl by `` a combination of proper diet and vigorous exercise '' . She added that she had been `` observing people and trying to pick up nuances '' as a step of further preparation . Malaika Arora , who had performed a few item numbers in her career , most notably in Dil Se ... , was confirmed to do the same in the film . This was the first of its kind in her home production .   Filming ( edit )   Dabangg 's shooting took place primarily in Wai and the United Arab Emirates . The shooting commenced in September 2009 . Production designer Wasiq Khan drew over 100 sketches detailing out every set in the film . The cinematography was performed by Mahesh Limaye . The first schedule began in the town of Wai and continued for 45 days , during which Sonu Sood , the main antagonist fractured his nose . A schedule , primarily involving a song shoot , was captured in the Khalid Bin Al Waheed station in Dubai , making Dabangg the first film to be shot there . Some scenes were also filmed at the Emirates Palace hotel in Abu Dhabi .   The film , involving around five action sequences , was choreographed by S. Vijayan , who previously served as the stunt director of Wanted , and shot over 60 days . Later , special effects were incorporated into those scenes . The songs were choreographed by Raju Khan and Shabina Khan , while Farah Khan choreographed the item number , `` Munni Badnaam Hui '' . The shooting was completed in early June 2010 , and the film went into post-production . A party was held to commemorate the completion of the shooting and the success of the theatrical promo . It was attended by the main cast and crew .   Pre-release ( edit )   Dabangg 's theatrical trailer , running for about two and a half minutes , was released on 23 July 2010 , alongside Priyadarshan 's Khatta Meetha . Dabangg was described as one of the most anticipated films of the year by The Indian Express . It was reported to have broken pre-release records for hype by Cinematix , a filming awareness product originated by Ormax Media . A special screening of the film took place at Film City on 6 September 2010 . The premiere of Dabangg was held in Mumbai on 9 September 2010 .   Soundtrack ( edit )     Dabangg     Soundtrack album by Sajid - Wajid     Released   6 August 2010 ( 2010 - 08 - 06 )     Genre   Film soundtrack     Length   47 : 43     Label   T - Series     Sajid - Wajid chronology        Veer ( 2010 ) Veer 2010   Dabangg ( 2010 )   No Problem ( 2010 ) No Problem 2010        The soundtrack album was composed by the music director duo Sajid - Wajid and Lalit Pandit , while the lyrics were penned by Faiz Anwar , Lalit Pandit and Jalees Sherwani . Lalit Pandit wrote the song `` Munni Badnaam Hui '' . The album was launched on 6 August 2010 in Delhi . The album contains five original songs , four remixes and one theme song . The audio rights of Dabangg were sold for about ₹ 90 million ( US $1.4 million ) to T - Series .   The track `` Munni Badnaam Hui '' is said to be inspired by an old Bhojpuri folk song `` Launda Badnaam Hua Naseeban Tere Liye '' . Director Abhinav Kashyap accepted using the folk song saying that he , being from Uttar Pradesh , was familiar with the song since childhood so he suggested the very song to be improvised and rephrased to fit the film 's requirement . It was alleged that it was inspired from the Pakistani song `` Ladka Badnaam Hua '' from the film Mr. Charlie ( 1992 ) .   Dabangg 's soundtrack received generally positive reviews from music critics . Joginder Tuteja of Bollywood Hungama gave the album 3 stars and said , `` ( it ) delivers what it promised . One expected a masala soundtrack and this is what one gets with a couple of item song sequences , a couple of theme tracks and two love songs which are actually the highlight of the film . A soundtrack that has something in store for mass as well as class . '' Atta Khan of Planet Bollywood gave it a rating of 6 out of 10 , and called the soundtrack `` simple , catchy , easy on the ears and fun '' . In a 3 - star rating , critic Devesh Sharma of Filmfare praised Sajid - Wajid 's composition , and the track `` Chori Kiya Re Jiya '' , calling it `` ( pleasure ) to the ears '' .   The album performed well on the charts after its release . The tracks `` Tere Mast Mast Do Nain '' and `` Munni Badnaam '' were successful , and entered the list of top 20 most frequently played songs on radio in India . In August 2010 , the track `` Tere Mast Mast Do Nain '' reached number - one on the Official Asian Download Chart in the United Kingdom based on legal downloads in that country .   Track list     No .   Title   Lyrics   Singer ( s )   Length     1 .   `` Tere Mast Mast Do Nain ''   Faiz Anwar   Rahat Fateh Ali Khan   5 : 59     2 .   `` Munni Badnaam Hui ''   Lalit Pandit   Mamta Sharma , Aishwarya Nigam , Master Saleem   5 : 07     3 .   `` Chori Kiya Re Jiya ''   Jalees Sherwani   Sonu Nigam , Shreya Ghoshal   4 : 48     4 .   `` Hud Hud Dabangg ''   Jalees Sherwani   Sukhwinder Singh , Wajid   4 : 13     5 .   `` Humka Peeni Hai ''   Jalees Sherwani   Wajid , Master Saleem , Shabab Sabri   5 : 15     6 .   `` Tere Mast Mast Do Nain -- Part 2 ''   Faiz Anwar   Rahat Fateh Ali Khan , Shreya Ghoshal   5 : 59     7 .   `` Munni Badnaam Hui -- Remix ''   Lalit Pandit   Mamta Sharma , Aishwarya Nigam   4 : 05     8 .   `` Tere Mast Mast Do Nain -- Remix ''   Faiz Anwar   Rahat Fateh Ali Khan   5 : 02     9 .   `` Humka Peeni Hai -- Remix ''   Jalees Sherwani   Wajid , Master Saleem , Shabab Sabri   4 : 27     10 .   `` Dabangg -- Theme ''     Salman Khan   2 : 48     Total length :   47 : 43     Release ( edit )   Dabangg released worldwide on 10 September 2010 . It opened up across 1,800 screens in India and around 300 screens overseas . The film was released in 2300 theatres worldwide . It was also screened in Norway at an international film festival . The film 's DVDs and VCDs were launched by the Reliance Big Home Video on 12 October 2010 . It was released on YouTube on 28 January 2011 for free viewing to audiences in India . The satellite rights were pre-sold for ₹ 100 million ( US $1.6 million ) to Colors .   Critical response ( edit )  `` For anybody who wants to know what is the on - screen definition of Bollywood , Dabangg is truly text book fare . It 's loud , crazy , zany , exaggerated , larger - than - life , almost nonsensical , totally make - believe , comic book like , complete kitsch , generously peppered with the mandatory desi tadka ( garnishing ) of songs and dances that keep popping out of nowhere and is literally oozing with star charisma . '' -- Nikhat Kazmi , while reviewing the film .  The film generally received positive reviews from critics , most of whom praised the performance of Salman Khan . In a 4 - star review for Koimoi , Komal Nahta ensured that the film would be a commercial success . Kaveree Bamzai of India Today gave the film four stars while labelling it as `` one Zandu Balm of a movie . '' Film critic Aniruddha Guha of Daily News and Analysis called the film `` slightly mad , and terribly entertaining . ''   Mathures Paul of The Statesman gave the film 3.5 stars and commented , `` Dabangg aligns itself with viewers frustrated by the nonexistence of uncomplicated heroism on screen . '' In a 3 - star review for Rediff.com , Abhishek Mande stated `` Dabangg is not a movie for non-Salman fans . But for those who worship him it 's a film you simply can not afford to miss . '' Anupama Chopra of NDTV and Sukanya Venkatgarhavan of Filmfare gave it 3 stars , and both praised Khan 's performance .   Gaurav Malani of Indiatimes was critical towards the film 's story , remarking `` the film does n't care a damn for coming up with any innovative storyline . '' Rajeev Masand of CNN - IBN panned the film 's screenplay , but praised Khan 's performance . Shobhaa De of the Bangalore Times was critical , concluding `` Let 's hand it to Salman who has pulled off the stunts and pelvic thrusts . Nothing new there . But it is the naughty self - parodying , which is so camp , so out there , which delivers the biggest punch . What 's left for this guy now -- all he needs is a cape . And he can call himself Superman . ''   Legal issues ( edit )   `` Munni Badnaam Hui '' included a brand name ' Zandu Balm ' in its lyrics , much to the displeasure of Emami -- the makers of the brand . A trademark case was settled by the producers and Emami out of court , and Malaika Arora was later chosen to an official advertising campaign promoting Zandu Balm . Activist Rajkumar Tak filed a case in the Bombay High Court , demanding that the deletion of the word `` Hindustan '' from the song , claiming that the censor board had not responded to his queries in regard to the `` defaming '' lyrics . He found them `` highly objectionable '' and `` unpardonable '' and labelled the song a `` mockery '' for the country , as a girl was `` indecently '' dancing in the presence of corrupted officers , which , according to him , threw bad light on the nation and `` hurt the patriotic sentiments of every Indian '' .   Before release , critic and writer Shobhaa De called for a boycott of Dabangg , due to Salman 's comments on the 2008 Mumbai attacks . She criticised it as `` arrogance , ignorance and plain stupidity . '' This sparked off a fight with the producers via Twitter , and continued after her negative review of the film . Anurag Kashyap , brother of Abhinav Kashyap , tweeted `` Salman khan thinks he made my brother 's life ... Hope he can do the same for his brother Arbaaz with Dabangg 2 . '' This was taken as `` slamming '' Salman and resulted in Arbaaz retorting back by referring to the comment as `` attitude '' instead of `` gratitude '' . However , Anurag later apologised for his remarks , which Arbaaz accepted .   Awards and nominations ( edit )  Main article : List of accolades received by Dabangg  Dabangg received accolades in major film award functions in India . Among them , it won the National Film Award for Best Popular Film Providing Wholesome Entertainment . It was given six awards at the 56th Filmfare Awards , including one for Best Film , seven Screen Awards , nine Zee Cine Awards , and ten IIFA Awards .   Box Office ( edit )   Domestic ( edit )   Dabangg opened to ₹ 145 million ( US $2.3 million ) nett collections in its first day , and became the highest opener of all time across India . On the second day , it netted ₹ 165 million ( US $2.6 million ) . At the end of its weekend , the film collected the total of ₹ 495 million ( US $7.7 million ) . The film netted ₹ 106 million ( US $1.7 million ) on Monday , ₹ 86 million ( US $1.3 million ) on Tuesday , ₹ 70 million ( US $1.1 million ) on Wednesday , and ₹ 60 million ( US $940,000 ) on Thursday taking the total nett collections to around ₹ 815 million ( US $13 million ) in its first week of release . It subsequently became the highest opening week nett grosser .   Dabangg netted ₹ 62 million ( US $970,000 ) on the second Friday , ₹ 75 million ( US $1.2 million ) on Saturday and ₹ 105 million ( US $1.6 million ) on Sunday , for a ₹ 238 million ( US $3.7 million ) second weekend , a drop of around 50 % from the opening weekend . In its second week , the film earned ₹ 360 million ( US $5.6 million ) , taking the total nett collections to ₹ 1.16 billion ( US $18 million ) in two weeks , thus becoming the second highest - grossing film of all time in two weeks . The distributor share of Dabangg was declared to be ₹ 770 million ( US $12 million ) -- the second highest in Bollywood . Dabangg collected ₹ 160 million ( US $2.5 million ) during the third week and ₹ 60 million ( US $940,000 ) in its fourth week , taking the domestic nett collections to ₹ 1.4 billion ( US $22 million ) . The domestic nett collections in eleven weeks was ₹ 1.4 billion ( US $22 million ) . It eventually progressed to ₹ 1.41 billion ( US $22 million ) .   Overseas ( edit )   Dabangg opened to a positive response in the overseas markets as well . The film 's final overseas collections were US $ 6.10 million . It grossed a total of US $4.20 million in the international markets at the end of its second weekend .   In the United States , Dabangg collected $628,137 from 62 screens in its opening weekend and $1,068,589 at the end of its second weekend . In the United Arab Emirates , it collected 3.2 million Dirhams in the opening weekend , and $1,550,000 at the end of the second weekend . Dabangg collected a total of $5.50 million , making it the fifth highest - grossing in United Arab Emirates with a $2 million gross . In the United Kingdom , it collected £ 332,673 from 41 screens in its opening weekend and £ 570,566 by the end of its second weekend . In Australia , the film collected $ 126,000 from 14 screens in the opening weekend , and A $272,909 at the end of its second weekend . In Mauritius and South Africa , it collected US $25,000 each in its opening weekend . In Fiji , the film collected US $20,000 the opening weekend . In other territories of Europe and Africa , the film collected $100,000 in its opening weekend .   Sequel and remakes ( edit )   After the release of Dabangg , Arbaaz Khan announced that he was planning a sequel to it . After the commercial success of the film , Khan reported `` Dabangg 2 may take time to hit the floors , but it is definitely on the cards . '' He also announced that the main leads , Salman Khan and Sonakshi Sinha were already cast to reprise their parts in the sequel . Among the new cast members are Prakash Raj , who plays the main antagonist , while Kareena Kapoor performs an item number in the film . Director Abhinav Kashyap opted out of directing the sequel , and therefore Arbaaz took over as the film 's director .   Dabangg 2 became one of the highest - grossing Bollywood film of all time in India . Dabangg was remade in Tamil as Osthe by Dharani with Silambarasan playing the lead role , and Sonu Sood reprising his original role . It was also remade in Telugu as Gabbar Singh , starring Pawan Kalyan .   References ( edit )    Jump up ^ `` Dabangg ( 12A ) '' . British Board of Film Classification . Archived from the original on 8 January 2014 . Retrieved 12 December 2012 .   Jump up ^ `` The Biggest Profit Makers 2010 '' . Box Office India . Archived from the original on 9 January 2014 .   Jump up ^ `` Top All Time Worldwide Grossers Updated 11 / 5 / 2012 '' . Box Office India . Archived from the original on 5 November 2013 .   Jump up ^ `` Box Office 2010 '' . Box Office India . Archived from the original on 16 January 2013 . Retrieved 28 August 2015 .   Jump up ^ `` Top Ten All Time Worldwide Grossers '' . Box Office India . 2 December 2011 . Archived from the original on 19 April 2012 . Retrieved 2 December 2011 .   ^ Jump up to : `` Dabangg : Cast and Crew details '' . Bollywood Hungama . Archived from the original on 12 January 2012 . Retrieved 25 June 2010 .   Jump up ^ `` I 've a special connect with police : Salman Khan '' . India Today . 19 August 2010 . Archived from the original on 9 January 2014 . Retrieved 19 February 2012 .   ^ Jump up to : `` The story behind Chulbul Pandey 's success ! '' . Dainik Bhaskar. 7 August 2011 . Archived from the original on 9 January 2014 . Retrieved 13 February 2012 .   ^ Jump up to : Patel , Devansh ( 7 August 2010 ) . `` Now Anurag will be called Abhinav Kashyap 's brother '' -- Abhinav Kashyap : Part 2 `` . Bollywood Hungama . Archived from the original on 8 January 2014 . Retrieved 13 February 2012 .   ^ Jump up to : Roy , Priyanka ( 11 September 2010 ) . `` Mr Fearless '' . The Telegraph . Archived from the original on 15 September 2010 . Retrieved 19 February 2012 .   Jump up ^ Tuteja , Joginder ( 11 July 2009 ) . `` Sonu Sood to feature along with Salman Khan in Dabangg '' . Bollywood Hungama . Archived from the original on 8 January 2014 . Retrieved 25 August 2011 .   Jump up ^ Jha , Subhash K. ( 26 June 2010 ) . `` Salman coaxes Mahesh Manjrekar out of no -- acting vow '' . Bollywood Hungama . Archived from the original on 8 January 2014 . Retrieved 13 February 2012 .   Jump up ^ `` Sonakshi Sinha to debut opposite Salman Khan in Arbaaz Khan 's production '' . Bollywood Hungama. 11 July 2009 . Archived from the original on 28 December 2013 . Retrieved 25 August 2010 .   Jump up ^ Doshi , Tushar ( 29 October 2009 ) . `` Sonakshi Sinha lost 30kgs for her debut film Dabangg '' . Mid Day . Retrieved 13 February 2012 .   ^ Jump up to : `` Malaika becomes ' munni badnaam ' for husband Arbaaz Khan 's film '' . Deccan Herald . 26 May 2010 . Archived from the original on 1 June 2010 . Retrieved 13 February 2012 .   Jump up ^ `` Sonu 's bare -- chested fight with Salman '' . Oneindia. 13 July 2009 . Archived from the original on 4 March 2016 . Retrieved 13 July 2009 .   Jump up ^ `` ' My fake slum toilet made people puke ' '' . Tehelka. 10 September 2011 . Archived from the original on 12 December 2013 . Retrieved 5 December 2013 .   Jump up ^ `` Sonu Sood fractures his nose while shooting for Dabangg in Wai '' . Bollywood Hungama . Archived from the original on 8 January 2014 . Retrieved 13 February 2012 .   Jump up ^ `` New schedule of Dabangg shot in Dubai Metro station '' . Mid Day . Retrieved 13 February 2012 .   Jump up ^ `` Check Out : Salman and Sonakshi shoot at Dubai Metro for Dabangg '' . Bollywood Hungama. 8 March 2010 . Archived from the original on 8 January 2014 . Retrieved 13 February 2012 .   Jump up ^ `` Has Salman directed most of Dabangg ? '' . Mid Day . Retrieved 13 February 2012 .   Jump up ^ `` Salman Khan plays cop in Dabangg Hindi movie '' . The Times of India . 30 July 2010 . Archived from the original on 7 April 2015 . Retrieved 19 February 2012 .   Jump up ^ Singh , Manisha Pradhan ( 9 June 2010 ) . `` Dabangg complete ; to release on 10 Sept '' . Business of Cinema . Archived from the original on 15 June 2010 . Retrieved 9 June 2010 .   ^ Jump up to : `` Salman , Sonakshi and Arbaaz at Dabangg party '' . Bollywood Hungama. 23 July 2010 . Archived from the original on 8 January 2014 . Retrieved 13 February 2012 .   Jump up ^ `` Dabangg promos all set to create waves '' . Oneindia. 22 July 2010 . Archived from the original on 13 December 2014 . Retrieved 24 July 2010 .   Jump up ^ Swamy , Rohan ( 22 August 2010 ) . `` Da ( Big ) Bangg '' . The Indian Express . Archived from the original on 6 March 2016 . Retrieved 26 February 2012 .   Jump up ^ `` Dabangg Breaks Pre -- Release Buzz Records On Cinematix '' . Box Office India . 2 September 2010 . Archived from the original on 8 January 2014 . Retrieved 19 February 2012 .   Jump up ^ `` Dabangg 's special screening night '' . The Times of India . 8 September 2010 . Archived from the original on 1 March 2015 . Retrieved 8 September 2010 .   Jump up ^ Shah , Kunal M. ( 11 September 2010 ) . `` Starry premiere of Dabangg '' . The Times of India . Archived from the original on 1 March 2015 . Retrieved 14 September 2010 .   ^ Jump up to : `` Dabangg : Soundtrack listing and details '' . Bollywood Hungama . Archived from the original on 19 December 2010 . Retrieved 25 August 2015 .   Jump up ^ Sharma , Garima ( 8 August 2010 ) . `` Dabangg 's expensive promotion '' . The Times of India . Retrieved 10 August 2010 .   Jump up ^ `` Audio rights of Dabangg sold for Rs. 9 crore '' . CNBC . 13 September 2010 . Archived from the original on 16 September 2010 . Retrieved 25 October 2010 .   Jump up ^ Kamra , Diksha ( 16 September 2010 ) . `` Folk inspiration for Munni Badnaam '' . The Times of India . Archived from the original on 10 December 2014 . Retrieved 16 September 2010 .   Jump up ^ Dasgupta , Priyanka ( 11 October 2010 ) . `` Dabangg : Shame ! Shame ! '' . The Times of India . Retrieved 11 October 2010 .   Jump up ^ Tuteja , Joginder ( 10 September 2010 ) . `` Dabangg : Music review '' . Bollywood Hungama . Archived from the original on 8 January 2014 . Retrieved 4 August 2010 .   Jump up ^ Khan , Atta . `` Dabangg : Music review '' . Planet Bollywood . Archived from the original on 26 September 2010 . Retrieved 9 August 2010 .   Jump up ^ Sharma , Devesh ( 6 August 2010 ) . `` Dabangg -- Music review '' . Filmfare . Archived from the original on 10 March 2012 . Retrieved 10 August 2010 .   Jump up ^ `` Preview : Dabangg '' . NDTV. 6 September 2010 . Archived from the original on 7 September 2010 . Retrieved 7 September 2010 .   Jump up ^ `` Chart Archive Top 40 Asian Download Chart Archive '' . Official Charts Company . 4 September 2010 . Archived from the original on 24 September 2015 . Retrieved 14 September 2010 .   Jump up ^ Joshi , Priyanka ( 1 September 2011 ) . `` Salman flexes box office muscle again '' . Business Standard . Archived from the original on 9 January 2014 . Retrieved 19 February 2012 .   Jump up ^ `` Amitabh finds ' Munni ... ' song from ' Dabangg ' fantastic '' . 9 September 2010 . Archived from the original on 14 March 2012 .   Jump up ^ Dubey , Rachana ( 21 September 2010 ) . `` Salman in a video for Bigg Boss 4 '' . Hindustan Times . Retrieved 18 September 2010 .   Jump up ^ `` BIG Home Video launches Dabangg DVD &amp; VCD '' . Business of Cinema. 20 October 2010 . Archived from the original on 13 December 2010 . Retrieved 1 November 2010 .   Jump up ^ `` Now , watch Dabangg free on YouTube '' . The Times of India . 27 January 2011 . Archived from the original on 18 January 2015 . Retrieved 28 October 2011 .   Jump up ^ `` Dabangg Misses Out On Big Satellite Revenue '' . Box Office India . 23 September 2010k . Archived from the original on 26 September 2010 . Retrieved 24 September 2010 .   Jump up ^ Kazmi , Nikhat ( 10 September 2010 ) . `` Dabangg : Movie Review '' . The Times of India . Archived from the original on 1 November 2016 . Retrieved 11 September 2010 .   Jump up ^ Nahta , Komal ( 10 September 2010 ) . `` Dabangg Review By Komal Nahta '' . Koimoi . Archived from the original on 9 May 2015 . Retrieved 9 September 2010 .   Jump up ^ Bamzai , Kaveree ( 10 September 2010 ) . `` Film review : Dabangg '' . India Today . Archived from the original on 5 January 2017 . Retrieved 16 September 2016 .   Jump up ^ Guha , Aniruddha ( 10 September 2010 ) . `` Review : Dabangg is slightly mad , and terribly entertaining '' . Daily News and Analysis . Archived from the original on 24 September 2015 . Retrieved 10 September 2010 .   Jump up ^ Paul , Mathures ( 10 September 2010 ) . `` Dance , kiss , cry , bang , the end by Mathures Paul '' . The Statesman . Archived from the original on 30 November 2010 . Retrieved 19 February 2012 .   Jump up ^ Mande , Abhishek ( 10 September 2010 ) . `` Dabangg is for Salman fans '' . Rediff.com . Archived from the original on 11 September 2010 . Retrieved 10 September 2010 .   Jump up ^ Chopra , Anupama ( 10 September 2010 ) . `` Dabangg : Movie Review '' . NDTV . Archived from the original on 12 November 2012 . Retrieved 10 September 2010 .   Jump up ^ Venkatraghavan , Sukanya ( 10 September 2010 ) . `` Dabangg : Review '' . Filmfare . Archived from the original on 14 September 2010 . Retrieved 10 September 2010 .   Jump up ^ Malani , Gaurav ( 10 September 2010 ) . `` Dabangg : Movie Review '' . Indiatimes . Retrieved 19 February 2012 .   Jump up ^ Masand , Rajeev ( 13 September 2010 ) . `` Masand : ' Dabangg ' is ordinary , at best average '' . CNN - IBN . Archived from the original on 24 September 2015 . Retrieved 17 September 2010 .   Jump up ^ De , Shobhaa . `` Dabangg -- Big Bangg for your buck ? '' . The Times of India . Archived from the original on 8 January 2014 . Retrieved 26 February 2012 .   Jump up ^ Himatsingka , Anuradha ; Mazumdar , Rakhi ( 24 September 2010 ) . `` New Zandu Balm ad to encash popularity of Dabangg 's song Munni badnaam '' . The Economic Times . Retrieved 13 February 2012 .   Jump up ^ `` Salman 's film Dabangg in controversy '' . Hindustan Times . 28 August 2010 . Archived from the original on 4 March 2016 . Retrieved 13 February 2012 .   Jump up ^ Dev , Chandni ( 5 October 2010 ) . `` Dabangg maker calls Shobha De an idiotic woman '' . Oneindia . Archived from the original on 15 July 2015 . Retrieved 20 February 2012 .   Jump up ^ `` The Dabangg twitter war continues '' . Rediff.com. 9 March 2011 . Archived from the original on 29 August 2011 . Retrieved 13 February 2012 .   Jump up ^ `` Dabangg Wins National Award for Wholesome Entertainment '' . NDTV. 19 May 2011 . Archived from the original on 20 May 2011 . Retrieved 20 February 2012 .   Jump up ^ `` Udaan , Dabangg top winners at Fimfare Awards '' . The Times of India . 29 January 2011 . Archived from the</t>
  </si>
  <si>
    <t xml:space="preserve">who becomes badnaam for her darling according to the song in dabangg</t>
  </si>
  <si>
    <t xml:space="preserve"> Malaika Arora as Munni in the item number `` Munni Badnaam Hui '' </t>
  </si>
  <si>
    <t xml:space="preserve">Toy Story - wikipedia  Toy Story  Jump to : navigation , search This article is about the original Toy Story film . For the film franchise , see Toy Story ( franchise ) . For the video game , see Toy Story ( video game ) . For other uses , see Toy Story ( disambiguation ) .    Toy Story     Theatrical release poster     Directed by   John Lasseter     Produced by     Bonnie Arnold   Ralph Guggenheim       Screenplay by     Joss Whedon   Andrew Stanton   Joel Cohen   Alec Sokolow       Story by     John Lasseter   Pete Docter   Andrew Stanton   Joe Ranft       Starring     Tom Hanks   Tim Allen   Don Rickles   Jim Varney   Wallace Shawn   John Ratzenberger   Annie Potts   John Morris   Erik von Detten       Music by   Randy Newman     Edited by     Robert Gordon   Lee Unkrich       Production companies     Walt Disney Pictures   Pixar Animation Studios       Distributed by   Buena Vista Pictures Distribution     Release date     November 19 , 1995 ( 1995 - 11 - 19 ) ( El Capitan Theatre )   November 22 , 1995 ( 1995 - 11 - 22 ) ( United States )             Running time   81 minutes     Country   United States     Language   English     Budget   $30 million     Box office   $373.5 million     Toy Story is a 1995 American computer - animated buddy comedy adventure film produced by Pixar Animation Studios for Walt Disney Pictures . The directorial debut of John Lasseter , Toy Story was the first feature - length computer - animated film and the first feature film produced by Pixar . Taking place in a world where anthropomorphic toys pretend to be lifeless whenever humans are present , the film 's plot focuses on the relationship between Woody , an old - fashioned pullstring cowboy doll ( voiced by Tom Hanks ) , and Buzz Lightyear , an astronaut action figure ( voiced by Tim Allen ) , as they evolve from rivals competing for the affections of Andy , their owner , to friends who work together to be reunited with Andy as his family prepares to move to a new home . The screenplay was written by Joss Whedon , Andrew Stanton , Joel Cohen and Alec Sokolow , based on a story by Lasseter , Pete Docter , Stanton and Joe Ranft . The film features music by Randy Newman , and was executive - produced by Steve Jobs and Edwin Catmull .   Pixar , which produced short animated films to promote their computers , was approached by Disney to produce a computer - animated feature after the success of their short film Tin Toy ( 1988 ) , which is told from a small toy 's perspective . Lasseter , Stanton and Docter wrote early story treatments which were thrown out by Disney , as they wanted the film to be edgier . After disastrous story reels , production was halted and the script was re-written , better reflecting the tone and theme Pixar desired : that `` toys deeply want children to play with them , and that this desire drives their hopes , fears , and actions '' . The studio , then consisting of a relatively small number of employees , produced the film under minor financial constraints .   Toy Story was released in theaters on November 22 , 1995 , and was the highest - grossing film on its opening weekend , earning over $373 million at the worldwide box office . The film was positively reviewed by critics and audiences , who praised the animation 's technical innovation , the wit and thematic sophistication of the screenplay , and the vocal performances of Hanks and Allen . It is considered by many critics to be one of the best animated films ever made . The film received three Academy Award nominations , including Best Original Screenplay , Best Original Score , and Best Original Song for `` You 've Got a Friend in Me '' , as well as winning a Special Achievement Academy Award . It was inducted into the National Film Registry as being `` culturally , historically , or aesthetically significant '' in 2005 , its first year of eligibility . In addition to home media releases and theatrical re-releases , Toy Story - inspired material has run the gamut from toys , video games , theme park attractions , spin - offs , merchandise , and two sequels -- Toy Story 2 ( 1999 ) and Toy Story 3 ( 2010 ) -- both of which also garnered massive commercial success and critical acclaim , with a third sequel , Toy Story 4 , slated for a 2019 release .     Contents  ( hide )   1 Plot   2 Voice cast   3 Production   3.1 Development   3.2 Writing   3.3 Casting   3.4 Production shutdown   3.5 Animation   3.6 Music   3.7 Editing and pre-release     4 Soundtrack   4.1 Track listing   4.2 Charts     5 Release   5.1 Marketing   5.2 3 - D re-release   5.3 Home media     6 Reception   6.1 Critical response   6.2 Box office performance   6.3 Accolades     7 Impact and legacy   7.1 `` To Infinity and Beyond ''     8 Sequels , shows , and spin - offs   8.1 Software and merchandise   8.2 Theme park attractions   8.3 Other influences     9 Notes   10 References   11 External links      Plot   In a world where toys are living things who pretend to be lifeless when humans are present , a group of toys , owned by six - year - old Andy Davis , are caught off - guard when Andy 's birthday party is moved up a week , as Andy , his mother , and infant sister Molly , are preparing to move the following week . The toys ' leader and Andy 's favorite toy , a pull - string cowboy doll named Sheriff Woody , organizes the other toys , including Bo Peep the shepherdess , Mr. Potato Head , Rex the Dinosaur , Hamm the Piggy Bank , and Slinky Dog , into a scouting mission . Green army men , led by Sarge , spy on the party , and report the results to the others via baby monitors . The toys are relieved when the party appears to end with none of them having been replaced , but then Andy receives a surprise gift -- an electronic toy space ranger action figure named Buzz Lightyear , who thinks he is an actual space ranger .   Buzz impresses the other toys with his various features , and Andy begins to favor him , making Woody feel left out . As Andy prepares for a family outing at Pizza Planet , his mother allows him to bring one toy . Fearing Andy will choose Buzz , Woody attempts to trap Buzz behind a desk , but ends up accidentally knocking him out a window , and the other toys rebel against Woody by accusing him of knocking Buzz out of jealousy . Before they can exact revenge , Andy takes Woody instead and leaves for Pizza Planet . When the family stops for gas , Woody finds that Buzz has hitched a ride on the car as well , and fight , only to find the family has left without them . They manage to make their way to the restaurant by stowing away on a pizza delivery truck , where Buzz , still thinking he is a real space ranger , despite Woody 's attempts to convince him otherwise , gets them stuck in a crane game , where they are salvaged by Andy 's mischievous neighbor , Sid Phillips .   Woody attempts to escape from Sid 's house , but Buzz , finally realizing he is a toy after watching a Buzz Lightyear TV ad , sinks into despondency . Sid plans to launch Buzz on a firework rocket , but his plans are delayed by a thunderstorm . Woody tells Buzz about the joy he can bring to Andy as a toy , restoring his confidence . The next day , Woody and Sid 's mutant toy creations rescue Buzz just as Sid is about to launch the rocket and scare Sid into no longer abusing toys by coming to life in front of him , and he runs into his house screaming in horror . Woody and Buzz then leave Sid 's house just as Andy and his family drive away toward their new home .   The duo tries to make it to the moving truck , but Sid 's dog , Scud , sees them , and gives chase . Buzz gets left behind while saving Woody from Scud , and Woody tries rescuing him with Andy 's RC car , but the other toys , thinking Woody eliminated RC as well , attack and toss him off the truck . Having evaded Scud , Buzz and RC retrieve Woody , and continue after the truck . Upon seeing Woody and Buzz together on RC , the other toys realize their mistake , and try to help them get back aboard , but RC 's batteries become depleted , stranding them . Woody ignites the rocket on Buzz 's back and manages to throw RC into the truck before they soar into the air . Buzz opens his wings to free himself from the rocket before it explodes , gliding with Woody to land safely into a box in the car , right next to Andy .   On Christmas Day , at their new house , Woody and Buzz stage another reconnaissance mission to prepare for the new toy arrivals . As Woody jokingly asks what might be worse than Buzz , they discover Andy 's new gift is a puppy , and the two share a worried smile .   Voice cast  Main article : List of Toy Story characters   Tom Hanks as Woody , a pull - string cowboy doll .   Tim Allen as Buzz Lightyear , a space ranger action figure and Woody 's rival , who later becomes his best friend .   Don Rickles as Mr. Potato Head , a cynical potato - shaped doll with put - together pieces on his body .   Jim Varney as Slinky Dog , a dachshund slinky toy .   Wallace Shawn as Rex , a nervous green Tyrannosaurus Rex figurine .   John Ratzenberger as Hamm , a smart - talking piggy bank .   Annie Potts as Bo Peep , a porcelain shepherdess doll and Woody 's love interest .   John Morris as Andy , Woody and Buzz 's six - year - old owner .   Erik von Detten as Sid , Andy 's next door neighbor and a ten - year - old bully , who tortures toys for his own amusement .   Laurie Metcalf as Mrs. Davis , Andy 's mother .   R. Lee Ermey as Sergeant , the leader of a large troop of plastic green army men .   Sarah Freeman as Hannah , Sid 's younger sister .   Penn Jillette as TV Announcer , Buzz Lightyear commercial announcer    Production   Development  The entrance to Pixar 's studio lot in Emeryville , California  Director John Lasseter 's first experience with computer animation was during his work as an animator at Walt Disney Feature Animation , when two of his friends showed him the lightcycle scene from Tron . It was an eye - opening experience which awakened Lasseter to the possibilities offered by the new medium of computer - generated animation . Lasseter tried to pitch The Brave Little Toaster as a fully computer - animated film to Disney , but the idea was rejected and Lasseter was fired . He then went on to work at Lucasfilm and later as a founding member of Pixar , which was purchased by entrepreneur and Apple Inc. co-founder Steve Jobs in 1986 . At Pixar , Lasseter created short , computer - animated films to show off the Pixar Image Computer 's capabilities , and Tin Toy ( 1988 ) -- a short story told from the perspective of a toy , referencing Lasseter 's love of classic toys -- would go on to claim the 1988 Academy Award for Best Animated Short Film , the first computer - generated film to do so .   Tin Toy gained Disney 's attention , and the new team at The Walt Disney Company -- CEO Michael Eisner and chairman Jeffrey Katzenberg in the film division -- began a quest to get Lasseter to come back . Lasseter , grateful for Jobs ' faith in him , felt compelled to stay with Pixar , telling co-founder Ed Catmull , `` I can go to Disney and be a director , or I can stay here and make history . '' Katzenberg realized he could not lure Lasseter back to Disney and therefore set plans into motion to ink a production deal with Pixar to produce a film . Disney had always made all their movies in - house and refused to change this . But when Tim Burton , who used to work at Disney , wanted to buy back the rights to The Nightmare Before Christmas , Disney struck a deal allowing him to make it as a Disney movie outside the studio . This opened the door for Pixar to make their movies outside Disney .   Both sides were willing . Catmull and fellow Pixar co-founder Alvy Ray Smith had long wanted to produce a computer - animated feature . In addition , Disney had licensed Pixar 's Computer Animation Production System ( CAPS ) , and that made it the largest customer for Pixar 's computers . Jobs made it apparent to Katzenberg that although Disney was happy with Pixar , it was not the other way around : `` We want to do a film with you , '' said Jobs . `` That would make us happy . '' At this same time , Peter Schneider , president of Walt Disney Feature Animation , was potentially interested in making a feature film with Pixar . When Catmull , Smith and head of animation Ralph Guggenheim met with Schneider in the summer of 1990 , they found the atmosphere to be puzzling and contentious . They later learned that Katzenberg intended that if Disney were to make a film with Pixar , it would be outside Schneider 's purview , which aggravated Schneider . After that first meeting , the Pixar contingent went home with low expectations and was surprised when Katzenberg called for another conference . Catmull , Smith , and Guggenheim were joined by Bill Reeves ( head of animation research and development ) , Jobs , and Lasseter . They brought with them an idea for a half - hour television special called A Tin Toy Christmas . They reasoned that a television program would be a sensible way to gain experience before tackling a feature film .   They met with Katzenberg at a conference table in the Team Disney building at the Walt Disney Studios in Burbank . Catmull and Smith considered it would be difficult to keep Katzenberg interested in working with the company over time . They considered it even more difficult to sell Lasseter and the junior animators on the idea of working with Disney , who had a bad reputation for how they treated their animators , and Katzenberg , who had built a reputation as a micromanaging tyrant . Katzenberg asserted this himself in the meeting : `` Everybody thinks I 'm a tyrant . I am a tyrant . But I 'm usually right . '' He threw out the idea of a half - hour special and eyed Lasseter as the key talent in the room : `` John , since you wo n't come work for me , I 'm going to make it work this way . '' He invited the six visitors to mingle with the animators -- `` ask them anything at all '' -- and the men did so , finding they all backed up Katzenberg 's statements . Lasseter felt he would be able to work with Disney and the two companies began negotiations . Pixar at this time was on the verge of bankruptcy and needed a deal with Disney . Katzenberg insisted that Disney be given the rights to Pixar 's proprietary technology for making 3 - D animation , but Jobs refused . In another case , Jobs demanded Pixar would have part ownership of the film and its characters , sharing control of both video rights and sequels , but Katzenberg refused . Disney and Pixar reached accord on contract terms in an agreement dated May 3 , 1991 , and signed on in early July . Eventually , the deal specified that Disney would own the picture and its characters outright , have creative control , and pay Pixar about 12.5 % of the ticket revenues . It had the option ( but not the obligation ) to do Pixar 's next two films and the right to make ( with or without Pixar ) sequels using the characters in the film . Disney could also kill the film at any time with only a small penalty . These early negotiations would become a point of contention between Jobs and Eisner for many years .   An agreement to produce a feature film based on Tin Toy with a working title of Toy Story was finalized and production began soon thereafter .   Writing   The original treatment for Toy Story , drafted by Lasseter , Andrew Stanton , and Pete Docter , had little in common with the eventually finished film . It paired Tinny , the one - man band from Tin Toy with a ventriloquist 's dummy and sent them on a sprawling odyssey . Under studio head Jeffrey Katzenberg , Woody was the main villain , abusing the other toys until they rallied against him ; however , after Disney executives saw the storyboards they relinquished creative control to Pixar . The core idea of Toy Story was present from the treatment onward , however : that `` toys deeply want children to play with them , and that this desire drives their hopes , fears , and actions . '' Katzenberg felt the original treatment was problematic and told Lasseter to reshape Toy Story as more of an odd - couple buddy picture , and suggested they watch some classic buddy movies , such as The Defiant Ones and 48 Hrs. , in which two characters with different attitudes are thrown together and have to bond . Lasseter , Stanton , and Docter emerged in early September 1991 with the second treatment , and although the lead characters were still Tinny and the dummy , the outline of the final film was beginning to take shape .   The script went through many changes before the final version . Lasseter decided Tinny was `` too antiquated '' , and the character was changed to a military action figure , and then given a space theme . Tinny 's name changed to Lunar Larry , then Tempus from Morph , and eventually Buzz Lightyear ( after astronaut Buzz Aldrin ) . Lightyear 's design was modeled on the suits worn by Apollo astronauts as well as G.I. Joe action figures . In addition , the green and purple color scheme on Lightyear 's suit was inspired by Lasseter and his wife , Nancy , whose favorite colors were green and purple respectively . Woody , the second character , was inspired by a Casper the Friendly Ghost doll that Lasseter had when he was a child . Originally , Woody was a ventriloquist 's dummy with a pull - string ( hence the name Woody ) . However , character designer Bud Luckey suggested that Woody could be changed to a cowboy ventriloquist dummy . John Lasseter liked the contrast between the Western and the science fiction genres and the character immediately changed . Eventually , all the ventriloquist dummy aspects of the character were deleted , because the dummy was designed to look `` sneaky and mean . '' However they kept the name Woody to pay homage to the Western actor Woody Strode . The story department drew inspiration from films such as Midnight Run and The Odd Couple , and Lasseter screened Hayao Miyazaki 's Castle in the Sky ( 1986 ) for further influence .   Toy Story 's script was strongly influenced by the ideas of screenwriter Robert McKee . The members of Pixar 's story team -- Lasseter , Stanton , Docter and Joe Ranft -- were aware that most of them were beginners at writing for feature films . None of them had any feature story or writing credits to their name besides Ranft , who had taught a story class at CalArts and did some storyboard work prior . Seeking insight , Lasseter and Docter attended a three - day seminar in Los Angeles given by McKee . His principles , grounded in Aristotle 's Poetics , dictated that a character emerges most realistically and compellingly from the choices that the protagonist makes in reaction to his problems . Disney also appointed Joel Cohen , Alec Sokolow and , later , Joss Whedon to help develop the script . Whedon found that the script was n't working but had a great structure , and added the character of Rex and sought a pivotal role for Barbie . The story team continued to touch up the script as production was underway . Among the late additions was the encounter between Buzz and the alien squeaky toys at Pizza Planet , which emerged from a brainstorming session with a dozen directors , story artists , and animators from Disney .   Casting   Katzenberg gave approval for the script on January 19 , 1993 , at which point voice casting could begin . Lasseter always wanted Tom Hanks to play the character of Woody . Lasseter claimed Hanks `` has the ability to take emotions and make them appealing . Even if the character , like the one in A League of Their Own , is down - and - out and despicable . '' Paul Newman , who subsequently accepted the role of Doc Hudson in another Pixar success , Cars , was considered for the role of Woody . Billy Crystal was approached to play Buzz , but turned down the role , which he later regretted , and subsequently accepted the role of Mike Wazowski in another Pixar success , Monsters , Inc ... In addition to Crystal , Bill Murray , Chevy Chase and Jim Carrey were also considered for Buzz . Lasseter took the role to Tim Allen , who was appearing in Disney 's Home Improvement , and he accepted .   To gauge how an actor 's voice would fit with a character , Lasseter borrowed a common Disney technique : animate a vocal monologue from a well - established actor to meld the actor 's voice with the appearance or actions of the animated character . This early test footage , using Hanks ' voice from Turner &amp; Hooch , convinced Hanks to sign on to the film . Toy Story was both Hanks ' and Allen 's first animated film role .   Production shutdown   Every couple of weeks , Lasseter and his team would put together their latest set of storyboards or footage to show Disney . In early screen tests , Pixar impressed Disney with the technical innovation but convincing Disney of the plot was more difficult . At each presentation by Pixar , Katzenberg would tear much of it up , giving out detailed comments and notes . Katzenberg 's big push was to add more edginess to the two main characters . Disney wanted the film to appeal to both children and adults , and asked for adult references to be added to the film . After many rounds of notes from Katzenberg and other Disney executives , the general consensus was that Woody had been stripped of almost all charm . Tom Hanks , while recording the dialogue for the story reels , exclaimed at one point that the character was a jerk . Lasseter and his Pixar team had the first half of the movie ready to screen , so they brought it down to Burbank to show to Katzenberg and other Disney executives on November 19 , 1993 , an event they later dubbed `` The Black Friday Incident . '' The results were disastrous , and Schneider , who was never particularly enamored of Katzenberg 's idea of having outsiders make animation for Disney , declared it a mess and ordered that production be stopped immediately . Katzenberg asked colleague Thomas Schumacher why the reels were bad . Schumacher replied bluntly : `` Because it 's not their movie anymore , it 's completely not the movie that John set out to make . ''   Lasseter was embarrassed with what was on the screen , later recalling , `` It was a story filled with the most unhappy , mean characters that I 've ever seen . '' He asked Disney for the chance to retreat back to Pixar and rework the script in two weeks , and Katzenberg was supportive . Lasseter , Stanton , Docter and Ranft delivered the news of the production shutdown to the production crew , many of whom had left other jobs to work on the project . In the meantime , the crew would shift to television commercials while the head writers worked out a new script . Although Lasseter kept morale high by remaining outwardly buoyant , the production shutdown was `` a very scary time , '' recalled story department manager BZ Petroff . Schneider had initially wanted to shut down production altogether and fire all recently hired animators . Katzenberg put the film under the wing of Walt Disney Feature Animation . The Pixar team was pleased that the move would give them an open door to counseling from Disney 's animation veterans . Schneider , however , continued to take a dim view of the project and would later go over Katzenberg 's head to urge Eisner to cancel it . Stanton retreated into a small , dark , windowless office , emerging periodically with new script pages . He and the other story artists would then draw the shots on storyboards . Whedon came back to Pixar for part of the shutdown to help with revising , and the script was revised in two weeks as promised . When Katzenberg and Schneider halted production on Toy Story , Steve Jobs kept the work going with his own personal funding . Jobs did not insert himself much into the creative process , respecting the artists at Pixar and instead managing the relationship with Disney .   The Pixar team came back with a new script three months later , with the character of Woody morphed from being a tyrannical boss of Andy 's other toys to being their wise and caring leader . It also included a more adult - oriented staff meeting amongst the toys rather than a juvenile group discussion that had existed in earlier drafts . Buzz Lightyear 's character was also changed slightly `` to make it more clear to the audience that he really does n't realize he 's a toy . '' Katzenberg and Schneider approved the new approach , and by February 1994 the film was back in production . The voice actors returned in March 1994 to record their new lines . When production was greenlit , the crew quickly grew from its original size of 24 to 110 , including 27 animators , 22 technical directors , and 61 other artists and engineers . In comparison , The Lion King , released in 1994 , required a budget of $45 million and a staff of 800 . In the early budgeting process , Jobs was eager to produce the film as efficiently as possible , impressing Katzenberg with his focus on cost - cutting . Despite this , the $17 million production budget was proving inadequate , especially given the major revision that was necessary after Katzenberg had pushed them to make Woody too edgy . Jobs demanded more funds to complete the film right and insisted that Disney was liable for the cost overruns . Katzenberg was not willing , and Ed Catmull was able to reach a compromise .   Animation  We could n't have made this movie in traditional animation . This is a story that can only really be told with three - dimensional toy characters ... Some of the shots in this film are so beautiful . -- Tom Schumacher , Vice President of Walt Disney Feature Animation  Recruiting animators for Toy Story was brisk ; the magnet for talent was not the pay , generally mediocre , but rather the allure of taking part in the first computer - animated feature . Lasseter said that on the challenges of the computer animation in the film `` We had to make things look more organic . Every leaf and blade of grass had to be created . We had to give the world a sense of history . So the doors are banged up , the floors have scuffs . '' The film began with animated storyboards to guide the animators in developing the characters . 27 animators worked on the film , using 400 computer models to animate the characters . Each character was either created out of clay or was first modeled off of a computer - drawn diagram before reaching the computer animated design . Once the animators had a model , articulation and motion controls were coded ; this would allow each character to move in a variety of ways , such as talking , walking , or jumping . Out of all the characters , Woody was the most complex , as he required 723 motion controls , including 212 for his face and 58 for his mouth . The first piece of animation , a 30 - second test , was delivered to Disney in June 1992 , when the company requested a sample of what the film would look like . Lasseter wanted to impress Disney with a number of things in the test that could not be done in traditional , hand - drawn animation , such as Woody 's yellow plaid shirt with red stripes , the reflections in Buzz 's helmet and the decals on his space suit , or Venetian blind shadows falling across Andy 's room .   Every shot in the film passed through the hands of eight different teams . The art department gave each shot its color scheme and general lighting . Under Craig Good , the layout department then placed the models in the shot , framed it by setting the location of the virtual camera , and programmed any camera movement . To make the medium feel as familiar as possible , they sought to stay within the limits of what might be done in a live - action film with real cameras , dollies , tripods , and cranes . Headed by directing animators Rich Quade and Ash Brannon , each shot went to the animation department from the layout . Lasseter opted against Disney 's approach of assigning an animator to work on a character throughout a film , but made certain exceptions in scenes where he thought acting was particularly critical . The animators used the Menv program to set each character in the desired pose . Once a sequence of hand - built poses ( or `` keyframes '' ) was created , the software would build poses for the frames in - between . The animators studied videotapes of the actors for inspiration , and Lasseter rejected automatic lip - syncing . To sync the characters ' mouths and facial expressions to the actors ' recorded voices , animators spent a week per 8 seconds of animation .   Afterward , the animators would compile the scenes , and develop a new storyboard with the computer - animated characters . They then added shading , lighting , visual effects , and finally used 300 computer processors to render the film to its final design . Under Tom Porter , the shading team used RenderMan 's shader language to create shader programs for each of a model 's surfaces . A few surfaces in Toy Story came from real objects : a shader for the curtain fabric in Andy 's room used a scan of actual cloth . Under Galyn Susman and Sharon Calahan , the lighting team orchestrated the final lighting of the shot after animation and shading . Each completed shot then went into rendering on a `` render farm '' of 117 Sun Microsystems computers that ran 24 hours a day . Finished animation emerged in a steady drip of around three minutes a week . Depending on its complexity , each frame took from 45 minutes up to 30 hours to render . The film required 800,000 machine hours and 114,240 frames of animation in total . There are over 77 minutes of animation spread across 1,561 shots . A camera team , aided by David DiFrancesco , recorded the frames onto film stock . Toy Story was rendered at a mere 1,536 by 922 pixels , with each of them corresponding to roughly a quarter - inch of screen area on a typical cinema screen . During post-production , the film was sent to Skywalker Sound , where the sound effects were mixed with the music score .   Music   Disney was concerned with Lasseter 's position on the use of music . Unlike other Disney films of the time , Lasseter did not want the film to be a musical , saying it was a buddy film featuring `` real toys . '' Joss Whedon agreed , saying , `` It would have been a really bad musical , because it 's a buddy movie . It 's about people who wo n't admit what they want , much less sing about it ... Buddy movies are about sublimating , punching an arm , ' I hate you . ' It 's not about open emotion . '' However , Disney favored the musical format , claiming `` Musicals are our orientation . Characters breaking into song is a great shorthand . It takes some of the onus off what they 're asking for . '' Disney and Pixar reached a compromise : the characters in Toy Story would not break into song , but the film would use non-diegetic songs over the action , as in The Graduate , to convey and amplify the emotions that Buzz and Woody were feeling . Disney and Lasseter tapped Randy Newman to compose the film . The edited Toy Story was due to Newman and Gary Rydstrom in late September 1995 for their final work on the score and sound design , respectively .   Lasseter said , `` His songs are touching , witty , and satirical , and he would deliver the emotional underpinning for every scene . '' Newman wrote three original songs for the film ; developing the film 's signature song `` You 've Got a Friend in Me '' in one day .   Editing and pre-release   It was difficult for crew members to perceive the film 's quality during much of the production process when the finished footage was in scattered pieces and lacked elements like music and sound design . Some animators felt the film would be a significant disappointment commercially , but felt animators and animation fans would find it interesting . According to Lee Unkrich , one of the original editors of Toy Story , a scene was cut out of the original final edit . The scene features Sid , after Pizza Planet , torturing Buzz and Woody violently . Unkrich decided to cut right into the scene where Sid is interrogating the toys because the creators of the movie thought the audience would be loving Buzz and Woody at that point . Another scene , where Woody was trying to get Buzz 's attention when he was stuck in the box crate , was shortened because the creators felt it would lose the energy of the movie . Peter Schneider had grown optimistic about the film as it neared completion , and announced a United States release date of November , coinciding with Thanksgiving weekend and the start of the winter holiday season .   Sources indicate that executive producer Steve Jobs lacked confidence in the f</t>
  </si>
  <si>
    <t xml:space="preserve">who did the voice of andy in toy story</t>
  </si>
  <si>
    <t xml:space="preserve">  Tom Hanks as Woody , a pull - string cowboy doll .   Tim Allen as Buzz Lightyear , a space ranger action figure and Woody 's rival , who later becomes his best friend .   Don Rickles as Mr. Potato Head , a cynical potato - shaped doll with put - together pieces on his body .   Jim Varney as Slinky Dog , a dachshund slinky toy .   Wallace Shawn as Rex , a nervous green Tyrannosaurus Rex figurine .   John Ratzenberger as Hamm , a smart - talking piggy bank .   Annie Potts as Bo Peep , a porcelain shepherdess doll and Woody 's love interest .   John Morris as Andy , Woody and Buzz 's six - year - old owner .   Erik von Detten as Sid , Andy 's next door neighbor and a ten - year - old bully , who tortures toys for his own amusement .   Laurie Metcalf as Mrs. Davis , Andy 's mother .   R. Lee Ermey as Sergeant , the leader of a large troop of plastic green army men .   Sarah Freeman as Hannah , Sid 's younger sister .   Penn Jillette as TV Announcer , Buzz Lightyear commercial announcer  </t>
  </si>
  <si>
    <t xml:space="preserve">( If Loving You is Wrong ) I Do n't Want to Be Right - wikipedia  ( If Loving You is Wrong ) I Do n't Want to Be Right  For the TV series , see If Loving You Is Wrong .    `` ( If Loving You Is Wrong ) I Do n't Want to Be Right ''     Single by Luther Ingram     from the album If Loving You Is Wrong I Do n't Want to Be Right     B - side   `` Puttin ' Game Down ''     Released   April 1972     Format   7 ''     Genre   Soul     Length   3 : 32     Label   KoKo     Songwriter ( s )   Homer Banks , Carl Hampton , Raymond Jackson     Producer ( s )   John Baylor     Luther Ingram singles chronology        `` You Were Made For Me '' ( 1972 )   `` ( If Loving You Is Wrong ) I Do n't Want to Be Right '' ( 1972 )   `` I 'll Be Your Shelter ( In Time of Storm ) '' ( 1972 )           `` You Were Made For Me '' ( 1972 )   `` ( If Loving You Is Wrong ) I Do n't Want to Be Right '' ( 1972 )   `` I 'll Be Your Shelter ( In Time of Storm ) '' ( 1972 )          `` ( If Loving You Is Wrong ) I Do n't Want to Be Right ''     Song by Millie Jackson     from the album Caught Up     B - side   `` The Rap ''     Released   December 1974     Recorded       Genre   Soul     Length   3 : 27 ( single version ) 3 : 56 ( album version )     Label   Spring     Composer ( s )   Homer Banks , Carl Hampton , Raymond Jackson     Producer ( s )   Brad Shapiro       `` ( If Loving You Is Wrong ) I Do n't Want to Be Right ''     Single by Barbara Mandrell     from the album Moods     B - side   `` I Feel the Hurt Coming On ''     Released   February 17 , 1979     Recorded   c. 1978     Genre   Country     Length   3 : 05     Label   ABC     Songwriter ( s )   Homer Banks , Carl Hampton , Raymond Jackson     Producer ( s )   Tom Collins     Barbara Mandrell singles chronology        `` Sleeping Single in a Double Bed '' ( 1978 )   `` ( If Loving You Is Wrong ) I Do n't Want to Be Right '' ( 1979 )   `` Fooled by a Feeling '' ( 1979 )           `` Sleeping Single in a Double Bed '' ( 1978 )   `` ( If Loving You Is Wrong ) I Do n't Want to Be Right '' ( 1979 )   `` Fooled by a Feeling '' ( 1979 )        `` ( If Loving You Is Wrong ) I Do n't Want to Be Right '' is a song written by Stax Records songwriters Homer Banks , Carl Hampton and Raymond Jackson . Originally written for The Emotions , it has been performed by many singers , most notably by Luther Ingram , whose original recorded version topped the R&amp;B chart for four weeks and rose to number three on the Billboard Hot 100 chart in 1972 . Billboard ranked it as the No. 16 song for 1972 .   In 1972 / 73 , The Faces recorded the song as an outtake for Ooh La La , their final studio album . In 1974 , Millie Jackson released her version of the song which received two Grammy Award nominations . In 1978 , Barbara Mandrell 's version topped the U.S. country singles charts , reached number 31 on the Billboard Hot 100 , number 27 on Cashbox Pop Hits , and was nominated for Single of the Year at the 1979 CMA ( Country Music Association ) Awards . Rod Stewart re-recorded the song for Foot Loose &amp; Fancy Free , his eighth album ; released as a single it peaked at # 23 in the UK singles chart in 1980 .     Contents  ( hide )   1 The song   2 Notable performers   2.1 Chart recordings   2.1. 1 Luther Ingram   2.1. 2 Jackie Burns   2.1. 3 Millie Jackson   2.1. 4 Barbara Mandrell   2.1. 5 Rhonda Clark       3 References   4 External links      The song ( edit )   The song is about an adulterous love affair , told from the point of view of either the mistress or the cheating spouse , depending on the gender of the performer . Regardless , both parties involved express their desire to maintain the affair , while at the same time acknowledging that the relationship is wrong according to conventional moral standards .   Millie Jackson , however , took a somewhat different approach . On both studio and live recordings , her version is typically divided into three parts : `` ( If Loving You Is Wrong ) I Do n't Want to Be Right , '' `` The Rap , '' and `` ( If Loving You Is Wrong ) I Do n't Want to Be Right ( Reprise ) , '' which together have a running time of over 11 minutes . The first and third parts include the song more or less as originally written , while the second part was written by Jackson herself . Titled `` The Rap , '' the middle segment is a monologue in which an unrepentant Jackson discusses her status as the `` other woman '' and why she loves it .   Notable performers ( edit )   Although it was first recorded by The Emotions and Veda Brown , those recordings were never released . Other notable singers to cover it include country singer Jackie Burns ( whose version made the Hot Country Songs chart in 1972 ) , Isaac Hayes , Millie Jackson , Rod Stewart , Percy Sledge , Bobby `` Blue '' Bland , David Ruffin , LeAnn Rimes , Renée Geyer , Ramsey Lewis , reggae singer Alton Ellis , Tom Jones , Cassandra Wilson , Nathan Cavaleri , Rania Zeriri and Johanne Desforges ( French cover : Si je ne peux t'aimer a quoi bon exister ) .   Chart recordings ( edit )  Luther Ingram ( edit )    Chart ( 1972 )   Peak Position     US Billboard Hot 100       US Hot R&amp;B / Hip - Hop Songs ( Billboard )      Jackie Burns ( edit )    Chart ( 1972 )   Peak Position     US Billboard Hot Country Singles   71    Millie Jackson ( edit )    Chart ( 1975 )   Peak Position     US Billboard Hot 100   42     US Hot R&amp;B / Hip - Hop Songs ( Billboard )   42    Barbara Mandrell ( edit )    Chart ( 1979 )   Peak Position     US Billboard Hot 100   31     US Hot Country Songs ( Billboard )       US Billboard Adult Contemporary   6    Rhonda Clark ( edit )    Chart ( 1992 )   Peak Position     US Hot R&amp;B / Hip - Hop Songs ( Billboard )   26     References ( edit )    Jump up ^ `` If Loving You Is Wrong ( I Do n't Want to Be Right ) '' , SecondhandSongs.com . Retrieved 13 March 2017   Jump up ^ Whitburn , Joel ( 2004 ) . Top R&amp;B / Hip - Hop Singles : 1942 - 2004 . Record Research . p. 274 .   Jump up ^ Billboard Year - End Hot 100 singles of 1972   Jump up ^ `` Millie Jackson '' . MTV Artists . Retrieved 16 April 2015 .   Jump up ^ Patrick Mondout . `` Super 70s.com - Grammy Awards for 1974 '' . Retrieved 2008 - 12 - 31 .   Jump up ^ `` Amazon.com : MILLIE JACKSON : Caught Up / Still Caught Up : Music '' . Retrieved 16 April 2015 .   Jump up ^ `` Catching Up with Soul Icon Millie Jackson '' . NPR.org. 19 May 2006 . Retrieved 16 April 2015 .   ^ Jump up to : Joel Whitburn , Top Country Singles 1944 - 1993 , p. 488   Jump up ^ `` Luther Ingram Chart History ( Hot 100 ) '' . Billboard .   Jump up ^ `` Luther Ingram Chart History ( Hot R&amp;B / Hip - Hop Songs ) '' . Billboard .   Jump up ^ `` Millie Jackson Chart History ( Hot 100 ) '' . Billboard .   Jump up ^ `` Millie Jackson Chart History ( Hot R&amp;B / Hip - Hop Songs ) '' . Billboard .   Jump up ^ `` Barbara Mandrell Chart History ( Hot 100 ) '' . Billboard .   Jump up ^ `` Barbara Mandrell Chart History ( Hot Country Songs ) '' . Billboard .   Jump up ^ Whitburn , Joel ( 1993 ) . Top Adult Contemporary : 1961 -- 1993 . Record Research . p. 148 .   Jump up ^ `` Rhonda Clark Chart History ( Hot R&amp;B / Hip - Hop Songs ) '' . Billboard .    External links ( edit )    Video : Luther Ingram on YouTube   Video : Millie Jackson live performance on YouTube   Lyrics : Millie Jackson version from MTV.com      Preceded by `` Outa - Space '' by Billy Preston   Billboard Best Selling Soul Singles number - one single ( Luther Ingram version ) July 8 -- 29 , 1972   Succeeded by `` Where Is the Love '' by Roberta Flack and Donny Hathaway     Preceded by `` I Just Fall in Love Again '' by Anne Murray   Billboard Hot Country Singles number - one single ( Barbara Mandrell version ) April 14 , 1979   Succeeded by `` All I Ever Need Is You '' by Dottie West and Kenny Rogers     Preceded by `` Sweet Memories '' by Willie Nelson   RPM Country Tracks number - one single ( Barbara Mandrell version ) April 28 , 1979   Succeeded by `` Where Do I Put Her Memory '' by Charley Pride               Millie Jackson     Albums     Millie Jackson   It Hurts So Good   Caught Up   Still Caught Up   Feelin ' Bitchy   Get It Out'cha System   A Moment 's Pleasure   Live &amp; Uncensored   E.S.P. ( Extra Sexual Persuasion )   An Imitation of Love   Back to the S * * t !   Not for Church Folk !       Singles     `` It Hurts So Good ''   `` ( If Loving You Is Wrong ) I Do n't Want to Be Right ''   `` Sweet Music Man ''   `` Hot ! Wild ! Unrestricted ! Crazy Love ''                 Rod Stewart singles     1970s     `` It 's All Over Now '' ( 1970 )   `` Reason to Believe '' / `` Maggie May '' ( 1971 )   `` Every Picture Tells a Story '' / `` Reason to Believe '' ( 1971 ) Spain only   `` ( I Know ) I 'm Losing You '' / `` Mandolin Wind '' ( 1971 )   `` Handbags and Gladrags '' ( 1972 )   `` You Wear It Well '' ( 1972 )   `` Angel '' ( 1972 )   `` What 's Made Milwaukee Famous ( Has Made a Loser Out of Me ) '' ( 1972 )   `` Twistin ' the Night Away '' ( 1973 , 1987 )   `` Oh ! No Not My Baby '' ( 1973 )   `` Farewell '' / `` You Send Me '' ( 1973 )   `` Mine for Me '' ( 1974 )   `` You Can Make Me Dance , Sing or Anything '' ( 1974 ) Stewart / Faces   `` Sailing '' ( 1975 )   `` This Old Heart of Mine '' ( 1975 )   `` Tonight 's the Night '' ( 1976 )   `` The Killing of Georgie '' ( 1976 )   `` Get Back '' ( 1976 )   `` The First Cut Is the Deepest '' ( 1977 )   `` I Do n't Want to Talk About It '' ( 1977 , 1990 )   `` You 're in My Heart ( The Final Acclaim ) '' ( 1978 )   `` Hot Legs '' ( 1978 )   `` I Was Only Joking '' ( 1978 )   `` Da Ya Think I 'm Sexy ? '' ( 1978 , 1997 )   `` Ai n't Love a Bitch '' ( 1979 )   `` Blondes ( Have More Fun ) '' ( 1979 )       1980s     `` ( If Loving You Is Wrong ) I Do n't Want to Be Right '' ( 1980 )   `` Passion '' ( 1980 )   `` Tonight , I 'm Yours ( Do n't Hurt Me ) '' ( 1981 )   `` Young Turks '' ( 1982 )   `` How Long ? '' ( 1982 )   `` Baby Jane '' ( 1983 )   `` That 's What Friends Are For '' ( 1983 )   `` Infatuation '' ( 1984 )   `` Some Guys Have All the Luck '' ( 1984 )   `` All Right Now '' ( 1984 )   `` People Get Ready '' ( 1985 , 1991 , 1993 ) Stewart / Beck   `` Love Touch '' ( 1986 )   `` In My Life '' ( 1987 )   `` Forever Young '' ( 1988 )   `` My Heart Ca n't Tell You No '' ( 1988 )   `` This Old Heart of Mine ( Is Weak for You ) '' ( 1989 ) Stewart / Isley   `` Downtown Train '' ( 1989 )       1990s     `` It Takes Two '' ( 1990 ) Stewart / Turner   `` Rhythm of My Heart '' ( 1991 )   `` The Motown Song '' ( 1991 )   `` Your Song '' ( 1992 )   `` Ruby Tuesday '' ( 1993 )   `` Have I Told You Lately '' ( 1993 )   `` Reason to Believe '' ( unplugged , 1993 )   `` All for Love '' ( 1993 ) Stewart / Adams / Sting   `` Leave Virginia Alone '' ( 1995 )   `` Lady Luck '' ( 1996 )   `` Ooh La La '' ( 1998 )   `` Rocks '' ( 1998 )   `` Cigarettes and Alcohol '' ( 1998 )   `` Faith of the Heart '' ( 1999 )       2000s     `` These Foolish Things '' ( 2002 )   `` They Ca n't Take That Away from Me '' ( 2003 )   `` Time After Time '' ( 2003 )   `` What a Wonderful World '' ( 2004 )   `` Blue Moon '' ( 2004 )   `` Baby , It 's Cold Outside '' ( 2005 )   `` I 've Got a Crush on You '' ( 2005 )   `` I 've Got My Love to Keep Me Warm '' ( 2006 )   `` Have You Ever Seen the Rain ? '' ( 2006 )       2010s     `` Let It Snow ! Let It Snow ! Let It Snow ! '' ( 2012 )   `` Have Yourself a Merry Little Christmas '' ( 2012 )   `` Everyday '' ( 2015 )                 Renée Geyer       Discography       Studio albums     Renée Geyer ( 1973 )   It 's a Man 's Man 's World ( 1974 )   Ready to Deal ( 1975 )   Moving Along ( 1977 )   Winner ( 1978 )   Blues License ( 1979 )   So Lucky ( 1981 )   Sing to Me ( 1985 )   Difficult Woman ( 1994 )   Sweet Life ( 1999 )   Tenderland ( 2003 )   Tonight ( 2005 )   Dedicated ( 2007 )   Renéessance ( 2009 )   Swing ( 2013 )       Live albums     Really Really Love You : Live at the Dallas Brooks Hall ( 1976 )   Renée Live ( 1983 )   Live at the Basement ( 1986 )   Live at the Athenaeum ( 2004 )       Soundtracks     Seven Deadly Sins ( 1993 )       Compilation albums     Renée Geyer at Her Very Best ( 1977 )   Faves ( 1983 )   The Best of Renee Geyer 1973 - 1998 ( 1998 )   The Ultimate Collection ( 2010 )       Singles     `` Oh ! Boy ''   `` It 's a Man 's Man 's World ''   `` Heading in the Right Direction   `` If Loving You is Wrong ''   `` Shakey Ground ''   `` Stares and Whispers ''   `` Money ( That 's What I Want ) ''   `` The Thrill is Gone ''   `` Say I Love You ''   `` Do You Know What I Mean ''   `` I Can Feel the Fire ''   `` Goin ' Back ''   `` All My Love ''   `` Crazy ''   `` I 'm Gonna Make You Love Me ''   `` I Wish It Would Rain ''       Other songs     `` Rock Around the Clock ''   `` You 're Not Alone ( Australian Olympians song ) '' ( as part of Australian Olympians )   `` Yil Lull '' ( as part of Singers For The Red Black &amp; Gold )       Related articles     Sun 1972   Oz for Africa   Mary and Max                 Barbara Mandrell     Studio albums     Treat Him Right   The Midnight Oil   This Time I Almost Made It   This Is Barbara Mandrell   Midnight Angel   Lovers , Friends and Strangers   Love 's Ups and Downs   Moods   Just for the Record   Love Is Fair   ... In Black and White   He Set My Life to Music   Spun Gold   Clean Cut   Get to the Heart   Moments   Sure Feels Good   I 'll Be Your Jukebox Tonight   Morning Sun   No Nonsense   Key 's in the Mailbox   It Works for Me       Christmas albums     Christmas at Our House       Live albums     Barbara Mandrell Live       Collaboration albums     A Perfect Match ( with David Houston )   Meant for Each Other ( with Lee Greenwood )       Compilation albums     The Best of Barbara Mandrell   Greatest Hits       Notable singles     `` I 've Been Loving You Too Long ( To Stop Now ) ''   `` Woman to Woman ''   `` Sleeping Single in a Double Bed ''   `` ( If Loving You Is Wrong ) I Do n't Want to Be Right ''   `` Fooled by a Feeling ''   `` Years ''   `` Crackers ''   `` The Best of Strangers ''   `` Love Is Fair ''   `` I Was Country When Country Was n't Cool ''   `` Wish You Were Here ''   `` ' Till You 're Gone ''   `` Operator , Long Distance Please ''   `` In Times Like These ''   `` One of a Kind Pair of Fools ''   `` Happy Birthday Dear Heartache ''   `` Only a Lonely Heart Knows ''   `` There 's No Love in Tennessee ''   `` Angel in Your Arms ''   `` Fast Lanes and Country Roads ''   `` When You Get to the Heart '' ( with The Oak Ridge Boys )   `` No One Mends a Broken Heart Like You ''   `` Child Support ''   `` I Wish That I Could Fall in Love Today ''   `` My Train of Thought ''       Collaboration singles     `` To Me '' ( with Lee Greenwood )   `` It Should Have Been Love by Now '' ( with Lee Greenwood )       Related articles     Discography   Louise Mandrell   Irlene Mandrell      Retrieved from `` https://en.wikipedia.org/w/index.php?title=(If_Loving_You_Is_Wrong)_I_Don%27t_Want_to_Be_Right&amp;oldid=846580787 '' Categories :   1972 singles   1976 singles   1979 singles   Millie Jackson songs   Rod Stewart songs   Renée Geyer songs   Barbara Mandrell songs   Billboard Hot R&amp;B / Hip - Hop Songs number - one singles   Billboard Hot Country Songs number - one singles   RPM Country Tracks number - one singles   Songs written by Homer Banks   Songs written by Raymond Jackson ( songwriter )   Song recordings produced by Tom Collins ( record producer )   Soul ballads   ABC Records singles   1972 songs   Songs about infidelity   Hidden categories :   Articles with hAudio microformats   Singlechart usages for Billboardhot100   Singlechart called without song   Singlechart usages for Billboardrandbhiphop   Singlechart usages for Billboardcountrysongs           Talk                                           Contents                   About Wikipedia                                           Norsk nynorsk   Edit links   This page was last edited on 19 June 2018 , at 17 : 04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</si>
  <si>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if loving you is wrong i don't want to be right</t>
  </si>
  <si>
    <t xml:space="preserve"> `` ( If Loving You Is Wrong ) I Do n't Want to Be Right '' is a song written by Stax Records songwriters Homer Banks , Carl Hampton and Raymond Jackson . Originally written for The Emotions , it has been performed by many singers , most notably by Luther Ingram , whose original recorded version topped the R&amp;B chart for four weeks and rose to number three on the Billboard Hot 100 chart in 1972 . Billboard ranked it as the No. 16 song for 1972 . </t>
  </si>
  <si>
    <t xml:space="preserve">Personal computer - wikipedia  Personal computer       This article needs additional citations for verification . Please help improve this article by adding citations to reliable sources . Unsourced material may be challenged and removed . ( December 2017 ) ( Learn how and when to remove this template message )    Children being taught how to use a notebook personal computer ; a desktop personal computer 's CRT monitor , keyboard , and mouse are visible in the background . An artist 's depiction of a 2000s - era personal computer of the desktop style , which includes a metal case with the computing components , a display monitor and a keyboard ( mouse not shown ) .  A personal computer ( PC ) is a multi-purpose computer whose size , capabilities , and price make it feasible for individual use . PCs are intended to be operated directly by an end user , rather than by a computer expert or technician . Computer time - sharing models that were typically used with larger , more expensive minicomputer and mainframe systems , to enable them be used by many people at the same time , are not used with PCs .   Early computer owners in the 1960s , invariably institutional or corporate , had to write their own programs to do any useful work with the machines . In the 2010s , personal computer users have access to a wide range of commercial software , free - of - charge software ( `` freeware '' ) and free and open - source software , which are provided in ready - to - run form . Software for personal computers is typically developed and distributed independently from the hardware or OS manufacturers . Many personal computer users no longer need to write their own programs to make any use of a personal computer , although end - user programming is still feasible . This contrasts with mobile systems , where software is often only available through a manufacturer - supported channel , and end - user program development may be discouraged by lack of support by the manufacturer .   Since the early 1990s , Microsoft operating systems and Intel hardware have dominated much of the personal computer market , first with MS - DOS and then with Windows . Alternatives to Microsoft 's Windows operating systems occupy a minority share of the industry . These include Apple 's macOS and free and open - source Unix - like operating systems such as Linux . Advanced Micro Devices ( AMD ) provides the main alternative to Intel 's processors .   Contents  ( hide )   1 Terminology   2 History   3 Types   3.1 Stationary   3.1. 1 Workstation   3.1. 2 Desktop computer   3.1. 2.1 Gaming computer   3.1. 2.2 All - in - one     3.1. 3 Nettop   3.1. 4 Home theater PC     3.2 Portable   3.2. 1 Laptop     3.3 Desktop replacement   3.4 Netbook   3.4. 1 Tablet   3.4. 2 Smartphone   3.4. 3 Ultra-mobile PC   3.4. 4 Pocket PC       4 Hardware   4.1 Computer case   4.2 Power supply unit   4.3 Processor   4.4 Motherboard   4.5 Main memory   4.6 Storage drive   4.7 Visual display unit   4.8 Video card   4.9 Keyboard   4.10 Mouse   4.11 Other components     5 Software   5.1 Operating system   5.1. 1 Microsoft Windows   5.1. 2 macOS   5.1. 3 Linux     5.2 Applications   5.3 Gaming     6 Sales   6.1 Market share   6.2 Average selling price     7 Environmental impact   8 See also   9 Notes   10 References   11 Further reading   12 External links    Terminology ( edit )   `` PC '' is an initialism for `` personal computer '' . The IBM Personal Computer incorporated the designation in its model name , but IBM has not used this brand for many years . It is sometimes useful , especially in a marketing context , to distinguish personal computers of the `` IBM Personal Computer '' family from personal computers made by other manufacturers . For example , `` PC '' is used in contrast with `` Mac '' , an Apple Macintosh computer . This sense of the word is used in the `` Get a Mac '' advertisement campaign that ran between 2006 and 2009 , as well as its rival , I 'm a PC campaign , that appeared in 2008 . Since none of these Apple products were mainframes or time - sharing systems , they were all `` personal computers '' and not `` PC '' ( brand ) computers   History ( edit )  Main article : History of personal computers Commodore PET in 1983 ( at American Museum of Science and Energy ) , an early example of a personal computer  The `` brain '' ( computer ) may one day come down to our level ( of the common people ) and help with our income - tax and book - keeping calculations . But this is speculation and there is no sign of it so far .  -- British newspaper The Star in a June 1949 news article about the EDSAC computer , long before the era of the personal computers .  In the history of computing there were many examples of computers designed to be used by one person , as opposed to terminals connected to mainframe computers . It took a while for computers to be developed that meet the modern definition of a `` personal computers '' , one that is designed for one person , is easy to use , and is cheap enough for an individual to buy .   Using the narrow definition of `` operated by one person '' , the first personal computer was the ENIAC which became operational in 1946 . It did not meet further definitions of affordable or easy to use . The Bendix G15 of 1956 was intended for use without an operating staff , and several hundred were made ; it was too costly to be personally owned , however .   An example of an early single - user computer was the LGP - 30 , created in 1956 by Stan Frankel and used for science and engineering as well as basic data processing . It came with a retail price of $46,000 ‍ -- ‌equivalent to about $423,000 today .   Introduced at the 1965 New York Worlds Fair , the Programma 101 was a printing programmable calculator described in advertisements as a `` desktop computer '' . It was manufactured by the Italian company Olivetti , and invented by the Italian engineer Pier Giorgio Perotto , inventor of the magnetic card system for program storage .   The Soviet MIR series of computers was developed from 1965 to 1969 in a group headed by Victor Glushkov . It was designed as a relatively small - scale computer for use in engineering and scientific applications , and contained a hardware implementation of a high - level programming language . Another innovative feature for that time was the user interface combining a keyboard with a monitor and light pen for correcting texts and drawing on screen . In what was later to be called the Mother of All Demos , SRI researcher Douglas Engelbart in 1968 gave a preview of what would become the staples of daily working life in the 21st century : e-mail , hypertext , word processing , video conferencing , and the mouse . The demonstration required technical support staff and a mainframe time - sharing computer that were far too costly for individual business use at the time .   By the early 1970s , people in academic or research institutions had the opportunity for single - person use of a computer system in interactive mode for extended durations , although these systems would still have been too expensive to be owned by a single person . Early personal computers‍ -- ‌generally called microcomputers ‍ -- ‌were often sold in a kit form and in limited volumes , and were of interest mostly to hobbyists and technicians . Minimal programming was done with toggle switches to enter instructions , and output was provided by front panel lamps . Practical use required adding peripherals such as keyboards , computer displays , disk drives , and printers . Micral N was the earliest commercial , non-kit microcomputer based on a microprocessor , the Intel 8008 . It was built starting in 1972 , and few hundred units were sold . This had been preceded by the Datapoint 2200 in 1970 , for which the Intel 8008 had been commissioned , though not accepted for use . The CPU design implemented in the Datapoint 2200 became the basis for x86 architecture used in the original IBM PC and its descendants .   In 1973 , the IBM Los Gatos Scientific Center developed a portable computer prototype called SCAMP ( Special Computer APL Machine Portable ) based on the IBM PALM processor with a Philips compact cassette drive , small CRT , and full function keyboard . SCAMP emulated an IBM 1130 minicomputer in order to run APL / 1130 . In 1973 , APL was generally available only on mainframe computers , and most desktop sized microcomputers such as the Wang 2200 or HP 9800 offered only BASIC . Because SCAMP was the first to emulate APL / 1130 performance on a portable , single user computer , PC Magazine in 1983 designated SCAMP a `` revolutionary concept '' and `` the world 's first personal computer '' . This seminal , single user portable computer now resides in the Smithsonian Institution , Washington , D.C. . Successful demonstrations of the 1973 SCAMP prototype led to the IBM 5100 portable microcomputer launched in 1975 with the ability to be programmed in both APL and BASIC for engineers , analysts , statisticians , and other business problem - solvers . In the late 1960s such a machine would have been nearly as large as two desks and would have weighed about half a ton .   Another desktop portable APL machine , the MCM / 70 , was demonstrated in 1973 and shipped in 1974 . It used the Intel 8008 processor .   A seminal step in personal computing was the 1973 Xerox Alto , developed at Xerox 's Palo Alto Research Center ( PARC ) . It had a graphical user interface ( GUI ) which later served as inspiration for Apple 's Macintosh , and Microsoft 's Windows operating system . The Alto was a demonstration project , not commercialized , as the parts were too expensive to be affordable .   Also in 1973 Hewlett Packard introduced fully BASIC programmable microcomputers that fit entirely on top of a desk , including a keyboard , a small one - line display , and printer . The Wang 2200 microcomputer of 1973 had a full - size cathode ray tube ( CRT ) and cassette tape storage . These were generally expensive specialized computers sold for business or scientific uses . The introduction of the microprocessor , a single chip with all the circuitry that formerly occupied large cabinets , led to the proliferation of personal computers after 1975 .  Altair 8800 computer  1974 saw the introduction of what is considered by many to be the first true `` personal computer '' , the Altair 8800 created by Micro Instrumentation and Telemetry Systems ( MITS ) . Based on the 8 - bit Intel 8080 Microprocessor , the Altair is widely recognized as the spark that ignited the microcomputer revolution as the first commercially successful personal computer . The computer bus designed for the Altair was to become a de facto standard in the form of the S - 100 bus , and the first programming language for the machine was Microsoft 's founding product , Altair BASIC .   In 1976 , Steve Jobs and Steve Wozniak sold the Apple I computer circuit board , which was fully prepared and contained about 30 chips . The Apple I computer differed from the other kit - style hobby computers of era . At the request of Paul Terrell , owner of the Byte Shop , Jobs and Wozniak were given their first purchase order , for 50 Apple I computers , only if the computers were assembled and tested and not a kit computer . Terrell wanted to have computers to sell to a wide range of users , not just experienced electronics hobbyists who had the soldering skills to assemble a computer kit . The Apple I as delivered was still technically a kit computer , as it did not have a power supply , case , or keyboard when it was delivered to the Byte Shop .   The first successfully mass marketed personal computer was the Commodore PET introduced in January 1977 . However , it was back - ordered and not available until later in the year . Five months later ( June ) , the Apple II ( usually referred to as the `` Apple '' ) was introduced , and the TRS - 80 from Tandy Corporation / Tandy Radio Shack in summer 1977 , delivered in September in a small number . Mass - market ready - assembled computers allowed a wider range of people to use computers , focusing more on software applications and less on development of the processor hardware .  IBM 5150 , released in 1981 The 8 - bit PMD 85 personal computer produced in 1985 -- 1990 by the Tesla company in the former socialist Czechoslovakia . This computer was produced locally ( in Piešťany ) due to a lack of foreign currency with which to buy systems from the West .  During the early 1980s , home computers were further developed for household use , with software for personal productivity , programming and games . They typically could be used with a television already in the home as the computer display , with low - detail blocky graphics and a limited color range , and text about 40 characters wide by 25 characters tall . Sinclair Research , a UK company , produced the ZX Series‍ -- ‌the ZX80 ( 1980 ) , ZX81 ( 1981 ) , and the ZX Spectrum ; the latter was introduced in 1982 , and totaled 8 million unit sold . Following came the Commodore 64 , totaled 17 million units sold .   In the same year , the NEC PC - 98 was introduced , which was a very popular personal computer that sold in more than 18 million units . Another famous personal computer , the revolutionary Amiga 1000 , was unveiled by Commodore on July 23 , 1985 . The Amiga 1000 featured a multitasking , windowing operating system , color graphics with a 4096 - color palette , stereo sound , Motorola 68000 CPU , 256 KB RAM , and 880 KB 3.5 - inch disk drive , for US $1,295 .   Somewhat larger and more expensive systems ( for example , running CP / M ) , or sometimes a home computer with additional interfaces and devices , although still low - cost compared with minicomputers and mainframes , were aimed at office and small business use , typically using `` high resolution '' monitors capable of at least 80 column text display , and often no graphical or color drawing capability . Workstations were characterized by high - performance processors and graphics displays , with large - capacity local disk storage , networking capability , and running under a multitasking operating system . Eventually , due to the influence of the IBM PC on the personal computer market , personal computers and home computers lost any technical distinction . Business computers acquired color graphics capability and sound , and home computers and game systems users used the same processors and operating systems as office workers . Mass - market computers had graphics capabilities and memory comparable to dedicated workstations of a few years before . Even local area networking , originally a way to allow business computers to share expensive mass storage and peripherals , became a standard feature of personal computers used at home .   In 1982 `` The Computer '' was named Machine of the Year by Time magazine . In the 2010s , several companies such as Hewlett - Packard and Sony sold off their PC and laptop divisions . As a result , the personal computer was declared dead several times during this period .   Types ( edit )   Stationary ( edit )  Workstation ( edit ) Sun SPARCstation 1 + from the early 1990s , with a 25 MHz RISC processor Main article : Workstation  A workstation is a high - end personal computer designed for technical , mathematical , or scientific applications . Intended primarily to be used by one person at a time , they are commonly connected to a local area network and run multi-user operating systems . Workstations are used for tasks such as computer - aided design , drafting and modeling , computation - intensive scientific and engineering calculations , image processing , architectural modeling , and computer graphics for animation and motion picture visual effects .  Desktop computer ( edit ) Main article : Desktop computer A Dell OptiPlex desktop computer  Prior to the widespread usage of PCs , a computer that could fit on a desk was remarkably small , leading to the `` desktop '' nomenclature . More recently , the phrase usually indicates a particular style of computer case . Desktop computers come in a variety of styles ranging from large vertical tower cases to small models which can be tucked behind an LCD monitor .   The term `` desktop '' typically refers to a computer with a vertically aligned computer case that holds the systems hardware components such as the motherboard , processor chip , other internal operating parts . Desktop computers have an external monitor with a display screen and an external keyboard , which are plugged into USB ports on the back of the computer case . Desktop computers are popular for home and business computing applications as they allow the user to have multiple monitors , allowing them to perform work on each one simultaneously .  Gaming computer ( edit ) Main article : Gaming computer  A gaming computer is a standard desktop computer that typically has high - performance hardware , such as a more powerful video card , processor and memory , in order to handle the requirements of demanding video games , which are often simply called `` PC games '' . A number of companies , such as Alienware , manufacture prebuilt gaming computers , and companies such as Razer and Logitech market mice , keyboards and headsets geared toward gamers .  All - in - one ( edit ) Further information : All - in - one computer  All - in - one PCs ( also known as single - unit PCs ) are a subtype of desktop computer that combines the monitor and processor within a single unit . A separate keyboard and mouse are standard input devices , with some monitors including touchscreen capability . The processor and other working components are typically reduced in size relative to standard desktops , located behind the monitor , and configured similarly to laptops .  Nettop ( edit ) Main article : Nettop  A subtype of desktops , called nettops , was introduced by Intel in February 2008 , characterized by low cost and lean functionality . A similar subtype of laptops ( or notebooks ) is the netbook , described below . The product line features the new Intel Atom processor , which specifically enables nettops to consume less power and fit into small enclosures .  Home theater PC ( edit ) Main article : Home theater PC An Antec Fusion V2 home theater PC , with a keyboard placed on top of it  A home theater PC ( HTPC ) is a convergence device that combines the functions of a personal computer and a digital video recorder . It is connected to a TV set or an appropriately sized computer display , and is often used as a digital photo viewer , music and video player , TV receiver , and digital video recorder . HTPCs are also referred to as media center systems or media servers . The general goal in a HTPC is usually to combine many or all components of a home theater setup into one box . More recently , HTPCs gained the ability to connect to services providing on - demand movies and TV shows . HTPCs can be purchased pre-configured with the required hardware and software needed to add television programming to the PC , or can be cobbled together out of discrete components , what is commonly done with software support from MythTV , Windows Media Center , GB - PVR , SageTV , Famulent or LinuxMCE .   Portable ( edit )  Laptop ( edit ) Main article : Laptop A laptop computer  A laptop computer ( also called a notebook ) is similar to a desktop , but is designed for portability . Usually , all of the hardware and interfaces needed to operate a laptop , such as the graphics card , audio devices or USB ports ( previously parallel and serial ports ) , are built into a single unit . Laptops usually have `` clamshell '' design , in which the keyboard and computer components are on one panel and a flat display screen on a second panel , which is hinged to the first panel . The laptop is opened for use and closed for transport . Closing the laptop also protects the screen and keyboard during transportation . Laptops have both a power cable that can be plugged in and high - capacity batteries that can power the device , enhancing its portability . Once the battery charge is depleted , it will have to be recharged through a power outlet . In the interests of saving power , weight and space , laptop graphics cards are in many cases integrated into the CPU or chipset and use system RAM , resulting in reduced graphics performance when compared to an equivalent desktop machine . For this reason , desktop computers are usually preferred over laptops for gaming purposes .   One of the drawbacks of laptops is that , due to the size and configuration of components , usually relatively little can be done to upgrade the overall computer from its original design or add components . Internal upgrades are either not manufacturer - recommended , can damage the laptop if done with poor care or knowledge , or in some cases impossible , making the desktop PC more modular and upgradable . Desktop PCs typically have a case that has extra empty space inside , where users can install new components . Some internal upgrades to laptops , such as memory and hard disk drive upgrades are often easily performed , while a display or keyboard upgrade is usually difficult or impossible . Just like desktops , laptops also have the same input and output ports for connecting to a wide variety of devices , including external displays , mice , cameras , storage devices and keyboards , which may be attached externally through USB ports and other less common ports such as external video . Laptops are also a little more expensive compared to desktops , as the miniaturized components for laptops themselves are expensive .   A subtype of notebooks , called subnotebook , has most of the features of a standard laptop computer , but with smaller physical dimensions . Subnotebooks are larger than hand - held computers , and usually run full versions of desktop or laptop operating systems . Ultra-mobile PCs ( UMPC ) are usually considered subnotebooks , or more specifically , subnotebook tablet PCs , which are described below . Netbooks are sometimes considered to belong to this category , though they are sometimes separated into a category of their own ( see below ) .   Desktop replacement ( edit )  Main article : Desktop replacement computer An Acer Aspire desktop replacement laptop  A desktop replacement computer ( DTR ) is a personal computer that provides the full capabilities of a desktop computer while remaining mobile . Such computers are often actually larger , bulkier laptops . Because of their increased size , this class of computers usually includes more powerful components and a larger display than generally found in smaller portable computers , and can have a relatively limited battery capacity or none at all in some cases . Some use a limited range of desktop components to provide better performance at the expense of battery life . Desktop replacement computers are sometimes called desknotes , as a portmanteau of words `` desktop '' and `` notebook '' , though the term is also applied to desktop replacement computers in general .   Netbook ( edit )  Main article : Netbook An HP netbook  Netbooks , also called mini notebooks or subnotebooks , are a subgroup of laptops acting as a category of small , lightweight and inexpensive laptop computers suited for general computing tasks and accessing web - based applications . They are often marketed as `` companion devices '' , with an intention to augment other ways in which a user can access computer resources . Walt Mossberg called them a `` relatively new category of small , light , minimalist and cheap laptops . '' By August 2009 , CNET called netbooks `` nothing more than smaller , cheaper notebooks . '' Initially , the primary defining characteristic of netbooks was the lack of an optical disc drive , requiring it to be a separate external device . This has become less important as flash memory devices have gradually increased in capacity , replacing the writable optical disc ( e.g. CD - RW , DVD - RW ) as a transportable storage medium .   At their inception in late 2007‍ -- ‌as smaller notebooks optimized for low weight and low cost ‍ -- ‌netbooks omitted key features ( e.g. , the optical drive ) , featured smaller screens and keyboards , and offered reduced specifications and computing power . Over the course of their evolution , netbooks have ranged in their screen sizes from below five inches to over 13 inches , with weights around ~ 1 kg ( 2 -- 3 pounds ) . Often significantly less expensive than other laptops , by mid-2009 netbooks had been offered to users `` free of charge '' , with an extended service contract purchase of a cellular data plan . In the short period since their appearance , netbooks have grown in size and features , converging with new smaller and lighter notebooks . By mid-2009 , CNET noted that `` the specs are so similar that the average shopper would likely be confused as to why one is better than the other , '' noting `` the only conclusion is that there really is no distinction between the devices . ''  Tablet ( edit ) Main article : Tablet computer HP Compaq tablet PC with rotating / removable keyboard  A tablet is a type of portable PC that de-emphasizes the use of traditional input devices ( such as a mouse or keyboard ) by using a touchscreen display , which can be controlled using either a stylus pen or finger . Some tablets may use a `` hybrid '' or `` convertible '' design , offering a keyboard that can either be removed as an attachment , or a screen that can be rotated and folded directly over top the keyboard . Some tablets may run a traditional PC operating system such as Windows or Linux ; Microsoft attempted to enter the tablet market in 2002 with its Microsoft Tablet PC specifications , for tablets and convertible laptops running Windows XP . However , Microsoft 's early attempts were overshadowed by the release of Apple 's iPad ; following in its footsteps , most tablets now run mobile operating systems such as Android and iOS . In response , Microsoft built its Windows 8 operating system to better accommodate these new touch - oriented devices . Many tablet computers have USB ports , to which a keyboard or mouse can be connected .  Smartphone ( edit ) Main article : Smartphone The LG G4 - 2 , a typical smartphone  Smartphones are practically the same devices as tablet computers , the only differences between them being that smartphones are generally smaller than tablets , always have cellular integration , and ( while modern smartphones almost always do ) may not always have a slate form factor .  Ultra-mobile PC ( edit ) Main article : Ultra-mobile PC A Samsung Q1 ultra-mobile PC  The ultra-mobile PC ( UMP ) is a specification for small - configuration tablet PCs . It was developed as a joint development exercise by Microsoft , Intel and Samsung , among others . Current UMPCs typically feature the Windows XP , Windows Vista , Windows 7 , or Linux operating system , and low - voltage Intel Atom or VIA C7 - M processors .  Pocket PC ( edit ) Main article : Pocket PC An O pocket PC  A pocket PC is a hardware specification for a handheld - sized computer ( personal digital assistant , PDA ) that runs the Microsoft Windows Mobile operating system . It may have the capability to run an alternative operating system like NetBSD or Linux . Pocket PCs have many of the capabilities of desktop PCs . Numerous applications are available for handhelds adhering to the Microsoft Pocket PC specification , many of which are freeware . Some of these devices also include mobile phone features , actually representing a smartphone . Microsoft - compliant Pocket PCs can also be used with many other add - ons like GPS receivers , barcode readers , RFID readers and cameras . In 2007 , with the release of Windows Mobile 6 , Microsoft dropped the name Pocket PC in favor of a new naming scheme : devices without an integrated phone are called Windows Mobile Classic instead of Pocket PC , while devices with an integrated phone and a touch screen are called Windows Mobile Professional .   Hardware ( edit )  An exploded view of a personal computer and peripherals ( some of which are optional ) :   Scanner   CPU ( microprocessor )   Memory ( RAM )   Expansion cards ( graphics cards , etc . )   Power supply   Optical disc drive   Storage ( hard disk or SSD )   Motherboard   Speakers   Monitor   System software   Application software   Keyboard   Mouse   External hard disk   Printer   Main article : Personal computer hardware  Computer hardware is a comprehensive term for all physical parts of a computer , as distinguished from the data it contains or operates on , and the software that provides instructions for the hardware to accomplish tasks . The boundary between hardware and software has become blurred , with the existence of firmware that is software `` built into '' the hardware . For example , a 2010 - era LCD display screen contains a small computer inside . Mass - market consumer computers use highly standardized components and so are simple for an end user to assemble into a working system . Most 2010s - era computers only require users to plug in the power supply , monitor , and other cables . A typical desktop computer consists of a computer case ( or `` tower '' ) , a metal chassis that holds the power supply , motherboard , hard disk drive , and often an optical disc drive . Most towers have empty space where users can add additional components . External devices such as a computer monitor or visual display unit , keyboard , and a pointing device ( mouse ) are usually found in a personal computer .   The motherboard connects all processor , memory and peripheral devices together . The RAM , graphics card and processor are in most cases mounted directly onto the motherboard . The central processing unit ( microprocessor chip ) plugs into a CPU socket , while the memory modules plug into corresponding memory sockets . Some motherboards have the video display adapter , sound and other peripherals integrated onto the motherboard , while others use expansion slots for graphics cards , network cards , or other I / O devices . The graphics card or sound card may employ a break out box to keep the analog parts away from the electromagnetic radiation inside the computer case . Disk drives , which provide mass storage , are connected to the motherboard with one cable , and to the power supply through another cable . Usually , disk drives are mounted in the same case as the motherboard ; expansion chassis are also made for additional disk storage .   For large amounts of data , a tape drive can be used or extra hard disks can be put together in an external case . The keyboard and the mouse are external devices plugged into the computer through connectors on an I / O panel on the back of the computer case . The monitor is also connected to the input / output ( I / O ) panel , either through an onboard port on the motherboard , or a port on the graphics card . Capabilities of the personal computers hardware can sometimes be extended by the addition of expansion cards connected via an expansion bus . Standard peripheral buses often used for adding expansion cards in personal computers include PCI , PCI Express ( PCIe ) , and AGP ( a high - speed PCI bus dedicated to graphics adapters , found in older computers ) . Most modern personal computers have multiple physical PCI Express expansion slots , with some of the having PCI slots as well .   Computer case ( edit )  Main article : Computer case An empty ATX case lying on its side  A computer case is an enclosure that contains the main components of a computer . They are usually constructed from steel or aluminum combined with plastic , although other materials such as wood and tempered glass have been used for specialized units . Cases are available in different sizes and shapes ; the size and shape of a computer case are usually determined by the configuration of the motherboard that it is designed to accommodate since this is the largest and most central component of most computers . The most popular style for desktop computers is ATX , although microATX and similar layouts became very popular for a variety of uses . Companies like Shuttle Inc. and AOpen have popularized small cases , for which FlexATX is the most common motherboard size . In the 1990s , desktop computer cases were larger and taller than 2010 - era computer cases .   Power supply unit ( edit )  Main article : Power supply unit ( computer ) Computer power supply unit with top cover removed  The power supply unit ( PS</t>
  </si>
  <si>
    <t xml:space="preserve">is a computer the same as a laptop</t>
  </si>
  <si>
    <t xml:space="preserve"> A laptop computer ( also called a notebook ) is similar to a desktop , but is designed for portability . Usually , all of the hardware and interfaces needed to operate a laptop , such as the graphics card , audio devices or USB ports ( previously parallel and serial ports ) , are built into a single unit . Laptops usually have `` clamshell '' design , in which the keyboard and computer components are on one panel and a flat display screen on a second panel , which is hinged to the first panel . The laptop is opened for use and closed for transport . Closing the laptop also protects the screen and keyboard during transportation . Laptops have both a power cable that can be plugged in and high - capacity batteries that can power the device , enhancing its portability . Once the battery charge is depleted , it will have to be recharged through a power outlet . In the interests of saving power , weight and space , laptop graphics cards are in many cases integrated into the CPU or chipset and use system RAM , resulting in reduced graphics performance when compared to an equivalent desktop machine . For this reason , desktop computers are usually preferred over laptops for gaming purposes . </t>
  </si>
  <si>
    <r>
      <rPr>
        <sz val="11"/>
        <color rgb="FF000000"/>
        <rFont val="Calibri"/>
        <family val="0"/>
        <charset val="1"/>
      </rPr>
      <t xml:space="preserve">Relight My Fire - wikipedia  Relight My Fire  Jump to : navigation , search    `` Relight My Fire ''         Single by Dan Hartman     from the album Relight My Fire     Released   1979     Format   7 '' vinyl , 12 '' vinyl     Recorded   1979     Genre   Disco     Length   3 : 42     Label   Blue Sky Records     Songwriter ( s )   Dan Hartman     Producer ( s )   Dan Hartman     Dan Hartman singles chronology        `` Boogie All Summer '' ( 1979 )   `` Relight My Fire '' ( 1979 )   `` It Hurts to Be in Love '' ( 1980 )           `` Boogie All Summer '' ( 1979 )   `` Relight My Fire '' ( 1979 )   `` It Hurts to Be in Love '' ( 1980 )        `` Relight My Fire '' is a popular song which was written and released by Dan Hartman in 1979 , when it topped the US dance music charts for six weeks . It was also performed by Costa Anadiotis ' band Café Society in 1984 and British boy band Take That ( with Lulu in a featured role ) in 1993 .   The song is from the 1979 Dan Hartman album Relight My Fire .     Contents  ( hide )   1 Dan Hartman original version   1.1 Versions   1.2 In the media   1.3 Chart performance     2 Café Society version   3 Take That version   3.1 Music video   3.2 Personnel   3.2. 1 Track listings     3.3 Chart performance   3.4 Certifications   3.5 Official Take That versions     4 Ricky Martin version   4.1 Chart performance   4.2 Formats and track listings   4.3 Charts     5 José Galisteo version   6 Lulu version   7 References   8 External links      Dan Hartman original version ( edit )   Originally released in 1979 as the follow - up to `` Instant Replay '' , `` Relight My Fire '' topped the United States dance charts for six weeks from December 12 , 1979 to February 16 , 1980 ; it was less successful in the UK , however , where it failed to chart . Loleatta Holloway is credited as a featured vocalist on some versions of the record , singing the `` strong enough to walk on through the night '' refrain . The song 's strings and horns were played by MFSB and conducted by longtime MFSB member Don Renaldo . The 12 '' version includes a 41⁄2 - minute intro called `` Vertigo '' , often used in discos as a floor - filler before the song begins ; this 11 : 22 version is available on Hartman 's 1994 hits package titled Keep the Fire Burnin ' . The title track from this album was a new recording between Hartman and Holloway , featuring some samples from `` Relight My Fire '' .   Versions ( edit )    7 '' vinyl single version , 3 : 42 , US release : Blue Sky , CBS ZS9 2784 , 1979   12 '' vinyl The Historical 1979 Re-Mix , 6 : 52 , UK release : Blue Sky , SKY 12 8104 , 1979   Vertigo / Relight My Fire , album version , 9 : 44 , US release : Blue Sky , JZ 36302 , 1979   12 '' vinyl Vertigo / Relight My Fire ( Progressive Instrumental Remix ) , 11 : 22 , US release : Blue Sky , 4Z8 - 2790 , 1979   Vertigo / Relight My Fire ( Full - length version ) , 11 : 55 , mixed By John Luongo , edited by Ben Liebrand ( appears on Cd compilation Grand 12 inches volume 2 , Sony Music Media 5198852000 , 2005 ) . This version features the full `` Vertigo '' intro of the `` progressive instrumental mix '' , the entire 4 - bar break and full vocal part of the album version and ends with the full outro of the `` progressive instrumental mix '' .    In the Media ( edit )    This song is featured in Grand Theft Auto : The Ballad of Gay Tony on the in - game radio station K109 The Studio and at the end credits of the game as well .   This song was the theme of a classic Mexican sitcom called `` Mis Huéspedes '' ( My Guests in English ) .    Chart performance ( edit )     Chart ( 1979 )   Peak position     Belgian Singles Chart ( Flanders )   11     Dutch Singles Chart   7     US Billboard Bubbling Under the Hot 100   5     US Billboard Dance / Club Play       Café Society version ( edit )   South African disco group Café Society recorded this song in 1984 . It was the third and last hit from the group .   Take That version ( edit )     `` Relight My Fire ''         Single by Take That featuring Lulu     from the album Everything Changes     Released   October 4 , 1993     Format   12 '' vinyl , maxi single , CD single , cassette     Recorded   1993     Genre     House   euro disco       Length   4 : 11     Label   Polydor     Songwriter ( s )   Dan Hartman     Producer ( s )   Joey Negro , Andrew Livingstone     Take That singles chronology        `` Pray '' ( 1993 )   `` Relight My Fire '' ( 1993 )   `` Babe '' ( 1993 )           `` Pray '' ( 1993 )   `` Relight My Fire '' ( 1993 )   `` Babe '' ( 1993 )            Music video     `` Relight My Fire '' on YouTube         `` Relight My Fire '' was covered in 1993 by English boy band Take That and featured guest vocals from Lulu , reprising the Holloway role . The second of the band 's eleven number - one hits , it topped the UK Singles Chart for two weeks in October 1993 . It was the first UK number - one single for Lulu and at the time broke the record between an act 's chart debut and their reaching number one on the UK Singles Chart , happening 29 years 148 days after her debut with `` Shout '' in 1964 .   The band performed Dan Hartman 's `` Vertigo / Relight My Fire '' version as the intro and opening number of their Nobody Else Tour ( featuring Juliet Roberts in the female vocal role ) .   In 1999 , Love to Infinity remixed Take That 's cover and issued it on a `` 12 '' vinyl '' pressing `` 3.0 Hitmixes '' . In 2005 , the track was remixed for their reunion compilation , known as the ' Element Remix ' . However , only a 3 track CD single featuring the new remix was issued to DJs while the commercial CD single pressing was withdrawn .   The song has received a silver disc certification and sold over 360,000 copies in the UK .   The band appeared on Mooi ! Weer de Leeuw in the Netherlands on March 14 , 2009 to perform `` The Garden '' . They also ended up performing `` Back For Good '' and `` Relight My Fire '' due to popular demand from the host and audience the next day .   Music video ( edit )   The music video depicts the band and singer Lulu dancing and partying in a club atmosphere .   Personnel ( edit )    Gary Barlow -- lead vocals   Howard Donald -- backing vocals   Jason Orange -- backing vocals   Mark Owen -- backing vocals   Robbie Williams -- backing vocals   Lulu -- guest vocals , backing vocals   Track listings ( edit )   UK CD single # 1 ( 74321 16772 2 )     `` Relight My Fire '' ( Radio Version ) -- 3 : 59   `` Relight My Fire '' ( Full Length Version ) -- 11 : 17   `` Relight My Fire '' ( Late Night Mix ) -- 6 : 47   `` Relight My Fire '' ( All Night Mix ) -- 6 : 58   `` Relight My Fire '' ( Night Beats ) -- 5 : 20     UK CD single # 2 ( 74321 16861 2 )     `` Relight My Fire '' ( album version ) -- 4 : 11   `` Why Ca n't I Wake Up with You ? '' ( live version ) -- 5 : 13   `` Motown Medley '' ( live version ) -- 10 : 14   `` Take That and Party '' ( live version ) -- 2 : 49     EU CD single # 1 ( 74321 17032 2 )     `` Relight My Fire '' ( radio version ) -- 3 : 59   `` Why Ca n't I Wake Up with You ? '' ( live version ) -- 5 : 13     EU CD single # 2 ( 74321 17033 2 )     `` Relight My Fire '' ( radio version ) -- 3 : 59   `` Why Ca n't I Wake Up with You ? '' ( live version ) -- 5 : 13   `` Relight My Fire '' ( Late Night Mix ) -- 6 : 47     Japanese 3 '' CD single ( BVDP - 94 )     `` Relight My Fire '' ( radio version ) -- 3 : 59   `` Why Ca n't I Wake Up with You ? '' ( live version ) -- 5 : 13     UK cassette ( 74321 16772 4 )     `` Relight My Fire '' ( radio version ) -- 3 : 59   `` Why Ca n't I Wake Up with You ? '' ( live version ) -- 5 : 13     UK 7 '' vinyl ( 74321 17032 7 )     `` Relight My Fire '' ( radio version ) -- 3 : 59   `` Why Ca n't I Wake Up with You ? '' ( live version ) -- 5 : 13     UK 12 '' vinyl ( 74321 16861 1 )     `` Relight My Fire '' ( Full Length Version ) -- 11 : 17   `` Relight My Fire '' ( All Night Mix ) -- 6 : 58   `` Relight My Fire '' ( Late Night Mix ) -- 6 : 47   `` Relight My Fire '' ( Percacapella ) -- 2 : 11   `` Relight My Fire '' ( Night Beats ) -- 5 : 20     UK 2005 withdrawn CD single ( 82876 76060 2 )     `` Relight My Fire '' ( Element Remix ) -- 3 : 46   `` Relight My Fire '' ( original version ) -- 4 : 11   `` Relight My Fire '' ( video ) -- 4 : 12     UK 2005 withdrawn 12 '' vinyl ( 82875 76061 5 )     `` Relight My Fire '' ( Element Remix ) -- 3 : 46   `` Relight My Fire '' ( Joey Negro Club Mix ) -- 6 : 43   `` Relight My Fire '' ( Joey Negro Vocal Mix ) -- 7 : 05    The medley contains versions of `` Just My Imagination '' , `` My Girl '' , `` Reach Out ( I 'll Be There ) '' , `` Get Ready '' , `` Treat Her Like a Lady '' and `` I Got You ( I Feel Good ) ''   Chart performance ( edit )     Chart ( 1993 -- 94 )   Peak position     Australia ( ARIA )   33     Austria ( Ö3 Austria Top 75 )   27     Belgium ( Ultratop Flanders )   10     Belgium ( Ultratop Wallonia )   12     Europe ( Eurochart Hot 100 )   8     Finland ( Suomen virallinen lista )       Germany ( Media Control AG )   18     Iceland ( Tonlist )   24     Ireland ( IRMA )       Israel ( Media Forest )       Japan ( Oricon )   33     Latvia ( EHR )       Netherlands ( Single Top 100 )   10     Sweden ( Sverigetopplistan )   32     Switzerland ( Schweizer Hitparade )   18     UK Singles ( Official Charts Company )         Year - end chart ( 1993 )   Position     Australian Singles Chart   109     Belgian ( Flanders ) Singles Chart   78     German Singles Chart   101     Netherlands ( Dutch Top 40 )   127     UK Singles Chart ( 1993 Year - End )   28     Certifications ( edit )     Country   Certification   Sales certified     United Kingdom ( BPI )   Silver   360,000     Official Take That versions ( edit )    Album version ( 4 : 10 )   Radio version ( 3 : 59 )   Full - length version ( 11 : 17 )   Late Night Mix ( 6 : 47 )   All Night Mix ( 6 : 58 )   Night Beats ( 5 : 20 )   Percacapella ( 2 : 11 )   Live at Wembley Stadium ( 8 : 07 )   Love to Infinity Mix ( 8 : 00 )   Greed Mix ( 8 : 13 )   Element Remix ( 3 : 46 )    Ricky Martin version ( edit )     `` Relight My Fire ''         Single by Ricky Martin featuring Loleatta Holloway     Released   March 18 , 2003 ( 2003 - 03 - 18 )     Format   Promo single     Recorded   2003     Genre   EDM     Length   4 : 17     Label   Columbia     Songwriter ( s )   Dan Hartman     Producer ( s )   Hex Hector         Ricky Martin singles chronology        `` Come to Me '' ( 2002 ) Come to Me 2002   `` Relight My Fire '' ( 2003 ) Relight My Fire2003   `` Tal Vez '' ( 2003 ) Tal Vez 2003            Ricky Martin covered `` Relight My Fire '' in 2003 . In late January 2003 , Billboard reported that Grammy Award - winnig remixer Hex Hector recently spent time in the studio with Martin and Anastacia . The trio , with Hector in the producer 's seat , completed a cover of Dan Hartman 's disco classic `` Relight My Fire . '' Billboard added that Anastacia reprised Loleatta Holloway 's performance from the original , and the song should appear on Martin 's forthcoming album . However , the single released in March 2003 included Holloway 's original vocals , and the song did not appeared on any of Martin 's albums . `` Relight My Fire '' is credited to `` Martin featuring Loleatta Holloway . ''   Chart performance ( edit )   On the Billboard issue dated April 19 , 2003 , `` Relight My Fire '' appeared on the Hot Dance Breakouts chart , and on May 3 , 2003 , it entered the Dance Club Songs at number thirty - eight . The song peaked at number five on June 21 , 2003 and spent twelve weeks on the Dance Club Songs chart .   Formats and track listings ( edit )   US promotional CD single    `` Relight My Fire '' ( Hex Hector / Mac Quayle Club Vocal Mix ) ( Edited ) -- 8 : 52   `` Relight My Fire '' ( Hex Hector / Mac Quayle Dub Mix ) -- 8 : 28   `` Relight My Fire '' ( Hex Hector / Mac Quayle Club Mix ) ( Full Version ) -- 9 : 08   `` Relight My Fire '' ( Hex Hector / Mac Quayle Radio Vocal Mix ) -- 4 : 17   `` Relight My Fire '' ( Hex Hector / Mac Quayle Club Instrumental ) -- 9 : 09   `` Relight My Fire '' ( Hex Hector / Mac Quayle Club A Cappella ) -- 4 : 17    Charts ( edit )     Chart ( 2003 )   Peak position     US Dance Club Songs ( Billboard )   5     José Galisteo version ( edit )   In 2007 , José Galisteo , a contestant on Spain 's Operación Triunfo , recorded it on his debut disc , Remember .   Lulu version ( edit )   On Friday June 5 , 2015 as part of BBC Music Day . Lulu did her own solo version of the Take That version from 1993 where she covered all of the vocals for the verses and her backing band stood in for Take That on the choruses . The whole song was performed live from The Quay in Glasgow on the BBC Red Button as part of The One Show Extra .   References ( edit )    Jump up ^ `` Relight My Fire '' . Ultrapop.be.nl .   Jump up ^ `` Relight My Fire '' . Dutchcharts.nl .   Jump up ^ Whitburn , Joel . Top Pop Singles 1955 - 2002 . Menomonee Falls , WI ; Record Research Books , 2003 , p. 304   Jump up ^ `` Dan Hartman '' . AllMusic .   Jump up ^ Roberts , David ( 2006 ) . British Hit Singles &amp; Albums ( 19th ed . ) . London : Guinness World Records Limited . p. 558 . ISBN 1 - 904994 - 10 - 5 .   ^ Jump up to : Steffen Hung . `` Take That feat . Lulu - Relight My Fire '' . lescharts.com . Retrieved 2014 - 03 - 31 .   ^ Jump up to : Pennanen , Timo : Sisältää hitin - levyt ja esittäjät Suomen musiikkilistoilla vuodesta 1972 . Helsinki : Kustannusosakeyhtiö Otava , 2006 . ISBN 9789511210535 . page : 280   Jump up ^ `` Take That feat . Lulu - Relight My Fire '' . ultratop.be . Retrieved 2014 - 03 - 31 .   Jump up ^ http://swisscharts.com/song/Take-That-feat.-Lulu/Relight-My-Fire-2690 ( Retrieved September 17 , 2012 )   Jump up ^ `` Hits of the World - Eurochart Hot 100 '' . Billboard . Nielsen Business Media , Inc . August 14 , 1993 . p. 40 . Retrieved July 21 , 2012 .   Jump up ^ `` Take That singles , German Singles Chart '' ( in German ) . musicline . Retrieved April 19 , 2010 .   Jump up ^ `` Tonlist Top 40 '' . DV . Retrieved 2017 - 02 - 09 .   Jump up ^ Irish Single Chart Irishcharts.ie IRMA Irish Chart Archive .   Jump up ^ `` Take That '' . Swisscharts.com .   Jump up ^ `` Take That '' . Retrieved 2014 - 03 - 31 .   Jump up ^ `` M - 1 TOP 40 '' . M-1.fm . Archived from the original on 2015 - 04 - 02 . Retrieved 2014 - 03 - 31 .   Jump up ^ UK Singles Chart Chartstats.com ( Retrieved April 10 , 2008 )   Jump up ^ 1993 Australian Singles Chart Australian-charts.com ( Retrieved July 28 , 2016 )   Jump up ^ 1993 Belgian ( Flanders ) Singles Chart Ultratop.be ( Retrieved July 28 , 2008 )   Jump up ^ 1993 German Singles Chart Ki.informatik.uni-wuerzburg.de ( Retrieved July 18 , 2016 )   Jump up ^ `` Jaarlijsten 1993 '' ( in Dutch ) . Stichting Nederlandse Top 40 . Retrieved July 18 , 2016 .   Jump up ^ UK certifications BPI.co.uk ( Retrieved September 2 , 2008 )   Jump up ^ Official Charts Company - best selling Take That songs 24 March 2017   Jump up ^ `` How Loleatta Holloway Became Disco 's Most Sampled Artist '' . Electronic Beats . Retrieved February 1 , 2016 .   ^ Jump up to : `` Beat Box '' . Billboard . Nielsen Business Media , Inc . Retrieved February 1 , 2016 .   ^ Jump up to : `` Ricky Martin '' . Hexhector.chez.com . Retrieved February 1 , 2016 .   Jump up ^ `` Hot Dance Breakouts '' ( PDF ) . Billboard . Nielsen Business Media , Inc . Retrieved February 1 , 2016 .   Jump up ^ `` Dance Club Songs '' ( PDF ) . Billboard . Nielsen Business Media , Inc . Retrieved February 1 , 2016 .   Jump up ^ `` Dance Songs '' . Billboard . Nielsen Business Media , Inc . Retrieved February 1 , 2016 .   Jump up ^ `` Ricky Martin Chart History ( Dance Club Songs ) '' . Billboard . Retrieved February 1 , 2016 .    External links ( edit )    Lyrics of this song at MetroLyrics      Preceded by `` The Second Time Around '' by Shalamar   Billboard Hot Dance Club Play number - one single ( Dan Hartman version with `` Vertigo '' and `` Free Ride '' ) January 12 , 1980   Succeeded by `` And the Beat Goes On '' / `` Can You Do the Boogie '' / `` Out the Box '' by The Whispers     Preceded by `` Cryin ' '' by Aerosmith   Israel Singles Chart ( Take That version ) November 2 , 1993 -- November 16 , 1993 ( 2 weeks )   Succeeded by `` The Sign '' by Ace of Base     Preceded by `` Boom ! Shake the Room '' by DJ Jazzy Jeff &amp; the Fresh Prince   UK Singles Chart number - one single ( Take That version ) October 3 , 1993 -- October 17 , 1993 ( 2 weeks )   Succeeded by `` I 'd Do Anything for Love ( But I Wo n't Do That ) '' by Meat Loaf               Dan Hartman     Studio albums     Images ( 1976 )   Instant Replay ( 1978 )   Relight My Fire ( 1979 )   It Hurts to Be in Love ( 1981 )   I Can Dream About You ( 1984 )   White Boy ( 1986 )   New Green Clear Blue ( 1989 )   Keep the Fire Burnin ' ( 1994 )       Singles     `` Instant Replay ''   `` Relight My Fire ''   `` Love Sensation ''   `` Heaven in Your Arms ''   `` All I Need ''   `` I Can Dream About You ''   `` We Are the Young ''   `` Second Nature ''   `` Get Outta Town ''   `` Waiting to See You ''   `` The Love You Take '' ( with Denise Lopez )   `` Keep the Fire Burnin ' ( starring Loleatta Holloway )   `` The Love in Your Eyes       Record labels     Blue Sky Records   MCA Records                 Take That       Gary Barlow   Howard Donald   Mark Owen     Jason Orange   Robbie Williams       Studio albums     Take That &amp; Party ( 1992 )   Everything Changes ( 1993 )   Nobody Else ( 1995 )   Beautiful World ( 2006 )   The Circus ( 2008 )   Progress ( 2010 )   III ( 2014 )   Wonderland ( 2017 )       Other albums     The Greatest Day -- Take That Present : The Circus Live ( 2009 )   Progressed ( 2011 )   Progress Live ( 2011 )       Compilation albums     Take That : Greatest Hits ( 1996 )   The Best of Take That ( 2001 )   Forever ... Greatest Hits ( 2002 )   Never Forget -- The Ultimate Collection ( 2005 )   The Platinum Collection ( 2006 )       Singles     `` Do What U Like ''   `` Promises ''   `` Once You 've Tasted Love ''   `` It Only Takes a Minute ''   `` I Found Heaven ''   `` A Million Love Songs ''   `` Could It Be Magic ''   `` Why Ca n't I Wake Up with You ''   `` Pray ''   `` Relight My Fire ''   `` Babe ''   `` Everything Changes ''   `` Love Ai n't Here Anymore ''   `` Sure ''   `` Back for Good ''   `` Never Forget ''   `` How Deep Is Your Love ''   `` Patience ''   `` Shine ''   `` I 'd Wait for Life ''   `` Reach Out ''   `` Rule the World ''   `` Greatest Day ''   `` Up All Night ''   `` The Garden ''   `` Said It All ''   `` Hold Up a Light ''   `` The Flood ''   `` Kidz ''   `` Happy Now ''   `` Love Love ''   `` When We Were Young ''   `` These Days ''   `` Let in the Sun ''   `` Higher Than Higher ''   `` Hey Boy ''   `` Cry ''   `` Giants ''       Tours     Party Tour   Everything Changes Tour   Pops Tour   Nobody Else Tour   The Ultimate Tour   Beautiful World Tour 2007   Take That Present : The Circus Live   Progress Live   Take That Live   Wonderland Live       Television     Take That : For the Record   Take That 's Countdown to Midnight       Theatre     Never Forget : The Musical   The Band       Related articles     Discography   Songs   Nigel Martin - Smith   John Shanks   Stuart Price   SingStar Take That                 Ricky Martin singles     1990s releases      Ricky Martin ( 1991 )     `` Fuego Contra Fuego ''   `` El Amor de Mi Vida ''   `` Vuelo ''   `` Dime Que Me Quieres ''   `` Susana ''   `` Juego de Ajedrez ''   `` Ser Feliz ''       Me Amarás ( 1993 )     `` Me Amarás ''   `` Que Día Es Hoy ''   `` Entre el Amor y los Halagos ''   `` No Me Pidas Más ''       A Medio Vivir ( 1995 )     `` Te Extraño , Te Olvido , Te Amo ''   `` María ''   `` A Medio Vivir ''   `` Fuego de Noche , Nieve de Día ''   `` Cómo Decirte Adiós ''   `` Bombón de Azúcar ''   `` Volverás ''   `` Nada es Imposible ''   `` Corazón ''   `` Dónde Estarás ''       Vuelve ( 1998 )     `` No Importa la Distancia ''   `` Vuelve ''   `` The Cup of Life ''   `` La Bomba ''   `` Perdido Sin Ti ''   `` Por Arriba , Por Abajo ''   `` Casi un Bolero ''   `` Corazonado ''       Ricky Martin ( 1999 )     `` Livin ' la Vida Loca ''   `` She 's All I Ever Had ''   `` Shake Your Bon - Bon ''   `` Private Emotion ''          2000s releases      Sound Loaded ( 2000 )     `` She Bangs ''   `` Nobody Wants to Be Lonely ''   `` Loaded ''   `` Cambia la Piel ''       The Best of Ricky Martin ( 2001 )     `` Amor ''   `` Come to Me ''       Almas del Silencio ( 2003 )     `` Tal Vez ''   `` Jaleo ''   `` Asignatura Pendiente ''   `` Juramento ''   `` Y Todo Queda en Nada ''       Life ( 2005 )     `` I Do n't Care ''   `` Drop It on Me ''   `` It 's Alright ''       MTV Unplugged ( 2006 )     `` Tu Recuerdo ''   `` Pégate ''   `` Gracias por Pensar en Mi ''   `` Con Tu Nombre ''       Ricky Martin ... Live Black &amp; White Tour ( 2007 )     `` Somos la Semilla ''          2010s releases      Música + Alma + Sexo ( 2011 )     `` The Best Thing About Me Is You / Lo Mejor de Mi Vida Eres Tú ''   `` Shine ''   `` Más ''   `` Frío ''   `` Samba ''       A Quien Quiera Escuchar ( 2015 )     `` Adiós ''   `` Disparo al Corazón ''   `` La Mordidita ''   `` Perdóname ''          Other releases      Other songs     `` Relight My Fire ( 2003 )   `` Come with Me '' ( 2013 )   `` Vida '' ( 2014 )   `` Mr. Put It Down '' ( 2015 )   `` Vente Pa ' Ca ''       Collaborations     `` Puedes Llegar '' ( 1996 )   `` Ask for More '' ( 1999 )   `` Non siamo soli '' ( 2007 )   `` Más y Más '' ( 2013 )   `` Adrenalina '' ( 2014 )   `` Que Se Sienta El Deseo '' ( 2015 )   `` Escápate Conmigo '' ( 2017 )       Charity songs     `` El Ultimo Adios ( The Last Goodbye ) '' ( 2001 )   `` What More Can I Give '' ( 2003 )   `` Somos El Mundo 25 Por Haiti '' ( 2010 )                    Lulu     Studio albums     Something to Shout About   Love Loves to Love Lulu   Lulu 's Album   New Routes   Melody Fair   Lulu   Heaven and Earth and the Stars   Do n't Take Love for Granted   Lulu   Take Me to Your Heart Again   Independence   Together   Back on Track   A Little Soul in Your Heart   Making Life Rhyme       Compilation albums     The Most of Lulu   The Greatest Hits       Selected singles     `` Shout ''   `` Ca n't Hear You No More ''   `` Here Comes the Night ''   `` Call Me ''   `` To Sir With Love ''   `` Morning Dew ''   `` Boom Bang - a-Bang ''   `` Oh Me Oh My ( I 'm a Fool for You Baby ) ''   `` Everybody Clap ''   `` The Man Who Sold the World ''   `` The Man with the Golden Gun ''   `` I Could Never Miss You ( More Than I Do ) ''   `` My Boy Lollipop ''   `` Nellie the Elephant ''   `` Relight My Fire '' ( with Take That )   `` How ' Bout Us ''   `` Where the Poor Boys Dance ''   `` We 've Got Tonight '' ( with Ronan Keating )   `` Put a Little Love in Your Heart ''   `` Run Rudolph Run ''       Related articles     Discography   Eurovision Song Contest 1969   UK     Here Come the Girls       Book : Lulu    Retrieved from `` https://en.wikipedia.org/w/index.php?title=Relight_My_Fire&amp;oldid=816895688 '' Categories :   1979 singles   1979 songs   1993 singles   Dan Hartman songs   Take That songs   Lulu ( singer ) songs   Loleatta Holloway songs   Billboard Dance Club Songs number - one singles   Disco songs   UK Singles Chart number - one singles   Song recordings produced by Dan Hartman   Songs written by Dan Hartman   Hidden categories :   CS1 German - language sources ( de )   CS1 Dutch - language sources ( nl )   Use mdy dates from September 2017   Articles with hAudio microformats   All articles with unsourced statements   Articles with unsourced statements from September 2017   Music infoboxes with deprecated parameters   Singlechart usages for Billboarddanceclubplay   Singlechart called without song           Talk                                           Contents                   About Wikipedia                                           Deutsch   Italiano   ქართული   Nederlands   </t>
    </r>
    <r>
      <rPr>
        <sz val="11"/>
        <color rgb="FF000000"/>
        <rFont val="Noto Sans CJK SC"/>
        <family val="2"/>
      </rPr>
      <t xml:space="preserve">日本 語   </t>
    </r>
    <r>
      <rPr>
        <sz val="11"/>
        <color rgb="FF000000"/>
        <rFont val="Calibri"/>
        <family val="0"/>
        <charset val="1"/>
      </rPr>
      <t xml:space="preserve">Русский   Edit links   This page was last edited on 24 December 2017 , at 13 : 28 .         About Wikipedia                    </t>
    </r>
  </si>
  <si>
    <t xml:space="preserve">who sang relight my fire before take that</t>
  </si>
  <si>
    <t xml:space="preserve"> `` Relight My Fire '' is a popular song which was written and released by Dan Hartman in 1979 , when it topped the US dance music charts for six weeks . It was also performed by Costa Anadiotis ' band Café Society in 1984 and British boy band Take That ( with Lulu in a featured role ) in 1993 . </t>
  </si>
  <si>
    <t xml:space="preserve">Capacitor - wikipedia  Capacitor  Jump to : navigation , search This article is about the device . For the physical phenomenon , see capacitance . For an overview of various kinds of capacitors , see types of capacitor . `` Capacitive '' redirects here . For the term used when referring to touchscreens , see capacitive sensing .  Capacitor       Type   Passive     Invented   Ewald Georg von Kleist     Electronic symbol         A capacitor is a passive two - terminal electrical component that stores potential energy in an electric field . The effect of a capacitor is known as capacitance . While some capacitance exists between any two electrical conductors in proximity in a circuit , a capacitor is a component designed to add capacitance to a circuit . The capacitor was originally known as a condenser .   The physical form and construction of practical capacitors vary widely and many capacitor types are in common use . Most capacitors contain at least two electrical conductors often in the form of metallic plates or surfaces separated by a dielectric medium . A conductor may be a foil , thin film , sintered bead of metal , or an electrolyte . The nonconducting dielectric acts to increase the capacitor 's charge capacity . Materials commonly used as dielectrics include glass , ceramic , plastic film , paper , mica , and oxide layers . Capacitors are widely used as parts of electrical circuits in many common electrical devices . Unlike a resistor , an ideal capacitor does not dissipate energy .   When two conductors experience a potential difference , for example , when a capacitor is attached across a battery , an electric field develops across the dielectric , causing a net positive charge to collect on one plate and net negative charge to collect on the other plate . No current actually flows through the dielectric , however , there is a flow of charge through the source circuit . If the condition is maintained sufficiently long , the current through the source circuit ceases . However , if a time - varying voltage is applied across the leads of the capacitor , the source experiences an ongoing current due to the charging and discharging cycles of the capacitor .   Capacitance is defined as the ratio of the electric charge on each conductor to the potential difference between them . The unit of capacitance in the International System of Units ( SI ) is the farad ( F ) , defined as one coulomb per volt ( 1 C / V ) . Capacitance values of typical capacitors for use in general electronics range from about 1 picofarad ( pF ) ( 10 F ) to about 1 millifarad ( mF ) ( 10 F ) .   The capacitance of a capacitor is proportional to the surface area of the plates ( conductors ) and inversely related to the gap between them . In practice , the dielectric between the plates passes a small amount of leakage current . It has an electric field strength limit , known as the breakdown voltage . The conductors and leads introduce an undesired inductance and resistance .   Capacitors are widely used in electronic circuits for blocking direct current while allowing alternating current to pass . In analog filter networks , they smooth the output of power supplies . In resonant circuits they tune radios to particular frequencies . In electric power transmission systems , they stabilize voltage and power flow . The property of energy storage in capacitors was exploited as dynamic memory in early digital computers .     Contents  ( hide )   1 History   2 Theory of operation   2.1 Overview   2.2 Hydraulic analogy   2.3 Parallel - plate model   2.4 Energy stored in a capacitor   2.5 Current -- voltage relation   2.6 DC circuits   2.7 AC circuits   2.8 Laplace circuit analysis ( s - domain )   2.9 Circuit analysis     3 Non-ideal behavior   3.1 Breakdown voltage   3.2 Equivalent circuit   3.3 Q factor   3.4 Ripple current   3.5 Capacitance instability   3.6 Current and voltage reversal   3.7 Dielectric absorption   3.8 Leakage   3.9 Electrolytic failure from disuse     4 Capacitor types   4.1 Dielectric materials   4.2 Voltage - dependent capacitors   4.3 Frequency - dependent capacitors   4.4 Styles     5 Capacitor markings   5.1 Letter and digit code   5.2 Historical     6 Applications   6.1 Energy storage   6.2 Digital memory   6.3 Pulsed power and weapons   6.4 Power conditioning   6.4. 1 Power factor correction     6.5 Suppression and coupling   6.5. 1 Signal coupling   6.5. 2 Decoupling   6.5. 3 High - pass and low - pass filters   6.5. 4 Noise suppression , spikes , and snubbers     6.6 Motor starters   6.7 Signal processing   6.7. 1 Tuned circuits     6.8 Sensing   6.9 Oscillators   6.10 Producing light     7 Hazards and safety   8 See also   9 References   10 Bibliography   11 External links      History ( edit )  Battery of four Leyden jars in Museum Boerhaave , Leiden , the Netherlands  In October 1745 , Ewald Georg von Kleist of Pomerania , Germany , found that charge could be stored by connecting a high - voltage electrostatic generator by a wire to a volume of water in a hand - held glass jar . Von Kleist 's hand and the water acted as conductors , and the jar as a dielectric ( although details of the mechanism were incorrectly identified at the time ) . Von Kleist found that touching the wire resulted in a powerful spark , much more painful than that obtained from an electrostatic machine . The following year , the Dutch physicist Pieter van Musschenbroek invented a similar capacitor , which was named the Leyden jar , after the University of Leiden where he worked . He also was impressed by the power of the shock he received , writing , `` I would not take a second shock for the kingdom of France . ''   Daniel Gralath was the first to combine several jars in parallel to increase the charge storage capacity . Benjamin Franklin investigated the Leyden jar and came to the conclusion that the charge was stored on the glass , not in the water as others had assumed . He also adopted the term `` battery '' , ( denoting the increasing of power with a row of similar units as in a battery of cannon ) , subsequently applied to clusters of electrochemical cells . Leyden jars were later made by coating the inside and outside of jars with metal foil , leaving a space at the mouth to prevent arcing between the foils . The earliest unit of capacitance was the jar , equivalent to about 1.11 nanofarads .   Leyden jars or more powerful devices employing flat glass plates alternating with foil conductors were used exclusively up until about 1900 , when the invention of wireless ( radio ) created a demand for standard capacitors , and the steady move to higher frequencies required capacitors with lower inductance . More compact construction methods began to be used , such as a flexible dielectric sheet ( like oiled paper ) sandwiched between sheets of metal foil , rolled or folded into a small package .   Early capacitors were known as condensers , a term that is still occasionally used today , particularly in high power applications , such as automotive systems . The term was first used for this purpose by Alessandro Volta in 1782 , with reference to the device 's ability to store a higher density of electric charge than was possible with an isolated conductor . The term became deprecated because of the ambiguous meaning of steam condenser , with capacitor becoming the recommended term from 1926 .   Since the beginning of the study of electricity non conductive materials like glass , porcelain , paper and mica have been used as insulators . These materials some decades later were also well - suited for further use as the dielectric for the first capacitors . Paper capacitors made by sandwiching a strip of impregnated paper between strips of metal , and rolling the result into a cylinder were commonly used in the late 19th century ; their manufacture started in 1876 , and they were used from the early 20th century as decoupling capacitors in telecommunications ( telephony ) .   Porcelain was used in the first ceramic capacitors . In the early years of Marconi 's wireless transmitting apparatus porcelain capacitors were used for high voltage and high frequency application in the transmitters . On the receiver side smaller mica capacitors were used for resonant circuits . Mica dielectric capacitors were invented in 1909 by William Dubilier . Prior to World War II , mica was the most common dielectric for capacitors in the United States .   Charles Pollak ( born Karol Pollak ) , the inventor of the first electrolytic capacitors , found out that the oxide layer on an aluminum anode remained stable in a neutral or alkaline electrolyte , even when the power was switched off . In 1896 he was granted U.S. Patent No. 672,913 for an `` Electric liquid capacitor with aluminum electrodes . '' Solid electrolyte tantalum capacitors were invented by Bell Laboratories in the early 1950s as a miniaturized and more reliable low - voltage support capacitor to complement their newly invented transistor .   With the development of plastic materials by organic chemists during the Second World War , the capacitor industry began to replace paper with thinner polymer films . One very early development in film capacitors was described in British Patent 587,953 in 1944 .   Last but not least the electric double - layer capacitor ( now Supercapacitors ) were invented . In 1957 H. Becker developed a `` Low voltage electrolytic capacitor with porous carbon electrodes '' . He believed that the energy was stored as a charge in the carbon pores used in his capacitor as in the pores of the etched foils of electrolytic capacitors . Because the double layer mechanism was not known by him at the time , he wrote in the patent : `` It is not known exactly what is taking place in the component if it is used for energy storage , but it leads to an extremely high capacity . ''   Theory of operation ( edit )  Main article : Capacitance  Overview ( edit )  Charge separation in a parallel - plate capacitor causes an internal electric field . A dielectric ( orange ) reduces the field and increases the capacitance . A simple demonstration capacitor made of two parallel metal plates , using an air gap as the dielectric .  A capacitor consists of two conductors separated by a non-conductive region . The non-conductive region can either be a vacuum or an electrical insulator material known as a dielectric . Examples of dielectric media are glass , air , paper , plastic , ceramic , and even a semiconductor depletion region chemically identical to the conductors . From Coulomb 's law a charge on one conductor will exert a force on the charge carriers within the other conductor , attracting opposite polarity charge and repelling like polarity charges , thus an opposite polarity charge will be induced on the surface of the other conductor . The conductors thus hold equal and opposite charges on their facing surfaces , and the dielectric develops an electric field .   An ideal capacitor is characterized by a constant capacitance C , in farads in the SI system of units , defined as the ratio of the positive or negative charge Q on each conductor to the voltage V between them :    C = Q V ( \ displaystyle C = ( \ frac ( Q ) ( V ) ) )    A capacitance of one farad ( F ) means that one coulomb of charge on each conductor causes a voltage of one volt across the device . Because the conductors ( or plates ) are close together , the opposite charges on the conductors attract one another due to their electric fields , allowing the capacitor to store more charge for a given voltage than when the conductors are separated , yielding a larger capacitance .   In practical devices , charge build - up sometimes affects the capacitor mechanically , causing its capacitance to vary . In this case , capacitance is defined in terms of incremental changes :    C = d Q d V ( \ displaystyle C = ( \ frac ( \ mathrm ( d ) Q ) ( \ mathrm ( d ) V ) ) )    Hydraulic analogy ( edit )  In the hydraulic analogy , a capacitor is analogous to a rubber membrane sealed inside a pipe -- this animation illustrates a membrane being repeatedly stretched and un-stretched by the flow of water , which is analogous to a capacitor being repeatedly charged and discharged by the flow of charge  In the hydraulic analogy , charge carriers flowing through a wire are analogous to water flowing through a pipe . A capacitor is like a rubber membrane sealed inside a pipe . Water molecules can not pass through the membrane , but some water can move by stretching the membrane . The analogy clarifies a few aspects of capacitors :    The current alters the charge on a capacitor , just as the flow of water changes the position of the membrane . More specifically , the effect of an electric current is to increase the charge of one plate of the capacitor , and decrease the charge of the other plate by an equal amount . This is just as when water flow moves the rubber membrane , it increases the amount of water on one side of the membrane , and decreases the amount of water on the other side .   The more a capacitor is charged , the larger its voltage drop ; i.e. , the more it `` pushes back '' against the charging current . This is analogous to the more a membrane is stretched , the more it pushes back on the water .   Charge can flow `` through '' a capacitor even though no individual electron can get from one side to the other . This is analogous to water flowing through the pipe even though no water molecule can pass through the rubber membrane . The flow can not continue in the same direction forever ; the capacitor experiences dielectric breakdown , and analogously the membrane will eventually break .   The capacitance describes how much charge can be stored on one plate of a capacitor for a given `` push '' ( voltage drop ) . A very stretchy , flexible membrane corresponds to a higher capacitance than a stiff membrane .   A charged - up capacitor is storing potential energy , analogously to a stretched membrane .    Parallel - plate model ( edit )  Parallel plate capacitor model consists of two conducting plates , each of area A , separated by a gap of thickness d containing a dielectric .  The simplest model capacitor consists of two thin parallel conductive plates each with an area of A ( \ displaystyle A ) separated by a uniform gap of thickness d ( \ displaystyle d ) filled with a dielectric with permittivity ε ( \ displaystyle \ epsilon ) . It is assumed the gap d ( \ displaystyle d ) is much smaller than the dimensions of the plates . This model applies well to many practical capacitors which are constructed of metal sheets separated by a thin layer of insulating dielectric , since manufacturers try to keep the dielectric very uniform in thickness to avoid thin spots which can cause failure of the capacitor .   Since the separation between the plates is uniform over the plate area , the electric field between the plates E ( \ displaystyle E ) is constant , and directed perpendicularly to the plate surface , except for an area near the edges of the plates where the field decreases because the electric field lines `` bulge '' out of the sides of the capacitor . This `` fringing field '' area is approximately the same width as the plate separation , d ( \ displaystyle d ) , and assuming d ( \ displaystyle d ) is small compared to the plate dimensions , it is small enough to be ignored . Therefore if a charge of + Q ( \ displaystyle + Q ) is placed on one plate and − Q ( \ displaystyle - Q ) on the other plate , the charge on each plate will be spread evenly in a surface charge layer of constant charge density σ = ± Q / A ( \ displaystyle \ sigma = \ pm Q / A ) coulombs per square meter , on the inside surface of each plate . From Gauss 's law the magnitude of the electric field between the plates is E = σ / ε ( \ displaystyle E = \ sigma / \ epsilon ) . The voltage V ( \ displaystyle V ) between the plates is defined as the line integral of the electric field over a line from one plate to another    V = ∫ 0 d E ( z ) d z = E d = σ ε d = Q d ε A ( \ displaystyle V = \ int _ ( 0 ) ^ ( d ) E ( z ) \ , \ mathrm ( d ) z = Ed = ( \ sigma \ over \ epsilon ) d = ( Qd \ over \ epsilon A ) )    The capacitance is defined as C = Q / V ( \ displaystyle C = Q / V ) . Substituting V ( \ displaystyle V ) above into this equation        C = ε A d ( \ displaystyle C = ( \ epsilon A \ over d ) )        Therefore in a capacitor the highest capacitance is achieved with a high permittivity dielectric material , large plate area , and small separation between the plates .   Since the area A ( \ displaystyle A ) of the plates increases with the square of the linear dimensions and the separation d ( \ displaystyle d ) increases linearly , the capacitance scales with the linear dimension of a capacitor ( C ∝ L ( \ displaystyle C \ varpropto L ) ) , or as the cube root of the volume .   A parallel plate capacitor can only store a finite amount of energy before dielectric breakdown occurs . The capacitor 's dielectric material has a dielectric strength U which sets the capacitor 's breakdown voltage at V = V = U d . The maximum energy that the capacitor can store is therefore    E = 1 2 C V 2 = 1 2 ε A d ( U d d ) 2 = 1 2 ε A d U d 2 ( \ displaystyle E = ( \ frac ( 1 ) ( 2 ) ) CV ^ ( 2 ) = ( \ frac ( 1 ) ( 2 ) ) ( \ frac ( \ epsilon A ) ( d ) ) ( U_ ( d ) d ) ^ ( 2 ) = ( \ frac ( 1 ) ( 2 ) ) \ epsilon AdU_ ( d ) ^ ( 2 ) )    The maximum energy is a function of dielectric volume , permittivity , and dielectric strength . Changing the plate area and the separation between the plates while maintaining the same volume causes no change of the maximum amount of energy that the capacitor can store , so long as the distance between plates remains much smaller than both the length and width of the plates . In addition , these equations assume that the electric field is entirely concentrated in the dielectric between the plates . In reality there are fringing fields outside the dielectric , for example between the sides of the capacitor plates , which increase the effective capacitance of the capacitor . This is sometimes called parasitic capacitance . For some simple capacitor geometries this additional capacitance term can be calculated analytically . It becomes negligibly small when the ratios of plate width to separation and length to separation are large .   Energy stored in a capacitor ( edit )   To increase the charge and voltage on a capacitor , work must be done by an external power source to move charge from the negative to the positive plate against the opposing force of the electric field . If the voltage on the capacitor is V ( \ displaystyle V ) , the work d W ( \ displaystyle dW ) required to move a small increment of charge d q ( \ displaystyle dq ) from the negative to the positive plate is d W = V d q ( \ displaystyle dW = Vdq ) . The energy is stored in the increased electric field between the plates . The total energy stored in a capacitor is equal to the total work done in establishing the electric field from an uncharged state .    W = ∫ 0 Q V ( q ) d q = ∫ 0 Q q C d q = 1 2 Q 2 C = 1 2 V Q = 1 2 C V 2 ( \ displaystyle W = \ int _ ( 0 ) ^ ( Q ) V ( q ) \ mathrm ( d ) q = \ int _ ( 0 ) ^ ( Q ) ( \ frac ( q ) ( C ) ) \ mathrm ( d ) q = ( 1 \ over 2 ) ( Q ^ ( 2 ) \ over C ) = ( 1 \ over 2 ) VQ = ( 1 \ over 2 ) CV ^ ( 2 ) )    where Q ( \ displaystyle Q ) is the charge stored in the capacitor , V ( \ displaystyle V ) is the voltage across the capacitor , and C ( \ displaystyle C ) is the capacitance . This potential energy will remain in the capacitor until the charge is removed . If charge is allowed to move back from the positive to the negative plate , for example by connecting a circuit with resistance between the plates , the charge moving under the influence of the electric field will do work on the external circuit .   If the gap between the capacitor plates d ( \ displaystyle d ) is constant , as in the parallel plate model above , the electric field between the plates will be uniform ( neglecting fringing fields ) and will have a constant value E = V / d ( \ displaystyle E = V / d ) . In this case the stored energy can be calculated from the electric field strength    W = 1 2 C V 2 = 1 2 ε A d ( E d ) 2 = 1 2 ε A d E 2 = 1 2 ε E 2 ( volume of electric field ) ( \ displaystyle W = ( 1 \ over 2 ) CV ^ ( 2 ) = ( 1 \ over 2 ) ( \ epsilon A \ over d ) ( Ed ) ^ ( 2 ) = ( 1 \ over 2 ) \ epsilon AdE ^ ( 2 ) = ( 1 \ over 2 ) \ epsilon E ^ ( 2 ) ( ( \ text ( volume of electric field ) ) ) )    The last formula above is equal to the energy density per unit volume in the electric field multiplied by the volume of field between the plates , confirming that the energy in the capacitor is stored in its electric field .   Current -- voltage relation ( edit )   The current I ( t ) through any component in an electric circuit is defined as the rate of flow of a charge Q ( t ) passing through it , but actual charges -- electrons -- can not pass through the dielectric layer of a capacitor . Rather , one electron accumulates on the negative plate for each one that leaves the positive plate , resulting in an electron depletion and consequent positive charge on one electrode that is equal and opposite to the accumulated negative charge on the other . Thus the charge on the electrodes is equal to the integral of the current as well as proportional to the voltage , as discussed above . As with any antiderivative , a constant of integration is added to represent the initial voltage V ( t ) . This is the integral form of the capacitor equation :    V ( t ) = Q ( t ) C = 1 C ∫ t 0 t I ( τ ) d τ + V ( t 0 ) ( \ displaystyle V ( t ) = ( \ frac ( Q ( t ) ) ( C ) ) = ( \ frac ( 1 ) ( C ) ) \ int _ ( t_ ( 0 ) ) ^ ( t ) I ( \ tau ) \ mathrm ( d ) \ tau + V ( t_ ( 0 ) ) )    Taking the derivative of this and multiplying by C yields the derivative form :    I ( t ) = d Q ( t ) d t = C d V ( t ) d t ( \ displaystyle I ( t ) = ( \ frac ( \ mathrm ( d ) Q ( t ) ) ( \ mathrm ( d ) t ) ) = C ( \ frac ( \ mathrm ( d ) V ( t ) ) ( \ mathrm ( d ) t ) ) )    The dual of the capacitor is the inductor , which stores energy in a magnetic field rather than an electric field . Its current - voltage relation is obtained by exchanging current and voltage in the capacitor equations and replacing C with the inductance L .   DC circuits ( edit )  See also : RC circuit A simple resistor - capacitor circuit demonstrates charging of a capacitor .  A series circuit containing only a resistor , a capacitor , a switch and a constant DC source of voltage V is known as a charging circuit . If the capacitor is initially uncharged while the switch is open , and the switch is closed at t , it follows from Kirchhoff 's voltage law that    V 0 = v resistor ( t ) + v capacitor ( t ) = i ( t ) R + 1 C ∫ t 0 t i ( τ ) d τ ( \ displaystyle V_ ( 0 ) = v_ ( \ text ( resistor ) ) ( t ) + v_ ( \ text ( capacitor ) ) ( t ) = i ( t ) R+ ( \ frac ( 1 ) ( C ) ) \ int _ ( t_ ( 0 ) ) ^ ( t ) i ( \ tau ) \ mathrm ( d ) \ tau )    Taking the derivative and multiplying by C , gives a first - order differential equation :    R C d i ( t ) d t + i ( t ) = 0 ( \ displaystyle RC ( \ frac ( \ mathrm ( d ) i ( t ) ) ( \ mathrm ( d ) t ) ) + i ( t ) = 0 )    At t = 0 , the voltage across the capacitor is zero and the voltage across the resistor is V . The initial current is then I ( 0 ) = V / R. With this assumption , solving the differential equation yields    I ( t ) = V 0 R ⋅ e − t τ 0 V ( t ) = V 0 ( 1 − e − t τ 0 ) Q ( t ) = C ⋅ V 0 ( 1 − e − t τ 0 ) ( \ displaystyle ( \ begin ( aligned ) I ( t ) &amp; = ( \ frac ( V_ ( 0 ) ) ( R ) ) \ cdot e ^ ( \ frac ( - t ) ( \ tau _ ( 0 ) ) ) \ \ V ( t ) &amp; = V_ ( 0 ) \ left ( 1 - e ^ ( \ frac ( - t ) ( \ tau _ ( 0 ) ) ) \ right ) \ \ Q ( t ) &amp; = C \ cdot V_ ( 0 ) \ left ( 1 - e ^ ( \ frac ( - t ) ( \ tau _ ( 0 ) ) ) \ right ) \ end ( aligned ) ) )    where τ = RC , the time constant of the system . As the capacitor reaches equilibrium with the source voltage , the voltages across the resistor and the current through the entire circuit decay exponentially . In the case of a discharging capacitor , the capacitor 's initial voltage ( V ) replaces V . The equations become    I ( t ) = V C i R ⋅ e − t τ 0 V ( t ) = V C i ⋅ e − t τ 0 Q ( t ) = C ⋅ V C i ⋅ e − t τ 0 ( \ displaystyle ( \ begin ( aligned ) I ( t ) &amp; = ( \ frac ( V_ ( Ci ) ) ( R ) ) \ cdot e ^ ( \ frac ( - t ) ( \ tau _ ( 0 ) ) ) \ \ V ( t ) &amp; = V_ ( Ci ) \ cdot e ^ ( \ frac ( - t ) ( \ tau _ ( 0 ) ) ) \ \ Q ( t ) &amp; = C \ cdot V_ ( Ci ) \ cdot e ^ ( \ frac ( - t ) ( \ tau _ ( 0 ) ) ) \ end ( aligned ) ) )    AC circuits ( edit )  See also : reactance ( electronics ) and electrical impedance § Deriving the device - specific impedances  Impedance , the vector sum of reactance and resistance , describes the phase difference and the ratio of amplitudes between sinusoidally varying voltage and sinusoidally varying current at a given frequency . Fourier analysis allows any signal to be constructed from a spectrum of frequencies , whence the circuit 's reaction to the various frequencies may be found . The reactance and impedance of a capacitor are respectively    X = − 1 ω C = − 1 2 π f C Z = 1 j ω C = − j ω C = − j 2 π f C ( \ displaystyle ( \ begin ( aligned ) X&amp; = - ( \ frac ( 1 ) ( \ omega C ) ) = - ( \ frac ( 1 ) ( 2 \ pi fC ) ) \ \ Z&amp; = ( \ frac ( 1 ) ( j \ omega C ) ) = - ( \ frac ( j ) ( \ omega C ) ) = - ( \ frac ( j ) ( 2 \ pi fC ) ) \ end ( aligned ) ) )    where j is the imaginary unit and ω is the angular frequency of the sinusoidal signal . The − j phase indicates that the AC voltage V = ZI lags the AC current by 90 ° : the positive current phase corresponds to increasing voltage as the capacitor charges ; zero current corresponds to instantaneous constant voltage , etc .   Impedance decreases with increasing capacitance and increasing frequency . This implies that a higher - frequency signal or a larger capacitor results in a lower voltage amplitude per current amplitude -- an AC `` short circuit '' or AC coupling . Conversely , for very low frequencies , the reactance is high , so that a capacitor is nearly an open circuit in AC analysis -- those frequencies have been `` filtered out '' .   Capacitors are different from resistors and inductors in that the impedance is inversely proportional to the defining characteristic ; i.e. , capacitance .   A capacitor connected to a sinusoidal voltage source causes a displacement current to flow through it . In the case that the voltage source is V cos ( ωt ) , the displacement current can be expressed as :    I = C d V d t = − ω C V 0 sin ⁡ ( ω t ) ( \ displaystyle I = C ( \ frac ( dV ) ( dt ) ) = - \ omega ( C ) ( V_ ( \ text ( 0 ) ) ) \ sin ( \ omega t ) )    At sin ( ωt ) = - 1 , the capacitor has a maximum ( or peak ) current whereby I = ωCV . The ratio of peak voltage to peak current is due to capacitive reactance ( denoted X ) .   X C = V 0 I 0 = V 0 ω C V 0 = 1 ω C ( \ displaystyle X_ ( C ) = ( \ frac ( V_ ( \ text ( 0 ) ) ) ( I_ ( \ text ( 0 ) ) ) ) = ( \ frac ( V_ ( \ text ( 0 ) ) ) ( \ omega CV_ ( \ text ( 0 ) ) ) ) = ( \ frac ( 1 ) ( \ omega C ) ) )   X approaches zero as ω approaches infinity . If X approaches 0 , the capacitor resembles a short wire that strongly passes current at high frequencies . X approaches infinity as ω approaches zero . If X approaches infinity , the capacitor resembles an open circuit that poorly passes low frequencies .   The current of the capacitor may be expressed in the form of cosines to better compare with the voltage of the source :    I = − I 0 sin ⁡ ( ω t ) = I 0 cos ⁡ ( ω t + 90 ∘ ) ( \ displaystyle I = - ( I_ ( \ text ( 0 ) ) ) ( \ sin ( ( \ omega t ) ) ) = ( I_ ( \ text ( 0 ) ) ) ( \ cos ( ( \ omega t ) + ( 90 ^ ( \ circ ) ) ) ) )    In this situation , the current is out of phase with the voltage by + π / 2 radians or + 90 degrees , i.e. the current leads the voltage by 90 ° .   Laplace circuit analysis ( s - domain ) ( edit )   When using the Laplace transform in circuit analysis , the impedance of an ideal capacitor with no initial charge is represented in the s domain by :    Z ( s ) = 1 s C ( \ displaystyle Z ( s ) = ( \ frac ( 1 ) ( sC ) ) )    where    C is the capacitance , and   s is the complex frequency .    Circuit analysis ( edit )  See also : Series and parallel circuits   For capacitors in parallel   Several capacitors in parallel Illustration of the parallel connection of two capacitors   Capacitors in a parallel configuration each have the same applied voltage . Their capacitances add up . Charge is apportioned among them by size . Using the schematic diagram to visualize parallel plates , it is apparent that each capacitor contributes to the total surface area .       C e q = ∑ i C i = C 1 + C 2 + ⋯ + C n ( \ displaystyle C_ ( \ mathrm ( eq ) ) = \ sum _ ( i ) C_ ( i ) = C_ ( 1 ) + C_ ( 2 ) + \ cdots + C_ ( n ) )       For capacitors in series   Several capacitors in series Illustration of the serial connection of two capacitors   Connected in series , the schematic diagram reveals that the separation distance , not the plate area , adds up . The capacitors each store instantaneous charge build - up equal to that of every other capacitor in the series . The total voltage difference from end to end is apportioned to each capacitor according to the inverse of its capacitance . The entire series acts as a capacitor smaller than any of its components .       1 C e q = ∑ i 1 C i = 1 C 1 + 1 C 2 + ⋯ + 1 C n ( \ displaystyle ( \ frac ( 1 ) ( C_ ( \ mathrm ( eq ) ) ) ) = \ sum _ ( i ) ( \ frac ( 1 ) ( C_ ( i ) ) ) = ( \ frac ( 1 ) ( C_ ( 1 ) ) ) + ( \ frac ( 1 ) ( C_ ( 2 ) ) ) + \ cdots + ( \ frac ( 1 ) ( C_ ( n ) ) ) )       Capacitors are combined in series to achieve a higher working voltage , for example for smoothing a high voltage power supply . The voltage ratings , which are based on plate separation , add up , if capacitance and leakage currents for each capacitor are identical . In such an application , on occasion , series strings are connected in parallel , forming a matrix . The goal is to maximize the energy storage of the network without overloading any capacitor . For high - energy storage with capacitors in series , some safety considerations must be applied to ensure one capacitor failing and leaking current does not apply too much voltage to the other series capacitors .     Series connection is also sometimes used to adapt polarized electrolytic capacitors for bipolar AC use . See electrolytic capacitor # Designing for reverse bias .     Voltage distribution in parallel - to - series networks .   To model the distribution of voltages from a single charged capacitor ( A ) ( \ displaystyle \ left ( A \ right ) ) connected in parallel to a chain of capacitors in series ( B n ) ( \ displaystyle \ left ( B_ ( \ text ( n ) ) \ right ) ) :       ( v o l t s ) A e q = A ( 1 − 1 n + 1 ) ( v o l t s ) B 1 ... n = A n ( 1 − 1 n + 1 ) A − B = 0 ( \ displaystyle ( \ begin ( aligned ) ( volts ) A_ ( \ mathrm ( eq ) ) &amp; = A \ left ( 1 - ( \ frac ( 1 ) ( n + 1 ) ) \ right ) \ \ ( volts ) B_ ( \ text ( 1 ... n ) ) &amp; = ( \ frac ( A ) ( n ) ) \ left ( 1 - ( \ frac ( 1 ) ( n + 1 ) ) \ right ) \ \ A-B &amp; = 0 \ end ( aligned ) ) )       Note : This is only correct if all capacitance values are equal .     The power transferred in this arrangement is :       P = 1 R ⋅ 1 n + 1 A volts ( A farads + B farads ) ( \ displaystyle P = ( \ frac ( 1 ) ( R ) ) \ cdot ( \ frac ( 1 ) ( n + 1 ) ) A_ ( \ text ( volts ) ) \ left ( A_ ( \ text ( farads ) ) + B_ ( \ text ( farads ) ) \ right ) )      Nonideal behavior ( edit )   Capacitors deviate from the ideal capacitor equation in a number of ways . Some of these , such as leakage current and parasitic effects are linear , or can be analyzed as nearly linear , and can be dealt with by adding virtual components to the equivalent circuit of an ideal capacitor . The usual methods of network analysis can then be applied . In other cases , such as with breakdown voltage , the effect is non-linear and ordinary ( normal , e.g. , linear ) network analysis can not be used , the effect must be dealt with separately . There is yet another group , which may be linear but invalidate the assumption in the analysis that capacitance is a constant . Such an example is temperature dependence . Finally , combined parasitic effects such as inherent inductance , resistance , or dielectric losses can exhibit non-uniform behavior at variable frequencies of operation .   Breakdown voltage ( edit )  Main article : Breakdown voltage  Above a particular ele</t>
  </si>
  <si>
    <t xml:space="preserve">what is the function of the capacitor in a circuit</t>
  </si>
  <si>
    <t xml:space="preserve"> A capacitor is a passive two - terminal electrical component that stores potential energy in an electric field . The effect of a capacitor is known as capacitance . While some capacitance exists between any two electrical conductors in proximity in a circuit , a capacitor is a component designed to add capacitance to a circuit . The capacitor was originally known as a condenser . </t>
  </si>
  <si>
    <t xml:space="preserve">Forage ( honey bee ) - Wikipedia  Forage ( honey bee )  Jump to : navigation , search      This article needs additional citations for verification . Please help improve this article by adding citations to reliable sources . Unsourced material may be challenged and removed . ( May 2013 ) ( Learn how and when to remove this template message )    European honey bee collecting nectar and pollen European honey bee flies back to the hive after collecting pollen . Pollen is temporarily stored in pollen baskets  For bees , their forage or food supply consists of nectar and pollen from blooming plants within flight range . The forage sources for honey bees are an important consideration for beekeepers . In order to determine where to locate hives for maximum honey production and brood one must consider the off - season . If there are no honey flows the bees may have to be fed . Bees that are used for pollination are usually fed in the holding yards . Forage is also significant for pollination management with other bee species . Nectar contains sugars that are the primary source of energy for the bees ' wing muscles and for heat for honey bee colonies for winter . Pollen provides the protein and trace minerals that are mostly fed to the brood in order to replace bees lost in the normal course of life cycle and colony activity .   As a rule of thumb the foraging area around a beehive extends for two miles ( 3 km ) , although bees have been observed foraging twice and three times this distance from the hive . Experiments have shown that beehives within 4 miles of a food source will gain weight , but beyond that the energy expended is greater than that gained during the foraging flight . Foraging at extreme distances wears out the wings of individual bees , reduces the life expectancy of foraging bees and therefore the efficiency of the colony . The minimum temperature for active honeybee foraging is approximately 55 ° F ( 13 ° C ) . Full foraging activity is not achieved until the temperature rises to 66 ° F ( 19 ° C ) . There are small differences in the races of the Western honey bees at what temperature they will start foraging .   The main nectar source and main pollen source differ widely with the latitude , region , season and type of vegetation . Bees are able to communicate direction and distance of a food source by means of the round dance , waggle dance and shaking signals .   In addition to nectar and pollen , honey bees may forage for a honeydew source in certain coniferous trees and on oaks . One Queen bee is essential to every hive as the only individual who can lay fertilized eggs necessary to rear workers and new queens and therefore continuation of the species .   See also ( edit )    Northern Nectar Sources for Honey Bees   Nectar source   Pollen source   Honeydew source   List of honey plants   Melliferous flower   Regional honeys   June Gap    References ( edit )    Jump up ^ Eckert , JE , The flight range of the honeybee , J. of Agricultural Research , v. 47 , no . 8 , p 257 - 285 ( 1933 )          This bee - related article is a stub . You can help Wikipedia by expanding it .            Retrieved from `` https://en.wikipedia.org/w/index.php?title=Forage_(honey_bee)&amp;oldid=717383760 '' Categories :   Western honey bee behavior   Flowers   Plants and pollinators   Pollination   Sustainable gardening   Bee stubs   Hidden categories :   Articles needing additional references from May 2013   All articles needing additional references   All stub articles           Talk                                                             About Wikipedia                                           Add links   This page was last edited on 27 April 2016 , at 10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</si>
  <si>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far do honey bees travel from their hive</t>
  </si>
  <si>
    <t xml:space="preserve"> As a rule of thumb the foraging area around a beehive extends for two miles ( 3 km ) , although bees have been observed foraging twice and three times this distance from the hive . Experiments have shown that beehives within 4 miles of a food source will gain weight , but beyond that the energy expended is greater than that gained during the foraging flight . Foraging at extreme distances wears out the wings of individual bees , reduces the life expectancy of foraging bees and therefore the efficiency of the colony . The minimum temperature for active honeybee foraging is approximately 55 ° F ( 13 ° C ) . Full foraging activity is not achieved until the temperature rises to 66 ° F ( 19 ° C ) . There are small differences in the races of the Western honey bees at what temperature they will start foraging . </t>
  </si>
  <si>
    <r>
      <rPr>
        <sz val="11"/>
        <color rgb="FF000000"/>
        <rFont val="Calibri"/>
        <family val="0"/>
        <charset val="1"/>
      </rPr>
      <t xml:space="preserve">National Basketball Association All - Star game - wikipedia  National Basketball Association All - Star game  Jump to : navigation , search    National Basketball Association All - Star Game     Frequency   Annual     Inaugurated   1951     Most recent   2017 ( New Orleans )     Previous event   2016 ( Toronto )     Next event   2018 ( Los Angeles )     Participants   Eastern Conference and Western Conference All - Stars     Organized by   National Basketball Association     The National Basketball Association All - Star Game is a basketball exhibition game hosted every February by the National Basketball Association ( NBA ) , matching a mix of the league 's star players from the Eastern Conference and the Western Conference . Each team consists of 12 players , making it 24 in total . It is the featured event of NBA All - Star Weekend . NBA All - Star Weekend is a three - day event which goes from Friday to Sunday . The All - Star game was first staged at the Boston Garden on March 2 , 1951 .   The starting lineup for each squad is selected by a combination of fan , player , and media voting , while the reserves are chosen by a vote among the head coaches from each squad 's respective conference . Coaches are not allowed to vote for their own players . If a selected player is injured and can not participate , the NBA commissioner selects a replacement . The vote leaders for each conferences are assigned as captains and can choose from a pool of players named as all - stars to form their teams . The newly formed teams will also play for a charity of choice to help the games remain competitive .   The head coach of the team with the best record in each conference is chosen to lead their respective conference in the All - Star Game , with a prohibition against repeat appearances . Known as the `` Riley Rule '' , it was created after perennially successful Los Angeles Lakers head coach Pat Riley earned the right to coach the Western Conference team eight times in nine seasons between 1982 and 1990 . The coach of the team with the next best record serves instead .   The 2017 All - Star weekend was originally awarded to Charlotte , North Carolina . On March 23 , 2016 , North Carolina passed House Bill 2 as a remedy to Charlotte Ordinance 7056 . This led to the NBA threatening to pull the game from Charlotte if the bill was not repealed or revised so as to not discriminate against the LGBT community . The NBA announced on July 21 , 2016 that the game would be moved from Charlotte to New Orleans .     Contents  ( hide )   1 History   2 Features of the All - Star Game   3 All - Star Game records   4 All - Star Game results   5 Other All - Star events   6 See also   7 Notes   8 References   9 External links      History ( edit )   The idea of holding an All - Star Game was conceived during a meeting between NBA President Maurice Podoloff , NBA publicity director Haskell Cohen and Boston Celtics owner Walter A. Brown . At that time , the basketball world had just been stunned by the college basketball point - shaving scandal .   In order to regain public attention to the league , Cohen suggested the league to host an exhibition game featuring the league 's best players , similar to Major League Baseball 's All - Star Game . Although most people , including Podoloff , were pessimistic about the idea , Brown remained confident that it would be a success , and he even offered to host the game and to cover all the expenses or potential losses incurred from the game . In the first All - Star Game , the Eastern All - Stars team defeated the Western All - Stars team 111 -- 94 .   Boston Celtics ' Ed Macauley was named as the first NBA All - Star Game Most Valuable Player , and the All - Star Game became a success , drawing an attendance of 10,094 , much higher than that season 's average attendance of 3,500 . In 2010 , the NBA All Star Game attendance record was set when 108,713 fans jammed Cowboys Stadium in Arlington , Texas . This shattered the existing attendance record previously held at Ford Field on Dec. 13 , 2003 when 78,129 attendees watched Michigan State play Duke .   On October 3 , 2017 , the NBA and NBPA announced the changes to the NBA All - Star Game format starting with the 2018 NBA All - Star Game . The vote leaders for each conferences will be assigned as team captains and will be able to select players from the rest of the starters and the reserves , regardless of the conference they play in , to form their own teams . This marks the first time , the conferences will not play against each other since the inaugural All - Star game .   Features of the All - Star game ( edit )   The starting five from each conference consists of three frontcourt players and two guards , selected by a combination of fan , player , and media voting . In 2017 , the NBA moved from a pure fan vote to a weighted process wherein fan voting accounts for 50 % of the total and player and media voting account for 25 % each . The league made the change in response to social media campaigns that resulted in mediocre players such as journeyman Zaza Pachulia nearly being voted as All - Star starters over more deserving players. , Prior to 2013 , fans selected two forwards and one center instead of generic frontcourt players . The NBA in 2003 began offering All - Star ballots in three languages -- English , Spanish and Chinese -- for fan voting of the starters .   NBA coaches vote for the reserves for their respective conferences , none of which can be players on their own team . Each coach selects two guards , three frontcourt players and two wild cards , with each selected player ranked in order of preference within each category . If a multi-position player is to be selected , coaches are encouraged to vote for the player at the position that is `` most advantageous for the All - Star team '' , regardless of where the player is listed on the All - Star ballot or the position he is listed in box scores . If a player is unavailable for the game due to injury , the NBA commissioner selects a replacement for the roster . If the replacement is for a fan - selected starter , the all - star coach chooses the replacement in the starting lineup , and is not limited to the commissioner 's addition to the roster . It is also possible for more than one All - Star to be selected from one team , but there has never been more than 4 All - Stars represent a team in the game . Most recently was the 2017 Golden State Warriors who had 4 players represent that team ( Stephen Curry , Kevin Durant , Draymond Green , and Klay Thompson . ) This has only occurred 8 times dating back to 1962 Boston Celtics and the 1962 Los Angeles Lakers .   The Game is played under normal NBA rules , but there are notable differences from an average game . Since the starting All - Stars are selected by fan vote , players sometimes start the game at atypical positions . For instance , in 2007 Kobe Bryant and Tracy McGrady had the two highest fan vote totals among Western Conference guards . As both players normally play shooting guard , Bryant , who is 6'6 '' ( 198 cm ) , started the game as a point guard , despite him also manning the shooting guard position on his team .   The player introductions are usually accompanied by a significant amount of fanfare , including lighting effects , dance music , and pyrotechnics . Special uniforms are designed for the game each year , usually red for the Western Conference and blue for the Eastern Conference , but the 1997 -- 2002 games allowed players the opportunity to wear their respective team uniforms , and until 2009 and from 2015 to the present , the host conference wore light uniforms . Originally players from the same team who share a number have the option to either keep or change numbers ( e.g. Patrick Ewing trading his familiar # 33 for # 3 because of Larry Bird wearing the same number ) , but since 1997 players from the same team can keep their customary uniform numbers even if they share them . A major recording artist typically sings `` O Canada '' and `` The Star - Spangled Banner '' prior to tipoff . One of the more memorable performances was given by Marvin Gaye during the 1983 game ; Gaye was accompanied by Gordon Banks , who played a tape from an all night session that used numerous elements of soul music and funk , and Banks still has that historic tape of the music to which Gaye sang his soulful version .   Gameplay usually involves players attempting spectacular slam dunks and alley oops . Defensive effort is usually limited and the final score of the game is generally much higher than an average NBA game . The coaches also try to give most of the reserve players some time on the court instead of using a limited rotation as they would in a normal game , but giving the starters more minutes because that 's who the fans want to see most . The fourth quarter of the game is often played in a more competitive fashion , if the game is close .   Halftime is also longer than a typical NBA game due to musical performances by popular artists . Recent guests have included Michael Jackson , Snoop Dogg , Ariana Grande , Elton John , Beyoncé , Mariah Carey , OutKast , Alicia Keys , Shakira , Rihanna , Nicki Minaj , Kendrick Lamar , Christina Aguilera , and John Legend .   All - Star Game records ( edit )  Main article : NBA All - Star Game records  All - Star game results ( edit )   This is a list of each All - Star Game , the venue at which it was played , and the Game MVP . Parenthesized numbers indicate multiple times that venue , city , or player has occurred as of that instance ( e.g. `` Michael Jordan ( 2 ) '' in 1996 indicates that was his second All - Star MVP award ) . As of the 2017 All - Star Game ( the 2016 -- 17 NBA season ) , the Eastern Conference leads with a record of 37 wins and 29 losses . The Western Conference has won the last 3 games .     Eastern Conference ( 37 wins )   Western Conference ( 29 wins )     Note : Stadium names are named based on the name at the day of the All - Star Game .     Year   Result   Host arena   Host city   Game MVP     1951   East 111 , West 94   Boston Garden   Boston , Massachusetts   Ed Macauley , Boston Celtics     1952   East 108 , West 91   Boston Garden ( 2 )   Boston , Massachusetts ( 2 )   Paul Arizin , Philadelphia Warriors     1953   West 79 , East 75   Allen County War Memorial Coliseum   Fort Wayne , Indiana   George Mikan , Minneapolis Lakers     1954   East 98 , West 93 ( OT )   Madison Square Garden ( 1925 ) * *   New York City , New York   Bob Cousy , Boston Celtics     1955   East 100 , West 91   Madison Square Garden ( 1925 ) * * ( 2 )   New York City , New York ( 2 )   Bill Sharman , Boston Celtics     1956   West 108 , East 94   Rochester War Memorial Coliseum   Rochester , New York   Bob Pettit , St. Louis Hawks     1957   East 109 , West 97   Boston Garden ( 3 )   Boston , Massachusetts ( 3 )   Bob Cousy ( 2 ) , Boston Celtics     1958   East 130 , West 118   St. Louis Arena   St. Louis , Missouri   Bob Pettit ( 2 ) , St. Louis Hawks     1959   West 124 , East 108   Olympia Stadium   Detroit , Michigan   Elgin Baylor , Minneapolis Lakers Bob Pettit ( 3 ) , St. Louis Hawks     1960   East 125 , West 115   Convention Hall   Philadelphia , Pennsylvania   Wilt Chamberlain , Philadelphia Warriors     1961   West 153 , East 131   Onondaga County War Memorial Coliseum   Syracuse , New York   Oscar Robertson , Cincinnati Royals     1962   West 150 , East 130   St. Louis Arena ( 2 )   St. Louis , Missouri ( 2 )   Bob Pettit ( 4 ) , St. Louis Hawks     1963   East 115 , West 108   LA Sports Arena   Los Angeles , California   Bill Russell , Boston Celtics     1964   East 111 , West 107   Boston Garden ( 4 )   Boston , Massachusetts ( 4 )   Oscar Robertson ( 2 ) , Cincinnati Royals     1965   East 124 , West 123   St. Louis Arena ( 3 )   St. Louis , Missouri ( 3 )   Jerry Lucas , Cincinnati Royals     1966   East 137 , West 94   Cincinnati Gardens   Cincinnati , Ohio   Adrian Smith , Cincinnati Royals     1967   West 135 , East 120   Cow Palace   Daly City , California   Rick Barry , San Francisco Warriors     1968   East 144 , West 124   Madison Square Garden ( 1925 ) * * ( 3 )   New York City , New York ( 3 )   Hal Greer , Philadelphia 76ers     1969   East 123 , West 112   Baltimore Civic Center   Baltimore , Maryland   Oscar Robertson ( 3 ) , Cincinnati Royals     1970   East 142 , West 135   The Spectrum   Philadelphia , Pennsylvania ( 2 )   Willis Reed , New York Knicks     1971   West 108 , East 107   San Diego Sports Arena   San Diego , California   Lenny Wilkens , Seattle SuperSonics     1972   West 112 , East 110   The Forum   Inglewood , California   Jerry West , Los Angeles Lakers     1973   East 104 , West 84   Chicago Stadium   Chicago , Illinois   Dave Cowens , Boston Celtics       West 134 , East 123   Seattle Center Coliseum   Seattle , Washington   Bob Lanier , Detroit Pistons       East 108 , West 102   Arizona Veterans Memorial Coliseum   Phoenix , Arizona   Walt Frazier , New York Knicks     1976   East 123 , West 109   The Spectrum ( 2 )   Philadelphia , Pennsylvania ( 3 )   Dave Bing , Washington Bullets     1977   West 125 , East 124   Milwaukee Arena   Milwaukee , Wisconsin   Julius Erving , Philadelphia 76ers     1978   East 133 , West 125   Omni Coliseum   Atlanta , Georgia   Randy Smith , Buffalo Braves     1979   West 134 , East 129   Pontiac Silverdome   Pontiac , Michigan †   David Thompson , Denver Nuggets     1980   East 144 , West 136 ( OT )   Capital Centre   Landover , Maryland   George Gervin , San Antonio Spurs     1981   East 123 , West 120   Coliseum at Richfield   Richfield , Ohio   Nate Archibald , Boston Celtics     1982   East 120 , West 118   Brendan Byrne Arena   East Rutherford , New Jersey   Larry Bird , Boston Celtics       East 132 , West 123   The Forum ( 2 )   Inglewood , California ( 2 )   Julius Erving ( 2 ) , Philadelphia 76ers     1984   East 154 , West 145 ( OT )   McNichols Sports Arena   Denver , Colorado   Isiah Thomas , Detroit Pistons     1985   West 140 , East 129   Hoosier Dome   Indianapolis , Indiana †   Ralph Sampson , Houston Rockets     1986   East 139 , West 132   Reunion Arena   Dallas , Texas   Isiah Thomas ( 2 ) , Detroit Pistons       West 154 , East 149 ( OT )   Kingdome   Seattle , Washington † ( 2 )   Tom Chambers , Seattle SuperSonics     1988   East 138 , West 133   Chicago Stadium ( 2 )   Chicago , Illinois ( 2 )   Michael Jordan , Chicago Bulls     1989   West 143 , East 134   Astrodome   Houston , Texas †   Karl Malone , Utah Jazz     1990   East 130 , West 113   Miami Arena   Miami , Florida   Magic Johnson , Los Angeles Lakers     1991   East 116 , West 114   Charlotte Coliseum   Charlotte , North Carolina   Charles Barkley , Philadelphia 76ers     1992   West 153 , East 113   Orlando Arena   Orlando , Florida   Magic Johnson ( 2 ) , Los Angeles Lakers     1993   West 135 , East 132 ( OT )   Delta Center   Salt Lake City , Utah   Karl Malone ( 2 ) , Utah Jazz John Stockton , Utah Jazz     1994   East 127 , West 118   Target Center   Minneapolis , Minnesota   Scottie Pippen , Chicago Bulls     1995   West 139 , East 112   America West Arena §   Phoenix , Arizona ( 2 )   Mitch Richmond , Sacramento Kings       East 129 , West 118   Alamodome   San Antonio , Texas   Michael Jordan ( 2 ) , Chicago Bulls     1997   East 132 , West 120   Gund Arena   Cleveland , Ohio   Glen Rice , Charlotte Hornets     1998   East 135 , West 114   Madison Square Garden * * *   New York City , New York ( 4 )   Michael Jordan ( 3 ) , Chicago Bulls     1999   Canceled due to the league 's lockout . The game was originally set to play at the First Union Center in Philadelphia , Pennsylvania .     2000   West 137 , East 126   The Arena in Oakland   Oakland , California   Tim Duncan , San Antonio Spurs Shaquille O'Neal , Los Angeles Lakers     2001   East 111 , West 110   MCI Center   Washington , D.C.   Allen Iverson , Philadelphia 76ers     2002   West 135 , East 120   First Union Center   Philadelphia , Pennsylvania ( 4 )   Kobe Bryant , Los Angeles Lakers     2003   West 155 , East 145 ( 2 OT )   Philips Arena   Atlanta , Georgia ( 2 )   Kevin Garnett , Minnesota Timberwolves       West 136 , East 132   Staples Center   Los Angeles , California ( 2 )   Shaquille O'Neal ( 2 ) , Los Angeles Lakers     2005   East 125 , West 115   Pepsi Center   Denver , Colorado ( 2 )   Allen Iverson ( 2 ) , Philadelphia 76ers     2006   East 122 , West 120   Toyota Center   Houston , Texas ( 2 )   LeBron James , Cleveland Cavaliers     2007   West 153 , East 132   Thomas &amp; Mack Center   Las Vegas , Nevada *   Kobe Bryant ( 2 ) , Los Angeles Lakers     2008   East 134 , West 128   New Orleans Arena §   New Orleans , Louisiana   LeBron James ( 2 ) , Cleveland Cavaliers     2009   West 146 , East 119   US Airways Center ( 2 )   Phoenix , Arizona ( 3 )   Kobe Bryant ( 3 ) , Los Angeles Lakers Shaquille O'Neal ( 3 ) , Phoenix Suns       East 141 , West 139   Cowboys Stadium   Arlington , Texas # †   Dwyane Wade , Miami Heat     2011   West 148 , East 143   Staples Center ( 2 )   Los Angeles , California ( 3 )   Kobe Bryant ( 4 ) , Los Angeles Lakers     2012   West 152 , East 149   Amway Center   Orlando , Florida ( 2 )   Kevin Durant , Oklahoma City Thunder     2013   West 143 , East 138   Toyota Center ( 2 )   Houston , Texas ( 3 )   Chris Paul , Los Angeles Clippers     2014   East 163 , West 155   Smoothie King Center ( 2 )   New Orleans , Louisiana ( 2 )   Kyrie Irving , Cleveland Cavaliers     2015   West 163 , East 158   Madison Square Garden ( 2 ) * * * / Barclays Center   New York City , New York ( 5 )   Russell Westbrook , Oklahoma City Thunder     2016   West 196 , East 173   Air Canada Centre   Toronto , Ontario   Russell Westbrook ( 2 ) , Oklahoma City Thunder     2017   West 192 , East 182   Smoothie King Center ( 3 )   New Orleans , Louisiana ( 3 )   Anthony Davis , New Orleans Pelicans     2018   TBA vs. TBA   Staples Center ( 3 )   Los Angeles , California ( 4 )       2019   TBA vs. TBA   Spectrum Center   Charlotte , North Carolina ( 2 )        Notes     * denotes a city without an NBA team in play during that calendar year .   * * denotes game played at the `` third '' Madison Square Garden on 8th Avenue between 49th and 50th Streets , which the first three NBA All - Star Games played in Madison Square Garden ( 1954 , ' 55 and ' 68 ) were .   * * * denotes game played at the `` fourth '' ( or current as of 2017 ) Madison Square Garden that runs from 31st to 33rd Streets from 8th to west of 7th Avenues above the western half of Penn Station in Manhattan that opened in February 1968 , approximately one month after the 1968 game was played in the `` old '' MSG .   † denotes an NBA All - Star game that is held at an NFL or MLB stadium .   § denotes a stadium or arena whose venue name has since changed AND the venue has hosted a subsequent NBA All - Star game under the alternate name .   Portland , Sacramento , Memphis , and Oklahoma City are the only current NBA cities that have not yet hosted an NBA All - Star Game .   New arenas that have not hosted the All - Star Game in markets that have hosted it previously are BMO Harris Bradley Center in Milwaukee , United Center in Chicago , TD Garden in Boston , American Airlines Arena in Miami , Bankers Life Fieldhouse in Indianapolis , American Airlines Center in Dallas , Spectrum Center in Charlotte , AT&amp;T Center in San Antonio , and Little Caesars Arena ( opening for 2017 -- 18 ) in Detroit .     # Arlington , Texas does not have an NBA team within its city limits , but it is a part of the Dallas -- Fort Worth metroplex that has an NBA team ( the Dallas Mavericks ) .    Other All - Star events ( edit )  Main article : NBA All - Star Weekend  The All - Star Game is the featured event of All - Star Weekend , and it is held on a Sunday night . All - Star Weekend also includes a number of popular exhibition games and competitions featuring NBA players and alumni as well as players from the Women 's National Basketball Association ( WNBA ) and NBA G League ( G League ) .   See also ( edit )    National Basketball Association portal     List of NBA All - Stars   WNBA All - Star Game    Notes ( edit )    Jump up ^ Although Brooklyn has not hosted an All - Star Game , New York City has hosted at the third and current Madison Square Gardens , both home to the New York Knicks .    References ( edit )    Jump up ^ `` How NBA 's new voting format determined All - Star starters , snubs '' . ESPN.com . Retrieved 2017 - 07 - 03 .   ^ Jump up to : `` Anthony snubbed when All - Star reserves announced '' . espn.com . Associated Press . February 1 , 2007 . Retrieved February 2 , 2007 .   ^ Jump up to : `` No more East vs. West as NBA revamps All - Star Game format '' . NBA.com . October 3 , 2017 . Retrieved October 3 , 2017 .   Jump up ^ Goldstein , Richard ( July 3 , 2000 ) . `` Haskell Cohen , 86 , Publicist ; Created N.B.A. All - Star Game '' . The New York Times . Retrieved June 21 , 2010 .   Jump up ^ Forrester , Paul ( February 16 , 2007 ) . `` That 's entertainment ; Counting down the top 15 All - Star Weekend moments '' . Sports Illustrated . Time Warner Company . Retrieved June 21 , 2010 .   Jump up ^ Penikis , Andrejs. `` 57 Memorable All - Star Moments -- 1950s '' . NBA.com . Turner Sports Interactive , Inc . Archived from the original on March 5 , 2009 . Retrieved June 21 , 2010 .   Jump up ^ MacMahon , Tim . `` Jones , Cuban hoping to break 100,000 '' . ESPNDallas.com .   Jump up ^ `` How NBA 's new voting format determined All - Star starters , snubs '' . ESPN.com . Retrieved 2017 - 07 - 03 .   Jump up ^ `` How NBA 's new voting format determined All - Star starters , snubs '' . ESPN.com . Retrieved 2017 - 07 - 03 .   Jump up ^ `` Players and media can now vote on NBA All - Star starters '' . SBNation.com . Retrieved 2017 - 07 - 03 .   Jump up ^ Beck , Howard ( October 24 , 2012 ) . `` The All - Star Center is Officially Extinct '' . New York Times . Retrieved October 24 , 2012 . The N.B.A. , bowing to new realities in a multi-positional era , has eliminated `` center '' from its All - Star ballots for the 2012 -- 13 season . Instead , fans will vote for three frontcourt players and two guards .   Jump up ^ Vecsey , George ( January 12 , 2003 ) . `` Fans in Shanghai Are Voting in the Mainstream '' . The New York Times . Archived from the original on August 2 , 2011 .   Jump up ^ Stein , Marc ( January 18 , 2013 ) . `` 1 . Reserve Judgment : Stein 's All - Star Benches '' . ESPN.com . Archived from the original on January 24 , 2013 .   Jump up ^ `` DeMarcus Cousins to replace Kobe Bryant in 2015 NBA All - Star Game '' ( Press release ) . NBA . January 30 , 2015 . Archived from the original on January 30 , 2015 .   Jump up ^ `` Trivia : NBA Teams with 4 All - Stars '' .   Jump up ^ Steele , David ( December 9 , 1998 ) . `` NBA Drops All - Stars -- What 's Left ? February game in Philly latest casualty of lockout '' . San Francisco Chronicle . Retrieved December 17 , 2008 .   Jump up ^ `` Charlotte to host NBA All - Star 2019 '' . NBA.com . May 24 , 2017 .    External links ( edit )    NBA All - Star Game at NBA.com   NBA All - Star Game at Basketball-Reference.com   NBA All - Star Game at ESPN.com              NBA All - Star Games       All - Star Weekend   Rising Stars Challenge   Shooting Stars Competition   Skills Challenge   Three - Point Contest   Slam Dunk Contest   H-O-R-S-E Competition   Celebrity Game   Legends Classic   All - Star Game MVP Award   Records   List of NBA All - Stars   Vote leaders   Head coaches   Broadcasters   TV ratings   D - League All - Star Game   WNBA All - Star Game       1950s        1951   1952   1953   1954   1955   1956   1957   1958   1959        1960s      1960   1961   1962   1963   1964   1965   1966   1967   1968   1969        1970s      1970   1971   1972   1973       1976   1977   1978   1979        1980s      1980   1981   1982     1984   1985   1986     1988   1989        1990s      1990   1991   1992   1993   1994   1995     1997   1998   1999        2000s      2000   2001   2002   2003     2005   2006   2007   2008   2009        2010s        2011   2012   2013   2014   2015   2016   2017   2018   2019                  NBA All - Star Game Most Valuable Player Award       1951 : Macauley   1952 : Arizin   1953 : Mikan   1954 : Cousy   1955 : Sharman   1956 : Pettit   1957 : Cousy   1958 : Pettit   1959 : Baylor &amp; Pettit   1960 : Chamberlain   1961 : Robertson   1962 : Pettit   1963 : Russell   1964 : Robertson   1965 : Lucas   1966 : A. Smith   1967 : Barry   1968 : Greer   1969 : Robertson   1970 : Reed   1971 : Wilkens   1972 : West   1973 : Cowens   1974 : Lanier   1975 : Frazier   1976 : Bing   1977 : Erving   1978 : R. Smith   1979 : Thompson   1980 : Gervin   1981 : Archibald   1982 : Bird   1983 : Erving   1984 : Thomas   1985 : Sampson   1986 : Thomas   1987 : Chambers   1988 : Jordan   1989 : Malone   1990 : Johnson   1991 : Barkley   1992 : Johnson   1993 : Stockton &amp; Malone   1994 : Pippen   1995 : Richmond   1996 : Jordan   1997 : Rice   1998 : Jordan   1999 : No game played   2000 : O'Neal &amp; Duncan   2001 : Iverson   2002 : Bryant   2003 : Garnett   2004 : O'Neal   2005 : Iverson   2006 : James   2007 : Bryant   2008 : James   2009 : Bryant &amp; O'Neal   2010 : Wade   2011 : Bryant   2012 : Durant   2013 : Paul   2014 : Irving   2015 : Westbrook   2016 : Westbrook   2017 : Davis                 National Basketball Association     Eastern Conference      Atlantic     Boston Celtics   Brooklyn Nets   New York Knicks   Philadelphia 76ers   Toronto Raptors       Central     Chicago Bulls   Cleveland Cavaliers   Detroit Pistons   Indiana Pacers   Milwaukee Bucks       Southeast     Atlanta Hawks   Charlotte Hornets   Miami Heat   Orlando Magic   Washington Wizards          Western Conference      Northwest     Denver Nuggets   Minnesota Timberwolves   Oklahoma City Thunder   Portland Trail Blazers   Utah Jazz       Pacific     Golden State Warriors   Los Angeles Clippers   Los Angeles Lakers   Phoenix Suns   Sacramento Kings       Southwest     Dallas Mavericks   Houston Rockets   Memphis Grizzlies   New Orleans Pelicans   San Antonio Spurs          Annual events     Draft   Summer League   Christmas Day   All - Star Weekend   Game   MVP     Playoffs   List     Finals   Champions   MVP         Others     NBA Silver Anniversary Team   NBA 35th Anniversary Team   50 Greatest Players   ABA   Merger     Arenas   Awards   BAA   Cheerleading   Collective bargaining agreement   Criticisms and controversies   2007 Tim Donaghy betting scandal     G League   Dress code   Draft eligibility   Global Games   Africa 2015 , Africa 2017     First overall draft picks   Hall of Fame   Members     Head coaches   Current   Player - coaches   Champions   Foreign coaches     Lockouts   Larry O'Brien Trophy   Mascots   Midwest Division   NBA champions   NBA Store   Media   TV   NBA TV     NBL   NBPA   Owners   Players   Current rosters   Foreign players   Race and ethnicity   Retired numbers   Banned or suspended   Highest paid     Records   regular season   post-season   All - Star Game   Win - loss records     Rivalries   Salary cap   Seasons   Teams   Defunct   Expansion   Relocated   Timeline     WNBA   Basketball in the United States           Portal   2017 -- 18 season      Retrieved from `` https://en.wikipedia.org/w/index.php?title=National_Basketball_Association_All-Star_Game&amp;oldid=804985832 '' Categories :   Recurring sporting events established in 1951   National Basketball Association All - Star Game   Basketball All - Star Games   Annual sporting events in the United States   1951 establishments in the United States   Hidden categories :   Articles containing potentially dated statements from February 2017   All articles containing potentially dated statements           Talk                                           Contents                   About Wikipedia                                                 Azərbaycanca   Български   Català   Dansk   Deutsch   Eesti   Ελληνικά   Español   Euskara   فارسی   Français   Galego   </t>
    </r>
    <r>
      <rPr>
        <sz val="11"/>
        <color rgb="FF000000"/>
        <rFont val="Noto Sans CJK SC"/>
        <family val="2"/>
      </rPr>
      <t xml:space="preserve">한국어   </t>
    </r>
    <r>
      <rPr>
        <sz val="11"/>
        <color rgb="FF000000"/>
        <rFont val="Calibri"/>
        <family val="0"/>
        <charset val="1"/>
      </rPr>
      <t xml:space="preserve">Հայերեն   Hrvatski   Íslenska   Italiano   עברית   ქართული   Latviešu   Lietuvių   Nederlands   </t>
    </r>
    <r>
      <rPr>
        <sz val="11"/>
        <color rgb="FF000000"/>
        <rFont val="Noto Sans CJK SC"/>
        <family val="2"/>
      </rPr>
      <t xml:space="preserve">日本 語   </t>
    </r>
    <r>
      <rPr>
        <sz val="11"/>
        <color rgb="FF000000"/>
        <rFont val="Calibri"/>
        <family val="0"/>
        <charset val="1"/>
      </rPr>
      <t xml:space="preserve">Norsk   Polski   Português   Русский   Simple English   Српски / srpski   Suomi   Svenska   ไทย   Türkçe   Українська   </t>
    </r>
    <r>
      <rPr>
        <sz val="11"/>
        <color rgb="FF000000"/>
        <rFont val="Noto Sans CJK SC"/>
        <family val="2"/>
      </rPr>
      <t xml:space="preserve">中文   </t>
    </r>
    <r>
      <rPr>
        <sz val="11"/>
        <color rgb="FF000000"/>
        <rFont val="Calibri"/>
        <family val="0"/>
        <charset val="1"/>
      </rPr>
      <t xml:space="preserve">Edit links   This page was last edited on 12 October 2017 , at 10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</si>
  <si>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the last time the east all stars won</t>
  </si>
  <si>
    <t xml:space="preserve">   Year   Result   Host arena   Host city   Game MVP     1951   East 111 , West 94   Boston Garden   Boston , Massachusetts   Ed Macauley , Boston Celtics     1952   East 108 , West 91   Boston Garden ( 2 )   Boston , Massachusetts ( 2 )   Paul Arizin , Philadelphia Warriors     1953   West 79 , East 75   Allen County War Memorial Coliseum   Fort Wayne , Indiana   George Mikan , Minneapolis Lakers     1954   East 98 , West 93 ( OT )   Madison Square Garden ( 1925 ) * *   New York City , New York   Bob Cousy , Boston Celtics     1955   East 100 , West 91   Madison Square Garden ( 1925 ) * * ( 2 )   New York City , New York ( 2 )   Bill Sharman , Boston Celtics     1956   West 108 , East 94   Rochester War Memorial Coliseum   Rochester , New York   Bob Pettit , St. Louis Hawks     1957   East 109 , West 97   Boston Garden ( 3 )   Boston , Massachusetts ( 3 )   Bob Cousy ( 2 ) , Boston Celtics     1958   East 130 , West 118   St. Louis Arena   St. Louis , Missouri   Bob Pettit ( 2 ) , St. Louis Hawks     1959   West 124 , East 108   Olympia Stadium   Detroit , Michigan   Elgin Baylor , Minneapolis Lakers Bob Pettit ( 3 ) , St. Louis Hawks     1960   East 125 , West 115   Convention Hall   Philadelphia , Pennsylvania   Wilt Chamberlain , Philadelphia Warriors     1961   West 153 , East 131   Onondaga County War Memorial Coliseum   Syracuse , New York   Oscar Robertson , Cincinnati Royals     1962   West 150 , East 130   St. Louis Arena ( 2 )   St. Louis , Missouri ( 2 )   Bob Pettit ( 4 ) , St. Louis Hawks     1963   East 115 , West 108   LA Sports Arena   Los Angeles , California   Bill Russell , Boston Celtics     1964   East 111 , West 107   Boston Garden ( 4 )   Boston , Massachusetts ( 4 )   Oscar Robertson ( 2 ) , Cincinnati Royals     1965   East 124 , West 123   St. Louis Arena ( 3 )   St. Louis , Missouri ( 3 )   Jerry Lucas , Cincinnati Royals     1966   East 137 , West 94   Cincinnati Gardens   Cincinnati , Ohio   Adrian Smith , Cincinnati Royals     1967   West 135 , East 120   Cow Palace   Daly City , California   Rick Barry , San Francisco Warriors     1968   East 144 , West 124   Madison Square Garden ( 1925 ) * * ( 3 )   New York City , New York ( 3 )   Hal Greer , Philadelphia 76ers     1969   East 123 , West 112   Baltimore Civic Center   Baltimore , Maryland   Oscar Robertson ( 3 ) , Cincinnati Royals     1970   East 142 , West 135   The Spectrum   Philadelphia , Pennsylvania ( 2 )   Willis Reed , New York Knicks     1971   West 108 , East 107   San Diego Sports Arena   San Diego , California   Lenny Wilkens , Seattle SuperSonics     1972   West 112 , East 110   The Forum   Inglewood , California   Jerry West , Los Angeles Lakers     1973   East 104 , West 84   Chicago Stadium   Chicago , Illinois   Dave Cowens , Boston Celtics       West 134 , East 123   Seattle Center Coliseum   Seattle , Washington   Bob Lanier , Detroit Pistons       East 108 , West 102   Arizona Veterans Memorial Coliseum   Phoenix , Arizona   Walt Frazier , New York Knicks     1976   East 123 , West 109   The Spectrum ( 2 )   Philadelphia , Pennsylvania ( 3 )   Dave Bing , Washington Bullets     1977   West 125 , East 124   Milwaukee Arena   Milwaukee , Wisconsin   Julius Erving , Philadelphia 76ers     1978   East 133 , West 125   Omni Coliseum   Atlanta , Georgia   Randy Smith , Buffalo Braves     1979   West 134 , East 129   Pontiac Silverdome   Pontiac , Michigan †   David Thompson , Denver Nuggets     1980   East 144 , West 136 ( OT )   Capital Centre   Landover , Maryland   George Gervin , San Antonio Spurs     1981   East 123 , West 120   Coliseum at Richfield   Richfield , Ohio   Nate Archibald , Boston Celtics     1982   East 120 , West 118   Brendan Byrne Arena   East Rutherford , New Jersey   Larry Bird , Boston Celtics       East 132 , West 123   The Forum ( 2 )   Inglewood , California ( 2 )   Julius Erving ( 2 ) , Philadelphia 76ers     1984   East 154 , West 145 ( OT )   McNichols Sports Arena   Denver , Colorado   Isiah Thomas , Detroit Pistons     1985   West 140 , East 129   Hoosier Dome   Indianapolis , Indiana †   Ralph Sampson , Houston Rockets     1986   East 139 , West 132   Reunion Arena   Dallas , Texas   Isiah Thomas ( 2 ) , Detroit Pistons       West 154 , East 149 ( OT )   Kingdome   Seattle , Washington † ( 2 )   Tom Chambers , Seattle SuperSonics     1988   East 138 , West 133   Chicago Stadium ( 2 )   Chicago , Illinois ( 2 )   Michael Jordan , Chicago Bulls     1989   West 143 , East 134   Astrodome   Houston , Texas †   Karl Malone , Utah Jazz     1990   East 130 , West 113   Miami Arena   Miami , Florida   Magic Johnson , Los Angeles Lakers     1991   East 116 , West 114   Charlotte Coliseum   Charlotte , North Carolina   Charles Barkley , Philadelphia 76ers     1992   West 153 , East 113   Orlando Arena   Orlando , Florida   Magic Johnson ( 2 ) , Los Angeles Lakers     1993   West 135 , East 132 ( OT )   Delta Center   Salt Lake City , Utah   Karl Malone ( 2 ) , Utah Jazz John Stockton , Utah Jazz     1994   East 127 , West 118   Target Center   Minneapolis , Minnesota   Scottie Pippen , Chicago Bulls     1995   West 139 , East 112   America West Arena §   Phoenix , Arizona ( 2 )   Mitch Richmond , Sacramento Kings       East 129 , West 118   Alamodome   San Antonio , Texas   Michael Jordan ( 2 ) , Chicago Bulls     1997   East 132 , West 120   Gund Arena   Cleveland , Ohio   Glen Rice , Charlotte Hornets     1998   East 135 , West 114   Madison Square Garden * * *   New York City , New York ( 4 )   Michael Jordan ( 3 ) , Chicago Bulls     1999   Canceled due to the league 's lockout . The game was originally set to play at the First Union Center in Philadelphia , Pennsylvania .     2000   West 137 , East 126   The Arena in Oakland   Oakland , California   Tim Duncan , San Antonio Spurs Shaquille O'Neal , Los Angeles Lakers     2001   East 111 , West 110   MCI Center   Washington , D.C.   Allen Iverson , Philadelphia 76ers     2002   West 135 , East 120   First Union Center   Philadelphia , Pennsylvania ( 4 )   Kobe Bryant , Los Angeles Lakers     2003   West 155 , East 145 ( 2 OT )   Philips Arena   Atlanta , Georgia ( 2 )   Kevin Garnett , Minnesota Timberwolves       West 136 , East 132   Staples Center   Los Angeles , California ( 2 )   Shaquille O'Neal ( 2 ) , Los Angeles Lakers     2005   East 125 , West 115   Pepsi Center   Denver , Colorado ( 2 )   Allen Iverson ( 2 ) , Philadelphia 76ers     2006   East 122 , West 120   Toyota Center   Houston , Texas ( 2 )   LeBron James , Cleveland Cavaliers     2007   West 153 , East 132   Thomas &amp; Mack Center   Las Vegas , Nevada *   Kobe Bryant ( 2 ) , Los Angeles Lakers     2008   East 134 , West 128   New Orleans Arena §   New Orleans , Louisiana   LeBron James ( 2 ) , Cleveland Cavaliers     2009   West 146 , East 119   US Airways Center ( 2 )   Phoenix , Arizona ( 3 )   Kobe Bryant ( 3 ) , Los Angeles Lakers Shaquille O'Neal ( 3 ) , Phoenix Suns       East 141 , West 139   Cowboys Stadium   Arlington , Texas # †   Dwyane Wade , Miami Heat     2011   West 148 , East 143   Staples Center ( 2 )   Los Angeles , California ( 3 )   Kobe Bryant ( 4 ) , Los Angeles Lakers     2012   West 152 , East 149   Amway Center   Orlando , Florida ( 2 )   Kevin Durant , Oklahoma City Thunder     2013   West 143 , East 138   Toyota Center ( 2 )   Houston , Texas ( 3 )   Chris Paul , Los Angeles Clippers     2014   East 163 , West 155   Smoothie King Center ( 2 )   New Orleans , Louisiana ( 2 )   Kyrie Irving , Cleveland Cavaliers     2015   West 163 , East 158   Madison Square Garden ( 2 ) * * * / Barclays Center   New York City , New York ( 5 )   Russell Westbrook , Oklahoma City Thunder     2016   West 196 , East 173   Air Canada Centre   Toronto , Ontario   Russell Westbrook ( 2 ) , Oklahoma City Thunder     2017   West 192 , East 182   Smoothie King Center ( 3 )   New Orleans , Louisiana ( 3 )   Anthony Davis , New Orleans Pelicans     2018   TBA vs. TBA   Staples Center ( 3 )   Los Angeles , California ( 4 )       2019   TBA vs. TBA   Spectrum Center   Charlotte , North Carolina ( 2 )     </t>
  </si>
  <si>
    <r>
      <rPr>
        <sz val="11"/>
        <color rgb="FF000000"/>
        <rFont val="Calibri"/>
        <family val="0"/>
        <charset val="1"/>
      </rPr>
      <t xml:space="preserve">Lead glass - wikipedia  Lead glass  Jump to : navigation , search  Lead glass , commonly called crystal , is a variety of glass in which lead replaces the calcium content of a typical potash glass . Lead glass contains typically 18 -- 40 % ( by weight ) lead ( II ) oxide ( PbO ) , while modern lead crystal , historically also known as flint glass due to the original silica source , contains a minimum of 24 % PbO . Lead glass is desirable owing to its decorative properties .   Originally discovered by Englishman George Ravenscroft in 1674 , the technique of adding lead oxide ( in quantities of between 10 and 30 % ) improved the appearance of the glass and made it easier to melt using sea - coal as a furnace fuel . This technique also increased the `` working period '' making the glass easier to manipulate .   The term lead crystal is , by technicality , not an accurate term to describe lead glass , as glass , an amorphous solid , lacks a crystalline structure . The use of the term lead crystal remains popular for historical and commercial reasons . It is retained from the Venetian word cristallo to describe the rock crystal imitated by Murano glassmakers . This naming convention has been maintained to the present day to describe decorative hollow - ware .   Lead crystal glassware was formerly used to store and serve drinks , but due to the potential health risks of lead , this has become rare . One alternative material is crystal glass , in which barium oxide , zinc oxide , or potassium oxide are employed instead of lead oxide . Lead - free crystal has a similar refractive index to lead crystal , but it is lighter and it has less dispersive power .   In the European Union , labeling of `` crystal '' products is regulated by Council Directive 69 / 493 / EEC , which defines four categories , depending on the chemical composition and properties of the material . Only glass products containing at least 24 % of lead oxide may be referred to as `` lead crystal '' . Products with less lead oxide , or glass products with other metal oxides used in place of lead oxide , must be labeled `` crystallin '' or `` crystal glass '' .  A `` crystal '' glass object .    Contents  ( hide )   1 Properties   2 History   3 Lead glazes   4 Lead crystal   5 Safety   6 See also   7 References      Properties ( edit )   The addition of lead oxide to glass raises its refractive index and lowers its working temperature and viscosity . The attractive optical properties of lead glass result from the high content of the heavy metal lead . The high atomic number of lead also raises the density of the material , since lead has a very high atomic weight of 207.2 , versus 40.08 for calcium . The density of soda glass is 2.4 g / cm ( 0.087 lb / cu in ) or below , while typical lead crystal has a density of around 3.1 g / cm and high - lead glass can be over 4.0 g / cm or even up to 5.9 g / cm .   The brilliance of lead crystal relies on the high refractive index caused by the lead content . Ordinary glass has a refractive index of n = 1.5 , while the addition of lead produces a range up to 1.7 or 1.8 . This heightened refractive index also correlates with increased dispersion , which measures the degree to which a medium separates light into its component spectra , as in a prism . Crystal cutting techniques exploit these properties to create a brilliant , sparkling effect as each cut facet reflects and transmits light through the object . The high refractive index is useful for lens making , since a given focal length can be achieved with a thinner lens . However , the dispersion must be corrected by other components of the lens system if it is to be achromatic .   The addition of lead oxide to potash glass also reduces its viscosity , rendering it more fluid than ordinary soda glass above softening temperature ( about 600 ° C or 1,112 ° F ) , with a working point of 800 ° C ( 1,470 ° F ) . The viscosity of glass varies radically with temperature , but that of lead glass is roughly 100 times less than that of ordinary soda glasses across working temperature ranges ( up to 1,100 ° C or 2,010 ° F ) . From the glassmaker 's perspective , this results in two practical developments . First , lead glass may be worked at a lower temperature , leading to its use in enamelling , and second , clear vessels may be made free from trapped air bubbles with considerably less difficulty than with ordinary glasses , allowing the manufacture of perfectly clear , flawless objects . When tapped , lead crystal makes a ringing sound , unlike ordinary glasses . Consumers still rely on this property to distinguish it from cheaper glasses . Since the potassium ions are bound more tightly in a lead - silica matrix than in a soda - lime glass , the former when struck absorbs more energy . This causes the lead crystal to oscillate , thereby producing its characteristic sound . Lead also increases the solubility of tin , copper , and antimony , leading to its use in colored enamels and glazes . The low viscosity of lead glass melt is the reason for typically high lead oxide content in the glass solders .   The presence of lead is used in glasses absorbing gamma radiation and X-rays , used in radiation shielding ( e.g. in cathode ray tubes , where lowering the exposure of the viewer to soft X-rays is of concern ) .   The high ionic radius of the Pb ion renders it highly immobile in the matrix and hinders the movement of other ions ; lead glasses therefore have high electrical resistance , about two orders of magnitude higher than soda - lime glass ( 10 vs 10 Ohm cm , DC at 250 ° C or 482 ° F ) . Lead - containing glass is therefore frequently used in light fixtures .     use   PbO ( wt. % )     Household `` crystal '' leaded glass   18 -- 38     Ceramic glazes and vitreous enamels   16 -- 35     High refractive index optical glasses   4 -- 65     Radiation shielding   2 -- 28     High electrical resistance   20 -- 22     Glass solders and sealants   56 -- 77     History ( edit )   Lead may be introduced into glass either as an ingredient of the primary melt or added to preformed leadless glass or frit . The lead oxide used in lead glass could be obtained from a variety of sources . In Europe , galena , lead sulfide , was widely available , which could be smelted to produce metallic lead . The lead metal would be calcined to form lead oxide by roasting it and scraping off the litharge . In the medieval period lead metal could be obtained through recycling from abandoned Roman sites and plumbing , even from church roofs . Metallic lead was demanded in quantity for silver cupellation , and the resulting litharge could be used directly by glassmakers . Lead was also used for ceramic lead glazes . This material interdependence suggests a close working relationship between potters , glassmakers , and metalworkers .   Glasses with lead oxide content first appeared in Mesopotamia , the birthplace of the glass industry . The earliest known example is a blue glass fragment from Nippur dated to 1400 BC containing 3.66 % PbO . Glass is mentioned in clay tablets from the reign of Assurbanipal ( 668 -- 631 BC ) , and a recipe for lead glaze appears in a Babylonian tablet of 1700 BC . A red sealing - wax cake found in the Burnt Palace at Nimrud , from the early 6th century BC , contains 10 % PbO . These low values suggest that lead oxide may not have been consciously added , and was certainly not used as the primary fluxing agent in ancient glasses .   Lead glass also occurs in Han - period China ( 206 BC -- 220 AD ) . There , it was cast to imitate jade , both for ritual objects such as big and small figures , as well as jewellery and a limited range of vessels . Since glass first occurs at such a late date in China , it is thought that the technology was brought along the Silk Road by glassworkers from the Middle East . The fundamental compositional difference between Western silica - natron glass and the unique Chinese lead glass , however , may indicate an autonomous development .   In medieval and early modern Europe , lead glass was used as a base in coloured glasses , specifically in mosaic tesserae , enamels , stained - glass painting , and bijouterie , where it was used to imitate precious stones . Several textual sources describing lead glass survive . In the late 11th - early 12th century , Schedula Diversarum Artium ( List of Sundry Crafts ) , the author known as `` Theophilus Presbyter '' describes its use as imitation gemstone , and the title of a lost chapter of the work mentions the use of lead in glass . The 12 -- 13th century pseudonymus `` Heraclius '' details the manufacture of lead enamel and its use for window painting in his De Coloribus et artibus Romanorum ( Of Hues and Crafts of the Romans ) . This refers to lead glass as `` Jewish glass '' , perhaps indicating its transmission to Europe . A manuscript preserved in the Biblioteca Marciana , Venice , describes the use of lead oxide in enamels and includes recipes for calcining lead to form the oxide . Lead glass was ideally suited for enamelling vessels and windows owing to its lower working temperature than the forest glass of the body .   Antonio Neri devoted book four of his L'Arte Vetraria ( `` The Art of Glass - making '' , 1612 ) to lead glass . In this first systematic treatise on glass , he again refers to the use of lead glass in enamels , glassware , and for the imitation of precious stones . Christopher Merrett translated this into English in 1662 ( The Art of Glass ) , paving the way for the production of English lead crystal glass by George Ravenscroft .   George Ravenscroft ( 1618 -- 1681 ) was the first to produce clear lead crystal glassware on an industrial scale . The son of a merchant with close ties to Venice , Ravenscroft had the cultural and financial resources necessary to revolutionise the glass trade , setting the basis from which England overtook Venice and Bohemia as the centre of the glass industry in the eighteenth and nineteenth centuries . With the aid of Venetian glassmakers , especially da Costa , and under the auspices of the Worshipful Company of Glass Sellers of London , Ravenscroft sought to find an alternative to Venetian cristallo . His use of flint as the silica source has led to the term flint glass to describe these crystal glasses , despite his later switch to sand . At first , his glasses tended to crizzle , developing a network of small cracks destroying its transparency , which was eventually overcome by replacing some of the potash flux with lead oxide to the melt , up to 30 % . Crizzling results from the destruction of the glass network by an excess of alkali , and may be caused by excess humidity as well as inherent defects in glass composition . He was granted a protective patent in 1673 , where production moved from his glasshouse in the precinct of the Savoy , London , to the seclusion of Henley - on - Thames . In 1676 , having apparently overcome the crizzling problem , Ravenscroft was granted the use of a raven 's head seal as a guaranty of quality . In 1681 , the year of his death , the patent expired and operations quickly developed among several firms , where by 1696 twenty - seven of the eighty - eight glasshouses in England , especially at London and Bristol , were producing flint glass containing 30 -- 35 % PbO .   At this period , glass was sold by weight , and the typical forms were rather heavy and solid with minimal decoration . Such was its success on the international market , however , that in 1746 , the British Government imposed a lucrative tax by weight . Rather than drastically reduce the lead content of their glass , manufacturers responded by creating highly decorated , smaller , more delicate forms , often with hollow stems , known to collectors today as Excise glasses . In 1780 , the Government granted Ireland free trade in glass without taxation . English labour and capital then shifted to Dublin and Belfast , and new glassworks specialising in cut glass were installed in Cork and Waterford . In 1825 , the tax was renewed , and gradually the industry declined until the mid-nineteenth century , when the tax was finally repealed .   From the 18th century , English lead glass became popular throughout Europe , and was ideally suited to the new taste for wheel - cut glass decoration perfected on the Continent owing to its relatively soft properties . In Holland , local engraving masters such as David Wolff and Frans Greenwood stippled imported English glassware , a style that remained popular through the eighteenth century . Such was its popularity in Holland that the first Continental production of lead - crystal glass began there , probably as the result of imported English workers . Imitating lead - crystal à la façon d'Angleterre presented technical difficulties , as the best results were obtained with covered pots in a coal - fired furnace , a particularly English process requiring specialised cone - furnaces . Towards the end of the eighteenth century , lead - crystal glass was being produced in France , Hungary , Germany , and Norway . By 1800 , Irish lead crystal had overtaken lime - potash glasses on the Continent , and traditional glassmaking centres in Bohemia began to focus on colored glasses rather than compete directly against it .   The development of lead glass continued through the twentieth century , when in 1932 scientists at the Corning Glassworks , New York State , developed a new lead glass of high optical clarity . This became the focus of Steuben Glass Works , a division of Corning , which produced decorative vases , bowls , and glasses in Art Deco style . Lead - crystal continues to be used in industrial and decorative applications .   Lead glazes ( edit )   The fluxing and refractive properties valued for lead glass also make it attractive as a pottery or ceramic glaze . Lead glazes first appear in first century BC to first century AD Roman wares , and occur nearly simultaneously in China . They were very high in lead , 45 -- 60 % PbO , with a very low alkali content , less than 2 % . From the Roman period , they remained popular through the Byzantine and Islamic periods in the Near East , on pottery vessels and tiles throughout medieval Europe , and up to the present day . In China , similar glazes were used from the twelfth century for colored enamels on stoneware , and on porcelain from the fourteenth century . These could be applied in three different ways . Lead could be added directly to a ceramic body in the form of a lead compound in suspension , either from galena ( PbS ) , red lead ( Pb O ) , white lead ( 2PbCO Pb ( OH ) ) , or lead oxide ( PbO ) . The second method involves mixing the lead compound with silica , which is then placed in suspension and applied directly . The third method involves fritting the lead compound with silica , powdering the mixture , and suspending and applying it . The method used on a particular vessel may be deduced by analysing the interaction layer between the glaze and the ceramic body microscopically .   Tin - opacified glazes appear in Iraq in the eighth century AD . Originally containing 1 -- 2 % PbO ; by the eleventh century high - lead glazes had developed , typically containing 20 -- 40 % PbO and 5 -- 12 % alkali . These were used throughout Europe and the Near East , especially in Iznik ware , and continue to be used today . Glazes with even - higher lead content occur in Spanish and Italian maiolica , with up to 55 % PbO and as low as 3 % alkali . Adding lead to the melt allows the formation of tin oxide more readily than in an alkali glaze : tin oxide precipitates into crystals in the glaze as it cools , creating its opacity .   The use of lead glaze has several advantages over alkali glazes in addition to their greater optical refractivity . Lead compounds in suspension may be added directly to the ceramic body . Alkali glazes must first be mixed with silica and fritted prior to use , since they are soluble in water , requiring additional labor . A successful glaze must not crawl , or peel away from the pottery surface upon cooling , leaving areas of unglazed ceramic . Lead reduces this risk by reducing the surface tension of the glaze . It must not craze , forming a network of cracks , caused when the thermal contraction of the glaze and the ceramic body do not match properly . Ideally , the glaze contraction should be 5 -- 15 % less than the body contraction , as glazes are stronger under compression than under tension . A high - lead glaze has a linear expansion coefficient of between 5 and 7 × 10 / ° C , compared to 9 to 10 × 10 / ° C for alkali glazes . Those of earthenware ceramics vary between 3 and 5 × 10 / ° C for non-calcareous bodies and 5 to 7 × 10 / ° C for calcareous clays , or those containing 15 -- 25 % CaO . Therefore , the thermal contraction of lead glaze matches that of the ceramic more closely than an alkali glaze , rendering it less prone to crazing . A glaze should also have a low enough viscosity to prevent the formation of pinholes as trapped gasses escape during firing , typically between 900 -- 1100 ° C , but not so low as to run off . The relatively low viscosity of lead glaze mitigates this issue . It may also have been cheaper to produce than alkali glazes . Lead glass and glazes have a long and complex history , and continue to play new roles in industry and technology today .   Lead crystal ( edit )  Lead crystal beads  Lead oxide added to the molten glass gives lead crystal a much higher index of refraction than normal glass , and consequently much greater `` sparkle '' by increasing specular reflection and the range of angles of total internal reflection . Ordinary glass has a refractive index of n = 1.5 ; the addition of lead produces an index of refraction of up to 1.7 . This heightened refractive index also raises the correlating index of dispersion , which measures the degree to which a medium separates light into its component spectra , as in a prism . This increase in refractive index from 1.5 to 1.7 significantly increases the amount of light reflected ( by a factor of 1.68 for light reflecting in the normal direction ; see Fresnel equations ) .   In cut glass , which has been hand - or machine - cut with facets , the presence of lead also makes the glass softer and easier to cut . Crystal can consist of up to 35 % lead , at which point it has the most sparkle .   Makers of lead crystal objects include     Name   Polity   Production began   Current status     Gus Crystal   Russia   1756   Production continued     Baccarat   France   1764   Part of the Starwood Capital Group since 2005     Saint - Louis   France   1781   Part of Hermes since 1989     Lalique   France   1920s   Part of the Art &amp; Fragrance since 2011     Daum   France   1878   Part of Financiere Saint - Germain since 2009 after bankruptcy in 2003     Arc International   France   1968   Production of Crystal D'Arque ended in 2009 ; restarted in 2010 as lead - free Diamax .     Dartington Crystal   England   1967   Management buy out in 2006 . Only crystal manufacturer in the UK     Royal Brierley   England   1776   Trademark of the Dartington Crystal since 2006     Waterford Crystal   Ireland   1783   WWRD Holdings of KPS Capital Partners after bankruptcy in 2009 . Only crystal manufacturer in Ireland     Edinburgh Crystal   Scotland   1867   Trademark of the WWRD Holdings after bankruptcy in 2006     Hadeland Glassverk   Norway   1765   Production continued     Magnor Glassverk   Norway   1830   Production continued     Orrefors glassworks   Sweden   1913   Part of the Swedish glassworks group Orrefors Kosta Boda AB since 2005     Kosta Boda   Sweden   1742   Part of the Swedish glassworks group Orrefors Kosta Boda AB since 2005     Holmegaard Glass Factory   Denmark   1825   Production ceased in 2009     Val Saint Lambert   Belgium   1826   Sold to Onclin winemaker family for $5 M in 2008     Royal Leerdam Crystal   Netherlands   1765   Merged with porcelain factory De Koninklijke Porceleyne Fles in 2008     Zwiesel Kristallglas   Germany   1872   Management buy out at Schott AG in 2001 . Only crystal manufacturer in Germany     Nachtmann   Germany   1834   Trademark of the Riedel wine glass company since 2004     Riedel wine glass company   Austria   1756   World leading wine glass manufacturer     Swarovski   Austria   1895   Production continued     Ajka crystal   Hungary   1878   In 1991 opened porcelain studio     Moser   Czech Republic   1857   Production continued     Preciosa   Czech Republic   1948   Production continued     Steuben Glass   United States   1903   Sold by Corning Incorporated to the Schottenstein Stores Corp. in 2008 . In 2008 Schottenstein closed factory     Hoya   Japan   1945   Closed in 2009     Mikasa   Japan   1970s   Sold by the Arc International to Lifetime Brands in 2008     Liuligongfang   Taiwan     Production continued     Asfour crystal   Egypt   1961   Production continued     Safety ( edit )   The California Department of Public Health lead advisory states , `` children should never eat or drink out of leaded crystalware '' . Leaded crystal wineglasses and decanters are generally not considered to pose a significant health risk , provided that these items are washed thoroughly before use , that beverages are not stored in these containers for more than a few hours , and provided that they are not used by children .   It has been proposed that the historic association of gout with the upper classes in Europe and America was , in part , caused by their extensive use of lead crystal decanters to store fortified wines and whisky . Lin et al. have statistical evidence linking gout to lead poisoning .   Items made of lead glass may leach lead into the food and beverages contained . In a study performed at North Carolina State University , the amount of lead migration was measured for port wine stored in lead crystal decanters . After two days , lead levels were 89 μg / L ( micrograms per liter ) . After four months , lead levels were between 2,000 and 5,000 μg / L. White wine doubled its lead content within an hour of storage and tripled it within four hours . Some brandy stored in lead crystal for over five years had lead levels around 20,000 μg / L. To put this into perspective , the U.S. Environmental Protection Agency 's lead standard for drinking water is 15 μg / L = 0.015 parts per million . Citrus juices and other acidic drinks leach lead from crystal as effectively as alcoholic beverages . Under conditions of repeated use of the decanter , the lead leaching steeply decreases with increasing use . This finding is `` consistent with ceramic chemistry theory , which predicts that leaching of lead from crystal is self - limiting exponentially as a function of increasing distance from the crystal - liquid interface . '' Lead leaching still occurs , but the quantity that leaches into a glass of wine or other beverage left standing for a few hours is much smaller than the quantity of lead consumed daily in ordinary diet .   An ordinary diet contains about 70 μg of lead per day .   See also ( edit )       Wikimedia Commons has media related to Crystal glass .      Steuben Crystal   Waterford Crystal   Edinburgh Crystal   Swarovski   Ajka Crystal   List of indices of refraction   Lead   Hot cell   Val Saint Lambert    References ( edit )    ^ Jump up to : Newton , Roy G. ; Sandra Davison ( 1989 ) . Conservation of Glass . Butterworth -- Heinemann Series in Conservation and Museology . London : Butterworths . ISBN 0 - 408 - 10623 - 9 .   ^ Jump up to : Hurst - Vose , Ruth ( 1980 ) . Glass . Collins Archaeology . London : Collins . ISBN 0 - 00 - 211379 - 1 .   Jump up ^ Benvenuto , Mark Anthony ( 2015 - 02 - 24 ) . Industrial Chemistry : For Advanced Students . Walter de Gruyter GmbH &amp; Co KG . ISBN 9783110351705 .   ^ Jump up to : Tait , Hugh , ed. ( 2004 ) . Five Thousand Years of Glass . University of Pennsylvania Press ( orig . British Museum Press ) . ISBN 978 - 0 - 8122 - 1888 - 6 .   Jump up ^ `` About Lead - free Crystal '' .   Jump up ^ `` Council Directive 69 / 493 / EEC of 15 December 1969 on the approximation of the laws of the Member States relating to crystal glass '' .   Jump up ^ Refraction of media tutorial . physics.info   Jump up ^ James F. Shackelford , Robert H. Doremus ( 2008 ) . Ceramic and Glass Materials : Structure , Properties and Processing . Springer . p. 158 . ISBN 0 - 387 - 73361 - 2 .   Jump up ^ Fiori , Cesare ; Mariangela Vandini ( 2004 ) . `` Chemical Composition of Glass and its Raw Materials '' . In Marco Beretta . When Glass Matters : Studies in the History of Science and Art from Graeco - Roman Antiquity to Early Modern Era . Florence : Olschki . ISBN 88 - 222 - 5318 - 3 .   ^ Jump up to : Charleston , R.J. ( 1960 ) . `` Lead in Glass '' . Archaeometry. 3 : 1 -- 4 . doi : 10.1111 / j. 1475 - 4754.1960. tb00508. x .   Jump up ^ MacLeod , Christine ( 1987 ) . `` Accident or Design ? George Ravenscroft 's Patent and the Invention of Lead - Crystal Glass '' . Technology and Culture . 28 ( 4 ) : 776 -- 803 . doi : 10.2307 / 3105182 . JSTOR 3105182 .   Jump up ^ `` About us -- Ajka Kristály '' . Ajka , Hungary : Ajka Kristály . Retrieved 16 August 2012 .   ^ Jump up to : Tite , M.S. ; Freestone , I. ; Mason , R. ; Molera , J. ; Vendrell - Saz , M. ; Wood , N. ( 1998 ) . `` Lead Glazes in Antiquity -- methods of Production and Reasons for Use '' . Archaeometry. 40 ( 2 ) : 241 -- 60 . doi : 10.1111 / j. 1475 - 4754.1998. tb00836. x .   Jump up ^ `` FOTEX - group '' Ajka Crystal LLC `` . Luxembourg , Belgium : Fotex Holding SE Plc . Archived from the original on 2 January 2012 . Retrieved 16 August 2012 .   Jump up ^ `` ASFOUR crystal '' about us `` . Cairo , Egypt : ASFOUR Crystal international . Archived from the original on 1 May 2013 . Retrieved 9 May 2013 .   Jump up ^ Questions and Answers About Lead in Tableware . California Department of Public Health   Jump up ^ S. 3128 : the National Uniformity for Food Act : hearing . DIANE Publishing . p. 6 . ISBN 978 - 1 - 4223 - 2370 - 0 . Retrieved 21 December 2011 .   Jump up ^ Duyff ; Roberta Larson ( 15 February 2011 ) . American Dietetic Association Complete Food and Nutrition Guide . John Wiley &amp; Sons . p. 359 . ISBN 978 - 1 - 118 - 03890 - 1 . Retrieved 21 December 2011 .   Jump up ^ Emsley , John ( 2005 ) . Elements of murder . Oxford University Press . ISBN 0 - 19 - 280599 - 1 .   Jump up ^ Lin , Ja - Liang ; Tan , Dan - Tzu ; Ho , Huei - Hong ; Yu , Chun - Chen ( 2002 ) . `` Environmental lead exposure and urate excretion in the general population '' . The American Journal of Medicine . 113 ( 7 ) : 563 -- 8 . doi : 10.1016 / S0002 - 9343 ( 02 ) 01296 - 2 . PMID 12459402 .   Jump up ^ Farley , Dixie ( January -- February 1998 ) . `` Dangers of Lead Still Linger '' . FDA Consumer Magazine . U.S. Food and Drug Administration .   Jump up ^ `` Lead Crystalware and Your Health '' . It 's Your Health . Health Canada .   Jump up ^ Angela M. Fraser , Ph. D. , Associate Professor / Food Safety Specialist , and Carolyn J. Lackey , Ph. D. , R.D. , L.D.N. , Professor / Food and Nutrition Specialist , North Carolina State University ( 2004 )   Jump up ^ Storing Wine in Crystal Decanters May Pose Lead Hazard . Lawrence K. Altman . New York Times . 19 February 1991   Jump up ^ Graziano , P ( 1991 ) . `` Lead exposure from lead crystal '' . The Lancet . 337 ( 8734 ) : 141 -- 2 . doi : 10.1016 / 0140 - 6736 ( 91 ) 90803 - W .   Jump up ^ Commonly Asked Questions : Section 1417 of the Safe Drinking Water Act and the NSF Standard   ^ Jump up to : Guadagnino , E ; Gambaro , M ; Gramiccioni , L ; Denaro , M ; Feliciani , R ; Baldini , M ; Stacchini , P ; Giovannangeli , S ; et al. ( 2000 ) . `` Estimation of lead intake from crystalware under conditions of consumer use '' . Food Additives and Contaminants. 17 ( 3 ) : 205 -- 18 . doi : 10.1080 / 026520300283469 . PMID 10827902 .   ^ Jump up to : Barbee , SJ ; Constantine , LA ( 1994 ) . `` Release of lead from crystal decanters under conditions of normal use '' . Food and Chemical Toxicology. 32 ( 3 ) : 285 -- 8 . doi : 10.1016 / 0278 - 6915 ( 94 ) 90202 - X . PMID 8157224 .              Glass science topics     Basics     Glass   Glass transition   Supercooling       Formulation     AgInSbTe   Bioglass   Borophosphosilicate glass   Borosilicate glass   Ceramic glaze   Chalcogenide glass   Cobalt glass   Cranberry glass   Crown glass   Flint glass   Fluorosilicate glass   Fused quartz   GeSbTe   Gold ruby glass   Lead glass   Milk glass   Phosphosilicate glass   Photochromic lens glass   Silicate glass   Soda - lime glass   Sodium hexametaphosphate   Soluble glass   Tellurite glass   Thoriated glass   Ultra low expansion glass   Uranium glass   Vitreous enamel   Wood 's glass   ZBLAN       Glass - ceramics     Bioactive glass   CorningWare   Glass - ceramic - to - metal seals   Macor   Zerodur       Preparation     Annealing   Chemical vapor deposition   Glass batch calculation   Glass forming   Glass melting   Glass modeling   Ion implantation   Liquidus temperature   Sol - gel technique   Viscosity   Vitrification       Optics     Achromat   Dispersion   Gradient - index optics   Hydrogen darkening   Optical amplifier   Optical fiber   Optical lens design   Photochromic lens   Photosensitive glass   Refraction   Transparent materials       Surface modification     Anti-reflective coating   Chemically strengthened glass   Corrosion   Dealkalization   DNA microarray   Hydrogen darkening   Insulated glazing   Porous glass   Self - cleaning glass   Sol - gel technique   Toughened glass       Diverse topics     Glass - coated wire   Safety glass   Glass databases   Glass electrode   Glass fiber reinforced concrete   Glass ionomer cement   Glass microspheres   Glass - reinforced plastic   Glass - to - metal seal   Porous glass   Prince Rupert 's Drops   Radioactive waste vitrification   Windshield   Glass fiber      Retrieved from `` https://en.wikipedia.org/w/index.php?title=Lead_glass&amp;oldid=831900229 '' Categories :   Glass compositions   Lead compounds   Hidden categories :   Use dmy dates from May 2013   All pages needing factual verification   Wikipedia articles needing factual verification from September 2012   Pages using div col with deprecated parameters           Talk                                           Contents                   About Wikipedia                                                 Беларуская   Беларуская ( тарашкевіца ) ‎   Català   Чӑвашла   Čeština   Dansk   Deutsch   Español   فارسی   Français   </t>
    </r>
    <r>
      <rPr>
        <sz val="11"/>
        <color rgb="FF000000"/>
        <rFont val="Noto Sans CJK SC"/>
        <family val="2"/>
      </rPr>
      <t xml:space="preserve">한국어   </t>
    </r>
    <r>
      <rPr>
        <sz val="11"/>
        <color rgb="FF000000"/>
        <rFont val="Calibri"/>
        <family val="0"/>
        <charset val="1"/>
      </rPr>
      <t xml:space="preserve">Հայերեն   עברית   Қазақша   Lietuvių   Magyar   Nederlands   </t>
    </r>
    <r>
      <rPr>
        <sz val="11"/>
        <color rgb="FF000000"/>
        <rFont val="Noto Sans CJK SC"/>
        <family val="2"/>
      </rPr>
      <t xml:space="preserve">日本 語   </t>
    </r>
    <r>
      <rPr>
        <sz val="11"/>
        <color rgb="FF000000"/>
        <rFont val="Calibri"/>
        <family val="0"/>
        <charset val="1"/>
      </rPr>
      <t xml:space="preserve">Нохчийн   Norsk   Norsk nynorsk   Oʻzbekcha / ўзбекча   Polski   Português   Русский   Simple English   Suomi   Svenska   Тоҷикӣ   Українська   Tiếng Việt   </t>
    </r>
    <r>
      <rPr>
        <sz val="11"/>
        <color rgb="FF000000"/>
        <rFont val="Noto Sans CJK SC"/>
        <family val="2"/>
      </rPr>
      <t xml:space="preserve">中文  </t>
    </r>
    <r>
      <rPr>
        <sz val="11"/>
        <color rgb="FF000000"/>
        <rFont val="Calibri"/>
        <family val="0"/>
        <charset val="1"/>
      </rPr>
      <t xml:space="preserve">23 more  Edit links   This page was last edited on 22 March 2018 , at 18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</si>
  <si>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is the lead in crystal wine glasses safe</t>
  </si>
  <si>
    <t xml:space="preserve"> The California Department of Public Health lead advisory states , `` children should never eat or drink out of leaded crystalware '' . Leaded crystal wineglasses and decanters are generally not considered to pose a significant health risk , provided that these items are washed thoroughly before use , that beverages are not stored in these containers for more than a few hours , and provided that they are not used by children . </t>
  </si>
  <si>
    <t xml:space="preserve">San Francisco Giants - wikipedia  San Francisco Giants  This article is about the baseball team formerly known as the New York Giants . For other uses , see New York Giants ( disambiguation ) .      San Francisco Giants     2018 San Francisco Giants season     Established in 1883     Based in San Francisco since 1958              Team logo   Cap insignia        Major league affiliations       National League ( 1883 -- present )   West Division ( 1969 -- present )             Current uniform         Retired numbers     NY   NY       11   20   24   25   27   30   36   44   42       Colors       Orange , black , gold , cream       Name       San Francisco Giants ( 1958 -- present )   New York Giants ( 1886 -- 1957 )   New York Gothams ( 1883 -- 1884 )       Other nicknames       The Orange and Black , Los Gigantes , The G - Men , The Boys from the Bay       Ballpark       AT&amp;T Park ( 2000 -- present )   Candlestick Park ( 1960 -- 1999 )   Seals Stadium ( 1958 -- 1959 )   Hilltop Park ( 1911 )   Polo Grounds III ( 1891 -- 1957 )   Polo Grounds II ( 1889 -- 1890 )   St. George Cricket Grounds ( 1889 )   Oakland Park ( 1889 )   Polo Grounds I ( 1883 -- 1888 )       Major league titles     World Series titles ( 8 )     1905   1921   1922   1933   1954     2012   2014       NL Pennants ( 23 )     1888   1889   1904   1905   1911   1912   1913   1917   1921   1922   1923   1924   1933   1936   1937   1951   1954   1962   1989   2002     2012   2014       West Division titles ( 8 )     1971     1989   1997   2000   2003     2012       Wild card berths ( 3 )     2002   2014   2016       Front office     Owner ( s )   San Francisco Baseball Associates LLC     Manager   Bruce Bochy     General Manager   Bobby Evans     President of Baseball Operations   Brian Sabean     The San Francisco Giants are an American professional baseball team based in San Francisco , California . Founded in 1883 as the New York Gothams , and renamed three years later the New York Giants , the team eventually moved to San Francisco in 1958 . The Giants compete in Major League Baseball ( MLB ) as a member club of the National League ( NL ) West division .   As one of the longest - established and most successful professional baseball teams , the franchise has won the most games of any team in the history of American baseball . The team was the first major league team based in New York City , most memorably playing at the legendary Polo Grounds . They have won 23 NL pennants and have played in 20 World Series competitions -- both NL records . The Giants ' eight World Series championships rank second in the National League and are tied for fourth overall ( New York Yankees are first with 27 , then the St. Louis Cardinals ( the National League record - holders ) with 11 , the Oakland Athletics with 9 , and the Boston Red Sox also with 8 ) . The Giants have played in the World Series 20 times -- 14 times in New York , six in San Francisco -- but boycotted the event in 1904 .   Playing as the New York Giants , they won 14 pennants and five World Series championships behind managers such as John McGraw and Bill Terry and players such as Christy Mathewson , Carl Hubbell , Mel Ott , Bobby Thomson , and Willie Mays . The Giants ' franchise has the most Hall of Fame players in all of professional baseball . The Giants ' rivalry with the Dodgers is one of the longest - standing and biggest rivalries in American sports . The teams began their rivalry as the New York Giants and Brooklyn Dodgers , respectively , before both franchises moved west for the 1958 season .   The Giants have won six pennants and three World Series championships since arriving in San Francisco . Those three championships have come in 2010 , 2012 , and most recently in 2014 , having defeated the Kansas City Royals four games to three during the 2014 World Series .   The Giants are the only major professional sports team based in the City and County of San Francisco , following the San Francisco 49ers ' relocation to Santa Clara , California in 2014 . They will be joined by the Golden State Warriors once they move to the Chase Center in 2019 .   Contents    1 Franchise history in New York City   1.1 Early days and the John McGraw era   1.2 1930 -- 57 : Five pennants in 28 seasons   1.2. 1 1951 : The `` Shot Heard ' Round the World ''   1.2. 2 Mays ' catch and the 1954 Series   1.2. 3 New York Giants of the 1950s   1.2. 4 1957 : Move to California       2 1958 -- 2009 : San Francisco Giants - decades of struggle   2.1 1958 -- 61 : Seals Stadium and Candlestick Park   2.2 1962 World Series   2.3 1963 -- 84   2.4 1985 -- 89   2.5 1989 : Will the `` Thrill '' , World Series and the earthquake   2.6 1992 : Farewell San Francisco ?   2.7 1993 : `` The last pure pennant race ''   2.8 1994 -- 96 seasons   2.9 1997 -- 99 : Rebuilding   2.9. 1 1997   2.9. 2 1998   2.9. 3 1999 : Final season at Candlestick Park   2.9. 4 2000 -- present : AT&amp;T Park   2.9. 4.1 2002 : National League Championship season and World Series   2.9. 4.2 2003 : Wire to wire   2.9. 4.3 2004 -- 06 : Playoff drought   2.9. 4.4 2007 -- 09 : Losing ways and milestones   2.9. 4.4. 1 2007 : End of the Bonds era   2.9. 4.4. 2 2008 : Without Bonds and golden anniversary   2.9. 4.4. 3 2009 : A mix of old &amp; new and a no - hitter           3 2010 -- 2016 : A dynasty emerges   3.1 2010 : First Championship in San Francisco   3.2 2011 : Back to square one   3.3 2012 : Champions again   3.4 2013 : Inconsistent struggles   3.5 2014 : Third World Series Championship in San Francisco   3.6 2015 : Odd year curse   3.7 2016 : End of the even year dynasty     4 Recent seasons : 2017 to present   4.1 2017 : Hitting bottom   4.2 2018     5 Rivalries   5.1 Los Angeles Dodgers   5.2 Oakland Athletics   5.3 Historical rivalry   5.3. 1 New York Yankees       6 Baseball Hall of Famers   6.1 Ford C. Frick Award recipients   6.2 Other   6.3 Giants in the Bay Area Sports Hall of Fame     7 San Francisco Giants Wall of Famers   8 Retired numbers   8.1 Also honored     9 Team captains   10 Season records   11 Current roster   12 Minor league affiliations   13 Radio and television   13.1 Home run call glitch     14 See also   15 References   15.1 General reference     16 External links    Franchise history in New York City ( edit )   Early days and the John McGraw ERA ( edit )  Main article : History of the New York Giants ( baseball ) 1888 New York Giants  The Giants began as the second baseball club founded by millionaire tobacconist John B. Day and veteran amateur baseball player Jim Mutrie . The Gothams , as the Giants were originally known , entered the National League in 1883 , while their other club , the Metropolitans played in the American Association . Nearly half of the original Gotham players were members of the disbanded Troy Trojans , whose place in the National League the Gothams inherited . While the Metropolitans were initially the more successful club , Day and Mutrie began moving star players to the Gothams , and in 1888 the team won its first National League pennant , as well as a victory over the St. Louis Browns in a pre-modern - era World Series . They repeated as champions the next year with a pennant and Championship victory over the Brooklyn `` Bridegrooms '' .   A contemporaneous account claims that after one particularly satisfying victory over the Philadelphia Phillies , Mutrie , who was also the team 's manager , strode into the dressing room and exclaimed , `` My big fellows ! My giants ! '' From then on , the club was known as the Giants .   The Giants ' original home stadium , the Polo Grounds , dates from this early era . It was originally located north of Central Park adjacent to 5th and 6th Avenues and 110th and 112th Streets , in Harlem in upper Manhattan . After their eviction from that first incarnation of the Polo Grounds after the 1888 season , they moved further uptown to various fields they also named the Polo Grounds located between 155th and 159th Streets in Harlem and Washington Heights , playing in the Washington Heights Polo Grounds until the end of the 1957 season , when they moved to San Francisco .  1904 - 07 1908 -- 16 , 1919 -- 22 , 1928 -- 29 1923 -- 27 , 1930 -- 31 , 1947 -- 54 1954 -- 57 . This version was later adopted by the New York Mets .  The Giants were a powerhouse in the late 1880s , winning their first two National League Pennants and World Championships in 1888 and 1889 . But nearly all of the Giants ' stars jumped to the upstart Players ' League , whose New York franchise was also named the Giants , in 1890 . The new team even built a stadium next door to the Polo Grounds . With a decimated roster , the National League Giants finished a distant sixth . Attendance took a nosedive , and the financial strain affected Day 's tobacco business as well . The Players ' League dissolved after the season , and Day sold a minority interest in his NL Giants to the defunct PL Giants ' principal backer , Edward Talcott . As a condition of the sale , Day had to fire Mutrie as manager . Although the Giants rebounded to third in 1891 , Day was forced to sell a controlling interest to Talcott at the end of the season .   Four years later , Talcott sold the Giants to Andrew Freedman , a real estate developer with ties to the Tammany Hall political machine running New York City . Freedman was one of the most detested owners in baseball history , getting into heated disputes with other owners , writers , and his own players , most famously with star pitcher Amos Rusie , author of the first Giants no - hitter . When Freedman offered Rusie only $2,500 to play in 1896 , the disgruntled hurler sat out the entire season . Attendance fell off throughout the league without Rusie , prompting the other owners to chip in $50,000 to get him to return for 1897 . Freedman hired former owner Day as manager for part of 1899 .   In 1902 , after a series of disastrous moves that left the Giants 531⁄2 games behind , Freedman signed John McGraw as player - manager , convincing him to jump in mid-season from the Baltimore Orioles of the fledgling American League and bring with him several of his teammates . McGraw went on to manage the Giants for three decades until 1932 , one of the longest and most successful tenures in professional sports . Hiring `` Mr. McGraw '' , as his players referred to him , was one of Freedman 's last significant moves as owner of the Giants , since after the 1902 season he was forced to sell his interest in the club to John T. Brush . McGraw went on to manage the Giants to nine National League pennants ( in 1904 - 05 , 1911 -- 13 , 1917 , and 1921 - 24 ) and three World Series championships ( in 1905 and 1921 -- 22 ) , with a tenth pennant and fourth world championship as owner in 1933 under his handpicked player - manager successor , Bill Terry .   The Giants already had their share of stars in the 1880s and 1890s , such as `` Smiling '' Mickey Welch , Roger Connor , Tim Keefe , Jim O'Rourke , and John Montgomery Ward , the player - lawyer who formed the renegade Players ' League in 1890 to protest unfair player contracts . McGraw , in his three decades managing the Giants , cultivated a new crop of baseball heroes with names like Christy Mathewson , `` Iron Man '' Joe McGinnity , Jim Thorpe , Red Ames , Casey Stengel , Art Nehf , Edd Roush , Rogers Hornsby , Bill Terry , and Mel Ott .   The Giants under McGraw famously snubbed their first modern World Series chance in 1904 , refusing the invitation to play the reigning world champion Boston Americans , by then known as the `` Red Sox '' , because McGraw considered the new American League as little more than a minor league and disliked its president , Ban Johnson . He also resented his Giants ' new intra-city rival New York Highlanders , who lost the pennant to Boston on the last day of the season , and stuck by his refusal to play whoever won the 1904 AL pennant . Of note , McGraw had managed the franchise in their first two seasons , 1901 and 1902 , when they were the Baltimore Orioles .   The ensuing criticism resulted in Brush 's taking the lead to formalize the rules and format of the World Series . The Giants won the 1905 World Series over Connie Mack 's Philadelphia Athletics , with Christy Mathewson nearly winning the series single - handedly with a still - standing record three complete - game shutouts and 27 consecutive scoreless innings in that one World Series , a feat unlikely ever to be duplicated .   The Giants then had several frustrating years . In 1908 , they finished in a tie with the Chicago Cubs due to a late - season tie game with the Cubs resulting from the Fred Merkle baserunning `` boner '' . Harry Pulliam , the National League President , had ordered the game replayed if the teams otherwise ended the season in a tie , and after disgruntled Giants fans had set fire to the Polo Grounds stands the morning of the game , the Giants lost to the Cubs , who went on to win their second consecutive World Series ; it would be their last World Series title until 2016 . That post-season game was further darkened by a story that someone on the Giants had attempted to bribe umpire Bill Klem . This could have been a disastrous scandal for baseball , but because Klem was honest and the Giants lost the duel between Christy Mathewson and Mordecai `` Three - Fingered '' Brown 4 - 2 , it faded over time .   The Giants experienced a mixture of success and hard luck in the early 1910s , losing three straight World Series in 1911 -- 13 to the A 's , Red Sox and A 's again . Two seasons later , both the Giants and the A 's , decimated by the short - lived Federal League signings of many of their stars , finished in eighth ( last ) place . After losing the 1917 Series to the Chicago White Sox ( the last White Sox World Series win until 2005 ) , the Giants played in four straight World Series in the early 1920s , winning the first two over their Polo Grounds tenants , the Yankees who won the first two of their many pennants and were led by young slugger Babe Ruth , then losing to the Yankees in 1923 after Yankee Stadium had opened that May . They also lost in 1924 , when the Washington Senators won their only World Series in D.C.   1930 -- 57 : five pennants in 28 seasons ( edit )   McGraw handed over the team to Bill Terry after the 1932 season , and Terry played for and managed the Giants for ten years , winning three pennants , defeating the Senators in the 1933 World Series but swept by the Yankees in consecutive fall classics , 1936 and 1937 . Aside from Terry himself , the other stars of the era were slugger Mel Ott and southpaw hurler Carl Hubbell . Known as `` King Carl '' and `` The Meal Ticket '' , Hubbell gained fame in the first two innings of the 1934 All - Star Game , coincidentally played at the Polo Grounds , by striking out five future AL Hall of Famers in a row : Babe Ruth , Lou Gehrig , Jimmie Foxx , Al Simmons , and Joe Cronin .   Ott succeeded Terry as manager in 1942 , but the war years proved to be difficult for the Giants . Midway during the 1948 season Leo Durocher left as Dodgers skipper to manage the Giants , not without controversy . Not only was such a midseason managerial switch unprecedented , but Durocher had been accused of gambling in 1947 and subsequently suspended for that whole season by Commissioner Happy Chandler . Durocher 's ensuing eight full seasons managing the Giants proved some of the most memorable for their fans , particularly because of the arrival of five - tool superstar Willie Mays , their two pennants in 1951 and 1954 , their unexpected sweep of the powerful ( 111 - 43 ) Cleveland Indians in the 1954 World Series , and arguably the two most famous plays in Giants history .  1951 : the `` Shot heard ' round the World '' ( edit ) Main article : Shot Heard ' Round the World ( baseball )  The `` Shot Heard ' Round the World '' , or Bobby Thomson 's come - from - behind ninth - inning walk - off home run that won the National League pennant for the Giants over their bitter rivals , the Brooklyn Dodgers , in the deciding game of a three - game playoff series ending one of baseball 's most memorable pennant races . The Giants had been 13 1 / 2 games behind the league - leading Dodgers in August , but under Durocher 's guidance and with a 16 - game winning streak , got hot and caught the Dodgers to tie for the lead on the next - to - last day of the season .  Mays ' catch and the 1954 Series ( edit ) Main article : The Catch ( baseball )  In Game 1 of the 1954 World Series at the Polo Grounds against the Cleveland Indians Willie Mays made `` The Catch '' , a dramatic over-the - shoulder catch of a fly ball by Vic Wertz after sprinting with his back to the plate on a dead run to deepest center field . At the time the game was tied 2 -- 2 in the eighth inning with runners on first and second and nobody out . Mays caught the ball 450 ft ( 140 m ) from the plate , spun around and threw the ball to the infield keeping the lead runner , Larry Doby , from scoring . Although Doby took third after the catch , he was stranded there and the Giants won 5 - 2 on Dusty Rhodes ' tenth - inning pinch - hit walk - off home run , bringing in 2 other runners .   The underdog Giants went on to sweep the series in four straight games despite the Indians ' American League 111 - 43 regular season . The 1954 World Series title was their last appearance in the World Series as the New York Giants , with the team moving to San Francisco to start the 1958 season .  New York Giants of the 1950s ( edit )  In addition to Bobby Thomson and Willie Mays , other memorable New York Giants of the 1950s include Hall of Fame manager Leo Durocher , coach Herman Franks , Hall of Fame outfielder Monte Irvin , outfielder and runner - up for the 1954 NL batting championship ( won by Willie Mays ) Don Mueller , Hall of Fame knuckleball relief pitcher Hoyt Wilhelm , starting pitchers Larry Jansen , Sal Maglie , Jim Hearn , Marv Grissom , Dave Koslo , Don Liddle , Max Lanier , Rubén Gómez , Al Worthington , and Johnny Antonelli , catcher Wes Westrum , catchers Ray Katt and Sal Yvars , shortstop Alvin Dark , third baseman Hank Thompson , first baseman Whitey Lockman , second basemen Davey Williams and Eddie Stanky , outfielder - pitcher Clint Hartung and utility men Johnny Mize , Bill Rigney , Daryl Spencer , Bobby Hofman , Joey Amalfitano , Tookie Gilbert , and 1954 Series hero Dusty Rhodes , among others . In the late 1950s and after the move to San Francisco two Hall of Fame first basemen , Orlando Cepeda and Willie McCovey , joined the team .  1957 : move to California ( edit )  The Giants ' final three years in New York City were unmemorable . They reached third place the year after the World Series win in 1954 after which attendance fell off precipitously . While seeking a new stadium to replace the crumbling Polo Grounds the owners began to contemplate a move from New York , initially considering Metropolitan Stadium in Bloomington , Minnesota , which was home to their top farm team , the Minneapolis Millers . Under the rules of the time the Giants ' ownership of the Millers gave them priority rights to a major league team in the area . The Washington Senators wound up there as the Minnesota Twins in 1961 .   At that time , the Giants were approached by San Francisco mayor George Christopher . Despite objections from shareholders such as Joan Whitney Payson , majority owner Horace Stoneham entered into negotiations with San Francisco officials around the same time the Dodgers ' owner Walter O'Malley was courting the city of Los Angeles . O'Malley had been told by the other National League team owners that the Dodgers could not move to Los Angeles unless a second team moved to California , out of concern regarding travel costs . He pushed Stoneham toward relocation , and so in the summer of 1957 both the New York Giants and Brooklyn Dodgers announced their moves to California , ending the three - team golden age of baseball in New York City .   New York remained a one - team town with the New York Yankees until 1962 , when Payson founded the New York Mets and brought National League baseball back to the city . Owners Payson and M. Donald Grant , who became the Mets ' chairman , had been the only Giants board members to vote against the Giants ' move to California . The `` NY '' script on the Giants ' caps and the orange trim on their uniforms , along with the blue background used by the Dodgers , was adopted by the Mets , honoring their New York National League forebears with a blend of Giants orange and Dodgers blue .   1958 -- 2009 : San Francisco Giants - decades of struggle ( edit )       This article appears to contradict the article History of the San Francisco Giants . Please see discussion on the linked talk page . ( October 2012 ) ( Learn how and when to remove this template message )    Main article : History of the San Francisco Giants  As with the New York years , the Giants ' fortune in San Francisco has been mixed . Though recently the club has enjoyed sustained success there have also been prolonged stretches of mediocrity along with two instances when the club 's ownership threatened to move the team away from San Francisco .     Giants Hat / Helmet Logo 1958 -- 82     Giants Logo 1958 -- 76     Giants Logo 1977 -- 82     Giants Hat / Helmet Logo 1983 -- 93     Giants Logo 1983 -- 93     Giants Hat / Helmet Logo 1994 -- present     Giants Logo 1994 -- 99     Giants Logo 2000 -- present     1958 -- 61 : Seals stadium and Candlestick Park ( edit )   When the Giants moved to San Francisco , they played in Seals Stadium for their first two seasons . The stadium , located at 16th &amp; Bryant Streets across from Stempel 's Bakery , had been the home of the Pacific Coast League San Francisco Seals in their last years the AAA minor league affiliate of the Boston Red Sox , 1931 -- 1957 . In 1958 , first - baseman Orlando Cepeda won Rookie of the Year honors . In 1959 , Willie McCovey won the same award .   In 1960 , the Giants moved to Candlestick Park , nicknamed `` The ' Stick '' , a stadium built on Candlestick Point in San Francisco 's southeast corner overlooking San Francisco Bay . The new stadium quickly became known for its strong , swirling winds , cold temperatures and thick evening fog that made for a formidable experience for brave fans and players , as well as its built - in radiant heating system which did not work . Candlestick 's reputation was sealed in the ninth inning of the first 1961 All - Star Game ( two All - Star Games per season were played from 1959 to 1962 ) when after a day of calm conditions the winds picked up and a strong gust caused Giants relief pitcher Stu Miller to slip off the pitching rubber during his delivery , resulting in a balk , and a baseball legend that Miller was `` blown off the mound '' . Despite the event , the National League won the game .   1962 World Series ( edit )  Main article : 1962 World Series  In 1962 after another memorable pennant chase with the Dodgers which resulted in a second three - game playoff series with the Dodgers , which the Giants again won by coming from behind with four runs in the ninth inning of Game 3 , the Giants brought a World Series to San Francisco only to lose it four games to three to the New York Yankees . The seventh game went to the bottom of the ninth inning , with the Yankees ahead 1 -- 0 . With Matty Alou on first base and two out , Willie Mays sliced a double down the right field line . Right fielder Roger Maris quickly got to the ball and rifled a throw to the infield preventing Alou from scoring the tying run and keeping him at third base .   With Mays on second , well known for his speed , any base hit by the next batter Willie McCovey would likely have won the series for the Giants . McCovey hit a line drive right at second baseman Bobby Richardson who caught it after taking one step , bringing the game and series to a sudden end . Earlier in the inning , a failed sacrifice bunt by Felipe Alou with nobody out had ultimately kept his brother Matty -- who could n't advance to second -- from scoring on Mays ' two - out double . Finally , Richardson was not originally well - positioned to catch the drive until he moved three steps to his left in reaction to a McCovey 's foul smash on the preceding pitch .   Giants fan ( and resident of nearby Santa Rosa ) Charles Schulz made a reference to the real world in one of his Peanuts comic strips soon afterward . In the first three panels of his 12 / 22 / 62 strip , Charlie Brown and Linus are sitting on a porch step , looking glum . In the last panel , Charlie Brown cried to the heavens , `` Why could n't McCovey have hit the ball just three feet higher ? '' Some weeks later , the same scene reappeared in the strip with Charlie Brown exclaiming , `` Or why could n't McCovey have hit the ball just TWO feet higher ? ''   1963 -- 84 ( edit )  Giants pitcher Ron Herbel in a 1963 issue of Baseball Digest .  Although the Giants did not play in another World Series until 1989 , the teams of the 1960s continued to be pennant contenders thanks to several future Hall - of - Famers . These included Gaylord Perry , who pitched a no - hitter with the Giants in 1968 ; Juan Marichal , a pitcher with a memorable high - kicking delivery ; McCovey , who won the National League MVP award in 1969 , and Mays , who hit his 600th career home run in 1969 . A Giants highlight came in 1963 when Jesús Alou joined the team , and along with Felipe and Matty , for one late inning of one game , formed the first all - brother outfield in major league history . In 1967 , pitcher Mike McCormick became the first Giants Cy Young Award winner .   In 1970 , the field at Candlestick Park was converted from natural grass to AstroTurf ; at the same time , the stadium became enclosed to accommodate the 49ers , who moved in the following year .   The Giants ' next appearance in the postseason came in 1971 . After winning their division , they were defeated in the League Championship Series by the Pittsburgh Pirates and Roberto Clemente , who then went on to beat the Baltimore Orioles in the World Series four games to three .   During this decade , the Giants gave up many players who became successful elsewhere , including Garry Maddox , George Foster , Dave Kingman and Gaylord Perry . Two Giants became Rookies of the Year -- outfielder Gary Matthews Sr. in 1973 and no - hit pitcher John Montefusco in 1975 .   In 1976 , in an eleventh - hour deal , Bob Lurie bought the team , saving it from being moved to Toronto . Toronto was awarded an expansion team called the Blue Jays which began play the next year , but San Francisco baseball fans ' worries about losing their beloved Giants had not completely gone away just yet .   The rest of the 1970s was a generally disappointing time for the Giants , as they finished no higher than third place in any season . This was in 1978 , thanks to young star slugger Jack Clark , veteran slugging first baseman Willie McCovey , star hitter second baseman Bill Madlock who was acquired from the Chicago Cubs , shortstops Johnnie LeMaster and Roger Metzger , and slugging third baseman Darrell Evans . Veteran pitchers Vida Blue , John Montefusco , Ed Halicki and Bob Knepper rounded out the starting rotation with Vida Blue leading the way with eighteen victories . The most memorable moment of that 1978 season occurred on May 28 , 1978 . With the Giants trailing 3 - 1 in the sixth inning , pinch hitter Mike Ivie , acquired from the San Diego Padres during the offseason for Derrel Thomas , hit a towering grand slam off of Dodgers pitching ace Don Sutton before Candlestick Park 's highest paid attendance of 58,545 . They led the National League West for most of the season until slugger Dusty Baker , rookie pitcher Bob Welch and the rest of the Dodgers got hot late , winning the West and then beating the Philadelphia Phillies in the National League Championship Series for their second straight NL pennant .   The field at Candlestick was converted back to natural grass for the 1979 season .   In 1981 , the Giants became the first National League team to hire a black manager , Frank Robinson , although he lasted less than four years and was generally unsuccessful . The Giants finished a game over . 500 in the strike - shortened 1981 season . The next season , the Giants acquired veterans Joe Morgan and Reggie Smith , got hot late and ended up in a three - team pennant race with the Dodgers and Braves . The day after the Dodgers eliminated them , Morgan hit a homer against the Dodgers on the last day of the season , giving the NL West to Atlanta .   In 1984 , the Giants hosted the All - Star Game for the second and last time at Candlestick Park , which the NL won as it did at Candlestick in 1961 when Stu Miller was blown off the mound by a gust of wind .   1985 -- 89 ( edit )  The 1987 Giants , pictured above at Candlestick , led the club to its first postseason appearance since 1971 .  In 1985 , owner Bob Lurie threatened to move the team out of the city of San Francisco to another location in the San Francisco Bay Area . Locations under consideration were Redwood City , San Jose , and Milpitas .   The 1985 Giants lost 100 games , the most in franchise history , under unsuccessful rookie manager Jim Davenport , and Lurie responded by hiring Al Rosen as general manager and Roger Craig as field manager . Rosen began in 1986 by bringing up promising rookies such as Will Clark and Robby Thompson , which inspired the promotional radio jingle `` Ya got ta watch these Giants ! You got ta like these kids ! ! '' and followed up in 1987 with canny trades for stars like Kevin Mitchell , Dave Dravecky , Candy Maldonado , and Rick Reuschel .   Craig , renowned as the `` Humm Baby '' because he often said it , managed the Giants from late 1985 to 1992 . In his first five full seasons with the Giants , the team had winning records . The Giants won 83 games in 1986 and won the National League Western Division title in 1987 , losing the 1987 National League Championship Series to the St. Louis Cardinals in seven games . The one bright spot in that defeat was their slugging outfielder Jeffrey Leonard , who was named the Most Valuable Player for the series in a losing effort . In Leonard 's own faltering words , the prize money ( $50,000 ) meant nothing to him , but only the win that eluded him and his team . He would have given anything to be going up north to play the Minnesota Twins , and his former teammate outfielder Dan Gladden , traded to the Twins at the start of the season , in the 1987 World Series .   1989 : Will the `` thrill '' , World Series and the earthquake ( edit )  Main article : 1989 San Francisco Giants season  Although the team used fifteen different starting pitchers in the regular season , the 1989 Giants won the National League pennant . They were led by 1989 National League All - Star Game starting pitcher Rick Reuschel , closer and 1989 National League ERA leader Scott Garrelts , 1989 National League Most Valuable Player Kevin Mitchell , and Will Clark .   The Giants beat the Chicago Cubs in the National League Championship Series , four games to one . In Game 1 , first baseman Will Clark hit a grand slam off Greg Maddux in the fourth inning after reading Maddux 's lips telling his catcher which pitch he was going to throw . In Game 5 , Clark , who was the Most Valuable Player in the series for batting . 650 with eight RBIs , came through in the clutch with a bases - loaded , two - out single off hard - throwing lefty closer Mitch Williams to break a 1 -- 1 tie in the bottom of the eighth inning . With two outs in the top of the 9th inning , Giants closer Steve Bedrosian gave up three straight singles and a run before getting the dangerous Ryne Sandberg on a harmless first - pitch groundout straight to Robby Thompson at second , who threw easily to Clark for the final out , stranding the tying run at second , as longtime Giants radio voice Hank Greenwald proclaimed , `` 27 years of waiting have come to an end . The Giants have won the pennant ! ''   After dispatching the Cubs four games to one , the Giants faced the Oakland Athletics in the unforgettable `` Bay Bridge Series '' , best remembered by the October 17 , 1989 Loma Prieta earthquake which struck at 5 : 04 p.m. just before the scheduled Game 3 at Candlestick Park . After a ten - day delay , Oakland finished its sweep of the Giants , winning Games 3 &amp; 4 at San Francisco . The Giants never led in any of the games , and never even managed to send the tying run to the plate against A 's closer</t>
  </si>
  <si>
    <t xml:space="preserve">when did new york giants move to san francisco</t>
  </si>
  <si>
    <t xml:space="preserve"> The San Francisco Giants are an American professional baseball team based in San Francisco , California . Founded in 1883 as the New York Gothams , and renamed three years later the New York Giants , the team eventually moved to San Francisco in 1958 . The Giants compete in Major League Baseball ( MLB ) as a member club of the National League ( NL ) West division . </t>
  </si>
  <si>
    <t xml:space="preserve">Tyler , Texas - wikipedia  Tyler , Texas  Jump to : navigation , search Not to be confused with Tyler County , Texas .    Tyler     City     City of Tyler , Texas     Clockwise : Tyler skyline with Plaza Tower at right and People 's National Bank office building in center , Cotton Belt Depot , Caldwell Zoo , Chamblee Rose Garden , Smith County Courthouse , Goodman Home .        Seal        Nickname ( s ) : Rose City , Rose Capital , Rose Capital of America     Motto ( s ) : A Natural Beauty     Location in Smith County and the state of Texas     Coordinates : 32 ° 21 ′ N 95 ° 18 ′ W ﻿ / ﻿ 32.350 ° N 95.300 ° W ﻿ / 32.350 ; - 95.300 Coordinates : 32 ° 21 ′ N 95 ° 18 ′ W ﻿ / ﻿ 32.350 ° N 95.300 ° W ﻿ / 32.350 ; - 95.300     Country   United States     State   Texas     County   Smith     Founded   1846     Government     Type   Council - Manager     City Council   Mayor Martin Heines Darryl Bowdre Don Warren Same Mezayek Ed Moore John Nix Mark Whatley     City Manager   Edward Broussard     Area     City   54.376 sq mi ( 140.833 km )     Land   54.2 sq mi ( 140.5 km )     Water   0.1 sq mi ( 0.3 km )     Elevation   544 ft ( 165 m )     Population ( 2010 )     City   96,900     Estimate ( 2015 )   103,700     Rank   US : 287th     Density   1,800 / sq mi ( 690 / km )     Urban   130,247 ( US : 247th )     Metro   216,080 ( US : 200th )     Demonym   Tylerite     Time zone   Central ( UTC - 6 )     Summer ( DST )   Central ( UTC - 5 )     ZIP codes   757xx     Area code ( s )   430 / 903     FIPS code   48 - 74144     GNIS feature ID   1348998     Website   www.cityoftyler.org     Tyler is a city located in central Smith County , Texas , United States . In terms of both population and land area , Tyler is by far the largest city in Smith County , of which it is the county seat , and has long been the region 's major economic , educational , financial , medical , and cultural hub . The city is named for John Tyler , the tenth President of the United States . Tyler had a population of 96,900 in 2010 , according to the United States Census Bureau , and Tyler 's 2014 estimated population was 107,405 . It is 100 miles ( 160 km ) east - southeast of Dallas . Tyler is the principal city of the Tyler Metropolitan Statistical Area , which had a population of 209,714 in 2010 , and is the regional center of the Tyler - Jacksonville combined statistical area , which had a population of 260,559 in 2010 .   Tyler is known as the `` Rose Capital of America '' ( also the `` Rose City '' and , less commonly , the `` Rose Capital of the World '' ) , a nickname it gained from a long history of rose production , rose cultivation , and the large quantity of roses processed through the area . Tyler is home to the largest rose garden in the United States , a 14 - acre public garden complex that boasts over 38,000 rose bushes of at least 500 different varieties . The Tyler Rose Garden is also home to the annual Texas Rose Festival , attracting tourists by the thousands each year in mid-October .   In 1985 , the international Adopt - a-Highway movement originated in Tyler when , after appeals by local TexDOT officials , the local Civitan chapter adopted a two - mile ( 3 - km ) stretch of U.S. Highway 69 . Drivers and other motorists traveling on this segment of US - 69 ( between Tyler and nearby Lindale ) will notice brown roadsigns that read , `` First Adopt - A-Highway in the World . '' Tyler is also home to the Caldwell Zoo and Broadway Square Mall .   As a regional educational and technology center , Tyler is the host for more than 20,000 higher education students , a College of Engineering , and a University Health Science Center , two regional , billion - dollar hospital systems , and a variety of technology startups .     Contents  ( hide )   1 Geography   1.1 Climate     2 Demographics   3 History   4 Government   4.1 Local government   4.2 State government   4.3 Federal government     5 Education   5.1 Colleges and universities   5.2 Primary and secondary schools   5.3 Private schools     6 Economy   7 Recreation and tourism   7.1 Historical     8 Transportation   8.1 Public transportation   8.2 Via air   8.3 Via train   8.4 Walkability     9 Healthcare   10 Places of worship   11 Media   11.1 Newspaper   11.2 Television   11.3 Radio   11.3. 1 AM stations   11.3. 2 FM stations       12 Sports   12.1 College and university teams   12.2 Baseball teams   12.3 Football   12.4 Road races   12.5 Soccer     13 High school sports teams   14 Notable events   15 Notable people   15.1 Entertainment   15.2 Athletes   15.3 Musicians   15.4 Others     16 Sister cities   17 See also   18 References   19 Further reading   20 External links      Geography ( edit )  Tyler skyline  Tyler is located at 32 ° 20 ′ 03 '' N 95 ° 18 ′ 00 '' W ﻿ / ﻿ 32.334249 ° N 95.299927 ° W ﻿ / 32.334249 ; - 95.299927 at 544 feet ( 166 m ) above sea level . Tyler is surrounded by many smaller cities , including Whitehouse , Lindale , New Chapel Hill , Bullard , Edom , Brownsboro , Kilgore , Flint and Chandler .   According to the United States Census Bureau , the city has a total area of 54.4 square miles ( 140.8 km ) , of which 54.2 mi ( 140.5 km ) is land and 0.1 mi ( 0.3 km 2 ) is water .   Climate ( edit )     Tyler     Climate chart ( explanation )        J           J   J       O         3.3 57 38   3.7 64 41   72 49   3.7 78 55   4.5 84 63   3.7 90 70   93 73   2.6 94 72   3.3 88 67   5.1 78 56   4.5 67 48   4.8 58 40     Average max. and min . temperatures in ° F     Precipitation totals in inches     Source : Weather.com / NWS           ( show ) Metric conversion     J           J   J       O         85 14   95 18 5   101 22 9   94 26 13   113 29 17   93 32 21   55 34 23   66 34 22   83 31 19   131 26 13   113 19 9   121 14     Average max. and min . temperatures in ° C     Precipitation totals in mm        Tyler experiences weather typical of East Texas , which is unpredictable , especially in the spring . All of East Texas has the humid subtropical climate typical of the American South .   The record high for Tyler is 115 ° F ( 46 ° C ) , which occurred in 2011 . The record low for Tyler is − 3 ° F ( − 19 ° C ) , which occurred on January 18 , 1930 .   Demographics ( edit )     Historical population     Census   Pop .     % ±     1880   2,423     --     1890   6,908     185.1 %     1900   8,069     16.8 %     1910   10,400     28.9 %     1920   12,085     16.2 %     1930   17,113     41.6 %     1940   28,279     65.2 %     1950   38,968     37.8 %     1960   51,230     31.5 %     1970   57,770     12.8 %     1980   70,508     22.0 %       75,450     7.0 %     2000   83,650     10.9 %       96,900     15.8 %     Est. 2016   104,798     8.2 %     U.S. Decennial Census 2015 Estimate    Tyler welcome sign on U.S. Highway 69 Tyler City Hall  As of the 2010 census , 96,900 people resided in the city of Tyler , Texas . The population density was 1,782.0 people per square mile ( 688.0 / km2 ) . The 41,742 housing units averaged a density of 716.7 per mi ( 276.7 / km2 ) . The racial makeup of the city was : 60.5 % White , 24.8 % Black , 0.5 % Native American , 1.9 % Asian , 0.03 % Pacific Islander , 10.3 % from other races , and 2.0 % from two or more races . About 21.2 % of the population were Hispanic or Latino of any race . The median income for the city was $42,752 and the poverty rate was 19.5 % .   History ( edit )  See also : Timeline of Tyler , Texas      This section needs expansion . You can help by adding to it . ( April 2017 )     Government ( edit )   Local government ( edit )   According to the city 's most recent Comprehensive Annual Financial Report , the city 's various funds had $87.7 million in revenues , $101.7 million in expenditures , $49.2 million in total assets , $12.3 million in total liabilities , and $17.6 million in cash in investments .  List of mayors of Tyler , Texas ( show )   McDonald Lorance , 1846   William Bartlett , circa 1848   ?   Oscar Burton , circa 1937   Zeb J. Spruiell , circa 1955   ?   Murph Wilson , 1967   ?   Jack H. Halbert , 1970 - 1976   ?   Norman Shtofman , 1982 - 1984   ?   Kevin Eltife , circa 1996 - 2002 ( 1 )   Joey Seeber , 2002 - 2008   Barbara Bass , 2008 - 2014   Martin Heines , 2014 -- present    The structure of the management and coordination of city services is :     City Manager   Edward Broussard     Managing Director of Development and Social Services   Heather Nick     Managing Director of Culture , Recreation and Tourism Services   Stephanie Franklin     Managing Director for Administration ( &amp; HR Director )   ReNissa Wade     Managing Director of Public Works   Vacant     CFO / Finance Director   Keidric Trimble     City Engineer   Carter Delleney , P.E.     Chief of Police   Jimmy Toler     Fire Chief   David Coble     Director of Solid Waste   Russ Jackson     Chief Information Officer   Benny Yazdanpanahi     City Attorney   Deborah Pullum     Communications Manager   Julie Goodgame     Vehicle Services Manager   Leroy Sparrow     City Librarian   Mary Vernau     Internal Auditor   Vacant     Neighborhood Services Manager   Vacant     Housing Manager   Candace Porter     Airport Manager   Davis Dickson     Human Resources Manager   Rose Ray     Water Utilities Financial Manager   James Yanker     Water Utilities Manager   Joan Roberson     Development Services Engineer   Michael Wilson , P.E.     Traffic Engineer   Peter Eng , P.E.     The Northeast Texas Public Health District is a political subdivision under the State of Texas established by the City of Tyler and Smith County . In place for nearly 70 years , the Health District became a separate entity in 1994 , with an administrative Public Health Board . With a stated vision `` To be the Healthiest Community in Texas '' , the district has a full - time staff of over 130 employees . The Health District has a broad range of services and responsibilities dedicated to their mission : `` To Protect , Promote , and Provide for the Health of Our Community . ''   In June 2015 , Tyler City Manager Edward Broussard canceled a scheduled appearance of Lou Ann Smoot , a local LGBT activist , at the Tyler Public Library , citing the possibility that children might attend her book talk .   State government ( edit )   Tyler is represented in the Texas Senate by Republican Bryan Hughes , District 1 , and in the Texas House of Representatives by Republican Matt Schaefer , District 6 .   The Texas Twelfth Court of Appeals is located in Tyler .   The Texas Department of Criminal Justice operates the Region I Parole Division Office and the Tyler District Parole Office in Tyler .   Federal government ( edit )   The two U.S. Senators from Texas are Republicans John Cornyn and Ted Cruz ; Tyler is part of Texas ' US Congressional 1st District , which is currently represented by Republican Louie Gohmert .   The United States Postal Service operates several post offices in Tyler , including Tyler , Azalea , Southeast Crossing , and the South Tyler Annex .   Education ( edit )   Colleges and universities ( edit )  The Riter Tower at University of Texas at Tyler  Tyler 's higher education institutions include the University of Texas at Tyler and the University of Texas Health Center at Tyler , both part of the University of Texas System , as well as Tyler Junior College and Texas College .   Primary and secondary schools ( edit )  John Tyler High School  Public primary and secondary education for much of the city is provided by the Tyler Independent School District , which includes two high schools , John Tyler and Robert E. Lee ; Premier High School of Tyler , a public charter school ( Cumberland Academy ) . Several Tyler schools offer international baccalaureate and advanced placement programs .   Portions of incorporated Tyler are served by surrounding school districts . These include sections of southeast Tyler by the Whitehouse Independent School District , and some sections in the east which are served by the Chapel Hill Independent School District .   Private schools ( edit )    There are a few private schools in Tyler , including Grace Community School ( Texas ) , All Saints Episcopal School , Seventh - day Adventist Church School , King 's Academy Christian School , Kingdom Life Academy ( Located in the same building but , not affiliated with King 's Academy ) Christian Heritage School , East Texas Christian Academy , and Good Shepherd Reformed Episcopal School , and the Brook Hill School in nearby Bullard , TX . The Tyler Catholic School System of the Catholic Diocese of Tyler consists of St. Gregory Cathedral School and Bishop Thomas K. Gorman Regional Catholic Middle and High School .    Economy ( edit )  People 's National Bank office building in downtown Tyler Chamber of Commerce office in downtown Tyler  In addition to its role in the rose - growing industry , Tyler is the headquarters for Brookshire Grocery Company , which operates Brookshire 's , Fresh , Super 1 Foods , and Spring Market supermarkets in three states ( Texas , Louisiana , and Arkansas ) . The company 's main distribution center is located in south Tyler , while SouthWest Foods , a subsidiary that processes dairy products , is located just northeast of the city . Adams Engineering has also made its headquarters in Tyler .   The manufacturing sector includes :    Tyler Pipe , a subsidiary of McWane Inc. that produces soil and utility pipe products   Trane , a business of Ingersoll - Rand , formerly a unit of American Standard Companies , which manufactures air conditioners and heat pumps ( this plant was originally built in 1955 by General Electric )   Delek Refining , an Israeli - owned oil refinery formerly La Gloria Oil and Gas Co ( a Crown Central Petroleum subsidiary )   PCSFerguson , an operating company of Dover Corporation that specializes in equipment for the measurement and production of natural gas using the plunger lift method   DYNAenergetics Tyler Distribution Center , part of DYNAenergetics USA , which manufactures perforating equipment and explosives for the oil and gas industry   Vesuvius USA , manufacturer of refractory ceramics used in the steel industry   Cavender 's , a large regional western wear retailer and manufacturer    According to the City 's 2012 - 2013 Comprehensive Annual Financial Report , the top ten employers in the city are :     #   Employer   # of Employees       Trinity Mother Frances Health System   3,775       East Texas Medical Center   3,153       Brookshire Grocery Company   2,599       Tyler Independent School District   2,468     5   Trane   1,500     6   SuddenLink   1,500     7   Walmart   1,311     8   The University of Texas at Tyler   1,121     9   University of Texas Health Science Center at Tyler   925     10   Tyler Junior College   862     Recreation and tourism ( edit )   Annually , the Texas Rose Festival draws thousands of tourists to Tyler . The festival , which celebrates the role of the rose - growing industry in the local economy , is held in October and features a parade , the coronation of the Rose Queen , and other civic events . The Rose Museum features the history of the Festival . Tyler is home to Caldwell Zoo , several local museums , Lake Palestine , Lake Tyler , and numerous golf courses and country clubs . A few miles away in Flint , TX is The WaterPark @ The Villages , a year - round , indoor water park . There is also an `` Azalea Trail '' in Tyler , which are two officially designated routes within the city that showcase homes or other landscaped venues adorned with azalea shrubs . The Azalea Trail also is home to the long - standing tradition of the Azalea Belles . The official greeters of the Azalea Trail are known as the Azalea Belles , young women from the Tyler area who dress in antebellum gowns . The belles are chosen each year from area high schools or home school families , and it is an honor to be chosen . Tyler State Park , a few miles North of Town is where visitors can camp , canoe , and paddle boat on the lake . Other activities include picnicking , camping , boating ( motors allowed -- 5 mph speed limit ) , boat rentals , fishing , birding , hiking , mountain biking , hiking trails , lake swimming ( in unsupervised swimming area ) , and nature study . The Smith County Historical Society operates a museum and archives in the old Carnegie Library . The East Texas State Fair is held annually in Tyler . Lake Tyler was the location of the HGTV Dream Home contest in 2005 . The 6,500 square feet ( 600 m2 ) house briefly boosted tourism and interest in the community . It subsequently was sold at public auction in January 2008 , for 1.325 million dollars .   Historical ( edit )  The Smith County Historical Society building is located across the street from the Tyler Public Library .  Tyler has a Cotton Belt Railroad Depot Museum located near the Chamber of Commerce office .   The Smith County Historical Society , a 501 ( c ) ( 3 ) non-profit organization , was founded in 1959 by individuals and business firms dedicated to discovering , collecting , and preserving data , records , and other items relating to the history of Smith County , Texas . The Society operates a museum and archives , which is located in the former Carnegie Public Library building in downtown Tyler . Permanent museum exhibits include life - size dioramas with Smith County history topics ranging from Caddo Indians to the 20th century . Other items from the society 's collections are showcased in revolving , temporary exhibits . The society 's archival library contains historical artifacts of Smith County , including newspapers , city directories , school records , photographs , maps , historical papers , rare books , and much more . The archives are open to the public for research on a limited schedule with volunteer staff on duty . The society is also the official caretaker of Camp Ford Historic Park .   Camp Ford was the largest Confederate Prisoner of War camp west of the Mississippi River during the American Civil War . The original site of the camp stockade is a public historic park managed by the Smith County Historical Society . The park contains a kiosk , paved trail , interpretive signage , a cabin reconstruction , and a picnic area . It is located on Highway 271 , 0.8 miles ( 1.3 km ) north of Loop 323 .   Transportation ( edit )  Aerial photo of Tyler Pounds Regional Airport in Tyler , Texas , shot by Butler Planning Services on 9 / 9 / 2005 .  The most common form of transportation is the motor vehicle . Tyler is a nexus of several major highways . Interstate 20 runs along the north edge of the city going east and west , U.S. Highway 69 runs north -- south through the center of town and State Highway 64 runs east -- west through the city . Tyler also has access to U.S. Highway 271 , State Highway 31 , State Highway 155 , and State Highway 110 . Loop 323 was established in 1957 and encircles the city , which has continued to grow outside of this loop . Loop 49 is a limited access `` outer loop '' around the city and currently runs from State Highway 110 south of Tyler to Interstate 20 northwest of Tyler . Future segments of this tollway will extend Loop 49 out to Interstate 20 on the eastern side of the city and to other East Texas destinations .   Public transportation ( edit )   Tyler Transit provides customers with public transportation service within the City of Tyler . The buses run daily , excluding Sundays and holidays . Tyler Transit offers customers the option to purchase tickets , tokens , or passes at the Tyler Transit office , located at 210 E. Oakwood Street inside the Cotton Belt Railroad Depot at the main transfer point . The City of Tyler paratransit service is a shared - ride , public transportation service . Requests for service must be made the day before the service is needed . Trips can be scheduled up to 14 days in advance . ADA complimentary paratransit service is provided to all origins and destinations within the service area defined as the city limits of Tyler . Greyhound Lines bus service is available through a downtown terminal .   Via air ( edit )   Tyler Pounds Regional Airport offers service to Dallas - Fort Worth International Airport via American Eagle . General Aviation services are provided by two fixed - base operators , Johnson Aviation and the Jet Center of Tyler .   Via train ( edit )   Tyler was the hub for a series of short - line railroads which later evolved into the St. Louis Southwestern Railway , better known as `` The Cotton Belt Route '' . This line later became part of the Southern Pacific Railroad , which itself merged with the Union Pacific Railroad , which continues to serve the city today . No passenger train service to Tyler has occurred since April 1956 , but Amtrak runs through the city of Mineola , a short distance north of Tyler .   Walkability ( edit )   A 2014 study by Walk Score ranked Tyler with a walkability score of 32 ( out of 100 ) with some amenities within walking distance .   Healthcare ( edit )   Hospitals located in Tyler include East Texas Medical Center , Trinity Mother Frances Health System , University of Texas Health Center at Tyler , and Texas Spine &amp; Joint Hospital . There are also many clinics including the Direct Care Clinic .  First Baptist Church in downtown Tyler Marvin United Methodist Church in Tyler Family Life Center of West Erwin Church of Christ in Tyler  Places of worship ( edit )   Tyler is the home of many churches , including five large congregations in downtown , the Marvin United Methodist Church , Dayspring United Methodist Church , West Erwin Church of Christ , First Baptist Church , and the Cathedral of the Immaculate Conception. Tyler is also the seat of Catholic Diocese of Tyler , which is particularly noteworthy for its St. Joseph the Worker Parish , one of the few churches in America dedicated to the exclusive use of the Traditional Latin Mass . The parish is staffed by the Priestly Fraternity of St. Peter . The city also is the home of the Cathedral of the Immaculate Conception and the Sanctuary of Our Lady of Mount Carmel , a 100 plus year sanctuary recently renovated and declared a historic and heritage site by the Catholic Diocese of Tyler . The Saint Peter Claver Parish located in central Tyler , is the second largest Catholic Church in Tyler and was dedicated to St. Peter Claver , a Franciscan Priest that assisted the black slaves in Brasil during the slave trade to South America . There is also a Nazarene church on Old Bullard Rd called Tyler First Church Of The Nazarene . The city also has a Chapel of The Church of Jesus Christ Of Latter Day Saints .   Tyler has three United Pentecostal Churches the largest of them is Tyler Tabernacle located just outside of Loop 323 . The Our Lady of Guadalupe Catholic church in East Tyler is also a major center of gathering . The St Peter and Paul Chapel , a Catholic church , is located next to the Bishop Thomas K. Gorman Regional Catholic School was constructed and dedicated in 2011 and holds masses in English and Spanish with a significant number of other services offered to all Tyler and neighboring residents . The city 's largest church , Green Acres Baptist Church , is located on Troup Highway in southeast Tyler . Tyler is also home to two reformed Baptist churches , Sylvania Church and Living Acts Church , both of which are located in the south Tyler area . Additionally , Tyler has two Jewish houses of prayer , Ahavath Achim , which associates itself with Conservative Judaism and Beth El which adheres to Reform Judaism. Tyler is also home to East Texas Islamic Society , established in 1988 , which includes an Islamic house of worship and an Islamic school for children . There is also a Unitarian , Universalist Fellowship on Old Omen Road and Cross Brand Cowboy Church at 11915 FM - 2015 Tyler , Texas .   Two Tyler churches were destroyed during the 2010 East Texas church burnings .   Media ( edit )   Currently , 18 media outlets and one newspaper are located in Tyler , as well as many more in the surrounding areas .   Newspaper ( edit )    Tyler Morning Telegraph    Television ( edit )     VHF / UHF Channel   Call Letters   Network     7   KLTV   ABC     19   KYTX   CBS     51   KFXK - TV   FOX     56   KETK   NBC     Radio ( edit )  AM stations ( edit )    Frequency   Call Letters   Format   Name     600   KTBB   News / Talk     1330   KGLD   Gospel   The Light     1490   KYZS   Sports   ESPN Deportes    FM stations ( edit )    Frequency   Call Letters   Format   Name     88.7   KLOVE   Christian Contemporary   KLOVE     89.5   KVNE   Christian Contemporary   Encouragement FM     91.3   KGLY   Religious       92.1   KRWR   Sports   Fox Sports East Texas     93.1   KTYL   Hot Adult Contemporary   Mix 93.1     96.1   KKTX   Classic Rock   Classic Rock 96.1     96.7   KOYE   Spanish   La Invasora     97.5   KTBB - FM   News / Talk   KTBB     99.3   KAPW   Spanish Pop   Mega 99.3     101.5   KNUE   Country       102.3   KLJT   Top 40   Fun Radio     102.7   KBLZ   Urban Contemporary   The Blaze     104.1   KKUS   Classic Country   The Ranch     106.5   KOOI   Varitey Hits   Jack 106.5     107.3   KISX   Urban Adult Contemporary   Hot1073Jamz     Sports ( edit )  UT Tyler Women 's Basketball Team  College and university teams ( edit )    University of Texas at Tyler Patriots ( NCAA Division III )   Tyler Junior College Apaches ( NJCAA )   Texas College Steers    Baseball teams ( edit )    Tyler Elbertas ( 1912 )   Tyler Trojans ( 1924 -- 1929 , 1931 , 1935 -- 1940 , 1946 -- 1950 )   Tyler Sports ( 1932 )   Tyler Governors ( 1933 -- 1934 )   Tyler East Texans ( 1950 -- 1953 )   Tyler Tigers ( 1954 -- 1955 )   Tyler Wildcatters ( 1994 -- 1997 )   Tyler Roughnecks ( 2001 )    Football ( edit )    East Texas Twisters ( 2004 )    Road races ( edit )    Fresh 15 Road Race ( Annual )    Soccer ( edit )    Tyler FC ( 2016 -- Present )    High School sports teams ( edit )    All Saints Trojans ( Private )   Bishop T.K. Gorman Crusaders ( Private )   Grace Community Cougars ( Private )   Cumberland Academy Knights ( Charter )   EXEL Lions ( Home School / 6 Man )   John Tyler Lions ( Public )   Kings Academy Knights ( Private )   Robert E. Lee Red Raiders ( Public )   Tyler Heat ( Home School / 6 Man )    Nearby :    The Brook Hill School Guard ( Private )   Chapel Hill Bulldogs ( Public )   Lindale Eagles ( Public )   Whitehouse Wildcats ( Public )    Notable events ( edit )    Fragments of the Space Shuttle Columbia landed near Tyler on February 1 , 2003 . ( See Space Shuttle Columbia disaster )   On the evening of February 2 , 2009 , a fire engulfed a number of historic buildings located in downtown Tyler . Eight different fire departments responded to the fire .   The Supreme Court case Plyler v. Doe , which prohibited denying schooling to immigrant children , originated in the Tyler Independent School District .   Robert E. Mead founded what later became known as Silverleaf Resorts in Tyler in 1977 .   On February 24 , 2005 , David Arroyo fatally shot his ex-wife and a man in the Tyler Square on the Smith County Courthouse .   In February 2017 , police arrested and charged Gustavo Zavalla - Garcia relating to the murder of his niece .    Notable people ( edit )  Main category : People from Tyler , Texas  Entertainment ( edit )    Josh Carpenter -- film , television , theater , internet and commercial actor   Sandy Duncan -- actress , raised in Tyler ( 1946 - )   Alex Finlayson -- playwright ( 1951 - )   Kiki Shepard -- television host ( 1951 - )   Arthur `` Dooley '' Wilson -- musician and actor ( Casablanca ) ( 1886 - 1953 )    Athletes ( edit )    George Cumby -- NFL linebacker ( 1956 - )   Gary Baxter -- NFL defensive back ( 1978 - )   Ciron Black -- college football right tackle ( 1986 - )   Jeb Blount -- NFL quarterback ( 1954 - )   Earl Campbell -- NFL running back ( 1955 - )   Chris Carter -- NFL defensive back ( 1977 - )   Travis Chick -- MLB Pitcher ( 2006 )   Ricky Collins -- CFL wide receiver for the Saskatchewan Roughriders ( 2016 - )   Tim Crowder -- NFL defensive end ( 1985 - )   Jeremy Lane -- NFL cornerback ( 1990 - )   Matt Flynn -- NFL quarterback ( 1985 - )   Hunter Freeman -- Major League Soccer defender / midfielder ( 1985 - )   Randy Grimes -- NFL center ( 1960 )   Daniel Hernández -- Major League Soccer defender / midfielder ( 1976 - )   Clarence Huber -- MLB third baseman   Kendall Hunter -- NFL running back ( 1988 - )   Larry Johnson -- NBA forward ( 1969 - )   Billie Wayne Lemons -- NFL player ( 1955 - 2008 )   Tremain Mack -- NFL kick returner ( 1974 - )   Benny Malone -- NFL running back ( 1952 - )   Johnny Manziel -- NFL quarterback ( 1992 - ) , Born in Tyler , but raised in Kerrville. - Cleveland Browns   LaDouphyous McCalla -- CFL defensive back ( 1976 - )   Jerry Mumphrey -- MLB outfielder ( 1952 - )   Terrence Murphy -- NFL wide receiver   Brandon Pettigrew -- NFL tight end ( 1985 - ) -- Detroit Lions   Archie Reynolds -- MLB pitcher , raised in Tyler ( 1946 - )   Derrell Robertson -- Canadian Football League player ( 1967 - 1994 )   Aaron Ross -- NFL cornerback , schooled in Tyler ( 1982 )   Louis Santop -- Negro League catcher   Robert Taylor -- Olympic runner ( 1948 - 2007 )   Josh Tomlin -- MLB pitcher ( 1984 - )   Lee Tunnell -- MLB pitcher ( 1960 - )   Morgan Wade -- BMX professional ( 1983 - )   Branch Warren -- bodybuilder   Doug Wyatt -- NFL defensive back ( 1946 - )   Quincy Acy -- NBA power forward -- Sacramento Kings   Greg Ward , Jr . -- University of Houston Quarterback   Patrick Mahomes -- Texas Tech University &amp; Kansas City Chiefs Quarterback    Musicians ( edit )    Paul Baloche -- contemporary worship music singer - songwriter   Max Bemis -- lead singer of rock band Say Anything , who is also married to Sherri DuPree of Eisley   Richard Dobson -- singer - songwriter   Eisley -- indie band comprising Chauntelle , Sherri , Stacy , Weston , and Garron DuPree   Teron Beal -- Songwriter Michael Jackson . Bonnie Raitt , Mya   Element Eighty -- alternative metal band comprising Zack Bates , Ryan Carroll , David Galloway , and Matt Woods   Johnny Gimble -- award - winning fiddle player associated with Western Swing and Bob Wills   Brandon Beal -- singer - songwriter and producer   Shaun Groves -- Christian - rock singer - songwriter   Johnny Horton -- country singer   Will Jennings -- songwriter   Ralph Kirshbaum -- world - famous classical celllist   Adrian Taylor -- bassist , guitarist   Mouse and the Traps -- 1960s Garage Rock band comprising Buggs Henderson , Ken Murray , David S. Stanley , and Ronnie `` Mouse '' Weiss   Ivoryline -- alternative band   Fit for a King -- Christian metalcore band   Jim Bob Floyd , pianist , composer and university professor . Listed in the Distinguished Musicians of Texas website .   Eddie Wasserman , jazz saxophonist , well known in the New York jazz scene of the 1940s and ' 50s .    Others ( edit )    Jere Locke Beasley -- born December 12 , 1935 , in Tyler , he was the 22nd Lieutenant Governor of Alabama when Governor George Corley Wallace was shot and severely injured in an assassination attempt in Laurel , Maryland , on May 15 , 1972 . Since Wallace was out - of - state for more than 20 days , recovering in a Maryland hospital , the Alabama Constitution required the lieutenant governor to take over gubernatorial duties in the interim . Beasley , a Democrat , hence served as the acting governor of Alabama from June 5 to July 7 , 1972 .   Leo Berman -- Republican former member of the Texas House of Representatives from District 6   David Brown - geneticist best known for working with microRNA   Josh Byerly -- NASA spokesman and one of the `` voices of Mission Control ''   Jo - Carroll Dennison -- Miss America 1942 , the first Miss Texas to win the national title   James T. Draper , Jr. -- president of the Southern Baptist Convention from 1982 to 1984 , was a pastor in Tyler in the early 1960s .   David O. Dykes -- pastor of Green Acres Baptist Church in Tyler   Kevin Eltife -- Republican member of the Texas Senate from Tyler   Jonna Fitzgerald -- former Miss Texas , runner - up in Miss America pageant , television news anchor , noted musician   Brady P. Gentry -- former Chairman Texas State Highway Commission ; former US Congressman ; the gymnasium at Tyler Junior College named after him   Louie Gohmert -- Republican U.S. representative and former Smith County judge   Winston C. Hackett - A native of Tyler who became the first African - American physician in Arizona .   William Wayne Justice -- Democrat U.S. District Court Judge in Tyler for 30 years -- made countless key decisions on environment and civil rights   Matt Krause -</t>
  </si>
  <si>
    <t xml:space="preserve">where is tyler texas located on the map</t>
  </si>
  <si>
    <t xml:space="preserve">   Tyler     City     City of Tyler , Texas     Clockwise : Tyler skyline with Plaza Tower at right and People 's National Bank office building in center , Cotton Belt Depot , Caldwell Zoo , Chamblee Rose Garden , Smith County Courthouse , Goodman Home .        Seal        Nickname ( s ) : Rose City , Rose Capital , Rose Capital of America     Motto ( s ) : A Natural Beauty     Location in Smith County and the state of Texas     Coordinates : 32 ° 21 ′ N 95 ° 18 ′ W ﻿ / ﻿ 32.350 ° N 95.300 ° W ﻿ / 32.350 ; - 95.300 Coordinates : 32 ° 21 ′ N 95 ° 18 ′ W ﻿ / ﻿ 32.350 ° N 95.300 ° W ﻿ / 32.350 ; - 95.300     Country   United States     State   Texas     County   Smith     Founded   1846     Government     Type   Council - Manager     City Council   Mayor Martin Heines Darryl Bowdre Don Warren Same Mezayek Ed Moore John Nix Mark Whatley     City Manager   Edward Broussard     Area     City   54.376 sq mi ( 140.833 km )     Land   54.2 sq mi ( 140.5 km )     Water   0.1 sq mi ( 0.3 km )     Elevation   544 ft ( 165 m )     Population ( 2010 )     City   96,900     Estimate ( 2015 )   103,700     Rank   US : 287th     Density   1,800 / sq mi ( 690 / km )     Urban   130,247 ( US : 247th )     Metro   216,080 ( US : 200th )     Demonym   Tylerite     Time zone   Central ( UTC - 6 )     Summer ( DST )   Central ( UTC - 5 )     ZIP codes   757xx     Area code ( s )   430 / 903     FIPS code   48 - 74144     GNIS feature ID   1348998     Website   www.cityoftyler.org   </t>
  </si>
  <si>
    <r>
      <rPr>
        <sz val="11"/>
        <color rgb="FF000000"/>
        <rFont val="Calibri"/>
        <family val="0"/>
        <charset val="1"/>
      </rPr>
      <t xml:space="preserve">Tekken 7 - Wikipedia  Tekken 7     This is the current revision of this page , as edited by 139.193. 142.137 ( talk ) at 04 : 34 , 29 August 2017 ( → ‎ Characters ) . The present address ( URL ) is a permanent link to this version .    Revision as of 04 : 34 , 29 August 2017 by 139.193. 142.137 ( talk ) ( → ‎ Characters ) ( diff ) ← Previous revision Latest revision ( diff ) Newer revision → ( diff ) Jump to : navigation , search    Tekken 7     Cover art featuring Heihachi ( left ) and Kazuya Mishima ( right )     Developer ( s )   Bandai Namco Studios     Publisher ( s )   Bandai Namco Entertainment     Director ( s )     Katsuhiro Harada   Yuichi Yonemori   Kouhei Ikeda       Producer ( s )   Motohiro Okubo     Designer ( s )   Yasuki Nakabayashi     Programmer ( s )   Kei Kudo     Artist ( s )   Tomoko Odashima     Composer ( s )     Akitaka Tohyama   Taku Inoue   Rio Hamamoto   Nobuyoshi Sano   Keiichi Okabe       Series   Tekken     Engine   Unreal Engine 4     Platform ( s )     Arcade   Microsoft Windows   PlayStation 4   Xbox One       Release   Arcade   JP : March 18 , 2015   JP : July 5 , 2016 ( FR )   Microsoft Windows , PlayStation 4 , Xbox One   WW : June 2 , 2017       Genre ( s )   Fighting     Mode ( s )   Single - player , multiplayer     Arcade system   Namco System ES3     Tekken 7 ( </t>
    </r>
    <r>
      <rPr>
        <sz val="11"/>
        <color rgb="FF000000"/>
        <rFont val="Noto Sans CJK SC"/>
        <family val="2"/>
      </rPr>
      <t xml:space="preserve">鉄拳 </t>
    </r>
    <r>
      <rPr>
        <sz val="11"/>
        <color rgb="FF000000"/>
        <rFont val="Calibri"/>
        <family val="0"/>
        <charset val="1"/>
      </rPr>
      <t xml:space="preserve">7 ) is a fighting game developed and published by Bandai Namco Entertainment . The game is the ninth installment in the Tekken series , and the first to make use of the Unreal Engine . Tekken 7 had a limited arcade release in Japan in March 2015 . An updated arcade version , Tekken 7 : Fated Retribution , was released in Japan in July 2016 , and features expanded content including new stages , costumes , items and characters . The same version was released for Microsoft Windows , PlayStation 4 and Xbox One in June 2017 .   Set shortly after the events of Tekken 6 , the plot focuses on the fights between martial artist Heihachi Mishima and his son , Kazuya . Across the series it is revealed the reasons why Heihachi tried to kill Kazuya when he was only a child as well as what happened to Kazuya 's mother . Besides the main story , Tekken 7 introduces new elements for the fighting system such as the Rage and the Power Crush to increase the characters ' powers .   The game was well received by critics for its fighting system and graphics . However , some expressed issues to the story mode due to a lack of focus of the supporting characters . By August 2017 , the game had sold over one and a half million copies worldwide .     Contents  ( hide )   1 Gameplay   2 Plot   3 Characters   3.1 New fighters   3.2 Returning fighters     4 Development   4.1 Fated Retribution   4.2 Console version     5 Reception   5.1 Sales     6 References   7 External links      Gameplay ( edit )  Play media An example of Nina Williams ' moves  Tekken 7 focuses on 1 - on - 1 battles . Two new mechanisms are introduced in the game . The first , Rage Art , allows the player to execute critical attacks that deal roughly 30 % damage depending on the character once their health bar is critical , in exchange for inactivating the normal attack power increase . The second , Power Crush , lets the player continue their attacks even while being hit by the enemy , although they would still receive the damage dealt by the enemy 's attacks . The mechanic also works only for absorbing high or mid attacks . The bound system , which staggers a character to increase opportunity for additional hits , is replaced by Screw Attack , which makes the enemy spin sideways when they are hit airborne , allowing the player to inflict additional hits after they reach the ground . Unlike bound , however , Screw Attack can not be used to do wall combos . With a new display system , the game 's multiplayer allows players to choose which side of the screen to play on . Movement has undergone some changes and now is similar to the movement mechanics found in Tekken Revolution , most notably when characters walk backwards .   The arcade version features the traditional stage - based playthrough , in which the player progresses by beating five different opponents one by one , ending with a fixed penultimate and final stage . Matches may be interrupted if another player joins the game . Online mode is available for both local and international play . Character customization is featured , allowing the player to modify characters ' appearances . For the first time in the arcade series , the game features a practice mode , which allows players to train moves against an opponent for a limited amount of time , as well as an option to collect in - game rewards , mainly customization items , through `` Treasure Box '' by winning enough matches .   Fated Retribution features several gameplay changes to the game . The new `` Rage Drive '' allows the player to empower certain attacks by sacrificing their Rage Mode . Rage Art is also adjusted so that the amount of damage dealt to the enemy is inversely proportional to the player 's current health bar . The update also introduces meter - type characters , who utilize jump - in attacks and special cancels , and use an EX / Super meter as a limiter for some special attacks in place of Rage Drive . This type is reserved for two characters : Eliza , and the guest characters Akuma from Street Fighter and Geese Howard from three SNK 's fighting game series .   Exclusive to the console version is the Tekken Bowl bowling minigame , first introduced to the series in the console version of Tekken Tag Tournament . It is available as part of the DLC Pack # 1 released on August 31 , 2017 .   Plot ( edit )  Play media Trailer of the story  After the events of Tekken 6 , though Azazel was destroyed by Jin Kazama , the war between the Mishima Zaibatsu and G Corporation continues to ravage the world . The game 's story is told from the perspective of a reporter whose wife and son are killed in the crossfire , leading him to begin writing an exposé on the Mishima Zaibatsu and G Corporation . Nina Williams leads the Zaibatsu in Jin 's absence , attempting to locate him , but Heihachi Mishima takes advantage of the vacuum of power and forces Nina into submission , regaining control of the Zaibatsu . Heihachi makes a deal with Claudio Serafino , head of the powerful Sirius Marksmen organization , to help him expose his son , G Corporation head Kazuya Mishima , believing public opinion will shift in the Zaibatsu 's favor if Kazuya 's Devil Gene is revealed . Claudio senses a powerful force in the Far East that is unconnected to either Jin or Kazuya .   The reporter researches the Mishima family history , learning that Heihachi 's coup against his father Jinpachi and the disappearance of his wife Kazumi both occurred in the same year he threw his son Kazuya off a ravine . Meanwhile , the United Nations intelligence group has located Jin , but he evades capture long enough to be rescued by Lars Alexandersson . Lars takes Jin to recuperate at Violet Systems , where Lee Chaolan has repaired Alisa Bosconovitch following her destruction in the previous game . The Zaibatsu attacks the compound , but the trio are able to secure Jin . The reporter , having rendezvoused with Lee and Lars , tries to kill Jin in his sleep , but is discouraged by Lars , who says Jin is the only person capable of stopping the conflict . According to Lee , the reason behind Heihachi fathering Lars was to confirm that he did n't possess the Devil Gene , proving it originated from the Hachijos , Kazumi 's family .   The force sensed by Claudio is eventually revealed to be Akuma , who made a promise to Kazumi that he would kill Heihachi and Kazuya if she fails to , as she predicted both of them would engulf the world in war and destruction . He defeats Heihachi after fending off an attack by an army of Jack - 6 's at the Mishima Dojo , and proceeds to G Corporation 's Millennium Tower . Heihachi survives , but declares himself dead to the public to continue his plans in secret . He then captures and spreads images of a transformed Kazuya worldwide before using a satellite to obliterate Millennium Tower . Kazuya survives the attack and destroys the satellite , with the wreckage destroying a town and once again slandering the Zaibatsu . The reporter uses this opportunity to inform the Zaibatsu about his exposé , but to his surprise , Heihachi offers to meet him in person . Heihachi recounts his love of Kazumi and the night he learned that she possessed the Devil Gene and was sent by her family to kill him , regretfully being forced to kill her in self - defense . Suspecting that Kazuya had inherited the Devil Gene , Heihachi threw him off a cliff , believing the boy 's survival would confirm his fears . Heihachi has the reporter escorted out before traveling to a volcano for a final battle with Kazuya . Vengeful over his mother 's death , Kazuya kills Heihachi in battle and throws his body into the volcano . Akuma appears and attacks Kazuya ; the result of their battle is unknown .   In the aftermath , Jin awakens and meets with Lee , Lars , and Alisa , promising to put an end to the war once and for all by killing Kazuya . The reporter , reflecting on all he has learned , completes and publishes his exposé .   Characters ( edit )  See also : List of Tekken characters  The game has 39 playable fighters ( including palette swaps ) , 20 of whom make up the default cast on launch ; other characters are to be added over time . Eight make their debut in this version , along with a new form of Jack , and two guest characters from Capcom 's Street Fighter and SNK 's fighting game franchises . Bandai Namco has also announced that an additional guest character will be added as post-launch downloadable content .   New fighters ( edit )    Akuma : The dark master of the Satsui no Hado from Capcom 's Street Fighter , added in Fated Retribution . Within the story , Kazumi asks him to repay a debt to her by killing Heihachi and Kazuya . The player can fight him in place of Kazumi as the final boss if a certain condition is met .   Claudio Serafino : A white - clad man from Italy who 's a member of an Anti-Devil organization combating the Devil Gene 's threat . Empowered with a Sirius magic .   Geese Howard : The crime boss of South Town from SNK 's fighting game series Fatal Fury , The King of Fighters and Art of Fighting , added to the console version as post-launch downloadable content .   Gigas : A hulking , red - skinned humanoid who appears to have cybernetics attached to his otherwise nude body . He practices `` Destructive Impulse '' . Like Josie , he was first discovered in a leaked arcade data before his official reveal in a CAPCOM TV Chokaigi stream in Niconico .   Jack - 7 : A new model of the Jack series , he has a slightly modified design with red hair and green glowing arms . As with the previous Jack series , he uses brute force to pummel his opponents .   Josie Rizal : A young Filipino woman who wears a yellow top , a blue miniskirt , and a red bow . She practices Eskrima and Kickboxing . She was first discovered in a leaked arcade data before being officially revealed during a Tekken 7 broadcast in Niconico on March 29 , 2015 .   Katarina Alves : A sassy woman who practices the art of Savate . She was designed to be a beginner - friendly character .   Kazumi Mishima / Devil Kazumi : Heihachi 's wife and Kazuya 's mother , who possesses the Devil Gene . Kazumi 's fighting style is Hachijo Style Karate , which is similar to the Mishima Style Fighting Karate as used by her husband and son , but with additional abilities such as summoning a tiger and levitating . She originally served as the game 's unplayable final boss prior to becoming the seventh time release character added after launch . Kazumi also has a devil form , which remains unplayable outside of the final stage in which she is fought .   Lucky Chloe : An otaku who wears a kitten - themed costume and has a `` Freestyle Dance '' fighting style .   Master Raven : A female ninja with a fighting style very similar to Raven . She is in charge of the organization that the original Raven works for .   Shaheen : A keffiyah - wearing Saudi Arabian man who uses a `` Military Self - defense '' fighting style . He was also designed to be a beginner - friendly character .    Returning fighters ( edit )    Alisa Bosconovitch   Asuka Kazama   Bob   Bryan Fury   Devil Jin   Eddy Gordo   Eliza   Feng Wei   Heihachi Mishima   Hwoarang   Jin Kazama   Kazuya Mishima / Devil Kazuya   King   Kuma   Lars Alexandersson   Lee Chaolan / Violet   Leo   Lili   Ling Xiaoyu   Marshall Law   Miguel Caballero Rojo   Nina Williams   Panda   Paul Phoenix   Sergei Dragunov   Steve Fox   Yoshimitsu    ^ a Post-release addition ( original arcade version ) ^ b Unplayable character ^ c Added in Fated Retribution ^ d Guest character ^ e In - battle transformation ^ f Skin / palette swap ^ g Downloadable content   Continuing the trend from Tekken Tag Tournament 2 , in addition to Chinese , English , Japanese and Korean , several characters now speak with their native languages , including the new characters mentioned above ; thus Eddy , Leo , Lili , and Miguel now speak Portuguese , German , French , and Spanish respectively , for the first time in a canonical sequel , while newcomers Claudio , and Shaheen speak with their native Italian , and Arabic , respectively . This still does not include certain characters with differing nationalities , such as Xiaoyu , Alisa and Lars , who continue to speak Japanese due to their character backgrounds , along with newcomer Josie , who speaks in English instead of her native Philippine language .   Development ( edit )  Executive producer Katsuhiro Harada had expressed interest in developing a new Tekken title for PlayStation 4 since early 2014  In January 2014 , Tekken series director and producer Katsuhiro Harada expressed interest in continuing the series on PlayStation 4 , and later said that PlayStation was the primary platform of development for the new installment . Tekken 7 was officially announced by Harada on July 13 , 2014 during EVO 2014 . The announcement was not initially planned , but was done as a last minute response to a leak of the game 's announcement trailer that morning . The game was developed using the Unreal Engine 4 , which allows for it to be developed for multiple platforms . While Tekken games historically have been PlayStation - based in arcades , Harada stated that Tekken 7 runs on an arcade board based on PC architecture .   Location tests of the game were held in Tokyo and Osaka from October 3 to 5 , 2014 . Trailers released in late 2014 showed the game running in 1080p and 60 frames per second . On January 27 , 2015 , a live - televised tournament based off the same game build was held in the Nexon Arena in Seoul , South Korea known as `` Tekken 7 Crash '' . During the Japan Amusement Expo ( JAEPO ) 2015 , a newer build of the game was showcased , offering Lucky Chloe and Shaheen as part of the character roster for the first time as well as the traditional stage - based gameplay progression . A Bandai Namco - sponsored tournament , `` The King of Iron Fist Tournament 2015 , took place in November -- December 2015 as well , with a prize of ¥ 10,000,000 ( ~ $81,000 ) awarded to the finalists . Two top placers from EVO 2015 were also reserved seats , as were select players from South Korea , North America , and other places .   In July 2015 , Bandai - Namco announced a crossover with The Idolmaster , another property owned by the company , involving Idolmaster costumes for the female characters of Tekken 7 . The male characters , meanwhile , were all given the option to fight barechested .   Negative reactions to the character Lucky Chloe from several message boards has led to Harada tweeting that he may consider removing her from the North American version of the game , making her exclusive to the East Asian and European versions , and instead replace her with a new well - muscled skinhead for the North American market . It was later revealed that Harada did not intend for the tweets to be taken seriously . Although reaction to the revelation of new character Shaheen was largely positive , the reveal eventually led to Harada making a statement on his Twitter in response to those criticizing the inclusion of an Arab character in the game .   While the announcement and reveal of the Filipina Josie Rizal character was also met with mostly positive feedback , her revelation was also met with a mix of excitement and derision among Filipino netizens . Among the criticisms around the net were the lack of respect towards the martyred Philippine national hero José Rizal , who practiced wrestling and Eskrima from Calamba , Laguna , Jujutsu from Japan , fencing and marksmanship from Europe and weightlifting as well as misrepresentation of Filipino Martial Arts . According to Tekken chief producer Katsuhiro Harada , Mad Catz community manager Mark Julio , and Josie 's character designer Mari Shimazaki , Josie Rizal practiced kickboxing and Eskrima , but the move set in her reveal video consisted of mostly generic and recycled moves from earlier existing characters in the Tekken series . Someone claiming to be an official of the National Commission for Culture and the Arts was not quite happy with the way the character of Josie was depicted and stated that they would try to look at steps to remedy how she might affect the image of José Rizal and the Philippines by possibly submitting additional materials for the Tekken Team to use . However NCCA legal counsel Trixie Cruz - Angeles clarified that the agency had yet to issue any position on the matter in a post she made on her personal Facebook page : `` The NCCA has not asked for the deletion of Tekken character Josie Rizal . In fact , the NCCA has not taken cognizance of the issue nor issued an opinion . ''   Fated Retribution ( edit )   An arcade update title in the same vein as Tekken Tag Tournament 2 Unlimited and Tekken 6 Bloodline Rebellion , titled Tekken 7 : Fated Retribution was announced in a trailer released during the grand final of The King of Iron Fist Tournament 2015 tournament , which was held on December 12 , 2015 , and was released in Japan on July 5 , 2016 . The location test was held on February 12 -- 14 , 2016 in three arcades of Tokyo , Osaka , and Fukuoka . Several gameplay mechanics were introduced in the game , including Rage Drive and an adjusted Rage Art . It features an expanded content , including new customization and stages . Returning characters who have not received newer default costumes are accorded one . Additionally , new characters are featured , including the series ' second guest character : Akuma from the Street Fighter series , who has a dedicated EX meter designed to limit some of his special moves . The console and PC versions were based on this update .   After The Idolmaster series , a collaboration with another Bandai Namco property , this time the Taiko no Tatsujin rhythm game series on August 31 , 2016 added player icons , customization , and other aesthetic features .   A collaboration with New Japan Pro-Wrestling was announced during the `` an presents Dai Pro-Wres Matsuri 2017 '' event on January 2 , 2017 . An attire inspired by IWGP Heavyweight champion Kazuchika `` Rainmaker '' Okada was added as an outfit for King . A new Rage Art for King inspired by Rainmaker would accompany the outfit . Additionally , New Japan Pro-Wrestling - themed T - shirts were added for other characters . The collaboration event ran from January 23 to February 22 , 2017 .   Characters then exclusive for the console version : Eddy Gordo , Eliza , Kuma , Lee Chaolan , Miguel Caballero Rojo , and Panda , were announced on July 12 , 2017 to be added for arcades on July 27 , 2017 .   Console version ( edit )   The PlayStation 4 version was confirmed at Paris Games Week 2015 on October 27 , 2015 . Bandai Namco also announced that the PlayStation 4 version would feature exclusive content , as well as PlayStation VR support . In addition to previous graphical upgrades in the arcade version , the console versions also received one . Exclusive content on the PlayStation 4 version were released in the form of classic costumes for Jin , Xiaoyu and King , as well as a Tekken jukebox with classic musical tracks .   At E3 2016 , Tekken 7 was announced to be released for the Xbox One and Windows platforms in 2017 , in addition to the PlayStation 4 version . An official trailer , revealed during same event , showcased some of new features that was included in Fated Retribution , such as graphical updates and stages , as well as a story mode , which adds cutscenes and dialogue during battles .   The game is supported by downloadable content . Players who pre-ordered the game received a code that downloads the character Eliza . She is otherwise available as paid DLC starting on July 28 , 2017 . Taiko no Tatsujin collaboration items were also made available as free DLC on the same date . The first major batch of DLC , containing the Tekken Bowl minigame , The Idolmaster collaboration outfits , Tekken : Blood Vengeance uniforms for Xiaoyu and Alisa , swimsuits for female characters , fundoshi for male characters , and Vintage 1920 's bathing suits was made available on August 31 , 2017 .   Reception ( edit )     Reception        Aggregate score     Aggregator   Score     Metacritic   ( PC ) 83 / 100 ( PS4 ) 81 / 100 ( XONE ) 81 / 100     Review scores     Publication   Score     Destructoid   8 / 10     EGM   7.5 / 10     Eurogamer   80 %     Famitsu   36 / 40     Game Informer   8 / 10     GamePro   84 %     Game Revolution       GamesMaster   86 %     GameSpot   8 / 10     GamesRadar       IGN   9.5 / 10     PC Gamer ( US )   79 / 100     Polygon   80 %     Metro   8 / 10     4Players   85 %        Tekken 7 received `` generally favorable '' reviews , according to review aggregator Metacritic .   Chris Carter said on Destructoid `` Impressive effort with a few noticeable problems holding it back . Wo n't astound everyone , but is worth your time and cash . '' and awarded it a score of 8 / 10 .   Electronic Gaming Monthly 's Evan Slead scored the game a 7.5 / 10 with the consensus `` Tekken 7 , the latest entry in the long - running franchise , delivers what fighting genre fans love about multiplayer battles , but there is n't enough new material to make it truly stand out from the increasingly competitive options in the fighting genre . ''   The game was rated 36 out of 40 for both the PlayStation 4 and Xbox One versions by Famitsu . Eurogamer said `` Tekken 7 is what the fighting game community was waiting for . Awesome gameplay , new mechanics , great characters and a good amount of contents . '' Metro summarised it as `` Tekken with better graphics - the gameplay and characters are still a huge amount of fun . '' 4Players said that players would be `` rewarded with one of the deepest combo - filled fighters out there that will give Injustice 2 's superheroes a run for their money . ''   James Kozanitis from Game Revolution gave the game a score of 4 out of 5 stars saying that `` Tekken will always have a place among today 's fighting games , but it will always be its own place , and Tekken 7 is the best embodiment of that mentality . They 've made very little effort to conform to what other fighting games have taken for granted , even down to Tekken 7 's use of 3D arenas where most fighters conformed to a 2D battlefield years ago . Rather than getting hit by typical fighting game tropes , Tekken 7 was able to sidestep them . But it 's the ways in which Tekken 7 can still feel fresh despite its classic formula that set it apart from the pack . Even in the few concessions Tekken 7 did make to become more traditional , it did so with its own flair . Its smooth release on PC only goes to bolster the fact that the Tekken series will be around for quite some time , doing its own thing and doing it well .   Matt Elliott of GamesRadar awarded it 4 out of 5 stars stating that `` Despite some narrative missteps , Tekken 7 is still a compelling , exhilarating experience . Find the right sparring partner and it will entertain you indefinitely . '' Polygon stated that the `` unforgettable characters and fluid fights are worth the work . ''   Darry Huskey 's score of 9.5 / 10 on IGN said that `` Tekken 7 is a hallmark fighting game that 's both accessible and highly technical , with great customization options . '' Gamesmaster agreed , saying it was a `` gratifying fighting game '' .   `` A smart , blisteringly fun experience at its core , Tekken 7 's limited singleplayer campaign and poor tutorials marr an otherwise resounding win . '' was Dave Houghton 's conclusion on PC Gamer with a score of 79 / 100   Sales ( edit )   In the U.K , Tekken 7 was the best selling software in the week of release ; this is a first for the series in 19 years , since the debut of Tekken 3 on the original PlayStation . It remained at number 1 in the second week . The game also topped the Japanese charts in its first week , selling 58,736 copies . The release of the game also boosted PlayStation 4 sales . It fell to number 2 in the second week , behind Mario Kart 8 Deluxe . It was number 1 in both Australia and New Zealand . Tekken 7 was also the best selling physical software in North America in the month of June 2017 , as well as the 8th best selling download on the US PlayStation Store . It was the 5th most downloaded game on the EU PlayStation Store .   As of August 2017 , the game has sold 1.66 million copies worldwide .   References ( edit )    ^ Jump up to : Parlock , Joe ( December 12 , 2015 ) . `` Tekken 7 : Fated Retribution announced , the first new character is Street Fighter 's Akuma '' . Destructoid . Retrieved December 12 , 2015 .   Jump up ^ Yin - Poole , Wesley . `` Tekken 7 delayed to June '' . Eurogamer . Retrieved 23 January 2017 .   Jump up ^ `` First Tekken 7 details revealed at Comic - Con '' . Polygon . July 25 , 2014 . Retrieved July 25 , 2014 .   ^ Jump up to : `` Tekken 7 Details Emerging from Location Tests ; New Character Claudio , Power Crush Moves , and More '' . Ian Walker . October 3 , 2014 . Retrieved October 3 , 2014 .   Jump up ^ `` New Opposite Camera System - Tekken 7 '' . YouTube . Retrieved October 23 , 2015 .   Jump up ^ Push Square . `` Yes , You Can Extend Paul Phoenix 's Hair in Tekken 7 on PS4 '' . Push Square . Retrieved January 12 , 2015 .   ^ Jump up to : `` Tekken 7 DLC Pack # 1 Launch Trailer - Tekken Bowl &amp; New Costumes Coming Aug 31st '' . Avoiding The Puddle . Retrieved August 27 , 2017 .   Jump up ^ `` Evo 2014 Harada Announcement and Tekken 7 Reveal Trailer '' . YouTube . July 13 , 2014 . Retrieved July 15 , 2014 .   Jump up ^ Romano , Sal . `` Tekken 7 DLC to add two guest characters from other games '' . Gematsu . Retrieved 21 April 2017 .   Jump up ^ `` Harada on Twitter '' . Twitter . Retrieved 6 July 2017 .   Jump up ^ `` Tekken 7 FR Bryan Gameplay . Last boss Akuma / Gouki '' . Youtube . Retrieved December 12 , 2016 .   Jump up ^ `` Tekken 7 - New Character Gigas Officially Revealed , Available in Arcades on April 28th ! '' . avoidingthepuddle.com . Avoiding The Puddle . Retrieved April 26 , 2015 .   Jump up ^ `` Tekken 7 - Jin Kazama , Devil Jin and Josie Rizal Officially Revealed '' . Avoiding The Puddle .   Jump up ^ `` New Tekken 7 Characters Leaked '' . tekkenzaibatsu.com . Tekken Zaibatsu . Retrieved March 21 , 2015 .   Jump up ^ `` Tekken 7 News From Tokyo Game Show 2014 '' . Tekken Zaibatsu . September 20 , 2014 . Retrieved September 20 , 2014 .   Jump up ^ `` Tekken 7 cab bug '' . twitter.com . Twitteraccessdate = May 9 , 2015 .   Jump up ^ `` Tekken 7 : Fated Retribution brings back Bob , adds Master Raven '' . Retrieved July 18 , 2016 .   Jump up ^ `` Katsuhiro Harada on Twitter : `` Katarina and Shaheen is good for beginners . Lucky Chloe is bit difficult . RT @ _Nair_Al_Saif Shaheen is also for beginners like me right ? : ) '' `` . Twitter.com . March 3 , 2015 . Retrieved October 23 , 2015 .   ^ Jump up to : `` Kuma and Panda unveiled for Tekken 7 : Fated Retribution , online tournament mode to be included in console release '' . www.eventhubs.com . Retrieved 2016 - 12 - 10 .   Jump up ^ Anderson , Kell ( January 6 , 2014 ) . `` The Producer of Tekken Wants to Continue the Series on PS4 '' . Push Square . Retrieved October 22 , 2014 .   Jump up ^ Harada , Katsuhiro . `` Do n't rush me . Tekken is not development by PC base . It 's Develop by Playstation Native . also we do n't have Tekken community on PC now . '' . Twitter . Retrieved January 10 , 2015 .   Jump up ^ `` unreal engine , Tekken 7 announced at EVO 2014 '' . Dana Cowley . July 17 , 2014 . Retrieved July 17 , 2014 .   Jump up ^ `` Tekken 7 officially announced '' . Gematsu . July 31 , 2014 . Retrieved October 23 , 2015 .   Jump up ^ `` Tekken 7 Announced , Will Use Unreal Engine 4 ( UPDATE ) '' . GameSpot . July 13 , 2014 . Retrieved July 23 , 2014 .   Jump up ^ Cowley , Dana ( July 14 , 2014 ) . `` UE4 - Powered Tekken 7 Announced at EVO 2014 '' . Unreal Engine Blog . Epic Games . Retrieved October 9 , 2014 .   Jump up ^ `` Katsuhiro Harada on Twitter : `` Our original arcade board , based on PC architecture . RT @ ZeroXZ03 What hardware is the arcade version of T7 running on ? '' `` . Twitter.com . December 9 , 2014 . Retrieved October 23 , 2015 .   Jump up ^ `` Tekken 7 location test announced - Gematsu '' . September 14 , 2014 .   Jump up ^ `` Second Tekken 7 Gameplay Trailer Released in Blistering 1080p / 60fps - Hardcore Gamer '' .   Jump up ^ `` Tekken Crash Returns : First Tekken 7 3on3 Tournament Livestream Commencing Soon - Hardcore Gamer '' .   Jump up ^ `` </t>
    </r>
    <r>
      <rPr>
        <sz val="11"/>
        <color rgb="FF000000"/>
        <rFont val="Noto Sans CJK SC"/>
        <family val="2"/>
      </rPr>
      <t xml:space="preserve">『 鉄拳 </t>
    </r>
    <r>
      <rPr>
        <sz val="11"/>
        <color rgb="FF000000"/>
        <rFont val="Calibri"/>
        <family val="0"/>
        <charset val="1"/>
      </rPr>
      <t xml:space="preserve">7 </t>
    </r>
    <r>
      <rPr>
        <sz val="11"/>
        <color rgb="FF000000"/>
        <rFont val="Noto Sans CJK SC"/>
        <family val="2"/>
      </rPr>
      <t xml:space="preserve">』 </t>
    </r>
    <r>
      <rPr>
        <sz val="11"/>
        <color rgb="FF000000"/>
        <rFont val="Calibri"/>
        <family val="0"/>
        <charset val="1"/>
      </rPr>
      <t xml:space="preserve">`` </t>
    </r>
    <r>
      <rPr>
        <sz val="11"/>
        <color rgb="FF000000"/>
        <rFont val="Noto Sans CJK SC"/>
        <family val="2"/>
      </rPr>
      <t xml:space="preserve">ラッキー クロエ </t>
    </r>
    <r>
      <rPr>
        <sz val="11"/>
        <color rgb="FF000000"/>
        <rFont val="Calibri"/>
        <family val="0"/>
        <charset val="1"/>
      </rPr>
      <t xml:space="preserve">'' &amp; `` </t>
    </r>
    <r>
      <rPr>
        <sz val="11"/>
        <color rgb="FF000000"/>
        <rFont val="Noto Sans CJK SC"/>
        <family val="2"/>
      </rPr>
      <t xml:space="preserve">シャヒーン </t>
    </r>
    <r>
      <rPr>
        <sz val="11"/>
        <color rgb="FF000000"/>
        <rFont val="Calibri"/>
        <family val="0"/>
        <charset val="1"/>
      </rPr>
      <t xml:space="preserve">'' </t>
    </r>
    <r>
      <rPr>
        <sz val="11"/>
        <color rgb="FF000000"/>
        <rFont val="Noto Sans CJK SC"/>
        <family val="2"/>
      </rPr>
      <t xml:space="preserve">の プレイ リポート を お 届け </t>
    </r>
    <r>
      <rPr>
        <sz val="11"/>
        <color rgb="FF000000"/>
        <rFont val="Calibri"/>
        <family val="0"/>
        <charset val="1"/>
      </rPr>
      <t xml:space="preserve">( JAEPO 2015 ) `` . Famitsu . February 13 , 2015 . Retrieved February 13 , 2015 .   ^ Jump up to : `` Tekken 's First Actual `` King of Iron Fist Tournament '' Has A Cash Prize `` . July 6 , 2015 .   Jump up ^ `` Tekken 7 gets Idolmaster costumes , but not for the men '' .   Jump up ^ `` ( TEKKEN - NET ) </t>
    </r>
    <r>
      <rPr>
        <sz val="11"/>
        <color rgb="FF000000"/>
        <rFont val="Noto Sans CJK SC"/>
        <family val="2"/>
      </rPr>
      <t xml:space="preserve">夏 の キャンペーン 開催 </t>
    </r>
    <r>
      <rPr>
        <sz val="11"/>
        <color rgb="FF000000"/>
        <rFont val="Calibri"/>
        <family val="0"/>
        <charset val="1"/>
      </rPr>
      <t xml:space="preserve">! ! '' . Tekken Official . July 29 , 2015 . Retrieved July 29 , 2015 .   Jump up ^ LeJaq , Yannick ( December 10 , 2014 ) . `` Why Some People Are Freaking Out Over A New Tekken Character '' . Kotaku . Retrieved January 10 , 2015 .   Jump up ^ matulef , jeffrey . `` Tekken 7 reveals Saudi Arabian character Shaheen '' . Eurogamer.net . Eurogamer . Retrieved September 29 , 2015 .   Jump up ^ `` Tekken 7 : Harada twittert über Lucky Chloe und Shaheen '' . Retrieved January 12 , 2015 .   Jump up ^ `` Harada on Twitter '' . Twitter . Retrieved March 25 , 2016 .   Jump up ^ `` Katsuhiro Harada on Twitter : `` Yeah . This moment , We receive over 90 % positive feedback from fan community and Philippines gamer community. ... '' `` . Twitter.com. April 1 , 2015 . Retrieved October 23 , 2015 .   Jump up ^ `` Katsuhiro Harada on Twitter : `` Yep only 4 ~ 6 % . I know . RT@darren_rigor07 im darren from philippines . I like Josie Rizal pls dont delete her . because of 1 % negative comment . '' `` . Twitter.com. April 2 , 2015 . Retrieved October 23 , 2015 .   Jump up ^ `` Meet Josie Rizal , the new Filipino character in ' Tekken 7 ' '' . Rappler.com . Mar 30 , 2015 .   Jump up ^ Edwin P. Sallan ( March 30 , 2015 ) . `` New Pinay character Josie Rizal in ' Tekken 7 ' videogame stirs controversy '' . InterAksyon.com .   Jump up ^ Sixto Y . Orosa ( 1963 ) . José Rizal : Man and Hero . Vibal Publishing .   Jump up ^ Alixandra Caole Vila ( March 30 , 2015 ) . `` Netizens : What should be Josie Rizal 's finishing move ? '' . Philippine Star .   Jump up ^ Mark Julio ( March 29 , 2015 ) . `` Mark Julio 's public post about Josie Rizal on Facebook '' .   Jump up ^ Mark Julio . `` Hoy ! Psssst ! In case you missed it , Josie Rizal is the newest challenger in TEKKEN 7 ! Designed by @ MariShimazaki ! '' . Twitter .   Jump up ^ `` NCCA official unhappy with Tekken character ' Josie Rizal ' '' . GMA News Online . March 31 , 2015 .   Jump up ^ Balita Pilipinas , GMA News TV , March 31 , 2015   Jump up ^ `` Tekken developer says Josie Rizal wo n't be deleted following ' NCCA ' row '' . MSN . April 3 , 2015 . Retrieved April 3 , 2015 .   Jump up ^ `` Tekken 7 Fated Retribution Location Tests Being Held on Feb 12 - 14 ! '' . Avoiding The Puddle . Retrieved January 15 , 2016 .   Jump up ^ `` Bandai Namco Announces Tekken 7 Fated Retribution , Starring Street Fighter 's Akuma '' . Shoryuken . Retrieved December 13 , 2015 .   Jump up ^ `` </t>
    </r>
    <r>
      <rPr>
        <sz val="11"/>
        <color rgb="FF000000"/>
        <rFont val="Noto Sans CJK SC"/>
        <family val="2"/>
      </rPr>
      <t xml:space="preserve">『 鉄拳 </t>
    </r>
    <r>
      <rPr>
        <sz val="11"/>
        <color rgb="FF000000"/>
        <rFont val="Calibri"/>
        <family val="0"/>
        <charset val="1"/>
      </rPr>
      <t xml:space="preserve">7FR </t>
    </r>
    <r>
      <rPr>
        <sz val="11"/>
        <color rgb="FF000000"/>
        <rFont val="Noto Sans CJK SC"/>
        <family val="2"/>
      </rPr>
      <t xml:space="preserve">』 </t>
    </r>
    <r>
      <rPr>
        <sz val="11"/>
        <color rgb="FF000000"/>
        <rFont val="Calibri"/>
        <family val="0"/>
        <charset val="1"/>
      </rPr>
      <t xml:space="preserve">× </t>
    </r>
    <r>
      <rPr>
        <sz val="11"/>
        <color rgb="FF000000"/>
        <rFont val="Noto Sans CJK SC"/>
        <family val="2"/>
      </rPr>
      <t xml:space="preserve">『 太鼓 の 達人 レッド </t>
    </r>
    <r>
      <rPr>
        <sz val="11"/>
        <color rgb="FF000000"/>
        <rFont val="Calibri"/>
        <family val="0"/>
        <charset val="1"/>
      </rPr>
      <t xml:space="preserve">Ver. </t>
    </r>
  </si>
  <si>
    <t xml:space="preserve">when does tekken 7 come out in america</t>
  </si>
  <si>
    <r>
      <rPr>
        <sz val="11"/>
        <color rgb="FF000000"/>
        <rFont val="Calibri"/>
        <family val="0"/>
        <charset val="1"/>
      </rPr>
      <t xml:space="preserve"> Tekken 7 ( </t>
    </r>
    <r>
      <rPr>
        <sz val="11"/>
        <color rgb="FF000000"/>
        <rFont val="Noto Sans CJK SC"/>
        <family val="2"/>
      </rPr>
      <t xml:space="preserve">鉄拳 </t>
    </r>
    <r>
      <rPr>
        <sz val="11"/>
        <color rgb="FF000000"/>
        <rFont val="Calibri"/>
        <family val="0"/>
        <charset val="1"/>
      </rPr>
      <t xml:space="preserve">7 ) is a fighting game developed and published by Bandai Namco Entertainment . The game is the ninth installment in the Tekken series , and the first to make use of the Unreal Engine . Tekken 7 had a limited arcade release in Japan in March 2015 . An updated arcade version , Tekken 7 : Fated Retribution , was released in Japan in July 2016 , and features expanded content including new stages , costumes , items and characters . The same version was released for Microsoft Windows , PlayStation 4 and Xbox One in June 2017 . </t>
    </r>
  </si>
  <si>
    <t xml:space="preserve">Visa requirements for Jamaican citizens - Wikipedia  Visa requirements for Jamaican citizens    A Jamaican passport  Visa requirements for Jamaican citizens are administrative entry restrictions by the authorities of other states placed on citizens of Jamaica . As of 10 July 2018 , Jamaican citizens had visa - free or visa on arrival access to 85 countries and territories , ranking the Jamaican passport 59th in terms of travel freedom according to Henley Passport Index .   Contents    1 Visa requirements map   2 Visa requirements   3 Dependent , Disputed , or Restricted territories   4 Foreign travel statistics   5 Diplomatic Missions of Jamaica   6 Non-visa restrictions   6.1 Passport validity length   6.2 Blank passport pages   6.3 Vaccination   6.4 Israeli stamps   6.5 Armenian ethnicity   6.6 Criminal record   6.7 Persona non grata   6.8 Fingerprinting     7 Future changes   8 See also   9 References and Notes    Visa requirements map ( edit )  Visa requirements for Jamaican citizens Jamaica Visa free access Visa on arrival eVisa Visa available both on arrival or online Visa required  Visa requirements ( edit )     Country   Visa requirement   Allowed stay   Notes ( excluding departure fees )     Afghanistan   Visa required         Albania   Visa required         Algeria   Visa required         Andorra   Visa required         Angola   Visa required         Antigua and Barbuda   Visa not required   6 months     Freedom of Movement for CARICOM Skilled Nationals       Argentina   Visa not required   90 days       Armenia   eVisa / Visa on arrival   120 days       Australia   Visa required       May apply online ( Online Visitor e600 visa ) .       Austria   Visa required         Azerbaijan   eVisa   30 days       Bahamas   Visa not required   3 months       Bahrain   eVisa         Bangladesh   Visa not required         Barbados   Visa not required   6 months     Freedom of Movement for CARICOM Skilled Nationals       Belarus   Visa required         Belgium   Visa required         Belize   Visa not required   6 months     Freedom of Movement for CARICOM Skilled Nationals       Benin   eVisa / Visa on arrival   30 days / 8 days     Must have an international vaccination certificate .       Bhutan   Visa required         Bolivia   Visa on arrival   90 days       Bosnia and Herzegovina   Visa required         Botswana   Visa not required   90 days       Brazil   Visa not required   90 days       Brunei   Visa required         Bulgaria   Visa required         Burkina Faso   Visa required         Burundi   Visa required         Cambodia   eVisa / Visa on arrival   30 days       Cameroon   Visa required         Canada   Visa required         Cape Verde   Visa on arrival         Central African Republic   Visa required         Chad   Visa required         Chile   Visa not required   90 days       China   Visa required         Colombia   Visa not required   180 days     90 days - extendable up to 180 - days stay within a one year period       Comoros   Visa on arrival         Republic of the Congo   Visa required         Democratic Republic of the Congo   Visa required         Costa Rica   Visa required         Côte d'Ivoire   eVisa         Croatia   Visa required         Cuba   Visa required         Cyprus   Visa required         Czech Republic   Visa required         Denmark   Visa required         Djibouti   eVisa   31 days       Dominica   Visa not required   6 months     Freedom of Movement for CARICOM Skilled Nationals       Dominican Republic   Visa not required         Ecuador   Visa not required   90 days       Egypt   Visa required         El Salvador   Visa required         Equatorial Guinea   Visa required         Eritrea   Visa required         Estonia   Visa required         Ethiopia   eVisa         Fiji   Visa not required   4 months       Finland   Visa required         France   Visa required         Gabon   eVisa       Electronic visa holders must arrive via Libreville International Airport .       Gambia   Visa not required   90 days     Must obtain an entry clearance from the Gambian Immigration prior to travel       Georgia   eVisa   30 days       Germany   Visa required         Ghana   Visa required         Greece   Visa required         Grenada   Visa not required   6 months     Freedom of Movement for CARICOM Skilled Nationals       Guatemala   Visa required         Guinea   Visa required         Guinea - Bissau   Visa on arrival         Guyana   Visa not required   6 months     Freedom of Movement for CARICOM Skilled Nationals       Haiti   Visa not required   3 months       Honduras   Visa required         Hungary   Visa required         Iceland   Visa required         India   e-Visa   60 days     e-Visa holders must arrive via 26 designated airports or 3 designated seaports .   An Indian e-Tourist Visa can only be obtained twice in one calendar year .     eVisa issued free of charge       Indonesia   Visa not required   30 days       Iran   Visa on arrival   15 days       Iraq   Visa required         Ireland   Visa required       Visa Issued free of charge       Israel   Visa not required   90 days       Italy   Visa required         Japan   Visa required         Jordan   Visa on arrival   30 days       Kazakhstan   Visa required         Kenya   Visa not required   90 days       Kiribati   Visa not required   30 days       North Korea   Visa required         South Korea   Visa not required   90 days       Kuwait   Visa required         Kyrgyzstan   eVisa       Electronic visa holders must arrive via Manas International Airport or Osh Airport or through land crossings with China ( at Irkeshtam and Torugart ) , Kazakhstan ( at Ak - jol , Ak - Tilek , Chaldybar , Chon - Kapka ) , Tajikistan ( at Bor - Dobo , Kulundu , Kyzyl - Bel ) and Uzbekistan ( at Dostuk ) .       Laos   Visa on arrival   30 days     Conditions apply .   Available at international airports Luangphabang , Pakse , Savannakhet and Vientiane , and at 4 land borders Friendship Bridge , and at 13 border crossings as well as Tanalaeng train station in Vientiane , which connects to the train station in Nongkai , Thailand .   Entry points Lalai , Lantui , Meuang mom , Pakxan , and Phoudou are open only to visa holders .   Extendable up to 60 days .       Latvia   Visa required         Lebanon   Visa required         Lesotho   Visa not required   90 days       Liberia   Visa required         Libya   Visa required         Liechtenstein   Visa required         Lithuania   Visa required         Luxembourg   Visa required         Macedonia   Visa required         Madagascar   Visa on arrival   90 days       Malawi   Visa not required   90 days       Malaysia   Visa not required   30 days       Maldives   Visa on arrival   30 days       Mali   Visa required         Malta   Visa required         Marshall Islands   Visa required         Mauritania   Visa on arrival       Available at Nouakchott -- Oumtounsy International Airport .       Mauritius   Visa not required   90 days       Mexico   Visa not required   180 days       Micronesia   Visa not required   30 days       Moldova   Visa required         Monaco   Visa required         Mongolia   Visa required         Montenegro   Visa required         Morocco   Visa required         Mozambique   Visa on arrival   30 days       Myanmar   eVisa   28 days     eVisa holders must arrive via Yangon , Nay Pyi Taw or Mandalay airports or via land border crossings with Thailand -- Tachileik , Myawaddy and Kawthaung or India -- Rih Khaw Dar and Tamu .   eVisa is available for tourism only .       Namibia   Visa not required   90 days     90 days within any 1 year period       Nauru   Visa required         Nepal   Visa on arrival   30 days       Netherlands   Visa required         New Zealand   Visa required         Nicaragua   Visa on arrival   90 days       Niger   Visa not required         Nigeria   Visa required         Norway   Visa required         Oman   Visa required         Pakistan   Visa required         Palau   Visa on arrival   30 days       Panama   Visa not required         Papua New Guinea   Visa required         Paraguay   Visa required         Peru   Visa not required   180 days       Philippines   Visa not required   30 days       Poland   Visa required         Portugal   Visa required         Qatar   eVisa         Romania   Visa required         Russia   Visa required       Visa free for 90 days within any year period from 27 November 2018 .       Rwanda   eVisa / Visa on arrival   30 days       Saint Kitts and Nevis   Visa not required   6 months     Freedom of Movement for CARICOM Skilled Nationals       Saint Lucia   Visa not required   6 months     Freedom of Movement for CARICOM Skilled Nationals       Saint Vincent and the Grenadines   Visa not required   6 months     Freedom of Movement for CARICOM Skilled Nationals       Samoa   Entry Permit on arrival   60 days       San Marino   Visa required         São Tomé and Príncipe   eVisa         Saudi Arabia   Visa required         Senegal   Visa on arrival   90 days       Serbia   Visa not required   30 days     30 days within any year period       Seychelles   Visitor 's Permit on arrival   3 month &gt;       Sierra Leone   Visa not required         Singapore   Visa not required   30 days       Slovakia   Visa required         Slovenia   Visa required         Solomon Islands   Visa required         Somalia   Visa on arrival   30 days     Available at Bosaso Airport , Galcaio Airport and Mogadishu Airport .       South Africa   Visa not required   90 days       South Sudan   Visa required         Spain   Visa required         Sri Lanka   eVisa / Visa on arrival   30 days     Must hold return or onward ticket       Sudan   Visa required         Suriname   Visa not required   6 months     Freedom of Movement for CARICOM Skilled Nationals       Swaziland   Visa not required   30 days       Sweden   Visa required         Switzerland   Visa required         Syria   Visa required         Tajikistan   eVisa   45 days       Tanzania   Visa not required   3 months       Thailand   Visa required         Timor - Leste   Visa on arrival   30 days       Togo   Visa on arrival   7 days       Tonga   Visa required         Trinidad and Tobago   Visa not required   6 months     Freedom of Movement for CARICOM Skilled Nationals       Tunisia   Visa required         Turkey   eVisa   1 month       Turkmenistan   Visa required         Tuvalu   Visa on arrival   1 month       Uganda   Visa not required       May apply online .       Ukraine   eVisa         United Arab Emirates   Visa required         United Kingdom   Visa required         United States   Visa required         Uruguay   Visa not required   90 days       Uzbekistan   Visa required         Vanuatu   Visa not required   30 days       Vatican City   Visa required         Venezuela   Visa not required   90 days       Vietnam   Visa required         Yemen   Visa required         Zambia   Visa not required   90 days       Zimbabwe   Visa not required   3 months       Dependent , disputed , or restricted territories ( edit )    Unrecognized or partially recognized countries      Territory   Conditions of access   Notes     Abkhazia   Visa required       Kosovo   Visa required       Northern Cyprus   Visa not required       Nagorno - Karabakh   Visa required   Travellers with Nagorno - Karabakh visa ( expired or valid ) or evidence of travel to Nagorno - Karabakh ( stamps ) will be permanently denied entry to Azerbaijan .     Palestine   Visa not required   Arrival by sea to Gaza Strip not allowed .     Somaliland   Visa on arrival   30 days for 30 US dollars , payable on arrival .     South Ossetia   Visa not required   Multiple entry visa to Russia and three day prior notification are required to enter South Ossetia .     Taiwan   Visa required       Transnistria   Visa not required   Registration required after 24h .      Dependent and autonomous territories      Territory   Conditions of access   Notes     China     Hong Kong   Visa not required   90 days     Macau   Visa on arrival       Denmark     Faroe Islands   Visa required       Greenland   Visa required       France     French Guiana   Visa required       French Polynesia   Visa required       French West Indies   Visa required   French West Indies refers to Martinique , Guadeloupe , Saint Martin and Saint Barthélemy .     Mayotte   Visa required       New Caledonia   Visa required       Réunion   Visa required       Saint Pierre and Miquelon   Visa required       Wallis and Futuna   Visa required       Netherlands     Aruba   Visa required       Caribbean Netherlands   Visa required   Caribbean Netherlands refers to Bonaire , Sint Eustatius and Saba .     Curaçao   Visa not required   90 days     Sint Maarten   Visa required       New Zealand     Cook Islands   Visa not required   31 days     Niue   Visa not required   30 days     Tokelau   Visa required       United Kingdom     Akrotiri and Dhekelia   Visa required       Anguilla   Visa required   Holders of a valid visa issued by the United Kingdom do not require a visa .     Bermuda   Visa required       British Indian Ocean Territory   Special permit required   Special permit required .     British Virgin Islands   Visa required     Holders of a valid visa issued by Canada , United Kingdom or the USA do not required a visa for a maximum stay of 90 days .       Cayman Islands   Visa required     Holders of a valid visa issued by the USA , UK , or Canada do not require a visa if travelling from that country . This is valid for a maximum stay of 30 days .   Visa free for nationals of Jamaica who under 15 or over 70 years of age .         Falkland Islands   Visa required       Gibraltar   Visa required       Montserrat   Visa not required       Pitcairn Islands   Visa not required   14 days visa free and landing fee 35 USD or tax of 5 USD if not going ashore .     Ascension Island   Entry Permit required   Entry Permit must be obtained minimum 28 days in advance ( 3 months for 20 / 30 pounds sterling , single / double entry ) .     Saint Helena   eVisa       Tristan da Cunha   Permission required   Permission to land required for 15 / 30 pounds sterling ( yacht / ship passenger ) for Tristan da Cunha Island or 20 pounds sterling for Gough Island , Inaccessible Island or Nightingale Islands .     South Georgia and the South Sandwich Islands   Permit required   Pre-arrival permit from the Commissioner required ( 72 hours / 1 month for 110 / 160 pounds sterling ) .     Turks and Caicos Islands   Visa required   Holders of a valid visa issued by Canada , United Kingdom or the USA do not required a visa for a maximum stay of 90 days .     United States     American Samoa   Visa required       Guam   Visa required       Northern Mariana Islands   Visa required       Puerto Rico   Visa required       U.S. Virgin Islands   Visa required       Antarctica and adjacent islands     Special permits required for Bouvet Island , British Antarctic Territory , French Southern and Antarctic Lands , Argentine Antarctica , Australian Antarctic Territory , Chilean Antarctic Territory , Heard Island and McDonald Islands , Peter I Island , Queen Maud Land , Ross Dependency .      Other territories      Territory   Conditions of access   Notes     Brest and Grodno   Visa not required   Visa - free for 10 days     China Hainan   Visa on arrival   15 days . Available at Haikou Meilan International Airport and Sanya Phoenix International Airport . Visa not required for 15 days for traveling as part of a tourist group ( 5 or more people )     China Tibet Autonomous Region   TTP required   Tibet Travel Permit required ( 10 US Dollars ) .     Crimea   Visa required   Visa issued by Russia is required .     Ecuador Galápagos   Pre-registration required   Online pre-registration is required . Transit Control Card must also be obtained at the airport prior to departure .     Eritrea outside Asmara   Travel permit required   To travel in the rest of the country , a Travel Permit for Foreigners is required ( 20 Eritrean nakfa ) .     Greece Mount Athos   Special permit required   Special permit required ( 4 days : 25 euro for Orthodox visitors , 35 euro for non-Orthodox visitors , 18 euro for students ) . There is a visitors ' quota : maximum 100 Orthodox and 10 non-Orthodox per day and women are not allowed .     India PAP / RAP   PAP / RAP required   Protected Area Permit ( PAP ) required for whole states of Nagaland and Sikkim and parts of states Manipur , Arunachal Pradesh , Uttaranchal , Jammu and Kashmir , Rajasthan , Himachal Pradesh . Restricted Area Permit ( RAP ) required for all of Andaman and Nicobar Islands and parts of Sikkim . Some of these requirements are occasionally lifted for a year .     Iran Kish Island   Visa not required   Visitors to Kish Island do not require a visa .     Iraqi Kurdistan   Visa on arrival   Visa on arrival for 15 days is available at Erbil and Sulaymaniyah airports .     Fiji Lau Province   Special permission required   Special permission required .     France Clipperton Island   Special permit required   Special permit required .     Kazakhstan   Special permission required   Special permission required for the town of Baikonur and surrounding areas in Kyzylorda Oblast , and the town of Gvardeyskiy near Almaty .     North Korea outside Pyongyang   Special permit required   People are not allowed to leave the capital city , tourists can only leave the capital with a governmental tourist guide ( no independent moving )     Malaysia Sabah and Sarawak   Visa not required   These states have their own immigration authorities and passport is required to travel to them , however the same visa applies .     Maldives outside Malé   Permission required   With the exception of the capital Malé , tourists are generally prohibited from visiting non-resort islands without the express permission of the Government of Maldives .     Norway Jan Mayen   Permit required   Permit issued by the local police required for staying for less than 24 hours and permit issued by the Norwegian police for staying for more than 24 hours .     Svalbard of Norway   Visa not Required     Unlimited Stay ( Idefinite Stay ) .       Novorossiya   Restricted area   Crossing from Ukraine requires visit purpose to be explained to Ukrainian passport control on exit and those who entered from Russia are not allowed to proceed further into Ukraine .     Russia   Special authorization required   Several closed cities and regions in Russia require special authorization .     Sudan outside Khartoum   Travel permit required   All foreigners traveling more than 25 kilometers outside of Khartoum must obtain a travel permit .     Sudan Darfur   Travel permit required   Separate travel permit is required .     Tajikistan Gorno - Badakhshan Autonomous Province   OIVR permit required   OIVR permit required ( 15 + 5 Tajikistani Somoni ) and another special permit ( free of charge ) is required for Lake Sarez .     UN Buffer Zone in Cyprus   Access Permit required   Access Permit is required for travelling inside the zone , except Civil Use Areas .     Korean Demilitarized Zone   Restricted zone .       UNDOF Zone and Ghajar   Restricted zone .       United States Minor Outlying Islands   Special permits required   Special permits required for Baker Island , Howland Island , Jarvis Island , Johnston Atoll , Kingman Reef , Midway Atoll , Palmyra Atoll and Wake Island .     Venezuela Margarita Island   Visa not required   All visitors are fingerprinted .     Vietnam Phú Quốc   Visa not required   30 days     Yemen outside Sana'a or Aden   Special permission required   Special permission needed for travel outside Sana'a or Aden .     Foreign travel statistics ( edit )   Overseas trips made by Jamaican citizens     Country   Number   Year     United States   351,417   2016     Canada   32,915   2016     Curacao   18,282   2016     Trinidad and Tobago   11,617   2016     United Kingdom   14,000   2015     Cayman Islands   9,393   2017     Barbados   7,855   2015     The Bahamas   6,291   2013     Antigua and Barbuda   3,876   2017     Dominican Republic   2,792   2017     Russia   442   2016     Diplomatic missions of Jamaica ( edit )  Diplomatic missions of Jamaica  ( 11 ) Jamaica has a modest number of diplomatic missions and consulates in the world they are maintained under the umbrella of the Jamaican Ministry of Foreign Affairs and Foreign Trade . They are official representative of the government of one state in the territory of another , normally acting to assist and protect the citizens of the consul 's own country , and to facilitate trade and friendship between the people of the two countries .   Non-visa restrictions ( edit )  This section is transcluded from Non-visa travel restrictions . ( edit history )    Many countries have entry restrictions on foreigners that go beyond the common requirement of having either a valid visa or a visa exemption . Such restrictions may be health related or impose additional documentation requirements on certain classes of people for diplomatic or political purposes .   Passport validity length ( edit )   In the absence of specific bilateral agreements , countries requiring passports to be valid at least 6 months on arrival include Afghanistan , Algeria , Anguilla , Bahrain , Bhutan , Botswana , British Virgin Islands , Brunei , Cambodia , Cameroon , Cape Verde , Cayman Islands , Central African Republic , Chad , Comoros , Costa Rica , Côte d'Ivoire , Curaçao , Ecuador , Egypt , El Salvador , Equatorial Guinea , Fiji , Gabon , Guinea Bissau , Guyana , Haiti , Indonesia , Iran , Iraq , Israel , Jordan , Kenya , Kiribati , Kuwait , Laos , Madagascar , Malaysia , Maldives , Marshall Islands , Mongolia , Myanmar , Namibia , Nepal , Nicaragua , Nigeria , Oman , Palau , Papua New Guinea , Philippines , Rwanda , Samoa , Saudi Arabia , Singapore , Solomon Islands , Somalia , Sri Lanka , Sudan , Suriname , Tanzania , Thailand , Timor - Leste , Tokelau , Tonga , Tuvalu , Uganda , United Arab Emirates , Vanuatu , Venezuela and Vietnam .   Turkey requires passports to be valid for at least 150 days upon entry .   Countries requiring passports valid for at least 4 months on arrival include Micronesia and Zambia .   Countries requiring passports valid for at least 3 months beyond the period of intended stay include European Union countries ( except the Republic of Ireland and the United Kingdom ) , Iceland , Liechtenstein , Norway and Switzerland ( and always excepting EU / EEA / Swiss nationals ) , Azerbaijan , Bosnia and Herzegovina , Montenegro , Nauru , Moldova , New Zealand and 3 months validity on arrival in Albania , Honduras , Macedonia , Panama , Qatar and Senegal .   Bermuda requires passports to be valid for at least 45 days upon entry .   Countries that require a passport validity of at least one month beyond the period of intended stay include Eritrea , Hong Kong , Lebanon , Macau and South Africa .   Other countries require either a passport valid on arrival or a passport valid throughout the period of the intended stay . Some countries have bilateral agreements with other countries to shorten the period of passport validity required for each other 's citizens or even accept passports that have already expired ( but not been cancelled ) .   Blank passport pages ( edit )   Many countries require a minimum number of blank pages in the passport being presented , generally one or two pages . Endorsement pages , which often appear after the visa pages , are not counted as being available .   Vaccination ( edit )  An International Certificate of Vaccination required to prove that someone has been vaccinated against yellow fever Main article : Carte Jaune  Many African countries , including Angola , Benin , Burkina Faso , Cameroon , Central African Republic , Chad , Democratic Republic of the Congo , Republic of the Congo , Côte d'Ivoire , Equatorial Guinea , Gabon , Ghana , Guinea , Liberia , Mali , Mauritania , Niger , Rwanda , São Tomé and Príncipe , Senegal , Sierra Leone , Uganda , and Zambia , require all incoming passengers to have a current International Certificate of Vaccination .   Some other countries require vaccination only if the passenger is coming from an infected area or has recently visited one .   Israeli stamps ( edit )  Israeli border control Entry Permit ( issued as a stand - alone document rather than a stamp affixed in a passport )  Kuwait , Lebanon , Libya , Saudi Arabia , Sudan , Syria and Yemen do not allow entry to people with passport stamps from Israel or whose passports have either a used or an unused Israeli visa , or where there is evidence of previous travel to Israel such as entry or exit stamps from neighbouring border posts in transit countries such as Jordan and Egypt .   To circumvent this Arab League boycott of Israel , the Israeli immigration services have now mostly ceased to stamp foreign nationals ' passports on either entry to or exit from Israel . Since 15 January 2013 , Israel no longer stamps foreign passports at Ben Gurion Airport , giving passengers a card instead that reads : `` Since January 2013 a pilot scheme has been introduced whereby visitors are given an entry card instead of an entry stamp on arrival . You should keep this card with your passport until you leave . This is evidence of your legal entry into Israel and may be required , particularly at any crossing points into the Occupied Palestinian Territories . '' Passports are still ( as of 22 June 2017 ) stamped at Erez when travelling into and out of Gaza . Also , passports are still stamped ( as of 22 June 2017 ) at the Jordan Valley / Sheikh Hussein and Yitzhak Rabin / Arava land borders with Jordan .   Iran refuses admission to holders of passports containing an Israeli visa or stamp that is less than 12 months old .   Armenian ethnicity ( edit )  Main article : Armenia -- Azerbaijan relations  Due to a state of war existing between Armenia and Azerbaijan , the government of Azerbaijan not only bans entry of citizens from Armenia , but also all citizens and nationals of any other country who are of Armenian descent , to the Republic of Azerbaijan ( although there have been exceptions , notably for Armenia 's participation at the 2015 European Games held in Azerbaijan ) .   Azerbaijan also strictly bans any visit by foreign citizens to the separatist region of Nagorno - Karabakh ( the de facto independent Republic of Artsakh ) , its surrounding territories and the Azerbaijani exclaves of Karki , Yuxarı Əskipara , Barxudarlı and Sofulu which are de jure part of Azerbaijan but under control of Armenia , without the prior consent of the government of Azerbaijan . Foreign citizens who enter these occupied territories will be permanently banned from entering the Republic of Azerbaijan and will be included in their `` list of personae non gratae '' . As of April 2018 the list contains 710 persons .   Upon request , the authorities of the largely unrecognized Republic of Artsakh may attach their visa and / or stamps to a separate piece of paper in order to avoid detection of travel to their country .   Criminal record ( edit )   Some countries ( for example : Australia , Canada , Fiji , New Zealand and the United States ) routinely deny entry to non-citizens who have a criminal record .   Persona non grata ( edit )   The government of a country can declare a diplomat persona non grata , banning their entry into that country . In non-diplomatic use , the authorities of a country may also declare a foreigner persona non grata permanently or temporarily , usually because of unlawful activity . Attempts to enter the Gaza strip by sea may attract a 10 - year ban on entering Israel .   Fingerprinting ( edit )  Main article : Countries applying biometrics Iris recognition biometric systems apply mathematical pattern - recognition techniques to images of the irises of an individual 's eyes .  Several countries mandate that all travellers , or all foreign travellers , be fingerprinted on arrival and will refuse admission to or even arrest those travellers that refuse to comply . In some countries , such as the United States , this may apply even to transit passengers who merely wish to quickly change planes rather than go landside .   Fingerprinting countries include Afghanistan , Argentina , Brunei , Cambodia , China when entering through Shenzhen airport , Ethiopia , Ghana , India , Japan , Malaysia upon entry and departure , Paraguay , Saudi Arabia , Singapore , South Korea , and Taiwan .   Additionally , the United Arab Emirates conducts iris scanning on visitors who need to apply for a visa .   Future changes ( edit )    Russia -- The Russian Government has instructed the Ministry of Foreign Affairs to sign an agreement on visa waiver with Jamaica for 90 days within any year period for ordinary passports . Visa waiver will be in effect starting November 27 , 2018     Guatemala -- Visa free agreement was signed with in June 2017 and is yet to be ratified .    See also ( edit )    Jamaica portal     Visa policy of Jamaica   Jamaican passport   Foreign relations of Jamaica    References and notes ( edit )    References     ^ `` The Henley Passport Index '' ( PDF ) . Henley &amp; Partners Holdings Ltd. 10 July 2018 . Retrieved 13 July 2018 . This graph shows the full Global Ranking of the 2018 Henley Passport Index . In certain cases , a rank is shared by multiple countries because these countries all have the same level of visa - free or visa - on - arrival access .   ^ Visa information , Ministry of Foreign Affairs of Afghanistan .   ^ Visa regime for foreign citizens , Ministry for Europe and Foreign Affairs of Albania .   ^ Travel Information Manual , International Air Transport Association ( IATA ) .   ^ Travel to Andorra , Ministry of External Affairs of Andorra .   ^ Travel Information Manual , International Air Transport Association ( IATA ) .   ^ Countries exempt from visa , Department of Immigration of Antigua and Barbuda .   ^ Visa regime , National Directorate of Migrations of Argentina ( in Spanish ) .   ^ Visa , Ministry of Foreign Affairs of Armenia .   ^ Visitor visa options , Department of Home Affairs of Australia .   ^ `` Visitor e600 Visa Online Applications '' . Department of Immigration and Border Protection .   ^ Schengen visa , Federal Ministry for Europe , Integration and Foreign Affairs of Austria .   ^ Countries with visa - free travel regime , Ministry of Foreign Affairs of Azerbaijan ( in Azerbaijani ) .   ^ Electronic Visa System of Azerbaijan Republic   ^ Visa requirements for foreigners travelling to the Bahamas , Government of the Bahamas , 18 February 2014 .   ^ Bahrain eVisas , Ministry of Interior of Bahrain .   ^ Travel Information Manual , International Air Transport Association ( IATA ) .   ^ Visa requirements for foreign nationals entering Barbados , Ministry of Foreign Affairs and Foreign Trade of Barbados , 3 June 2009 .   ^ Visa - free travel , Ministry of Foreign Affairs of Belarus .   ^ Visa for Belgium , Federal Public Service Foreign Affairs of Belgium .   ^ Countries not requiring an entry visa , Department of Immigration and Nationality Services of Belize , September 2016 .   ^ Visa , Emigration and Immigration Directorate of Benin .   ^ eVisa Benin   ^ Visa , Tourism Council of Bhutan .   ^ Requirements to enter Bolivia , General Directorate of Migration of Bolivia ( in Spanish ) .   ^ Visas , Ministry of Foreign Affairs of Bosnia and Herzegovina .   ^ Requirements for visa application , Government of Botswana .   ^ Visas to travel to Brazil , Ministry of External Relations of Brazil ( in Portuguese and English ) .   ^ Country category for visa application , Ministry of Foreign Affairs and Trade of Brunei .   ^ Visa for Bulgaria , Ministry of Foreign Affairs of Bulgaria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t>
  </si>
  <si>
    <t xml:space="preserve">can i travel to bahamas with a jamaican passport</t>
  </si>
  <si>
    <t xml:space="preserve">   Country   Visa requirement   Allowed stay   Notes ( excluding departure fees )     Afghanistan   Visa required         Albania   Visa required         Algeria   Visa required         Andorra   Visa required         Angola   Visa required         Antigua and Barbuda   Visa not required   6 months     Freedom of Movement for CARICOM Skilled Nationals       Argentina   Visa not required   90 days       Armenia   eVisa / Visa on arrival   120 days       Australia   Visa required       May apply online ( Online Visitor e600 visa ) .       Austria   Visa required         Azerbaijan   eVisa   30 days       Bahamas   Visa not required   3 months       Bahrain   eVisa         Bangladesh   Visa not required         Barbados   Visa not required   6 months     Freedom of Movement for CARICOM Skilled Nationals       Belarus   Visa required         Belgium   Visa required         Belize   Visa not required   6 months     Freedom of Movement for CARICOM Skilled Nationals       Benin   eVisa / Visa on arrival   30 days / 8 days     Must have an international vaccination certificate .       Bhutan   Visa required         Bolivia   Visa on arrival   90 days       Bosnia and Herzegovina   Visa required         Botswana   Visa not required   90 days       Brazil   Visa not required   90 days       Brunei   Visa required         Bulgaria   Visa required         Burkina Faso   Visa required         Burundi   Visa required         Cambodia   eVisa / Visa on arrival   30 days       Cameroon   Visa required         Canada   Visa required         Cape Verde   Visa on arrival         Central African Republic   Visa required         Chad   Visa required         Chile   Visa not required   90 days       China   Visa required         Colombia   Visa not required   180 days     90 days - extendable up to 180 - days stay within a one year period       Comoros   Visa on arrival         Republic of the Congo   Visa required         Democratic Republic of the Congo   Visa required         Costa Rica   Visa required         Côte d'Ivoire   eVisa         Croatia   Visa required         Cuba   Visa required         Cyprus   Visa required         Czech Republic   Visa required         Denmark   Visa required         Djibouti   eVisa   31 days       Dominica   Visa not required   6 months     Freedom of Movement for CARICOM Skilled Nationals       Dominican Republic   Visa not required         Ecuador   Visa not required   90 days       Egypt   Visa required         El Salvador   Visa required         Equatorial Guinea   Visa required         Eritrea   Visa required         Estonia   Visa required         Ethiopia   eVisa         Fiji   Visa not required   4 months       Finland   Visa required         France   Visa required         Gabon   eVisa       Electronic visa holders must arrive via Libreville International Airport .       Gambia   Visa not required   90 days     Must obtain an entry clearance from the Gambian Immigration prior to travel       Georgia   eVisa   30 days       Germany   Visa required         Ghana   Visa required         Greece   Visa required         Grenada   Visa not required   6 months     Freedom of Movement for CARICOM Skilled Nationals       Guatemala   Visa required         Guinea   Visa required         Guinea - Bissau   Visa on arrival         Guyana   Visa not required   6 months     Freedom of Movement for CARICOM Skilled Nationals       Haiti   Visa not required   3 months       Honduras   Visa required         Hungary   Visa required         Iceland   Visa required         India   e-Visa   60 days     e-Visa holders must arrive via 26 designated airports or 3 designated seaports .   An Indian e-Tourist Visa can only be obtained twice in one calendar year .     eVisa issued free of charge       Indonesia   Visa not required   30 days       Iran   Visa on arrival   15 days       Iraq   Visa required         Ireland   Visa required       Visa Issued free of charge       Israel   Visa not required   90 days       Italy   Visa required         Japan   Visa required         Jordan   Visa on arrival   30 days       Kazakhstan   Visa required         Kenya   Visa not required   90 days       Kiribati   Visa not required   30 days       North Korea   Visa required         South Korea   Visa not required   90 days       Kuwait   Visa required         Kyrgyzstan   eVisa       Electronic visa holders must arrive via Manas International Airport or Osh Airport or through land crossings with China ( at Irkeshtam and Torugart ) , Kazakhstan ( at Ak - jol , Ak - Tilek , Chaldybar , Chon - Kapka ) , Tajikistan ( at Bor - Dobo , Kulundu , Kyzyl - Bel ) and Uzbekistan ( at Dostuk ) .       Laos   Visa on arrival   30 days     Conditions apply .   Available at international airports Luangphabang , Pakse , Savannakhet and Vientiane , and at 4 land borders Friendship Bridge , and at 13 border crossings as well as Tanalaeng train station in Vientiane , which connects to the train station in Nongkai , Thailand .   Entry points Lalai , Lantui , Meuang mom , Pakxan , and Phoudou are open only to visa holders .   Extendable up to 60 days .       Latvia   Visa required         Lebanon   Visa required         Lesotho   Visa not required   90 days       Liberia   Visa required         Libya   Visa required         Liechtenstein   Visa required         Lithuania   Visa required         Luxembourg   Visa required         Macedonia   Visa required         Madagascar   Visa on arrival   90 days       Malawi   Visa not required   90 days       Malaysia   Visa not required   30 days       Maldives   Visa on arrival   30 days       Mali   Visa required         Malta   Visa required         Marshall Islands   Visa required         Mauritania   Visa on arrival       Available at Nouakchott -- Oumtounsy International Airport .       Mauritius   Visa not required   90 days       Mexico   Visa not required   180 days       Micronesia   Visa not required   30 days       Moldova   Visa required         Monaco   Visa required         Mongolia   Visa required         Montenegro   Visa required         Morocco   Visa required         Mozambique   Visa on arrival   30 days       Myanmar   eVisa   28 days     eVisa holders must arrive via Yangon , Nay Pyi Taw or Mandalay airports or via land border crossings with Thailand -- Tachileik , Myawaddy and Kawthaung or India -- Rih Khaw Dar and Tamu .   eVisa is available for tourism only .       Namibia   Visa not required   90 days     90 days within any 1 year period       Nauru   Visa required         Nepal   Visa on arrival   30 days       Netherlands   Visa required         New Zealand   Visa required         Nicaragua   Visa on arrival   90 days       Niger   Visa not required         Nigeria   Visa required         Norway   Visa required         Oman   Visa required         Pakistan   Visa required         Palau   Visa on arrival   30 days       Panama   Visa not required         Papua New Guinea   Visa required         Paraguay   Visa required         Peru   Visa not required   180 days       Philippines   Visa not required   30 days       Poland   Visa required         Portugal   Visa required         Qatar   eVisa         Romania   Visa required         Russia   Visa required       Visa free for 90 days within any year period from 27 November 2018 .       Rwanda   eVisa / Visa on arrival   30 days       Saint Kitts and Nevis   Visa not required   6 months     Freedom of Movement for CARICOM Skilled Nationals       Saint Lucia   Visa not required   6 months     Freedom of Movement for CARICOM Skilled Nationals       Saint Vincent and the Grenadines   Visa not required   6 months     Freedom of Movement for CARICOM Skilled Nationals       Samoa   Entry Permit on arrival   60 days       San Marino   Visa required         São Tomé and Príncipe   eVisa         Saudi Arabia   Visa required         Senegal   Visa on arrival   90 days       Serbia   Visa not required   30 days     30 days within any year period       Seychelles   Visitor 's Permit on arrival   3 month &gt;       Sierra Leone   Visa not required         Singapore   Visa not required   30 days       Slovakia   Visa required         Slovenia   Visa required         Solomon Islands   Visa required         Somalia   Visa on arrival   30 days     Available at Bosaso Airport , Galcaio Airport and Mogadishu Airport .       South Africa   Visa not required   90 days       South Sudan   Visa required         Spain   Visa required         Sri Lanka   eVisa / Visa on arrival   30 days     Must hold return or onward ticket       Sudan   Visa required         Suriname   Visa not required   6 months     Freedom of Movement for CARICOM Skilled Nationals       Swaziland   Visa not required   30 days       Sweden   Visa required         Switzerland   Visa required         Syria   Visa required         Tajikistan   eVisa   45 days       Tanzania   Visa not required   3 months       Thailand   Visa required         Timor - Leste   Visa on arrival   30 days       Togo   Visa on arrival   7 days       Tonga   Visa required         Trinidad and Tobago   Visa not required   6 months     Freedom of Movement for CARICOM Skilled Nationals       Tunisia   Visa required         Turkey   eVisa   1 month       Turkmenistan   Visa required         Tuvalu   Visa on arrival   1 month       Uganda   Visa not required       May apply online .       Ukraine   eVisa         United Arab Emirates   Visa required         United Kingdom   Visa required         United States   Visa required         Uruguay   Visa not required   90 days       Uzbekistan   Visa required         Vanuatu   Visa not required   30 days       Vatican City   Visa required         Venezuela   Visa not required   90 days       Vietnam   Visa required         Yemen   Visa required         Zambia   Visa not required   90 days       Zimbabwe   Visa not required   3 months     </t>
  </si>
  <si>
    <t xml:space="preserve">Stolen Valor Act of 2005 - wikipedia  Stolen Valor Act of 2005  Jump to : navigation , search `` Stolen Valor Act '' redirects here . For the 2013 law , see Stolen Valor Act of 2013 .  Stolen Valor Act of 2005       Long title   An Act to amend title 18 , United States Code , to enhance protections relating to the reputation and meaning of the Medal of Honor and other military decorations and awards , and for other purposes .     Enacted by   the 109th United States Congress     Effective   December 20 , 2006 , to June 28 , 2012     Citations     Public law   Pub. L. 109 -- 437     Statutes at Large   120 Stat. 3266 -- 3267     Legislative history       Introduced in the Senate as S. 1998 by Kent Conrad ( D - ND ) on November 10 , 2005   Committee consideration by Senate Judiciary , House Judiciary   Passed the Senate on September 7 , 2006 ( Unanimous consent )   Passed the House on December 6 , 2006 ( Voice vote )   Signed into law by President George W. Bush on December 20 , 2006       United States Supreme Court cases     Struck down by United States v. Alvarez in a 6 - 3 decision on June 28 , 2012     The Stolen Valor Act of 2005 , signed into law by President George W. Bush on December 20 , 2006 , was a U.S. law that broadened the provisions of previous U.S. law addressing the unauthorized wear , manufacture , or sale of any military decorations and medals . The law made it a federal misdemeanor to falsely represent oneself as having received any U.S. military decoration or medal . If convicted , defendants might have been imprisoned for up to six months , unless the decoration lied about is the Medal of Honor , in which case imprisonment could have been up to one year . In United States v. Alvarez the U.S. Supreme Court ruled on June 28 , 2012 , that the Stolen Valor Act was an unconstitutional abridgment of the freedom of speech under the First Amendment , striking down the law in a 6 to 3 decision .     Contents  ( hide )   1 Description   2 Legal challenges   2.1 United States v. Strandlof   2.2 United States v. Alvarez     3 Legacy   4 See also   5 References   6 External links      Description ( edit )   The Act was first introduced in the U.S. House of Representatives on July 19 , 2005 , by Representative John Salazar , a Democrat from Colorado , as H.R. 3352 . It was introduced in the Senate by Senator Kent Conrad , a Democrat from North Dakota , on November 10 , 2005 , as S. 1998 . The Senate version was passed unanimously on September 7 , 2006 . The House passed the Senate version , S. 1998 , on December 6 , 2006 .   The purpose of the Act was to strengthen the provisions of federal law ( 18 U.S.C. § 704 ) by broadening its scope and strengthening penalties . Specific new provisions in the Act included :    granting more authority to federal law enforcement officers ;   broadening the law to cover false claims whereas previously an overt act had to be committed ;   covering the mailing and shipping of medals ; and   protecting the reputation and meaning of military heroism medals .    The Act made it illegal for unauthorized persons to wear , buy , sell , barter , trade , or manufacture `` any decoration or medal authorized by Congress for the armed forces of the United States , or any of the service medals or badges awarded to the members of such forces . '' In the 18 months after the act was enacted , the Chicago Tribune estimated there were twenty prosecutions . The number increased as awareness of the law spread .   The Act was passed to address the issue of persons claiming to have been awarded military awards to which they were not entitled and exploiting their deception for personal gain . For example , as of June 2 , 2006 , there were only 120 living Medal of Honor recipients , but there were far more known imposters . There were also large numbers of people fraudulently claiming to be Navy SEALS and Army Special Forces , among others .   The Orders and Medals Society of America ( OMSA ) , an organization of collectors , opposed the version of the bill that passed . OMSA was concerned about the changes to 18 USC that in its judgment implied that any movement or exchange of medals was illegal .   Legal challenges ( edit )   United States v. Strandlof ( edit )   Rick Strandlof , founder of Colorado Veterans Alliance , was accused of seeking to raise funds for that organization by posing as Marine Captain `` Rick Duncan '' and claiming to have received a Silver Star and Purple Heart in the Iraq War . In January 2010 , he challenged the constitutionality of the Stolen Valor Act in U.S. District Court in Denver , Colorado . Strandlof 's attorney believed the law was too vague and that `` protecting the reputation of military decorations is insufficient to survive ( strict scrutiny ) '' , a level of judicial review that requires the government to justify any limitation it places on free speech . The Rutherford Institute , a Virginia - based civil liberties group , joined in the case on January 20 , 2010 . `` Such expression remains within the presumptive protection afforded pure speech by the First Amendment , '' the Institute 's attorney wrote . `` As such , the Stolen Valor Act is an unconstitutional restraint on the freedom of speech . ''   On July 16 , 2010 , a federal judge in Denver ruled the Stolen Valor Act is `` facially unconstitutional '' because it violates free speech and dismissed the criminal case against Strandlof who lied about being an Iraq war veteran . Strandlof , 32 , was charged with five misdemeanors related to violating the Act -- specifically , making false claims about receiving military decorations .   U.S. District Judge Robert E. Blackburn issued his decision rejecting the prosecution 's argument that lying about having military medals dilutes their meaning and significance . `` This wholly unsubstantiated assertion is , frankly , shocking and , indeed , unintentionally insulting to the profound sacrifices of military personnel the Stolen Valor Act purports to honor , '' Blackburn wrote . `` To suggest that the battlefield heroism of our servicemen and women is motivated in any way , let alone in a compelling way , by considerations of whether a medal may be awarded simply defies my comprehension . '' Attorney Chris Beall , who filed an amicus curiae brief on behalf of the ACLU of Colorado , said the decision is remarkable . `` The First Amendment protects speech we do n't like , '' he said . `` We do n't need the First Amendment for speech people like . The government can not criminalize a statement simply because it is false , no matter how important the statement is . '' Beall points out Strandlof was n't charged with stealing money meant for the veterans group , adding that laws are already in place for those crimes . `` That 's plain - old , regular - vanilla everyday fraud , and we do prosecute that every day , '' he said . `` Congress does not need a special statute to prevent people from using false claims of valor in order to prevent fraud . '' John Wagner , executive director of the Warrior Legacy Foundation , a veterans group that lobbied for Strandlof 's prosecution , said he will push for an appeal . A spokesman for the U.S. attorney in Denver said prosecutors are reviewing the decision and have n't decided whether to appeal . The spokesman said that decision would be made by the U.S. Justice Department in Washington and prosecutors in Denver .   On January 27 , 2012 , the U.S. Court of Appeals for the Tenth Circuit overruled the district court and reinstated the charges against Strandlof . Two judges on the three - judge panel held that false statements are not worthy of constitutional protection . In dissent , Judge Jerome Holmes wrote that the majority was reading language into the act to justify upholding it . On July 2 , 2012 , the Tenth Circuit vacated its previous opinion , writing , `` In light of United States v. Alvarez , we vacate both the opinion and the judgment issued on January 27 , 2012 . ''   United States v. Alvarez ( edit )  Main article : United States v. Alvarez  Initially the U.S. Court of Appeals for the Ninth Circuit decided Alvarez on August 17 , 2010 , ruling the Stolen Valor Act unconstitutional . Specifically , in the 2 -- 1 decision , Judge Milan Smith stated for the court that lies not within traditionally unprotected subsets of false facts are subject to First Amendment protection , the Stolen Valor Act is not subject to defamation law precedent , and there 's no compelling reason for government interest in banning such lies .   `` The right to speak and write whatever one chooses -- including , to some degree , worthless , offensive and demonstrable untruths -- without cowering in fear of a powerful government is , in our view , an essential component of the protection afforded by the First Amendment , '' Judge Smith wrote . If lying about a medal can be classified as a crime , Smith said , so many everyday lies could become criminal acts , such as lying about one 's age , misrepresenting one 's financial status on Facebook , or telling one 's mother falsehoods about drinking , smoking or sex .   On March 21 , 2011 , a majority of judges in the U.S. Court of Appeals for the Ninth Circuit refused to rehear the Alvarez case en banc . In the order refusing to hear the case en banc , Judge Alex Kozinski issued a lengthy concurrence , responding to critics of the decision and asserting that the First Amendment covers most varieties of lying and misrepresentation , where not otherwise unprotected by the First Amendment under the traditional view . The traditional view holds that only a certain variety of speech are exempt from standard constitutional scrutiny such as fraud , fighting words , defamation , incitement , and speech attendant to the commission of a crime . Judge Diarmuid O'Scannlain dissented from the denial of rehearing arguing that false representations are not per se entitled to First Amendment protection .   On October 17 , 2011 , the U.S. Supreme Court agreed to consider the validity of the law . On June 28 , 2012 , the Supreme Court found the law unconstitutional in a 6 to 3 decision , with Justices Scalia , Thomas and Alito dissenting . In United States v. Alvarez the majority held that the Stolen Valor Act was an unconstitutional abridgment of the freedom of speech under the First Amendment .   Legacy ( edit )   Following the Supreme Court decision , the U.S. Department of Defense announced they would unveil a new website , valor.defense.gov , which would provide a public record of medal recipients . That site was unveiled on July 25 , 2012 . Additionally , in response Representative Joe Heck sponsored the Stolen Valor Act of 2012 to criminalize profiting by falsely claiming to have received a military medal for serving in combat , which passed with a vote of 410 to 3 ; a companion bill was sponsored by Senator Jim Webb , which passed as an amendment of the defense authorization bill . In the 113th Congress Representative Heck reintroduced the modified act , receiving 65 cosponsors .   The Stolen Valor Act of 2013 was signed by President Barack Obama on June 3 , 2013 . The Act makes it a federal crime to fraudulently claim to be a recipient of certain military decorations or medals in order to obtain money , property , or other tangible benefit .   See also ( edit )    List of Acts of the 109th United States Congress   Military imposter   Mitchell Paige , Medal of Honor recipient who later tracked imposters   Stolen Valor , book by B.G. Burkett and Glenna Whitley chronicling phony Vietnam veterans .   Don Shipley , retired Navy SEAL who exposes fraudulent claims of military service .    References ( edit )    Jump up ^ Anne C. Mulkern ( December 20 , 2006 ) . `` Rep. Salazar 's bill on falsely claiming medals now a law '' . The Denver Post . Retrieved 2006 - 12 - 22 .   Jump up ^ `` H.R. 3352 : Stolen Valor Act of 2005 '' . 109th U.S. Congress ( 2005 - 2006 ) . GovTrak.us . Retrieved 2006 - 12 - 10 .   ^ Jump up to : `` H.R. 3352 '' ( PDF ) . 109th U.S. Congress ( 2005 - 2006 ) . GovTrak.us . Retrieved 2006 - 12 - 10 .   Jump up ^ `` S. 1998 : Stolen Valor Act of 2005 '' . 109th U.S. Congress ( 2005 - 2006 ) . GovTrak.us . Retrieved 2006 - 12 - 10 .   ^ Jump up to : `` S. 1998 '' ( PDF ) . 109th U.S. Congress ( 2005 - 2006 ) . GovTrak.us . Retrieved 2006 - 12 - 10 .   Jump up ^ `` S. 1998 In The House Of Representatives '' . 109th U.S. Congress ( 2005 - 2006 ) . TheOrator.com . Sep 8 , 2006 . Archived from the original on 2007 - 05 - 26 . Retrieved 2006 - 12 - 10 .   Jump up ^ Sterner , C. Douglas ( Dec 7 , 2006 ) . `` The Stolen Valor Act of 2005 '' . POWnet.org . Archived from the original on 2007 - 01 - 21 . Retrieved 2006 - 12 - 10 .   Jump up ^ 18 U.S.C. § 704   Jump up ^ Crewdson , John ( May 27 , 2008 ) . `` Fake claims of war heroics a federal offense '' . Chicago Tribune .   Jump up ^ `` Living Recipients '' . Congressional Medal of Honor Society . Retrieved 2013 - 01 - 08 .   Jump up ^ Taylor , Michael = ( May 31 , 1999 ) . `` Tracking Down False Heroes - Medal of Honor recipients go after impostors '' . San Francisco Chronicle . Retrieved 2006 - 12 - 10 .   Jump up ^ Mishalov , Neil ( 1999 ) . `` Men Who Falsely Claim to have Received the Medal of Honor '' . Mishalov.com . Retrieved 2006 - 12 - 10 .   Jump up ^ Waterman , Steve . `` Fake SEALs '' . stevenlwaterman.com . Archived from the original on 2006 - 09 - 16 . Retrieved 2006 - 12 - 10 .   Jump up ^ `` Wannabes Beware ! '' . nightscribe.com . Retrieved 2006 - 12 - 10 .   Jump up ^ `` Hunting the Phonies '' . specialoperations.com . Retrieved 2006 - 12 - 10 .   Jump up ^ § 704   Jump up ^ `` OMSA President 's Message on the Stolen Valor Act to all OMSA members and friends '' . Orders and Medals Society of America . Retrieved 2006 - 12 - 13 .   Jump up ^ `` Sample Letter to Congressman '' . Orders and Medals Society of America . Retrieved 2006 - 12 - 13 .   ^ Jump up to : Cardona , Felisa ( January 20 , 2010 ) . `` Lies from `` war vet '' are protected speech , civil liberties group says `` . The Denver Post . Retrieved January 20 , 2010 .   Jump up ^ Cardona , Felisa ( 2010 - 07 - 16 ) . `` Charge dismissed in fake hero 's case , Valor Act ruled unconstitutional '' . The Denver Post .   ^ Jump up to : Cardona , Felisa ( 2010 - 07 - 17 ) . `` Stolen Valor Act unconstitutional , federal judge rules '' . The Denver Post .   Jump up ^ `` Federal judge rules law penalizing fake military heroes is unconstitutional '' . Fox News . 2010 - 07 - 16 .   Jump up ^ Ingold , John . `` 10th Circuit upholds Stolen Valor Act '' . The Denver Post .   Jump up ^ `` United States of America , Plaintiff - Appellant , v. Rick Glen Stradloff , a / k / a Rick Duncan , Defendant - Appellee , The American Legion ; Christopher Guzelian , Amici Curiae : Order '' ( PDF ) . United States Court of Appeals for the Tenth District . July 2 , 2012 . Retrieved January 8 , 2013 .   Jump up ^ http://www.ca9.uscourts.gov/datastore/opinions/2010/08/17/08-50345.pdf   Jump up ^ ( 1 )   Jump up ^ Egelko , Bob ( 2010 - 08 - 26 ) . `` Court says lying about Medal of Honor no crime '' . San Francisco Chronicle .   Jump up ^ 9th Circuit Opinion   Jump up ^ `` Supreme Court to Take Up ' Stolen Valor Act ' '' . Fox News . 2011 - 10 - 17 .   ^ Jump up to : Curry , Tom ( June 28 , 2012 ) . `` SCOTUS strikes down Stolen Valor Act '' . NBC Politics . Archived from the original on July 1 , 2017 .   ^ Jump up to : Barnes , Robert ; Ruane , Michael E. ( June 28 , 2012 ) . `` Supreme Court : Lying about military medals is protected by Constitution '' . The Washington Post . Retrieved June 28 , 2012 .   Jump up ^ `` New Website Honors Service Members ' Valor '' . Washington , D.C. : American Forces Press Service . July 25 , 2012 .   Jump up ^ Maze , Rick ( September 13 , 2012 ) . `` House approves new Stolen Valor bill '' . Army Times . Retrieved December 4 , 2012 .   Jump up ^ Maze , Rick ( 3 December 2012 ) . `` Senate passes revised Stolen Valor Act '' . Marine Corps Times . Retrieved 4 December 2012 .   Jump up ^ Maze , Rick ( 15 January 2013 ) . `` New version of Stolen Valor bill introduced '' . Army Times . Retrieved 16 January 2013 .   Jump up ^ `` H.R. 258 - Stolen Valor Act of 2013 : All Actions '' . 113th Congress . United States Congress . Retrieved June 6 , 2013 .   Jump up ^ `` H.R. 258 - Stolen Valor Act of 2013 : Text '' . 113th Congress . United States Congress . Retrieved December 3 , 2014 .    External links ( edit )    `` Colorado Congressman John Salazar Introduces Stolen Valor Act of 2005 '' . HomeofHeroes.com . July 22 , 2005 . Retrieved 2006 - 12 - 10 .   `` H.R. 3352 The Stolen Valor Act of 2005 '' . Retrieved 2006 - 12 - 10 .   `` Stolen Valor Act of 2005 '' . POW Network . Archived from the original on 2006 - 12 - 14 . Retrieved 2006 - 12 - 10 .   John Hoellwarth ( December 12 , 2006 ) . `` Blowhards , beware : Congress passes Stolen Valor Act , targets false military award claims '' . Army Times . Retrieved 2011 - 10 - 17 .   The Stolen Valor Act of 2005   Congressional Medal of Honor Society   Stolen Valor web site , the book the Stolen Valor Act was named after   Retrieved from `` https://en.wikipedia.org/w/index.php?title=Stolen_Valor_Act_of_2005&amp;oldid=804100634 '' Categories :   Military awards and decorations of the United States   21st - century military history of the United States   United States federal defense and national security legislation   Hidden categories :   All articles with dead external links   Articles with dead external links from January 2017   Articles with permanently dead external links   Articles with dead external links from July 2012           Talk                                           Contents                   About Wikipedia                                           Add links   This page was last edited on 6 October 2017 , at 18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</si>
  <si>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stolen valor act of 2005</t>
  </si>
  <si>
    <t xml:space="preserve"> The Stolen Valor Act of 2005 , signed into law by President George W. Bush on December 20 , 2006 , was a U.S. law that broadened the provisions of previous U.S. law addressing the unauthorized wear , manufacture , or sale of any military decorations and medals . The law made it a federal misdemeanor to falsely represent oneself as having received any U.S. military decoration or medal . If convicted , defendants might have been imprisoned for up to six months , unless the decoration lied about is the Medal of Honor , in which case imprisonment could have been up to one year . In United States v. Alvarez the U.S. Supreme Court ruled on June 28 , 2012 , that the Stolen Valor Act was an unconstitutional abridgment of the freedom of speech under the First Amendment , striking down the law in a 6 to 3 decision . </t>
  </si>
  <si>
    <r>
      <rPr>
        <sz val="11"/>
        <color rgb="FF000000"/>
        <rFont val="Calibri"/>
        <family val="0"/>
        <charset val="1"/>
      </rPr>
      <t xml:space="preserve">Io ( mythology ) - wikipedia  Io ( mythology )  Jump to : navigation , search Hermes , Io ( as cow ) and Argus , black - figure amphora , 540 -- 530 BC , Staatliche Antikensammlungen ( Inv. 585 )  Io ( / ˈaɪ. oʊ / ; Ancient Greek : Ἰώ ( iːɔ̌ː ) ) was , in Greek mythology , one of the mortal lovers of Zeus . She was an ancestor of many kings and heroes such as Perseus , Cadmus , Heracles , Minos , Lynceus , Cepheus , and Danaus . The astronomer Simon Marius named a moon of Jupiter after Io in 1614 .     Contents  ( hide )   1 Legend   2 In popular culture   3 Gallery   4 Notes   5 External links      Legend ( edit )  Pieter Lastman Juno Discovering Jupiter with Io  In most versions of the legend , Io was the daughter of Inachus , though various other purported genealogies are also known . According to some sources her mother was the nymph Melia , daughter of Oceanus . The 2nd century AD geographer Pausanias also suggests that she is the daughter of Inachus and retells the story of Zeus falling in love with Io , the legendary wrath of Hera , and the metamorphosis by which Io becomes a beautiful white heifer . At another instant several generations later , Pausanias recounts another Io , descendant of Phoroneus , daughter of Iasus , who himself was the son of Argus and Ismene , the daughter of Asopus , or of Triopas and Sosis ; Io 's mother in the latter case was Leucane . Io 's father was called Peiren in the Catalogue of Women , and by Acusilaus , possibly a son of the elder Argus , also known as Peiras , Peiranthus or Peirasus . Io may therefore be identical to Callithyia , daughter of Peiranthus , as is suggested by Hesychius of Alexandria .   Io was a priestess of the Goddess Hera in Argos , whose cult her father Inachus was supposed to have introduced to Argos . Zeus noticed Io , a mortal woman , and lusted after her . In the version of the myth told in Prometheus Bound she initially rejected Zeus ' advances , until her father threw her out of his house on the advice of oracles . According to some stories , Zeus then turned Io into a heifer in order to hide her from his wife ; others maintain that Hera herself transformed Io .   In the version of the story in which Zeus transformed Io , the deception failed , and Hera begged Zeus to give her the heifer as a present , which , having no reason to refuse , he did . Hera then sent Argus Panoptes , who had 100 eyes , to watch Io and prevent Zeus from visiting her , and so Zeus sent Hermes to distract and eventually slay Argus . According to Ovid , he did so by first lulling him to sleep by playing the panpipes and telling stories . Zeus freed Io , still in the form of a heifer .   In order to exact her revenge , Hera sent a gadfly to sting Io continuously , driving her to wander the world without rest . Io eventually crossed the path between the Propontis and the Black Sea , which thus acquired the name Bosporus ( meaning ox passage ) , where she met Prometheus , who had been chained on Mt . Caucasus by Zeus . Prometheus comforted Io with the information that she would be restored to human form and become the ancestress of the greatest of all heroes , Heracles ( Hercules ) . Io escaped across the Ionian Sea to Egypt , where she was restored to human form by Zeus . There , she gave birth to Zeus 's son Epaphus , and a daughter as well , Keroessa . She later married Egyptian king Telegonus . Their grandson , Danaos , eventually returned to Greece with his fifty daughters ( the Danaids ) , as recalled in Aeschylus ' play The Suppliants .  Paris Bordone - Zeus and Io - Kunstmuseum , Göteborg  The myth of Io must have been well known to Homer , who often calls Hermes Argeiphontes , meaning `` Argus - slayer . '' Walter Burkert notes that the story of Io was told in the ancient epic tradition at least four times of which we have traces : in the Danais , in the Phoronis -- Phoroneus founded the cult of Hera , according to Hyginus ' Fabulae 274 and 143 -- in a fragment of the Hesiodic Aigimios , as well as in similarly fragmentary Hesiodic Catalogue of Women . A mourning commemoration of Io was observed at the Heraion of Argos into classical times .   The ancients connected Io with the Moon , and in Aeschylus ' Prometheus Bound , where Io encounters Prometheus , she refers to herself as `` the horned virgin '' , both bovine and lunar .   Argive genealogy in Greek mythology                                              Inachus     Melia                                                                                                     Zeus     Io     Phoroneus                                                                               Epaphus     Memphis                                                                                           Libya     Poseidon                                                                                                                             Belus     Achiroë               Agenor     Telephassa                                                                                                                                                                   Danaus     Pieria     Aegyptus     Cadmus     Cilix     Europa     Phoenix                                                                                         Mantineus     Hypermnestra         Lynceus                 Harmonia               Zeus                                                                               Polydorus                                                     Sparta     Lacedaemon     Ocalea     Abas                 Agave     Sarpedon       Rhadamanthus                                                                     Autonoë                                                                     Eurydice     Acrisius                 Ino         Minos                                                                                 Zeus     Danaë               Semele     Zeus                                                                                               Perseus                       Dionysus                 Colour key :  Male Female Deity           In popular culture ( edit )       This article appears to contain trivial , minor , or unrelated references to popular culture . Please reorganize this content to explain the subject 's impact on popular culture rather than simply listing appearances ; add references to reliable sources if possible . Unsourced material may be challenged and removed . ( August 2017 )     In the 2010 film Clash of the Titans , Io was portrayed by British actress Gemma Arterton . The character was a major deviation from Greek mythology : instead of being Zeus ' lover , she was portrayed as a guide and later the lover of Perseus . She was cursed with agelessness for refusing a god 's romantic advances .   Australian writer Ursula Dubosarsky 's play The Girl Who Was Turned Into A Cow , first published in the NSW School Magazine , is based on the myth of Io .   In the video game Persona 3 , Io is the starting persona of Yukari Takeba .   Gallery ( edit )     Io Recognised by Her Father by Victor Honoré Janssens ( second half of 17th century )     Io wearing bovine horns watched over by Argos on Hera 's orders ( 1st century AD ) at Naples National Archaeological Museum , Naples , Italy     Hera and Io by Nicolaes Pietersz . Berchem the Younger ( circa 1669 )     Jupiter and Io by John Hoppner ( 1785 ) at Denver Art Museum     From Neueröffneter Musen - Tempel by Bernard Picart , ( 1733 ) from University of Heidelberg     Juno ( Hera ) commits Io to Argus Panoptes by Francesco de Mura ( 1740 -- 1750 ) at Museum of Modern and Contemporary Art of Trento and Rovereto , Italy     Jupiter , Juno and Io by Giovanni Ambrogio Figino ( 1599 ) at Pinacoteca Malaspina Parent institution Musei Civici , Pavia     Jupiter and Io , espied by Juno by Andrea Sacchi and Pier Francesco Mola ( 1600 - 1699 ) at Kedleston Hall , Derbyshire ( Accredited Museum )     Juno , Jupiter and Io by Gerbrand van den Eeckhout     Jupiter , Juno and Io by Arnold Houbraken     Jupiter and Io by Jacob Pynas at The Fitzwilliam Museum , UK     Io et Jupiter by Antonio da Correggio at Musée Ingres , Montauban     Jupiter and Io by Hendrik Goltzius ( 1589 ) at Los Angeles County Museum of Art , Los Angeles     Notes ( edit )    Jump up ^ Aeschylus , Prometheus Bound , 590   ^ Jump up to : Apollodorus , Bibliotheca , 2.1. 3   Jump up ^ Herodotus , Histories , 1.1   Jump up ^ Ovid , Metamorphoses , 1.583   ^ Jump up to : Hammond , edited by N.G.L. ; Scullard , H.H. ( 1970 ) . The Oxford Classical Dictionary ( 2d ed . ) . Oxford ( Eng . ) : Clarendon Press . p. 549 . ISBN 0198691173 . CS1 maint : Extra text : authors list ( link )   Jump up ^ Apollodorus , Bibliotheca , 2.1. 1   Jump up ^ Pausanias , Description of Greece , 1.25. 1   Jump up ^ Pausanias , Description of Greece , 2.16. 1   Jump up ^ Scholia on Euripides ' Orestes , 932   Jump up ^ Catalogue of Women . fr. 124   Jump up ^ Acusilaus , fr. 12   Jump up ^ M.L. West , The Hesiodic Catalogue of Women : Its Nature , Structure , and Origins ( Oxford , 1985 ) 77   Jump up ^ Pausanias , Description of Greece , 2.1. 3   Jump up ^ Hyginus , Fabulae , 124 .   Jump up ^ Hesychius of Alexandria s.v. Ὶὼ Καλλιθύεσσα   Jump up ^ Apollodorus , Bibliotheca , 2.1. 3   ^ Jump up to : Howatson , M.C.L. ; Chivers , I. ( 1993 ) . The Oxford Concise Companion to Classical Literature . Oxford ( Eng . ) : Clarendon Press . pp. 288 -- 9 . ISBN 0192827081 .   Jump up ^ Aeschylus , Suppliant Women , 291   Jump up ^ Ovid , Metamorphoses , I. 650 - 730   Jump up ^ Burkert , Homo Necans ( 1974 ) 1983 : 164 note 14 , giving bibliography .   Jump up ^ Eustathius of Thessalonica commentary on Dionysius Periegetes , 92 ; the Byzantine encyclopedia Suda s.v. `` Io '' , Hesychius , s.v. `` Io '' .   Jump up ^ https://www.amazon.com/Io-Turned-Children-Metamorphoses-ebook/dp/B00AAQHNZY/ref=sr_1_2?s=digital-text&amp;ie=UTF8&amp;qid=1356852185&amp;sr=1-2&amp;keywords=dubosarsky    External links ( edit )       Wikimedia Commons has media related to Io ( mythology ) .         Wikisource has the text of The New Student 's Reference Work article Io .      Theoi.com : Io : naiad nymph of Argolis and Egypt Assembles the essential references in Greek and Latin literature , in translation .   Io engravings by Goltzius from the De Verda collection   Warburg Institute Iconographic Database ( ca 250 images of Io and Argus )            GND : 124359906   VIAF : 35387480      Retrieved from `` https://en.wikipedia.org/w/index.php?title=Io_(mythology)&amp;oldid=841398276 '' Categories :   Egypt in Greek mythology   Metamorphoses in Greek mythology   Greek mythological priestesses   Mortal women of Zeus   Mythological bovines   Children of Inachus   Mythological Greek characters   Metamorphoses into animals in Greek mythology   Hidden categories :   CS1 maint : Extra text : authors list   Articles containing Ancient Greek - language text   Articles with trivia sections from August 2017   Wikipedia articles with GND identifiers   Wikipedia articles with VIAF identifiers           Talk                                           Contents                   About Wikipedia                                                 Alemannisch     Беларуская   Български   Bosanski   Brezhoneg   Català   Čeština   Cymraeg   Dansk   Deutsch   Eesti   Ελληνικά   Español   Esperanto   Euskara   فارسی   Français   </t>
    </r>
    <r>
      <rPr>
        <sz val="11"/>
        <color rgb="FF000000"/>
        <rFont val="Noto Sans CJK SC"/>
        <family val="2"/>
      </rPr>
      <t xml:space="preserve">한국어   </t>
    </r>
    <r>
      <rPr>
        <sz val="11"/>
        <color rgb="FF000000"/>
        <rFont val="Calibri"/>
        <family val="0"/>
        <charset val="1"/>
      </rPr>
      <t xml:space="preserve">Hrvatski   Bahasa Indonesia   Íslenska   Italiano   עברית   ქართული   Latviešu   Lëtzebuergesch   Lietuvių   Magyar   Македонски   മലയാളം   Bahasa Melayu   Nederlands   </t>
    </r>
    <r>
      <rPr>
        <sz val="11"/>
        <color rgb="FF000000"/>
        <rFont val="Noto Sans CJK SC"/>
        <family val="2"/>
      </rPr>
      <t xml:space="preserve">日本 語   </t>
    </r>
    <r>
      <rPr>
        <sz val="11"/>
        <color rgb="FF000000"/>
        <rFont val="Calibri"/>
        <family val="0"/>
        <charset val="1"/>
      </rPr>
      <t xml:space="preserve">Norsk   Norsk nynorsk   Polski   Português   Română   Русский   Slovenčina   Српски / srpski   Srpskohrvatski / српскохрватски   Suomi   Svenska   Türkçe   Українська   Tiếng Việt   </t>
    </r>
    <r>
      <rPr>
        <sz val="11"/>
        <color rgb="FF000000"/>
        <rFont val="Noto Sans CJK SC"/>
        <family val="2"/>
      </rPr>
      <t xml:space="preserve">中文  </t>
    </r>
    <r>
      <rPr>
        <sz val="11"/>
        <color rgb="FF000000"/>
        <rFont val="Calibri"/>
        <family val="0"/>
        <charset val="1"/>
      </rPr>
      <t xml:space="preserve">40 more  Edit links   This page was last edited on 15 May 2018 , at 16 : 13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</si>
  <si>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why did zeus turned io into a cow</t>
  </si>
  <si>
    <t xml:space="preserve"> Io was a priestess of the Goddess Hera in Argos , whose cult her father Inachus was supposed to have introduced to Argos . Zeus noticed Io , a mortal woman , and lusted after her . In the version of the myth told in Prometheus Bound she initially rejected Zeus ' advances , until her father threw her out of his house on the advice of oracles . According to some stories , Zeus then turned Io into a heifer in order to hide her from his wife ; others maintain that Hera herself transformed Io . </t>
  </si>
  <si>
    <t xml:space="preserve">List of Vice-Presidents of India - wikipedia  List of Vice-Presidents of India     India         This article is part of a series on the politics and government of India     Constitution and law ( show )   Constitutional amendment   Basic structure doctrine   Fundamental rights   Human rights    -- -- -- -- -- -- --    Code of Civil Procedure , 1908       Uniform civil code       Code of Criminal Procedure , 1973   Indian Penal Code   Law enforcement       Government of India ( show )   President ( Head of state ) ( List )   Vice president ( List )    -- -- -- -- -- -- -- Executive :    Prime minister ( Head of government ) ( List )   Union Council of Ministers   Cabinet secretary       Secretaries : ( Defence Finance Foreign Home )       Civil services       All India Services ( IAS IFoS IPS )   Central Civil Services ( IRS IFS IA&amp;AS IPoS IRAS IRTS IRPS ICAS IDAS IDES ICLS IIS ITrS IP&amp;TAFS IOFS )      -- -- -- -- -- -- -- Legislature :    Parliament       Rajya Sabha ( Chairman )   Lok Sabha ( Speaker )      Judiciary :    Supreme court ( Chief justice )       High courts ( Chief justices )       District courts           Elections ( show ) Election commission :   Chief Election Commissioner ( Election commissioners )     Recent general elections : 2009   2014   2019       Recent state elections : 2017   2018   2019        -- -- -- -- -- -- -- Political parties    National parties   State parties    National coalitions :    National Democratic Alliance ( NDA )   United Progressive Alliance ( UPA )       Federalism ( show )   Administrative divisions    -- -- -- -- -- -- -- State governments    Governors ( List )   Chief ministers ( List )   Chief secretary ( Principal secretaries )       Field - level officers       Divisional commissioners   District magistrates   Sub-divisional magistrates        Legislatures :    Vidhan Sabha   Vidhan Parishad    -- -- -- -- -- -- -- Local governments : Rural bodies :    District councils   Block panchayats   Gram Panchayats    Urban bodies :    Municipal corporations   Municipal councils   Nagar panchayats         Other countries   Atlas                  Vice-Presidents of India ( by state of birth )  The Vice-President of India is the second highest constitutional office in the Indian Government after the President . In accordance with Article 65 of the Indian Constitution , the Vice-President discharges the functions of the President when a contingency arises due to the resignation , removal , death or the inability of the President to discharge his functions . He is also the ex officio chairperson of the Rajya Sabha , the upper house of the Parliament of India . The Vice President is elected by an electoral college consisting of all the members of both houses of the Parliament in accordance with the system of proportional representation by means of the single transferable vote via a secret ballot conducted by the Election Commission of India . Once elected the Vice President continues in office for a five - year term , but can continue in office irrespective of the expiry of the term , until a successor assumes office . The Vice President can be removed by a resolution passed by an effective majority in the Rajya Sabha .   There have been 13 vice-president , since the inception of the post in 1950 . The first Vice-president of India took oath at Rashtrapati Bhavan on 13 May 1952   On 11 August 2017 Venkaiah Naidu was sworn in as the 15th Vice-President of India , thus becoming the 13th person to hold the office .   Contents    1 List   2 See also   3 Footnotes and References   4 External links    List ( edit )   The complete list of Vice-Presidents of India includes the persons sworn into the office as Vice-President of India , following the adoption of the Constitution of India in 1950 . Some of whom later became presidents .    Colour key   Vice President was an Independent candidate Vice President was an candidate of Indian National Congress ( INC ) Vice President was an candidate of the Bharatiya Janata Party ( BJP ) Vice President was an candidate of the Janata Dal ( JD )    No   Name ( birth -- death )   Portrait   Elected ( % votes )   Took office   Left office   Term ( in years )   Notes   President ( s )   Candidate of       Sarvepalli Radhakrishnan ( 1888 -- 1975 )     1952 ( Unopposed )  1957 ( Unopposed )    13 May 1952   12 May 1962   10   Radhakrishnan was a prominent scholar . Besides being awarded the Bharat Ratna he also held the position of vice-chancellor in the Banaras Hindu University and the Andhra college . He served as the Vice-President for two terms .   Rajendra Prasad     Independent       Zakir Husain ( 1897 -- 1969 )     1962 ( 97.59 )   13 May 1962   12 May 1967   5     Sarvepalli Radhakrishnan     Independent       Varahagiri Venkata Giri ( 1894 -- 1980 )     1967 ( 71.45 )   13 May 1967   3 May 1969       Zakir Husain     Independent       Gopal Swarup Pathak ( 1896 -- 1982 )     1969 --   31 August 1969   30 August 1974   5     Varahagiri Venkata Giri ( 1969 -- 1974 )  Fakhruddin Ali Ahmed ( 1974 )      Independent     5   Basappa Danappa Jatti ( 1912 -- 2002 )     ( 78.70 )   31 August 1974   30 August 1979   5     Fakhruddin Ali Ahmed ( 1974 -- 1977 ) Neelam Sanjiva Reddy ( 1977 -- 1979 )     Indian National Congress     6   Mohammad Hidayatullah ( 1905 -- 1992 )     1979 ( Unopposed )   31 August 1979   30 August 1984   5     Neelam Sanjiva Reddy ( 1979 -- 1982 ) Giani Zail Singh ( 1982 -- 1984 )     Independent     7   Ramaswamy Venkataraman ( 1910 -- 2009 )     1984 ( 71.05 )   31 August 1984   24 July 1987       Giani Zail Singh     Indian National Congress     8   Shankar Dayal Sharma ( 1918 -- 1999 )     ( Unopposed )   3 September 1987   24 July 1992   5     Ramaswamy Venkataraman     Indian National Congress     9   Kocheril Raman Narayanan ( 1920 -- 2005 )     1992 ( 99.86 )   21 August 1992   24 July 1997   5     Shankar Dayal Sharma     Indian National Congress     10   Krishan Kant ( 1927 -- 2002 )     1997 ( 61.76 )   21 August 1997   27 July 2002       Kocheril Raman Narayanan ( 1997 -- 2002 ) A.P.J. Abdul Kalam ( 2002 )     Janata Dal     11   Bhairon Singh Shekhawat ( 1923 -- 2010 )     2002 ( 59.82 )   19 August 2002   21 July 2007   5     A.P.J. Abdul Kalam     Bharatiya Janata Party     12   Mohammad Hamid Ansari ( 1937 -- )     2007 ( 60.51 ) 2012 ( 67.31 )   11 August 2007   11 August 2017   10     Pratibha Patil ( 2007 -- 2012 ) Pranab Mukherjee ( 2012 -- 2017 ) Ram Nath Kovind ( 2017 )     Indian National Congress     13   Muppavarapu Venkaiah Naidu ( 1949 -- )     2017 ( 67.89 )   11 August 2017   Incumbent   --     Ram Nath Kovind     Bharatiya Janata Party      Notes     † Died in office     Timeline    See also ( edit )    Vice-President of India   President of India   List of Presidents of India   List of Prime Ministers of India    Footnotes and references ( edit )    Jump up ^ `` VPI &amp; Constitution Vice President of India Government of India '' . vicepresidentofindia.nic.in . Retrieved 2018 - 01 - 14 .   Jump up ^ Media Division , Election Commission of India . `` Background information of Vice Presidential election for 2012 '' ( PDF ) . eci.nic.in . Retrieved 14 January 2018 .   Jump up ^ `` Venkaiah Naidu sworn in as Vice-President '' . The Hindu . PTI. 2017 - 08 - 11 . ISSN 0971 - 751X . Retrieved 2018 - 01 - 14 .   Jump up ^ List of Presidents / Vice Presidents Archived 2008 - 12 - 07 at the Wayback Machine .    External links ( edit )    Vice-President of India ( official website )              Vice-presidential elections in India       1952   1957   1962   1967   1969     1979   1984     1992   1997   2002   2007   2012   2017      Retrieved from `` https://en.wikipedia.org/w/index.php?title=List_of_Vice-Presidents_of_India&amp;oldid=862937046 '' Categories :   Lists of vice presidents   Vice-Presidents of India   Lists of political office - holders in India   Lists relating to the Indian presidency   Lists of legislative speakers in India   Vice presidents   Hidden categories :   Pages using Timeline   Webarchive template wayback links           Talk                                           Contents                   About Wikipedia                                           বাংলা   فارسی   ગુજરાતી   हिन्दी   Bahasa Indonesia   മലയാളം   मराठी   Bahasa Melayu   Norsk   ਪੰਜਾਬੀ   پنجابی   संस्कृतम्   தமிழ்   తెలుగు   اردو  6 more  Edit links   This page was last edited on 7 October 2018 , at 17 : 51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</si>
  <si>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voice president of india to have worked under three different president</t>
  </si>
  <si>
    <t xml:space="preserve">   No   Name ( birth -- death )   Portrait   Elected ( % votes )   Took office   Left office   Term ( in years )   Notes   President ( s )   Candidate of       Sarvepalli Radhakrishnan ( 1888 -- 1975 )     1952 ( Unopposed )  1957 ( Unopposed )    13 May 1952   12 May 1962   10   Radhakrishnan was a prominent scholar . Besides being awarded the Bharat Ratna he also held the position of vice-chancellor in the Banaras Hindu University and the Andhra college . He served as the Vice-President for two terms .   Rajendra Prasad     Independent       Zakir Husain ( 1897 -- 1969 )     1962 ( 97.59 )   13 May 1962   12 May 1967   5     Sarvepalli Radhakrishnan     Independent       Varahagiri Venkata Giri ( 1894 -- 1980 )     1967 ( 71.45 )   13 May 1967   3 May 1969       Zakir Husain     Independent       Gopal Swarup Pathak ( 1896 -- 1982 )     1969 --   31 August 1969   30 August 1974   5     Varahagiri Venkata Giri ( 1969 -- 1974 )  Fakhruddin Ali Ahmed ( 1974 )      Independent     5   Basappa Danappa Jatti ( 1912 -- 2002 )     ( 78.70 )   31 August 1974   30 August 1979   5     Fakhruddin Ali Ahmed ( 1974 -- 1977 ) Neelam Sanjiva Reddy ( 1977 -- 1979 )     Indian National Congress     6   Mohammad Hidayatullah ( 1905 -- 1992 )     1979 ( Unopposed )   31 August 1979   30 August 1984   5     Neelam Sanjiva Reddy ( 1979 -- 1982 ) Giani Zail Singh ( 1982 -- 1984 )     Independent     7   Ramaswamy Venkataraman ( 1910 -- 2009 )     1984 ( 71.05 )   31 August 1984   24 July 1987       Giani Zail Singh     Indian National Congress     8   Shankar Dayal Sharma ( 1918 -- 1999 )     ( Unopposed )   3 September 1987   24 July 1992   5     Ramaswamy Venkataraman     Indian National Congress     9   Kocheril Raman Narayanan ( 1920 -- 2005 )     1992 ( 99.86 )   21 August 1992   24 July 1997   5     Shankar Dayal Sharma     Indian National Congress     10   Krishan Kant ( 1927 -- 2002 )     1997 ( 61.76 )   21 August 1997   27 July 2002       Kocheril Raman Narayanan ( 1997 -- 2002 ) A.P.J. Abdul Kalam ( 2002 )     Janata Dal     11   Bhairon Singh Shekhawat ( 1923 -- 2010 )     2002 ( 59.82 )   19 August 2002   21 July 2007   5     A.P.J. Abdul Kalam     Bharatiya Janata Party     12   Mohammad Hamid Ansari ( 1937 -- )     2007 ( 60.51 ) 2012 ( 67.31 )   11 August 2007   11 August 2017   10     Pratibha Patil ( 2007 -- 2012 ) Pranab Mukherjee ( 2012 -- 2017 ) Ram Nath Kovind ( 2017 )     Indian National Congress     13   Muppavarapu Venkaiah Naidu ( 1949 -- )     2017 ( 67.89 )   11 August 2017   Incumbent   --     Ram Nath Kovind     Bharatiya Janata Party   </t>
  </si>
  <si>
    <t xml:space="preserve">Winter Olympic Games - wikipedia  Winter Olympic Games  Jump to : navigation , search For a list of winter Olympic Games , see the list below . `` Winter Olympics '' redirects here . For the TV episode of the The Goodies , see Winter Olympics ( The Goodies ) . For the video game , see Winter Olympics ( video game ) .    Olympic Games         Main topics       Bids   Boycotts   Ceremonies   Charter   Host cities   IFs   IOC   Medal   Medal tables   Medalists   NOCs   Pierre de Coubertin medal   Scandals and controversies   Sports   Symbols   Torch relays   Venues       Games       Summer   Winter     Summer Paralympic   Winter Paralympic     Deaflympics   Youth   Special     American   Asian   Pacific   African   European   EYOF       Ancient   Intercalated                     Winter Olympic Games         The Olympic flame in PyeongChang during the 2018 Winter Olympics     Games       1924   1928   1932   1936   1948   1952   1956   1960   1964   1968   1972   1976   1980   1984   1988   1992   1994   1998   2002   2006     2014   2018   2022   2026       Sports ( details )       Alpine skiing   Biathlon   Bobsleigh   Cross ‐ country skiing   Curling   Figure skating   Freestyle skiing   Ice hockey   Luge   Nordic combined   Short track speed skating   Skeleton   Ski jumping   Snowboarding   Speed skating       The Winter Olympic Games ( French : Jeux olympiques d'hiver ) is a major international sporting event held once every four years for sports practised on snow and ice . The first Winter Olympics , the 1924 Winter Olympics , were held in Chamonix , France . The modern Olympic games were inspired by the ancient Olympic Games , which were held in Olympia , Greece , from the 8th century BC to the 4th century AD . Baron Pierre de Coubertin founded the International Olympic Committee ( IOC ) in 1894 , leading to the first modern Summer Games in Athens , Greece in 1896 . The IOC is the governing body of the Olympic Movement , with the Olympic Charter defining its structure and authority .   The original five Winter Olympics sports ( broken into nine disciplines ) were bobsleigh , curling , ice hockey , Nordic skiing ( consisting of the disciplines military patrol , cross-country skiing , Nordic combined , and ski jumping ) , and skating ( consisting of the disciplines figure skating and speed skating ) . The Games were held every four years from 1924 to 1936 , interrupted in 1940 and 1944 by World War II , and resumed in 1948 . Until 1992 the Winter and Summer Olympic Games were held in the same years , but in accordance with a 1986 decision by the IOC to place the Summer and Winter Games on separate four - year cycles in alternating even - numbered years , the next Winter Olympics after 1992 was in 1994 .   The Winter Games have evolved since their inception . Sports and disciplines have been added and some of them , such as Alpine skiing , luge , short track speed skating , freestyle skiing , skeleton , and snowboarding , have earned a permanent spot on the Olympic programme . Some others , including curling and bobsleigh , have been discontinued and later reintroduced ; others have been permanently discontinued , such as military patrol , though the modern Winter Olympic sport of biathlon is descended from it . Still others , such as speed skiing , bandy and skijoring , were demonstration sports but never incorporated as Olympic sports . The rise of television as a global medium for communication enhanced the profile of the Games . It generated income via the sale of broadcast rights and advertising , which has become lucrative for the IOC . This allowed outside interests , such as television companies and corporate sponsors , to exert influence . The IOC has had to address numerous criticisms over the decades like internal scandals , the use of performance - enhancing drugs by Winter Olympians , as well as a political boycott of the Winter Olympics . Nations have used the Winter ( as well as Summer ) Games to proclaim the superiority of their political systems .   The Winter Olympics has been hosted on three continents by twelve different countries . The Games have been held four times in the United States ( in 1932 , 1960 , 1980 and 2002 ) ; three times in France ( in 1924 , 1968 and 1992 ) ; and twice each in Austria ( 1964 , 1976 ) , Canada ( 1988 , 2010 ) , Japan ( 1972 , 1998 ) , Italy ( 1956 , 2006 ) , Norway ( 1952 , 1994 ) , and Switzerland ( 1928 , 1948 ) . Also , the Games have been held just once each in Germany ( 1936 ) , Yugoslavia ( 1984 ) , Russia ( 2014 ) and South Korea ( 2018 ) . The IOC has selected Beijing , China , to host the 2022 Winter Olympics and the host of the 2026 Winter Olympics will be selected in September 2019 . As of 2018 , no city in the southern hemisphere has applied to host the cold - weather - dependent Winter Olympics , which are held in February at the height of the southern hemisphere summer .   To date , twelve countries have participated in every Winter Olympic Games -- Austria , Canada , Finland , France , Great Britain , Hungary , Italy , Norway , Poland , Sweden , Switzerland and the United States . Six of those countries have earned medals at every Winter Olympic Games -- Austria , Canada , Finland , Norway , Sweden and the United States . The only country to have earned a gold medal at every Winter Olympics is the United States . Norway leads the all - time medal table for the Winter Olympics both on number of gold and overall medals , followed by the United States and Germany .     Contents  ( hide )   1 History   1.1 20th century   1.1. 1 1900 to 1912   1.1. 2 World War I   1.1. 3 1920 to 1936   1.1. 4 World War II   1.1. 5 1948 to 1960   1.1. 6 1964 to 1980   1.1. 7 1984 to 1998     1.2 21st century   1.2. 1 2002 to 2010   1.2. 2 2014 to 2018   1.2. 3 Future       2 Controversy   2.1 Host city legacy   2.2 Doping     3 Politics   3.1 Cold War   3.2 Boycott     4 Sports   4.1 Current sports   4.2 Demonstration events     5 Ten most successful nations   6 List of Winter Olympic Games   7 See also   8 Notes   9 References   10 External links      History ( edit )   20th century ( edit )  1900 to 1912 ( edit ) Ulrich Salchow at the 1908 Olympics .  A predecessor , the Nordic Games , were organised by General Viktor Gustaf Balck in Stockholm , Sweden in 1901 and were held again in 1903 and 1905 and then every fourth year thereafter until 1926 . Balck was a charter member of the IOC and a close friend of Olympic Games founder Pierre de Coubertin . He attempted to have winter sports , specifically figure skating , added to the Olympic programme but was unsuccessful until the 1908 Summer Olympics in London , United Kingdom . Four figure skating events were contested , at which Ulrich Salchow ( 10 - time world champion ) and Madge Syers won the individual titles .   Three years later , Italian count Eugenio Brunetta d'Usseaux proposed that the IOC stage a week of winter sports included as part of the 1912 Summer Olympics in Stockholm , Sweden . The organisers opposed this idea because they desired to protect the integrity of the Nordic Games and were concerned about a lack of facilities for winter sports .  World War I ( edit )  The idea was resurrected for the 1916 Games , which were to be held in Berlin , Germany . A winter sports week with speed skating , figure skating , ice hockey and Nordic skiing was planned , but the 1916 Olympics was cancelled after the outbreak of World War I .  1920 to 1936 ( edit )  The first Olympics after the war , the 1920 Summer Olympics , were held in Antwerp , Belgium , and featured figure skating and an ice hockey tournament . Germany , Austria , Hungary , Bulgaria and Turkey were banned from competing in the Games . At the IOC Congress held the following year it was decided that the host nation of the 1924 Summer Olympics , France , would host a separate `` International Winter Sports Week '' under the patronage of the IOC . Chamonix was chosen to host this `` week '' ( actually 11 days ) of events . The Games proved to be a success when more than 250 athletes from 16 nations competed in 16 events . Athletes from Finland and Norway won 28 medals , more than the rest of the participating nations combined . Germany remained banned until 1925 , and instead hosted a series of games called Deutsche Kampfspiele , starting with the Winter edition of 1922 ( which predated the first Winter Olympics ) . In 1925 the IOC decided to create a separate winter event and the 1924 Games in Chamonix was retroactively designated as the first Winter Olympics .   St. Moritz , Switzerland , was appointed by the IOC to host the second Winter Games in 1928 . Fluctuating weather conditions challenged the hosts . The opening ceremony was held in a blizzard while warm weather conditions plagued sporting events throughout the rest of the Games . Because of the weather the 10,000 metre speed - skating event had to be abandoned and officially cancelled . The weather was not the only noteworthy aspect of the 1928 Games : Sonja Henie of Norway made history when she won the figure skating competition at the age of 15 . She became the youngest Olympic champion in history , a distinction she held for 70 years .   The next Winter Olympics held in Lake Placid , New York , was the first to be hosted outside of Europe . Seventeen nations and 252 athletes participated . This was less than in 1928 , as the journey to Lake Placid , United States , was long and expensive for most competitors , who had little money in the midst of the Great Depression . The athletes competed in fourteen events in four sports . Virtually no snow fell for two months before the Games , and there was not enough snow to hold all the events until mid-January . Sonja Henie defended her Olympic title , and Eddie Eagan of the United States , who had been an Olympic champion in boxing in 1920 , won the gold medal in the men 's bobsleigh event to become the first , and so far only , Olympian to have won gold medals in both the Summer and Winter Olympics .   The German towns of Garmisch and Partenkirchen joined to organise the 1936 edition of the Winter Games , held on 6 -- 16 February . This was the last time the Summer and Winter Olympics were held in the same country in the same year . Alpine skiing made its Olympic debut , but skiing teachers were barred from entering because they were considered to be professionals . Because of this decision the Swiss and Austrian skiers refused to compete at the Games .  World War II ( edit )  World War II interrupted the holding of the Winter Olympics . The 1940 Games had been awarded to Sapporo , Japan , but the decision was rescinded in 1938 because of the Japanese invasion of China . The Games were then to be held at Garmisch - Partenkirchen , Germany , but the 1940 Games were cancelled following the German invasion of Poland in 1939 . Due to the ongoing war , the 1944 Games , originally scheduled for Cortina D'Ampezzo , Italy , were cancelled .  1948 to 1960 ( edit ) The opening ceremonies of the 1956 Winter Olympics in Cortina d'Ampezzo  St. Moritz was selected to host the first post-war Games in 1948 . Switzerland 's neutrality had protected the town during World War II , and most of the venues were in place from the 1928 Games , which made St. Moritz a logical choice . It became the first city to host a Winter Olympics twice . Twenty - eight countries competed in Switzerland , but athletes from Germany and Japan were not invited . Controversy erupted when two hockey teams from the United States arrived , both claiming to be the legitimate U.S. Olympic hockey representative . The Olympic flag presented at the 1920 Summer Olympics in Antwerp was stolen , as was its replacement . There was unprecedented parity at these Games , during which 10 countries won gold medals -- more than any Games to that point .   The Olympic Flame for the 1952 Games in Oslo , was lit in the fireplace by skiing pioneer Sondre Nordheim , and the torch relay was conducted by 94 participants entirely on skis . Bandy , a popular sport in the Nordic countries , was featured as a demonstration sport , though only Norway , Sweden , and Finland fielded teams . Norwegian athletes won 17 medals , which outpaced all the other nations . They were led by Hjalmar Andersen who won three gold medals in four events in the speed skating competition .   After not being able to host the Games in 1944 , Cortina d'Ampezzo was selected to organise the 1956 Winter Olympics . At the opening ceremonies the final torch bearer , Guido Caroli , entered the Olympic Stadium on ice skates . As he skated around the stadium his skate caught on a cable and he fell , nearly extinguishing the flame . He was able to recover and light the cauldron . These were the first Winter Games to be televised , and the first Olympics ever broadcast to an international audience , though no television rights were sold until the 1960 Summer Olympics in Rome . The Cortina Games were used to test the feasibility of televising large sporting events . The Soviet Union made its Olympic debut and had an immediate impact , winning more medals than any other nation . Soviet immediate success might be explained by the advent of the state - sponsored `` full - time amateur athlete '' . The USSR entered teams of athletes who were all nominally students , soldiers , or working in a profession , but many of whom were in reality paid by the state to train full - time . Chiharu Igaya won the first Winter Olympics medal for Japan and the continent of Asia when he placed second in the slalom .   The IOC awarded the 1960 Olympics to Squaw Valley , United States . It was an undeveloped resort in 1955 , so from 1956 to 1960 the infrastructure and all of the venues were built at a cost of US $80,000,000 . The opening and closing ceremonies were produced by Walt Disney . The Squaw Valley Olympics was the first winter Olympics to have a dedicated athletes ' village , the first to use a computer ( courtesy of IBM ) to tabulate results , and the first to feature female speed skating events . The bobsleigh events were absent for the only time due to the cost of building a bobsleigh run .  1964 to 1980 ( edit ) The Herb Brooks Arena in Lake Placid ( c. 2007 ) , site of the `` Miracle on Ice '' in 1980  The Austrian city of Innsbruck was the host in 1964 . Although Innsbruck was a traditional winter sports resort , warm weather caused a lack of snow during the Games and the Austrian army was enlisted to transport snow and ice to the sports venues . Soviet speed - skater Lidia Skoblikova made history by winning all four speed skating events . Her career total of six gold medals set a record for Winter Olympics athletes . Luge was first contested in 1964 , but the sport received bad publicity when a competitor was killed in a pre-Olympic training run .   Held in the French town of Grenoble , the 1968 Winter Olympics were the first Olympic Games to be broadcast in colour . There were 1,158 athletes from 37 nations competing in 35 events . French alpine ski racer Jean - Claude Killy became only the second person to win all the men 's alpine skiing events . The organising committee sold television rights for US $2 million , which was more than twice the cost of the broadcast rights for the Innsbruck Games . Venues were spread over long distances requiring three athletes ' villages . The organisers claimed that this was necessary to accommodate technological advances , however critics disputed this , alleging that the layout would incorporate the best possible venues for television broadcasts at the athletes ' expense .   The 1972 Winter Games , held in Sapporo , Japan , were the first to be hosted on a continent other than North America or Europe . The issue of professionalism was disputed during these Games when a number of alpine skiers were found to have participated in a ski camp at Mammoth Mountain in the United States ; three days before the opening ceremony , IOC president Avery Brundage threatened to bar the skiers from competing in the Games as he insisted that they were no longer amateurs having benefited financially from their status as athletes . Eventually only Austrian Karl Schranz , who earned more than the other skiers , was excluded from the competition . Canada did not send teams to the 1972 or 1976 ice hockey tournaments in protest at not being able to use players from professional leagues . Francisco Fernández Ochoa became the first ( and , as of 2018 , only ) Spaniard to win a Winter Olympic gold medal when he triumphed in the slalom .   The 1976 Winter Olympics had initially been awarded in 1970 to Denver , Colorado in the United States . These Games would have coincided with the year of Colorado 's centennial and the United States Bicentennial . However , in November 1972 the people of Colorado voted against public funding of the Games by a 3 : 2 margin . The IOC responded by offering the Games to Vancouver - Garibaldi , British Columbia , which had previously been an official candidate for the 1976 Games . However , a change in the provincial government resulted in an administration that did not support the Olympic bid , so the IOC 's offer was rejected . Salt Lake City , previously a candidate for the 1972 Winter Olympics , then put itself forward , but the IOC opted instead to invite Innsbruck to host the 1976 Games , as most of the infrastructure from the 1964 Games had been maintained . Despite only having half the usual time to prepare for the Games , Innsbruck accepted the invitation to replace Denver in February 1973 . Two Olympic flames were lit because it was the second time that the Austrian town had hosted the Winter Games . The 1976 Games featured the first combination bobsleigh and luge track , in neighbouring Igls . The Soviet Union won its fourth consecutive ice hockey gold medal .   In 1980 the Winter Olympics returned to Lake Placid , which had hosted the 1932 Games . The first boycott of a Winter Olympics took place at these Games , when Taiwan refused to participate after an edict by the IOC mandated that they change their name and national anthem . This was an attempt by the IOC to accommodate China , who wished to compete using the same name and anthem as those used by Taiwan . As a result , China participated for the first time since 1952 . American speed - skater Eric Heiden set either an Olympic or World record in every one of the five events in which he competed , winning a total of five individual gold medals and breaking the record for most individual golds in a single Olympics ( both Summer and Winter ) . Hanni Wenzel won both the slalom and giant slalom and her country , Liechtenstein , became the smallest nation to produce an Olympic gold medallist . In the `` Miracle on Ice '' , the American hockey team composed of college players beat the favoured seasoned professionals from the Soviet Union , and progressed to eventually win the gold medal .  1984 to 1998 ( edit ) Alberto Tomba , winner of five Olympic medals in Calgary , Albertville and Lillehammer  Sapporo , Japan , and Gothenburg , Sweden , were front - runners to host the 1984 Winter Olympics . It was therefore a surprise when Sarajevo , Yugoslavia , was selected as host . The Games were well - organised and not affected by the run - up to the war that engulfed the country eight years later . A total of 49 nations and 1,272 athletes participated in 39 events . Host nation Yugoslavia won its first Olympic medal when alpine skier Jure Franko won silver in the giant slalom . Another sporting highlight was the free dance performance of British ice dancers Jayne Torvill and Christopher Dean ; their Boléro routine received unanimous perfect scores for artistic impression , earning them the gold medal .  The Olympic Torch from the 1988 Winter Olympic Games in Calgary  In 1988 , the Canadian city of Calgary hosted the first Winter Olympics to span three weekends , lasting for a total of 16 days . New events were added in ski - jumping and speed skating , while future Olympic sports curling , short track speed skating and freestyle skiing made their debut appearance as demonstration sports . The speed skating events were held indoors for the first time , on the Olympic Oval . Dutch skater Yvonne van Gennip won three gold medals and set two world records , beating skaters from the favoured East German team in every race . Her medal total was equalled by Finnish ski jumper Matti Nykänen , who won all three events in his sport . Alberto Tomba , an Italian skier , made his Olympic debut by winning both the giant slalom and slalom . East German Christa Rothenburger won the women 's 1,000 metre speed skating event . Seven months later she would earn a silver in track cycling at the Summer Games in Seoul , to become the only athlete to win medals in both a Summer and Winter Olympics in the same year .   The 1992 Winter Games were the last to be held in the same year as the Summer Games . They were hosted in the French Savoie region , with 18 events held in the city of Albertville and the remaining events spread out over the Savoie . Political changes of the time were reflected in the composition of the Olympic teams competing in France : this was the first Games to be held after the fall of Communism and the fall of the Berlin Wall , and Germany competed as a single nation for the first time since the 1964 Games ; former Yugoslavian republics Croatia and Slovenia made their debuts as independent nations ; most of the former Soviet republics still competed as a single team known as the Unified Team , but the Baltic States made independent appearances for the first time since before World War II . At 16 years old , Finnish ski jumper Toni Nieminen made history by becoming the youngest male Winter Olympic champion . New Zealand skier Annelise Coberger became the first Winter Olympic medallist from the southern hemisphere when she won a silver medal in the women 's slalom .   The 1994 Winter Olympics , held in Lillehammer , Norway , were the first Winter Games to be held separately from the Summer Games . This change resulted from the decision reached in the 91st IOC Session ( 1986 ) to separate the summer and winter Games and place them in alternating even - numbered years . Lillehammer is the northernmost city to ever host the Winter Games and it was the second time the Games were held in Norway , after the 1952 Winter Olympics in Oslo . After the dissolution of Czechoslovakia in 1993 , the Czech Republic and Slovakia made their Olympic debuts . The women 's figure skating competition drew media attention when American skater Nancy Kerrigan was injured on 6 January 1994 , in an assault planned by the ex-husband of opponent Tonya Harding . Both skaters competed in the Games , but the gold medal was controversially won by Oksana Baiul who became Ukraine 's first Olympic champion , while Kerrigan won the silver medal . Johann Olav Koss of Norway won three gold medals , coming first in all of the distance speed skating events . 13 - year - old Kim Yoon - Mi became the youngest - ever Olympic gold medallist when South Korea won the women 's 3,000 meter speed skating relay . Russia won the most events , with eleven gold medals , while Norway achieved 26 podium finishes , collecting the most medals overall on home ground . Juan Antonio Samaranch described Lillehammer as `` the best Olympic Winter Games ever '' in his closing ceremony speech .   The 1998 Winter Olympics were held in the Japanese city of Nagano and were the first Games to host more than 2,000 athletes . The men 's ice hockey tournament was opened to professionals for the first time . Canada and the United States were favoured to win the tournament as they both fielded numerous NHL players , but surprisingly neither team won any medals and it was the Czech Republic who prevailed . Women 's ice hockey made its debut and the United States won the gold medal . Bjørn Dæhlie of Norway won three gold medals in Nordic skiing , becoming the most decorated Winter Olympic athlete , with eight gold medals and twelve medals overall . Austrian Hermann Maier survived a crash during the downhill competition and returned to win gold in the super-G and the giant slalom . Tara Lipinski of the United States , aged just 15 , became the youngest ever female gold medallist in an individual event when she won the Ladies ' Singles , a record that had stood since Sonja Henie of Norway won the same event , also aged 15 , in St. Moritz in 1928 . New world records were set in speed skating largely due to the introduction of the clap skate .   21st century ( edit )  2002 to 2010 ( edit ) Olympic flame during the Opening Ceremony of the 2002 Games in Salt Lake City  The 2002 Winter Olympics were held in Salt Lake City , United States , hosting 77 nations and 2,399 athletes in 78 events in 7 sports . These Games were the first to take place since the September 11 attacks of 2001 , which meant a higher degree of security to avoid a terrorist attack . The opening ceremony saw signs of the aftermath of the events of that day , including the flag that flew at Ground Zero , NYPD officer Daniel Rodríguez singing `` God Bless America '' , and honour guards of NYPD and FDNY members .   German Georg Hackl won a silver in the singles luge , becoming the first athlete in Olympic history to win medals in the same individual event in five consecutive Olympics . Canada achieved an unprecedented double by winning both the men 's and women 's ice hockey gold medals . Canada became embroiled with Russia in a controversy that involved the judging of the pairs figure skating competition . The Russian pair of Yelena Berezhnaya and Anton Sikharulidze competed against the Canadian pair of Jamie Salé and David Pelletier for the gold medal . The Canadians appeared to have skated well enough to win the competition , yet the Russians were awarded the gold . The judging broke along Cold War lines with judges from former Communist countries favouring the Russian pair and judges from Western nations voting for the Canadians . The only exception was the French judge , Marie - Reine Le Gougne , who awarded the gold to the Russians . An investigation revealed that she had been pressured to give the gold to the Russian pair regardless of how they skated ; in return the Russian judge would look favourably on the French entrants in the ice dancing competition . The IOC decided to award both pairs the gold medal in a second medal ceremony held later in the Games . Australian Steven Bradbury became the first gold medallist from the southern hemisphere when he won the 1,000 metre short - track speed skating event .  Close - up of the Olympic Flame during the 2006 Winter Olympics in Turin  The Italian city of Turin hosted the 2006 Winter Olympics . It was the second time that Italy had hosted the Winter Olympic Games . South Korean athletes won 10 medals , including 6 gold in the short - track speed skating events . Sun - Yu Jin won three gold medals while her teammate Hyun - Soo Ahn won three gold medals and a bronze . In the women 's Cross-Country team pursuit Canadian Sara Renner broke one of her poles and , when he saw her dilemma , Norwegian coach Bjørnar Håkensmoen decided to lend her a pole . In so doing she was able to help her team win a silver medal in the event at the expense of the Norwegian team , who finished fourth . On winning the Super-G , Kjetil - Andre Aamodt of Norway became the most decorated ski racer of all time with 4 gold and 8 overall medals . He is also the only ski racer to have won the same event at three different Olympics , winning the Super-G in 1992 , 2002 and 2006 . Claudia Pechstein of Germany became the first speed skater to earn nine career medals . In February 2009 , Pechstein tested positive for `` blood manipulation '' and received a two - year suspension , which she appealed . The Court of Arbitration for Sport upheld her suspension but a Swiss court ruled that she could compete for a spot on the 2010 German Olympic team . This ruling was brought to the Swiss Federal Tribunal , which overturned the lower court 's ruling and precluded her from competing in Vancouver .  A memorial to Nodar Kumaritashvili in Whistler , photographed on 20 March 2010  In 2003 the IOC awarded the 2010 Winter Olympics to Vancouver , thus allowing Canada to host its second Winter Olympics . With a population of more than 2.5 million people Vancouver is the largest metropolitan area to ever host a Winter Olympic Games . Over 2,500 athletes from 82 countries participated in 86 events . The death of Georgian luger Nodar Kumaritashvili in a training run on the day of the opening ceremonies resulted in the Whistler Sliding Centre changing the track layout on safety grounds . Norwegian cross-country skier Marit Bjørgen won five medals in the six cross-country events on the women 's programme . She finished the Olympics with three golds , a silver and a bronze . The Vancouver Games were notable for the poor performance of the Russian athletes . From their first Winter Olympics in 1956 to the 2006 Games , a Soviet or Russian delegation had never been outside the top five medal - winning nations , but in 2010 they finished sixth in total medals and eleventh in gold medals . President Dmitry Medvedev called for the resignation of top sports officials immediately after the Games . Russia 's disappointing performance at Vancouver is cited as the reason behind the implementation of a doping scheme alleged to have been in operation at major events such as the 2014 Games at Sochi . The success of Asian countries stood in stark contrast to the under - performing Russian team , with Vancouver marking a high point for medals won by Asian countries . In 1992 the Asian countries had won fifteen medals , three of which were gold . In Vancouver the total number of medals won by athletes from Asia had increased to thirty - one , with eleven of them being gold . The rise of Asian nations in Winter Olympics sports is due in part to the growth of winter sports programmes and the interest in winter sports in nations such as South Korea , Japan and China .  2014 to 2018 ( edit )  Sochi , Russia , was selected as the host city for the 2014 Winter Olympics over Salzburg , Austria , and Pyeongchang , South Korea . This was the first time that Russia had hosted a Winter Olympics . The Games took place from 7 to 23 February 2014 . A record 2,800 athletes from 88 countries competed in 98 events . The Olympic Village and Olympic Stadium were located on the Black Sea coast . All of the mountain venues were 50 kilometres ( 31 miles ) away in the alpine region known as Krasnaya Polyana . The Games were the most expensive so far , with a cost of £ 30 billion ( USD 51 billion ) .   On the snow , Norwegian biathlete Ole Einar Bjørndalen took two golds to bring his total tally of Olympic medals to 13 , overtaking his compatriot Bjørn Dæhlie to become the most decorated Winter Olympian of all time . Another Norwegian , cross-country skier Marit Bjørgen took three golds ; her total of ten Olympic medals tied her as the female Winter Olympian with most medals , alongside Raisa Smetanina and Stefania Belmondo . Snowboarder Ayumu Hirano became the youngest medallist on snow at the Winter Games when he took a silver in the halfpipe competition at the age of fifteen . On the ice , the Dutch dominated the speed skating events , taking 23 medals , four clean sweeps of the podium places and at least one medal in each of the twelve medal events . Ireen Wüst was their most successful competitor , taking two golds and three silvers . In figure skating , Yuzuru Hanyu became the first skater to break the 100 - point barrier in the short programme on the way to winning the gold medal . Among the sledding disciplines , luger Armin Zöggeler took a bronze , becoming the first Winter Olympian to secure a medal in six consecutive Games .   Following their disappointing performance at the 2010 Games , and an investment of £ 600 million in elite sport , Russia initially topped the medal table , taking 33 medals including thirteen golds . However Grigory Rodchenkov , the former head of the Russian national anti-doping laboratory , subsequently claimed that he had been involved in doping dozens of Russian competitors for the Games , and that he had been assisted by the Russian Federal Security Service in opening and re-sealing bottles containing urine samples so that samples with banned substances could be replaced with `` clean '' urine . A subsequent investigation commissioned by the World Anti-Doping Agency led by Richard McLaren concluded that a stat</t>
  </si>
  <si>
    <t xml:space="preserve">when did the olympics start every 2 years</t>
  </si>
  <si>
    <t xml:space="preserve"> The original five Winter Olympics sports ( broken into nine disciplines ) were bobsleigh , curling , ice hockey , Nordic skiing ( consisting of the disciplines military patrol , cross-country skiing , Nordic combined , and ski jumping ) , and skating ( consisting of the disciplines figure skating and speed skating ) . The Games were held every four years from 1924 to 1936 , interrupted in 1940 and 1944 by World War II , and resumed in 1948 . Until 1992 the Winter and Summer Olympic Games were held in the same years , but in accordance with a 1986 decision by the IOC to place the Summer and Winter Games on separate four - year cycles in alternating even - numbered years , the next Winter Olympics after 1992 was in 1994 . </t>
  </si>
  <si>
    <r>
      <rPr>
        <sz val="11"/>
        <color rgb="FF000000"/>
        <rFont val="Calibri"/>
        <family val="0"/>
        <charset val="1"/>
      </rPr>
      <t xml:space="preserve">Proof that π is irrational - wikipedia  Proof that π is irrational     Part of a series of articles on the     mathematical constant π     3.14159 26535 89793 23846 26433 ...     Uses       Area of a circle   Circumference   Use in other formulae       Properties       Irrationality   Transcendence       Value       Less than 22 / 7   Approximations   Memorization       People       Archimedes   Liu Hui   Zu Chongzhi   Aryabhata   Madhava   Ludolph van Ceulen   Seki Takakazu   Takebe Kenko   William Jones   John Machin   William Shanks   Srinivasa Ramanujan   John Wrench   Chudnovsky brothers   Yasumasa Kanada       History       Chronology   Book       In culture       Legislation   Pi Day       Related topics       Squaring the circle   Basel problem   Six nines in π   Other topics related to π                   In the 18th century , Johann Heinrich Lambert proved that the number π ( pi ) is irrational : that is , it can not be expressed as a fraction a / b , where a is an integer and b is a non-zero integer . In the 19th century , Charles Hermite found a proof that requires no prerequisite knowledge beyond basic calculus . Three simplifications of Hermite 's proof are due to Mary Cartwright , Ivan Niven , and Nicolas Bourbaki . Another proof , which is a simplification of Lambert 's proof , is due to Miklós Laczkovich .   In 1882 , Ferdinand von Lindemann proved that π is not just irrational , but transcendental as well .   Contents    1 Lambert 's proof   2 Hermite 's proof   3 Cartwright 's proof   4 Niven 's proof   5 Bourbaki 's proof   6 Laczkovich 's proof   7 See also   8 References    Lambert 's proof ( edit )  Scan of formula on page 288 of Lambert 's `` Mémoires sur quelques propriétés remarquables des quantités transcendantes , circulaires et logarithmiques '' , Mémoires de l'Académie royale des sciences de Berlin ( 1768 ) , 265 -- 322 .  In 1761 , Lambert proved that π is irrational by first showing that this continued fraction expansion holds :    tan ⁡ ( x ) = x 1 − x 2 3 − x 2 5 − x 2 7 − ⋱ . ( \ displaystyle \ tan ( x ) = ( \ cfrac ( x ) ( 1 - ( \ cfrac ( x ^ ( 2 ) ) ( 3 - ( \ cfrac ( x ^ ( 2 ) ) ( 5 - ( \ cfrac ( x ^ ( 2 ) ) ( 7 - ( ) \ ddots ) ) ) ) ) ) ) ) . )    Then Lambert proved that if x is non-zero and rational then this expression must be irrational . Since tan ( π / 4 ) = 1 , it follows that π / 4 is irrational and therefore that π is irrational . A simplification of Lambert 's proof is given below .   Hermite 's proof ( edit )   This proof uses the characterization of π as the smallest positive number whose half is a zero of the cosine function and it actually proves that π is irrational . As in many proofs of irrationality , the argument proceeds by reductio ad absurdum .   Consider the sequences ( A ) and ( U ) of functions from R into R thus defined :    A 0 ( x ) = sin ⁡ ( x ) A n + 1 ( x ) = ∫ 0 x y A n ( y ) d y U 0 ( x ) = sin ⁡ ( x ) x U n + 1 ( x ) = − U n ′ ( x ) x . ( \ displaystyle ( \ begin ( aligned ) A_ ( 0 ) ( x ) &amp; = \ sin ( x ) \ \ ( 3pt ) A_ ( n + 1 ) ( x ) &amp; = \ int _ ( 0 ) ^ ( x ) yA_ ( n ) ( y ) \ , dy \ \ ( 3pt ) U_ ( 0 ) ( x ) &amp; = ( \ frac ( \ sin ( x ) ) ( x ) ) \ \ ( 3pt ) U_ ( n + 1 ) ( x ) &amp; = - ( \ frac ( U_ ( n ) ' ( x ) ) ( x ) ). \ end ( aligned ) ) )    It can be proved by induction that    A n ( x ) = x 2 n + 1 ( 2 n + 1 ) ! ! − x 2 n + 3 2 × ( 2 n + 3 ) ! ! + x 2 n + 5 2 × 4 × ( 2 n + 5 ) ! ! ∓ ⋯ ( \ displaystyle A_ ( n ) ( x ) = ( \ frac ( x ^ ( 2n + 1 ) ) ( ( 2n + 1 ) ! ! ) ) - ( \ frac ( x ^ ( 2n + 3 ) ) ( 2 \ times ( 2n + 3 ) ! ! ) ) + ( \ frac ( x ^ ( 2n + 5 ) ) ( 2 \ times 4 \ times ( 2n + 5 ) ! ! ) ) \ mp \ cdots )    and that    U n ( x ) = 1 ( 2 n + 1 ) ! ! − x 2 2 × ( 2 n + 3 ) ! ! + x 4 2 × 4 × ( 2 n + 5 ) ! ! ∓ ⋯ ( \ displaystyle U_ ( n ) ( x ) = ( \ frac ( 1 ) ( ( 2n + 1 ) ! ! ) ) - ( \ frac ( x ^ ( 2 ) ) ( 2 \ times ( 2n + 3 ) ! ! ) ) + ( \ frac ( x ^ ( 4 ) ) ( 2 \ times 4 \ times ( 2n + 5 ) ! ! ) ) \ mp \ cdots )    and therefore that    U n ( x ) = A n ( x ) x 2 n + 1 . ( \ displaystyle U_ ( n ) ( x ) = ( \ frac ( A_ ( n ) ( x ) ) ( x ^ ( 2n + 1 ) ) ) . )    So    A n + 1 ( x ) x 2 n + 3 = U n + 1 ( x ) = − U n ′ ( x ) x = − 1 x d d x ( A n ( x ) x 2 n + 1 ) , ( \ displaystyle ( \ frac ( A_ ( n + 1 ) ( x ) ) ( x ^ ( 2n + 3 ) ) ) = U_ ( n + 1 ) ( x ) = - ( \ frac ( U_ ( n ) ' ( x ) ) ( x ) ) = - ( \ frac ( 1 ) ( x ) ) ( \ frac ( d ) ( dx ) ) \ left ( ( \ frac ( A_ ( n ) ( x ) ) ( x ^ ( 2n + 1 ) ) ) \ right ) , )    which is equivalent to    A n + 1 ( x ) = ( 2 n + 1 ) A n ( x ) − x A n ′ ( x ) = ( 2 n + 1 ) A n ( x ) − x 2 A n − 1 ( x ) . ( \ displaystyle A_ ( n + 1 ) ( x ) = ( 2n + 1 ) A_ ( n ) ( x ) - xA_ ( n ) ' ( x ) = ( 2n + 1 ) A_ ( n ) ( x ) - x ^ ( 2 ) A_ ( n - 1 ) ( x ) . )    It follows by induction from this , together with the fact that A ( x ) = sin ( x ) and that A ( x ) = − x cos ( x ) + sin ( x ) , that A ( x ) can be written as P ( x ) sin ( x ) + xQ ( x ) cos ( x ) , where P and Q are polynomial functions with integer coefficients and where the degree of P is smaller than or equal to ⌊ n / 2 ⌋ . In particular , A ( π / 2 ) = P ( π / 4 ) .   Hermite also gave a closed expression for the function A , namely    A n ( x ) = x 2 n + 1 2 n n ! ∫ 0 1 ( 1 − z 2 ) n cos ⁡ ( x z ) d z . ( \ displaystyle A_ ( n ) ( x ) = ( \ frac ( x ^ ( 2n + 1 ) ) ( 2 ^ ( n ) n ! ) ) \ int _ ( 0 ) ^ ( 1 ) ( 1 - z ^ ( 2 ) ) ^ ( n ) \ cos ( xz ) \ , dz . )    He did not justify this assertion , but it can be proved easily . First of all , this assertion is equivalent to    1 2 n n ! ∫ 0 1 ( 1 − z 2 ) n cos ⁡ ( x z ) d z = A n ( x ) x 2 n + 1 = U n ( x ) . ( \ displaystyle ( \ frac ( 1 ) ( 2 ^ ( n ) n ! ) ) \ int _ ( 0 ) ^ ( 1 ) ( 1 - z ^ ( 2 ) ) ^ ( n ) \ cos ( xz ) \ , dz = ( \ frac ( A_ ( n ) ( x ) ) ( x ^ ( 2n + 1 ) ) ) = U_ ( n ) ( x ) . )    Proceeding by induction , take n = 0 .    ∫ 0 1 cos ⁡ ( x z ) d z = sin ⁡ ( x ) x = U 0 ( x ) ( \ displaystyle \ int _ ( 0 ) ^ ( 1 ) \ cos ( xz ) \ , dz = ( \ frac ( \ sin ( x ) ) ( x ) ) = U_ ( 0 ) ( x ) )    and , for the inductive step , consider any n ∈ Z . If    1 2 n n ! ∫ 0 1 ( 1 − z 2 ) n cos ⁡ ( x z ) d z = U n ( x ) , ( \ displaystyle ( \ frac ( 1 ) ( 2 ^ ( n ) n ! ) ) \ int _ ( 0 ) ^ ( 1 ) ( 1 - z ^ ( 2 ) ) ^ ( n ) \ cos ( xz ) \ , dz = U_ ( n ) ( x ) , )    then , using integration by parts and Leibniz 's rule , one gets    1 2 n + 1 ( n + 1 ) ! ∫ 0 1 ( 1 − z 2 ) n + 1 cos ⁡ ( x z ) d z = 1 2 n + 1 ( n + 1 ) ! ( ( 1 − z 2 ) n + 1 sin ⁡ ( x z ) x z = 0 z = 1 ⏞ = 0 + ∫ 0 1 2 ( n + 1 ) ( 1 − z 2 ) n z sin ⁡ ( x z ) x d z ) = 1 x ⋅ 1 2 n n ! ∫ 0 1 ( 1 − z 2 ) n z sin ⁡ ( x z ) d z = − 1 x ⋅ d d x ( 1 2 n n ! ∫ 0 1 ( 1 − z 2 ) n cos ⁡ ( x z ) d z ) = − U n ′ ( x ) x = U n + 1 ( x ) . ( \ displaystyle ( \ begin ( aligned ) &amp; ( \ frac ( 1 ) ( 2 ^ ( n + 1 ) ( n + 1 ) ! ) ) \ int _ ( 0 ) ^ ( 1 ) ( 1 - z ^ ( 2 ) ) ^ ( n + 1 ) \ cos ( xz ) \ , dz \ \ = ( ) &amp; ( \ frac ( 1 ) ( 2 ^ ( n + 1 ) ( n + 1 ) ! ) ) ( \ Biggl ( ) \ , \ overbrace ( \ left. ( 1 - z ^ ( 2 ) ) ^ ( n + 1 ) ( \ frac ( \ sin ( xz ) ) ( x ) ) \ right _ ( z = 0 ) ^ ( z = 1 ) ) ^ ( = \ , 0 ) + \ int _ ( 0 ) ^ ( 1 ) 2 ( n + 1 ) ( 1 - z ^ ( 2 ) ) ^ ( n ) z ( \ frac ( \ sin ( xz ) ) ( x ) ) \ , dz ( \ Biggr ) ) \ \ ( 8pt ) = ( ) &amp; ( \ frac ( 1 ) ( x ) ) \ cdot ( \ frac ( 1 ) ( 2 ^ ( n ) n ! ) ) \ int _ ( 0 ) ^ ( 1 ) ( 1 - z ^ ( 2 ) ) ^ ( n ) z \ sin ( xz ) \ , dz \ \ ( 8pt ) = ( ) &amp; - ( \ frac ( 1 ) ( x ) ) \ cdot ( \ frac ( d ) ( dx ) ) \ left ( ( \ frac ( 1 ) ( 2 ^ ( n ) n ! ) ) \ int _ ( 0 ) ^ ( 1 ) ( 1 - z ^ ( 2 ) ) ^ ( n ) \ cos ( xz ) \ , dz \ right ) \ \ ( 8pt ) = ( ) &amp; - ( \ frac ( U_ ( n ) ' ( x ) ) ( x ) ) = U_ ( n + 1 ) ( x ). \ end ( aligned ) ) )    If π / 4 = p / q , with p and q in N , then , since the coefficients of P are integers and its degree is smaller than or equal to ⌊ n / 2 ⌋ , q P ( π / 4 ) is some integer N. In other words ,    N = q ⌊ n 2 ⌋ A n ( π 2 ) = q ⌊ n 2 ⌋ ( p q ) n + 1 2 2 n n ! ∫ 0 1 ( 1 − z 2 ) n cos ⁡ ( π 2 z ) d z . ( \ displaystyle ( \ begin ( aligned ) N&amp; = q ^ ( \ left \ lfloor ( \ frac ( n ) ( 2 ) ) \ right \ rfloor ) A_ ( n ) \ left ( ( \ frac ( \ pi ) ( 2 ) ) \ right ) \ \ &amp; = q ^ ( \ left \ lfloor ( \ frac ( n ) ( 2 ) ) \ right \ rfloor ) ( \ frac ( \ left ( ( \ frac ( p ) ( q ) ) \ right ) ^ ( n+ ( \ frac ( 1 ) ( 2 ) ) ) ) ( 2 ^ ( n ) n ! ) ) \ int _ ( 0 ) ^ ( 1 ) ( 1 - z ^ ( 2 ) ) ^ ( n ) \ cos \ left ( ( \ frac ( \ pi ) ( 2 ) ) z \ right ) \ , dz. \ end ( aligned ) ) )    But this number is clearly greater than 0 . On the other hand , the limit of this quantity as n goes to infinity is zero , and so , if n is large enough , N   Hermite did not present his proof as an end in itself but as an afterthought within his search for a proof of the transcendence of π . He discussed the recurrence relations to motivate and to obtain a convenient integral representation . Once this integral representation is obtained , there are various ways to present a succinct and self - contained proof starting from the integral ( as in Cartwright 's , Bourbaki 's or Niven 's presentations ) , which Hermite could easily see ( as he did in his proof of the transcendence of e ) .   Moreover , Hermite 's proof is closer to Lambert 's proof than it seems . In fact , A ( x ) is the `` residue '' ( or `` remainder '' ) of Lambert 's continued fraction for tan ( x ) .   Cartwright 's proof ( edit )   Harold Jeffreys wrote that this proof was set as an example in an exam at Cambridge University in 1945 by Mary Cartwright , but that she had not traced its origin .   Consider the integrals    I n ( x ) = ∫ − 1 1 ( 1 − z 2 ) n cos ⁡ ( x z ) d z , ( \ displaystyle I_ ( n ) ( x ) = \ int _ ( - 1 ) ^ ( 1 ) ( 1 - z ^ ( 2 ) ) ^ ( n ) \ cos ( xz ) \ , dz , )    where n is a non-negative integer .   Two integrations by parts give the recurrence relation    x 2 I n ( x ) = 2 n ( 2 n − 1 ) I n − 1 ( x ) − 4 n ( n − 1 ) I n − 2 ( x ) . ( n ≥ 2 ) ( \ displaystyle x ^ ( 2 ) I_ ( n ) ( x ) = 2n ( 2n - 1 ) I_ ( n - 1 ) ( x ) - 4n ( n - 1 ) I_ ( n - 2 ) ( x ). \ qquad ( n \ geq 2 ) )    If    J n ( x ) = x 2 n + 1 I n ( x ) , ( \ displaystyle J_ ( n ) ( x ) = x ^ ( 2n + 1 ) I_ ( n ) ( x ) , )    then this becomes    J n ( x ) = 2 n ( 2 n − 1 ) J n − 1 ( x ) − 4 n ( n − 1 ) x 2 J n − 2 ( x ) . ( \ displaystyle J_ ( n ) ( x ) = 2n ( 2n - 1 ) J_ ( n - 1 ) ( x ) - 4n ( n - 1 ) x ^ ( 2 ) J_ ( n - 2 ) ( x ) . )    Furthermore , J ( x ) = 2sin ( x ) and J ( x ) = − 4x cos ( x ) + 4sin ( x ) . Hence for all n ∈ Z ,    J n ( x ) = x 2 n + 1 I n ( x ) = n ! ( P n ( x ) sin ⁡ ( x ) + Q n ( x ) cos ⁡ ( x ) ) , ( \ displaystyle J_ ( n ) ( x ) = x ^ ( 2n + 1 ) I_ ( n ) ( x ) = n ! ( \ bigl ( ) P_ ( n ) ( x ) \ sin ( x ) + Q_ ( n ) ( x ) \ cos ( x ) ( \ bigr ) ) , )    where P ( x ) and Q ( x ) are polynomials of degree ≤ n , and with integer coefficients ( depending on n ) .   Take x = π / 2 , and suppose if possible that π / 2 = a / b , where a and b are natural numbers ( i.e. , assume that π is rational ) . Then    a 2 n + 1 n ! I n ( π 2 ) = P n ( π 2 ) b 2 n + 1 . ( \ displaystyle ( \ frac ( a ^ ( 2n + 1 ) ) ( n ! ) ) I_ ( n ) \ left ( ( \ frac ( \ pi ) ( 2 ) ) \ right ) = P_ ( n ) \ left ( ( \ frac ( \ pi ) ( 2 ) ) \ right ) b ^ ( 2n + 1 ) . )    The right side is an integer . But 0    a 2 n + 1 n ! → 0 as n → ∞ . ( \ displaystyle ( \ frac ( a ^ ( 2n + 1 ) ) ( n ! ) ) \ to 0 ( \ text ( as ) ) n \ to \ infty . )    Hence , for sufficiently large n    0    that is , we could find an integer between 0 and 1 . That is the contradiction that follows from the assumption that π is rational .   This proof is similar to Hermite 's proof . Indeed ,    J n ( x ) = x 2 n + 1 ∫ − 1 1 ( 1 − z 2 ) n cos ⁡ ( x z ) d z = 2 x 2 n + 1 ∫ 0 1 ( 1 − z 2 ) n cos ⁡ ( x z ) d z = 2 n + 1 n ! A n ( x ) . ( \ displaystyle ( \ begin ( aligned ) J_ ( n ) ( x ) &amp; = x ^ ( 2n + 1 ) \ int _ ( - 1 ) ^ ( 1 ) ( 1 - z ^ ( 2 ) ) ^ ( n ) \ cos ( xz ) \ , dz \ \ &amp; = 2x ^ ( 2n + 1 ) \ int _ ( 0 ) ^ ( 1 ) ( 1 - z ^ ( 2 ) ) ^ ( n ) \ cos ( xz ) \ , dz \ \ &amp; = 2 ^ ( n + 1 ) n ! A_ ( n ) ( x ). \ end ( aligned ) ) )    However , it is clearly simpler . This is achieved by omiting the inductive definition of the functions A and taking as a starting point their expression as an integral .   Niven 's proof ( edit )   This proof uses the characterization of π as the smallest positive zero of the sine function .   Suppose that π is rational , i.e. π = a / b for some integers a and b ≠ 0 , which may be taken without loss of generality to be positive . Given any positive integer n , we define the polynomial function f from R into R defined by    f ( x ) = x n ( a − b x ) n n ! ( \ displaystyle f ( x ) = ( \ frac ( x ^ ( n ) ( a-bx ) ^ ( n ) ) ( n ! ) ) )    and , for each x ∈ R denote by    F ( x ) = f ( x ) − f '' ( x ) + f ( 4 ) ( x ) + ⋯ + ( − 1 ) n f ( 2 n ) ( x ) ( \ displaystyle F ( x ) = f ( x ) - f ' ' ( x ) + f ^ ( ( 4 ) ) ( x ) + \ cdots + ( - 1 ) ^ ( n ) f ^ ( ( 2n ) ) ( x ) )    the alternating sum of f and its first n derivatives of even order .   Claim 1 : F ( 0 ) + F ( π ) is an integer .   Proof : Expanding f as a sum of monomials , the coefficient of x is a number of the form c / n ! where c is an integer , which is 0 if k   On the other hand , f ( π -- x ) = f ( x ) and so ( -- 1 ) f ( π -- x ) = f ( x ) for each non-negative integer k . In particular , ( -- 1 ) f ( π ) = f ( 0 ) . Therefore , f ( π ) is also an integer and so F ( π ) is an integer ( in fact , it is easy to see that F ( π ) = F ( 0 ) , but that is not relevant to the proof ) . Since F ( 0 ) and F ( π ) are integers , so is their sum .   Claim 2 :    ∫ 0 π f ( x ) sin ⁡ ( x ) d x = F ( 0 ) + F ( π ) ( \ displaystyle \ int _ ( 0 ) ^ ( \ pi ) f ( x ) \ sin ( x ) \ , dx = F ( 0 ) + F ( \ pi ) )    Proof : Since f is the zero polynomial , we have    F '' + F = f . ( \ displaystyle F ' ' + F = f . )    The derivatives of the sine and cosine function are given by sin ' = cos and cos ' = − sin . Hence the product rule implies    ( F ′ ⋅ sin − F ⋅ cos ) ′ = f ⋅ sin ( \ displaystyle ( F ' \ cdot \ sin - F \ cdot \ cos ) ' = f \ cdot \ sin )    By the fundamental theorem of calculus    ∫ 0 π f ( x ) sin ⁡ ( x ) d x = ( F ′ ( x ) sin ⁡ x − F ( x ) cos ⁡ x ) 0 π . ( \ displaystyle \ left. \ int _ ( 0 ) ^ ( \ pi ) f ( x ) \ sin ( x ) \ , dx = ( \ bigl ( ) F ' ( x ) \ sin x-F ( x ) \ cos x ( \ bigr ) ) \ right _ ( 0 ) ^ ( \ pi ) . )    Since sin 0 = sin π = 0 and cos 0 = -- cos π = 1 ( here we use the above - mentioned characterization of π as a zero of the sine function ) , Claim 2 follows .   Conclusion : Since f ( x ) &gt; 0 and sin x &gt; 0 for 0    ∫ 0 π f ( x ) sin ⁡ ( x ) d x ≤ π ( π a ) n n ! ( \ displaystyle \ int _ ( 0 ) ^ ( \ pi ) f ( x ) \ sin ( x ) \ , dx \ leq \ pi ( \ frac ( ( \ pi a ) ^ ( n ) ) ( n ! ) ) )    which is smaller than 1 for large n , hence F ( 0 ) + F ( π )   The above proof is a polished version , which is kept as simple as possible concerning the prerequisites , of an analysis of the formula    ∫ 0 π f ( x ) sin ⁡ ( x ) d x = ∑ j = 0 n ( − 1 ) j ( f ( 2 j ) ( π ) + f ( 2 j ) ( 0 ) ) + ( − 1 ) n + 1 ∫ 0 π f ( 2 n + 2 ) ( x ) sin ⁡ ( x ) d x , ( \ displaystyle ( \ begin ( aligned ) \ int _ ( 0 ) ^ ( \ pi ) f ( x ) \ sin ( x ) \ , dx = ( ) &amp; \ sum _ ( j = 0 ) ^ ( n ) ( - 1 ) ^ ( j ) ( \ bigl ( ) f ^ ( ( 2j ) ) ( \ pi ) + f ^ ( ( 2j ) ) ( 0 ) ( \ bigr ) ) \ \ &amp; \ quad ( ) + ( - 1 ) ^ ( n + 1 ) \ int _ ( 0 ) ^ ( \ pi ) f ^ ( ( 2n + 2 ) ) ( x ) \ sin ( x ) \ , dx , \ end ( aligned ) ) )    which is obtained by 2n + 2 integrations by parts . Claim 2 essentially establishes this formula , where the use of F hides the iterated integration by parts . The last integral vanishes because f is the zero polynomial . Claim 1 shows that the remaining sum is an integer .   Niven 's proof is closer to Cartwright 's ( and therefore Hermite 's ) proof than it appears at first sight . In fact ,    J n ( x ) = x 2 n + 1 ∫ − 1 1 ( 1 − z 2 ) n cos ⁡ ( x z ) d z = ∫ − 1 1 ( x 2 − ( x z ) 2 ) n x cos ⁡ ( x z ) d z . ( \ displaystyle ( \ begin ( aligned ) J_ ( n ) ( x ) &amp; = x ^ ( 2n + 1 ) \ int _ ( - 1 ) ^ ( 1 ) ( 1 - z ^ ( 2 ) ) ^ ( n ) \ cos ( xz ) \ , dz \ \ &amp; = \ int _ ( - 1 ) ^ ( 1 ) ( \ bigl ( ) x ^ ( 2 ) - ( xz ) ^ ( 2 ) ( \ bigr ) ) ^ ( n ) x \ cos ( xz ) \ , dz. \ end ( aligned ) ) )    Therefore , the substitution xz = y turns this integral into    ∫ − x x ( x 2 − y 2 ) n cos ⁡ ( y ) d y . ( \ displaystyle \ int _ ( - x ) ^ ( x ) ( x ^ ( 2 ) - y ^ ( 2 ) ) ^ ( n ) \ cos ( y ) \ , dy . )    In particular ,    J n ( π 2 ) = ∫ − π / 2 π / 2 ( π 2 4 − y 2 ) n cos ⁡ ( y ) d y = ∫ 0 π ( π 2 4 − ( y − π 2 ) 2 ) n cos ⁡ ( y − π 2 ) d y = ∫ 0 π y n ( π − y ) n sin ⁡ ( y ) d y = n ! b n ∫ 0 π f ( x ) sin ⁡ ( x ) d x . ( \ displaystyle ( \ begin ( aligned ) J_ ( n ) \ left ( ( \ frac ( \ pi ) ( 2 ) ) \ right ) &amp; = \ int _ ( - \ pi / 2 ) ^ ( \ pi / 2 ) \ left ( ( \ frac ( \ pi ^ ( 2 ) ) ( 4 ) ) - y ^ ( 2 ) \ right ) ^ ( n ) \ cos ( y ) \ , dy \ \ &amp; = \ int _ ( 0 ) ^ ( \ pi ) \ left ( ( \ frac ( \ pi ^ ( 2 ) ) ( 4 ) ) - \ left ( y - ( \ frac ( \ pi ) ( 2 ) ) \ right ) ^ ( 2 ) \ right ) ^ ( n ) \ cos \ left ( y - ( \ frac ( \ pi ) ( 2 ) ) \ right ) \ , dy \ \ &amp; = \ int _ ( 0 ) ^ ( \ pi ) y ^ ( n ) ( \ pi - y ) ^ ( n ) \ sin ( y ) \ , dy \ \ &amp; = ( \ frac ( n ! ) ( b ^ ( n ) ) ) \ int _ ( 0 ) ^ ( \ pi ) f ( x ) \ sin ( x ) \ , dx. \ end ( aligned ) ) )    Another connection between the proofs lies in the fact that Hermite already mentions that if f is a polynomial function and    F = f − f ( 2 ) + f ( 4 ) ∓ ⋯ , ( \ displaystyle F = f-f ^ ( ( 2 ) ) + f ^ ( ( 4 ) ) \ mp \ cdots , )    then    ∫ f ( x ) sin ⁡ ( x ) d x = F ′ ( x ) sin ⁡ ( x ) − F ( x ) cos ⁡ ( x ) + C , ( \ displaystyle \ int f ( x ) \ sin ( x ) \ , dx = F ' ( x ) \ sin ( x ) - F ( x ) \ cos ( x ) + C , )    from which it follows that    ∫ 0 π f ( x ) sin ⁡ ( x ) d x = F ( π ) + F ( 0 ) . ( \ displaystyle \ int _ ( 0 ) ^ ( \ pi ) f ( x ) \ sin ( x ) \ , dx = F ( \ pi ) + F ( 0 ) . )    Bourbaki 's proof ( edit )   Bourbaki 's proof is outlined as an exercise in his Calculus treatise . For each natural number b and each non-negative integer n , define    A n ( b ) = b n ∫ 0 π x n ( π − x ) n n ! sin ⁡ ( x ) d x . ( \ displaystyle A_ ( n ) ( b ) = b ^ ( n ) \ int _ ( 0 ) ^ ( \ pi ) ( \ frac ( x ^ ( n ) ( \ pi - x ) ^ ( n ) ) ( n ! ) ) \ sin ( x ) \ , dx . )    Since A ( b ) is the integral of a function which defined on ( 0 , π ) that takes the value 0 on 0 and on π and which is greater than 0 otherwise , A ( b ) &gt; 0 . Besides , for each natural number b , A ( b )    x ( π − x ) ≤ ( π 2 ) 2 ( \ displaystyle x ( \ pi - x ) \ leq \ left ( ( \ frac ( \ pi ) ( 2 ) ) \ right ) ^ ( 2 ) )    and therefore    A n ( b ) ≤ π b n 1 n ! ( π 2 ) 2 n = π ( b π 2 / 4 ) n n ! . ( \ displaystyle A_ ( n ) ( b ) \ leq \ pi b ^ ( n ) ( \ frac ( 1 ) ( n ! ) ) \ left ( ( \ frac ( \ pi ) ( 2 ) ) \ right ) ^ ( 2n ) = \ pi ( \ frac ( ( b \ pi ^ ( 2 ) / 4 ) ^ ( n ) ) ( n ! ) ) . )    On the other hand , recursive integration by parts allows us to deduce that , if a and b are natural number such that π = a / b and f is the polynomial function from ( 0 , π ) into R defined by    f ( x ) = x n ( a − b x ) n n ! , ( \ displaystyle f ( x ) = ( \ frac ( x ^ ( n ) ( a-bx ) ^ ( n ) ) ( n ! ) ) , )    then :    A n ( b ) = ∫ 0 π f ( x ) sin ⁡ ( x ) d x = ( − f ( x ) cos ⁡ ( x ) ) x = 0 x = π − ( − f ′ ( x ) sin ⁡ ( x ) ) x = 0 x = π + ⋯ ⋯ ± ( f ( 2 n ) ( x ) cos ⁡ ( x ) ) x = 0 x = π ± ∫ 0 π f ( 2 n + 1 ) ( x ) cos ⁡ ( x ) d x . ( \ displaystyle ( \ begin ( aligned ) A_ ( n ) ( b ) = ( ) &amp; \ int _ ( 0 ) ^ ( \ pi ) f ( x ) \ sin ( x ) \ , dx \ \ ( 6pt ) = ( ) &amp; ( \ Big ( ) - f ( x ) \ cos ( x ) ( \ Big ) ) _ ( x = 0 ) ^ ( x = \ pi ) - ( \ Big ( ) - f ' ( x ) \ sin ( x ) ( \ Big ) ) _ ( x = 0 ) ^ ( x = \ pi ) + \ cdots \ \ ( 6pt ) &amp; \ qquad ( ) \ cdots \ pm \ left ( f ^ ( ( 2n ) ) ( x ) \ cos ( x ) \ right ) _ ( x = 0 ) ^ ( x = \ pi ) \ pm \ int _ ( 0 ) ^ ( \ pi ) f ^ ( ( 2n + 1 ) ) ( x ) \ cos ( x ) \ , dx. \ end ( aligned ) ) )    This last integral is 0 , since f is the null function ( because f is a polynomial function whose degree is 2n ) . Since each function f ( with 0 ≤ k ≤ 2n ) takes integer values on 0 and on π and since the same thing happens with the sine and the cosine functions , this proves that A ( b ) is an integer . Since it is also greater than 0 , it must be a natural number . But it was also proved that A ( b )   This proof is quite close to Niven 's proof , the main difference between them being the way of proving that the numbers A ( b ) are integers .   Laczkovich 's proof ( edit )   Miklós Laczkovich 's proof is a simplification of Lambert 's original proof . He considers the functions    f k ( x ) = 1 − x 2 k + x 4 2 ! k ( k + 1 ) − x 6 3 ! k ( k + 1 ) ( k + 2 ) + ⋯ ( k ∉ ( 0 , − 1 , − 2 , ... ) ) . ( \ displaystyle f_ ( k ) ( x ) = 1 - ( \ frac ( x ^ ( 2 ) ) ( k ) ) + ( \ frac ( x ^ ( 4 ) ) ( 2 ! k ( k + 1 ) ) ) - ( \ frac ( x ^ ( 6 ) ) ( 3 ! k ( k + 1 ) ( k + 2 ) ) ) + \ cdots \ quad ( k \ notin \ ( 0 , - 1 , - 2 , \ ldots \ ) ) . )    These functions are clearly defined for all x ∈ R. Besides    f 1 / 2 ( x ) = cos ⁡ ( 2 x ) and f 3 / 2 ( x ) = sin ⁡ ( 2 x ) 2 x . ( \ displaystyle f_ ( 1 / 2 ) ( x ) = \ cos ( 2x ) ( \ text ( and ) ) f_ ( 3 / 2 ) ( x ) = ( \ frac ( \ sin ( 2x ) ) ( 2x ) ) . )    Claim 1 : The following recurrence relation holds :    ( ∀ x ∈ R ) : x 2 k ( k + 1 ) f k + 2 ( x ) = f k + 1 ( x ) − f k ( x ) . ( \ displaystyle ( \ forall x \ in \ mathbb ( R ) ) : ( \ frac ( x ^ ( 2 ) ) ( k ( k + 1 ) ) ) f_ ( k + 2 ) ( x ) = f_ ( k + 1 ) ( x ) - f_ ( k ) ( x ) . )    Proof : This can be proved by comparing the coefficients of the powers of x .   Claim 2 : For each x ∈ R , lim k → + ∞ f k ( x ) = 1 . ( \ displaystyle \ lim _ ( k \ to + \ infty ) f_ ( k ) ( x ) = 1 . )   Proof : In fact , the sequence x / n ! is bounded ( since it converges to 0 ) and if C is an upper bound and if k &gt; 1 , then    f k ( x ) − 1 ⩽ ∑ n = 1 ∞ C k n = C 1 / k 1 − 1 / k = C k − 1 . ( \ displaystyle ( \ bigl ) f_ ( k ) ( x ) - 1 ( \ bigr ) \ leqslant \ sum _ ( n = 1 ) ^ ( \ infty ) ( \ frac ( C ) ( k ^ ( n ) ) ) = C ( \ frac ( 1 / k ) ( 1 - 1 / k ) ) = ( \ frac ( C ) ( k - 1 ) ) . )    Claim 3 : If x ≠ 0 and if x is rational , then    ( ∀ k ∈ Q ∖ ( 0 , − 1 , − 2 , ... ) ) : f k ( x ) ≠ 0 and f k + 1 ( x ) f k ( x ) ∉ Q . ( \ displaystyle ( \ forall k \ in \ mathbb ( Q ) \ setminus \ ( 0 , - 1 , - 2 , \ ldots \ ) ) : f_ ( k ) ( x ) \ neq 0 ( \ text ( and ) ) ( \ frac ( f_ ( k + 1 ) ( x ) ) ( f_ ( k ) ( x ) ) ) \ notin \ mathbb ( Q ) . )    Proof : Otherwise , there would be a number y ≠ 0 and integers a and b such that f ( x ) = ay and f ( x ) = by . In order to see why , take y = f ( x ) , a = 0 and b = 1 if f ( x ) = 0 ; otherwise , choose integers a and b such that f ( x ) / f ( x ) = b / a and define y = f ( x ) / a = f ( x ) / b . In each case , y can not be 0 , because otherwise it would follow from claim 1 that each f ( x ) ( n ∈ N ) would be 0 , which would contradict claim 2 . Now , take a natural number c such that all three numbers bc / k , ck / x and c / x are integers and consider the sequence    g n = ( f k ( x ) if n = 0 c n k ( k + 1 ) ⋯ ( k + n − 1 ) f k + n ( x ) otherwise . ( \ displaystyle g_ ( n ) = ( \ begin ( cases ) f_ ( k ) ( x ) &amp; ( \ text ( if ) ) n = 0 \ \ ( \ dfrac ( c ^ ( n ) ) ( k ( k + 1 ) \ cdots ( k + n - 1 ) ) ) f_ ( k + n ) ( x ) &amp; ( \ text ( otherwise . ) ) \ end ( cases ) ) )    Then    g 0 = f k ( x ) = a y ∈ Z y and g 1 = c k f k + 1 ( x ) = b c k y ∈ Z y . ( \ displaystyle g_ ( 0 ) = f_ ( k ) ( x ) = ay \ in \ mathbb ( Z ) y ( \ text ( and ) ) g_ ( 1 ) = ( \ frac ( c ) ( k ) ) f_ ( k + 1 ) ( x ) = ( \ frac ( bc ) ( k ) ) y \ in \ mathbb ( Z ) y . )    On the other hand , it follows from claim 1 that    g n + 2 = c n + 2 x 2 k ( k + 1 ) ⋯ ( k + n − 1 ) ⋅ x 2 ( k + n ) ( k + n + 1 ) f k + n + 2 ( x ) = c n + 2 x 2 k ( k + 1 ) ⋯ ( k + n − 1 ) f k + n + 1 ( x ) − c n + 2 x 2 k ( k + 1 ) ⋯ ( k + n − 1 ) f k + n ( x ) = c ( k + n ) x 2 g n + 1 − c 2 x 2 g n = ( c k x 2 + c x 2 n ) g n + 1 − c 2 x 2 g n , ( \ displaystyle ( \ begin ( aligned ) g_ ( n + 2 ) &amp; = ( \ frac ( c ^ ( n + 2 ) ) ( x ^ ( 2 ) k ( k + 1 ) \ cdots ( k + n - 1 ) ) ) \ cdot ( \ frac ( x ^ ( 2 ) ) ( ( k + n ) ( k + n + 1 ) ) ) f_ ( k + n + 2 ) ( x ) \ \ ( 5pt ) &amp; = ( \ frac ( c ^ ( n + 2 ) ) ( x ^ ( 2 ) k ( k + 1 ) \ cdots ( k + n - 1 ) ) ) f_ ( k + n + 1 ) ( x ) - ( \ frac ( c ^ ( n + 2 ) ) ( x ^ ( 2 ) k ( k + 1 ) \ cdots ( k + n - 1 ) ) ) f_ ( k + n ) ( x ) \ \ ( 5pt ) &amp; = ( \ frac ( c ( k + n ) ) ( x ^ ( 2 ) ) ) g_ ( n + 1 ) - ( \ frac ( c ^ ( 2 ) ) ( x ^ ( 2 ) ) ) g_ ( n ) \ \ ( 5pt ) &amp; = \ left ( ( \ frac ( ck ) ( x ^ ( 2 ) ) ) + ( \ frac ( c ) ( x ^ ( 2 ) ) ) n \ right ) g_ ( n + 1 ) - ( \ frac ( c ^ ( 2 ) ) ( x ^ ( 2 ) ) ) g_ ( n ) , \ end ( aligned ) ) )    which is a linear combination of g and g with integer coefficients . Therefore , each g is an integer multiple of y . Besides , it follows from claim 2 that each g is greater than 0 ( and therefore that g ≥ y ) if n is large enough and that the sequence of all g 's converges to 0 . But a sequence of numbers greater than or equal to y can not converge to 0 .   Since f ( π / 4 ) = cos ( π / 2 ) = 0 , it follows from claim 3 that π / 16 is irrational and therefore that π is irrational .   On the other hand , since    tan ⁡ x = sin ⁡ x cos ⁡ x = x f 3 / 2 ( x / 2 ) f 1 / 2 ( x / 2 ) , ( \ displaystyle \ tan x = ( \ frac ( \ sin x ) ( \ cos x ) ) = x ( \ frac ( f_ ( 3 / 2 ) ( x / 2 ) ) ( f_ ( 1 / 2 ) ( x / 2 ) ) ) , )    another consequence of claim 3 is that , if x ∈ Q \ ( 0 ) , then tan x is irrational .   Laczkovich 's proof is really about the hypergeometric function . In fact , f ( x ) = F ( k ; − x ) and Gauss found a continued fraction expansion of the hypergeometric function using its functional equation . This allowed Laczkovich to find a new and simpler proof of the fact that the tangent function has the continued fraction expansion that Lambert had discovered .   Laczkovich 's result can also be expressed in Bessel functions of the first kind J ( x ) . In fact , Γ ( k ) J ( 2x ) = x f ( x ) . So Laczkovich 's result is equivalent to : If x ≠ 0 and if x is rational , then    ( ∀ k ∈ Q ∖ ( 0 , − 1 , − 2 , ... ) ) : x J k ( x ) J k − 1 ( x ) ∉ Q . ( \ displaystyle ( \ forall k \ in \ mathbb ( Q ) \ setminus \ ( 0 , - 1 , - 2 , \ ldots \ ) ) : ( \ frac ( xJ_ ( k ) ( x ) ) ( J_ ( k - 1 ) ( x ) ) ) \ notin \ mathbb ( Q ) . )    See also ( edit )    Proof that e is irrational   Proof that π is transcendental    References ( edit )    Jump up ^ Lindemann , Ferdinand von ( 2004 ) ( 1882 ) , `` Ueber die Zahl π '' , in Berggren , Lennart ; Borwein , Jonathan M. ; Borwein , Peter B. , Pi , a source book ( 3rd ed . ) , New York : Springer - Verlag , pp. 194 -- 225 , ISBN 0 - 387 - 20571 - 3   Jump up ^ Lambert , Johann Heinrich ( 2004 ) ( 1768 ) , `` Mémoire sur quelques propriétés remarquables des quantités transcendantes circulaires et logarithmiques '' , in Berggren , Lennart ; Borwein , Jonathan M. ; Borwein , Peter B. , Pi , a source book ( 3rd ed . ) , New York : Springer - Verlag , pp. 129 -- 140 , ISBN 0 - 387 - 20571 - 3   ^ Jump up to : Hermite , Charles ( 1873 ) , `` Extrait d'une lettre de Monsieur Ch . Hermite à Monsieur Paul Gordan '' , Journal für die reine und angewandte Mathematik ( in French ) , 76 , pp. 303 -- 311   Jump up ^ Hermite , Charles ( 1873 ) , `` Extrait d'une lettre de Mr. Ch . Hermite à Mr. Carl Borchardt '' , Journal für die reine und angewandte Mathematik ( in French ) , 76 , pp. 342 -- 344   Jump up ^ Hermite , Charles ( 1912 ) ( 1873 ) , `` Sur la fonction exponentielle '' , in Picard , Émile , Œuvres de Charles Hermite ( in French ) , III , Gauthier - Villars , pp. 150 -- 181   ^ Jump up to : Zhou , Li ( 2011 ) , `` Irrationality proofs à la Hermite '' , Math . Gazette ( November ) , arXiv : 0911.1929 , Bibcode : 2009arXiv0911. 1929Z   Jump up ^ Jeffreys , Harold ( 1973 ) , Scientific Inference ( 3rd ed . ) , Cambridge University Press , p. 268 , ISBN 0 - 521 - 08446 - 6   Jump up ^ Niven , Ivan ( 1947 ) , `` A simple proof that π is irrational '' ( PDF ) , Bulletin of the American Mathematical Society , 53 ( 6 ) , p. 509 , doi : 10.1090 / s0002 - 9904 - 1947 - 08821 - 2   Jump up ^ Bourbaki , Nicolas ( 1949 ) , Fonctions d'une variable réelle , chap . I -- II -- III , Actualités Scientifiques et Industrielles ( in French ) , 1074 , Hermann , pp. 137 -- 138   Jump up ^ Laczkovich , Miklós ( 1997 ) , `` On Lambert 's proof of the irrationality of π '' , American Mathematical Monthly , 104 ( 5 ) , pp. 439 -- 443 , doi : 10.2307 / 2974737 , JSTOR 2974737   Jump up ^ Gauss , Carl Friedrich ( 1811 -- 1813 ) , `` Disquisitiones generales circa seriem infinitam '' , Commentationes Societatis Regiae Scientiarum Gottingensis recentiores ( in Latin ) , 2   Retrieved from `` https://en.wikipedia.org/w/index.php?title= Proof_that_π_is_irrational&amp;oldid = 846728306 '' Categories :   Pi   Article proofs   Hidden categories :   CS1 French - language sources ( fr )   CS1 Latin - language sources ( la )           Talk                                           Contents                   About Wikipedia                                             Español   </t>
    </r>
    <r>
      <rPr>
        <sz val="11"/>
        <color rgb="FF000000"/>
        <rFont val="Noto Sans CJK SC"/>
        <family val="2"/>
      </rPr>
      <t xml:space="preserve">한국어   </t>
    </r>
    <r>
      <rPr>
        <sz val="11"/>
        <color rgb="FF000000"/>
        <rFont val="Calibri"/>
        <family val="0"/>
        <charset val="1"/>
      </rPr>
      <t xml:space="preserve">Italiano   Magyar   </t>
    </r>
    <r>
      <rPr>
        <sz val="11"/>
        <color rgb="FF000000"/>
        <rFont val="Noto Sans CJK SC"/>
        <family val="2"/>
      </rPr>
      <t xml:space="preserve">日本 語   </t>
    </r>
    <r>
      <rPr>
        <sz val="11"/>
        <color rgb="FF000000"/>
        <rFont val="Calibri"/>
        <family val="0"/>
        <charset val="1"/>
      </rPr>
      <t xml:space="preserve">ଓଡ଼ିଆ   Português   Edit links   This page was last edited on 20 June 2018 , at 14 : 49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</si>
  <si>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does it mean that pi is an irrational number</t>
  </si>
  <si>
    <t xml:space="preserve"> In the 18th century , Johann Heinrich Lambert proved that the number π ( pi ) is irrational : that is , it can not be expressed as a fraction a / b , where a is an integer and b is a non-zero integer . In the 19th century , Charles Hermite found a proof that requires no prerequisite knowledge beyond basic calculus . Three simplifications of Hermite 's proof are due to Mary Cartwright , Ivan Niven , and Nicolas Bourbaki . Another proof , which is a simplification of Lambert 's proof , is due to Miklós Laczkovich . </t>
  </si>
  <si>
    <t xml:space="preserve">Whiskey Rebellion - Wikipedia  Whiskey Rebellion  Jump to : navigation , search    Whiskey Rebellion     George Washington reviews the troops near Fort Cumberland , Maryland , before their march to suppress the Whiskey Rebellion in western Pennsylvania .        Date   1791 -- 1794     Location   primarily Western Pennsylvania     Result    Government victory    Armed resistance eliminated   Minor tax evasion          Belligerents     Frontier tax protesters   United States     Commanders and leaders     Unknown , possibly none   George Washington     Casualties and losses     3 -- 4 killed 170 captured   None killed in action ; About 12 died from illness or in accidents     2 civilian casualties               Whiskey Rebellion       Johnson Incident   Battle of Bower Hill   Pittsburgh Expedition   Western Pennsylvania Expedition   Hagerstown Riot       The Whiskey Rebellion ( also known as the Whiskey Insurrection ) was a tax protest in the United States beginning in 1791 during the presidency of George Washington . The so - called `` whiskey tax '' was the first tax imposed on a domestic product by the newly formed federal government . It became law in 1791 , and was intended to generate revenue for the war debt incurred during the Revolutionary War . The tax applied to all distilled spirits , but American whiskey was by far the country 's most popular distilled beverage in the 18th century , so the excise became widely known as a `` whiskey tax '' . Farmers of the western frontier were accustomed to distilling their surplus rye , barley , wheat , corn , or fermented grain mixtures into whiskey . These farmers resisted the tax . In these regions , whiskey often served as a medium of exchange . Many of the resisters were war veterans who believed that they were fighting for the principles of the American Revolution , in particular against taxation without local representation , while the federal government maintained that the taxes were the legal expression of Congressional taxation powers .   Throughout Western Pennsylvania counties , protesters used violence and intimidation to prevent federal officials from collecting the tax . Resistance came to a climax in July 1794 , when a U.S. marshal arrived in western Pennsylvania to serve writs to distillers who had not paid the excise . The alarm was raised , and more than 500 armed men attacked the fortified home of tax inspector General John Neville . Washington responded by sending peace commissioners to western Pennsylvania to negotiate with the rebels , while at the same time calling on governors to send a militia force to enforce the tax . Washington himself rode at the head of an army to suppress the insurgency , with 13,000 militiamen provided by the governors of Virginia , Maryland , New Jersey , and Pennsylvania . The rebels all went home before the arrival of the army , and there was no confrontation . About 20 men were arrested , but all were later acquitted or pardoned . Most distillers in nearby Kentucky were found to be all but impossible to tax -- in the next six years , over 175 distillers from Kentucky were convicted of violating the tax law . Numerous examples of resistance are recorded in court documents and newspaper accounts .   The Whiskey Rebellion demonstrated that the new national government had the will and ability to suppress violent resistance to its laws , though the whiskey excise remained difficult to collect . The events contributed to the formation of political parties in the United States , a process already underway . The whiskey tax was repealed in the early 1800s during the Jefferson administration .     Contents  ( hide )   1 Whiskey tax   2 Western grievances   3 Resistance   4 Insurrection   4.1 Battle of Bower Hill   4.2 March on Pittsburgh   4.3 Meeting at Whiskey Point   4.4 Federal response   4.4. 1 Negotiations   4.4. 2 Militia expedition     4.5 Aftermath     5 Legacy   5.1 In popular culture     6 Research materials   7 See also   8 Notes   9 Bibliography   10 Further reading   11 External links      Whiskey tax  Alexander Hamilton in a 1792 portrait by John Trumbull  A new U.S. federal government began operating in 1789 , following the ratification of the United States Constitution . The previous central government under the Articles of Confederation had been unable to levy taxes ; it had borrowed money to meet expenses and fund the Revolution , accumulating $54 million in debt . The state governments had amassed an additional $25 million in debt . Secretary of the Treasury Alexander Hamilton sought to use this debt to create a financial system that would promote American prosperity and national unity . In his Report on Public Credit , he urged Congress to consolidate the state and national debts into a single debt that would be funded by the federal government . Congress approved these measures in June and July 1790 .   A source of government revenue was needed to pay the respectable amount due to the previous bondholders to whom the debt was owed . By December 1790 , Hamilton believed that import duties , which were the government 's primary source of revenue , had been raised as high as feasible . He therefore promoted passage of an excise tax on domestically produced distilled spirits . This was to be the first tax levied by the national government on a domestic product . Whiskey was by far the most popular distilled beverage in late 18th - century America , so the excise became known as the `` whiskey tax . '' Taxes were politically unpopular , and Hamilton believed that the whiskey excise was a luxury tax and would be the least objectionable tax that the government could levy . In this , he had the support of some social reformers , who hoped that a `` sin tax '' would raise public awareness about the harmful effects of alcohol . The whiskey excise act , sometimes known as the `` Whiskey Act '' , became law in March 1791 . George Washington defined the revenue districts , appointed the revenue supervisors and inspectors , and set their pay in November 1791 .   Western grievances   The population of Western Pennsylvania was 17,000 in 1790 . Among the farmers in the region , the whiskey excise was immediately controversial , with many people on the frontier arguing that it unfairly targeted westerners . Whiskey was a popular drink , and farmers often supplemented their incomes by operating small stills . Farmers living west of the Appalachian Mountains distilled their excess grain into whiskey , which was easier and more profitable to transport over the mountains than the more cumbersome grain . A whiskey tax would make western farmers less competitive with eastern grain producers . Additionally , cash was always in short supply on the frontier , so whiskey often served as a medium of exchange . For poorer people who were paid in whiskey , the excise was essentially an income tax that wealthier easterners did not pay .   Small - scale farmers also protested that Hamilton 's excise effectively gave unfair tax breaks to large distillers , most of whom were based in the east . There were two methods of paying the whiskey excise : paying a flat fee or paying by the gallon . Large distillers produced whiskey in volume and could afford the flat fee . The more efficient they became , the less tax per gallon they would pay ( as low as 6 cents , according to Hamilton ) . Western farmers who owned small stills did not usually operate them year - round at full capacity , so they ended up paying a higher tax per gallon ( 9 cents ) , which made them less competitive . The regressive nature of the tax was further compounded by an additional factor : whiskey sold for considerably less on the cash - poor Western frontier than in the wealthier and more populous East . This meant that , even if all distillers had been required to pay the same amount of tax per gallon , the small - scale frontier distillers would still have to remit a considerably larger proportion of their product 's value than larger Eastern distillers . Small - scale distillers believed that Hamilton deliberately designed the tax to ruin them and promote big business , a view endorsed by some historians . However , historian Thomas Slaughter argued that a `` conspiracy of this sort is difficult to document '' . Whether by design or not , large distillers recognized the advantage that the excise gave them and they supported it .   Other aspects of the excise law also caused concern . The law required all stills to be registered , and those cited for failure to pay the tax had to appear in distant Federal , rather than local courts . The only Federal courthouse was in Philadelphia , some 300 miles away from the small frontier settlement of Pittsburgh . From the beginning , the Federal government had little success in collecting the whiskey tax along the frontier . Many small western distillers simply refused to pay the tax . Federal revenue officers and local residents who assisted them bore the brunt of the protester 's ire . Tax rebels harassed several whiskey tax collectors and threatened or beat those who offered them office space or housing . As a result , many western counties never had a resident Federal tax official .   In addition to the whiskey tax , westerners had a number of other grievances with the national government , chief among which was the perception that the government was not adequately protecting the residents living in western frontier . The Northwest Indian War was going badly for the United States , with major losses in 1791 . Furthermore , westerners were prohibited by Spain ( which then owned Louisiana ) from using the Mississippi River for commercial navigation . Until these issues were addressed , westerners felt that the government was ignoring their security and economic welfare . Adding the whiskey excise to these existing grievances only increased tensions on the frontier .   Resistance   Many residents of the western frontier petitioned against passage of the whiskey excise . When that failed , some western Pennsylvanians organized extralegal conventions to advocate repeal of the law . Opposition to the tax was particularly prevalent in four southwestern counties : Allegheny , Fayette , Washington , and Westmoreland . A preliminary meeting held on July 27 , 1791 at Redstone Old Fort in Fayette County called for the selection of delegates to a more formal assembly , which convened in Pittsburgh in early September 1791 . The Pittsburgh convention was dominated by moderates such as Hugh Henry Brackenridge , who hoped to prevent the outbreak of violence . The convention sent a petition for redress of grievances to the Pennsylvania Assembly and the U.S House of Representatives , both located in Philadelphia . As a result of this and other petitions , the excise law was modified in May 1792 . Changes included a 1 - cent reduction in the tax that was advocated by William Findley , a congressman from western Pennsylvania , but the new excise law was still unsatisfactory to many westerners .  `` Famous Whiskey Insurrection in Pennsylvania '' , an 1880 illustration of a tarred and feathered tax collector being made to ride the rail  Appeals to nonviolent resistance were unsuccessful . On September 11 , 1791 , a recently appointed tax collector named Robert Johnson was tarred and feathered by a disguised gang in Washington County . A man sent by officials to serve court warrants to Johnson 's attackers was whipped , tarred , and feathered . Because of these and other violent attacks , the tax went uncollected in 1791 and early 1792 . The attackers modeled their actions on the protests of the American Revolution . Supporters of the excise argued that there was a difference between taxation without representation in colonial America , and a tax laid by the elected representatives of the American people .   Older accounts of the Whiskey Rebellion portrayed it as being confined to western Pennsylvania , yet there was opposition to the whiskey tax in the western counties of every other state in Appalachia ( Maryland , Virginia , North Carolina , South Carolina , and Georgia ) . The whiskey tax went uncollected throughout the frontier state of Kentucky , where no one could be convinced to enforce the law or prosecute evaders . In 1792 , Hamilton advocated military action to suppress violent resistance in western North Carolina , but Attorney General Edmund Randolph argued that there was insufficient evidence to legally justify such a reaction .   In August 1792 , a second convention was held in Pittsburgh to discuss resistance to the whiskey tax . This meeting was more radical than the first convention ; moderates such as Brackenridge and Findley were not in attendance . Future Secretary of the Treasury Albert Gallatin was one moderate who did attend , to his later regret . A militant group known as the Mingo Creek Association dominated the convention and issued radical demands . As some of them had done in the American Revolution , they raised liberty poles , formed committees of correspondence , and took control of the local militia . They created an extralegal court and discouraged lawsuits for debt collection and foreclosures .   Hamilton regarded the second Pittsburgh convention as a serious threat to the operation of the laws of the federal government . In September 1792 , he sent Pennsylvania tax official George Clymer to western Pennsylvania to investigate . Clymer only increased tensions with a clumsy attempt at traveling in disguise and attempting to intimidate local officials . His somewhat exaggerated report greatly influenced the decisions made by the Washington administration . Washington and Hamilton viewed resistance to federal laws in Pennsylvania as particularly embarrassing , since the national capital was then located in the same state . On his own initiative , Hamilton drafted a presidential proclamation denouncing resistance to the excise laws and submitted it to Attorney General Randolph , who toned down some of the language . Washington signed the proclamation on September 15 , 1792 , and it was published as a broadside and printed in many newspapers .   Federal tax inspector for western Pennsylvania General John Neville was determined to enforce the excise law . He was a prominent politician and wealthy planter -- and also a large - scale distiller . He had initially opposed the whiskey tax , but subsequently changed his mind , a reversal that angered some western Pennsylvanians . In August 1792 , Neville rented a room in Pittsburgh for his tax office , but the landlord turned him out after being threatened with violence by the Mingo Creek Association . From this point on , tax collectors were not the only people targeted in Pennsylvania ; those who cooperated with federal tax officials also faced harassment . Anonymous notes and newspaper articles signed by `` Tom the Tinker '' threatened those who complied with the whiskey tax . Those who failed to heed the warnings might have their barns burned or their stills destroyed .   Resistance to the excise tax continued through 1793 in the frontier counties of Appalachia . Opposition remained especially strident in western Pennsylvania . In June , Neville was burned in effigy by a crowd of about 100 people in Washington County . On the night of November 22 , 1793 , men broke into the home of tax collector Benjamin Wells in Fayette County . Wells was , like Neville , one of the wealthier men in the region . At gunpoint , the intruders forced him to surrender his commission . President Washington offered a reward for the arrest of the assailants , to no avail .   Insurrection  In his 1796 book , Congressman William Findley argued that Alexander Hamilton had deliberately provoked the Whiskey Rebellion .  The resistance came to a climax in 1794 . In May of that year , federal district attorney William Rawle issued subpoenas for more than 60 distillers in Pennsylvania who had not paid the excise tax . Under the law then in effect , distillers who received these writs would be obligated to travel to Philadelphia to appear in federal court . For farmers on the western frontier , such a journey was expensive , time - consuming , and beyond their means . At the urging of William Findley , Congress modified this law on June 5 , 1794 , allowing excise trials to be held in local state courts . But by that time , U.S. marshal David Lenox had already been sent to serve the writs summoning delinquent distillers to Philadelphia . Attorney General William Bradford later maintained that the writs were meant to compel compliance with the law , and that the government did not actually intend to hold trials in Philadelphia .   The timing of these events later proved to be controversial . Findley was a bitter political foe of Hamilton , and he maintained in his book on the insurrection that the treasury secretary had deliberately provoked the uprising by issuing the subpoenas just before the law was made less onerous . In 1963 , historian Jacob Cooke , an editor of Hamilton 's papers , regarded this charge as `` preposterous '' , calling it a `` conspiracy thesis '' that overstated Hamilton 's control of the federal government . In 1986 , historian Thomas Slaughter argued that the outbreak of the insurrection at this moment was due to `` a string of ironic coincidences '' , although `` the question about motives must always remain '' . In 2006 , William Hogeland argued that Hamilton , Bradford , and Rawle intentionally pursued a course of action that would provoke `` the kind of violence that would justify federal military suppression '' . According to Hogeland , Hamilton had been working towards this moment since the Newburgh Crisis in 1783 , where he conceived of using military force to crush popular resistance to direct taxation for the purpose of promoting national unity and enriching the creditor class at the expense of common taxpayers . Historian S.E. Morison believed that Hamilton , in general , wished to enforce the excise law `` more as a measure of social discipline than as a source of revenue '' .   Battle of Bower Hill   Federal Marshal Lenox delivered most of the writs without incident . On July 15 , he was joined on his rounds by General Neville , who had offered to act as his guide in Allegheny County . That evening , warning shots were fired at the men at the Miller farm , about 10 mi ( 16 km ) south of Pittsburgh . Neville returned home while Lenox retreated to Pittsburgh .   On July 16 , at least 30 Mingo Creek militiamen surrounded Neville 's fortified home of Bower Hill . They demanded the surrender of the federal marshal , whom they believed to be inside . Neville responded by firing a gunshot that mortally wounded Oliver Miller , one of the `` rebels '' . The rebels opened fire but were unable to dislodge Neville , who had his slaves ' help to defend the house . The rebels retreated to nearby Couch 's Fort to gather reinforcements .   The next day , the rebels returned to Bower Hill . Their force had swelled to nearly 600 men , now commanded by Major James McFarlane , a veteran of the Revolutionary War . Neville had also received reinforcements : 10 U.S. Army soldiers from Pittsburgh under the command of Major Abraham Kirkpatrick , Neville 's brother - in - law . Before the rebel force arrived , Kirkpatrick had Neville leave the house and hide in a nearby ravine . David Lenox and General Neville 's son Presley Neville also returned to the area , though they could not get into the house and were captured by the rebels .   Following some fruitless negotiations , the women and children were allowed to leave the house , and then both sides began firing . After about an hour , McFarlane called a ceasefire ; according to some , a white flag had been waved in the house . As McFarlane stepped into the open , a shot rang out from the house , and he fell mortally wounded . The enraged rebels then set fire to the house , including the slave quarters , and Kirkpatrick surrendered . The number of casualties at Bower Hill is unclear ; McFarlane and one or two other militiamen were killed ; one U.S. soldier may have died from wounds received in the fight . The rebels sent the U.S. soldiers away . Kirkpatrick , Lenox , and Presley Neville were kept as prisoners , but they later escaped .   March on Pittsburgh  Portrait of Hugh Henry Brackenridge , a western opponent of the whiskey tax who tried to prevent violent resistance  McFarlane was given a hero 's funeral on July 18 . His `` murder '' , as the rebels saw it , further radicalized the countryside . Moderates such as Brackenridge were hard - pressed to restrain the populace . Radical leaders emerged , such as David Bradford , urging violent resistance . On July 26 , a group headed by Bradford robbed the U.S. mail as it left Pittsburgh , hoping to discover who in that town opposed them and finding several letters that condemned the rebels . Bradford and his band called for a military assembly to meet at Braddock 's Field , about 8 mi ( 13 km ) east of Pittsburgh .   On August 1 , about 7,000 people gathered at Braddock 's Field . The crowd consisted primarily of poor people who owned no land , and most did not own whiskey stills . The furor over the whiskey excise had unleashed anger about other economic grievances . By this time , the victims of violence were often wealthy property owners who had no connection to the whiskey tax . Some of the most radical protesters wanted to march on Pittsburgh , which they called `` Sodom '' , loot the homes of the wealthy , and then burn the town to the ground . Others wanted to attack Fort Fayette . There was praise for the French Revolution and calls for bringing the guillotine to America . David Bradford , it was said , was comparing himself to Robespierre , a leader of the French Reign of Terror .   At Braddock 's Field , there was talk of declaring independence from the United States and of joining with Spain or Great Britain . Radicals flew a specially designed flag that proclaimed their independence . The flag had six stripes , one for each county represented at the gathering : the Pennsylvania counties of Allegheny , Bedford , Fayette , Washington , and Westmoreland , and Virginia 's Ohio County .   Pittsburgh citizens helped to defuse the threat by banishing three men whose intercepted letters had given offense to the rebels , and by sending a delegation to Braddock 's Field that expressed support for the gathering . Brackenridge prevailed upon the crowd to limit the protest to a defiant march through the town . In Pittsburgh , Major Kirkpatrick 's barns were burned , but nothing else .   Meeting at Whiskey Point   Whiskey Point   Pennsylvania Historical Marker signification     Location   Main Street between First Street &amp; Park Avenue Monongahela       40 ° 12 ′ 01 '' N 79 ° 55 ′ 21 '' W ﻿ / ﻿ 40.2002 ° N 79.9226 ° W ﻿ / 40.2002 ; - 79.9226     PA marker dedicated   May 26 , 1949     A convention was held on August 14 of 226 whiskey rebels from the six counties , held at Parkison 's Ferry ( now known as Whiskey Point ) in present - day Monongahela . The convention considered resolutions which were drafted by Brackenridge , Gallatin , David Bradford , and an eccentric preacher named Herman Husband , a delegate from Bedford County . Husband was a well - known local figure and a radical champion of democracy who had taken part in the Regulator movement in North Carolina 25 years earlier . The Parkison 's Ferry convention also appointed a committee to meet with the peace commissioners who had been sent west by President Washington . There , Gallatin presented an eloquent speech in favor of peace and against proposals from Bradford to further revolt .   Federal response   President Washington was confronted with what appeared to be an armed insurrection in western Pennsylvania , and he proceeded cautiously while determined to maintain governmental authority . He did not want to alienate public opinion , so he asked his cabinet for written opinions about how to deal with the crisis . The cabinet recommended the use of force , except for Secretary of State Edmund Randolph who urged reconciliation . Washington did both : he sent commissioners to meet with the rebels while raising a militia army . Washington privately doubted that the commissioners could accomplish anything , and believed that a military expedition would be needed to suppress further violence . For this reason , historians have sometimes charged that the peace commission was sent only for the sake of appearances , and that the use of force was never in doubt . Historians Stanley Elkins and Eric McKitrick argued that the military expedition was `` itself a part of the reconciliation process '' , since a show of overwhelming force would make further violence less likely .   Meanwhile , Hamilton began publishing essays under the name of `` Tully '' in Philadelphia newspapers , denouncing mob violence in western Pennsylvania and advocating military action . Democratic - Republican Societies had been formed throughout the country , and Washington and Hamilton believed that they were the source of civic unrest . `` Historians are not yet agreed on the exact role of the societies '' in the Whiskey Rebellion , wrote historian Mark Spencer in 2003 , `` but there was a degree of overlap between society membership and the Whiskey Rebels '' .   Before troops could be raised , the Militia Act of 1792 required a justice of the United States Supreme Court to certify that law enforcement was beyond the control of local authorities . On August 4 , 1794 , Justice James Wilson delivered his opinion that western Pennsylvania was in a state of rebellion . On August 7 , Washington issued a presidential proclamation announcing , with `` the deepest regret '' , that the militia would be called out to suppress the rebellion . He commanded insurgents in western Pennsylvania to disperse by September 1 .  Negotiations  In early August 1794 , Washington dispatched three commissioners to the west , all of them Pennsylvanians : Attorney General William Bradford , Justice Jasper Yeates of the Pennsylvania Supreme Court , and Senator James Ross . Beginning on August 21 , the commissioners met with a committee of westerners that included Brackenridge and Gallatin . The government commissioners told the committee that it must unanimously agree to renounce violence and submit to U.S. laws , and that a popular referendum must be held to determine if the local people supported the decision . Those who agreed to these terms would be given amnesty from further prosecution .   The committee was divided between radicals and moderates , and narrowly passed a resolution agreeing to submit to the government 's terms . The popular referendum was held on September 11 and also produced mixed results . Some townships overwhelmingly supported submitting to U.S. law , but opposition to the government remained strong in areas where poor and landless people predominated . The final report of the commissioners recommended the use of the military to enforce the laws . The trend was towards submission , however , and westerners dispatched representatives William Findley and David Redick to meet with Washington and to halt the progress of the oncoming army . Washington and Hamilton declined , arguing that violence was likely to re-emerge if the army turned back .  Militia expedition  Under the authority of the recently passed federal militia law , the state militias were called up by the governors of New Jersey , Maryland , Virginia , and Pennsylvania . The federalized militia force of 12,950 men was a large army by American standards of the time , comparable to Washington 's armies during the Revolution . Relatively few men volunteered for militia service , so a draft was used to fill out the ranks . Draft evasion was widespread , and conscription efforts resulted in protests and riots , even in eastern areas . Three counties in eastern Virginia were the scenes of armed draft resistance . In Maryland , Governor Thomas Sim Lee sent 800 men to quash an antidraft riot in Hagerstown ; about 150 people were arrested .  Photo of Albert Gallatin , who spoke publicly to rebel groups about the need for moderation  Liberty poles were raised in various places as the militia was recruited , worrying federal officials . A liberty pole was raised in Carlisle , Pennsylvania on September 11 , 1794 . The federalized militia arrived in that town later that month and rounded up suspected pole - raisers . Two civilians were killed in these operations . On September 29 , an unarmed boy was shot by an officer whose pistol accidentally fired . Two days later , an `` Itinerant Person '' was `` Bayoneted '' to death by a soldier while resisting arrest ( the man had tried to wrest the rifle from the soldier he confronted ; it is possible he had been a member of a 500 - strong Irish work crew nearby who were `` digging , a canal into the Sculkill '' ( sic ) ; at least one of that work gang 's members protested the killing so vigorously that he was `` put under guard '' ) . President Washington ordered the arrest of the two soldiers and had them turned over to civilian authorities . A state judge determined that the deaths had been accidental , and the soldiers were released .   In October 1794 , Washington traveled west to review the progress of the military expedition . According to historian Joseph Ellis , this was `` the first and only time a sitting American president led troops in the field '' . Jonathan Forman led the Third Infantry Regiment of New Jersey troops against the Whiskey Rebellion , he wrote about his encounter with Washington :   October 3d Marched early in the morning for Harrisburgh , where we arrived about 12 O'clock . About 1 O'Clock recd . information of the Presidents approach on which , I had the regiment paraded , timely for his reception , &amp; considerably to my satisfaction . Being afterwards invited to his quarters he made enquiry into the circumstances of the man ( an incident between an `` Itinerant Person '' and `` an Old Soldier '' mentioned earlier in the journal ( p. 3 ) ) &amp; seemed satisfied with the information .   Washington met with the western representatives in Bedford , Pennsylvania on October 9 before going to Fort Cumberland in Maryland to review the southern wing of the army . He was convinced that the federalized militia would meet little resistance , and he placed the army under the command of the Virginia Governor Henry `` Lighthorse Harry '' Lee , a hero of the Revolutionary War . Washington returned to Philadelphia ; Hamilton remained with the army as civilian adviser .   Daniel Morgan , a general key to the winning of the American Revolution , was called up to lead a force to suppress the protest . It was at this time ( 1794 ) that Morgan was promoted to Major General . Serving under General `` Light - Horse Harry '' Lee , Morgan led one wing of the militia army into Western Pennsylvania . The massive show of force brought an end to the protests without a shot being fired . After the uprising had been suppressed , Morgan commanded the remnant of the army that remained until 1795 in Pennsylvania , some 1,200 militiamen , one of whom was Meriwether Lewis .   Aftermath   The insurrection collapsed as the federal army marched west into western Pennsylvania in October 1794 . Some of the most prominent leaders of the insurrection , such as David Bradford , fled westward to safety . It took six months for those who were charged to be tried . Most were acquitted due to mistaken identity , unreliable testimony and lack of witnesses . The only two convicted of treason and sentenced to hang were John Mitchell and Philip Wigle . They were later pardoned by Washington .   Immediately before the arrests `` ... as many as 2,000 of ( the rebels ) -- had fled into the mountains , beyond the reach of the militia . It was a great disappointment to Hamilton , who had hoped to bring rebel leaders such as David Bradford to trial in Philadelphia -- and possibly see them hanged for treason . Instead , when the militia at last turned back , out of all the suspects they had seized a mere twenty were selected to serve as examples , They were at worst bit players in the uprising , but they were better than nothing . ''   The captured participants and the Federal militia arrived in Philadelphia on Christmas Day . Some artillery was fired and church bells were heard as `` ... a huge throng lined Broad Street to cheer the troops and mock the rebels ... ( Presley ) Neville said he ' could not help feeling sorry for the</t>
  </si>
  <si>
    <t xml:space="preserve">who led the militia during the whiskey rebellion</t>
  </si>
  <si>
    <t xml:space="preserve">   Whiskey Rebellion     George Washington reviews the troops near Fort Cumberland , Maryland , before their march to suppress the Whiskey Rebellion in western Pennsylvania .        Date   1791 -- 1794     Location   primarily Western Pennsylvania     Result    Government victory    Armed resistance eliminated   Minor tax evasion          Belligerents     Frontier tax protesters   United States     Commanders and leaders     Unknown , possibly none   George Washington     Casualties and losses     3 -- 4 killed 170 captured   None killed in action ; About 12 died from illness or in accidents     2 civilian casualties   </t>
  </si>
  <si>
    <t xml:space="preserve">Languages of the United States - Wikipedia  Languages of the United States  Jump to : navigation , search    Languages of the United States         Main languages   English 80 % , Spanish 12.4 % , other Indo - European languages 3.7 % , Asian and Pacific languages 3 % , other languages 0.9 % ( 2009 survey by the Census Bureau )     Indigenous languages   Navajo , Cherokee , Dakota , Lakota , Western Apache , Keres , Hopi , Zuni , Ojibwe , O'odham Others  Abenaki , Achumawi , Adai , Afro - Seminole Creole , Alabama , Aleut , Apalachee , Aranama , Arapaho , Arikara , Assiniboine , Atakapa , Atsugewi , Awaswas , Barbareño , Bay Miwok , Biloxi , Blackfoot , Buena Vista , Caddo , Cahto , Carolina Algonquian , Catawba , Cayuga , Cayuse , Central Kalapuya , Central Pomo , Central Sierra Miwok , Chalon , Chemakum , Cheyenne , Chickasaw , Chico , Chimariko , Chinook Jargon , Chippewa , Chitimacha , Chiwere , Chochenyo , Choctaw , Chukchansi , Coast Miwok , Coast Tsimshian , Coahuilteco , Cocopah , Coeur d'Alene , Colorado River , Columbia - Moses , Comanche , Cotoname , Cowlitz , Cree , Crow , Cruzeño , Cupeño , Eastern Pomo , Esselen , Etchemin , Eyeri , Fox , Garza , Gashowu , Gros Ventre , Gullah , Halchidhoma , Halkomelem , Hanis , Havasupai , Havasupai -- Hualapai , Hawaiian Pidgin , Hidatsa , Hitchiti , Hupa , Ipai , Ivilyuat , Jicarilla , Karankawa , Karkin , Karuk , Kashaya , Kathlamet , Kawaiisu , Kings River , Kiowa , Kitanemuk , Kitsai , Klallam , Klamath , Klickitat , Koasati , Konkow , Konomihu , Kumeyaay , Kutenai , Lake Miwok , Lipan , Louisiana Creole , Lower Tanana , Luiseño , Lummi , Lushootseed , Mahican , Maidu , Makah , Malecite - Passamaquoddy , Mandan , Maricopa , Massachusett , Mattole , Mednyj Aleut , Menominee , Mescalero - Chiricahua , Miami - Illinois , Mikasuki , Mi'kmaq , Miluk , Mobilian Jargon , Mohawk , Mohawk Dutch , Mohegan - Pequot , Mojave , Molala , Mono , Munsee , Muscogee , Mutsun , Nanticoke , Nawathinehena , Negerhollands , New River Shasta , Nez Perce , Nicoleño , Nisenan , Nlaka'pamux , Nomlaki , Nooksack , Northeastern Pomo , Northern Kalapuya , Northern Paiute , Northern Pomo , Northern Sierra Miwok , Obispeño , Okanagan , Okwanuchu , Omaha -- Ponca , Oneida , Onondaga , Osage , Ottawa , Palewyami , Pawnee , Pennsylvania German , Picuris , Piscataway , Plains Apache , Plains Cree , Plains Miwok Potawatomi , Powhatan , Purisimeño , Qawiaraq , Quechan , Quileute , Quinault , Quiripi , Ramaytush , Rumsen , Saanich , Sahaptin , Salinan , Salish - Spokane - Kalispel , Seneca , Serrano , Shasta , Shawnee , Shoshoni , Siuslaw , Solano , Southeastern Pomo , Southern Pomo , Southern Sierra Miwok , Southern Tiwa , Susquehannock , Takelma , Tamyen , Taos , Tataviam , Tewa , Texas German , Tillamook , Timbisha , Tiipai , Tolowa , Tongva , Tonkawa , Tsetsaut , Tübatulabal , Tuscarora , Tututni , Twana , Umatilla , Unami , Upper Chinook , Ute , Ventureño , Virgin Islands Creole , Wailaki , Wappo , Washo , Whulshootseed , Wichita , Winnebago , Wintu , Wiyot , Woccon , Wukchumni , Wyandot , Yamasee , Yana , Yaqui , Yavapai , Yoncalla , Yuchi , Yuki , Yurok      Regional languages   Ahtna , Alutiiq , Carolinian , Central Alaskan Yup'ik , Central Siberian Yupik , Chamorro , Deg Xinag , Dena'ina , Eyak , French , Gwich'in , Haida , Hän , Hawaiian , Holikachuk , Inupiaq , Koyukon , Samoan , Tanacross , Tanana , Tlingit , Tsimshian , Upper Kuskokwim , Upper Tanana     Main immigrant languages   English , Spanish , Chinese , French , Tagalog , Vietnamese , Arabic , Korean ,     Sign languages   American Sign Language ( BASL ) , Hawai'i Sign Language , Keresan Sign Language , Navajo Family Sign , Plains Indian Sign Language , Puerto Rican Sign Language , Samoan Sign Language     Common keyboard layouts   QWERTYUIOP     Many languages are used , or historically have been used , in the United States . Over 500 languages are spoken by the U.S. population . The most commonly used language is English ( specifically , American English ) , which is the de facto national language of the United States . Since the 1965 Immigration Act , Spanish is the second most common language in the country . The state government of Louisiana offers services and documents in French , as does New Mexico in Spanish . There are many languages indigenous to North America or to U.S. states or holdings in the Pacific region . Hawaiian , although having few native speakers , is an official language along with English of the state of Hawaii . Alaska recognizes English and twenty native languages as official .     Language Spoken at Home ( U.S. Census Bureau , American Community Survey 2016 )     List   ( show )   English only -- 237,810,023   Spanish -- 40,489,813   Chinese -- 3,372,930   Tagalog -- 1,701,960   Vietnamese -- 1,509,994   Arabic -- 1,231,098   French -- 1,216,668   Korean -- 1,088,788   Russian -- 909,374   German -- 905,691   Haitian Creole -- 856,009   Hindi -- 810,877   Portuguese -- 767,210   Italian -- 576,154   Polish -- 539,151   Urdu -- 474,481   Persian -- 438,448   Japanese -- 464,535   Gujarati -- 407,520   Telugu -- 365,566   Bengali -- 324,008   Tai -- Kadai -- 307,442   Greek -- 288,255   Punjabi -- 287,491   Tamil -- 273,332   Armenian -- 237,550   Serbo - Croatian -- 236,761   Hebrew -- 225,147   Hmong -- 224,133   Bantu -- 223,334   Khmer -- 203,115   Navajo -- 163,784   other Indo - European languages -- 578,492   other Afro - Asiatic languages -- 521,932   other Niger -- Congo languages -- 515,629   other West Germanic languages -- 487,675   other Austronesian languages -- 467,718   other Indic languages -- 409,631   other languages of Asia -- 384,154   other Slavic languages -- 338,644   other Dravidian languages -- 241,678   other languages of North America -- 195,550   other and unspecified languages -- 258,257       According to the 2016 American Community Survey , a project of the United States Census Bureau , the languages spoken at home by the most people older than five years of age are :    English only -- 237.8 million   Spanish -- 40.5 million   Chinese ( including Mandarin and Cantonese ) -- 3.4 million   Tagalog ( including Filipino ) -- 1.7 million   Vietnamese -- 1.5 million   Arabic -- 1.2 million   French -- 1.2 million   Korean -- 1.1 million   Russian -- 0.91 million   German -- 0.91 million   Haitian Creole -- 0.86 million   Hindi -- 0.81 million   Portuguese -- 0.77 million   Italian -- 0.58 million   Polish -- 0.54 million   Urdu -- 0.47 million   Japanese -- 0.46 million   Persian ( including Farsi and Dari ) -- 0.44 million   Gujarati -- 0.41 million   Telugu -- 0.37 million   Bengali -- 0.32 million   Tai -- Kadai ( including Thai and Lao ) -- 0.31 million   Greek -- 0.29 million   Punjabi -- 0.29 million   Tamil -- 0.27 million   Armenian -- 0.24 million   Serbo - Croatian ( including Bosnian , Croatian , Montenegrin , and Serbian ) -- 0.24 million   Hebrew -- 0.23 million   Hmong -- 0.22 million   Bantu ( including Swahili ) -- 0.22 million   Khmer -- 0.20 million   Navajo -- 0.16 million    While modern estimates indicate that American Sign Language was signed by as many as 500,000 Americans , as of 1972 -- the last official survey , closer estimates range around 100,000 as of 2011 . ( Although various cultural factors , such as passage of the Americans with Disabilities Act , have resulted in far greater educational opportunities for deaf children , which could double or triple the number of current ASL users . )     Contents  ( hide )   1 Official language status   1.1 Status of other languages     2 Indigenous languages   2.1 Native American languages   2.1. 1 List of Native American Languages   2.1. 2 Native American sign languages     2.2 Austronesian languages   2.2. 1 Hawaiian   2.2. 2 Samoan   2.2. 3 Chamorro   2.2. 4 Carolinian       3 Main languages   3.1 English   3.2 Spanish   3.3 Chinese   3.4 Tagalog   3.5 Vietnamese   3.6 Korean   3.7 French   3.8 German   3.9 Hindustani   3.10 Arabic   3.11 Cherokee   3.12 Italian   3.13 Dutch   3.14 Finnish   3.15 Russian   3.16 Hebrew   3.17 Ilocano   3.18 South Asian languages   3.19 Telugu   3.20 Irish   3.21 Khmer ( Cambodian )   3.22 Polish   3.23 Portuguese   3.24 Swedish   3.25 Welsh   3.26 Yiddish   3.27 Tamil   3.28 Nepali     4 New American languages , dialects , and creoles   4.1 African - American English   4.2 Chinuk Wawa or Chinook Jargon   4.3 Gullah   4.4 Hawai'i Creole English   4.5 Louisiana Creole French   4.6 Outer Banks languages   4.7 Pennsylvania German   4.8 Texas Silesian   4.9 Chesapeake Bay Islander   4.10 Chicano English     5 Sign languages   5.1 American Sign Language   5.1. 1 Black American Sign Language     5.2 Hawai'i Sign Language   5.3 Plains Sign Talk   5.3. 1 Navajo Sign Language   5.3. 2 Plateau Sign Language     5.4 Martha 's Vineyard Sign Language   5.5 Henniker Sign Language   5.6 Sandy River Valley Sign Language     6 See also   7 References   8 Bibliography   9 Further reading   10 External links      Official language status ( edit )   There is no official language at the U.S. federal level . However , 32 states of the United States , in some cases as part of what has been called the English - only movement , have adopted legislation granting official status to English . Out of 50 states , 30 have established English as the only official language , while Hawaii recognizes both English and Hawaiian as official , and Alaska has made some 20 native languages official , along with English .   Moreover , English is one of the official languages in all of the U.S. territories . In Puerto Rico both English and Spanish are official , although Spanish has been declared the principal official language . The school system and the government operate almost entirely in Spanish . Guam recognizes English and Chamorro . In the U.S. Virgin Islands , English is the only official language . In American Samoa , both English and Samoan are officially recognized . In the Northern Mariana Islands , English , Chamorro , and Carolinian are official . The state of Alaska provides voting information in Iñupiaq , Central Yup'ik , Gwich'in , Siberian Yupik , Koyukon , and Tagalog , as well as English .   English is the primary language used for legislation , regulations , executive orders , treaties , federal court rulings , and all other official pronouncements . Nonetheless , laws require documents such as ballots to be printed in multiple languages when there are large numbers of non-English speakers in an area . American schools , public as well as private , require English classes at every grade level , even in bilingual or dual - language learning situations . Semesters of English composition are compulsory in virtually all U.S. colleges and universities to satisfy requirements for associate 's and bachelor 's degrees .   Spanish is spoken by approximately 35 million people . The United States has the world 's fifth largest Spanish - speaking population , outnumbered only by Mexico , Colombia , Spain , and Argentina ; other estimates put the United States at over 50 million , second only to Mexico . Throughout the Southwestern United States , long - established Spanish - speaking communities coexist with large numbers of more recent Hispanophone immigrants . Although many new Latin American immigrants are less than fluent in English , nearly all second - generation Hispanic Americans speak English fluently , while only about half still speak Spanish .   Status of other languages ( edit )  Percentage of people 5 years and over who speak Spanish at home : 2008 . Second most prevalent language in each US state . Spanish French German Tagalog  Languages brought to the country by colonists or immigrants from Europe , Asia , or other parts of the world make up a large portion of the languages currently used ; several languages , including creoles and sign languages , have also developed in the United States . Approximately 430 languages are spoken or signed by the population , of which 176 are indigenous to the area . Fifty - two languages formerly spoken in the country 's territory are now extinct .   According to the 2000 U.S. Census , people of German ancestry make up the largest single ethnic group in the United States , and the German language ranks fifth . Italian , Polish , and French are still widely spoken among populations descending from immigrants from those countries in the early 20th century , but the use of these languages is dwindling as the older generations die . Russian is also spoken by immigrant populations .   Tagalog and Vietnamese have over one million speakers each in the United States , almost entirely within recent immigrant populations . Both languages , along with the varieties of Chinese ( mostly Cantonese , Taishanese , and Standard Mandarin ) , Japanese , and Korean , are now used in elections in Alaska , California , Hawaii , Illinois , New York , Texas , and Washington .   Native American languages are spoken in smaller pockets of the country , but these populations are decreasing , and the languages are almost never widely used outside of reservations . Besides English , Spanish , French , German , Navajo and other Native American languages , all other languages are usually learned from immigrant ancestors that came after the time of independence or learned through some form of education .   American Sign Language is the most common sign language in the United States although there are unrelated sign languages which have been developed in the States and its territories -- mostly in the Pacific . No concrete numbers exist for signers but something upwards of 250,000 is common .   California has agreed to allow the publication of state documents in other languages to represent minority groups and immigrant communities . Languages such as Spanish , Chinese , Korean , Tagalog , Persian , Russian , Vietnamese , and Thai appear in official state documents , and the Department of Motor Vehicles publishes in nine languages .   In New Mexico , although the state constitution does not specify an official language , laws are published in English and Spanish , and government materials and services are legally required ( by Act ) to be made accessible to speakers of both languages as well as Navajo and various Pueblo languages . New Mexico also has its own dialect of Spanish , which differs from Spanish spoken in the rest of Latin America .   Native American languages are official or co-official on many of the U.S. Indian reservations and pueblos . In Oklahoma before statehood in 1907 , territory officials debated whether or not to have Cherokee , Choctaw , and Muscogee languages as co-official , but the idea never gained ground . Cherokee is officially recognized by the Cherokee Nation within the Cherokee tribal jurisdiction area in eastern Oklahoma .   After New Amsterdam ( formerly a Dutch colony ) was transferred to English administration ( becoming the Province of New York ) in the late 17th century , English supplanted Dutch as the official language . However , `` Dutch remained the primary language for many civil and ecclesiastical functions and most private affairs for the next century . '' The Jersey Dutch dialect is now extinct .   The issue of multilingualism also applies in the states of Arizona and Texas . While the constitution of Texas has no official language policy , Arizona passed a proposition in 2006 declaring English as the official language . Nonetheless , Arizona law requires the distribution of voting ballots in Spanish , as well as indigenous languages such as Navajo , O'odham , Hopi , etc. , in counties where they are spoken .   In 2000 , the Census Bureau printed the standard census questionnaires in six languages : English , Spanish , Korean , Chinese ( in traditional characters ) , Vietnamese , and Tagalog .   A popular urban legend called the Muhlenberg legend claims that German was almost made an official language of the United States but lost by one vote . In reality , it was a request by a group of German immigrants to have an official translation of laws into German . House speaker Frederick Muhlenberg has since become associated with the legend .   Indigenous languages ( edit )   Native American languages ( edit )   Native American languages predate European settlement of the New World . In a few parts of the U.S. ( mostly on Indian reservations ) , they continue to be spoken fluently . Most of these languages are endangered , although there are efforts to revive them . Normally the fewer the speakers of a language the greater the degree of endangerment , but there are many small Native American language communities in the Southwest ( Arizona and New Mexico ) which continue to thrive despite their small size . In 1929 , speaking of indigenous Native American languages , linguist Edward Sapir observed :   Few people realize that within the confines of the United States there is spoken today a far greater variety of languages ... than in the whole of Europe . We may go further . We may say , quite literally and safely , that in the state of California alone there are greater and more numerous linguistic extremes than can be illustrated in all the length and breadth of Europe .   According to the 2000 Census and other language surveys , the largest Native American language - speaking community by far is the Navajo . Navajo is an Athabaskan language of the Na - Dené family , with 178,000 speakers , primarily in the states of Arizona , New Mexico , and Utah . Altogether , Navajo speakers make up more than 50 % of all Native American language speakers in the United States . Western Apache , with 12,500 speakers , also mostly in Arizona , is closely related to Navajo but not mutually intelligible with it . Navajo and other Athabaskan languages in the Southwest are relative outliers ; most other Athabascan languages are spoken in the Pacific Northwest and Alaska .   Dakota is a Siouan language with 18,000 speakers in the US alone ( 22,000 including speakers in Canada ) , not counting 6,000 speakers of the closely related Lakota . Most speakers live in the states of North Dakota and South Dakota . Other Siouan languages include the closely related Winnebago , and the more distant Crow , among others .   Central Alaskan Yup'ik is an Eskimo - Aleut language with 16,000 speakers , most of whom live in Alaska . The term `` Yupik '' is applied to its relatives , which are not necessarily mutually intelligible with Central Alaskan , including Naukan and Central Siberian , among others .   Cherokee belongs to the Iroquoian family and has about 22,000 speakers as of 2005 . The Cherokee have the largest tribal affiliation in the U.S. , but most are of mixed ancestry and do not speak the language . Recent efforts to preserve and increase the Cherokee language in the Cherokee Nation and the United Keetoowah Band in Oklahoma , and among the Eastern Band in North Carolina , have been productive . More than 1,000 people each also speak the related languages of Mohawk and Seneca .   The O'odham language , spoken by the Pima and the Tohono O'odham , is a Uto - Aztecan language with more than 12,000 speakers , most of whom live in central and southern Arizona and northern Sonora . Other Uto - Aztecan languages include Hopi , Shoshone , and the Pai - Ute languages .   Choctaw has 11,000 speakers . Choctaw is part of the Muskogean family , like Seminole and Alabama .   The Algonquian language family includes languages like Chippewa / Ojibwe , Cheyenne , and Cree .   Keres has 11,000 speakers in New Mexico . A language isolate , the Keres are the largest of the Pueblo nations . The Keres pueblo of Acoma is the oldest continually inhabited community in the United States . Zuni , another isolate , has around 10,000 speakers , most of whom reside within the Zuni pueblo .   Although the languages of the Americas have a history stretching back about 17,000 to 12,000 years , current knowledge of them is limited . There are doubtless a number of undocumented languages that were once spoken in the United States that are missing from historical record .  List of Native American languages ( edit )  Below is an estimate of Native American languages `` spoken at home '' in the United States ( American Community Survey 2006 -- 2008 ) . This is not an exhaustive list of Native American languages in the US . Because the distinction between dialect and language is n't always clear , multiple dialects of varying mutual intelligibility may be classified as a single language , while a group of effectively identical dialects may be classified separately for historical or cultural reasons . Languages included here may be classified as `` extinct '' ( having no living native speakers ) , but many extinct or moribund Native American languages are the subjects of ongoing language revitalization efforts ; other extinct languages undergoing revitalization might not be listed here .     Language   Endonym   Family   Speakers ( % of total )   Speaks English       Total   --   --   373 949   19.22 %     Total ( excl . Navajo )   --   --   203 127 ( 54.32 )   15.82 %     Navajo   Diné bizaad   Na - Dené   170 822 ( 45.68 )   23.25 %     Dakota   Dakȟótiyapi   Siouan   18 804 ( 5.03 )   9.86 %     Yupik   --   Eskimo - Aleut   18 626 ( 4.98 )   37.02 %     Apache   Ndee biyati '   Na - Dené   14 012 ( 3.75 )   3.53 %     Keres   --   Isolate   13 073 ( 3.50 )   6.20 %     Cherokee   Tsalagi ( ᏣᎳᎩ )   Iroquoian   12 320 ( 3.29 )   16.33 %     Choctaw   Chahta '   Muskogean   10 368 ( 2.77 )   23.44 %     Zuni   Shiwi'ma   Isolate   9 432 ( 2.52 )   14.22 %     American Indian ( Other )   --   --   8 888 ( 2.38 )   16.73 %     O'odham ( Pima )   Oʼodham ñiʼokĭ   Uto - Aztecan   8 190 ( 2.19 )   14.70 %     Ojibwe ( Chippewa )   Anishinaabemowin   Algic   6 986 ( 1.87 )   11.28 %     Hopi   Hopilàvayi   Uto - Aztecan   6 776 ( 1.81 )   18.80 %     Inupiat ( Inupik )   Iñupiatun   Eskimo - Aleut   5 580 ( 1.49 )   26.04 %     Tewa   --   Tanoan   5 123 ( 1.37 )   13.80 %     Muskogee ( Creek )   Mvskoke   Muskogean   5 072 ( 1.36 )   19.62 %     Crow   Apsáalooke   Siouan   3 962 ( 1.06 )   6.59 %     Shoshoni   Sosoni ' da̲i̲gwape   Uto - Aztecan   2 512 ( 0.67 )   7.25 %     Cheyenne   Tsėhésenėstsestȯtse   Algic   2 399 ( 0.64 )   3.21 %     Tiwa   --   Tanoan   2 269 ( 0.61 )   3.22 %     Towa ( Jemez )   --   Tanoan   2 192 ( 0.59 )   27.65 %     Inuit ( Eskimo )   --   Eskimo - Aleut   2 168 ( 0.58 )   25.46 %     Blackfoot   Siksiká ( ᓱᖽᐧᖿ )   Algic   1 970 ( 0.53 )   11.02 %     Sahaptin   Ichishkíin sɨ́nwit   Plateau Penutian   1 654 ( 0.44 )   6.17 %     Paiute   --   Uto - Aztecan   1 638 ( 0.44 )   11.78 %     Athapascan   --   Na - Dené   1 627 ( 0.44 )   19.55 %     Ute   Núu - ' apaghapi   Uto - Aztecan   1 625 ( 0.43 )   5.23 %     Mohawk   Kanien'kéha '   Iroquoian   1 423 ( 0.38 )   11.67 %     Seneca   Onödowága   Iroquoian   1 353 ( 0.36 )   11.23 %     Winnebago   Hocąk   Siouan   1 340 ( 0.36 )   6.27 %     Kiowa   Cáuijògà   Tanoan   1 274 ( 0.34 )   9.58 %     Aleut   Unangam tunuu   Eskimo - Aleut   1 236 ( 0.33 )   19.01 %     Salish   --   Salishan   1 233 ( 0.33 )   22.87 %     Gwich'in ( Kuchin )   Gwich'in   Na - Dené   1 217 ( 0.33 )   25.82 %     Kickapoo   Kiwikapawa   Algic   1 141 ( 0.31 )   41.72 %     Arapaho   Hinónoʼeitíít   Algic   1 087 ( 0.29 )   1.20 %     Tlingit   Lingít   Na - Dené   1 026 ( 0.27 )   8.19 %     Siberian Yupik ( SLI Yupik )   Sivuqaghmiistun   Eskimo - Aleut   993 ( 0.27 )   39.48 %     Passamaquoddy   Peskotomuhkat   Algic   982 ( 0.26 )   6.11 %     Comanche   Nʉmʉ tekwapʉ   Uto - Aztecan   963 ( 0.26 )   10.59 %     Cree   Nēhiyawēwin   Algic   951 ( 0.25 )   8.73 %     Menominee   Omāēqnomenew   Algic   946 ( 0.25 )   39.64 %     Nez Perce   Niimiipuutímt   Plateau Penutian   942 ( 0.25 )   12.10 %     Potawatomi   Bodéwadmi   Algic   824 ( 0.22 )   9.95 %     Hidatsa   Hidatsa   Siouan   806 ( 0.22 )   4.47 %     Mesquakie ( Fox )   Meshkwahkihaki   Algic   727 ( 0.19 )   22.15 %     Karok   Káruk   Isolate   700 ( 0.19 )   5.43 %     Pomo   --   Pomoan   648 ( 0.17 )   14.81 %     Chinook Jargon   Chinuk wawa   Creole   644 ( 0.17 )   17.70 %     Oneida   Oneyota'aaka   Iroquoian   527 ( 0.14 )   58.63 %     Yurok   Puliklah   Algic   491 ( 0.13 )   1.63 %     Cocopah   Kwikapa   Yuman   483 ( 0.13 )   22.77 %     Hualapai   Hwalbáy   Yuman   458 ( 0.12 )   4.80 %     Omaha   Umonhon   Siouan   457 ( 0.12 )   1.97 %     Chiricahua   Ndee bizaa   Na - Dené   457 ( 0.12 )   --     Jicarilla   Abáachi mizaa   Na - Dené   455 ( 0.12 )   14.51 %     Yaqui   Yoem noki   Uto - Aztecan   425 ( 0.11 )   10.12 %     Yokuts   --   Yokutsan   407 ( 0.11 )   27.27 %     Mono   Mono   Uto - Aztecan   349 ( 0.09 )   --     Mohave   Hamakhav   Yuman   330 ( 0.09 )   6.36 %     Luiseño   Cham'teela   Uto - Aztecan   327 ( 0.09 )   4.28 %     Shawnee   Sawanwa   Algic   321 ( 0.09 )   6.23 %     Maidu ( NE Maidu )   Májdy   Maiduan   319 ( 0.09 )   6.90 %     Ottawa   Nishnaabemwin   Algic   312 ( 0.08 )   10.90 %     Algonquin   Anicinâbemowin   Algic   288 ( 0.08 )   19.79 %     Okanogan   Nsəlxcin   Salishan   284 ( 0.08 )   10.92 %     Osage   Wazhazhe ie   Siouan   260 ( 0.07 )   20.38 %     Wichita   Kirikirʔi :s   Caddoan   242 ( 0.06 )   16.12 %     Onondaga   Onǫda'gegá   Iroquoian   239 ( 0.06 )   2.93 %     Mi'kmaq ( Micmac )   Míkmawísimk   Algic   230 ( 0.06 )   10.87 %     Digueño ( Ipai - Kumiai - Tipai )   --   Yuman   228 ( 0.06 )   60.96 %     Washo   Wá : šiw ʔítlu   Isolate   227 ( 0.06 )   9.69 %     Miwok   Miwok   Utian   216 ( 0.06 )   --     Lushootseed ( Puget Salish )   Xwəlšucid   Salishan   207 ( 0.06 )   47.83 %     Kutenai   Ktunaxa   Isolate   200 ( 0.05 )   32.50 %     Miccosukee   Mikisúkî   Muskogean   188 ( 0.05 )   22.87 %     Tuscarora   Ska : rù : rę '   Iroquoian   179 ( 0.05 )   10.06 %     Makah   Qwi qwi diččaq   Wakashan   176 ( 0.05 )   30.11 %     Coeur d'Alene   Snchitsuʼumshtsn   Salishan   174 ( 0.05 )   --     Hupa   Na : tinixwe   Na - Dené   174 ( 0.05 )   --     Quechan ( Yuma )   Kwtsaan   Yuman   172 ( 0.05 )   31.98 %     Miami   Myaamia   Algic   168 ( 0.04 )   50.60 %     Alabama   Albaamo innaaɬiilka   Muskogean   165 ( 0.04 )   20.00 %     Delaware   Lënape / Lunaapeew   Algic   146 ( 0.04 )   25.34 %     Clallam   Nəxwsƛ̕ay̕əmúcən   Salishan   146 ( 0.04 )   1.37 %     Penobscot ( E Abenaki )   Panawahpskek   Algic   144 ( 0.04 )   5.56 %     Yavapai   --   Yuman   139 ( 0.04 )   --     Cahuilla   Ivia   Uto - Aztecan   139 ( 0.04 )   --     Ponca   Panka   Siouan   131 ( 0.04 )   6.87 %     Quinault   Kwínaył   Salishan   128 ( 0.03 )   --     Deg Xinag ( Ingalit )   Degexit'an   Na - Dené   127 ( 0.03 )   --     Pawnee   Paári   Caddoan   122 ( 0.03 )   16.39 %     Haida   X̱aat Kíl   Isolate   118 ( 0.03 )   19.49 %     Cowlitz   Stl'pulimuhkl   Salishan   110 ( 0.03 )   82.73 %     Mandan   Nų́ʔetaːre   Siouan   104 ( 0.03 )   38.46 %     Arikara   Sáhniš   Caddoan   103 ( 0.03 )   --     Klamath   Maqlaqs   Plateau Penutian   95 ( 0.03 )   27.37 %     Havasupai   Havasu'baaja   Yuman   90 ( 0.02 )   52.22 %     Chitimacha   Sitimaxa   Isolate   89 ( 0.02 )   21.35 %     Abenaki ( W Abenaki )   Wôbanakiôdwawôgan   Algic   86 ( 0.02 )   --     Kwak'wala ( Kwakiutl )   Kwak'wala   Wakashan   85 ( 0.02 )   24.71 %     Tututni ( Rogue River )   Dotodəni   Na - Dené   84 ( 0.02 )   --     Iroquois   --   Iroquoian   76 ( 0.02 )   --     Michif ( French Cree )   Michif   Creole   75 ( 0.02 )   70.67 %     Tsimshian   Sm'algyax   Tsimshianic   68 ( 0.02 )   --     Achumawi   --   Palaihnihan   68 ( 0.02 )   --     Chiwere   Jíwere   Siouan   60 ( 0.02 )   --     Koasati   Kowassá : ti   Muskogean   59 ( 0.02 )   6.78 %     Koyukon   Denaakkʼe   Na - Dené   58 ( 0.02 )   12.07 %     Upper Chinook   Kiksht   Chinookan   58 ( 0.02 )   10.34 %     Caddo   Hasí : nay   Caddoan   51 ( 0.01 )   23.53 %     Kalapuya ( Santiam )   --   Kalapuyan   50 ( 0.01 )   --     Gros Ventre ( Atsina )   Ahahnelin   Algic   45 ( 0.01 )   --     Tachi   --   Yokutsan   45 ( 0.01 )   57.78 %     Maricopa   Piipaash chuukwer   Yuman   44 ( 0.01 )   22.73 %     Chumash   S. hamala   Chumashan   39 ( 0.01 )   100.00 %     Nomlaki   Nomlāqa   Wintuan   38 ( 0.01 )   --     Konkow ( NW Maidu )   Koyoom k'awi   Maiduan   32   100.00 %     Tonkawa   Tickanwa tic   Isolate   29   --     Wintu   Winthu : h   Wintuan   24   --     Spokane   Npoqínišcn   Salishan   20   40.00 %     Ahtna   Atnakenaege '   Na - Dené   18   --     Columbia ( Sinkiuse )   Nxaảmxcín   Salishan   17   --     Atsugewi   Atsugé   Palaihnihan   15   --     Chemehuevi   Nüwüvi   Uto - Aztecan   15   --     Northern Paiute   Numu   Uto - Aztecan   12   --     Dena'ina ( Tanaina )   Dena'ina qenaga   Na - Dené   11   --     Cupeño   Kupangaxwicham   Uto - Aztecan   11   --     Nuu - chah - nulth ( Nootka )   Nuučaan̓uł   Wakashan   10   --     Alutiiq ( Gulf Yupik )   Sugpiaq   Eskimo - Aleut   8   --     Kansa   Kánza   Siouan   7   --     Siuslaw   Šáayušła   Isolate   6   --     Cayuga   Gayogo̱hó : nǫ '   Iroquoian   6   --     Serrano   Taaqtam   Uto - Aztecan   5   --     Yuchi   Tsoyaha   Isolate     --    Native American Sign languages ( edit )  A sign - language trade pidgin , known as Plains Indian Sign Language , Plains Standard or Plains Sign Talk , arose among the Native Americans of the plains . Each signing nation had a separate signed version of their oral language , that was used by the hearing , and these were not mutually intelligible . Plains Standard was used to communicate between these nations . It seems to have started in Texas and then spread north , through the Great Plains , as far as British Columbia . There are still a few users today , especially among the Crow , Cheyenne , and Arapaho . Unlike other sign languages developed by hearing people , it shares the spatial grammar of deaf sign languages . Through intergenerational transmission , Plains Sign Talk became a working language still in use today in some Deaf First Nations or Native American communities .   As Plains Sign Talk was so widespread and was a spectrum of dialects and accents , it probably hosted several languages under its umbrella . One is potentially Navajo Sign Language which is in use by a sole Navajo clan .   Additionally , Plateau Sign Language existed alongside Plains Sign Talk as either a trade pidgin or another language around the Columbia Plateau and surrounding regions .   Austronesian languages ( edit )  Hawaiian ( edit )  Hawaiian is an official state language of Hawaii as prescribed in the Constitution of Hawaii . Hawaiian has 1,000 native speakers . Formerly considered critically endangered , Hawaiian is showing signs of language renaissance . The recent trend is based on new Hawaiian language immersion programs of the Hawaii State Department of Education and the University of Hawaii , as well as efforts by the Hawaii State Legislature and county governments to preserve Hawaiian place names . In 1993 , about 8,000 could speak and understand it ; today estimates range up to 27,000 . Hawaiian is related to the Māori language spoken by around 150,000 New Zealanders and Cook Islanders as well as the Tahitian language which is spoken by another 120,000 people of Tahiti .  Samoan ( edit )  Samoan is an official territorial language of American Samoa . Samoans make up 90 % of the population , and most people are bilingual .  Chamorro ( edit )  Chamorro is co-official in the Mariana Islands , both in the territory of Guam and in the Commonwealth of the Northern Mariana Islands . In Guam , the indigenous Chamorro people make up about 60 % of the population .  Carolinian ( edit )  Carolinian is also co-official in the Northern Marianas , where only 14 % of people speak English at home .   Main languages ( edit )       This section may lend undue weight to certain ideas , incidents , or controversies . Please help to create a more balanced presentation . Discuss and resolve this issue before removing this message . ( July 2016 )       Main Languages in the United States     Language       percent       English     79.2 %     Spanish     12.9 %     Other Indo - European     3.8 %     Asian and Pacific island     3.3 %     Other     0.9 %    Cherokee language road signs . A trash can in Seattle labeled in four languages : English , Chinese , Vietnamese , and Spanish . Tagalog also uses the Spanish word .  Some of the first European languages to be spoken in the U.S. are English , Dutch , French , Spanish , and Swedish .   From the mid-19th century on , the nation had large numbers of imm</t>
  </si>
  <si>
    <t xml:space="preserve">what are the top 5 languages spoken in the us</t>
  </si>
  <si>
    <t xml:space="preserve">  English only -- 237.8 million   Spanish -- 40.5 million   Chinese ( including Mandarin and Cantonese ) -- 3.4 million   Tagalog ( including Filipino ) -- 1.7 million   Vietnamese -- 1.5 million   Arabic -- 1.2 million   French -- 1.2 million   Korean -- 1.1 million   Russian -- 0.91 million   German -- 0.91 million   Haitian Creole -- 0.86 million   Hindi -- 0.81 million   Portuguese -- 0.77 million   Italian -- 0.58 million   Polish -- 0.54 million   Urdu -- 0.47 million   Japanese -- 0.46 million   Persian ( including Farsi and Dari ) -- 0.44 million   Gujarati -- 0.41 million   Telugu -- 0.37 million   Bengali -- 0.32 million   Tai -- Kadai ( including Thai and Lao ) -- 0.31 million   Greek -- 0.29 million   Punjabi -- 0.29 million   Tamil -- 0.27 million   Armenian -- 0.24 million   Serbo - Croatian ( including Bosnian , Croatian , Montenegrin , and Serbian ) -- 0.24 million   Hebrew -- 0.23 million   Hmong -- 0.22 million   Bantu ( including Swahili ) -- 0.22 million   Khmer -- 0.20 million   Navajo -- 0.16 million  </t>
  </si>
  <si>
    <r>
      <rPr>
        <sz val="11"/>
        <color rgb="FF000000"/>
        <rFont val="Calibri"/>
        <family val="0"/>
        <charset val="1"/>
      </rPr>
      <t xml:space="preserve">Bank of England £ 5 note - wikipedia  Bank of England £ 5 note  Jump to : navigation , search      An automated process has detected links on this page on the local or global blacklist . If the links are appropriate you may request whitelisting by following these instructions ; otherwise consider removing or replacing them with more appropriate links . ( To hide this tag , set the `` invisible '' field to `` true '' ) List of blacklisted links : ( show )   https://michaelkitson.files.wordpress.com/2013/02/kitson-gold-standard-june-2012.pdf   Triggered by \ bfiles \. wordpress \. com \ b on the global blacklist        `` £ 5 '' and `` £ 5 note '' redirect here . For other uses , see List of £ 5 .  Five pounds   ( United Kingdom )     Value   £ 5     Width   125 mm     Height   65 mm     Security features   See - through window , finely detailed metallic image , coloured border which changes from purple to green when the note is tilted , silver foil patch , microlettering , textured print     Paper type   Polymer     Years of printing   1793 - present     Obverse         Design   Queen Elizabeth II     Design date   13 September 2016     Reverse         Design   Winston Churchill     Design date   13 September 2016     The Bank of England £ 5 note , also known as a fiver , is a banknote of the pound sterling . It is the smallest denomination of banknote issued by the Bank of England . In September 2016 , a new polymer note was introduced , featuring the image of Queen Elizabeth II on the obverse and a portrait of Winston Churchill on the reverse . The old paper note , first issued in 2002 and bearing the image of prison reformer Elizabeth Fry on the reverse , was phased out and ceased to be legal tender after 5 May 2017 .     Contents  ( hide )   1 History   1.1 Introduction   1.2 Restriction period   1.3 Move away from gold standard   1.4 2002 Varnish Issue   1.5 Moving to polymer   1.5. 1 Controversy       2 Design   2.1 List of historical designs   2.2 Current designs     3 Circulation   4 See also   5 Notes   6 References   7 External links      History ( edit )   Introduction ( edit )   Five pound notes ( £ 5 ) were introduced by the Bank of England in 1793 , following the ten pound note which had been introduced in 1759 as a consequence of gold shortages caused by the Seven Years ' War . The 5 pound note was introduced again , due to gold shortages caused by the French Revolutionary Wars and the Napoleonic Wars and was the lowest denomination of note issued until 1797 . The earliest notes were handwritten and were issued to individuals as needed . These notes were written on one side only and bore the name of the payee , the date and the signature of the issuing cashier .   Restriction period ( edit )   In 1797 , due to the extra money need to fund the war and the uncertainty caused as Britain declared war on France , a series of bank runs drained the Bank of England of its gold supply . The Bank was forced to stop exchanging gold for notes and to issue notes of £ 1 and £ 2 denominations . This was known as the ' restriction period ' , as the exchange of notes for their value in gold was restricted .   The Restriction Period ended in 1821 as the Government had to anchor the value of the currency to gold in order to control sharply rising inflation and national debt . After a brief period to offset any sudden deflation , the UK returned to the gold standard on 1 May 1821 . These notes could again be exchanged in full , or in part , for an equivalent amount of gold when presented at the bank . If redeemed in part , the banknote would be marked to indicate the amount that had been redeemed . From 1853 printed notes replaced handwritten notes , with the declaration `` I promise to pay the bearer on demand the sum of five pounds '' replacing the name of the payee . This declaration remains on Bank of England banknotes to this day . A printed signature of one of three cashiers appeared on the printed notes , though this was replaced by the signature of the Chief Cashier from 1870 onward .   Move away from gold standard ( edit )  A white £ 5 note , issued in 1935  The right to redeem banknotes for gold ceased in 1931 , when Britain stopped using the gold standard . Metal thread was introduced on the £ 5 note in 1945 as a security feature . The printed black and white notes were replaced from 1957 onward by new , two - sided notes . The first two - sided £ 5 notes ( series B) were blue and featured a bust of Britannia on the front and a lion on the back . Series C notes , first introduced in 1963 , were the first notes to feature an image of the monarch on the front , with Britannia being relegated to the back . From 1971 onward , with the introduction of series D , a British historical figure was portrayed on the reverse : the soldier and statesman the Duke of Wellington in this case . Series E notes , first issued in 1990 , are multicoloured , although they are predominantly turquoise - blue . These notes feature a portrait of railway pioneer George Stephenson , as well as for the first time ' windowed ' metal thread ; this thread appears as a dashed line , yet forms a single line when held up to the light .   2002 varnish issue ( edit )   In 2002 , a problem was identified in which the serial numbers could be rubbed off of some notes . The problem was highlighted after six members of the public complained to The Bank of England ; the notes were stopped being distributed by the banks as of request by the Bank of England as well the Post Offices to stop issuing the new £ 5 notes . The Bank said the move was a `` precautionary measure while we carry out further tests and investigative work into what might have caused the fault and how widespread the problem is '' . The bank consequently did rigorous testing and found the problem to be that the serial numbers were printed over the varnish rather than under it allowing the ink to be removed if enough force was applied . The Bank started to varnish the notes in an attempt to make them last longer than previous notes which only had an estimated lifespan of nine months .   A spokesman for the Bank of England said : `` The notes are still legal tender and the public should n't have a problem spending them in the shops . As long as shopkeepers check the anti-counterfeit measures , then the lack of serial numbers is not a problem .   `` If members of the public are concerned , then they should take the notes back to the bank where they will be exchanged . ''   Moving to polymer ( edit )   In April 2013 Sir Mervyn King announced on behalf of the bank that Elizabeth Fry would be replaced by Winston Churchill on the next £ 5 note which would enter circulation in 2016 . It was also announced that the images featured on the reverse would include a 1941 portrait of Churchill by Yusuf Karsh , a view of the Houses of Parliament , a quote by Churchill ( `` I have nothing to offer but blood , toil , tears and sweat '' ) and a background image of Churchill 's Nobel Prize in Literature , while the obverse would feature an image of Queen Elizabeth II .   In December 2013 the Bank of England announced that the next £ 5 note would be printed on a polymer , rather than cotton paper . The bank cited that they would be `` cleaner , more secure and more durable '' . It was also said that the new polymer notes would be more environmentally friendly , lasting 2.5 times as long as cotton paper notes , according to the Bank 's own environmental testing .   The note was introduced on 13 September 2016 , with an initial print run of 440 million notes ( worth £ 2.2 billion ) , over the period of co-circulation . It was announced that there would be a co-circulatory period with the old series E notes , and then on 5 May 2017 , the series E would cease to be legal tender . However , as with all Bank of England notes , they can be exchanged at face value at any time in the future .  Controversy ( edit )  In November 2016 there was controversy when the Bank of England confirmed that the new notes contain traces of tallow in the new notes . According to an online petition on this issue , this is unacceptable to vegans , vegetarians , Hindus , Sikhs , Jains and other groups in the UK , and one Cambridge cafe boycotted the new note . The note 's manufacturer , Innovia Security , is looking into changing the recipe for the polymer used , so as to contain no animal products , which are added to polymer pellets at an early stage of production . However , on 10 August 2017 the Bank of England announced that all future notes , including future £ 5 note prints would continue the use of traces of tallow .   Design ( edit )   List of historical designs ( edit )     Note   First issued   Last issued   Ceased to be legal tender   Colour   Size   Design   Additional information     White ( 1793 )   1793   1944   1 March 1946   Monochrome ( printed on one side only )   200mm x 113mm ( may vary )         White ( 1945 )   1945   1957   13 March 1961   Monochrome ( printed on one side only )   211mm x 133mm     Incorporated metal thread for first time : permanent feature until the series G polymer note     Series B   21 February 1957   1963   27 June 1967   Blue   158mm x 90mm   Front : Helmeted Britannia Back : Lion   Saint George and the Dragon , with Britannia on the front     Series C   21 February 1963   1971   31 August 1973   Blue   140mm x 85mm   Front : Queen Elizabeth II Back : Seated Britannia   First £ 5 note to carry portrait of monarch     Series D   11 November 1971     29 November 1991   Predominantly blue   145mm x 78mm   Front : Queen Elizabeth II Back : Duke of Wellington       Series E   7 June 1990   July 2002   21 November 2003   Multicoloured ( predominantly turquoise - blue )   135mm x 70mm   Front : Queen Elizabeth II Back : George Stephenson   Notes issued from March 1993 featured the denomination symbol `` £ 5 '' in bolder colours     Series E ( variant )   21 May 2002   2016   5 May 2017   Multicoloured ( predominantly green )   135mm x 70mm   Front : Queen Elizabeth II Back : Elizabeth Fry       Series G ( polymer )   13 September 2016       Multicoloured ( greeny - blue )   125mm x 65mm   Front : Queen Elizabeth II Back : Winston Churchill   First Bank of England note in polymer     Sources from the Bank of England :   Current designs ( edit )   The series G ( polymer ) note is the only £ 5 note that is currently legal tender . The old paper series E was withdrawn , following a co-circulation period with both notes being legal tender which ended on 5 May 2017 .   Circulation ( edit )   The Bank of England is responsible for printing and issuing notes to ensure a smooth monetary supply across the United Kingdom . It reports the number of notes in circulation at any given time . As of the end of February 2016 , there were £ 1,645,000,000 worth of £ 5 notes in circulation , which is equivalent to 329,000,000 individual notes .     Year   Value of notes ( £ )   Number in circulation       1,025,000,000   205,000,000     2005   1,054,000,000   211,000,000     2006   1,051,000,000   210,000,000     2007   1,100,000,000   220,000,000     2008   1,242,000,000   248,000,000     2009   1,342,000,000   260,000,000       1,245,000,000   249,000,000     2011   1,355,000,000   271,000,000     2012   1,477,000,000   295,000,000     2013   1,526,000,000   305,000,000     2014   1,540,000,000   308,000,000     2015   1,601,000,000   320,000,000     2016   1,645,000,000   329,000,000     Table sources from the Bank of England Statistics   See also ( edit )    Bank of England note issues    Notes ( edit )    Jump up ^ Data is for the newer polymer series G banknote .    References ( edit )    Jump up ^ £ 5 note : Deadline looms for digging out old paper fivers BBC ( www.bbc.com ) 4 May 2017 . Retrieved on 5 May 2017 .   Jump up ^ Chan , Szu Ping ( 10 September 2016 ) . `` History of British Banknotes '' . The Telegraph . Retrieved 6 December 2016 .   ^ Jump up to : Allen , Katie ( 10 September 2013 ) . `` Banknotes : A Short History '' . The Guardian . Retrieved 6 December 2016 .   Jump up ^ `` BBC - A History of the World - Object : 1793 £ 5 Note '' . www.bbc.co.uk . Retrieved 6 December 2016 .   Jump up ^ Dunn , Daisy . `` From Paper to the 5 pound polymer '' . The Spectator . Retrieved 6 December 2016 .   Jump up ^ Crosby , Mark . `` The Bank Restriction Act ( 1797 ) and Banknote Forgery '' . Branch Collective .   Jump up ^ Morgan , Edward Victor ( 1943 ) . The Theory and Practice of Central Banking , 1797 - 1913 . CUP .   Jump up ^ Newby , Elisa ( 2007 ) . `` The Suspension of cash payments as a monetary reigime '' ( PDF ) . Centre for Dynamic Macroeconomic Analysis . The University of St. Andrews .   ^ Jump up to : `` A brief history of banknotes '' . Bank of England . Retrieved 27 April 2016 .   Jump up ^ Kitson , Michael ( 2012 ) . `` End of an Epoch : Britain 's Withdrawal from the Gold Standard '' ( PDF ) . University of Cambridge . Retrieved 11 December 2016 .   ^ Jump up to : `` Withdrawn banknotes reference guide '' ( PDF ) . Bank of England . Retrieved 27 April 2016 .   Jump up ^ `` Bank suspends new £ 5 notes '' . news.bbc.co.uk . Retrieved 2017 - 09 - 06 .   Jump up ^ Moore , By Malcolm . `` New fiver 's numbers can rub off '' . Telegraph.co.uk . Retrieved 2017 - 09 - 06 .   Jump up ^ King , Mervyn ( 26 April 2016 ) . `` Speech from Mervyn King on New 5 Pound Note Character '' ( PDF ) . Bank of England . Retrieved 6 September 2016 .   Jump up ^ `` Sir Winston Churchill to feature on new banknote '' . BBC News . Retrieved 27 April 2016 .   Jump up ^ `` News Release - Sir Winston Churchill : the historical figure on the next banknote '' . Bank of England . 26 April 2013 . Retrieved 6 December 2016 .   Jump up ^ `` New banknotes to be printed on polymer '' . Bank of England . Retrieved 27 April 2016 .   Jump up ^ `` Why Polymer '' . Bank of England . Retrieved 6 December 2016 .   Jump up ^ `` Life Cycle Assessment of Paper and Polymer Notes '' ( PDF ) . Bank of England . 6 September 2013 . Retrieved 6 December 2016 .   Jump up ^ `` The New Fiver is issued today - Bank of England '' . Bank of England .   Jump up ^ Butterly , Ameilia ( 13 September 2016 ) . `` New polymer £ 5 note is out today - here 's where you 're likely to see it first '' . BBC Newsbeat . Retrieved 24 December 2016 .   ^ Jump up to : `` Polymer FAQ '' . Bank of England . Retrieved 6 December 2016 . How long can I continue to use paper £ 5 notes ? You can continue to use the paper £ 5 note until its legal tender status is withdrawn on 5 May 2017 .   Jump up ^ `` Bank of England urged to make new £ 5 note vegan - friendly '' . The Guardian . 29 November 2016 . Retrieved 29 November 2016 .   Jump up ^ Petroff , Alanna ( 29 November 2016 ) . `` The U.K. 's new £ 5 notes contain animal fat '' . CNNMoney . Retrieved 2017 - 08 - 12 .   Jump up ^ `` Cambridge Rainbow vegetarian cafe refuses new £ 5 note - BBC News '' . BBC Online . 3 December 2016 . Retrieved 3 December 2016 .   Jump up ^ `` Bank Of England 's Note Supplier Working On ' Potential Solutions ' To Animal Fat Fivers '' . The Huffington Post . 1 December 2016 . Retrieved 22 December 2016 .   Jump up ^ Butler , Katie ( 1 December 2016 ) . `` Bank of England will look at making new fivers vegan - friendly '' . Manchester Evening News . Retrieved 22 December 2016 .   Jump up ^ Peachey , Kevin ( 2017 - 08 - 10 ) . `` Animal fat to stay in future banknotes , Bank of England concludes '' . BBC News . Retrieved 2017 - 08 - 12 .   Jump up ^ `` The New Fiver '' . Bank of England . Retrieved 2 June 2016 .   Jump up ^ `` What we do - Banknotes '' . Bank of England . Retrieved 22 December 2016 .   Jump up ^ `` Banknote Statistics '' . Bank of England . Retrieved 22 December 2016 .    External links ( edit )    Bank of England website      ( hide )         Banknotes of the pound sterling     England and Wales      Bank of England      Current     £ 5   £ 10   £ 20   £ 50       Obsolete     10 / -   £ 1             Scotland      Bank of Scotland     £ 5   £ 10   £ 20   £ 50   £ 100       The Royal Bank of Scotland     £ 1   £ 5   £ 10   £ 20   £ 50   £ 100       Clydesdale Bank     £ 5   £ 10   £ 20   £ 50   £ 100          Northern Ireland      Bank of Ireland     £ 5   £ 10   £ 20   £ 50   £ 100       Danske Bank / Northern Bank         Current     £ 5   £ 10   £ 20       Obsolete     £ 50   £ 100             First Trust Bank     £ 10   £ 20   £ 50   £ 100       Ulster Bank     £ 5   £ 10   £ 20   £ 50   £ 100          British Crown Dependencies     Guernsey pound   Jersey pound   Manx pound       British Overseas Territories ( at parity with Sterling )     Gibraltar pound   Falkland Islands pound   Saint Helena pound       See also     Pound sterling   Coins of the pound sterling   Economy of the United Kingdom   Sterling area      Retrieved from `` https://en.wikipedia.org/w/index.php?title=Bank_of_England_ £ 5_note&amp;oldid = 818943867 '' Categories :   Banknotes of England   Five - base - unit banknotes   1793 introductions   Hidden categories :   Tagged pages containing blacklisted links   Use dmy dates from May 2017           Talk                                           Contents                   About Wikipedia                                           Bahasa Indonesia   </t>
    </r>
    <r>
      <rPr>
        <sz val="11"/>
        <color rgb="FF000000"/>
        <rFont val="Noto Sans CJK SC"/>
        <family val="2"/>
      </rPr>
      <t xml:space="preserve">中文   </t>
    </r>
    <r>
      <rPr>
        <sz val="11"/>
        <color rgb="FF000000"/>
        <rFont val="Calibri"/>
        <family val="0"/>
        <charset val="1"/>
      </rPr>
      <t xml:space="preserve">Edit links   This page was last edited on 6 January 2018 , at 14 : 22 .         About Wikipedia                    </t>
    </r>
  </si>
  <si>
    <t xml:space="preserve">who is on the back of a £5 note</t>
  </si>
  <si>
    <t xml:space="preserve"> The Bank of England £ 5 note , also known as a fiver , is a banknote of the pound sterling . It is the smallest denomination of banknote issued by the Bank of England . In September 2016 , a new polymer note was introduced , featuring the image of Queen Elizabeth II on the obverse and a portrait of Winston Churchill on the reverse . The old paper note , first issued in 2002 and bearing the image of prison reformer Elizabeth Fry on the reverse , was phased out and ceased to be legal tender after 5 May 2017 . </t>
  </si>
  <si>
    <t xml:space="preserve">First Brazilian Republic - Wikipedia  First Brazilian Republic       This article may be expanded with text translated from the corresponding article in Portuguese . ( September 2011 ) Click ( show ) for important translation instructions .   View a machine - translated version of the Portuguese article .   Google 's machine translation is a useful starting point for translations , but translators must revise errors as necessary and confirm that the translation is accurate , rather than simply copy - pasting machine - translated text into the English Wikipedia .   Do not translate text that appears unreliable or low - quality . If possible , verify the text with references provided in the foreign - language article .   You must provide copyright attribution in the edit summary by providing an interlanguage link to the source of your translation . A model attribution edit summary ( using German ) : Content in this edit is translated from the existing German Wikipedia article at ( ( : de : Exact name of German article ) ) ; see its history for attribution .   You should also add the template ( ( Translated pt República Velha ) ) to the talk page .   For more guidance , see Wikipedia : Translation .         Republic of the United States of Brazil     República dos Estados Unidos do Brasil          1889 -- 1930          Flag Coat of arms     Motto Ordem e Progresso `` Order and Progress ''     Anthem Hino Nacional Brasileiro `` Brazilian National Anthem ''     Brazil at its largest territorial extent , including Acre     Capital   Rio de Janeiro     Languages   Portuguese     Government   Military dictatorship ( 1889 - 1894 ) Oligarchic federal presidential republic ( 1894 - 1930 )     President         1889 -- 1891   Marshal Deodoro da Fonseca ( first )       1926 -- 1930   Washington Luís ( last )     Legislature   National Congress       Upper house   Senate       Lower house   Chamber of Deputies     Historical era   19th -- 20th century       Proclamation of the Republic   15 November 1889       Adoption of the Republic 's Constitution   24 February 1891       Revolta da Armada   1893 - 1894       Federalist Riograndense Revolution   1893 - 1895       End of Sword 's Dictatorship   15 November 1894       Revolution of 1930   3 November 1930     Area       1903   8,515,767 km ( 3,287,956 sq mi )     Population       1890 est .   14,333,915       1900 est .   17,438,434       1920 est .   30,635,605     Currency   Real        Preceded by   Succeeded by          Empire of Brazil         Vargas Era               Part of a series on the     History of Brazil         Pre-Cabraline ( show )   Luzia   Indigenous peoples   Marajoara culture       Colonial Brazil ( show )   Discovery   Letter of Pêro Vaz de Caminha   Treaty of Tordesillas   Captaincies   Bandeirantes   Slave Trade   France Antarctique   France Equinoxiale   Quilombo dos Palmares   Dutch Brazil   Battle of Rio de Janeiro   Jesuit reductions   War of the Emboabas   Mascate War   Guaraní War   Gold Rush   Inconfidência Mineira       United Kingdom with Portugal ( show )   Transfer of the Portuguese Court to Brazil   Pernambucan Revolt   Conquest of French Guiana   Conquest of the Banda Oriental       Independence ( show )   Declaration of Independence   War of Independence       Empire of Brazil ( show )   Dom Pedro I   Constitution of 1824 and the 1834 Additional Act   Night of Agony   Confederation of the Equator   Cisplatine War   Irish and German Mercenary Soldiers ' Revolt   Regency   April Revolt   Malê Revolt   Cabanagem   Ragamuffin War   Balaiada   Dom Pedro II   Liberal rebellions of 1842   Praieira revolt   Eusébio de Queirós Law   Platine War   Uruguayan War   Paraguayan War   Grande Seca   Religious Question   Revolt of the Muckers   Abolition of Slavery       Old Republic ( show )   Proclamation of the Republic   Café com leite politics   Coronelismo   Amazon rubber boom   Federalist Riograndense Revolution   Revolta da Armada   War of Canudos   Vaccine Revolt   Annexation of Acre   Contestado War   World War I   Revolt of the Lash   Tenente revolts   18 of the Copacabana Fort revolt   Coluna Prestes       Vargas Era ( show )   Revolution of 1930   Constitutionalist Revolution   Integralism   Estado Novo   World War II       Second Republic ( show )   Construction of Brasília   Plano Trienal       Military rule ( show )   1964 Brazilian coup d'état   AI - 5   Araguaia Guerrilla War   March of the One Hundred Thousand   Brazilian Miracle   Diretas Já       New Republic ( show )   Lost Decade   Brazilian Constituent Assembly   Plano Collor   Impeachment of Fernando Collor   1993 Constitutional referendum   Plano Real   2005 firearms and ammunition referendum   Mensalão and Petrolão scandals   Car Wash investigation   Impeachment of Dilma Rousseff       Years in Brazil ( show )   Years in Brazil       Timeline ( show )   Timeline of Brazilian history       Brazil portal                 The First Brazilian Republic or República Velha ( Portuguese pronunciation : ( ʁeˈpublikɐ ˈvɛʎɐ ) , `` Old Republic '' ) is the period of Brazilian history from 1889 to 1930 . The República Velha ended with the Brazilian Revolution of 1930 that installed Getúlio Vargas as a dictator .     Contents  ( hide )   1 Overview   2 Rule of the landed oligarchies   3 Latifúndio economies   4 Brazil in World War I   4.1 Preceding   4.2 War     5 Demographic changes   6 Developments under the Old Republic   7 Struggle for reform   8 Notes   9 Bibliography   10 External links      Overview ( edit )  The Proclamation of the Republic , by Benedito Calixto .  On November 15 , 1889 Marshal Deodoro da Fonseca deposed Emperor Dom Pedro II , declared Brazil a republic , and reorganized the government .  First Brazilian flag after empire 's fall , created by Ruy Barbosa , used between November 15th and 19th of 1889 .  From 1889 to 1930 , the government was a constitutional democracy , but democracy was nominal .   In reality , the elections were rigged , voters in rural areas were pressured or induced to vote for the chosen candidates of their bosses ( see coronelismo ) and , if all those methods did not work , the election results could still be changed by one sided decisions of Congress ' verification of powers commission ( election authorities in the República Velha were not independent from the executive and the Legislature , dominated by the ruling oligarchs ) . This system resulted in the presidency of Brazil alternating between the oligarchies of the dominant states of São Paulo and Minas Gerais . This regime is often referred to as `` café com leite '' , ' coffee with milk ' , after the respective agricultural products of the two states .   This period ended with a military coup that placed Getúlio Vargas , a civilian , in the presidency ; Vargas remained as dictator until 1945 .   The Brazilian republic was not an ideological offspring of the republics born of the French or American Revolutions , although the Brazilian regime would attempt to associate itself with both . The republic did not have enough popular support to risk open elections . It was a regime born of a coup d'état that maintained itself by force . The republicans made Deodoro president ( 1889 -- 91 ) and , after a financial crisis , appointed Field Marshal Floriano Vieira Peixoto Minister of War to ensure the allegiance of the military .   Rule of the landed oligarchies ( edit )   The officers who joined Field Marshal Deodoro da Fonseca in ending the Empire had made an oath to uphold it . The officer corps would eventually resolve the contradiction by linking its duty to Brazil itself , rather than to transitory governments . The Republic was born rather accidentally : Deodoro had intended only to replace the cabinet , but the republicans manipulated him into founding a republic .   The history of the Old Republic was dominated by a quest for a viable form of government to replace the monarchy . This quest lurched back and forth between state autonomy and centralization . The constitution of 1891 , establishing the United States of Brazil ( Estados Unidos do Brasil ) , granted extensive autonomy to the provinces , now called States . The Federal system was adopted , and all powers not granted in the Constitution to the Federal Government belonged to the States . It recognized that the central government did not rule at the local level . The Empire of Brazil had not absorbed fully the regional pátrias , and now they reasserted themselves . Into the 1920s , the federal government in Rio de Janeiro was dominated and managed by a combination of the more powerful states of São Paulo , Minas Gerais , Rio Grande do Sul and to a lesser extent Pernambuco , and Bahia .   As a result , the history of the outset of republic in Brazil is also the story of the development of the Army as a national regulatory and interventionist institution . The sudden elimination of the monarchy reduced the number of masterful national institutions to one , the Army . Although the Roman Catholic Church continued its presence throughout the country , it was not national but rather international in its personnel , doctrine , liturgy , and purposes . The Army assumed this new position not haphazardly , occupying in the conservative national economical elites ' heart , part of the vacuum left by the monarchy with slavery abolition , and gradually acquiring support to its de facto role , eclipsing even other military institutions , like the Navy and the National Guard . The Navy attempts to prevent such hegemony were defeated militarily during the early 1890s . Although it had more units and men in Rio de Janeiro and Rio Grande do Sul than elsewhere , the Army 's presence was felt throughout the country . Its personnel , its interests , its ideology , and its commitments were national in scope .   In the last decades of the 19th century , the United States , much of Europe , and neighboring Argentina expanded the right to vote . Brazil , however , moved to restrict access to the polls . In 1874 , in a population of about 10 million , the franchise was held by about one million , but in 1881 this had been cut to 145,296 . This reduction was one reason the Empire 's legitimacy foundered , but the Republic did not move to correct the situation . By 1910 there were only 627,000 voters in a population of 22 million . Throughout the 1920s , only between 2.3 % and 3.4 % of the total population could vote .   The instability and violence of the 1890s were related to the absence of consensus among the elites regarding a governmental model ; and the armed forces were divided over their status , relationship to the political regime , and institutional goals . The lack of military unity and the disagreement among civilian elites about the military 's role in society explain partially why a long - term military dictatorship was not established , as some officers advocating positivism wanted . However , military men were very active in politics ; early in the decade , ten of the twenty state governors were officers .  Constitution of the United States of Brazil , 1891 . National Archives of Brazil .  The Constituent Assembly that drew up the constitution of 1891 was a battleground between those seeking to limit executive power , which was dictatorial in scope under President Deodoro da Fonseca , and the Jacobins , radical authoritarians who opposed the paulista coffee oligarchy and who wanted to preserve and intensify presidential authority . The new charter established a federation governed supposedly by a president , a bicameral National Congress ( Congresso Nacional ; hereafter , Congress ) , and a judiciary . However , real power was in the regional pátrias and in the hands of local potentates , called `` colonels . ''   There was the constitutional system , and there was the real system of unwritten agreements ( coronelismo ) among local bosses , the colonels . Coronelismo , which supported state autonomy , was called the `` politics of the governors '' . Under it , the local oligarchies chose the state governors , who in turn selected the president .   This informal but real distribution of power emerged , the so - called politics of the governors , to take shape as the result of armed struggles and bargaining . The populous and prosperous states of Minas Gerais and São Paulo dominated the system and swapped the presidency between them for many years . The system consolidated the state oligarchies around families that had been members of the old monarchical elite . And to check the nationalizing tendencies of the army , this oligarchic republic and its state components strengthened the navy and the state police . In the larger states , the state police were soon turned into small armies . The Head of the Brazilian army ordered that it would doubled so they could defend them .   Latifúndio economies ( edit )   Around the start of the 20th century , the vast majority of the population lived in communities , though accumulating capitalist surpluses for overseas export , that were essentially semi-feudal in structure . Because of the legacy of Ibero - American slavery , abolished as late as 1888 in Brazil , there was an extreme concentration of such landownership reminiscent of feudal aristocracies : 464 great landowners held more than 270,000 km2 of land ( latifúndios ) , while 464,000 small and medium - sized farms occupied only 157,000 km2 .   After the Second Industrial Revolution in the advanced countries , Latin America responded to mounting European and North American demand for primary products and foodstuffs . A few key export products -- coffee , sugar , and cotton -- thus dominated agriculture . Because of specialization , Brazilian producers neglected domestic consumption , forcing the country to import four - fifths of its grain needs . Like most of Latin America , the economy around the start of the 20th century , as a result , rested on certain cash crops produced by the fazendeiros , large estate owners exporting primary products overseas who headed their own patriarchal communities . Each typical fazenda ( estate ) included the owner 's chaplain and overseers , his indigent peasants , his sharecroppers , and his indentured servants .   Brazil 's dependence on factory - made goods and loans from the technologically , economically , and politically superior North Atlantic retarded its domestic industrial base . Farm equipment was primitive and largely non-mechanized ; peasants tilled the land with hoes and cleared the soil through the inefficient slash - and - burn method . Meanwhile , living standards were generally squalid . Malnutrition , parasitic diseases , and lack of medical facilities limited the average life span in 1920 to twenty - eight years . Without an open market , Brazilian industry could not compete , within a comparative advantage system , against the technologically superior Anglo - American economies . In this context the Encilhamento ( a Boom &amp; Bust process that first intensified , and then crashed , in the years between 1889 and 1891 ) occurred , the consequences of which were felt in all areas of the Brazilian economy throughout the subsequent decades .   The middle class was not yet active in political life . The patron - client political machines of the countryside enabled the coffee oligarchs to dominate state structures to their advantage , particularly the weak central state structures that effectively devolved power to local agrarian oligarchies . Known as coronelismo , this was a classic boss system under which the control of patronage was centralized in the hands of a locally dominant oligarch known as a coronel , who would dispense favors in return for loyalty .   Thus , high illiteracy rates went hand in hand with the absence of universal suffrage by secret ballot and the demand for a free press , independent from the then dominant economic influence . In regions where there was not even the telegraph , far from major centers , the news could take 4 to 6 weeks longer to arrive . In those circumstances , for lack of alternatives , along the last decade of the 19th century and the first of the 20th , a free press created by European immigrant anarchists started to develop , and , due to non-segregated conformation ( ethnically speaking ) of Brazilian society , spread widely , particularly in large cities .  Main article : coronelismo  During this period , Brazil did not have a significantly integrated national economy . Rather , Brazil had a grouping of regional economies that exported their own specialty products to European and North American markets . The absence of a big internal market with overland transportation , except for the mule trains , impeded internal economic integration , political cohesion and military efficiency . The regions , `` the Brazils '' as the British called them , moved to their own rhythms . The Northeast exported its surplus cheap labor and saw its political influence decline as its sugar lost foreign markets to Caribbean producers . The wild rubber boom in Amazônia lost its world primacy to efficient Southeast Asian colonial plantations after 1912 . The national - oriented market economies of the South were not dramatic , but their growth was steady and by the 1920s allowed Rio Grande do Sul to exercise considerable political leverage . Real power resided in the coffee - growing states of the Southeast -- São Paulo , Minas Gerais , and Rio de Janeiro -- which produced the most export revenue . Those three and Rio Grande do Sul harvested 60 % of Brazil 's crops , turned out 75 % of its industrial and meat products , and held 80 % of its banking resources .   Brazil in world War I ( edit )   Preceding ( edit )  See also : South American dreadnought race  Following the Declaration of the Republic in 1889 , there were many political and social rebellions that had to be subdued by the regime , such as the Two Naval Revolts ( 1891 &amp; 1893 -- 94 ) , the Federalist Rebellion ( 1893 -- 95 ) , War of Canudos ( 1896 -- 97 ) , Vaccine Revolt ( 1904 ) , Revolt of the Whip ( 1910 ) and the Revolt of Juazeiro ( `` Sedição de Juazeiro '' , 1914 ) . Therefore , with the onset of World War I , Brazilian elites were interested in studying the events of the Mexican Revolution with more attention than those related to the War in Europe .   By 1915 it was also clear that the Brazilian elites were dedicated to making sure Brazil followed a conservative political path , meaning they were unwilling to embark upon courses of action , whether domestically ( i.e. adopting the secret ballot and universal suffrage ) or in foreign affairs ( making alliances or long - term commitments ) , that could have unpredictable consequences and potentially risk the social , economic and political positions held by the Brazilian elite . This course of conduct would extend throughout the 20th century , an isolationist foreign policy interspersed with sporadic automatic alignments against `` disturbing elements of peace and international trade ''   In August 1916 , after almost four years , another rebellion , the Contestado War ended .   Since the end of the 19th century , many immigrants from Europe had arrived , and with them came communist and anarchist ideas , which created problems for the very conservative regime of large estate owners ( aka `` Café com Leite '' republic ) . With the growth , masses of industrial workers became unhappy with the system and began engaging in massive protests , mostly in São Paulo and Rio de Janeiro . After a General Strike in 1917 the government attempted to brutally repress the labor movement in order to prevent new movements from beginning . This repression , supported by legislation , was very effective in preventing the formation of real free labor unions .   Ruy Barbosa was the main opposition leader , campaigning for internal political changes . He also stated that due to the natural conflict between Brazilian commercial interests and the Central Powers 's strategic ones ( demonstrated for example in the German submarine campaign as well as in the Ottoman control over the Middle East ) , Brazilian involvement in the war would be inevitable . So he advised that the most logical way to proceed would be to follow the United States , which was working for a peace agreement but as the same time since the sinking of the RMS Lusitania was also preparing for war .   War ( edit )  Main article : Brazil during World War I President Venceslau Brás declares war against the Central Powers in October 1917 .  There were two main lines of thought regarding Brazil 's joining of the war : One , led by Ruy Barbosa called for joining the Entente ; another side worried about the notices of bloody and unfruitful fighting in trenches , nurturing critical and pacifist feelings in the urban worker classes . Therefore , Brazil remained neutral in World War I until 1917 . But internal problems , aggravated by denunciations of corruption created the need for then president Venceslau Brás to deviate attention , something that could be accomplished by focusing on an external enemy to eventually take advantage of a sense of patriotism .   During 1917 , the sinking of Brazilian civilian ships by the German Navy off the French coast created such opportunity . On October 26 the government declared war on the Central Powers ; Germany , Austria - Hungary , and Ottoman Empire . Soon after , the capture of ships from those countries that were on Brazilian coast was ordered and three small military groups were dispatched to the western front . The first one consisted of medical staff from the Army , the second consisted of sergeants and officers , also from the Army , and the third group consisted of military aviators , both of Army and Navy . These groups were attached respectively : the Army 's members to French Army and the Navy 's aviators to British Royal Air Force . By 1918 all three groups were already in action in France .   By that time Brazil had also sent a Naval fleet , the DNOG ( acronym in Portuguese for Naval Division in War Operations ) , commanded by Pedro Max Frontin to join the Allies ' Naval Forces in the Mediterranean .   However , during 1918 , the turbulent social situation that generated in protests against the military recruitment plus the repercussion of then events in Russia only strengthened the provision of the Brazilian elites to remain obstinate with its doctrine of minimal involvement in international conflicts . In addition , the devastating advent of Spanish flu , amongst other reasons , meant that Venceslau Brás ' administration in the end of its Term of office , refrained from getting involved more deeply in the war . Finally , the end of the war in November 1918 , prevented even the government that succeeded the Venceslas Bras , could carry out its plan for war . Despite its modest participation , Brazil gained the right to partake in the Versailles conference .   Demographic changes ( edit )   From 1875 until 1960 , about five million Europeans emigrated to Brazil , settling mainly in the four southern states of São Paulo , Paraná , Santa Catarina , and Rio Grande do Sul . Immigrants came mainly from Portugal , Italy , Germany , Spain , Japan , Poland , and the Middle East . The world 's largest Japanese community outside Japan is in São Paulo . Indigenous full - blooded Indians , located mainly in the northern and western border regions and in the upper Amazon Basin , constitute less than 1 % of the population . Their numbers are declining as contact with the outside world and commercial expansion into the interior increase . Brazilian Government programs to establish reservations and to provide other forms of assistance have existed for years but are controversial and often ineffective . The plurality of Brazilians are of mixed African , European , and Indian lineage . Immigration increased industrialization and urbanization in Brazil .   Developments under the Old Republic ( edit )       This section does not cite any sources . Please help improve this section by adding citations to reliable sources . Unsourced material may be challenged and removed . ( October 2014 ) ( Learn how and when to remove this template message )     Demographic changes and structural shifts in the economy , however , threatened the primacy of the agrarian oligarchies . Under the Old Republic ( 1889 -- 1930 ) , the growth of the urban middle sectors , though retarded by dependency and entrenched oligarchy , was eventually strong enough to propel itself to the forefront of Brazilian political life . In time , growing trade , commerce , and industry in São Paulo undermined the domination of the republic 's politics by the landed gentries of that state ( dominated by the coffee industry ) and Minas Gerais , dominated by dairy interests , known then by observers as the politics of café com leite ; ' coffee with milk ' .  President Artur Bernardes ( 1922 - 1926 ) and ministers of state , 1922 . National Archives of Brazil .  Long before the first revolts of the urban middle classes to seize power from the coffee oligarchs in the 1920s , however , Brazil 's intelligentsia , influenced by the tenets of European positivism , and farsighted agro-capitalists , dreamed of forging a modern , industrialized society -- the `` world power of the future '' . This sentiment was later nurtured throughout the Vargas years and under successive populist governments before the 1964 military junta repudiated Brazilian populism . Although such lofty visionaries were somewhat ineffectual under the Old Republic ( 1889 -- 1930 ) , the structural changes in the Brazilian economy opened up by the Great War strengthened these demands .   The outbreak of World War I in August 1914 was the turning point for the dynamic urban sectors . Temporarily abating Britain 's overseas economic connections with Brazil , the war was an impetus for domestic manufacturing because of the unavailability of British imports . These structural shifts in the Brazilian economy helped to increase the ranks of the new urban middle classes . Meanwhile , Brazil 's manufacturers and those employed by them enjoyed these gains at the expense of the agrarian oligarchies . Coffee being a nonessential though habit - forming product which affords it a measure of stability and resilience , world demand declined sharply . The central government , dominated by rural gentries , responded to falling world coffee demand by bailing out the oligarchs , reinstating the soon - to - be disastrous valorization program . Sixteen years later , world coffee demand plunged even more precipitously with the Great Depression . Valorization , government intervention to maintain coffee prices by withholding stocks from the market or restricting plantings , then proved to be unsustainable , incapable of curbing insurmountable decline in coffee prices in world markets . By World War I , the reinstatement of government price supports foreshadowed the vulnerability of Brazil 's coffee oligarchy to the Great Depression .   Paradoxically , economic crisis spurred industrialization and a resultant boost to the urban middle and working classes . The depressed coffee sector freed up the capital and labor needed for manufacturing finished goods . A chronically adverse balance of trade and declining rate of exchange against foreign currencies was also helpful ; Brazilian goods were simply cheaper in the Brazilian market . The state of São Paulo , with its relatively large capital - base , large immigrant population from Southern and Eastern Europe , and wealth of natural resources , led the trend , eclipsing Rio de Janeiro as center of Brazilian industry . Industrial production , though concentrated in light industry ( food processing , small shops , and textiles ) doubled during the war , and the number of enterprises ( which stood at about 3,000 in 1908 ) grew by 5,940 between 1915 and 1918 . The war was also a stimulus for the diversification of agriculture . Growing wartime demand of the Allies for staple products , sugar , beans , and raw materials sparked a new boom for products other than sugar or coffee . Foreign interests , however , continued to control the more capital - intensive industries , distinguishing Brazil 's industrial revolution from that of the rest of the West .   Struggle for reform ( edit )   With manufacturing on the rise and the coffee oligarchs imperiled , the old order of café com leite and coronelismo eventually gave way to the political aspirations of the new urban groups : professionals , government and white - collar workers , merchants , bankers , and industrialists . Increasing support for industrial protectionism marked 1920s Brazilian politics with little support from a central government dominated by the coffee interests . Under considerable middle class pressure , a more activist , centralized state adapted to represent the interests that the new bourgeoisie had been demanded for years -- one that could utilize a state interventionist policy consisting of tax breaks , lowered duties , and import quotas to expand the domestic capital base . Manufacturers , white - collar workers , and the urban proletariat alike had earlier enjoyed the respite of world trade associated with World War I . However , the coffee oligarchs , relying on a devolved power structure relegating power to their own patrimonial ruling oligarchies , were certainly not interested in regularizing Brazil 's personalistic politics or centralizing power . Getúlio Vargas , leader from 1930 to 1945 and later for a brief period in the 1950s , would later respond to these demands .   During this time period , the state of São Paulo was at the forefront of Brazil 's economic , political , and cultural life . Known colloquially as `` locomotive pulling the 20 empty boxcars '' ( a reference to the 20 other states ) and still today Brazil 's industrial and commercial center , São Paulo led this trend toward industrialization due to the foreign revenues flowing into the coffee industry .   Prosperity contributed to a rapid rise in the population of recent working class Southern and Eastern European immigrants , a population that contributed to the growth of trade unionism , anarchism , and socialism . In the post-World War I period , Brazil was hit by its first wave of general strikes and the establishment of the Communist Party in 1922 .   Meanwhile , the divergence of interests between the coffee oligarchs -- devastated by the Depression -- and the burgeoning , dynamic urban sectors was intensifying . According to prominent Latin American historian Benjamin Keen , the task of transforming society `` fell to the rapidly growing urban bourgeois groups , and especially to the middle class , which began to voice even more strongly its discontent with the rule of the corrupt rural oligarchies '' . In contrast , the labor movement remained small and weak ( despite a wave of general strikes in the postwar years ) , lacking ties to the peasantry , who constituted the overwhelming majority of the Brazilian population . As a result , disparate social reform movements would crop up in the 1920s , ultimately culminating in the Revolution of 1930 . The 1920s revolt against the seating of Artur da Silva Bernardes as president signaled the beginning of a struggle by the urban bourgeoisie to seize power from the coffee - producing oligarchy .   This era sparked the failed but famed tenente ( lieutenant ) rebellion as well . Junior military officers , who had long been active against the ruling coffee oligarchy , staged their own failed revolt in 1922 amid demands for various forms of social modernization , calling for agrarian reform , the formation of cooperatives , and the nationalization of mines . In this historical setting , Getúlio Vargas emerged as president about a decade later .   Notes ( edit )    ^ Jump up to : Hudson , Rex A. Brazil : A Country Study . Washington : GPO for the Library of Congress , 1997 , pg. 22   Jump up ^ Smallman , Shawn C. `` Fear &amp; Memory : in the Brazilian Army &amp; Society , 1889 -- 1954 '' The University of North Carolina Press 2002 ISBN 0 - 8078 - 5359 - 3 pages 17 -- 22   Jump up ^ Ibidem - Smallman 2002   Jump up ^ Ignacy Sachs , Jorge Wilheim &amp; Paulo S. Pinheiro ; `` Brazil : a century of change '' University of North Carolina Press 2009 pages 58 &amp; 63   Jump up ^ Smith , Joseph `` Brazil and the United States ; convergence and divergence '' University of Georgia Press 2010 , page 39   Jump up ^ Brassey , Thomas Allnutt `` The Naval Annual ; 1894 '' Elibron Classics / Adamant Media Corporation 2006</t>
  </si>
  <si>
    <t xml:space="preserve">what year saw the formation of the brazilian republic</t>
  </si>
  <si>
    <t xml:space="preserve"> On November 15 , 1889 Marshal Deodoro da Fonseca deposed Emperor Dom Pedro II , declared Brazil a republic , and reorganized the government . </t>
  </si>
  <si>
    <t xml:space="preserve">List of major League baseball career batting average Leaders - wikipedia  List of major League baseball career batting average Leaders  Jump to : navigation , search Ty Cobb , the all - time leader in career batting average .  In baseball , the batting average ( BA ) is defined by the number of hits divided by at bats . It is usually reported to three decimal places and pronounced as if it were multiplied by 1,000 : a player with a batting average of . 300 is `` batting three - hundred . '' A point ( or percentage point ) is understood to be . 001 . If necessary to break ties , batting averages could be taken to more than three decimal places .   Outfielder Ty Cobb , whose career ended in 1928 , has the highest batting average in Major League Baseball ( MLB ) history . He batted . 366 over 24 seasons , mostly with the Detroit Tigers . In addition , he won a record 11 batting titles for leading the American League in BA over the course of an entire season . He batted over . 360 in 11 consecutive seasons from 1909 to 1919 . Rogers Hornsby has the second highest BA of all - time , at . 358 . He won seven batting titles in the National League ( NL ) and has the highest NL average in a single season since 1900 , when he batted . 424 in 1924 . He batted over . 370 in six consecutive seasons .   Shoeless Joe Jackson is the only other player to finish his career with a . 350 batting average . He batted . 356 over 13 seasons before he was permanently suspended from organized baseball in 1921 for his role in the Black Sox Scandal . Lefty O'Doul first came to the major leagues as a pitcher , but after developing a sore arm , he converted to an outfielder and won two batting titles . The fifth player on the list , and the last with at least a . 345 BA , is Ed Delahanty . Delahanty 's career was cut short when he fell into the Niagara Falls and died during the 1903 season .   The last player to bat . 400 in a season , Ted Williams , ranks tied for seventh on the all - time career BA list . Babe Ruth hit for a career . 342 average and is tied for ninth on the list . Miguel Cabrera holds the highest career batting average among active players .     Contents  ( hide )   1 Key   2 List   3 See also   4 Notes   5 Sources      Key ( edit )     Rank   Rank amongst leaders in career batting average . A blank field indicates a tie .     Player   Name of the player .     BA   Total career batting average .     *   Denotes elected to National Baseball Hall of Fame .     Bold   Denotes active player .     List ( edit )    Stats updated as of September 17 , 2017 .      Rank   Player   BA       Ty Cobb *   . 3664       Rogers Hornsby *   . 3585       Shoeless Joe Jackson   . 3558       Lefty O'Doul   . 3493     5   Ed Delahanty *   . 3458     6   Tris Speaker *   . 3447     7   Billy Hamilton *   . 3444       Ted Williams *   . 3444     9   Dan Brouthers *   . 3421       Babe Ruth *   . 3421     11   Dave Orr   . 3420     12   Harry Heilmann *   . 3416     13   Pete Browning   . 3415     14   Willie Keeler *   . 3413     15   Bill Terry *   . 3412     16   Lou Gehrig *   . 3401       George Sisler *   . 3401     18   Jesse Burkett *   . 3382       Tony Gwynn *   . 3382       Nap Lajoie *   . 3382     21   Jake Stenzel   . 3378     22   Riggs Stephenson   . 3361     23   Al Simmons *   . 3342     24   Cap Anson *   . 3341     25   John McGraw *   . 3336     26   Eddie Collins *   . 3332       Paul Waner *   . 3332     28   Mike Donlin   . 3326     29   Sam Thompson *   . 3314     30   Stan Musial *   . 3308     31   Bill Lange   . 3298       Heinie Manush *   . 3298     33   Wade Boggs *   . 3279     34   Rod Carew *   . 3278     35   Honus Wagner *   . 3276     36   Tip O'Neill   . 3260     37   Hugh Duffy *   . 3255       Bob Fothergill   . 3255     39   Jimmie Foxx *   . 3253     40   Earle Combs *   . 3247     41   Joe DiMaggio *   . 3246     42   Babe Herman   . 3245     43   Joe Medwick *   . 3236     44   Edd Roush *   . 3227     45   Sam Rice *   . 3223     46   Ross Youngs *   . 3222     47   Kiki Cuyler *   . 3210     48   Charlie Gehringer *   . 3204     49   Chuck Klein *   . 3201     50   Mickey Cochrane *   . 3196       Rank   Player   BA       Pie Traynor *   . 3196     52   Ken Williams   . 3192     53   Kirby Puckett *   . 3181     54   Earl Averill *   . 3178     55   Vladimir Guerrero   . 3176       Arky Vaughan *   . 3176     57   Bill Everitt   . 3174     58   Roberto Clemente *   . 3173       Joe Harris   . 3173     60   Chick Hafey *   . 3170     61   Joe Kelley *   . 3169     62   Miguel Cabrera   . 3168     63   Zack Wheat *   . 3167     64   José Altuve   . 3165     65   Roger Connor *   . 3164       Todd Helton   . 3164       Lloyd Waner *   . 3164     68   George Van Haltren   . 3163     69   Frankie Frisch *   . 3161     70   Goose Goslin *   . 3160     71   Lew Fonseca   . 3158     72   Bibb Falk   . 3145     73   Cecil Travis   . 3142     74   Hank Greenberg *   . 3135     75   Jack Fournier   . 3132     76   Joey Votto   . 3131     77   Elmer Flick *   . 3130     78   Ed Morgan   . 3128     79   Nomar Garciaparra   . 3127       Larry Walker   . 3127     81   Bill Dickey *   . 3125     82   Dale Mitchell   . 3122       Manny Ramírez   . 3122     84   Johnny Mize *   . 3121       Joe Sewell *   . 3121     86   Fred Clarke *   . 3120       Deacon White *   . 3120     88   Bug Holliday   . 3119     89   Barney McCosky   . 3118       Ichiro Suzuki   . 3118     91   Hughie Jennings *   . 3117     92   Edgar Martínez   . 3115     93   Johnny Hodapp   . 3114       Freddie Lindstrom *   . 3114     95   Bing Miller   . 3113       Jackie Robinson *   . 3113     97   Baby Doll Jacobson   . 3112       Taffy Wright   . 3112     99   Rip Radcliff   . 3110     100   Ginger Beaumont   . 3108     See also ( edit )    Baseball portal     List of Major League Baseball players with a . 400 batting average in a season   List of Major League Baseball career on - base percentage leaders   List of Major League Baseball career slugging percentage leaders   List of Major League Baseball career OPS leaders    Notes ( edit )    Jump up ^ A player is considered inactive if he has announced his retirement or not played for a full season .    Sources ( edit )    Baseball-Reference.com      ( hide )         Major League Baseball records     Baseball statistics ( types of records )     General     Record holders   Single - game records   Single - season records   Record breakers by season   Records considered unbreakable       Batting leaders      Career     Batting average   On - base percentage   Times on base   Slugging percentage   OPS   Hits   3,000 club   Progressive     Singles   Doubles   Triples   Home runs   500 club   Progressive     Extra base hits   RBIs   Total bases   Walks   Intentional     HBP   Strikeouts   Games played   At - bats   Plate appearances       Annual     Batting average   Doubles   Triples   Home runs   RBI       Season     Batting average   Triples   Home run   Progressive         Game     Home runs   Hitting for the cycle   Grand slams   RBI   Game   Inning     Hits       Misc     Consecutive game hitting streak   On - base plus slugging   Hits   Home runs   Doubles   Triples   RBIs          Baserunning leaders      Career     Runs   Stolen bases       Annual     Runs   Stolen bases       Game     Runs       Misc     Stolen bases   Runs          Pitching leaders      Career     Wins   300 club     Losses   Games started   Games finished   Innings pitched   Strikeouts   3,000 club     Saves   Complete games   Shutouts   ERA   WHIP   Walks   Hit batsmen   Wild pitches   Batters faced       Annual     Wins   Saves   Shutouts   Strikeouts   ERA       Game     No - hitter   Perfect game   List of perfect games     Strikeouts   Game   Inning   Immaculate innings         Misc     Wins          Fielding leaders      Career     Putouts     1B   2B   SS   3B   OF   LF   CF   RF         Errors     1B     Assists   Passed balls       Annual     Putouts   Errors          Managing records     Wins and winning percentage       Multiple stat records     Triple Crown   20 -- 20 -- 20 club   30 -- 30 club   40 -- 40 club       Other     Consecutive games played   Longest winning streaks   Longest losing streaks        ^ Jump up to : `` Career Leaders &amp; Records for Batting Average '' . Baseball-Reference.com . Retrieved July 5 , 2013 .   Jump up ^ `` Ty Cobb Statistics and History '' . Baseball-Reference.com . Retrieved November 18 , 2010 .   Jump up ^ `` Rogers Hornsby Statistics and History '' . Baseball-Reference.com . Retrieved November 18 , 2010 .   Jump up ^ `` SportsCenter Flashback : The Chicago Black Sox banned from baseball '' . ESPN Classic . ESPN Internet Ventures . Retrieved January 6 , 2013 .   Jump up ^ McKenna , Brian . `` Lefty O'Doul '' . SABR.org . Retrieved January 2 , 2013 .   Jump up ^ `` The Ballplayers -- Ed Delahanty '' . BaseballLibrary.com . The Idea Logical Company , Inc . Archived from the original on December 15 , 2011 . Retrieved November 18 , 2010 .   Jump up ^ Goldstein , Richard ( July 6 , 2002 ) . `` Ted Williams , Red Sox Slugger And Last to Hit . 400 , Dies at 83 '' . The New York Times Company . Retrieved November 18 , 2010 .   Jump up ^ `` Active Leaders &amp; Records for Batting average '' . Baseball-Reference.com . Retrieved July 5 , 2013 .   Retrieved from `` https://en.wikipedia.org/w/index.php?title=List_of_Major_League_Baseball_career_batting_average_leaders&amp;oldid=801283281 '' Categories :   Major League Baseball lists           Talk                                           Contents                   About Wikipedia                                           Português   Edit links   This page was last edited on 18 September 2017 , at 19 : 42 .         About Wikipedia                  </t>
  </si>
  <si>
    <t xml:space="preserve">who has the highest batting average in baseball today</t>
  </si>
  <si>
    <t xml:space="preserve"> The last player to bat . 400 in a season , Ted Williams , ranks tied for seventh on the all - time career BA list . Babe Ruth hit for a career . 342 average and is tied for ninth on the list . Miguel Cabrera holds the highest career batting average among active players . </t>
  </si>
  <si>
    <r>
      <rPr>
        <sz val="11"/>
        <color rgb="FF000000"/>
        <rFont val="Calibri"/>
        <family val="0"/>
        <charset val="1"/>
      </rPr>
      <t xml:space="preserve">Meg Griffin - wikipedia  Meg Griffin  Jump to : navigation , search This article is about the cartoon character . For the DJ , see Meg Griffin ( DJ ) .      This article describes a work or element of fiction in a primarily in - universe style . Please help rewrite it to explain the fiction more clearly and provide non-fictional perspective . ( February 2017 ) ( Learn how and when to remove this template message )       Meg Griffin     Family Guy character         First appearance   `` Death Has a Shadow ''     Created by   Seth MacFarlane     Voiced by     Lacey Chabert ( 1999 -- 2000 )   Mila Kunis ( 1999 -- present )   Tara Strong ( singing voice )       Information     Occupation   High school student     Family     Peter Griffin ( father )   Lois Griffin ( mother )   Chris Griffin ( brother )   Stewie Griffin ( brother )       Nationality   American     Megan `` Meg '' Griffin is a character from the American animated television series Family Guy . The eldest child of the Griffin family , Meg is the family 's scapegoat who receives the least of their attention and bears the brunt of their abuse .   Meg made her first appearance on television when Family Guy debuted on Fox on January 31 , 1999 , with the episode `` Death Has a Shadow '' . Originally voiced by Lacey Chabert during the first season , she has been voiced by Mila Kunis since season 2 , although Chabert returned to voice Meg in Yug Ylimaf and Back to the Pilot .     Contents  ( hide )   1 Personality   2 Voice actors   3 Appearance   4 Social life   5 Family life   6 References   7 External links      Personality ( edit )   Meg is an self - conscious and emotionally fragile teenage girl . She is treated unfairly by her parents and her many insecurities cause her to try desperately to be part of the `` cool crowd '' , which only results in her getting rebuffed by Connie D'Amico , the popular and beautiful yet mean - spirited and superficial head cheerleader of the local high school , James Woods Regional High School . However , another student named Neil Goldman is attracted to her . She is also usually at the bottom of the family 's pecking order and the butt of Peter 's jokes due to her so - called homeliness , meek personality , and unpopularity . Everyone in her family ( except Chris ) makes fun of her : Peter resorts to outrageous stunts and names ; Stewie and Brian employ subtle but effective jokes , but typically choose not to verbalize them in front of Meg ; Lois constantly puts Meg down while boosting her own egotistical image . However , in the episode `` Seahorse Seashell Party '' , she strongly insults and defames her family for their actions against her , causing them to distance themselves in shame and sending Peter and Lois into a depression , though she later apologizes . On one occasion , the whole family even goes as far as to read her diary and mock her deepest secrets . However , on some occasions the family 's true love for her has been proven , mostly by Chris . She has been so self - conscious and insecure about herself that she has engaged in dangerous sexual behavior just for attention . She is also prone to violent releases of her repressed rage , as shown in `` Road to Rupert '' , when she assaults a man who insulted her after a fender - bender . Many of the show 's `` Meg '' storylines involve her trying to improve her typical life , trying to find a boyfriend , and reaching breaking points with her family and other bullies . In the episode `` Chris Cross '' , it 's strongly hinted that Meg is working with Dutch neo-Nazis when she orders Chris to retrieve mail she receives from the Netherlands at a private post office box , saying she 's `` sort of part of a group that trashes the Anne Frank house every spring . ''   Voice actors ( edit )   On the season 1 DVD commentary for the Drawn Together episode `` Hot Tub '' , Cree Summer claims she was offered the role to play Meg but was dismissed by the producers . Meg was voiced by an uncredited Lacey Chabert for the first season , and by Mila Kunis in subsequent seasons after Chabert became busy with school and appearing on Party of Five at the time , although some of her work became second season episodes due to production order . Mila Kunis won the role after auditions and a slight rewrite of the character , in part due to her performance on That ' 70s Show . MacFarlane called Kunis back after her first audition , instructing her to speak more slowly , and then told her to come back another time and enunciate more . Once she claimed that she had it under control , MacFarlane hired her . MacFarlane stated that Kunis `` had a very natural quality to Meg '' and she 's `` in a lot of ways ( ... ) almost more right for the character '' . Kunis 's voice is first heard as Meg in Episode 3 of season two `` Da Boom '' , and the voices switch back and forth in the broadcast order until settling on Kunis . Tara Strong provides Meg 's singing voice in `` Do n't Make Me Over '' .    Lacey Chabert ( 1999 -- 2000 )   Mila Kunis ( 1999 -- present )   Tara Strong ( singing voice )    Appearance ( edit )   Meg , like Peter , has brown hair and wears glasses . She also wears a pink beanie even underneath other headgear . Her clothing consists of a pink and white T - shirt , blue jeans , and tan ( later white ) shoes . She occasionally is seen wearing dresses or formal wear usually without her trademark cap . She is slightly shorter than her younger brother Chris . Meg is also self - conscious about her appearance ( `` I 'm so fat and gross . '' ) .   Social life ( edit )   Meg is very unpopular in high school due to both her plain appearance and personality . Meg desperately tries to be part of the cool crowd , but is usually coldly rebuffed . She is also usually the butt of Peter 's jokes due to her perceived homeliness and tendency towards social awkwardness . Because of her eagerness for acceptance , she has been recruited unknowingly into a suicidal religious cult , and later recruited again unwittingly into her school 's Lesbian Alliance ( `` Brian Sings and Swings '' ) . However , Meg does have a moderate number of friends , the best of which being with a group of girls who are often seen with her during occasions such as her slumber parties and gossiping about boys . In later episodes , these girls , known by the names Beth , Patty , Collette , Esther , and Ruth , are characterized as being highly unpopular and dateless , much like Meg , even saying that she was the only one of them who ever had a boyfriend ( actually a decaying corpse she was `` dating '' ) .   Meg is so unpopular at school that one student fires a nail gun into his own stomach twice ( in shop class ) in order to avoid a date with her , and then in a later episode shoots his own brother as an excuse not to go to a dance with her the following night . On another occasion , Meg and Lois are looking for new clothes for Meg , but with no luck ( a saleswoman ended up pouring gasoline on herself , lighting a match , catching fire , and then jumping out of a window after looking at Meg in a pair of jeans ) . However , she is sought by nerd Neil Goldman . In `` 8 Simple Rules for Buying My Teenage Daughter '' , Neil starts dating a girl named Cecilia , Meg becomes instantly jealous and pretends to date Jake Tucker to make him jealous . This leads to her signing a contract to become Neil 's girlfriend and ( not knowing at first ) his slave , but she gets him to tear up the contract after Lois seduces him . Perverted neighbor Glenn Quagmire has shown a repeated interest in her , mostly due to his very low standards , asking if she has reached the age of consent . Quagmire comes close to succeeding when Lois tells Peter to back off after he was ruining Meg and Quagmire 's ' dates ' . Then , they rescue Meg after Glenn takes her to his cabin , Peter and Lois arriving in time before anything happens . In several episodes she is shown dating , including stories with characters Mayor Adam West and nudist Jeff Campbell . She also loses her virginity unknowingly on live television to Saturday Night Live host Jimmy Fallon after having a drastic makeover ; but , before all that happens , she goes out with a rebel at her school named Craig Hoffman . In `` Jerome is the New Black '' , Jerome , an old flame of Lois 's and Peter 's new friend , admits to having sex with Meg , to which Peter replies indifferently .   In the episode `` Brian Sings and Swings '' , a lesbian student named Sarah invites Meg to join in her Lesbian Alliance Club , with Meg not knowing at first what kind of club it was . Desperate to fit in , she pretends to be a lesbian and also pretends to be attracted to Sarah and even goes so far as to kiss her to prove it . At the end of the episode , Meg goes over to Sarah 's house to admit she lied about being a lesbian ( Sarah thought that Meg came over to have sex and even undresses when Meg is telling her that she lied ) , much to Glenn 's ( who was hiding in Sarah 's closet ) disappointment . She also used to have a crush on anchorman Tom Tucker , but it ended after she discovered his vanity and selfishness .   In other episodes , she is portrayed as chronically incapable of finding a boyfriend . For her Junior Prom she accepts a pity date from Brian , the family dog and only after threatening suicide .   Earlier in season 2 , she dated Joe Swanson 's son Kevin Swanson , but in `` Stew - Roids '' it is mentioned that Kevin died in Iraq . In the episode , `` Prick Up Your Ears '' , she dates a boy named Doug , but he breaks up with her when he sees her naked right before almost having sex . In the episode `` Peter 's Daughter '' , Meg falls in love with a medical student named Michael Milano after coming out of a short coma ( caused by Peter when he asked her to `` rescue '' beer and make him a sandwich out of an already flooded kitchen ) and they start to date . After he breaks up with Meg ( because of Peter being overprotective of her after promising that if she came out of the coma , he would `` treat her like a princess '' ) , she announces that she is pregnant by Michael and the two get engaged . After finding out that she is not actually pregnant , Meg tells Michael the truth hoping that he will stay , however , Michael quickly leaves Meg at the altar . In the episode `` Dial Meg for Murder '' , she is dating a convict , while in the episode `` Go , Stewie , Go ! '' she dates an attractive young man named Anthony , who is absolutely normal ( much to the surprise of many of the other characters ) . They were so shocked that they had to do tests just to see if he was completely normal which annoyed Meg . It is presumed that she broke up with him after he and Lois had an affair . Meg also shows extremely possessive behavior when she encounters someone she believes she has a romantic connection with such as kidnapping Brian and detaining Bonnie Swanson at the airport by planting a gun in her purse . Overall , Meg has shown romantic interest in and dated several men throughout the series . However , there have been several instances in which she has shown hints of being bisexual or a lesbian : examples of this include `` Brian Sings and Swings '' , `` Stew - Roids '' , and `` Dial Meg for Murder '' .   In November 2016 , when asked by Splitsider if the writers will further develop the characters of Chris and Meg in future episodes , showrunner Alec Sulkin confirmed that the series crew members are working on doing so and added that there are plans for an episode where Meg comes out as a lesbian , taking inspiration from previous instances in which she exhibited signs of lesbian characteristics , like when she joins a lesbian alliance group at school in `` Brian Sings and Swings '' and is identified as a transgender man named `` Ron '' in Stewie Griffin : The Untold Story , the latter which takes place in the future . However , Sulkin also noted that the plotline has not yet been finalized and thus is n't officially set to be used in an episode .   Family life ( edit )   In the first three seasons of the show , Meg 's family often inadvertently humiliated her due to their bumbling or stupidity , though they cared for her and meant well . In the post-cancellation seasons , this began to change as the show started to flesh out the characters to the point where it seems that most of the population of Quahog despise her for no reason other than her simply being `` Meg '' . In an interview , Mila Kunis stated : `` Meg gets picked on a lot . But it 's funny . It 's like the middle child . She is constantly in the state of being an awkward 16 - year - old , when you 're kind of going through puberty and what - not . She 's just in perpetual mode of humiliation , and it 's fun . ''   Meg is also the most misunderstood , at least by Peter , Chris , and others who are shown avoiding her company , disparaging her in person , gathering in her bedroom to read her diary for laughs , etc . Peter reminds Lois , `` We agreed that if we could only save two , we 'd leave Meg ! '' even randomly shooting her when she simply said `` Hi Dad '' ( `` Peter 's Daughter '' ) but despite this he also was going to say `` I love you '' in `` Hell Comes to Quahog '' , and in `` Road to Rupert '' he stated they were ' secret best friends ' before throwing lemonade in her face , saying he would have to continue to treat her badly in public in order to maintain his reputation due to `` peer pressure '' , thus giving hope that they may be on good terms . Occasionally , when Meg asks a question to Peter or just speaks when he is in the room , Peter responds by saying `` Shut up , Meg , '' which is immediately followed by a line from another character .   When the family tries an anger management technique of writing letters and not sending them , Meg finds Peter 's letter to her , which says , `` Dear Meg , for the first four years of your life , I thought you were a house cat . '' And in Peter 's short story of her birth , they had to go back to get her once they realized they grabbed the afterbirth . In the episode `` Stewie Kills Lois '' , Peter tells guests on a cruise ship about how he and Lois had gone to get an abortion but decided against it when they arrived at the clinic and found out the abortionist had one hand . He then says `` two and a half months later , our daughter Meg was born '' -- indicating that they had tried to abort her when Lois was already over six months pregnant . Another hint to this is when Meg is in the car with Lois and at an attempt to make civilized conversation , says , `` Hey Meg , did you know that if you 're on birth control and you take an antibiotic it makes it not work ? ' Cause no one told me ! I just thought you should know '' and laughs awkwardly . On Meg 's 17th birthday , her mother and father both try to hide from Meg that they do not remember her age . Peter states that Meg sucks in the episode `` PTV '' , and Chris says that people think the same thing about her in `` Long John Peter '' . In `` Not All Dogs Go to Heaven '' , Brian says to Meg 's face that she lives in a home `` where nobody respects or cares about ( her ) , not even enough to get ( her ) a damn mumps shot ! '' Chris , however , seems to have more of a typical brother - sister relationship with Meg , with Chris telling those who abuse her that it is never her fault . Chris , at one point , threatened to quit his job at the local mini-mart if his boss did n't re-hire Meg ( at the insistence of Lois ) . Like Chris , Meg has an anthropomorphic monkey in her closet , and although she has proved it , her family coldly state that they were talking about Chris ' , not hers . Cleveland comments to Peter `` Meg is my least favorite of your children . ''   Apparently , a double standard also exists against Meg , further underscoring the mistreatment she suffers from the people around her . In `` Big Man on Hippocampus '' , an episode wherein Peter loses his memory , as he reacquaints himself with the pleasures of sex , Lois tells him that it is inappropriate to have sex with his own children ; in response , Meg attempts an incest joke . She then lambastes her for this and kicks her out of the room . However , in the season finale `` Partial Terms of Endearment '' , Lois tells a joke that implies that it was Meg that gave birth to Stewie , and apart from a shocked reaction from the latter , Lois receives no such violent reaction . Additionally , in `` Model Misbehavior '' , when Lois starts a modeling career , Peter states that he will pleasure himself to Lois ' pictures , followed by Chris and Meg both exclaiming `` Me too ! '' to which Peter shouts `` Oh God , Meg , that 's sick ! That 's your mother ! '' , ignoring the fact that Chris said the same thing . Meg responded by saying `` I was only trying to fit in ! '' Peter immediately kicked her out of the house . Later , during an unrelated conversation , when she spoke , he said `` Meg , who let you back in the house ? ''   Brian 's attention softens the lack of respect from Peter and the neighbors ; he admits that he cares for Meg when she goes out with Mayor Adam West . Lois has also often shown sympathy for Meg , for example , taking her to Spring Break at the beach . Lois very often comforts Meg when she is down ; however , she gives up one attempt after 45 minutes and gives her a Sylvia Plath novel and a bottle of Ambien , and with a `` Whatever happens , happens , '' leaves Meg to her misery . One of the most cruel examples comes in the episode `` You Ca n't Do That On Television , Peter '' . When Peter is mauled by a puma , Meg uses medical training to save his life . However , no one thanks her afterward and when she tries to point it out , Peter just tells her to get him water .   The family 's treatment of Meg finally reaches her limit in `` Dial Meg for Murder '' when Meg emerges from a short stint in a Young Offenders Institution as a hardened criminal , abusing her family and beating up anyone who makes fun of her . It is only after a conversation with Brian that she changes her ways . However , it comes to a head once again in `` Seahorse Seashell Party '' , when Meg finally grows tired of her mistreatment and lashes out against Lois and Peter , informing them of their own flaws . Lois condescendingly tells Meg that she is simply taking her own problems out on everyone else invoking Meg to bring up her mother 's delinquent past . Meg tells her that she is far from the perfect parent , harshly berates her for constantly and ruthlessly pointing out Meg 's shortcomings . Lois tries to justify that she 's a better person because of her past and she is open that she is n't the perfect parent , but Meg tells her that she 's the farthest thing from and states how she has neglected to protect her from harm and guide her through life . Meg also informs Lois that when she turns 18 , she may never want to see her again .   This breaks Lois ' heart and she finally admits that she 's been a terrible mother to Meg . Finally , Meg turns on Peter who , unable to comprehend her insults , thinks that his daughter 's argument is amusing , even when she points out Peter 's destructive tendencies and that he would go to jail if someone could witness his negative treatment towards her . It dawns on Peter that he is being insulted when Meg calls him a `` waste of a man . '' A disillusioned Peter asks Lois to tell Meg to `` knock it off , '' but Lois refuses because he did n't stick up for her . Within moments , Peter turns his abusive criticisms and insults on Chris and Lois . Peter finally runs to his room crying , with Lois running after him , leaving Meg and Chris behind , who is now fully recovered from his trip ( he had smoked marijuana prior to the argument ) , to discuss what just happened . Chris likes that Meg stood up for herself , but she sadly tells him that even though she meant every word , seeing Peter turn on everyone like wolves has made her think that it is ultimately her non-ideal role to serve as the Griffins ' `` lightning rod that absorbs all the dysfunction '' . He commends her on her maturity , and even goes on to say that Meg is the `` strongest person '' in the family . She soon apologizes to the others and says that she is actually the one at fault ; Peter asks Chris if she is a `` bitch '' , to which he proudly responds `` Yes , yes she is , '' and the family reconciles . Since this episode , the abuse that Meg receives begins to fade away as a storyline . She also notices that Peter 's pro wrestler sister Karen treats Peter exactly the way Peter treats her , and they bond over this with a plan to embarrass Karen at a wrestling show -- which goes awry when Meg hits her with a metal folding chair instead of a breakaway one and injures Karen to the point where she ends up in a coma and ( as it is implied ) possibly will die from her injuries without a blood transfusion .   References ( edit )    Jump up ^ IMDB -- Family Guy -- Stew - Roids ( 2009 ) Movie Connections   Jump up ^ Aurthur , Kate ( 2005 - 07 - 12 ) . `` Sharing the Ratings Spoils '' . The New York Times . Retrieved 2009 - 03 - 26 .   Jump up ^ Lacey Chabert interview by GameSpy ( October 6 , 2006 ) - Sonic Retro   ^ Jump up to : `` Family Guy -- Casting Mila Kunis '' . The Paley Center for Media . Retrieved 2010 - 09 - 20 .   Jump up ^ `` Interview with Seth MacFarlane '' . IGN . Retrieved 2009 - 12 - 17 .   Jump up ^ Eggerton , John ( 2005 - 06 - 06 ) . `` Fox Swears By Family Guy '' . Broadcasting &amp; Cable . Archived from the original on September 27 , 2012 . Retrieved 2009 - 03 - 26 .   Jump up ^ Planet Family Guy - Character guide - Meg Griffin   Jump up ^ Mila Kunis talks about working on Family Guy `` : EveryJoe - Sports and Entertainment News Archived October 19 , 2008 , at the Wayback Machine .   Jump up ^ Movie Reviews , Articles , Trailers , and more at Metacritic   ^ Jump up to : `` Barely Legal '' . Family Guy . Season 5 . Episode 8 . 2006 - 12 - 17 . Fox . I 'm so fat and gross !   Jump up ^ `` Chitty Chitty Death Bang '' . Family Guy . Season 1 . Episode 3 . 1999 - 04 - 18 . Fox .   Jump up ^ `` Brian Sings and Swings '' . Family Guy . Season 4 . Episode 19 . 2006 - 01 - 08 . Fox .   Jump up ^ `` Fifteen Minutes of Shame '' . Family Guy . Season 2 . Episode 12 . 2000 - 04 - 25 . Fox .   Jump up ^ `` The Thin White Line '' . Family Guy . Season 3 . Episode 1 . 2001 - 11 - 07 . Fox . Are you 18 yet ?   Jump up ^ `` The Story on Page One '' . Family Guy . Season 2 . Episode 19 . 2000 - 07 - 18 . Fox .   Jump up ^ `` From Method to Madness '' . Family Guy . Season 3 . Episode 18 . 2002 - 01 - 24 . Fox .   Jump up ^ `` Do n't Make Me Over '' . Family Guy . Season 4 . Episode 4 . 2005 - 06 - 05 . Fox .   Jump up ^ Newman , Vicki ( November 27 , 2016 ) . `` Family Guy 's Meg Griffin ' to come out as lesbian ' ... but will she still go on to become transgender man Ron ? '' . Mirror . Retrieved April 19 , 2017 .   Jump up ^ Ennis , Dawn ( November 28 , 2016 ) . `` Is Meg Griffin of ' Family Guy ' About to Come Out as a Lesbian ? '' . LGBTQ Nation . Retrieved April 19 , 2017 .   Jump up ^ `` IGN 's Top 25 Family Guy Characters '' . IGN . May 27 , 2009 . Retrieved 2011 - 03 - 13 .   Jump up ^ De Leon , Kris ( September 25 , 2007 ) . `` Mila Kunis Talks About Working on Family Guy and Her Upcoming Movie '' . BuddyTV . Retrieved September 3 , 2009 .   Jump up ^ `` Stuck Together , Torn Apart '' . Family Guy . Season 3 . Episode 19 . 2002 - 01 - 31 . Fox Broadcasting Company .   Jump up ^ `` Petergeist '' . Family Guy . Season 4 . Episode 26 . 2006 - 05 - 07 . Fox . Oh yeah right like I 'm going back for Meg   Jump up ^ `` Lethal Weapons '' . Family Guy . Season 3 . Episode 7 . 2001 - 08 - 22 . Fox .   Jump up ^ `` Peter 's Two Dads '' . Family Guy . Season 5 . Episode 10 . 2007 - 02 - 11 . Fox .   Jump up ^ `` Breaking Out Is Hard to Do '' . Family Guy . Season 4 . Episode 9 . 2005 - 07 - 17 . Fox Broadcasting Company .   ^ Jump up to : `` Hell Comes to Quahog '' . Family Guy . Season 5 . Episode 3 . 2006 - 09 - 24 . Fox .   Jump up ^ `` Big Man on Hippocampus '' . Family Guy . Season 8 . Episode 10 . 2010 - 01 - 03 . Fox . `` I wish you 'd told him that before he lost his memory ! '' - Meg , after Lois tells Peter he can not have sex with the children   Jump up ^ `` Partial Terms of Endearment '' . Family Guy . Season 8 . Episode 21 . 2010 - 06 - 20 . Fox .    External links ( edit )    Meg Griffin at Fox.com   Meg Griffin on IMDb   Mila Kunis on Meg Griffin      ( hide )         Family Guy     Characters      Griffin family     Peter   Lois   Meg   Chris   Stewie   Brian       Other characters     Quagmire   Cleveland   Adam West   Herbert   Cleveland Jr .          Production     Cast members   Guest stars   Writers   Awards       Media releases     The Life of Larry shorts   Stewie Griffin : The Untold Story   Live in Vegas       Seasons             5   6   7   8   9   10   11   12   13   14   15   16       Hallmarks     Road to ... episodes   Star Wars episodes       Merchandise     Home video       Video games     Family Guy Video Game ! ( 2006 )   Family Guy Online ( 2012 )   Back to the Multiverse ( 2012 )   Family Guy : The Quest for Stuff ( 2014 )   Family Guy : Another Freakin ' Mobile Game ( 2017 )       See also     Criticism   Night of the Hurricane   The Cleveland Show   American Dad !   Animation Domination   `` Cartoon Wars Part I ''   `` Cartoon Wars Part II ''         Book   Portal          Family Guy portal   Animation portal   Television portal   Comedy portal   Fictional characters portal   Retrieved from `` https://en.wikipedia.org/w/index.php?title=Meg_Griffin&amp;oldid=812310814 '' Categories :   Family Guy characters   Child characters in television   Teenage characters in television   Fictional American people of Irish descent   Fictional characters from Rhode Island   Fictional characters introduced in 1999   Animated human characters   Female characters in animation   Fictional characters who have attempted suicide   Fictional victims of child abuse   Hidden categories :   Webarchive template wayback links   Articles that need to differentiate between fact and fiction from February 2017   All articles that need to differentiate between fact and fiction   Pages using deprecated image syntax           Talk                                           Contents                   About Wikipedia                                           Dansk   Ελληνικά   Español   فارسی   Gaeilge   Galego   Bahasa Indonesia   Italiano   עברית   ქართული   Latviešu   Magyar   Nederlands   Norsk   Polski   Português   Русский   Simple English   Suomi   Svenska   Türkçe   </t>
    </r>
    <r>
      <rPr>
        <sz val="11"/>
        <color rgb="FF000000"/>
        <rFont val="Noto Sans CJK SC"/>
        <family val="2"/>
      </rPr>
      <t xml:space="preserve">中文   </t>
    </r>
    <r>
      <rPr>
        <sz val="11"/>
        <color rgb="FF000000"/>
        <rFont val="Calibri"/>
        <family val="0"/>
        <charset val="1"/>
      </rPr>
      <t xml:space="preserve">Edit links   This page was last edited on 27 November 2017 , at 05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</si>
  <si>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did meg griffin voice in season 1</t>
  </si>
  <si>
    <t xml:space="preserve">   Meg Griffin     Family Guy character         First appearance   `` Death Has a Shadow ''     Created by   Seth MacFarlane     Voiced by     Lacey Chabert ( 1999 -- 2000 )   Mila Kunis ( 1999 -- present )   Tara Strong ( singing voice )       Information     Occupation   High school student     Family     Peter Griffin ( father )   Lois Griffin ( mother )   Chris Griffin ( brother )   Stewie Griffin ( brother )       Nationality   American   </t>
  </si>
  <si>
    <t xml:space="preserve">Graphic novel - wikipedia  Graphic novel  Jump to : navigation , search Not to be confused with Visual novel .  Graphic novel   Will Eisner 's A Contract with God ( 1978 ) . Eisner is often credited with having popularized the term `` graphic novel '' .     Comics     Speech balloons     Comics studies       Education   History   by country     Glossary       Methods       Cartooning   Fumetti       Media       Comic book   Comic strip   Editorial cartoon   Gag cartoon   Graphic novel   Webcomic   Webtoon       Community       Awards   Collecting   Publishers       Comics portal                 A graphic novel is a book made up of comics content . Although the word `` novel '' normally refers to long fictional works , the term `` graphic novel '' is applied broadly and includes fiction , non-fiction , and anthologized work . It is distinguished from the term `` comic book '' , which is generally used for comics periodicals .   Fan historian Richard Kyle coined the term `` graphic novel '' in an essay in the November 1964 issue of the comics fanzine Capa - Alpha . The term gained popularity in the comics community after the publication of Will Eisner 's A Contract with God ( 1978 ) and the start of Marvel 's Graphic Novel line ( 1982 ) and became familiar to the public in the late 1980s after the commercial successes of the first volume of Art Spiegelman 's Maus in 1986 and the collected editions of Frank Miller 's The Dark Knight Returns in 1986 and Alan Moore and Dave Gibbons ' Watchmen in 1987 . The Book Industry Study Group began using `` graphic novel '' as a category in book stores in 2001 .     Contents  ( hide )   1 Definition   2 History   2.1 1920s to 1960s   2.2 Modern era   2.3 First self - proclaimed graphic novels : 1976 -- 1978   2.4 Adoption of the term   2.5 European adoption of the term     3 Criticism of the term   4 See also   5 Footnotes   6 References   7 Further reading   8 External links      Definition ( edit )   The term is not strictly defined , though Merriam - Webster 's full dictionary definition is `` a fictional story that is presented in comic - strip format and published as a book '' , while its simplest definition is given as `` cartoon drawings that tell a story and are published as a book '' . In the publishing trade , the term extends to material that would not be considered a novel if produced in another medium . Collections of comic books that do not form a continuous story , anthologies or collections of loosely related pieces , and even non-fiction are stocked by libraries and bookstores as `` graphic novels '' ( similar to the manner in which dramatic stories are included in `` comic '' books ) . The term is also sometimes used to distinguish between works created as standalone stories , in contrast to collections or compilations of a story arc from a comic book series published in book form .   In continental Europe , both original book - length stories such as La rivolta dei racchi ( 1967 ) by Guido Buzzelli , and collections of comics have been commonly published in hardcover volumes , often called `` albums '' , since the end of the 19th century ( including such later Franco - Belgian comics series as The Adventures of Tintin in the 1930s ) .   History ( edit )   As the exact definition of the graphic novel is debated , the origins of the form are open to interpretation .   The Adventures of Obadiah Oldbuck is the oldest recognized American example of comics used to this end . It originated as the 1828 publication Histoire de M. Vieux Bois by Swiss caricaturist Rodolphe Töpffer , and was first published in English translation in 1841 by London 's Tilt &amp; Bogue , which used an 1833 Paris pirate edition . The first American edition was published in 1842 by Wilson &amp; Company in New York City using the original printing plates from the 1841 edition . Another early predecessor is Journey to the Gold Diggins by Jeremiah Saddlebags by brothers J. A. D. and D. F. Read , inspired by The Adventures of Obadiah Oldbuck . In 1894 Caran d'Ache broached the idea of a `` drawn novel '' in a letter to the newspaper Le Figaro and started work on a 360 - page wordless book ( never published ) . In the United States there is a long tradition of reissuing previously published comic strips in book form . In 1897 the Hearst Syndicate published such a collection of The Yellow Kid by Richard Outcault and it quickly became a best seller .   1920s to 1960s ( edit )   The 1920s saw a revival of the medieval woodcut tradition , with Belgian Frans Masereel cited as `` the undisputed king '' of this revival . His works include Passionate Journey ( 1919 ) . American Lynd Ward also worked in this tradition , publishing Gods ' Man , in 1929 and going on to publish more during the 1930s .   Other prototypical examples from this period include American Milt Gross ' He Done Her Wrong ( 1930 ) , a wordless comic published as a hardcover book , and Une Semaine de Bonté ( 1934 ) , a novel in sequential images composed of collage by the surrealist painter Max Ernst . Similarly , Charlotte Salomon 's Life ? or Theater ? ( composed 1941 - 43 ) combines images , narrative , and captions .  The digest - sized `` picture novel '' It Rhymes with Lust ( 1950 ) , one precursor of the graphic novel . Cover art by Matt Baker and Ray Osrin .  The 1940s saw the launching of Classics Illustrated , a comic - book series that primarily adapted notable , public domain novels into standalone comic books for young readers . In 1947 Fawcett Comics published Comics Novel # 1 : `` Anarcho , Dictator of Death '' , a 52 - page comic dedicated to one story . In 1950 , St. John Publications produced the digest - sized , adult - oriented `` picture novel '' It Rhymes with Lust , a film noir - influenced slice of steeltown life starring a scheming , manipulative redhead named Rust . Touted as `` an original full - length novel '' on its cover , the 128 - page digest by pseudonymous writer `` Drake Waller '' ( Arnold Drake and Leslie Waller ) , penciler Matt Baker and inker Ray Osrin proved successful enough to lead to an unrelated second picture novel , The Case of the Winking Buddha by pulp novelist Manning Lee Stokes and illustrator Charles Raab . Presaging Will Eisner 's multiple - story graphic novel A Contract with God ( 1978 ) , cartoonist Harvey Kurtzman wrote and drew the four - story mass - market paperback Harvey Kurtzman 's Jungle Book ( Ballantine Books # 338K ) , published in 1959 .   By the late 1960s , American comic book creators were becoming more adventurous with the form . Gil Kane and Archie Goodwin self - published a 40 - page , magazine - format comics novel , His Name is ... Savage ( Adventure House Press ) in 1968 -- the same year Marvel Comics published two issues of The Spectacular Spider - Man in a similar format . Columnist and comic - book writer Steven Grant also argues that Stan Lee and Steve Ditko 's Doctor Strange story in Strange Tales # 130 -- 146 , although published serially from 1965 -- 1966 , is `` the first American graphic novel '' . Similarly , critic Jason Sacks referred to the 13 - issue `` Panther 's Rage '' -- comics ' first - known titled , self - contained , multi-issue story arc -- that ran from 1973 to 1975 in the Black Panther series in Marvel 's Jungle Action as `` Marvel 's first graphic novel '' .   Meanwhile , in continental Europe , the tradition of collecting serials of popular strips such as The Adventures of Tintin or Asterix led to long - form narratives published initially as serials .   By 1969 , the author John Updike , who had entertained ideas of becoming a cartoonist in his youth , addressed the Bristol Literary Society , on `` the death of the novel '' . Updike offered examples of new areas of exploration for novelists , declaring `` I see no intrinsic reason why a doubly talented artist might not arise and create a comic strip novel masterpiece '' .   Modern era ( edit )  Detail from Blackmark ( 1971 ) by scripter Archie Goodwin and artist - plotter Gil Kane .  Gil Kane and Archie Goodwin 's Blackmark ( 1971 ) , a science fiction / sword - and - sorcery paperback published by Bantam Books , did not use the term originally ; the back - cover blurb of the 30th - anniversary edition ( ISBN 978 - 1 - 56097 - 456 - 7 ) calls it , retroactively , `` the very first American graphic novel '' . The Academy of Comic Book Arts presented Kane with a special 1971 Shazam Award for what it called `` his paperback comics novel '' . Whatever the nomenclature , Blackmark is a 119 - page story of comic - book art , with captions and word balloons , published in a traditional book format . It is also the first with an original heroic - adventure character conceived expressly for this form .   European creators were also experimenting with the longer narrative in comics form . In the United Kingdom , Raymond Briggs was producing works such as Father Christmas ( 1972 ) and The Snowman ( 1978 ) , which he himself described as being from the `` bottomless abyss of strip cartooning '' , although they , along with such other Briggs works as the more mature When the Wind Blows ( 1982 ) , have been re-marketed as graphic novels in the wake of the term 's popularity . Briggs notes , however , `` I do n't know if I like that term too much '' .   First self - proclaimed graphic novels : 1976 -- 1978 ( edit )   In 1976 , the term `` graphic novel '' appeared in print to describe three separate works . Bloodstar by Richard Corben ( adapted from a story by Robert E. Howard ) used the term to define itself on its dust jacket and introduction . George Metzger 's Beyond Time and Again , serialized in underground comics from 1967 to 1972 , was subtitled `` A Graphic Novel '' on the inside title page when collected as a 48 - page , black - and - white , hardcover book published by Kyle &amp; Wheary .   The digest - sized Chandler : Red Tide ( 1976 ) by Jim Steranko , designed to be sold on newsstands , used the term `` graphic novel '' in its introduction and `` a visual novel '' on its cover , although Chandler is more commonly considered an illustrated novel than a work of comics .  Bloodstar ( 1976 ) by Robert E. Howard and artist Richard Corben .  The following year , Terry Nantier , who had spent his teenage years living in Paris , returned to the United States and formed Flying Buttress Publications , later to incorporate as NBM Publishing ( Nantier , Beall , Minoustchine ) , and published Racket Rumba , a 50 - page spoof of the noir - detective genre , written and drawn by the single - name French artist Loro . Nantier followed this with Enki Bilal 's The Call of the Stars . The company marketed these works as `` graphic albums '' .   The first six issues of writer - artist Jack Katz 's 1974 Comics and Comix Co. series The First Kingdom were collected as a trade paperback ( Pocket Books , March 1978 ) , which described itself as `` the first graphic novel '' . Issues of the comic had described themselves as `` graphic prose '' , or simply as a novel .   Similarly , Sabre : Slow Fade of an Endangered Species by writer Don McGregor and artist Paul Gulacy ( Eclipse Books , August 1978 ) -- the first graphic novel sold in the newly created `` direct market '' of United States comic - book shops -- was called a `` graphic album '' by the author in interviews , though the publisher dubbed it a `` comic novel '' on its credits page . `` Graphic album '' was also the term used the following year by Gene Day for his hardcover short - story collection Future Day ( Flying Buttress Press ) .   Another early graphic novel , though it carried no self - description , was The Silver Surfer ( Simon &amp; Schuster / Fireside Books , August 1978 ) , by Marvel Comics ' Stan Lee and Jack Kirby . Significantly , this was published by a traditional book publisher and distributed through bookstores , as was cartoonist Jules Feiffer 's Tantrum ( Alfred A. Knopf , 1979 ) described on its dustjacket as a `` novel - in - pictures '' .   Adoption of the term ( edit )  Sabre ( 1978 ) , one of the first modern graphic novels . Cover art by Paul Gulacy .  Hyperbolic descriptions of longer comic books as `` novels '' appear on covers as early as the 1940s . Early issues of DC Comics ' All - Flash Quarterly , for example , described their contents as `` novel - length stories '' and `` full - length four chapter novels . ''   In its earliest known citation , comic book reviewer Richard Kyle used the term `` graphic novel '' in CAPA - ALPHA # 2 ( November 1964 ) , a newsletter published by the Comic Amateur Press Alliance , and again in an article in Bill Spicer 's magazine Fantasy Illustrated # 5 ( Spring 1966 ) . Kyle , inspired by European and East Asian graphic albums ( especially the Japanese manga ) , used the label to designate comics of an artistically `` serious '' sort . Following this , Spicer , with Kyle 's acknowledgment , edited and published a periodical titled Graphic Story Magazine in the fall of 1967 . The Sinister House of Secret Love # 2 ( Jan. 1972 ) , one of DC Comics ' line of extra-length , 48 - page comics , specifically used the phrase `` a graphic novel of Gothic terror '' on its cover .   In response to criticism regarding the content of comic books , and to the establishment of the industry 's self - censorship Comics Code Authority , an underground alternative comix movement was created .   The term `` graphic novel '' began to grow in popularity months after it appeared on the cover of the trade paperback edition ( though not the hardcover edition ) of Will Eisner 's A Contract with God and Other Tenement Stories ( October 1978 ) . This collection of short stories was a mature , complex work focusing on the lives of ordinary people in the real world based on Eisner 's own experiences . The term `` graphic novel '' was intended to distinguish it from the traditional serialized nature of comic books , with which it shared a storytelling medium .   One scholar used graphic novels to introduce the concept of graphiation , a newly coined term used to describe graphic expression or visual enunciation . Graphiation refers to the theory that the entire personality of an artist is visible through his or her visual representation of a certain character , setting , event , or object in a novel , and as a means to examine and analyze drawing style .   Even though Eisner 's A Contract with God was finally published in 1978 by a smaller company , Baronet Press , it took Eisner over a year to find a publishing house that would allow his work to reach the mass market . Eisner cited Lynd Ward 's 1930s woodcuts ( see above ) as an inspiration .   The critical and commercial success of A Contract with God helped to establish the term `` graphic novel '' in common usage , and many sources have incorrectly credited Eisner with being the first to use it . These included the Time magazine website in 2003 , which said in its correction , `` Eisner acknowledges that the term ' graphic novel ' had been coined prior to his book . But , he says , ' I had not known at the time that someone had used that term before . ' Nor does he take credit for creating the first graphic book . ''  Will Eisner in 2004  One of the earliest contemporaneous applications of the term post-Eisner came in 1979 , when Blackmark 's sequel -- published a year after A Contract with God though written and drawn in the early 1970s -- was labeled a `` graphic novel '' on the cover of Marvel Comics ' black - and - white comics magazine Marvel Preview # 17 ( Winter 1979 ) , where Blackmark : The Mind Demons premiered -- its 117 - page contents intact , but its panel - layout reconfigured to fit 62 pages .   Following this , Marvel from 1982 to 1988 published the Marvel Graphic Novel line of 10 `` x7 '' trade paperbacks -- although numbering them like comic books , from # 1 ( Jim Starlin 's The Death of Captain Marvel ) to # 35 ( Dennis O'Neil , Mike Kaluta , and Russ Heath 's Hitler 's Astrologer , starring the radio and pulp fiction character the Shadow , and released in hardcover ) . Marvel commissioned original graphic novels from such creators as John Byrne , J.M. DeMatteis , Steve Gerber , graphic - novel pioneer McGregor , Frank Miller , Bill Sienkiewicz , Walt Simonson , Charles Vess , and Bernie Wrightson . While most of these starred Marvel superheroes , others , such as Rick Veitch 's Heartburst featured original SF / fantasy characters ; others still , such as John J. Muth 's Dracula , featured adaptations of literary stories or characters ; and one , Sam Glanzman 's A Sailor 's Story , was a true - life , World War II naval tale .  The 1987 U.S. ( left ) and 1995 U.S. / UK / Canada ( right ) collected editions of Watchmen , published by DC Comics and Titan Books , respectively .  Cartoonist Art Spiegelman 's Pulitzer Prize - winning Maus ( 1986 ) , helped establish both the term and the concept of graphic novels in the minds of the mainstream public . Two DC Comics book reprints of self - contained miniseries did likewise , though they were not originally published as graphic novels : Batman : The Dark Knight Returns ( 1986 ) , a collection of Frank Miller 's four - part comic - book series featuring an older Batman faced with the problems of a dystopian future ; and Watchmen ( 1986 - 1987 ) , a collection of Alan Moore and Dave Gibbons ' 12 - issue limited series in which Moore notes he `` set out to explore , amongst other things , the dynamics of power in a post-Hiroshima world '' . These works and others were reviewed in newspapers and magazines , leading to increased coverage . Sales of graphic novels increased , with Batman : The Dark Knight Returns , for example , lasting 40 weeks on a UK best - seller list .   European adoption of the term ( edit )   Outside North America , Eisner 's A Contract with God and Spiegelman 's Maus led to the popularization of the expression `` graphic novel '' as well . Until then , most European countries used neutral , descriptive terminology that referred to the form of the medium , and not the contents . In Francophone Europe for example , the expression bandes dessinées -- which literally translates as `` drawn strips '' -- is used , while the terms stripverhaal ( `` strip story '' ) and tegneserie ( `` drawn series '' ) are used by the Dutch / Flemish and Scandinavians respectively . European comics studies scholars have observed that Americans originally used `` graphic novel '' to describe everything that deviated from their standard , 32 - page comic book format , meaning that all larger - sized , longer Franco - Belgian comic albums , regardless of their contents , fell under the heading .   American comic critics occasionally refer to European graphic novels as `` Eurocomics '' , and attempts were made in the late 1980s to cross-fertilize the American market with these works . American publishers Catalan Communications and NBM Publishing released translated titles , predominantly from the backlog catalogs of Casterman and Les Humanoïdes Associés .   Criticism of the term ( edit )   Some in the comics community have objected to the term `` graphic novel '' on the grounds that it is unnecessary , or that its usage has been corrupted by commercial interests . Writer Alan Moore believes ,   It 's a marketing term ... that I never had any sympathy with . The term ' comic ' does just as well for me ... The problem is that ' graphic novel ' just came to mean ' expensive comic book ' and so what you 'd get is people like DC Comics or Marvel Comics -- because ' graphic novels ' were getting some attention , they 'd stick six issues of whatever worthless piece of crap they happened to be publishing lately under a glossy cover and call it The She - Hulk Graphic Novel ... ''   It 's a perfect time to retire terms like `` graphic novel '' and `` sequential art , '' which piggyback on the language of other , wholly separate mediums . What 's more , both terms have their roots in the need to dissemble and justify , thus both exude a sense of desperation , a gnawing hunger to be accepted .   Author Daniel Raeburn wrote , `` I snicker at the neologism first for its insecure pretension -- the literary equivalent of calling a garbage man a ' sanitation engineer ' -- and second because a ' graphic novel ' is in fact the very thing it is ashamed to admit : a comic book , rather than a comic pamphlet or comic magazine . '' Writer Neil Gaiman , responding to a claim that he does not write comic books but graphic novels , said the commenter `` meant it as a compliment , I suppose . But all of a sudden I felt like someone who 'd been informed that she was n't actually a hooker ; that in fact she was a lady of the evening . '' Responding to writer Douglas Wolk 's quip that the difference between a graphic novel and a comic book is `` the binding '' , Bone creator Jeff Smith said , `` I kind of like that answer . Because ' graphic novel ' ... I do n't like that name . It 's trying too hard . It is a comic book . But there is a difference . And the difference is , a graphic novel is a novel in the sense that there is a beginning , a middle and an end . '' The Times writer Giles Coren said , `` To call them graphic novels is to presume that the novel is in some way ' higher ' than the karmicbwurk ( comic book ) , and that only by being thought of as a sort of novel can it be understood as an art form . ''   Some alternative cartoonists have coined their own terms to describe extended comics narratives . The cover of Daniel Clowes ' Ice Haven ( 2001 ) describes the book as `` a comic - strip novel '' , with Clowes having noted that he `` never saw anything wrong with the comic book '' . The cover of Craig Thompson 's Blankets calls it `` an illustrated novel . ''   See also ( edit )    Comics portal     Artist 's book   Collage novel   Gekiga , the Japanese manga variant of the graphic novel   Graphic narrative   Graphic non-fiction   List of award - winning graphic novels   Tankōbon   Wordless novel    Footnotes ( edit )    Jump up ^ Schelly , Bill ( 2010 ) . Founders of Comic Fandom : Profiles of 90 Publishers , Dealers , Collectors , Writers , Artists and Other Luminaries of the 1950s and 1960s . McFarland . p. 117 . ISBN 978 - 0 - 7864 - 5762 - 5 .   Jump up ^ Madden , David ; Bane , Charles ; Flory , Sean M. ( 2006 ) . A Primer of the Novel : For Readers and Writers . Scarecrow Press . p. 43 . ISBN 978 - 1 - 4616 - 5597 - 8 .   Jump up ^ `` BISAC Subject Headings List , Comics and Graphic Novels '' . Book Industry Study Group . Archived from the original on April 14 , 2015 . Retrieved July 9 , 2015 .   Jump up ^ `` graphic novel '' . Merriam-Webster.com .   Jump up ^ Gertler , Nat ; Steve Lieber ( 2004 ) . The Complete Idiot 's Guide to Creating a Graphic Novel . Alpha Books . ISBN 978 - 1 - 59257 - 233 - 5 .   Jump up ^ Kaplan , Arie ( 2006 ) . Masters of the Comic Book Universe Revealed ! . Chicago Review Press . ISBN 978 - 1 - 55652 - 633 - 6 .   Jump up ^ `` graphic novel literature '' . Encyclopedia Britannica . Retrieved 2017 - 06 - 22 .   Jump up ^ A complete edition was published in 1970 before being serialized in the French magazine Charlie Mensuel , as per `` Dino Buzzati 1965 -- 1975 '' ( Italian website ) . Associazione Guido Buzzelli. 2004 . Retrieved 2006 - 06 - 21 . ( WebCitation archive ) ; Domingos Isabelinho ( 2004 ) . `` The Ghost of a Character : The Cage by Martin Vaughn - James '' . Indy Magazine . Archived from the original on 2010 - 08 - 18 . Retrieved 2006 - 04 - 06 . CS1 maint : BOT : original - url status unknown ( link ) ( ) .   Jump up ^ Coville , Jamie . `` The History of Comic Books : Introduction and ' The Platinum Age 1897 -- 1938 ' '' . TheComicBooks.com . Archived from the original on April 15 , 2003 ... Originally published at defunct site CollectorTimes.com Archived 2007 - 05 - 02 at the Wayback Machine .   ^ Jump up to : Beerbohm , Robert ( 2008 ) . `` The Victorian Age Comic Strips and Books 1646 - 1900 : Origins of Early American Comic Strips Before The Yellow Kid and ' The Platinum Age 1897 -- 1938 ' '' . Overstreet Comic Book Price Guide # 38 . pp. 337 -- 338 .   Jump up ^ Groensteen , Thierry ( June 2015 ) . `` '' Maestro '' : chronique d'une découverte / `` Maestro '' : Chronicle of a Discovery `` . NeuviemArt 2.0 . Archived from the original on July 9 , 2015 . Retrieved July 9 , 2015 ... le caricaturiste Emmanuel Poiré , plus connu sous le pseudonyme de Caran d'Ache ( 1858 - 1909 ) . Il s'exprimait ainsi dans une lettre adressée le 20 juillet 1894 à l'éditeur du Figaro ... L'ouvrage n'a jamais été publié , Caran d'Ache l'ayant laissé inachevé pour une raison inconnue . Mais ... puisque ce sont près d'une centaine de pages complètes ( format H 20 , 4 x 12 , 5 cm ) qui figurent dans le lot proposé au musée . / ... cartoonist Emmanuel Poiré , better known under the pseudonym Caran d'Ache ( 1858 - 1909 ) . He was speaking in a letter July 20 , 1894 , to the editor of Le Figaro ... The book was never published , Caran d'Ache having left it unfinished for unknown reasons . But ... almost a hundred full pages ( format 20.4 x H 12.5 cm ) are contained in the lot proposed for the museum .   Jump up ^ Tychinski , Stan . `` A Brief History of the Graphic Novel '' . Diamond Comic Distributors . Retrieved 2015 - 12 - 14 .   Jump up ^ Sabin , Roger . Adult Comics : An Introduction ( Routledge New Accents Library Collection , 2005 ) , p. 291 ISBN 978 - 0 - 415 - 29139 - 2 , ISBN 978 - 0 - 415 - 29139 - 2   Jump up ^ Reissued 1985 as Passionate Journey : A Novel in 165 Woodcuts ISBN 978 - 0 - 87286 - 174 - 9   Jump up ^ `` 2016 Lynd Ward Prize for Graphic Novel of the Year '' . Pennsylvania Center For the Book . Pennsylvania State University . Retrieved November 2 , 2016 .   Jump up ^ `` Graphic Witness '' .   Jump up ^ `` GCD : : Series : : Comics Novel '' . www.comics.org .   Jump up ^ Quattro , Ken ( 2006 ) . `` Archer St. John &amp; The Little Company That Could '' . Comicartville Library . Archived from the original on November 28 , 2010 .   Jump up ^ `` GCD : : Issue : : It Rhymes With Lust '' . www.comics.org .   Jump up ^ `` GCD : : Issue : : Harvey Kurtzman 's Jungle Book # 338 K '' . www.comics.org .   Jump up ^ Grant , Steven . `` Permanent Damage '' ( column ) # 224 , Comic Book Resources , December 28 , 2005 . Accessdate = 2007 - 03 - 20 . WebCitation archive .   Jump up ^ Sacks , Jason . `` Panther 's Rage : Marvel 's First Graphic Novel '' . FanboyPlanet.com . Archived from the original on July 4 , 2008 . ( T ) here were real character arcs in Spider - Man and the Fantastic Four ( comics ) over time . But ... ' Panther 's Rage ' is the first comic that was created from start to finish as a complete novel . Running in two years ' issues of Jungle Action ( # s 6 through 18 ) , ' Panther 's Rage ' is a 200 - page novel ... CS1 maint : BOT : original - url status unknown ( link ) Additional .   Jump up ^ Gravett , Paul ( 2005 ) . Graphic Novels : Stories To Change Your Life ( 1st ed . ) . Aurum Press Limited . ISBN 978 - 1 - 84513 - 068 - 8 .   Jump up ^ Nicholas , Wroe ( December 18 , 2004 ) . `` Bloomin ' Christmas '' . The Guardian . London . WebCitation archive .   Jump up ^ Company history page , NBM Publishing , n.d. Accessed August 18 , 2010 . WebCitation archive .   Jump up ^ Grand Comics Database : The First Kingdom   Jump up ^ Gough , Bob ( 2001 ) . `` Interview with Don McGregor '' . MileHighComics.com . Archived from the original on July 16 , 2011 . Retrieved September 13 , 2011 .   Jump up ^ Tallmer , Jerry . `` The Three Lives of Jules Feiffer '' , NYC Plus # 1 , April 2005 . WebCitation archive .   Jump up ^ Grand Comics Database : All - Flash ( DC , 1941 ) . See Issues # 2 -- 10 .   ^ Jump up to : Per Time magazine letter . Time.com ( WebCitation archive ) from comics historian and author R.C. Harvey in response to claims in Arnold , Andrew D. , `` The Graphic Novel Silver Anniversary '' ( WebCitation archive ) , Time.com , November 14 , 2003   Jump up ^ Gravett , Graphic Novels , p. 3   Jump up ^ Cover , The Sinister House of Secret Love # 2 at the Grand Comics Database   ^ Jump up to : Drawn to Change : Comics and Critical Consciousness , Issue 73 , Labour , 2014 , p. 154 - 155 .   Jump up ^ Comic Books , Tragic Stories : Will Eisner 's American Jewish History , Volume 30 , Issue 2 , AJS Review , 2006 , p. 287   Jump up ^ Baetens , Jan ; Frey , Hugo ( 2015 ) . The Graphic Novel : An Introduction . New York : Cambridge University Press . p. 137 .   Jump up ^ Comic Books , Tragic Stories : Will Eisner 's American Jewish History , Volume 30 , Issue 2 , AJS Review , 2006 , p. 284   Jump up ^ Arnold , Andrew D. ( 2003 - 11 - 21 ) . `` A Graphic Literature Library -- TIME. comix responds '' . Time.com . Retrieved 2006 - 06 - 21 ... WebCitation archive   Jump up ^ Moore letter , Cerebus 217 ( April 1997 ) , Aardvark Vanaheim   Jump up ^ Lanham , Fritz . `` From Pulp to Pulitzer '' , Houston Chronicle , August 29 , 2004 . WebCitation archive .   Jump up ^ Campbell , Eddie ( 2001 ) . Alec : How to be an Artist ( 1st ed . ) . Eddie Campbell Comics . p. 96 . ISBN 978 - 0 - 9577896 - 3 - 0 .   Jump up ^ `` 2000 - 2010 Graphic novels '' . www.lambiek.net .   Jump up ^ Notable exceptions have become the German and Spanish speaking populaces who have adopted the US derived comic and cómicos respectively . The traditional Spanish term had previously been tebeo ( `` strip '' ) . The likewise German expression Serienbilder ( `` serialized images '' ) has , unlike its Spanish counterpart , become obsolete . The term `` comic '' is used in the other European countries as well , but exclusively to refer to the standard American comic book format .   Jump up ^ Amazing Heroes , issue 160 , March 1989 , `` Special European Issue ! '' . Having fallen out of favor , the term `` Eurocomics '' might be misconstrued as derogatory in current understanding , due to its connotations with the popular slang expression `` eurotrash '' which is derogatory . However , quite the opposite was true at the time , as it was intended by American critics as a means to differentiate European comics from their American counterparts , underscoring the more mature qualities of the former . Graphic novel became the generally used expression for what once had been referred to as `` eurocomic '' .   Jump up ^ Kavanagh , Barry ( October 17 , 2000 ) . `` The Alan Moore Interview : Northampton / Graphic novel '' . Blather.net . Archived from the original on February 26 , 2014 . Retrieved 2007 - 03 - 20 . CS1 maint : BOT : original - url status unknown ( link ) .   Jump up ^ `` The Term ' Graphic Novel ' Has Had A Good Run . We Do n't Need It Anymore '' .   Jump up ^ Raeburn , Daniel . Chris Ware ( Monographics Series ) , Yale University Press , 2004 , p. 110 . ISBN 978 - 0 - 300 - 10291 - 8 .   Jump up ^ Bender , Hy ( 1999 ) . The Sandman Companion . Vertigo . ISBN 978 - 1 - 56389 - 644 - 6 .   Jump up ^ Rogers , Vaneta . `` Behind the Page : Jeff Smith , Part Two '' , Newsarama , February 26 , 2008 . WebCitation archive .   Jump up ^ `` Not graphic and not novel - The Spectator '' . 1 December 2012 .   Jump up ^ Bushell , Laura ( July 21 , 2005 ) . `` Daniel Clowes Interview : The Ghost World Creator Does It Again '' . BBC -- Collective . Archived from the original on August 18 , 2010 . Retrieved 2006 - 06 - 21 . CS1 maint : BOT : original - url status unknown ( link ) .    References ( edit )    Arnold , Andrew D . `` The Graphic Novel Silver Anniversary '' , Time , November 14 , 2003   Tychinski , Stan . Brodart.com : `` A Brief History of the Graphic Novel '' ( n.d. , 2004 )   Couch , Chris . `` The Publication and Formats of Comics , Graphic Novels , and Tankobon '' , Image &amp; Narrative # 1 ( Dec. 2000 )    Further reading ( edit )    Graphic Novels : Everything You Need to Know by Paul Gravett , Harper Design , New York , 2005 . ISBN 978 - 0 - 06082 - 4 - 259   Understanding Comics : The Invisible Art by Scott McCloud   The Victorian Age : Comic Strips and Books 1646 - 1900 Origins of Early American Comic Strips Before The Yellow Kid , in Overstreet Comic Book Price Guide # 38 2008 pages 330 - 366 by Robert Lee Beerbohm , Doug Wheeler , Richard Samuel West and Richard D. Olson , PhD   Weiner , Stephen &amp; Couch , Chris . Faster than a speeding bullet : the rise of the graphic novel , NBM , 2004 . ISBN 978 - 1 - 56163 - 368 - 5   BestGraphicNovels.co Graphic novel review site featuring primarily DC and Marvel comic books   The Graphic Novel : An Introduction by Jan Baetens and Hugo Frey , CUP , Cambridge , 2015 . ISBN 978 - 1 - 10765 - 576 - 8   The Sy</t>
  </si>
  <si>
    <t xml:space="preserve">when did graphic novels first come into vogue</t>
  </si>
  <si>
    <t xml:space="preserve"> The Adventures of Obadiah Oldbuck is the oldest recognized American example of comics used to this end . It originated as the 1828 publication Histoire de M. Vieux Bois by Swiss caricaturist Rodolphe Töpffer , and was first published in English translation in 1841 by London 's Tilt &amp; Bogue , which used an 1833 Paris pirate edition . The first American edition was published in 1842 by Wilson &amp; Company in New York City using the original printing plates from the 1841 edition . Another early predecessor is Journey to the Gold Diggins by Jeremiah Saddlebags by brothers J. A. D. and D. F. Read , inspired by The Adventures of Obadiah Oldbuck . In 1894 Caran d'Ache broached the idea of a `` drawn novel '' in a letter to the newspaper Le Figaro and started work on a 360 - page wordless book ( never published ) . In the United States there is a long tradition of reissuing previously published comic strips in book form . In 1897 the Hearst Syndicate published such a collection of The Yellow Kid by Richard Outcault and it quickly became a best seller . </t>
  </si>
  <si>
    <t xml:space="preserve">Teenage Mutant Ninja Turtles ( 2012 TV series ) - Wikipedia  Teenage Mutant Ninja Turtles ( 2012 TV series )  Jump to : navigation , search    Teenage Mutant Ninja Turtles     Series logotype     Also known as   Tales of the Teenage Mutant Ninja Turtles ( season five title )     Genre   Action Comedy Drama     Based on   Teenage Mutant Ninja Turtles by Kevin Eastman Peter Laird     Developed by   Ciro Nieli Joshua Sternin J.R. Ventimilia     Voices of     Jason Biggs ( Seasons 1 -- 2 )   Seth Green ( Seasons 3 -- 5 )   Rob Paulsen   Sean Astin   Greg Cipes   Hoon Lee   Mae Whitman   Kevin Michael Richardson   Josh Peck   Kelly Hu   Nolan North   Clancy Brown   Christian Lanz   Phil LaMarr   Eric Bauza   Fred Tatasciore   J.B. Smoove       Opening theme   `` Teenage Mutant Ninja Turtles ''     Ending theme   `` Teenage Mutant Ninja Turtles '' ( instrumental )     Composer ( s )   Sebastian Evans II Stanley Martinez     Country of origin   United States     Original language ( s )   English     No. of seasons   5     No. of episodes   124 ( list of episodes )     Production     Executive producer ( s )     Joshua Sternin   J.R. Ventimilia   Ciro Nieli   Peter Hastings   Brandon Auman   Rick Magallanes ( for Nickelodeon ; season 1 )   Megan Casey ( for Nickelodeon ; seasons 2 -- 5 )       Producer ( s )     MacGregor Middleton   Christopher Waters ( supervising )   Ant Ward ( supervising )   Patrick Krebs ( supervising )   Vladimir Radev ( asscociate )       Running time   22 minutes     Production company ( s )   Lowbar Productions Mirage Studios Nickelodeon Animation Studio     Release     Original network   Nickelodeon     Picture format   480i NTSC 1080i HDTV     Original release   September 29 , 2012 ( 2012 - 09 - 29 ) -- November 12 , 2017 ( 2017 - 11 - 12 )     Chronology     Preceded by   Teenage Mutant Ninja Turtles ( 2003 TV series )     Followed by   Rise of the Teenage Mutant Ninja Turtles     External links     Website     Teenage Mutant Ninja Turtles ( also known as Tales of the Teenage Mutant Ninja Turtles for its fifth season ) is an American 3D rendered computer animated television series . It aired on Nickelodeon in the United States from September 29 , 2012 to November 12 , 2017 . It was the third animated Teenage Mutant Ninja Turtles television series . It was produced by Nickelodeon Animation Studio . Composer Sebastian Evans provided the show 's score .   The series will be succeeded by Rise of the Teenage Mutant Ninja Turtles in September 2018 .     Contents  ( hide )   1 Plot   1.1 Season 1   1.2 Season 2   1.3 Season 3   1.4 Season 4   1.5 Season 5     2 Characters   3 Background and production   4 Episodes   5 Related animation   5.1 Half - Shell Heroes : Blast to the Past   5.2 Short films     6 Broadcast   7 Reception   7.1 Accolades     8 Merchandise   8.1 Toys   8.2 Comics   8.3 Home media releases   8.4 Video games     9 References   10 External links      Plot   Season 1  Main article : Teenage Mutant Ninja Turtles ( 2012 TV series ) ( season 1 )  Ninjutsu master Hamato Yoshi ( Splinter ) is carrying his four pet turtles through the streets of Manhattan when he encounters members of an alien race called the Kraang . During an altercation with these aliens , Yoshi and the turtles are exposed to the Kraang 's chemical , called mutagen , which causes organic beings to undergo major physical transformations . Yoshi takes on characteristics of a brown rat and the turtles take on human characteristics . Yoshi retreats to the New York City sewers where he raises the four turtles as his sons and imparts to them his knowledge of ninjutsu .   Now teenagers , the turtles ( Leonardo , Raphael , Donatello and Michelangelo ) venture to the surface for the first time and learn that the Kraang are using the mutagen as part of their plan to take over New York City . They befriend the teenage April O'Neil after she and her psychologist father Kirby are abducted by the Kraang . Donatello , who has developed a crush on April , is able to rescue her . While Kirby remains a prisoner of the Kraang , April becomes an ally of the turtles , who try to help her locate her father . April is also trained by Splinter to be a kunoichi , a female ninja .   After learning of Splinter 's and the turtles 's presence in New York , Splinter 's adoptive brother and long - time enemy Oroku Saki ( Shredder ) travels there from Japan and orders his birth clan , the Foot to track down Splinter and his sons , and put an end to their clan . This family feud eventually earns the coincidence of two of Shredder 's disciples , martial arts star Chris Bradford and Brazilian street thug Xever Montes , getting mutated into Dogpound ( later Rahzar ) and Fishface . Learning about the Kraang 's presence through his adopted daughter Karai , Shredder enters an alliance with the aliens to destroy their mutual enemies in the Hamato Clan .   The turtles later discover that the Kraang came to Earth from Dimension X and built their headquarters with a company called TCRI and are plotting to use the mutagen and a set of Kraang - like powers that April was born with to convert Earth into a planet suitable for their race . After the turtles rescue Kirby , the Kraang invade New York , but the turtles and April emerge triumphant when they send the Technodrome , the Kraang leader Kraang Prime 's ship , crashing into the sea . Meanwhile , Splinter battles Shredder and learns that Karai is his own daughter , Hamato Miwa , who was kidnapped by Shredder and who believes that Splinter killed her mother . The season ends with the turtles celebrating their victory over the Kraang as Splinter hides the secret of Miwa from them .   Season 2  Main article : Teenage Mutant Ninja Turtles ( 2012 TV series ) ( season 2 )  The turtles struggle to contain an outbreak of mutations that occurs thanks to the leftover mutagen from the thwarted Kraang invasion . Kirby is among the victims of the outbreak , and a misunderstanding leads April to become very upset and ashamed of the turtles and break off their friendship . However , the turtles are able to earn her forgiveness when they save her from Karai , who has taken temporary command of the Foot while the Shredder is away in Japan . Along with April came her new friend Casey Jones , who helps repel an assault on the turtles ' lair . Kirby is eventually restored to his human form when Donatello manages to concoct another Kraang chemical called retro - mutagen , which causes organic beings to reverse their major physical transformations , and help keep it away from former T.C.R.I inventor Baxter Stockman , who gets mutated into Stockman - Fly while under Shredder 's employ .   Meanwhile , Shredder returns from Japan with the mutated Japanese bounty hunter Tiger Claw as his new second - in - command . Tiger Claw is later sent through a portal to the 1987 -- 1996 animated series reality , but later returns to the 2012 reality .   During a battle with the turtles , Karai is informed of her true nature by Leonardo ( who has developed a crush on her since season 1 ) , but she is too reluctant to accept it . When she is taken to the lair , she finally realizes the truth and disowns Shredder , who responds by imprisoning her . Repeated attempts to free Karai ultimately succeed , but Shredder captures her again and uses her as bait to kill the Hamato Clan . However , Karai ends up transforming into an albino horned viper , to everyone 's horror .   In response to this , Shredder has the Foot Clan help the Kraang , who have just perfected the previously unstable mutagen , launch a second invasion of New York , starting by destroying the turtles ' lair and forcing them to abandon it . The Kraang begin mutating New York 's populace , including Kirby , despite the efforts of Earth 's military and the turtles . Leonardo is gravely wounded when he is ambushed by the entire Foot , and Splinter is seemingly killed during a battle with Shredder . The turtles , April , and Casey are forced to flee to the O'Neil family 's summer home in Upstate New York as the Kraang successfully conquers Manhattan .   Season 3  Main article : Teenage Mutant Ninja Turtles ( 2012 TV series ) ( season 3 )  The group takes refuge at the O'Neil family 's summer home in North Hampton in order to recuperate from their loss at the hands of the Kraang and the Foot Clan . Leonardo takes an extended amount of time to recover , but guided by an apparition of Splinter , is able to overcome his physical and mental wounds . They eventually return to New York City with the goal of finding Splinter , Karai , Kirby , and their other missing allies and liberate the city from the Kraang . They are successful in finding Splinter and set up a temporary base in the abandoned Antonio 's Pizza , and Donatello begins work on new samples of retro - mutagen as the search for Kirby and Karai continues .   Meanwhile , Shredder mutates Russian arms dealer Ivan Steranko and his only known disciple , high - tech master thief Anton Zeck , into Bebop and Rocksteady for stealing his helmet , the Kuro Kabuto , and hunting Karai in exchange for a safe departure from the Kraang - invaded city before sending them to find her again . The duo succeed behind the Turtles 's backs and Shredder promises to cure Karai of her misery . The turtles , on the other hand , run into a recently founded mutant team called the Mighty Mutanimals ( consisting of mutant allies that they made during the last two seasons , such as Slash , Leatherhead , Pigeon Pete and former British neurochemist Dr. Tyler Rockwell ) who are backed by their human ally Jack J. Kurtzman . Together , they manage to banish the Kraang back to Dimension X and free New York , but the effect of the invasion eventually earns Shredder cemented control of the city 's criminal underworld for his efforts to create a mind - control serum meant for the turtles , Mutanimals and Karai .   The turtles are later offered by future time sorceress Renet to time travel to the past , where they meet up with a younger Hamato Yoshi and Oroku Saki , as well as Yoshi 's late wife and Karai 's mother , Teng Shen . During the battle between Yoshi and Saki inside the burning Hamato Clan dojo , Shen is accidentally killed by Saki , who meant to kill Yoshi instead . Saki leaves the dojo after his hair burns off from the fire and kidnaps Yoshi and Shen 's baby daughter Miwa , vowing to raise her as Karai and leaving Yoshi to die . After his escape , the turtles save Yoshi , as they were `` always destined to '' before traveling back to the present with Renet .   When the Kraang return to Earth , the Turtles discover that the Kraang have another enemy from Dimension X in the form of the Triceraton Empire . Despite their best efforts and Shredder violating the Foot Clan 's temporary truce with the Turtles by stabbing Splinter during the fight , the ruthless Triceratons activate the Heart of Darkness , a black hole - creating machine which annihilates both the Kraang , the Earth , and everyone on it . But just as it comes to the worst for the Turtles , April , and Casey , they are rescued by a friendly robot by the name of Professor Honeycutt ( also known as the Fugitoid ) who uses a spacecraft to take the Turtles , April and Casey to a journey into space .   Season 4  Main article : Teenage Mutant Ninja Turtles ( 2012 TV series ) ( season 4 )  After the Turtles , April , and Casey are saved from the destruction of Earth , the Fugitoid uses his spacecraft the Ulixes to travel six months back in time in order for him and the Turtles to prevent the Triceraton Empire led by Emperor Zanmoran from again assembling the three components of the Heart of Darkness that are scattered throughout the universe before everything on Earth is lost . Besides fighting the Triceratons , the Turtles also face new enemies in outer space like Lord Vringath Dregg of the planet Sectoid and the bounty hunter Armaggon , and even have an adventure with their interdimensional 1987 counterparts and their enemy Krang who is an exiled relative of Kraang Subprime . Despite the efforts of the Turtles , the Triceratons are still able to collect all three pieces of the Black Hole Generator , only for the Turtles to return to Earth and join forces with their past selves to warn Splinter before he is killed by the Shredder , stop the detonator of the Heart of Darkness , and defeat the Triceratons . The Fugitoid destroys the Black Hole Generator near the Triceraton spacefleet , causing to explode , presumably killing the Triceratons . In the aftermath of the fight against the Triceratons , the past versions of the Turtles , April , and Casey leave Earth with the past Fugitoid in the Ulixes while the present Fugitoid 's head reactivates in Earth 's orbit .   Weeks later following the Triceraton Invasion being thwarted and the Foot Clan 's disappearance , April is promoted to kunoichi at the time when the witch Shinigami arrives and is revealed that she is Karai 's friend as they plot to rebuild the Hamato Clan and dispose of Shredder who is still recuperating from his last fight with Splinter . While Karai and Shinigami got some ninjas on their side , the Foot Clan strengthens the Footbot army by creating the Elite Footbots . Furthermore , some other crime organizations have been plotting to take over the Foot Clan 's territory and a crystal shard of unimaginable power which April received from the alien Aeons during their space adventure is beginning to exert a baleful influence on her . Using a special mutagen formula made by Stockman - Fly , Oroku Saki recuperates and becomes Super-Shredder in order to take back control of the Foot Clan . Once a stable formula is made , Super-Shredder attacks the Turtles , the Mighty Mutanimals , Karai , and Shinigami which ends with Splinter falling in battle against Super-Shredder and is buried at the O'Neil family 's summer home in North Hampton . This leads up to the final battle at Super-Shredder's hidden mansion where Leonardo manages to slay Super-Shredder and throw his mutated Kuro Kabuto to the other Turtles in victory .   Season 5  Main article : Teenage Mutant Ninja Turtles ( 2012 TV series ) ( season 5 )  Following the death of the Super-Shredder , Tiger Claw has led the unspecified Foot Cultists into obtaining the Scroll of the Demodragon and a special control amulet called the `` Seal of the Ancients '' that would enable him to summon the demodragon Kavaxas . When Kavaxas is summoned from the Netherworld , Tiger Claw plans to use Kavaxas ' wish - granting abilities to revive the Shredder . Upon demonstrating the revival ability on Rahzar who fell in an underwater battle against Leatherhead , Kavaxas states that he will need the Kuro Kabuto that contains Shredder 's mental energies . Upon Rahzar and Tiger Claw reclaiming the Kuro Kabuto after Kavaxas drained the soul out of Shredder 's former right - hand man Hattori Tatsu , Kavaxas states that they will need the Shredder 's heart for the revival to occur . The Foot Clan obtains the Shredder 's heart that was in the possession of Don Vizioso . Upon Shredder 's heart being placed on his corpse , Kavaxas begins to work on reviving Shredder as the Zombie Shredder . This goes against what Tiger Claw eventually planned when Undead Shredder destroys the Seal of the Ancients which enables Kavaxas to raise the spirits of the Netherworld in order to rule both worlds . While Splinter 's ghost helps those fighting on the surface , Michelangelo managed to use gum to stick the Seal of the Ancients back together enabling him to have Kavaxas undo his damages and open the portal to the Netherworld as the Zombie Shredder drags Kavaxas back to the Netherworld .   Afterwards , the Turtles face different challenges like the return of Lord Dregg when he collaborates with Newtralizer , being transported to Miyamoto Usagi 's reality where they help to protect the pug Kintaro from the evil gray wolf Jei , an adventure featuring a possible future ruled by mutant animals , and another adventure involving the return of Savanti Romero where he collaborates with Count Dracula to make Earth more habitable for monsters .   The Turtles , April , Casey , Karai , Shinigami , and the Mighty Mutanimals soon teamed up with the 1987 counterparts of the Ninja Turtles where they face the return of Bebop and Rocksteady where they are recruited by the 1987 counterparts of the Shredder and Krang to conquer Earth of both the 1987 and 2012 realities with a fully powered Technodrome after their Bebop and Rocksteady were accidentally left behind . While the Turtles and their allies fight off a horde of Foot Soldiers from the 1987 -- 1996 series reality and the 2012 Rock Soldiers led by Traag and Granitor , Bebop and Rocksteady discovers Shredder and Krang 's treacherous scheme to destroy the Earth and choose to become heroes in order to save the planet .   Characters  Main article : List of Teenage Mutant Ninja Turtles ( 2012 TV series ) characters   Leonardo ( voiced by Jason Biggs up until `` The Wrath of Tiger Claw '' , Dominic Catrambone for the last seven episodes of Season 2 , Seth Green in Seasons 3 - 5 ) -- Leonardo , called `` Leo '' for short , is an enthusiastic ninjutsu student , who wears a blue mask , and fights with two swords called Niten Ryu . He leads the various missions of the Turtles .   Donatello ( voiced by Rob Paulsen ) -- Donatello , called `` Donnie '' for short , is in charge of the design and manufacture of all of the tools and weapons in the Turtles ' arsenal . He is also a gifted hacker . He wears a purple mask and fights with a bō which also can be converted to a naginata via a blade inside one end of the staff .   Raphael ( voiced by Sean Astin ) -- Raphael , also called `` Raph '' , wears a red mask and fights with two sai . Known for his rage , he commonly takes it out on Mikey , and on occasions Leo , due to their feud . He acts as the muscles of the Turtles ' attacks .   Michelangelo ( voiced by Greg Cipes ) -- Michelangelo , known as `` Mikey '' , is the least mature of the turtles and is a lover of video games , skateboarding , pranks and pizza . He wears an orange mask and fights with two nunchaku which also can be converted into kusarigama via a blade inside of one of the sticks of each nunchaku and extra lengths of chain stored in the other . He brings a brighter mood than his brother towards the team .    Background and production   On October 21 , 2009 , a press release was made indicating that Viacom had bought the complete rights of the Teenage Mutant Ninja Turtles franchise from Peter Laird for $60 million , and would be developing a CGI - animated TV series for its Nickelodeon family of channels for broadcast in 2012 . A feature film , released by Paramount Pictures ( also a division of Viacom ) , debuted in August 2014 . and was followed up by a sequel film , Out of the Shadows , in June 2016 .   Jason Biggs originally voiced Leonardo and Rob Paulsen voices Donatello . In June 2011 , it was confirmed that Sean Astin is playing Raphael and Greg Cipes is Michelangelo . In August 2011 , it was revealed that Mae Whitman would be the voice for April O'Neil . In April 2012 , it was announced that Phil LaMarr would be playing the role of Baxter Stockman and Nolan North would be playing a race of aliens known as the Kraang , while Roseanne Barr is confirmed to voice their leader , Kraang Prime . Actress Kelly Hu confirmed her role as Karai in May 2012 . Corey Feldman was confirmed to play the role of Slash . Recurring TMNT character Casey Jones began appearing in the second season , and is voiced by former Nickelodeon star Josh Peck .   Production art was leaked on the Nickelodeon website before it was taken down . The images showed the designs of all four turtles , Shredder , Splinter , a teenage April O'Neil and the Kraang , an alien race that combines elements of both Krang and the Utroms . A trailer for the series was released on June 21 , 2012 , on Nickelodeon USA . In June 2014 , it was announced that Seth Green would replace Jason Biggs and Dominic Catrambone as the voice of Leonardo in season 3 .   Episodes  Main article : List of Teenage Mutant Ninja Turtles ( 2012 TV series ) episodes    Season   Episodes   Originally aired     First aired   Last aired         26   February 28 , 2013 ( 2013 - 02 - 28 )   August 8 , 2013 ( 2013 - 08 - 08 )         26   April 18 , 2014 ( 2014 - 04 - 18 )   September 26 , 2014 ( 2014 - 09 - 26 )         26   April 19 , 2015 ( 2015 - 04 - 19 )   September 27 , 2015 ( 2015 - 09 - 27 )         26   September 4 , 2016 ( 2016 - 09 - 04 )   February 26 , 2017 ( 2017 - 02 - 26 )       5   20   July 9 , 2017 ( 2017 - 07 - 09 )   November 12 , 2017 ( 2017 - 11 - 12 )     Related Animation   Half - Shell Heroes : Blast to the past   On November 22 , 2015 , Nickelodeon aired a 2D animated special , Half - Shell Heroes : Blast to the Past . In the special , the Ninja Turtles are accidentally transported back to the Cretaceous period by an ancient meteorite and must work together with Rocksteady and Bebop ( along with some newly befriended dinosaur allies ) to get back to their own time , while simultaneously fending off would - be predators and a faction of the Triceraton Army led by General Zera ( voiced by Kate Mulgrew ) , coming to prehistoric Earth . Random House also released a book based on the special while Playmates released new dinosaur toys in the fall to coincide with the program . The special was seen by 1.41 million viewers . It was released to DVD , through Nickelodeon and Paramount Home Media Distribution , on March 15 , 2016 .   Short films       This section needs expansion . You can help by adding to it . ( July 2017 )     A series of short films were released during the course of the series , including : Turtles in Time , Teenage Mecha Ninja Turtles , TMNT Team Up : The Short Series .   Teenage Mecha Ninja Turtles focuses on the eponymous group , four human teen mecha pilots trained by an aged Michelangelo ( with Greg Cipes reprising his role from the series ) set in a futuristic New York City ( circa 2090 ) inhabited both by humans and anthropormorphic animals , including a Scruff McGruff - like police chief . The four children each pilot colored turtle like mechs , and consist of the following : team leader Frida ( voiced by America Young ) pilots the red , Raphael - like mech ; the blue mech with cloaking abilities that resembles Leonardo is piloted by Frida 's antagonistic teammate Jackson ( Eric Artel ) ; the battle happy Kusama ( Tania Gunadi ) pilots the Michelangelo - like orange mech ; and the purple mech , which is heavily armored and wields a bo staff that can transform into a hammer , is piloted by the nerdy and somewhat anxious Basque ( Khary Payton ) . The short features the Mecha Turtles subduing a group of anthropomorphic thieves resembling Hyenas and other canines , consisting of wolf - like leader Grimm , spotted hyena - like members Jester Joe ( both voiced by Eric Bauza ) and Jester Jim ( voiced by David Kaye , who also voices the armored police officer Sgt . Swat ) , and several other silent members .   Broadcast   The series premiered on Canadian channel YTV on September 29 , 2012 . It also premiered on Nickelodeon UK and Ireland in the UK and the Republic of Ireland on October 1 , 2012 . It premiered on Nickelodeon Australia and New Zealand in Australia and New Zealand on October 8 , 2012 . It premiered on Nickelodeon Canada on September 2 , 2013 . In India , it airs on Nick HD+ . It also airs on Channel 5 in the UK .   Reception   IGN has given the show positive reviews , with many episodes reviewed being given the `` Editor 's Choice '' title . The season 2 finale `` The Invasion '' has received the highest rating of 10 / 10 . The series premiered in the U.S. to 3.9 million viewers .   Variety has praised the show , saying `` ... handsomely produced effort , with a strong vocal cast , considerable humor and scads of high - spirited action . If the goal was to introduce the Turtles to a new generation -- amphibious mission accomplished . ''   Accolades     Awards     Year   Award   Category   Recipients and nominees   Result     2013   40th Daytime Creative Arts Emmy Awards   Outstanding Animated Program   Teenage Mutant Ninja Turtles   Nominated     Outstanding Casting for an Animated Series or Special   Meredith Layne , Sarah Noonan , and Gene Vassilaros   Nominated     Outstanding Sound Editing - Animation   Jeff Shiffman , Otis Van Osten , Anna Adams , Gerry Gonzalez , Matt Hall , Roger Pallan , John Sanacore , and Alex Ullrich   Nominated     2014   41st Annie Awards   Outstanding Achievement , Editorial in an Animated TV / Broadcast Production   Myra Lopez , Ana Adams , and Justin Baker   Nominated     2014 Kids ' Choice Awards   Favorite Cartoon   Teenage Mutant Ninja Turtles   Nominated     2014 Nickelodeon Indonesia Kids ' Choice Awards   Favorite Cartoon Show   Teenage Mutant Ninja Turtles   Nominated     41st Daytime Creative Arts Emmy Awards   Outstanding Casting for an Animated Series or Special   Sarah Noonan , Gene Vassilaros , and Meredith Layne   Won     Outstanding Sound Mixing -- Animation   Teenage Mutant Ninja Turtles   Nominated     66th Primetime Emmy Awards   Primetime Emmy Award for Outstanding Animated Program ( for Programming Less Than One Hour )   `` The Manhattan Project ''   Nominated     2014 British Academy Children 's Awards   International   Alan Wan , Brandon Auman , Ciro Nieli   Nominated     2015   Producers Guild of America Awards 2014   Outstanding Children 's Program   Teenage Mutant Ninja Turtles   Nominated     2015 Kids ' Choice Awards   Favorite Cartoon   Teenage Mutant Ninja Turtles   Nominated     42nd Daytime Creative Arts Emmy Awards   Outstanding Casting for an Animated Series or Special   Meredith Layne , Sarah Noonan , and Gene Vassilaros   Won ( tie )     Outstanding Sound Mixing -- Animation   Teenage Mutant Ninja Turtles   Nominated     2016   Producers Guild of America Awards 2015   Outstanding Children 's Program   Teenage Mutant Ninja Turtles   Nominated     43rd Daytime Creative Arts Emmy Awards   Outstanding Casting for an Animated Series or Special   Meredith Layne , Sarah Noonan , and Gene Vassilaros   Nominated     Outstanding Sound Mixing -- Animation   Justin Brinsfield , Matt Corey , Manny Grijalva , D.J. Lynch , Jeff Shiffman   Won     Outstanding Sound Editing -- Animation   Jeff Shiffman , Jessey Drake , Anna Adams , Elliot Herman and Roger Pallan   Nominated     2017   44th Annie Awards   Best Animated Television / Broadcast Production For Children   `` Trans - Dimensional Turtles ''   Nominated     Merchandise   Toys   Playmates Toys created a new line of Teenage Mutant Ninja Turtles consumer products to go along with the show .   In mid-2012 , Playmates Toys released their first wave of basic Teenage Mutant Ninja Turtles action figures which consisted of `` hero figures '' Leonardo , Donatello , Raphael , Michelangelo , Splinter and April O'Neil as well as `` villain characters '' Shredder , Kraang , and a Foot Soldier . In early 2013 , Playmates released series 2 which consisted of the new `` hero '' character Metalhead as well as new villains Dogpound and Fishface . In April 2013 , the third wave appeared which included the `` hero '' character Leatherhead as well as villains Snakeweed and Baxter Stockman . Wave four was released in early August and it featured the villains Rat King and Spyroach as well as new `` Stealth Tech '' versions of the four turtles . Wave 5 was released in October with a 7 pack of Mousers as well as four baby versions of the Turtles ( Turtles in training ) October saw the final release of 2013 with wave six which included two new villains : Spider Bytez and a newly sculpted Shredder figure featuring a removable helmet and cape . Wave seven first appeared in February 2014 with figures for Kirby Bat , Squirrelanoid , Casey Jones , and Mutagen Man .   The Lego Group released a Lego theme of Teenage Mutant Ninja Turtles between 2012 and 2014 .   In July 2014 , Build - A-Bear Workshop released a series of plush versions of the Turtles , as well as other TMNT themed apparel including an outfit of Shredder , along with items such as the Turtles ' signature weapons .   In April 2014 , Diamond Select Toys unveiled the first series of Minimates mini-figures based on the Nickelodeon series . Two unpainted promotional figures were given away at Comic - Con International 2014 , and Series 1 was released in fall 2014 as blind bags at Kmart and comic shops , and in 2 - packs at Toys `` R '' Us . Each location had one or two exclusive characters in addition to their shared characters . Series 2 was released in comic shops in early - 2015 and at Toys `` R '' Us in mid-2015 , again with both shared and exclusive figures . Series 3 is scheduled for both locations for the fall of 2015 . A Series 4 has been confirmed .   Comics   Similar to the Teenage Mutant Ninja Turtles Adventures series from Archie Comics , which spanoff from the original TV series , IDW Publishing released a spin - off comic title named New Animated Adventures featuring original adventures , starting July 2013 . The series was cancelled after 24 issues , and was succeeded by a revised story program entitled Amazing Adventures , which was launched in August 2015 . One of the main reasons for this revision was the inclusion of the Shredder as a vital character into the comic stories , which had been neglected in New Animated Adventures . Amazing Adventures was published until September 2017 , with a total of fourteen regular issues , one special story guest - starring Carmelo Anthony , a three - issue story arch titled Robotanimals , and the crossover miniseries Batman / Teenage Mutant Ninja Turtles Adventures .   Home Media releases   The series has also been released to home video , mainly DVD . Nickelodeon 's typical Region 1 DVD release schedule is to release each season across three volumes , consisting of four DVDs totally , with each disc containing about 6 - 7 sequential episodes .     Season   Episodes   DVD release dates     Region 1   Region 2   Region 4         26   Volume 1 : Rise of the Turtles : February 26 , 2013 ( 2013 - 02 - 26 ) Volume 2 : Enter Shredder : July 16 , 2013 ( 2013 - 07 - 16 ) Volume 3 : Ultimate Showdown : October 1 , 2013 ( 2013 - 10 - 01 ) The Complete 1st Season : October 7 , 2014 ( 2014 - 10 - 07 ) Pulverizer Power : June 9 , 2015 ( 2015 - 06 - 09 ) The Complete 1st and 2nd Seasons : October 6 , 2015 ( 2015 - 10 - 06 )   Complete Season : November 18 , 2013 ( 2013 - 11 - 18 )   Volume 1 : March 6 , 2013 ( 2013 - 03 - 06 ) Volume 2 : June 26 , 2013 ( 2013 - 06 - 26 ) Volume 3 : September 4 , 2013 ( 2013 - 09 - 04 ) Volume 4 : October 23 , 2013 ( 2013 - 10 - 23 )         26   Volume 4 : Mutagen Mayhem : March 18 , 2014 ( 2014 - 03 - 18 ) Volume 5 : The Good , The Bad and Casey Jones : July 1 , 2014 ( 2014 - 07 - 01 ) Volume 6 : Showdown in Dimension X : December 2 , 2014 ( 2014 - 12 - 02 ) The Complete 1st and 2nd Seasons : October 6 , 2015 ( 2015 - 10 - 06 )   Complete Season : March 30 , 2015 ( 2015 - 03 - 30 )   Volume 1 : June 25 , 2014 ( 2014 - 06 - 25 )         26   Volume 7 : Retreat : March 10 , 2015 ( 2015 - 03 - 10 ) Volume 8 : Return to NYC : July 14 , 2015 ( 2015 - 07 - 14 ) Volume 9 : Revenge : December 1 , 2015 ( 2015 - 12 - 01 )   Complete Season : September 5 , 2016 ( 2016 - 09 - 05 )   TBA         26   Volume 10 : Beyond the Known Universe : May 24 , 2016 ( 2016 - 05 - 24 ) Volume 11 : Earth 's Last Stand : December 13 , 2016 ( 2016 - 12 - 13 ) Volume 12 : Super Shredder ( episodes 20 - 26 ) : March 21 , 2017 ( 2017 - 03 - 21 )   TBA   TBA       5   20   Volume 12 : Super Shredder ( episodes 1 - 4 ) : March 21 , 2017 ( 2017 - 03 - 21 ) Volume 13 : Wanted : Bebop &amp; Rocksteady : September 12 , 2017 ( 2017 - 09 - 12 ) Volume 14 : The Final Chapters : December 12 , 2017 ( 2017 - 12 - 12 )   TBA   TBA     Video games   In 2013 , Nickelodeon released Rooftop Run for iOS devices such as the iPhone , iPad , and iPod Touch .   On August 28 , 2013 , Activision released Out of the Shadows , a downloadable 3D beat ' em up game , for Xbox 360 and Microsoft Windows . On April 15 , 2014 , a version was released for the PlayStation 3 . The game features an online multiplayer co-op for up to four players .   Activision also released a Teenage Mutant Ninja Turtles video game based on the series for Wii , Xbox 360 , and Nintendo 3DS on October 22 , 2013 .   On September 4 , 2014 . Activision announced there being a second game based on the show called Danger of the Ooze . The game w</t>
  </si>
  <si>
    <t xml:space="preserve">how many seasons of teenage mutant ninja turtles nickelodeon</t>
  </si>
  <si>
    <t xml:space="preserve">   Teenage Mutant Ninja Turtles     Series logotype     Also known as   Tales of the Teenage Mutant Ninja Turtles ( season five title )     Genre   Action Comedy Drama     Based on   Teenage Mutant Ninja Turtles by Kevin Eastman Peter Laird     Developed by   Ciro Nieli Joshua Sternin J.R. Ventimilia     Voices of     Jason Biggs ( Seasons 1 -- 2 )   Seth Green ( Seasons 3 -- 5 )   Rob Paulsen   Sean Astin   Greg Cipes   Hoon Lee   Mae Whitman   Kevin Michael Richardson   Josh Peck   Kelly Hu   Nolan North   Clancy Brown   Christian Lanz   Phil LaMarr   Eric Bauza   Fred Tatasciore   J.B. Smoove       Opening theme   `` Teenage Mutant Ninja Turtles ''     Ending theme   `` Teenage Mutant Ninja Turtles '' ( instrumental )     Composer ( s )   Sebastian Evans II Stanley Martinez     Country of origin   United States     Original language ( s )   English     No. of seasons   5     No. of episodes   124 ( list of episodes )     Production     Executive producer ( s )     Joshua Sternin   J.R. Ventimilia   Ciro Nieli   Peter Hastings   Brandon Auman   Rick Magallanes ( for Nickelodeon ; season 1 )   Megan Casey ( for Nickelodeon ; seasons 2 -- 5 )       Producer ( s )     MacGregor Middleton   Christopher Waters ( supervising )   Ant Ward ( supervising )   Patrick Krebs ( supervising )   Vladimir Radev ( asscociate )       Running time   22 minutes     Production company ( s )   Lowbar Productions Mirage Studios Nickelodeon Animation Studio     Release     Original network   Nickelodeon     Picture format   480i NTSC 1080i HDTV     Original release   September 29 , 2012 ( 2012 - 09 - 29 ) -- November 12 , 2017 ( 2017 - 11 - 12 )     Chronology     Preceded by   Teenage Mutant Ninja Turtles ( 2003 TV series )     Followed by   Rise of the Teenage Mutant Ninja Turtles     External links     Website   </t>
  </si>
  <si>
    <t xml:space="preserve">Oakland Athletics - wikipedia  Oakland Athletics  `` A 's '' redirects here . For other uses , see As and A ( disambiguation ) .    Oakland Athletics     2018 Oakland Athletics season     Established in 1901     Based in Oakland since 1968              Team logo   Cap insignia        Major league affiliations       American League ( 1901 -- present )   West Division ( 1969 -- present )         Current uniform         Retired numbers     9   24   27   34   43   A 's   42       Colors       Kelly green , gold , white       Name       Oakland Athletics ( 1987 -- present )   Oakland A 's ( 1968 -- 1986 )   Kansas City Athletics ( 1955 -- 1967 )   Philadelphia Athletics ( 1901 -- 1954 )       Other nicknames       The A 's , The Swingin ' A 's , The White Elephants , The Elephants , The Green and Gold       Ballpark       Oakland -- Alameda County Coliseum ( 1968 -- present )   Municipal Stadium ( 1955 -- 1967 )   Shibe Park ( 1909 -- 1954 )   Columbia Park ( 1901 -- 1908 )       Major league titles     World Series titles ( 9 )     1910   1911   1913   1929   1930   1972   1973     1989       AL Pennants ( 15 )     1902   1905   1910   1911   1913   1914   1929   1930   1931   1972   1973     1988   1989   1990       West Division titles ( 16 )     1971   1972   1973       1981   1988   1989   1990   1992   2000   2002   2003   2006   2012   2013       Wild card berths ( 2 )     2001   2014       Front office     Owner ( s )   John J. Fisher     Manager   Bob Melvin     General Manager   David Forst     President of Baseball Operations   Billy Beane     The Oakland Athletics , often referred to as the A 's , are an American professional baseball team based in Oakland , California . They compete in Major League Baseball ( MLB ) as a member club of the American League ( AL ) West division . The team plays its home games at the Oakland -- Alameda County Coliseum . They have won nine World Series championships , the third-most of all current MLB teams . The 2017 season was the club 's 50th while based in Oakland .   One of the American League 's eight charter franchises , the team was founded in Philadelphia in 1901 as the Philadelphia Athletics . They won three World Series championships from 1910 to 1913 and back - to - back titles in 1929 and 1930 . The team 's owner and manager for its first 50 years was Connie Mack and Hall of Fame players included Chief Bender , Frank `` Home Run '' Baker , Jimmie Foxx , and Lefty Grove . The team left Philadelphia for Kansas City in 1955 and became the Kansas City Athletics before moving to Oakland in 1968 . They won three consecutive World Championships between 1972 and 1974 , led by players including Catfish Hunter , Reggie Jackson , ace reliever Rollie Fingers , and colorful owner Charlie O. Finley . After being sold by Finley to Walter A. Haas Jr. , the team won three consecutive pennants and the 1989 World Series behind the `` Bash Brothers '' , Jose Canseco and Mark McGwire , as well as Hall of Famers Dennis Eckersley , Rickey Henderson and manager Tony La Russa .     Contents  ( hide )   1 History   1.1 Team name   1.2 Elephant mascot     2 Team uniform   3 Stadium   3.1 New stadium proposals   3.1. 1 Staying in Oakland   3.1. 2 Prior proposals   3.1. 2.1 Fremont   3.1. 2.2 San Jose         4 Rivals   4.1 San Francisco Giants   4.2 Historic rivalries   4.2. 1 Philadelphia Phillies       5 Achievements   5.1 Awards   5.2 Hall of Famers   5.3 Ford C. Frick Award recipients   5.4 Retired numbers   5.5 Bay Area Sports Hall of Fame   5.6 Philadelphia Baseball Wall of Fame   5.7 Philadelphia Sports Hall of Fame   5.8 Team captains     6 Season - by - season records   7 Current roster   8 Minor league affiliations   9 Radio and television   10 In popular culture   11 See also   12 References   13 Further reading   14 External links      History ( edit )  Main articles : History of the Philadelphia Athletics and History of the Oakland Athletics  The history of the Athletics Major League Baseball franchise spans the period from 1901 to the present day , having begun in Philadelphia before moving to Kansas City in 1955 and then to its current home in Oakland , California , in 1968 . The A 's made their Bay Area debut on Wednesday , April 17 , 1968 , with a 4 - 1 loss to the Baltimore Orioles at the Coliseum , in front of an opening - night crowd of 50,164 .   Team name ( edit )   The Athletics ' name originated in the term `` Athletic Club '' for local gentlemen 's clubs -- dates to 1860 when an amateur team , the Athletic ( Club ) of Philadelphia , was formed . ( A famous image from that era , published in Harper 's Weekly in 1866 , shows the Athletic players dressed in uniforms displaying the familiar blackletter `` A '' on the front . ) The team later turned professional through 1875 , becoming a charter member of the National League in 1876 , but were expelled from the N.L. after one season . A later version of the Athletics played in the American Association from 1882 -- 1891 .   Elephant mascot ( edit )   After New York Giants manager John McGraw told reporters that Philadelphia manufacturer Benjamin Shibe , who owned the controlling interest in the new team , had a `` white elephant on his hands '' , team manager Connie Mack defiantly adopted the white elephant as the team mascot , and presented McGraw with a stuffed toy elephant at the start of the 1905 World Series . McGraw and Mack had known each other for years , and McGraw accepted it graciously . By 1909 , the A 's were wearing an elephant logo on their sweaters , and in 1918 it turned up on the regular uniform jersey for the first time .   In 1963 , when the A 's were located in Kansas City , then owner Charlie Finley changed the team mascot from an elephant to a Missouri mule . This is rumored to have been done by Finley in order to appeal to fans from the region who were predominantly Democrats at the time . ( The traditional Republican Party symbol is an elephant , while the Democratic Party 's symbol is a donkey . ) Since 1988 , the Athletics ' 21st season in Oakland , an illustration of an elephant has adorned the left sleeve of the A 's home and road uniforms . Beginning in the mid 1980s , the on - field costumed incarnation of the A 's elephant mascot went by the name Harry Elephante . In 1997 , he took his current form , Stomper .   Team uniform ( edit )   Through the seasons , the Athletics ' uniforms have usually paid homage to their amateur forebears to some extent . Until 1954 , when the uniforms had `` Athletics '' spelled out in script across the front , the team 's name never appeared on either home or road uniforms . Furthermore , neither `` Philadelphia '' nor the letter `` P '' ever appeared on the uniform or cap . The typical Philadelphia uniform had only a script `` A '' on the left front , and likewise the cap usually had the same `` A '' on it . In the early days of the American League , the standings listed the club as `` Athletic '' rather than `` Philadelphia '' , in keeping with the old tradition . Eventually , the city name came to be used for the team , as with the other major league clubs .   After buying the team in 1960 , owner Charles O. Finley introduced new road uniforms with `` Kansas City '' printed on them , as well as an interlocking `` KC '' on the cap . Upon moving to Oakland , the `` A '' cap emblem was restored , although in 1970 an `` apostrophe - s '' was added to the cap and uniform emblem to reflect the fact that Finley was in the process of officially changing the team 's name to the `` A 's . ''  The Athletics logo ( 1983 -- 1992 )  Also while in Kansas City , Finley changed the team 's colors from their traditional red , white and blue to what he termed `` Kelly Green , Wedding Gown White and Fort Knox Gold . '' It was also here that he began experimenting with dramatic uniforms to match these bright colors , such as gold sleeveless tops with green undershirts and gold pants . The innovative uniforms only increased after the team 's move to Oakland , which also came at the time of the introduction of polyester pullover uniforms . During their dynasty years in the 1970s , the A 's had dozens of uniform combinations with jerseys and pants in all three team colors , and in fact did not wear the traditional gray on the road , instead wearing green or gold , which helped to contribute to their nickname of `` The Swingin ' A 's . '' After the team 's sale to the Haas family , the team changed its primary color to a more subdued forest green and began a move back to more traditional uniforms .  Justin Duchscherer pitched for the Oakland Athletics  Currently , the team wears home uniforms with `` Athletics '' spelled out in script writing and road uniforms with `` Oakland '' spelled out in script writing , with the cap logo consisting of the traditional `` A '' with `` apostrophe - s . '' The home cap is green with a gold bill and white lettering , while the road cap , debuting in 2014 , is all green with `` A 's '' in white with gold trim . Regardless of road or home games , the batting helmets used are green with gold brim . However , before 2009 , when the black A 's helmets appeared , road helmets were green with green brim .   From 1994 until 2013 , the A 's wore green alternate jerseys with the word `` Athletics '' in gold . It was used on both road and home games . During the 2000s , the Athletics introduced black as one of their colors . They began wearing a black alternate jersey with `` Athletics '' written in green . After a brief discontinuance , the A 's brought back the black jersey , this time with `` Athletics '' written in white with gold highlights . Commercially popular but rarely chosen as the alternate by players , in 2011 they were replaced by a new gold alternate jersey with `` A 's '' in green on the left chest . With the exception of several road games during the 2011 season , the Athletics ' gold uniforms are used as the designated home alternates . A green version of their gold alternates was introduced for the 2014 season to replace their previous green alternates . The new green alternates feature the piping , `` A 's '' and lettering in white with gold trim .   In 2018 , as part of the franchise 's 50th anniversary since the move to Oakland , the A 's wore a kelly green alternate uniform with `` Oakland '' in white with gold trim , and was paired with an all - kelly green cap .   The nickname `` A 's '' has long been used interchangeably with `` Athletics '' , dating to the team 's early days when headline writers wanted a way to shorten the name . From 1972 through 1980 , the team nickname was officially `` Oakland A 's '' , although , during that time , the Commissioner 's Trophy , given out annually to the winner of baseball 's World Series , still listed the team 's name as the `` Oakland Athletics '' on the gold - plated pennant representing the Oakland franchise . According to Bill Libby 's Book , Charlie O and the Angry A 's , owner Charlie O. Finley banned the word `` Athletics '' from the club 's name because he felt that name was too closely associated with former Philadelphia Athletics owner Connie Mack , and he wanted the name `` Oakland A 's '' to become just as closely associated with him . The name also vaguely suggested the name of the old minor league Oakland Oaks , which were alternatively called the `` Acorns . '' New owner Walter Haas restored the official name to `` Athletics '' in 1981 , but retained the nickname `` A 's '' for marketing purposes . At first , the word `` Athletics '' was restored only to the club 's logo , underneath the much larger stylized - `` A '' that had come to represent the team since the early days . By 1987 , however , the word returned , in script lettering , to the front of the team 's jerseys .   The A 's are the only MLB team to wear white cleats , both at home and on the road , another tradition dating back to the Finley ownership .   Stadium ( edit )   The Oakland Alameda Coliseum -- originally known as the Oakland -- Alameda County Coliseum , and later named as Network Associates , McAfee and Overstock.com Coliseum -- was built as a multi-purpose facility . Louisiana Superdome officials pursued negotiations with Athletics officials during the 1978 -- 79 baseball offseason about moving the Athletics to the Superdome in New Orleans . The Athletics were unable to break their lease at the Coliseum , and remained in Oakland .   After the Oakland Raiders football team moved to Los Angeles in 1982 , many improvements were made to what was suddenly a baseball - only facility . The 1994 movie Angels in the Outfield was filmed in part at the Coliseum , filling in for Anaheim Stadium .   Then , in 1995 , a deal was struck whereby the Raiders would move back to Oakland for the 1995 season . The agreement called for the expansion of the Coliseum to 63,026 seats . The bucolic view of the Oakland foothills that baseball spectators enjoyed was replaced with a jarring view of an outfield grandstand contemptuously referred to as `` Mount Davis '' after Raiders ' owner Al Davis . Because construction was not finished by the start of the 1996 season , the Athletics were forced to play their first six - game homestand at 9,300 - seat Cashman Field in Las Vegas .   Although official capacity was stated to be 43,662 for baseball , seats were sometimes sold in Mount Davis as well , pushing `` real '' capacity to the area of 60,000 . The ready availability of tickets on game day made season tickets a tough sell , while crowds as high as 30,000 often seemed sparse in such a venue . On December 21 , 2005 , the Athletics announced that seats in the Coliseum 's third deck would not be sold for the 2006 season , but would instead be covered with a tarp , and that tickets would no longer be sold in Mount Davis under any circumstances . That effectively reduced capacity to 34,077 , making the Coliseum the smallest stadium in Major League Baseball . Beginning in 2008 , sections 316 -- 318 were the only open third - deck sections for A 's games , which brought the total capacity to 35,067 until 2017 when new team president Dave Kaval took the tarps off of the upper deck , increasing capacity to 47,170 . The Athletics are the only remaining MLB team still sharing a stadium with an NFL team on a full - time basis .   The Athletics ' Spring training facility is Hohokam Stadium , located in Mesa , Arizona . From 1982 to 2014 , their spring training facility was Phoenix Municipal Stadium , located in Phoenix , Arizona . Previous spring - training sites since they moved to Oakland in 1968 were Yuma and Mesa , Arizona , as well as Las Vegas , Nevada , all in the 1970s .   New stadium proposals ( edit )  Main article : Oakland Ballpark  Since the mid-2000s the A 's have been in talks with Oakland and other Northern California cities about building a new baseball - only stadium . One planned stadium , Cisco Field , was originally intended to be built in Fremont , California ( a location that has since been abandoned ) . As it stands , there are no talks of moving the team to San Jose after the U.S. Supreme Court blocked the Athletics move .  Staying in Oakland ( edit )  The team has said it wants to remain in Oakland , but has yet to find a site that the A 's , the City of Oakland and landowners can agree on . The most recent failed plan would have placed a new 35,000 seat A 's stadium near Laney College and the Eastlake neighborhood on the current site of the Peralta Community College District 's administration buildings . The plan was announced by team president Dave Kaval in September 2017 . However , just three months later , college officials abruptly ended the negotiations . Other proposed sites included on the waterfront at the Port of Oakland and the Coliseum site .  Prior proposals ( edit ) Fremont ( edit )  After the city of Oakland failed to make any progress toward a stadium , the A 's began contemplating a move to the Warm Springs district of suburban Fremont . Fremont is about 25 miles south of Oakland ; many nearby residents are already a part of the current Athletics fanbase .   On November 7 , 2006 , many media sources announced the Athletics would be leaving Oakland as early as 2010 for a new stadium in Fremont , confirmed the next day by the Fremont City Council . The plan was strongly supported by Fremont Mayor Bob Wasserman . The team would have played in what was planned to be called Cisco Field , a 32,000 - seat , baseball - only facility . The proposed ballpark would have been part of a larger `` ballpark village '' which would have included retail and residential development . On February 24 , 2009 , however , Lew Wolff released an open letter regarding the end of his efforts to relocate the A 's to Fremont , citing `` real and threatened '' delays to the project . The project faced opposition from some in the community who thought the relocation of the A 's to Fremont would increase traffic problems in the city and decrease property values near the ballpark site .  San Jose ( edit )  In 2009 , the City of San Jose attempted to open negotiations with the team regarding a move to the city . Although parcels of land south of Diridon Station would be acquired by the city as a stadium site , the San Francisco Giants ' claim on Santa Clara County as part of their home territory would have to be settled before any agreement could be made .   By 2010 , San Jose was `` aggressively wooing '' A 's owner Lew Wolff . Wolff referred to San Jose as the team 's `` best option '' , but Major League Baseball Commissioner Bud Selig said he would wait on a report on whether the team could move to the area because of the Giants conflict . In September 2010 , 75 Silicon Valley CEOs drafted and signed a letter to Bud Selig urging a timely approval of the move to San Jose . In May 2011 , San Jose Mayor Chuck Reed sent a letter to Bud Selig asking the commissioner for a timetable of when he might decide whether the A 's can pursue this new ballpark , but Selig did not respond .   Selig addressed the San Jose issue via an online town hall forum held in July 2011 , saying , `` Well , the latest is , I have a small committee who has really assessed that whole situation , Oakland , San Francisco , and it is complex . You talk about complex situations ; they have done a terrific job . I know there are some people who think it 's taken too long and I understand that . I 'm willing to accept that . But you make decisions like this ; I 've always said , you 'd better be careful . Better to get it done right than to get it done fast . But we 'll make a decision that 's based on logic and reason at the proper time . ''   On June 18 , 2013 , the City of San Jose filed suit against Selig , seeking the court 's ruling that Major League Baseball may not prevent the Oakland A 's from moving to San Jose . Wolff criticized the lawsuit , stating he did not believe business disputes should be settled through legal action .   Most of the city 's claims were dismissed in October 2013 , but a U.S. District Judge ruled that San Jose could move forward with its count that MLB illegally interfered with an option agreement between the city and the A 's for land . On January 15 , 2015 , a three - judge panel of the 9th U.S. Circuit Court of Appeals ruled unanimously that the claims were barred by baseball 's antitrust exemption , established by the U.S. Supreme Court in 1922 and upheld in 1953 and 1972 . San Jose Mayor Sam Liccardo commented that the city would seek a ruling from the U.S. Supreme Court . On October 5 , 2015 the United States Supreme Court rejected San Jose 's bid on the Athletics .   Rivals ( edit )   San Francisco Giants ( edit )  See also : Bay Bridge Series  The Bay Bridge Series is the name of a series games played between ( and the rivalry of ) the A 's and San Francisco Giants of the National League . The series takes its name from the San Francisco -- Oakland Bay Bridge which links the cities of Oakland and San Francisco . Although competitive , the regional rivalry between the A 's and Giants is considered a friendly one with mostly mutual companionship between the fans , as opposed to White Sox -- Cubs , or Yankees -- Mets games where animosity runs high . Hats displaying both teams on the cap are sold from vendors at the games , and once in a while the teams both dress in uniforms from an historic era of their franchises .   The series is also occasionally referred to as the `` BART Series '' for the Bay Area Rapid Transit system that links Oakland to San Francisco . However , the name `` BART Series '' has never been popular beyond a small selection of history books and national broadcasters and has fallen out of favor . Bay Area locals almost exclusively refer to the rivalry as the `` Battle of the Bay '' .   Originally , the term described a series of exhibition games played between the two clubs after the conclusion of spring training , immediately prior to the start of the regular season . It was first used to refer to the 1989 World Series in which the Athletics won their most recent championship and the first time both teams had met since they moved to the San Francisco Bay Area . Today , it also refers to games played between the teams during the regular season since the commencement of interleague play in 1997 . Through the 2017 regular season , the A 's have won 59 games , and the Giants have won 55 contests : The A 's have held the head - to - head edge in this inter-league matchup for the past 12 years .   The A 's also have edges on the Giants in terms of overall postseason appearances ( 18 - 11 ) , division titles ( 16 - 8 ) and World Series titles ( 4 - 3 ) since both teams moved to the Bay Area , even though the Giants franchise moved there a decade earlier than the A 's did .   On March 24 , 2018 the Oakland A 's announced that for the Sunday March 25 , 2018 exhibition game against the San Francisco Giants , A 's fans would be charged $30 for parking and Giants fans would be charged $50 . However , the A 's stated that Giants fans could receive $20 off if they shout `` Go A 's '' at the parking gates .   Historic rivalries ( edit )  Philadelphia Phillies ( edit ) See also : City Series ( Philadelphia )  The City Series was the name of a series of baseball games played between the Athletics and the Philadelphia Phillies of the National League that ran from 1903 through 1955 . After the A 's move to Kansas City in 1955 , the City Series rivalry came to an end . The teams have since faced each other in interleague play ( since its introduction in 1997 ) but the rivalry has effectively died in the intervening years since the A 's left Philadelphia . In 2014 , when the A 's faced the Phillies in inter-league play at the Oakland Coliseum , the Athletics did n't bother to mark the historical connection , going so far as to have a Connie Mack promotion the day before the series while the Texas Rangers were in Oakland .   The first City Series was held in 1883 between the Phillies and the American Association Philadelphia Athletics . When the Athletics first joined the American League , the two teams played each other in a spring and fall series . No City Series was held in 1901 and 1902 due to legal warring between the National League and American League .   Achievements ( edit )   Awards ( edit )  Main article : Oakland Athletics award winners and league leaders   Catfish Hunter Award ( 2004 -- present )    Hall of Famers ( edit )  Main article : List of members of the Baseball Hall of Fame    Oakland Athletics Hall of Famers     Affiliation according to the National Baseball Hall of Fame and Museum      Philadelphia Athletics    Home Run Baker Chief Bender Ty Cobb Mickey Cochrane       Eddie Collins Jimmy Collins Stan Coveleski Elmer Flick       Nellie Fox Jimmie Foxx Lefty Grove Waite Hoyt George Kell       Nap Lajoie Connie Mack * Herb Pennock Eddie Plank *       Al Simmons Tris Speaker Rube Waddell * Zack Wheat      Kansas City Athletics    Luke Appling       Lou Boudreau       Whitey Herzog Tommy Lasorda       Satchel Paige       Enos Slaughter      Oakland Athletics    Orlando Cepeda Dennis Eckersley Rollie Fingers       Goose Gossage Rickey Henderson Catfish Hunter * *       Reggie Jackson Tony La Russa Willie McCovey Joe Morgan       Mike Piazza Tim Raines Don Sutton       Frank Thomas Billy Williams Dick Williams                             Players and managers listed in bold are depicted on their Hall of Fame plaques wearing a Athletics cap insignia .   * -- depicted on Hall of Fame plaque without a cap or cap insignia ; Hall of Fame recognizes Athletics as `` Primary Team ''   * * -- Catfish Hunter could not decide between the Yankees and Athletics , and so opted to wear no insignia on his cap upon his induction .   − inducted as player ; managed Athletics or was player - manager   -- inducted as manager ; played for Athletics or was player - manager           Ford C. frick award recipients ( edit )     Oakland Athletics Ford C. Frick Award recipients     Affiliation according to the National Baseball Hall of Fame and Museum         Harry Caray       Herb Carneal       Bill King       By Saam       Lon Simmons       Names in bold received the award based primarily on their work as broadcasters for the Athletics .               Retired numbers ( edit )  See also : List of Major League Baseball retired numbers  The Athletics have retired six numbers , and honored one additional individual with the letter `` A '' . Walter A. Haas , Jr. , owner of the team from 1980 until his death in 1995 , was honored by the retirement of the letter `` A '' . Of the six players with retired numbers , five were retired for their play with the Athletics and one , 42 , was universally retired by Major League Baseball when they honored the 50th anniversary of Jackie Robinson 's breaking the color barrier . No A 's player from the Philadelphia era has his number retired by the organization . Though Jackson and Hunter played small portions of their careers in Kansas City , no player that played the majority of his years in the Kansas City era has his number retired either . The A 's have retired only the numbers of Hall of Fame members who played large portions of their careers in Oakland . The Athletics have all of the numbers of the Hall - of - Fame players from the Philadelphia Athletics displayed at their stadium , as well as all of the years that the Philadelphia Athletics won World Championships ( 1910 , 1911 , 1913 , 1929 , and 1930 . )            Reggie Jackson RF Retired May 22 , 2004           Rickey Henderson LF Retired August 1 , 2009           Catfish Hunter Retired June 9 , 1991           Rollie Fingers Retired July 5 , 1993           Dennis Eckersley Retired August 13 , 2005           Walter A . Haas , Jr . Owner Honored 1995           Jackie Robinson All MLB Retired April 15 , 1997        Bay Area Sports Hall of Fame ( edit )  Dave Stewart , Oakland Athletics pitcher from 1986 to 1992 and 1995 Main article : Bay Area Sports Hall of Fame  17 members of the Athletics organization have been honored with induction into the Bay Area Sports Hall of Fame .     Athletics in the Bay Area Sports Hall of Fame     No .   Player   Position   Tenure   Notes     12   Dusty Baker   OF   1985 -- 1986       35   Vida Blue     1969 -- 1977       19   Bert `` Campy '' Campaneris   SS   1968 -- 1976       12   Orlando Cepeda   1B   1972   Elected mainly on his performance with San Francisco Giants     14   Sam Chapman   CF   1938 -- 1941 1945 -- 1951   Born and raised in Tiburon , California     43   Dennis Eckersley     1987 -- 1995   Grew up in Fremont     34   Rollie Fingers     1968 -- 1976       --   Walter A. Haas , Jr .   Owner   1981 -- 1995   Grew up in San Francisco , attended UC Berkeley     27   Catfish Hunter     1968 -- 1974       9   Reggie Jackson   RF   1968 -- 1975         Eddie Joost   SS Manager   1947 -- 1954 1954   Born and raised in San Francisco     10   Tony La Russa   IF Manager   1963 1968 -- 1971 1986 -- 1995         Billy Martin   Manager   1980 -- 1982   Elected mainly on his performance with New York Yankees , Born in Berkeley     44   Willie McCovey   1B   1976   Elected mainly on his performance with San Francisco Giants     8   Joe Morgan   2B   1984   Elected mainly on his performance with Cincinnati Reds , raised in Oakland     19   Dave Righetti     1994   Born and raised in San Jose     34   Dave Stewart     1986 -- 1992 1995   Born and raised in Oakland     Philadelphia Baseball Wall of Fame ( edit )  See also : Philadelphia Baseball Wall of Fame  The Athletics have all of the numbers of the Hall - of - Fame players from the Philadelphia Athletics displayed at their stadium , as well as all of the years that the Philadelphia Athletics won World Championships ( 1910 , 1911 , 1913 , 1929 , and 1930 . )   Also , from 1978 to 2003 ( except 1983 ) , the Philadelphia Phillies inducted one former Athletic ( and one former Phillie ) each year into the Philadelphia Baseball Wall of Fame at the then - existing Veterans Stadium . 25 Athletics have been honored . In March 2004 , after Veterans Stadium was replaced by the new Citizens Bank Park , the Athletics ' plaques were relocated to the Philadelphia Athletics Historical Society in Hatboro , Pennsylvania , and a single plaque listing all of the A 's inductees was attached to a statue of Connie Mack that is located across the street from Citizens Bank Park .   Key   Year   Year inducted     Bold   Member of the Baseball Hall of Fame       Member of the Baseball Hall of Fame as a member of the A 's     Bold   Recipient of the Hall of Fame 's Ford C. Frick Award       Philadelphia Baseball Wall of Fame     No .   Player   Position   Tenure   Inducted     --   Frank `` Home Run '' Baker   3B   1908 -- 1914   1993     --   Charles `` Chief '' Bender     1903 -- 1914   1991       Sam Chapman   CF   1938 -- 1951   1999       Mickey Cochrane     1925 -- 1933   1982     --   Eddie Collins   2B   1906 -- 1914 1927 -- 1930       --   Jack Coombs     1906 -- 1914   1992     5   Jimmy Dykes   3B / 2B Coach Manager   1918 -- 1932 1940 -- 1950 1951 -- 1953   1984     11   George Earnshaw     1928 -- 1933   2000     8   Ferris Fain   1B   1947 -- 1952   1997       Jimmie Foxx   1B   1925 -- 1935   1979     10   Lefty Grove     1925 -- 1933   1980       `` Indian Bob '' Johnson   LF   1933 -- 1942   1989       Eddie Joost   SS Manager   1947 -- 1954 1954   1995     --   Connie Mack   Manager Owner   1901 -- 1950 1901 -- 1954   1978     27   Bing Miller   RF   1922 -- 1926 1928 -- 1934   1998       Wally Moses   RF   1935 -- 1941 1949 -- 1951   1988     --   Rube Oldring   CF   1906 -- 1916 1918   2003     --   Eddie Plank     1901 -- 1914   1985     14   Eddie Rommel     1920 -- 1932       30   Bobby Shantz     1949 -- 1954   1994     7   Al Simmons   LF Coach   1924 -- 1932 1940 -- 1941 , 1944 1940 -- 1945   1981     38   Elmer Valo   RF   1940 -- 1954   1990     --   Rube Waddell     1902 -- 1907   1986     12   Rube Walberg     1923 -- 1933   2002     6   Gus Zernial   LF   1951 -- 1954   2001     Philadelphia Sports Hall of Fame ( edit )  Main article : Philadelphia Sports Hall of Fame    Athletics in the Philadelphia Sports Hall of Fame     No .   Name   Position   Tenure   Inducted   Notes     --   Connie Mack   Manager Owner   1901 -- 1950 1901 -- 1954           Jimmie Foxx   1B   1925 -- 1935         10   Lefty Grove     1925 -- 1933   2005       7   Al Simmons   LF Coach   1924 -- 1932 1940 -- 1941 , 1944 1940 -- 1945   2006         Mickey Cochrane     1925 -- 1933   2007       --   Eddie Collins   2B   1906 -- 1914 1927 -- 1930   2009       30   Bobby Shantz     1949 -- 1954         5   Jimmy Dykes   3B / 2B Coach Manager   1918 -- 1932 1940 -- 1950 1951 -- 1953   2011   Born in Philadelphia     --   Eddie Plank     1901 -- 1914   2012       --   Charles `` Chief '' Bender     1903 -- 1914   2014       --   Herb Pennock     1912 -- 1915   2014   Elected mainly on his performance with New York Yankees     --   By Saam   Broadcaster   1938 -- 1954   2014       Team captains ( edit )    6 Sal Bando , 3B , 1969 -- 1976    Season - by - season records ( edit )  Main article : List of Oakland Athletics seasons  The records of the Athletics ' last ten seasons in Major League Baseball are listed below .     Season   Wins   Losses   Win %   Place   Playoffs     2008   75   86   . 466   3rd in AL West       2009   75   87   . 463   4th in AL West         81   81   . 500   2nd in AL West       2011   74   88   . 457   3rd in AL West       2012   94   68   . 580   1st in AL West   Lost ALDS vs. Detro</t>
  </si>
  <si>
    <t xml:space="preserve">where did the oakland a's come from</t>
  </si>
  <si>
    <t xml:space="preserve"> The Oakland Athletics , often referred to as the A 's , are an American professional baseball team based in Oakland , California . They compete in Major League Baseball ( MLB ) as a member club of the American League ( AL ) West division . The team plays its home games at the Oakland -- Alameda County Coliseum . They have won nine World Series championships , the third-most of all current MLB teams . The 2017 season was the club 's 50th while based in Oakland . </t>
  </si>
  <si>
    <t xml:space="preserve">I Do n't Wanna Live Forever - wikipedia  I Do n't Wanna Live Forever  For other uses , see I Do n't Wanna Live Forever ( disambiguation ) .    `` I Do n't Wanna Live Forever ''         Single by Zayn and Taylor Swift     from the album Fifty Shades Darker : Original Motion Picture Soundtrack     Released   December 9 , 2016 ( 2016 - 12 - 09 )     Format   Digital download     Recorded   2016     Studio   Rough Costumer Studio ( Brooklyn , New York ) Record Plant ( Los Angeles , California )     Genre   Electro - R&amp;B     Length   4 : 05     Label   Universal     Songwriter ( s )     Taylor Swift   Sam Dew   Jack Antonoff       Producer ( s )   Jack Antonoff     Zayn singles chronology        `` Freedun '' ( 2016 )   `` I Do n't Wanna Live Forever '' ( 2016 )   `` Still Got Time '' ( 2017 )            Taylor Swift singles chronology        `` New Romantics '' ( 2016 )   `` I Do n't Wanna Live Forever '' ( 2016 )   `` Look What You Made Me Do '' ( 2017 )        Fifty Shades soundtrack singles chronology        `` Crazy in Love ( Remix ) '' ( 2015 )   `` I Do n't Wanna Live Forever '' ( 2016 )   `` Not Afraid Anymore '' ( 2017 )        Music video     `` I Do n't Wanna Live Forever '' on YouTube         `` I Do n't Wanna Live Forever '' , alternatively titled `` I Do n't Wanna Live Forever ( Fifty Shades Darker ) '' , is a song recorded by English singer - songwriter Zayn and American singer - songwriter Taylor Swift for the soundtrack to the 2017 film Fifty Shades Darker . It was written by Swift , Sam Dew , and Jack Antonoff and produced by Antonoff . The single was released on December 9 , 2016 , by Universal Music Group . The song 's music video was released on January 27 , 2017 .   Contents    1 Composition   2 Critical reception   3 Commercial performance   4 Music video   4.1 Synopsis     5 Awards and nominations   6 Credits and personnel   7 Charts   7.1 Weekly charts   7.2 Year - end charts     8 Certifications   9 Release history   10 See also   11 References    Composition ( edit )   `` I Do n't Wanna Live Forever '' is an electro - R&amp;B ballad . On the track , the pair trade `` romantic overtures '' , while Zayn uses a falsetto on parts of the song , and Swift ponders what the relationship means .   `` I Do n't Wanna Live Forever '' is written in the key of A minor and moves at a tempo of 118 beats per minute in common time . The song follows a chord progression of F -- C -- G -- Am -- F -- C -- G -- G ♯ dim -- Am , and the vocals span two octaves , from E to E .   Critical reception ( edit )   Nolan Feenery of Entertainment Weekly gave it a B+ rating : `` Welcome to Taylor Swift 's Sexy Side . '' He also praised the vocals of both artists . Lucas Villa of AXS thought the song was not as sexy as Ellie Goulding 's `` Love Me like You Do '' or The Weeknd 's `` Earned It '' , writing , `` Despite the neutered lyricism , Zayn saves the day and manages to maneuver his most magnificent performance to date . ''   Commercial performance ( edit )   The song upon release was available only on iTunes and Tidal . It was not serviced on Spotify upon launch but was later added the following week . In the United States , it sold 188,000 in its first week , in addition to a 25 million radio audience and 3 million streams . It debuted at number 6 on the Billboard Hot 100 . It is Zayn 's second top 10 solo single and Taylor Swift 's 20th top 10 , making her the 16th artist and sixth woman to do so . It debuted at number - one on the Digital Songs chart , as Zayn 's fourth song ( second solo song ) and Swift 's 11th song to top the chart , tying Swift with Katy Perry for the second-most in the chart 's history , behind Rihanna . It is also Zayn 's second number - one on the Digital Songs chart in 2016 , making him one of only two artists to top the chart with two songs that year , along with Drake . The song later reached a new peak of number 2 on the Hot 100 , behind Ed Sheeran 's `` Shape of You '' with 109 million radio audience and 25.7 million streams , becoming Zayn 's second top 5 single ( as solo artist ) , Swift 's 11th top 5 single , and the highest - charting Fifty Shades single . It reached over a million in sales by July 2017 , and as of November 2017 , it has sold 1.4 million copies in the United States . The song was the tenth best - selling song of 2017 in the United States , selling 1,108,000 copies in that year .   Across European charts , the song debuted at number - one in Spain and Sweden , becoming Swift 's first number - one single in both countries , while becoming Zayn 's first number - one in Spain and his second number - one in Sweden . It was certified platinum there . It reached the top 10 in Austria , Belgium , Czech Republic , Denmark , Finland , France , Germany , Hungary , Ireland , Italy , Netherlands , Norway , Portugal , Scotland , Switzerland , and the United Kingdom .   Music video ( edit )   The official music video of the song was released in January 27 , 2017 through both Zayn and Swift 's official YouTube account at the same time , and was later uploaded through the official Fifty Shades Vevo account as well . It was directed by Grant Singer and was produced by Saul Germaine . The music video uploaded on Swift 's Vevo channel has more than 500 million views on YouTube as of October 2018. The music video was named the fourth best music video of 2017 by Vevo .   Synopsis ( edit )   The video starts with Zayn emerging from his car on a rainy night as the paparazzi take photos . As Zayn enters a hotel he starts singing his part and as the chorus begins he reaches the elevator with red lights and then pans over to another elevator with Swift singing her part and proceeds to her hotel room . Zayn in his room sings the chorus and Swift pours some champagne in a glass . The rest of the video is Zayn and Swift throwing objects like glasses , lamps , pillows across their rooms in anger with flashing blue and red lights . Zayn and Swift are seen standing together facing backs and singing the chorus together and looking at each other . The video ends with Swift on her bed singing the last part of the song .   Awards and nominations ( edit )     Year   Organization   Award   Result   Ref .     2017   Radio Disney Music Awards   Best Collaboration   Nominated       MTV Millennial Awards   Best Collaboration of the Year   Won       Teen Choice Awards   Choice Music Collaboration   Nominated       MTV Video Music Awards   Best Collaboration   Won       2018   Grammy Awards   Best Song Written for Visual Media   Nominated       Satellite Awards   Best Original Song   Nominated       Brit Awards   British Video of the Year   Nominated       BMI Awards   Award - Winning Songs   Won       Credits and personnel ( edit )   Credits adapted from the liner notes of Fifty Shades Darker : Original Motion Picture Soundtrack .   Recording    Recorded at Rough Coustumer Studio ( Brooklyn , New York )   Taylor Swift 's vocals recorded at Rough Costumer Studios ( Brooklyn , New York )   Zayn Malik 's vocals recorded at Record Plant ( Los Angeles , California )   Additional vocals engineered at NightBird Recording Studios ( West Hollywood , California )   Mixed at MixStar Studios ( Virginia Beach , Virginia )   Mastered at Sterling Sound Studios ( New York City , New York )    Management    Published by Sony / ATV Tree Publishing / Taylor Swift Music ( BMI ) , Sony / ATV Songs LLC / Ducky Donathan Music ( BMI ) , Sony / ATV Sonata / By the Chi Publishing ( SESAC ) , UPG Music Publishing ( BMI ) and 1320 Music Publishing ( SESAC )   Zayn Malik appears courtesy of RCA Records   Taylor Swift appears courtesy of Big Machine Records    Personnel    Taylor Swift -- songwriter , lead vocals   Zayn -- lead vocals   Jack Antonoff -- songwriter , producer , instruments , vocals recording ( Taylor Swift )   Sam Dew -- songwriter , background vocals   Daniel Zaidenstadt -- vocals recording ( Zayn Malik )   Saltwives -- additional vocals engineer   Serban Ghena -- mixing   Tom Coyne -- mastering    Charts ( edit )      Weekly charts ( edit )     Chart ( 2016 -- 17 )   Peak position     Argentina ( Monitor Latino )   19     Australia ( ARIA )       Austria ( Ö3 Austria Top 40 )       Belgium ( Ultratop 50 Flanders )   7     Belgium ( Ultratop 50 Wallonia )       Canada ( Canadian Hot 100 )       Canada AC ( Billboard )   24     Canada CHR / Top 40 ( Billboard )       Canada Hot AC ( Billboard )       Czech Republic ( Rádio Top 100 )   15     Czech Republic ( Singles Digitál Top 100 )       Denmark ( Tracklisten )       Europe ( Euro Digital Songs )       Finland ( Suomen virallinen lista )   7     France ( SNEP )       Germany ( Official German Charts )       Hungary ( Rádiós Top 40 )   21     Hungary ( Single Top 40 )       Iceland ( RÚV )   17     Ireland ( IRMA )       Israel ( Media Forest )   6     Italy ( FIMI )   5     Lebanon ( Lebanese Top 20 )       Luxembourg Digital Songs ( Billboard )       Malaysia ( RIM )       Netherlands ( Dutch Top 40 )   7     Netherlands ( Single Top 100 )   6     New Zealand ( Recorded Music NZ )       Norway ( VG - lista )       Philippines ( Philippine Hot 100 )   80     Poland ( Polish Airplay Top 100 )   14     Portugal ( AFP )       Romania ( Media Forest )   6     Scotland ( Official Charts Company )       Slovakia ( Singles Digitál Top 100 )       Slovenia ( SloTop50 )   15     Spain ( PROMUSICAE )       Sweden ( Sverigetopplistan )       Switzerland ( Schweizer Hitparade )       UK Singles ( Official Charts Company )   5     US Billboard Hot 100       US Adult Contemporary ( Billboard )   16     US Adult Top 40 ( Billboard )       US Dance Club Songs ( Billboard )   33     US Dance / Mix Show Airplay ( Billboard )       US Mainstream Top 40 ( Billboard )       US Rhythmic ( Billboard )   20         Year - end charts ( edit )     Chart ( 2017 )   Position     Australia ( ARIA )   17     Austria ( Ö3 Austria Top 40 )   24     Belgium ( Ultratop Flanders )   47     Belgium ( Ultratop Wallonia )   22     Canada ( Canadian Hot 100 )   24     Denmark ( Tracklisten )   16     Germany ( Official German Charts )   32     Hungary ( Single Top 40 )   53     Hungary ( Stream Top 40 )   25     Israel ( Media Forest )   50     Italy ( FIMI )   30     Netherlands ( Single Top 100 )   45     New Zealand ( Recorded Music NZ )   18     Poland ( ZPAV )   93     Sweden ( Sverigetopplistan )   21     Switzerland ( Schweizer Hitparade )   16     UK Singles ( Official Charts Company )   52     US Billboard Hot 100   26          Certifications ( edit )     Region   Certification   Certified units / Sales     Australia ( ARIA )   2 × Platinum   140,000     Belgium ( BEA )   Platinum   20,000     Brazil ( Pro-Música Brasil )   2 × Platinum   80,000     Canada ( Music Canada )   2 × Platinum   160,000     Denmark ( IFPI Denmark )   Platinum   60,000     France ( SNEP )   Diamond   233,333     Germany ( BVMI )   Platinum   400,000     Italy ( FIMI )   3 × Platinum   150,000     Mexico ( AMPROFON )   Platinum + Gold   90,000     New Zealand ( RMNZ )   Platinum   30,000     Spain ( PROMUSICAE )   Platinum   40,000     Sweden ( GLF )   Platinum   40,000     United Kingdom ( BPI )   Platinum   600,000     United States ( RIAA )   4 × Platinum   1,400,000      sales figures based on certification alone shipments figures based on certification alone sales + streaming figures based on certification alone      Release history ( edit )     Country   Date   Format   Label   Ref .     United States   December 9 , 2016     Digital download   streaming     Universal       United Kingdom     United States   December 12 , 2016   Hot adult contemporary radio     Big Machine   Republic   Universal         December 13 , 2016   Contemporary hit radio       United Kingdom   January 6 , 2017     Universal   RCA         Italy   January 13 , 2017     Universal   Sony         See also ( edit )    List of number - one digital songs of 2017 ( U.S. )   List of Billboard Hot 100 top 10 singles in 2017   Billboard Year - End Hot 100 singles of 2017   List of number - one singles of the 2010s ( Sweden )   List of Canadian Hot 100 top 10 singles in 2017   List of UK top 10 singles in 2017   List of top 25 singles for 2017 in Australia   List of top 10 singles in 2017 ( Australia )    References ( edit )    ^ Jump up to : `` I Do n't Wanna Live Forever ( Fifty Shades Darker ) - Single by ZAYN &amp; Taylor Swift on Apple Music '' . iTunes Store . Universal Studios . Retrieved December 9 , 2016 .   Jump up ^ `` Taylor Swift and Zayn surprise - drop I Do n't Wanna Live Forever '' . Daily Mail . Retrieved December 9 , 2016 .   Jump up ^ `` Zayn Malik And Taylor Swift Spotted Filming Fifty Shades Music Video '' . MTV . Retrieved January 7 , 2017 .   ^ Jump up to : `` Zayn &amp; Taylor Swift 's ' I Do n't Wanna Live Forever ' : EW Review '' . Entertainment Weekly . Retrieved December 10 , 2016 .   ^ Jump up to : `` Taylor Swift , Zayn Team Up for Sultry ' Fifty Shades Darker ' Song '' . Rolling Stone . Retrieved December 10 , 2016 .   Jump up ^ `` BPM for ' i do n't wan na ' by zayn songbpm.com '' . songbpm.com . Retrieved 2016 - 12 - 23 .   Jump up ^ Taylor , Swift , . `` ZAYN &amp; Taylor Swift `` I Do n't Wanna Live Forever '' Sheet Music in A Minor ( transposable ) - Download &amp; Print `` . Musicnotes.com . Retrieved 2016 - 12 - 23 .   Jump up ^ Villa , Lucas ( December 11 , 2016 ) . `` Review : Zayn saves tame Taylor Swift collaboration ' I Do n't Wanna Live Forever ' '' . AXS .   Jump up ^ `` Rae Sremmurd Tops Hot 100 , Zayn &amp; Taylor Swift , J. Cole Debut in Top 10 '' . Billboard . Retrieved December 21 , 2016 .   ^ Jump up to : Trust , Gary ( December 19 , 2016 ) . `` Rae Sremmurd Tops Hot 100 , Zayn &amp; Taylor Swift , J. Cole Debut in Top 10 '' . Billboard . Retrieved January 7 , 2017 .   Jump up ^ `` Chart Watch : J. Cole ' Eyez ' the Top Spot '' .   ^ Jump up to : Trust , Gary ( February 21 , 2017 ) . `` Ed Sheeran Tops Hot 100 , Katy Perry Debuts at No. 4 &amp; Bruno Mars , Rihanna &amp; The Weeknd All Hit Top 10 '' . Billboard . Retrieved February 22 , 2017 .   Jump up ^ `` Ed Sheeran Returns to Top of Hot 100 , Zayn &amp; Taylor Swift Surge to No. 3 '' .   Jump up ^ `` Migos Hold Atop Hot 100 , Alessia Cara Hits Top 10 '' .   Jump up ^ Caulfield , Keith ( 4 July 2017 ) . `` Kendrick Lamar 's ' DAMN . ' &amp; Ed Sheeran 's ' Shape of You ' Lead Nielsen Music 's Mid-Year 2017 Charts '' . Billboard . Retrieved 4 July 2017 .   ^ Jump up to : Trust , Gary ( November 26 , 2017 ) . `` Ask Billboard : Taylor Swift 's Career Album &amp; Song Sales '' . Retrieved November 26 , 2017 .   Jump up ^ Keith Caulfield ( 3 January 2018 ) . `` Ed Sheeran 's ' Divide ' Is Nielsen Music 's Top Album of 2017 in U.S. '' Billboard . Retrieved 4 January 2018 .   Jump up ^ ZAYN , Taylor Swift - I Do n't Wanna Live Forever ( TaylorSwiftVEVO ) on YouTube   Jump up ^ `` ZAYN , Taylor Swift - I Do n't Wanna Live Forever ( Fifty Shades Darker ) '' . YouTube . January 26 , 2017 . Retrieved February 9 , 2017 .   Jump up ^ `` 2017 Radio Disney Music Awards : complete list of nominees '' . Archived from the original on March 5 , 2017 . Retrieved June 4 , 2017 .   Jump up ^ `` Lista de ganadores de los MTV Millennial Awards 2017 '' ( in Spanish ) . MTV . June 6 , 2017 . Archived from the original on June 11 , 2017 . Retrieved June 4 , 2017 .   Jump up ^ Knapp , Rebecca Rubin , JD ( August 14 , 2017 ) . `` Teen Choice Awards 2017 : ' Riverdale , ' Fifth Harmony Shut Out Competition '' . Variety . Archived from the original on August 16 , 2017 . Retrieved August 20 , 2017 .   Jump up ^ France , Lisa Respers ( August 28 , 2017 ) . `` MTV Video Music Awards 2017 : Winners list '' . CNN . Archived from the original on August 27 , 2017 . Retrieved August 28 , 2017 .   Jump up ^ `` 60th Annual Grammy Awards '' . Grammy Awards . November 28 , 2017 . Archived from the original on November 28 , 2017 . Retrieved November 28 , 2017 .   Jump up ^ Pond , Steve ( November 29 , 2017 ) . `` ' Dunkirk , ' ' The Shape of Water ' Lead Satellite Award Nominations '' . TheWrap . Retrieved November 29 , 2017 .   Jump up ^ Telegraph Reporters . `` Brit Awards 2018 nominees : Dua Lipa , Ed Sheeran , Taylor Swift on shortlist '' . Archived from the original on January 13 , 2018 .   Jump up ^ `` Mark Ronson Receives the BMI Champion Award at the 66th BMI Pop Awards '' . bmi.com . BMI. 8 May 2018 . Retrieved 22 May 2018 .   Jump up ^ Fifty Shades Darker : Original Motion Picture Soundtrack ( CD ) . various artists . Republic Records . 2017 . p. 1 . 00602557372571 .   Jump up ^ `` Top 20 Argentina -- Del 13 al 18 de Marzo , 2017 '' ( in Spanish ) . Monitor Latino . 13 March 2017 . Retrieved 1 May 2017 .   Jump up ^ `` Australian-charts.com -- Zayn &amp; Taylor Swift -- I Do n't Wanna Live Forever ( Fifty Shades Darker ) '' . ARIA Top 50 Singles . Retrieved December 17 , 2016 .   Jump up ^ `` Austriancharts.at -- Zayn &amp; Taylor Swift -- I Do n't Wanna Live Forever ( Fifty Shades Darker ) '' ( in German ) . Ö3 Austria Top 40 . Retrieved February 23 , 2017 .   Jump up ^ `` Ultratop.be -- Zayn &amp; Taylor Swift -- I Do n't Wanna Live Forever ( Fifty Shades Darker ) '' ( in Dutch ) . Ultratop 50 . Retrieved February 25 , 2017 .   Jump up ^ `` Ultratop.be -- Zayn &amp; Taylor Swift -- I Do n't Wanna Live Forever ( Fifty Shades Darker ) '' ( in French ) . Ultratop 50 . Retrieved March 11 , 2017 .   Jump up ^ `` Billboard Canadian Hot 100 '' . Billboard . Retrieved February 7 , 2017 .   Jump up ^ `` Zayn Chart History ( Canada AC ) '' . Billboard . Retrieved January 4 , 2017 .   Jump up ^ `` Zayn Chart History ( Canada CHR / Top 40 ) '' . Billboard . Retrieved January 4 , 2017 .   Jump up ^ `` Zayn Chart History ( Canada Hot AC ) '' . Billboard . Retrieved April 4 , 2017 .   Jump up ^ `` ČNS IFPI '' ( in Czech ) . Hitparáda -- Radio Top 100 Oficiální . IFPI Czech Republic . Note : insert 201713 into search . Retrieved April 4 , 2017 .   Jump up ^ `` ČNS IFPI '' ( in Czech ) . Hitparáda -- Digital Top 100 Oficiální . IFPI Czech Republic . Note : insert 201702 into search . Retrieved January 24 , 2017 .   Jump up ^ `` Track Top - 40 Uge 7 , 2017 '' . Hitlisten.NU . Retrieved February 22 , 2017 .   Jump up ^ `` Zayn -- Chart history '' . Billboard Euro Digital Songs for Zayn . Retrieved December 17 , 2016 .   Jump up ^ `` Taylor Swift &amp; Zayn Malik : I Do n't Wanna Live Forever ( Fifty Shades Darker ) '' ( in Finnish ) . Musiikkituottajat -- IFPI Finland . Retrieved February 5 , 2017 .   Jump up ^ `` Le Top de la semaine : Top Singles Téléchargés - SNEP ( Week 7 , 2017 ) '' ( in French ) . Syndicat National de l'Édition Phonographique . Retrieved February 18 , 2017 .   Jump up ^ `` Offiziellecharts.de -- Zayn &amp; Taylor Swift -- I Do n't Wanna Live Forever ( Fifty Shades Darker ) '' . GfK Entertainment Charts . Retrieved February 10 , 2017 .   Jump up ^ `` Archívum -- Slágerlisták -- MAHASZ '' ( in Hungarian ) . Rádiós Top 40 játszási lista . Magyar Hanglemezkiadók Szövetsége . Retrieved March 9 , 2017 .   Jump up ^ `` Archívum -- Slágerlisták -- MAHASZ '' ( in Hungarian ) . Single ( track ) Top 40 lista . Magyar Hanglemezkiadók Szövetsége . Retrieved February 24 , 2017 .   Jump up ^ `` I Do n't Wanna Live Forever '' . RÚV . Retrieved May 24 , 2017 .   Jump up ^ `` The Irish Charts -- Search Results -- I Do n't Wanna Live Forever '' . Irish Singles Chart . Retrieved February 18 , 2017 .   Jump up ^ `` ZAYN &amp; Taylor Swift -- I Do n't Wanna Live Forever Media Forest '' . Israeli Airplay Chart . Media Forest . Retrieved February 24 , 2016 .   Jump up ^ `` Classifica settimanale WK 8 '' ( in Italian ) . Federazione Industria Musicale Italiana . Retrieved February 25 , 2017 .   Jump up ^ `` The Official Lebanese Top 20 - Taylor Swift '' . The Official Lebanese Top 20 . January 15 , 2017 . Retrieved January 31 , 2017 .   Jump up ^ `` Luxembourg Digital Songs '' . Billboard . February 25 , 2017 . Retrieved February 16 , 2017 .   Jump up ^ `` Top 20 Most Streamed International &amp; Domestic Singles in Malaysia '' ( PDF ) . Recording Industry Association of Malaysia . Retrieved June 13 , 2017 .   Jump up ^ `` Nederlandse Top 40 -- week 18 , 2017 '' ( in Dutch ) . Dutch Top 40 Retrieved December 30 , 2017 .   Jump up ^ `` Dutchcharts.nl -- Zayn &amp; Taylor Swift -- I Do n't Wanna Live Forever ( Fifty Shades Darker ) '' ( in Dutch ) . Single Top 100 . Retrieved February 18 , 2017 .   Jump up ^ `` Charts.nz -- Zayn &amp; Taylor Swift -- I Do n't Wanna Live Forever ( Fifty Shades Darker ) '' . Top 40 Singles . Retrieved December 30 , 2016 .   Jump up ^ `` VG - lista - Zayn &amp; Taylor Swift / I Do n't Wanna Live Forever ( Fifty Shades Darker ) '' . VG - lista . Retrieved February 4 , 2017 .   Jump up ^ `` BillboardPH Hot 100 '' . Billboard Philippines . 26 June 2017 . Retrieved 26 June 2017 .   Jump up ^ `` Listy bestsellerów , wyróżnienia : : Związek Producentów Audio - Video '' . Polish Airplay Top 100 . Retrieved March 27 , 2017 .   Jump up ^ `` Portuguesecharts.com -- Zayn &amp; Taylor Swift -- I Do n't Wanna Live Forever ( Fifty Shades Darker ) '' . AFP Top 100 Singles . Retrieved February 9 , 2017 .   Jump up ^ `` Romanian International Top 10 Singles Chart '' . Media Forest . May 28 , 2017 . Retrieved May 31 , 2017 .   Jump up ^ `` Official Scottish Singles Sales Chart Top 100 '' . Official Charts Company . Retrieved February 17 , 2017 .   Jump up ^ `` SNS IFPI '' ( in Slovak ) . Hitparáda -- Singles Digital Top 100 Oficiálna . IFPI Czech Republic . Note : insert 201707 into search . Retrieved February 24 , 2017 .   Jump up ^ `` SloTop50 -- Slovenian official singles chart '' . slotop50.si . Retrieved 29 August 2018 .   Jump up ^ `` Spanishcharts.com -- Zayn &amp; Taylor Swift -- I Do n't Wanna Live Forever ( Fifty Shades Darker ) '' Canciones Top 50 . Retrieved December 24 , 2016 .   Jump up ^ `` Swedishcharts.com -- Zayn &amp; Taylor Swift -- I Do n't Wanna Live Forever ( Fifty Shades Darker ) '' . Singles Top 100 . Retrieved December 30 , 2016 .   Jump up ^ `` Swisscharts.com -- Zayn &amp; Taylor Swift -- I Do n't Wanna Live Forever '' . Swiss Singles Chart . Retrieved February 20 , 2017 .   Jump up ^ `` Official Singles Chart Top 100 '' . Official Charts Company . Retrieved February 18 , 2017 .   Jump up ^ `` Zayn Chart History ( Adult Contemporary ) '' . Billboard . Retrieved April 4 , 2017 .   Jump up ^ `` Zayn Chart History ( Adult Pop Songs ) '' . Billboard . Retrieved March 21 , 2017 .   Jump up ^ `` Hot Dance Club Songs -- March 11 , 2017 '' . Billboard . March 11 , 2017 . Retrieved February 28 , 2017 .   Jump up ^ `` Dance / Mix Show Airplay '' . Billboard . Retrieved March 3 , 2017 .   Jump up ^ `` Zayn Chart History ( Pop Songs ) '' . Billboard . Retrieved February 23 , 2017 .   Jump up ^ `` Rhythmic Songs '' . Billboard . Retrieved February 23 , 2017 .   Jump up ^ `` ARIA End of Year Singles 2017 '' . Australian Recording Industry Association . Retrieved January 5 , 2018 .   Jump up ^ `` Ö3 Austria Top 40 -- Single - Charts 2017 '' . oe3.orf.at . Retrieved December 29 , 2017 .   Jump up ^ `` Jaaroverzichten 2017 '' . Ultratop . Retrieved December 21 , 2017 .   Jump up ^ `` Rapports Annuels 2017 '' . Ultratop . Retrieved December 21 , 2017 .   Jump up ^ `` Canadian Hot 100 -- Year - End 2017 '' . Billboard . Retrieved December 17 , 2017 .   Jump up ^ `` Track Top - 100 2017 '' . Hitlisten . Retrieved January 11 , 2018 .   Jump up ^ `` Top 100 Single - Jahrescharts '' . GfK Entertainment ( in German ) . offiziellecharts.de . Retrieved December 29 , 2017 .   Jump up ^ `` Single Top 100 - eladási darabszám alapján - 2017 '' . Mahasz . Retrieved 17 February 2018 .   Jump up ^ `` Stream Top 100 - 2017 '' . Mahasz . Retrieved 17 February 2018 .   Jump up ^ `` Top 50 Israel airplay 2017 '' . mediaforest.biz . Retrieved January 2 , 2018 .   Jump up ^ `` Classifiche annuali dei dischi più venduti e dei singoli più scaricati nel 2017 '' ( Click on `` Scarica allegato '' and open the `` Classifica annuale 2017 Singoli digital '' file ) ( in Italian ) . FIMI . Retrieved January 9 , 2018 .   Jump up ^ `` Jaaroverzichten -- Single 2017 '' . Hung Medien . Retrieved December 23 , 2017 .   Jump up ^ `` Top Selling Singles of 2017 '' . Recorded Music NZ . Retrieved December 22 , 2017 .   Jump up ^ `` Airplay 2017 -- w pierwszej trójce Sheeran , Tiësto i Hyży '' ( in Polish ) . Polish Society of the Phonographic Industry . Retrieved January 22 , 2018 .   Jump up ^ `` Årslista Singlar -- År 2017 '' ( in Swedish ) . Sverigetopplistan . Retrieved January 16 , 2018 .   Jump up ^ `` Schweizer Jahreshitparade 2017 -- hitparade.ch '' . Hung Medien . Retrieved December 31 , 2017 .   Jump up ^ `` End of Year Singles Chart Top 100 -- 2017 '' . Official Charts Company . Retrieved January 10 , 2018 .   Jump up ^ `` Hot 100 Songs -- Year - End 2017 '' . Billboard . Retrieved December 12 , 2017 .   Jump up ^ `` ARIA Charts -- Accreditations -- 2017 Singles '' . Australian Recording Industry Association . Retrieved 7 April 2017 .   Jump up ^ `` Ultratop − Goud en Platina -- singles 2017 '' . Ultratop . Hung Medien . Retrieved 10 February 2017 .   Jump up ^ `` Brazilian single certifications '' ( in Portuguese ) . Associação Brasileira dos Produtores de Discos . Retrieved 15 May 2017 .   Jump up ^ `` Canadian single certifications -- Zayn / Taylor Swift -- I Do n't Wanna Live Forever '' . Music Canada . Retrieved 1 March 2017 .   Jump up ^ `` Danish single certifications -- Zayn -- I Do n't Wanna Live Forever '' . IFPI Denmark . Click on næste to go to page if certification is from the official website .   Jump up ^ `` French single certifications -- Zayn -- I Do n't Wanna Live Forever '' ( in French ) . Syndicat National de l'Édition Phonographique . Retrieved 8 November 2017 .   Jump up ^ `` Gold - / Platin - Datenbank ( ZAYN feat . Taylor Swift ; ' I Do n't Want To Live Forever ' ) '' ( in German ) . Bundesverband Musikindustrie . Retrieved 28 April 2018 .   Jump up ^ `` Italian single certifications -- Zayn &amp; Taylor Swift -- I Do n't Wanna Live Forever '' ( in Italian ) . Federazione Industria Musicale Italiana . Retrieved 18 September 2017 .   Jump up ^ `` Mexican recording certifications -- April 2017 -- I Do n't Wanna Live Forever '' . Asociación Mexicana de Productores de Fonogramas y Videogramas . facebook.com. April 20 , 2017 . Retrieved April 25 , 2017 .   Jump up ^ `` New Zealand single certifications -- Zayn and Taylor Swift -- I Do n't Wanna Live Forever '' . Recorded Music NZ . Retrieved 3 March 2017 .   Jump up ^ `` Spanish single certifications -- Zayn -- I Do n't Wanna Live Forever '' ( PDF ) ( in Spanish ) . Productores de Música de España . Retrieved 23 March 2017 . Select single under `` Chart '' , enter 2017 in the field `` Year '' . Select the certification month in the field `` Semana '' . Click on `` Search Charts '' .   Jump up ^ `` Sverige Topplistan : Search for song '' . Sverigetopplistan . Retrieved 20 January 2017 .   Jump up ^ `` British single certifications -- Zayn -- I Do n't Wanna Live Forever '' . British Phonographic Industry . Retrieved 18 August 2017 . Select singles in the Format field . Select Platinum in the Certification field . Type I Do n't Wanna Live Forever in the `` Search BPI Awards '' field and then press Enter .   Jump up ^ `` American single certifications -- Zayn &amp; Taylor Swift -- I Do n't Wanna Live Forever '' . Recording Industry Association of America . Retrieved 16 June 2018 . If necessary , click Advanced , then click Format , then select Single , then click SEARCH .   Jump up ^ White , Jack ( December 9 , 2016 ) . `` Zayn and Taylor Swift release surprise new single I Do n't Wanna Live Forever '' . Official Charts . Official Charts Company . Retrieved December 11 , 2016 .   Jump up ^ `` Hot / Modern / AC Future Releases '' . All Access Media Group . Archived from the original on December 10 , 2016 . Retrieved December 11 , 2016 .   Jump up ^ `` Top 40 / M Future Releases '' . All Access Media Group . Archived from the original on December 10 , 2016 . Retrieved December 11 , 2016 .   Jump up ^ `` BBC - Radio 1 - Playlist '' . BBC Radio 1 . British Broadcasting Corporation . January 6 , 2017 . Retrieved January 10 , 2017 .   Jump up ^ `` I Do n't Wanna Live Forever ( Fifty Shades Darker ) - ZAYN &amp; TAYLOR SWIFT RadioDate '' . January 13 , 2017 . Retrieved January 10 , 2017 .              Fifty Shades by E.L. James     Novels      Original trilogy     Fifty Shades of Grey   Fifty Shades Darker   Fifty Shades Freed       Retold     Grey : Fifty Shades of Grey as Told by Christian   Darker : Fifty Shades Darker as Told by Christian          Film series      Films     Fifty Shades of Grey   Fifty Shades Darker   Fifty Shades Freed       Music     Fifty Shades of Grey   `` Earned It ''   `` Love Me like You Do ''   `` I Know You ''     Fifty Shades Darker   `` I Do n't Wanna Live Forever ''   `` Not Afraid Anymore ''   `` Helium ''     Fifty Shades Freed   `` For You ''   `` Capital Letters ''   `` Heaven ''            Parodies     Fifty Shades of Oy Vey : A Parody   Spank ! The Fifty Shades Parody   Fifty Shades of Black                 Zayn Malik       Discography   Awards and nominations       Albums     Mind of Mine       Singles     `` Pillowtalk ''   `` Like I Would ''   `` Wrong ''   `` I Do n't Wanna Live Forever ''   `` Still Got Time ''   `` Dusk Till Dawn ''   `` Let Me ''   `` Entertainer ''   `` Sour Diesel ''   `` Too Much ''       Featured singles     `` Back to Sleep ( Remix ) ''   `` Cruel ''   `` Freedun ''       Promotional singles     `` It 's You ''   `` Befour ''       Other songs     `` She ''       Related articles     One Direction                 Taylor Swift songs       Discography       Taylor Swift     `` Tim McGraw ''   `` Picture to Burn ''   `` Teardrops on My Guitar ''   `` Should 've Said No ''   `` Our Song ''       Fearless     `` Fearless ''   `` Fifteen ''   `` Love Story ''   `` White Horse ''   `` You Belong with Me ''   `` Breathe ''   `` You 're Not Sorry ''   `` Forever &amp; Always ''   `` Change ''       Speak Now     `` Mine ''   `` Sparks Fly ''   `` Back to December ''   `` Speak Now ''   `` Dear John ''   `` Mean ''   `` The Story of Us ''   `` Innocent ''   `` Long Live ''   `` Ours ''       Red     `` State of Grace ''   `` Red ''   `` I Knew You Were Trouble ''   `` All Too Well ''   `` 22 ''   `` We Are Never Ever Getting Back Together ''   `` The Last Time ''   `` Everything Has Changed ''   `` Begin Again ''           `` Welcome to New York ''   `` Blank Space ''   `` Style ''   `` Out of the Woods ''   `` Shake It Off ''   `` Bad Blood ''   `` Wildest Dreams ''   `` Wonderland ''   `` New Romantics ''       Reputation     `` ... Ready for It ? ''   `` End Game ''   `` I Did Something Bad ''   `` Delicate ''   `` Look What You Made Me Do ''   `` Gorgeous ''   `` Getaway Car ''   `` Call It What You Want ''   `` New Year 's Day ''       Soundtrack songs     `` Crazier ''   `` Today Was a Fairytale ''   `` Safe &amp; Sound ''   `` Eyes Open ''   `` Sweeter Than Fiction ''   `` I Do n't Wanna Live Forever ''       As a featured artist     `` Two Is Better Than One ''   `` Half of My Heart ''   `` Both of Us ''   `` Babe ''       Other songs     `` Ronan ''   `` Highway Do n't Care ''      Retrieved from `` https://en.wikipedia.org/w/index.php?title=I_Don%27t_Wanna_Live_Forever&amp;oldid=865302938 '' Categories :   2010s ballads   2016 songs   2016 singles   Zayn Malik songs   Songs written by Jack Antonoff   Taylor Swift songs   Songs written by Taylor Swift   Universal Music Group singles   Vocal duets   Number - one singles in Sweden   Fifty Shades film music   Song recordings produced by Jack Antonoff   Songs written by Sam Dew   Contemporary R&amp;B ballads   Songs about suicide   Hidden categories :   CS1 Spanish - language sources ( es )   CS1 French - language sources ( fr )   CS1 Italian - language sources ( it )   CS1 German - language sources ( de )   CS1 Polish - language sources ( pl )   CS1 Swedish - language sources ( sv )   CS1 Portuguese - language sources ( pt )   Articles with hAudio microformats   Singlechart usages for Australia   Singlechart usages for Austria   Singlechart usages for Flanders   Singlechart usages for Wallonia   Singlechart usages for Billboardcanadaac   Singlechart called without song   Singlechart usages for Billboardcanadachrtop40   Singlechart usages for Billboardcanadahotac   Singlechart usages for Czech Republic   Singlechart called without artist   Singlechart usages for Czechdigital   Singlechart usages for Finland   Singlechart usages for Germany2   Singlechart usages for Hungary   Singlechart usages for Hungarytop10   Singlechart usages for Ireland2   Singlechart usages for Israelairplay   Singlechar</t>
  </si>
  <si>
    <t xml:space="preserve">who wrote i don't wanna live forever</t>
  </si>
  <si>
    <t xml:space="preserve"> `` I Do n't Wanna Live Forever '' , alternatively titled `` I Do n't Wanna Live Forever ( Fifty Shades Darker ) '' , is a song recorded by English singer - songwriter Zayn and American singer - songwriter Taylor Swift for the soundtrack to the 2017 film Fifty Shades Darker . It was written by Swift , Sam Dew , and Jack Antonoff and produced by Antonoff . The single was released on December 9 , 2016 , by Universal Music Group . The song 's music video was released on January 27 , 2017 . </t>
  </si>
  <si>
    <t xml:space="preserve">List of person of interest characters - Wikipedia  List of person of interest characters  Jump to : navigation , search      Parts of this article ( those related to article ) need to be updated . Please update this article to reflect recent events or newly available information . ( August 2014 )     This is a list of characters in the American science fiction crime drama television series Person of Interest .     Contents  ( hide )   1 Main characters   1.1 John Reese   1.2 Harold Finch   1.3 Joss Carter   1.4 Lionel Fusco   1.5 Sameen Shaw   1.6 Root     2 Recurring characters   2.1 Friends &amp; Family of Team Machine   2.1. 1 Jessica Arndt   2.1. 2 Grace Hendricks   2.1. 3 Nathan Ingram   2.1. 4 Will Ingram   2.1. 5 Taylor Carter   2.1. 6 Lee Fusco     2.2 Persons of Interest   2.2. 1 Zoe Morgan   2.2. 2 Leon Tao   2.2. 3 Harper Rose   2.2. 4 Caleb Phipps   2.2. 5 Logan Pierce     2.3 Organised Crime figures   2.3. 1 Carl Elias   2.3. 2 Anthony Marconi   2.3. 3 Bruce Moran   2.3. 4 Gianni Moretti   2.3. 5 Peter Yogorov     2.4 The Brotherhood   2.4. 1 Dominic Besson   2.4. 2 Link Cordell   2.4. 3 Floyd     2.5 New York City Police Department   2.5. 1 Cal Beecher   2.5. 2 Bill Szymanski   2.5. 3 Kane   2.5. 4 Dani Silva     2.6 HR   2.6. 1 Alonzo Quinn   2.6. 2 Patrick Simmons   2.6. 3 Artie Lynch   2.6. 4 Womack   2.6. 5 Raymond Terney   2.6. 6 Mike Laskey     2.7 Federal Bureau of Investigation   2.7. 1 Nicholas Donnelly   2.7. 2 Brian Moss     2.8 The Government   2.8. 1 Alicia Corwin   2.8. 2 Denton Weeks   2.8. 3 Special Counsel   2.8. 4 Hersh   2.8. 5 Control   2.8. 6 Devon Grice   2.8. 7 Brooks     2.9 The CIA   2.9. 1 Mark Snow   2.9. 2 Tyrell Evans   2.9. 3 Kara Stanton     2.10 Decima Technologies   2.10. 1 John Greer   2.10. 2 Jeremy Lambert   2.10. 3 Martine Rousseau   2.10. 4 Gabriel Hayward   2.10. 5 Claire Mahoney   2.10. 6 Zachary   2.10. 7 Jeff Blackwell     2.11 Vigilance   2.11. 1 Peter Collier       3 References   4 Sources      Main characters ( edit )     Actor   Character   Seasons                 Jim Caviezel   John Reese   Main     Michael Emerson   Harold Finch   Main     Taraji P. Henson   Jocelyn `` Joss '' Carter   Main   Guest   N / A     Kevin Chapman   Lionel Fusco   Main     Sarah Shahi   Sameen Shaw   N / A   Recurring   Main     Amy Acker   `` Root '' / Samantha `` Sam '' Groves   Guest   Recurring   Main     John Reese ( edit )  Main article : John Reese ( Person of Interest )  John Reese ( played by Jim Caviezel ) is the name adopted by the former U.S. Army Special Forces soldier and Central Intelligence Agency ( CIA ) officer who serves as Finch 's armed enforcer used to stop future crimes . Presumed dead following a failed CIA operation in China , Reese 's real name is unknown . He was nicknamed `` The Man in the Suit '' by law enforcement , who know him only in terms of the description given by witnesses .   Harold Finch ( edit )  Main article : Harold Finch ( Person of Interest )  Harold Finch ( played by Michael Emerson ) is a reclusive billionaire software engineer who built a machine that predicts future crimes and outputs either the victim 's or perpetrator 's Social Security number . He is known by a series of bird - themed aliases such as Harold Wren , Harold Crow , and Harold Swift . Finch is very secretive and highly conscious of digital security , and has successfully erased his own digital footprint . A frequent companion of Finch is a dog named Bear ( played by Graubaer 's Boker ) . Bear is a Belgian Malinois with military training who Reese rescues from Aryan Nationalists , who were using him as an attack dog .   Joss Carter ( edit )   Jocelyn `` Joss '' Carter ( played by Taraji P. Henson ) is a detective in the New York City Police Department ( NYPD ) 8th Precinct Homicide Task Force . She is a single mother of one son , Taylor , whom she is close to . Formerly a Warrant Officer and an interrogator in the U.S. Army , she did two tours of duty , one in Iraq and one in Afghanistan . She passed the bar examination in 2004 , but gave up practicing law to become a police officer . In 2005 , she had graduated from the police academy and started working in the NYPD as a patrol officer . In 2008 she was promoted to a detective and since 2010 she has worked in the Homicide Task Force at the 8th Precint . Carter crossed paths with homeless John Reese ( `` Pilot '' ) following his encounter with a group of young men on a New York City subway , but she later reconnects with him as the mysterious man in a suit . Carter is initially determined to apprehend Reese as a person of interest ( a person not formally accused of a crime ) even after Reese saves her and her son on separate occasions . However , when the CIA tries to assassinate Reese without due process , she gradually revises her views and starts helping Reese and Finch instead .   For nine episodes in season 3 , Carter is demoted to a beat officer after the crime organization HR frames her for shooting an unarmed suspect at the end of season 2 . This incident , and the death of two her fellow detectives -- Bill Szymanski and Cal Beecher -- motivate her to go against HR and arrest its mastermind , Alonzo Quinn , without resorting to the vigilante justice of Reese and Finch . By doing so , she restores her status as a detective . Tragically , soon afterwards , she is killed by Patrick Simmons , the last surviving member of HR , who was trying to ambush Reese . Her death sends Reese and Shaw on a bloody vengeance spree . During most of her screen time , she is unaware of the Machine 's existence and does not know where the tips come from . Only after Carter 's status as a detective is restored does she conclude that Finch must be receiving his info from a computer .   Lionel Fusco ( edit )   Lionel P. Fusco ( played by Kevin Chapman ) is a homicide detective who was previously working in the NYPD 51st Precinct Vice Squad . He has an ex-wife and a young son , Lee Fusco . Fusco was a member of the criminal organization HR , although he did it for personal loyalty rather than greed . John Reese gave him a chance for redemption . At first , John had to blackmail him with the death of a murdered fellow officer , but later he arranged for him to be transferred to the 8th Precinct Homicide Task Force where he worked with Carter . Gradually during the first season , Fusco became a loyal friend . Until the finale of the first season , he and Carter are unaware that they have both been helping Finch and Reese . Fusco remained unaware of the Machine 's existence until `` Sotto Voce '' . He calls everyone by nickname : `` Wonder Boy '' , `` Glasses '' and `` Cocoa Puffs '' are nicknames he uses for Reese , Finch and Root , respectively .   Sameen Shaw ( edit )       This section needs to be updated . Please update this article to reflect recent events or newly available information . ( May 2016 )     Sameen Shaw ( played by Sarah Shahi ) is a former U.S. Marine and an ISA operative , first seen as an assassin working for `` The Program '' , the section of the Government dealing with the `` relevant '' numbers found by The Machine ( S2 Ep16 , `` Relevance '' ) . She begins to have doubts after one of her targets proves to be an engineer working for the government ; the assassination is part of the cover - up that conceals the existence of The Machine . As a result , her partner is killed and she becomes a number . Reese and Finch save her life and she subsequently works for them on a regular basis . She likes dogs and buys Bear an expensive collar and other presents .   Shaw witnessed her father 's death in an automobile accident at a young age but did not exhibit typical emotional reactions to it . In her first appearance , she claims that she has alexithymia , making her unable to feel and / or express common human emotions like fear or sadness . Shaw once trained as a surgeon ; although very technically capable , she was criticized by her superiors for her indifference and lack of sensitivity to her patients and it is implied that she was removed from the program before she could complete her surgical training because of these emotional characteristics . She is capable of deducing emotionally correct actions , such as rescuing Fusco 's son rather than Fusco ( S3 Ep9 , `` The Crossing '' ) and taking on Genrika as her unofficial ward ( S3 Ep5 , `` Razgovor '' ) . She unexpectedly reveals human emotion by passionately kissing Root before sacrificing herself to save the team ( S4 Ep11 , `` If - Then - Else '' ) .   She is later revealed to be alive and is used by Samaritan to bait a trap for the team . ( `` Asylum '' ) Greer then has Shaw subjected to over 7,000 simulations in an attempt to turn her on the team , but Shaw is able to escape , killing Jeremy Lambert in the process . ( `` Reassortment '' ) Shaw returns to New York a week later , but because of the amount of simulations she went through , has a hard time distinguishing reality from simulation . Root is able to get her to rejoin the team , however , which now includes a fully knowledgeable Fusco . ( `` Sotto Voce '' ) Following Finch 's cover being blown , Shaw works with Root to protect him but is separated by a gunfight . She is later devastated to learn of Root 's death . ( `` The Day the World Went Away '' ) Following Root 's death , the Machine reassigns Root 's rotating identities to Shaw and she works with Reese and Fusco to stop a Presidential assassination by domestic terrorists . ( `` Synecdoche '' ) She then infiltrates Fort Meade with Reese to back up Finch in deploying the ICE - 9 virus into Samaritan . ( ``. exe '' ) As the world falls apart from the ICE - 9 virus , Shaw visits Root 's grave in an attempt to say goodbye , but is unable to . She is then contacted by the Machine directly with Root 's voice and it aids her in escaping a Samaritan ambush . During the final battle with Samaritan , Shaw works with Fusco to defend the Machine , capturing Samaritan agent Jeffrey Blackwell in the process . Shaw realizes Blackwell is Root 's killer , but he escapes after seriously wounding Fusco . Before Shaw and Fusco abandon the Machine , the Machine passes on a final message from Root to Shaw who is able to finally say goodbye to Root . A week later , Shaw hunts down and kills Blackwell in revenge for Root . She then meets a recovering Fusco in a café , neither of them knowing if Reese or Finch survived . Shaw then takes Bear and walks down the street before being contacted by the Machine 's copy with a new mission . ( `` return 0 '' )   Root ( edit )       This section needs to be updated . Please update this article to reflect recent events or newly available information . ( May 2016 )     Root ( played by Amy Acker ) , born Samantha `` Sam '' Groves , is a highly intelligent computer hacker and contract killer , obsessed with Finch and the Machine . Aside from her extraordinary intelligence , she has also displayed an uncanny ability in the use of firearms , a very high threshold for pain ( S2 Ep2 , `` Bad Code '' , where she gets physically assaulted by Denton Weeks ; S3 Ep12 , `` Aletheia '' , where she is severely tortured but not broken by Control ) and a proficiency for social engineering ( she has successfully posed as a high - end psychiatrist ( S1 Ep23 , `` Firewall '' ) , an assistant to the United States Special Counsel ( S2 Ep15 , `` Booked Solid '' ) and as a legitimate FBI agent ( showing up in Lionel Fusco 's New York City Police Department 8th Precinct with a legitimate warrant and an FBI badge , S3 Ep17 , `` Root Path '' ) .   She was raised in Bishop , Texas , where she lived until her mother 's death . According to Sam , in discussions with Finch , her mother told her to `` follow her talents '' -- and she was good at inflicting harm on others without guilt or remorse . Also , as a child , computers made more sense to Sam than people , who she sees as `` bad code '' ; admitting she has been waiting for someone who shared her understanding of technology her whole life .   In 1991 , Sam and her friend , Hanna Frey , were playing computer games in the local library until it closed for the day . After her friend left , Sam stayed a little longer successfully finishing The Oregon Trail . When she was ready to leave the library , she saw Hanna getting into a car that belonged to Trent Russell , a local man who was a member of the book club . She recognized his car and told the librarian , Barbara , ( played by Margo Martindale ) , who later married Trent Russell , what she had seen . However , as Barbara was in love with Trent , she kept the information to herself to protect him .   Two years after Hanna disappeared , Sam hacked into the bank account of a drug lord , and stole $100,000 , using the money to frame Trent for the robbery , setting him up to be killed , as revenge for killing Hanna . Sam later moved to New York and became a professional assassin and ruthless hacker - for - hire under the alias `` Root '' . She has no qualms about killing , murdering or torturing people to get whatever she wants . She was hired by Pete Matheson to assassinate Congressman Michael Delancey . Through the use of a patsy , Scott Powell , Root was successful . However , her plan to kill Powell afterwards was foiled by John Reese . Ultimately , the operation fell apart as Reese took out one of her men and stole his phone while Finch provided a phone recording to the FBI proving Matheson 's involvement . Realizing this , Root killed her client and staged it as a suicide out of guilt for his actions , exonerating Powell . Root cleared out of her location , the dorm room of an uninvolved college student away on winter break , before the FBI , acting on an `` anonymous '' tip ( from Finch ) could apprehend her . She had a brief instant message conversation with Finch , acknowledging him as a worthy opponent and said she was looking forward to the next time . She ended the conversation with `` Harold '' , letting him know that she knew who he was .   As part of Root 's plan to come face to face with Finch , Root anonymously contacted HR and put a hit on herself , using the pseudonym `` Dr. Caroline Turing '' . Turing 's Social Security number appeared through the Machine , making her a person of interest . Reese , discovering Turing was a psychologist , became one of her patients . Later that night , Turing was attacked by four assassins hired by Simmons . Reese managed to get her to safety in a hotel for the night , and the two were unknowingly caught on the FBI 's radar . Under Donnelley 's supervision , the FBI staged a full - scale assault on the hotel , while HR was trying to get to Turing . With the help of Joss Carter and Finch , Turing was led to an underground tunnel system under the hotel . Reese instructed her to find Finch at the end of the tunnel , while he was holding off the HR hit men . As Finch was confronted by Alicia Corwin regarding his involvement with the Machine , Root shot Corwin dead . Introducing herself as Root , she tells Harold they have a lot to talk about . Finch drove away at gunpoint , with Corwin 's body left behind .   Planning to escape with Finch to Texas , Root stopped in Maryland where she gained access to Denton Weeks ' house . She lured him there to overpower and question him about the whereabouts of the Machine . When he did not tell her what she wanted to hear , she shot him dead . She did not know that Reese had already tracked her down through her friend Hanna 's case . At the train station , Reese managed to save Finch and Root escaped . She called him on his mobile phone later that day to thank him for solving Hanna 's case and told him that she would be in touch .   While holding him captive , Root explained to Finch that she does not want to control the Machine but to `` set it free '' to usher in a posthuman future . Several months later , Root , to gain information , began working , as `` Miss May '' , an assistant to the Special Counsel at the Office of Special Counsel .   Recurring characters ( edit )   Friends &amp; family of team Machine ( edit )   The following is a list of friends and relatives of team machine   Paloma Guzman   A girl whose `` John '' is his bodyguard ( S02 E03 )  Jessica Arndt ( edit )  Jessica Arndt ( played by Susan Misner ) was John Reese 's ex-girlfriend and Peter Arndt 's wife .   Jessica dated John Reese for approximately six months prior to September 2001 ( `` Pilot '' ) . At this time , she was living in Tacoma , Washington ( `` Many Happy Returns '' ) .   While on a vacation in Mexico on September 11 , 2001 , Jessica received a call from her mother . She claimed she was on vacation with a friend , keeping Reese a secret . In bed , Jessica jokingly asked Reese to quit the United States Army , unaware that he already had . Moments later , she witnessed the news coverage about the attacks on the World Trade Center ( `` Pilot '' ) .   Years later , Jessica ran into Reese at an airport , and he told her that he had found a new job . She told him that she was engaged to a man named Peter and was moving back East , though she would wait for him if he told her to . Without a response , Reese turned and left . Moments later , he whispered the words to himself ( `` Mission Creep '' ) .   At some point after their interaction at the airport , on Reese 's first day as a CIA agent , his handler , Kara Stanton , showed him a surveillance picture of the two of them . Stanton instructed him to forget about Jessica ( `` Foe '' ) .   Jessica 's number came up in the Machine during the meeting where Finch and Ingram debated the morality of overlooking the numbers coming up on the irrelevant list ( `` Ghosts '' ) .   While operating illegally in New York , Reese met with Peter , who was now married to Jessica , at a bar . As Jessica arrived , Kara convinced Reese to leave just before Peter could `` introduce '' her to him ( `` Blue Code '' ) .   Reese and Stanton are in Morocco interrogating a suspect . While Stanton is busy with the suspect , Reese receives a voicemail from Jessica , who sounds distraught . Reese calls Jessica back . She is sitting inside a car at night . Reese can tell something is wrong , something she is not telling him . He informs her that he will be in New York to see her the next day . He tells her to wait for him , and she promises that she will . However , Reese is denied leave , as he and Stanton are commissioned on a special assignment to China by Agent Snow .   Jessica called and left a voicemail for Reese . She was in the kitchen in her and Peter 's house . Peter enters the kitchen just as she hangs up the phone and asks her who she was talking to . Peter is angry , enters the kitchen and begins to drink a beer . Jessica is visibly frightened to be near him .   Later that month , Peter assaulted and accidentally killed Jessica by bashing her head against their kitchen counter . He originally intended to call an ambulance , but later decided to cover up the murder by staging a car accident .   Reese later attempted to contact Jessica after escaping from a trap set by his CIA handlers in China . He went to the hospital she had worked at in New Rochelle to inquire about her , but discovered she had died two months prior . Without knowing it , he encountered a wheelchair - bound Finch in the hospital after learning the news . The Machine had been giving Finch Jessica 's number over the years , but he had originally been unable to ascertain why it kept appearing . He eventually discovered that it was because she was living with someone who was an imminent threat to her . However , the discovery came too late , and Finch was unable to help her before she died . Her death had a significant impact on Reese , leading him to alcoholism and contemplating suicide before his meeting with Finch ( `` Pilot '' ) .   Carter began investigating Jessica 's death after the FBI invited her to help investigate Jessica 's husband , who they believed was murdered by Reese for owing money to a loan shark . Although the official autopsy report dated 12 / 07 / 10 suggested Jessica 's death was caused by a car accident , Carter 's investigation leads her to discover Jessica was abused by her husband and was killed prior to the `` accident '' . The cause of death was blunt force trauma to the head and a broken neck . She also discover 's Jessica 's past relationship with Reese and destroys the evidence to keep the FBI from finding out .  Grace Hendricks ( edit )  Grace R. Hendricks ( played by Carrie Preston ) was Finch 's former fiancée who believes him to be dead .   Grace was born on April 12 , 1969 , in Columbia , South Carolina . In 1987 , she enrolled in Rhode Island School of Design and graduated four years later with a Bachelor of Fine Arts , followed by a Master of Fine Arts from Yale University in 1994 ( `` The High Road '' ) . She spent her college junior year in Venice , Italy ( `` Til Death '' ) .   While demonstrating the progress of the Machine to Nathan Ingram , Harold Finch was directed by the computer to Grace , who was painting in a park . Finch assumed the Machine 's direction of him to her was a glitch ( `` The High Road '' ) .   After seemingly correcting the glitch , and returning to the park on another day while she was painting , the Machine directed Finch to Grace again . Harold discovered that , because he had asked the Machine to direct him to people who had characteristics one would not expect , it had directed him to Grace because she was the only person in the park who had no `` dark secrets '' , plus with her interest for Charles Dickens ( `` The High Road '' ) .   In January , Grace was painting in the park again when Harold approached her eating an ice cream cone . He asked her if she wanted one , too ( `` The High Road '' ) . They started dating soon after . On her birthday in April , Finch sent her on a scavenger hunt taking her to the Guggenheim Museum where he surprised her with her favorite painting ( `` Til Death '' ) .   Grace and Finch are in a relationship , and later become engaged . They were living together in Grace 's house near Washington Square Park . In 2010 , she supposedly lost Harold in an accident . He survived , and pretended to be dead to keep Grace safe ( `` No Good Deed '' ) .   Grace is working as a cover illustrator for The Boroughs magazine . She keeps a photograph of herself and Harold in her living room unaware that he is watching her from afar in order to protect her from the people protecting the machine . It is implied that , even though her work as a non-digital illustrator is falling out of practice in modern culture , Harold has been assuring her that she will always have work through his many business connections ( `` No Good Deed '' ) .   In 2010 , Finch proposed to Grace . He later tells Ingram about it , as well ( `` Zero Day '' ) . After the bombing that killed Ingram and injured Finch , Grace comes to the hospital looking for him . Finch realizes that if the government finds out that Finch is alive , they will kill him and Grace , as well . Concerned for Grace 's safety , Finch hides and leaves the hospital , while Grace finds a book that Finch gave her during his proposal , and cries ( `` God Mode '' ) .   In 2013 , Grace is chased by Decima Technologies in order to get at Finch . She is eventually captured and traded for Finch . During the trade , Grace stumbles and is caught by Finch , but because she 's blindfolded , remains unaware of just who helped her . She later leaves for a new life in Italy arranged by Finch . ( `` Beta '' )   In 2016 , the Machine simulated that in a world where it never existed , Finch would 've never met Grace . ( ``. exe '' )   In 2016 , after Samaritan is destroyed , Finch tracks Grace down in Italy where she is painting in a public location . Grace is shocked to see Finch but visibly pleased . ( `` return 0 '' )  Nathan Ingram ( edit )  Nathan C. Ingram ( played by Brett Cullen ) is Harold Finch 's deceased collaborator and business partner who co-created the Machine , and died under circumstances not known until `` God Mode '' . Ingram is the founder of IFT and acted as the interface between the government and their company while the Machine was under development .   Ingram was born on June 16 , 1962 , in Freeport , Texas . He enrolled at the Massachusetts Institute of Technology ( MIT ) in 1980 and left with an incomplete Bachelor of Science degree in computer science in 1983 ( `` The High Road '' ) .   He founded his company in 1983 ( `` The High Road '' ) along with his best friend and MIT classmate Harold Finch ( known to him as Harold Wren ) , who disguised himself as an ordinary employee ( `` Ghosts '' ) .   At some point , Ingram gave Finch a photo of their younger selves , and wrote `` In the beginning ... -- N.I. '' on its back . Finch kept the photo in a copy of Arthur Koestler 's The Ghost in the Machine ( `` Number Crunch '' ) .   On September 11 , Ingram visits Finch while he is working on a new program , in order to break the tragic news of the terrorist attack on the World Trade Center earlier that day . As they both watch the news in shock , Ingram tells Finch that while they have changed as they aged , the world has not until this moment . Ingram proposes that they try to change the world for the better ( `` One Percent '' ) .   Ingram at some point made contact with the U.S. Government to build the Machine . Ingram acted as the public face of IFT and was the man with whom the government dealt , keeping up the facade that he alone was building the Machine , while in fact , Finch covertly began building it . While the government suspected someone other than Ingram was working on it , Finch was able to keep in hiding and they did not find proof ( `` Ghosts '' ) .   On June 10 , 2002 , following another ceremony , and after dismissing half of his company 's staff , Ingram arrived at an abandoned office floor in the building , and discovered Finch 's progress with the Machine . Supplied with the feeds from the NSA , the Machine could track and listen to all the citizens of New York . Finch told Ingram the next step would be teaching the Machine to pick out the terrorists from the general population ( `` Ghosts '' ) .   Ingram and his wife Olivia were in the process of getting separated and Nathan was upset about his wife extending the trial separation . He kept on working as that was the only thing that took his mind off of his marital situation . When Finch demonstrates the latest progress with the Machine , Nathan remains a skeptic , until he learns that the Machine had been well aware of his romantic encounter with a student named Molly Cole on May 7 , 2004 ( `` The High Road '' ) .   Ingram met with Alicia Corwin , a government worker who supplied the Machine 's various feeds . Corwin requested information regarding the progress of the Machine , and Ingram handed her the Social Security number of a DIA agent . The agent was later found to have been in collusion with the Iranian government to sell weapons - grade uranium . After meeting with Denton Weeks to discuss the fact that the Machine could not track specific people , Weeks threatened to reduce the payment for the Machine . He was dismayed to find that Ingram was providing it for a minuscule one US dollar . Ingram later celebrated with Finch about the Machine 's success in discovering a traitor and got a closer look at how the Machine operated . It was at this time that the Machine considered Ingram as the subject of a potential threat ( `` Super '' ) .   Ingram and Olivia separated after she could not take his lies anymore . He admitted to Finch while meeting in a restaurant that he does not even remember all of the lies he has told her . He warns Finch that the truth always catches up to people ( `` Til Death '' ) .   Ingram learns of the Machine 's programming to ignore any `` irrelevant '' crimes ; any attacks of a smaller scale than those that present a threat to the nation . Every night at midnight , the Machine would erase the list of potential crimes . Clearly disturbed by this piece of information , Ingram stood by as Finch stated that the Machine was not built to save `` someone '' , but rather `` everyone '' ( `` Ghosts '' ) .   Ingram came to realize that the people who were to receive the Machine were not entirely trustworthy . During a meeting with Alicia Corwin , he accidentally let slip that eight people knew about the Machine rather than seven . Later , he tried to convince Finch to make a back door into the machine , only for Finch to refuse . Just prior to shipping the Machine , Ingram used his administrative access to install a new function named `` contingency '' . After creating the back door , the Machine was relocated to its new home ( `` No Good Deed '' ) .   After the Machine is shipped out on a freight train , Ingram meets with Finch in their now empty laboratory . Finch tells him that he has been thinking about Ingram 's desire to help people , and proposes they use their wealth to invest in new projects , such as clean water initiatives and sustainable farming . Ingram retorts that they built the `` single most powerful technology known to man , a machine that knows when someone needs help , and you just gave it away . '' He tells him that they had their chance to help people and they missed it . Finch replies that `` we built it , and it saves lives '' . Ingram argues that it does not save enough lives , and Finch responds that the machine is gone . Ingram implies he built a back door into it , which angers Finch as they had agreed not to . He tells Ingram that they agreed not to play God , but Ingram reveals that he is not proud of that agreement . Finch argues that they did what they set out to do , and that `` either we move onto the next thing together , or we do n't '' ( `` One Percent '' ) .   Ingram leaves the meeting and the Machine sends him the number of a woman named Anna Sanders . Ingram researches and follows her , discovering that she has a restraining order out against her ex-boyfriend because of domestic violence . While watching her from his car one night , he sees a suspicious looking man with a hood and hat concealing his face . Ingram pulls out a pistol and gets ready to follow them ( `` One Percent '' ) .   In 2010 , Finch confronts Ingram about the Contingency , and once again tells him that they can not be playing God . He shuts down the back door and lets the irrelevant list be deleted . Later , they agree to meet up on a ferry . Unknown to them , government assassin Hersh has brought in a terrorist named Asif , who is a suicide bomber . He has explosives in his van , and as Ingram greets Finch , the bombs detonate , killing Ingram and severely injuring Finch , which is the reason behind his present - day injuries that force him to limp and make him unable to turn his head . Finch goes to access the irrelevant list and is horrified to find that Nathan was part of it . He begins to consider that his friend 's idea was not so crazy after all , and reopens the back door that allows him access to the irrelevant list ( `` God Mode '' ) .  Will Ingram ( edit )  William `` Will '' Ingram ( played by Michael Stahl - David ) is Nathan Ingram 's son . After his father 's death , Will began to delve into what kind of work his father was working on .   In 2012 , Will was bailed out of jail by Finch due to Will 's underground gambling activities . He returned to the loft that he shared with his father and prepared to send some of his father 's things to storage . During this time , Reese began to take an interest in him and assigned Detective Fusco to gather information on both Finch and Will .   Later , Will began to go through some documents , including some involving an audit his lawyers had done after he inherited his share of IFT . He discovered that there was an account for services that amounted to only one U.S. dollar , as well as the fact that the employees were given severance . Finch lied and claimed to have no knowledge of the situation ( `` Legacy '' ) .   Will began to investigate further , and managed to unearth the name of Alicia Corwin , an employee of the White House who dealt with his father . He also found a note attached to a champagne bottle mentioning the Machine . When he told this to Finch , Finch continued to feign ignorance and secretly cloned his phone .   Will met with Corwin outdoors and asked her about the Machine as well as the one dollar transaction . She claimed that IFT was on the verge of bankruptcy and that Corwin struck a deal for Ingram 's patents . Upon her tell</t>
  </si>
  <si>
    <t xml:space="preserve">who plays the female detective in person of interest</t>
  </si>
  <si>
    <t xml:space="preserve"> Jocelyn `` Joss '' Carter ( played by Taraji P. Henson ) is a detective in the New York City Police Department ( NYPD ) 8th Precinct Homicide Task Force . She is a single mother of one son , Taylor , whom she is close to . Formerly a Warrant Officer and an interrogator in the U.S. Army , she did two tours of duty , one in Iraq and one in Afghanistan . She passed the bar examination in 2004 , but gave up practicing law to become a police officer . In 2005 , she had graduated from the police academy and started working in the NYPD as a patrol officer . In 2008 she was promoted to a detective and since 2010 she has worked in the Homicide Task Force at the 8th Precint . Carter crossed paths with homeless John Reese ( `` Pilot '' ) following his encounter with a group of young men on a New York City subway , but she later reconnects with him as the mysterious man in a suit . Carter is initially determined to apprehend Reese as a person of interest ( a person not formally accused of a crime ) even after Reese saves her and her son on separate occasions . However , when the CIA tries to assassinate Reese without due process , she gradually revises her views and starts helping Reese and Finch instead . </t>
  </si>
  <si>
    <t xml:space="preserve">which city is famous for its large cinco de mayo celebration</t>
  </si>
  <si>
    <t xml:space="preserve"> In a 1998 study in the Journal of American Culture it was reported that there were more than 120 official US celebrations of Cinco de Mayo in 21 different states . An update in 2006 found that the number of official Cinco de Mayo events was 150 or more , according to José Alamillo , a professor of ethnic studies at Washington State University in Pullman , who has studied the cultural impact of Cinco de Mayo north of the border . Los Angeles ' Fiesta Broadway has been billed as the largest Cinco de Mayo celebration in the world , which it most certainly was at its peak in the 1990s when it attracted crowds of 500,000 or more . In recent years attendance has seen a dramatic decrease . </t>
  </si>
  <si>
    <t xml:space="preserve">List of governors of Cross River State - wikipedia  List of governors of Cross River State  Jump to : navigation , search  This is a list of administrators and governors of Cross River State , Nigeria , including leaders of South - Eastern State . South - Eastern State was formed on 1967 - 05 - 27 when Eastern Region was split into East - Central , Rivers and South - Eastern states . The state was renamed Cross River State in 1976 .     South - Eastern State   Title   Took Office   Left Office   Party   Notes     Uduokaha Esuene   Governor   28 May 1967   July 1975   ( Military )       Paul Omu   Governor   3 February 1976   July 1978   ( Military )       Cross River State   Title   Took Office   Left Office   Party   Notes     Paul Omu   Governor   3 February 1976   July 1978   ( Military )       Babatunde Elegbede   Governor   July 1978   October 1979   ( Military )       Clement Isong   Governor   October 1979   October 1983   NPN       Donald Etiebet   Governor   October 1983   December 1983   NPN   NAVY CAPTAIN EDET AKPAN ARCHIBONG ; MILITARY GOVERNOR FROM JANUARY 1984 - MAY 1984     Dan Archibong   Governor   MAY 1984   1986   ( Military )       Eben Ibim Princewill   Governor   1986   December 1989   ( Military )       Ernest Attah   Governor   December 1989   January 1992   ( Military )       Clement Ebri   Governor   January 1992   November 1993   NRC       Ibrahim Kefas   Administrator   9 December 1993   14 September 1994   ( Military )       Gregory Agboneni   Administrator   14 September 1994   22 August 1996   ( Military )       Umar Farouk Ahmed   Administrator   22 August 1996   August 1998   ( Military )       Christopher Osondu   Administrator   August 1998   May 1999   ( Military )       Donald Duke   Governor   29 May 1999   29 May 2007   PDP       Liyel Imoke   Governor   29 May 2007   29 May 2015   PDP       Benedict Ayade   Governor   29 May 2015   Till Date   PDP         See also ( edit )    States of Nigeria   List of state governors of Nigeria    References ( edit )    `` Nigerian Federal States '' . WorldStatesmen . Retrieved 2009 - 11 - 30 .   Retrieved from `` https://en.wikipedia.org/w/index.php?title=List_of_Governors_of_Cross_River_State&amp;oldid=746366463 '' Categories :   Lists of state governors of Nigeria   Cross River State           Talk                                                             About Wikipedia                                           Add links   This page was last edited on 27 October 2016 , at 00 : 09 .         About Wikipedia                    </t>
  </si>
  <si>
    <t xml:space="preserve">who is the present governor of cross river state</t>
  </si>
  <si>
    <t xml:space="preserve">   South - Eastern State   Title   Took Office   Left Office   Party   Notes     Uduokaha Esuene   Governor   28 May 1967   July 1975   ( Military )       Paul Omu   Governor   3 February 1976   July 1978   ( Military )       Cross River State   Title   Took Office   Left Office   Party   Notes     Paul Omu   Governor   3 February 1976   July 1978   ( Military )       Babatunde Elegbede   Governor   July 1978   October 1979   ( Military )       Clement Isong   Governor   October 1979   October 1983   NPN       Donald Etiebet   Governor   October 1983   December 1983   NPN   NAVY CAPTAIN EDET AKPAN ARCHIBONG ; MILITARY GOVERNOR FROM JANUARY 1984 - MAY 1984     Dan Archibong   Governor   MAY 1984   1986   ( Military )       Eben Ibim Princewill   Governor   1986   December 1989   ( Military )       Ernest Attah   Governor   December 1989   January 1992   ( Military )       Clement Ebri   Governor   January 1992   November 1993   NRC       Ibrahim Kefas   Administrator   9 December 1993   14 September 1994   ( Military )       Gregory Agboneni   Administrator   14 September 1994   22 August 1996   ( Military )       Umar Farouk Ahmed   Administrator   22 August 1996   August 1998   ( Military )       Christopher Osondu   Administrator   August 1998   May 1999   ( Military )       Donald Duke   Governor   29 May 1999   29 May 2007   PDP       Liyel Imoke   Governor   29 May 2007   29 May 2015   PDP       Benedict Ayade   Governor   29 May 2015   Till Date   PDP     </t>
  </si>
  <si>
    <r>
      <rPr>
        <sz val="11"/>
        <color rgb="FF000000"/>
        <rFont val="Calibri"/>
        <family val="0"/>
        <charset val="1"/>
      </rPr>
      <t xml:space="preserve">Knock Knock ( 2015 film ) - wikipedia  Knock Knock ( 2015 film )  Jump to : navigation , search    Knock Knock     Theatrical release poster     Directed by   Eli Roth     Produced by     Eli Roth   Muguel Asensio   Colleen Camp   John T. Degraye   Cassian Elwes   Nicolás López       Screenplay by     Eli Roth   Guillermo Amoedo   Nicolás López       Story by     Anthony Overman   Michael Ronald Ross       Starring     Keanu Reeves   Ana de Armas   Lorenza Izzo   Aaron Burns   Ignacia Allamand   Colleen Camp       Music by   Manuel Riveiro     Cinematography   Antonio Quercia     Edited by   Diego Macho     Production companies     Camp Grey   Dragonfly Entertainment   Sobras International Pictures       Distributed by   Lionsgate Premiere     Release date     January 23 , 2015 ( 2015 - 01 - 23 ) ( Sundance )   October 9 , 2015 ( 2015 - 10 - 09 ) ( United States )             Running time   99 minutes     Country   United States     Language   English     Budget   $2 million     Box office   $6.3 million     Knock Knock is a 2015 American erotic horror - thriller film directed by Eli Roth , who also co-wrote the script with Guillermo Amoedo and Nicolás López . The film stars Keanu Reeves , Lorenza Izzo , and Ana de Armas . The film was released on October 9 , 2015 , by Lionsgate Premiere . Knock Knock is a remake of the 1977 film Death Game , which was directed by Peter S. Traynor and starred Sondra Locke and Colleen Camp . All three individuals had a hand in the production of Knock Knock , while Camp also had a cameo in the newer film .     Contents  ( hide )   1 Plot   2 Cast   3 Production   4 Release   4.1 Critical reception     5 See also   6 References   7 External links      Plot ( edit )   Architect and happily married man Evan Webber ( Keanu Reeves ) has the house to himself and his dog Monkey on Father 's Day weekend due to work and a physical therapy appointment for a shoulder injury while his wife and children go on a family - planned beach trip . His wife Karen ( Ignacia Allamand ) , a successful artist , leaves their assistant Louis ( Aaron Burns ) in charge of her sculpture that needs to be moved to an art gallery .   Two women , Genesis ( Lorenza Izzo ) and Bel ( Ana de Armas ) knock on Evan 's door . He opens the door and they say that they are looking for the address of a party . As they have no means of communication , Evan allows them in to use the Internet and get hold of the party 's host . The girls make themselves at home and Evan plays a few of his old vinyl records he has from when he was a DJ . They then disappear to the bathroom when their driver arrives . Evan tries to convince them to leave , but as they start forcing themselves upon him , he gives in and has a threesome with them .   Evan finds out that his wife 's sculpture has been vandalized by the girls . When Evan threatens to call the police , the girls reveal they are underage . Vivian ( Colleen Camp ) , a friend of Karen 's , stops by to see if Evan needs help . Seeing Genesis , Vivian angrily leaves . When Evan threatens to report a break - in , they give in and agree to be taken home .   He then returns home , cleans the mess , and tries to go back to his work . Just as he is getting closer to completing his project , he hears a shattering noise . He finds a broken picture frame of his family and Genesis knocks him out with one of his wife 's sculptures . Bel climbs onto him trying to arouse him while role - playing as a school girl in his daughter 's school uniform . Evan initially refuses , but the girls threaten to FaceTime his wife with him unless he agrees with their methods . Bel rapes him , and Genesis records everything . However , Evan releases himself , knocking Bel off . He charges at Genesis , but is then disarmed by her and Bel who tie him up to a chair with an electrical cord .   Louis arrives to collect the sculpture and finds Evan tied up to a chair , but before he can help him he hears the girls smashing the vandalized sculpture . He runs to stop them , but then has an asthma attack and realizes they took his inhaler . As he tries to get it back , he slips on a piece of the sculpture , hits his head while falling , and becomes unconscious . They turn Louis ' body into a red sculpture and dig a makeshift grave in the backyard for Evan . They tie him up with a hose , then bury him in the hole , leaving only his head above ground . Genesis shows Evan the video she recorded earlier with his phone of him and Bel having sex . As Evan watches on , she uploads it to his Facebook profile . They depart and take Monkey with them , leaving Evan to his fate . Karen and the kids arrive home to the entire house ruined while speechless .   In an alternate ending , Evan is seen getting out of a car parked outside a house . Inside the house Bel and Genesis are torturing their next victim . Evan knocks on the door and the girls stop when they hear it , he knocks again and they ask ' Who 's there ? ' .   Cast ( edit )    Keanu Reeves as Evan Webber   Lorenza Izzo as Genesis   Ana de Armas as Bel   Ignacia Allamand as Karen Alvarado   Aaron Burns as Louis   Colleen Camp as Vivian    Production ( edit )   On April 4 , 2014 , Keanu Reeves was added to the cast to play Evan Webber , a happily married family man and architect . The shooting was filmed in Santiago de Chile . Eli Roth stated that filming in Chile is easier than in the US . Chilean actress Ignacia Allamand also joined the film .   Release ( edit )   On January 26 , 2015 Lionsgate acquired the distribution rights to the film . Knock Knock premiered at the 2015 Sundance Film Festival on January 23 , 2015 . The film was released on October 9 , 2015 in the United States .   Critical reception ( edit )   Knock Knock received negative reviews from critics . Review aggregator website Rotten Tomatoes reports a rating of 33 % , based on 60 reviews , with an average rating of 5.2 / 10 . The site 's consensus states : `` Knock Knock brings a lot of talent to bear on its satirical approach to torture horror , but not effectively enough to overcome its repetitive story or misguidedly campy tone . '' On Metacritic , the film has a score of 55 out of 100 , based on 20 critics , indicating `` mixed or average reviews '' .   Dread Central awarded it a score of four out of five , saying `` what we do have is a home invasion film for the social media generation ( yes , it does feature social media in its plot ) that should make you think twice before offering warmth and shelter to a stranger on a dark and stormy night . ''   See also ( edit )    List of films featuring home invasions    References ( edit )    Jump up ^ `` KNOCK KNOCK ( 18 ) '' . British Board of Film Classification . June 11 , 2015 . Retrieved August 11 , 2015 .   Jump up ^ Sneider , Jeff ( 02 - 21 - 2014 ) . `` Eli Roth to Direct , Co-Write Horror Movie ' Knock Knock ' ( Exclusive ) '' , www.thewrap.com . Retrieved 28 - 06 - 2015 .   Jump up ^ Jagernauth , Kevin ( 04 - 04 - 2014 ) . `` Keanu Reeves Joins Eli Roth 's ' Knock Knock , ' Benicio Del Toro Joins Denis Villeneuve 's ' Sicario ' &amp; More '' , blogs.indiewire.com . Retrieved 28 - 06 - 2015 .   Jump up ^ `` Knock Knock ( 2015 ) '' . the - numbers . Retrieved October 9 , 2015 .   Jump up ^ Brian Formo ( 2015 - 10 - 09 ) . `` Review : The Keanu Reeves - Starring Erotic Thriller ' Knock Knock ' Is a Steaming Pile of Sexy Garbage '' . Complex . Retrieved 2017 - 10 - 26 .   Jump up ^ Gingold , Michael ( October 7 , 2015 ) . `` Q&amp;A : `` KNOCK KNOCK '' ! Who 's There ? Director Eli Roth , on Keanu , `` Free Pizza '' and More `` . Fangoria . Retrieved 2017 - 09 - 02 .   Jump up ^ King , Susan ( October 3 , 2015 ) . `` In ' Knock Knock , ' actress Colleen Camp has a cameo -- and a producer credit '' . The Los Angeles Times . Los Angeles , California : Tronc . Retrieved 2017 - 09 - 02 .   Jump up ^ Fleming Jr , Mike ( April 4 , 2014 ) . `` Keanu Reeves , Eli Roth To Team On Thriller ' Knock Knock ' '' . deadline.com . Retrieved August 18 , 2014 .   Jump up ^ Phillips , Chaka ( April 14 , 2014 ) . `` Eli Roth New Movie : ' Knock Knock ' To Star Keanu Reeves ; Film To Debut In September ? '' . latinpost.com . Retrieved August 18 , 2014 .   Jump up ^ `` Keanu Reeves finished filming his movie `` Knock Knock '' in Chile `` . twitter.com . May 11 , 2014 . Retrieved August 18 , 2014 .   Jump up ^ Fleming Jr , Mike ( January 26 , 2015 ) . `` Lionsgate Closes Eli Roth - Keanu Reeves Thriller ' Knock Knock ' At $2.5 Million '' . deadline.com . Retrieved January 27 , 2015 .   Jump up ^ `` Jason Segel 's ' The End of the Tour ' wows at Sundance '' . NY Daily News . Retrieved 25 January 2015 .   Jump up ^ `` Lionsgate Publicity '' . Lionsgate Publicity . Retrieved 2015 - 08 - 29 .   Jump up ^ `` Knock Knock ( 2015 ) '' . Rotten Tomatoes . Flixster . Retrieved October 7 , 2015 .   Jump up ^ `` Knock Knock Reviews '' . Metacritic . CBS Interactive . Retrieved October 10 , 2015 .   Jump up ^ Gelmini , David ( 2015 - 07 - 02 ) . `` Knock Knock ( 2015 ) '' . Dread Central . Retrieved 2015 - 08 - 29 .    External links ( edit )    Knock Knock on IMDb   Knock Knock at Box Office Mojo   Knock Knock at Rotten Tomatoes   Knock Knock at Metacritic      ( hide )         Films by Eli Roth     Director     Cabin Fever ( 2002 )   Hostel ( 2005 )   Hostel : Part II ( 2007 )   Grindhouse ( segment `` Thanksgiving '' , 2007 )   The Green Inferno ( 2013 )   Knock Knock ( 2015 )   Death Wish ( 2017 )   The House with a Clock in Its Walls ( 2018 )       Producer only     2001 Maniacs ( 2005 )   The Last Exorcism ( 2010 )   The Man with the Iron Fists ( 2012 )   Aftershock ( 2012 )   The Last Exorcism Part II ( 2013 )   Clown ( 2014 )   Cabin Fever ( 2016 )      Retrieved from `` https://en.wikipedia.org/w/index.php?title=Knock_Knock_(2015_film)&amp;oldid=810194004 '' Categories :   2015 films   English - language films   American films   American film remakes   Chilean films   2015 horror films   American erotic films   American horror films   American thriller films   American horror thriller films   2010s erotic films   2010s horror thriller films   Films directed by Eli Roth   Films produced by Eli Roth   Films shot in Chile   Home invasions in film   Screenplays by Eli Roth   Horror film remakes   Adultery in films   Erotic thriller films   Hidden categories :   Use mdy dates from August 2015           Talk                                           Contents                   About Wikipedia                                             Deutsch   Español   فارسی   Français   </t>
    </r>
    <r>
      <rPr>
        <sz val="11"/>
        <color rgb="FF000000"/>
        <rFont val="Noto Sans CJK SC"/>
        <family val="2"/>
      </rPr>
      <t xml:space="preserve">한국어   </t>
    </r>
    <r>
      <rPr>
        <sz val="11"/>
        <color rgb="FF000000"/>
        <rFont val="Calibri"/>
        <family val="0"/>
        <charset val="1"/>
      </rPr>
      <t xml:space="preserve">Hrvatski   Bahasa Indonesia   Italiano   Basa Jawa   </t>
    </r>
    <r>
      <rPr>
        <sz val="11"/>
        <color rgb="FF000000"/>
        <rFont val="Noto Sans CJK SC"/>
        <family val="2"/>
      </rPr>
      <t xml:space="preserve">日本 語   </t>
    </r>
    <r>
      <rPr>
        <sz val="11"/>
        <color rgb="FF000000"/>
        <rFont val="Calibri"/>
        <family val="0"/>
        <charset val="1"/>
      </rPr>
      <t xml:space="preserve">Norsk   Polski   Português   Русский   Slovenščina   Türkçe   Українська   </t>
    </r>
    <r>
      <rPr>
        <sz val="11"/>
        <color rgb="FF000000"/>
        <rFont val="Noto Sans CJK SC"/>
        <family val="2"/>
      </rPr>
      <t xml:space="preserve">中文   </t>
    </r>
    <r>
      <rPr>
        <sz val="11"/>
        <color rgb="FF000000"/>
        <rFont val="Calibri"/>
        <family val="0"/>
        <charset val="1"/>
      </rPr>
      <t xml:space="preserve">Edit links   This page was last edited on 13 November 2017 , at 21 : 31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</si>
  <si>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movie knock knock come out</t>
  </si>
  <si>
    <t xml:space="preserve"> Knock Knock is a 2015 American erotic horror - thriller film directed by Eli Roth , who also co-wrote the script with Guillermo Amoedo and Nicolás López . The film stars Keanu Reeves , Lorenza Izzo , and Ana de Armas . The film was released on October 9 , 2015 , by Lionsgate Premiere . Knock Knock is a remake of the 1977 film Death Game , which was directed by Peter S. Traynor and starred Sondra Locke and Colleen Camp . All three individuals had a hand in the production of Knock Knock , while Camp also had a cameo in the newer film . </t>
  </si>
  <si>
    <t xml:space="preserve">Mini-LP - wikipedia  Mini-LP  Jump to : navigation , search `` Mini-album '' redirects here . For releases often referred to as Mini-albums in Asia , see Extended play .  A mini-LP or mini-album is a short vinyl record album or LP , usually retailing at a lower price than an album that would be considered full - length . It is distinct from an EP due to containing more tracks and a slightly longer running length . A mini-LP is not to be confused with the unique to Japan `` mini LP sleeve '' or `` paper jacket '' CD .   History ( edit )   Mini-LPs became popular in the early 1980s with record companies who targeted consumers who were reluctant to buy full - length and full - priced albums . Several mini-LPs had been released in the late 1970s , including John Cooper Clarke 's Walking Back to Happiness , which used the 10 - inch format . The format was usually 12 - inch or 10 - inch vinyl , with a playing time of between twenty and thirty minutes , and around seven tracks . They were often used as a way of introducing new acts to the market or as a way of releasing interim albums by established acts between their main albums . Epic Records introduced the 10 - inch Nu - Disk format in the early 1980s but they found it difficult to merchandise , and 12 - inch mini-LPs became more common . Notable mini-LPs of the early 1980s included U2 's Under a Blood Red Sky , which reached number 2 on the UK Albums Chart in 1983 , and The Honeydrippers ' Volume 1 , which reached number 4 on the Billboard 200 in 1984 .   Independent record labels often released mini-LPs by artists before releasing full - length albums . In 1987 , 4AD took this approach with both Pixies Come on Pilgrim debut and the second album by Throwing Muses , The Fat Skier .   References ( edit )    ^ Jump up to : Grein , Paul ( 1982 ) `` Retailers , Labels Predict Greater Role for Mini-LPs '' , Billboard , 30 October 1982 , p. 1 , 67   Jump up ^ Gimarc , George ( 2005 ) Punk Diary : The Ultimate Trainspotter 's Guide to Underground Rock 1970 - 1982 , Backbeat Books , ISBN 0 - 87930 - 848 - 6 , p. 215   ^ Jump up to : Strong , Martin C. ( 2002 ) The Great Rock Discography , 6th edition , Canongate , ISBN 1 - 84195 - 312 - 1   Jump up ^ U2 - Under a Blood Red Sky , Chart Stats , retrieved 15 December 2009   Jump up ^ Denberg , Jody ( 1985 ) `` Dancing in the Streets '' , Texas Monthly , December 1985 , p. 198   Jump up ^ Strong , Martin C. ( 2003 ) The Great Indie Discography , Canongate , ISBN 1 - 84195 - 335 - 0   Retrieved from `` https://en.wikipedia.org/w/index.php?title=Mini-LP&amp;oldid=787296003 '' Categories :   Album types   Audio storage   Recorded music   Hidden categories :   Use British English from January 2014   Use dmy dates from January 2014           Talk                                                             About Wikipedia                                           Español   Italiano   Nederlands   Norsk   Português   Slovenščina   Edit links   This page was last edited on 24 June 2017 , at 16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</si>
  <si>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the difference between mini album and album</t>
  </si>
  <si>
    <t xml:space="preserve"> A mini-LP or mini-album is a short vinyl record album or LP , usually retailing at a lower price than an album that would be considered full - length . It is distinct from an EP due to containing more tracks and a slightly longer running length . A mini-LP is not to be confused with the unique to Japan `` mini LP sleeve '' or `` paper jacket '' CD . </t>
  </si>
  <si>
    <t xml:space="preserve">Mineral resource classification - wikipedia  Mineral resource classification  Jump to : navigation , search      ( hide ) This article has multiple issues . Please help improve it or discuss these issues on the talk page . ( Learn how and when to remove these template messages )      The lead section of this article may need to be rewritten . The reason given is : lack of proper referencing . Please discuss this issue on the article 's talk page . Use the lead layout guide to ensure the section follows Wikipedia 's norms and to be inclusive of all essential details . ( October 2014 ) ( Learn how and when to remove this template message )         The neutrality of this article is disputed . Relevant discussion may be found on the talk page . Please do not remove this message until conditions to do so are met . ( October 2014 ) ( Learn how and when to remove this template message )         This article relies largely or entirely on a single source . Relevant discussion may be found on the talk page . Please help improve this article by introducing citations to additional sources . ( October 2014 )         This article needs attention from an expert in mineral economics . Please add a reason or a talk parameter to this template to explain the issue with the article . WikiProject Mineral economics may be able to help recruit an expert . ( October 2014 )    ( Learn how and when to remove this template message )     Mineral resource classification is the classification of mineral resources based on an increasing level of geological knowledge and confidence .  A `` McKelvey diagram '' showing the relation of mineral resource classifications to economics and geologic certainty .  Mineral deposits can be classified as :    Mineral resources that are potentially valuable , and for which reasonable prospects exist for eventual economic extraction .   Mineral reserves or Ore reserves that are valuable and legally and economically and technically feasible to extract    In common mining terminology , an `` ore deposit '' by definition must have an ' ore reserve ' , and may or may not have additional ' resources ' .   Classification , because it is an economic function , is governed by statutes , regulations and industry best practice norms . There are several classification schemes worldwide , however the Canadian CIM classification ( see NI 43 - 101 ) , the Australasian Joint Ore Reserves Committee Code ( JORC Code ) , the South African Code for the Reporting of Mineral Resources and Mineral Reserves ( SAMREC ) and the `` chessboard '' classification scheme of mineral deposits by H.G. Dill are the general standards .     Contents  ( hide )   1 Mineral resources   2 Mineral reserves and Ore Reserves   3 See also   4 References   5 External links      Mineral resources ( edit )   A ' Mineral Resource ' is a concentration or occurrence of material of intrinsic economic interest in or on the earth 's crust in such form , quality and quantity that there are reasonable prospects for eventual economic extraction . Mineral Resources are further sub-divided , in order of increasing geological confidence , into inferred , Indicated and measured Categories .   Inferred Mineral Resource is the part of a mineral resource for which tonnage , grade and mineral content can be estimated with a low level of confidence . It is inferred from geological evidence and assumed but not verified geological or grade continuity . It is based on information gathered through appropriate techniques from locations such as outcrops , trenches , pits , workings and drill holes which may be of limited or uncertain quality and reliability .   Indicated resources are simply economic mineral occurrences that have been sampled ( from locations such as outcrops , trenches , pits and drillholes ) to a point where an estimate has been made , at a reasonable level of confidence , of their contained metal , grade , tonnage , shape , densities , physical characteristics .   Measured resources are indicated resources that have undergone enough further sampling that a ' competent person ' ( defined by the norms of the relevant mining code ; usually a geologist ) has declared them to be an acceptable estimate , at a high degree of confidence , of the grade , tonnage , shape , densities , physical characteristics and mineral content of the mineral occurrence .   Mineral reserves and Ore reserves ( edit )   Mineral reserves are resources known to be economically feasible for extraction . Reserves are either Probable Reserves or Proved Reserves .   A Probable Ore Reserve is the part of indicated , and in some circumstances , measured mineral resources that can be mined in an economically viable fashion . It includes diluting material and allowances for losses which may occur when the material is mined . A Probable Ore Reserve has a lower level of confidence than a Proved Ore Reserve but is of sufficient quality to serve as the basis for decision on the development of deposit .   A Proved Ore Reserve is the part of Measured resources that can be mined in an economically viable fashion . It includes diluting materials and allowances for losses which occur when the material is mined .   A Proved Ore Reserve represents the highest confidence category of reserve estimate . The style of mineralization or other factors could mean that Proved Ore Reserves are not achievable in some deposits .   Generally the conversion of resources into reserves requires the application of various modifying factors , including :    mining and geological factors , such as knowledge of the geology of the deposit sufficient that it is predictable and verifiable ; extraction and mine plans based on ore models ; quantification of geotechnical risk -- basically , managing the geological faults , joints , and ground fractures so the mine does not collapse ; and consideration of technical risk -- essentially , statistical and variography to ensure the ore is sampled properly :   metallurgical factors , including scrutiny of assay data to ensure accuracy of the information supplied by the laboratory -- required because ore reserves are bankable . Essentially , once a deposit is elevated to reserve status , it is an economic entity and an asset upon which loans and equity can be drawn -- generally to pay for its extraction at ( hopefully ) a profit ;   economic factors ;   environmental factors ;   marketing factors ;   legal factors ;   political factors ; and   social factors    See also ( edit )    Mineral exploration   Ore genesis   Ore   Drilling rig   National Instrument 43 - 101    References ( edit )    Jump up ^ `` The International Reporting Template '' ( PDF ) . www.CRIRSCO.com . CRIRSCO . November 2013 . Retrieved 5 January 2017 .   Jump up ^ US Geological Survey , 1980 , Principles of a Resource / Reserve classification for Minerals , Circular 831 .   ^ Jump up to : Staff ( 2012 ) . `` Home '' . SAMCODE - South African Mineral Codes . SAMCODE - South African Mineral Codes . Retrieved 27 May 2012 .   Jump up ^ Dill , Harald G. ( June 2010 ) . `` The `` chessboard '' classification scheme of mineral deposits : Mineralogy and geology from aluminum to zirconium `` . Earth - Science Reviews . 100 ( 1 - 4 ) : 1 -- 420 . doi : 10.1016 / j. earscirev. 2009.10. 011 .    External links ( edit )    JORC Code   University of Western Australia Mining Law Centre   U.S. Geological Survey Circular 831 , Principles of a Resource / Reserve Classification for Minerals   Canadian Institute of Mining , Metallurgy and Petroleum - CIM Definition Standards - On Mineral Resources and Mineral Reserves ( PDF Format )   The Canadian Council of Professional Geoscientists CCPG   National Instrument ( NI ) 43 - 101 Standards for Disclosure of Mineral Properties ( Canada )   The South African SAMVAL and SAMREC Codes   Retrieved from `` https://en.wikipedia.org/w/index.php?title=Mineral_resource_classification&amp;oldid=799007301 '' Categories :   Economic geology   Mineral economics   Hidden categories :   Wikipedia introduction cleanup from October 2014   All pages needing cleanup   Articles covered by WikiProject Wikify from October 2014   All articles covered by WikiProject Wikify   NPOV disputes from October 2014   All NPOV disputes   Articles needing additional references from October 2014   All articles needing additional references   Articles needing expert attention with no reason or talk parameter   Articles needing expert attention from October 2014   All articles needing expert attention   All articles with specifically marked weasel - worded phrases   Articles with specifically marked weasel - worded phrases from October 2014   All articles with unsourced statements   Articles with unsourced statements from October 2014           Talk                                           Contents                   About Wikipedia                                           Azərbaycanca   Deutsch   Español   Français   Кыргызча   Монгол   Română   Русский   Svenska   Українська   Tiếng Việt   Edit links   This page was last edited on 5 September 2017 , at 02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</si>
  <si>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a mineral become a mineral resources</t>
  </si>
  <si>
    <t xml:space="preserve"> A ' Mineral Resource ' is a concentration or occurrence of material of intrinsic economic interest in or on the earth 's crust in such form , quality and quantity that there are reasonable prospects for eventual economic extraction . Mineral Resources are further sub-divided , in order of increasing geological confidence , into inferred , Indicated and measured Categories . </t>
  </si>
  <si>
    <r>
      <rPr>
        <sz val="11"/>
        <color rgb="FF000000"/>
        <rFont val="Calibri"/>
        <family val="0"/>
        <charset val="1"/>
      </rPr>
      <t xml:space="preserve">Pro Football Hall of Fame - wikipedia  Pro Football Hall of Fame  Professional sports hall of fame in Canton , Ohio  Pro Football Hall of Fame       Location of Pro Football Hall of Fame     Established   1963     Location   2121 George Halas Dr NW , Canton , Ohio     Coordinates   40 ° 49 ′ 16 '' N 81 ° 23 ′ 52 '' W ﻿ / ﻿ 40.82111 ° N 81.39778 ° W ﻿ / 40.82111 ; - 81.39778 Coordinates : 40 ° 49 ′ 16 '' N 81 ° 23 ′ 52 '' W ﻿ / ﻿ 40.82111 ° N 81.39778 ° W ﻿ / 40.82111 ; - 81.39778     Type   Professional sports hall of fame     Visitors   191,943 ( 2010 )     President   C. David Baker     Website   profootballhof.com     The Pro Football Hall of Fame is the hall of fame for professional American football , located in Canton , Ohio . Opened in 1963 , the Hall of Fame enshrines exceptional figures in the sport of professional football , including players , coaches , franchise owners , and front - office personnel , almost all of whom made their primary contributions to the game in the National Football League ( NFL ) ; the Hall inducts between four and eight new enshrinees each year . The Hall of Fame 's Mission is to `` Honor the Heroes of the Game , Preserve its History , Promote its Values &amp; Celebrate Excellence EVERYWHERE . ''   With the election of the Class of 2018 -- Bobby Beathard , Robert Brazile , Brian Dawkins , Jerry Kramer , Ray Lewis , Randy Moss , Terrell Owens , and Brian Urlacher -- there are a total of 318 members of the Hall of Fame .     Part of the American football series on History of American football      Origins of American football    Early history of American football   First game   Walter Camp   First pro player   First pro league   Modern history of American football    Close relations :    Medieval football   Old division football   Rugby football   Association football   Canadian football    Black players in professional American football Homosexuality in American football Concussions in American football Rugby union comparison Rugby league comparison Canadian football comparison Pro Football Hall of Fame College Football Hall of Fame Years in American football    NFL season - by - season   College football season - by - season   Glossary of American football       American football Portal               Contents  ( hide )   1 History   1.1 Executive Directors / Presidents of Hall of Fame     2 Inductees   2.1 Selection process   2.1. 1 Selection Committee   2.1. 2 Voting procedure     2.2 Enshrinement ceremony     3 Hall of Fame Game   4 Criticism   5 See also   6 References   7 External links      History ( edit )  Old entrance to The Pro Football Hall of Fame in Canton , Ohio  The community of Canton , Ohio successfully lobbied the NFL to have the Hall of Fame built in their city for two reasons : first , the NFL was founded in Canton in 1920 ( at that time it was known as the American Professional Football Association ) ; second , the now - defunct Canton Bulldogs were a successful NFL team based in Canton during the first few years of the league . Groundbreaking for the building was held on August 11 , 1962 . The original building contained just two rooms , and 19,000 square feet ( 1,800 m ) of interior space .   In April 1970 , ground was broken for the first of many expansions . This first expansion cost $ 620,000 , and was completed in May 1971 . The size was increased to 34,000 square feet ( 3,200 m ) by adding another room . The pro shop opened with this expansion . This was also an important milestone for the Pro Football Hall of Fame , as yearly attendance passed the 200,000 mark for the first time . This was at least in some part due to the increase in popularity of professional football caused by the advent of the American Football League and its success in the final two AFL - NFL World Championship games .  Inside the original structure in 2008 .  In November 1977 , work began on another expansion project , costing US $1,200,000 . It was completed in November 1978 , enlarging the gift shop and research library , while doubling the size of the theater . The total size of the hall was now 50,500 square feet ( 4,690 m ) , more than 2.5 times the original size .   The building remained largely unchanged until July 1993 . The Hall then announced yet another expansion , costing US $9,200,000 , and adding a fifth room . This expansion was completed in October 1995 . The building 's size was increased to 82,307 square feet ( 7,647 m ) . The most notable addition was the GameDay Stadium , which shows an NFL Films production on a 20 - foot ( 6.1 m ) by 42 - foot ( 13 m ) Cinemascope screen .   In 2013 , the Hall of Fame completed its largest expansion and renovation today . Currently , the Hall of Fame consists of 118,000 square feet .   An $800 million expansion project , Johnson Controls Hall of Fame Village , is underway and will be completed to coincide with the NFL 's Centennial in 2020 .   Executive Directors / Presidents of Hall of Fame ( edit )    Dick McCann ( April 4 , 1962 -- November 1967 )   Dick Gallagher ( April 1968 -- December 31 , 1975 )   Pete Elliott ( February 1979 -- October 31 , 1996 )   John Bankert ( November 1 , 1996 -- December 31 , 2005 )   Steve Perry ( April 24 , 2006 -- January 2014 )   David Baker ( January 6 , 2014 -- present )    Inductees ( edit )  The Hall is made up of several sections , at heart is the display of inductees . Main article : List of Pro Football Hall of Fame inductees  Through 2017 , all inductees except one , played some part of their professional career in the NFL ( the lone exception is Buffalo Bills guard Billy Shaw , who played his entire career in the American Football League ( AFL ) prior to the 1970 AFL -- NFL merger ) . Though several Hall of Famers have had AFL , Canadian Football League , World Football League , United States Football League , Arena Football League and / or Indoor Football League experience , and there is a division of the Hall devoted to alternative leagues such as this , to this point no players have made the Hall without having made significant contributions to either the NFL , AFL or All - America Football Conference . For CFL stars , there is a parallel Canadian Football Hall of Fame ; only one player ( Warren Moon ) and one coach ( Bud Grant ) are in both halls .   The Chicago Bears have the most Hall of Famers among the league 's franchises with either 34 or 28 enshrinees depending on whether you count players that only played a small portion of their careers with the team .   Selection Process ( edit )  Selection Committee ( edit )  www.profootballhof.com/heroes-of-the-game/becoming-a-hall-of-famer/   Enshrinees are selected by a 48 - person committee , largely made up of media members , officially known as the Selection Committee .   Each city that has a current NFL team sends one representative from the local media to the committee . A city with more than one franchise sends a representative for each franchise .   There are also 15 at - large delegates including one representative from the Pro Football Writers Association . Except for the PFWA representative , who is appointed to a two - year term , all other appointments are open - ended and terminated only by death , incapacitation , retirement , or resignation .  Voting procedure ( edit ) Tom Benson Hall of Fame Stadium with the Hall of Fame in lower right  To be eligible for the nominating process , a player or coach must have been retired for at least five years . Any other contributor such as a team owner or executive can be voted in at any time .   Fans may nominate any player , coach or contributor by simply writing to the Pro Football Hall of Fame via letter or email . The Selection Committee is then polled three times by mail to eventually narrow the list to 25 semifinalists : once in March , once in September , and once in October . In November , the committee then selects 15 finalists by mail balloting . A Seniors and Contributors Committee , subcommittees of the overall Selection Committee , nominate Seniors ( those players who completed their careers more than 25 years ago ) and Contributors ( individuals who made contributions to the game in areas other than playing or coaching ) . The Seniors Committee and Contributors Committee add two or one finalist ( s ) on alternating years which makes a final ballot of 18 finalists under consideration by the full committee each year . Committee members are instructed to only consider a candidate 's professional football contributions and to disregard all other factors .   The Selection Committee then meets on `` Selection Saturday , '' the day before each Super Bowl game to elect a new class . To be elected , a finalist must receive at least 80 percent support from the Board , with at least four , but no more than eight , candidates being elected annually . Once a contributor is inducted into the Hall , they can not be banished and remain an inductee forever .   Enshrinement ceremony ( edit )  A football signed by the 1974 Pro Football Hall of Fame enshrinement class  The enshrinement ceremony is usually held during the first full weekend in August . An enshrinement celebration is held throughout the week in Canton surrounding the enshrinement ceremony .   Enshrinees do not go into the Pro Football Hall of Fame as a member of a certain team . Rather , all of an enshrinee 's affiliations are listed equally . While the Baseball Hall of Fame plaques generally depict each of their inductees wearing a particular club 's cap ( with a few exceptions , such as Catfish Hunter and Greg Maddux ) , the bust sculptures of each Pro Football Hall of Fame inductee make no reference to any specific team . In addition to the bust that goes on permanent display at the Hall of Fame , inductees receive a distinctive Gold Jacket and previous inductees nearly always wear theirs when participating at new inductee ceremonies .   Previous induction ceremonies were held during the next day ( Sunday from 1999 -- 2005 , Saturday in 2006 ) , situated on the steps of the Hall of Fame building . Starting in 2002 , the ceremony was moved to Fawcett Stadium , where it was held from 1963 to 1965 . Since 2007 , the enshrinement ceremony has been held on the Saturday night .   Hall of Fame game ( edit )  Main article : Pro Football Hall of Fame Game  The Hall of Fame Game , the annual NFL preseason opener , is played in Tom Benson Hall of Fame Stadium in Canton , Ohio . In 2017 , the Hall of Fame Game was held for the first time on Thursday night . The preseason classic kicks off Enshrinement Week Powered by Johnson Controls and officially kicks off the NFL preseason .   Criticism ( edit )  The `` Other Leagues '' display includes the USFL ; inductee Jim Kelly 's jersey is in the foreground .  The Pro Football Hall of Fame uses only media representatives to select inductees . This , along with its policy of inducting only a maximum of seven players a year ( six in certain years past ) , with a current maximum of two `` senior '' candidates and five `` non-seniors , '' has been criticized by sports columnists , former players , and football fans . Such critics would like to see solutions such as expanding the number of selectors , rotating panel members on and off the selection committee , and allowing former players to participate in the voting . The small number of candidates elected each year has helped foster what some perceive as an inequality of representation at certain positions or in certain categories of player , with defensive players in general and defensive backs and outside linebackers in particular , special teams players , wide receivers , deserving players who primarily played on bad teams , and those from the `` seniors '' category , being slighted . This has included a 2009 New York Times article which criticized the Hall for not including punter Ray Guy on its ballot , also noting that the Hall did not have an inductee at the time representing the position . ( At least two inductees , Sammy Baugh and Yale Lary , punted in addition to playing other positions . ) Guy was eventually inducted as part of the 2014 class for the Hall of Fame . There has also been criticism that certain players get overlooked because their team underproduced during their careers .   The Pro Football Hall of Fame is unique among North American major league sports halls of fame in that officials have generally been excluded from the Hall ; only one , 1966 inductee Hugh `` Shorty '' Ray , has been enshrined . The National Baseball Hall of Fame and Museum , Naismith Memorial Basketball Hall of Fame and Hockey Hall of Fame have each inducted game officials as members . In part to rectify the lack of officials and other off - field contributors , the Hall of Fame added a `` Contributors '' committee beginning with the class of 2015 , which will nominate officials , general managers , owners and other positions that have historically been overlooked by the committee at large .   Another prominent absence from the Hall is sports - journalist Howard Cosell , who has yet to be awarded the Pete Rozelle Radio - Television Award despite his well - known association with Monday Night Football . An August 2010 Sports Illustrated article hints that Cosell may have even been `` blacklisted '' by the NFL .   As the late 2010s approached , a number of controversial and polarizing figures began to reach eligibility for the Hall . Terrell Owens 's exclusion from the Hall in his first two years of eligibility despite his strong individual statistics was a subject of public debate . Owens was elected to the Hall of Fame in 2018 .  Pro Football Hall of Fame ( old entrance ) .  See also ( edit )    Touchdown Club Charities Hall of Fame   Canadian Football Hall of Fame   Arena Football Hall of Fame   Dick McCann Memorial Award -- sometimes referred to as the `` writer 's wing '' of the Pro Football Hall of Fame   Pete Rozelle Radio - Television Award    References ( edit )    Jump up ^ `` History of the Pro Football Hall of Fame '' . Pro Football Hall of Fame . Archived from the original on February 6 , 2012 . Retrieved February 6 , 2012 .   Jump up ^ `` Class of 2018 Pro Football Hall of Fame Official Site '' . www.profootballhof.com . Retrieved 2018 - 03 - 09 .   Jump up ^ `` List of Hall of Fame members '' . Archived from the original on February 6 , 2012 . Retrieved February 6 , 2012 .   ^ Jump up to : `` The Pro Football Hall of Fame : Then and Now '' . Pro Football Hall of Fame . January 1 , 2005 . Archived from the original on February 6 , 2012 . Retrieved February 6 , 2011 .   Jump up ^ Tendler , Alexandra . `` $800 million ' Disneyland ' for football will open in 2020 , NFL Hall of Fame pres. says '' . FoxBusiness.com . Retrieved 27 July 2017 .   Jump up ^ `` History of the Pro Football Hall of Fame '' . Pro Football Hall of Fame . Retrieved February 16 , 2018 .   Jump up ^ `` Chicago Bears : Team History '' . Pro Football Hall of Fame . Archived from the original on February 6 , 2012 . Retrieved February 6 , 2011 .   ^ Jump up to : `` Selection Process '' . Pro Football Hall of Fame . Archived from the original on February 6 , 2012 . Retrieved February 6 , 2012 .   ^ Jump up to : `` Selection Process FAQ '' . Pro Football Hall of Fame . Archived from the original on February 6 , 2012 . Retrieved February 6 , 2012 .   ^ Jump up to : `` Canton welcome mat still out for O.J. Simpson '' . ESPN.com . July 21 , 2017 . Retrieved July 22 , 2017 .   ^ Jump up to : `` 2012 Pro Football Hall of Fame Enshrinement Festival Schedule '' . Pro Football Hall of Fame . Archived from the original on February 6 , 2012 . Retrieved February 6 , 2012 .   Jump up ^ `` Class of 2007 Presenters '' . Pro Football Hall of Fame . July 2 , 2007 . Archived from the original on February 6 , 2012 . Retrieved February 6 , 2012 .   ^ Jump up to : Joyner , KC ( January 25 , 2009 ) . `` A Case for Ray Guy Belonging in Pro Football Hall of Fame '' . The New York Times .   Jump up ^ Barall , Andy ( February 16 , 2012 ) . `` How to Fix Football 's Hall of Fame Voting System '' . The New York Times .   Jump up ^ King , Peter ( October 21 , 2014 ) . Behind the HOF 's New Contributor Committee . SI.com . Retrieved October 21 , 2014 .   Jump up ^ Billson , Marky ( August 4 , 2010 ) . `` As strange as it sounds , Howard Cosell has never won Rozelle award '' . Sports Illustrated . Archived from the original on October 6 , 2010 . Retrieved August 6 , 2017 .   Jump up ^ Researcher , NFL ( February 4 , 2013 ) . `` Cronyism on the part of the NFL and the Pro Football Hall of Fame ? '' . NFL Sports Blog .   Jump up ^ `` One Hall of Fame voter sheds light on why Terrell Owens did n't make it in '' .    External links ( edit )    Official website   Media related to Pro Football Hall of Fame at Wikimedia Commons              National Football League ( 2018 )     AFC         East   North   South   West       Buffalo Bills   Miami Dolphins   New England Patriots   New York Jets       Baltimore Ravens   Cincinnati Bengals   Cleveland Browns   Pittsburgh Steelers       Houston Texans   Indianapolis Colts   Jacksonville Jaguars   Tennessee Titans       Denver Broncos   Kansas City Chiefs   Los Angeles Chargers   Oakland Raiders             NFC         East   North   South   West       Dallas Cowboys   New York Giants   Philadelphia Eagles   Washington Redskins       Chicago Bears   Detroit Lions   Green Bay Packers   Minnesota Vikings       Atlanta Falcons   Carolina Panthers   New Orleans Saints   Tampa Bay Buccaneers       Arizona Cardinals   Los Angeles Rams   San Francisco 49ers   Seattle Seahawks                Seasons     Seasons ( by team )   Preseason   Hall of Fame Game   American Bowl     Regular season   Kickoff game   Monday Night Football   International Series   London   Toronto   Bills Series   List of games played outside the U.S.     Thanksgiving games   Christmas games     Playoffs   Streaks   Droughts   AFC Championship   NFC Championship   Super Bowl   champions   quarterbacks       Pro Bowl       History     League history   Executive history   Championship history     Timeline   Defunct franchises   Franchise moves and mergers   Los Angeles team history   Proposed stadiums 1995 -- 2016       American Football League ( 1960 -- 1969 )   Playoffs   Merger     NFL Championship ( 1920 -- 1969 )   Playoff Bowl   Records   individual   team   Super Bowl   All time win -- loss   Last undefeated     Tied games   Canceled games   Controversies       Business     Owners   Properties   Management Council   Competition Committee   Collective Bargaining Agreement   National Football League Players Association   Lockouts   Media   TV   NFL Network   NFL RedZone     Radio   NFL Films         Other     Officials   Stadiums   Chronology     Awards   All - Pro     Hall of Fame   Foreign players   NFL Europe     Player conduct   Suspensions   Player misconduct     Combine   Draft   Training camp   Rivalries   NFL Foundation   Culture   Cheerleading   Color Rush   Mascots   Lore   Nicknames   Numbers   Retired                hide         Members of the Pro Football Hall of Fame     Quarterbacks      Pre-modern era     Baugh   Clark   Conzelman   Driscoll   Friedman   Herber   Luckman   A. Parker       Modern era     Aikman   Blanda   Bradshaw   L. Dawson   Elway   Favre   Fouts   Graham   Griese   Jurgensen   J. Kelly   Layne   Marino   Montana   Moon   Namath   Stabler   Starr   Staubach   Tarkenton   Tittle   Unitas   Van Brocklin   Warner   Waterfield   Young          Running backs      Pre-modern era     Battles   Canadeo   Dudley   Grange   Guyon   Hinkle   Lambeau   Leemans   McAfee   McNally   Nagurski   Nevers   Pollard   Strong   Thorpe   Van Buren       Modern era     M. Allen   Bettis   J. Brown   Campbell   Csonka   T. Davis   Dickerson   Dorsett   Faulk   Gifford   Harris   Hornung   J.H. Johnson   L. Kelly   F. Little   Martin   Matson   McElhenny   Moore   Motley   Payton   Perry   Riggins   B. Sanders   Sayers   Simpson   E. Smith   Jim Taylor   T. Thomas   Tomlinson   Trippi   Walker          Wide receivers / ends      Pre-modern era     Badgro   Chamberlin   Flaherty   Halas   Hewitt   Hutson   Millner       Modern era     Alworth   Berry   Biletnikoff   T. Brown   Carter   Fears   Harrison   Hayes   Hirsch   Irvin   Joiner   Largent   Lavelli   Lofton   Maynard   McDonald   Mitchell   Monk   Moss   Owens   Pihos   Reed   Rice   Stallworth   Swann   C. Taylor   Warfield          Tight ends     Casper   Ditka   Mackey   Newsome   C. Sanders   Sharpe   J. Smith   Winslow       Offensive linemen     L. Allen   B. Brown   R. Brown   Creekmur   D. Dawson   DeLamielleure   Dierdorf   Gatski   Gregg   Grimm   Hannah   Hickerson   S. Jones   W. Jones   Kramer   Langer   L. Little   Mack   Matthews   McCormack   McDaniel   Mix   Munchak   Muñoz   Ogden   Otto   Pace   J. Parker   Ringo   Roaf   Shaw   Shell   Shields   Slater   St. Clair   Stanfel   Stephenson   Tingelhoff   Upshaw   Webster   Wright   Yary   Zimmerman       Pre-modern era two - way players     Edwards   Fortmann   Healey   Hein   Henry   Hubbard   Kiesling   Kinard   Lyman   Michalske   Musso   Owen   Stydahar   Trafton   Turner   Wojciechowicz       Defensive linemen     Atkins   Bethea   Buchanan   Culp   W. Davis   Dean   Dent   Doleman   Donovan   Eller   Ford   J. Greene   Haley   Hampton   Humphrey   D. Jones   Jordan   Kennedy   Lilly   Long   Marchetti   Nomellini   Olsen   Page   Randle   Robustelli   Sapp   Selmon   B. Smith   Stautner   Strahan   Ja . Taylor   Weinmeister   Ra . White   Re . White   Willis   Youngblood       Linebackers     Bednarik   Bo . Bell   Brazile   Brooks   Buoniconti   Butkus   Carson   Connor   George   K. Greene   Ham   Hanburger   Hendricks   Huff   Jackson   Lambert   Lanier   Lewis   Nitschke   Richter   Robinson   Schmidt   Seau   Singletary   L. Taylor   D. Thomas   Tippett   Urlacher   Wilcox       Defensive backs     Adderley   Barney   Blount   W. Brown   Butler   Christiansen   Dawkins   Easley   Green   Haynes   Houston   J. Johnson   Krause   Lane   Lary   LeBeau   Lott   Renfro   D. Sanders   E. Thomas   Tunnell   Wehrli   Williams   L. Wilson   Wood   Woodson       Placekickers and punters     Andersen   Groza   Guy   Stenerud       Coaches     G. Allen   P. Brown   Chamberlin   Conzelman   Dungy   Ewbank   Flaherty   Gibbs   Gillman   Grant   Halas   Lambeau   Landry   Levy   Lombardi   Madden   Neale   Noll   Owen   Parcells   Shula   Stram   Walsh       Contributors     Beathard   Be . Bell   Bidwill   Carr   A. Davis   DeBartolo   Finks   Halas   Hunt   J. Jones   Lambeau   T. Mara   W. Mara   Marshall   Polian   Ray   Reeves   A. Rooney   D. Rooney   Rozelle   Sabol   Schramm   R. Wilson   Wolf      Retrieved from `` https://en.wikipedia.org/w/index.php?title=Pro_Football_Hall_of_Fame&amp;oldid=844892393 '' Categories :   Pro Football Hall of Fame   American football museums and halls of fame   Buildings and structures in Canton , Ohio   Halls of fame in Ohio   History of American football   American national museums in Ohio   Museums in Stark County , Ohio   Sports museums in Ohio   Tourist attractions in Canton , Ohio   Awards established in 1963   1963 establishments in Ohio   Halls of fame in the United States                 Talk                                           Contents                   About Wikipedia                                                 Dansk   Deutsch   Español   Euskara   Français   </t>
    </r>
    <r>
      <rPr>
        <sz val="11"/>
        <color rgb="FF000000"/>
        <rFont val="Noto Sans CJK SC"/>
        <family val="2"/>
      </rPr>
      <t xml:space="preserve">한국어   </t>
    </r>
    <r>
      <rPr>
        <sz val="11"/>
        <color rgb="FF000000"/>
        <rFont val="Calibri"/>
        <family val="0"/>
        <charset val="1"/>
      </rPr>
      <t xml:space="preserve">Italiano   עברית   </t>
    </r>
    <r>
      <rPr>
        <sz val="11"/>
        <color rgb="FF000000"/>
        <rFont val="Noto Sans CJK SC"/>
        <family val="2"/>
      </rPr>
      <t xml:space="preserve">日本 語   </t>
    </r>
    <r>
      <rPr>
        <sz val="11"/>
        <color rgb="FF000000"/>
        <rFont val="Calibri"/>
        <family val="0"/>
        <charset val="1"/>
      </rPr>
      <t xml:space="preserve">Norsk   Polski   Simple English   Suomi   Svenska  5 more  Edit links   This page was last edited on 7 June 2018 , at 21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</si>
  <si>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pro football hall of fame located</t>
  </si>
  <si>
    <t xml:space="preserve"> Pro Football Hall of Fame       Location of Pro Football Hall of Fame     Established   1963     Location   2121 George Halas Dr NW , Canton , Ohio     Coordinates   40 ° 49 ′ 16 '' N 81 ° 23 ′ 52 '' W ﻿ / ﻿ 40.82111 ° N 81.39778 ° W ﻿ / 40.82111 ; - 81.39778 Coordinates : 40 ° 49 ′ 16 '' N 81 ° 23 ′ 52 '' W ﻿ / ﻿ 40.82111 ° N 81.39778 ° W ﻿ / 40.82111 ; - 81.39778     Type   Professional sports hall of fame     Visitors   191,943 ( 2010 )     President   C. David Baker     Website   profootballhof.com   </t>
  </si>
  <si>
    <r>
      <rPr>
        <sz val="11"/>
        <color rgb="FF000000"/>
        <rFont val="Calibri"/>
        <family val="0"/>
        <charset val="1"/>
      </rPr>
      <t xml:space="preserve">Rosamund Pike - wikipedia  Rosamund Pike  Jump to : navigation , search    Rosamund Pike     Pike attends the `` A United Kingdom '' Opening Night Gala screening during the 60th BFI London Film Festival at Odeon Leicester Square on October 5 , 2016 in London , England .       Rosamund Mary Ellen Pike ( 1979 - 01 - 27 ) 27 January 1979 ( age 38 ) London , England     Nationality   British     Alma mater   Wadham College , Oxford     Occupation   Actress     Years active   1998 -- present     Partner ( s )   Robie Uniacke ( 2009 -- present )     Children       Rosamund Mary Ellen Pike ( born 27 January 1979 ) is an English actress who began her acting career by appearing in stage productions such as Romeo and Juliet and Skylight . After her screen debut in the television film A Rather English Marriage ( 1998 ) and television roles in Wives and Daughters ( 1999 ) and Love in a Cold Climate ( 2001 ) , she received international recognition for her film debut as Bond girl Miranda Frost in Die Another Day ( 2002 ) , for which she received the Empire Award for Best Newcomer . Following her breakthrough , she won the BIFA Award for Best Supporting Actress for The Libertine ( 2004 ) and portrayed Jane Bennet in Pride &amp; Prejudice ( 2005 ) .   Pike had film appearances in the sci - fi film Doom ( 2005 ) , the crime - mystery thriller film Fracture ( 2007 ) , the drama film Fugitive Pieces ( 2007 ) , the coming - of - age drama An Education ( 2009 ) , for which she was nominated for the London Film Critics Circle Award for British Supporting Actress of the Year , and sci - fi comedy The World 's End ( 2013 ) . She also received British Independent Film Award nominations for An Education , Made in Dagenham ( 2010 ) , and was nominated for a Genie Award for Barney 's Version ( 2010 ) .   In 2014 , her performance in the psychological thriller film Gone Girl was met with widespread critical acclaim and she was awarded the Saturn Award for Best Actress and was nominated for the Academy Award for Best Actress , the BAFTA Award for Best Actress in a Leading Role , and the Golden Globe Award for Best Actress -- Motion Picture Drama .     Contents  ( hide )   1 Early life   2 Career   3 Personal life   4 Activism   5 Filmography   5.1 Film   5.2 Television     6 Stage   7 Awards and nominations   8 References   9 External links      Early life ( edit )   Pike , born on 27 January 1979 in London , England , is the only daughter of opera singers Caroline and Julian Pike . Pike 's father is currently a professor of music and head of operatic studies at the Birmingham Conservatoire .   The family travelled across Europe until she was seven , following wherever her parents ' performing careers took them . Pike won a scholarship to Badminton School in Bristol , and while appearing as Juliet in a production of Romeo and Juliet at the National Youth Theatre , was noticed by an agent , who helped her embark upon a professional career .   After being turned down by each stage school to which she applied , she gained a place to read English literature at Wadham College , Oxford , from which she graduated . She took a year off to pursue her acting career , garnering stage experience in David Hare 's Skylight , Arthur Miller 's All My Sons , and several plays by Shakespeare ; she achieved an Upper Second class degree in 2001 .   Career ( edit )   While she was still at Oxford , Pike acted in and directed various plays , including one by Simon Chesterman , who was then a graduate student . She also made appearances on British television shows , including A Rather English Marriage ( 1998 ) , Wives and Daughters ( 1999 ) , and Love in a Cold Climate ( 2001 ) , a miniseries based on Nancy Mitford 's novels The Pursuit of Love and Love in a Cold Climate . She also appeared as a CIA agent in the pilot of the science fiction series , Seven Days ( 1998 ) , and as Sarah Beaumont in an episode of the series Foyle 's War .  Pike at the premiere of Barney 's Version during the 2010 Toronto International Film Festival  After graduating , she considered working at Waterstone 's bookshop due to a lack of acting opportunities , but was offered a role as a Bond girl and MI6 agent assigned to aid James Bond in Die Another Day . She also appeared in the special show Bond Girls Are Forever and , shortly afterwards , the BAFTA tribute to the James Bond series . She was the first Bond girl to have attended Oxford . Pike then played Elizabeth Malet in The Libertine ( 2004 ) , co-starring Johnny Depp , which won her the Best Supporting Actress award at the British Independent Film Awards . In the same year , she portrayed Rose in The Promised Land , a film about Israel , and starred as scientist Samantha Grimm in the cinematic adaptation of the computer game series Doom . In 2005 , she appeared as Jane , the elder sister of Elizabeth ( played by Keira Knightley ) , in Pride &amp; Prejudice . Pike then starred in the film adaptation of Anne Michaels 's novel Fugitive Pieces . She also starred as a successful attorney in the film Fracture , opposite Anthony Hopkins and Ryan Gosling . Pike was a judge at the 2008 Costa Book Awards .   Her stage credits include Hitchcock Blonde by Terry Johnson ( in a role requiring her to appear completely nude on stage with only a pair of high heels ) and Tennessee Williams ' Summer and Smoke , both in London 's West End , and Gaslight at London 's Old Vic Theatre . Pike has said that she would be happy to do at least one play every year . In 2009 , she played the title character in Madame De Sade during the Donmar 's West End season .   She appeared in the British film Made in Dagenham and in the Canadian film Barney 's Version where she plays Miriam . In 2010 , she starred in a production of Hedda Gabler on UK tour . Pike has recorded voicework for a lead role in the film Jackboots on Whitehall and lent her voice to a new series of James Bond audio - books , narrating The Spy Who Loved Me . In 2010 Pike played the part of Pussy Galore in the BBC Radio 4 adaptation of Fleming 's Goldfinger . In 2011 , Pike played the part of Kate Sumner in the 2011 Bond spoof film Johnny English Reborn , playing a psychologist and English 's love interest . The film is a sequel to the 2003 film Johnny English and was a box office success , taking over $160 million .   In 2012 , she played the role of Queen Andromeda in the fantasy epic Wrath of the Titans . She replaced Alexa Davalos , who had played the role in Clash of the Titans and had dropped out due to a scheduling conflict . Taking the role in Wrath of the Titans meant she had to drop out of consideration for a role in the forthcoming Superman film . Although the film was not well received by critics , it grossed over $300 million and critics considered her performance to be one of the film 's highlights . She also starred as Helen Rodin , the female lead alongside Tom Cruise in the thriller Jack Reacher , an adaptation of the novel One Shot by author Lee Child . The film opened to positive critical reception and had grossed over $218 million .   After a supporting role in the critically acclaimed The World 's End ( 2013 ) , Pike was seen in the David Fincher - directed thriller Gone Girl ( 2014 ) , a film adaptation of Gillian Flynn 's novel of the same name . Featuring opposite Ben Affleck , Pike was cast as Amy Dunne , a woman who goes missing on her fifth wedding anniversary . According to Fincher , Pike was his first choice for the role because he wanted someone who was not widely known , Pike having not appeared in any major leading role prior to the film 's commencement , and because he found her enigmatic and could n't easily read her . The film emerged as a box office hit , earning over $356 million in global ticket sales . The movie and Pike 's performance both earned widespread acclaim from critics . Richard Lawson of Vanity Fair wrote that the film is `` Smartly shot , detailed ... and performed '' and called Pike 's portrayal `` a star - makingly good performance , spellbinding in its operatic mix of tones and temperatures . '' Todd McCarthy of The Hollywood Reporter reviewed that she `` is powerful and commanding ... Physically and emotionally , Pike looks to have immersed herself in this profoundly calculating character , and the results are impressive . '' She received numerous awards and nominations , including for the Academy Award for Best Actress , the BAFTA Award for Best Actress in a Leading Role , the Golden Globe Award for Best Actress -- Motion Picture Drama and the Screen Actors Guild Award for Outstanding Performance by a Female Actor in a Leading Role .   Since 2015 , she has voiced Lady Penelope Creighton - Ward in the remake of Gerry Anderson 's Thunderbirds Are Go produced by ITV in conjunction with Weta Workshop . In February 2016 , she starred in the music video for Voodoo in My Blood by Massive Attack directly inspired by the subway scene with Isabelle Adjani in the movie Possession ( 1981 ) directed by Andrzej Żuławski .   Personal life ( edit )   Since December 2009 , Pike has been in a relationship with Robie Uniacke , a mathematical researcher . They have two sons . In 2015 , when they visited China to promote Gone Girl , Pike mentioned that Uniacke had given her a Chinese name </t>
    </r>
    <r>
      <rPr>
        <sz val="11"/>
        <color rgb="FF000000"/>
        <rFont val="Noto Sans CJK SC"/>
        <family val="2"/>
      </rPr>
      <t xml:space="preserve">裴淳华 </t>
    </r>
    <r>
      <rPr>
        <sz val="11"/>
        <color rgb="FF000000"/>
        <rFont val="Calibri"/>
        <family val="0"/>
        <charset val="1"/>
      </rPr>
      <t xml:space="preserve">( pinyin : Péi Chúnhuá ) , and being a fan of Chinese culture , they request the media to use this as her Chinese name rather than the transliteration of her English name .   Activism ( edit )   In 2015 , she signed an open letter for which the ONE Campaign had been collecting signatures ; the letter was addressed to Angela Merkel and Nkosazana Dlamini - Zuma , urging them to focus on women as they serve as the head of the G7 in Germany and the AU in South Africa , respectively , which will start to set the priorities in development funding before a main UN summit in September 2015 that will establish new development goals for the generation .   Filmography ( edit )   Film ( edit )     Year   Title   Role   Notes     2002   Die Another Day   Miranda Frost   20th James Bond film       Promised Land   Rose         The Libertine   Elizabeth Malet       2005   Pride &amp; Prejudice   Jane Bennet       2005   Doom   Dr. Samantha Grimm       2007   Fracture   Nikki Gardner       2007   Fugitive Pieces   Alex       2009   Education , An An Education   Helen       2009   Surrogates   Maggie Greer       2009   Yesterday We Were in America   Narrator   Documentary       Burning Palms   Dedra Davenport         Jackboots on Whitehall   Daisy   Voice role       Barney 's Version   Miriam Grant - Panofsky         Made in Dagenham   Lisa Hopkins       2011   The Organ Grinder 's Monkey   Rochelle   Short film     2011   Johnny English Reborn   Kate Sumner       2011   The Big Year   Jessica       2012   Wrath of the Titans   Queen Andromeda   Replaces Alexa Davalos due to schedule conflicts     2012   Jack Reacher   Helen Rodin       2013   The Devil You Know   Zoe Hughes       2013   The World 's End   Sam Chamberlain       2014   A Long Way Down   Penny       2014   Hector and the Search for Happiness   Clara       2014   What We Did on Our Holiday   Abi       2014   Gone Girl   Amy Elliott Dunne       2015   Return to Sender   Miranda Wells       2016   A United Kingdom   Ruth Williams Khama       2017   The Man with the Iron Heart   Lina Heydrich       2017   Hostiles   Rosalie Quaid       2017   High Wire Act     In post-production     2018   Entebbe     In post-production     Television ( edit )     Year   Title   Role   Notes     1998   Seven Days   CIA Agent   Pilot     1998   Rather English Marriage , AA Rather English Marriage   Celia   Movie     1999   Wives and Daughters   Lady Harriet Cumnor   Miniseries ( 3 episodes )     2000   Trial &amp; Retribution   Lucy   Episode : `` Trial &amp; Retribution IV Part 1 ''       Love in a Cold Climate   Fanny   2 episodes     2002   Bond Girls Are Forever   Herself   Documentary     2002   Foyle 's War   Sarah Beaumont   Episode : `` The German Woman ''     2008   The Tower   Olivia Wynn   Pilot     2009   Freefall   Anna   Movie     2011   Women in Love   Gudrun Brangwen   2 episodes     2015 -- present   Thunderbirds Are Go   Lady Penelope Creighton - Ward / Captain Ridley O'Bannon   Voice role     2019   Moominvalley   Moominmamma   Voice role     Stage ( edit )     Year   Title   Role     2002   Hitchcock Blonde   The Blonde     2006   Summer and Smoke   Alma Winemiller     2007   Gaslight   Bella Manningham     2009   Madame de Sade   Madame de Sade       Hedda Gabler   Hedda Gabler     Awards and nominations ( edit )  Main article : List of awards and nominations received by Rosamund Pike  References ( edit )    ^ Jump up to : Brady , Tara ( 17 November 2016 ) . `` Rosamund Pike : from Bond girl to Gone Girl to leading woman '' . The Irish Times . Retrieved 22 November 2016 .   Jump up ^ `` Rosamund Pike Biography '' . Biography . Retrieved 27 November 2016 .   Jump up ^ Cavendish , Lucy ( 18 March 2009 ) . `` Rosamund Pike interview '' . The Daily Telegraph . London . Retrieved 22 May 2010 .   ^ Jump up to : Judith Woods ( 24 September 2010 ) . `` Rosamund Pike : From reluctant English rose to Britain 's new screen queen '' . Daily Mail . Retrieved 25 November 2010 .   Jump up ^ `` The name 's Pike , Rosamund Pike '' . The Guardian . 13 October 2002 . Retrieved 25 November 2010 .   Jump up ^ Review of `` Everything Before the ' But ' Is a Lie '' in the `` Daily Info , Oxford '' .   ^ Jump up to : `` Rosamund Pike - Biography '' . Yahoo ! Movies . Archived from the original on 27 March 2012 . Retrieved 24 November 2012 .   Jump up ^ Husband , Stuart ( 12 October 2002 ) . `` The name 's Pike , Rosamund Pike '' . The Guardian . ISSN 0261 - 3077 . Retrieved 29 June 2017 .   Jump up ^ Weitzman , Elizabeth ( 9 March 2006 ) . `` Actress Pike knows how to take her roles to extremes '' . Milwaukee Journal Sentinel . Google News Archive . Retrieved 17 October 2014 .   Jump up ^ `` 2005 Winners announced 8th British Independent Film Awards '' . British Independent Film Awards . 30 November 2005 . Archived from the original on 2 September 2012 . Retrieved 17 October 2014 .   Jump up ^ Murray , Rebecca . `` Interview with Rosamund Pike at the Hollywood Premiere of `` Doom '' `` . About.com . Retrieved 24 November 2012 .   Jump up ^ `` Pandora : Tendulkar ton is news to Shilpa '' . The Independent . 19 December 2008 . Retrieved 29 June 2017 .   Jump up ^ Mail on Sunday , 18 October 2009 .   Jump up ^ Trueman , Matt ( 4 September 2012 ) . `` London 's Old Vic challenges celebrities to stage a musical in 24 hours '' . The Guardian . Retrieved 24 November 2012 .   Jump up ^ Bamigboye , Baz ( 13 September 2007 ) . `` Rosamund Pike : A theatre girl at heart '' . Daily Mail . Retrieved 26 May 2009 .   Jump up ^ Jury , Louise ( 19 August 2008 ) . `` The man with the Midas touch '' . London Evening Standard . Archived from the original on 22 August 2008 . Retrieved 26 May 2009 .   Jump up ^ Bamigboye , Baz ( 11 September 2009 ) . `` With a little luck Keira Knightly will have sharpened up enough for My Fair Lady '' . Daily Mail . Retrieved 18 September 2009 .   Jump up ^ `` Rosamund Pike narrates ' The Spy Who Loved Me ' for new Ian Fleming audiobooks '' . mi6.co.uk. 12 January 2011 . Retrieved 12 January 2011 .   Jump up ^ `` Rosamund Pike Joins ' Wrath of the Titans ' as Andromeda '' . screenrant.com. 2011 . Retrieved 13 December 2012 .   Jump up ^ `` Rosamund Pike signs up for Wrath of the Titans , drops out of Superman race '' . denofgeek.com. 9 February 2011 . Retrieved 6 January 2013 .   Jump up ^ `` Review : ' Wrath Of The Titans ' represents a big step forward from the first film '' . hitfix.com. 28 March 2012 . Retrieved 6 January 2013 .   Jump up ^ `` Even a Cyclops could see this is bad : Wrath of the Titans is titanically awful '' . Daily Mail . 29 March 2012 . Retrieved 6 January 2013 .   Jump up ^ `` Jack Reacher ( 2012 ) '' . Box Office Mojo . Retrieved 28 February 2013 .   Jump up ^ `` ' Gone Girl ' starts filming in Cape Girardeau '' . kfvs12.com. 12 September 2013 . Retrieved 5 February 2014 .   Jump up ^ Mottram , James ( 30 September 2014 ) . `` Gone Girl film director David Fincher on his potential Oscar contender '' . The Independent . Retrieved 19 October 2014 .   Jump up ^ `` David Fincher : A Life in Pictures '' . BAFTA Guru . 19 September 2014 . Retrieved 17 August 2015 .   Jump up ^ `` Gone Girl ( 2014 ) '' . Box Office Mojo . Retrieved 19 October 2014 .   Jump up ^ `` GONE GIRL ( 2014 ) '' . Rotten Tomatoes . Retrieved 19 October 2014 .   Jump up ^ Lawson , Richard ( 1 October 2014 ) . `` Gone Girl , Fall 's Most Anticipated Thriller , Does n't Disappoint '' . Vanity Fair . Retrieved 19 October 2014 .   Jump up ^ `` Massive Attack Recruit Rosamund Pike for Haunting New Video '' . Rolling Stone . 23 February 2016 . Retrieved 24 February 2016 .   Jump up ^ Sawer , Patrick ( 20 September 2014 ) . `` Rosamund Pike : How my ex-addict lover ( age 53 ) gave me new lease of life '' . The Telegraph . Retrieved 13 October 2014 .   Jump up ^ Roach , Vicky ( 4 February 2015 ) . `` Gone Girl star Rosamund Pike talks Oscars , babies and her new film What We Did on Our Holiday '' . news.com.au . Retrieved 22 November 2016 .   Jump up ^ `` </t>
    </r>
    <r>
      <rPr>
        <sz val="11"/>
        <color rgb="FF000000"/>
        <rFont val="Noto Sans CJK SC"/>
        <family val="2"/>
      </rPr>
      <t xml:space="preserve">消失 的 爱人 </t>
    </r>
    <r>
      <rPr>
        <sz val="11"/>
        <color rgb="FF000000"/>
        <rFont val="Calibri"/>
        <family val="0"/>
        <charset val="1"/>
      </rPr>
      <t xml:space="preserve">'' </t>
    </r>
    <r>
      <rPr>
        <sz val="11"/>
        <color rgb="FF000000"/>
        <rFont val="Noto Sans CJK SC"/>
        <family val="2"/>
      </rPr>
      <t xml:space="preserve">女 主角 裴淳华 访 华 </t>
    </r>
    <r>
      <rPr>
        <sz val="11"/>
        <color rgb="FF000000"/>
        <rFont val="Calibri"/>
        <family val="0"/>
        <charset val="1"/>
      </rPr>
      <t xml:space="preserve">'' ( in Chinese ) . Mtimes.com. 20 June 2015 . Retrieved 16 April 2017 .   Jump up ^ `` </t>
    </r>
    <r>
      <rPr>
        <sz val="11"/>
        <color rgb="FF000000"/>
        <rFont val="Noto Sans CJK SC"/>
        <family val="2"/>
      </rPr>
      <t xml:space="preserve">裴淳华 是 什么 鬼 </t>
    </r>
    <r>
      <rPr>
        <sz val="11"/>
        <color rgb="FF000000"/>
        <rFont val="Calibri"/>
        <family val="0"/>
        <charset val="1"/>
      </rPr>
      <t xml:space="preserve">? </t>
    </r>
    <r>
      <rPr>
        <sz val="11"/>
        <color rgb="FF000000"/>
        <rFont val="Noto Sans CJK SC"/>
        <family val="2"/>
      </rPr>
      <t xml:space="preserve">《 消失 爱人 》 女 主 给 自己 取 了 个 中文 名 </t>
    </r>
    <r>
      <rPr>
        <sz val="11"/>
        <color rgb="FF000000"/>
        <rFont val="Calibri"/>
        <family val="0"/>
        <charset val="1"/>
      </rPr>
      <t xml:space="preserve">'' . ifeng ( in Chinese ) . 31 March 2015 . Retrieved 16 April 2017 .   Jump up ^ Tracy McVeigh . `` Poverty is sexist : leading women sign up for global equality Life and style '' . The Guardian . Retrieved 8 May 2015 .   Jump up ^ `` Parker actor back for Thunderbirds remake '' . BBC News . Retrieved 1 October 2013 .   Jump up ^ https://www.thunderbirds.com/en/news/article/19   Jump up ^ Clarke , Stewart ( 2017 - 09 - 12 ) . `` Kate Winslet , Rosamund Pike , Taron Egerton Sign Up for Moomins Animated Series '' . Variety . Retrieved 2017 - 09 - 14 .    External links ( edit )       Wikimedia Commons has media related to Rosamund Pike .      Rosamund Pike on IMDb      Awards for Rosamund Pike                Empire Award for Best Actress       Nicole Kidman ( 1996 )   Frances McDormand ( 1997 )   Joan Allen ( 1998 )   Cate Blanchett ( 1999 )   Gwyneth Paltrow ( 2000 )   Connie Nielsen ( 2001 )   Nicole Kidman ( 2002 )   Kirsten Dunst ( 2003 )   Uma Thurman ( 2004 )   Julie Delpy ( 2005 )   Thandie Newton ( 2006 )   Penélope Cruz ( 2007 )   Keira Knightley ( 2008 )   Helena Bonham Carter ( 2009 )   Zoe Saldana ( 2010 )   Noomi Rapace ( 2011 )   Olivia Colman ( 2012 )   Jennifer Lawrence ( 2013 )   Emma Thompson ( 2014 )   Rosamund Pike ( 2015 )   Alicia Vikander ( 2016 )   Felicity Jones ( 2017 )                 Empire Award for Best Newcomer       Bryan Singer ( 1996 )   Ewen Bremner ( 1997 )   Gary Oldman ( 1998 )   Vinnie Jones ( 1999 )   Carrie - Anne Moss / Damien O'Donnell ( 2000 )   Jamie Bell ( 2001 )   Orlando Bloom ( 2002 )   Rosamund Pike ( 2003 )   Martine McCutcheon ( 2004 )   Freddie Highmore ( 2005 )   Kelly Reilly ( 2006 )   Brandon Routh / Eva Green ( 2007 )   Sam Riley ( 2008 )   Gemma Arterton ( 2009 )   Aaron Johnson ( 2010 )   Chloë Grace Moretz ( 2011 )                 London Film Critics ' Circle Award for British Actress of the Year       Miranda Richardson ( 1993 )   Crissy Rock ( 1994 )   Kate Winslet ( 1995 )   Brenda Blethyn ( 1996 )   Judi Dench ( 1997 )   Helena Bonham Carter ( 1998 )   Emily Watson ( 1999 )   Julie Walters ( 2000 )   Judi Dench ( 2001 )   Lesley Manville ( 2002 )   Anne Reid ( 2003 )   Eva Birthistle / Kate Winslet ( 2004 )   Rachel Weisz ( 2005 )   Helen Mirren ( 2006 )   Julie Christie ( 2007 )   Kristin Scott Thomas ( 2008 )   Carey Mulligan ( 2009 )   Lesley Manville ( 2010 )   Olivia Colman ( 2011 )   Andrea Riseborough ( 2012 )   Judi Dench ( 2013 )   Rosamund Pike ( 2014 )   Saoirse Ronan ( 2015 )   Kate Beckinsale ( 2016 )                 Saturn Award for Best Actress       Katharine Ross ( 1974 / 75 )   Blythe Danner ( 1976 )   Jodie Foster ( 1977 )   Margot Kidder ( 1978 )   Mary Steenburgen ( 1979 )   Angie Dickinson ( 1980 )   Karen Allen ( 1981 )   Sandahl Bergman ( 1982 )   Louise Fletcher ( 1983 )   Daryl Hannah ( 1984 )   Coral Browne ( 1985 )   Sigourney Weaver ( 1986 )   Jessica Tandy ( 1987 )   Catherine Hicks ( 1988 )   Demi Moore ( 1989 / 90 )   Linda Hamilton ( 1991 )   Virginia Madsen ( 1992 )   Andie MacDowell ( 1993 )   Sandra Bullock / Jamie Lee Curtis ( 1994 )   Angela Bassett ( 1995 )   Neve Campbell ( 1996 )   Jodie Foster ( 1997 )   Drew Barrymore ( 1998 )   Christina Ricci ( 1999 )   Téa Leoni ( 2000 )   Nicole Kidman ( 2001 )   Naomi Watts ( 2002 )   Uma Thurman ( 2003 )   Blanchard Ryan ( 2004 )   Naomi Watts ( 2005 )   Natalie Portman ( 2006 )   Amy Adams ( 2007 )   Angelina Jolie ( 2008 )   Zoe Saldana ( 2009 )   Natalie Portman ( 2010 )   Kirsten Dunst ( 2011 )   Jennifer Lawrence ( 2012 )   Sandra Bullock ( 2013 )   Rosamund Pike ( 2014 )   Charlize Theron ( 2015 )   Mary Elizabeth Winstead ( 2016 )                  VIAF : 56899857   LCCN : no2005028691   GND : 142417815   SUDOC : 121100618   BNF : cb15065235h ( data )   NKC : xx0042784   BNE : XX5122369      Retrieved from `` https://en.wikipedia.org/w/index.php?title=Rosamund_Pike&amp;oldid=804379993 '' Categories :   1979 births   20th - century English actresses   21st - century English actresses   Actresses from London   Alumni of Wadham College , Oxford   Best Newcomer Empire Award winners   English Shakespearean actresses   English film actresses   English stage actresses   English television actresses   English voice actresses   Living people   National Youth Theatre members   People educated at Badminton School   Hidden categories :   All articles with dead external links   Articles with dead external links from February 2017   CS1 Chinese - language sources ( zh )   EngvarB from July 2017   Use dmy dates from July 2017   Articles with hCards   Articles containing Chinese - language text   Wikipedia articles with VIAF identifiers   Wikipedia articles with LCCN identifiers   Wikipedia articles with GND identifiers   Wikipedia articles with BNF identifiers           Talk                                           Contents                   About Wikipedia                                                   Български   Català   Čeština   Cymraeg   Dansk   Deutsch   Ελληνικά   Español   فارسی   Français   Frysk   Galego   </t>
    </r>
    <r>
      <rPr>
        <sz val="11"/>
        <color rgb="FF000000"/>
        <rFont val="Noto Sans CJK SC"/>
        <family val="2"/>
      </rPr>
      <t xml:space="preserve">한국어   </t>
    </r>
    <r>
      <rPr>
        <sz val="11"/>
        <color rgb="FF000000"/>
        <rFont val="Calibri"/>
        <family val="0"/>
        <charset val="1"/>
      </rPr>
      <t xml:space="preserve">Հայերեն   Bahasa Indonesia   Italiano   עברית   ქართული   Latviešu   Lietuvių   Magyar   मैथिली   Македонски   მარგალური   Bahasa Melayu   Монгол   Nederlands   नेपाली   </t>
    </r>
    <r>
      <rPr>
        <sz val="11"/>
        <color rgb="FF000000"/>
        <rFont val="Noto Sans CJK SC"/>
        <family val="2"/>
      </rPr>
      <t xml:space="preserve">日本 語   </t>
    </r>
    <r>
      <rPr>
        <sz val="11"/>
        <color rgb="FF000000"/>
        <rFont val="Calibri"/>
        <family val="0"/>
        <charset val="1"/>
      </rPr>
      <t xml:space="preserve">Norsk   Polski   Português   Română   Русский   Scots   Shqip   Simple English   Српски / srpski   Srpskohrvatski / српскохрватски   Suomi   Svenska   Türkçe   Українська   Tiếng Việt   Winaray   </t>
    </r>
    <r>
      <rPr>
        <sz val="11"/>
        <color rgb="FF000000"/>
        <rFont val="Noto Sans CJK SC"/>
        <family val="2"/>
      </rPr>
      <t xml:space="preserve">中文   </t>
    </r>
    <r>
      <rPr>
        <sz val="11"/>
        <color rgb="FF000000"/>
        <rFont val="Calibri"/>
        <family val="0"/>
        <charset val="1"/>
      </rPr>
      <t xml:space="preserve">डोटेली   Edit links   This page was last edited on 8 October 2017 , at 16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</si>
  <si>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miranda frost in die another day</t>
  </si>
  <si>
    <t xml:space="preserve"> Rosamund Mary Ellen Pike ( born 27 January 1979 ) is an English actress who began her acting career by appearing in stage productions such as Romeo and Juliet and Skylight . After her screen debut in the television film A Rather English Marriage ( 1998 ) and television roles in Wives and Daughters ( 1999 ) and Love in a Cold Climate ( 2001 ) , she received international recognition for her film debut as Bond girl Miranda Frost in Die Another Day ( 2002 ) , for which she received the Empire Award for Best Newcomer . Following her breakthrough , she won the BIFA Award for Best Supporting Actress for The Libertine ( 2004 ) and portrayed Jane Bennet in Pride &amp; Prejudice ( 2005 ) . </t>
  </si>
  <si>
    <r>
      <rPr>
        <sz val="11"/>
        <color rgb="FF000000"/>
        <rFont val="Calibri"/>
        <family val="0"/>
        <charset val="1"/>
      </rPr>
      <t xml:space="preserve">Old Trafford cricket ground - wikipedia  Old Trafford cricket ground  Jump to : navigation , search This article is about the home of Lancashire County Cricket Club . For the football stadium , see Old Trafford . For other uses , see Old Trafford ( disambiguation ) .  Emirates Old Trafford       Emirates Old Trafford -- August 2014     Ground information     Location   Old Trafford , Greater Manchester England     Establishment   1857     Capacity   Domestic : 19,000 International : 26,000 Concerts : 50,000     Tenants   Lancashire County Cricket Club England cricket team     End names     James Anderson End Brian Statham End     International information     First Test   10 -- 12 July 1884 : England v Australia     Last Test   4 -- 8 August 2017 : England v South Africa     First ODI   24 August 1972 : England v Australia     Last ODI   19 September 2017 : England v West Indies     First T20I   13 June 2008 : England v New Zealand     Last T20I   07 September 2016 : England v Pakistan     Team information        Manchester Cricket Club   ( 1857 -- 1865 )     Lancashire   ( 1865 -- present )        As of 25 July 2016 Source : ESPNcricinfo     Old Trafford , known for sponsorship reasons as Emirates Old Trafford , is a cricket ground in Old Trafford , Greater Manchester , England . It opened in 1857 as the home of Manchester Cricket Club and has been the home of Lancashire County Cricket Club since 1864 .   Old Trafford is England 's second oldest Test venue and one of the most renowned . It was the venue for the first ever Ashes Test to be held in England in July 1884 and has hosted two Cricket World Cup semi-finals . In 1956 , the first 10 - wicket haul in a single innings was achieved by England bowler Jim Laker who achieved bowling figures of 19 wickets for 90 runs -- a bowling record which is unmatched in Test and first - class cricket . In the 1993 Ashes Test at Old Trafford , leg - spinner Shane Warne bowled Mike Gatting with the Ball of the Century .   Extensive redevelopment of the ground to increase capacity and modernise facilities began in 2009 in an effort to safeguard international cricket at the venue . The pitch at Old Trafford has historically been the quickest in England , but will take spin later in the game .     Contents  ( hide )   1 History   1.1 Early history   1.2 Post-Second World War     2 The ground   2.1 The Pavilion   2.2 The Point   2.3 Media and Players Centre   2.4 Cricket practice school   2.5 The Old Trafford Lodge     3 Redevelopment 2003 -- 2017   4 Uses   4.1 Cricket   4.2 Musical venue   4.3 Other     5 Transport   6 Notes   7 See also   8 References   9 External links      History ( edit )   Early history ( edit )   The site was first used as a cricket ground in 1857 , when the Manchester Cricket Club moved onto the meadows of the de Trafford estate . Despite the construction of a large pavilion ( for the amateurs -- the professionals used a shed at the opposite end of the ground ) , Old Trafford 's first years were rocky : accessible only along a footpath from the railway station , the ground was situated out in the country , and games only attracted small crowds . It was not until the Roses match of 1875 that significant numbers attended a game . When W.G. Grace brought Gloucestershire in 1878 , Old Trafford saw 28,000 spectators over three days , and this provoked improvements to access and facilities .   In 1884 , Old Trafford became the second English ground , after The Oval , to stage Test cricket : with the first day being lost to rain , England drew with Australia . Expansion of the ground followed over the next decade , with the decision being taken to construct a new pavilion in 1894 .   The ground was purchased outright from the de Traffords in 1898 , for £ 24,372 , as crowds increased , with over 50,000 spectators attending the 1899 Test match .   In 1902 , the Australian Victor Trumper hit a hundred before lunch on the first day ; Australia went on to win the Test by 3 runs -- the third closest Test result in history .   Crowds fell through the early 20th Century , and the ground was closed during the First World War ; however , in the conflict 's aftermath , crowd numbers reached new heights . Investment followed throughout the inter-war period , and during this time , Lancashire experienced their most successful run to date , gaining four Championship titles in five years .   During the Second World War , Old Trafford was used as a transit camp for troops returning from Dunkirk , and as a supply depot . In December 1940 , the ground was hit by bombs , damaging or destroying several stands . Despite this damage -- and the failure of an appeal to raise funds for repairs -- cricket resumed promptly after the war , with German PoWs being paid a small wage to prepare the ground . The ' Victory Test ' between England and Australia of August 1945 proved to be extremely popular , with 76,463 seeing it over three days .   Post-second World War ( edit )   Differences of opinion between the club 's committee and players led to a bad run of form in the 1950s and early 1960s ; this consequently saw gate money drop , and a lack of investment . After 1964 , however , the situation was reversed , and 1969 saw the first Indoor Cricket Centre opened . In 1956 Jim Laker became the first person to take all 10 wickets in a Test match innings , achieving figures of 10 for 53 in the fourth Test against Australia ( the only other bowler to take all 10 wickets in an innings is Anil Kumble of India in 1999 ) . Having also taken 9 for 37 in the first innings , Laker ended the match with record figures of 19 for 90 , which remain unmatched to this day . On 1 May 1963 the first ever one day cricket match took place at Old Trafford , as the Gillette Cup was launched . Lancashire beat Leicestershire in a preliminary knock - out game , as 16th and 17th finishers in the Championship the previous year , to decide who would fill the 16th spot in the one - day competition . Following Lancashire 's reign as One Day champions in the 1970s , a programme of renovation and replacement was initiated in 1981 . This changed the face of the ground to the extent that , now , only the Pavilion `` is recognisable to a visitor who last watched or played a game in , say , the early 1980s '' . In 1981 Ian Botham hit 118 , including six sixes ( the second greatest number in an Ashes innings ) , which he has called `` one of the three innings I would like to tell my grandchildren about '' . England went on to win the Ashes after being lampooned in the national media for such poor performances .   In 1990 Sachin Tendulkar scored his first Test hundred at the age of 17 -- becoming the second youngest centurion -- to help India draw In 1993 Shane Warne bowled the `` Ball of the Century '' to Mike Gatting at the ground . In the same game , Graham Gooch was out handled the ball for 133 -- only the sixth out of nine times this has ever happened . and in 1995 -- Dominic Cork took a hat trick for England vs West Indies . In 2000 both Mike Atherton and Alec Stewart played their hundredth Tests , against the West Indies . In the third Test of the 2005 Ashes series the match ended in a nailbiting draw , with 10,000 fans shut out of the ground on the final day as tickets were sold out . England went on to win the series regaining the Ashes for the first time in over 20 years .   The ground ( edit )   The cricket ground is near the Old Trafford football stadium ( a five - minute walk away down Warwick Road and Sir Matt Busby Way ) , in the borough of Trafford in Greater Manchester , approximately two miles south west of Manchester city centre . Its capacity is 22,000 for Test matches , for which temporary stands are erected , and 15,000 for other matches . Since 1884 , it has hosted 74 Tests , the third highest number in England , behind Lord 's and The Oval .   The two ends of the ground are the James Anderson End to the north and the Brian Statham End to the south , renamed in honour of the former Lancashire and England player . A section of Warwick Road to the east is also called Brian Statham Way . Immediately abutting the ground to the south - east is the Old Trafford tram stop .   Old Trafford has a reputation for unpredictable weather . Old Trafford is the only ground in England where a Test match has been abandoned without a ball being bowled -- and this has happened here twice in 1890 and 1938 , though before 5 day test matches were introduced . Before Cardiff hosted its first Test match in July 2009 , Old Trafford was reputedly the wettest Test ground in the country ; Manchester is situated to the west of the Pennines and faces prevailing winds and weather fronts from the Atlantic .   These prevailing conditions have encouraged Lancashire to keep the ground as well - drained as possible , most recently through the acquisition of a Hover Cover in 2007 , and the installation of new drains towards the end of the 2008 season .   In the second Test of 1938 in a desperate effort to ensure play after heavy rain the groundstaff moved the turf from the practice pitch to the square -- a unique attempt.In 2010 -- 11 the wickets were relaid , changing their extremely unusual East - West axis to a more conventional North - South layout . The Brian Statham End to the East , and Stretford End to the West , were replaced by the Pavilion End to the North , and the Brian Statham End to the South .   The pavilion ( edit )  The Pavilion before and after redevelopment August 2009 September 2013  The three - tiered Victorian members ' pavilion was built in 1895 for £ 10,000 . Hit by a bomb in 1940 -- which destroyed the Members ' Dining Room and groundsman 's quarters -- most of the pavilion was rebuilt. £ 1 million was spent on a new roof after it began to leak in 2003 . It is currently undergoing renovation , due to be completed in 2013 , when it is envisaged that the players will be housed in the new ' Media and Players ' stand , leaving the pavilion solely for the use of members .   The Pavilion 's position was noteworthy in that , until 2010 , it sat parallel to the wickets , rather than behind them , presenting the members with one of the worst viewing angles possible . It contains batting and bowling Honours Boards , unveiled during the 2004 Test match . The pavilion underwent redevelopment at the start of 2012 and was reopened for the YB40 game against Scotland .   The Point ( edit )  The Point , almost completed , June 2010  The Point , Old Trafford 's distinctive £ 12 million conference centre , and at 1,000 seats one of the largest multi-purpose conference facilities in North West England , opened in 2010 .   Media and Players centre ( edit )  The Media and Players Centre which opened in September 2012 .  Old Trafford was unusual in that there were two media stands at opposite ends of the ground prior to the new Media Centre which opened in September 2012 . Television and radio commentators previously operated in temporary television studios and commentary boxes at the Stretford End which were perched on hospitality boxes .   Cricket practice School ( edit )   The idea of an indoor school was born in 1951 , when nets were strung up in the Members ' Dining Room in the pavilion . A permanent facility was built in 1969 , and replaced in 1997 . The current building stands to the north - west of the pitch ; it contains five 60 metre lanes on various surfaces , several conference rooms , and a large shop .   The Old Trafford Lodge ( edit )  The Lodge  The Old Trafford Lodge opened in 1999 , bringing to fruition a concept from 1981 . The hotel had 68 rooms , 36 having unobstructed views of the playing surface . It has been demolished as part of the redevelopment of the ground   Redevelopment 2003 -- 2017 ( edit )   Following rejection of plans , in 2003 , to sell Old Trafford , and move the club to a new purpose - built stadium in East Manchester , the focus was switched to upgrading the current ground . Lancashire CCC , with a coalition of businesses , are in the process of making the cricket ground the centre of an anticipated 750,000 sq ft ( 70,000 m ) development , in a mixed - use scheme involving business , residential , retail , hotel and leisure facilities .  The north - western corner of the ground before construction of The Point , August 2008  The first phase of redevelopment saw the laying of new drains in Autumn 2008 . In 2009 , the Stretford end of the ground was closed to facilitate destruction of the County Suite , Tyldesley Suite , ' K ' and ' L ' Stands and the scoreboard ; The Point , overshadowing new seating to the west of the pavilion , opened in June 2010 . During the 2010 / 11 winter the wickets were turned from their previous east -- west axis to a more typical north -- south alignment , which prevents the low evening sun from interfering with matches , and increased the number of available wickets by five , to sixteen . Many of Lancashire 's home games for the 2011 season were transferred to out grounds while the new wickets ' bedded in ' .   The main planning process began in September 2008 , but faced stiff legal opposition . Since Tesco pledged £ 21 million to the redevelopment , the stadium 's planning application included a request for a new supermarket nearby . Trafford Council gave this joint proposal permission in March 2010 -- a decision which was initially called in by the Communities Secretary for Judicial Review , before the go - ahead was given in September 2010 . Derwent Holdings , a property development company denied permission to build a supermarket at the nearby White City retail park , then called for a Judicial Review . Although this was turned down by the High Court in March 2011 , the case went to the Court of Appeal . Lancashire took the risky decision to begin work ahead of the matter being resolved , in order to qualify for grants from the North West Development Agency before it was wound up . However , the Court of Appeal ruled in Lancashire 's favour in July 2011 , and denied leave to further appeal .   Work therefore began on this main phase in summer 2011 , beginning with the installation of permanent floodlights and a new video screen . A new ' Players and Media ' facility , mimicking to some degree the design of The Point , has been built on the site of the demolished Washbrook - Statham stand , with a 2 - tiered cantilever stand being erected on either side . The Pavilion has been renovated to have its sloped roof replaced with two modern glass storeys , finished in April 2013 .   The media facilities and corporate boxes on the western side of the ground have been demolished , leaving an empty space , which will be used for temporary seating or a stage when required .   The Old Trafford Lodge opened in 1999 , however it will be demolished and construction will begin on the Hilton Garden Inn Emirates Old Trafford . It will be a Hilton Garden Inn 150 bedroom hotel for Hilton Worldwide . It is expected to be completed by July 2017 .   Uses ( edit )   Cricket ( edit )   The ground is used heavily throughout the summer as the base of Lancashire County Cricket Club , with other home games being played at Stanley Park , Blackpool , Birkdale in Southport and at Aigburth in Liverpool . Until 2008 , Old Trafford commonly hosted a Test match each year ; none were hosted in 2009 , 2011 or 2012 due to sub-standard facilities , although following redevelopment , Old Trafford hosted an Ashes Test in 2013 , and further Tests in 2014 and 2016 . One Day Internationals and / or International Twenty20s continue to be hosted every year .   In Tests , the highest team score posted here is 656 / 8 dec by Australian national cricket team against English national cricket team on 23 July , 1964 . The leading run scorers here are Denis Compton - 818 runs , Mike Atherton - 729 runs and Alec Stewart - 704 runs . The leading wicket takers are Alec Bedser - 51 wickets , James Anderson - 28 wickets and Jim Laker - 27 wickets .   In ODIs , the highest team score posted here is 318 / 7 by Sri Lanka national cricket team against English national cricket team on 28 June , 2006 . The leading run scorers here are Graham Gooch - 405 runs , Allan Lamb - 341 runs and David Gower - 309 runs . The leading wicket takers are RGD Willis - 15 wickets , James Anderson - 14 wickets and Darran Gough - 13 wickets .   Musical venue ( edit )   The ground is occasionally used as a venue for large - scale concerts , with a maximum capacity of 50,000 . Although the old stage location , in front of the Indoor Cricket School , has been built on , buildings on the western side of the ground will be cleared by 2013 to again allow space for a stage . The concert capacity will increase to 65,000 after redevelopment .     Date   Event   Headline Act ( s )   Supporting Act ( s )     July 2002   Move Festival   David Bowie , New Order , Green Day   N / A     September 2002   Heathen Chemistry Tour   Oasis   Richard Ashcroft     May 2003   The Rising Tour   Bruce Springsteen   N / A     July 2003   Move Festival   R.E.M.   John Squire , Badly Drawn Boy , Idlewild     July 2004   Move Festival   Madness , the Cure , Morrissey   Pixies , the Stranglers , Jimmy Cliff , Goldfrapp , Tim Booth , New York Dolls     June 2006   N / A   Richard Ashcroft   Razorlight , the Feeling     June 2006   In Your Honor Tour   Foo Fighters   the Strokes , Angels &amp; Airwaves , the Subways , Eagles of Death Metal     July 2007   ' Mini-festival '   Arctic Monkeys   Supergrass , the Coral , the Parrots , Amy Winehouse     May 2008   Magic Tour   Bruce Springsteen   N / A     June 2008   In Rainbows Tour   Radiohead   Bat For Lashes , MGMT     August 2008   Accelerate Tour   R.E.M.   Guillemots , Editors     June 2009   Take That Present : The Circus Live   Take That   the Script , Lady Gaga     September 2009   Viva la Vida Tour   Coldplay   Jay - Z     June 2010   21st Century Breakdown World Tour   Green Day   Joan Jett &amp; the Blackhearts , Frank Turner     September 2010   The Resistance Tour   Muse   Editors , Band of Skulls , Pulled Apart by Horses     June 2011   Bon Jovi Live   Bon Jovi   Vintage Trouble , Xander and the Peace Pirates     June 2011   Come Around Sundown World Tour   Kings of Leon   White Lies , Mona     May 2015   Sonic Highways World Tour   Foo Fighters   Teenage Fanclub , God Damn     June 2016   Anti World Tour   Rihanna   Big Sean     July 2016   The Formation World Tour   Beyoncé   DJ Magnum     May 2017   N / A   The Courteeners   The Charlatans , Blossoms , Cabbage     4 June 2017   One Love Manchester   Ariana Grande , Justin Bieber , Coldplay , Katy Perry , Miley Cyrus , Pharrell Williams , Take That , Niall Horan , Little Mix , Liam Gallagher , Robbie Williams , the Black Eyed Peas       July 2017   A Moon Shaped Pool Tour   Radiohead       18 August 2018   Rize presents Liam Gallagher   Liam Gallagher     Other ( edit )   The Old Trafford Lodge , The Point , and other corporate facilities are open all year round , as are the ground 's car parks , situated to the north and west of the ground .   Transport ( edit )   The ground is served by the adjacent Old Trafford tram stop on the Manchester Metrolink 's Altrincham Line .   Notes ( edit )    Jump up ^ `` Gunning for greatness : Cook knows that clinching Ashes now will prove England 's class '' . 31 July 2013 . Retrieved 5 August 2013 . It would be stretching a point to say that this famous old ground now looks easy on the eye after the rebuilding work that has lifted the capacity to 26,000   Jump up ^ `` Manchester attack : Ariana Grande to play benefit concert on Sunday '' . BBC News . 30 May 2017 . Retrieved 30 May 2017 .   Jump up ^ `` The Pavilion End renamed The James Anderson End at Emirates Old Trafford '' . Lancashire County Cricket Club . Retrieved 30 March 2018 .   Jump up ^ `` Old Trafford : Lancashire ground renamed in Emirates deal '' . BBC News . 28 February 2013 . Retrieved 28 February 2013 .   Jump up ^ `` Old Trafford '' . Cricinfo . March 2005 . Retrieved 2013 - 07 - 28 . Old Trafford has hosted Tests since 1884 and remains a special venue with a rich history . It guaranteed itself a place in cricket 's eternal hall of fame when the permanently understated Jim Laker destroyed Australia , in 1956 , on an old - fashioned ' sticky wicket ' , with match figures of 19 for 90 .   Jump up ^ `` Biggest day in Old Trafford 's rich history as ground is saved '' . The Independent . 5 July 2011 . Retrieved 2013 - 07 - 28 .   Jump up ^ `` Emirates Old Trafford '' . Sky Sports . 1 July 2013 . Retrieved 2013 - 07 - 30 .   Jump up ^ `` The Old Trafford Story , Part 1 '' . LCCC . Retrieved 27 August 2009 .   Jump up ^ Mortimer , Old Trafford , ix -- x .   Jump up ^ Mortimer , Old Trafford , 2 -- 4 .   ^ Jump up to : `` The Old Trafford Story , Part 2 '' . LCCC . Retrieved 27 August 2009 .   Jump up ^ Mortimer , Old Trafford , 21 -- 23 .   Jump up ^ `` Smallest margin of victories '' . ESPN Cricinfo . Retrieved 27 August 2009 .   Jump up ^ `` 20 great Ashes moments No11 : Last - gasp drama at Old Trafford , 1902 '' . The Guardian . 3 June 2013 . Retrieved 2013 - 07 - 30 .   ^ Jump up to : `` The Old Trafford Story , Part 3 '' . LCCC . Retrieved 27 August 2009 .   Jump up ^ Mortimer , Old Trafford , xii -- xiv .   ^ Jump up to : `` The Old Trafford Story , Part 4 '' . LCCC . Retrieved 27 August 2009 .   Jump up ^ `` Best figures in a match '' . ESPN Cricinfo . Retrieved 27 August 2009 .   Jump up ^ Ashdown , John ( 13 May 2013 ) . `` 20 great Ashes moments No5 : Jim Laker takes 19 wickets in match , 1956 '' . The Guardian . Retrieved 2013 - 07 - 30 .   Jump up ^ Ross , The Gillette Cup , 18 -- 19 .   ^ Jump up to : Mortimer , Old Trafford , xxi .   ^ Jump up to : Mortimer , Old Trafford , centre photos .   Jump up ^ Mortimer , Old Trafford , 148 -- 150 .   Jump up ^ `` Tendulkar 's Timeline '' . ESPN Cricinfo . Retrieved 18 August 2010 .   Jump up ^ Ronay , Barney ( 29 April 2013 ) . `` 20 great Ashes moments No1 : Shane Warne 's ball of the century , 1993 '' . The Guardian . Retrieved 2013 - 07 - 30 .   Jump up ^ `` Unusual dismissals '' . ESPN Cricinfo . Retrieved 27 August 2009 .   Jump up ^ Mortimer , Old Trafford , 191 -- 193   Jump up ^ `` Crowds flock to third Test climax '' . BBC Sport. 15 August 2005 . Retrieved 2013 - 07 - 30 .   Jump up ^ `` Cricinfo Statsguru '' . ESPN Cricinfo . Retrieved 27 August 2009 .   Jump up ^ `` Rose Bowl awarded Test in 2011 '' . BBC Sport. 11 April 2008 . Retrieved 11 April 2008 .   Jump up ^ www.lccc.co.uk/cricket/news/2017-news/the-pavilion-end-renamed-the-james-anderson-end-at-emirates-old-trafford/   Jump up ^ `` Abandoned Matches '' . ESPN Cricinfo . Retrieved 27 August 2009 .   Jump up ^ Mortimer , Old Trafford , xvi .   Jump up ^ `` The Hover Cover '' . Kenyon Textiles Ltd . Retrieved 27 August 2009 .   Jump up ^ `` New Hover Cover for Old Trafford '' . Bolton Evening News . Retrieved 27 August 2009 .   ^ Jump up to : `` Old Trafford Re-Development '' . LCCC . Retrieved 23 March 2009 .   Jump up ^ `` The New Old Trafford Unveiled '' . LCCC . Retrieved 27 August 2009 .   Jump up ^ Brenkley , Stephen ( 15 August 2004 ) . `` Old Trafford Diary '' . London : The Independent . Retrieved 27 August 2009 .   Jump up ^ `` The Point '' . LCCC . Retrieved 17 June 2009 .   ^ Jump up to : `` The Point is Open for Business '' . LCCC . Retrieved 6 July 2011 .   Jump up ^ `` Indoor Cricket School Facilities '' . LCCC . Retrieved 27 August 2009 .   Jump up ^ `` Old Trafford Lodge '' . LCCC . Retrieved 26 August 2009 .   Jump up ^ `` Lancashire Announce Profitable 2008 '' . cricketworld.com . Retrieved 27 August 2009 .   ^ Jump up to : `` Hilton Garden Inn at Emirates Old Trafford '' . e-architect . Retrieved 2 February 2016 .   Jump up ^ `` Four - way agreement on Old Trafford future '' . LCCC . Retrieved 27 August 2009 .   Jump up ^ `` New ' Ends ' Named '' . LCCC . Retrieved 6 July 2011 .   ^ Jump up to : `` Lancashire Unveils the New Old Trafford '' . LCCC . Retrieved 23 September 2008 .   Jump up ^ `` Lancashire Gain Planning Permission '' . LCCC . Retrieved 12 March 2010 .   Jump up ^ `` Old Trafford Redevelopment Gets Go - Ahead '' . ESPN Cricinfo . Retrieved 6 July 2011 .   ^ Jump up to : Brenkley , Stephen ( 5 July 2011 ) . `` Biggest Day in Old Trafford 's History '' . London : The Independent . Retrieved 6 July 2011 .   Jump up ^ `` Latest Legal Challenge to the Club '' . LCCC . Retrieved 6 July 2011 .   Jump up ^ `` Lancashire CCC Starts Work '' . BBC . 20 April 2011 . Retrieved 6 July 2011 .   Jump up ^ `` Day of Destiny Ends in Victory '' . LCCC . Retrieved 6 July 2011 .   Jump up ^ `` Lancashire under the spotlight '' . Manchester Evening News . 2 June 2011 . Retrieved 27 July 2011 .   Jump up ^ `` Let There Be Lights '' . LCCC . Archived from the original on 9 August 2011 . Retrieved 6 July 2011 .   Jump up ^ `` Trafford Council Planning Application Documents '' . Trafford Council . Retrieved 12 March 2010 .   Jump up ^ `` Cardiff to stage first Ashes Test '' . BBC Sport. 11 April 2008 . Retrieved 27 August 2009 .   Jump up ^ `` Old Trafford gets Bangladesh Test '' . BBC Sport. 11 September 2009 . Retrieved 31 October 2009 .   ^ Jump up to : `` Ashes Return to Old Trafford '' . ECB Sport. 22 September 2011 . Retrieved 22 September 2011 .   Jump up ^ `` Arctic Monkeys confirm festival plans '' . NME. 26 January 2007 . Retrieved 5 February 2007 .   Jump up ^ NME.COM . `` NME Reviews -- Radiohead NME.COM '' . NME.COM . Retrieved 2016 - 05 - 07 .   Jump up ^ `` R.E.M. Timeline '' . www.remtimeline.com . Retrieved 3 July 2017 .   Jump up ^ `` Old Trafford parking '' ( PDF ) . LCCC . Retrieved 27 August 2009 .    See also ( edit )    Lancashire County Cricket Club in 2005   List of cricket grounds in England and Wales   List of Test cricket grounds   List of international cricket centuries at Old Trafford    References ( edit )    Mortimer , David ( 2005 ) . Old Trafford : Test Match Cricket Since 1884 . Gloucestershire : Sutton Publishing . ISBN 0 - 7509 - 3667 - 3 .   Ross , Gordon ( 1981 ) . The Gillette Cup 1963 to 1980 . London : Queen Anne Press . ISBN 0 - 362 - 00538 - 9 .    External links ( edit )       Wikimedia Commons has media related to Old Trafford Cricket Ground .      Old Trafford Cricket Ground on Cricinfo   Old Trafford Cricket Ground on ECB   Lancashire County Cricket Club      ( hide )         Test cricket grounds in England and Wales     Current Test grounds :     The Oval ( 1880 )   Old Trafford ( 1884 )   Lord 's ( 1884 )   Trent Bridge ( 1899 )   Headingley ( 1899 )   Edgbaston ( 1902 )   Riverside ( 2003 )   Sophia Gardens ( 2009 )   Rose Bowl ( 2011 )       Former Test grounds :     Bramall Lane ( 1902 )       Parentheses denote year of first Test match     Coordinates : 53 ° 27 ′ 22.85 '' N 2 ° 17 ′ 12.34 '' W ﻿ / ﻿ 53.4563472 ° N 2.2867611 ° W ﻿ / 53.4563472 ; - 2.2867611  Retrieved from `` https://en.wikipedia.org/w/index.php?title=Old_Trafford_Cricket_Ground&amp;oldid=833179165 '' Categories :   Buildings and structures in Trafford   Sports venues in Greater Manchester   Cricket grounds in Greater Manchester   Test cricket grounds in England   Stretford   Music venues in Greater Manchester   Sports venues completed in 1857   1857 establishments in England   Hidden categories :   Pages using deprecated image syntax   Coordinates on Wikidata   Use dmy dates from September 2010           Talk                                           Contents                   About Wikipedia                                                 বাংলা   Deutsch   Français   हिन्दी   Italiano   मराठी   Nederlands   </t>
    </r>
    <r>
      <rPr>
        <sz val="11"/>
        <color rgb="FF000000"/>
        <rFont val="Noto Sans CJK SC"/>
        <family val="2"/>
      </rPr>
      <t xml:space="preserve">日本 語   </t>
    </r>
    <r>
      <rPr>
        <sz val="11"/>
        <color rgb="FF000000"/>
        <rFont val="Calibri"/>
        <family val="0"/>
        <charset val="1"/>
      </rPr>
      <t xml:space="preserve">پنجابی   Português   Svenska   اردو  5 more  Edit links   This page was last edited on 30 March 2018 , at 02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</si>
  <si>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old trafford cricket ground to old trafford football ground</t>
  </si>
  <si>
    <t xml:space="preserve"> The cricket ground is near the Old Trafford football stadium ( a five - minute walk away down Warwick Road and Sir Matt Busby Way ) , in the borough of Trafford in Greater Manchester , approximately two miles south west of Manchester city centre . Its capacity is 22,000 for Test matches , for which temporary stands are erected , and 15,000 for other matches . Since 1884 , it has hosted 74 Tests , the third highest number in England , behind Lord 's and The Oval . </t>
  </si>
  <si>
    <t xml:space="preserve">Monster Energy NASCAR Cup Series - wikipedia  Monster Energy NASCAR Cup Series  Jump to : navigation , search `` Sprint Cup Series '' redirects here . For the horse race , see Haydock Sprint Cup .  Monster Energy NASCAR Cup Series       Category   Stock cars     Country   United States     Inaugural season   1949     Manufacturers   Chevrolet Ford Toyota     Tire suppliers   Goodyear     Drivers ' champion   Martin Truex Jr. ( 1 )     Teams ' champion   Furniture Row Racing ( 1 )     Makes ' champion   Toyota ( 2 )     Official website   Monster Energy NASCAR Cup Series     Current season     The Monster Energy NASCAR Cup Series ( often shortened to the Cup Series ) is the top racing series of the National Association for Stock Car Auto Racing ( NASCAR ) . It is named for the current sponsor , Monster Energy , but has been known by other names in the past . The series began in 1949 as the Strictly Stock Series , and from 1950 to 1970 it was known as the Grand National Series . In 1971 , when the series began leasing its naming rights to the R.J. Reynolds Tobacco Company , it was referred to as the Winston Cup Series . A similar deal was made with Nextel in 2003 , and it became the Nextel Cup Series ( 2004 -- 2007 ) . Sprint acquired Nextel in 2005 , and in 2008 the series was renamed the Sprint Cup Series , which lasted until 2016 . In December 2016 , it was announced that Monster Energy would become the new title sponsor starting in 2017 .   The championship is determined by a points system , with points being awarded according to finish placement and number of laps led . The season is divided into two segments . After the first 26 races , 16 drivers , selected primarily on the basis of wins during the first 26 races , are seeded based on their total number of wins . They compete in the last ten races , where the difference in points is greatly minimized . This is called the NASCAR playoffs .   The series holds strong roots in the Southeastern United States , with half of the races in the 36 - race season being held in that region . The current schedule includes tracks from around the United States . Regular season races were previously held in Canada , and exhibition races were held in Japan and Australia . The Daytona 500 , the most prestigious race , had a television audience of about 11.9 million U.S. viewers in 2017 .   Cup Series cars are unique in automobile racing . The engines are powerful enough to reach speeds of over 200 mph ( 320 km / h ) , but their weight coupled with a relatively simple aerodynamic package make for poor handling . The bodies and chassis of the cars are strictly regulated to ensure parity , and electronics are traditionally spartan in nature .     Contents  ( hide )   1 History   1.1 Strictly Stock and Grand National   1.2 Winston Cup   1.3 Nextel and Sprint   1.3. 1 Chase for the Cup     1.4 Monster Energy     2 Drivers ' Championship   3 Owners ' Championship   4 Manufacturers ' Championship   4.1 Representation     5 Cup cars   5.1 Evolution of Cup cars   5.1. 1 1949 -- 1980   5.1. 2 1981 -- 2007   5.1. 3 Car of Tomorrow ( 2007 -- 2012 )   5.1. 4 Generation 6 car ( 2013 -- present )     5.2 Setup   5.3 Specifications     6 Cup tracks   7 Cup Series records   8 See also   9 References   10 External links      History ( edit )   Strictly stock and Grand National ( edit )   In 1949 , NASCAR introduced the Strictly Stock division , after sanctioning Modified and Roadster division races in 1948 . Eight races were run on seven dirt ovals and on the Daytona Beach beach / street course .   The first NASCAR `` Strictly Stock '' race was held at Charlotte Speedway on June 19 , 1949 . Jim Roper was declared the winner of that race after Glenn Dunaway was disqualified for having altered the rear springs on his car ; the first series champion was Red Byron . The division was renamed `` Grand National '' for the 1950 season , reflecting NASCAR 's intent to make the sport more professional and prestigious . It retained this name until 1971 . The 1949 Strictly Stock season is regarded in NASCAR 's record books as the first season of GN / Cup history . Martinsville Speedway is the only track on the 1949 schedule that remains on the current schedule .  Seven - time Winston Cup champion Richard Petty .  Rather than having a fixed schedule of one race per weekend with most entrants appearing at every event , the Grand National schedule has included over sixty events in some years . Often there are two or three races on the same weekend and occasionally two races on the same day in different states .   In the early years , most Grand National races were held on dirt - surfaced short oval tracks that ranged in lap length from under a quarter - mile to over a half - mile , or on dirt fairgrounds ovals usually ranging from a half - mile to a mile in lap length . One hundred ninety - eight of the first 221 Grand National races were run on dirt tracks . Darlington Raceway , opened in 1950 , was the first completely paved track on the circuit over one mile ( 1.6 km ) long . In 1959 , when Daytona International Speedway was opened , the schedule still had more races on dirt racetracks than on paved ones . In the 1960s as superspeedways were built and old dirt tracks were paved , the number of races run on dirt tracks was reduced .   The last NASCAR race on a dirt track was held on September 30 , 1970 at the half - mile State Fairgrounds Speedway in Raleigh , North Carolina . Richard Petty won that race in a Plymouth that had been sold by Petty Enterprises to Don Robertson and rented back by Petty Enterprises for the race .   Winston Cup ( edit )  The Winston Cup Series logo from 2000 to 2003 .  Between 1971 and 2003 , NASCAR 's premier series was called the Winston Cup Series . It was sponsored by R.J. Reynolds Tobacco Company cigarette brand Winston . In 1971 , the Public Health Cigarette Smoking Act banned television advertising of cigarettes . As a result , tobacco companies began to sponsor sporting events as a way to spend their excess advertising dollars and to circumvent the Public Health Cigarette Smoking Act 's ban on television advertising . RJR 's sponsorship became more controversial in the wake of the 1998 Tobacco Industry Settlement that sharply restricted avenues for tobacco advertising , including sports sponsorships .   The changes that resulted from RJR 's involvement in the series as well as from the reduction in schedule from 48 to 31 races per year established 1972 as the beginning of NASCAR 's `` modern era . '' The season was made shorter , and the points system was modified several times during the next four years . Races on dirt tracks and on oval tracks shorter than 250 miles ( 402 kilometers ) were removed from the schedule , and transferred to the short - lived NASCAR Grand National East Series . NASCAR 's founder , Bill France Sr. , turned over control of NASCAR to his oldest son , Bill France Jr . In August 1974 , France Jr. asked series publicist Bob Latford to design a points system with equal points being awarded for all races regardless of length or prize money . This system ensured that the top drivers would have to compete in all the races in order to become the series champion . This system remained unchanged from 1975 until the Chase for the Championship was instituted in 2004 .  Seven - time Winston Cup champion Dale Earnhardt  Since 1982 , the Daytona 500 has been the first non-exhibition race of the year .   ABC Sports aired partial or full live telecasts of Grand National races from Talladega , North Wilkesboro , Darlington , Charlotte , and Nashville in 1970 . Because these events were perceived as less exciting than many Grand National races , ABC abandoned its live coverage . Races were instead broadcast , delayed and edited , on the ABC sports variety show Wide World of Sports .   In 1979 , the Daytona 500 became the first stock car race that was nationally televised from flag to flag on CBS . The leaders going into the last lap , Cale Yarborough and Donnie Allison , wrecked on the backstretch while dicing for the lead , allowing Richard Petty to pass them both for the win . Immediately , Yarborough , Allison , and Allison 's brother Bobby were engaged in a fistfight on national television . This underlined the drama and emotion of the sport and increased its broadcast marketability . Fortunately for NASCAR , the race coincided with a major snowstorm along the United States ' eastern seaboard , successfully introducing the sport to a captive audience .   In 1981 , an awards banquet began to be held in New York City on the first Friday evening in December . The first banquets were held in the Waldorf - Astoria 's Starlight Room and in 1985 were moved to the much larger Grand Ballroom . But in 2001 , the banquet portion was dropped in favor of a simpler awards ceremony . And in 2002 , the awards ceremony was moved to the Hammerstein Ballroom at the Manhattan Center . However , in 2003 , the festivities returned to the Waldorf 's Grand Ballroom , and the banquet format was reinstated .   In 1985 , Winston introduced a new awards program called the Winston Million . From 1985 to 1997 , any driver who won three of the four most prestigious races in the series was given one million dollars . The prize was only won twice ; Bill Elliott won in 1985 , Darrell Waltrip nearly won in 1989 , Dale Jarrett nearly won in 1996 , and Jeff Gordon won in 1997 . The Winston Million was replaced with a similar program , the Winston No Bull Five , in 1998 . This program awarded one million dollars to any driver who won a prestigious race after finishing in the top five of the most previous prestigious race .   The series underwent a large boom in popularity in the 1990s . In 1994 , NASCAR held the first Brickyard 400 at Indianapolis Motor Speedway . Between 1997 and 1998 , the winner 's prize money for the Daytona 500 tripled . This coincided with a decline of popularity in American Championship Car Racing .   In 1999 , NASCAR made a new agreement with Fox Broadcasting , Turner Broadcasting , and NBC . The contract , signed for eight years for Fox and six years for NBC and Turner , was valued at $2.4 billion .   In 2001 , Pixar visited NASCAR tracks as research for the 2006 animated film Cars , which included the voices of NASCAR drivers Richard Petty and Dale Earnhardt Jr . To avoid advertising tobacco in a Disney film , `` Piston Cup '' served as Pixar 's allusion to the Winston Cup .   Nextel and Sprint ( edit )  The Nextel Cup Series logo from 2004 to 2007 .  At the end of 2003 , R.J. Reynolds Tobacco 's sponsorship contract expired , and NASCAR negotiated a contract with Nextel , a telecommunications company . In 2004 , the series became known as the Nextel Cup Series .   The 2006 merger between Sprint and Nextel resulted in the Cup Series being renamed the Sprint Cup , beginning with the 2008 season .   The Sprint Cup trophy was designed by Tiffany &amp; Co. and is silver , with a pair of checkered flags in flight .  See also : Criticism of NASCAR  By 2009 , the popularity boom of the 1990s had ended , and television ratings over the previous ten years had become more or less stagnant . Some long - time fans have criticized the series for losing its traditional appeal because of abandoning venues in the southeastern United States in favor of newer markets . They have also voiced discontent over Toyota 's presence in the series . Japanese telecommunications corporation SoftBank acquired Sprint in July 2013 . While NASCAR was suspicious of diversity promotion and aware of the negative implications of the redneck image , it also recognized the opportunities to expand the sport . NASCAR CEO Brian France has become a prime target for criticism among fans .   In 2016 , NASCAR announced the creation of a charter system , which would guarantee 36 teams entry to all 36 races . Eligibility for a charter would depend on a team 's attempts to qualify for every race within the previous three seasons . In conjunction with this rule , NASCAR also reduced the size of the Cup field to 40 cars .  The Sprint Cup Series logo from 2008 to 2016 . Chase for the Cup ( edit ) Main article : NASCAR playoffs Seven - time NASCAR Cup Series champion , Jimmie Johnson .  Along with the change in title sponsorship for the series , the 2004 season also introduced a new system for determining the series champion , influenced by the system used in the USAR Hooters Pro Cup Series .   Originally known as the Chase for the Nextel Cup ( or simply `` The Chase '' , and later changed to Sprint branding ) , the ten highest - scoring drivers and teams ( plus ties ) in the first 26 races of the season became eligible to win the championship by competing in a playoff held within the final ten races . This number was increased to 12 teams in 2007 . The Chase participants had their points increased to a level mathematically unattainable by anyone outside this field ( roughly 1,800 points ahead of the first driver outside the Chase ) . From the inaugural Chase in 2004 to the 2006 Chase , the drivers were seeded based on points position at the end of the regular season , with first place starting with 5,050 points and tenth place starting with 5,005 . From 2007 to 2010 , the points totals of each driver who made the Chase were reset to 5,000 points , plus ten additional points for each race victory during the first 26 races . Points would still be awarded as usual during the affected races . The driver leading in points after the 36th race would be declared the champion .   As part of a major change in the points system that took effect in 2011 , the qualifying criteria and the points reset were changed as well . From 2011 to 2013 , the ten drivers with the most points automatically qualified for the Chase . They were joined by two `` wild card '' qualifiers , specifically the two drivers with the most race wins who were ranked between 11th and 20th in drivers ' points . Their base point totals were then reset to 2,000 points , a level more than 1,000 points higher than that of the first driver outside the Chase . ( Under the new point system , a race winner can earn a maximum of 48 points , as opposed to 195 in the pre-2011 system . ) The ten automatic qualifiers received a bonus of three points for each win during the regular season , while the two wild card qualifiers received no such bonus . As in the past , the race layouts for the remaining ten races were the same , with no changes to the scoring system . On November 20 , 2011 , Tony Stewart and Carl Edwards ended the season in a first - ever points tie . Stewart 's five season wins over Edwards ' one win gave Stewart the tie - breaker . Hence he was named the winner of the 2011 NASCAR Cup Series Championship .   For 2014 , NASCAR announced wide - ranging changes to the Chase format :    The group of drivers in the Chase officially became the NASCAR Sprint Cup Chase Grid .   The number of drivers qualifying for the Chase Grid ranges from 12 to 16 .   Fifteen of the 16 spots in the Chase Grid are reserved for the drivers with the most race wins over the first 26 races . The remaining spot is reserved for the points leader after 26 races , but only if that driver does not have a victory . If fewer than 16 drivers have wins in the first 26 races , the remaining Chase Grid spots are filled by winless drivers in order of points earned due that season . All drivers on the Chase Grid continue to have their driver points reset to 2,000 before the Chase , with a three - point bonus for each win in the first 26 races .   The Chase is now divided into four rounds . After each of the first three rounds , the four Chase Grid drivers with the fewest number of points for the season are eliminated from the Grid and from Championship contention . Any driver on the Grid who wins a race in the first three rounds automatically advances to the next round . All drivers eliminated from the Chase have their points readjusted back to the points they started with at the beginning of the Round of 16 , ( race 27 ) plus any points earned after , using the regular season points scheme only ( no Round of 12 , or Round of Eight reset points ) . In 2016 , the Chase for the Championship , formerly known as the Challenger , Contender , and Eliminator round , were changed to a Round of 16 , Round of 12 , and Round of 8 .   Round of 16 ( Races 27 -- 29 )   Begins with 16 drivers , each with 2,000 points , plus a 3 - point bonus for each win in the first 26 races     Round of 12 ( Races 30 -- 32 )   Begins with 12 drivers , each with 3,000 points     Round of Eight ( Races 33 -- 35 )   Begins with eight drivers , each with 4,000 points     Championship Four ( final race )   The last four drivers in contention for the season title start the race with 5,000 points , with the highest finisher in the race winning the Cup Series title . No bonus points are awarded for laps led or most laps led for these four drivers . If one of the Championship Four drivers wins the race , the maximum points they can get is 40 .        To encourage continued competition among all drivers , a number of awards are given to drivers finishing outside the Chase . The highest finishing non-Chase driver ( 13th place at the end of the season from 2007 to 2013 and potentially anywhere from fifth to 17th place starting in 2014 ) is awarded a bonus of approximately one million dollars , and was originally given a position on stage at the post-season awards banquet . The awards banquet now focuses solely on the Chase , with all of the series ' sponsored and contingency awards moved to a luncheon at Cipriani the day before the banquet .   This playoff system was implemented primarily to make the points race more competitive late in the season , and indirectly , to increase television ratings during the NFL season , which starts around the same time as the Chase begins . The Chase also forces teams to perform at their best during all three stages of the season , the first half of the regular season , the second half of the regular season , and the Chase .   Previously , the champion could have been determined before the last race , or even several races before the end of the season , because it was mathematically impossible for any other driver to gain enough points to overtake the leader .   Monster Energy ( edit )   The title sponsorship with Sprint ended after the 2016 season . On December 1 , NASCAR announced it had reached an agreement with Monster Energy to become the new sponsor of NASCAR 's premier series . On December 19 , NASCAR announced the new name for the series , Monster Energy NASCAR Cup Series as well as the new series logo and new NASCAR logo .   In 2017 , stage racing was introduced . Races were broken up into three stages , four in the case of the Monster Energy Cup Series ' longest race , the Coca - Cola 600 . ( 1 ) A stage consists of normal green flag racing followed by a stoppage on a designated lap signified by the waving of a green and white checkered flag , then a yellow flag . ( 2 ) The top - 10 finishers in each of the first two stages are awarded bonus championship points , 10 points to the winner , 9 points for the 2nd place car , down to 1 point for the 10th place car . The points earned are added to a driver / owner 's regular season points total , while the winner of the stage receives an additional point that is added to their point total , after the reset , if they get into the NASCAR playoffs. ( 3 ) The stage lengths vary by track , but the first two stages usually combine to equal about half of the race . The final stage ( which still pays out championship points to all drivers ) usually equals the other half . Also , a regular season points championship is awarded to the driver who scored the most points in the first 26 races ( regular season ) . This championship does not award any bonus points to the winning driver . Otherwise , the points system and playoff format remained the same .   Drivers ' Championship ( edit )  Main article : List of Monster Energy NASCAR Cup Series champions  The Monster Energy NASCAR Cup Series Drivers ' Championship is awarded by the Chairman of NASCAR to the most successful Cup Series driver over a season , as determined by a points system based on race results and victories . First awarded in 1949 to Red Byron , 31 different drivers have won the Championship . The first driver to win multiple Championships was Herb Thomas in 1951 and 1953 , while the record for the most Championships , seven , is shared by Richard Petty , Dale Earnhardt and Jimmie Johnson . Johnson has the record for most consecutive Championships ; he won five Championships from 2006 to 2010 . So far every Champion has originated from the United States .   Owners ' Championship ( edit )   The Cup Series Owner 's Championship operates in the same manner as the Driver 's Championship , except that points are awarded to each individual car . If an owner enters more than one car , each car is viewed and scored as a separate entity . The points in the Owners Championship is identical to the Drivers ' list , with one minor exception : Drivers who are not eligible to earn points toward the Drivers ' title can still earn points toward the Owners ' Championship . An example of this occurred in the first race under the current points system , the 2011 Daytona 500 . Under another rule newly implemented for the 2011 season , drivers are only allowed to earn drivers ' points in one of NASCAR 's three national series . Trevor Bayne , who won the race , did not earn any drivers ' points because he chose to run for the Nationwide Series championship . However , he earned 47 owner 's points for Wood Brothers Racing ( 43 base points , three bonus points for the win , and one bonus point for leading a lap ) .   Before a major change to the points system was implemented in 2011 , there was a slightly different addition to the system of allocating owner 's points . If more than 43 cars attempted to qualify for a race , owner 's points were awarded to each car in the following manner : the fastest non-qualifier ( in essence , 44th position ) received 31 points , three points fewer than the car in th 43rd position . If more than one car did not qualify , owners ' points continued to be assigned in the manner described , decreasing by three for each position . Under the post-2010 point system , only cars that actually start in a given race earn owner 's points .   There is a separate `` Chase for the Championship '' for the owners ' points .   A 2005 rule change in NASCAR 's three national series , which will be revoked with the 2013 season , affects how the owner 's points are used . Through the 2012 season , the top 35 ( NASCAR Cup Series ) or top 30 ( other series ) full - time teams in owner points are awarded exemptions for the next race , guaranteeing them a position in that race . These points determine who is in and who is out of the next race and have become crucial since the exemption rule was changed to its current format . At the end of each season , the top 35 contenders in owner 's points are also locked into the first five races of the next season .   Beginning in 2013 , the rules will revert to a system more similar to the pre-2005 rules . In the NASCAR Cup Series , the first 36 places in the field will be determined strictly by qualifying speed . The next six places will be awarded on owner points , with the final place reserved for a past Series Champion . If the final exemption is not used because all past Champions are already in the field , it will pass to another car based on the number of owner points .   In some circumstances , a team 's owners ' points will differ from the corresponding driver 's points . In 2005 , after owner Jack Roush fired Kurt Busch during the next - to - last race weekend of the season , the No. 97 team finished in eighth place in owner 's points , while Busch ended up tenth in driver 's points . In 2002 , when Sterling Marlin was injured , the No. 40 team finished eighth in owner 's points , while Marlin was 18th in driver 's points , because of substitute drivers Jamie McMurray and Mike Bliss , who continued to earn owner points for the No. 40 . Another example was in the aforementioned 2011 Daytona 500 .   Manufacturers ' Championship ( edit )  Main article : List of NASCAR Manufacturers ' champions  A Manufacturer 's Championship is awarded each year , although the Driver 's Championship is considered more prestigious . In the past , manufacturer 's championships were prestigious because of the number of manufacturers involved , and the manufacturer 's championship was a major marketing tool . In the Xfinity Series , the championship is known as the Bill France Performance Cup .   Up to the 2013 season , points were scored in a 1960 -- 1990 Formula One system , with the winner 's manufacturer scoring nine points , six for the next manufacturer , four for the manufacturer third among makes , three for the fourth , two for the fifth , and one point for the sixth positioned manufacturer . This meant that if Chevrolets placed first through tenth in a given race and a Ford was 11th and a Dodge 12th , Chevrolet earned 9 points , Ford 6 and Dodge 4 . Starting in 2014 , NASCAR changed the system to mimic the Owner 's Championship . Under this system , each manufacturer 's best finishing representative effectively earned them the same amount of points as that team earned , including any bonus points from leading a lap or winning the event .   Representation ( edit )   In NASCAR 's earliest years , there was a diverse array of machinery , with little support from the car companies themselves , but by the mid 1960s , participation was exclusively American manufacturers with factory support . Chrysler , Ford and General Motors were the primary , if not only , competitors for much of NASCAR 's history . Plymouth , while somewhat successful in the 1960s with the Hemi , never won a Manufacturers Championship until Ford pulled out of racing in the early 1970s . GM was still using four different brands in NASCAR in 1991 , but within three years , Buick and Oldsmobile were gone . Pontiac survived until 2004 , leaving only Chevrolet . 2007 saw the first new brand since 1971 , when Japanese manufacturer Toyota joined . Chrysler 's Dodge brand returned after a 15 - year hiatus in 2001 , but departed after 2012 , leaving just Chevrolet , Ford and Toyota .   Chevrolet has been the most successful manufacturer as of August 2015 , with 749 race wins and 38 manufacturers championships . Ford ranks second with 636 victories and 15 manufacturers championships . Dodge is third in wins with 217 , Plymouth fourth with 190 , and Pontiac fifth with 155 . Toyota currently ranks 9th all time , with 74 victories .   Cup cars ( edit )   Cup Series cars ( often called `` Cup cars '' ) adhere to a front engine rear - wheel - drive design . A roll cage serves as a space frame chassis and is covered by a 24 - gauge sheet metal body . They have a closed cockpit , fenders , a rear spoiler , and an aerodynamic splitter . Fielding a car for one season usually costs $ 10 -- 20 million . Each team may build its own cars and engines ( per NASCAR 's specifications ) or purchase cars and engines from other teams .   The cars are powered by EFI V8 engines with compacted graphite iron blocks and pushrod valvetrain s actuating two - valves per cylinder , and are limited to 358 cubic inches ' ( about 5.8 liters ) displacement . However , modern technology has allowed power outputs near 900 horsepower ( 670 kW ) in unrestricted form while retaining the conventional basic engine design . In fact , before NASCAR instituted the gear rule , Cup engines were capable of operating more than 10,000 rpm . A NASCAR Cup Series engine with the maximum bore of 4.185 inches ( 106.3 millimeters ) and stroke of 3.25 inches ( 82.55 millimeters ) at 9,000 rpm has a mean piston speed of 80.44 fps ( 24.75 m / s ) . Contemporary Cup engines run 9,800 rpm , 87.59 fps ( 26.95 m / s ) , at the road course events on Pocono Pennsylvania 's long front stretch and at the . 526 - mile short - track Martinsville Speedway . At the backbone 1.5 - to 2.0 - mile tri-oval tracks of NASCAR , the engines produce over 850 hp running 92 -- 9400 rpm for 500 miles , 600 mi for the Coca - Cola 600 Charlotte race .   The front suspension is a double wishbone design , while the rear suspension is a two - link live axle design utilizing trailing arms . Brake rotors must be made of magnetic cast iron or steel and may not exceed 12.72 inches ( 32.3 centimeters ) in diameter . The only aerodynamic components on the vehicles are the front splitter , spoiler , NACA ducts in the windows only , and side skirts . The use of rear diffusers , vortex generators , canards , wheel well vents , hood vents , and undertrays is strictly prohibited . While the cars may reach speeds of about 200 mph ( 321.8 km / h ) on certain tracks , Russ Wicks drove a stock car built to NASCAR 's specifications 244.9 mph ( 394.1 km / h ) during a speed record attempt at the Bonneville Salt Flats in October 2007 .   NASCAR Cup Series engines carry a Freescale - provided electronic control unit , but traction control and anti-lock brakes are prohibited . Live telemetry is used only for television broadcasts , but the data can be recorded from the ECU to the computer if the car is in the garage and not on the track .   Cup cars are required to have at least 1 working windshield wiper installed on the car for the 2 road courses ( Sonoma and Watkins Glen ) , as part of the road racing rules package .   Evolution of Cup cars ( edit )  1949 -- 1980 ( edit ) A Studebaker driven by Dick Linder in the 1951 Daytona Beach Road Course race .  When the series was formed under the name , strictly stock , the cars were just that , production vehicles with no modifications allowed . The term stock car implied that the vehicles racing were unmodified street cars . Drivers would race with factory installed bench seats and AM radios still in the cars . To prevent broken glass from getting on the race track , windows would be rolled down , external lights would be removed or taped over , and wing mirrors would be removed . The 1957 fuel injected 150 model Chevrolet ( known as `` the black widow '' ) was the first car to be outlawed by NASCAR . The 1957 Chevrolet won the most races , with 59 wins , more than any car to ever race in the cup series . Before the mid-1960s , cars were typically based on full sized cars such as the Chevrolet Bel Air and Ford Galaxie . Beginning in 1966 , mid-size cars including the Ford Fairlane and Plymouth Belvedere were adopted and soon became the norm .  Richard Petty 's Plymouth Superbird  NASCAR once enforced a homologation rule that at various times stated that at least 500 cars had to be produced , or as many as one car for every make 's dealership in the nation had to be sold to the general public to allow it to be raced . Eventually , cars were made expressly for NASCAR competition , including the Ford Torino Talladega , which had a rounded nose , and the Dodge Charger Daytona and Plymouth Superbird which had a rear wing raised above roof level and a shark shaped nose - cap which enabled race speeds of exactly 200 mph . The Ford - based Mercury Spoiler powered by a Ford Boss 429 engine was timed at 199.6 mph . Beginning in 1971 , NASCAR rewrote the rules to effectively force the Ford and Chrysler specialty cars out of competition by limiting them to 305ci ( 5.0 L ) . The cars affected by this rule include the Ford Talladega , Mercury Spoiler II , Dodge Charger 500 , Dodge Charger Daytona and the Plymouth Superbird . This rule was so effective in limiting performance that only one car that season ever attempted to run in this configuration .   In 1971 , NASCAR handicapped the larger engines with a restrictor plate . By 1972 , NASCAR phased in a rule to lower the maximum engine displacement from 429 cubic inches ( 7.0 liters ) to its present 358 cubic inches ( 5.8 liters ) . The transition was not complete until 1974 and coincided with American manufacturers ending factory support of racing and the 1973 oil crisis .  1981 -- 2007 ( edit ) The pit road at Richmond International Raceway in 1985 .  The downsizing of American cars in the late 1970s presented a challenge for NASCAR . Rules mandated a minimum wheelbase of 115 inches ( 2,900 mm ) , but after 1979 , none of the models approved for competition met the standard , as mid-sized cars now typically had wheelbases between 105 and 112 inches . After retaining th</t>
  </si>
  <si>
    <t xml:space="preserve">what kind of engines are in nascar cars</t>
  </si>
  <si>
    <t xml:space="preserve"> The cars are powered by EFI V8 engines with compacted graphite iron blocks and pushrod valvetrain s actuating two - valves per cylinder , and are limited to 358 cubic inches ' ( about 5.8 liters ) displacement . However , modern technology has allowed power outputs near 900 horsepower ( 670 kW ) in unrestricted form while retaining the conventional basic engine design . In fact , before NASCAR instituted the gear rule , Cup engines were capable of operating more than 10,000 rpm . A NASCAR Cup Series engine with the maximum bore of 4.185 inches ( 106.3 millimeters ) and stroke of 3.25 inches ( 82.55 millimeters ) at 9,000 rpm has a mean piston speed of 80.44 fps ( 24.75 m / s ) . Contemporary Cup engines run 9,800 rpm , 87.59 fps ( 26.95 m / s ) , at the road course events on Pocono Pennsylvania 's long front stretch and at the . 526 - mile short - track Martinsville Speedway . At the backbone 1.5 - to 2.0 - mile tri-oval tracks of NASCAR , the engines produce over 850 hp running 92 -- 9400 rpm for 500 miles , 600 mi for the Coca - Cola 600 Charlotte race . </t>
  </si>
  <si>
    <t xml:space="preserve">Richard Nixon - wikipedia  Richard Nixon  Jump to : navigation , search `` Nixon '' redirects here . For other uses , see Nixon ( disambiguation ) and Richard Nixon ( disambiguation ) .    Richard Nixon             37th President of the United States     In office January 20 , 1969 -- August 9 , 1974     Vice President     Spiro Agnew ( 1969 -- 1973 )   None ( Oct -- Dec. 1973 )   Gerald Ford ( 1973 -- 1974 )       Preceded by   Lyndon B. Johnson     Succeeded by   Gerald Ford     36th Vice President of the United States     In office January 20 , 1953 -- January 20 , 1961     President   Dwight D. Eisenhower     Preceded by   Alben W. Barkley     Succeeded by   Lyndon B. Johnson     United States Senator from California     In office December 1 , 1950 -- January 1 , 1953     Preceded by   Sheridan Downey     Succeeded by   Thomas Kuchel     Member of the U.S. House of Representatives from California 's 12th district     In office January 3 , 1947 -- December 1 , 1950     Preceded by   Jerry Voorhis     Succeeded by   Patrick J. Hillings         Personal details       Richard Milhous Nixon ( 1913 - 01 - 09 ) January 9 , 1913 Yorba Linda , California , U.S.       April 22 , 1994 ( 1994 - 04 - 22 ) ( aged 81 ) Manhattan , New York , U.S.     Cause of death   Stroke and cerebral edema     Resting place   Richard Nixon Presidential Library and Museum Yorba Linda , California , U.S.     Political party   Republican     Spouse ( s )   Pat Ryan ( m . 1940 ; d . 1993 )     Children   Patricia `` Tricia '' and Julie     Parents   Frank Nixon Hannah Milhous Nixon     Alma mater   Whittier College Duke University     Profession   Lawyer     Nickname   Dick     Signature       Military service     Allegiance   United States     Service / branch   United States Navy Reserve     Years of service   1942 -- 1946 , active duty 1946 -- 1966 , inactive duty     Rank   Commander     Battles / wars    World War II    South Pacific theater       Awards   Navy and Marine Corps Commendation Medal ( 2 )            This article is part of a series about Richard Nixon          Birthplace   Early Life   1946 U.S. House election   1950 U.S. Senate election     `` Checkers speech ''     Vice President of the United States     Motorcade attack     Kitchen Debate   Operation 40     1960 presidential election     Post-Vice - Presidency     1962 gubernatorial bid   `` Last press conference ''    President of the United States    Presidency    First term    1968 presidential election   Campaign       1st Inauguration     Nixon Doctrine   War policy   Visit to China     Nixonomics   Nixon shock       Silent majority   EPA   Environmental policy   Clean Water   NOAA   War on Cancer   War on Drugs    Second term    1972 presidential election   Convention       2nd Inauguration     Détente   Paris Peace Accords   Endangered Species Act     Watergate Scandal     Scandal   Timeline   Tapes   U.S. v. Nixon       Watergate Committee   Impeachment process     Resignation   Speech      Post-Presidency    Pardon   The Nixon Interviews   Nixon v. General Services Administration   Funeral   Electoral history     Library   Foundation   Center     Six Crises   Bibliography                   Richard Milhous Nixon ( January 9 , 1913 -- April 22 , 1994 ) was the 37th President of the United States from 1969 until 1974 , when he resigned from office , the only U.S. president to do so . He had previously served as the 36th Vice President of the United States from 1953 to 1961 , and prior to that as a U.S. Representative and also Senator from California .   Nixon was born in Yorba Linda , California . After completing his undergraduate studies at Whittier College , he graduated from Duke University School of Law in 1937 and returned to California to practice law . He and his wife Pat moved to Washington in 1942 to work for the federal government . He subsequently served on active duty in the U.S. Navy Reserve during World War II . Nixon was elected to the House of Representatives in 1946 and to the Senate in 1950 . His pursuit of the Hiss Case established his reputation as a leading anti-communist and elevated him to national prominence . He was the running mate of Dwight D. Eisenhower , the Republican Party presidential nominee in the 1952 election . Nixon served for eight years as vice president -- at 40 , the second - youngest vice president in history . He waged an unsuccessful presidential campaign in 1960 , narrowly losing to John F. Kennedy , and lost a race for Governor of California to Pat Brown in 1962 . In 1968 , he ran for the presidency again and was elected , defeating incumbent Vice President Hubert Humphrey .   Nixon ended American involvement in the war in Vietnam in 1973 and brought the American POWs home , and ended the military draft . Nixon 's visit to China in 1972 eventually led to diplomatic relations between the two nations , and he initiated détente and the Anti-Ballistic Missile Treaty with the Soviet Union the same year . His administration generally transferred power from Washington D.C. to the states . He imposed wage and price controls for ninety days , enforced desegregation of Southern schools and established the Environmental Protection Agency . Nixon also presided over the Apollo 11 moon landing , which signaled the end of the moon race . He was reelected in one of the largest electoral landslides in U.S. history in 1972 when he defeated George McGovern .   In his second term , Nixon ordered an airlift to resupply Israeli losses in the Yom Kippur War , resulting in the restart of the Middle East peace process and an oil crisis at home . The Nixon administration supported a coup in Chile that ousted the government of Salvador Allende and propelled Augusto Pinochet to power . By late 1973 , the Watergate scandal escalated , costing Nixon much of his political support . On August 9 , 1974 , he resigned in the face of almost certain impeachment and removal from office . After his resignation , he was issued a pardon by his successor , Gerald Ford . In 20 years of retirement , Nixon wrote nine books and undertook many foreign trips , helping to rehabilitate his image into that of elder statesman . He suffered a debilitating stroke on April 18 , 1994 and died four days later at the age of 81 .   Contents  ( hide )   1 Early life   1.1 Primary and secondary education   1.2 Collegiate and law school education     2 Early career and marriage   3 World War II   4 Rising politician   4.1 Congressional career ( 1947 -- 1953 )   4.1. 1 House of Representatives   4.1. 2 Senate     4.2 Vice Presidency ( 1953 -- 1961 )   4.3 1960 and 1962 elections ; wilderness years     5 1968 presidential election   6 Presidency ( 1969 -- 1974 )   6.1 Foreign policy   6.1. 1 China   6.1. 2 Vietnam War   6.1. 3 Latin American policy   6.1. 4 Soviet Union   6.1. 5 Middle Eastern policy     6.2 Domestic policy   6.2. 1 Economy   6.2. 2 Governmental initiatives and organization   6.2. 3 Civil rights     6.3 Space policy   6.4 Reelection , Watergate scandal , and resignation   6.4. 1 1972 presidential campaign   6.4. 2 Watergate   6.4. 3 Resignation       7 Later years and death   7.1 Pardon and illness   7.2 Return to public life   7.3 Author and elder statesman   7.4 Death and funeral     8 Legacy   9 Personality and public image   10 See also   11 Notes   11.1 Explanatory notes   11.2 Citations     12 References   12.1 Bibliography   12.2 Nixon Library   12.3 Other sources     13 Further reading   14 External links    Early Life   Richard Milhous Nixon was born on January 9 , 1913 in Yorba Linda , California , in a house that was built by his father . His parents were Hannah ( Milhous ) Nixon and Francis A. Nixon . His mother was a Quaker , and his father converted from Methodism to the Quaker faith . Nixon was a descendant of the early American settler , Thomas Cornell , who was also an ancestor of Ezra Cornell , the founder of Cornell University , as well as of Jimmy Carter and Bill Gates .   Nixon 's upbringing was marked by evangelical Quaker observances of the time , such as refraining from alcohol , dancing , and swearing . Nixon had four brothers : Harold ( 1909 -- 33 ) , Donald ( 1914 -- 87 ) , Arthur ( 1918 -- 25 ) , and Edward ( born 1930 ) . Four of the five Nixon boys were named after kings who had ruled in historical or legendary Britain ; Richard , for example , was named after Richard the Lionheart .  Nixon ( second from right ) makes his newspaper debut in 1916 , contributing five cents to a fund for war orphans . Donald is to the left of his brother .  Nixon 's early life was marked by hardship , and he later quoted a saying of Eisenhower to describe his boyhood : `` We were poor , but the glory of it was we did n't know it '' . The Nixon family ranch failed in 1922 , and the family moved to Whittier , California . In an area with many Quakers , Frank Nixon opened a grocery store and gas station . Richard 's younger brother Arthur died in 1925 at the age of seven after a short illness . At the age of twelve , a spot was found on Richard 's lung , and , with a family history of tuberculosis , he was forbidden to play sports . Eventually , the spot was found to be scar tissue from an early bout of pneumonia .   Primary and secondary Education   Young Richard attended East Whittier Elementary School , where he was president of his eighth - grade class . His parents believed that attending Whittier High School had caused Richard 's older brother Harold to live a dissolute lifestyle before he fell ill of tuberculosis ( he died of the disease in 1933 ) , and so they sent Richard to the larger Fullerton Union High School . He had to ride a school bus for an hour each way during his freshman year , and he received excellent grades . Later , he lived with an aunt in Fullerton during the week . He played junior varsity football , and seldom missed a practice , even though he was rarely used in games . He had greater success as a debater , winning a number of championships and taking his only formal tutelage in public speaking from Fullerton 's Head of English , H. Lynn Sheller . Nixon later remembered Sheller 's words , `` Remember , speaking is conversation ... do n't shout at people . Talk to them . Converse with them . '' Nixon stated that he tried to use the conversational tone as much as possible .  Nixon at Whittier High School , 1930  At the start of his junior year beginning in September 1928 , Richard 's parents permitted him to transfer to Whittier High School . At Whittier High , Nixon suffered his first electoral defeat , for student body president . He often rose at 4 a.m. , to drive the family truck into Los Angeles and purchase vegetables at the market . He then drove to the store to wash and display them , before going to school . Harold had been diagnosed with tuberculosis the previous year ; when their mother took him to Arizona in the hopes of improving his health , the demands on Richard increased , causing him to give up football . Nevertheless , Richard graduated from Whittier High third in his class of 207 students .   Collegiate and law School Education   Nixon was offered a tuition grant to attend Harvard University , but Harold 's continued illness and the need for their mother to care for him meant Richard was needed at the store . He remained in his hometown and attended Whittier College , his expenses there covered by a bequest from his maternal grandfather . Nixon played for the basketball team ; he also tried out for football but lacked the size to play . He remained on the team as a substitute and was noted for his enthusiasm . Instead of fraternities and sororities , Whittier had literary societies . Nixon was snubbed by the only one for men , the Franklins ; many members of the Franklins were from prominent families , but Nixon was not . He responded by helping to found a new society , the Orthogonian Society . In addition to the society , schoolwork , and work at the store , Nixon found time for a large number of extracurricular activities , becoming a champion debater and gaining a reputation as a hard worker . In 1933 , he became engaged to Ola Florence Welch , daughter of the Whittier police chief . The two broke up in 1935 .   After his graduation from Whittier in 1934 , Nixon received a full scholarship to attend Duke University School of Law . The school was new and sought to attract top students by offering scholarships . It paid high salaries to its professors , many of whom had national or international reputations . The number of scholarships was greatly reduced for second - and third - year students , forcing recipients into intense competition . Nixon not only kept his scholarship but was elected president of the Duke Bar Association , inducted into the Order of the Coif , and graduated third in his class in June 1937 .   Early career and marriage   After graduating from Duke , Nixon initially hoped to join the Federal Bureau of Investigation . He received no response to his letter of application and learned years later that he had been hired , but his appointment had been canceled at the last minute due to budget cuts . Instead , he returned to California and was admitted to the bar in 1937 . He began practicing with the law firm Wingert and Bewley in Whittier , working on commercial litigation for local petroleum companies and other corporate matters , as well as on wills . In later years , Nixon proudly stated that he was the only modern president to have previously worked as a practicing attorney . Nixon was reluctant to work on divorce cases , disliking frank sexual talk from women . In 1938 , he opened up his own branch of Wingert and Bewley in La Habra , California , and became a full partner in the firm the following year .   In January 1938 , Nixon was cast in the Whittier Community Players production of The Dark Tower . There he played opposite a high school teacher named Thelma `` Pat '' Ryan . Nixon described it in his memoirs as `` a case of love at first sight '' -- for Nixon only , as Pat Ryan turned down the young lawyer several times before agreeing to date him . Once they began their courtship , Ryan was reluctant to marry Nixon ; they dated for two years before she assented to his proposal . They wed in a small ceremony on June 21 , 1940 . After a honeymoon in Mexico , the Nixons began their married life in Whittier . They had two daughters , Tricia ( born 1946 ) and Julie ( born 1948 ) .   World War II   In January 1942 , the couple moved to Washington , D.C. , where Nixon took a job at the Office of Price Administration . In his political campaigns , Nixon would suggest that this was his response to Pearl Harbor , but he had sought the position throughout the latter part of 1941 . Both Nixon and his wife believed he was limiting his prospects by remaining in Whittier . He was assigned to the tire rationing division , where he was tasked with replying to correspondence . He did not enjoy the role , and four months later , applied to join the United States Navy . As a birthright Quaker , he could have claimed exemption from the draft ; he might also have been deferred because he worked in government service . But instead of exploiting his circumstance , Nixon sought a commission in the navy . His application was successful , and he was appointed a lieutenant junior grade in the U.S Naval Reserve ( U.S. Navy Reserve ) on June 15 , 1942 .   In October 1942 , he was assigned as aide to the commander of the Naval Air Station Ottumwa in Iowa until May 1943 . On October 1 , 1943 , Nixon was promoted to lieutenant . Seeking more excitement , he requested sea duty and was reassigned as the naval passenger control officer for the South Pacific Combat Air Transport Command , supporting the logistics of operations in the South West Pacific theater ; he was the Officer in Charge of the Combat Air Transport Command at Guadalcanal in the Solomons and in March 1944 at Green Island ( Nissan Island ) just north of Bougainville . His unit prepared manifests and flight plans for C - 47 operations and supervised the loading and unloading of the cargo aircraft . For this service , he received a Navy Letter of Commendation ( awarded a Navy Commendation Ribbon which was later updated to the Navy and Marine Corps Commendation Medal ) from his commanding officer for `` meritorious and efficient performance of duty as Officer in Charge of the South Pacific Combat Air Transport Command '' . Upon his return to the U.S. , Nixon was appointed the administrative officer of the Alameda Naval Air Station in California . In January 1945 , he was transferred to the Bureau of Aeronautics office in Philadelphia to help negotiate the termination of war contracts , and received his second letter of commendation , from the Secretary of the Navy for `` meritorious service , tireless effort , and devotion to duty '' . Later , Nixon was transferred to other offices to work on contracts and finally to Baltimore . On October 3 , 1945 , he was promoted to lieutenant commander . On March 10 , 1946 , he was relieved of active duty . He resigned his commission on New Year 's Day 1946 . On June 1 , 1953 , he was promoted to commander . He retired in the U.S. Naval Reserve on June 6 , 1966 .                   Navy and Marine Corps Commendation Medal   American Campaign Medal     Asiatic - Pacific Campaign Medal with two stars   World War II Victory Medal   Armed Forces Reserve Medal with silver hourglass device     Rising Politician  Richard and Pat Nixon introduce General Dwight D. Eisenhower -- Richard Nixon 's running mate -- to their daughters Tricia ( standing ) and Julie ( carried by her father ) , Washington National Airport , September 10 , 1952 .  Congressional career ( 1947 -- 1953 )  For more information on Nixon 's congressional election campaigns , see California 's 12th congressional district election , 1946 and United States Senate election in California , 1950 . House of Representatives Nixon 's congressional campaign flyer  In 1945 , Republicans in California 's 12th congressional district , frustrated by their inability to defeat Democratic Congressman Jerry Voorhis , sought a consensus candidate who would run a strong campaign against him . They formed a `` Committee of 100 '' to decide on a candidate , hoping to avoid internal dissensions which had led to Voorhis victories . After the committee failed to attract higher - profile candidates , Herman Perry , Whittier 's Bank of America branch manager , suggested Nixon , a family friend with whom he had served on the Whittier College Board of Trustees before the war . Perry wrote to Nixon in Baltimore . After a night of excited talk between the Nixons , the naval officer responded to Perry with enthusiasm . Nixon flew to California and was selected by the committee . When he left the Navy at the start of 1946 , Nixon and his wife returned to Whittier , where Nixon began a year of intensive campaigning . He contended that Voorhis had been ineffective as a congressman and suggested that Voorhis 's endorsement by a group linked to communists meant that Voorhis must have radical views . Nixon won the election , receiving 65,586 votes to Voorhis ' 49,994 .  Nixon campaigning for the Senate , 1950  In Congress , Nixon supported the Taft -- Hartley Act of 1947 , a federal law that monitors the activities and power of labor unions , and he served on the Education and Labor Committee . He was part of the Herter Committee , which went to Europe to report on the need for U.S. foreign aid . Nixon was the youngest member of the committee and the only Westerner . Advocacy by Herter Committee members , including Nixon , led to congressional passage of the Marshall Plan .   In his memoirs , Nixon recounts that he joined the House Un-American Activities Committee ( HUAC ) `` at the end of 1947 . '' However , he was already a HUAC member in early February 1947 , when he heard `` Enemy Number One '' Gerhard Eisler and his sister Ruth Fischer testify . On February 18 , 1947 , Nixon referred to Eisler 's belligerence toward HUAC in his maiden speech to the House . Also by early February 1947 , fellow U.S. Representative Charles J. Kersten had introduced him to Father John Francis Cronin in Baltimore , who shared with Nixon his 1945 privately circulated paper `` The Problem of American Communism in 1945 , '' with much information from the FBI 's William C. Sullivan ( who by 1961 would head domestic intelligence under Hoover ) .   By May 1948 , Nixon had co-sponsored a `` Mundt - Nixon Bill '' to implement `` a new approach to the complicated problem of internal communist subversion ... It provided for registration of all Communist Party members and required a statement of the source of all printed and broadcast material issued by organizations that were found to be Communist fronts . '' He served as floor manager for the Republican Party ; Vito Marcantonio served as floor manager for the Democratic Party . On May 19 , 1948 , the bill passed the House by 319 to 58 but failed to pass the Senate . ( The Nixon Library cites this bill 's passage as Nixon 's first significant victory in Congress . )   Nixon first gained national attention in August 1948 when as a HUAC member , his persistence helped break the Alger Hiss spy case . While many doubted Whittaker Chambers ' allegations that Hiss , a former State Department official , had been a Soviet spy , Nixon believed them to be true and pressed for the committee to continue its investigation . Under suit for defamation filed by Hiss , Chambers produced documents corroborating his allegations . These included paper and microfilm copies that Chambers turned over to House investigators after having hidden them overnight in a field ; they became known as the `` Pumpkin Papers '' . Hiss was convicted of perjury in 1950 for denying under oath he had passed documents to Chambers . In 1948 , Nixon successfully cross-filed as a candidate in his district , winning both major party primaries , and was comfortably reelected .  Senate Nixon on his `` station wagon tour '' in Sausalito , California , 1950  In 1949 , Nixon began to consider running for the United States Senate against the Democratic incumbent , Sheridan Downey , and entered the race in November . Downey , faced with a bitter primary battle with Representative Helen Gahagan Douglas , announced his retirement in March 1950 . Nixon and Douglas won the primary elections and engaged in a contentious campaign in which the ongoing Korean War was a major issue . Nixon tried to focus attention on Douglas ' liberal voting record . As part of that effort , a `` Pink Sheet '' was distributed by the Nixon campaign suggesting that , as Douglas ' voting record was similar to that of New York Congressman Vito Marcantonio ( believed by some to be a communist ) , their political views must be nearly identical . Nixon won the election by almost twenty percentage points . During this campaign , Nixon was first called `` Tricky Dick '' by his opponents for his campaign tactics .   In the Senate , Nixon took a prominent position in opposing global communism , traveling frequently and speaking out against it . He maintained friendly relations with his fellow anti-communist , the controversial Wisconsin senator , Joseph McCarthy , but was careful to keep some distance between himself and McCarthy 's allegations . Nixon also criticized President Harry S. Truman 's handling of the Korean War . He supported statehood for Alaska and Hawaii , voted in favor of civil rights for minorities , and supported federal disaster relief for India and Yugoslavia . He voted against price controls and other monetary restrictions , benefits for illegal immigrants , and public power .   Vice presidency ( 1953 -- 1961 )   General Dwight D. Eisenhower was nominated for president by the Republicans in 1952 . He had no strong preference for a vice presidential candidate , and Republican officeholders and party officials met in a `` smoke - filled room '' and recommended Nixon to the general , who agreed to the senator 's selection . Nixon 's youth ( he was then 39 ) , stance against communism , and political base in California -- one of the largest states -- were all seen as vote - winners by the leaders . Among the candidates considered along with Nixon were Ohio Senator Robert A. Taft , New Jersey Governor Alfred Driscoll and Illinois Senator Everett Dirksen . On the campaign trail , Eisenhower spoke to his plans for the country , leaving the negative campaigning to his running mate .  Front cover of literature for the Eisenhower -- Nixon campaign , 1952  In mid-September , the Republican ticket faced a major crisis . The media reported that Nixon had a political fund , maintained by his backers , which reimbursed him for political expenses . Such a fund was not illegal , but it exposed Nixon to allegations of possible conflict of interest . With pressure building for Eisenhower to demand Nixon 's resignation from the ticket , the senator went on television to deliver an address to the nation on September 23 , 1952 . The address , later termed the Checkers speech , was heard by about 60 million Americans -- including the largest television audience up to that point . Nixon emotionally defended himself , stating that the fund was not secret , nor had donors received special favors . He painted himself as a man of modest means ( his wife had no mink coat ; instead she wore a `` respectable Republican cloth coat '' ) and a patriot . The speech would be remembered for the gift which Nixon had received , but which he would not give back : `` a little cocker spaniel dog ... sent all the way from Texas . And our little girl -- Tricia , the 6 - year - old -- named it Checkers . '' The speech prompted a huge public outpouring of support for Nixon . Eisenhower decided to retain him on the ticket , which proved victorious in the November election .   Eisenhower gave Nixon responsibilities during his term as vice president -- more than any previous vice president . Nixon attended Cabinet and National Security Council meetings and chaired them when Eisenhower was absent . A 1953 tour of the Far East succeeded in increasing local goodwill toward the United States and prompted Nixon to appreciate the potential of the region as an industrial center . He visited Saigon and Hanoi in French Indochina . On his return to the United States at the end of 1953 , Nixon increased the amount of time he devoted to foreign relations .   Biographer Irwin Gellman , who chronicled Nixon 's congressional years , said of his vice presidency :   Eisenhower radically altered the role of his running mate by presenting him with critical assignments in both foreign and domestic affairs once he assumed his office . The vice president welcomed the president 's initiatives and worked energetically to accomplish White House objectives . Because of the collaboration between these two leaders , Nixon deserves the title , `` the first modern vice president '' .   Despite intense campaigning by Nixon , who reprised his strong attacks on the Democrats , the Republicans lost control of both houses of Congress in the 1954 elections . These losses caused Nixon to contemplate leaving politics once he had served out his term . On September 24 , 1955 , President Eisenhower suffered a heart attack ; his condition was initially believed to be life - threatening . Eisenhower was unable to perform his duties for six weeks . The 25th Amendment to the United States Constitution had not yet been proposed , and the Vice President had no formal power to act . Nonetheless , Nixon acted in Eisenhower 's stead during this period , presiding over Cabinet meetings and ensuring that aides and Cabinet officers did not seek power . According to Nixon biographer Stephen Ambrose , Nixon had `` earned the high praise he received for his conduct during the crisis ... he made no attempt to seize power '' .   His spirits buoyed , Nixon sought a second term , but some of Eisenhower 's aides aimed to displace him . In a December 1955 meeting , Eisenhower proposed that Nixon not run for reelection in order to give him administrative experience before a 1960 presidential run and instead become a Cabinet officer in a second Eisenhower administration . Nixon believed such an action would destroy his political career . When Eisenhower announced his reelection bid in February 1956 , he hedged on the choice of his running mate , stating that it was improper to address that question until he had been renominated . Although no Republican was opposing Eisenhower , Nixon received a substantial number of write - in votes against the President in the 1956 New Hampshire primary election . In late April , the President announced that Nixon would again be his running mate . Eisenhower and Nixon were reelected by a comfortable margin in the November 1956 election .  Vice President Nixon and Soviet Premier Nikita Khrushchev speak as the press looks on in part of what came to be known as the Kitchen Debate , July 24 , 1959 .  In early 1957 , Nixon undertook another major foreign trip , this time to Africa . On his return , he helped shepherd the Civil Rights Act of 1957 through Congress . The bill was weakened in the Senate , and civil rights leaders were divided over whether Eisenhower should sign it . Nixon advised the President to sign the bill , which he did . Eisenhower suffered a mild stroke in November 1957 , and Nixon gave a press conference , assuring the nation that the Cabinet was functioning well as a team during Eisenhower 's brief illness .   On April 27 , 1958 , Richard and Pat Nixon embarked on a goodwill tour of South America . In Montevideo , Uruguay , Nixon made an impromptu visit to a college campus , where he fielded questions from students on U.S. foreign policy . The trip was uneventful until the Nixon party reached Lima , Peru , where he was met with student demonstrations . Nixon went to the campus , got out of his car to confront the students , and stayed until forced back into the car by a volley of thrown objects . At his hotel , Nixon faced another mob , and one demonstrator spat on him . In Caracas , Venezuela , Nixon and his wife were spat on by anti-American demonstrators and their limousine was attacked by a pipe - wielding mob . According to Ambrose , Nixon 's courageous conduct `` caused even some of his bitterest enemies to give him some grudging respect '' .   In July 1959 , President Eisenhower sent Nixon to the Soviet Union for the opening of the American National Exhibition in Moscow . On July 24 , while touring the exhibits with Soviet Premier Nikita Khrushchev , the two stopped at a model of an American kitchen and engaged in an impromptu exchange about the merits of capitalism versus communism that became known as the `` Kitchen Debate '' .   1960 and 1962 elections ; wilderness years  Main article : United States presidential election , 1960 1960 electoral vote results  In 1960 , Nixon launched his first campaign for President of the United States . He faced little opposition in the Republican primaries and chose former Massachusetts Senator Henry Cabot Lodge Jr. as his running mate . His Democratic opponent was John F. Kennedy , and the race remained close for the duration . Nixon campaigned on his experience , but Kennedy called for new blood and claimed the Eisenhower -- Nixon administration had allowed the Soviet Union to overtake the U.S. in ballistic missiles ( the `` missile gap '' ) . A new political medium was introduced in the campaign : televised presidential debates . In the first of four such debates , Nixon appeared pale , with a five o'clock shadow , in contrast to the photogenic Kennedy . Nixon 's performance in the debate was perceived to be mediocre in the visual medium of television , though many people listening on the radio thought that Nixon had won . Nixon lost the election narrowly , with Kennedy ahead by only 112,827 votes ( 0.2 percent ) in the popular vote .  Outgoing Vice President Nixon and incoming Vice President Lyndon Johnson leave the White House on the morning of January 20 , 1961 , for the Kennedy -- Johnson inauguration ceremonies  There were charges of vote fraud in Texas and Illinois , both states won by Kennedy ; Nixon refused to consider contesting the election , feeling a lengthy controversy would diminish the United States in the eyes of the world , and the uncertainty would hurt U.S. interests . At the end of his term of office as vice president in January 1961 , Nixon and his family returned to California , where he practiced law and wrote a bestselling book , Six Crises , </t>
  </si>
  <si>
    <t xml:space="preserve">name a us president that ends with son</t>
  </si>
  <si>
    <t xml:space="preserve">   Richard Nixon             37th President of the United States     In office January 20 , 1969 -- August 9 , 1974     Vice President     Spiro Agnew ( 1969 -- 1973 )   None ( Oct -- Dec. 1973 )   Gerald Ford ( 1973 -- 1974 )       Preceded by   Lyndon B. Johnson     Succeeded by   Gerald Ford     36th Vice President of the United States     In office January 20 , 1953 -- January 20 , 1961     President   Dwight D. Eisenhower     Preceded by   Alben W. Barkley     Succeeded by   Lyndon B. Johnson     United States Senator from California     In office December 1 , 1950 -- January 1 , 1953     Preceded by   Sheridan Downey     Succeeded by   Thomas Kuchel     Member of the U.S. House of Representatives from California 's 12th district     In office January 3 , 1947 -- December 1 , 1950     Preceded by   Jerry Voorhis     Succeeded by   Patrick J. Hillings         Personal details       Richard Milhous Nixon ( 1913 - 01 - 09 ) January 9 , 1913 Yorba Linda , California , U.S.       April 22 , 1994 ( 1994 - 04 - 22 ) ( aged 81 ) Manhattan , New York , U.S.     Cause of death   Stroke and cerebral edema     Resting place   Richard Nixon Presidential Library and Museum Yorba Linda , California , U.S.     Political party   Republican     Spouse ( s )   Pat Ryan ( m . 1940 ; d . 1993 )     Children   Patricia `` Tricia '' and Julie     Parents   Frank Nixon Hannah Milhous Nixon     Alma mater   Whittier College Duke University     Profession   Lawyer     Nickname   Dick     Signature       Military service     Allegiance   United States     Service / branch   United States Navy Reserve     Years of service   1942 -- 1946 , active duty 1946 -- 1966 , inactive duty     Rank   Commander     Battles / wars    World War II    South Pacific theater       Awards   Navy and Marine Corps Commendation Medal ( 2 )   </t>
  </si>
  <si>
    <t xml:space="preserve">Kobe Bryant - Wikipedia  Kobe Bryant  Jump to : navigation , search  Kobe Bryant   Bryant in 2015           ( 1978 - 08 - 23 ) August 23 , 1978 ( age 39 ) Philadelphia , Pennsylvania     Nationality   American     Listed height   6 ft 6 in ( 1.98 m )     Listed weight   212 lb ( 96 kg )     Career information     High school   Lower Merion ( Ardmore , Pennsylvania )     NBA draft   1996 / Round : 1 / Pick : 13th overall     Selected by the Charlotte Hornets     Playing career   1996 -- 2016     Position   Shooting guard     Number   8 , 24     Career history     1996 -- 2016   Los Angeles Lakers         Career highlights and awards       5 × NBA champion ( 2000 -- 2002 , 2009 , 2010 )   2 × NBA Finals MVP ( 2009 , 2010 )   NBA Most Valuable Player ( 2008 )   18 × NBA All - Star ( 1998 , 2000 -- 2016 )   4 × NBA All - Star Game MVP ( 2002 , 2007 , 2009 , 2011 )   11 × All - NBA First Team ( 2002 -- 2004 , 2006 -- 2013 )   2 × All - NBA Second Team ( 2000 , 2001 )   2 × All - NBA Third Team ( 1999 , 2005 )   9 × NBA All - Defensive First Team ( 2000 , 2003 , 2004 , 2006 -- 2011 )   3 × NBA All - Defensive Second Team ( 2001 , 2002 , 2012 )   2 × NBA scoring champion ( 2006 , 2007 )   NBA Slam Dunk Contest champion ( 1997 )   NBA All - Rookie Second Team ( 1997 )   Naismith Prep Player of the Year ( 1996 )           Career statistics     Points   33,643 ( 25.0 ppg )     Rebounds   7,047 ( 5.2 rpg )     Assists   6,306 ( 4.7 apg )             Stats at Basketball-Reference.com         Medals ( hide )        Men 's basketball     Representing United States     Olympic Games       2008 Beijing   Team       2012 London   Team     FIBA Americas Championship       2007 Las Vegas   Team        Kobe Bean Bryant ( born August 23 , 1978 ) is an American retired professional basketball player and businessman . He played his entire 20 - year career with the Los Angeles Lakers of the National Basketball Association ( NBA ) . He entered the NBA directly from high school and won five NBA championships with the Lakers . Bryant is an 18 - time All - Star , 15 - time member of the All - NBA Team , and 12 - time member of the All - Defensive team . He led the NBA in scoring during two seasons , and ranks third on the league 's all - time regular season scoring and fourth on the all - time postseason scoring list . He holds the NBA record for the most seasons playing with one franchise for an entire career .   The son of former NBA player Joe Bryant , Kobe Bryant enjoyed a successful high school basketball career at Lower Merion High School in Pennsylvania , where he was recognized as the top high school basketball player in the country . He declared for the NBA draft upon graduation , and was selected with the 13th overall pick in the 1996 NBA draft by the Charlotte Hornets , who traded him to the Lakers . As a rookie , Bryant earned himself a reputation as a high - flyer and a fan favorite by winning the 1997 Slam Dunk Contest , and he was named an All - Star by his second season . Despite a feud between them , Bryant and Shaquille O'Neal led the Lakers to three consecutive championships from 2000 to 2002 .   In 2003 , Bryant was accused of sexual assault in Colorado , but the charges were eventually dropped , and a civil suit was settled out of court . After the Lakers lost the 2004 NBA Finals , O'Neal was traded to the Miami Heat . Bryant became the cornerstone of the Lakers , and he led the NBA in scoring during the 2005 -- 06 and 2006 -- 07 seasons . In 2006 , he scored a career - high 81 points against the Toronto Raptors , the second most points scored in a single game in league history behind Wilt Chamberlain 's 100 - point game in 1962 . Bryant was awarded the regular season 's Most Valuable Player Award ( MVP ) in 2008 . After losing in the 2008 NBA Finals , he led the Lakers to two consecutive championships in 2009 and 2010 , earning the Finals MVP Award on both occasions . He continued to be among the top players in the league through 2013 , when the 34 - year - old Bryant suffered a torn Achilles tendon . Although he recovered , his play was limited the following two years by season - ending injuries to his knee and shoulder , respectively . Citing his physical decline , he announced that he would be retiring after the 2015 -- 16 season .   At 34 years and 104 days of age , Bryant became the youngest player in league history to reach 30,000 career points . He became the all - time leading scorer in Lakers franchise history on February 1 , 2010 , when he surpassed Jerry West . Following his second year in the league , Bryant was chosen to start every All - Star Game until his retirement for a record 18 consecutive appearances , and his four All - Star MVP Awards are tied for the most in NBA history . At the 2008 and 2012 Summer Olympics , he won gold medals as a member of the U.S. national team . Sporting News and TNT named Bryant the top NBA player of the 2000s .     Contents  ( hide )   1 Early life and education   1.1 High school     2 Professional career   2.1 1996 NBA draft   2.2 Adjusting to the NBA ( 1996 -- 1999 )   2.3 Three - peat ( 1999 -- 2002 )   2.4 Coming up short ( 2002 -- 2004 )   2.5 Scoring records and playoff upsets ( 2004 -- 2007 )   2.6 Back on top ( 2007 -- 2010 )   2.7 Chasing a sixth championship ( 2010 -- 2013 )   2.8 Injury - plagued years ( 2013 -- 2015 )   2.9 Final season ( 2015 -- 2016 )     3 National team career   4 Player profile   5 NBA career statistics   5.1 Regular season   5.2 Playoffs     6 Legacy   7 Off the court   7.1 Personal life   7.2 Sexual assault allegation   7.3 Endorsements   7.4 Music   7.5 Philanthropy   7.6 Kobe Inc .   7.7 Bryant - Stibel     8 See also   9 Notes   10 References   11 External links      Early Life and education   Bryant was born in Philadelphia , as the youngest of three children and the only son of former NBA player Joe Bryant and Pamela Cox Bryant . He is also the maternal nephew of basketball player John `` Chubby '' Cox . His parents named him after the famous beef of Kobe , Japan , which they saw on a restaurant menu . His middle name , Bean , is derived from his father 's nickname `` Jellybean '' . Bryant was raised Roman Catholic . When Bryant was six , his father left the NBA and moved his family to Rieti in Italy to continue playing professional basketball . Bryant became accustomed to his new lifestyle and learned to speak fluent Italian . During summers , he would come back to the United States to play in a basketball summer league .   Bryant started playing basketball when he was 3 years old , and his favorite team growing up was the Lakers . Bryant 's grandfather would mail him videos of NBA games , which Bryant would study . At an early age , he also learned to play soccer and his favorite team was A.C. Milan . Upon Joe Bryant 's retirement from playing basketball in 1991 , the Bryant family moved back to the United States .   High school  Bryant 's retired No. 33 jersey and banner at the Lower Merion High School gym .  Bryant earned national recognition during a spectacular high school career at Lower Merion High School located in Ardmore , in the Philadelphia suburb of Lower Merion . As a freshman , he played for the varsity basketball team . He became the first freshman in decades to start for Lower Merion 's varsity team , but the team finished with a 4 -- 20 record . The following three years , the Aces compiled a 77 -- 13 record , with Bryant playing all five positions . During his junior year , he averaged 31.1 points , 10.4 rebounds and 5.2 assists and was named Pennsylvania Player of the Year , attracting attention from college recruiters in the process . Duke , Michigan , North Carolina and Villanova were at the top of his list ; however , when Kevin Garnett went in the first round of the 1995 NBA draft , he began considering going directly to the pros .   At Adidas ABCD camp , Bryant earned the 1995 senior MVP award , while playing alongside future NBA teammate Lamar Odom . While in high school , then 76ers coach John Lucas invited Bryant to work out and scrimmage with the team , where he played one - on - one with Jerry Stackhouse . In his senior year of high school , Bryant led the Aces to their first state championship in 53 years . During the run , he averaged 30.8 points , 12 rebounds , 6.5 assists , 4.0 steals , and 3.8 blocked shots in leading the Aces to a 31 -- 3 record . Bryant ended his high school career as Southeastern Pennsylvania 's all - time leading scorer at 2,883 points , surpassing both Wilt Chamberlain and Lionel Simmons .   Bryant received several awards for his performance his senior year including being named Naismith High School Player of the Year , Gatorade Men 's National Basketball Player of the Year , a McDonald 's All - American , and a USA Today All - USA First Team player . Bryant 's varsity coach , Greg Downer , commented that he was `` a complete player who dominates '' and praised his work ethic , even as the team 's top player . In 1996 , Bryant took R&amp;B singer Brandy to his senior prom , though the two were , and remain , just friends . Ultimately , however , the 17 - year - old Bryant made the decision to go directly into the NBA , only the sixth player in NBA history to do so . Bryant 's news was met with a lot of publicity at a time when prep - to - pro NBA players were not very common ( Garnett being the only exception in 20 years ) . His basketball skills and SAT score of 1080 would have ensured admission to any college he chose , but he did not officially visit any campuses . In 2012 , Bryant was honored as one of the 35 Greatest McDonald 's All - Americans .   Professional career   1996 NBA draft   The first guard to ever be taken out of high school , Bryant was chosen as the 13th overall draft pick by the Charlotte Hornets in 1996 . According to Arn Tellem , Bryant 's agent at the time , Bryant playing for the Charlotte Hornets was `` an impossibility '' . However , Bill Branch , the Hornets ' head scout at the time , said that the Hornets agreed to trade their draft selection to the Los Angeles Lakers before picking Bryant . The teams agreed to the trade the day before the draft and the Lakers told the Hornets whom to select five minutes before the pick was made . Branch said that prior to the trade agreement , the Hornets never even considered drafting Bryant . Prior to the draft , Bryant had worked out in Los Angeles , where he scrimmaged against former Lakers players Larry Drew and Michael Cooper and , according to then - Laker manager Jerry West , `` marched over these people '' . On July 1 , 1996 , West traded his starting center , Vlade Divac , to the Hornets in exchange for Bryant 's draft rights . Since he was still 17 at the time of the draft , his parents had to cosign his contract with the Lakers until he was able to sign his own when he turned 18 before the season began .   Adjusting to the NBA ( 1996 -- 1999 )   Bryant debuted in the Summer Pro League in Long Beach , California , scoring 25 points in front of a standing - room - only crowd . Defenders struggled to get in front of him , and his performance excited West and Lakers coach Del Harris . He scored 36 points in the finale , and finished with averages of 24.5 points and 5.3 rebounds in four game . As a rookie in 1996 -- 97 , Bryant mostly came off the bench behind guards Eddie Jones and Nick Van Exel . At the time he became the youngest player ever to play in an NBA game ( 18 years , 72 days ; a record since broken by Jermaine O'Neal and former teammate Andrew Bynum ) , and also became the youngest NBA starter ever ( 18 years , 158 days ) . Initially , Bryant played limited minutes , but as the season continued , he began to see some more playing time . By the end of the season , he averaged 15.5 minutes a game . During the All - Star weekend , Bryant participated in the Rookie Challenge and won the 1997 Slam Dunk Contest , becoming the youngest dunk champion ever at the age of 18 . Bryant 's performance throughout the year earned him a spot on the NBA All - Rookie Second Team with fellow bench teammate Travis Knight . The Lakers advanced to the Western Conference semifinals in the playoffs against the Utah Jazz , when Bryant was pressed into a lead role at the end of Game 5 . Byron Scott missed the game with a sprained wrist , Robert Horry was ejected for fighting with the Utah 's Jeff Hornacek , and Shaquille O'Neal fouled out with 1 : 46 remaining in the fourth quarter . Bryant shot four air balls at the end of the game ; the Jazz won 98 -- 93 in overtime to eliminate the Lakers 4 -- 1 . He first whiffed a game - winning 2 - point jump shot in the fourth quarter , and then misfired three three - point field goals in overtime , including two tying shots in the final minute . O'Neal commented that `` ( Bryant ) was the only guy who had the guts at the time to take shots like that . ''   In Bryant 's second season , he received more playing time and began to show more of his abilities as a talented young guard . As a result , Bryant 's point averages more than doubled from 7.6 to 15.4 points per game . Bryant would see an increase in minutes when the Lakers `` played small '' , which would feature Bryant playing small forward alongside the guards he would usually back up . Bryant was the runner - up for the NBA 's Sixth Man of the Year Award , and through fan voting , he also became the youngest NBA All - Star starter in NBA history . He was joined by teammates O'Neal , Van Exel , and Jones , making it the first time since 1983 that four players on the same team were selected to play in the same All - Star Game . Bryant 's 15.4 points per game was the highest of any non-starter in the season .   The 1998 -- 99 season marked Bryant 's emergence as a premier guard in the league . With starting guards Van Exel and Jones traded , Bryant started every game for the lockout - shortened 50 - game season . During the season , Bryant signed a 6 - year contract extension worth $70 million . This kept him with the Lakers until the end of the 2003 -- 04 season . Even at an early stage of his career , sportswriters were comparing his skills to those of Michael Jordan and Magic Johnson . The playoff results , however , were no better , as the Lakers were swept by the San Antonio Spurs in the Western Conference Semifinals .   Three - peat ( 1999 -- 2002 )  Bryant was a member of the Lakers teams that won three consecutive NBA Championships from 2000 to 2002 .  Bryant 's fortunes would soon change when Phil Jackson became coach for the Lakers in 1999 . After years of steady improvement , Bryant became one of the premier shooting guards in the league , earning appearances in the league 's All - NBA , All - Star , and All - Defensive teams . The Lakers became championship contenders under Bryant and O'Neal , who formed a legendary center - guard combination . Jackson utilized the triangle offense he used to win six championships with the Chicago Bulls , which would help both Bryant and O'Neal rise to the elite class of the NBA . The three resulting championships won consecutively in 2000 , 2001 , and 2002 further proved such a fact .   Bryant started the 1999 -- 2000 season sidelined for six weeks due to an injury to his hand suffered during a preseason game against the Washington Wizards . With Bryant back and playing over 38 minutes a game , he saw an increase in all statistical categories in the 1999 -- 2000 season . This included leading the team in assists per game and steals per game . The duo of O'Neal and Bryant backed with a strong bench led to the Lakers winning 67 games , tied for fifth-most in NBA history . This followed with O'Neal winning the MVP and Bryant being named to the All - NBA Team Second Team and All - NBA Defensive Team for the first time in his career ( the youngest player ever to receive defensive honors ) . While playing second fiddle to O'Neal in the playoffs , Bryant had some clutch performances including a 25 - point , 11 rebound , 7 assist , 4 block game in game 7 of the Western Conference finals against the Portland Trail Blazers . He also threw an alley - oop pass to O'Neal to clinch the game and the series . In the 2000 Finals against the Indiana Pacers , Bryant injured his ankle in the second quarter of Game 2 after landing on the Pacers ' Jalen Rose 's foot . Rose later admitted he placed his foot under Bryant intentionally . Bryant did not return to the game , and he also missed Game 3 due to the injury . In Game 4 , Bryant scored 22 points in the second half , and led the team to an OT victory as O'Neal fouled out of the game . Bryant scored the winning shot to put the Lakers ahead 120 -- 118 . With a 116 -- 111 Game 6 victory , the Lakers won their first championship since 1988 .   Statistically , the 2000 -- 01 season saw Bryant perform similarly to the previous year , but he averaged 6 more points a game ( 28.5 ) . It was also the year when disagreements between Bryant and O'Neal began to surface . Once again he led the team in assists with 5 per game . The Lakers however , only won 56 games , an 11 - game drop off from last year . The Lakers would respond by going 15 -- 1 in the playoffs . They easily swept the Portland Trail Blazers , Sacramento Kings , and San Antonio Spurs to advance to the Finals , before losing their first game against the Philadelphia 76ers in OT . They would go on to win the next 4 games and bring their second championship to Los Angeles in as many seasons . During the playoffs , Bryant played heavy minutes which brought his stats up to 29.4 points , 7.3 rebounds , and 6.1 assists per game . In the playoffs , teammate O'Neal declared Bryant the best player in the league . Bryant ended up making the All NBA Second team and All NBA Defensive Team for the second year in a row . In addition , he was also voted to start in the NBA All - Star Game for the 3rd year in a row ( no game in 1999 ) .   In the 2001 -- 02 season , Bryant played 80 games for the first time in his career . He continued his all - round play by averaging 25.2 points , 5.5 rebounds , and 5.5 assists per game . He also had a career high 46.9 % shooting and once again led his team in assists . He claimed his first All - Star MVP trophy after a 31 - point performance in Philadelphia , when he was loudly booed by fans as they had throughout the game , stemming from his earlier comment to a 76ers heckler during the Finals that the Lakers were `` going to cut your hearts out '' . While making the All - NBA Defensive team again , he was also promoted to the All - NBA First Team for the first time in his career . The Lakers won 58 games that year and finished second place in the Pacific Division behind in - state rival Sacramento Kings . Bryant was suspended one game after he punched Reggie Miller of the Indiana Pacers after the Lakers ' March 1 , 2002 victory over the Pacers .   The road to the Finals would prove a lot tougher than the record run the Lakers had the previous year . While the Lakers swept the Blazers and defeated the Spurs 4 -- 1 in the first two rounds of the playoffs , the Lakers did not have home court advantage against the Sacramento Kings . The series would stretch to 7 games , the first time this happened to the Lakers since the 2000 Western Conference Finals . However , the Lakers were able to beat their division rivals and make their third consecutive NBA Finals appearance . In the 2002 Finals against the New Jersey Nets , Bryant averaged 26.8 points , 51.4 % shooting , 5.8 rebounds , 5.3 assists per game , which included scoring a quarter of the teams points . At age 23 , Bryant became the youngest player to win three championships . Bryant 's play was notable and praised for his performance in the 4th quarter of games , specifically the last 2 rounds of the playoffs . This cemented Bryant 's reputation as a `` clutch player '' .   Coming up short ( 2002 -- 2004 )  Bryant prepares to shoot a free throw in 2005 .  In the 2002 -- 03 season , Bryant set an NBA record for three - pointers on January 7 , 2003 , making 12 against the Seattle SuperSonics . He averaged 30 points per game and embarked on a historic run , posting 40 or more points in nine consecutive games while averaging 40.6 in the entire month of February . In addition , he averaged 6.9 rebounds , 5.9 assists , and 2.2 steals per game , all career highs to that point . Bryant was once again voted to both the All - NBA and All - Defensive 1st teams , and came in third place in voting for the MVP award . After finishing 50 -- 32 in the regular season , the Lakers floundered in the playoffs and lost in the Western Conference semi-finals to the eventual NBA champions San Antonio Spurs in six games .   In the following 2003 -- 04 season , the Lakers were able to acquire NBA All - Stars Karl Malone , and Gary Payton to make another push at the NBA Championship . Before the season began , Bryant was arrested for sexual assault . This caused Bryant to miss some games due to court appearances or attend court earlier in the day and travel to play games later in same day . In the final game of the regular season , the Lakers played the Portland Trail Blazers . Bryant made two buzzer beaters to win the game and the Pacific Division title . At the end of the fourth quarter , Bryant made a 3 - pointer with 1.1 seconds left to send it into overtime . The game eventually went to a second overtime , in which Bryant made another 3 - pointer as time expired to lift the Lakers past the Blazers , 105 -- 104 .   With a starting lineup of O'Neal , Malone , Payton , and Bryant , the Lakers were able to reach the NBA Finals . However , they were upset in five games by the Detroit Pistons , who won their first championship since 1990 . In that series , Bryant averaged 22.6 points per game and 4.4 assists . He shot 35.1 % from the field . Jackson 's contract as coach was not renewed , and Rudy Tomjanovich took over . O'Neal was traded to the Miami Heat for Lamar Odom , Caron Butler , and Brian Grant . The following day , Bryant declined an offer to sign with the Los Angeles Clippers and re-signed with the Lakers on a seven - year contract .   Scoring records and playoff upsets ( 2004 -- 2007 )   Bryant was closely scrutinized and criticized during the 2004 -- 05 season with his reputation badly damaged from all that had happened over the previous year . A particularly damaging salvo came when Jackson wrote The Last Season : A Team in Search of Its Soul . The book detailed the events of the Lakers ' tumultuous 2003 -- 04 season and has a number of criticisms of Bryant . In the book , Jackson called Bryant `` un-coachable '' . Midway through the season , Tomjanovich suddenly resigned as Lakers coach , citing the recurrence of health problems and exhaustion . Without Tomjanovich , stewardship of the remainder of the Lakers ' season fell to career assistant coach Frank Hamblen . Bryant was the league 's second - leading scorer at 27.6 points per game , but he was surrounded by a subpar supporting cast , and the Lakers went 34 -- 48 and missed the playoffs for the first time in over a decade . The year signified a drop in Bryant 's overall status in the NBA , as he did not make the NBA All - Defensive Team and was also demoted to the All - NBA Third Team . During the season , Bryant also engaged in public feuds with Malone and Ray Allen .   The 2005 -- 06 NBA season would mark a crossroads in Bryant 's basketball career . Despite past differences with Bryant , Jackson returned to coach the Lakers . Bryant endorsed the move , and by all appearances , the two men worked together well the second time around , leading the Lakers back into the playoffs . Bryant 's individual scoring accomplishments posted resulted in the finest statistical season of his career . On December 20 , 2005 , Bryant scored 62 points in three quarters against the Dallas Mavericks . Entering the fourth quarter , Bryant outscored the entire Mavericks team 62 -- 61 , the only time a player has done this through three quarters since the introduction of the shot clock . When the Lakers faced the Miami Heat on January 16 , 2006 , Bryant and Shaquille O'Neal made headlines by engaging in handshakes and hugs before the game , signifying a change in the feud that had festered between them . A month later , at the 2006 NBA All - Star Game , the two were seen laughing together .  Bryant scored a career high of 81 - points against the Toronto Raptors in Staples Center , second - highest single scoring performance in NBA history , surpassed only by Wilt Chamberlain 's 100 - point game in 1962 .  On January 22 , 2006 , Bryant scored a career - high 81 points in a 122 -- 104 victory against the Toronto Raptors . In addition to breaking the previous franchise record of 71 set by Elgin Baylor , Bryant 's 81 - point game was the second - highest point total in NBA history , surpassed only by Chamberlain 's 100 - point game in 1962 . Whereas Chamberlain was fed repeatedly by teammates for inside shots in a blowout win , Bryant created his own shot -- mostly from the outside -- in a game which the Lakers trailed at halftime by 14 and did not pull away until the fourth quarter . Chamberlain , playing in an era when the games were paced faster and scoring opportunities were more plentiful , accounted for 59 percent of his team 's points in Philadelphia 's 169 -- 147 win , compared to Bryant scoring 66 percent of the Lakers ' 122 points . In that same month , Bryant also became the first player since 1964 to score 45 points or more in four consecutive games , joining Chamberlain and Baylor as the only players ever to do so . For the month of January , Bryant averaged 43.4 points per game , the eighth highest single month scoring average in NBA history and highest for any player other than Chamberlain . By the end of the 2005 -- 06 season , Bryant set Lakers single - season franchise records for most 40 - point games ( 27 ) and most points scored ( 2,832 ) . He won the league 's scoring title for the first time by averaging 35.4 points per game , becoming just the fifth player in league history to average at least 35 in a season . Bryant finished in fourth place in the voting for the 2006 NBA Most Valuable Player Award , but received 22 first place votes -- second only to winner Steve Nash .   Later in the season , it was reported that Bryant would change his jersey number from 8 to 24 at the start of the 2006 -- 07 NBA season . Bryant 's first high school number was 24 before he switched to 33 . After the Lakers ' season ended , Bryant said on TNT that he wanted 24 as a rookie , but it was unavailable , as was 33 , retired with Kareem Abdul - Jabbar . Bryant wore 143 at the Adidas ABCD camp , and chose 8 by adding those numbers . In the first round of the playoffs , the Lakers played well enough to reach a 3 -- 1 series lead over the Phoenix Suns , culminating with Bryant 's overtime - forcing and game - winning shots in Game 4 . They came within six seconds of eliminating the second - seeded Suns in Game 6 , however , they lost that game 126 -- 118 in overtime . Despite Bryant 's 27.9 points per game in the series , the Lakers broke down , and ultimately fell to the Suns in seven games . After scoring 50 points on 20 of 35 shooting in the Game 6 loss , Bryant was criticized for only taking three shots in the second half of the 121 -- 90 Game 7 loss to Phoenix .  Bryant scored fifty points or more in four consecutive games and ten total in the 2006 -- 07 season .  During the 2006 -- 07 season , Bryant was selected to his 9th All - Star Game appearance , and on February 18 , he logged 31 points , 6 assists , and 6 steals , earning his second career All - Star Game MVP trophy . Over the course of the season , Bryant became involved in a number of on court incidents . On January 28 while attempting to draw contact on a potential game winning jumpshot , he flailed his arm , striking San Antonio Spurs guard Manu Ginóbili in the face with his elbow . Following a league review , Bryant was suspended for the subsequent game at Madison Square Garden against the New York Knicks . The basis given for the suspension was that Bryant had performed an `` unnatural motion '' in swinging his arm backwards . Later , on March 6 , he seemed to repeat the motion , this time striking Minnesota Timberwolves guard Marko Jarić . On March 7 , the NBA handed Bryant his second one - game suspension . In his first game back on March 9 , he elbowed Kyle Korver in the face which was retroactively re-classified as a Type 1 flagrant foul .   On March 16 , Bryant scored a season - high 65 points in a home game against the Portland Trail Blazers , which helped end the Lakers 7 - game losing streak . This was the second - best scoring performance of his 11 - year career . The following game , Bryant recorded 50 points against the Minnesota Timberwolves , after which he scored 60 points in a road win against the Memphis Grizzlies -- becoming the second Laker to score three straight 50 - plus point games , a feat not seen since Jordan last did it in 1987 . The only other Laker to do so was Baylor , who also scored 50 + in three consecutive contests in December 1962 . In the following day , in a game against the New Orleans Hornets , Bryant scored 50 points , making him the second player in NBA history to have four straight 50 - point games behind Chamberlain , who achieved it twice with streaks of five and seven . Bryant finished the year with a total of ten 50 - plus point games , matched only by Chamberlain . Bryant also won his second straight scoring title that season . Throughout the 2006 -- 07 season , his jersey became the top selling NBA jersey in the United States and China . A number of journalists have attributed the improved sales to Bryant 's new number , as well as his continuing All - Star performance on the court . In the 2007 NBA playoffs , the Lakers were once again eliminated in the first round by the Phoenix Suns , 4 -- 1 .   Back on top ( 2007 -- 2010 )   On May 27 , 2007 , ESPN reported that Bryant stated that he wanted to be traded if Jerry West did not return to the team with full authority . Bryant later confirmed his desire for West 's return to the franchise , but denied stating that he would want to be traded if that does not occur . However , three days later , on Stephen A. Smith 's radio program , Bryant expressed anger over a Lakers `` insider '' who claimed that Bryant was responsible for Shaquille O'Neal 's departure from the team , and publicly stated , `` I want to be traded . '' Three hours after making that statement , Bryant stated in another interview that after having a conversation with head coach Jackson , he has reconsidered his decision and backed off his trade request . Bryant was later shown in an infamous amateur video saying that center Andrew Bynum should have been traded for All - Star Jason Kidd .  Bryant 's Lakers lost to the Boston Celtics in 6 games during the 2008 NBA Finals .  On December 23 , 2007 , Bryant became the youngest player ( 29 years , 122 days ) to reach 20,000 points , in a game against the New York Knicks , in Madison Square Garden . This record has since been broken by LeBron James . Despite an injury to his shooting hand 's small finger , described as `` a complete tear of the radial collateral ligament , an avulsion fracture , and a volar plate injury at the MCP joint '' that occurred in a game on February 5 , 2008 , Bryant played all 82 games of the regular season instead of opting for surgery . Regarding his injury , he stated , `` I would prefer to delay any surgical procedure until after our Lakers season , and this summer 's Olympic Games . But , this is an injury that myself ( sic ) and the Lakers ' medical staff will just have to continue to monitor on a day - to - day basis . '' In early September 2008 , Bryant decided not to have surgery to repair the injury .   Aided by the signing of Spanish All - Star Pau Gasol , Bryant lead his team to a West best 57 -- 25 record . The Lakers swept the Nuggets in the first round and on May 6 , 2008 , and Bryant was officially announced as the league MVP . He said , `` It 's been a long ride . I 'm very proud to represent this organization , to represent this city . '' West , who was responsible for bringing Bryant to the Lakers , was on hand at the press conference to observe Bryant receive his MVP trophy from NBA commissioner David Stern . He stated , `` Kobe deserved it . He 's had just another great season . Does n't surprise me one bit . '' In addition to winning his MVP award , Bryant was the only unanimous selection to the All - NBA team</t>
  </si>
  <si>
    <t xml:space="preserve">when did kobe bryant win his first ring</t>
  </si>
  <si>
    <t xml:space="preserve"> Kobe Bryant   Bryant in 2015           ( 1978 - 08 - 23 ) August 23 , 1978 ( age 39 ) Philadelphia , Pennsylvania     Nationality   American     Listed height   6 ft 6 in ( 1.98 m )     Listed weight   212 lb ( 96 kg )     Career information     High school   Lower Merion ( Ardmore , Pennsylvania )     NBA draft   1996 / Round : 1 / Pick : 13th overall     Selected by the Charlotte Hornets     Playing career   1996 -- 2016     Position   Shooting guard     Number   8 , 24     Career history     1996 -- 2016   Los Angeles Lakers         Career highlights and awards       5 × NBA champion ( 2000 -- 2002 , 2009 , 2010 )   2 × NBA Finals MVP ( 2009 , 2010 )   NBA Most Valuable Player ( 2008 )   18 × NBA All - Star ( 1998 , 2000 -- 2016 )   4 × NBA All - Star Game MVP ( 2002 , 2007 , 2009 , 2011 )   11 × All - NBA First Team ( 2002 -- 2004 , 2006 -- 2013 )   2 × All - NBA Second Team ( 2000 , 2001 )   2 × All - NBA Third Team ( 1999 , 2005 )   9 × NBA All - Defensive First Team ( 2000 , 2003 , 2004 , 2006 -- 2011 )   3 × NBA All - Defensive Second Team ( 2001 , 2002 , 2012 )   2 × NBA scoring champion ( 2006 , 2007 )   NBA Slam Dunk Contest champion ( 1997 )   NBA All - Rookie Second Team ( 1997 )   Naismith Prep Player of the Year ( 1996 )           Career statistics     Points   33,643 ( 25.0 ppg )     Rebounds   7,047 ( 5.2 rpg )     Assists   6,306 ( 4.7 apg )             Stats at Basketball-Reference.com         Medals ( hide )        Men 's basketball     Representing United States     Olympic Games       2008 Beijing   Team       2012 London   Team     FIBA Americas Championship       2007 Las Vegas   Team      </t>
  </si>
  <si>
    <t xml:space="preserve">I Can Only Imagine ( MercyMe song ) - wikipedia  I Can Only Imagine ( MercyMe song )       `` I Can Only Imagine ''     Single cover     Single by MercyMe     from the album The Worship Project and Almost There     A-side   `` Word of God Speak ''     Released   2001     Format     CD   digital download       Recorded     1999 and 2001 in the United States   Ivy Park   The Indigo Room   Paradise Sound   IBC Studios       Genre     Christian alternative rock   pop rock   contemporary Christian       Length   4 : 08     Label     INO   Curb       Songwriter ( s )   Bart Millard     Producer ( s )   Pete Kipley     MercyMe singles chronology        `` Bless Me Indeed ( Jabez 's Song ) '' ( 2001 )   `` I Can Only Imagine '' ( 2001 )   `` Spoken For '' ( 2002 )        `` I Can Only Imagine '' ( sometimes shortened to `` Imagine '' ) is a single recorded by Christian rock band MercyMe . Written and composed by lead vocalist Bart Millard , the song , based around a main piano track , was inspired by the death of Millard 's father and considers what it would be like in Heaven and to be standing before God . The song was first issued as a track on MercyMe 's 1999 album The Worship Project , which was released on an independent record label . The song was re-recorded and included on their 2001 major - label debut album Almost There as the fifth song on the album .   `` I Can Only Imagine '' was released in 2001 as the album 's lead single . It gained significant airplay on Christian radio formats before crossing over to mainstream radio formats such as adult contemporary and Top 40 in late 2003 and into 2004 ; to aid in promotion to these markets , a double A-side physical single ( combined with `` Word of God Speak '' ) was released in 2003 . It charted on several formats , including the Billboard Adult Contemporary ( where it peaked at No. 5 ) and the Hot 100 ( where it peaked at No. 71 ) . In 2002 , `` I Can Only Imagine '' earned the Dove Awards for ' Pop / Contemporary Recorded Song of the Year ' and ' Song of the Year ' ; Millard earned the Dove Award ' Songwriter of the Year ' at the same ceremony . With 2.5 million copies sold , it is the best - selling Christian single of all time , having been certified 3x platinum by the RIAA . As of 2018 , it is the only Christian song to reach that milestone .   Contents    1 Background   2 Composition   3 Release and promotion   4 Impact   5 Music video   6 Reception   6.1 Critical response   6.2 Chart performance   6.3 Awards and accolades     7 Other versions   8 Track listing   9 Release history   10 Charts and certifications   11 Film adaptation   12 References   13 External links    Background ( edit )   `` I Can Only Imagine '' was the debut single for United States contemporary Christian and Christian rock band MercyMe . Bart Millard , the band 's vocalist , lost his father , Arthur Wesley Millard Jr. , in 1991 . Millard was 18 at the time . Millard began writing the words `` I can only imagine '' on items when he was thinking about his father . During the recording of the band 's 1999 independent album The Worship Project , MercyMe needed one more song to fill out the album . Millard , alone on a bus in the middle of the night , finally wrote the lyrics to the song by drawing on his thoughts and personal faith about what one would experience standing before God in Heaven . Millard attests that `` ( ' I Can Only Imagine ' ) is one of the only songs I have ever written where there was n't any mistakes , it was just written the way it is and left at that '' , and estimated that it took him only ten minutes to write the lyrics .   In writing the music for the song , however , the band faced more difficulty ; Millard noted that `` at first it was a fast song ... it was all these random ideas '' . Keyboardist Jim Bryson noted that , `` we were literally tearing down the stuff ... ( Millard ) and I were talking about arranging it differently and doing a slower version , so we just tried out a piano intro ... it was literally the first thing I played . It was n't anything to do with me , I think it was just a God thing . ( Millard ) said ' here it is , this is what 's going to happen ' , and we laid the song down in about five minutes . '' At that time , the other MercyMe members were Robby Shaffer on drums and percussion , Nathan Cochran on bass guitar and Michael Scheuchzer on guitar . This line - up recorded the first version of the song for The Worship Project . In 2006 , it was included in the ' Platinum Edition ' of Almost There .   Composition ( edit )       I Can Only Imagine A sample of `` I Can Only Imagine '' . MercyMe 's debut single , `` I Can Only Imagine '' is `` a passionate piano - driven ballad . The song considers what it would be like to be in the presence of God . Delivered with conviction , the song is emotionally compelling '' .     Problems playing this file ? See media help .     `` I Can Only Imagine '' is a ballad with a length of four minutes and eight seconds . The song is set in the key of E major and has a moderately slow tempo of 80 beats per minute with a vocal range from B -- G ♯ . The song opens up with only a piano , and builds up to include guitar and drums . Millard is credited with both the lyrics and music to the song . The song was produced by Pete Kipley , who had worked with MercyMe previously as well as with artists including Rebecca St. James , Phil Wickham and Lincoln Brewster .   The lyrics to the song are based around the narrator wondering what it will be like in Heaven and to be standing before God . Regarding this theme , Millard explained to Fox News that `` I was always told that if he could choose , he would rather be in Heaven than here with me . As a Christian I believed that , but as an 18 - year - old it was a little hard to swallow . So the questions in the song came from me asking God what was so great about Him that my dad would rather be there . ''   Release and promotion ( edit )  MercyMe 's lead singer - songwriter , Bart Millard ( left ) and drummer , Robby Shaffer , performing in February 2008 .  `` I Can Only Imagine '' was re-recorded for their major - label debut record Almost There and released as its lead single in 2001 . The album was recorded in various locations : Ivy Park , The Indigo Room , Paradise Sound and IBC Studios . The single gained radio airplay on some contemporary Christian formats ; by November , it peaked at number - one on the Radio &amp; Records Christian AC format and in the top twenty of the Radio &amp; Records Christian CHR chart .   In 2003 , a Dallas mainstream radio station , 100.3 Wild - FM , first played the song on its morning show , The Fitz Radio Program . They had responded to a caller 's repeated requests and the urgings of the program 's producer , Todd Sheppard . The song soon became the most requested and most played song on the station . After hearing the song played on the station , Millard called - in and spoke with the crew ; MercyMe then came in and played the song live .   As other stations around the country caught on , MercyMe 's label , INO Records , partnered with Curb Records . They marketed the single to wider audiences , such as Top 40 radio . In September , INO and Curb also released a double A-side physical single , `` I Can Only Imagine / Word of God Speak '' . The latter track was co-written by Millard with the band 's producer , Kipley . Eventually , the song cracked into secular charts , including the Billboard Hot 100 and the Hot Adult Contemporary Tracks charts .   Impact ( edit )   MercyMe did not expect `` I Can Only Imagine '' to gain mainstream success , in part due to its explicit references to Jesus and Heaven . Millard noted that the band joked around about `` the top five songs never to cross over , and they had included `` I Can Only Imagine '' on that list . Millard also believed some radio stations were playing the song to prove it could not succeed on mainstream radio . The song had a significant effect on the band 's musical image ; in an interview , Millard commented that `` We were a rock band when we started 11 years ago . But we kind of became the ' adult contemporary poster child ' when ' I Can Only Imagine ' took off '' .   Music video ( edit )  Millard holding his father 's photograph in the music video .  A music video was released for `` I Can Only Imagine '' . Millard recalled the video 's inspiration : `` I just kept seeing all these people holding picture frames ( at MercyMe concerts ) that are empty because we all carry these people with us in some way . I 've had so many people after a show pull out a picture of someone they 've lost . These people embrace these photos and I just thought how can we tap into that '' . The video features everyday people as well as several music artists including Michael Tait , Tammy Trent , Bob Herdman , and Jesse Katina , each holding an empty picture frame to signify their loss of a loved one ; as the video progresses , they are holding pictures of their loved ones including Millard with his father 's photograph .   The video opens with a shot of an empty room and a chair , shifting to show a young boy climbing up a flight of stairs . The camera then shifts to the band before returning to the boy , now in an attic which is filled with many empty picture frames . The video alternates between shots of the boy and the band before shifting to individual shots of other people , each holding an empty picture frame . As the other instruments join in , the camera comes back to the band , focusing on them before returning to shots of the people , whose picture frames now contain pictures of deceased relatives . At the end of the video , the camera returns to the boy , now running down a street with an empty frame , climaxing with him lying down in a field with the empty frame .   Reception ( edit )   Critical response ( edit )   Critical reception for `` I Can Only Imagine '' was positive . Steve Losey of AllMusic commented that `` ( the song ) is a passionate piano - driven ballad . The song considers what it would be like to be in the presence of God . Delivered with conviction , the song is emotionally compelling '' . Jesus Freak Hideout 's reviewer Kevin Chamberlin felt `` The lyrics for the song are amazing . If you have n't listened to the lyrics , because you 're afraid of hearing pop music , get over it and listen to it . '' Kevin McNeese of NewReleaseTuesday commented that `` The definite highlight on ( Almost There ) is the worship / ballad ' I Can Only Imagine ' ... The song starts out with just piano that instantly invokes chills and builds dynamically into a powerful display of drums and guitar . But what makes the song are the lyrics , penned by Bart Millard himself . The song speaks about that day that we all dream about when we finally meet Jesus ... It 's a song that ca n't be listened to with eyes open '' .   Chart performance ( edit )   `` I Can Only Imagine '' debuted on the Billboard Hot 100 for the chart week of 11 October 2003 at No. 76 . The song peaked at No. 71 for two weeks and spent 16 non-consecutive weeks on the Hot 100 . On the Adult Contemporary chart , `` I Can Only Imagine '' debuted at No. 29 for the chart week of 23 May 2003 , with an eventual peak of No. 5 for the chart week of 8 September 2003 ; in all , `` I Can Only Imagine '' spent 30 weeks on the chart .   On the Adult Top 40 chart , `` I Can Only Imagine '' debuted at No. 39 for the chart week of 9 August 2003 and reached a peak position of No. 27 , holding that spot for three consecutive weeks ; in all , the song spent 26 weeks on the chart . On the Mainstream Top 40 chart , the song debuted at No. 37 for the chart week of 12 July 2003 , reaching an eventual peak of No. 33 . On the Country Songs chart , the song debuted at No. 58 for the chart week of 27 December 2003 , reaching an eventual peak of No. 52 , which it held for two weeks . According to Mike Curb on the Curb Records website , `` I Can Only Imagine '' also peaked at No. 1 on the Billboard Hot 100 Singles Sales chart for 10 weeks , No. 1 on the Radio &amp; Records Christian AC chart for two weeks , and No. 15 on the Christian CHR chart .   In April 2010 , `` I Can Only Imagine '' was certified platinum by the RIAA , signifying sales of over 1,000,000 digital downloads . It is the first single by any artist in the Christian music genre to go platinum . The song was certified 2x platinum in 2014 . It was certified 3x platinum in 2018 . As of June 2018 , it has sold 3 million copies , making it the best - selling Christian single of all time .   Awards and accolades ( edit )   `` I Can Only Imagine '' earned two GMA Dove Awards in 2002 ; ' Pop / Contemporary Recorded Song of the Year ' and ' Song of the Year ' . Millard also won ' Songwriter of the Year ' at the same ceremony . In November 2009 , the song was played on board Space Shuttle Atlantis as a wake - up call for Barry E. Wilmore during STS - 129 .   Other versions ( edit )   The original version of `` I Can Only Imagine '' was a track on MercyMe 's 1999 independent release The Worship Project . In August 2006 , both an acoustic and live form ( as well as the original 1999 version ) were included in the ' Platinum edition ' of Almost There . MercyMe recorded a version of the song for their iTunes Originals album . In 2009 , two further variants were included on their compilation album 10 ; a ' symphony version ' featuring the London Symphony Orchestra , and a live version .   `` I Can Only Imagine '' has also been covered by several artists . In 2002 Amy Grant released a reworked version of the song ( titled `` Imagine '' and paired with `` Sing the Wondrous Love of Jesus '' ) on her album , Legacy ... Hymns and Faith . In 2003 , Jeff Carson and Kathryn Scott each issued variants of the song ; Carson 's version peaked at No. 50 on the Country Songs chart . In 2005 Wynonna Judd issued her form of the song ; while in 2007 Emerson Drive provided theirs . The song was covered again in 2010 by Marie Osmond and in 2013 by gospel artist Tamela Mann .   The song was performed live by Garwin Dobbins , a man struggling with fibrodysplasia ossificans progressiva , a crippling disease referred to as Stone Man 's syndrome , in which the body 's repair mechanism replaces muscle with bone , causing many joints to become permanently frozen in place . Dobbins , who died in 2004 , sang the song on a broadcast of Austin Awakening , accompanied by pastor Randy Phillips of Phillips , Craig and Dean . Footage of the performance was featured in the finale of the Trevor Glass documentary `` Suffer the Children . '' There is also a German version `` Ich kann nur davon träumen '' .   Track listing ( edit )    CD release     `` I Can Only Imagine '' -- 4 : 08 ( Bart Millard )   `` Word of God Speak '' -- 3 : 07 ( Peter Kipley , Millard )    Release history ( edit )     Date   Territory   Label   Format     2001   United States   INO   Airplay     23 September 2003     INO   Curb     CD     4 January 2005     INO   Epic     Digital     Charts and certifications ( edit )      Weekly charts     Chart ( 2001 -- 2002 )   Peak Position     Radio and Records Christian AC       Radio and Records Christian CHR   15     Chart ( 2003 -- 2004 )   Peak Position     US Adult Contemporary ( Billboard )   5     US Adult Top 40 ( Billboard )   27     US Billboard Hot 100   71     US Mainstream Top 40 ( Billboard )   33     Chart ( 2012 )   Peak Position     France ( SNEP )   65     Chart ( 2017 )   Peak Position     US Christian Digital Song Sales ( Billboard )       Chart ( 2018 )   Peak Position     US Christian Songs ( Billboard )       US Digital Songs ( Billboard )   10         Year - end charts     Chart ( 2003 )   Position     Billboard Adult Contemporary   20     Billboard Hot 100 Singles Sales   24     Chart ( 2010 )   Position     Billboard Christian / Gospel Digital Songs   9     Chart ( 2011 )   Position     Billboard Christian / Gospel Digital Songs   7     Certifications     Country   Certifications ( sales thresholds )     United States   3x Platinum          Film adaptation ( edit )  Main article : I Can Only Imagine ( film )  The story behind the song was made into a feature film starring J. Michael Finley and Dennis Quaid . The film was released on March 16 , 2018 .   References ( edit )    Jump up ^ Brad Schmitt , `` MercyMe 's Bart Millard thought his father was going to kill him '' , Tennessean , February 13 , 2018 . Retrieved March 15 , 2018 .   ^ Jump up to : Adams , Ramsay ( 6 July 2003 ) . `` Christian Rock Crosses Over '' . Fox News ( News Corporation ) . Archived from the original on 31 October 2011 . Retrieved 11 April 2009 .   ^ Jump up to : Jenison , David . `` A Severe Mercy '' . Today'sChristianMusic . CCM Magazine . Salem Publishing ( Salem Communications ) . Archived from the original on 31 October 2011 . Retrieved 18 September 2011 .   ^ Jump up to : Correa , Karen ( Fall 2003 ) . `` The Quality of MercyMe '' . American Society of Composers , Authors and Publishers ( ASCAP ) . Archived from the original on 31 October 2011 . Retrieved 11 April 2009 .   ^ Jump up to : Bart Millard , Jim Bryson ( interviewees ) ( 2007 ) . Faith &amp; Fame -- MercyMe . NME . UK : IPC Media ( Time Inc . ) . Event occurs at a-d. 12 : 13 -- 13 : 07 . Retrieved 11 August 2011 . Note : video may not be available in your region , e.g. Australia . Supplied by INO Records / Columbia Records .   ^ Jump up to : `` The Worship Project -- MercyMe '' . Billboard . Prometheus Global Media . Retrieved 16 September 2011 .   ^ Jump up to : `` iTunes -- Music -- Almost There ( Platinum Edition ) by MercyMe '' . iTunes . Apple Inc. 2006 . Archived from the original on 31 October 2011 . Retrieved 11 September 2011 .   ^ Jump up to : Losey , Steve . `` '' Almost There '' -- MercyMe ( Review ) `` . Allmusic . Rovi Corporation . Archived from the original on 31 October 2011 . Retrieved 9 August 2011 .   ^ Jump up to : `` MercyMe -- `` I Can Only Imagine '' Sheet Music `` . Musicnotes , Inc . ( Kathleen Marsh ) . Archived from the original on 31 October 2011 . Retrieved 10 August 2011 . Note : To access archive , user must click ' bypass ' and then , on the next screen , click ' please click here ' .   ^ Jump up to : McNeese , Kevin ( 30 January 2008 ) . `` Almost There by MercyMe ( Review ) '' . NewReleaseTuesday.com ( NRT Media ( Kevin McNeese ) ) . Archived from the original on 31 October 2011 . Retrieved 29 September 2011 .   ^ Jump up to : Almost There ( CD liner ) . MercyMe . INO Records . 2001 . 39972 .   Jump up ^ `` Pete Kipley ( Credits ) '' . Allmusic . Rovi Corporation . Archived from the original on 31 October 2011 . Retrieved 27 October 2011 .   ^ Jump up to : `` '' I Can Only Imagine / Word of God Speak `` , MercyMe , Music CD Single -- Barnes &amp; Noble '' . Barnes &amp; Noble . Archived from the original on 31 October 2011 . Retrieved 21 August 2011 .   ^ Jump up to : Curb , Mike . `` Billboard Charted Singles '' ( PDF ) . Mikecurb.com . Curb Records . Archived from the original ( PDF ) on 31 October 2011 . Retrieved 21 August 2011 .   ^ Jump up to : Curb , Mike . `` Number One Records '' ( PDF ) . Mikecurb.com . Curb Records . Archived from the original ( PDF ) on 31 October 2011 . Retrieved 21 August 2011 .   ^ Jump up to : Farris , Christa ( September 2003 ) . `` '' I Can Only Imagine '' Is Still The Little Song That Could '' ( PDF ) . CCM Magazine . Salem Publishing ( Salem Communications ) . 26 ( 3 ) : 9 . Archived from the original ( PDF ) on 1 November 2011 . Retrieved 17 September 2011 .   ^ Jump up to : Gillespie , Natalie Nichols ( 2 June 2003 ) . `` '' I Can Only Imagine '' Impacts Mainstream Radio `` . Crosswalk.com . Salem Web Network ( Salem Communications ) . p. 1 . Archived from the original on 1 November 2011 . Retrieved 18 September 2011 .   Jump up ^ MercyMe ( interviewees ) ( 2004 ) . The Story Behind `` I Can Only Imagine '' . INO Records . Event occurs at 5 : 55 -- 6 : 20 . access - date = requires url = ( help )   ^ Jump up to : Cusic , Don ( 2010 ) . `` Curb , Mike '' . In Cusic , Don . Encyclopedia of contemporary Christian music : pop , rock , and worship . ABC - CLIO . pp. 97 -- 98 . ISBN 978 - 0 - 313 - 34425 - 1 . Retrieved 11 September 2011 .   ^ Jump up to : Price , Deborah Evans ( 25 October 2003 ) . `` A Yearning for More Meaning '' . Billboard . Prometheus Global Media : 3 , 76 . Retrieved 11 September 2011 .   Jump up ^ Bronson , Fred . `` Chart Beat Chat '' . Billboard . Prometheus Global Media . Retrieved 17 September 2011 .   ^ Jump up to : `` ACE Title Search `` Word of God Speak '' `` . American Society of Composers , Authors and Publishers ( ASCAP ) . Archived from the original on 1 November 2011 . Retrieved 27 October 2010 .   ^ Jump up to : `` MercyMe Album &amp; Song Chart History -- Hot 100 '' . Billboard . Prometheus Global Media . Retrieved 12 August 2011 .   ^ Jump up to : `` MercyMe Album &amp; Song Chart History -- Adult Contemporary Songs '' . Billboard . Prometheus Global Media . Retrieved 12 August 2011 .   Jump up ^ Thompson , John J. ( 9 December 2005 ) . `` Well Mercy Me , Children ! '' . Today'sChristianMusic . CCM Magazine . Salem Publishing ( Salem Communications ) . Archived from the original on 1 November 2011 . Retrieved 28 October 2011 .   ^ Jump up to : `` '' I Can Only Imagine '' -- MercyMe ( VEVO ) `` . Vevo ( Universal Music Group , Sony Music Entertainment , Abu Dhabi Media Company , E1 Entertainment ) . Retrieved 15 September 2011 . Note : video may not be available in your region , e.g. Australia .   ^ Jump up to : Nentwig , Wendy Lee ( 23 September 2003 ) . `` Song Story : `` I Can Only Imagine '' `` . Crosswalk.com ( Salem Web Communications ( Salem Communications ) ) . Archived from the original on 1 November 2011 . Retrieved 18 September 2011 .   Jump up ^ Chamberlin , Kevin ( 9 September 2002 ) . `` MercyMe , Almost There review '' . Jesus Freak Hideout . John DiBiase . Archived from the original on 1 November 2011 . Retrieved 9 August 2011 .   Jump up ^ `` MercyMe Album &amp; Song Chart History -- Adult Pop Songs '' . Billboard . Prometheus Global Media . Retrieved 12 August 2011 .   Jump up ^ `` MercyMe Album &amp; Song Chart History -- Pop Songs '' . Billboard . Prometheus Global Media . Retrieved 12 August 2011 .   Jump up ^ `` MercyMe Album &amp; Song Chart History -- Country Songs '' . Billboard . Prometheus Global Media . Retrieved 12 August 2011 .   ^ Jump up to : `` RIAA Gold and Platinum '' . RIAA. 14 April 2010 . Retrieved 21 October 2011 . Note : Requires user to input artist , e.g. MercyMe .   Jump up ^ `` Mercyme makes history as `` I Can Only Imagine '' surpasses 1 million downloads `` . Christian Today . Andrew Clark . 21 April 2010 . Archived from the original on 1 November 2011 . Retrieved 24 October 2011 .   Jump up ^ `` Gold &amp; Platinum - RIAA '' . RIAA . Retrieved 2018 - 08 - 07 .   Jump up ^ `` How did ' I Can Only Imagine ' become the biggest Christian hit ever ( and inspire a movie ) ? '' .   Jump up ^ `` Gold &amp; Platinum - RIAA '' . RIAA . Retrieved 2018 - 08 - 07 .   ^ Jump up to : `` Dove Awards History Year ( searchable database ) '' . GMA Dove Award . Gospel Music Association ( GMA ) . Archived from the original on 20 August 2011 . Retrieved 12 September 2011 . Note : Search for either MercyMe or Bart Millard .   ^ Jump up to : Losey , Steven Douglas ( 26 December 2002 ) . `` Real People , Real Worship '' . CCM Magazine . Salem Publishing ( Salem Communications ) . Archived from the original on 1 November 2011 . Retrieved 18 September 2011 .   Jump up ^ `` STS - 129 Wakeup Calls '' . NASA . Archived from the original on 1 November 2011 . Retrieved 12 August 2011 . Curator : Kim Dismukes ; responsible official : Amiko Kauderer .   Jump up ^ Johnson , Matt ( 8 June 2008 ) . `` MercyMe , iTunes Originals Review '' . Jesus Freak Hideout . John DiBiase . Retrieved 13 August 2011 .   Jump up ^ `` iTunes Originals by MercyMe '' . iTunes . Apple Inc . Archived from the original on 1 November 2011 . Retrieved 13 August 2011 .   Jump up ^ Johnson , Matt ( 7 April 2009 ) . `` MercyMe , `` 10 '' Review `` . Jesus Freak Hideout . John DiBiase . Archived from the original on 1 November 2011 . Retrieved 13 August 2011 .   ^ Jump up to : `` ACE Title Search `` I Can Only Imagine '' `` . American Society of Composers , Authors and Publishers ( ASCAP ) . Archived from the original on 1 November 2011 . Retrieved 27 October 2010 .   ^ Jump up to : Jones , Kim . `` Who Sings `` I Can Only Imagine '' ? `` . About.com . About.com ( The New York Times Company ) . Archived from the original on 1 November 2011 . Retrieved 11 September 2011 .   Jump up ^ Breimeier , Russ . `` Satisfy , Christian Music Reviews '' . The Fish . Christianity Today International ( Salem Communications ) . Archived from the original on 1 November 2011 . Retrieved 14 September Demi Lovato has also covered the song . 2011 . Check date values in : accessdate = ( help )   Jump up ^ `` Jeff Carson Album &amp; Song History '' . Billboard . Prometheus Global Media . Retrieved 16 September 2011 .   Jump up ^ `` Emerson Drive '' . Emerson Drive . 22 August 2008 . Archived from the original on 1 November 2011 . Retrieved 14 September 2011 .   Jump up ^ Charisma . `` ' Hairpiece Revival ' Spreads Worship Awakening Across the Country -- Charisma Magazine '' . www.charismamag.com .   Jump up ^ Spiritwatch Ministries On YouTube ( 30 December 2014 ) . `` Suffer The Children - a film by Trevor Glass '' -- via YouTube .   Jump up ^ `` Amazon.com `` I Can Only Imagine '' / `` Word of God Speak '' `` . Amazon.com . Retrieved 9 August 2011 .   Jump up ^ `` iTunes -- Music -- Almost There by MercyMe '' . iTunes . Apple Inc . Archived from the original on 1 November 2011 . Retrieved 24 October 2011 .   Jump up ^ `` iTunes -- Music -- Spoken For by MercyMe '' . iTunes . Apple Inc . Archived from the original on 1 November 2011 . Retrieved 24 October 2011 .   Jump up ^ `` Word of God Speak '' Sheet Music `` . Musicnotes , Inc . ( Kathleen Marsh ) . Archived from the original on 1 November 2011 . Retrieved 23 October 2011 .   Jump up ^ `` MercyMe Chart History ( Adult Contemporary ) '' . Billboard .   Jump up ^ `` MercyMe Chart History ( Adult Pop Songs ) '' . Billboard .   Jump up ^ `` MercyMe Chart History ( Hot 100 ) '' . Billboard .   Jump up ^ `` MercyMe Chart History ( Pop Songs ) '' . Billboard .   Jump up ^ `` Lescharts.com -- MercyMe -- I Can Only Imagine '' ( in French ) . Les classement single . Retrieved February 8 , 2014 .   Jump up ^ `` Christian Digital Songs : Top Worship Music Chart '' .   Jump up ^ `` MercyMe Chart History ( Hot Christian Songs ) '' . Billboard .   Jump up ^ `` MercyMe Chart History ( Digital Songs ) '' . Billboard .   Jump up ^ `` Billboard Magazine Archives ( 12 / 27 / 03 ) '' . Billboard . Prometheus Global Media . 27 December 2011 . pp. YE -- 80 . Retrieved 7 September 2011 .   Jump up ^ `` Billboard.biz Year - end chart Archives ( AC ) '' . Billboard . Prometheus Global Media . Archived from the original on 1 November 2011 . Retrieved 12 September 2011 .   Jump up ^ `` Billboard.biz Year - end chart archives ( Singles sales ) '' . Billboard . Prometheus Global Media . Archived from the original on 1 November 2011 . Retrieved 12 September 2011 .   Jump up ^ `` Billboard Magazine Archives ( 12 / 27 / 03 ) '' . Billboard . Prometheus Global Media . 27 December 2011 . pp. YE -- 34 . Retrieved 7 September 2011 .   Jump up ^ `` Billboard.biz Year - end chart archives 2010 ( Digital songs ) '' . Billboard . Prometheus Global Media . Archived from the original on 1 November 2011 . Retrieved 12 September 2011 .   Jump up ^ `` Billboard.biz Year - end chart archives 2011 ( Digital songs ) '' . Billboard . Prometheus Global Media . Retrieved 12 September 2011 .    External links ( edit )    2010s portal   film in the United States portal              MercyMe singles       Discography       Almost There     `` Bless Me Indeed ( Jabez 's Song ) ''   `` I Can Only Imagine ''       Spoken For     `` Spoken For ''   `` Word of God Speak ''   `` The Change Inside Of Me ''       Undone     `` Here with Me ''   `` Homesick ''   `` In the Blink of an Eye ''       Coming Up to Breathe     `` So Long Self ''   `` Hold Fast ''   `` Bring the Rain ''       All That Is Within Me     `` God with Us ''   `` You Reign ''   `` Finally Home ''       The Generous Mr. Lovewell     `` All of Creation ''   `` Beautiful ''   `` Move ''       The Hurt &amp; The Healer     `` The Hurt &amp; The Healer ''       Welcome to the New     `` Shake ''       Lifer     `` Even If ''       Other charted songs     `` O Holy Night ''   `` Silent Night ''   `` Rockin ' Around the Christmas Tree ''   `` God Rest Ye Merry Gentlemen ''   `` The Little Drummer Boy ''   `` It Came Upon a Midnight Clear ''   `` Go Tell it on the Mountain ''   `` Sleigh Ride ''                 Jeff Carson     Studio albums     Jeff Carson   Butterfly Kisses   Real Life       Singles     `` Not on Your Love ''   `` The Car ''   `` Holdin ' Onto Somethin ' ''   `` Butterfly Kisses ''   `` Real Life ( I Never Was the Same Again ) ''   `` I Can Only Imagine ''      Retrieved from `` https://en.wikipedia.org/w/index.php?title=I_Can_Only_Imagine_(MercyMe_song)&amp;oldid=856716816 '' Categories :   1990s ballads   1999 songs   2001 singles   MercyMe songs   Pop ballads   Songs written by Bart Millard   Curb Records singles   Billboard Christian Songs number - one singles   Hidden categories :   Pages using citations with accessdate and no URL   CS1 errors : dates   Use dmy dates from November 2012   Good articles   Articles with hAudio microformats   Singlechart usages for Billboardadultcontemporary   Singlechart called without song   Singlechart usages for Billboardadultpopsongs   Singlechart usages for Billboardhot100   Singlechart usages for Billboardpopsongs   Singlechart usages for France   Singlechart usages for Billboardchristiansongs   Singlechart usages for Billboarddigitalsongs           Talk                                           Contents                   About Wikipedia                                           Português   Edit links   This page was last edited on 27 August 2018 , at 03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</si>
  <si>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if i can only imagine</t>
  </si>
  <si>
    <t xml:space="preserve"> `` I Can Only Imagine '' ( sometimes shortened to `` Imagine '' ) is a single recorded by Christian rock band MercyMe . Written and composed by lead vocalist Bart Millard , the song , based around a main piano track , was inspired by the death of Millard 's father and considers what it would be like in Heaven and to be standing before God . The song was first issued as a track on MercyMe 's 1999 album The Worship Project , which was released on an independent record label . The song was re-recorded and included on their 2001 major - label debut album Almost There as the fifth song on the album . </t>
  </si>
  <si>
    <t xml:space="preserve">Nico Liersch - Wikipedia  Nico Liersch  Jump to : navigation , search    Nico Liersch       Nico Louis Liersch ( 2000 - 07 - 17 ) 17 July 2000 ( age 17 ) Munich , Germany     Nationality   German     Occupation   Actor     Years active   2010 -- present     Nico Louis Liersch ( born 17 July 2000 ) is a German TV and film teen actor . He is mostly known for his role as Rudy Steiner in the 2013 film The Book Thief . He is also known for his work in the German television series Das ist Gut where he played Phillip Greenyard , a caveman without parents .     Contents  ( hide )   1 Filmography   2 Personal life   3 References   4 External links      Filmography ( edit )   In 2012 , Nico Liersch appeared in episodes of the German TV series Inga Lindström and Das Traumhotel . In February 2013 , he was cast in the film adaptation of the best - seller novel The Book Thief . He played Rudy Steiner , the best friend of the titular book thief , Liesel Meminger . Markus Zusak , who wrote the novel that inspired the movie , was pleased with Liersch 's portrayal of his character and wrote : _̈ He 's magnificent , indeed . He is Rudy. _̈   Personal life ( edit )   Nico is one of two children . His older sister Luca is a singer , and has performed at several theatres in Germany .   References ( edit )    Jump up ^ Mallory , Carole ( 8 November 2013 ) . `` Movie Review ... the Book Thief ... a Good Film '' . The Huffington Post . Retrieved 23 January 2014 .   Jump up ^ `` First look at The Book Thief '' . ScreenTerrier. 5 August 2013 . Retrieved 23 January 2014 .   Jump up ^ Hoffman , Tess ( 5 February 2013 ) . `` Geoffrey Rush &amp; Emily Watson To Star In WWII Tale ' The Book Thief ' '' . Indiewire . Retrieved 23 January 2014 .   Jump up ^ `` Markus Zusak 's official tumblr '' . 12 November 2013 . Retrieved 23 January 2014 .    External links ( edit )    Nico Liersch on IMDb            GND : 1061828654   VIAF : 311660556             This article about a German actor or actress is a stub . You can help Wikipedia by expanding it .            Retrieved from `` https://en.wikipedia.org/w/index.php?title=Nico_Liersch&amp;oldid=821919259 '' Categories :   2000 births   German male child actors   Living people   German actor stubs   Hidden categories :   Articles with hCards   All articles with unsourced statements   Articles with unsourced statements from June 2016   Wikipedia articles with GND identifiers   Wikipedia articles with VIAF identifiers   All stub articles           Talk                                           Contents                   About Wikipedia                                             Čeština   Deutsch   فارسی   Italiano   Português   Українська   Edit links   This page was last edited on 23 January 2018 , at 11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</si>
  <si>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actor who played rudy in the book thief</t>
  </si>
  <si>
    <t xml:space="preserve"> Nico Louis Liersch ( born 17 July 2000 ) is a German TV and film teen actor . He is mostly known for his role as Rudy Steiner in the 2013 film The Book Thief . He is also known for his work in the German television series Das ist Gut where he played Phillip Greenyard , a caveman without parents . </t>
  </si>
  <si>
    <r>
      <rPr>
        <sz val="11"/>
        <color rgb="FF000000"/>
        <rFont val="Calibri"/>
        <family val="0"/>
        <charset val="1"/>
      </rPr>
      <t xml:space="preserve">Christian Coulson - wikipedia  Christian Coulson  Jump to : navigation , search Not to be confused with Christian Colson .    Christian Coulson       ( 1978 - 10 - 03 ) 3 October 1978 ( age 39 ) Manchester , England     Nationality   British     Education   Westminster School     Alma mater   University of Cambridge     Occupation     Actor   Director   Photographer   Author       Years active   2001 -- present     Christian Peter Coulson ( born 3 October 1978 ) is an English actor best known for playing the 16 - year old Tom Marvolo Riddle in Harry Potter and the Chamber of Secrets .     Contents  ( hide )   1 Early life   2 Career   3 Filmography   3.1 Films and short films   3.2 Television   3.3 Audio drama     4 Theatre   5 References   6 External links      Early life ( edit )   Coulson was born in Manchester , and attended Westminster School in London on an academic scholarship . He was a member of the UK 's National Youth Music Theatre from 1990 -- 1997 , and went on to the University of Cambridge , where he received a degree in English from Clare College in 2000 . While at university , he played the M.C. ( Master of Ceremonies ) in Cabaret , Arturo Ui in The Resistible Rise of Arturo Ui and Claire in The Maids , as well as appearing in film and television .   Career ( edit )   Coulson gained worldwide attention and popularity for his role in 2002 's Harry Potter and the Chamber of Secrets , in which he portrayed a 16 - year - old Tom Riddle , even though Coulson was 24 years old at the time . However , in 2007 , director David Yates indicated on MTV that Coulson would not reprise his role in Half - Blood Prince , since , at 29 , he was now too old .   He also wrote the lyrics and book for a rock musical called The Fallen which was performed at Bedford Modern School in 1998 .   As of 2010 , Coulson currently resides and works in New York City as an actor and director .   Filmography ( edit )   Films and short films ( edit )     Year   Film   Role   Notes     2002   The Four Feathers   Drummer Boy   Uncredited     Harry Potter and the Chamber of Secrets   16 - year - old Tom Riddle / Lord Voldemort   Nominated - Phoenix Film Critics Society Award for Best Cast     The Hours   Ralph Partridge   Helper at Hogarth Press , run by Leonard Woolf     2005   Take Me Back   Charlie       2007   Last Night   Nick       2012   I Am Nasrine   Tommy       Gayby   Aaron       Leaving Circadia   Colin       2013   Amateurs   Evan       2014   Love is Strange   Ian       Television ( edit )     Year   Title   Role   Notes       Love in a Cold Climate   Matt Radlett   Miniseries     Weirdsister College   Ben Stemson   Main role ; 13 episodes     2002   The Forsyte Saga   Jolly Forsyte   Episodes : `` Episode # 1.5 '' , `` Episode # 1.6 ''     2003   Hornblower : Loyalty   Midshipman John ' Jack ' Hammond   Television film     Charles II : The Power and The Passion   James , Duke of Monmouth   4 episodes     Little Britain   Joe   Episode : `` Hard - Boiled Egg Eating ''     2005   Agatha Christie 's Marple   Edmund Swettenham       Beethoven   Archduke Rudolph   Miniseries ; 2 episodes     Brief Encounters   Adam   Episode : `` Lost &amp; Found ''     2009   The Battery 's Down : Losing My Mind   Raoul   Episode : `` Losing My Mind ''       Jeffery &amp; Cole Casserole     Episode : `` The Becky ''     Gossip Girl   Ivan   Episode : `` Touch of Eva ''     2011   Wiener &amp; Wiener   Garry   3 episodes     The Good Wife   Andre Bergson   Episode : `` Death Row Tip ''     2017   Nashville   Damien George   5 episodes     Audio drama ( edit )     Year   Title   Role     2007   Doctor Who : The Bride of Peladon   Pelleas     2008   Doctor Who : The Haunting of Thomas Brewster   Robert McIntosh     Theatre ( edit )    Travesties - McCarter Theatre , New Jersey ( 2012 ) Tristan Tzara   Ghosts - Gate Theatre , London ( 2007 ) Osvald   Festen - UK Tour ( 2006 ) Christian   Journey 's End - Comedy Theatre , London ( 2004 ) Raleigh   Romeo and Juliet - Liverpool Playhouse , Liverpool ( 2002 ) Romeo    References ( edit )    Jump up ^ Vineyard , Jennifer ( 25 June 2007 ) . `` ' Harry Potter ' Casting Call Could Help Ron Weasley Find Perfect Shade Of Lavender / Director David Yates also hopes to fill role of Tom Riddle at another open casting call '' . MTV . Archived from the original on 27 June 2007 . Retrieved 2009 - 05 - 11 .   Jump up ^ `` Coulson Photography '' . Archived from the original on 25 December 2010 .    External links ( edit )    Christian Coulson on IMDb   `` Interview for Chamber of Secrets '' . BBC .   `` Potty about his Playhouse role '' . Liverpool Daily Post . 27 September 2002 .   `` BBC Hotseat Interview '' . BBC . 29 November 2002 . Retrieved 2 January 2010 .            LCCN : no2013022805   VIAF : 296252586      Retrieved from `` https://en.wikipedia.org/w/index.php?title=Christian_Coulson&amp;oldid=839942555 '' Categories :   1978 births   Living people   English male film actors   English male television actors   English male stage actors   English male voice actors   English expatriates in the United States   People educated at Westminster School , London   Alumni of Clare College , Cambridge   English male Shakespearean actors   Male actors from Manchester   21st - century English male actors   Hidden categories :   Use dmy dates from June 2013   Use British English from March 2013   Articles with hCards   All articles with unsourced statements   Articles with unsourced statements from March 2018   Articles with unsourced statements from November 2013   Wikipedia articles with LCCN identifiers   Wikipedia articles with VIAF identifiers           Talk                                           Contents                   About Wikipedia                                           تۆرکجه   Dansk   Deutsch   Español   فارسی   Français   </t>
    </r>
    <r>
      <rPr>
        <sz val="11"/>
        <color rgb="FF000000"/>
        <rFont val="Noto Sans CJK SC"/>
        <family val="2"/>
      </rPr>
      <t xml:space="preserve">한국어   </t>
    </r>
    <r>
      <rPr>
        <sz val="11"/>
        <color rgb="FF000000"/>
        <rFont val="Calibri"/>
        <family val="0"/>
        <charset val="1"/>
      </rPr>
      <t xml:space="preserve">Bahasa Indonesia   Italiano   Magyar   Nederlands   Norsk   Plattdüütsch   Polski   Português   Русский   Suomi   Svenska   Türkçe   Українська   </t>
    </r>
    <r>
      <rPr>
        <sz val="11"/>
        <color rgb="FF000000"/>
        <rFont val="Noto Sans CJK SC"/>
        <family val="2"/>
      </rPr>
      <t xml:space="preserve">中文  </t>
    </r>
    <r>
      <rPr>
        <sz val="11"/>
        <color rgb="FF000000"/>
        <rFont val="Calibri"/>
        <family val="0"/>
        <charset val="1"/>
      </rPr>
      <t xml:space="preserve">12 more  Edit links   This page was last edited on 6 May 2018 , at 18 : 41 .         About Wikipedia                    </t>
    </r>
  </si>
  <si>
    <t xml:space="preserve">who plays tom riddle in harry potter chamber of secrets</t>
  </si>
  <si>
    <t xml:space="preserve"> Christian Peter Coulson ( born 3 October 1978 ) is an English actor best known for playing the 16 - year old Tom Marvolo Riddle in Harry Potter and the Chamber of Secrets . </t>
  </si>
  <si>
    <t xml:space="preserve">The Hate U Give ( film ) - wikipedia  The Hate U Give ( film )  Jump to : navigation , search    The Hate U Give     Directed by   George Tillman Jr .     Produced by     Marty Bowen   Wyck Godfrey   Robert Teitel       Screenplay by   Audrey Wells     Based on   The Hate U Give by Angie Thomas     Starring     Amandla Stenberg   Regina Hall   KJ Apa   Sabrina Carpenter   Common   Anthony Mackie       Music by   Dustin O'Halloran     Cinematography   Mihai Mălaimare Jr .     Edited by     Alex Blatt   Craig Hayes       Production company     Fox 2000 Pictures   State Street Pictures   Temple Hill Entertainment       Distributed by   20th Century Fox     Release date   October 19 , 2018     Country   United States     Language   English     The Hate U Give is an upcoming American drama film directed by George Tillman Jr. and written by Audrey Wells . It is based on Angie Thomas ' novel of same name . The film stars Amandla Stenberg , Regina Hall , Anthony Mackie , KJ Apa , Russell Hornsby , Algee Smith , Sabrina Carpenter , Issa Rae , Lamar Johnson , and Common . The film is set for release on October 19 , 2018 .     Contents  ( hide )   1 Plot   2 Cast   3 Production   4 References   5 External links      Plot ( edit )   Starr Carter is constantly switching between two worlds : the poor , mostly black , neighborhood where she lives and the rich , mostly white , prep school she attends . The uneasy balance between these worlds is shattered when Starr witnesses the fatal shooting of her childhood best friend Khalil at the hands of a police officer . Now , facing pressures from all sides of the community , Starr must find her voice and stand up for what 's right .   Cast ( edit )    Amandla Stenberg as Starr Carter   Regina Hall as Lisa Carter , Starr 's mother   Russell Hornsby as Maverick Carter , Starr 's father   Common as Uncle Carlos , Lisa 's brother , a police officer   Lamar Johnson as Seven Carter , Starr 's older half - brother   TJ Wright as Sekani Carter , Starr 's younger brother   Issa Rae as April Ofrah , an activist that helps Starr find her voice and speak up .   KJ Apa as Chris , Starr 's boyfriend   Sabrina Carpenter as Hailey , one of Starr 's friends from her prep school .   Anthony Mackie as King , a local drug dealer , Kenya 's father   Karan Kendrick as Iesha , Seven and Kenya 's Mom   Algee Smith as Khalil , Starr 's childhood best friend   Dominique Fishback as Kenya , Seven 's half - sister   Megan Lawless as Maya , one of Starr 's friends from her prep school .   Tony Vaughn as Mr. Lewis , a shop owner in Starr 's neighborhood . His shop is next to Maverick 's .    Production ( edit )   On March 23 , 2017 , it was announced that Amandla Stenberg would star as Starr Carter in the film based on the novel The Hate U Give by Angie Thomas , which George Tillman Jr. would direct from a screenplay by Audrey Wells , while producers would be Marty Bowen and Wyck Godfrey through State Street Pictures and Temple Hill Entertainment . On August 1 , 2017 , Russell Hornsby and Lamar Johnson were cast in the film to play Maverick Carter , Starr 's dad , and Seven Carter , Starr 's brother , respectively . On August 3 , Regina Hall was cast in the film to play Lisa Carter , Starr 's mom , and on August 15 , Algee Smith joined the film to play Khalil , Starr 's childhood best friend . On August 22 , it was reported that Common had joined the cast to play Starr 's uncle as a police officer .   On August 23 , 2017 , Issa Rae was cast in the film to play April , the social activist who helps Starr find her voice and speak up , and on the next day Sabrina Carpenter also joined the film to play Hailey , one of Starr 's friends from her school . On September 12 , Anthony Mackie and Kian Lawley joined the film to play the local drug dealer King , and Starr 's boyfriend , Chris , respectively .   Principal photography on the film began on September 12 , 2017 in Atlanta , Georgia .   On February 5 , 2018 , it was announced that Kian Lawley had been fired from the film due to a resurfaced video showing Lawley using racially offensive slurs , resulting in his role to be recast and scenes reshot . On April 3 , 2018 , it was announced that KJ Apa had been cast to replace Lawley .   References ( edit )    Jump up ^ http://deadline.com/2018/05/fox-2000-the-hate-u-give-release-date-angie-thomas-amandla-stenberg-1202397117/   ^ Jump up to : McNary , Dave ( March 23 , 2016 ) . `` ' Hunger Games ' Actress Amandla Stenberg to Star in ' The Hate U Give ' '' . Variety . Retrieved September 13 , 2017 .   ^ Jump up to : Ford , Rebecca ; Kit , Borys ( August 3 , 2017 ) . `` Regina Hall Joins YA Adaptation ' The Hate U Give ' ( Exclusive ) '' . The Hollywood Reporter . Retrieved September 13 , 2017 .   ^ Jump up to : Kit , Borys ( August 22 , 2017 ) . `` Common Joins Amandla Stenberg in YA Adaptation ' The Hate U Give ' ( Exclusive ) '' . The Hollywood Reporter . Retrieved September 13 , 2017 .   ^ Jump up to : Ford , Rebecca ( August 1 , 2017 ) . `` ' The Hate U Give ' Adds Russell Hornsby , Lamar Johnson ( Exclusive ) '' . The Hollywood Reporter . Retrieved September 13 , 2017 .   ^ Jump up to : McNary , Dave ( August 23 , 2017 ) . `` ' Insecure ' Star Issa Rae Joins Drama ' The Hate U Give ' ( EXCLUSIVE ) '' . Variety . Retrieved August 25 , 2017 .   ^ Jump up to : Fleming Jr , Mike ( April 3 , 2018 ) . `` ' Riverdale 's K.J. Apa Set For ' The Hate U Give ' As Fox 2000 Reshoots Kian Lawley Scenes '' . Deadline . Retrieved April 3 , 2018 .   ^ Jump up to : Ford , Rebecca ( August 24 , 2017 ) . `` Sabrina Carpenter Joins YA Adaptation ' The Hate U Give ' ( Exclusive ) '' . The Hollywood Reporter . Retrieved August 25 , 2017 .   ^ Jump up to : Evry , Max ( September 12 , 2017 ) . `` Anthony Mackie &amp; Kian Lawley Join The Hate U Give '' . ComingSoon.net . Retrieved September 12 , 2017 .   ^ Jump up to : Ford , Rebecca ( August 15 , 2017 ) . `` YA Adaptation ' The Hate U Give ' Adds ' Detroit ' Star Algee Smith ( Exclusive ) '' . The Hollywood Reporter . Retrieved September 13 , 2017 .   Jump up ^ Nick , Romano ( September 12 , 2017 ) . `` ' The Hate U Give ' : First Look At Black Lives Matter - Inspired YA Film Debuts '' . Entertainment Weekly . Retrieved September 12 , 2017 .   Jump up ^ Pedersen , Erik ( February 5 , 2018 ) . `` Fox Axes YouTube Star Kian Lawley From ' The Hate U Give ' Over Racially Offensive Video '' . Deadline . Retrieved February 6 , 2018 .    External links ( edit )    The Hate U Give on IMDb      ( hide )         Films directed by George Tillman Jr .       Soul Food ( 1997 )   Men of Honor ( 2000 )   Notorious ( 2009 )   Faster ( 2010 )   The Inevitable Defeat of Mister &amp; Pete ( 2013 )   The Longest Ride ( 2015 )   The Hate U Give ( 2018 )      Retrieved from `` https://en.wikipedia.org/w/index.php?title=The_Hate_U_Give_(film)&amp;oldid=842719058 '' Categories :   English - language films   Upcoming films   American films   American drama films   2010s drama films   Films shot in Atlanta   Films directed by George Tillman Jr .   Films based on American novels   Films about race and ethnicity   Temple Hill Entertainment films   20th Century Fox films   Screenplays by Audrey Wells   African - American films           Talk                                           Contents                   About Wikipedia                                           Français   Русский   Edit links   This page was last edited on 24 May 2018 , at 06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</si>
  <si>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sabrina carpenter playing in the hate u give</t>
  </si>
  <si>
    <t xml:space="preserve"> Sabrina Carpenter as Hailey , one of Starr 's friends from her prep school . </t>
  </si>
  <si>
    <t xml:space="preserve">Golden Gate Bridge - wikipedia  Golden Gate Bridge  Jump to : navigation , search    Golden Gate Bridge     A view of the Golden Gate Bridge from the Marin Headlands     Coordinates   37 ° 49 ′ 11 '' N 122 ° 28 ′ 43 '' W ﻿ / ﻿ 37.81972 ° N 122.47861 ° W ﻿ / 37.81972 ; - 122.47861 Coordinates : 37 ° 49 ′ 11 '' N 122 ° 28 ′ 43 '' W ﻿ / ﻿ 37.81972 ° N 122.47861 ° W ﻿ / 37.81972 ; - 122.47861     Carries   6 lanes of US 101 / SR 1 ( see below ) , pedestrians and bicycles .     Crosses   Golden Gate     Locale   San Francisco , California and Marin County , California , U.S.     Official name   Golden Gate Bridge     Maintained by   Golden Gate Bridge , Highway and Transportation District     Characteristics     Design   Art Deco , Suspension , truss arch &amp; truss causeways     Material   Steel     Total length   8,981 ft ( 2,737.4 m ) , about 1.7 mi ( 2.7 km )     Width   90 ft ( 27.4 m )     Height   746 ft ( 227.4 m )     Longest span   4,200 ft ( 1,280.2 m )     Clearance above   14 ft ( 4.3 m ) at toll gates , Trucks can not pass     Clearance below   220 ft ( 67.1 m ) at high tide     History     Architect   Irving Morrow     Engineering design by   Joseph Strauss , and Charles Ellis     Construction start   January 5 , 1933 ( 1933 - 01 - 05 )     Construction end   April 19 , 1937 ( 1937 - 04 - 20 )     Opened   May 27 , 1937 ; 80 years ago ( 1937 - 05 - 27 )     Statistics     Daily traffic   110,000     Toll   Cars ( southbound only ) $7.50 ( Pay by plate ) , $6.50 ( FasTrak ) , $4.50 ( carpools during peak hours , FasTrak only )         California Historical Landmark     Designated   June 18 , 1987     Reference no .   974         San Francisco Designated Landmark     Designated   May 21 , 1999     Reference no .   222             Golden Gate Bridge Bridges in the San Francisco Bay     The Golden Gate Bridge is a suspension bridge spanning the Golden Gate , the one - mile - wide ( 1.6 km ) strait connecting San Francisco Bay and the Pacific Ocean . The structure links the American city of San Francisco , California -- the northern tip of the San Francisco Peninsula -- to Marin County , carrying both U.S. Route 101 and California State Route 1 across the strait . The bridge is one of the most internationally recognized symbols of San Francisco , California , and the United States . It has been declared one of the Wonders of the Modern World by the American Society of Civil Engineers .   The Frommer 's travel guide describes the Golden Gate Bridge as `` possibly the most beautiful , certainly the most photographed , bridge in the world . '' At the time of its opening in 1937 , it was both the longest and the tallest suspension bridge in the world , with a main span of 4,200 feet ( 1,280 m ) and a total height of 746 feet ( 227 m ) . Today , the Golden Gate Bridge is neither the longest nor the tallest in the world , but remains the tallest bridge in the United States .     Contents  ( hide )   1 History   1.1 Ferry service   1.2 Conception   1.3 Design   1.4 Finance   1.5 Construction   1.6 Opening festivities , 50th , and 75th anniversaries     2 Structural specifications   3 Aesthetics   4 Traffic   4.1 Usage and tourism   4.2 Tolls   4.3 Congestion pricing     5 Issues   5.1 Suicides   5.2 Wind   5.3 Seismic vulnerability and improvements     6 In popular culture   7 See also   8 References   9 Further reading   10 External links      History   Ferry service  Golden Gate with Fort Point in foreground , c. 1891  Before the bridge was built , the only practical short route between San Francisco and what is now Marin County was by boat across a section of San Francisco Bay . A ferry service began as early as 1820 , with a regularly scheduled service beginning in the 1840s for the purpose of transporting water to San Francisco .   The Sausalito Land and Ferry Company service , launched in 1867 , eventually became the Golden Gate Ferry Company , a Southern Pacific Railroad subsidiary , the largest ferry operation in the world by the late 1920s . Once for railroad passengers and customers only , Southern Pacific 's automobile ferries became very profitable and important to the regional economy . The ferry crossing between the Hyde Street Pier in San Francisco and Sausalito in Marin County took approximately 20 minutes and cost US $1.00 per vehicle , a price later reduced to compete with the new bridge . The trip from the San Francisco Ferry Building took 27 minutes .   Many wanted to build a bridge to connect San Francisco to Marin County . San Francisco was the largest American city still served primarily by ferry boats . Because it did not have a permanent link with communities around the bay , the city 's growth rate was below the national average . Many experts said that a bridge could not be built across the 6,700 ft ( 2,042 m ) strait , which had strong , swirling tides and currents , with water 372 ft ( 113 m ) deep at the center of the channel , and frequent strong winds . Experts said that ferocious winds and blinding fogs would prevent construction and operation .   Conception   Although the idea of a bridge spanning the Golden Gate was not new , the proposal that eventually took hold was made in a 1916 San Francisco Bulletin article by former engineering student James Wilkins . San Francisco 's City Engineer estimated the cost at $100 million , which would have been $2.12 billion in 2009 , and impractical for the time . He asked bridge engineers whether it could be built for less . One who responded , Joseph Strauss , was an ambitious engineer and poet who had , for his graduate thesis , designed a 55 - mile - long ( 89 km ) railroad bridge across the Bering Strait . At the time , Strauss had completed some 400 drawbridges -- most of which were inland -- and nothing on the scale of the new project . Strauss 's initial drawings were for a massive cantilever on each side of the strait , connected by a central suspension segment , which Strauss promised could be built for $17 million .   Local authorities agreed to proceed only on the assurance that Strauss would alter the design and accept input from several consulting project experts . A suspension - bridge design was considered the most practical , because of recent advances in metallurgy .   Strauss spent more than a decade drumming up support in Northern California . The bridge faced opposition , including litigation , from many sources . The Department of War was concerned that the bridge would interfere with ship traffic . The navy feared that a ship collision or sabotage to the bridge could block the entrance to one of its main harbors . Unions demanded guarantees that local workers would be favored for construction jobs . Southern Pacific Railroad , one of the most powerful business interests in California , opposed the bridge as competition to its ferry fleet and filed a lawsuit against the project , leading to a mass boycott of the ferry service .   In May 1924 , Colonel Herbert Deakyne held the second hearing on the Bridge on behalf of the Secretary of War in a request to use federal land for construction . Deakyne , on behalf of the Secretary of War , approved the transfer of land needed for the bridge structure and leading roads to the `` Bridging the Golden Gate Association '' and both San Francisco County and Marin County , pending further bridge plans by Strauss . Another ally was the fledgling automobile industry , which supported the development of roads and bridges to increase demand for automobiles .   The bridge 's name was first used when the project was initially discussed in 1917 by M.M. O'Shaughnessy , city engineer of San Francisco , and Strauss . The name became official with the passage of the Golden Gate Bridge and Highway District Act by the state legislature in 1923 , creating a special district to design , build and finance the bridge . San Francisco and most of the counties along the North Coast of California joined the Golden Gate Bridge District , with the exception being Humboldt County , whose residents opposed the bridge 's construction and the traffic it would generate .   Design  South tower seen from walkway , with Art Deco elements  Strauss was chief engineer in charge of overall design and construction of the bridge project . However , because he had little understanding or experience with cable - suspension designs , responsibility for much of the engineering and architecture fell on other experts . Strauss 's initial design proposal ( two double cantilever spans linked by a central suspension segment ) was unacceptable from a visual standpoint . The final graceful suspension design was conceived and championed by Leon Moisseiff , the engineer of the Manhattan Bridge in New York City .   Irving Morrow , a relatively unknown residential architect , designed the overall shape of the bridge towers , the lighting scheme , and Art Deco elements , such as the tower decorations , streetlights , railing , and walkways . The famous International Orange color was originally used as a sealant for the bridge . The US Navy had wanted it to be painted with black and yellow stripes to ensure visibility by passing ships .   Senior engineer Charles Alton Ellis , collaborating remotely with Moisseiff , was the principal engineer of the project . Moisseiff produced the basic structural design , introducing his `` deflection theory '' by which a thin , flexible roadway would flex in the wind , greatly reducing stress by transmitting forces via suspension cables to the bridge towers . Although the Golden Gate Bridge design has proved sound , a later Moisseiff design , the original Tacoma Narrows Bridge , collapsed in a strong windstorm soon after it was completed , because of an unexpected aeroelastic flutter . Ellis was also tasked with designing a `` bridge within a bridge '' in the southern abutment , to avoid the need to demolish Fort Point , a pre -- Civil War masonry fortification viewed , even then , as worthy of historic preservation . He penned a graceful steel arch spanning the fort and carrying the roadway to the bridge 's southern anchorage .  Below Golden Gate Bridge  Ellis was a Greek scholar and mathematician who at one time was a University of Illinois professor of engineering despite having no engineering degree . He eventually earned a degree in civil engineering from the University of Illinois prior to designing the Golden Gate Bridge and spent the last twelve years of his career as a professor at Purdue University . He became an expert in structural design , writing the standard textbook of the time . Ellis did much of the technical and theoretical work that built the bridge , but he received none of the credit in his lifetime . In November 1931 , Strauss fired Ellis and replaced him with a former subordinate , Clifford Paine , ostensibly for wasting too much money sending telegrams back and forth to Moisseiff . Ellis , obsessed with the project and unable to find work elsewhere during the Depression , continued working 70 hours per week on an unpaid basis , eventually turning in ten volumes of hand calculations .   With an eye toward self - promotion and posterity , Strauss downplayed the contributions of his collaborators who , despite receiving little recognition or compensation , are largely responsible for the final form of the bridge . He succeeded in having himself credited as the person most responsible for the design and vision of the bridge . Only much later were the contributions of the others on the design team properly appreciated . In May 2007 , the Golden Gate Bridge District issued a formal report on 70 years of stewardship of the famous bridge and decided to give Ellis major credit for the design of the bridge .  The height , depth , and length of the span from end to end , looking west The Golden Gate Bridge at sunset , as seen from just north of Alcatraz Island  Finance   The Golden Gate Bridge and Highway District , authorized by an act of the California Legislature , was incorporated in 1928 as the official entity to design , construct , and finance the Golden Gate Bridge . However , after the Wall Street Crash of 1929 , the District was unable to raise the construction funds , so it lobbied for a $30 million bond measure . The bonds were approved in November 1930 , by votes in the counties affected by the bridge . The construction budget at the time of approval was $27 million . However , the District was unable to sell the bonds until 1932 , when Amadeo Giannini , the founder of San Francisco -- based Bank of America , agreed on behalf of his bank to buy the entire issue in order to help the local economy .   Construction   Construction began on January 5 , 1933 . The project cost more than $35 million , ( $493 million in 2016 dollars ) completing ahead of schedule and $1.3 million under budget . The Golden Gate Bridge construction project was carried out by the McClintic - Marshall Construction Co. , a subsidiary of Bethlehem Steel Corporation founded by Howard H. McClintic and Charles D. Marshall , both of Lehigh University .  1.2 million steel rivets hold the bridge together . This is a segment of one of those replaced during the seismic retrofit of the bridge after the 1989 Loma Prieta earthquake .  Strauss remained head of the project , overseeing day - to - day construction and making some groundbreaking contributions . A graduate of the University of Cincinnati , he placed a brick from his alma mater 's demolished McMicken Hall in the south anchorage before the concrete was poured . He innovated the use of movable safety netting beneath the construction site , which saved the lives of many otherwise - unprotected ironworkers . Of eleven men killed from falls during construction , ten were killed on February 17 , 1937 , when the bridge was near completion when the net failed under the stress of a scaffold that had fallen . According to Travel Channel 's Monumental Mysteries , the workers ' platform that was attached to a rolling hanger on a track collapsed when the bolts that were connected to the track were too small and the amount of weight was too great to bear . The platform fell into the safety net , but was too heavy and the net gave way . Two out of the twelve workers survived the 200 - foot ( 61 m ) fall into the icy waters , including the 37 - year - old foreman , Slim Lambert . Nineteen others who were saved by the net over the course of construction became members of their Half Way to Hell Club .   The project was finished and opened May 27 , 1937 . The Bridge Round House diner was then included in the southeastern end of the Golden Gate Bridge , adjacent to the tourist plaza which was renovated in 2012 . The Bridge Round House , an Art Deco design by Alfred Finnila completed in 1938 , has been popular throughout the years as a starting point for various commercial tours of the bridge and an unofficial gift shop . The diner was renovated in 2012 and the gift shop was then removed as a new , official gift shop has been included in the adjacent plaza .   During the bridge work , the Assistant Civil Engineer of California Alfred Finnila had overseen the entire iron work of the bridge as well as half of the bridge 's road work . With the death of Jack Balestreri in April 2012 , all workers involved in the original construction are now deceased .   Opening festivities , 50th , and 75th anniversaries  View of the Golden Gate Bridge and Fort Point from Marine Drive .  The bridge - opening celebration began on May 27 , 1937 and lasted for one week . The day before vehicle traffic was allowed , 200,000 people crossed either on foot or on roller skates . On opening day , Mayor Angelo Rossi and other officials rode the ferry to Marin , then crossed the bridge in a motorcade past three ceremonial `` barriers '' , the last a blockade of beauty queens who required Joseph Strauss to present the bridge to the Highway District before allowing him to pass . An official song , `` There 's a Silver Moon on the Golden Gate '' , was chosen to commemorate the event . Strauss wrote a poem that is now on the Golden Gate Bridge entitled `` The Mighty Task is Done . '' The next day , President Roosevelt pushed a button in Washington , D.C. signaling the official start of vehicle traffic over the Bridge at noon . As the celebration got out of hand there was a small riot in the uptown Polk Gulch area . Weeks of civil and cultural activities called `` the Fiesta '' followed . A statue of Strauss was moved in 1955 to a site near the bridge .   In May 1987 , as part of the 50th anniversary celebration , the Golden Gate Bridge district again closed the bridge to automobile traffic and allowed pedestrians to cross the bridge . However , this celebration attracted 750,000 to 1,000,000 people , and ineffective crowd control meant the bridge became congested with roughly 300,000 people , causing the center span of the bridge to flatten out under the weight . Although the bridge is designed to flex in that way under heavy loads , and was estimated not to have exceeded 40 % of the yielding stress of the suspension cables , bridge officials stated that uncontrolled pedestrian access was not being considered as part of the 75th anniversary on Sunday , May 27 , 2012 , because of the additional law enforcement costs required `` since 9 / 11 '' .     A pedestrian poses at the old railing on opening day , 1937    Play media  Opening of the Golden Gate Bridge     Official invitation to the opening of the bridge . This copy was sent to the City of Seattle     Structural specifications  On the south side of the bridge a 36.5 - inch - wide ( 93 cm ) cross-section of the cable , containing 27,572 wires , is on display .  Until 1964 , the Golden Gate Bridge had the longest suspension bridge main span in the world , at 4,200 feet ( 1,300 m ) . Since 1964 its main span length has been surpassed by ten bridges ; it now has the second - longest main span in the United States , after the Verrazano - Narrows Bridge in New York City . The total length of the Golden Gate Bridge from abutment to abutment is 8,981 feet ( 2,737 m ) .   The Golden Gate Bridge 's clearance above high water averages 220 feet ( 67 m ) while its towers , at 746 feet ( 227 m ) above the water , were the world 's tallest on a suspension bridge until 1993 when it was surpassed by the Mezcala Bridge , in Mexico . The Golden Gate Bridge remains the tallest bridge in the United States .   The weight of the roadway is hung from 250 pairs of vertical suspender ropes , which are attached to two main cables . The main cables pass over the two main towers and are fixed in concrete at each end . Each cable is made of 27,572 strands of wire . The total length of galvanized steel wire used to fabricate both main cables is estimated to be 80,000 miles ( 130,000 km ) .   The bridge has approximately 1,200,000 total rivets .   Aesthetics   The color of the bridge is officially an orange vermilion called international orange . The color was selected by consulting architect Irving Morrow because it complements the natural surroundings and enhances the bridge 's visibility in fog . Aesthetics was the foremost reason why the first design of Joseph Strauss was rejected . Upon re-submission of his bridge construction plan , he added details , such as lighting , to outline the bridge 's cables and towers . In 1999 , it was ranked fifth on the List of America 's Favorite Architecture by the American Institute of Architects .   The bridge was originally painted with red lead primer and a lead - based topcoat , which was touched up as required . In the mid-1960s , a program was started to improve corrosion protection by stripping the original paint and repainting the bridge with zinc silicate primer and vinyl topcoats . Since 1990 , acrylic topcoats have been used instead for air - quality reasons . The program was completed in 1995 and it is now maintained by 38 painters who touch up the paintwork where it becomes seriously corroded .     A view of the Golden Gate Bridge from the Marin Headlands on a foggy morning at sunrise     View of the northern tower of the bridge     Traffic  Installation of the movable median barrier system in January 2015 Play media Testing the newly installed movable barrier .  Most maps and signage mark the bridge as part of the concurrency between U.S. Route 101 and California State Route 1 . Although part of the National Highway System , the bridge is not officially part of California 's Highway System . For example , under the California Streets and Highways Code § 401 , Route 101 ends at `` the approach to the Golden Gate Bridge '' and then resumes at `` a point in Marin County opposite San Francisco '' . The Golden Gate Bridge , Highway and Transportation District has jurisdiction over the segment of highway that crosses the bridge instead of the California Department of Transportation ( Caltrans ) .   The movable median barrier between the lanes is moved several times daily to conform to traffic patterns . On weekday mornings , traffic flows mostly southbound into the city , so four of the six lanes run southbound . Conversely , on weekday afternoons , four lanes run northbound . During off - peak periods and weekends , traffic is split with three lanes in each direction .   From 1968 to 2015 , opposing traffic was separated by small , plastic pylons , and during that time , there were 16 fatalities resulting from 128 head - on collisions . To improve safety , the speed limit on the Golden Gate Bridge was reduced from 50 to 45 mph ( 80 to 72 km / h ) on October 1 , 1983 . Although there had been discussion concerning the installation of a movable barrier since the 1980s , only in March 2005 did the Bridge Board of Directors commit to finding funding to complete the $2 million study required prior to the installation of a movable median barrier . Installation of the resulting barrier was completed on January 11 , 2015 , following a closure of 45.5 hours to private vehicle traffic , the longest in the bridge 's history . The new barrier system , including the zipper trucks , cost approximately $30.3 million to purchase and install .   Usage and tourism  Play media Looking north with traffic and current flow into the bay with sailboats See also : Golden Gate National Recreation Area  The bridge is popular with pedestrians and bicyclists , and was built with walkways on either side of the six vehicle traffic lanes . Initially , they were separated from the traffic lanes by only a metal curb , but railings between the walkways and the traffic lanes were added in 2003 , primarily as a measure to prevent bicyclists from falling into the roadway .   The main walkway is on the eastern side , and is open for use by both pedestrians and bicycles in the morning to mid-afternoon during weekdays ( 5 am to 3 : 30 pm ) , and to pedestrians only for the remaining daylight hours ( until 6 pm , or 9 pm during DST ) . The eastern walkway is reserved for pedestrians on weekends ( 5 am to 6 pm , or 9 pm during DST ) , and is open exclusively to bicyclists in the evening and overnight , when it is closed to pedestrians . The western walkway is open only for bicyclists and only during the hours when they are not allowed on the eastern walkway .   Bus service across the bridge is provided by two public transportation agencies : San Francisco Muni and Golden Gate Transit . Muni offers Saturday and Sunday service on the Marin Headlands Express bus line , and Golden Gate Transit runs numerous bus lines throughout the week . The southern end of the bridge , near the toll plaza and parking lot , is also accessible daily from 5 : 30 a.m. to midnight by Muni line 28 . The Marin Airporter , a private company , also offers service across the bridge between Marin County and San Francisco International Airport .   A visitor center and gift shop , dubbed the `` Bridge Pavilion '' , is located on the San Francisco side of the bridge , adjacent to the southeast parking lot . It opened in 2012 , in time for the bridge 's 75th anniversary celebration . A cafe , outdoor exhibits , and restroom facilities are located nearby . On the Marin side of the bridge , only accessible from the northbound lanes , is the H. Dana Bower Rest Area and Vista Point , named after the first landscape architect for the California Division of Highways .   Lands and waters under and around the bridge are homes to varieties of wildlife such as bobcats and sea lions . Three species of cetaceans that had been absent in the area for many years show recent recoveries / ( re ) colonizations vicinity to the bridge , and researchers study them to strengthen protections , concerning actions by public and recommending to watch whales either from the bridge and nearby , or to use a local whale watching operator .   Tolls   The last of the construction bonds were retired in 1971 , with $35 million in principal and nearly $39 million in interest raised entirely from bridge tolls .   In November 2006 , the Golden Gate Bridge , Highway and Transportation District recommended a corporate sponsorship program for the bridge to address its operating deficit , projected at $80 million over five years . The District promised that the proposal , which it called a `` partnership program , '' would not include changing the name of the bridge or placing advertising on the bridge itself . In October 2007 , the Board unanimously voted to discontinue the proposal and seek additional revenue through other means , most likely a toll increase .   In an effort to save $19.2 million over the following 10 years , the Golden Gate District voted in January 2011 to eliminate all toll takers by 2012 and use only open road tolling . Subsequently , this was delayed and toll taker elimination occurred in March 2013 . The cost savings have been revised to $19 million over an eight - year period . In addition to the FasTrak electronic toll collection system , the Golden Gate District implemented the use of license plate tolling ( branded as `` Pay - by - Plate '' ) , and also a one time payment system for drivers to pay before or after their trip on the bridge . Twenty - eight positions were eliminated as part of this plan .   On April 7 , 2014 , the toll for users of FasTrak was increased from $5 to $6 , while the toll for drivers using either the license plate tolling or the one time payment system was raised from $6 to $7 . Bicycle , pedestrian , and northbound motor vehicle traffic remain toll free . For vehicles with more than two axles , the toll rate is $7 per axle for those using license plate tolling or the one time payment system , and $6 per axle for FasTrak users . During peak traffic hours , carpool vehicles carrying two or more people and motorcycles pay a discounted toll of $4 ; drivers must have Fastrak to take advantage of this carpool rate . The Golden Gate Transportation District then planned to increase the tolls by 25 cents in July 2015 , and then by another 25 cents each of the next three years .   Golden Gate Bridge toll increases ( 2014 -- 18 )   Effective date   FasTrak   Toll - by - plate   Carpool   Multi-axle vehicle     April 7 , 2014   $6.00   $7.00   $4.00   $7.00 per axle     July 1 , 2015   $6.25   $7.25   $4.25   $7.25 per axle     July 1 , 2016   $6.50   $7.50   $4.50   $7.50 per axle     July 1 , 2017   $6.75   $7.75   $4.75   $7.75 per axle     July 1 , 2018   $7.00   $8.00   $5.00   $8.00 per axle     Congestion pricing  Further information : San Francisco congestion pricing Looking south  In March 2008 , the Golden Gate Bridge District board approved a resolution to start congestion pricing at the Golden Gate Bridge , charging higher tolls during the peak hours , but rising and falling depending on traffic levels . This decision allowed the Bay Area to meet the federal requirement to receive $158 million in federal transportation funds from USDOT Urban Partnership grant . As a condition of the grant , the congestion toll was to be in place by September 2009 .   The first results of the study , called the Mobility , Access and Pricing Study ( MAPS ) , showed that a congestion pricing program is feasible . The different pricing scenarios considered were presented in public meetings in December 2008 .   In August 2008 , transportation officials ended the congestion pricing program in favor of varying rates for metered parking along the route to the bridge including on Lombard Street and Van Ness Avenue .   Issues   Suicides  Main article : Suicides at the Golden Gate Bridge As a suicide prevention initiative , this sign promotes a special telephone available on the bridge that connects to a crisis hotline .  The Golden Gate Bridge is the second-most used suicide site / suicide bridge in the world , after the Nanjing Yangtze River Bridge . The deck is about 245 feet ( 75 m ) above the water . After a fall of four seconds , jumpers hit the water at around 75 mph or about 120 km / h . Most of the jumpers die from impact trauma . About 5 % of the jumpers survive the initial impact but generally drown or die of hypothermia in the cold water .   After years of debate and over an estimated 1,500 deaths , suicide barriers began to be installed in April 2017 . Construction will take approximately four years at a cost of over $200 million .   Wind   Since its completion , the Golden Gate Bridge has been closed because of weather conditions only three times : on December 1 , 1951 , because of gusts of 69 mph ( 111 km / h ) ; on December 23 , 1982 , because of winds of 70 mph ( 113 km / h ) ; and on December 3 , 1983 , because of wind gusts of 75 mph ( 121 km / h ) .   An anemometer , placed midway between the two towers on the west side of the bridge , has been used to measure wind speeds . Another anemometer was placed on one of the towers .     Seismic vulnerability and Improvements  South approach sub-structure with seismic isolators ( short black cylinders ) added as part of the Seismic Retrofit Construction Project . Doyle Drive Replacement Project progress in October 2013  Modern knowledge of the effect of earthquakes on structures led to a program to retrofit the Golden Gate to better resist seismic events . The proximity of the bridge to the San Andreas Fault places it at risk for a significant earthquake . Once thought to have been able to withstand any magnitude of foreseeable earthquake , the bridge was actually vulnerable to complete structural failure ( i.e. , collapse ) triggered by the failure of supports on the 320 - foot ( 98 m ) arch over Fort Point . A $392 million program was initiated to improve the structure 's ability to withstand such an event with only minimal ( repairable ) damage . One challenging undertaking is completing this program without disrupting traffic . A complex electro - hydraulic synchronous lift system was custom built for construction of temporary support towers and a series of intricate lifts , transferring the loads from the existing bridge onto the temporary supports . This was completed with engineers from Balfour Beatty and Enerpac , accomplishing this task without disrupting day - to - day San Francisco commuter traffic . The retrofit was planned to be completed in 2012 .     The former elevated approach to the Golden Gate Bridge through the San Francisco Presidio , known as Doyle Drive , dated to 1933 and was named after Frank P. Doyle , President and son of the founder of the Exchange Bank in Santa Rosa , and the man who , more than any other person , made it possible to build the Golden Gate Bridge . The highway carried about 91,000 vehicles each weekday between downtown San Francisco and the North Bay and points north . The road was deemed `` vulnerable to earthquake damage '' , had a problematic 4 - lane design , and lacked shoulders , and a San Francisco County Transportation Authority study recommended that it be replaced . Construction on the $1 billion replacement , temporarily known as the Presidio Parkway , began in December 2009 . The elevated Doyle Drive was demolished on the weekend of April 27 -- 30 , 2012 , and traffic used a part of the partially completed Presidio Parkway , until it was switched onto the finished Presidio Parkway on the weekend of July 9 -- 12 , 2015 . As of May 2012 , an official at Caltrans said there is no plan to permanently rename the portion known as Doyle Drive .   In popular culture  Main article : Golden Gate Bridge in popular culture Golden Gate Bridge at sunset  As a prominent American landmark , the Golden Gate Bridge has been used in numerous media which includes books , films and video games .  Comparison of the side elevations of the Golden Gate Brid</t>
  </si>
  <si>
    <t xml:space="preserve">golden gate bridge facts when was it built</t>
  </si>
  <si>
    <t xml:space="preserve"> The Frommer 's travel guide describes the Golden Gate Bridge as `` possibly the most beautiful , certainly the most photographed , bridge in the world . '' At the time of its opening in 1937 , it was both the longest and the tallest suspension bridge in the world , with a main span of 4,200 feet ( 1,280 m ) and a total height of 746 feet ( 227 m ) . Today , the Golden Gate Bridge is neither the longest nor the tallest in the world , but remains the tallest bridge in the United States . </t>
  </si>
  <si>
    <t xml:space="preserve">Anheuser - Busch brands - wikipedia  Anheuser - Busch brands   Anheuser - Busch , a wholly owned subsidiary of Anheuser - Busch InBev SA / NV , is the largest brewing company in the United States , with a market share of 45 percent in 2016 .   The company operates 12 breweries in the United States and nearly 20 in other countries , which increased recently since Anheuser - Busch InBev SA / NV acquired SABMiller . Brands include Budweiser , Busch , Michelob , Bud Light , and Natural Light .   Contents    1 Budweiser   1.1 Bud Light   1.2 Bud Light Platinum   1.3 Bud Light Apple   1.4 Bud Light Lime   1.5 Bud Light Lime - A-Ritas   1.6 Budweiser Select   1.6. 1 Budweiser Select 55     1.7 Budweiser 66   1.8 Budweiser 1933 Repeal Reserve   1.9 Bud Ice   1.10 Bud Extra   1.11 Budweiser / Bud Light Chelada   1.12 Budweiser Prohibition Brew   1.13 Budweiser NA   1.14 Discontinued   1.14. 1 Budweiser American Ale   1.14. 2 Budweiser Brew Masters ' Private Reserve   1.14. 3 Bud Dry   1.14. 4 Bud Ice Light   1.14. 5 Bud Light Golden Wheat   1.14. 6 Bud Silver       2 Michelob   2.1 Brand variation   2.2 Marketing     3 Rolling Rock   4 Busch   5 Shock Top   6 Natural   7 Johnny Appleseed   8 LandShark Lager   9 Craft Ownership   9.1 Goose Island Brewery   9.2 Blue Point   9.3 10 Barrel   9.4 Elysian Brewing Company   9.5 Golden Road Brewing   9.6 Four Peaks Brewery   9.7 Breckenridge Brewery   9.8 Devils Backbone Brewing Company   9.9 Karbach Brewing Company   9.10 Wicked Weed Brewing     10 Malt liquors   10.1 King Cobra   10.2 Hurricane   10.3 Spykes     11 Others   12 Minority ownership brands   13 Craft beer distribution alliances   14 References   15 External links    Budweiser ( edit )  Main article : Budweiser  Budweiser is a 5.0 % ABV Adjunct pale lager that was introduced in 1876 by Adolphus Busch and has become one of the best selling beers in the United States . It is made with up to 30 % rice in addition to hops and barley malt . Budweiser is produced in various breweries located around the United States and the rest of the world . It is a filtered beer available in draught and packaged forms . Lower strength versions are distributed in regions with restrictive alcohol laws .   Bud Light ( edit )   Introduced in 1982 as Budweiser Light , Budweiser 's flagship light beer with 4.2 % ABV and 110 calories per 12 US fl oz ( 355 mL ) serving ( 1,300 kJ / L ) . From 1993 to 1998 , Bud Light aired 30 - second commercials featuring Rob and Laura from the CBS series The Dick Van Dyke Show .   Bud Light Platinum ( edit )   A slightly sweeter , higher alcohol version of Bud Light launched in early 2012 , with 6 % ABV . This product is noted for being packaged in a new translucent blue glass bottle . Bud Light Platinum has 137 calories per 12 ounce serving , 8 fewer than a regular Budweiser .   Bud Light Apple ( edit )   Bud Light with apple flavor added . It has 151 calories per 355 ml serving . Released in 2015 with 4.2 % ABV .   Bud Light Lime ( edit )   Bud Light with lime flavor added . It has 116 calories per 12 US fl oz serving ( 1,370 kJ / L ) . Released in May 2008 with 4.2 % alcohol content , the same alcohol content as Bud Light . Favorite beverage of the former professional baseball pitcher Calvin Schiraldi .   Bud Light Lime - a-Ritas ( edit )   Since April 2012 , AB has released a line of 8 % alcohol by volume ( 6 % ABV in Canada ) flavored malt beverages titled `` Bud Light Lime Ritas , '' with its flagship flavor being the `` Lime - a-Rita , '' a lime flavored beverage . The drinks are available in a twenty - five ounce can , as well as a twelve - pack of eight ounce cans . Since then , AB has released the strawberry - flavored `` Straw - Ber - Rita , '' the mango flavored `` Mang - o - Rita , '' and the raspberry flavored `` Raz - Ber - Rita . '' For the winter 2013 season , AB released the cranberry - flavored `` Cran - Brrr - Rita '' as well , and wound up extending it through January and February 2014 due to strong sales . After the release of the `` Mang - o - Rita '' and `` Raz - Ber - Rita , '' A-B released an eighteen - pack case containing six `` Lime - a-Ritas , '' four `` Straw - Ber - Ritas , '' four `` Mang - o - Ritas , '' and four `` Raz - Ber - Ritas . ''   In August 2014 , A-B released a new fall seasonal extension for their `` Rita '' line , `` Apple - Ahh - Rita , '' an apple - flavored margarita sold until October 2014 .   In February 2015 , A-B released a new summer seasonal extension for their `` Rita '' line , `` Lemon - Ade - Rita , '' a lemonade flavored margarita .   In summer 2016 , A-B released the newest `` rita '' flavor of their line named `` Water - melon - rita '' , a watermelon flavored margarita . A-B also released the `` Grape - Ahh - Rita , '' a grape flavored margarita .   In fall 2016 , A-B released the new `` Cherry - Ahh - Rita , '' a cherry - flavored margarita .   In summer 2017 , A-B released the new `` Peach - A-Rita , '' a peach - flavored margarita . A-B also released the new `` Orange - A-Rita , '' an orange - flavored margarita but only available in MI , OH , TX , FL , and GA . The `` Grape - Ahh - Rita '' was also renamed `` Grape - A-Rita ''   In summer 2017 , A-B introduced `` Splash by Lime - A-Rita , '' a line of lighter their Lime - A-Ritas with less alcohol , calories , and carbs available in three flavors ; the existing `` Straw - Ber - Rita '' and the two new flavors `` Pine - Apple - Rita '' and `` Coco - Nut - Rita . ''   Budweiser Select ( edit )   Budweiser Select , or Bud Select , is a light pale lager that contains 4.3 % ABV and 99 calories per 12 US fl oz serving ( 1,170 kJ / L ) . Anheuser - Busch has aggressively promoted Budweiser Select . Its slogan was `` The Real Deal '' . The company hired Jay - Z as a spokesman for the brand .  Budweiser Select 55 ( edit )  A version of Budweiser Select that contains 55 calories per 12 US fl oz serving ( 650 kJ / L ) is `` a direct counterstrike to Miller 's MGD 64 '' according to Anheuser - Busch officials . Budweiser currently claims that it is the lightest beer in the world . The food energy in both Miller 's MGD 64 and Budweiser 's Select 55 have been reduced simply by lowering the fermentables content . MGD 64 has only 2.8 % alcohol content and some Select 55 states `` alcohol content not more than 3.2 % by weight / 4 % by volume '' , possibly to allow its sale in areas where that is the limit . The actual alcohol content of `` 55 '' is reported to be 2.4 % ABV ; by comparison , most American lagers have around 5 % .   Budweiser 66 ( edit )   Budweiser Brew No. 66 is a 4 % alcohol by volume lager that is brewed and distributed in the United Kingdom by InBev UK Limited . Launched in July 2010 , Budweiser 66 has 84 Calories in a 300 ml serving ( just over 10 oz ) .   Budweiser 1933 repeal Reserve ( edit )   A 6 % ABV amber lager style introduced in November 2017 , inspired by a pre-prohibition recipe .   Bud Ice ( edit )   Introduced in October 1993 as `` Ice by Budweiser '' , it has more alcohol ( 5.5 % ABV ) than Budweiser . It is best known for an advertising campaign that involved a malevolent penguin that stalked Bud Ice drinkers and stole their beer , announcing its presence by singing the `` doo - be-doo - be-doo '' phrase from `` Strangers in the Night '' .   Bud extra ( edit )   A beer with caffeine , ginseng , guarana and alcohol . It contains 6.6 % ABV . It was marketed as a caffeinated malt beverage , similar to Sparks . On June 26 , 2008 , Anheuser - Busch announced that it would remove caffeine and guarana from the beverage in response to concerns that the product was being marketed to consumers under the age of 21 .   Budweiser / Bud Light chelada ( edit )   A blend of Budweiser or Bud Light and Clamato . This beverage became available nationally in late 2007 .   Budweiser prohibition brew ( edit )   A non-alcoholic beer introduced into the Canadian market in 2016 . It is anticipated to be available in the United States soon . In 2015 , AB InBev committed to ensuring that low - alcohol and nonalcoholic beers would represent at least 20 % of its global beer volume by 2025 .   Budweiser NA ( edit )   Non-alcoholic version of Budweiser developed for the Middle Eastern market . Also available in Green Apple and Tropical Fruits versions .   Discontinued ( edit )  Budweiser American Ale ( edit )  Budweiser American Ale debuted in September 2008 . The beer claims to offer complex taste without much bitterness . American Ale has a distinctive hoppier flavor than other Anheuser - Busch beers , in an attempt to capture some of the American craft beer market , although most American craft beers are hoppier . American Ale is the first beer under the Budweiser name that is brewed with a top fermenting yeast . The beer 's darker color is a departure from the other Budweiser brands . Production was discontinued prior to 2015 .  Budweiser brew Masters ' Private Reserve ( edit )  Budweiser Brew Masters ' Private Reserve is an all - malt lager with a honey color and robust taste . It is based on a `` Budweiser brewmaster holiday tradition of collecting the richest part of the batch which is tapped to the brew kettles to toast the holiday season . ''  Bud Dry ( edit )  Bud Dry was introduced nationally in the U.S. in April 1990 with the slogan of `` Why ask why ? Try Bud Dry . '' It was originally successful in test markets and was expected to be a popular beer with the rise in light lager popularity . Dry beer is a form of pale lager where the sugars are more fully fermented to give a less sweet beer . It is also known as the Diät - Pils style . However , after the introduction of Bud Ice in 1994 , Bud Dry was not heavily marketed . Production was discontinued in December 2010 .  Bud Ice Light ( edit )  Bud Ice Light contains 5.0 % ABV and 115 calories per 12 US fl oz serving ( 1,360 kJ / L ) . It undergoes fractional freezing , which Bud Light does not undergo . It was discontinued in 2010 .  Bud Light Golden Wheat ( edit )  On October 5 , 2009 , Budweiser officially released Bud Light Golden Wheat , a response to the increase in the amount of wheat beers produced from craft brewers around the country . This beer had 118 calories per 12 US fl oz serving ( 1,390 kJ / L ) , 8.3 grams of carbohydrates and 4.1 % alcohol by volume . It was an American Hefeweizen which is based on the classic German Hefeweizen style . Production was discontinued in 2012 .  Bud Silver ( edit )  An attempt to appeal to the tastes of beer drinkers in the United Kingdom , this specially brewed beer contained 4.2 % alcohol by volume . It was discontinued in 2006 after it failed to meet sales expectations .   Michelob ( edit )  Michelob Ultra on a supermarket shelf  Michelob is a 4.7 % ABV pale lager developed by Adolphus Busch in 1896 as a `` draught beer for connoisseurs '' . In 1961 , Anheuser - Busch produced a pasteurized version of Michelob which allowed legal shipment of the beer across state lines . Bottled beer began to be shipped soon after , and the brand was introduced in cans in 1966 . Bottled Michelob was originally sold in a uniquely shaped bottle named the teardrop bottle because it resembled a water droplet . The teardrop bottle was awarded a medal from the Institute of Design in 1962 . Five years later the bottle was redesigned for efficiency in the production line . This bottle was used until 2002 when it was dropped in favor of a traditional bottle . The teardrop bottle was used again from January 2007 to October 2008 .   Brand variation ( edit )   The company introduced Michelob Light in 1978 . Michelob Classic Dark was made available in 1981 in kegs , with a bottled version following three years later . In 1991 , Michelob Golden Draft was introduced to compete against Miller Genuine Draft in the Midwest .   1997 saw the introduction of several specialty beers under the Michelob marquee . These include :    Michelob Honey Lager   Michelob Pale Ale   Michelob Marzen   Michelob Pumpkin Spice Ale   Michelob Winter 's Bourbon Cask Ale    AmberBock is a 5.1 % ABV amber lager which uses roasted black barley malt in the ingredients , and which received a World Beer Cup Bronze Medal in 1998 .   From the beginning , the specialty beers have had a very limited distribution . The chief outlet has been through a `` holiday sampler pack '' produced during the Christmas holiday season . Other specialty beers that are no longer in production include Michelob Hefeweizen and Michelob Black &amp; Tan . Some ( notably Michelob AmberBock ) have subsequently gone into larger production , while others have not . The brewery continues to experiment with specialty beers -- in 2005 an oak - aged vanilla beer was sold under the Michelob logo , available in single pints . In 2006 Michelob added a chocolate beer to the oak - aged vanilla Celebrate holiday season beer released a year earlier . Michelob also brewed Michelob Bavarian Style Wheat and Michelob Porter for its `` holiday sampler pack '' . In 2007 , Michelob launched its Seasonal Specialty Line . These include :    Michelob Bavarian Wheat ( summer )   Michelob Marzen ( fall )   Michelob Porter ( winter )   Michelob Pale Ale ( spring )    The early 21st century saw in the U.S. a demand for diet beer similar to that of the early 1970s , and in 2002 the Michelob line responded with the introduction of Michelob Ultra , advertised as being low in carbohydrates . Later Michelob Ultra Amber , a darker , more flavorful beer , was added to this sub-line .   According to a report by Beer Marketer 's Insights and published by USA Today on December 9 , 2013 , sales of Michelob Light declined by nearly 70 % between 2007 and 2012 . The article listed Michelob Light as one of `` nine beers many Americans no longer drink . ''   Michelob 5 % alcohol ; Michelob Golden Draft 4.7 % alcohol ; Michelob Golden Draft Light 4.3 % alcohol ; Michelob Ultra 4.2 % alcohol ; Michelob Ultra Amber 4.0 % alcohol ; Michelob : ULTRA Lime Cactus A fruit - infused light pilsner with natural lime flavor and a floral essence derived from the cactus ; Michelob : ULTRA Pomegranate Raspberry A pilsner with a berry aroma , raspberry flavor , and a hint of pomegranate ; Michelob : ULTRA Tuscan Orange Grapefruit A pilsner with fresh juicy orange notes and a slight pink - grapefruit finish .   All fruit flavors have the following nutrition content : 107 calories , 6.0 g carbs , 0.5 g protein and 0.0 g fat , per 12 oz bottle .   Marketing ( edit )   Advertisements for Michelob Ultra feature people engaged in sporting activities . The Michelob ULTRA Open at Kingsmill and Michelob Ultra Futures Players Championship , were sponsored by Michelob Ultra . Michelob Ultra serves as a presenting sponsor of the Tour of Missouri bicycle race and sponsors the King of the Mountains jersey . Michelob also sponsors the Rugby Super League , and many of its teams have shirt sponsorships with its AmberBock brand . PGA Tour player Sergio García is sponsored by Michelob . Lance Armstrong signed on October 6 , 2009 a three - year agreement to become Michelob Ultra 's new spokesperson and ambassador , but was dropped by the company in 2012 after being accused of using performance - enhancing drugs .   Michelob sponsored several episodes of the Diggnation podcast . The hosts , Kevin Rose and Alex Albrecht , sampled the beer during the show and several episodes included interviews with the company 's head brew - master to discuss the different products that can be found in the sampler packs . Also , an episode of the show was filmed inside the Michelob brewery .   Michelob is most notably famous for its late - 1980s TV commercials that used the slogan , `` The night belongs to Michelob '' , which centered on its `` night '' theme and used songs that had the word `` night '' or a form of the word `` night '' in its title , including `` Move Better in the Night '' by Roger Daltrey , `` Tonight , Tonight , Tonight '' by Genesis , `` Do n't You Know What the Night Can Do ? '' by Steve Winwood and a new recording of `` After Midnight '' by Eric Clapton . In the 1980s and 1990s , Michelob used the slogan `` Some days are better than others '' .   Rolling Rock ( edit )  Main article : Rolling Rock  Rolling Rock is a 4.5 % ABV pale lager launched in 1939 by the Latrobe Brewing Company . In May , 2006 , Anheuser - Busch purchased the Rolling Rock brand from InBev for $82 million and began brewing Rolling Rock at its Newark facility in mid July , 2006 . Other pale lagers marketed under the Rolling Rock brand name are Rock Green Light , 3.7 % ABV , and Rock Light , 3.5 % ; the company also produces a 5 % ABV amber lager , Rolling Rock Red . Ingredients are pale barley malt , rice , corn and hops .   Busch ( edit )   Busch Beer , a 4.3 % ABV economy brand pale lager was introduced in 1955 as Busch Bavarian Beer ; the brand name was changed in 1979 to Busch Beer . Other beers marketed under the Busch brand name are Busch Light , a 4.1 % pale lager introduced in 1989 , Busch Ice , a 5.9 % ice beer introduced in 1995 , and Busch NA , a non-alcoholic brew . Ingredients are a mix of American - grown and imported hops and a combination of malt and corn . At a slightly lower price point than flagship brand Budweiser , it serves as Anheuser - Busch 's second most popular brand .   Shock Top ( edit )  Shock Top  Shock Top is a 5.2 % ABV Belgian - style wheat ale introduced under the name Spring Heat Spiced Wheat brewed in Fort Collins , Colorado as a seasonal beer in 2006 , then all year from 2007 . The beer is brewed with wheat malt , two - row barley , orange , lemon , lime peel , coriander and Cascade and Willamette hops . Entering as the Spring Heat Spiced Wheat , Shock Top Belgian White won gold and bronze medals in the Belgian Wit ( White ) category at the 2006 and 2007 North American Beer Awards , earning the reputation as America 's Beer respectively . The brand now includes some seasonals and specialties that have replaced the Michelob Seasonals . Such varieties include Shock Top Pumpkin Wheat , Shock Top Raspberry Wheat , Shock Top Wheat IPA , Shock Top Lemon Shandy , Shock Top Honeycrisp Apple Wheat , Shock Top Chocolate Wheat , Ginger Wheat , Pretzel Wheat and Shock Top End of the World Midnight Wheat . It competes directly with the MillerCoors brand Blue Moon .   Natural ( edit )   Natural Light is an economy brand 4.2 % ABV reduced - calorie pale lager introduced in 1977 . The brand was originally called Anheuser - Busch Natural Light . In 2008 The Wall Street Journal listed it as the fifth largest selling beer in the U.S. Natural Ice is an economy brand 5.9 % ABV ice beer , introduced in 1995 . Nearly two decades after the introduction of Natural Ice , a malt liquor , Natty Daddy ( 8 % and 5.9 % ABV ) , was added to the market in 2012 .   Johnny Appleseed ( edit )   Johnny Appleseed is a 5.5 % ABV cider produced by Anheuser - Busch subsidiary Brokenstraw Beverage LLC and introduced in April 2014 . Brokenstraw Beverage was created by Anheuser - Busch in 2014 as a corporate identity to manufacture and distribute Johnny Appleseed out of their Baldwinsville , N.Y. brewery .   Landshark lager ( edit )  Land Shark Lager can be consumed with lime .  LandShark Lager , brewed in Jacksonville , Florida , is a 4.6 % ABV island - style lager launched in 2006 as the house lager for `` Jimmy Buffett 's Margaritaville '' restaurant chain , to compete with Grupo Modelo 's Corona . Under a sponsorship deal , Dolphin Stadium , home of the Miami Dolphins , Florida Marlins and the Miami Hurricanes , was renamed `` Land Shark Stadium '' for the 2009 football season . The contract ended in early 2010 , and the stadium has been renamed `` Sun Life Stadium '' as of January 18 , 2010 , in time for both the 2010 NFL Pro Bowl and Super Bowl XLIV . The stadium was renamed Hard Rock Stadium in 2016 .   LandShark also has Bar &amp; Grill locations in Pensacola , Florida , Myrtle Beach , South Carolina , Atlantic City , New Jersey , and Biloxi , Mississippi .   The name is derived from the Jimmy Buffett song `` Fins '' , where men in a beach town trying to woo a vacationing woman are referred to as `` sharks that can swim on the land '' .   Craft ownership ( edit )   Goose Island brewery ( edit )  Main article : Goose Island Brewery  Goose Island started in 1988 as a brewpub in Chicago , and opened a separate bottling plant there in 1995 . The brewery and its beers were purchased by Anheuser - Busch InBev in 2011 . The Chicago brewery continues to produce and sell small batch beers while their national offerings are made in bulk at various Anheuser - Busch facilities .   Blue Point ( edit )  Main article : Blue Point Brewing Company  On February 5 , 2014 , it was announced that Blue Point Brewing Company was being sold to Anheuser - Busch InBev for nearly $24 million . As of the time of sale , the brewery will continue to operate in its Patchogue , New York , location .   10 Barrel ( edit )   in November 2014 , it was reported that 10 Barrel Brewing , with brewpubs in Bend , Oregon , and Boise , Idaho , would be acquired by Anheuser - Busch . This was the second small brewing company acquired by the company in that calendar year .   Elysian Brewing company ( edit )  Main article : Elysian Brewing Company  Elysian was founded in Seattle , Washington , in 1995 by Dave Buhler , Joe Bisacca , and Dick Cantwell . On January 23 , 2015 , it was announced that Elysian would be sold to Anheuser - Busch in a deal expected to close within three months .   Golden Road Brewing ( edit )   The purchase of Golden Road Brewery in Los Angeles was announced on September 23 , 2015 .   Four Peaks brewery ( edit )  Main article : Four Peaks Brewery  Four Peaks announced on December 18 , 2015 , that it had been acquired by ABInbev as part of its High End unit .   Breckenridge brewery ( edit )  Main article : Breckenridge Brewery  Several days after acquiring the Four Peaks brand and assets , InBev announced the purchase of Breckenridge Brewery , with brewpubs based in Colorado .   Devils Backbone Brewing company ( edit )  Main article : Devils Backbone Brewing Company  Devils Backbone announced on April 12 , 2016 , that it had been acquired by ABInbev as part of its High End unit .   Karbach Brewing company ( edit )  Main article : Karbach Brewing Company  Karbach Brewing Company announced on November 3 , 2016 , that it had been acquired by ABInbev as part of its High End unit .   Wicked Weed Brewing ( edit )  Main article : Wicked Weed Brewing  Wicked Weed Brewing announced on May 3 , 2017 , that it had been acquired by ABInbev as part of its High End unit .   Malt liquors ( edit )   King Cobra ( edit )  King Cobra logo  King Cobra is a 6 % alcohol by volume malt liquor introduced in 1984 . It is brewed with a warmer fermentation than used for the company 's pale lagers , and the ingredients include barley malt and corn . Shortly after its launch , King Cobra was supported by an advertising campaign featuring actor , martial artist , and former American football player Fred Williamson and the tag - line `` Do n't let the smooth taste fool you ! ''   Hurricane ( edit )  Hurricane  Hurricane High Gravity Lager is an 8.1 % alcohol malt liquor beverage available primarily in the United States . It is available in 40 ounce bottles , as well as 12 , 16 , 24 , and 25 ounce cans . Recently , Hurricane High Gravity 8.1 % has gone from a Black Label to a Silver Label in all of its serving sizes . Hurricane also comes in a lower alcohol content just called Hurricane malt liquor usually sold in a 40 - ounce bottle Emina with an ABV of 5.9 % .   Spykes ( edit )   The company introduced a flavored 12 % ABV malt liquor under the name Spykes in 2007 . It was sold in colorful , 2 - ounce bottles . Available flavors included mango , lime , melon and chocolate . It was withdrawn in the same year after criticism from alcohol industry watchdog groups that it was being marketed to underage customers , and the Alcohol and Tobacco Tax and Trade Bureau found that the labeling of Spykes was illegal .   Others ( edit )    Tequiza was a 4.5 % ABV fruit flavored pale lager introduced in 1998 in limited markets in the USA , then withdrawn in January 2009 . Tequiza Extra , with more Tequila flavor and less lime , was test - marketed in 2000   Green Valley Brewing Company , has a craft beer appearance ; `` Anheuser - Busch '' does not appear on labels of its products .   O'Doul's , introduced in 1990 , it is a low - alcohol beer of less than 0.5 % ABV .   O'Doul's Amber , introduced in 1997 .   Redbridge , a gluten - free beer made from sorghum .   Tilt , a line of fruit flavored malt beverages .   Wild Blue Lager , a strong lager with blueberries .   Ziegenbock , sold in Texas and nearby states .    Minority ownership brands ( edit )   As of January 2013 , Anheuser - Busch InBev had 32.2 % ownership in the Craft Brew Alliance , a beer brewing company that is composed of several beer and cider brands .    Redhook Ale Brewery founded by Gordon Bowker and Paul Shipman in 1981 in Seattle , Washington ;   Widmer Brothers Brewery founded by brothers Kurt and Rob Widmer in 1984 in Portland , Oregon ;   Kona Brewing Company founded by father and son team Cameron Healy and Spoon Khalsa in 1994 in Kona , Hawaii ;   Omission Beer developed internally in 2012 in Portland , Oregon ; and   Square Mile Cider , launched in 2013    Craft beer distribution alliances ( edit )   Beers made by smaller `` craft '' breweries which are co-distributed with A-B brands by select distributors :    Fordham Brewing Company   Old Dominion Brewing Company    References ( edit )    Jump up ^ Trefis Team . `` The Year That Was : Anheuser - Busch InBev '' . Retrieved January 26 , 2017 . However , the brewer 's market share continues to drop in the country due to a declining demand for domestic beer -- a category AB InBev dominates with products such as Bud Light and Budweiser . The brewer 's share dropped to 45 % from 47.6 % in less than a year in the U.S. beer market .   Jump up ^ Brown , Lisa ( October 11 , 2016 ) . `` A-B InBev finalizes $100 B billion acquisition of SABMiller , creating world 's largest beer company '' . Chicago Tribune . Chicago . Retrieved January 29 , 2017 .   Jump up ^ `` Anheuser - Busch reports rise in Q1 sales , slight drop in profit '' . St. Louis Business Journal . Retrieved 13 October 2015 .   Jump up ^ Protz , R. , The Complete Guide to World Beer ( 2004 ) , ISBN 1 - 84442 - 865 - 6   Jump up ^ `` The Most Comprehensive Guide to Beer Calories and ABV '' . www.efficientdrinker.com . Retrieved 27 April 2018 .   Jump up ^ `` The Beer Store Rita Listing '' . The Beer Store .   Jump up ^ `` A-B 's Cran - Brrr - Rita extended through January '' . STL Today .   Jump up ^ `` Budweiser Select '' . Retrieved 27 April 2018 .   Jump up ^ `` AB InBev unveils new Bud 66 , the iPhone of lagers '' . thegrocer.co.uk . Retrieved 8 April 2011 .   Jump up ^ `` Apply for a Trademark . Search a Trademark '' . trademarkia.com . Retrieved 27 April 2018 .   Jump up ^ `` Lowdown : Budweiser Brews Non-Alcoholic Version '' . Retrieved 27 April 2018 .   Jump up ^ `` Budweiser is launching a new beer that 's missing the one thing that consumers love '' . Retrieved 27 April 2018 .   Jump up ^ `` Anheuser - Busch Rings in the Holiday Season with Limited - Edition Beers '' . October 30 , 2006 . Archived from the original on 2007 - 09 - 27 .   Jump up ^ `` Bud Dry is rolled out nationally '' . Retrieved 13 October 2015 .   Jump up ^ Schultz , E.J. ( 4 May 2012 ) . `` Why Bud Light Killed Golden Wheat and Created Platinum and Lime - A-Rita '' . Crain Communications . Advertising Age . Retrieved 4 March 2015 .   Jump up ^ Davenport , Rosie ( 17 May 2007 ) . `` www.morningadvertiser.co.uk/General-News/Bud-Silver-bites-the-bullet '' . William Reed Business Media Ltd . Morning Adviser . Retrieved 4 March 2015 .   Jump up ^ `` Michelob - Crafting a better beer '' . Retrieved 13 October 2015 .   Jump up ^ Frohlich , Thomas , C. ( 2013 - 12 - 09 ) . `` Nine beers many Americans no longer drink '' . USA Today . Retrieved 9 December 2013 .   Jump up ^ `` Anheuser - Busch follows Nike in dropping Armstrong sponsorship '' . Reuters. 2012 - 10 - 17 . Retrieved 17 October 2012 .   Jump up ^ David Kesmodel ( 13 April 2009 ) . `` Anheuser Explores Sale of Struggling Rolling Rock '' . WSJ . Retrieved 13 October 2015 .   Jump up ^ `` Anheuser - Busch Companies '' . www.anheuser-busch.com . Archived from the original on 2 January 2010 . Retrieved 2009 - 12 - 21 .   Jump up ^ `` Anheuser - Busch - History '' . www.anheuser-busch.com . Archived from the original on 2 January 2010 . Retrieved 2009 - 12 - 21 .   Jump up ^ `` Busch Beer at beer collections '' . www.beercollections.com . Archived from the original on 2010 - 04 - 07 . Retrieved 2009 - 12 - 21 .   Jump up ^ `` Anheuser - Busch Companies '' . www.anheuser-busch.com . Archived from the original on 2009 - 12 - 16 . Retrieved 2009 - 12 - 21 .   Jump up ^ `` Anheuser - Busch Companies '' . www.anheuser-busch.com . Archived from the original on 2 January 2010 . Retrieved 2009 - 12 - 21 .   Jump up ^ `` Anheuser - Busch Companies '' . www.anheuser-busch.com . Retrieved 2010 - 03 - 02 .   Jump up ^ `` Shock Top Belgian White from Anheuser - Busch InBev - Ratebeer '' . www.ratebeer.com . Archived from the original on 1 April 2010 . Retrieved 2010 - 03 - 02 .   Jump up ^ `` Anheuser-Busch.com - Homepage '' . Retrieved 13 October 2015 .   Jump up ^ `` Anheuser - Busch Companies '' . www.anheuser-busch.com . Archived from the original on 2 January 2010 . Retrieved 2009 - 12 - 21 .   Jump up ^ Kesmodel , David ; Vranica , Suzanne ( 11 August 2009 ) . `` Anheuser Refreshes Bud Light Campaign '' . The Wall Street Journal .   Jump up ^ `` Anheuser - Busch 's new hard apple cider to be made exclusively at Baldwinsville brewery '' . syracuse.com . Retrieved 13 October 2015 .   Jump up ^ `` -- Land Shark Lager - Age Gate -- '' . Retrieved 13 October 2015 .   Jump up ^ `` Land Shark Lager -- News '' . landsharklager.com . Archived from the original on 7 January 2010 . Retrieved 2009 - 12 - 22 .   Jump up ^ `` Miami park reverts to Dolphin Stadium '' . Retrieved 27 April 2018 .   Jump up ^ Bryant , Dawn ( 2010 - 12 - 09 ) . `` Jimmy Buffett eatery to land in Myrtle Beach '' . The Sun News . Retrieved 2010 - 12 - 09 .   Jump up ^ Berman , Marc ( 2012 - 07 - 24 ) . `` It 's Official : Jimmy Buffett 's Margaritaville is headed to Resorts Atlantic City '' . NJ.com . Retrieved 2012 - 07 - 24 .   Jump up ^ Noel , Josh ( August 24 , 2012 ) . `` Goose Island Beer to Be Available in All 50 States '' . Chicago Tribune . Retrieved April 8 , 2017 .   Jump up ^ Furnari , Chris . `` Anheuser - Busch InBev to Acquire Blue Point Brewing '' . Brewbound .   Jump up ^ Smith , Aaron ( 6 November 2014 ) . `` Anheuser - Busch swallows up another craft brewer '' . Time Warner . CNN . Retrieved 2 March 2015 .   Jump up ^ Garnick , Coral , Seattle 's Elysian Brewing Sold to Anheuser - Busch , Seattle Times , January 23 , 2015 .   Jump up ^ Verive , John ( 23 September 2015 ) . `` Anheuser - Busch buys L.A. craft beer favorite Golden Road Brewing '' . Los Angeles Times . Retrieved 24 September 2015 .   Jump up ^ `` Anheuser - Busch Welcomes Four Peaks Brewing Company to The High End Business Unit '' . Anheuser - Busch InBev .   Jump up ^ Wallace , Alicia ( 22 December 2015 ) . `` Breckenridge Brewery sold to giant Anheuser - Busch 's `` High End '' `` . Digital First Media . The Denver Post . Retrieved 20 January 2016 .   Jump up ^ `` Anheuser - Busch to acquire Devils Backbone Brewing Co '' . All About Beer Magazine . Retrieved 12 April 2016 .   Jump up ^ `` Karbach Brewing Co. to Partner with Anheuser - Busch and The High End '' .   Jump up ^ `` Wicked Weed Brewing acquired by Anheuser - Busch '' .   Jump up ^ `` Anheuser - Busch Companies '' . www.anheuser-busch.com . Archived from the original on 2 January 2010 . Retrieved 2009 - 12 - 21 .   Jump up ^ `` Hot melon in your Budweiser ? - Business - US business - Food Inc . - NBC News '' . msnbc.com . Retrieved 13 October 2015 .   Jump up ^ `` A booze buzz for teenyboppers ? '' , March 30 , 2007 , MSNBC.com   Jump up ^ `` Anheuser - Busch 's `` Spykes '' Labels Illegal , Group Says `` . Retrieved 13 October 2015 .   Jump up ^ `` Anheuser - Busch Pulls `` Spykes '' - CBS News `` . www.cbsnews.com . May 18 , 2007 . Retrieved 2009 - 12 - 22 .   Jump up ^ `` Tequiza '' . Retrieved 27 April 2018 .   Jump up ^ CRAFT BREW ALLIANCE , INC . ANNUAL REPORT For the Fiscal Year Ended : December 31 , 2012 .   Jump up ^ http://www.anheuserbusch.com Anheuser Busch Al</t>
  </si>
  <si>
    <t xml:space="preserve">shock top belgian wheat is what style of beer</t>
  </si>
  <si>
    <t xml:space="preserve"> Shock Top is a 5.2 % ABV Belgian - style wheat ale introduced under the name Spring Heat Spiced Wheat brewed in Fort Collins , Colorado as a seasonal beer in 2006 , then all year from 2007 . The beer is brewed with wheat malt , two - row barley , orange , lemon , lime peel , coriander and Cascade and Willamette hops . Entering as the Spring Heat Spiced Wheat , Shock Top Belgian White won gold and bronze medals in the Belgian Wit ( White ) category at the 2006 and 2007 North American Beer Awards , earning the reputation as America 's Beer respectively . The brand now includes some seasonals and specialties that have replaced the Michelob Seasonals . Such varieties include Shock Top Pumpkin Wheat , Shock Top Raspberry Wheat , Shock Top Wheat IPA , Shock Top Lemon Shandy , Shock Top Honeycrisp Apple Wheat , Shock Top Chocolate Wheat , Ginger Wheat , Pretzel Wheat and Shock Top End of the World Midnight Wheat . It competes directly with the MillerCoors brand Blue Moon . </t>
  </si>
  <si>
    <t xml:space="preserve">List of European Cup and UEFA Champions League winning players - wikipedia  List of European Cup and UEFA Champions League winning players  Jump to : navigation , search      This list needs additional citations for verification . Please help improve this article by adding citations to reliable sources . Unsourced material may be challenged and removed . ( December 2010 ) ( Learn how and when to remove this template message )     This is a list of association footballers who have received a winner 's medal for playing on a winning team in the UEFA Champions League ( including under its former name the European Cup ) . Some players have received medals without playing in the final match : either for being unused substitutes , or , more recently , for being in the squad in earlier rounds of the tournament. . Below is a list with the European Cup ( which is still the name of the trophy ) winners .     Contents  ( hide )   1 List   2 See also   3 References   4 Citations      List ( edit )  This list is incomplete ; you can help by expanding it .   The list includes all who played in the final , and all substitutes since 1990 . Data is incomplete for squad players , and for unused substitutes before 1990. a      Player   Nationality   Clubs   Titles won   Years   Notes     Dani Ceballos   Spain   Real Madrid     2018   Was not in the 18 for the final .     Achraf Hakimi   Morocco   Real Madrid     2018   Was not in the 18 for the final .     Theo Hernández   France   Real Madrid     2018       Mariano   Dominican Republic   Real Madrid     2017   Was not in the 18 for the final .     Marco Asensio   Spain   Real Madrid     2017 , 2018       Keylor Navas   Costa Rica   Real Madrid     2016 , 2017 , 2018       James Rodríguez   Colombia   Real Madrid     2016 , 2017   Was not in the 18 for the 2017 final .     Kiko Casilla   Spain   Real Madrid     2016 , 2017 , 2018       Mateo Kovačić   Croatia   Real Madrid     2016 , 2017 , 2018       Lucas Vázquez   Spain   Real Madrid     2016 , 2017 , 2018   Was not in the 18 for the 2017 final .     Rubén Yáñez   Spain   Real Madrid     2016 , 2017   Was not in the 18 for the 2017 final .     Danilo   Brazil   Real Madrid     2016 , 2017       Munir   Spain   Barcelona     2015   Was not in the 18 for the final .     Sandro Ramírez   Spain   Barcelona     2015   Was not in the 18 for the final .     Sergi Samper   Spain   Barcelona     2015   Was not in the 18 for the final .     Douglas   Brazil   Barcelona     2015   Was not in the 18 for the final .     Jordi Masip   Spain   Barcelona     2015   Was not in the 18 for the final .     Martín Montoya   Spain   Barcelona     2015   Was not in the 18 for the final .     Sergi Roberto   Spain   Barcelona     2015   Was not in the 18 for the final .     Rafinha   Brazil   Barcelona     2015       Jérémy Mathieu   France   Barcelona     2015       Jordi Alba   Spain   Barcelona     2015       Ivan Rakitić   Croatia   Barcelona     2015       Marc - André ter Stegen   Germany   Barcelona     2015       Claudio Bravo   Chile   Barcelona     2015       Thomas Vermaelen   Belgium   Barcelona     2015   Was not in the 18 for the final .     Luis Suárez   Uruguay   Barcelona     2015       Neymar   Brazil   Barcelona     2015       Álvaro Morata   Spain   Real Madrid     2014 , 2017       Jesús   Spain   Real Madrid     2014       Nacho   Spain   Real Madrid     2014 , 2016 , 2017 , 2018       Casemiro   Brazil   Real Madrid     2014 , 2016 , 2017 , 2018       Asier Illarramendi   Spain   Real Madrid     2014       Jesé   Spain   Real Madrid     2014 , 2016       Diego López   Spain   Real Madrid     2014       Raphaël Varane   France   Real Madrid     2014 , 2016 , 2017 , 2018       Dani Carvajal   Spain   Real Madrid     2014 , 2016 , 2017 , 2018       Isco   Spain   Real Madrid     2014 , 2016 , 2017 , 2018       Ángel Di María   Argentina   Real Madrid     2014       Luka Modrić   Croatia   Real Madrid     2014 , 2016 , 2017 , 2018       Álvaro Arbeloa   Spain   Real Madrid     2014 , 2016       Sami Khedira   Germany   Real Madrid     2014       Pepe   Portugal   Real Madrid     2014 , 2016 , 2017   Was not in the 18 for the 2017 final .     Fábio Coentrão   Portugal   Real Madrid     2014 , 2017   Was not in the 18 for the 2017 final .     Karim Benzema   France   Real Madrid     2014 , 2016 , 2017 , 2018       Marcelo   Brazil   Real Madrid     2014 , 2016 , 2017 , 2018       Gareth Bale   Wales   Real Madrid     2014 , 2016 , 2017 , 2018       Sergio Ramos   Spain   Real Madrid     2014 , 2016 , 2017 , 2018   Captain in 2016 , 2017 and 2018 .     Manuel Neuer   Germany   Bayern Munich     2013       Philipp Lahm   Germany   Bayern Munich     2013   Captain in 2013 .     Jérôme Boateng   Germany   Bayern Munich     2013       Dante   Brazil   Bayern Munich     2013       David Alaba   Austria   Bayern Munich     2013       Daniel Van Buyten   Belgium   Bayern Munich     2013       Javi Martínez   Spain   Bayern Munich     2013       Franck Ribéry   France   Bayern Munich     2013       Arjen Robben   Netherlands   Bayern Munich     2013       Thomas Müller   Germany   Bayern Munich     2013       Bastian Schweinsteiger   Germany   Bayern Munich     2013       Tom Starke   Germany   Bayern Munich     2013       Mario Gómez   Germany   Bayern Munich     2013       Holger Badstuber   Germany   Bayern Munich     2013   Was not in the 18 for the final .     Toni Kroos   Germany   Bayern Munich , Real Madrid     2013 , 2016 , 2017 , 2018   Was not in the 18 for the 2013 final .     Diego Contento   Germany   Bayern Munich     2013   Was not in the 18 for the final .     Mario Mandžukić   Croatia   Bayern Munich     2013       Xherdan Shaqiri   Switzerland   Bayern Munich     2013       Luiz Gustavo   Brazil   Bayern Munich     2013       Rafinha   Brazil   Bayern Munich     2013   Was not in the 18 for the final .     Anatoliy Tymoshchuk   Ukraine   Bayern Munich     2013       Claudio Pizarro   Peru   Bayern Munich     2013       José Bosingwa   Portugal   Porto , Chelsea     2004 , 2012       Paulo Ferreira   Portugal   Porto , Chelsea     2004 , 2012       Didier Drogba   Ivory Coast   Chelsea     2012       Salomon Kalou   Ivory Coast   Chelsea     2012       Michael Essien   Ghana   Chelsea     2012       John Obi Mikel   Nigeria   Chelsea     2012       Petr Čech   Czech Republic   Chelsea     2012       Juan Mata   Spain   Chelsea     2012       Oriol Romeu   Spain   Chelsea     2012       Fernando Torres   Spain   Chelsea     2012       Ryan Bertrand   England   Chelsea     2012   Made his European debut in the final .     Ross Turnbull   England   Chelsea     2012       Gary Cahill   England   Chelsea     2012       Ashley Cole   England   Chelsea     2012       Jamal Blackman   England   Chelsea     2012   Was not in the 18 for the final .     Frank Lampard   England   Chelsea     2012   Vice-captain , captain for the final .     Daniel Sturridge   England   Chelsea     2012       John Terry   England   Chelsea     2012   Captain . Suspended and did not play in the final .     Florent Malouda   France   Chelsea     2012       Branislav Ivanović   Serbia   Chelsea     2012   Suspended and did not play in the final .     Raul Meireles   Portugal   Chelsea     2012   Suspended and did not play in the final .     David Luiz   Brazil   Chelsea     2012       Ramires   Brazil   Chelsea     2012   Suspended and did not start the final .     Maxwell   Brazil   Barcelona     2011   Was not in the 18 for the final .     Jonathan dos Santos   Mexico   Barcelona     2011   Was not in the 18 for the final .     Marc Bartra   Spain   Barcelona     2011 , 2015   Was not in the 18 for the 2011 final .     Andreu Fontàs   Spain   Barcelona     2011   Was not in the 18 for the final .     Jeffrén   Spain   Barcelona     2011   Was not in the 18 for the final .     Oier   Spain   Barcelona     2011       David Villa   Spain   Barcelona     2011       Thiago   Spain   Barcelona     2011       Adriano   Brazil   Barcelona     2011 , 2015       Ibrahim Afellay   Netherlands   Barcelona     2011       Javier Mascherano   Argentina   Barcelona     2011 , 2015       Dejan Stanković   Serbia   Internazionale           Rene Krhin   Slovenia   Internazionale       Was not in the 18 for the final .     Cristian Chivu   Romania   Internazionale           Ricardo Quaresma   Portugal   Internazionale       Was not in the 18 for the final .     Goran Pandev   Macedonia   Internazionale           Wesley Sneijder   Netherlands   Internazionale           McDonald Mariga   Kenya   Internazionale           Paolo Orlandoni   Italy   Internazionale       Was not in the 18 for the final .     Davide Santon   Italy   Internazionale       Was not in the 18 for the final .     Mario Balotelli   Italy   Internazionale           Marco Materazzi   Italy   Internazionale           Francesco Toldo   Italy   Internazionale           Sulley Muntari   Ghana   Internazionale           Iván Córdoba   Colombia   Internazionale           Lúcio   Brazil   Internazionale           Maicon   Brazil   Internazionale           Júlio César   Brazil   Internazionale           Esteban Cambiasso   Argentina   Internazionale           Javier Zanetti   Argentina   Internazionale       Captain in 2010 .     Walter Samuel   Argentina   Internazionale           Diego Milito   Argentina   Internazionale           Marko Arnautović   Austria   Internazionale       Was not in the 18 for the final .     Sergio Busquets   Spain   Barcelona     2009 , 2011 , 2015       José Manuel Pinto   Spain   Barcelona     2009 , 2011   Was suspended for the 2011 final .     Pedro   Spain   Barcelona     2009 , 2011 , 2015       Bojan   Spain   Barcelona     2009 , 2011       Gabriel Milito   Argentina   Barcelona     2009 , 2011   Was not in the 18 in 2009 or 2011 .     Dani Alves   Brazil   Barcelona     2009 , 2011 , 2015   Was suspended for the 2009 final .     Alexander Hleb   Belarus   Barcelona     2009       Yaya Touré   Ivory Coast   Barcelona     2009       Thierry Henry   France   Barcelona     2009       Éric Abidal   France   Barcelona     2009 , 2011   Was suspended for the 2009 final . Captain in 2011 .     Eiður Guðjohnsen   Iceland   Barcelona     2009       Martín Cáceres   Uruguay   Barcelona     2009       Seydou Keita   Mali   Barcelona     2009 , 2011       Park Ji - sung   South Korea   Manchester United     2008   Was not in the 18 for the final . Became the first Asian - born player to win a Champions League title .     Gerard Piqué   Spain   Manchester United , Barcelona     2008 , 2009 , 2011 , 2015   Was not in the 18 for the 2008 final . Won two years in a row with two different teams .     Louis Saha   France   Manchester United     2008   Was not in the 18 for the final .     Carlos Tevez   Argentina   Manchester United     2008       Wayne Rooney   England   Manchester United     2008       Cristiano Ronaldo   Portugal   Manchester United , Real Madrid   5   2008 , 2014 , 2016 , 2017 , 2018   First ever player to score in two finals for two different winning teams .     Michael Carrick   England   Manchester United     2008       Patrice Evra   France   Manchester United     2008       Mikaël Silvestre   France   Manchester United     2008       Nemanja Vidić   Serbia   Manchester United     2008       Rio Ferdinand   England   Manchester United     2008   Captain in 2008 .     Tomasz Kuszczak   Poland   Manchester United     2008       John O'Shea   Ireland   Manchester United     2008       Anderson   Brazil   Manchester United     2008       Nani   Portugal   Manchester United     2008       Darren Fletcher   Scotland   Manchester United     2008       Marek Jankulovski   Czech Republic   Milan     2007       Kaká   Brazil   Milan     2007       Zeljko Kalac   Australia   Milan     2007       Cafu   Brazil   Milan     2007       Giuseppe Favalli   Italy   Milan     2007       Alberto Gilardino   Italy   Milan     2007       Massimo Oddo   Italy   Milan     2007       Daniele Bonera   Italy   Milan     2007   Was not in the 18 in 2007 .     Yoann Gourcuff   France   Milan     2007   Was not in the 18 in 2007 .     Ricardo Oliveira   Brazil   Milan     2007   Was not in the 18 in 2007 .     Marco Storari   Italy   Milan     2007   Was not in the 18 in 2007 .     Valerio Fiori   Italy   Milan     2003 , 2007   Was not in the 18 in 2003 or 2007 .     Dario Šimić   Croatia   Milan     2003 , 2007   Was not in the 18 in 2003 or 2007 .     Víctor Valdés   Spain   Barcelona     2006 , 2009 , 2011       Giovanni van Bronckhorst   Netherlands   Barcelona     2006       Rafael Márquez   Mexico   Barcelona     2006 , 2009   Was not in the 18 in 2009 due to injury .     Carles Puyol   Spain   Barcelona     2006 , 2009 , 2011   Captain in 2006 and 2009     Oleguer   Spain   Barcelona     2006       Juliano Belletti   Brazil   Barcelona     2006       Edmílson   Brazil   Barcelona     2006       Andrés Iniesta   Spain   Barcelona     2006 , 2009 , 2011 , 2015       Deco   Portugal   Porto , Barcelona     2004 , 2006       Mark van Bommel   Netherlands   Barcelona     2006       Henrik Larsson   Sweden   Barcelona     2006       Ludovic Giuly   France   Barcelona     2006       Ronaldinho   Brazil   Barcelona     2006       Thiago Motta   Italy   Barcelona , Internazionale     2006 , 2010   Was suspended for the 2010 final .     Xavi   Spain   Barcelona     2006 , 2009 , 2011 , 2015   Captain in 2015 . Did not feature in any game during knockout stages in 2006 .     Sylvinho   Brazil   Barcelona     2006 , 2009       Lionel Messi   Argentina   Barcelona     2006 , 2009 , 2011 , 2015   Was not in the quarterfinals , semi-finals and final in 2006 .     Santiago Ezquerro   Spain   Barcelona     2006   Was not in the 18 for the final .     Maxi López   Argentina   Barcelona     2006   Was not in the 18 for the final .     Samuel Eto'o   Cameroon   Barcelona , Internazionale     2006 , 2009 , 2010   Won 2 years in a row with 2 different teams .     Gabri   Spain   Barcelona     2006   Was not in the 18 for the final .     Jerzy Dudek   Poland   Liverpool     2005       Slawomir Wojciechowski   Poland   Bayern Munich     2001       Steve Finnan   Ireland   Liverpool     2005       Dietmar Hamann   Germany   Liverpool     2005       Sami Hyypiä   Finland   Liverpool     2005       Jamie Carragher   England   Liverpool     2005       Djimi Traoré   Mali   Liverpool     2005       Harry Kewell   Australia   Liverpool     2005       Vladimír Šmicer   Czech Republic   Liverpool     2005       Xabi Alonso   Spain   Liverpool , Real Madrid     2005 , 2014       Steven Gerrard   England   Liverpool     2005   Captain in 2005 .     John Arne Riise   Norway   Liverpool     2005       Luis García   Spain   Liverpool     2005       Milan Baroš   Czech Republic   Liverpool     2005       Djibril Cissé   France   Liverpool     2005       Scott Carson   England   Liverpool     2005       Josemi   Spain   Liverpool     2005       Igor Bišćan   Croatia   Liverpool     2005       Antonio Núñez   Spain   Liverpool     2005       Vítor Baía   Portugal   Porto       One of the only nine footballers to have won all Three Major European Competitions ( EC - UCL , UCWC , UC - EL ) .     Nuno Valente   Portugal   Porto           Jorge Costa   Portugal   Porto       Captain in 2004 .     Ricardo Carvalho   Portugal   Porto           Costinha   Portugal   Porto           Pedro Emanuel   Portugal   Porto           Maniche   Portugal   Porto           Pedro Mendes   Portugal   Porto           Derlei   Brazil   Porto           Benni McCarthy   South Africa   Porto           Dmitri Alenichev   Russia   Porto           Carlos Alberto   Brazil   Porto           Ricardo Costa   Portugal   Porto           Edgaras Jankauskas     Porto           Nuno   Portugal   Porto           Dida   Brazil   Milan     2003 , 2007       Alessandro Costacurta   Italy   Milan   5   1989 , 1990 , 1994 , 2003 , 2007   Costacurta was not in the 18 in the 2007 final and suspended for the 1994 final .     Roque Júnior   Brazil   Milan     2003       Alessandro Nesta   Italy   Milan     2003 , 2007       Paolo Maldini   Italy   Milan   5   1989 , 1990 , 1994 , 2003 , 2007   Captain in 2003 and 2007 . Longest period between first and last win ( 18 years ) , started both finals .     Kakha Kaladze   Georgia   Milan     2003 , 2007       Gennaro Gattuso   Italy   Milan     2003 , 2007       Andrea Pirlo   Italy   Milan     2003 , 2007       Serginho   Brazil   Milan     2003 , 2007       Rui Costa   Portugal   Milan     2003       Massimo Ambrosini   Italy   Milan     2003 , 2007       Andriy Shevchenko   Ukraine   Milan     2003       Filippo Inzaghi   Italy   Milan     2003 , 2007       Christian Abbiati   Italy   Milan     2003       Rivaldo   Brazil   Milan     2003       Martin Laursen   Denmark   Milan     2003       Cristian Brocchi   Italy   Milan     2003 , 2007       Samuele Dalla Bona   Italy   Milan     2003   Was not in the 18 for the final .     Thomas Helveg   Denmark   Milan     2003   Was not in the 18 for the final .     Jon Dahl Tomasson   Denmark   Milan     2003   Was not in the 18 for the final .     César Sánchez   Spain   Real Madrid     2002       Luís Figo   Portugal   Real Madrid     2002       Claude Makélélé   France   Real Madrid     2002       Flávio Conceição   Brazil   Real Madrid     2002       Zinedine Zidane   France   Real Madrid     2002   First and Only Coach that has won 3 Champions League 's in a row with Real Madrid ( 2016 - 2017 - 2018 ) . Won Champions League with same club as coach and player ( 2002 &amp; 2016 - 2017 - 2018 )     Santiago Solari   Argentina   Real Madrid     2002       Pedro Munitis   Spain   Real Madrid     2002       Francisco Pavón   Spain   Real Madrid     2002       Javier Portillo   Spain   Real Madrid     2002       Carlos Sánchez   Spain   Real Madrid     2002   Was not in the 18 for the final .     Albert Celades   Spain   Real Madrid     2002   Was not in the 18 for the final .     Óscar Miñambres   Spain   Real Madrid     2002   Was not in the 18 for the final .     Rubén   Spain   Real Madrid     2002   Was not in the 18 for the final .     Enrique Corrales   Spain   Real Madrid     2002   Was not in the 18 for the final .     Raúl Bravo   Spain   Real Madrid     2002   Was not in the 18 for the final .     Valdo   Spain   Real Madrid     2002   Was not in the 18 for the final .     Oliver Kahn   Germany   Bayern Munich     2001       Samuel Kuffour   Ghana   Bayern Munich     2001       Patrik Andersson   Sweden   Bayern Munich     2001       Thomas Linke   Germany   Bayern Munich     2001       Willy Sagnol   France   Bayern Munich     2001       Carsten Jancker   Germany   Bayern Munich     2001       Owen Hargreaves   England   Bayern Munich , Manchester United     2001 , 2008   First British player to win two Champions League titles with 2 different teams .     Stefan Effenberg   Germany   Bayern Munich     2001   Captain in 2001 .     Bixente Lizarazu   France   Bayern Munich     2001       Mehmet Scholl   Germany   Bayern Munich     2001       Paulo Sérgio   Brazil   Bayern Munich     2001       Giovane Élber   Brazil   Bayern Munich     2001       Alexander Zickler   Germany   Bayern Munich     2001       Bernd Dreher   Germany   Bayern Munich     2001       Ciriaco Sforza   Switzerland   Bayern Munich     2001       Michael Tarnat   Germany   Bayern Munich     2001       Roque Santa Cruz   Paraguay   Bayern Munich     2001       Stefan Wessels   Germany   Bayern Munich     2001   Was not in the 18 for the final .     Thorsten Fink   Germany   Bayern Munich     2001   Was not in the 18 for the final .     Jens Jeremies   Germany   Bayern Munich     2001   Was not in the 18 for the final .     Michael Wiesinger   Germany   Bayern Munich     2001   Was not in the 18 for the final .     Hasan Salihamidžić   Bosnia and Herzegovina   Bayern Munich     2001       Nicolas Anelka   France   Real Madrid     2000       Perica Ognjenović   Yugoslavia   Real Madrid     2000   Was not in the 18 for the final .     Albano Bizarri   Argentina   Real Madrid     2000   Was not in the 18 for the final .     Javier Dorado   Spain   Real Madrid     2000   Was not in the 18 for the final .     David Aganzo   Spain   Real Madrid     2000   Was not in the 18 for the final .     Manuel Meca   Spain   Real Madrid     2000   Was not in the 18 for the final .     Júlio César   Brazil   Real Madrid     2000   Was not in the 18 for the final .     Geremi   Cameroon   Real Madrid     2000 , 2002   Was not in the 18 in 2002 .     Elvir Baljić   Bosnia and Herzegovina   Real Madrid     2000 , 2002   Was not in the 18 in 2002 .     Iván Campo   Spain   Real Madrid     2000 , 2002       Míchel Salgado   Spain   Real Madrid     2000 , 2002       Iván Helguera   Spain   Real Madrid     2000 , 2002       Steve McManaman   England   Real Madrid     2000 , 2002   First British player to win two Champions League titles ; First Englishman to win Champions League with a non-UK club .     Carlos Aranda   Spain   Real Madrid     2000 , 2002   Was not in the 18 for the final .     Peter Schmeichel   Denmark   Manchester United     1999   Captain in 1999 final due to Keane 's suspension .     Gary Neville   England   Manchester United     1999 , 2008   Not in final 18 in 2008 .     Ronny Johnsen   Norway   Manchester United     1999       Jaap Stam   Netherlands   Manchester United     1999       Denis Irwin   Ireland   Manchester United     1999       David Beckham   England   Manchester United     1999       Nicky Butt   England   Manchester United     1999       Ryan Giggs   Wales   Manchester United     1999 , 2008       Jesper Blomqvist   Sweden   Manchester United     1999       Teddy Sheringham   England   Manchester United     1999       Dwight Yorke   Trinidad and Tobago   Manchester United     1999       Andy Cole   England   Manchester United     1999       Ole Gunnar Solskjær   Norway   Manchester United     1999       Raimond van der Gouw   Netherlands   Manchester United     1999       David May   England   Manchester United     1999       Phil Neville   England   Manchester United     1999       Wes Brown   England   Manchester United     1999 , 2008       Jonathan Greening   England   Manchester United     1999       Paul Scholes   England   Manchester United     1999 , 2008   Scholes was suspended for the final in 1999 .     Roy Keane   Ireland   Manchester United     1999   Keane was suspended for the final . Club captain in 1999 .     Henning Berg   Norway   Manchester United     1999   Berg was not in the 18 in 1999 .     José Amavisca   Spain   Real Madrid     1998       Predrag Mijatović   Yugoslavia   Real Madrid     1998       Davor Šuker   Croatia   Real Madrid     1998       Zé Roberto   Brazil   Real Madrid     1998       Dani García   Spain   Real Madrid     1998       Jaime Sánchez   Spain   Real Madrid     1998       Santiago Cañizares   Spain   Real Madrid     1998       Fernando Sanz   Spain   Real Madrid     1998       Víctor Sánchez   Spain   Real Madrid     1998       Pedro Contreras   Spain   Real Madrid     1998   Was not in the 18 for the final     Chendo   Spain   Real Madrid     1998   Was not in the 18 for the final     Raúl Pareja   Spain   Real Madrid     1998   Was not in the 18 for the final     Álvaro Benito   Spain   Real Madrid     1998   Was not in the 18 for the final     Roberto Rojas   Spain   Real Madrid     1998   Was not in the 18 for the final     Bodo Illgner   Germany   Real Madrid     1998 , 2000       Christian Karembeu   France   Real Madrid     1998 , 2000       Manolo Sanchís   Spain   Real Madrid     1998 , 2000   Captain in 1998 .     Sávio   Brazil   Real Madrid     1998 , 2000 , 2002       Fernando Hierro   Spain   Real Madrid     1998 , 2000 , 2002   Captain in 2002 .     Roberto Carlos   Brazil   Real Madrid     1998 , 2000 , 2002       Raúl   Spain   Real Madrid     1998 , 2000 , 2002   First player ever to score in two Champions League final matches for the winning team .     Fernando Morientes   Spain   Real Madrid     1998 , 2000 , 2002   Was cup - tied and did not partake in Liverpool 's 2004 - 05 campaign .     Guti   Spain   Real Madrid     1998 , 2000 , 2002       Iker Casillas   Spain   Real Madrid     2000 , 2002 , 2014   Captain in 2014 .     Aitor Karanka   Spain   Real Madrid     1998 , 2000 , 2002       Fernando Redondo   Argentina   Real Madrid , Milan     1998 , 2000 , 2003   Redondo was not in the 18 for the final in 2003 . Captain in 2000 .     Stefan Klos   Germany   Borussia Dortmund     1997       Vladimir But   Russia   Borussia Dortmund     1997   Not in the 18 for the final .     Steinar Pedersen   Norway   Borussia Dortmund     1997   Not in the 18 for the final .     Jürgen Kohler   Germany   Borussia Dortmund     1997       Matthias Sammer   Germany   Borussia Dortmund     1997   Captain in 1997 .     Martin Kree   Germany   Borussia Dortmund     1997       Stefan Reuter   Germany   Borussia Dortmund     1997       Paul Lambert   Scotland   Borussia Dortmund     1997   First British to win Champions League with a non-UK club .     Jovan Kirovski   United States   Borussia Dortmund     1997   Was not in the 18 for the final .     Paulo Sousa   Portugal   Juventus , Borussia Dortmund     1996 , 1997   Won 2 years in a row with 2 different teams .     Jörg Heinrich   Germany   Borussia Dortmund     1997       Andreas Möller   Germany   Borussia Dortmund     1997       Michael Zorc   Germany   Borussia Dortmund     1997       Karlheinz Riedle   Germany   Borussia Dortmund     1997       Heiko Herrlich   Germany   Borussia Dortmund     1997       Stéphane Chapuisat   Switzerland   Borussia Dortmund     1997       Lars Ricken   Germany   Borussia Dortmund     1997       Wolfgang de Beer   Germany   Borussia Dortmund     1997       René Tretschok   Germany   Borussia Dortmund     1997       Angelo Peruzzi   Italy   Juventus           Ciro Ferrara   Italy   Juventus           Moreno Torricelli   Italy   Juventus           Pietro Vierchowod   Italy   Juventus           Gianluca Pessotto   Italy   Juventus           Antonio Conte   Italy   Juventus           Vladimir Jugović   Yugoslavia FR Yugoslavia   Red Star Belgrade , Juventus     1991 , 1996       Angelo Di Livio   Italy   Juventus           Didier Deschamps   France   Marseille , Juventus     1993 , 1996   Captain in 1993 .     Alessandro Del Piero   Italy   Juventus           Gianluca Vialli   Italy   Juventus       Captain in 1996 . One of the only nine footballers to have won all Three Major European Competitions ( EC - UCL , UCWC , UC - EL ) .     Fabrizio Ravanelli   Italy   Juventus           Michele Padovano   Italy   Juventus           Sergio Porrini   Italy   Juventus           Michaelangelo Rampulla   Italy   Juventus           Clarence Seedorf   Netherlands   Ajax , Real Madrid , Milan     1995 , 1998 , 2003 , 2007   Seedorf is the only player to have won the trophy with three different clubs .     Edwin van der Sar   Netherlands   Ajax , Manchester United     1995 , 2008   Longest gap between medal wins for which a part was played in each match ( 13 years ) .     Michael Reiziger   Netherlands   Ajax     1995       Danny Blind   Netherlands   Ajax     1995   Captain in 1995 . One of the only five footballers to have won all European club competitions .     Frank Rijkaard   Netherlands   Milan , Ajax     1989 , 1990 , 1995   Has also won as manager in 2006 for Barcelona .     Frank de Boer   Netherlands   Ajax     1995       Edgar Davids   Netherlands   Ajax     1995       Finidi George   Nigeria   Ajax     1995       Ronald de Boer   Netherlands   Ajax     1995       John van den Brom   Netherlands   Ajax     1995   Was not in the 18 for the final .     Jari Litmanen   Finland   Ajax     1995       Marc Overmars   Netherlands   Ajax     1995       Nwankwo Kanu   Nigeria   Ajax     1995       Patrick Kluivert   Netherlands   Ajax     1995       Peter van Vossen   Netherlands   Ajax     1995       Fred Grim   Netherlands   Ajax     1995       Winston Bogarde   Netherlands   Ajax     1995       Sebastiano Rossi   Italy   Milan     1994       Jean - Pierre Papin   France   Milan     1994       Christian Panucci   Italy   Milan , Real Madrid     1994 , 1998       Mauro Tassotti   Italy   Milan     1989 , 1990 , 1994   Captain in 1994 .     Demetrio Albertini   Italy   Milan     1994       Filippo Galli   Italy   Milan     1989 , 1990 , 1994       Stefano Nava   Italy   Milan     1994       Roberto Donadoni   Italy   Milan     1989 , 1990 , 1994       Marcel Desailly   France   Marseille , Milan     1993 , 1994   The first player won 2 years in a row with 2 different teams .     Zvonimir Boban   Croatia   Milan     1994       Dejan Savićević   Yugoslavia FR Yugoslavia   Red Star Belgrade , Milan     1991 , 1994       Daniele Massaro   Italy   Milan     1990 , 1994       Marco Simone   Italy   Milan     1990 , 1994       Mario Ielpo   Italy   Milan     1994       Gianluigi Lentini   Italy   Milan     1994       Angelo Carbone   Italy   Milan     1994       Florin Răducioiu   Romania   Milan     1994   Was not in the final .     Brian Laudrup   Denmark   Milan     1994   Was not in the final .     Fabien Barthez   France   Marseille     1993       Jocelyn Angloma   France   Marseille     1993       Jean - Philippe Durand   France   Marseille     1993       Éric Di Meco   France   Marseille     1993       Basile Boli   France   Marseille     1993       Franck Sauzée   France   Marseille     1993       Jean - Jacques Eydelie   France   Marseille     1993       Alen Bokšić   Croatia   Marseille     1993       Rudi Völler   Germany   Marseille     1993       Jean - Christophe Thomas   France   Marseille     1993       Abédi Pelé   Ghana   Marseille     1993       Pascal Olmeta   France   Marseille     1993       Bernard Casoni   France   Marseille     1993       Jean - Marc Ferreri   France   Marseille     1993       Igor Dobrovolski   Russia   Marseille     1993   Was not in the final .     Andoni Zubizarreta   Spain   Barcelona     1992   Captain in 1992 .     Eusebio Sacristán   Spain   Barcelona     1992       Albert Ferrer   Spain   Barcelona     1992       Ronald Koeman   Netherlands   PSV Eindhoven , Barcelona     1988 , 1992       Nando   Spain   Barcelona     1992       Juan Carlos   Spain   Barcelona     1992       José Mari Bakero   Spain   Barcelona     1992       Pep Guardiola   Spain   Barcelona     1992   Has also won as manager for Barcelona in 2009 and 2011 .     José Ramón Alexanko   Spain   Barcelona     1992       Michael Laudrup   Denmark   Barcelona     1992       Julio Salinas   Spain   Barcelona     1992       Andoni Goikoetxea   Spain   Barcelona     1992       Hristo Stoichkov   Bulgaria   Barcelona     1992       Ricardo Serna   Spain   Barcelona     1992       Cristóbal Parralo   Spain   Barcelona     1992       Richard Witschge   Netherlands   Barcelona     1992       Guillermo Amor   Spain   Barcelona     1992       Aitor Beguiristain   Spain   Barcelona     1992       Carles Busquets   Spain   Barcelona     1992       Miguel Ángel Nadal   Spain   Barcelona     1992       Stevan Stojanović   Yugoslavia   Red Star Belgrade     1991   Captain in 1991 .     Miodrag Belodedici   Romania   Steaua București , Red Star Belgrade     1986 , 1991   First player to win the trophy with two different clubs .     Ilija Najdoski   Yugoslavia   Red Star Belgrade     1991       Refik Šabanadžović   Yugoslavia   Red Star Belgrade     1991       Slobodan Marović   Yugoslavia   Red Star Belgrade     1991       Siniša Mihajlović   Yugoslavia   Red Star Belgrade     1991       Dragiša Binić   Yugoslavia   Red Star Belgrade     1991       Robert Prosinečki   Yugoslavia   Red Star Belgrade     1991       Darko Pančev   Yugoslavia   Red Star Belgrade     1991       Vlada Stošić   Yugoslavia   Red Star Belgrade     1991       Milić Jovanović   Yugoslavia   Red Star Belgrade     1991       Ivica Momčilović   Yugoslavia   Red Star Belgrade     1991       Rade Tošić   Yugoslavia   Red Star Belgrade     1991       Vladan Lukić   Yugoslavia   Red Star Belgrade     1991       Andrea Pazzagli   Italy   Milan     1990       Stefano Borgonovo   Italy   Milan     1990       Giovanni Galli   Italy   Milan     1989 , 1990       Franco Baresi   Italy   Milan     1989 , 1990 , 1994   Captain in 1989 and 1990 . Baresi was suspended for the 1994 final .     Angelo Colombo   Italy   Milan     1989 , 1990       Carlo Ancelotti   Italy   Milan     1989 , 1990   Has also won as manager in 2003 and 2007 for A.C. Milan and in 2014 for Real Madrid .     Alberigo Evani   Italy   Milan     1989 , 1990       Ruud Gullit   Netherland</t>
  </si>
  <si>
    <t xml:space="preserve">who has won the most champions leagues player</t>
  </si>
  <si>
    <t xml:space="preserve">   Player   Nationality   Clubs   Titles won   Years   Notes     Dani Ceballos   Spain   Real Madrid     2018   Was not in the 18 for the final .     Achraf Hakimi   Morocco   Real Madrid     2018   Was not in the 18 for the final .     Theo Hernández   France   Real Madrid     2018       Mariano   Dominican Republic   Real Madrid     2017   Was not in the 18 for the final .     Marco Asensio   Spain   Real Madrid     2017 , 2018       Keylor Navas   Costa Rica   Real Madrid     2016 , 2017 , 2018       James Rodríguez   Colombia   Real Madrid     2016 , 2017   Was not in the 18 for the 2017 final .     Kiko Casilla   Spain   Real Madrid     2016 , 2017 , 2018       Mateo Kovačić   Croatia   Real Madrid     2016 , 2017 , 2018       Lucas Vázquez   Spain   Real Madrid     2016 , 2017 , 2018   Was not in the 18 for the 2017 final .     Rubén Yáñez   Spain   Real Madrid     2016 , 2017   Was not in the 18 for the 2017 final .     Danilo   Brazil   Real Madrid     2016 , 2017       Munir   Spain   Barcelona     2015   Was not in the 18 for the final .     Sandro Ramírez   Spain   Barcelona     2015   Was not in the 18 for the final .     Sergi Samper   Spain   Barcelona     2015   Was not in the 18 for the final .     Douglas   Brazil   Barcelona     2015   Was not in the 18 for the final .     Jordi Masip   Spain   Barcelona     2015   Was not in the 18 for the final .     Martín Montoya   Spain   Barcelona     2015   Was not in the 18 for the final .     Sergi Roberto   Spain   Barcelona     2015   Was not in the 18 for the final .     Rafinha   Brazil   Barcelona     2015       Jérémy Mathieu   France   Barcelona     2015       Jordi Alba   Spain   Barcelona     2015       Ivan Rakitić   Croatia   Barcelona     2015       Marc - André ter Stegen   Germany   Barcelona     2015       Claudio Bravo   Chile   Barcelona     2015       Thomas Vermaelen   Belgium   Barcelona     2015   Was not in the 18 for the final .     Luis Suárez   Uruguay   Barcelona     2015       Neymar   Brazil   Barcelona     2015       Álvaro Morata   Spain   Real Madrid     2014 , 2017       Jesús   Spain   Real Madrid     2014       Nacho   Spain   Real Madrid     2014 , 2016 , 2017 , 2018       Casemiro   Brazil   Real Madrid     2014 , 2016 , 2017 , 2018       Asier Illarramendi   Spain   Real Madrid     2014       Jesé   Spain   Real Madrid     2014 , 2016       Diego López   Spain   Real Madrid     2014       Raphaël Varane   France   Real Madrid     2014 , 2016 , 2017 , 2018       Dani Carvajal   Spain   Real Madrid     2014 , 2016 , 2017 , 2018       Isco   Spain   Real Madrid     2014 , 2016 , 2017 , 2018       Ángel Di María   Argentina   Real Madrid     2014       Luka Modrić   Croatia   Real Madrid     2014 , 2016 , 2017 , 2018       Álvaro Arbeloa   Spain   Real Madrid     2014 , 2016       Sami Khedira   Germany   Real Madrid     2014       Pepe   Portugal   Real Madrid     2014 , 2016 , 2017   Was not in the 18 for the 2017 final .     Fábio Coentrão   Portugal   Real Madrid     2014 , 2017   Was not in the 18 for the 2017 final .     Karim Benzema   France   Real Madrid     2014 , 2016 , 2017 , 2018       Marcelo   Brazil   Real Madrid     2014 , 2016 , 2017 , 2018       Gareth Bale   Wales   Real Madrid     2014 , 2016 , 2017 , 2018       Sergio Ramos   Spain   Real Madrid     2014 , 2016 , 2017 , 2018   Captain in 2016 , 2017 and 2018 .     Manuel Neuer   Germany   Bayern Munich     2013       Philipp Lahm   Germany   Bayern Munich     2013   Captain in 2013 .     Jérôme Boateng   Germany   Bayern Munich     2013       Dante   Brazil   Bayern Munich     2013       David Alaba   Austria   Bayern Munich     2013       Daniel Van Buyten   Belgium   Bayern Munich     2013       Javi Martínez   Spain   Bayern Munich     2013       Franck Ribéry   France   Bayern Munich     2013       Arjen Robben   Netherlands   Bayern Munich     2013       Thomas Müller   Germany   Bayern Munich     2013       Bastian Schweinsteiger   Germany   Bayern Munich     2013       Tom Starke   Germany   Bayern Munich     2013       Mario Gómez   Germany   Bayern Munich     2013       Holger Badstuber   Germany   Bayern Munich     2013   Was not in the 18 for the final .     Toni Kroos   Germany   Bayern Munich , Real Madrid     2013 , 2016 , 2017 , 2018   Was not in the 18 for the 2013 final .     Diego Contento   Germany   Bayern Munich     2013   Was not in the 18 for the final .     Mario Mandžukić   Croatia   Bayern Munich     2013       Xherdan Shaqiri   Switzerland   Bayern Munich     2013       Luiz Gustavo   Brazil   Bayern Munich     2013       Rafinha   Brazil   Bayern Munich     2013   Was not in the 18 for the final .     Anatoliy Tymoshchuk   Ukraine   Bayern Munich     2013       Claudio Pizarro   Peru   Bayern Munich     2013       José Bosingwa   Portugal   Porto , Chelsea     2004 , 2012       Paulo Ferreira   Portugal   Porto , Chelsea     2004 , 2012       Didier Drogba   Ivory Coast   Chelsea     2012       Salomon Kalou   Ivory Coast   Chelsea     2012       Michael Essien   Ghana   Chelsea     2012       John Obi Mikel   Nigeria   Chelsea     2012       Petr Čech   Czech Republic   Chelsea     2012       Juan Mata   Spain   Chelsea     2012       Oriol Romeu   Spain   Chelsea     2012       Fernando Torres   Spain   Chelsea     2012       Ryan Bertrand   England   Chelsea     2012   Made his European debut in the final .     Ross Turnbull   England   Chelsea     2012       Gary Cahill   England   Chelsea     2012       Ashley Cole   England   Chelsea     2012       Jamal Blackman   England   Chelsea     2012   Was not in the 18 for the final .     Frank Lampard   England   Chelsea     2012   Vice-captain , captain for the final .     Daniel Sturridge   England   Chelsea     2012       John Terry   England   Chelsea     2012   Captain . Suspended and did not play in the final .     Florent Malouda   France   Chelsea     2012       Branislav Ivanović   Serbia   Chelsea     2012   Suspended and did not play in the final .     Raul Meireles   Portugal   Chelsea     2012   Suspended and did not play in the final .     David Luiz   Brazil   Chelsea     2012       Ramires   Brazil   Chelsea     2012   Suspended and did not start the final .     Maxwell   Brazil   Barcelona     2011   Was not in the 18 for the final .     Jonathan dos Santos   Mexico   Barcelona     2011   Was not in the 18 for the final .     Marc Bartra   Spain   Barcelona     2011 , 2015   Was not in the 18 for the 2011 final .     Andreu Fontàs   Spain   Barcelona     2011   Was not in the 18 for the final .     Jeffrén   Spain   Barcelona     2011   Was not in the 18 for the final .     Oier   Spain   Barcelona     2011       David Villa   Spain   Barcelona     2011       Thiago   Spain   Barcelona     2011       Adriano   Brazil   Barcelona     2011 , 2015       Ibrahim Afellay   Netherlands   Barcelona     2011       Javier Mascherano   Argentina   Barcelona     2011 , 2015       Dejan Stanković   Serbia   Internazionale           Rene Krhin   Slovenia   Internazionale       Was not in the 18 for the final .     Cristian Chivu   Romania   Internazionale           Ricardo Quaresma   Portugal   Internazionale       Was not in the 18 for the final .     Goran Pandev   Macedonia   Internazionale           Wesley Sneijder   Netherlands   Internazionale           McDonald Mariga   Kenya   Internazionale           Paolo Orlandoni   Italy   Internazionale       Was not in the 18 for the final .     Davide Santon   Italy   Internazionale       Was not in the 18 for the final .     Mario Balotelli   Italy   Internazionale           Marco Materazzi   Italy   Internazionale           Francesco Toldo   Italy   Internazionale           Sulley Muntari   Ghana   Internazionale           Iván Córdoba   Colombia   Internazionale           Lúcio   Brazil   Internazionale           Maicon   Brazil   Internazionale           Júlio César   Brazil   Internazionale           Esteban Cambiasso   Argentina   Internazionale           Javier Zanetti   Argentina   Internazionale       Captain in 2010 .     Walter Samuel   Argentina   Internazionale           Diego Milito   Argentina   Internazionale           Marko Arnautović   Austria   Internazionale       Was not in the 18 for the final .     Sergio Busquets   Spain   Barcelona     2009 , 2011 , 2015       José Manuel Pinto   Spain   Barcelona     2009 , 2011   Was suspended for the 2011 final .     Pedro   Spain   Barcelona     2009 , 2011 , 2015       Bojan   Spain   Barcelona     2009 , 2011       Gabriel Milito   Argentina   Barcelona     2009 , 2011   Was not in the 18 in 2009 or 2011 .     Dani Alves   Brazil   Barcelona     2009 , 2011 , 2015   Was suspended for the 2009 final .     Alexander Hleb   Belarus   Barcelona     2009       Yaya Touré   Ivory Coast   Barcelona     2009       Thierry Henry   France   Barcelona     2009       Éric Abidal   France   Barcelona     2009 , 2011   Was suspended for the 2009 final . Captain in 2011 .     Eiður Guðjohnsen   Iceland   Barcelona     2009       Martín Cáceres   Uruguay   Barcelona     2009       Seydou Keita   Mali   Barcelona     2009 , 2011       Park Ji - sung   South Korea   Manchester United     2008   Was not in the 18 for the final . Became the first Asian - born player to win a Champions League title .     Gerard Piqué   Spain   Manchester United , Barcelona     2008 , 2009 , 2011 , 2015   Was not in the 18 for the 2008 final . Won two years in a row with two different teams .     Louis Saha   France   Manchester United     2008   Was not in the 18 for the final .     Carlos Tevez   Argentina   Manchester United     2008       Wayne Rooney   England   Manchester United     2008       Cristiano Ronaldo   Portugal   Manchester United , Real Madrid   5   2008 , 2014 , 2016 , 2017 , 2018   First ever player to score in two finals for two different winning teams .     Michael Carrick   England   Manchester United     2008       Patrice Evra   France   Manchester United     2008       Mikaël Silvestre   France   Manchester United     2008       Nemanja Vidić   Serbia   Manchester United     2008       Rio Ferdinand   England   Manchester United     2008   Captain in 2008 .     Tomasz Kuszczak   Poland   Manchester United     2008       John O'Shea   Ireland   Manchester United     2008       Anderson   Brazil   Manchester United     2008       Nani   Portugal   Manchester United     2008       Darren Fletcher   Scotland   Manchester United     2008       Marek Jankulovski   Czech Republic   Milan     2007       Kaká   Brazil   Milan     2007       Zeljko Kalac   Australia   Milan     2007       Cafu   Brazil   Milan     2007       Giuseppe Favalli   Italy   Milan     2007       Alberto Gilardino   Italy   Milan     2007       Massimo Oddo   Italy   Milan     2007       Daniele Bonera   Italy   Milan     2007   Was not in the 18 in 2007 .     Yoann Gourcuff   France   Milan     2007   Was not in the 18 in 2007 .     Ricardo Oliveira   Brazil   Milan     2007   Was not in the 18 in 2007 .     Marco Storari   Italy   Milan     2007   Was not in the 18 in 2007 .     Valerio Fiori   Italy   Milan     2003 , 2007   Was not in the 18 in 2003 or 2007 .     Dario Šimić   Croatia   Milan     2003 , 2007   Was not in the 18 in 2003 or 2007 .     Víctor Valdés   Spain   Barcelona     2006 , 2009 , 2011       Giovanni van Bronckhorst   Netherlands   Barcelona     2006       Rafael Márquez   Mexico   Barcelona     2006 , 2009   Was not in the 18 in 2009 due to injury .     Carles Puyol   Spain   Barcelona     2006 , 2009 , 2011   Captain in 2006 and 2009     Oleguer   Spain   Barcelona     2006       Juliano Belletti   Brazil   Barcelona     2006       Edmílson   Brazil   Barcelona     2006       Andrés Iniesta   Spain   Barcelona     2006 , 2009 , 2011 , 2015       Deco   Portugal   Porto , Barcelona     2004 , 2006       Mark van Bommel   Netherlands   Barcelona     2006       Henrik Larsson   Sweden   Barcelona     2006       Ludovic Giuly   France   Barcelona     2006       Ronaldinho   Brazil   Barcelona     2006       Thiago Motta   Italy   Barcelona , Internazionale     2006 , 2010   Was suspended for the 2010 final .     Xavi   Spain   Barcelona     2006 , 2009 , 2011 , 2015   Captain in 2015 . Did not feature in any game during knockout stages in 2006 .     Sylvinho   Brazil   Barcelona     2006 , 2009       Lionel Messi   Argentina   Barcelona     2006 , 2009 , 2011 , 2015   Was not in the quarterfinals , semi-finals and final in 2006 .     Santiago Ezquerro   Spain   Barcelona     2006   Was not in the 18 for the final .     Maxi López   Argentina   Barcelona     2006   Was not in the 18 for the final .     Samuel Eto'o   Cameroon   Barcelona , Internazionale     2006 , 2009 , 2010   Won 2 years in a row with 2 different teams .     Gabri   Spain   Barcelona     2006   Was not in the 18 for the final .     Jerzy Dudek   Poland   Liverpool     2005       Slawomir Wojciechowski   Poland   Bayern Munich     2001       Steve Finnan   Ireland   Liverpool     2005       Dietmar Hamann   Germany   Liverpool     2005       Sami Hyypiä   Finland   Liverpool     2005       Jamie Carragher   England   Liverpool     2005       Djimi Traoré   Mali   Liverpool     2005       Harry Kewell   Australia   Liverpool     2005       Vladimír Šmicer   Czech Republic   Liverpool     2005       Xabi Alonso   Spain   Liverpool , Real Madrid     2005 , 2014       Steven Gerrard   England   Liverpool     2005   Captain in 2005 .     John Arne Riise   Norway   Liverpool     2005       Luis García   Spain   Liverpool     2005       Milan Baroš   Czech Republic   Liverpool     2005       Djibril Cissé   France   Liverpool     2005       Scott Carson   England   Liverpool     2005       Josemi   Spain   Liverpool     2005       Igor Bišćan   Croatia   Liverpool     2005       Antonio Núñez   Spain   Liverpool     2005       Vítor Baía   Portugal   Porto       One of the only nine footballers to have won all Three Major European Competitions ( EC - UCL , UCWC , UC - EL ) .     Nuno Valente   Portugal   Porto           Jorge Costa   Portugal   Porto       Captain in 2004 .     Ricardo Carvalho   Portugal   Porto           Costinha   Portugal   Porto           Pedro Emanuel   Portugal   Porto           Maniche   Portugal   Porto           Pedro Mendes   Portugal   Porto           Derlei   Brazil   Porto           Benni McCarthy   South Africa   Porto           Dmitri Alenichev   Russia   Porto           Carlos Alberto   Brazil   Porto           Ricardo Costa   Portugal   Porto           Edgaras Jankauskas     Porto           Nuno   Portugal   Porto           Dida   Brazil   Milan     2003 , 2007       Alessandro Costacurta   Italy   Milan   5   1989 , 1990 , 1994 , 2003 , 2007   Costacurta was not in the 18 in the 2007 final and suspended for the 1994 final .     Roque Júnior   Brazil   Milan     2003       Alessandro Nesta   Italy   Milan     2003 , 2007       Paolo Maldini   Italy   Milan   5   1989 , 1990 , 1994 , 2003 , 2007   Captain in 2003 and 2007 . Longest period between first and last win ( 18 years ) , started both finals .     Kakha Kaladze   Georgia   Milan     2003 , 2007       Gennaro Gattuso   Italy   Milan     2003 , 2007       Andrea Pirlo   Italy   Milan     2003 , 2007       Serginho   Brazil   Milan     2003 , 2007       Rui Costa   Portugal   Milan     2003       Massimo Ambrosini   Italy   Milan     2003 , 2007       Andriy Shevchenko   Ukraine   Milan     2003       Filippo Inzaghi   Italy   Milan     2003 , 2007       Christian Abbiati   Italy   Milan     2003       Rivaldo   Brazil   Milan     2003       Martin Laursen   Denmark   Milan     2003       Cristian Brocchi   Italy   Milan     2003 , 2007       Samuele Dalla Bona   Italy   Milan     2003   Was not in the 18 for the final .     Thomas Helveg   Denmark   Milan     2003   Was not in the 18 for the final .     Jon Dahl Tomasson   Denmark   Milan     2003   Was not in the 18 for the final .     César Sánchez   Spain   Real Madrid     2002       Luís Figo   Portugal   Real Madrid     2002       Claude Makélélé   France   Real Madrid     2002       Flávio Conceição   Brazil   Real Madrid     2002       Zinedine Zidane   France   Real Madrid     2002   First and Only Coach that has won 3 Champions League 's in a row with Real Madrid ( 2016 - 2017 - 2018 ) . Won Champions League with same club as coach and player ( 2002 &amp; 2016 - 2017 - 2018 )     Santiago Solari   Argentina   Real Madrid     2002       Pedro Munitis   Spain   Real Madrid     2002       Francisco Pavón   Spain   Real Madrid     2002       Javier Portillo   Spain   Real Madrid     2002       Carlos Sánchez   Spain   Real Madrid     2002   Was not in the 18 for the final .     Albert Celades   Spain   Real Madrid     2002   Was not in the 18 for the final .     Óscar Miñambres   Spain   Real Madrid     2002   Was not in the 18 for the final .     Rubén   Spain   Real Madrid     2002   Was not in the 18 for the final .     Enrique Corrales   Spain   Real Madrid     2002   Was not in the 18 for the final .     Raúl Bravo   Spain   Real Madrid     2002   Was not in the 18 for the final .     Valdo   Spain   Real Madrid     2002   Was not in the 18 for the final .     Oliver Kahn   Germany   Bayern Munich     2001       Samuel Kuffour   Ghana   Bayern Munich     2001       Patrik Andersson   Sweden   Bayern Munich     2001       Thomas Linke   Germany   Bayern Munich     2001       Willy Sagnol   France   Bayern Munich     2001       Carsten Jancker   Germany   Bayern Munich     2001       Owen Hargreaves   England   Bayern Munich , Manchester United     2001 , 2008   First British player to win two Champions League titles with 2 different teams .     Stefan Effenberg   Germany   Bayern Munich     2001   Captain in 2001 .     Bixente Lizarazu   France   Bayern Munich     2001       Mehmet Scholl   Germany   Bayern Munich     2001       Paulo Sérgio   Brazil   Bayern Munich     2001       Giovane Élber   Brazil   Bayern Munich     2001       Alexander Zickler   Germany   Bayern Munich     2001       Bernd Dreher   Germany   Bayern Munich     2001       Ciriaco Sforza   Switzerland   Bayern Munich     2001       Michael Tarnat   Germany   Bayern Munich     2001       Roque Santa Cruz   Paraguay   Bayern Munich     2001       Stefan Wessels   Germany   Bayern Munich     2001   Was not in the 18 for the final .     Thorsten Fink   Germany   Bayern Munich     2001   Was not in the 18 for the final .     Jens Jeremies   Germany   Bayern Munich     2001   Was not in the 18 for the final .     Michael Wiesinger   Germany   Bayern Munich     2001   Was not in the 18 for the final .     Hasan Salihamidžić   Bosnia and Herzegovina   Bayern Munich     2001       Nicolas Anelka   France   Real Madrid     2000       Perica Ognjenović   Yugoslavia   Real Madrid     2000   Was not in the 18 for the final .     Albano Bizarri   Argentina   Real Madrid     2000   Was not in the 18 for the final .     Javier Dorado   Spain   Real Madrid     2000   Was not in the 18 for the final .     David Aganzo   Spain   Real Madrid     2000   Was not in the 18 for the final .     Manuel Meca   Spain   Real Madrid     2000   Was not in the 18 for the final .     Júlio César   Brazil   Real Madrid     2000   Was not in the 18 for the final .     Geremi   Cameroon   Real Madrid     2000 , 2002   Was not in the 18 in 2002 .     Elvir Baljić   Bosnia and Herzegovina   Real Madrid     2000 , 2002   Was not in the 18 in 2002 .     Iván Campo   Spain   Real Madrid     2000 , 2002       Míchel Salgado   Spain   Real Madrid     2000 , 2002       Iván Helguera   Spain   Real Madrid     2000 , 2002       Steve McManaman   England   Real Madrid     2000 , 2002   First British player to win two Champions League titles ; First Englishman to win Champions League with a non-UK club .     Carlos Aranda   Spain   Real Madrid     2000 , 2002   Was not in the 18 for the final .     Peter Schmeichel   Denmark   Manchester United     1999   Captain in 1999 final due to Keane 's suspension .     Gary Neville   England   Manchester United     1999 , 2008   Not in final 18 in 2008 .     Ronny Johnsen   Norway   Manchester United     1999       Jaap Stam   Netherlands   Manchester United     1999       Denis Irwin   Ireland   Manchester United     1999       David Beckham   England   Manchester United     1999       Nicky Butt   England   Manchester United     1999       Ryan Giggs   Wales   Manchester United     1999 , 2008       Jesper Blomqvist   Sweden   Manchester United     1999       Teddy Sheringham   England   Manchester United     1999       Dwight Yorke   Trinidad and Tobago   Manchester United     1999       Andy Cole   England   Manchester United     1999       Ole Gunnar Solskjær   Norway   Manchester United     1999       Raimond van der Gouw   Netherlands   Manchester United     1999       David May   England   Manchester United     1999       Phil Neville   England   Manchester United     1999       Wes Brown   England   Manchester United     1999 , 2008       Jonathan Greening   England   Manchester United     1999       Paul Scholes   England   Manchester United     1999 , 2008   Scholes was suspended for the final in 1999 .     Roy Keane   Ireland   Manchester United     1999   Keane was suspended for the final . Club captain in 1999 .     Henning Berg   Norway   Manchester United     1999   Berg was not in the 18 in 1999 .     José Amavisca   Spain   Real Madrid     1998       Predrag Mijatović   Yugoslavia   Real Madrid     1998       Davor Šuker   Croatia   Real Madrid     1998       Zé Roberto   Brazil   Real Madrid     1998       Dani García   Spain   Real Madrid     1998       Jaime Sánchez   Spain   Real Madrid     1998       Santiago Cañizares   Spain   Real Madrid     1998       Fernando Sanz   Spain   Real Madrid     1998       Víctor Sánchez   Spain   Real Madrid     1998       Pedro Contreras   Spain   Real Madrid     1998   Was not in the 18 for the final     Chendo   Spain   Real Madrid     1998   Was not in the 18 for the final     Raúl Pareja   Spain   Real Madrid     1998   Was not in the 18 for the final     Álvaro Benito   Spain   Real Madrid     1998   Was not in the 18 for the final     Roberto Rojas   Spain   Real Madrid     1998   Was not in the 18 for the final     Bodo Illgner   Germany   Real Madrid     1998 , 2000       Christian Karembeu   France   Real Madrid     1998 , 2000       Manolo Sanchís   Spain   Real Madrid     1998 , 2000   Captain in 1998 .     Sávio   Brazil   Real Madrid     1998 , 2000 , 2002       Fernando Hierro   Spain   Real Madrid     1998 , 2000 , 2002   Captain in 2002 .     Roberto Carlos   Brazil   Real Madrid     1998 , 2000 , 2002       Raúl   Spain   Real Madrid     1998 , 2000 , 2002   First player ever to score in two Champions League final matches for the winning team .     Fernando Morientes   Spain   Real Madrid     1998 , 2000 , 2002   Was cup - tied and did not partake in Liverpool 's 2004 - 05 campaign .     Guti   Spain   Real Madrid     1998 , 2000 , 2002       Iker Casillas   Spain   Real Madrid     2000 , 2002 , 2014   Captain in 2014 .     Aitor Karanka   Spain   Real Madrid     1998 , 2000 , 2002       Fernando Redondo   Argentina   Real Madrid , Milan     1998 , 2000 , 2003   Redondo was not in the 18 for the final in 2003 . Captain in 2000 .     Stefan Klos   Germany   Borussia Dortmund     1997       Vladimir But   Russia   Borussia Dortmund     1997   Not in the 18 for the final .     Steinar Pedersen   Norway   Borussia Dortmund     1997   Not in the 18 for the final .     Jürgen Kohler   Germany   Borussia Dortmund     1997       Matthias Sammer   Germany   Borussia Dortmund     1997   Captain in 1997 .     Martin Kree   Germany   Borussia Dortmund     1997       Stefan Reuter   Germany   Borussia Dortmund     1997       Paul Lambert   Scotland   Borussia Dortmund     1997   First British to win Champions League with a non-UK club .     Jovan Kirovski   United States   Borussia Dortmund     1997   Was not in the 18 for the final .     Paulo Sousa   Portugal   Juventus , Borussia Dortmund     1996 , 1997   Won 2 years in a row with 2 different teams .     Jörg Heinrich   Germany   Borussia Dortmund     1997       Andreas Möller   Germany   Borussia Dortmund     1997       Michael Zorc   Germany   Borussia Dortmund     1997       Karlheinz Riedle   Germany   Borussia Dortmund     1997       Heiko Herrlich   Germany   Borussia Dortmund     1997       Stéphane Chapuisat   Switzerland   Borussia Dortmund     1997       Lars Ricken   Germany   Borussia Dortmund     1997       Wolfgang de Beer   Germany   Borussia Dortmund     1997       René Tretschok   Germany   Borussia Dortmund     1997       Angelo Peruzzi   Italy   Juventus           Ciro Ferrara   Italy   Juventus           Moreno Torricelli   Italy   Juventus           Pietro Vierchowod   Italy   Juventus           Gianluca Pessotto   Italy   Juventus           Antonio Conte   Italy   Juventus           Vladimir Jugović   Yugoslavia FR Yugoslavia   Red Star Belgrade , Juventus     1991 , 1996       Angelo Di Livio   Italy   Juventus           Didier Deschamps   France   Marseille , Juventus     1993 , 1996   Captain in 1993 .     Alessandro Del Piero   Italy   Juventus           Gianluca Vialli   Italy   Juventus       Captain in 1996 . One of the only nine footballers to have won all Three Major European Competitions ( EC - UCL , UCWC , UC - EL ) .     Fabrizio Ravanelli   Italy   Juventus           Michele Padovano   Italy   Juventus           Sergio Porrini   Italy   Juventus           Michaelangelo Rampulla   Italy   Juventus           Clarence Seedorf   Netherlands   Ajax , Real Madrid , Milan     1995 , 1998 , 2003 , 2007   Seedorf is the only player to have won the trophy with three different clubs .     Edwin van der Sar   Netherlands   Ajax , Manchester United     1995 , 2008   Longest gap between medal wins for which a part was played in each match ( 13 years ) .     Michael Reiziger   Netherlands   Ajax     1995       Danny Blind   Netherlands   Ajax     1995   Captain in 1995 . One of the only five footballers to have won all European club competitions .     Frank Rijkaard   Netherlands   Milan , Ajax     1989 , 1990 , 1995   Has also won as manager in 2006 for Barcelona .     Frank de Boer   Netherlands   Ajax     1995       Edgar Davids   Netherlands   Ajax     1995       Finidi George   Nigeria   Ajax     1995       Ronald de Boer   Netherlands   Ajax     1995       John van den Brom   Netherlands   Ajax     1995   Was not in the 18 for the final .     Jari Litmanen   Finland   Ajax     1995       Marc Overmars   Netherlands   Ajax     1995       Nwankwo Kanu   Nigeria   Ajax     1995       Patrick Kluivert   Netherlands   Ajax     1995       Peter van Vossen   Netherlands   Ajax     1995       Fred Grim   Netherlands   Ajax     1995       Winston Bogarde   Netherlands   Ajax     1995       Sebastiano Rossi   Italy   Milan     1994       Jean - Pierre Papin   France   Milan     1994       Christian Panucci   Italy   Milan , Real Madrid     1994 , 1998       Mauro Tassotti   Italy   Milan     1989 , 1990 , 1994   Captain in 1994 .     Demetrio Albertini   Italy   Milan     1994       Filippo Galli   Italy   Milan     1989 , 1990 , 1994       Stefano Nava   Italy   Milan     1994       Roberto Donadoni   Italy   Milan     1989 , 1990 , 1994       Marcel Desailly   France   Marseille , Milan     1993 , 1994   The first player won 2 years in a row with 2 different teams .     Zvonimir Boban   Croatia   Milan     1994       Dejan Savićević   Yugoslavia FR Yugoslavia   Red Star Belgrade , Milan     1991 , 1994       Daniele Massaro   Italy   Milan     1990 , 1994       Marco Simone   Italy   Milan     1990 , 1994       Mario Ielpo   Italy   Milan     1994       Gianluigi Lentini   Italy   Milan     1994       Angelo Carbone   Italy   Milan     1994       Florin Răducioiu   Romania   Milan     1994   Was not in the final .     Brian Laudrup   Denmark   Milan     1994   Was not in the final .     Fabien Barthez   France   Marseille     1993       Jocelyn Angloma   France   Marseille     1993       Jean - Philippe Durand   France   Marseille     1993       Éric Di Meco   France   Marseille     1993       Basile Boli   France   Marseille     1993       Franck Sauzée   France   Marseille     1993       Jean - Jacques Eydelie   France   Marseille     1993       Alen Bokšić   Croatia   Marseille     1993       Rudi Völler   Germany   Marseille     1993       Jean - Christophe Thomas   France   Marseille     1993       Abédi Pelé   Ghana   Marseille     1993       Pascal Olmeta   France   Marseille     1993       Bernard Casoni   France   Marseille     1993       Jean - Marc Ferreri   France   Marseille     1993       Igor Dobrovolski   Russia   Marseille     1993   Was not in the final .     Andoni Zubizarreta   Spain   Barcelona     1992   Captain in 1992 .     Eusebio Sacristán   Spain   Barcelona     1992       Albert Ferrer   Spain   Barcelona     1992       Ronald Koeman   Netherlands   PSV Eindhoven , Barcelona     1988 , 1992       Nando   Spain   Barcelona     1992       Juan Carlos   Spain   Barcelona     1992       José Mari Bakero   Spain   Barcelona     1992       Pep Guardiola   Spain   Barcelona     1992   Has also won as manager for Barcelona in 2009 and 2011 .     José Ramón Alexanko   Spain   Barcelona     1992       Michael Laudrup   Denmark   Barcelona     1992       Julio Salinas   Spain   Barcelona     1992       Andoni Goikoetxea   Spain   Barcelona     1992       Hristo Stoichkov   Bulgaria   Barcelona     1992       Ricardo Serna   Spain   Barcelona     1992       Cristóbal Parralo   Spain   Barcelona     1992       Richard Witschge   Netherlands   Barcelona     1992       Guillermo Amor   Spain   Barcelona     1992       Aitor Beguiristain   Spain   Barcelona     1992       Carles Busquets   Spain   Barcelona     1992       Miguel Ángel Nadal   Spain   Barcelona     1992       Stevan Stojanović   Yugoslavia   Red Star Belgrade     1991   Captain in 1991 .     Miodrag Belodedici   Romania   Steaua București , Red Star Belgrade     1986 , 1991   First player to win the trophy with two different clubs .     Ilija Najdoski   Yugoslavia   Red Star Belgrade     1991       Refik Šabanadžović   Yugoslavia   Red Star Belgrade     1991       Slobodan Marović   Yugoslavia   Red Star Belgrade     1991       Siniša Mihajlović   Yugoslavia   Red Star Belgrade     1991       Dragiša Binić   Yugoslavia   Red Star Belgrade     1991       Robert Prosinečki   Yugoslavia   Red Star Belgrade     1991       Darko Pančev   Yugoslavia   Red Star Belgrade     1991       Vlada Stošić   Yugoslavia   Red Star Belgrade     1991       Milić Jovanović   Yugoslavia   Red Star Belgrade     1991       Ivica Momčilović   Yugoslavia   Red Star Belgrade     1991       Rade Tošić   Yugoslavia   Red Star Belgrade     1991       Vladan Lukić   Yugoslavia   Red Star Belgrade     1991       Andrea Pazzagli   Italy   Milan     1990       Stefano Borgonovo   Italy   Milan     1990       Giovanni Galli   Italy   Milan     1989 , 1990       Franco Baresi   Italy   Milan     1989 , 1990 , 1994   Captain in 1989 and 1990 . Baresi was suspended for the 1994 final .     Angelo Colombo   Italy   Milan     1989 , 1990       Carlo Ancelotti   Italy   Milan     1989 , 1990   Has also won as manager in 2003 and 2007 for A.C. Milan and in 2014 for Real Madrid .     Alberigo Evani   Italy   Milan     1989 , 1990       Ruud Gullit   Netherlands   Milan     1989 , 1990       Marco van Basten   Netherlands   Milan     1989 , 1990       Pietro Paolo Virdis   Italy   Milan     1989       Davide Pinato   Italy   Milan     1989       Roberto Mussi   Italy   Milan     1989       Hans van Breukelen   Netherlands   PSV Eindhoven     1988       Eric Gerets   Belgium   PSV Eindhoven     1988   Captain in 1988 .     Ivan Nielsen   Denmark   PSV Eindhoven     1988       Berry van Aerle   Netherlands   PSV Eindhoven     1988       Jan Heintze   Denmark   PSV Eindhoven     1988       Edward Linskens   Netherlands   PSV Eindhoven     1988       Gerald Vanenburg   Netherlands   PSV Eindhoven     1988       Søren Lerby   Denmark   PSV Eindhoven     1988       Wim Kieft   Netherlands   PSV Eindhoven     1988       Hans Gillhaus   Netherlands   PSV Eindhoven     1988       Anton Janssen   Netherlands   PSV Eindhoven     1988       Adick Koot   Netherlands   PSV Eindhoven     1988       Eric Viscaal   Netherlands   PSV Eindhoven     1988       Willy van de Kerkhof   Netherlands   PSV Eindhoven     1988       Patrick Lodewijks   Netherlands   PSV Eindhoven     1988       Józef Mlynarczyk   Poland   Porto           João Pinto   Portugal   Porto       Captain in 1987 </t>
  </si>
  <si>
    <r>
      <rPr>
        <sz val="11"/>
        <color rgb="FF000000"/>
        <rFont val="Calibri"/>
        <family val="0"/>
        <charset val="1"/>
      </rPr>
      <t xml:space="preserve">You Give Love a Bad Name - wikipedia  You Give Love a Bad Name  Jump to : navigation , search For the album by GG Allin , see You Give Love a Bad Name ( album ) .    `` You Give Love a Bad Name ''     Artwork for U.S. vinyl single , also used for the album Slippery When Wet     Single by Bon Jovi     from the album Slippery When Wet     B - side   `` Raise Your Hands '' ( US ) `` Let It Rock '' ( UK )     Released   July 23 , 1986     Format     CD single   7 ''       Recorded   1986     Genre   Hard rock     Length   3 : 42 ( album version ) 4 : 06 ( full version )     Label   Mercury     Songwriter ( s )     Jon Bon Jovi   Richie Sambora   Desmond Child       Producer ( s )   Bruce Fairbairn     Bon Jovi singles chronology        `` Silent Night '' ( 1985 )   `` You Give Love a Bad Name '' ( 1986 )   `` Livin ' on a Prayer '' ( 1986 )           `` Silent Night '' ( 1985 )   `` You Give Love a Bad Name '' ( 1986 )   `` Livin ' on a Prayer '' ( 1986 )            Alternative cover                     `` You Give Love a Bad Name '' is a song by American rock band Bon Jovi , released as the first single from their 1986 album Slippery When Wet . Written by Jon Bon Jovi , Richie Sambora , and Desmond Child about a woman who has jilted her lover , the song reached No. 1 on the U.S. Billboard Hot 100 on November 29 , 1986 and became the band 's first number one hit . In 2007 , the song reentered the charts at No. 29 after Blake Lewis performed it on American Idol . In 2009 it was named the 20th greatest hard rock song of all time by VH1 . Despite the lyrics of the chorus , the song should not be confused with `` Shot Through the Heart '' , an unrelated song from Bon Jovi 's 1984 self - titled debut album .     Contents  ( hide )   1 Composition   2 Music video   3 Charts and certifications   3.1 Weekly charts   3.2 Year - end charts   3.3 Sales and certifications     4 References   5 External links      Composition ( edit )   `` You Give Love a Bad Name '' was originally written for Bonnie Tyler under the title `` If You Were a Woman ( And I Was a Man ) '' with different lyrics . Dissatisfied with its success in the US and the UK , Desmond Child re-wrote the song with Jon Bon Jovi and Richie Sambora .   The song was written with several catchy repeated lines and associated hooks to appeal to mainstream audiences including the chorus as well as several bridges .   This song is written in the key of C minor and has a tempo of 123 BPM .   The album version of the song ends with the title being repeated until it fades .   Music video ( edit )   The music video for the song used all - color concert footage ( the only all - color video song from Slippery When Wet ) and photogenic shots primarily of Jon Bon Jovi , as well as other band members in concert . This video was filmed at the Olympic Auditorium in Los Angeles , California .   Bon Jovi was now being managed by Doc McGee , who realized that Bon Jovi needed a video for MTV . Doc hired video director Wayne Isham , who had directed videos for Doc 's other band , Mötley Crüe . The two bands were competitive with each other and Mötley Crüe felt betrayed that Wayne would direct one of Bon Jovi 's videos .   Wayne had the band 's name painted on the stage and made sure that the band did not see it until they began shooting .   Bon Jovi had been opening for 38 Special , but became a headlining act after the video debuted .   Charts and certifications ( edit )      Weekly charts ( edit )     Chart ( 1986 -- 87 )   Peak position     Australia ( Kent Music Report )   32     Austria ( Ö3 Austria Top 40 )   25     Belgium ( Ultratop 50 Flanders )       Belgium ( VRT Top 30 Flanders )       Canada Top Singles ( RPM )       Finland ( Suomen virallinen lista )   6     Ireland ( IRMA )   21     Netherlands ( Dutch Top 40 )   5     Netherlands ( Single Top 100 )       New Zealand ( Recorded Music NZ )   7     Scotland ( Official Charts Company )   14     South Africa ( Springbok Radio )   15     Spain ( AFYVE )   31     Sweden ( Sverigetopplistan )   14     UK Singles ( Official Charts Company )   14     US Billboard Hot 100       US Album Rock Tracks ( Billboard )   9     US Cash Box         Chart ( 2017 )   Peak position     Poland ( Polish Airplay Top 100 )   69       Year - end charts ( edit )     Chart ( 1986 )   Position     Belgium ( Ultratop 50 Flanders )   69     Canada Top Singles ( RPM )   88     Netherlands ( Dutch Top 40 )   75     Netherlands ( Single Top 100 )   46     US Billboard Hot 100   30     US Cash Box   30       Chart ( 1987 )   Position     Canada Top Singles ( RPM )   55     Sales and certifications ( edit )     Region   Certification   Certified units / Sales     Canada ( Music Canada )   Gold   50,000     Italy ( FIMI )   Gold   25,000     United Kingdom ( BPI )   Silver   200,000      shipments figures based on certification alone sales + streaming figures based on certification alone         References ( edit )    Jump up ^ `` Reviews &gt; Singles &gt; Pop &gt; Recommended &gt; Bon Jovi -- You Give Love a Bad Name ( 3 : 53 ) '' . Billboard . Vol. 98 no . 35 . August 30 , 1986 . p. 83 . ISSN 0006 - 2510 .   ^ Jump up to : `` spreadit.org music '' . Retrieved February 7 , 2009 .   Jump up ^ `` Allmusic ( Bon Jovi charts &amp; awards ) Billboard singles '' .   Jump up ^ Curtis Child ( 15 August 2013 ) . `` Desmond Child Special '' . YouTube . Google Inc . Retrieved 26 January 2015 .   Jump up ^ `` Australian Top 50 ( ARIA ) Singles Chart : Week ending 29th March , 1987 '' . imgur.com . Retrieved 2015 - 09 - 18 .   Jump up ^ `` Austriancharts.at -- Bon Jovi -- You Give Love a Bad Name '' ( in German ) . Ö3 Austria Top 40 .   Jump up ^ `` Ultratop.be -- Bon Jovi -- You Give Love a Bad Name '' ( in Dutch ) . Ultratop 50 .   Jump up ^ `` Radio2 top 30 : 13 december 1986 '' ( in Dutch ) . Top 30 . Retrieved 9 November 2015 .   Jump up ^ `` Top Singles - December 27 , 1986 '' . RPM . Retrieved 7 October 2012 .   Jump up ^ Pennanen , Timo ( 2006 ) . Sisältää hitin - levyt ja esittäjät Suomen musiikkilistoilla vuodesta 1972 ( in Finnish ) ( 1st ed . ) . Helsinki : Tammi . ISBN 978 - 951 - 1 - 21053 - 5 .   Jump up ^ `` The Irish Charts -- Search Results -- You Give Love a Bad Name '' . Irish Singles Chart . Retrieved October 19 , 2014 .   Jump up ^ `` Nederlandse Top 40 -- Bon Jovi '' ( in Dutch ) . Dutch Top 40 . Retrieved 9 November 2015 .   Jump up ^ `` Dutchcharts.nl -- Bon Jovi -- You Give Love a Bad Name '' ( in Dutch ) . Single Top 100 .   Jump up ^ `` Charts.org.nz -- Bon Jovi -- You Give Love a Bad Name '' . Top 40 Singles .   Jump up ^ `` Official Scottish Singles Sales Chart Top 100 '' . Official Charts Company .   Jump up ^ `` South African Rock Lists Website SA Charts 1969 -- 1989 Acts ( B ) '' . Rock.co.za . Retrieved 9 November 2015 .   Jump up ^ Salaverri , Fernando ( September 2005 ) . Sólo éxitos : año a año , 1959 -- 2002 ( 1st ed . ) . Spain : Fundación Autor - SGAE . ISBN 84 - 8048 - 639 - 2 .   Jump up ^ `` Swedishcharts.com -- Bon Jovi -- You Give Love a Bad Name '' . Singles Top 100 .   Jump up ^ `` Bon Jovi : Artist Chart History '' . Official Charts Company .   Jump up ^ `` Bon Jovi Chart History ( Hot 100 ) '' . Billboard .   Jump up ^ `` Bon Jovi -- Chart history '' . Billboard Mainstream Rock Tracks for Bon Jovi . Retrieved 9 November 2015 .   Jump up ^ `` CASH BOX Top 100 Singles -- Week ending DECEMBER 6 , 1986 '' . Cash Box magazine . Retrieved 9 November 2015 .   Jump up ^ `` Listy bestsellerów , wyróżnienia : : Związek Producentów Audio - Video '' . Polish Airplay Top 100 . Retrieved May 29 , 2017 .   Jump up ^ `` Jaaroverzichten 1986 ( Flanders ) '' ( in Dutch ) . Ultratop . Hung Medien . Retrieved 13 October 2015 .   Jump up ^ `` Top 100 Singles of ' 86 '' . RPM . Retrieved 7 October 2012 .   Jump up ^ `` Top 100 - Jaaroverzicht van 1986 '' ( in Dutch ) . Retrieved 9 November 2015 .   Jump up ^ `` Jaaroverzichten -- Single 1986 '' ( in Dutch ) . Single Top 100 . Hung Medien . Retrieved 13 October 2015 .   Jump up ^ `` Top Pop Singles '' . Billboard. 27 December 1986 . p . Y - 21 . Retrieved 7 October 2012 .   Jump up ^ `` The CASH BOX Year - End Charts : 1986 -- TOP 100 POP SINGLES ( As published in the December 27 , 1986 , issue ) '' . Cash Box magazine . Retrieved November 11 , 2015 .   Jump up ^ `` Top 100 Singles of ' 87 '' . RPM . Retrieved 7 October 2012 .   Jump up ^ `` Canadian single certifications -- Bon Jovi -- You Give Love a Bad Name '' . Music Canada .   Jump up ^ `` Italian single certifications -- Bon Jovi -- You Give Love a Bad Name '' ( in Italian ) . Federazione Industria Musicale Italiana . Retrieved January 2 , 2018 .   Jump up ^ `` British single certifications -- Bon Jovi -- You Give Love a Bad Name '' . British Phonographic Industry . Retrieved March 4 , 2016 . Enter You Give Love a Bad Name in the search field and then press Enter .    External links ( edit )    Lyrics of this song at MetroLyrics      Preceded by `` Human '' by The Human League   Billboard Hot 100 number - one single ( Bon Jovi version ) November 29 , 1986 ( 1 week )   Succeeded by `` The Next Time I Fall '' by Peter Cetera and Amy Grant       ( hide )         Bon Jovi singles discography     Bon Jovi     `` Runaway ''   `` She Do n't Know Me ''   `` Burning for Love '' ( Japan only )   `` Breakout '' ( promo single )       7800 ° Fahrenheit     `` Only Lonely ''   `` In and Out of Love ''   `` The Hardest Part Is the Night ''   `` Silent Night ''   `` The Price of Love '' ( Japan only )       Slippery When Wet     `` You Give Love a Bad Name ''   `` Livin ' on a Prayer ''   `` Wanted Dead or Alive ''   `` Never Say Goodbye ''       New Jersey     `` Bad Medicine ''   `` Born to Be My Baby ''   `` I 'll Be There for You ''   `` Lay Your Hands on Me ''   `` Living in Sin ''       Keep the Faith     `` Keep the Faith ''   `` Bed of Roses ''   `` In These Arms ''   `` I 'll Sleep When I 'm Dead ''   `` I Believe ''   `` Dry County ''       Cross Road     `` Always ''   `` Someday I 'll Be Saturday Night ''       These Days     `` This Ai n't a Love Song ''   `` Something for the Pain ''   `` Lie to Me ''   `` These Days ''   `` Hey God ''       Crush     `` It 's My Life ''   `` Say It Is n't So ''   `` Thank You For Loving Me ''   `` Save the World '' ( promo single )       One Wild Night Live 1985 -- 2001     `` One Wild Night ( 2001 ) ''   `` Wanted Dead or Alive ( Live ) ''       Bounce     `` Everyday ''   `` Misunderstood ''   `` All About Lovin ' You ''   `` Bounce '' ( promo single )   `` The Distance '' ( Japan only )       This Left Feels Right     `` It 's My Life ( 2003 ) ''   `` Wanted Dead or Alive ( 2003 ) '' ( promo single )       100,000,000 Bon Jovi Fans Ca n't Be Wrong     `` The Radio Saved My Life Tonight '' ( Japan only )       Have a Nice Day     `` Have a Nice Day ''   `` Who Says You Ca n't Go Home '' ( with Jennifer Nettles )   `` Welcome to Wherever You Are ''   `` I Want to Be Loved '' ( promo single )       Lost Highway     `` ( You Want To ) Make a Memory ''   `` Lost Highway ''   `` Till We Ai n't Strangers Anymore '' ( with LeAnn Rimes )   `` Summertime '' ( Canada only )   `` Whole Lot of Leavin ' ''       The Circle     `` We Were n't Born to Follow ''   `` Superman Tonight ''   `` When We Were Beautiful ''   `` Work for the Working Man '' ( promo single )       Greatest Hits     `` What Do You Got ? ''   `` No Apologies ''   `` This Is Our House '' ( promo single )       What About Now     `` Because We Can ''   `` What About Now ''       Burning Bridges     `` We Do n't Run ''   `` Saturday Night Gave Me Sunday Morning ''       This House Is Not for Sale     `` This House Is Not for Sale ''   `` Knockout ''   `` Labor of Love ''   `` Born Again Tomorrow ''   `` Roller Coaster ''       Other singles     `` Edge of a Broken Heart '' ( Disorderlies soundtrack )   `` Good Guys Do n't Always Wear White '' ( `` The Cowboy Way '' soundtrack )   `` Wedding Day '' ( promo single )   `` Please Come Home for Christmas ''   `` Real Life '' ( EDtv soundtrack )         Book : Bon Jovi   Category : Bon Jovi   Portal : Rock music      Retrieved from `` https://en.wikipedia.org/w/index.php?title=You_Give_Love_a_Bad_Name&amp;oldid=822627285 '' Categories :   Bon Jovi songs   1986 singles   1986 songs   Billboard Hot 100 number - one singles   Mandaryna songs   Blake Lewis songs   Songs written by Desmond Child   Songs written by Richie Sambora   Songs written by Jon Bon Jovi   Music videos directed by Wayne Isham   Song recordings produced by Bruce Fairbairn   Mercury Records singles   Hidden categories :   CS1 Dutch - language sources ( nl )   CS1 Finnish - language sources ( fi )   CS1 Italian - language sources ( it )   Articles which use infobox templates with no data rows   Music infoboxes with deprecated parameters   Articles with hAudio microformats   Singlechart usages for Austria   Singlechart usages for Flanders   Singlechart usages for Ireland2   Singlechart usages for Dutch40   Singlechart usages for Dutch100   Singlechart usages for New Zealand   Singlechart usages for Scotland   Singlechart usages for Sweden   Singlechart usages for UKchartarchive   Singlechart usages for Billboardhot100   Singlechart usages for Poland   Singlechart called without artist   Singlechart called without song   Certification Table Entry usages for Canada   Certification Table Entry usages for Italy   Certification Table Entry usages for United Kingdom           Talk                                           Contents                   About Wikipedia                                           Español   Français   Italiano   Nederlands   </t>
    </r>
    <r>
      <rPr>
        <sz val="11"/>
        <color rgb="FF000000"/>
        <rFont val="Noto Sans CJK SC"/>
        <family val="2"/>
      </rPr>
      <t xml:space="preserve">日本 語   </t>
    </r>
    <r>
      <rPr>
        <sz val="11"/>
        <color rgb="FF000000"/>
        <rFont val="Calibri"/>
        <family val="0"/>
        <charset val="1"/>
      </rPr>
      <t xml:space="preserve">Polski   Português   Русский   Slovenčina   Suomi   Svenska   Türkçe   </t>
    </r>
    <r>
      <rPr>
        <sz val="11"/>
        <color rgb="FF000000"/>
        <rFont val="Noto Sans CJK SC"/>
        <family val="2"/>
      </rPr>
      <t xml:space="preserve">中文   </t>
    </r>
    <r>
      <rPr>
        <sz val="11"/>
        <color rgb="FF000000"/>
        <rFont val="Calibri"/>
        <family val="0"/>
        <charset val="1"/>
      </rPr>
      <t xml:space="preserve">Edit links   This page was last edited on 27 January 2018 , at 15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</si>
  <si>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shot through the heart and you're to blame</t>
  </si>
  <si>
    <t xml:space="preserve"> `` You Give Love a Bad Name '' is a song by American rock band Bon Jovi , released as the first single from their 1986 album Slippery When Wet . Written by Jon Bon Jovi , Richie Sambora , and Desmond Child about a woman who has jilted her lover , the song reached No. 1 on the U.S. Billboard Hot 100 on November 29 , 1986 and became the band 's first number one hit . In 2007 , the song reentered the charts at No. 29 after Blake Lewis performed it on American Idol . In 2009 it was named the 20th greatest hard rock song of all time by VH1 . Despite the lyrics of the chorus , the song should not be confused with `` Shot Through the Heart '' , an unrelated song from Bon Jovi 's 1984 self - titled debut album . </t>
  </si>
  <si>
    <t xml:space="preserve">Man with a Plan ( TV series ) - wikipedia  Man with a Plan ( TV series )     Man with a Plan         Genre   Sitcom     Created by     Jackie Filgo and Jeff Filgo       Starring     Matt LeBlanc   Liza Snyder   Jessica Chaffin   Matt Cook   Grace Kaufman   Hala Finley   Matthew McCann   Diana - Maria Riva   Kevin Nealon   Stacy Keach       Composer ( s )   John Kimbrough     Country of origin   United States     Original language ( s )   English     No. of seasons       No. of episodes   43 ( list of episodes )     Production     Executive producer ( s )     Jackie Filgo   Jeff Filgo   Matt LeBlanc   Michael Rotenberg   Troy Zien       Camera setup   Multi-camera     Running time   22 minutes     Production company ( s )   Double Double Bonus Entertainment 3 Arts Entertainment CBS Television Studios     Distributor   CBS Television Distribution     Release     Original network   CBS     Picture format   1080i ( HDTV )     Original release   October 24 , 2016 ( 2016 - 10 - 24 ) -- present     Man with a Plan is an American sitcom series created by Jackie and Jeff Filgo and starring Matt LeBlanc . It was ordered to series on May 13 , 2016 , for the CBS 2016 -- 2017 television season . The series premiered on October 24 , 2016 . On November 14 , 2016 , CBS picked up the series for a full season of 19 episodes . On January 6 , 2017 , CBS ordered three additional episodes , increasing the first season order to 22 .   On March 23 , 2017 , CBS renewed the series for a second season which premiered on November 13 , 2017 . On November 27 , 2017 , CBS ordered eight additional episodes for the second season , bringing the total to 21 episodes .   On May 12 , 2018 , CBS renewed the series for a third season .   Contents  ( hide )   1 Summary   2 Cast   2.1 Main   2.2 Recurring     3 Episodes   3.1 Series overview   3.2 Season 1 ( 2016 -- 17 )   3.3 Season 2 ( 2017 -- 18 )     4 Production   4.1 Development   4.2 Casting     5 Reception   5.1 Seasonal ratings     6 Ratings   6.1 Season 1 ( 2016 -- 17 )   6.2 Season 2 ( 2017 -- 18 )     7 See also   8 References   9 External links    Summary ( edit )       This section may need to be rewritten entirely to comply with Wikipedia 's quality standards . You can help . The discussion page may contain suggestions . ( July 2018 )     Adam Burns is a newly construction worker living in suburban Pittsburgh , Pennsylvania , with wife Andi , daughters Katie and Emme , and son Teddy . He looks forward to spending time with his family and hanging out with his friends , who are also co-educators : Lowell , Marie and Ms. Rodriguez . However , his elder daughter Katie , who was away at middle school ; Teddy is becoming dimwitted child , whose intelligence is often issues ; and youngest daughter Emme is a innocent child who often knows her parents will never let her get away with a lot issues . An old - school father encounters the modern challenges of parenting three school - aged children , marriage and running a general contracting business with his brother after his supportive wife returns to work . He also has to deal with his overbearing parents .   The show is about a dad finds out that parenting is harder than he thought after his wife goes back to work and he 's left at home to take care of the kids .   Cast ( edit )   Main ( edit )    Matt LeBlanc as Adam Burns : The patriarch of the Burns household . Along with his brother , Don , he owns Burns Brothers Construction .   Liza Snyder as Andi Burns : The matriarch of the Burns household . As the series started , Andi went back to work as a medical lab technician .   Grace Kaufman as Kate Burns : The eldest Burns child . At the start of the series , Kate is 13 - years - old . She is the sassy , rebellious child , who is often embarrassed by her parents . She 's now 15 in season 2 .   Hala Finley as Emme Burns : The youngest child in the Burns family , who is 5 - years - old at the start of the series . Emme is the younger , innocent child , who often knows her parents will never let her get away with a lot . She is 6 - years old as of season 2 .   Matthew McCann as Teddy Burns : The middle child in the Burns family , who is 12 - years - old at the start of the series . Teddy is a very dimwitted child , whose intelligence is often ridiculed by the other characters , including his parents . Adam states that Teddy has his Uncle Don 's intelligence .   Jessica Chaffin as Marie Faldonado ( episodes 1 -- 13 ) : One of Adam 's fellow room parents , who is a promiscuous divorcee with children in both Emme and Kate 's classes . After episode thirteen , Marie is never seen or mentioned again .   Matt Cook as Lowell : The other room parent and the Burns ' friend . Lowell is a stay - at - home dad who relies on statistics and experts to help parent his children . In `` The Three Amigos '' , he begins working with Adam and Don as their tech specialist after helping them land a lucrative job with a video presentation he created .   Diana - Maria Riva as Mrs. Rodriguez ( season 1 ) : Emme 's kindergarten teacher and Adam 's enemy .   Kevin Nealon as Don Burns : Adam 's older brother , who co-owns Burns Brothers Construction alongside Adam . It is mentioned in `` The Three Amigos '' that Don handles sales for the business . He is very dim - witted like his nephew Teddy . He is married to Marcy , and together they have a son , Mikey , who is an ex-convict living in a studio apartment .   Stacy Keach as Joe Burns ( season 2 -- present ; recurring season 1 ) : Adam and Don 's father , who moved his camper into Adam and Andi 's driveway .    Recurring ( edit )    Kali Rocha as Marcy Burns , Don 's wife .   Swoosie Kurtz as Beverly Burns , Adam and Don 's mother .   Christine Woods as Lisa McCaffrey , Adam and Don 's main client on a mall construction project .   Sherri Shepherd as Joy , the Burns ' neighbor who is also the building inspector on Adam 's job site .   Tim Meadows as Rudy , the Burns ' neighbor and Joy 's husband .    Episodes ( edit )   Series overview ( edit )     Season   Episodes   Originally aired     First aired   Last aired         22   October 24 , 2016 ( 2016 - 10 - 24 )   May 15 , 2017 ( 2017 - 05 - 15 )         21   November 13 , 2017 ( 2017 - 11 - 13 )   May 21 , 2018 ( 2018 - 05 - 21 )     Season 1 ( 2016 -- 17 ) ( edit )     No . overall   No. in season   Title   Directed by   Written by   Original air date   U.S. viewers ( millions )         `` Pilot ''   James Burrows   Jeff Filgo &amp; Jackie Filgo   October 24 , 2016 ( 2016 - 10 - 24 )   7.42     When her youngest child Emme starts kindergarten , Andi Burns goes back to work , forcing Adam , her contractor husband , to spend more time at home taking care of their three kids . Adam is clearly out of his element , while the kids want their mom back after spending only one day with their father .         `` Two Tickets to Paradise ''   James Burrows   Jeff Filgo &amp; Jackie Filgo   October 31 , 2016 ( 2016 - 10 - 31 )   5.95     When a vendor gives Adam two tickets to a Pittsburgh Steelers game , he offers to take his brother and business partner Don as a thank - you for Don covering him at work while he tends to the kids . Andi later sees the tickets and assumes Adam is taking her to celebrate the anniversary of their first date , which was also at a Steelers game , causing Adam to have to decide whom to disappoint .         `` The Puppet Theater ''   James Burrows   Alex Herschlag   November 7 , 2016 ( 2016 - 11 - 07 )   6.26     When Mrs. Rodriguez accuses Adam of slacking in his role as Room Parent because he does n't have time to make puppets for Teacher Appreciation Day , Adam threatens to transfer Emme into the other kindergarten class . This does n't sit well with Andi , who considers Mrs. Rodriguez a superior teacher and says she had to do a lot of `` butt kissing '' to get Emme into her class .         `` Un-Dressed ''   Pamela Fryman   Jordan Reddout &amp; Gus Hickey   November 14 , 2016 ( 2016 - 11 - 14 )   6.18     After repeatedly being forced out of the house by Andi and the kids , Adam and Don want to turn the garage into a `` man cave '' , but there 's a problem -- boxes and boxes of junk that Andi refuses to get rid of because they represent family memories .     5   5   `` Thanksgiving ''   James Burrows   Mark Gross   November 21 , 2016 ( 2016 - 11 - 21 )   5.98     Adam brings Emme 's lunch to school and catches Andi secretly meeting with Mrs. Rodriguez about an upcoming Thanksgiving meal for 30 at the school . Andi tells Adam she did n't think he could handle this task , which hurts Adam enough that he wants to prove her wrong .     6   6   `` Holey War ''   James Burrows   Tommy Johnagin   December 5 , 2016 ( 2016 - 12 - 05 )   6.18     When the kids put a hole in the wall with their rowdy play , Adam 's and Andi 's different approaches to parenting are put to the test . Each tries to get the kids to turn on each other and identify the culprit , but the resolve of their children is surprisingly strong .     7   7   `` Winter Has Come ''   James Burrows   Farhan Arshad   December 12 , 2016 ( 2016 - 12 - 12 )   6.62     To get out of his usual Christmas chores , Adam convinces Andi 's parents to host a family Christmas at their home in Virginia Beach . He orders all of the kids ' gifts online and has them delivered to Virginia Beach , but his plan backfires when they get snowed in on the day of their trip . Forced to improvise , Adam has to pull off a `` Christmas miracle '' to avoid disappointing the kids and angering Andi .     8   8   `` Adam Steps Up ''   Pamela Fryman   Gregg Mettler   December 19 , 2016 ( 2016 - 12 - 19 )   6.17     Andi tries to take Emme and Teddy to the zoo , but gets stuck in traffic for hours . This causes Adam to have to deal with Kate getting her first period without Andi 's help .     9   9   `` What About Bob ? ''   Pamela Fryman   Tommy Johnagin   January 2 , 2017 ( 2017 - 01 - 02 )   6.55     After Andi confesses that one of her new work friends is a man named Bob ( Gary Anthony Williams ) , she is surprised and a little hurt when Adam does n't exhibit his usual jealousy . She then tells fake stories to enhance Bob 's charm and talents , not knowing that Adam was jealous all along and was just trying to hide it .     10   10   `` A Dinner Gone Wrong ''   Pamela Fryman   Mark Gross   January 16 , 2017 ( 2017 - 01 - 16 )   7.70     The Burns ' plans for a couples trip to Las Vegas with Don and Marcy are put in jeopardy when Andi realizes that Marcy is the girl who teased her and gave her an unflattering nickname back in high school . Meanwhile , Teddy stops hanging out with the few friends he has in school to spend all of his free time with his online gaming buddies , making his parents concerned .     11   11   `` The Talk ''   Pamela Fryman   Alex Herschlag   January 23 , 2017 ( 2017 - 01 - 23 )   7.69     When Andi and Adam find a topless woman 's photo on Teddy 's tablet , Andi makes Adam have `` the talk '' with his son , saying she took care of it with Kate . After an uncomfortable talk that shocks Teddy , Adam learns that the newly body - conscious Kate was the one looking at the topless photo out of curiosity , and that Kate learned about sex from a school health class , not from Andi .     12   12   `` The Three Amigos ''   Phill Lewis   Jordan Reddout &amp; Gus Hickey   February 6 , 2017 ( 2017 - 02 - 06 )   7.25     Adam is less than thrilled when Andi invites Lowell over to watch the hockey game with him and Don , but Adam 's attitude changes when he learns Lowell can make a killer multimedia presentation for a construction client the Burns Brothers are trying to woo . Don takes this as a slap in the face , given that he 's always handled sales his own way . Elsewhere , Mrs. Rodriguez confesses to Andi that she had an erotic dream about Adam .     13   13   `` Valentine 's Day ''   James Burrows   Gregg Mettler   February 13 , 2017 ( 2017 - 02 - 13 )   7.20     Adam has every detail for a fancy Valentine 's Day dinner with Andi planned out , except getting a babysitter . After striking out with Marie and Lowell , Kate reminds her dad that she 's 13 and can babysit . This pleases Adam , but Andi is n't so sure that Kate is ready . After Andi reluctantly agrees , she and Adam go to the restaurant and find that Don has stolen Adam 's reservation .     14   14   `` Kate 's First Date ''   Pamela Fryman   Farhan Arshad   February 20 , 2017 ( 2017 - 02 - 20 )   6.75     Kate is excited about going on her first date with a classmate named Royce , something that Andi approved without consulting Adam . After Adam checks Royce 's Instagram page and sees that he may be a bit of a `` player '' , he tries to scare the boy away . Meanwhile , Don ca n't think of a good gift for Marcy 's birthday , so he seeks help from Lowell .     15   15   `` Assisted Living ''   Pamela Fryman   Jeff Filgo &amp; Jackie Filgo   February 27 , 2017 ( 2017 - 02 - 27 )   6.61     Adam 's parents , Joe ( Stacy Keach ) and Bev ( Swoosie Kurtz ) , stop by in their motor home for a visit . After Joe learns that Adam is now taking care of the kids , he and Bev propose they stay to help , and they begin to live in the Burns ' driveway .     16   16   `` The A Team ''   Pamela Fryman   Alex Herschlag   March 13 , 2017 ( 2017 - 03 - 13 )   6.34     Andi and Adam have Lowell and his wife Jen over for dinner , fully expecting Jen to be as lame as Lowell is , but Jen ( Jenna Dewan Tatum ) turns out to be pretty and interesting . Later , after Jen and Lowell appear to make up an excuse to leave , Andi and Adam start to think it is themselves who have become the lame couple .     17   17   `` Doctor No ''   Pamela Fryman   Gregg Mettler   March 20 , 2017 ( 2017 - 03 - 20 )   5.32     When Adam discovers that Joe has n't been to the doctor in almost ten years , he urges his father to make an appointment . Andi soon also discovers that the doctor Adam says he 's been going to annually retired five years ago . Joe , Adam and Don all get checkups with a new doctor , and the result is that Joe needs a colonoscopy . Meanwhile , Bev takes advantage of Lowell 's kind nature by asking him to drive her everywhere .     18   18   `` The Blame Game ''   James Burrows   Tommy Johnagin   April 10 , 2017 ( 2017 - 04 - 10 )   5.33     Adam and Don learn their wives do n't get as mad at their screw - ups if they simply blame them on each other . Things take a turn for the worse for Adam when Andi finds out their scheme , especially because it dredges up baggage from their past .     19   19   `` Spring Fling ''   Pamela Fryman   Story by : Mark Gross   April 17 , 2017 ( 2017 - 04 - 17 )   5.42     A problem arises when Lisa ( Christine Woods ) , the mall construction client , tells Adam that Don is n't professional enough to attend an upcoming meeting with HR and executives , causing Adam to try to find a way to let his brother down easy . With Adam busy , Andi offers to take some time off and be room parent for a while , mainly because she wants to schmooze Mrs. Rodriguez into recommending Emme for the `` good '' first grade class . Andi regrets this when Mrs. Rodriguez asks her to organize the entire Spring Fling for the kindergarteners .     20   20   `` Dirty Money ''   James Burrows   Story by : Farhan Arshad Teleplay by : Jordan Reddout &amp; Gus Hickey   May 1 , 2017 ( 2017 - 05 - 01 )   5.36     Adam and Andi regret accepting a loan from Joe after he uses it as an excuse to insert himself into their lives . Bev and Marcy battle over who should host Don 's birthday party . Meanwhile , Don panics when he learns from Lowell that Marcy donated his old laptop to the library .     21   21   `` Operation False Freedom ''   Gail Mancuso   Story by : Jeff Filgo &amp; Jackie Filgo   May 8 , 2017 ( 2017 - 05 - 08 )   5.16     Convinced that Kate lied to them about going to the library , but unable to prove it , Adam and Andi activate the GPS tracker on her phone . Kate discovers their ploy and throws them off her trail by planting the phone in Don 's pocket . Andi and Adam find Kate innocently hanging out with friends at a coffee shop . While still mad that she deceived them , the two agree that Kate should have more freedom now that she 's turned 14 .     22   22   `` Buzzer Beater ''   Gail Mancuso   Story by : Gregg Mettler   May 15 , 2017 ( 2017 - 05 - 15 )   5.73     Upon seeing Don and Marcy with their new granddaughter , Andi gets the itch to have another child . Adam insists they are too old , but after Emme refuses to kiss him when he drops her off at kindergarten , he also gets on board . When they later see Don and Marcy completely frazzled from spending a couple days with an infant , Adam and Andi regret their decision and have to sweat out the results of a pregnancy test .     Season 2 ( 2017 -- 18 ) ( edit )     No . overall   No. in season   Title   Directed by   Written by   Original air date   U.S. viewers ( millions )     23     `` The Silver Fox ''   Andy Cadiff   Mark Gross   November 13 , 2017 ( 2017 - 11 - 13 )   5.38     To give Kate a break from babysitting , Andi hires a young volunteer from her hospital named Sophia ( Victoria Justice ) to watch the kids . While Adam worries that Sophia will become attracted to a `` silver fox '' like himself , Andi is more jealous that Kate goes to Sophia for advice . Sophia later tells Adam she has the hots for him , but when he tells Andi , she does n't believe him .     24     `` Andi 's Boyfriend ''   Andy Cadiff   Tommy Johnagin   November 20 , 2017 ( 2017 - 11 - 20 )   5.44     Adam gets a visit from Pastor Carl ( Jonathan Adams ) , who is making amends for a past gambling addiction . Pastor Carl says he gambled away money that he was supposed to use to renew his license to wed people , meaning Adam and Andi are not legally married . Making matters worse , Pastor Carl was not Andi 's first choice , but the frugal Adam hired him because he was cheaper . Adam tries to set up a renewal of vows with a licensed official , without telling Andi about Carl .     25     `` The Parents Strike Back ''   Andy Cadiff   Rob Des Hotel   November 27 , 2017 ( 2017 - 11 - 27 )   5.70     Frustrated by the messes in their kids ' bedrooms , Adam and Andi decide to withhold allowances until the rooms are cleaner . Kate convinces her younger siblings they can break their parents by just letting the filth build up even more , so the kids tell mom and dad they are on strike . Taking a tip from Joe , Adam and Andi decide to retaliate by making things as miserable as possible for their children .     26     `` Into the Weeds ''   Gail Mancuso   Jeff Filgo &amp; Jackie Filgo   December 4 , 2017 ( 2017 - 12 - 04 )   6.42     When Adam finds out that a boy Kate is dating was caught by his mother possessing marijuana , he wants to be strict with Kate while Andi opts for a more relaxed approach . Adam learns that Joe , who was always strict with him and Don about drugs , has a pot prescription for his arthritis . Things get interesting when Adam unknowingly eats some of Joe 's `` special '' gummy candy .     27   5   `` Battle of the Sexists ''   Andy Cadiff   Ethan Sandler &amp; Adrian Wenner   December 11 , 2017 ( 2017 - 12 - 11 )   5.70     Andi accuses Adam and Don of being sexist when they only interview male candidates for a shop foreman position on the mall project . Adam soon hires a female named Zara ( Lilah Richcreek ) , partly to please Andi but also because she is the most qualified for the job . Andi regrets her accusation against Adam when Don recognizes the pretty new shop foreman as a former dancer at a strip club . Meanwhile , Adam and Andi fight the school to allow Kate to play on the boys soccer team .     28   6   `` Adam Gets Neighborly ''   Victor Gonzalez   Tommy Johnagin &amp; Farhan Arshad   December 18 , 2017 ( 2017 - 12 - 18 )   5.61     After Adam has alienated most of the neighbors , Andi suggests they start fresh with new neighbors Joy ( Sherri Shepherd ) and Rudy ( Tim Meadows ) , who have just moved in . But there 's a problem : Adam has already gotten on the bad side of Joy , a building inspector , when she visited his job site .     29   7   `` We Can Be Heroes ''   Victor Gonzalez   Gregg Mettler   January 15 , 2018 ( 2018 - 01 - 15 )   6.68     Adam and Andi experience money problems with Teddy needing glasses and Kate needing braces . The two make a budget and decide to give up some luxuries , mainly Adam 's cable sports subscription , which has Don , Joe and Lowell upset because they are always at the house watching games . Adam later forces Andi to give up her expensive hairdresser , after Joe discovers she had it listed as a necessity , not a luxury .     30   8   `` Lice Lice Baby ''   Gail Mancuso   Farhan Arshad   January 22 , 2018 ( 2018 - 01 - 22 )   6.74     Adam worries about how Lisa , his boss at the mall job site , will react when he has to bring Teddy and Emme to work . He gets even more worried when the Burns kids are diagnosed with lice , and he later sees Lisa scratching her head at an awards banquet . Meanwhile , Andi realizes how distant she 's become from her kids when she is the only family member to not catch lice from them .     31   9   `` The Gunfight ''   Andy Cardiff   Gregg Mettler   January 29 , 2018 ( 2018 - 01 - 29 )   6.64     Joe and Beverly prepare to watch the kids for a few days so that Adam and Andi can take a much - needed trip to Las Vegas . Andi worries a bit when Joe says he plans to teach Teddy to shoot Adam 's old BB gun , then wants to pull the plug on the vacation when she learns that Joe also has real guns in the house . Joe and Adam take Andi to a shooting range to show her that guns are okay in responsible hands , but then it 's Adam who worries when he sees Joe mistake his gun for his cellphone . Elsewhere , Don brings the BB gun to Lowell 's house to help eradicate the woodchuck that is eating Lowell 's tomatoes , but he ends up shooting Lowell .     32   10   `` Adam 's Turtle - y Awesome Valentine 's Day ''   Gail Mancuso   Jessica Runck   February 5 , 2018 ( 2018 - 02 - 05 )   6.46     When Andi convinces Adam that she does not want to exchange gifts for Valentine 's Day , Adam takes the gold necklace with pictures of their three children that he 'd already bought for Andi and gives it to Beverly . Unknown to Adam , Andi had just discovered the hidden necklace moments before Adam 's decision , and she is now looking forward to receiving it . Beverly is so giddy about the necklace that Adam is stuck with a difficult decision .     33   11   `` Guess Who 's Coming to Breakfast , Lunch and Dinner ''   Victor Gonzalez   Ethan Sandler &amp; Adrian Wenner   February 26 , 2018 ( 2018 - 02 - 26 )   5.92     When Adam gets tired of constantly having to accompany Beverly at bingo , he suggests to Andi that she get his mom a job as a hospital volunteer . Beverly loves the job , only to make Joe feel lonely . To compensate for his loneliness , Joe starts spending his time with Adam and Andi and expects them to wait on him like Beverly used to do .     34   12   `` Everybody 's a Winner ''   Joanna Kerns   Mark Gross   March 5 , 2018 ( 2018 - 03 - 05 )   5.90     When a senior asks Kate to the spring dance at school , Adam is staunchly against it while Andi says Kate is mature enough to let her go . While discussing the issue with Joe , Lowell and Don , Adam learns Joe 's `` silent negotiation '' technique . Adam tries it on Andi and , sure enough , she talks herself into realizing it 's a bad idea to let Kate go on the date . But neighbor Joy soon tips off Andi to what Adam did , because her husband uses it on her , and she gives Andi a way to fight back .     35   13   `` The Party Planner ''   Ben Weiss   Rob DesHotel   March 12 , 2018 ( 2018 - 03 - 12 )   6.35     Following several years of failed , uninspired gifts for Andi 's birthday , Adam decides to throw her a party with their family members , as well as Lowell and his wife Jen . When Don and Marcy pass on the party because of Marcy 's previous engagement , Adam replaces them with Joy and Rudy , despite Andi 's protest that they should reschedule . While Adam insists that he can handle planning the party , Don and Marcy meet Joy and Rudy at a grocery store , throwing a wrench into Adam 's scheme .     36   14   `` March Madness ''   Victor Gonzalez   Tommy Johnagin   March 19 , 2018 ( 2018 - 03 - 19 )   5.45     When their schedules do n't line up and they realize the kids will be alone for two hours after school , Adam and Andi hire Rudy to install security cameras inside and outside the house . Adam and Andi inadvertently make a sex tape , which inspires them to make another . The two then go on a wild chase for the tablet that has the footage when Beverly borrows it because hers broke down , then gives it to Don to give back to Adam . The tablet is subsequently picked up by Lowell , who mistook it for his own when he was at Don 's house .     37   15   `` Out With The In - Laws ''   Victor Gonzalez   Jackie Filgo &amp; Jeff Filgo   March 26 , 2018 ( 2018 - 03 - 26 )   5.44     Adam and Andi think they can finally be happily alone for a holiday when their feuding parents each back out of coming to the house on Easter Sunday because the other set of parents will be there . But the plans are threatened when Joe and Bev scheme to take the kids to Disney World for the holiday , while Andi 's parents ( Dan Lauria and Nancy Lenehan ) arrive a day early to claim `` Easter Eve '' for themselves .     38   16   `` April Fools ''   Pamela Fryman   Ethan Sandler &amp; Adrian Wenner   April 9 , 2018 ( 2018 - 04 - 09 )   5.48     While Adam , the kids , Don and Joe all enjoy pulling April Fool 's pranks , Andi reminds Adam that she hates pranks due to a traumatic experience with one when she was seven years old . Adam is sure that an unscary , funny prank will change Andi 's mind , but his attempts fail . Adam would have done better to be on his guard , because Andi has a surprise up her sleeve .     39   17   `` King for a Day ''   Victor Gonzalez   Jessica Runck   April 16 , 2018 ( 2018 - 04 - 16 )   5.06     After Andi discourages Adam from giving Emme a princess gown because it reinforces undesired female stereotypes , she mentions a lie she told Kate years ago for the same reason . Andi then defends her practice of protecting her children through little white lies , which she calls `` love bubbles '' . Adam seems to accept her explanation , until he realizes that Andi does the same to him , particularly with regard to a recliner he wanted to buy that she said was unsafe .     40   18   `` The Burns System ''   Victor Gonzalez   Farhan Arshad   April 30 , 2018 ( 2018 - 04 - 30 )   4.79     Adam is excited when Joe needs a new car and takes him along to learn the `` Burns System '' at the dealership , given that Joe has always had Don accompany him before . But when they get there , Adam is upset to learn that Joe asked Don to arrive at the last minute and be the `` closer '' . Elsewhere , Andi and Marcy try to get rid of a pet snake that Emme brought home .     41   19   `` We Hate Money ''   Victor Gonzalez   Rob Des Hotel   May 7 , 2018 ( 2018 - 05 - 07 )   4.91     Mall client Lisa tells Adam and Don that she has to go away to work on herself , and that her replacement wants a different contractor to take over for Burns Brothers . With no other prospects , Adam and Don decide they need to make a commercial , with Lowell 's help . When the filming starts , Don is fine but Adam freezes on camera , leading to his part having to be played by local actor Leif Forrest ( Geoff Stults ) . Meanwhile , as the only current breadwinner , Andi is determined to ask for a raise at her job , only to learn that her department is being gutted and she 's getting laid off .     42   20   `` We Got a Girl ''   Pamela Fryman   Mark Gross   May 14 , 2018 ( 2018 - 05 - 14 )   5.46     After Adam and Andi determine that Lisa 's issues stem from her being lonely , they enlist help from Don , Marcy and Lowell to find a man for her in hopes of getting Adam back to work . They ultimately decide to set up Lisa with Leif Forrest , who helped on the Burns Brothers commercial , only to later learn that Leif is Lisa 's ex-husband .     43   21   `` Family Business ''   Victor Gonzalez   Gregg Mettler   May 21 , 2018 ( 2018 - 05 - 21 )   5.69     When Andi successfully helps Bev and Joe design their kitchen remodel and Adam builds it , Andi and Adam begin to think they might have a future working together professionally rebuilding and selling old houses .     Production ( edit )   Development ( edit )   On February 3 , 2016 , the production officially received a pilot order and James Burrows would direct the pilot . The pilot was written by Jackie and Jeff Filgo who was also set to executive produce alongside with Michael Rotenberg and Troy Zien . Production companies involved with the pilot include Double Double Bonus Entertainment , CBS Television Studios , and 3 Arts Entertainment . On May 12 , 2016 , it was announced that CBS had given the production , now titled Man with a Plan , a series order . A day after that , it was announced that the series would premiere in the fall of 2016 and air on Mondays at 8 : 30 P.M.   On March 23 , 2017 , CBS renewed the series for a second season which premiered on November 13 , 2017 . On November 27 , 2017 , CBS ordered eight additional episodes for the second season , bringing the total to 21 episodes . On May 12 , 2018 , CBS renewed the series for a third season .   Casting ( edit )   Casting for the main cast started in February 2016 with Matt LeBlanc and ended the next month with Matt Cook and Grace Kaufman . On May 13 , 2016 , it was reported that Jenna Fischer , who was originally cast to play the female lead opposite LeBlanc in the series , had exited and her role would be recast . On August 1 , it was announced Liza Snyder would replace Fischer in the role . On August 2 , 2016 , it was reported that Kevin Nealon had joined the cast in a main role .   Reception ( edit )   Man with a Plan has received generally negative reviews from critics . On the review aggregator Rotten Tomatoes , the series has an approval rating of 21 % , based on 28 reviews , with an average rating of 3.5 / 10 . The site 's critical consensus reads , `` Man with a Plan 's flawed , unimaginative writing fails to properly showcase the charm of its unfortunately underperforming lead . '' On Metacritic , which assigns a normalized rating , the series has a score 36 out of 100 , based on 25 critics , indicating `` generally unfavorable reviews '' .   Seasonal ratings ( edit )     Season   Timeslot ( ET )   Episodes   First aired   Last aired   TV season   Rank   Avg . viewers ( millions )   18 -- 49 rating ( average )     Date   Viewers ( millions )   Date   Viewers ( millions )       Monday 8 : 30 pm   22   October 24 , 2016 ( 2016 - 10 - 24 )   7.42   May 8 , 2017 ( 2017 - 05 - 08 )   5.73   2016 -- 17   47   7.41   1.5       21   November 13 , 2017 ( 2017 - 11 - 13 )   5.38   May 21 , 2018 ( 2018 - 05 - 21 )   5.69   2017 -- 18   61   6.78       Ratings ( edit )   Season 1 ( 2016 -- 17 ) ( edit )     No .   Title   Air date   Rating / share ( 18 -- 49 )   Viewers ( millions )       `` Pilot ''   October 24 , 2016   1.6 / 5   7.42       `` Two Tickets to Paradise ''   October 31 , 2016   1.3 / 5   5.95       `` The Puppet Theatre ''   November 7 , 2016   1.4 / 4   6.26       `` Un-Dressed ''   November 14 , 2016   1.3 / 5   5.18     5   `` Thanksgiving ''   November 21 , 2016   1.3 / 5   5.98     6   `` Holey War ''   December 5 , 2016   1.2 / 4   6.18     7   `` Winter Has Come ''   December 12 , 2016   1.2 / 4   6.62     8   `` Adam Steps Up ''   December 19 , 2016   1.1 / 4   6.17     9   `` What About Bob ? ''   January 2 , 2017   1.2 / 4   6.55     10   `` A Dinner Gone Wrong ''   January 16 , 2017   1.5 / 5   7.70     11   `` The Talk ''   January 23 , 2017   1.6 / 5   7.69     12   `` The Three Amigos ''   February 6 , 2017   1.4 / 5   7.25     13   `` Valentine 's Day ''   February 13 , 2017   1.4 / 5   7.20     14   `` Kate 's First Date ''   February 20 , 2017   1.3 / 5   6.75     15   `` Assisted Living ''   February 27 , 2017   1.2 / 4   6.62     16   `` The A Team ''   March 13 , 2017   1.1 / 4   6.34     17   `` Doctor No ''   March 20 , 2017   1.0 / 4   5.32     18   `` The Blame Game ''   April 10 , 2017   1.0 / 4   5.33     19   `` Spring Fling ''   April 17 , 2017   1.0 / 4   5.42     20   `` Dirty Money ''   May 1 , 2017   1.0 / 4   5.36     21   `` Operation False Freedom ''   May 8 , 2017   1.0 / 4   5.16     22   `` Buzzer Beater ''   May 15 , 2017   1.1 / 4   5.73     Season 2 </t>
  </si>
  <si>
    <t xml:space="preserve">who played leaf forrest on man with a plan</t>
  </si>
  <si>
    <t xml:space="preserve">   No . overall   No. in season   Title   Directed by   Written by   Original air date   U.S. viewers ( millions )     23     `` The Silver Fox ''   Andy Cadiff   Mark Gross   November 13 , 2017 ( 2017 - 11 - 13 )   5.38     To give Kate a break from babysitting , Andi hires a young volunteer from her hospital named Sophia ( Victoria Justice ) to watch the kids . While Adam worries that Sophia will become attracted to a `` silver fox '' like himself , Andi is more jealous that Kate goes to Sophia for advice . Sophia later tells Adam she has the hots for him , but when he tells Andi , she does n't believe him .     24     `` Andi 's Boyfriend ''   Andy Cadiff   Tommy Johnagin   November 20 , 2017 ( 2017 - 11 - 20 )   5.44     Adam gets a visit from Pastor Carl ( Jonathan Adams ) , who is making amends for a past gambling addiction . Pastor Carl says he gambled away money that he was supposed to use to renew his license to wed people , meaning Adam and Andi are not legally married . Making matters worse , Pastor Carl was not Andi 's first choice , but the frugal Adam hired him because he was cheaper . Adam tries to set up a renewal of vows with a licensed official , without telling Andi about Carl .     25     `` The Parents Strike Back ''   Andy Cadiff   Rob Des Hotel   November 27 , 2017 ( 2017 - 11 - 27 )   5.70     Frustrated by the messes in their kids ' bedrooms , Adam and Andi decide to withhold allowances until the rooms are cleaner . Kate convinces her younger siblings they can break their parents by just letting the filth build up even more , so the kids tell mom and dad they are on strike . Taking a tip from Joe , Adam and Andi decide to retaliate by making things as miserable as possible for their children .     26     `` Into the Weeds ''   Gail Mancuso   Jeff Filgo &amp; Jackie Filgo   December 4 , 2017 ( 2017 - 12 - 04 )   6.42     When Adam finds out that a boy Kate is dating was caught by his mother possessing marijuana , he wants to be strict with Kate while Andi opts for a more relaxed approach . Adam learns that Joe , who was always strict with him and Don about drugs , has a pot prescription for his arthritis . Things get interesting when Adam unknowingly eats some of Joe 's `` special '' gummy candy .     27   5   `` Battle of the Sexists ''   Andy Cadiff   Ethan Sandler &amp; Adrian Wenner   December 11 , 2017 ( 2017 - 12 - 11 )   5.70     Andi accuses Adam and Don of being sexist when they only interview male candidates for a shop foreman position on the mall project . Adam soon hires a female named Zara ( Lilah Richcreek ) , partly to please Andi but also because she is the most qualified for the job . Andi regrets her accusation against Adam when Don recognizes the pretty new shop foreman as a former dancer at a strip club . Meanwhile , Adam and Andi fight the school to allow Kate to play on the boys soccer team .     28   6   `` Adam Gets Neighborly ''   Victor Gonzalez   Tommy Johnagin &amp; Farhan Arshad   December 18 , 2017 ( 2017 - 12 - 18 )   5.61     After Adam has alienated most of the neighbors , Andi suggests they start fresh with new neighbors Joy ( Sherri Shepherd ) and Rudy ( Tim Meadows ) , who have just moved in . But there 's a problem : Adam has already gotten on the bad side of Joy , a building inspector , when she visited his job site .     29   7   `` We Can Be Heroes ''   Victor Gonzalez   Gregg Mettler   January 15 , 2018 ( 2018 - 01 - 15 )   6.68     Adam and Andi experience money problems with Teddy needing glasses and Kate needing braces . The two make a budget and decide to give up some luxuries , mainly Adam 's cable sports subscription , which has Don , Joe and Lowell upset because they are always at the house watching games . Adam later forces Andi to give up her expensive hairdresser , after Joe discovers she had it listed as a necessity , not a luxury .     30   8   `` Lice Lice Baby ''   Gail Mancuso   Farhan Arshad   January 22 , 2018 ( 2018 - 01 - 22 )   6.74     Adam worries about how Lisa , his boss at the mall job site , will react when he has to bring Teddy and Emme to work . He gets even more worried when the Burns kids are diagnosed with lice , and he later sees Lisa scratching her head at an awards banquet . Meanwhile , Andi realizes how distant she 's become from her kids when she is the only family member to not catch lice from them .     31   9   `` The Gunfight ''   Andy Cardiff   Gregg Mettler   January 29 , 2018 ( 2018 - 01 - 29 )   6.64     Joe and Beverly prepare to watch the kids for a few days so that Adam and Andi can take a much - needed trip to Las Vegas . Andi worries a bit when Joe says he plans to teach Teddy to shoot Adam 's old BB gun , then wants to pull the plug on the vacation when she learns that Joe also has real guns in the house . Joe and Adam take Andi to a shooting range to show her that guns are okay in responsible hands , but then it 's Adam who worries when he sees Joe mistake his gun for his cellphone . Elsewhere , Don brings the BB gun to Lowell 's house to help eradicate the woodchuck that is eating Lowell 's tomatoes , but he ends up shooting Lowell .     32   10   `` Adam 's Turtle - y Awesome Valentine 's Day ''   Gail Mancuso   Jessica Runck   February 5 , 2018 ( 2018 - 02 - 05 )   6.46     When Andi convinces Adam that she does not want to exchange gifts for Valentine 's Day , Adam takes the gold necklace with pictures of their three children that he 'd already bought for Andi and gives it to Beverly . Unknown to Adam , Andi had just discovered the hidden necklace moments before Adam 's decision , and she is now looking forward to receiving it . Beverly is so giddy about the necklace that Adam is stuck with a difficult decision .     33   11   `` Guess Who 's Coming to Breakfast , Lunch and Dinner ''   Victor Gonzalez   Ethan Sandler &amp; Adrian Wenner   February 26 , 2018 ( 2018 - 02 - 26 )   5.92     When Adam gets tired of constantly having to accompany Beverly at bingo , he suggests to Andi that she get his mom a job as a hospital volunteer . Beverly loves the job , only to make Joe feel lonely . To compensate for his loneliness , Joe starts spending his time with Adam and Andi and expects them to wait on him like Beverly used to do .     34   12   `` Everybody 's a Winner ''   Joanna Kerns   Mark Gross   March 5 , 2018 ( 2018 - 03 - 05 )   5.90     When a senior asks Kate to the spring dance at school , Adam is staunchly against it while Andi says Kate is mature enough to let her go . While discussing the issue with Joe , Lowell and Don , Adam learns Joe 's `` silent negotiation '' technique . Adam tries it on Andi and , sure enough , she talks herself into realizing it 's a bad idea to let Kate go on the date . But neighbor Joy soon tips off Andi to what Adam did , because her husband uses it on her , and she gives Andi a way to fight back .     35   13   `` The Party Planner ''   Ben Weiss   Rob DesHotel   March 12 , 2018 ( 2018 - 03 - 12 )   6.35     Following several years of failed , uninspired gifts for Andi 's birthday , Adam decides to throw her a party with their family members , as well as Lowell and his wife Jen . When Don and Marcy pass on the party because of Marcy 's previous engagement , Adam replaces them with Joy and Rudy , despite Andi 's protest that they should reschedule . While Adam insists that he can handle planning the party , Don and Marcy meet Joy and Rudy at a grocery store , throwing a wrench into Adam 's scheme .     36   14   `` March Madness ''   Victor Gonzalez   Tommy Johnagin   March 19 , 2018 ( 2018 - 03 - 19 )   5.45     When their schedules do n't line up and they realize the kids will be alone for two hours after school , Adam and Andi hire Rudy to install security cameras inside and outside the house . Adam and Andi inadvertently make a sex tape , which inspires them to make another . The two then go on a wild chase for the tablet that has the footage when Beverly borrows it because hers broke down , then gives it to Don to give back to Adam . The tablet is subsequently picked up by Lowell , who mistook it for his own when he was at Don 's house .     37   15   `` Out With The In - Laws ''   Victor Gonzalez   Jackie Filgo &amp; Jeff Filgo   March 26 , 2018 ( 2018 - 03 - 26 )   5.44     Adam and Andi think they can finally be happily alone for a holiday when their feuding parents each back out of coming to the house on Easter Sunday because the other set of parents will be there . But the plans are threatened when Joe and Bev scheme to take the kids to Disney World for the holiday , while Andi 's parents ( Dan Lauria and Nancy Lenehan ) arrive a day early to claim `` Easter Eve '' for themselves .     38   16   `` April Fools ''   Pamela Fryman   Ethan Sandler &amp; Adrian Wenner   April 9 , 2018 ( 2018 - 04 - 09 )   5.48     While Adam , the kids , Don and Joe all enjoy pulling April Fool 's pranks , Andi reminds Adam that she hates pranks due to a traumatic experience with one when she was seven years old . Adam is sure that an unscary , funny prank will change Andi 's mind , but his attempts fail . Adam would have done better to be on his guard , because Andi has a surprise up her sleeve .     39   17   `` King for a Day ''   Victor Gonzalez   Jessica Runck   April 16 , 2018 ( 2018 - 04 - 16 )   5.06     After Andi discourages Adam from giving Emme a princess gown because it reinforces undesired female stereotypes , she mentions a lie she told Kate years ago for the same reason . Andi then defends her practice of protecting her children through little white lies , which she calls `` love bubbles '' . Adam seems to accept her explanation , until he realizes that Andi does the same to him , particularly with regard to a recliner he wanted to buy that she said was unsafe .     40   18   `` The Burns System ''   Victor Gonzalez   Farhan Arshad   April 30 , 2018 ( 2018 - 04 - 30 )   4.79     Adam is excited when Joe needs a new car and takes him along to learn the `` Burns System '' at the dealership , given that Joe has always had Don accompany him before . But when they get there , Adam is upset to learn that Joe asked Don to arrive at the last minute and be the `` closer '' . Elsewhere , Andi and Marcy try to get rid of a pet snake that Emme brought home .     41   19   `` We Hate Money ''   Victor Gonzalez   Rob Des Hotel   May 7 , 2018 ( 2018 - 05 - 07 )   4.91     Mall client Lisa tells Adam and Don that she has to go away to work on herself , and that her replacement wants a different contractor to take over for Burns Brothers . With no other prospects , Adam and Don decide they need to make a commercial , with Lowell 's help . When the filming starts , Don is fine but Adam freezes on camera , leading to his part having to be played by local actor Leif Forrest ( Geoff Stults ) . Meanwhile , as the only current breadwinner , Andi is determined to ask for a raise at her job , only to learn that her department is being gutted and she 's getting laid off .     42   20   `` We Got a Girl ''   Pamela Fryman   Mark Gross   May 14 , 2018 ( 2018 - 05 - 14 )   5.46     After Adam and Andi determine that Lisa 's issues stem from her being lonely , they enlist help from Don , Marcy and Lowell to find a man for her in hopes of getting Adam back to work . They ultimately decide to set up Lisa with Leif Forrest , who helped on the Burns Brothers commercial , only to later learn that Leif is Lisa 's ex-husband .     43   21   `` Family Business ''   Victor Gonzalez   Gregg Mettler   May 21 , 2018 ( 2018 - 05 - 21 )   5.69     When Andi successfully helps Bev and Joe design their kitchen remodel and Adam builds it , Andi and Adam begin to think they might have a future working together professionally rebuilding and selling old houses .   </t>
  </si>
  <si>
    <r>
      <rPr>
        <sz val="11"/>
        <color rgb="FF000000"/>
        <rFont val="Calibri"/>
        <family val="0"/>
        <charset val="1"/>
      </rPr>
      <t xml:space="preserve">A Rose for Emily - wikipedia  A Rose for Emily       This article needs additional citations for verification . Please help improve this article by adding citations to reliable sources . Unsourced material may be challenged and removed . ( June 2013 ) ( Learn how and when to remove this template message )       `` A Rose for Emily ''     Author   William Faulkner     Country   United States     Language   English     Genre ( s )   Southern gothic     Published in   1930     `` A Rose for Emily '' is a short story by American author William Faulkner , first published in the April 30 , 1930 , issue of The Forum . The story takes place in Faulkner 's fictional city , Jefferson , Mississippi , in the fictional southern county of Yoknapatawpha . It was Faulkner 's first short story published in a national magazine .   Contents    1 Title   2 Plot summary   3 Characters   4 Structure   5 Themes   6 Critical response   7 Adaptations   8 References   9 Bibliography    Title ( edit )   Faulkner described the title `` A Rose For Emily '' as an allegorical title ; this woman had undergone a great tragedy , and for this Faulkner pitied her . And as a salute , he handed her a rose . The word rose in the title has multiple meanings to it . The rose may be seen as Homer , interpreting the rose as a dried rose . Homer 's body could be the dried rose , such as one that is pressed between the pages of a book , kept in perfect condition as Emily did with Homer 's body . The `` Rose '' also represents secrecy . Roses have been portrayed in Greek legends as a gift of secrecy and of confidentiality , known as sub rosa , introducing that the `` Rose '' is a symbol of silence between the narrator and Miss Emily , the narrator keeps Emily 's secrets until her death .   Plot summary ( edit )   The story opens with a brief first - person account of the funeral of Emily Grierson , an elderly Southern woman whose funeral is the obligation of their small town . It then proceeds in a non-linear fashion to the narrator 's recollections of Emily 's archaic and increasingly strange behavior throughout the years . Emily is a member of a family of the antebellum Southern aristocracy . After the Civil War , the family falls into hard times . She and her father , the last two of the clan , continue to live as if in the past ; Emily 's father refuses for her to marry . Her father dies when Emily is about the age of 30 , which takes her by surprise . She refuses to give up his corpse , and the townspeople write it off as her grieving process . The townspeople pity Emily not only after her father 's death but also during his life when he would n't let Emily marry .   After her father 's death , the only person seen moving about Emily 's home is Tobe - a black man , serving as Emily 's butler , going in and out with a market basket . Although Emily did not have a strong relationship with her community , she did give art lessons to young children within her town . The townspeople even referred to her as Miss Emily as a sign of the respect that they had for her . With the acceptance of her father 's death , Emily somewhat revives , even changing the style of her hair and becomes friendly with Homer Barron . He is a Northern laborer who comes to town shortly after Mr. Grierson 's death . The connection surprises some of the community while others are glad she is taking an interest ; However , Homer claims that he is not a marrying man . Emily shortly buys arsenic from a druggist in town , presumably to kill rats , however , the townspeople are convinced that she will use it to poison herself . Emily 's distant cousins are called into town by the minister 's wife to supervise Miss Emily and Homer Barron . Homer leaves town for some time , reputedly to give Emily a chance to get rid of her cousins , and returns three days later after the cousins have left . After he is observed entering Miss Emily 's home one evening , Homer is never seen again .   Despite these turnabouts in her social status , Emily continues to behave haughtily , as she had before her father died . Her reputation is such that the city council finds itself unable to confront her about a strong smell that has begun to emanate from the house . Instead , they decide to send men to her house under the cover of darkness to sprinkle lime around the house , after which the smell dissipates . The mayor of the town , Colonel Sartoris , made a gentleman 's agreement to overlook her taxes as an act of charity , though it was done under a pretense of repayment towards her father to assuage Emily 's pride after her father had died . Years later , when the next generation has come to power , Emily insists on this informal arrangement , flatly refusing that she owes any taxes ; the council declines to press the issue . Emily has become a recluse : she is never seen outside of the house , and only rarely accepts people into it . The community comes to view her as a `` hereditary obligation '' on the town , who must be humored and tolerated .   The funeral is a large affair ; Emily had become an institution , so her death sparks a great deal of curiosity about her reclusive nature and what remains of her house . After she is buried , a group of townsfolk enters her house to see what remains of her life there . The door to her upstairs bedroom is locked ; some of the townsfolk break down the door to see what has been hidden for so long . Inside , among the possessions that Emily had bought for Homer , lies the decomposed corpse of Homer Barron on the bed ; on the pillow beside him is the indentation of a head and a single strand of gray hair , indicating that Emily had slept with Homer 's corpse .   Characters ( edit )   Emily Grierson - The main character of the story . Emily 's father kept her from seeing suitors and controlled her social life , essentially keeping her in isolation until his death , when she is 30 years old . Her struggle with loss and attachment is the impetus for the plot , driving her to kill Homer Barron , the man that is assumed to have married her . Because no man has ever been able to stay with her before , Emily poisons and kills Homer . She sees murder as the only way to keep Homer with her permanently , and she treats him as if he is her husband even after she kills him . This is shown by her keeping his clothes in the room , keeping his engraved wedding items on the dresser , and even sleeping with him , all acts that normal married couples do . Her act of murdering Homer also displays her obstinate nature . Emily deals in absolutes throughout the story . She refuses to pay her taxes because she did n't have to pay them when her father was alive . She has her servant Tobe follow the same patterns , such as his grocery errands . She kills Homer to ensure that he will never leave her . By the end of the story , Emily 's story is seen as a tragedy rather than an atrocity because of what her character has gone through .   Homer Barron - Emily 's romantic interest . He is later found dead and decomposed in Emily 's bedroom after her funeral . He initially enters the story as a foreman for a road construction project occurring in the town . He is soon seen to be with Emily in her Sunday carriage rides , and it is soon expected for them to be married . Homer differs from the rest of the town because he is a Northerner . The story takes place in the South shortly after the Civil War , and while Homer is not necessarily unwelcome to the town , he does stand out . This , along with the fact that he is seemingly courting Emily , sets him apart from all of the other characters in the story . It is because he is an outlier that Emily becomes attracted to him . It is generally unknown if Homer reciprocates the romantic feelings Emily has for him . Recently the topic of whether or not Homer is homosexual has been discussed and whether or not it factors into the story .   The Narrator - An unnamed member ( s ) of the town who watched the events of Emily 's life unfold in its entirety . The story is presented to the reader in a non-chronological order ; this suggests that the story is being patched together by multiple people . Some parts of the story are repeated , such as Homer 's disappearance , the idea that Emily and Homer will get married , and Emily 's refusal to pay taxes , also indicating that the narrator is a voice for the town . Though the townspeople disapprove of most of Emily 's actions , such as refusing to pay her taxes and purchasing poison , nobody intervenes .   Colonel Sartoris - The former mayor who remitted Emily 's taxes . While he is in the story very little , his decision to remit Emily 's taxes leads to her refusal to pay them ever again , contributing to her stubborn personality . The reason for Sartoris remitting her taxes is never given , only that he told Emily it was because her father loaned the money to the town .   Mr. Grierson - Emily 's father , the patriarchal head of the Grierson family . His control over Emily 's personal life prohibited her from romantic involvement . The reason for his refusal to let Emily court men is not explained in the story . It could be that he is overprotective because he loves Emily too much . It could be because he believes that there is not a man good enough to marry his daughter . It could be that he is set in his ways and does not want Emily to become distracted from her societal duties . Whatever the reason , Mr. Grierson shapes the person that Emily becomes . His decision to ban all men from her life drives her to kill the first man she is attracted to and can be with , Homer Barron , in order to keep him with her permanently .   The cousins - Emily 's extended relatives from Alabama . They come to town during Emily 's courting of Homer Barron to check on Emily 's well - being . They are thought of as even more uptight and stuffy than Emily by the townspeople . They are called in to prevent Emily and Homer from marrying ; however , they are later sent back home so that the two can be wed . There seems to be some type of dispute between Emily and the cousins , indicated by them living far away from Emily and the fact that they did not go to Emily 's father 's funeral .   Tobe - Emily 's cook / gardener , who is also very likely her secret keeper . During the years of Emily 's isolation , he provides no details of her life to the townspeople and promptly disappears directly following her death . He became old and stooped from all of his work while Emily grew large and immobile . This could suggest that he resented Emily , or at the very least disliked working for her , as he does not mourn her or stay for her funeral .   Structure ( edit )   Faulkner tells this story in a series of flashbacks and stretches the story out over decades . It starts with the announcement of Emily 's death , an event that has the entire town talking . This leads the reader to assume that she was an important figure in the town . As Fassler says in his article `` The Key , '' `` Clearly , this lady who died unmarried was of importance to everyone . And yet the town itself is eventually divided , '' and we see that division with the events depicted in between the announcement at the beginning and the revelation at the end are told out of order , making the reader analyze the story more closely than if it was told chronologically . Based on the townspeople 's thoughts of Emily displayed in this section , the reader discovers that the town was not dreading Emily 's death ; on the other hand , it was somewhat welcomed . Emily stuck out from the rest of the town as a figure stuck in the past , desperately trying to cling to old traditions and ways of life . With her passing on , the town can finally be free of this remnant , being wholly set in the present . Had the story been told in a linear fashion , this understanding would have been lost , something Faulkner knew and incorporated into the story . By presenting the story in terms of present and past events , he could examine how they influence each other . In terms of mathematical precision , time moves on and what exists is only the present . In terms of the more subjective time , time moves on but memories can exist no matter how much time changes . Those memories stay unhindered . Through this Faulkner could analyze the depth at which Miss Emily could change as a character . If Faulkner presented the story in a linear fashion , the chances of the reader sympathizing with Emily would be far less . By telling the story out of order , the reader sees Emily as a tragic product of her environment rather than a twisted necrophiliac .   Themes ( edit )   `` A Rose for Emily '' discusses many dark themes that characterized the Old South and Southern Gothic fiction .   The story explores themes of death and resistance to change ; they reflect the decaying of the societal tenets of the South in the 1930s . Emily Grierson had been oppressed by her father for most of her life and had n't questioned it because that was her way of living . Likewise , the antiquated traditions of the south ( often harmful , such as in the treatment of black people ) had remained acceptable , as that was their way of living . Once her father had passed , Emily , in denial , refused to give his corpse up for burial -- this shows her inability to functionally adapt to change . When the present mayor and aldermen insist Miss Emily pay the taxes which she had been exempted from , she refuses and continues to live in her house . Miss Emily 's stubborn insistence that she `` pays no taxes in Jefferson '' and her mistaking the new mayor for Colonel Sartoris brings into question whether her acts of resistance are a conscious act of defiance or a result of a decayed mental stability . The reader is only shown Emily from an external perspective , we can not ascertain whether she acts in a rational manner or not . The death of Homer , if interpreted as having been a murder , can be seen in the context of the North - South clash . Homer , notably a northerner , is not one for the tradition of marriage . In the framework that his death was not an accident , but a murder on the part of Emily , Homer 's rejection of the marriage can be seen as the North 's rejection of Southern tradition . The South ends its relations with the North in retaliation . Emily continuing to sleep next to Homer 's body can be seen as the south holding on to an ideal that is no longer feasible .   Control and its repercussions is a persistent theme throughout the story . Emily 's father was an intimidating and manipulative figure , keeping her from experiencing life in her own terms . She was never able to grow , learn , live her life , start a family , and marry the one she truly loved . Even after Emily 's father died , his presence and impact on his daughter were still apparent . Discussing Emily and her father , the townspeople said `` We had long thought of them as a tableau , Miss Emily a slender figure in white in the background , her father a spraddled silhouette in the foreground , his back to her and clutching a horsewhip , the two of them framed by the back - flung front door . '' . Emily is portrayed as small and powerless , placed behind the overbearing frame of her father . She wears white , a symbol of innocence and purity . Emily falls victim to the ruling hand of her father and to her place in the society : she has to uphold the noblesse oblige to which she was born into . In this way , her father 's influence remains after he has passed . This control leads to Emily 's isolation , both externally and internally imposed . Emily is alone , yet always being watched by the townspeople ; she is both apart from and a part of the community . Her position prevents her from ever finding happiness .   The power of death is a consistent theme throughout the story . Emily herself is portrayed as a `` skeleton '' that is both `` small and spare '' which is representative of the fact that she emanates death . When it comes to death itself , Emily is in denial and most of that feeling has to do with her loneliness . After her father dies , she keeps his corpse for three days and refuses to admit that he is dead . The reader also sees this with the corpse of Homer Barron , except she is the one who inflicts death upon him . She poisons him and keeps him locked away in her room ; she did not want to lose the only other person she had ever loved , so she made his stay permanent . These examples show that the power of death triumphs over everything , including `` poor Emily '' , herself .   Due to this inevitability in the portrayal of death , A Rose for Emily is seen as a tale based on determinism , making the short story part of the naturalism literary movement . Here , a character 's fate is already determined no matter how much the individual struggles to change it . There are impersonal forces of nature that prevent him or her from taking control . As the very universe itself appear indifferent , this character descends into an inevitable death and decay . The case of Emily is the same . She had a mental illness , an unavoidable fate , which her father must have sought to finally end by refusing to let Emily marry , which would have continued his line . No matter what she did , there was the implication that she would ultimately go mad . There was also the depiction of a cursed land due to slavery and the class structure based upon it and that no matter how the people clung to the glorious past and soldier on , there was a tarnished way of life that leads to an impending ruin .   Critical response ( edit )   Floyd C. Watkins wrote about the structure of `` A Rose for Emily '' in `` Modern Language Notes '' . Watkins claims that this is Faulkner 's best story and is among the best American writers of this time period . Faulkner had to carefully dissect his sections , bringing importance to every aspect of Miss Emily 's life , but Watkins sees this as a `` structural problem '' but later goes on to rave about the symmetry of this short story . Watkins enjoys this story in its entirety , and is impressed by Faulkner 's ordering , as building suspense was an important aspect in the response .   This critical response by John Skinner explores the interpretations of Faulkner 's short story in detail while reviewing the importance of over-analyzing a piece of literary work . William Faulkner published this story in the 1930s , Skinner had published his critical response in 1985 . More than 40 years have passed and people are still ignoring his claim ; `` A Rose for Emily '' should not be interpreted any further . The characters and theme of this tale have been scrutinized by many . There have been numerous interpretations of what Miss Emily stands for ; Skinner gives examples of scholars including S.W.M. Johnson `` Emily represented a refusal to submit to , or even concede , to the inevitability of change '' . Whereas William Going pictures Emily as a rose , `` the treasured memory of the Confederate veterans '' . The point of view according to Skinner is of immediate relevance to the story as the chief character , the narrator tells the chronology of the story . This narrator gives approximately `` round figures '' for the important events of the accounts . Yet the exact chronology is of little relevance to the overall importance of the story itself . John Skinner states that Faulkner should be taken literally , appreciate his formal subtlety in his works .   Alice Petry introduces a different type of critical response that is not focused on the usual subjects . Rather , she focuses on the complex and provocative language . For example , Hall discusses how the sentence , `` Thus she passed from generation to generation - dear , inescapable , impervious , tranquil and perverse '' has been considered misleading , but is in fact strategically placed to provide foreshadowing and unification of plot . The five descriptive words used in the sentence each correspond to one of the five parts in the order they are seen . For example , the adjective `` inescapable '' corresponds to Part II , to the incident of the strange smell coming from Miss Emily 's home . Faulkner 's placement of these adjectives at the end of Part IV serves as an important unifying sentence that connects all five parts to each other .   Jim Barloon of the University of St. Thomas wrote about an idea introduced to him by his students , that Homer was homosexual , possibly providing another reason for his murder . He proposes that Emily did not kill Homer because of her own insecurities , but also because he did not reciprocate her romantic feelings . Thus , she could have murdered him out of affection as well as spite . Whether or not this theory is correct , it proves that the story is still being closely analyzed decades after it was written . As Barloon states in his article , `` Positing that Homer Barron is gay not only raises a new set of questions but transforms ( the story ) , or at least our perspective of it . ''   The psychology of Emily Grierson has been analyzed countless times , with many people reaching the conclusion that she was mentally ill , and from that point , the reasons why . Though many different diagnoses have been made , the most common can be summarized as follows by Nicole Smith in her psychological analysis of the character : `` It is reasonable to propose that Miss Emily developed ( schizophrenia ) as a response to the demanding conditions in which she was living as a Southern woman from an aristocratic family . '' This has been thought to represent just how unbearable life in the old South could be , not only for a person similar to Emily but to the people around them as well . A contributing factor to this point would change . The story is an allegory for the change that the South dealt with after the Civil War , with Emily representing the resistance of that change . This is shown in the story through Emily 's conflicts with the town and her refusal of cooperation . Tuncay Tezcan in his analysis of the story states : `` It represents the numerous conflicts in the main character 's life , illustrating the effect of social change on the individual . ''   There has been much discussion over the title of the story . Why have a rose for Emily ? At that time , giving a rose to a woman was common if they had been through a great tragedy . Emily 's tragedy is her environment , changing quickly and with volatility , causing her to cling to the past in hopes of stopping the change from occurring . This has a deep impact on her mental state , driving her to extreme acts such as murdering Homer and then sleeping with his corpse for years . The town does nothing to stop these events , merely entertain the idea . Terry Heller writes in his analysis of the story that the town , `` ( chose ) to deal with an idea of Emily , rather than with Emily herself ; they are different in that they have different ideas of her and , therefore , approach her ... differently . '' With nobody willing to help her , Emily died a broken person , and for that Faulkner gave her a rose , in sympathy of her ending .   Adaptations ( edit )    A Rose for Emily -- PBS adaptation with Anjelica Huston .   My Chemical Romance 's song `` To The End '' from Three Cheers for Sweet Revenge ( 2005 ) loosely retells the story of Homer and Miss Emily .   The Zombies ' song `` A Rose for Emily '' retells the story , and is about a strong theme present in the story : Miss Emily living and dying alone , unloved .   Andrea Camilleri has a similar theme in his novel The Scent of the Night influencing his character Detective Salvo Montalbano .    References ( edit )    Jump up ^ `` WFotW ~ `` A Rose for Emily '' : COMMENTARY &amp; RESOURCES `` . www.mcsr.olemiss.edu . Archived from the original on 2017 - 04 - 20 . Retrieved 2017 - 04 - 19 .   Jump up ^ Outón , Cristina Blanco ( 1999 ) . Introducción a la narrative breve de William Faulkner ( in Spanish ) . ISBN 9788481217469 .   Jump up ^ Getty , Laura ( Summer 2005 ) . `` Faulkner 's A ROSE FOR EMILY '' ( PDF ) . The Explicator. 63 : 230 -- 234 .   Jump up ^ https://www.theatlantic.com/entertainment/archive/2017/02/the-key-to-writing-a-mystery-is-asking-the-perfect-question/515799/   ^ Jump up to : `` Crytical Analysis Essay on `` A Rose for Emily '' `` . AnalysisEssay.org. 2012 - 12 - 22 . Retrieved 2017 - 04 - 19 .   Jump up ^ Kennedy , X.J. ( 2016 ) . Literature An Introduction to Fiction , Poetry , Drama , and Writing . p. 32 .   Jump up ^ `` A Rose for Emily Themes - eNotes.com '' . eNotes . Retrieved 2016 - 10 - 28 .   Jump up ^ Kim , Ji - won ( 2011 ) . `` Narrator as Collective ' We ' : The Narrative Structure of `` A Rose for Emily '' `` . English Language and Literature Teaching .   Jump up ^ Wilder , Laura ( 2012 ) . Rhetorical Strategies and Genre Conventions in Literary Studies : Teaching and Writing in the Disciplines . SIU Press . p. 146 . ISBN 9780809330942 .   Jump up ^ Watkins , Floyd C. `` Structure of `` A Rose for Emily '' . '' Modern Language Notes 7th ser. 69 ( 1954 ) : 508 - 10 . JSTOR . Web . 5 Apr. 2017 .   Jump up ^ Skinner , John ( Winter 1985 ) . `` '' A Rose for Emily `` : Against Interpretation . '' `` . The Journal of Narrative Technique. 15.1 : 42 -- 51 .   Jump up ^ Petry , Alice ( Spring 1986 ) . `` Faulkner 's A ROSE FOR EMILY '' . Explicator. 44 : 52 -- 54 .   Jump up ^ http://www.semo.edu/cfs/teaching/10186.html   Jump up ^ http://www.articlemyriad.com/psychological-character-analysis-rose-emily/   Jump up ^ Tezcan , Tuncay ( 2014 ) . `` A Stylistic Analysis of a Rose for Emily by William Faulkner and its Turkish Translation '' . Procedia - Social and Behavioral Sciences . 158 : 364 -- 9 . doi : 10.1016 / j. sbspro. 2014.12. 101 .   Jump up ^ http://www.public.coe.edu/~theller/essays/rose.html   Jump up ^ Petridis , Alexis ( 17 April 2017 ) . `` The story behind A Rose for Emily -- and why it 's perfect for S - Town '' . The Guardian .    Bibliography ( edit )    Morton , Clay ( 2005 ) . `` ' A Rose for Emily ' : Oral Plot , Typographic Story '' , Storytelling : A Critical Journal of Popular Narrative 5.1 .              William Faulkner       Bibliography       Novels     Soldiers ' Pay ( 1926 )   Mosquitoes ( 1927 )   Sartoris / Flags in the Dust ( 1929 / 1973 )   The Sound and the Fury ( 1929 )   As I Lay Dying ( 1930 )   Sanctuary ( 1931 )   Light in August ( 1932 )   Pylon ( 1935 )   Absalom , Absalom ! ( 1936 )   The Unvanquished ( 1938 )   If I Forget Thee , Jerusalem ( 1939 )   The Hamlet ( 1940 )   Intruder in the Dust ( 1948 )   Requiem for a Nun ( 1951 )   A Fable ( 1954 )   The Town ( 1957 )   The Mansion ( 1959 )   The Reivers ( 1962 )       Short story collections     These 13 ( 1931 )   Go Down , Moses ( 1942 )   Knight 's Gambit ( 1949 )   Collected Stories ( 1950 )       Short stories     `` Landing in Luck '' ( 1919 )   `` A Rose for Emily '' ( 1930 )   `` Red Leaves '' ( 1930 )   `` Dry September '' ( 1931 )   `` Spotted Horses '' ( 1931 )   `` That Evening Sun '' ( 1931 )   `` Mountain Victory '' ( 1932 )   `` Barn Burning '' ( 1939 )   `` The Tall Men '' ( 1941 )   `` Shingles for the Lord '' ( 1943 )       Screenplays     Flesh ( 1932 )   Today We Live ( 1933 )   Submarine Patrol ( 1938 )   To Have and Have Not ( 1944 )   The Big Sleep ( 1945 )       Children 's books     The Wishing Tree ( 1927 )       Related     William Clark Falkner ( great - grandfather )   Rowan Oak home   Papers and manuscripts   William Faulkner Foundation   Yoknapatawpha County   Compson family   Louis Grenier   Ikkemotubbe   Gavin Stevens   Thomas Sutpen   Snopes trilogy     Southern Renaissance   Faux Faulkner contest   PEN / Faulkner Award for Fiction             GND : 7644757 - 1      Retrieved from `` https://en.wikipedia.org/w/index.php?title=A_Rose_for_Emily&amp;oldid=866221138 '' Categories :   1930 short stories   Short stories by William Faulkner   Southern Gothic novels   Necrophilia in fiction   Hidden categories :   CS1 Spanish - language sources ( es )   Articles with incomplete citations from September 2018   All articles with incomplete citations   Articles needing additional references from June 2013   All articles needing additional references   Wikipedia articles with GND identifiers           Talk                                           Contents                   About Wikipedia                                             Deutsch   Español   Français   Հայերեն   ქართული   Русский   </t>
    </r>
    <r>
      <rPr>
        <sz val="11"/>
        <color rgb="FF000000"/>
        <rFont val="Noto Sans CJK SC"/>
        <family val="2"/>
      </rPr>
      <t xml:space="preserve">中文   </t>
    </r>
    <r>
      <rPr>
        <sz val="11"/>
        <color rgb="FF000000"/>
        <rFont val="Calibri"/>
        <family val="0"/>
        <charset val="1"/>
      </rPr>
      <t xml:space="preserve">Edit links   This page was last edited on 29 October 2018 , at 01 : 40 ( UTC ) .         About Wikipedia                    </t>
    </r>
  </si>
  <si>
    <t xml:space="preserve">why is it called a rose for emily</t>
  </si>
  <si>
    <t xml:space="preserve"> Faulkner described the title `` A Rose For Emily '' as an allegorical title ; this woman had undergone a great tragedy , and for this Faulkner pitied her . And as a salute , he handed her a rose . The word rose in the title has multiple meanings to it . The rose may be seen as Homer , interpreting the rose as a dried rose . Homer 's body could be the dried rose , such as one that is pressed between the pages of a book , kept in perfect condition as Emily did with Homer 's body . The `` Rose '' also represents secrecy . Roses have been portrayed in Greek legends as a gift of secrecy and of confidentiality , known as sub rosa , introducing that the `` Rose '' is a symbol of silence between the narrator and Miss Emily , the narrator keeps Emily 's secrets until her death . </t>
  </si>
  <si>
    <t xml:space="preserve">Alcohol and tobacco tax and trade Bureau - wikipedia  Alcohol and tobacco tax and trade Bureau  Jump to : navigation , search  Alcohol and Tobacco Tax and Trade Bureau       Agency overview     Formed   January 24 , 2003     Preceding agency     Bureau of Alcohol , Tobacco , and Firearms       Headquarters   Washington , D.C.     Employees   531 ( 2006 )     Agency executive     John J. Manfreda , Administrator       Parent agency   Department of the Treasury     Website   www.ttb.gov     The Alcohol and Tobacco Tax and Trade Bureau , statutorily named the Tax and Trade Bureau and frequently shortened to TTB , is a bureau of the United States Department of the Treasury , which regulates and collects taxes on trade and imports of alcohol , tobacco , and firearms within the United States .   TTB was created on January 24 , 2003 , when the Homeland Security Act of 2002 split the Bureau of Alcohol , Tobacco and Firearms ( ATF ) into two new organizations with separate functions . Specifically , the Act transferred ATF and its law enforcement functions from the Department of the Treasury to the Department of Justice . ATF 's other functions , dealing with tax collection and regulation of legitimate trade , remained within the Treasury Department and became part of the new TTB .   TTB 's Field Operations are organized into five divisions :    National Revenue Center : reconciles returns , reports , and claims ; screens applications and promptly issues permits ; and provides expert technical assistance for industry , the public and government agencies to ensure fair and proper revenue collection and public safety .   Risk Management : develops , implements , and maintains monitoring programs for collecting the revenue due the Federal Government and protecting the public , and ensures resources are effectively used .   Tax Audit : verifies the proper payment of alcohol , tobacco , firearms and ammunition excise taxes and ensures compliance with laws and regulations by taxpayers in a manner that protects the revenue , protects the consumer , and promotes voluntary compliance .   Trade Investigations : comprises investigators who ensure industry compliance with the laws and regulations administered by the TTB .   Tobacco Enforcement Division : protects the revenue and promotes voluntary compliance by monitoring the domestic tobacco trade , ensuring only qualified applicants enter the tobacco trade , ensuring compliance with the tax laws relating to tobacco , and facilitating TTB 's enforcement functions in cases of non-compliance .    The Advertising , Labeling , and Formulation Division ( ALFD ) implements and enforces a broad range of statutory and compliance provisions of the Internal Revenue Code and the Federal Alcohol Administration Act . This act requires importers and bottlers of beverage alcohol to obtain certificates of label approval or certificates of exemption from label approval ( COLAs ) for most alcohol beverages prior to their introduction into interstate commerce . ALFD acts on these COLAs to ensure that products are labeled in accordance with federal laws and regulations . ALFD also examines formulas for wine and distilled spirits , statements of process , and pre-import applications filed by importers and proprietors of domestic distilleries , wineries , and breweries for proper tax classification and to ensure that the products are manufactured in accordance with federal laws and regulations .   See also ( edit )    Title 27 of the Code of Federal Regulations   American Viticultural Area   Alcohol advertising   Tobacco advertising    References ( edit )   Notes    Jump up ^ Organizational chart   Jump up ^ National Revenue Center   Jump up ^ Risk Management   Jump up ^ Tax Audit   Jump up ^ Trade Investigations   Jump up ^ Tobacco Enforcement Division   Jump up ^ Advertising , Labeling , and Formulation Division ( ALFD )    Further reading    Wagner , Daniel ( December 8 , 2012 ) . `` Booze , smokes on agenda for quirky gov 't group '' . U.S News And World Report . New York . Retrieved 30 August 2017 .    External links ( edit )    Tax and Trade Bureau website   Alcohol and Tobacco Tax and Trade Bureau in the Federal Register   History of TTB   Alcohol , Tobacco , Firearms and Explosives website   National Conference of State Liquor Administrators ( all state administrators )              Agencies under the United States Department of the Treasury       Headquarters : Treasury Building     Steven Mnuchin , Secretary of the Treasury   Vacant , Deputy Secretary of the Treasury       Deputy Secretary of the Treasury     Alcohol and Tobacco Tax and Trade Bureau   Community Development Financial Institutions Fund   Treasury Inspector General for Tax Administration     Office of the Comptroller of the Currency   Office of Tax Policy         Under Secretary of the Treasury for International Affairs     Office of East Asia   Office of South and Southeast Asia Nations   Office of Europe &amp; Eurasia   Office of the Western Hemisphere   Office of International Monetary Policy   Office of Banking and Securities   Office of International Debt Policy   Office of Development Policy   Office of Financing Operations   Office of African Nations   Office of the Middle East and North Africa   Office of International Trade   Office of International Investment   Office of Trade Finance   Office of Technical Assistance   Office of Risk and Research Analysis   Exchange Stabilization Fund       Under Secretary of the Treasury for Domestic Finance     Advanced Counterfeit Deterrence   Federal Financing Bank   Office of Debt Management   Office of Financial Institutions   Office of Financial Markets   Office of Financial Stability   Office of Fiscal Service   Bureau of the Fiscal Service       Under Secretary of the Treasury for Terrorism and Financial Intelligence     Office of Terrorism and Financial Intelligence   Office of Terrorist Financing and Financial Crimes   Office of Intelligence and Analysis   Office of Foreign Assets Control   Financial Crimes Enforcement Network   Treasury Executive Office for Asset Forfeiture       Treasurer of the United States     Bureau of Engraving and Printing   United States Mint                 Federal law enforcement agencies of the United States     Department of Commerce     Office of Export Enforcement   National Oceanic and Atmospheric Administration - Fisheries : Office for Law Enforcement       Department of Defense        Defense Criminal Investigative Service   Department of Defense police   Defense Logistics Agency Police   Pentagon Force Protection Agency ( Pentagon Police )   National Security Agency Police       Army Department     Intelligence and Security Command   Criminal Investigation Command   US Army Military Police Corps   Department of the Army Police Army Department Police   Corrections Command       Navy Department     Naval Criminal Investigative Service   Marine Corps Criminal Investigation Division   Master - at - Arms   Marine Corps Police   Naval Academy Police       Air Force Department     Office of Special Investigations   Security Forces   Air Force Police          Department of Health and Human Services     United States Food and Drug Administration ( Office of Criminal Investigations )   National Institutes of Health Police       Department of Homeland Security     Federal Law Enforcement Training Centers   United States Citizenship and Immigration Services   United States Coast Guard   Investigative Service   Coast Guard Police     Customs and Border Protection   Federal Protective Service   Immigration and Customs Enforcement   United States Secret Service   Transportation Security Administration   Office of Law Enforcement / Federal Air Marshal Service         Department of the Interior     Bureau of Indian Affairs Police   Bureau of Land Management : Office of Law Enforcement   Hoover Dam Police   National Park Service   Rangers   United States Park Police     Fish and Wildlife Service : Office of Law Enforcement   National Wildlife Refuge System : Division of Refuge Law Enforcement       Department of Justice     Bureau of Alcohol , Tobacco , Firearms and Explosives   Drug Enforcement Administration   Federal Bureau of Investigation   FBI Police     Federal Bureau of Prisons   United States Marshals Service       Department of State     Bureau of Diplomatic Security   Diplomatic Security Service   Office of Foreign Missions         Department of Transportation     United States Merchant Marine Academy Department of Public Safety       Department of the Treasury     Alcohol and Tobacco Tax and Trade Bureau   Bureau of Engraving and Printing Police   Financial Crimes Enforcement Network   Internal Revenue Service Criminal Investigation Division   United States Mint Police         U.S. Forest Service : Law Enforcement and Investigations   USDA     Department of Veterans Affairs Police   Office of Secure Transportation   DOE         United States Congress     Sergeant at Arms of the House of Representatives   Sergeant at Arms of the Senate   United States Capitol Police   Government Printing Office Police       Judicial branch     U.S. Probation and Pretrial Services System   Marshal of the United States Supreme Court ( Supreme Court Police )       Other federal law enforcement agencies     Amtrak Police   Central Intelligence Agency Security Protective Service   Environmental Protection Agency Office of Enforcement and Compliance Assurance   Federal Reserve Police   National Zoological Park Police   Postal Inspection Service ( U.S. Postal Police )   Smithsonian Institution Office of Protection Services                 Alcoholic beverage authorities of the United States     Federal authorities     Alcohol and Tobacco Tax and Trade Bureau   Bureau of Alcohol , Tobacco , Firearms and Explosives       State authorities     Alabama *   Alaska   Arizona   Arkansas   California   Colorado   Connecticut   Delaware   Florida   Georgia   Idaho *   Illinois   Indiana   Iowa   Kansas   Kentucky   Louisiana   Maine *   Maryland   Massachusetts   Michigan   Minnesota   Mississippi *   Missouri   Montana *   Nebraska   Nevada   New Hampshire *   New Jersey   New Mexico   New York   North Carolina *   North Dakota   Ohio *   Oklahoma   Oregon *   Pennsylvania *   Rhode Island   South Carolina   South Dakota   Tennessee   Texas   Utah *   Vermont *   Virginia *   Washington   West Virginia   Wisconsin   Wyoming       Territorial authorities     District of Columbia       Local authorities     Hawaii County , Hawaii   City and County of Honolulu   Kauai County , Hawaii   Maui County , Hawaii   Montgomery County , Maryland *       An * indicates an alcoholic beverage control state or county .    Retrieved from `` https://en.wikipedia.org/w/index.php?title=Alcohol_and_Tobacco_Tax_and_Trade_Bureau&amp;oldid=816176070 '' Categories :   2003 establishments in the United States   United States Department of the Treasury agencies   Government agencies established in 2003           Talk                                                             About Wikipedia                                           Español   Français   Nederlands   Norsk   Edit links   This page was last edited on 19 December 2017 , at 19 : 36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</si>
  <si>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name of the current administrator of the alcohol and tobacco tax and trade bureau</t>
  </si>
  <si>
    <t xml:space="preserve"> Alcohol and Tobacco Tax and Trade Bureau       Agency overview     Formed   January 24 , 2003     Preceding agency     Bureau of Alcohol , Tobacco , and Firearms       Headquarters   Washington , D.C.     Employees   531 ( 2006 )     Agency executive     John J. Manfreda , Administrator       Parent agency   Department of the Treasury     Website   www.ttb.gov   </t>
  </si>
  <si>
    <t xml:space="preserve">Saakshar Bharat - Wikipedia  Saakshar Bharat       Saakshar Bharat     Website   saaksharbharat.nic.in     Saakshar Bharat is a government of India initiative launched by Prime Minister , Dr. Manmohan Singh to create a literate society through a variety of teaching learning programmes for non-literate and neo-literate of 15 years and above . It was launched on 8 September 2009 as a centrally sponsored scheme .   It aims to recast India 's National Literacy Mission to focus on literacy of women , which is expected to increase the literate population by 70 million adults , including 60 million women .   It is a scheme from Department of School Education , Ministry of Human Resource Development , Government of India . The National Literacy Mission covered 597 districts under Total Literacy Campaign , 485 districts under Post Literacy Programme and 328 districts under Continuing Education Programme . As per 2001 census , over 127 million adults have been made literate of which 60 % were women , 23 % were SC and 12 % were ST .   The Saakshar Bharat Mission has chosen six villages for ' Model Adult Education Centres ' under Lok Shiksha Samiti in the Karimnagar district , in Telangana state . with the objective of promoting adult education and to achieve total literacy .   References ( edit )    Jump up ^ `` The Hindu news report '' . Chennai , India . 2009 - 09 - 09 . Retrieved 2009 - 09 - 09 .   Jump up ^ `` New Kerala '' . Retrieved 2009 - 09 - 09 .   Jump up ^ `` Saakshar Bharath '' . Retrieved 2014 - 08 - 10 .   Jump up ^ `` Saakshar Bharat Mission selected 6 villages in Telangana '' . Retrieved 2015 - 02 - 07 .              Government schemes in India     Active     Schemes     Antyodaya Anna Yojana   Atal Pension Yojana   Beti Bachao , Beti Padhao Yojana   CGHS   DAY   DBT   DDUGJY   DDU - GKY   HRIDAY   Housing for All   ICDS   Income declaration scheme , 2016   JAM Yojana   KVPY   MPLADS   Midday Meal Scheme   NPS   NSAP   NSS   POPSK   PMAGY   PMGAY   PMGSY   PMJDY   Pradhan Mantri Garib Kalyan Yojana   PMKSY   Pradhan Mantri Bhartiya Jan Aushadhi Yojana Kendra   PMMVY   Pradhan Mantri Jeevan Jyoti Bima Yojana   Pradhan Mantri Kaushal Vikas Yojana   Pradhan Mantri Suraksha Bima Yojana   Rashtriya Krishi Vikas Yojana   SAGY   SGSY   Soil Health Card Scheme   UDAY   UDAN   UJALA       Missions     AMRUT   Mission Indradhanush   NICRA   National Mission for Manuscripts   NRHM   ASHA     National Translation Mission   Providing Urban Amenities to Rural Areas   Rashtriya Madhyamik Shiksha Abhiyan   Rashtriya Uchchatar Shiksha Abhiyan   Sarva Shiksha Abhiyan   National Solar Mission   Smart Cities Mission   TB - Mission 2020       Projects     Bharatmala   Indian Rivers Inter-link   Sagar Mala project   Setu Bharatam   Urja Ganga Gas Pipeline Project       Campaigns     Accessible India Campaign   Digital India   Make in India   Skill India   Standup India   Startup India   Swachh Bharat Abhiyan   Unnat Bharat Abhiyan       IDs     Aadhaar   Business identification number   Indian passport   Permanent account number   Ration card ( India )   Unorganised Workers ' Identification Number   Voter ID ( India )       State     Ahar Yojana   Bhamashah Yojana   Biju Krushak Kalyan Yojana   Invest Madhya Pradesh   Invest Odisha   Jyotigram Yojana   Madhu Babu Pension Yojana   Make in Odisha   Swasth Jeevan Sewa Guarantee Yojana   Rajiv Gandhi Jeevandayee Arogya Yojana   Vibrant Gujarat       Closed     Schemes     Bharat Nirman   JSY   JnNURM   Kasturba Gandhi Balika Vidyalaya   NLM   NRLM   Pooled Finance Development Fund Scheme   RNTCP   RSBY   Rural Landless Employment Guarantee Programme   Saakshar Bharat   Sampoorna Grameen Rozgar Yojana   Swabhimaan ( campaign )   Voluntary Disclosure of Income Scheme      Retrieved from `` https://en.wikipedia.org/w/index.php?title=Saakshar_Bharat&amp;oldid=834189829 '' Categories :   Adult education in India   Indian missions   Organizations promoting literacy   Education policy in India   Literacy in India   Hidden categories :   Use dmy dates from June 2016   Use Indian English from June 2016   All Wikipedia articles written in Indian English   All articles with unsourced statements   Articles with unsourced statements from March 2018           Talk                                                             About Wikipedia                                           தமிழ்   Edit links   This page was last edited on 4 April 2018 , at 12 : 01 ( UTC ) .         About Wikipedia                    </t>
  </si>
  <si>
    <t xml:space="preserve">the focus of saakshar bharat programme is on</t>
  </si>
  <si>
    <t xml:space="preserve"> It aims to recast India 's National Literacy Mission to focus on literacy of women , which is expected to increase the literate population by 70 million adults , including 60 million women . </t>
  </si>
  <si>
    <t xml:space="preserve">Afghanistan - Wikipedia  Afghanistan  Jump to : navigation , search For the Japanese manga , see Afghanis - tan .  Coordinates : 33 ° N 65 ° E ﻿ / ﻿ 33 ° N 65 ° E ﻿ / 33 ; 65     Islamic Republic of Afghanistan   د افغانستان اسلامي جمهوریت ( Pashto )   Da Afġānistān Islāmī Jumhoryat   جمهوری اسلامی افغانستان ( Dari )   Jomhūrīyyeh Eslāmīyyeh Afġānestān       Flag Coat of arms     Motto : لا إله إلا الله ، محمد رسول الله `` Lā ʾilāha ʾillā llāh , Muhammadun rasūlu llāh '' `` There is no God but Allah ; Muhammad is the messenger of Allah . ( Shahada )     Anthem : Millī Surūd ملي سرود ‬ ( English : `` National Anthem '' )             Capital and largest city   Kabul 34 ° 32 ′ N 69 ° 08 ′ E ﻿ / ﻿ 34.533 ° N 69.133 ° E ﻿ / 34.533 ; 69.133     Official languages     Pashto   Dari       Ethnic groups   Pashtun , Tajik , Hazara , Uzbek , and others     Religion   Islam     Demonym   Afghan     Government   Unitary presidential Islamic republic     President   Ashraf Ghani     Chief Executive Officer   Abdullah Abdullah     Legislature   National Assembly     Upper house   House of Elders     Lower house   House of the People     Formation     Hotak Empire   April 1709     Durrani Empire   October 1747     Emirate   1823     Recognized   19 August 1919     Kingdom   9 June 1926     Republic   17 July 1973     Current constitution   26 January 2004     Area     Total   652,864 km ( 252,072 sq mi ) ( 40th )     Water ( % )   negligible     Population     2016 estimate   34,656,032 ( 40th )     Density   49.88 / km ( 129.2 / sq mi ) ( 150th )     GDP ( PPP )   2017 estimate     Total   $70 billion     Per capita   $1,888     GDP ( nominal )   2017 estimate     Total   $21 billion     Per capita   $572     Gini ( 2008 )   29 low     HDI ( 2014 )   0.465 low 171st     Currency   Afghani ( AFN )     Time zone   D † ( UTC + 4 : 30 Solar Calendar )     Drives on the   right     Calling code   + 93     ISO 3166 code   AF     Internet TLD   . af افغانستان .     Afghanistan ( / æfˈɡænɪstæn / ( listen ) ; Pashto / Dari : افغانستان ‬ , Pashto : Afġānistān ( avɣɒnisˈtɒn , abɣɒnisˈtɒn ) , Dari : Afġānestān ( avɣɒnesˈtɒn ) ) , officially the Islamic Republic of Afghanistan , is a landlocked country located within South Asia and Central Asia . The country has a population of 35 million , making it the 42nd most populous country in the world . Afghanistan is bordered by Pakistan in the south and east ; Iran in the west ; Turkmenistan , Uzbekistan , and Tajikistan in the north , and China in the far northeast - it also borders Gilgit - Baltistan in this region which is claimed by India . Its territory covers 652,000 square kilometers ( 252,000 sq mi ) , making it the 41st largest country in the world .   Human habitation in Afghanistan dates back to the Middle Paleolithic Era , and the country 's strategic location along the Silk Road connected it to the cultures of the Middle East and other parts of Asia . The land has historically been home to various peoples and has witnessed numerous military campaigns , including those by Alexander the Great , Mauryas , Muslim Arabs , Mongols , British , Soviet , and in the modern era by Western powers . It has been called by some as `` unconquerable '' . The land also served as the source from which the Kushans , Hephthalites , Samanids , Saffarids , Ghaznavids , Ghorids , Khaljis , Mughals , Hotaks , Durranis , and others have risen to form major empires .   The political history of the modern state of Afghanistan began with the Hotak and Durrani dynasties in the 18th century . In the late 19th century , Afghanistan became a buffer state in the `` Great Game '' between British India and the Russian Empire . Its border with British India , the Durand Line , was formed in 1893 but it is not recognized by the Afghan government and it has led to strained relations with Pakistan since the latter 's independence in 1947 . Following the Third Anglo - Afghan War in 1919 the country was free of foreign influence , eventually becoming a monarchy under King Amanullah , and later for 40 years under Zahir Shah . A series of coups in the late 1970s was followed by a series of wars that devastated much of Afghanistan which began when the country became a socialist state under the influence of the Soviet Union during the Soviet -- Afghan War . Following the departure of the Soviet forces , the country became an Islamic state under the Peshawar Accord but much of its territory was later captured by the Islamic fundamentalist group the Taliban , who ruled most of the country as a totalitarian regime for almost five years . Following the 2001 September 11 attacks in the United States , the Taliban was forcibly removed by the NATO - led coalition and Afghanistan 's previous political structure was replaced with a more pro-Western , democratically - elected government .   Afghanistan is a unitary presidential Islamic republic with Islam as an official state religion . It is a member of the United Nations , the Organisation of Islamic Cooperation , the Group of 77 , the Economic Cooperation Organization , and the Non-Aligned Movement . Afghanistan 's economy is the world 's 108th largest , with a GDP of $64.08 billion ; the country fares much worse in terms of per - capita GDP ( PPP ) , ranking 167th out of 186 countries in a 2016 report from the International Monetary Fund .     Contents  ( hide )   1 Etymology   2 History   2.1 Pre-Islamic period   2.2 Islamization and Mongol invasion   2.3 Hotak dynasty and Durrani Empire   2.4 British influence and independent kingdom   2.5 Marxist coup d'état and Soviet war   2.6 Civil war   2.7 Taliban Emirate and Northern Alliance   2.8 Recent history ( 2002 -- present )     3 Geography   4 Demographics   4.1 Ethnic groups   4.2 Languages   4.3 Religions     5 Governance   5.1 Elections and parties   5.2 Administrative divisions   5.3 Foreign relations and military   5.4 Law enforcement     6 Economy   6.1 Mining     7 Transport   7.1 Air   7.2 Rail   7.3 Roads     8 Health   9 Education   10 Culture   10.1 Media and entertainment   10.2 Communication   10.3 Sports     11 See also   12 Notes   13 References   14 Further reading   15 External links      Etymology  Main article : Name of Afghanistan  The name Afghānistān ( Pashto : افغانستان ‎ ) is believed to be as old as the ethnonym Afghan , which is documented in the 10th - century geography book Hudud ul - ' alam . The root name `` Afghan '' was used historically in reference to a member of the ethnic Pashtuns , and the suffix `` - stan '' means `` place of '' in Persian and Hindi . Therefore , Afghanistan translates to land of the Afghans or , more specifically in a historical sense , to land of the Pashtuns . However , the modern Constitution of Afghanistan states that `` ( t ) he word Afghan shall apply to every citizen of Afghanistan . ''   History  Main article : History of Afghanistan    Part of a series on the     History of Afghanistan         Timeline     Ancient ( show )    Indus Valley Civilisation   2200 -- 1800 BC     Oxus civilization   2100 -- 1800 BC     Aryans   1700 -- 700 BC     Median Empire   728 -- 550 BC     Achaemenid Empire   550 -- 330 BC     Seleucid Empire   330 -- 150 BC     Maurya Empire   305 -- 180 BC     Greco - Bactrian Kingdom   256 -- 125 BC     Parthian Empire   247 BC -- 224 AD     Indo - Greek Kingdom   180 -- 130 BC     Indo - Scythian Kingdom   155 -- 80 ? BC     Kushan Empire   135 BC -- 248 AD     Indo - Parthian Kingdom   20 BC -- 50 ? AD     Sasanian Empire   230 -- 651     Kidarite Kingdom   320 -- 465     Alchon Huns   380 -- 560     Hephthalite Empire   410 -- 557     Nezak Huns   484 -- 711        Medieval ( show )    Kabul Shahi   565 -- 879     Principality of Chaghaniyan   7th -- 8th centuries     Rashidun Caliphate   652 -- 661     Umayyads   661 -- 750     Abbasids   750 -- 821     Tahirids   821 -- 873     Saffarids   863 -- 900     Samanids   875 -- 999     Ghaznavids   963 -- 1187     Ghurids   before 879 -- 1215     Seljuks   1037 -- 1194     Khwarezmids   1215 -- 1231     Qarlughids   1224 -- 1266     Ilkhanate   1258 -- 1353     Chagatai Khanate   1225 -- 1370     Khaljis   1290 -- 1320     Karts   1245 -- 1381     Timurids   1370 -- 1507     Arghuns   1479 -- 1522        Modern ( show )    Mughals   1501 -- 1738     Safavids   1510 -- 1709     Hotak dynasty   1709 -- 1738     Afsharid dynasty   1738 - 1747     Durrani Empire   1747 -- 1826     Emirate of Afghanistan   1826 -- 1919     Kingdom of Afghanistan   1919 -- 1973     Republic of Afghanistan   1973 -- 1978     Democratic Republic of Afghanistan   1978 -- 1992     Islamic State of Afghanistan   1992 -- 2001     Islamic Emirate of Afghanistan   1996 -- 2004     Interim / Transitional Administration   2001 -- 2004     Islamic Republic of Afghanistan   since 2004          Book   Category   Portal                   Excavations of prehistoric sites by Louis Dupree and others suggest that humans were living in what is now Afghanistan at least 50,000 years ago , and that farming communities in the area were among the earliest in the world . An important site of early historical activities , many believe that Afghanistan compares to Egypt in terms of the historical value of its archaeological sites .   The country sits at a unique nexus point where numerous civilizations have interacted and often fought . It has been home to various peoples through the ages , among them the ancient Iranian peoples who established the dominant role of Indo - Iranian languages in the region . At multiple points , the land has been incorporated within large regional empires , among them the Achaemenid Empire , the Macedonian Empire , the Indian Maurya Empire , and the Islamic Empire .   Many empires and kingdoms have also risen to power in Afghanistan , such as the Greco - Bactrians , Kushans , Hephthalites , Kabul Shahis , Saffarids , Samanids , Ghaznavids , Ghurids , Khaljis , Kartids , Timurids , Mughals , and finally the Hotak and Durrani dynasties that marked the political origins of the modern state .   Pre-Islamic period  Main article : Pre-Islamic period of Afghanistan Bilingual ( Greek and Aramaic ) edict by Emperor Ashoka from the 3rd century BCE discovered in the southern city of Kandahar  Archaeological exploration done in the 20th century suggests that the geographical area of Afghanistan has been closely connected by culture and trade with its neighbors to the east , west , and north . Artifacts typical of the Paleolithic , Mesolithic , Neolithic , Bronze , and Iron ages have been found in Afghanistan . Urban civilization is believed to have begun as early as 3000 BCE , and the early city of Mundigak ( near Kandahar in the south of the country ) may have been a colony of the nearby Indus Valley Civilization . More recent findings established that the Indus Valley Civilisation stretched up towards modern - day Afghanistan , making the ancient civilisation today part of Pakistan , Afghanistan and India . In more detail , it extended from what today is northwest Pakistan to northwest India and northeast Afghanistan . An Indus Valley site has been found on the Oxus River at Shortugai in northern Afghanistan . There are several smaller IVC colonies to be found in Afghanistan as well .  One of the Buddhas of Bamiyan . Buddhism was widespread before the Islamic conquest of Afghanistan .  After 2000 BCE , successive waves of semi-nomadic people from Central Asia began moving south into Afghanistan ; among them were many Indo - European - speaking Indo - Iranians . These tribes later migrated further into South Asia , Western Asia , and toward Europe via the area north of the Caspian Sea . The region at the time was referred to as Ariana .   The religion Zoroastrianism is believed by some to have originated in what is now Afghanistan between 1800 and 800 BCE , as its founder Zoroaster is thought to have lived and died in Balkh . Ancient Eastern Iranian languages may have been spoken in the region around the time of the rise of Zoroastrianism . By the middle of the 6th century BCE , the Achaemenids overthrew the Medes and incorporated Arachosia , Aria , and Bactria within its eastern boundaries . An inscription on the tombstone of Darius I of Persia mentions the Kabul Valley in a list of the 29 countries that he had conquered .   Alexander the Great and his Macedonian forces arrived to Afghanistan in 330 BCE after defeating Darius III of Persia a year earlier in the Battle of Gaugamela . Following Alexander 's brief occupation , the successor state of the Seleucid Empire controlled the region until 305 BCE , when they gave much of it to the Maurya Empire as part of an alliance treaty . The Mauryans controlled the area south of the Hindu Kush until they were overthrown in about 185 BCE . Their decline began 60 years after Ashoka 's rule ended , leading to the Hellenistic reconquest by the Greco - Bactrians . Much of it soon broke away from them and became part of the Indo - Greek Kingdom . They were defeated and expelled by the Indo - Scythians in the late 2nd century BCE .   During the first century BCE , the Parthian Empire subjugated the region , but lost it to their Indo - Parthian vassals . In the mid-to - late first century CE the vast Kushan Empire , centered in Afghanistan , became great patrons of Buddhist culture , making Buddhism flourish throughout the region . The Kushans were overthrown by the Sassanids in the 3rd century CE , though the Indo - Sassanids continued to rule at least parts of the region . They were followed by the Kidarite who , in turn , were replaced by the Hephthalites . By the 6th century CE , the successors to the Kushans and Hepthalites established a small dynasty called Kabul Shahi . Much of the northeastern and southern areas of the country remained dominated by Buddhist culture .   Islamization and Mongol invasion  Main articles : Islamic conquest of Afghanistan and Mongol invasion of Central Asia The Friday Mosque of Herat is one of the oldest mosques in Afghanistan . ( March 1962 photo )  Arab Muslims brought Islam to Herat and Zaranj in 642 CE and began spreading eastward ; some of the native inhabitants they encountered accepted it while others revolted . The land was collectively recognized by the Arabs as al - Hind due to its cultural connection with Greater India . Before Islam was introduced , people of the region were mostly Buddhists and Zoroastrians , but there were also Surya and Nana worshipers , Jews , and others . The Zunbils and Kabul Shahi were first conquered in 870 CE by the Saffarid Muslims of Zaranj . Later , the Samanids extended their Islamic influence south of the Hindu Kush . It is reported that Muslims and non-Muslims still lived side by side in Kabul before the Ghaznavids rose to power in the 10th century .   By the 11th century , Mahmud of Ghazni defeated the remaining Hindu rulers and effectively Islamized the wider region , with the exception of Kafiristan . Afghanistan became one of the main centers in the Muslim world during this Islamic Golden Age . The Ghaznavid dynasty was overthrown by the Ghurids , who expanded and advanced the already powerful Islamic empire .   In 1219 AD , Genghis Khan and his Mongol army overran the region . His troops are said to have annihilated the Khorasanian cities of Herat and Balkh as well as Bamyan . The destruction caused by the Mongols forced many locals to return to an agrarian rural society . Mongol rule continued with the Ilkhanate in the northwest while the Khalji dynasty administered the Afghan tribal areas south of the Hindu Kush until the invasion of Timur , who established the Timurid Empire in 1370 .   In the early 16th century , Babur arrived from Fergana and captured Kabul from the Arghun dynasty . In 1526 , he invaded Delhi in India to replace the Lodi dynasty with the Mughal Empire . Between the 16th and 18th century , the Khanate of Bukhara , Safavids , and Mughals ruled parts of the territory . Before the 19th century , the northwestern area of Afghanistan was referred to by the regional name Khorasan . Two of the four capitals of Khorasan ( Herat and Balkh ) are now located in Afghanistan , while the regions of Kandahar , Zabulistan , Ghazni , Kabulistan , and Afghanistan formed the frontier between Khorasan and Hindustan .   Hotak dynasty and Durrani Empire  Main articles : Hotak dynasty and Durrani Empire Ahmad Shah Durrani , founder of the last Afghan empire and viewed as Father of the Nation  In 1709 , Mirwais Hotak , a local Ghilzai tribal leader , successfully rebelled against the Safavids . He defeated Gurgin Khan and made Afghanistan independent . Mirwais died of a natural cause in 1715 and was succeeded by his brother Abdul Aziz , who was soon killed by Mirwais ' son Mahmud for treason . Mahmud led the Afghan army in 1722 to the Persian capital of Isfahan , captured the city after the Battle of Gulnabad and proclaimed himself King of Persia . The Afghan dynasty was ousted from Persia by Nader Shah after the 1729 Battle of Damghan .   In 1738 , Nader Shah and his forces captured Kandahar , the last Hotak stronghold , from Shah Hussain Hotak , at which point the incarcerated 16 - year - old Ahmad Shah Durrani was freed and made the commander of an Afghan regiment . Soon after the Persian and Afghan forces invaded India . By 1747 , the Afghans chose Durrani as their head of state . Durrani and his Afghan army conquered much of present - day Afghanistan , Pakistan , the Khorasan and Kohistan provinces of Iran , and Delhi in India . He defeated the Indian Maratha Empire , and one of his biggest victories was the 1761 Battle of Panipat .   In October 1772 , Durrani died of a natural cause and was buried at a site now adjacent to the Shrine of the Cloak in Kandahar . He was succeeded by his son , Timur Shah , who transferred the capital of Afghanistan from Kandahar to Kabul in 1776 . After Timur 's death in 1793 , the Durrani throne passed down to his son Zaman Shah , followed by Mahmud Shah , Shuja Shah and others .   The Afghan Empire was under threat in the early 19th century by the Persians in the west and the Sikh Empire in the east . Fateh Khan , leader of the Barakzai tribe , had installed 21 of his brothers in positions of power throughout the empire . After his death , they rebelled and divided up the provinces of the empire between themselves . During this turbulent period , Afghanistan had many temporary rulers until Dost Mohammad Khan declared himself emir in 1826 . The Punjab region was lost to Ranjit Singh , who invaded Khyber Pakhtunkhwa and in 1834 captured the city of Peshawar . In 1837 , during the Battle of Jamrud near the Khyber Pass , Akbar Khan and the Afghan army failed to capture the Jamrud fort from the Sikh Khalsa Army , but killed Sikh Commander Hari Singh Nalwa , thus ending the Afghan - Sikh Wars . By this time the British were advancing from the east and the first major conflict during the `` Great Game '' was initiated .   British influence and independent Kingdom  Further information : European influence in Afghanistan and Reforms of Amānullāh Khān and civil war British and allied forces at Kandahar after the 1880 Battle of Kandahar , during the Second Anglo - Afghan War . The large defensive wall around the city was removed in the early 1930s by the order of King Nadir .  In 1838 , the British marched into Afghanistan and arrested Dost Mohammad , sent him into exile in India and replaced him with the previous ruler , Shah Shuja . Following an uprising , the 1842 retreat from Kabul of British - Indian forces , and the Battle of Kabul that led to its recapture , the British placed Dost Mohammad Khan back into power and withdrew their military forces from Afghanistan . In 1878 , the Second Anglo - Afghan War was fought over perceived Russian influence , Abdur Rahman Khan replaced Ayub Khan , and Britain gained control of Afghanistan 's foreign relations as part of the Treaty of Gandamak of 1879 . In 1893 , Mortimer Durand made Amir Abdur Rahman Khan sign a controversial agreement in which the ethnic Pashtun and Baloch territories were divided by the Durand Line . This was a standard divide and rule policy of the British and would lead to strained relations , especially with the later new state of Pakistan .  Zahir Shah , the last king of Afghanistan , who reigned from 1933 to 1973 .  After the Third Anglo - Afghan War and the signing of the Treaty of Rawalpindi on 19 August 1919 , King Amanullah Khan declared Afghanistan a sovereign and fully independent state . He moved to end his country 's traditional isolation by establishing diplomatic relations with the international community and , following a 1927 -- 28 tour of Europe and Turkey , introduced several reforms intended to modernize his nation . A key force behind these reforms was Mahmud Tarzi , an ardent supporter of the education of women . He fought for Article 68 of Afghanistan 's 1923 constitution , which made elementary education compulsory . The institution of slavery was abolished in 1923 .   Some of the reforms that were actually put in place , such as the abolition of the traditional burqa for women and the opening of a number of co-educational schools , quickly alienated many tribal and religious leaders . Faced with overwhelming armed opposition , Amanullah Khan was forced to abdicate in January 1929 after Kabul fell to rebel forces led by Habibullah Kalakani . Prince Mohammed Nadir Shah , Amanullah 's cousin , in turn defeated and killed Kalakani in November 1929 , and was declared King Nadir Shah . He abandoned the reforms of Amanullah Khan in favor of a more gradual approach to modernisation but was assassinated in 1933 by Abdul Khaliq , a fifteen - year - old Hazara student .   Mohammed Zahir Shah , Nadir Shah 's 19 - year - old son , succeeded to the throne and reigned from 1933 to 1973 . Until 1946 , Zahir Shah ruled with the assistance of his uncle , who held the post of Prime Minister and continued the policies of Nadir Shah . Another of Zahir Shah 's uncles , Shah Mahmud Khan , became Prime Minister in 1946 and began an experiment allowing greater political freedom , but reversed the policy when it went further than he expected . He was replaced in 1953 by Mohammed Daoud Khan , the king 's cousin and brother - in - law . Daoud Khan sought a closer relationship with the Soviet Union and a more distant one towards Pakistan .   The King build close relationships with the Axis powers in the 1930s - but Afghanistan remained neutral and was neither a participant in World War II nor aligned with either power bloc in the Cold War thereafter . However , it was a beneficiary of the latter rivalry as both the Soviet Union and the United States vied for influence by building Afghanistan 's main highways , airports , and other vital infrastructure . On per capita basis , Afghanistan received more Soviet development aid than any other country . Afghanistan had therefore good relations with both Cold War enemies . In 1973 , while King Zahir Shah was on an official overseas visit , Daoud Khan launched a bloodless coup and became the first President of Afghanistan , abolishing the monarchy . In the meantime , Zulfikar Ali Bhutto got neighboring Pakistan involved in Afghanistan . Some experts suggest that Bhutto paved the way for the April 1978 Saur Revolution .   Marxist coup d'état and Soviet war  Main articles : Saur Revolution , Soviet -- Afghan War , Democratic Republic of Afghanistan , and History of Afghanistan ( 1978 -- 92 ) Outside the Arg Presidential Palace in Kabul , a day after the April 1978 Marxist coup d'état in which President Daoud Khan was assassinated along with his entire family .  In April 1978 , the communist People 's Democratic Party of Afghanistan ( PDPA ) seized power in Afghanistan via a coup d'état . Within months , opponents of the communist regime launched an uprising in eastern Afghanistan that quickly expanded into a civil war waged by guerrilla mujahideen against regime forces countrywide . The Pakistani government provided these rebels with covert training centers , while the Soviet Union sent thousands of military advisers to support the PDPA regime . Meanwhile , increasing friction between the competing factions of the PDPA -- the dominant Khalq and the more moderate Parcham -- resulted in the dismissal of Parchami cabinet members and the arrest of Parchami military officers under the pretext of a Parchami coup .   In September 1979 , Nur Muhammad Taraki was assassinated in a coup within the PDPA orchestrated by fellow Khalq member Hafizullah Amin , who assumed the presidency . Distrusted by the Soviets , Amin was assassinated by Soviet special forces in December 1979 . A Soviet - organized regime , led by Parcham 's Babrak Karmal but inclusive of both factions , filled the vacuum . Soviet troops were deployed to stabilize Afghanistan under Karmal in more substantial numbers , although the Soviet government did not expect to do most of the fighting in Afghanistan . As a result , however , the Soviets were now directly involved in what had been a domestic war in Afghanistan . The PDPA prohibited usury , declared equality of the sexes , and introduced women to political life .   The United States had been supporting anti-Soviet Afghan mujahideen and foreign `` Afghan Arab '' fighters through Pakistan 's ISI as early as mid-1979 ( see CIA activities in Afghanistan ) . Billions in cash and weapons , which included over two thousand FIM - 92 Stinger surface - to - air missiles , were provided by the United States and Saudi Arabia to Pakistan .   During the Soviet war in Afghanistan , Soviet forces and their proxies killed between 562,000 and 2 million Afghans , and also displaced about 6 million people who subsequently fled Afghanistan , mainly to Pakistan and Iran . Pakistan 's North - West Frontier Province functioned as an organisational and networking base for the anti-Soviet Afghan resistance , with the province 's influential Deobandi ulama playing a major supporting role in promoting the ' jihad ' . Faced with mounting international pressure and numerous casualties , the Soviets withdrew in 1989 but continued to support Afghan President Mohammad Najibullah until 1992 .   Civil war  Main articles : Afghan Civil War ( 1989 -- 92 ) and Afghan Civil War ( 1992 -- 96 )  From 1989 until 1992 , Najibullah 's government tried to solve the ongoing civil war with economic and military aid , but without Soviet troops on the ground . Pakistan 's spy agency ( ISI ) , headed by Hamid Gul at the time , was interested in a trans - national Islamic revolution which would cover Pakistan , Afghanistan and Central Asia . For this purpose Pakistan masterminded an attack on Jalalabad for the Mujahideen to establish their own government in Afghanistan . Najibullah tried to build support for his government by portraying his government as Islamic , and in the 1990 constitution the country officially became an Islamic state and all references of communism were removed . Nevertheless , Najibullah did not win any significant support , and with the dissolution of the Soviet Union in December 1991 , he was left without foreign aid . This , coupled with the internal collapse of his government , led to his ousting from power in April 1992 . After the fall of Najibullah 's government in 1992 , the post-communist Islamic State of Afghanistan was established by the Peshawar Accord , a peace and power - sharing agreement under which all the Afghan parties were united in April 1992 , except for the Pakistani supported Hezb - e Islami of Gulbuddin Hekmatyar . Hekmatyar started a bombardment campaign against the capital city Kabul , which marked the beginning of a new phase in the war .   Saudi Arabia and Iran supported different Afghan militias and instability quickly developed . The conflict between the two militias soon escalated into a full - scale war .  A section of Kabul during the civil war in 1993  Due to the sudden initiation of the war , working government departments , police units , and a system of justice and accountability for the newly created Islamic State of Afghanistan did not have time to form . Atrocities were committed by individuals of the different armed factions while Kabul descended into lawlessness and chaos . Because of the chaos , some leaders increasingly had only nominal control over their ( sub - ) commanders . For civilians there was little security from murder , rape , and extortion . An estimated 25,000 people died during the most intense period of bombardment by Hekmatyar 's Hezb - i Islami and the Junbish - i Milli forces of Abdul Rashid Dostum , who had created an alliance with Hekmatyar in 1994 . Half a million people fled Afghanistan .   Southern and eastern Afghanistan were under the control of local commanders such as Gul Agha Sherzai and others . In 1994 , the Taliban ( a movement originating from Jamiat Ulema - e-Islam - run religious schools for Afghan refugees in Pakistan ) also developed in Afghanistan as a political - religious force . The Taliban first took control of southern Afghanistan in 1994 and forced the surrender of dozens of local Pashtun leaders .   In late 1994 , forces of Ahmad Shah Massoud held on to Kabul . Rabbani 's government took steps to reopen courts , restore law and order , and initiate a nationwide political process with the goal of national consolidation and democratic elections . Massoud invited Taliban leaders to join the process but they refused .   Taliban Emirate and northern Alliance  Main articles : Afghan Civil War ( 1996 -- 2001 ) , Islamic Emirate of Afghanistan , Taliban , and Northern Alliance Map of the situation in Afghanistan in late 1996 ; Massoud ( red ) , Dostum ( green ) and Taliban ( yellow ) territories .  The Taliban 's early victories in late 1994 were followed by a series of defeats that resulted in heavy losses . The Taliban attempted to capture Kabul in early 1995 but were repelled by forces under Massoud . In September 1996 , as the Taliban , with military support from Pakistan and financial support from Saudi Arabia , prepared for another major offensive , Massoud ordered a full retreat from Kabul . The Taliban seized Kabul in the same month and established the Islamic Emirate of Afghanistan . They imposed a strict form of Sharia , similar to that found in Saudi Arabia . According to Physicians for Human Rights ( PHR ) , `` no other regime in the world has methodically and violently forced half of its population into virtual house arrest , prohibiting them on pain of physical punishment from showing their faces , seeking medical care without a male escort , or attending school '' ( this statement , though , was made in 1998 , long before the advent of ISIS which has imposed even tougher and more violent sharia controls ) .   After the fall of Kabul to the Taliban , Massoud and Dostum formed the Northern Alliance . The Taliban defeated Dostum 's forces during the Battles of Mazar - i - Sharif ( 1997 -- 98 ) . Pakistan 's Chief of Army Staff , Pervez Musharraf , began sending thousands of Pakistanis to help the Taliban defeat the Northern Alliance . From 1996 to 2001 , the al - Qaeda network of Osama bin Laden and Ayman al - Zawahiri was also operating inside Afghanistan . This and the fact that around one million Afghans were internally displaced made the United States worry . From 1990 to September 2001 , around 400,000 Afghans died in the internal mini-wars .   On 9 September 2001 , Massoud was assassinated by two Arab suicide attackers in Panjshir province of Afghanistan . Two days later , the September 11 attacks were carried out in the United States . The US government suspected Osama bin Laden as the perpetrator of the attacks , and demanded that the Taliban hand him over . The Taliban offered to hand over Bin Laden to a third country for trial , but not directly to the US . Washington refused that offer . Instead , the US launched the October 2001 Operation Enduring Freedom . The majority of Afghans supported the American invasion of their country . During the initial invasion , US and UK forces bombed al - Qaeda training camps . The United States began working with the Northern Alliance to remove the Taliban from power .   Recent History ( 2002 -- present )  Further information : War in Afghanistan ( 2001 -- present ) , Taliban insurgency , Civilian casualties in the war in Afghanistan ( 2001 -- present ) , and Corruption in Afghanistan From upper left , clockwise -- Canadian troops in Kandahar ; American president Barack Obama meets Afghan leader Hamid Karzai in March 2010 ; US Secretary of State Hillary Clinton with female politicians i</t>
  </si>
  <si>
    <t xml:space="preserve">kabul is the capital of the country that borders turkmenistan</t>
  </si>
  <si>
    <t xml:space="preserve">   Islamic Republic of Afghanistan   د افغانستان اسلامي جمهوریت ( Pashto )   Da Afġānistān Islāmī Jumhoryat   جمهوری اسلامی افغانستان ( Dari )   Jomhūrīyyeh Eslāmīyyeh Afġānestān       Flag Coat of arms     Motto : لا إله إلا الله ، محمد رسول الله `` Lā ʾilāha ʾillā llāh , Muhammadun rasūlu llāh '' `` There is no God but Allah ; Muhammad is the messenger of Allah . ( Shahada )     Anthem : Millī Surūd ملي سرود ‬ ( English : `` National Anthem '' )             Capital and largest city   Kabul 34 ° 32 ′ N 69 ° 08 ′ E ﻿ / ﻿ 34.533 ° N 69.133 ° E ﻿ / 34.533 ; 69.133     Official languages     Pashto   Dari       Ethnic groups   Pashtun , Tajik , Hazara , Uzbek , and others     Religion   Islam     Demonym   Afghan     Government   Unitary presidential Islamic republic     President   Ashraf Ghani     Chief Executive Officer   Abdullah Abdullah     Legislature   National Assembly     Upper house   House of Elders     Lower house   House of the People     Formation     Hotak Empire   April 1709     Durrani Empire   October 1747     Emirate   1823     Recognized   19 August 1919     Kingdom   9 June 1926     Republic   17 July 1973     Current constitution   26 January 2004     Area     Total   652,864 km ( 252,072 sq mi ) ( 40th )     Water ( % )   negligible     Population     2016 estimate   34,656,032 ( 40th )     Density   49.88 / km ( 129.2 / sq mi ) ( 150th )     GDP ( PPP )   2017 estimate     Total   $70 billion     Per capita   $1,888     GDP ( nominal )   2017 estimate     Total   $21 billion     Per capita   $572     Gini ( 2008 )   29 low     HDI ( 2014 )   0.465 low 171st     Currency   Afghani ( AFN )     Time zone   D † ( UTC + 4 : 30 Solar Calendar )     Drives on the   right     Calling code   + 93     ISO 3166 code   AF     Internet TLD   . af افغانستان .   </t>
  </si>
  <si>
    <t xml:space="preserve">Renée Lawless - Wikipedia  Renée Lawless  Jump to : navigation , search    Renee Lawless       November 30 , 1960 ( 1960 - 11 - 30 ) ( age 57 ) Knoxville , Tennessee , US     Occupation   Actress     Website   Official website     Renee Lawless - Orsini ( born November 30 , 1960 ) is an American actress and singer . She is currently starring as the bitter and distant matriarch , Katheryn Cryer , in the OWN drama series The Haves and the Have Nots .   Lawless was born in Knoxville , Tennessee , and moved with her family to Jacksonville in at age 9 and graduated from Sandalwood High School , Stetson University , and University of Cincinnati -- College - Conservatory of Music . As of mid 1990 's she appeared primary on stage productions , like national touring of Beauty and the Beast , and Wicked .   References ( edit )    ^ Jump up to : Facebook   ^ Jump up to : David Crumpler ( May 28 , 2013 ) . `` Two actresses with Jacksonville ties star in new Oprah Winfrey Network show '' . Jacksonville News . Retrieved 2013 - 05 - 29 .   Jump up ^ Susan Alexander ( May 24 , 2013 ) . `` Knox native Renee Lawless takes on lead role in Tyler Perry drama ' The Haves and the Have Nots ' '' . Knoxville News Sentinel . Retrieved 2013 - 05 - 29 .   ^ Jump up to : `` Renée Lawless as Katheryn Cryer '' . oprah.com . OWN . Retrieved 2013 - 05 - 29 .   Jump up ^ Philiana Ng ( April 4 , 2013 ) . `` OWN Sets Premieres for Tyler Perry 's Scripted Series , Greenlights Two Shows '' . The Hollywood Reporter . Retrieved 2013 - 05 - 29 .    External links ( edit )    Official website   Renee Lawless on IMDb          This article about an American television actor or actress born in the 1960s is a stub . You can help Wikipedia by expanding it .            Retrieved from `` https://en.wikipedia.org/w/index.php?title=Renee_Lawless&amp;oldid=821191650 '' Categories :   Living people   1960 births   American musical theatre actresses   American stage actresses   American television actresses   American soap opera actresses   People from Knoxville , Tennessee   Actresses from Atlanta   Stetson University alumni   University of Cincinnati -- College - Conservatory of Music alumni   American television actor , 1960s birth stubs   Hidden categories :   Articles with hCards   All stub articles           Talk                                                             About Wikipedia                                           Add links   This page was last edited on 18 January 2018 , at 23 : 16 .         About Wikipedia                    </t>
  </si>
  <si>
    <t xml:space="preserve">who plays catherine on the haves and the have nots</t>
  </si>
  <si>
    <t xml:space="preserve"> Renee Lawless - Orsini ( born November 30 , 1960 ) is an American actress and singer . She is currently starring as the bitter and distant matriarch , Katheryn Cryer , in the OWN drama series The Haves and the Have Nots . </t>
  </si>
  <si>
    <t xml:space="preserve">Jumanji : Welcome to the Jungle - wikipedia  Jumanji : Welcome to the Jungle     Jumanji : Welcome to the Jungle     Theatrical release poster     Directed by   Jake Kasdan     Produced by     Matt Tolmach   William Teitler       Screenplay by     Chris McKenna   Erik Sommers   Scott Rosenberg   Jeff Pinkner       Story by   Chris McKenna     Based on   Jumanji by Chris Van Allsburg     Starring     Dwayne Johnson   Jack Black   Kevin Hart   Karen Gillan   Nick Jonas   Bobby Cannavale       Music by   Henry Jackman     Cinematography   Gyula Pados     Edited by     Mark Helfrich   Steve Edwards       Production company     Columbia Pictures   Matt Tolmach Productions   Radar Pictures   Seven Bucks Productions       Distributed by   Sony Pictures Releasing     Release date     December 5 , 2017 ( 2017 - 12 - 05 ) ( Grand Rex )   December 20 , 2017 ( 2017 - 12 - 20 ) ( United States )             Running time   119 minutes     Country   United States     Language   English     Budget   $90 -- 150 million     Box office   $962.3 million     Jumanji : Welcome to the Jungle is a 2017 American adventure comedy film directed by Jake Kasdan and written by Chris McKenna , Erik Sommers , Scott Rosenberg , and Jeff Pinkner , based on a story by McKenna . Part of the Jumanji franchise , the film is a sequel to the 1995 Jumanji , which was based on the 1981 children 's book of the same name by Chris Van Allsburg . It pays tribute to Robin Williams , the star of the first film , by mentioning his character 's name . In addition , a replica of the board game piece used by Williams ' character also appears as a clue for the Jumanji game 's new players . The film stars Dwayne Johnson , Jack Black , Kevin Hart , Karen Gillan , Nick Jonas , and Bobby Cannavale . Set twenty - one years after Jumanji , it follows four teenagers who are transported into the video game world of Jumanji and play as their chosen characters . Joining another player , they must overcome the game 's magical power to win and return home .   Principal photography began in Honolulu in September 2016 and ended in Atlanta in December . Jumanji : Welcome to the Jungle premiered at the Grand Rex in Paris on December 5 , 2017 , and was theatrically released in the United States on December 20 in RealD 3D and IMAX . The film received generally positive reviews from critics , who called it a `` pleasant surprise '' and praised the cast . It grossed over $962 million worldwide , becoming the fifth - highest - grossing film of 2017 and the 42nd - highest - grossing film of all time . A sequel is scheduled to be released on December 19 , 2019 .   Contents    1 Plot   2 Cast   2.1 Players   2.2 Game   2.3 Reality     3 Production   3.1 Development   3.2 Filming     4 Release   4.1 Home media     5 Reception   5.1 Box office   5.2 Critical response   5.3 Accolades     6 Sequel   7 References   8 External links    Plot ( edit )   In 1996 in Brantford , New Hampshire , teenager Alex Vreeke receives the Jumanji board game which was found by his father on a beach . Alex sets the game aside . That night , it transforms into a video game cartridge which catches Alex 's attention when he is awakened by the Jumanji drums and he is transported into the game .   Twenty years later , in 2016 , four Brantford High School students serve detention : Spencer Gilpin , caught writing an essay for former friend Anthony `` Fridge '' Johnson ( also in detention ) ; Bethany Walker , who answered a video call during an English - class quiz and Martha Kaply , who refused to participate in gym class . They are sent to the school basement to prepare magazines for recycling and to think about their future . Fridge discovers Alex 's discarded video - game system when he explores the basement , and he and Spencer set up the game . Although it has five playable characters , the first one can not be selected . Spencer and Fridge choose two characters , and the girls choose their own . When Spencer presses `` Start '' , they are transported into the game .   They are in a jungle , in the forms of their game avatars . Spencer is tough , muscular explorer and archaeologist Smolder Bravestone ; Fridge is diminutive zoologist Franklin `` Mouse '' Finbar , whom he chose after misreading `` Mouse '' as `` Moose '' ; Bethany is a chubby male cartographer and intellectual Sheldon `` Shelly '' Oberon ( whose nickname she mistook for a woman 's ) , and Martha is beautiful commando and martial arts expert Ruby Roundhouse . They each have three lives ; Spencer deduces that if they lose all three , they die in real life .   They learn the game 's story from NPC Nigel : corrupt archeologist Russel Van Pelt stole the Jaguar 's Eye ( a magic jewel ) from its shrine , cursing Jumanji . Nigel escaped Van Pelt with the jewel , and the players must return it to a jaguar statue and call `` Jumanji '' to lift the curse . Nigel warns them that Van Pelt will stop at nothing to retrieve the jewel , which gives him control of Jumanji 's animals . They begin tackling the game 's increasingly - difficult `` levels '' , losing lives as they do so . The four are rescued by Alex ( the missing fifth player , whose avatar is pilot Jefferson `` Seaplane '' McDonough ) . Taking shelter in a jungle house built by the game 's previous player Alan Parrish , Alex believes that he has been in the game for a few months and is distressed to learn that it is really twenty years . The newcomers vow to help him return home . They break into a transportation shed , commandeering a helicopter to fly to the jaguar statue and return the jewel , but Fridge drops the jewel into a herd of white rhinoceros . Spencer uses one of Fridge 's lives , pushing him out of the helicopter as a distraction , and retrieves the jewel . Alex loses his last life when a mosquito bites him , but Bethany performs CPR and transfers one of her lives to him .   At the statue , the players are surrounded by a pack of jaguars and Van Pelt 's forces . They outmaneuver their opposition while Spencer and Martha race to the statue . Van Pelt confronts Martha ( trapped in a pit of mambas ) and demands the jewel , but she sacrifices one of her lives to re-spawn and get it to Spencer . With the players on their last lives , they end the game with Van Pelt disintegrating into a bunch of rats and return to the real world , but Alex does not appear with them . They find the formerly - dilapidated Vreeke home restored and decorated for a Christmas family gathering . An adult Alex arrives , having had returned to where he left off in 1996 . Now married with children , he named his eldest daughter after Bethany out of gratitude for saving his life and introduces them to his infant son , Andy .   Spencer and Fridge reconcile , Bethany begins caring for others more than herself and plans a summer backpacking adventure , Martha and Spencer become romantically involved and the four are now friends after their experiences in the game . When they hear Jumanji 's drumbeats , they bring the game behind the school and Fridge destroys it with a bowling ball ( also found in detention ) to prevent anyone from playing it again .   Cast ( edit )   Players ( edit )    Dwayne Johnson as Smolder Bravestone , an Indiana Jones - like archaeologist and explorer who is Spencer 's avatar ; he is the leader of his team .   Alex Wolff as Spencer Gilpin , a nerdy gamer at Brantford High School . Panphobic ; his experience as Smolder Bravestone helps him cope with his anxiety and develop assertiveness .     Jack Black as Sheldon `` Shelly '' Oberon , a cartographer , cryptographer , archaeologist , and paleontologist who is Bethany 's male avatar .   Madison Iseman as Bethany Walker , a pretty , popular , self - centered teenage girl at Brantford High School .     Kevin Hart as Franklin `` Mouse '' Finbar , a zoologist and weapons specialist who is Fridge 's avatar .   Ser'Darius Blain as Anthony `` Fridge '' Johnson , a Brantford High School football jock coasting on his athletic prowess who cares more about dating than studying .     Karen Gillan as Ruby Roundhouse , a Lara Croft - like martial artist , and dance fighter who is Martha 's avatar .   Morgan Turner as Martha Kaply , a shy and cynical intellectual at Brantford High School who believes that physical education is needless and who dislikes popular peers like Bethany and Fridge .     Nick Jonas as Jefferson `` Seaplane '' McDonough , a young aircraft pilot in Jumanji who is Alex Vreeke 's avatar .   Mason Guccione as Alex Vreeke , a teenage gamer who was trapped inside the Jumanji video game for two decades .   Colin Hanks plays the adult Alex when he appears two decades later .      Game ( edit )    Bobby Cannavale as Russel Van Pelt , an archeologist - turned - mercenary and an enemy of Smolder Bravestone . He tries to retrieve the Jaguar 's Eye , whose power possesses him .   Rhys Darby as Nigel Billingsley , the main guide .   William Tokarsky as a food vendor .   Rohan Chand as a young guide at the bazaar .    Reality ( edit )    Marc Evan Jackson as Principal Bentley , who makes Spencer , Bethany , Fridge , and Martha clean up the basement as part of their detention .   Carlease Burke as Miss Mathers , Spencer and Fridge 's U.S. History teacher .   Sean Buxton as Mr. Vreeke , Alex 's father who discovered the Jumanji game .   Tim Matheson ( uncredited ) as Old Man Vreeke . His narration at the beginning of the film implies that seeing his son teleported into the game had traumatized him . After Alex 's return to him , he is a happy family man and close to his son and grandchildren .     Maribeth Monroe as Bethany 's English teacher .   Missi Pyle as Coach Webb ; Martha , Spencer and Bethany 's gym teacher .   Kat Altman as Lucinda , Bethany 's friend .   Marin Hinkle as Mrs. Gilpin , Spencer 's mother .   Tracey Bonner as Mrs. Johnson , Fridge 's mother .   Natasha Charles Parker as Mrs. Walker , Bethany 's mother .   Michael Shacket as Fussfeld , a friend of Spencer at Brantford High School who is infatuated with Bethany .    Production ( edit )   Development ( edit )   In July 2012 , rumors circulated that a remake of Jumanji was in development . In an interview with The Hollywood Reporter , Columbia Pictures president Doug Belgrad said : `` We 're going to try and reimagine Jumanji and update it for the present . '' On August 1 , 2012 , it was confirmed that Matthew Tolmach would produce the new version with William Teitler ( who produced the original film ) .   In August 2015 , Sony Pictures Entertainment announced that the film was scheduled for release on December 25 , 2016 . Online reception to the news was negative , with some saying that the announcement came too soon after the August 2014 death of Robin Williams ( who played Alan Parrish in the original film ) . The announcement was criticized by Bradley Pierce ( who played Peter Shepherd in Jumanji ) and by E ! News , which called the remake `` unnecessary and kind of insulting '' . On October 23 , 2015 , Scott Rosenberg was hired to rewrite the script for the film , whose production was a high priority for the studio . On January 14 , 2016 , Deadline Hollywood reported that Jake Kasdan had been hired to direct the film from a script by Rosenberg and Jeff Pinkner based on a draft by original writers Chris McKenna and Erik Sommers .   On April 15 , Variety reported that Dwayne Johnson and Kevin Hart were in early talks to star in the film ( although both actors had other projects ) . Later in the month , Johnson confirmed his casting on Instagram . In July , it was reported that Nick Jonas had joined the film 's cast with Johnson , Hart , and Jack Black . The following month , Johnson said that the film would not be a reboot but a continuation of the 1995 film ; Karen Gillan was announced as part of the cast . On September 20 , Ser'Darius Blain was cast as Anthony `` Fridge '' Johnson and Madison Iseman as Bethany Walker . Two days later , Rhys Darby was cast as Nigel Billingsley , Morgan Turner as Martha Kaply , and Alex Wolff as Spencer Gilpin . In November 2016 , Bobby Cannavale announced his casting in the film , and in December 2016 , Tim Matheson joined the cast as Old Man Vreeke . Although James Newton Howard was originally signed to compose the film 's score , he was replaced by Henry Jackman when the film 's release date was postponed six months .   In March 2017 , during CinemaCon , it was announced that the film 's complete title was Jumanji : Welcome to the Jungle . Its plot involved teenagers cleaning out a school 's basement who find a vintage video - game version of Jumanji and are sucked into the first film 's jungle setting . Although fans debated whether the film was a sequel or a reboot , the second trailer ( released on September 20 , 2017 ) indicated that the sequel is set 21 years after the first .   Filming ( edit )   Principal photography began on September 19 , 2016 , in Honolulu , Hawaii , primarily at the Kualoa Ranch nature reserve . The film wrapped on December 8 in Atlanta , Georgia .   Release ( edit )   In August 2015 , Sony gave the film a release date of December 25 , 2016 . Since filming did not begin until September 2016 , the release was pushed back to July 28 and then to December 20 , 2017 .   On November 29 , 2017 , it was announced that Amazon Prime members in the United States would have early access to tickets for a December 8 screening of the film at select Regal , National Amusements , ArcLight Cinemas and AMC theaters . The screenings sold out at 1,200 theaters and earned $1.9 million . The film was released on IMAX 2D on January 12 , 2018 .   Home Media ( edit )   Jumanji : Welcome to the Jungle was released on Digital HD on March 6 , 2018 and on DVD , Blu - ray and 4K Ultra HD Blu - ray on March 20 , although the film was still in theatres . The Blu - ray and digital versions include two additional featurettes : `` Surviving the Jungle : Spectacular Stunts ! '' and `` Book to Board Game to Big Screen &amp; Beyond ! Celebrating The Legacy of Jumanji . ''   Reception ( edit )   Box Office ( edit )   Jumanji : Welcome to the Jungle grossed $404.5 million in the United States and Canada and $557.7 million in other territories , for a worldwide total of $962.2 million . On April 10 , 2018 , the film passed Spider - Man ( $403.7 million ) to become Sony 's highest - grossing film domestically . Deadline Hollywood calculated its net profit as $305.7 million when factoring all expenses and revenues , making it 2017 's fourth-most - profitable release .   In the U.S. and Canada , the film was released on December 20 , 2017 with The Greatest Showman and was projected to gross about $60 million from 3,765 theaters in its six - day opening weekend ; the studio predicted a $45 million debut . It earned $7.2 million on its first day and $7.6 million on its second day . Over the three - day weekend , the film grossed $36.2 million ( for a six - day total of $71.9 million ) , finishing second at the box office behind Star Wars : The Last Jedi . Its weekend - only earnings increased to $50.1 million during its second weekend , again finishing in second place at the box office . The 38.4 - percent weekend - to - weekend increase was the fourth - largest for a film playing in over 3,000 theaters ; The Greatest Showman set the record for best hold the same weekend . The film passed Star Wars : The Last Jedi for the top spot the following weekend , declining 28.1 percent to $36 million , and finished first again the following week with $28.1 million ( and a total of $35.2 million over the four - day MLK weekend ) . Jumanji : Welcome to the Jungle remained atop the box office for its third weekend , earning $19.5 million .   It again topped the box office for a fourth consecutive week ( its sixth week overall in theatres ) with $20 million , easily surpassing new releases 12 Strong and Den of Thieves ( both films finished their entire run with box office lower than Jumanji : Welcome ... grossed in its first 10 days ) . The film continued to do well the following week , dropping 16 percent ( to $16.4 million ) and finishing second to Maze Runner : The Death Cure , before regaining the top spot for a fifth time the following weekend with $11.1 million .   Critical response ( edit )   On review aggregator website Rotten Tomatoes , the film holds an approval rating of 76 % based on 189 reviews ( 143 fresh and 46 rotten ) , and an average rating of 6.1 / 10 . The website 's critical consensus reads , `` Jumanji : Welcome to the Jungle uses a charming cast and a humorous twist to offer an undemanding yet solidly entertaining update on its source material . '' On Metacritic , which assigns a weighted average , the film has a normalized score of 58 out of 100 , based on 44 critics , indicating `` mixed or average reviews . '' Audiences polled by CinemaScore gave the film an average grade of `` A -- '' on an A+ to F scale , while PostTrak reported filmgoers gave it an 84 % overall positive score .   Dave White of TheWrap praised the cast and called the film a pleasant surprise : `` Jumanji : Welcome to The Jungle is the Christmas tentpole release that aims to please and succeeds , a funny family entertainment product that subverts more expectations than it was obligated to contractually '' . David Ehrlich of IndieWire gave the film a C grade , calling it unnecessary but mildly amusing : `` Jumanji : Welcome to the Jungle is further proof that even the stalest whiff of brand recognition has become preferable to originality . Only part of the blame for that belongs to the studios but after cannibalizing themselves for much of the last 20 years , Hollywood has clearly eaten their way down to the crumbs '' . For Variety , Owen Gleiberman wrote : `` Excitement ! Suspense ! Childlike innocence ! Ingeniously staged action set pieces ! These are a few of the things you will not find , anywhere , in Jumanji : Welcome to the Jungle ... It 's supposed to be a board game come to life but really , it 's just a bored game . ''   Accolades ( edit )     Award   Date of ceremony     Recipient ( s ) and nominee ( s )   Result   Ref .     Kids Choice Awards   March 2018   Kids Choice Awards for Favorite Movie   Jumanji : Welcome to the Jungle   Won       Kids Choice Awards for Favorite Actor   Dwayne Johnson   Won     Kevin Hart   Nominated     MTV Movie &amp; TV Awards   June 16 , 2018   Best Comedic Performance   Jack Black   Nominated       Best On - Screen Team   Dwayne Johnson , Kevin Hart , Jack Black , Karen Gillan and Nick Jonas   Nominated       Saturn Awards   June 27 , 2018   Best Fantasy Film   Jumanji : Welcome to the Jungle   Nominated       Teen Choice Awards   August 12 , 2018   Choice Comedy Movie   Pending       Choice Comedy Movie Actress   Karen Gillan     Choice Comedy Movie Actor   Dwayne Johnson     Jack Black     Kevin Hart     Sequel ( edit )   Dwayne Johnson , Jack Black and Nick Jonas discussed Jumanji 3 's plot in interviews , including the possibility of the film 's exploring the origins of the game . According to Karen Gillan , the alternate ending of Jumanji : Welcome to the Jungle would have left the door open for another installment . In February 2018 , it was announced that Kasdan would direct the sequel , with Rosenberg and Pinkner again writing the script and Johnson , Hart , Black and Gillan reprising their roles . The film is slated to be released December 13 , 2019 .   References ( edit )    ^ Jump up to : filmmusicreporter ( May 15 , 2017 ) . `` Henry Jackman to Score ' Jumanji : Welcome to the Jungle ' '' . Film Music Reporter . Archived from the original on July 9 , 2017 . Retrieved May 16 , 2017 .   ^ Jump up to : `` Film releases '' . Variety Media . Archived from the original on February 18 , 2017 . Retrieved January 6 , 2017 .   ^ Jump up to : `` Jumanji : Welcome to the Jungle ( PG ) '' . British Board of Film Classification . Retrieved December 7 , 2017 .   ^ Jump up to : D'Alessandro , Anthony ( December 26 , 2017 ) . `` ' Last Jedi ' Now At $99 M , ' Jumanji ' Huge At $72 M+ ; ' All The Money In The World ' Opens To $2.6 M -- Christmas Weekend '' . Deadline Hollywood . Penske Business Media . Retrieved December 26 , 2017 .   Jump up ^ `` 2017 Feature Film Study '' ( PDF ) . FilmL. A. August 8 , 2018 : Page 24 . Retrieved August 9 , 2018 .   ^ Jump up to : `` Jumanji : Welcome to the Jungle ( 2017 ) '' . Box Office Mojo . IMDb . Retrieved June 25 , 2018 .   Jump up ^ Fullerton , Huw ( December 20 , 2017 ) . `` There 's a touching tribute to Robin Williams in the new Jumanji film '' . Radio Times . Immediate Media Company . Retrieved April 23 , 2018 .   Jump up ^ Giles , Jeff ( December 21 , 2017 ) . `` Jumanji : Welcome to the Jungle is Certified Fresh '' . Rotten Tomatoes . Fandango Media . Retrieved December 21 , 2017 .   Jump up ^ Coggan , Devan ( June 29 , 2017 ) . `` Dwayne Johnson , Jack Black go wild in first Jumanji : Welcome to the Jungle trailer '' . Entertainment Weekly . Time . Archived from the original on June 29 , 2017 . Retrieved June 29 , 2017 .   Jump up ^ Hernandez , Esteban L. `` ' Jumanji ' Reboot In The Works '' . What 's Trending . Disrupt / Group . Archived from the original on October 24 , 2013 . Retrieved April 23 , 2018 .   Jump up ^ Gallagher , Brian ( August 1 , 2012 ) . `` Jumanji Reboot Lands Producer Matthew Tolmach '' . MovieWeb . Watchr Media . Archived from the original on December 27 , 2014 . Retrieved April 23 , 2018 .   Jump up ^ CS ( August 5 , 2015 ) . `` Sony Pictures Dates 16 Films Through 2019 ! '' . ComingSoon.net . CraveOnline Media . Archived from the original on August 7 , 2015 . Retrieved October 25 , 2015 .   Jump up ^ Hanks , Henry ( August 7 , 2015 ) . `` They 're remaking ' Jumanji , ' and the Internet rage is real '' . CNN . Archived from the original on October 23 , 2015 . Retrieved October 25 , 2015 .   Jump up ^ Pulver , Andrew ( August 7 , 2015 ) . `` ' Is nothing sacred ? ' : Twitter responds to news of Jumanji remake '' . The Guardian . Guardian News and Media . Archived from the original on October 25 , 2015 . Retrieved October 25 , 2015 .   Jump up ^ Mullins , Jenna ( August 6 , 2015 ) . `` People Are Livid About This Jumanji Remake , and We Do n't Blame Them '' . E ! News . E !. Archived from the original on October 29 , 2015 . Retrieved October 25 , 2015 .   Jump up ^ Faherty , Allanah . `` Do n't Worry Internet , Star of the Original ' Jumanji ' Movie Does n't Believe Sony Should Reboot the Film Either '' . Moviepilot . Retrieved October 25 , 2015 .   Jump up ^ Busch , Anita ( October 23 , 2015 ) . `` Scott Rosenberg Comes Aboard ' Jumanji ' For Columbia Pictures '' . Deadline Hollywood . Penske Business Media . Archived from the original on October 25 , 2015 . Retrieved October 25 , 2015 .   Jump up ^ Fleming , Mike Jr . ( January 14 , 2016 ) . `` Jake Kasdan To Helm ' Jumanji ' Reboot For Sony '' . Deadline Hollywood . Penske Business Media . Archived from the original on January 15 , 2016 . Retrieved January 16 , 2016 .   ^ Jump up to : Kroll , Justin ( April 15 , 2016 ) . `` Kevin Hart , Dwayne Johnson Circling ' Jumanji ' Reimagining ( EXCLUSIVE ) '' . Variety . Penske Business Media . Archived from the original on April 24 , 2016 . Retrieved April 25 , 2016 .   Jump up ^ Evry , Max ( April 22 , 2016 ) . `` Dwayne Johnson Officially Boards Jumanji Remake '' . ComingSoon.net . CraveOnline Media . Archived from the original on April 25 , 2016 . Retrieved April 25 , 2016 .   Jump up ^ Fleming , Mike Jr . ( July 28 , 2016 ) . `` Nick Jonas In Talks To Join ' Jumanji ' Movie '' . Deadline Hollywood . Penske Business Media . Archived from the original on July 29 , 2016 . Retrieved July 29 , 2016 .   Jump up ^ `` Dwayne Johnson Says Jumanji Will Not be a Reboot '' . ComingSoon.net . CraveOnline Media . August 21 , 2016 . Archived from the original on August 22 , 2016 . Retrieved August 22 , 2016 .   Jump up ^ Hipes , Patrick ( August 30 , 2016 ) . `` Karen Gillan Game For Big Role In ' Jumanji ' Alongside Dwayne Johnson &amp; Kevin Hart '' . Deadline Hollywood . Penske Business Media . Archived from the original on August 31 , 2016 . Retrieved August 31 , 2016 .   Jump up ^ N'Duka , Amanda ( September 20 , 2016 ) . `` Sony 's ' Jumanji ' Adds Two More Players Alongside Dwayne Johnson &amp; Kevin Hart '' . Deadline Hollywood . Penske Business Media . Archived from the original on September 23 , 2016 . Retrieved September 24 , 2016 .   Jump up ^ N'Duka , Amanda ( September 22 , 2016 ) . `` ' Jumanji ' Sequel Casts Rhys Darby and Morgan Turner '' . Deadline Hollywood . Penske Business Media . Archived from the original on September 23 , 2016 . Retrieved September 24 , 2016 .   Jump up ^ Kit , Borys ( September 23 , 2016 ) . `` Dwayne Johnson 's ' Jumanji ' Sequel Adds ' Naked Brothers Band ' Star '' . The Hollywood Reporter . Prometheus Global Media . Archived from the original on September 24 , 2016 . Retrieved September 24 , 2016 .   Jump up ^ Cannavale , Bobby ( November 29 , 2016 ) . `` I 'm confused by my costume today # setlife # jumanji '' . Instagram . Archived from the original on January 16 , 2017 . Retrieved December 6 , 2016 .   Jump up ^ Hipes , Patrick ( December 6 , 2016 ) . `` Tim Matheson On Board For ' Jumanji ' Alongside Dwayne Johnson '' . Deadline Hollywood . Penske Business Media . Archived from the original on December 22 , 2016 . Retrieved December 26 , 2016 .   Jump up ^ filmmusicreporter ( October 6 , 2016 ) . `` James Newton Howard to Score Jake Kasdan 's ' Jumanji ' Sequel '' . Film Music Reporter . Archived from the original on October 9 , 2016 . Retrieved October 6 , 2016 .   Jump up ^ Trumbore , Dave ( September 15 , 2016 ) . `` Jumanji Starts Production and The Rock Shares a Set Video '' . Collider . Complex Media . Retrieved September 16 , 2016 .   Jump up ^ Delahaye , Julie ( January 8 , 2018 ) . `` How to explore the real Jumanji jungle where you can have your own adventure '' . The Daily Mirror . MGN . Retrieved March 11 , 2018 .   Jump up ^ Brett , Jennifer ( December 8 , 2016 ) . `` '' Jumanji '' with Kevin Hart , Jack Black and The Rock wraps in Atlanta `` . The Atlanta Journal - Constitution . Cox Media Group . Retrieved December 9 , 2017 .   Jump up ^ Kroll , Justin ( August 5 , 2015 ) . `` Sony Dates 16 Films Including Two More ' Bad Boys ' Sequels , ' Jumanji ' Remake '' . Variety . Penske Business Media . Archived from the original on October 13 , 2015 . Retrieved October 25 , 2015 .   Jump up ^ Tartaglione , Nancy ( November 29 , 2017 ) . `` ' Jumanji : Welcome To The Jungle ' To Swing In Early For Amazon Prime Members '' . Deadline Hollywood . Penske Business Media . Retrieved November 29 , 2017 .   Jump up ^ D'Alessandro , Anthony ( December 14 , 2017 ) . `` ' Jumanji : Welcome To The Jungle ' Amazon Prime Sneaks Sell Out Grossing Near $2 M '' . Deadline Hollywood . Penske Business Media . Retrieved December 15 , 2017 .   Jump up ^ Latchem , John ( February 9 , 2018 ) . `` ' Jumanji : Welcome to the Jungle ' on Home Video in March '' . Media Play News . JCH Media . Retrieved March 11 , 2018 .   Jump up ^ D'Alessandro , Anthony ( March 26 , 2018 ) . `` No. 4 ' Jumanji : Welcome To The Jungle ' Box Office Profits -- 2017 Most Valuable Blockbuster Tournament '' . Deadline Hollywood . Penske Business Media . Retrieved March 26 , 2018 .   Jump up ^ D'Alessandro , Anthony ( November 28 , 2017 ) . `` Does 2017 's Domestic Box Office Stand A Chance To Eclipse Last Year 's All - Time $11.4 B Record ? '' . Deadline Hollywood . Penske Business Media . Retrieved November 29 , 2017 .   Jump up ^ McClintock , Pamela ( November 30 , 2017 ) . `` ' Jumanji : Welcome to the Jungle ' Tracking for Strong $60 M Christmas Debut '' . The Hollywood Reporter . Prometheus Global Media . Retrieved November 30 , 2017 .   Jump up ^ D'Alessandro , Anthony ( December 31 , 2017 ) . `` ' Last Jedi ' Has Upper Hand Over ' Jumanji ' In New Year 's Weekend Duel As 2017 B.O. Closes With $11.1 B -- Monday Update '' . Deadline Hollywood . Penske Business Media . Retrieved January 1 , 2018 .   Jump up ^ `` Smallest Second Weekend Drops : 1982 - Present '' . Box Office Mojo . IMDb . Retrieved January 3 , 2018 .   Jump up ^ Mendelson , Scott ( December 31 , 2017 ) . `` Hugh Jackman 's ' The Greatest Showman ' Just Set A New Box Office Record '' . Forbes . Retrieved January 1 , 2018 .   Jump up ^ D'Alessandro , Anthony ( January 7 , 2018 ) . `` ' Jumanji ' Goes Wild With $36 M ; ' Insidious ' Rises To $29 M+ -- Sunday AM B.O. Update '' . Deadline Hollywood . Penske Business Media . Retrieved January 7 , 2018 .   Jump up ^ D'Alessandro , Anthony ( January 14 , 2018 ) . `` ' Jumanji ' Roars To $34 M ; ' The Post ' Still The Most With $22 M+ ; ' The Commuter ' Punches $16 M : MLK Weekend Box Office Update '' . Deadline Hollywood . Penske Business Media . Retrieved January 14 , 2018 .   Jump up ^ D'Alessandro , Anthony ( January 21 , 2018 ) . `` January Slows As ' Jumanji ' Takes No. 1 For 3rd Weekend With $19 M To $20 M ; Older Guy Pics ' 12 Strong ' &amp; ' Den Of Thieves ' In Mid-Teens '' . Deadline Hollywood . Penske Business Media . Retrieved February 2 , 2018 .   Jump up ^ D'Alessandro , Anthony ( January 21 , 2018 ) . `` January Slows As ' Jumanji ' Takes No. 1 For 3rd Weekend With $19 M To $20 M ; Older Guy Pics ' 12 Strong ' &amp; ' Den Of Thieves ' In Mid-Teens '' . Deadline Hollywood . Penske Business Media . Retrieved January 21 , 2018 .   Jump up ^ D'Alessandro , Anthony ( January 28 , 2018 ) . `` Fox Controls Close To 40 % Of Weekend B.O. Led By ' Maze Runner ' &amp; Oscar Holdovers ; ' Hostiles ' Gallops Past $10 M '' . Deadline Hollywood . Penske Business Media . Retrieved January 28 , 2018 .   Jump up ^ D'Alessandro , Anthony ( February 4 , 2018 ) . `` ' Jumanji ' Poised To Be Dwayne Johnson 's Highest Grossing Pic Of All - Time Stateside After Super Bowl Weekend Rebound '' . Deadline Hollywood . Penske Business Media . Retrieved February 4 , 2018 .   Jump up ^ `` Jumanji : Welcome to the Jungle ( 2017 ) '' . Rotten Tomatoes . Fandango Media . Retrieved June 15 , 2018 .   Jump up ^ `` Jumanji : Welcome to the Jungle Reviews '' . Metacritic . CBS Interactive . Retrieved January 17 , 2018 .   Jump up ^ White , David ( December 19 , 2017 ) . `` ' Jumanji : Welcome to the Jungle ' Film Review : A Mainstream Moviegoing Miracle '' . TheWrap . Retrieved December 19 , 2017 .   Jump up ^ Ehrlich , David ( December 8 , 2017 ) . `` ' Jumanji : Welcome to the Jungle ' Review : A Robin Williams Relic Is Reborn as a Mildly Amusing Video Game Movie '' . IndieWire . Penske Business Media . Retrieved December 9 , 2017 .   Jump up ^ Gleiberman , Owen ( December 8 , 2017 ) . `` Film Review : ' Jumanji : Welcome to the Jungle ' '' . Variety . Penske Business Media . Retrieved December 9 , 2017 .   Jump up ^ Farber , Lindsay ( February 26 , 2018 ) . `` Nickelodeon 's Kids ' Choice Awards 2018 : Watch Host John Cena Announce the Favorite Movie Nominees '' . E ! News . E !. Retrieved March 27 , 2018 .   Jump up ^ McNary , Dave ( March 15 , 2018 ) . `` ' Black Panther , ' ' Walking Dead ' Rule Saturn Awards Nominations '' . Variety . Penske Business Media . Archived from the original on March 15 , 2018 . Retrieved March 15 , 2018 .   Jump up ^ Keyes , Rob ( December 21 , 2017 ) . `` Nick Jonas Has A Funny Idea For The Next Jumanji Sequel '' . Screen Rant . Retrieved April 23 , 2018 .   Jump up ^ Dolloff , Matt ( December 22 , 2017 ) . `` Jack Black Has A Great Idea For Jumanji 3 '' . Screen Rant . Retrieved April 23 , 2018 .   Jump up ^ Isaac , Christopher ( December 25 , 2017 ) . `` Here 's Who Jumanji 's Stars Want to See in Jumanji 3 '' . Screen Rant . Retrieved April 23 , 2018 .   Jump up ^ Evangelista , Chris ( December 27 , 2017 ) . `` The ' Jumanji : Welcome to the Jungle ' Cast Have ' Jumanji 3 ' Ideas , Plus an Alternate Ending for the New Sequel '' . / Film . Retrieved April 23 , 2018 .   Jump up ^ Fleming , Mike Jr . ( February 6 , 2018 ) . `` Scott Rosenberg &amp; Jeff Pinkner To Write ' Jumanji : Welcome To The Jungle ' Sequel '' . Deadline Hollywood . Penske Business Media . Retrieved February 6 , 2018 .   Jump up ^ Harp , Justin ( April 24 , 2018 ) . `` Dwayne Johnson 's Jumanji : Welcome to the Jungle sequel drops first teaser as US release date is confirmed '' . Digital Spy .    External links ( edit )    Jumanji : Welcome to the Jungle on IMDb   Official site -- Sony Pictures              Jumanji by Chris Van Allsburg     Books     Jumanji   Zathura       Films     Jumanji   Jumanji : Welcome to the Jungle       Television     Jumanji   episodes         Related     Zathura : A Space Adventure                 Films directed</t>
  </si>
  <si>
    <t xml:space="preserve">jumanji welcome to the jungle is it a sequel</t>
  </si>
  <si>
    <t xml:space="preserve"> Jumanji : Welcome to the Jungle is a 2017 American adventure comedy film directed by Jake Kasdan and written by Chris McKenna , Erik Sommers , Scott Rosenberg , and Jeff Pinkner , based on a story by McKenna . Part of the Jumanji franchise , the film is a sequel to the 1995 Jumanji , which was based on the 1981 children 's book of the same name by Chris Van Allsburg . It pays tribute to Robin Williams , the star of the first film , by mentioning his character 's name . In addition , a replica of the board game piece used by Williams ' character also appears as a clue for the Jumanji game 's new players . The film stars Dwayne Johnson , Jack Black , Kevin Hart , Karen Gillan , Nick Jonas , and Bobby Cannavale . Set twenty - one years after Jumanji , it follows four teenagers who are transported into the video game world of Jumanji and play as their chosen characters . Joining another player , they must overcome the game 's magical power to win and return home . </t>
  </si>
  <si>
    <r>
      <rPr>
        <sz val="11"/>
        <color rgb="FF000000"/>
        <rFont val="Calibri"/>
        <family val="0"/>
        <charset val="1"/>
      </rPr>
      <t xml:space="preserve">Dragon Ball Z : Battle of Gods - wikipedia  Dragon Ball Z : Battle of Gods     Dragon Ball Z : Battle of Gods     Japanese release poster     Directed by   Masahiro Hosoda     Produced by   Rioko Tominaga Gyarmath Bogdan     Screenplay by   Akira Toriyama     Story by   Akira Toriyama     Based on   Dragon Ball by Akira Toriyama     Starring   Masako Nozawa Kōichi Yamadera Masakazu Morita Masaharu Satō Hiromi Tsuru Mayumi Tanaka Ryō Horikawa Toshio Furukawa Tōru Furuya Takeshi Kusao Jōji Yanami     Music by   Norihito Sumitomo     Edited by   Shinichi Fukumitsu     Production company   Toei Animation     Distributed by   Toei Company 20th Century Fox     Release date     March 30 , 2013 ( 2013 - 03 - 30 ) ( Japan )               Running time   85 minutes ( theatrical ) 105 minutes ( Fuji TV )     Country   Japan     Language   Japanese     Box office   $52,761,356     Dragon Ball Z : Battle of Gods ( Japanese : </t>
    </r>
    <r>
      <rPr>
        <sz val="11"/>
        <color rgb="FF000000"/>
        <rFont val="Noto Sans CJK SC"/>
        <family val="2"/>
      </rPr>
      <t xml:space="preserve">ドラゴンボール </t>
    </r>
    <r>
      <rPr>
        <sz val="11"/>
        <color rgb="FF000000"/>
        <rFont val="Calibri"/>
        <family val="0"/>
        <charset val="1"/>
      </rPr>
      <t xml:space="preserve">Z </t>
    </r>
    <r>
      <rPr>
        <sz val="11"/>
        <color rgb="FF000000"/>
        <rFont val="Noto Sans CJK SC"/>
        <family val="2"/>
      </rPr>
      <t xml:space="preserve">神 と 神 </t>
    </r>
    <r>
      <rPr>
        <sz val="11"/>
        <color rgb="FF000000"/>
        <rFont val="Calibri"/>
        <family val="0"/>
        <charset val="1"/>
      </rPr>
      <t xml:space="preserve">, Hepburn : Doragon Bōru Zetto : Kami to Kami , lit . `` Dragon Ball Z : God and God '' ) is a 2013 Japanese animated science fantasy action film , the eighteenth feature film based on the Dragon Ball series , and the fourteenth to carry the Dragon Ball Z branding , released in theaters on March 30 . It is the first Dragon Ball movie in 17 years to have a theatrical release , the last being the tenth anniversary movie in 1996 , which followed the first three Dragon Ball films and the thirteen Dragon Ball Z films . Unlike previous theatrical Dragon Ball releases , this was a full feature - length production with a stand - alone release and not shown as part of the now - discontinued Toei Anime Fair ( formerly the Toei Manga Matsuri ) .   It is the first - ever Japanese film to be screened at IMAX Digital Theaters , and was released on Blu - ray and DVD on September 13 , 2013 . Funimation acquired the North American rights to Battle of Gods and produced an English dub that they co-released with 20th Century Fox in North American cinemas in August 2014 . Madman Entertainment acquired the Australasian rights and screened the movie at the 2013 Japanese Film Festival in Australia before screening the English dub to select theaters in August 2014 , and Manga Entertainment released the film in the United Kingdom in November 2014 .   Battle of Gods was the first film considered an official part of the Dragon Ball storyline , being set during the time skip in chapter 517 of the original manga , with original creator Akira Toriyama deeply involved . The plot involves Beerus , the God of Destruction , learning of the defeat of the galactic overlord Frieza at the hands of Goku . Seeking an opponent worthy of his power , Beerus , along with his companion Whis , travels to the North Galaxy to challenge Goku to a battle . The first story arc of Dragon Ball Super retells the events of Battle of Gods . Some details have been altered , scenes added , and dialogue expanded to cover the 14 - episode arc .   Contents    1 Plot   2 Voice cast   3 Development and production   3.1 Music     4 Marketing   4.1 Promotions   4.2 Collaborations   4.3 Tie - ins with other media     5 Release and reception   5.1 Box office   5.2 Critical reception   5.3 Home media     6 See also   7 References   8 External links    Plot ( edit )   Whis wakes Beerus , the God of Destruction , from his long slumber and tells him that Frieza was defeated by a Saiyan . Thirty - nine years earlier , the Oracle Fish ( Yogen - gyo ( </t>
    </r>
    <r>
      <rPr>
        <sz val="11"/>
        <color rgb="FF000000"/>
        <rFont val="Noto Sans CJK SC"/>
        <family val="2"/>
      </rPr>
      <t xml:space="preserve">予言 魚 </t>
    </r>
    <r>
      <rPr>
        <sz val="11"/>
        <color rgb="FF000000"/>
        <rFont val="Calibri"/>
        <family val="0"/>
        <charset val="1"/>
      </rPr>
      <t xml:space="preserve">) ) foretold that a mighty opponent would appear before Beerus , the Super Saiyan God . Beerus , with Whis , then tracks down the Saiyan warrior Goku , who defeated Freeza . On Kaiō - sama 's planet , Goku proceeds to challenge Beerus . Despite having powered up to Super Saiyan 3 , Goku is ultimately overwhelmed and defeated in two strikes . Disappointed by the subsequent lack of challenge , Beerus departs in order to seek out more powerful adversaries on Earth .   Beerus ' arrival interrupts Bulma 's birthday party . Vegeta , who already knew about Beerus , because of a warning from Kaiō - sama , casts his pride aside in order to put Beerus in a good mood . Meanwhile , Pilaf , Mai , and Shu sneak into the party in order to steal the Dragon Balls , but are not recognized as they have been turned into children ; before the events of the film , they gathered all the Dragon Balls themselves and wished for youth , but Shenlong made them a little too young . Discovering the three of them , Trunks mistakes Pilaf for a monkey and fibs to Goten that Mai is his girlfriend , which leads to the trio being brought in front of the party - goers . When Mai accidentally drops the Dragon Ball she stole , she takes Trunks hostage , but no one seems concerned . A drunk Gohan dares Mai to shoot him ; he deflects the bullets with one finger , but one of them hits Videl 's leg and another one hits Beerus ' forehead . Dende heals Videl and discovers that she is pregnant with Gohan 's child . Videl has been hiding the fact to surprise Gohan later and they do not reveal it to the others yet . When Beerus asks Mr. Buu for one or two of the puddings he has , Buu eats all of them , angering the God of Destruction , who decides to destroy the Earth . Buu , Android 18 , Tenshinhan , and Piccolo attempt to fight Beerus , but are easily defeated . Gohan powers up and attacks Beerus , only to be taken down by a heavy kick . Vegeta tries his hand at defeating Beerus , but he is also taken down . Goten and Trunks fuse into Gotenks and attempt to fight Beerus but are quickly defeated as well .   Bulma becomes annoyed at the fighting ruining her birthday party , and yells at Beerus , before slapping him . When Beerus slaps her back , it sends Vegeta into a fit of rage , becoming even stronger than Goku ; however , he is still defeated . Goku appears , having been watching Vegeta 's fight and summons Shenlong to ask what a Super Saiyan God is . A Super Saiyan God once appeared on planet Vegeta to stop evil Saiyans , but failed because of the form 's time limit . The dragon also reveals that they need the power of six pure - hearted Saiyans for one of them to reach the Super Saiyan God form . Goku transforms into a Super Saiyan God , a form far stronger than even the Super Saiyan 3 , thanks to the power of himself , Vegeta , Gohan , Trunks , Goten , and Pan ( from inside her mother Videl ) , fulfilling the prophecy once stated by the Oracle Fish . Goku confronts Beerus again and they wage an intense battle in space , right above planet Earth . The form gives Goku the power to resist Beerus , but he reverts to his regular Super Saiyan form due to its time limit . However , he learns the form 's godlike feeling , which allows him to use some amount of Super Saiyan God power against Beerus . The two seem to be equally strong , but Beerus eventually decides to use his strongest attack . Goku stops the energy sphere , barely holding it back , but after Chi - Chi and Goku 's friends appear in Goku 's mind , he is able to absorb the energy sphere and briefly transform into a Super Saiyan God once again . However , Goku is overwhelmed with exhaustion , and at Beerus ' suggestion , finally admits defeat . Beerus recognizes Goku 's effort and reveals that he was the second strongest person he had ever fought , after Whis , who is also his martial arts master and is even stronger than he is . Goku also learns from Beerus and Whis that there are actually other universes with other Gods of Destruction . Back on Earth , Beerus decides to spare the planet and takes his leave with Whis after bidding farewell to Goku and his friends , who return to Bulma 's birthday party . It is revealed by Whis that Beerus used only 70 % of his power while fighting Goku .   Voice cast ( edit )     Character   Japanese voice actor   English voice actor     Goku   Masako Nozawa   Sean Schemmel     Vegeta   Ryō Horikawa   Christopher R. Sabat     Gohan   Masako Nozawa   Kyle Hebert     Piccolo   Toshio Furukawa   Christopher R. Sabat     Krillin   Mayumi Tanaka   Sonny Strait     Yamcha   Tōru Furuya   Christopher R. Sabat     Tien Shinhan   Hikaru Midorikawa   John Burgmeier     Trunks   Takeshi Kusao   Laura Bailey     Goten   Masako Nozawa   Kara Edwards     Puar   Naoko Watanabe   Brina Palencia     Oolong   Naoki Tatsuta   Brad Jackson     Master Roshi   Masaharu Satō   Mike McFarland     Bulma   Hiromi Tsuru   Monica Rial     Chi - Chi   Naoko Watanabe   Cynthia Cranz     Android 18   Miki Itō   Meredith McCoy     Mr. Satan   Unshō Ishizuka   Chris Rager     Mr. Buu   Kōzō Shioya   Josh Martin     Videl   Yuko Minaguchi   Kara Edwards     Dende   Aya Hirano   Justin Cook     Pilaf   Shigeru Chiba   Chuck Huber     Shenron   Kenji Utsumi   Christopher R. Sabat     King Kai   Jōji Yanami   Sean Schemmel     Gotenks   Masako Nozawa Takeshi Kusao   Kara Edwards Laura Bailey     Ox - King   Ryūzaburō Ōtomo   Kyle Hebert     Mai   Eiko Yamada   Colleen Clinkenbeard     Shou   Tesshō Genda   Chris Cason     Dr. Briefs   Jōji Yanami   Mark Stoddard     Bulma 's Mother   Yoko Kawanami   Cynthia Cranz     Beerus   Kōichi Yamadera   Jason Douglas     Whis   Masakazu Morita   Ian Sinclair     Yogen - gyo ( Seer )   Shoko Nakagawa   Monica Rial     Policewoman   Kaori Matsumoto   Mary Elizabeth McGlynn     Sushi Chef   Shinichi Karube   T. Axelrod     Narrator   Jōji Yanami   Kyle Hebert     Development and production ( edit )   Early in July 2012 , Weekly Shōnen Jump 's official website had already opened a teaser page with a countdown to a `` surprise '' on Saturday , July 14 , the release date of its 33rd issue of the year . On July 14 , the magazine and website , now changed to show Shenlong appearing and then disappearing , revealed some minor information of the upcoming film ; including the premiere date , staff information , and companies involved in the production ( Fox International Productions Japan , Shueisha , Fuji TV , Toei Animation , Bandai , Bandai Namco Games , and Bird Studio ) . The film 's director is Masahiro Hosoda , who directed several Dragon Ball Z episodes back in 1992 , the screenplay was written by Yūsuke Watanabe , who has written manga adaptations before ( namely the 20th Century Boys and Gantz live - action films ) , and the lead animation director is Tadayoshi Yamamuro , who has worked on the series since the Dragon Ball anime .   The magazine and official website also published a comment by Akira Toriyama about the movie . The Dragon Ball series creator notes that the adaptation will mark the first time he has been so deeply involved in the production of an anime , in this case as early as the screenwriting stages . Toriyama also said that the film will retain the atmosphere of the original while adding small amounts of modern flavor . Toei Animation released a press statement on July 17 , 2012 , saying it would be set `` between the animation series Z and GT , or in other words from the blank decade between the end of the battle with Majin Boo in chapter 517 of the manga and chapter 518 '' and calling it part of `` the official history of Dragon Ball . ''   In September , it was announced that the film was one of four that year , and the only animated one , to receive money from the Japanese government as part of the non-profit organization UNIJAPAN 's `` Co-production Certification Program '' . Toei received 50 million yen ( roughly US $636,000 ) from the Agency for Cultural Affairs , whose aim is to promote Japanese arts and culture , with the United States named as the film 's partner country .   This time in particular , we had a request from sensei to leave in not only the action , but also some truly enjoyable ... the truly enjoyable aspects of Dragon Ball ; Dragon Ball 's chaotic feeling , and the action of Gohan 's battles and of the Z Fighters are mixed together very well , so I believe that has also helped make it an enjoyable movie .  -- Gyarmath Bogdan , MAG Net , NHK , March 1 , 2013  The December issue of Ultra Jump elaborated on Toriyama 's involvement in the movie , stating he came up with the movie 's story and character designs . On December 2 , the official website was updated with the movies ' cast and entire staff . The following day , a brief introduction to the film 's story was leaked from accessing an unlinked section of the website .   In January 2013 , it was announced that Olympic gold medalist in judo Kaori Matsumoto and singer / tarento Shoko Nakagawa will have roles in the film . Nakagawa is a well - known otaku and Matsumoto is a fan of the series as well . Matsumoto voices a policewoman modeled after herself , while Nakagawa plays the Yogen - gyo ( </t>
    </r>
    <r>
      <rPr>
        <sz val="11"/>
        <color rgb="FF000000"/>
        <rFont val="Noto Sans CJK SC"/>
        <family val="2"/>
      </rPr>
      <t xml:space="preserve">予言 魚 </t>
    </r>
    <r>
      <rPr>
        <sz val="11"/>
        <color rgb="FF000000"/>
        <rFont val="Calibri"/>
        <family val="0"/>
        <charset val="1"/>
      </rPr>
      <t xml:space="preserve">) who first leads Beerus to Goku . The Fuji TV announcer Shin - ichi Karube also has a small part in the movie .   The April issue of V Jump teased about a new Super Saiyan transformation being in the film , titled `` Super Saiyan God '' ( </t>
    </r>
    <r>
      <rPr>
        <sz val="11"/>
        <color rgb="FF000000"/>
        <rFont val="Noto Sans CJK SC"/>
        <family val="2"/>
      </rPr>
      <t xml:space="preserve">超 サイヤ 人 ゴッド </t>
    </r>
    <r>
      <rPr>
        <sz val="11"/>
        <color rgb="FF000000"/>
        <rFont val="Calibri"/>
        <family val="0"/>
        <charset val="1"/>
      </rPr>
      <t xml:space="preserve">, Sūpā Saiya - jin Goddo ) , saying : 39 years ago , the Oracle Fish told Beerus that the Super Saiyan God would appear before him . And that this is the beginning of the movie 's story . In Weekly Shōnen Jump issue # 14 of 2013 , Toriyama said that the plot for Battle of Gods began two years ago with ideas for the God of Destruction and Super Saiyan God , and that he got deeply involved in the story in order to keep it in - line with the series ' original tone so kids could enjoy it . In the following week 's issue , he revealed that Beerus ' design is based on a cat and his clothes based on Egyptian garments .   A live greeting by cast members and Toriyama , followed by a preview screening of the film took place across Japan on Tuesday , March 12 , 2013 , with a limited number of attendees determined from a Jump lottery . The lottery tickets were included in 22 different Shueisha magazines ( including Weekly Shōnen Jump , V Jump , Jump SQ , and Ultra Jump ) and 884 pairs ( 1768 people ) were invited . There were five screenings , all the same day and at 6 : 30 p.m : Shinjuku Wald 9 cinema in Tokyo ( 428 people ) , Umeda Burg 7 theater in Osaka ( 440 people ) , 109 Cinemas in Nagoya ( 256 people ) , T - Joy Hakata in Fukuoka ( 322 people ) , and Sapporo Cinema Frontier in Sapporo ( 322 people ) . The special cast greeting at the Tokyo venue was beamed live to the other locations before the screening . A second preview screening with an on - stage greeting and a special guest took place at Differ Ariake Arena on March 16 , 2013 , with 250 pairs ( 500 people ) invited ( determined with lottery tickets included in V Jump , Weekly Shōnen Jump , and Saikyō Jump ) .   Music ( edit )   The music in Battle of Gods was composed by Norihito Sumitomo . Its theme song is a cover of Hironobu Kageyama 's `` Cha - La Head - Cha - La '' , the original opening theme of Dragon Ball Z , by the rock band Flow . The band members commented that they were excited about the opportunity as they have been fans of the series since they were in elementary school . The cover and the film 's insert song , `` Hero ~ Song of Hope ~ '' ( HERO ~ </t>
    </r>
    <r>
      <rPr>
        <sz val="11"/>
        <color rgb="FF000000"/>
        <rFont val="Noto Sans CJK SC"/>
        <family val="2"/>
      </rPr>
      <t xml:space="preserve">希望 の 歌 </t>
    </r>
    <r>
      <rPr>
        <sz val="11"/>
        <color rgb="FF000000"/>
        <rFont val="Calibri"/>
        <family val="0"/>
        <charset val="1"/>
      </rPr>
      <t xml:space="preserve">~ , Hīro ~ Kibō no Uta ~ ) , were released as a double A-side single on March 20 , 2013 . It reached number 24 on the Oricon Weekly Singles Chart . The film 's original soundtrack , containing 43 tracks , was released on March 27 , 2013 . Due to licensing agreements , the international editions of the film use English - language versions of Flow 's `` Cha - La Head - Cha - La '' and `` Hero ~ Song of Hope ~ '' .   The music to the trailers in Japan was composed by Immediate Music whom specialize in providing trailer music for films , such as Avatar , the Matrix films and the Harry Potter films . The trailers use the pieces `` Prologue to Conquest '' ( Trailerhead : NU EPIQ ) and `` Emergence of Empires '' ( Trailerhead : Saga ) , both composed by Yoav Goren with the latter based on `` Conquest of Kingdoms '' from Epic Choral Action # 1 and `` Rising Empires '' from Themes for Orchestra &amp; Choir 2 : Abbey Road respectively . Pfeifer Broz . Music supplied `` Evil Island '' for Funimation 's promotions and trailers in North America .   Marketing ( edit )   Promotions ( edit )   The July 14 , 2012 issue of Weekly Shōnen Jump published the first promotional images for the film ; featuring Goku , Gohan , Piccolo , Kuririn , Goten , Trunks , Vegeta , and Shenlong , with the tagline `` The mightiest make their move '' ( </t>
    </r>
    <r>
      <rPr>
        <sz val="11"/>
        <color rgb="FF000000"/>
        <rFont val="Noto Sans CJK SC"/>
        <family val="2"/>
      </rPr>
      <t xml:space="preserve">最強 、 始動 </t>
    </r>
    <r>
      <rPr>
        <sz val="11"/>
        <color rgb="FF000000"/>
        <rFont val="Calibri"/>
        <family val="0"/>
        <charset val="1"/>
      </rPr>
      <t xml:space="preserve">, Saikyō , Shidō ) , followed by `` All humanity has been waiting . For excitement like none before ... '' ( </t>
    </r>
    <r>
      <rPr>
        <sz val="11"/>
        <color rgb="FF000000"/>
        <rFont val="Noto Sans CJK SC"/>
        <family val="2"/>
      </rPr>
      <t xml:space="preserve">全 人類 待望</t>
    </r>
    <r>
      <rPr>
        <sz val="11"/>
        <color rgb="FF000000"/>
        <rFont val="Calibri"/>
        <family val="0"/>
        <charset val="1"/>
      </rPr>
      <t xml:space="preserve">. </t>
    </r>
    <r>
      <rPr>
        <sz val="11"/>
        <color rgb="FF000000"/>
        <rFont val="Noto Sans CJK SC"/>
        <family val="2"/>
      </rPr>
      <t xml:space="preserve">かつて ない 興奮 へー </t>
    </r>
    <r>
      <rPr>
        <sz val="11"/>
        <color rgb="FF000000"/>
        <rFont val="Calibri"/>
        <family val="0"/>
        <charset val="1"/>
      </rPr>
      <t xml:space="preserve">, Zen jinrui taibō . Katsute nai kōfun e ) . On July 21 , 2012 , a short teaser trailer announcing the film was shown at the Saikyō V Jump Festa , and later that   month shown on television . The teaser trailer was added to the movie 's official website in August 2012 . In less than a week the video was viewed over 3.5 million times .   With the movie title revealed in November 2012 , a special pre-sale collaboration ticket with the One Piece Film : Z movie was made to commemorate the release of the two films . The dual - ticket good for both films has a special new illustration by both Eiichirō Oda ( author of One Piece ) and Akira Toriyama . Limited to 8,989 across Japan , the tickets went on sale on November 23 , 2012 , for ¥ 2,600 ( US $31.51 ) apiece . The film 's poster and two new characters ' names and voice actors were officially revealed in December 2012 in Weekly Shōnen Jump 's first issue of 2013 ; Beerus , the God of Destruction voiced by Kōichi Yamadera and the mysterious Whis voiced by Masakazu Morita . The film poster displays Super Saiyan Goku combating the God of Destruction Beerus , with Whis floating showered in light in the background . Various other characters from the series are also featured on the poster ( Mr. Satan , Mr. Boo , Videl , the shrunken Pilaf gang , Super Saiyan Goten , Super Saiyan Gohan , Super Saiyan Vegeta , Super Saiyan Trunks , Bulma , Piccolo , Tenshinhan , Kuririn , Yamcha and Puar ) .   The first full trailer for the film was aired on Fuji TV on December 7 , 2012 , during the morning show Mezamashi TV . A 30 - minute Battle of Gods discussion panel was held at Jump Festa 2013 ; on the Jump Super Stage , on December 22 , 2012 . Along with the voice actors Masako Nozawa , Mayumi Tanaka , Toshio Furukawa , the film director Masahiro Hosoda , V Jump editor - in - chief Akio Iyoku , and Toei Animation producer Gyarmath Bogdan took part at the discussion which was overseen by former YBS TV announcer Mariko Nakagomi . The second full trailer for the film began being streamed on Cinema Today 's website on February 27 , 2013 . In late March 2013 , Cinema Today 's website began streaming a TV ad for the movie that features Frieza ( Ryūsei Nakao ) and Cell ( Norio Wakamoto ) ; Cell questions why he is n't in the film and Frieza brags that he is , Cell then remarks that Frieza only has a non-speaking appearance .   Collaborations ( edit )   During the 30th Prize Fair , which took place in Tokyo on November 7 , 2012 , Bandai showcased some of their new Dragon Ball figures for winter 2012 , as well their World Collectable Figure line produced in conjunction with the 2013 movie . The latter is a set of eight figures around 7 cm tall that covers characters that appear in the movie ; along with Vegeta and Super Saiyan 3 Goku , the three members of the Pilaf gang were among the figures revealed .   In February 2013 , several collaborative projects between Dragon Ball Z : Battle of Gods and KFC in Japan began . On the seventh , the restaurants began selling `` Smile Sets with Strongest Battle Goods -- Parents and Kids Play Together ! '' , which came with Dragon Ball Z games such as reversi and playing cards . On the fifteenth , the KFC restaurants in Sapporo , Sendai , Ebisu , Sakae , Osaka , Hakata and Okinawa dressed their Colonel Sanders statues as Goku , with each one holding a different starred Dragon Ball . They began selling `` Strongest Sets '' that come with `` Light Up ! Dragon Bottles '' or `` Dream Dragon Radar detectors '' on February 28 , and a TV ad featuring Goku began airing .   As part of a collaboration with the Japanese J. League Division 1 football team Albirex Niigata , a special poster unveiled on the official Battle of Gods website on February 20 , 2013 , was displayed across Niigata Prefecture in promotion of their match with the defending league Division 1 champions Sanfrecce Hiroshima on March 3 , 2013 . The poster is based on the Battle of Gods poster , with the movie characters replaced by the football team 's players : the figure in the background replacing Whis is the team 's manager Masaaki Yanagishita , Beerus has been replaced by the Sanfrecce Hiroshima goalkeeper Shūsaku Nishikawa , and Goku is replaced by the team 's forward Bruno Lopes . All supporters at the match wore orange , Goku made an `` appearance '' at the stadium , and the Dragon Ball Z theme song was used .   From March 5 to April 8 the Lawson convenience stores sold special Battle of Gods inspired food items , such as Dragon Ball pizza balls , Super Saiyan fries , Demon King Piccolo 's Green Tea Cream Puffs , Majin Boo Milk Pudding and Vegeta 's Green Salad .   Tie - ins with other media ( edit )   The March 2013 issue of V Jump revealed that Beerus would appear in the Dragon Ball Heroes arcade game as a boss battle , and subsequently in its Nintendo 3DS version titled Dragon Ball Heroes : Ultimate Mission . It also announced the Dragon Ball Z Festival at Toei Kyoto Studio Park from March 16 to September 8 in celebration of Battle of the Gods . Starting on March 30 , Beerus appeared in the Dragon Ball arcade game Zenkai Battle Royale . Beerus , Whis , and Goku 's Super Saiyan God form are all playable characters in the video game Battle of Z .   A manga adaptation of Battle of Gods ran in the April 2013 issue of Saikyō Jump , which went on sale on March 4 , 2013 . Drawn by Naho Ōishi , who currently draws the Dragon Ball SD series in the magazine and previously Dragon Ball : Episode of Bardock in V Jump , it depicts the beginning of the film . An anime comic version , more commonly known as `` ani - manga '' in the west , of Battle of Gods was released on October 4 , 2013 .   Battle of Gods received its television debut on Fuji TV on March 22 , 2014 at 9 : 00pm . Toei Animation producer Gyarmath Bogdan confirmed through Twitter that the broadcast included up to twenty minutes of extra scenes and additional footage . The broadcast earned an average household rating of 13.1 % .   The 2015 Dragon Ball Z : Resurrection ' F ' film is a sequel to Battle of Gods and features Beerus and Whis .   The first story arc of Dragon Ball Super is a retelling of sorts of Battle of Gods , though some events are altered or expanded in the series ' version of events . The `` Battle of Gods '' arc covers episodes 1 - 14 .   Release and reception ( edit )   Battle of Gods is the first - ever Japanese film to be screened at IMAX Digital Theaters , screening at all 16 IMAX Digital Theater locations across Japan . However , it was not shown in 3D .   Madman Entertainment announced they had acquired the Australasian rights to the film and screened the movie at the 2013 Japanese Film Festival in Australia from October to December . On May 30 , 2014 , Funimation announced that they had acquired the North American rights to the movie and gave the film a limited theatrical run in North America from August 5 -- 7 and 9 , 2014 . Funimation held a red carpet premiere for Dragon Ball Z : Battle of Gods in Los Angeles on July 3 . The 8 : 00 p.m. red carpet and 9 : 00 p.m. screening was at the Regal LA Live Stadium 14 Theaters . Madman screened Funimation 's dub at a handful of Australasian theaters on August 30 , 2014 . Manga Entertainment , the United Kingdom 's distributor of the series , announced at the MCM Manchester Comic Con that they licensed the film and would give it a limited theatrical release , including an appearance at the 2014 Scotland Loves Anime convention .   In Latin America , the movie was released by Diamond Films during the last days of September and first days of October 2013 ( depending on the country ) with almost every member of the original cast from the Mexican Spanish dub of the series . In Brazil , Battle of Gods was released by Diamond Filmes on October 11 , 2013 , with the original cast from the Brazilian Portuguese Dragon Ball Z dub . In Italy the movie entered theaters on February 1 , 2014 .   In Spain , the movie was released in theaters on May 30 , 2014 in Castilian Spanish , Catalan and Basque languages , with the former bringing back almost every member of the original cast from the Castilian Spanish Dragon Ball Z dub while the latter two feature the respective Catalan and Basque voice casts from Dragon Ball Kai ( the Catalan voice cast also being essentially the same one from Dragon Ball Z ) . The extended version home release also featured a Valencian dub with almost every member of the original cast from the Valencian Dragon Ball Z dub .   In Philippines , the movie was released subtitled in English by Pioneer Films during the month of April 2013 , making it the second Dragon Ball film to be shown in the country . The Filipino dub of the movie was released on January 4 , 2015 by ABS - CBN TV Network .   Box Office ( edit )   Dragon Ball Z : Battle of Gods opened at number one in the Japanese box office , earning US $7,307,760 with 561,098 tickets sold in its first two days . The movie 's showings at all 16 of the IMAX Digital theaters in Japan that weekend earned US $450,000 , with an average of US $28,000 per screen . It was ranked number five in the overseas box office chart by Variety , making it the top - grossing non-American film on the chart . While the top four films are playing in over 50 territories each , Battle of Gods ' performance is based only on 328 screens in Japan . By its fifth day , the film had made over US $12,000,000 with 988,790 tickets sold . As a result , the film was projected to sell more than 1 million tickets by its sixth day , making it the fastest film to reach that milestone so far that year in Japan . It was number one in its second week as well , with a total of 1,488,518 tickets sold and an estimated US $19,017,008 total earnings . The film was number one for a third week , raising its total to US $23,618,327 with 1,823,141 tickets sold , making it the fastest - grossing film of 2013 in Japan . It dropped to fourth place the subsequent weekend of April 20 -- 21 , but total tickets sold passed the two million mark and its total revenue climbed to US $26,419,641 . The film dropped to eighth during Golden Week , which is when many new movies open in theaters and is the film industry 's best week in Japan , while the box office gross grew to US $28,162,444 and tickets reached 2,181,328 . The following week it held on to the eighth place , with tickets sold increasing to 2,346,726 and its gross to US $29,172,291 .   Toei aimed for Battle of Gods to earn a domestic Japanese box office take of ¥ 3 billion ( $32 million ) . In December 2013 , Oricon listed Battle of Gods as the Japanese box office 's eleventh highest - grossing film of the year earning a box office take of ¥ 3 billion . The film earned $2.8 million in North American theaters in 8 days , placing it eleventh on a list of the highest - grossing theatrically released anime in North America of all time according to Box Office Mojo . The film grossed $17,961,356 in other regions , including $15,587,504 in Latin America , the film 's most successful overseas region . In total , the film grossed $52,761,356 worldwide .   Critical reception ( edit )   Richard Eisenbeis writing for Kotaku called the film `` a great nostalgic trip from beginning to end . '' He noted that it was focused on lighthearted moments , but that the `` comedic moments were not only funny but also true to the series , and the fight scenes were excellent one and all . '' He particularly praised the animation as the best of the series , due to technological advancements since the early 1990s , and declared that the highlight of the movie was how in the end the villain was undoubtedly the winner over Goku in a `` complete reversal of the standard DBZ formula '' . Otaku USA 's Matt Schley agreed that it is a comedy heavy film `` more reminiscent of the original Dragon Ball than Z '' . He speculates that the viewer 's enjoyment of the movie depends on what they expect ; `` If you want epic Dragon Ball Z story worthy of the title Battle of Gods , this film may disappoint . But if you 're just happy to see your favorite characters performing a few animated hijinx again after all these years , this film certainly delivers . ''   Leah B. Jackson of IGN gave the English dub of the movie a 7.5 out of 10 , praising the animation and fight scenes , particularly the final battle . She was pleased to see Funimation 's voice actors return , but criticized the movie for the lack of iconic techniques and having too much `` filler '' . Theron Martin of Anime News Network ( ANN ) praised the movie for its humor , use of main and supporting cast , the introduction of Beerus and Whis and the overall light - hearted nature and plot . But also criticized the movie for its inconsistent animation , uninspiring fight scenes and use of CGI , stating , `` Ultimately Battle of Gods is entirely a movie for long - established fans , as it has too many in - jokes that those not familiar with wide swaths of the franchise would get . It is not a stellar addition to the franchise but is a worthwhile and at least moderately entertaining one , provided that one does not go into it expecting an action magnum opus . '' Kyle Mills Of DVD Talk highly recommended the movie , praising the dub and the perfect balancing of the humor elements from the first Dragon Ball anime with the action elements of Dragon Ball Z . He finished with , `` Dragon Ball Z : Battle of Gods is one hell of a fun flick . For any fan of the Dragon Ball franchise , you need to check it out. ( ... ) ( It is ) a film full of nostalgia , fun characters , legitimate laugh out loud moments , and slick action sequences . It 's a film that showcases perfectly why the Dragon Ball franchise has such long lasting popularity . ''   Home media ( edit )   The film was released in Japan in standard and limited edition DVD and Blu - ray formats on September 13 , 2013 . In addition to the design material and trailer collections included in the regular edition , the limited edition includes behind the scenes footage , interviews , and the 2008 short film Dragon Ball : Yo ! Son Goku and His Friends Return ! ! , as well as a figure , booklet , and special postcards . The home video release of Battle of Gods sold approximately 50,381 copies in its first week . By the end of the year , it had sold 46,761 DVDs and 33,737 Blu - rays . The extended TV version of the film was released on DVD and Blu - ray on March 13 , 2015 , selling approximately 1,666 copies in its first week .   Funimation released the theatrical and extended TV versions in North America on DVD and Blu - ray on October 7 , 2014 . A similar set was released in the United Kingdom by Manga Entertainment on November 10 , 2014 . Madman Entertainment released the film in Australia and New Zealand on DVD and Blu - ray on November 26 , 2014 .   See also ( edit )    Dragon Ball portal   Anime and manga portal     List of Dragon Ball films    References ( edit )    ^ Jump up to : `` FUNimation To Release Dragon Ball Z : Battle of Gods Uncut Version for Home Video '' . Anime News Network . August 21 , 2014 . Retrieved March 5 , 2015 .   Jump up ^ `` New Dragon Ball Film Set Between 517th &amp; 518th Manga Chapters '' . Anime News Network . July 14 , 2012 . Retrieved November 13 , 2012 .   ^ Jump up to : `` 2013 's Dragon Ball Z : Battle of Gods Film Story Outlined '' . Anime News Network . December 3 , 2012 . Retrieved December 9 , 2012 .   ^ Jump up to : `` Akira Toriyama , Toei Make Dragon Ball Z Film Next March '' . Anime News Network . July 10 , 2012 . Retrieved March 21 , 2013 .   Jump up ^ `` </t>
    </r>
    <r>
      <rPr>
        <sz val="11"/>
        <color rgb="FF000000"/>
        <rFont val="Noto Sans CJK SC"/>
        <family val="2"/>
      </rPr>
      <t xml:space="preserve">映画 『 ドラゴンボール </t>
    </r>
    <r>
      <rPr>
        <sz val="11"/>
        <color rgb="FF000000"/>
        <rFont val="Calibri"/>
        <family val="0"/>
        <charset val="1"/>
      </rPr>
      <t xml:space="preserve">Z </t>
    </r>
    <r>
      <rPr>
        <sz val="11"/>
        <color rgb="FF000000"/>
        <rFont val="Noto Sans CJK SC"/>
        <family val="2"/>
      </rPr>
      <t xml:space="preserve">』 </t>
    </r>
    <r>
      <rPr>
        <sz val="11"/>
        <color rgb="FF000000"/>
        <rFont val="Calibri"/>
        <family val="0"/>
        <charset val="1"/>
      </rPr>
      <t xml:space="preserve">2013 </t>
    </r>
    <r>
      <rPr>
        <sz val="11"/>
        <color rgb="FF000000"/>
        <rFont val="Noto Sans CJK SC"/>
        <family val="2"/>
      </rPr>
      <t xml:space="preserve">年 </t>
    </r>
    <r>
      <rPr>
        <sz val="11"/>
        <color rgb="FF000000"/>
        <rFont val="Calibri"/>
        <family val="0"/>
        <charset val="1"/>
      </rPr>
      <t xml:space="preserve">3 </t>
    </r>
    <r>
      <rPr>
        <sz val="11"/>
        <color rgb="FF000000"/>
        <rFont val="Noto Sans CJK SC"/>
        <family val="2"/>
      </rPr>
      <t xml:space="preserve">月 </t>
    </r>
    <r>
      <rPr>
        <sz val="11"/>
        <color rgb="FF000000"/>
        <rFont val="Calibri"/>
        <family val="0"/>
        <charset val="1"/>
      </rPr>
      <t xml:space="preserve">30 </t>
    </r>
    <r>
      <rPr>
        <sz val="11"/>
        <color rgb="FF000000"/>
        <rFont val="Noto Sans CJK SC"/>
        <family val="2"/>
      </rPr>
      <t xml:space="preserve">日 </t>
    </r>
    <r>
      <rPr>
        <sz val="11"/>
        <color rgb="FF000000"/>
        <rFont val="Calibri"/>
        <family val="0"/>
        <charset val="1"/>
      </rPr>
      <t xml:space="preserve">( </t>
    </r>
    <r>
      <rPr>
        <sz val="11"/>
        <color rgb="FF000000"/>
        <rFont val="Noto Sans CJK SC"/>
        <family val="2"/>
      </rPr>
      <t xml:space="preserve">土 </t>
    </r>
    <r>
      <rPr>
        <sz val="11"/>
        <color rgb="FF000000"/>
        <rFont val="Calibri"/>
        <family val="0"/>
        <charset val="1"/>
      </rPr>
      <t xml:space="preserve">) </t>
    </r>
    <r>
      <rPr>
        <sz val="11"/>
        <color rgb="FF000000"/>
        <rFont val="Noto Sans CJK SC"/>
        <family val="2"/>
      </rPr>
      <t xml:space="preserve">超 拡大 公開 </t>
    </r>
    <r>
      <rPr>
        <sz val="11"/>
        <color rgb="FF000000"/>
        <rFont val="Calibri"/>
        <family val="0"/>
        <charset val="1"/>
      </rPr>
      <t xml:space="preserve">! '' . Retrieved December 30 , 2016 .   ^ Jump up to : `` New Dragon Ball Z Film Gets 50 million Yen Support from Japanese Government '' . Crunchyroll . Retrieved December 12 , 2012 .   ^ Jump up to : `` </t>
    </r>
    <r>
      <rPr>
        <sz val="11"/>
        <color rgb="FF000000"/>
        <rFont val="Noto Sans CJK SC"/>
        <family val="2"/>
      </rPr>
      <t xml:space="preserve">文化 庁 、 国際 共同 製作 支援 の 次 年度 の 募集 要項 公開 本年度 は 「 ドラゴンボール </t>
    </r>
    <r>
      <rPr>
        <sz val="11"/>
        <color rgb="FF000000"/>
        <rFont val="Calibri"/>
        <family val="0"/>
        <charset val="1"/>
      </rPr>
      <t xml:space="preserve">Z </t>
    </r>
    <r>
      <rPr>
        <sz val="11"/>
        <color rgb="FF000000"/>
        <rFont val="Noto Sans CJK SC"/>
        <family val="2"/>
      </rPr>
      <t xml:space="preserve">」 も </t>
    </r>
    <r>
      <rPr>
        <sz val="11"/>
        <color rgb="FF000000"/>
        <rFont val="Calibri"/>
        <family val="0"/>
        <charset val="1"/>
      </rPr>
      <t xml:space="preserve">'' . Animeanime.biz ( in Japanese ) . Retrieved December 12 , 2012 .   Jump up ^ Ultra Jump issue # 12 , November 19 , 2012   ^ Jump up to : `` Judoka Matsumoto Kaori &amp; Nakagawa Shoko to lend their voices for new Dragon Ball anime film '' .</t>
    </r>
  </si>
  <si>
    <t xml:space="preserve">dragon ball z battle of gods english cast</t>
  </si>
  <si>
    <t xml:space="preserve">   Character   Japanese voice actor   English voice actor     Goku   Masako Nozawa   Sean Schemmel     Vegeta   Ryō Horikawa   Christopher R. Sabat     Gohan   Masako Nozawa   Kyle Hebert     Piccolo   Toshio Furukawa   Christopher R. Sabat     Krillin   Mayumi Tanaka   Sonny Strait     Yamcha   Tōru Furuya   Christopher R. Sabat     Tien Shinhan   Hikaru Midorikawa   John Burgmeier     Trunks   Takeshi Kusao   Laura Bailey     Goten   Masako Nozawa   Kara Edwards     Puar   Naoko Watanabe   Brina Palencia     Oolong   Naoki Tatsuta   Brad Jackson     Master Roshi   Masaharu Satō   Mike McFarland     Bulma   Hiromi Tsuru   Monica Rial     Chi - Chi   Naoko Watanabe   Cynthia Cranz     Android 18   Miki Itō   Meredith McCoy     Mr. Satan   Unshō Ishizuka   Chris Rager     Mr. Buu   Kōzō Shioya   Josh Martin     Videl   Yuko Minaguchi   Kara Edwards     Dende   Aya Hirano   Justin Cook     Pilaf   Shigeru Chiba   Chuck Huber     Shenron   Kenji Utsumi   Christopher R. Sabat     King Kai   Jōji Yanami   Sean Schemmel     Gotenks   Masako Nozawa Takeshi Kusao   Kara Edwards Laura Bailey     Ox - King   Ryūzaburō Ōtomo   Kyle Hebert     Mai   Eiko Yamada   Colleen Clinkenbeard     Shou   Tesshō Genda   Chris Cason     Dr. Briefs   Jōji Yanami   Mark Stoddard     Bulma 's Mother   Yoko Kawanami   Cynthia Cranz     Beerus   Kōichi Yamadera   Jason Douglas     Whis   Masakazu Morita   Ian Sinclair     Yogen - gyo ( Seer )   Shoko Nakagawa   Monica Rial     Policewoman   Kaori Matsumoto   Mary Elizabeth McGlynn     Sushi Chef   Shinichi Karube   T. Axelrod     Narrator   Jōji Yanami   Kyle Hebert   </t>
  </si>
  <si>
    <t xml:space="preserve">Battle of New Orleans - wikipedia  Battle of New Orleans  Jump to : navigation , search For the battle at New Orleans during the American Civil War , see Capture of New Orleans . For other uses , see Battle of New Orleans ( disambiguation ) .       Battle of New Orleans     Part of the War of 1812     The Battle of New Orleans by Henry Bryan Hall after William Momberger        Date   January 6 -- 18 , 1815     Location   About five miles ( 8 km ) east - southeast of New Orleans on the grounds of Chalmette Plantation     Result    Decisive American victory    British forces withdraw completely from Louisiana          Belligerents     United States   United Kingdom     Commanders and leaders     Andrew Jackson William Carroll John Coffee John Adair Walter Overton Daniel Patterson David B. Morgan Pierre Denis de La Ronde Jacques Villeré Thomas Hinds Joseph Savary René Trudeau Francis B. de Bellevue Daniel Carmick Jean Laffite   Edward Pakenham † Alexander Cochrane Samuel Gibbs † John Keane ( WIA ) John Lambert William Thornton Thomas Mullins     Units involved     See order of battle   See order of battle     Strength     4,732   14,450     Casualties and losses     55 killed 185 wounded 93 missing Total : 333   386 killed 1,521 wounded 552 missing or captured Total : 2,459                   American South       Creek War   1st Fort Bowyer   Fayal   Pensacola   13 December 1814   Lake Borgne   New Orleans   Fort St. Philip   Fort Peter   2nd Fort Bowyer         Post-treaty ratification battles of the War of 1812     HMS Cyane and HMS Levant HMS Penguin EIC Nautilus               Naval bsttles of the War of 1812     Atlantic Ocean   USS Essex vs HMS Alert   USS Constitution vs HMS Guerriere   Capture of HMS Frolic   USS United States vs HMS Macedonian   USS Constitution vs HMS Java   Sinking of HMS Peacock   Rappahannock River   Capture of USS Chesapeake   Capture of HMS Dominica   Capture of USS Argus   Capture of HMS Boxer   Capture of USS Frolic   Capture of HMS Epervier   Sinking of HMS Reindeer   Sinking of HMS Avon   Fayal   Capture of USS President   Capture of HMS Cyane and HMS Levant   Capture of HMS Penguin   Capture of East India Company ship Nautilus    East Coast    Chesapeake Bay   Alexandria   Baltimore   Hampden   Fort Peter    Great Lakes / Saint Lawrence River    Lake Ontario   1st Sacket 's Harbor   York   Fort George   2nd Sacket 's Harbor   Lake Erie   Fort Oswego   Lake Huron   Lake Champlain    West Indies / Gulf Coast    La Guaira   1st Fort Bowyer   Action of 13 December 1814   Lake Borgne   New Orleans   Fort St. Philip   2nd Fort Bowyer    Pacific Ocean    James Island   Charles Island   Nuku Hiva   Downes Expedition   Porter Expedition   Typee Valley   Valparaiso ( Capture of USS Essex )   Seringapatam Mutiny   Action of 9 May 1814          The Battle of New Orleans was an engagement fought between December 14 , 1814 and January 18 , 1815 , constituting the final major battle of the War of 1812 , and the most one - sided battle of that war . American combatants , commanded by Major General Andrew Jackson , prevented an overwhelming British force , commanded by Admiral Alexander Cochrane and General Edward Pakenham , from seizing New Orleans and the vast territory the United States had acquired with the Louisiana Purchase .   The Treaty of Ghent had been signed on December 24 , 1814 ( but was not ratified by the US Government until February 1815 ) , and hostilities continued without the involved parties knowing about the Treaty , until January 18 by when all of the British forces had retreated , finally putting an end to the Battle of New Orleans .     Contents  ( hide )   1 Battle of Lake Borgne   2 Night attack of December 23   3 Battle of January 8   4 Siege of Fort St. Philip   5 Withdrawal of the British   6 Pakenham 's secret orders   7 Distinguished service   8 Aftermath   8.1 Victory attributed to a miracle     9 In popular culture   10 See also   11 Notes   12 References   13 External links      Battle of Lake Borgne ( edit )  Main article : Battle of Lake Borgne Eighteenth century map of southeast Louisiana  By December 12 , 1814 , sixty British ships with 14,450 soldiers and sailors aboard , under the command of Admiral Sir Alexander Cochrane , had anchored in the Gulf of Mexico to the east of Lake Pontchartrain and Lake Borgne . Preventing access to the lakes was an American flotilla , commanded by Lieutenant Thomas ap Catesby Jones , consisting of five gunboats . On December 14 , around 1,200 British sailors and Royal Marines under Captain Nicholas Lockyer set out to attack Jones ' force . Lockyer 's men sailed in 42 longboats , each armed with a small carronade . Lockyer captured Jones ' vessels in a brief engagement known as the Battle of Lake Borgne. 17 British sailors were killed and 77 wounded , while 6 Americans were killed , 35 wounded , and 86 captured . The wounded included both Jones and Lockyer . Now free to navigate Lake Borgne , thousands of British soldiers , under the command of General John Keane , were rowed to Pea Island ( possibly now Pearl River Island ) , about 30 miles ( 48 km ) east of New Orleans , where they established a garrison .   Captain René Trudeau 's `` Troop of Horse '' participated in the Battle December 14 , 1814 - March 16 , 1815 .   Night attack of December 23 ( edit )  Night battle  On the morning of December 23 , Keane and a vanguard of 1,800 British soldiers reached the east bank of the Mississippi River , 9 miles ( 14 km ) south of New Orleans . Keane could have attacked the city by advancing for a few hours up the river road , which was undefended all the way to New Orleans , but he made the fateful decision to encamp at Lacoste 's Plantation and wait for the arrival of reinforcements .   Meanwhile , General Jackson learned of the advances and position of the British encampment from Colonel Pierre Denis ( born Denys ) de La Ronde ( upon whose plantation , commonly misnamed Versailles , Louisiana , the Night Battle was later largely fought ) ) , and his son - in - law , who was Colonel Jacques Villeré 's son , Gabriel Villeré . The young major had cleverly escaped through a window after capture , when the advancing British invaded his family home .   `` At the close of Major Villere 's narrative the General drew up his figure , bowed with disease and weakness , to its full height , and with an eye of fire and an emphatic blow upon the table with his clenched fist , exclaimed : ' By the Eternal , they shall not sleep on our soil ! ' ''  -- Stanley Clisby Arthur , The Story of the Battle of New Orleans  That evening , attacking from the north , Jackson led 2,131 men in a brief three - pronged assault on the unsuspecting British troops , who were resting in their camp . Then Jackson pulled his forces back to the Rodriguez Canal , about 4 miles ( 6.4 km ) south of the city . The Americans suffered 24 killed , 115 wounded , and 74 missing , while the British reported their losses as 46 killed , 167 wounded , and 64 missing .   Historian Robert Quimby says , `` the British certainly did win a tactical victory , which enabled them to maintain their position . '' However , Quimby goes on to say , `` It is not too much to say that it was the battle of December 23 that saved New Orleans . The British were disabused of their expectation of an easy conquest . The unexpected and severe attack made Keane even more cautious ... he made no effort to advance on the twenty - fourth or twenty - fifth . '' As a consequence , the Americans were given time to begin the transformation of the canal into a heavily fortified earthwork . On Christmas Day , General Edward Pakenham arrived on the battlefield and ordered a reconnaissance - in - force on December 28 against the American earthworks protecting the advance to New Orleans . That evening , General Pakenham met with General Keane and Admiral Cochrane for an update on the situation , angry with the position that the army had been placed in . General Pakenham wanted to use Chef Menteur Road as the invasion route , but he was overruled by Admiral Cochrane , who insisted that his boats were providing everything that could be needed . Admiral Cochrane believed the veteran British soldiers would easily destroy Jackson 's ramshackle army , and he allegedly said that if the army did not do it , his sailors would . Whatever Pakenham 's thoughts on the matter , the meeting settled the method and place of the attack .   When the British reconnaissance - in - force withdrew , the Americans immediately began constructing earthworks to protect the artillery batteries . These defenses were then christened Line Jackson . The Americans installed eight batteries , which included one 32 - pound gun , three 24 - pounders , one 18 - pounder , three 12 - pounders , three 6 - pounders , and a 6 - inch ( 150 mm ) howitzer. Jackson also sent a detachment to the west bank of the Mississippi to man two 24 - pounders and two 12 - pounders on the grounded warship USS Louisiana . Even so , Jackson 's force was greatly outnumbered by the attacking forces . Jackson 's total of 4,732 men was made up of 968 U.S. Army regulars , 58 U.S. Marines ( holding the center of the defensive line ) , 106 seamen of the US Naval battalion , 1,060 Louisiana militia and volunteers ( including 462 free people of color ) , 1,352 Tennessee militia , 986 Kentucky militia , 150 Mississippi militia , and 52 Choctaw warriors , along with a force from the pirate Jean Lafitte 's Baratarians . Jackson also had the support of the warships in the Mississippi River , including the USS Louisiana , the USS Carolina and the Enterprise , a steamboat .   Then - Major Thomas Hinds ' Squadron of Light Dragoons , a militia unit from the Mississippi Territory , learned of the advancing position of the British on December 30th , helping to secure victory , after having arrived to the battle December 22nd and distinguishing himself and the cavalry under his command .   The main British army arrived on New Year 's Day 1815 , and opened fire on the earthworks with their artillery . This began an exchange of artillery fire that continued for three hours . Several of the American guns were destroyed or silenced , including the 32 - pounder , a 24 - pounder , and a 12 - pounder , while some damage was done to the earthworks . The British artillery finally exhausted its ammunition , which caused Pakenham to cancel the attack . Pakenham did not know that his attack had come close to success , since the Americans defenders on the left of Line Jackson near the swamp had broken under the fire and abandoned their position . Pakenham decided to wait until his entire force of over 8,000 men to assemble before continuing his attack . The British regulars included the 4th , 7th , 21st , 43rd , 44th , 85th , 93rd ( Highland ) Regiments , a 500 - man `` demi - battalion '' of the 95th Rifles , 14th Light Dragoons , and the 1st and 5th West India Regiments of several hundred free black soldiers , recruited from the British West Indies colonies . Other troops included Native Americans of the Hitchiti tribe , led by Kinache .   Battle of January 8 ( edit )  1815 painting of the battle by participant Jean Hyacinthe de Laclotte of the Louisiana Militia based on his memories and sketches made at the site Early 19th century map depicting the battlefield at Chalmette Plantation on January 8 , 1815  On January 8 , 1815 , the British marched against General Andrew Jackson 's lines of defense . The Americans had constructed three lines of defense , the forward one four miles in front of the city , was strongly entrenched at the Rodriquez Canal , which stretched from a swamp to the river , with a timber , loopholed breastwork and earthworks for artillery .   The British battle plan was for an attack against the 20 - gun west bank battery , which would then both reduce the American artillery danger and enable those same guns to be turned on the American line which would assist a frontal attack against the defended line . In the early morning of January 8 , Pakenham gave his final orders for the two - pronged assault against Jackson 's position . Colonel William Thornton ( of the 85th Regiment ) was to cross the Mississippi during the night with his 780 - strong force , move rapidly upriver and storm the battery commanded by Commodore Daniel Patterson on the flank of the main American entrenchments and then open an enfilade fire on Jackson 's line with howitzers and rockets . Then , the main attack , directly against the earthworks manned by the vast majority of American troops , would be launched in two columns ( along the river led by Keane and along the swamp line led by Major General Samuel Gibbs ) . The brigade commanded by Major General John Lambert was held in reserve .   A canal was dug by the British to enable 42 small boats to get to the river . Preparations for the attack had foundered early on the 8th , as the canal being dug by Cochrane 's sailors collapsed and the dam made to divert the flow of the river into the canal failed , leaving the sailors to drag the boats of Col. Thornton 's west bank assault force through deep mud and left the force starting off just before daybreak , 12 hours late . The frontal attack was not however postponed as it was hoped that the west bank would at least create a diversion , even if they had not succeeded in the assault .  The battlefield at Chalmette Plantation on January 8 , 1815  The main attack began under darkness and a heavy fog , but as the British neared the main enemy line the fog lifted , exposing them to withering artillery fire . Lt - Col. Thomas Mullins , the British commander of the 44th ( East Essex ) Regiment of Foot , had forgotten the ladders and fascines needed to cross the eight - foot - deep and fifteen - foot - wide canal and scale the earthworks , and confusion evolved in the dark and fog as the British tried to close the gap . Most of the senior officers were killed or wounded , including Major General Samuel Gibbs , who was killed leading the main attack column on the right comprising the 4th , 21st , 44th and 5th West India Regiments , and Colonel Rennie who led a detachment of three light companies of the 7th , 43rd , and 93rd on the left by the river .  General Andrew Jackson stands on the parapet of his makeshift defenses as his troops repulse attacking Highlanders , as imagined incorrectly by painter Edward Percy Moran in 1910 .  Possibly because of Thornton 's delay in crossing the river and the withering artillery fire that might hit them from across the river , the 93rd Highlanders were ordered to leave Keane 's assault column advancing along the river and move across the open field to join the main force on the right of the field . Keane fell wounded as he crossed the field with the 93rd . Rennie 's men managed to attack and overrun an American advance redoubt next to the river , but without reinforcements they could neither hold the position nor successfully storm the main American line behind it . Within a few minutes , the American 7th Infantry arrived , moved forward , and fired upon the British in the captured redoubt : within half an hour , Rennie and nearly all of his men were dead . In the main attack on the right , the British infantrymen either flung themselves to the ground , huddled in the canal , or were mowed down by a combination of musket fire and grapeshot from the Americans . A handful made it to the top of the parapet on the right but were either killed or captured . The 95th Rifles had advanced in open skirmish order ahead of the main assault force and were concealed in the ditch below the parapet , unable to advance further without support .   The two large main assaults on the American position were repulsed . Pakenham and his second - in - command , Major General Samuel Gibbs , were fatally wounded while on horseback , by grapeshot fired from the earthworks . Major Wilkinson of the 21st Regiment reformed his lines and made a third assault . They were able to reach the entrenchments and attempted to scale them . Wilkinson made it to the top , before being shot . The Americans were amazed at his bravery and carried him behind the rampart . With most of their senior officers dead or wounded , the British soldiers , including the 93rd Highlanders , having no orders to advance further or retreat , stood out in the open and were shot apart with grapeshot from Line Jackson . General Lambert was in the reserve and took command . He gave the order for his reserve to advance and ordered the withdrawal of the army . The reserve was used to cover the retreat of what was left of the British army in the field .  Photo of Chalmette National Park , looking NE from the monument . The main British attack struck just beyond Batteries 5 and 6 , the two cannons near the distant treeline .  The Chalmette battlefield was the plantation home of Colonel Denis de La Ronde 's half - brother , Ignace Martin de Lino ( 1755 - 1815 ) , and was burned by invading forces , reputedly causing de Lino 's death from a broken heart shortly after returning to his `` treasured home '' three weeks after the Battle .   The only British success of the battle was the delayed attack on the west bank of the Mississippi River , where Thornton 's brigade , comprising the 85th Regiment and detachments from the Royal Navy and Royal Marines , attacked and overwhelmed the American line . The Navy detachment and the Marine detachment were led by Captain Rowland Money and Brevet Major Thomas Adair , respectively . Money was captain of HMS Trave , and Adair was the commanding officer of HMS Vengeur 's detachment of Marines . The sides of the canal by which the boats were to be brought through to the Mississippi caved in and choked the passage , so that only enough got through to take over a half of Thornton 's force . With these , seven hundred in number , he crossed , but as he did not allow for the current , it carried him down about two miles below the proper landing place . Thornton 's brigade won their battle , but Colonel Thornton was dangerously wounded . This success , though a brilliant one , and a disgrace to the American arms , had no effect on the battle . Army casualties among the 85th Foot were : 2 dead , 1 captured , and 41 wounded . Royal Navy casualties were 2 dead , Captain Rowland Money and 18 seamen wounded . Royal Marine casualties were 2 dead , with 3 officers , 1 sergeant and 12 other ranks wounded . Though both Jackson and Commodore Patterson reported that the retreating forces had spiked their cannon , leaving no guns to turn on the Americans ' main defense line , Major Mitchell 's diary makes it clear this was not so , as he states he had `` Commenced cleaning enemy 's guns to form a battery to enfilade their lines on the left bank '' . General Lambert ordered his Chief of Artillery , Colonel Alexander Dickson , to assess the position . Dickson reported back that no fewer than 2,000 men would be needed to hold the position . General Lambert issued orders to withdraw after the defeat of their main army on the east bank and retreated , taking a few American prisoners and cannon with them . It was later learned that the Americans were so dismayed by the loss of this battery , which would be capable of inflicting such damage on their lines when the attack was renewed , that they were preparing to abandon the town , when they received the news that the British themselves were withdrawing .   The Battle of New Orleans was remarkable for both its brevity and lopsided lethality , though some numbers are in dispute and disagree with the official statistics . Charles Welsh and Zachary Smith echo the report of Adjutant - general Robert Butler , in his official report to General Jackson , which claimed that in the space of twenty - five minutes , the British lost 700 killed , 1400 wounded , and 500 prisoners , a total loss of 2600 men ; American losses were only seven killed and six wounded . After the battle was over , around 500 British soldiers who had pretended to be dead rose up and surrendered to the Americans . One bugle boy climbed a tree within 200 yards of the American line and played throughout the battle , with projectiles passing close to him . He was captured after the battle and considered a hero by the Americans .   Almost universal blame was assigned to Colonel Mullins , of the 44th Regiment , which was detailed under orders to prepare and have ready , and to carry to the front on the morning of the eighth , fascines and ladders with which to cross the ditch and scale the parapet , as the soldiers fought their way to the breastwork of the Americans . It was freely charged that the Colonel deserted his trust and at the moment of need was half a mile to the rear . It was then that Pakenham , learning of Mullins ' conduct , placed himself at the head of the 44th and endeavored to lead them to the front with the implements needed to storm the works , when at around 500 yards away from the enemy front line , he fell wounded after being hit with grapeshot . On being assisted onto a horse , Pakenham was hit again and fell , this time mortally wounded .   Siege of Fort St. Philip ( edit )  Main article : Siege of Fort St. Philip ( 1815 ) Battle of New Orleans , January 1815  The British planned to sail up the Mississippi River ; however Fort St. Philip stood in the way . On January 9 , British naval forces attacked Fort St. Philip , which protected New Orleans from an amphibious assault from the Gulf of Mexico via the Mississippi River . The American forces , in addition to gunners working from privateer ships , were able to fend off the attacks . They withstood ten days of bombardment by cannon before the British ships withdrew on January 18 , 1815 .   Withdrawal of the British ( edit )   Three days after the battle , General Lambert held a council of war where , despite just receiving the news that the battery on the west bank of the river had been captured , it was concluded that despite his request for reinforcements as well as a siege train , capturing New Orleans and continuing the Louisiana campaign would be too costly and thus agreed with his officers to withdraw . By January 19 the British camp at Villere 's Plantation had been completely evacuated .   On February 4 , 1815 , the fleet , with all of the British troops aboard , set sail toward Mobile Bay , Alabama . The British army then attacked and captured Fort Bowyer at the mouth of Mobile Bay on February 12 . The following day , the British army was making preparations to attack Mobile when news arrived of the peace treaty . General Jackson had made tentative plans to attack the British at Mobile and continue the war into Spanish Florida on the grounds the British were using it as a base . He carried out those plans for Florida much later . The treaty had been ratified by the British Parliament but would not be ratified by Congress and the President until mid-February . It did , however , resolve that hostilities should cease , and the British abandoned Fort Bowyer and sailed home to their base in the West Indies . Although the Battle of New Orleans had no influence on the terms of the Treaty of Ghent , the defeat at New Orleans did compel Britain to abide by the treaty .   However , it would have been problematic for the British to continue the war in North America because of Napoleon 's escape from Elba on February 26 , 1815 , which ensured their forces were needed in Europe . Also , since the Treaty of Ghent did not specifically mention the vast territory America had acquired with the Louisiana Purchase , it only required both sides to give back those lands that had been taken from the other during the war .   Pakenham 's secret orders ( edit )   On October 24 , 1814 , in Pakenham 's Secret Orders the Secretary of War and the Colonies , Henry Bathurst wrote :   War Department 24th October 1814 M Genl The Hon Sir T. Pakenham   Secret   Sir : It has occurred to me that one case may arise affecting your situation upon the Coasts of America for which the Instructions addressed to the late Major General Ross have not provided . You may possibly hear whilst engaged in active operations that the Preliminaries of Peace between His Majesty and the United States have been signed in Europe and that they have been sent to America in order to receive the Ratification of The President . As the Treaty would not be binding until it shall have received such Ratification in which we may be disappointed by the refusal of the Government of the United States , it is advisable that Hostilities should not be suspended until you shall have official information that The President has actually ratified the Treaty and a Person will be duly authorized to apprise you of this event . As during this interval , judging from the experience we have had , the termination of the war must be considered as doubtful , you will regulate your proceedings accordingly , neither omitting an opportunity of obtaining signal success , nor exposing the troops to hazard or serious loss for an inconsiderable advantage . And you will take special care not so to act under the expectation of hearing that the Treaty of Peace has been ratified , as to endanger the safety of His Majesty 's Forces , should that expectation be unhappily disappointed .   I have etc .  Bathurst  Distinguished service ( edit )   `` In his general orders of January 21 , General Jackson , in thanking the troops , paid special tributes to the Louisiana organizations , and made particular mention of Capts . Dominique and Belluche , and the Lafitte brothers , all of the Barataria privateers ; of General Garrique de Flanjac , a State Senator , and brigadier of militia , who served as a volunteer ; of Majors Plauche , St. Geme . Lacoste , D'Aquin , Captain Savary , Colonel De la Ronde , General Humbert , Don Juan de Araya . the Mexican Field - Marshal ; Major - General Villere and General Morgan , the Engineers Latour and Blanchard ; the Attakapas dragoons , Captain Dubuclay ; the cavalry from the Felicianas and the Mississippi territory . General Labattut had command of the town , of which Nicolas Girod was then the mayor . ''  -- William Head Coleman , Historical sketch book and guide to New Orleans and environs  `` Among those who most distinguished themselves during this brief but memorable campaign , were , next to the Commander - in - chief , Generals Villere , Carroll , Coffee , Ganigues , Flanjac , Colonel Delaronde , Commodore Patterson , Majors Lacoste , Planche , Hinds , Captain Saint Gerne , Lieutenants Jones , Parker , Marent , and Dominique ; Colonel Savary , a man of colour nor must we omit to mention Lafitte , pirate though he was . ''  -- E. Bunner , History of Louisiana  `` Over the course of several days , the logistically and numerically superior British force was repelled , in no small part to a small contingent of Marines led by Maj . Daniel Carmick and Lt. Francis de Bellevue of the New Orleans Navy Yard '' ( François - Godefroy Barbin de Bellevue ( 1789 - 1845 ) ) .  -- 26th Marine Expeditionary Unit A Certain Force in an Uncertain World  Aftermath ( edit )  Battle of New Orleans postage stamp depicting Andrew Jackson . Issued in 1965 to commemorate the 150th anniversary of the Battle of New Orleans , Chalmettte Plantation , Jan. 8 -- 18 .  From December 25 , 1814 , to January 26 , 1815 , British casualties during the Louisiana Campaign , apart from the assault on January 8 , were 49 killed , 87 wounded and 4 missing . Thus , British casualties for the entire campaign totaled 2,459 with 386 killed , 1,521 wounded , and 552 missing . American casualties for the entire campaign totaled 333 with 55 killed , 185 wounded , and 93 missing .   Six currently active battalions of the Regular Army ( 2 - 7 Inf , 3 - 7 Inf , 1 - 5 FA , 1 - 6 FA , 1 - 1 Inf and 2 - 1 Inf ) and one Mississippi Army National Guard regiment ( 155th Inf ) are derived from American units that fought at the Battle of New Orleans .   Although the engagement was very small compared to other contemporary battles of 1815 , such as the Battle of Waterloo , it was important for the meaning applied to it by Americans in general and Andrew Jackson in particular .  US troops along Jackson 's Line fire on British soldiers on a stamp issued January 8 , 2015 . This was the final US stamp in a War of 1812 series of four marking its bicentennial .  Americans believed that a vastly powerful British fleet and army had sailed for New Orleans ( Jackson himself thought 25,000 troops were coming ) , and most expected the worst . The news of victory , one man recalled , `` came upon the country like a clap of thunder in the clear azure vault of the firmament , and traveled with electromagnetic velocity , throughout the confines of the land . '' The battle boosted the reputation of Andrew Jackson and helped to propel him ultimately to the White House . The anniversary of the battle was celebrated as a national holiday for many years , called `` The Eighth '' , following Jackson 's election as President and ended after 1861 and it continues to be commemorated in south Louisiana .   In honor of Jackson , the newly organized Louisiana Historical Association dedicated its new Memorial Hall facility on January 8 , 1891 , the 76th anniversary of the Battle of New Orleans .   A federal park was established in 1907 to preserve the battlefield ; today it features a monument and is part of Jean Lafitte National Historical Park and Preserve .   The 8th of January became a traditional American fiddle tune , honoring the date of the battle . More than a century later , the melody was used by Jimmie Driftwood to write the song `` The Battle of New Orleans '' , which was a hit for Johnny Horton and Lonnie Donegan . That song was converted into punk rock tune for the play Bloody Bloody Andrew Jackson .   Victory attributed to a miracle ( edit )  Mosaic of Our Lady of Prompt Succor. Old Ursulines Convent complex , French Quarter , New Orleans  With the Americans outnumbered it seemed as though the city of New Orleans was in danger of being captured . Consequently , the Ursuline nuns along with many faithful people of New Orleans gathered in the Ursuline Convent 's chapel before the statue of Our Lady of Prompt Succor . They spent the night before the battle praying and crying before the holy statue , begging for the Virgin Mary 's intercession .   On the morning of January 8 , the Very Rev. William Dubourg , Vicar General , offered Mass at the altar on which the statue of Our Lady of Prompt Succor had been placed . The Prioress of the Ursuline convent , Mother Ste . Marie Olivier de Vezin , made a vow to have a Mass of Thanksgiving sung annually should the American forces win . At the very moment of communion , a courier ran into the chapel to inform all those present that the British had been defeated .   General Jackson went to the convent himself to thank the nuns for their prayers : `` By the blessing of heaven , directing the valor of the troops under my command , one of the most brilliant victories in the annals of war was obtained . '' The vow made by Mother Ste . Marie has been faithfully kept throughout the years .   In popular culture ( edit )   The battle was immediately politicized by the Democratic - Republican Party . Across the nation , it used the great victory to ridicule the Federalists as cowards , defeatists , and secessionists . Pamphlets , songs , newspaper editorials , speeches and entire plays on the battle drove home the point , and glorified Jackson 's heroic image .    The Battle and General Andrew Jackson are mentioned in George Washington Dixon 's 1834 version of `` Zip Coon '' , a popular minstrel show song .   The Buccaneer was a 1938 American adventure film produced and directed by Cecil B. De Mille based on Jean Lafitte and the Battle of New Orleans . The movie was remade in 1958 .   Country singer Johnny Horton had a Number 1 hit in 1959 with `` The Battle of New Orleans '' ( written by Jimmy Driftwood ) , which won the 1960 Grammy Award for Best Country &amp; Western Recording and was awarded the Grammy Hall of Fame Award . It was ranked No. 333 of the Recording Industry Association of America 's `` Songs of the ( 20th ) Century . '' The melody is from a 19th - century fiddle tune , `` The Eighth of January , '' which presumably was inspired by the American victory . Also in 1959 , Lonnie Donegan , the `` King of Skiffle '' , also had a U.K. Number 2 hit with his cover of `` The Battle of New Orleans . ''   Folk singer Phil Ochs mentions the Battle Of New Orleans in the opening stanza of his</t>
  </si>
  <si>
    <t xml:space="preserve">when did the battle of new orleans occur</t>
  </si>
  <si>
    <t xml:space="preserve">     Battle of New Orleans     Part of the War of 1812     The Battle of New Orleans by Henry Bryan Hall after William Momberger        Date   January 6 -- 18 , 1815     Location   About five miles ( 8 km ) east - southeast of New Orleans on the grounds of Chalmette Plantation     Result    Decisive American victory    British forces withdraw completely from Louisiana          Belligerents     United States   United Kingdom     Commanders and leaders     Andrew Jackson William Carroll John Coffee John Adair Walter Overton Daniel Patterson David B. Morgan Pierre Denis de La Ronde Jacques Villeré Thomas Hinds Joseph Savary René Trudeau Francis B. de Bellevue Daniel Carmick Jean Laffite   Edward Pakenham † Alexander Cochrane Samuel Gibbs † John Keane ( WIA ) John Lambert William Thornton Thomas Mullins     Units involved     See order of battle   See order of battle     Strength     4,732   14,450     Casualties and losses     55 killed 185 wounded 93 missing Total : 333   386 killed 1,521 wounded 552 missing or captured Total : 2,459     </t>
  </si>
  <si>
    <t xml:space="preserve">Gm 4L60 - e Transmission - wikipedia  Gm 4L60 - e Transmission       This article needs additional citations for verification . Please help improve this article by adding citations to reliable sources . Unsourced material may be challenged and removed . ( May 2017 ) ( Learn how and when to remove this template message )       4L60E / 4L65E     Overview     Manufacturer   General Motors     Production   1992 --     Body and chassis     Class   4 - speed longitudinal automatic transmission     Chronology     Predecessor   Turbo - Hydramatic     Successor   6L80 / 6L90     The 4L60E ( and similar 4L65E ) is a series of automatic transmissions from General Motors . Designed for longitudinal engine configurations , the series includes 4 forward gears and 1 reverse gear . It is an evolution of the Turbo - Hydramatic 700R4 , originally produced in 1982 .   The 4L60E and 4L65E are built at Toledo Transmission in Toledo , Ohio and have also been built at Romulus Transmission in Romulus , Michigan and Ramos Arizpe , Mexico .   The two transmissions are differentiated quickly by the 6 or 7 bolt bell housings . 4L60 uses a 6.5 '' depth bell with 6 bolts and 4L65 / 70 uses a 7 '' depth bell and 7 bolts . They also have different input shafts and torque converters . 4L60s uses a 298mm input shaft . 4L65 / 4L70 uses a 300mm input shaft and converter designed for LS applications only . Only corvettes and HD vehicles came equipped with 5 pins .   Gear ratios :     1             3.059   1.625   1.000   0.696   2.29     Contents    1 4L60 - E   2 4L65E   3 See also   4 References    4L60 - e ( edit )   The TH700R4 was renamed `` 4L60 '' ( RPO MD8 ) following the new General Motors naming convention , when the electronic version , 4L60E ( RPO M30 ) , was phased in . This happened in 1993 for trucks , vans , and SUVs , and 1994 for rear wheel drive passenger cars . In 1996 , a bolt - on bell housing was phased in ( along with a six - bolt tailhousing ) for S - 10 Trucks and S - 10 Blazers and beginning in 1998 for all other applications . Beginning in 1998 a new 300mm torque converter with improved higher - capacity internals , 300mm style input shaft , and 300mm style pump was also introduced on models coupled to a Gen III Small Block . The 4L60E is rated to handle up to 360 ft lbf ( 488 N m ) of torque . It weighs 133 pounds without transmission fluid .   The 4L60E family of transmissions use 2 shift solenoids , initially called Shift Solenoid A &amp; Shift Solenoid B , later changed to comply with OBD II ( On Board Diagnostics revision 2 ) regulations to 1 - 2 Shift Solenoid &amp; 2 - 3 Shift solenoid . By activating and deactivating the solenoids in a predetermined pattern by the PCM , 4 distinct gear ratios can be achieved . The shift solenoid pattern , also sometimes referred to as solenoid firing order , is as follows ;  Shift Solenoid Pattern      1 - 2 Solenoid   2 - 3 Solenoid     1st Gear   On   On     2nd Gear   Off   On     3rd Gear   Off   Off     4th Gear   On   Off     Applications :    Buick Rainier 2004 - 2007   Buick Roadmaster 1994 -- 1996   Cadillac Escalade 1999 - 2000 , 2002 - 2005 ( models with LM7 / 5.3 L V8 )   Cadillac Brougham 1991 - 1992   Cadillac Fleetwood 1993 -- 1996   Chevrolet Astro 1993 - 2005   Chevrolet Avalanche 2002 - 2008   Chevrolet S - 10 Blazer 1994 - 2005   Chevrolet Camaro 1994 -- 2002   Chevrolet Caprice 1994 - 96   Chevrolet Colorado 2004 - 2012   Chevrolet Corvette 1994 -- 2004   Chevrolet Express 2003 - 2012   Chevrolet Impala SS 1994 -- 1996   Chevrolet S - 10 1994 - 2005   Chevrolet Silverado 1500 - 2500 ( 2500 with 6 bolt axle pattern )   Chevrolet SSR 2003 - 2006   Chevrolet Suburban   Chevrolet Tahoe   Chevrolet TrailBlazer 2003 - 2009   GMC Canyon 2004 - 2012   GMC Envoy 2003 - 2009   GMC Jimmy 1993 - 2005   GMC Safari 1993 - 2005   GMC Savana 2003 - 2013   GMC Sierra 1500 - 2500 ( 2500 with 6 bolt axle pattern )   GMC Sonoma 1994 - 2005   GMC Yukon   GMC Yukon XL Denali   GMC Vandura 1993 - 1996   Holden Commodore ( VR , VS , VT , VX , VY , VZ , VE ) 1993 -- 2012   Holden Caprice ( VR , VS , WH , WK and WL ) 1994 -- 2006   Hummer H3   Oldsmobile Bravada   Oldsmobile Custom Cruiser 1991 - 1992   Pontiac Firebird 1994 -- 2002   Pontiac GTO 2004   Saab 9 - 7X 2005 - 2009    4L65E ( edit )   An updated 4L60E , the 4L65E ( RPO M32 ) , was phased in the 2001 model year when coupled behind the 6.0 Vortec . Five - pinion front and rear planetaries , along with an additional 3 / 4 clutch allowing 7 clutches in the input housing and induction hardened input shaft assembly , were improved to withstand up to 380 ft lbs ( 515 N m ) of torque .   Applications :    2005 C6 Corvette   Cadillac Escalade   Cadillac Escalade EXT   Chevrolet Silverado SS   GMC Sierra Denali   GMC Yukon Denali   Hummer H2   Holden Crewman 2004 Only   Holden One Tonner 2004 Only   Pontiac GTO 2005 -- 2006 ( M32 , 3.46 : 1 final drive )    See also ( edit )    List of GM transmissions    References ( edit )    Jump up ^ `` 4L60E Identification + Specs GM Transmission Resource '' . GM Transmission Resource . Retrieved 2017 - 04 - 28 .   Retrieved from `` https://en.wikipedia.org/w/index.php?title=GM_4L60-E_transmission&amp;oldid=854346183 '' Categories :   General Motors transmissions   Automobile transmissions   Hidden categories :   Articles needing additional references from May 2017   All articles needing additional references           Talk                                           Contents                   About Wikipedia                                           Deutsch   Edit links   This page was last edited on 10 August 2018 , at 17 : 16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</si>
  <si>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does the e stand for in 4l60e</t>
  </si>
  <si>
    <t xml:space="preserve"> The TH700R4 was renamed `` 4L60 '' ( RPO MD8 ) following the new General Motors naming convention , when the electronic version , 4L60E ( RPO M30 ) , was phased in . This happened in 1993 for trucks , vans , and SUVs , and 1994 for rear wheel drive passenger cars . In 1996 , a bolt - on bell housing was phased in ( along with a six - bolt tailhousing ) for S - 10 Trucks and S - 10 Blazers and beginning in 1998 for all other applications . Beginning in 1998 a new 300mm torque converter with improved higher - capacity internals , 300mm style input shaft , and 300mm style pump was also introduced on models coupled to a Gen III Small Block . The 4L60E is rated to handle up to 360 ft lbf ( 488 N m ) of torque . It weighs 133 pounds without transmission fluid . </t>
  </si>
  <si>
    <t xml:space="preserve">Constance Shulman - wikipedia  Constance Shulman  Jump to : navigation , search    Constance Shulman       ( 1958 - 04 - 04 ) April 4 , 1958 ( age 60 ) Johnson City , Tennessee , U.S.     Occupation   Actress , singer     Years active   1989 -- present     Spouse ( s )   Reed Birney     Children       Constance Shulman ( born April 4 , 1958 ) is an American actress and singer . She is best known for voicing Patti Mayonnaise on Doug and for her current role as Yoga Jones in Orange Is the New Black . Shulman originated the role of Annelle in the first production of Steel Magnolias Off - Broadway .     Contents  ( hide )   1 Life and career   2 Personal life   3 Filmography   3.1 Film   3.2 Television     4 References   5 External links      Life and career ( edit )   Shulman was born in Johnson City , Tennessee , to a Jewish family . In 1980 , she graduated from the University of Tennessee with a bachelor 's degree in both speech and theatre . She moved to New York City to study acting at the Circle in the Square Theatre School and pursue an acting career . In 1989 , she made her screen debut in the comedy film Fletch Lives , playing Cindy Mae . She later had supporting parts in films Lost Angels , Men Do n't Leave , and Fried Green Tomatoes .   On television , Shulman worked as a voice actress , playing Patti Mayonnaise on Doug from 1991 to 1999 . In the early 1990s , Shulman appeared in a series of Kraft mayonnaise commercials .   She was also a regular cast member in the short - lived 1996 ABC sitcom , The Faculty , playing the best friend of Meredith Baxter 's character . In the late 1990s Shulman left the screen to raise her two children .   In 2013 , Shulman was cast in a recurring role as `` Yoga Jones '' in the Netflix comedy - drama series , Orange Is the New Black . Along with the rest of the cast , she received a Screen Actors Guild Award for Outstanding Performance by an Ensemble in a Comedy Series in 2015 .   Personal life ( edit )   She is married to fellow actor Reed Birney , and their daughter Gus Birney is an actress . Her son Ephraim Birney is also an actor .   Filmography ( edit )   Film ( edit )     Year   Title   Role   Notes     1989   Fletch Lives   Cindy Mae       1989   Lost Angels   Beautician       1990   Men Do n't Leave   Carly       1990   Reversal of Fortune   Pharmacist   Uncredited     1991   He Said , She Said   Make - Up Girl       1991   Fried Green Tomatoes   Missy       1991   Lethal Innocence   Nell Willis   Television film       Weekend at Bernie 's II   Tour Operator       1999   Doug 's 1st Movie   Patti Mayonnaise ( Voice )       1999   Sweet and Lowdown   Hazel       2008   A Jersey Christmas   Connie       2015   Stereotypically You   Unemployment Worker       2015   The Broken Ones   Rowland       Television ( edit )     Year   Title   Role   Notes     1989   The Days and Nights of Molly Dodd   Bonnie Sayles   2 episodes     1991 -- 94 , 1996 -- 99   Doug   Patti Mayonnaise   18 episodes       Heavens to Betsy   Lilly Walker   Unsold TV pilot       The Faculty   Shelly Ray   13 episodes     2013 -- present   Orange Is the New Black   Yoga Jones   47 episodes Screen Actors Guild Award for Outstanding Performance by an Ensemble in a Comedy Series     2014   Law &amp; Order : Special Victims Unit   Daycare Manager   Episode : `` Wednesday 's Child ''     2017   Broad City   Psychic   Episode : `` Sliding Doors ''     References ( edit )    Jump up ^ Gussow , Mel ( 1987 - 03 - 27 ) . `` Stage - ' Steel Magnolias , ' A Louisiana Story '' . NYTimes.com . Retrieved 2017 - 05 - 27 .   ^ Jump up to : Rizzo , Frank . `` Actress Shulman 's Career Blossoms As Image Of Southern Belle Withers '' . Hartford Courant . Retrieved June 30 , 2017 .   Jump up ^ McRary , Amy ( 29 March 2017 ) . `` ' Orange is New Black ' actress says new season ' off the wall ' '' . Knoxville News Sentinel . Retrieved 29 September 2017 .   ^ Jump up to : Brillantes , Mariam . `` ' Orange Is the New Black ' Star Constance Shulman Says New Season Looks Golden '' . Blogs.wsj.com . Retrieved May 21 , 2015 .   Jump up ^ `` ' Orange Is The New Black ' Star Constance Shulman Voiced Patti Mayonnaise On ' Doug ' ( PHOTO ) '' . The Huffington Post . Retrieved May 21 , 2015 .   Jump up ^ `` Patti Mayonnaise From ' Doug ' Is on ' Orange Is the New Black ' '' . The Daily Beast . Retrieved June 12 , 2015 .   Jump up ^ McCue , Michelle . `` BIRDMAN , DOWNTON ABBEY Big Winners At 21st Screen Actors Guild Awards '' . We Are Movie Geeks . Retrieved June 12 , 2015 .   Jump up ^ Berman , Nat ( June 26 , 2017 ) . `` Five Things You Did n't Know About Gus Birney '' . TVOvermind.com . Retrieved June 30 , 2017 .   Jump up ^ `` Doug ( TV Series 1991 -- 1994 ) '' . IMDb.com . Retrieved 25 August 2017 .    External links ( edit )    Constance Shulman on IMDb      ( hide )         Screen Actors Guild Award for Outstanding Performance by an Ensemble in a Comedy Series ( 2010 -- 2019 )       Modern Family , season 1 / season 2 ( 2010 ) : Bowen , Burrell , Ferguson , Gould , Hyland , O'Neill , Rodriguez , Stonestreet , Vergara , Winter     Modern Family , season 2 / season 3 ( 2011 ) : Anderson - Emmons , Bowen , Burrell , Ferguson , Gould , Hyland , O'Neill , Rodriguez , Stonestreet , Vergara , Winter     Modern Family , season 3 / season 4 ( 2012 ) : Anderson - Emmons , Bowen , Burrell , Ferguson , Gould , Hyland , O'Neill , Rodriguez , Stonestreet , Vergara , Winter     Modern Family , season 4 / season 5 ( 2013 ) : Anderson - Emmons , Bowen , Burrell , Ferguson , Gould , Hyland , O'Neill , Rodriguez , Stonestreet , Vergara , Winter     Orange Is the New Black , season 2 ( 2014 ) : Aduba , Biggs , Brooks , Cox , Cruz , Curtin , DeLaria , Fowler , Freeman , Gardner , Glenn , Golden , Guerrero , Harney , Jeudy , Lake , Lapkus , Leyva , Lyonne , Manning , Marsh Garland , McGorry , Moore , Mulgrew , Myles , Pimentel , Polanco , Reiner , Roberts , Rodriguez , Rosenblat , Sandow , Savage , Schilling , Shulman , Soules , Stone , Toussaint , Tucci , Wiley     Orange Is the New Black , season 3 ( 2015 ) : Aduba , Birbiglia , Blake , Brooks , Cox , Cruz , Curtin , DeLaria , Fowler , Glenn , Golden , Guerrero , Harney , Jeudy , Leyva , Manning , Marsh Garland , Moore , Mulgrew , Myles , Peters , Petty , Pimentel , Polanco , Prepon , Rodriguez , Rose , Sandow , Savage , Schilling , Shulman , Soules , Stone , Wiley     Orange Is the New Black , season 4 ( 2016 ) : Aduba , Aisenberg , Brooks , Brown , Cruz , DeLaria , Dover , Glenn , Golden , Gómez , Guerrero , Harney , Henke , Jeudy , Lake , Leyva , Lyonne , Manning , McMenamin , Moore , Mulgrew , Myles , Peters , Petty , Pimentel , Polanco , Prepon , Purdy , Rodriguez , Sandow , Savage , Schilling , Shulman , Soules , Stone , Tucci , Wiley     Veep , season 6 ( 2017 ) : Bakkedahl , Chlumsky , Cole , Colin , Dunn , DuVall , Franklin , Hale , Louis - Dreyfus , Richardson , Scheer , Scott , Simons , Sutherland , Walsh         Complete list   ( 1994 -- 1999 )   ( 2000 -- 2009 )   ( 2010 -- 2019 )               LCCN : no2016146793   VIAF : 2592147907504679210008      Retrieved from `` https://en.wikipedia.org/w/index.php?title=Constance_Shulman&amp;oldid=825690298 '' Categories :   1958 births   Living people   American television actresses   American film actresses   American voice actresses   Actresses from Tennessee   People from Johnson City , Tennessee   20th - century American actresses   21st - century American actresses   Jewish American actresses   Hidden categories :   Articles with hCards   All articles with unsourced statements   Articles with unsourced statements from May 2017   Wikipedia articles with LCCN identifiers   Wikipedia articles with VIAF identifiers           Talk                                           Contents                   About Wikipedia                                           Français   Русский   Українська   Edit links   This page was last edited on 14 February 2018 , at 20 : 50 .         About Wikipedia                    </t>
  </si>
  <si>
    <t xml:space="preserve">orange is the new black characters yoga lady</t>
  </si>
  <si>
    <t xml:space="preserve"> Constance Shulman ( born April 4 , 1958 ) is an American actress and singer . She is best known for voicing Patti Mayonnaise on Doug and for her current role as Yoga Jones in Orange Is the New Black . Shulman originated the role of Annelle in the first production of Steel Magnolias Off - Broadway . </t>
  </si>
  <si>
    <r>
      <rPr>
        <sz val="11"/>
        <color rgb="FF000000"/>
        <rFont val="Calibri"/>
        <family val="0"/>
        <charset val="1"/>
      </rPr>
      <t xml:space="preserve">Hamida Djandoubi - wikipedia  Hamida Djandoubi  Jump to : navigation , search    Hamida Djandoubi       ( 1949 - 09 - 22 ) September 22 , 1949 French Tunisia       September 10 , 1977 ( 1977 - 09 - 10 ) ( aged 27 ) Baumettes prison , Marseille , France     Cause of death   Executed by guillotine     Resting place   Cimetière Saint - Pierre , Marseilles     Nationality   Tunisian     Other names   `` Pimp Killer ''     Occupation   Landscaper , pimp     Criminal charge   Procuring Rape ( 2 counts ) Torture murder Premeditated violence ( 3 counts )     Criminal penalty   Capital punishment     Criminal status   Executed by guillotine on September 10 , 1977         Motive   Revenge for previous criminal charges     Conviction ( s )   Guilty on all charges ( February 25 , 1977 )     Details     Victims   Élisabeth Bousquet , 21     Date   Early 1973 ( procuring ) -- July 3 , 1974 ( murder )     Location ( s )   Marseilles         Hamida Djandoubi ( Arabic : حميدة جندوبي ‎ ; September 22 , 1949 -- September 10 , 1977 ) was a Tunisian agricultural worker and convicted murderer . He moved to Marseille , France , in 1968 and six years later he kidnapped , tortured and murdered 22 - year - old Élisabeth Bousquet , his former girlfriend . He was sentenced to death in February 1977 and executed in September that year . He was the last person to be executed in Western Europe and in the European Union and the last person legally executed by beheading in the Western world . Marcel Chevalier served as chief executioner .     Contents  ( hide )   1 Early life   2 Murder of Elisabeth Bousquet   3 Trial and execution   4 Further reading   5 References   6 External links      Early life ( edit )   Born in Tunisia on September 22 , 1949 , Djandoubi started living in Marseille in 1968 , working in a grocery store . He later worked as a landscaper but had a workplace accident in 1971 that resulted in the loss of two - thirds of his right leg .   In 1973 , a 21 - year - old woman named Elisabeth Bousquet , whom Djandoubi had met in the hospital while recovering from his amputation , filed a complaint against him , stating that he had tried to force her into prostitution .   Murder of Élisabeth Bousquet ( edit )       This section does not cite any sources . Please help improve this section by adding citations to reliable sources . Unsourced material may be challenged and removed . ( October 2011 ) ( Learn how and when to remove this template message )     After his arrest and eventual release from custody during the spring of 1973 , Djandoubi drew two other young girls into his confidence and then forced them to `` work '' for him . On July 3 , 1974 , he kidnapped Bousquet and took her into his home where , in full view of the terrified girls , he beat the woman before stubbing a lit cigarette all over her breasts and genital area . Bousquet survived the ordeal so he took her by car to the outskirts of Marseille and strangled her there .   On his return , Djandoubi warned the two girls to say nothing of what they had seen . Bousquet 's body was discovered in a shed by a boy on July 7 , 1974 . One month later , he kidnapped another girl who managed to escape and report him to police .   Trial and Exécution ( edit )   After a lengthy pre-trial process , Djandoubi eventually appeared in court in Aix - en - Provence on charges of torture - murder , rape , and premeditated violence on February 24 , 1977 . His main defense revolved around the supposed effects of the amputation of his leg six years earlier which his lawyer claimed had driven him to a paroxysm of alcohol abuse and violence , turning him into a different man .   On February 25 he was sentenced to death . An appeal against his sentence was rejected on June 9 . In the early morning of September 10 , 1977 , twelve days before his 28th birthday , Djandoubi was informed that he , like the child murderers Christian Ranucci ( guillotined on July 28 , 1976 ) and Jérôme Carrein ( guillotined on June 23 , 1977 ) , had not received a reprieve from President Valéry Giscard d'Estaing . Shortly afterwards , at 4 : 40 a.m. , he was executed by guillotine at Baumettes Prison in Marseille .   While Djandoubi was the last person executed in France , he was not the last condemned . No more executions occurred after capital punishment was abolished in France in 1981 following the election of François Mitterrand .   Further reading ( edit )    Jeremy Mercer , When the Guillotine Fell : The Bloody Beginning and Horrifying End to France 's River of Blood , 1791 -- 1977 , New York , St. Martin 's Press , 2008   Jean - Yves Le Nahour , Le Dernier guillotiné , Paris , First Editions , 2011    References ( edit )    Jump up ^ Exécution d'Hamida Djandoubi à Marseille , TF1 , September 10 , 1977 . INA . Retrieved August 31 , 2017 .   Jump up ^ Franklin E. Zimring ( 24 September 2004 ) . The Contradictions of American Capital Punishment . Oxford University Press . pp. 33 -- . ISBN 978 - 0 - 19 - 029237 - 9 .   Jump up ^ Les deux derniers bourreaux français toujours vivants , La Dépêche du Midi , 10 September 2007 ( French )   ^ Jump up to : Cédric Condom , Le Dernier Guillotiné , Planète+ Justice , 2011 ( French )   Jump up ^ La dernière exécution capitale date de 30 ans , Radio France internationale , 10 September 2007 ( French )   Jump up ^ Il ya 30 ans , avait lieu la dernière exécution , Le Nouvel Observateur , 10 September 2007 ( French )    External links ( edit )    Various photos , newspaper articles , and court documents related to the Djandoubi case ( in English )   Le Dernier Guillotiné , directed by Cédric Condom , based on the book by Jean - Yves Le Nahour , Planète+ Justice , 2011            VIAF : 41310453   LCCN : n2008020686   ISNI : 0000 0000 4108 5013   BNF : cb165437083 ( data )      Retrieved from `` https://en.wikipedia.org/w/index.php?title=Hamida_Djandoubi&amp;oldid=813851090 '' Categories :   1949 births   1977 deaths   French amputees   20th - century French criminals   French people convicted of murder   Executed French people   French pimps and madams   Kidnappers   People convicted of assault   People convicted of murder by France   People executed by France by decapitation   People executed by guillotine   People executed by the French Fifth Republic   People executed for murder   People from Marseille   Tunisian criminals   Tunisian people convicted of murder   Tunisian people executed abroad   Executed Tunisian people   Tunisian amputees   Hidden categories :   Articles with hCards   Tracking infobox criminal with motive parameter   Articles containing Arabic - language text   Articles needing additional references from October 2011   All articles needing additional references   Wikipedia articles with VIAF identifiers   Wikipedia articles with LCCN identifiers   Wikipedia articles with ISNI identifiers   Wikipedia articles with BNF identifiers           Talk                                           Contents                   About Wikipedia                                             Deutsch   Eesti   Español   Euskara   Français   Italiano   עברית   Nederlands   </t>
    </r>
    <r>
      <rPr>
        <sz val="11"/>
        <color rgb="FF000000"/>
        <rFont val="Noto Sans CJK SC"/>
        <family val="2"/>
      </rPr>
      <t xml:space="preserve">日本 語   </t>
    </r>
    <r>
      <rPr>
        <sz val="11"/>
        <color rgb="FF000000"/>
        <rFont val="Calibri"/>
        <family val="0"/>
        <charset val="1"/>
      </rPr>
      <t xml:space="preserve">Polski   Português   Русский   Suomi   Svenska   Türkçe   Edit links   This page was last edited on 5 December 2017 , at 15 : 48 .         About Wikipedia                    </t>
    </r>
  </si>
  <si>
    <t xml:space="preserve">when was the last time someone was executed by guillotine</t>
  </si>
  <si>
    <t xml:space="preserve"> Hamida Djandoubi ( Arabic : حميدة جندوبي ‎ ; September 22 , 1949 -- September 10 , 1977 ) was a Tunisian agricultural worker and convicted murderer . He moved to Marseille , France , in 1968 and six years later he kidnapped , tortured and murdered 22 - year - old Élisabeth Bousquet , his former girlfriend . He was sentenced to death in February 1977 and executed in September that year . He was the last person to be executed in Western Europe and in the European Union and the last person legally executed by beheading in the Western world . Marcel Chevalier served as chief executioner . </t>
  </si>
  <si>
    <r>
      <rPr>
        <sz val="11"/>
        <color rgb="FF000000"/>
        <rFont val="Calibri"/>
        <family val="0"/>
        <charset val="1"/>
      </rPr>
      <t xml:space="preserve">Hayden Christensen - wikipedia  Hayden Christensen  Jump to : navigation , search    Hayden Christensen     Christensen at the Berlin premiere of Star Wars : Episode III in 2005       ( 1981 - 04 - 19 ) April 19 , 1981 ( age 37 ) Vancouver , British Columbia , Canada     Occupation   Actor , film producer     Years active   1993 -- present     Partner ( s )   Rachel Bilson ( 2007 -- 2017 )     Children       Relatives   Tove Christensen ( brother ) Erik Christensen ( cousin )     Hayden Christensen ( born April 19 , 1981 ) is a Canadian actor and producer . He began his career on Canadian television at the age of 13 , then diversified into American television in the late 1990s . He was praised for his acting as Sam in Life as a House ( 2001 ) , earning Golden Globe Award and Screen Actors Guild Award nominations . Christensen gained international fame for his portrayal of Anakin Skywalker in Star Wars : Episode II -- Attack of the Clones ( 2002 ) and Star Wars : Episode III -- Revenge of the Sith ( 2005 ) . His honors for these films include a nomination for the Saturn Award for Best Actor and the Cannes Film Festival Revelation Award .     Contents  ( hide )   1 Early life   2 Career   2.1 1993 -- 2005   2.1. 1 Star Wars     2.2 2006 -- present     3 Personal life   4 Filmography   5 References   6 External links      Early Life   Christensen was born in Vancouver , British Columbia , to Alie , an American speechwriter , and David Christensen , a Canadian computer programmer and communications executive . His father is of Danish descent , and his mother has Swedish and Italian ancestry . Christensen is one of four children , with three actor siblings : older brother Tove , older sister Hejsa , and younger sister Kaylen . Christensen was an athlete in high school , playing hockey competitively and tennis on a provincial level .   He spent summers on Long Island with his maternal grandmother , Rose Schwartz , and attended the Actors Studio in New York City ; he studied as well at the Arts York drama program at Unionville High School in Markham , Ontario . After accompanying his older sister to her agent 's office after she landed a role in a Pringles commercial , he began being cast in commercials as well , including for Triaminic cough syrup .   Career   1993 -- 2005   Christensen made his acting debut in September 1993 , when , at the age of 12 , he played a supporting role on the German - Canadian television series Macht Der Leidenschaft / Family Passions . The following year , he had a minor role in John Carpenter 's In the Mouth of Madness . From 1995 through 1999 , he appeared in several films and television series , including Harrison Bergeron , Forever Knight , Goosebumps , The Virgin Suicides , and Are You Afraid of the Dark ?   He acquired wider notice while starring in Fox Family Channel 's television series Higher Ground in 2000 , portraying a teen who was sexually molested by his stepmother , and then turned to drugs in his despair .   Christensen 's critically acclaimed portrayal of a misunderstood teenager in Life as a House ( 2001 ) earned him Golden Globe and SAG Award nominations , as well as the National Board of Review 's award for Breakthrough Performance of the Year . However , the performance did not receive widespread public notice . In 2002 , Christensen made his London theatre debut with Jake Gyllenhaal and Anna Paquin in This Is Our Youth .   He went on to receive good reviews for 2003 's Shattered Glass , which tells the true story of journalist Stephen Glass , who was discovered to be fabricating stories as a writer for The New Republic and other publications . Peter Travers of Rolling Stone wrote , `` Hayden Christensen is sensational as Glass , finding the wonder boy and the weasel in a disturbed kid flying high on a fame he has n't earned . '' In 2005 , Christensen made his Broadway debut when he appeared briefly in a 10 - minute play .   In 2005 , he took part in the fifth annual `` 24 Hour Plays '' benefit , which raises cash for nonprofit groups in the Big Apple .  Star Wars  On May 12 , 2000 , Christensen announced that he would be starring as Anakin Skywalker in Star Wars : Episode II -- Attack of the Clones ( 2002 ) and Star Wars : Episode III -- Revenge of the Sith ( 2005 ) . The casting director reviewed about 1,500 other candidates before director George Lucas selected Christensen . Lucas is quoted as saying that he chose Christensen because he `` needed an actor who has that presence of the Dark Side '' . This was essential to solidify the story that Lucas was trying to tell : Anakin Skywalker 's fall from grace and transformation into Darth Vader .   During the production of Revenge of the Sith , Christensen asked Lucas if a special Vader suit could be constructed to fit his own body , rather than have a different actor don one of the original sets of Vader armor worn by David Prowse . Lucas agreed , and a suit was engineered to fit Christensen 's frame , even including extensions to allow for the actor to attain Vader 's 6 ft 6 in ( 1.98 m ) height . His voice as the `` robotic '' Vader , however , was dubbed over by James Earl Jones , who first made the voice famous in the original trilogy .   Stock footage of Christensen was used in the 2004 DVD - release edition of Return of the Jedi , where he was inserted to replace Sebastian Shaw as the ghost of the redeemed Anakin Skywalker . This was one of the most controversial changes . Lucas wanted Anakin 's inner person to return to who he was before he turned to the dark side . Christensen insisted this was done without his knowledge , an act that was confirmed by Lucasfilm itself in the featurette `` Return of the Jedi : What has changed ? '' as seen on the official website to commemorate the 2006 DVDs .   His performance in both Episode II and III received generally mixed reviews by critics ( earning him the Golden Raspberry Award for Worst Supporting Actor in both films ) .   Christensen was named in both People magazine 's 50 Most Beautiful People and Teen People 's 25 Hottest Stars under 25 . For his performance in Episode III , he won the MTV Movie Award for Best Villain .   2006 -- present  Christensen with ex -- girlfriend Rachel Bilson filming Jumper in Rome in 2006  Between 2006 and 2007 , he starred in Awake , with Jessica Alba , which tells the story of a man who remains awake but paralyzed during heart surgery , and co-starred in Factory Girl , opposite Sienna Miller and Guy Pearce . Christensen next co-starred with Samuel L. Jackson , Jamie Bell , and Rachel Bilson in the film Jumper , the story of a young man who discovers he has the ability to teleport ; the film was released on February 14 , 2008 . Bilson and Christensen co-starred again in the same segment of the film New York , I Love You . Christensen appeared opposite Mischa Barton in Virgin Territory , which was released directly - to - DVD in North America on August 26 , 2008 . The film , based on The Decameron , is about a group of people who escape the Black Plague epidemic by hiding out in a Tuscan villa in Italy .   In October 2009 , Christensen started shooting the horror film Vanishing on 7th Street , directed by Brad Anderson , with Thandie Newton and John Leguizamo . Christensen appeared in the crime drama Takers with Idris Elba and Paul Walker , released in the United States on August 27 , 2010 . Quantum Quest : A Cassini Space Odyssey is the fourth film in which Christensen stars with Samuel L. Jackson .   In 2010 , Christensen sued USA Network over allegations that they stole his idea for the TV show Royal Pains . The suit alleges that Christensen met with USA to pitch a similar series entitled Housecalls . During the meeting , Christensen alleges , he was never informed that a similar program was in development . Although a federal judge at first dismissed Christensen 's lawsuit in 2011 , in June 2012 , the 2nd Circuit Court of Appeals reversed this decision and remanded the case back to the district court for further proceedings , in what was considered a legal victory for Christensen .   On May 20 , 2013 , during the Cannes Film Festival , the Russian company Enjoy Movies announced the creation of Glacier Films , an alliance company with Christensen and his brother Tove . Over a three - year period , Glacier Films intends to make 11 `` micro-budget '' movies costing $1.5 M each . The first project , American Heist , starring Christensen , Adrien Brody and Jordana Brewster , started filming in June 2013 . It is a remake of Steve McQueen 's The Great St. Louis Bank Robbery . In 2014 , he starred in the American - Chinese - Canadian film Outcast , an action drama , alongside Nicolas Cage .   Personal Life   In 2007 , Christensen began dating actress Rachel Bilson , with whom he filmed the movie Jumper . They became engaged on December 25 , 2008 . In mid-2010 , they broke up , but began dating again a few months later . On October 29 , 2014 , Bilson gave birth to their daughter Briar Rose . Christensen and Bilson separated in September 2017 .   In 2007 , Christensen bought a farm near Uxbridge , Ontario . He noted in 2008 that he had been renovating the property himself and devoting time to learning about `` livestock , crops , and agricultural machinery '' . In November 2013 , Christensen collaborated with Canadian fashion chain RW&amp;Co to release a men 's clothing line inspired by his farm .   An avid Toronto Maple Leafs fan , Christensen performed a public service announcement for Do Something 's Teens for Jeans Campaign in 2008 . He modelled in Louis Vuitton 's advertising , and was also named as the face of Lacoste 's newest fragrance , Lacoste Challenge . He was featured in RED 's Lazarus Effect Campaign , which is intended to increase awareness for its efforts to fight AIDS in Africa .   Filmography   Film   Year   Title   Character   Notes     1995   In the Mouth of Madness   Paper boy       No Greater Love   Teddy Winfield       Street Law   Young John Ryan       1998   The Hairy Bird   Tinka 's date       1999   The Virgin Suicides   Jake Hill Conley       Free Fall   Patrick Brennan         Life as a House   Sam Monroe   Young Hollywood Award One to Watch -- Male National Board of Review -- Best Breakthrough Performance by an Actor Nominated -- Golden Globe Award for Best Supporting Actor -- Motion Picture Nominated -- Screen Actors Guild Award for Outstanding Performance by a Male Actor in a Supporting Role - Motion Picture Nominated -- Dallas -- Fort Worth Film Critics Association Award for Best Supporting Actor Nominated -- Online Film Critics Society Award for Best Breakthrough Performance Nominated -- Chicago Film Critics Association Awards -- Most Promising Performer     2002   Star Wars : Episode II -- Attack of the Clones   Anakin Skywalker   Cannes Film Festival -- Male Revelation Golden Raspberry Award for Worst Supporting Actor Nominated -- Saturn Award for Best Performance by a Younger Actor Nominated -- Saturn Award -- Cinescape Genre Face of the Future Award Nominated -- Teen Choice Award -- Choice Movie Actor : Action Nominated -- Teen Choice Award -- Choice Movie : Chemistry ( shared with Natalie Portman ) Nominated -- Teen Choice Award -- Choice Movie : Liplock ( shared with Natalie Portman ) Nominated -- Teen Choice Award -- Choice Movie : Male Breakout Star     2003   Shattered Glass   Stephen Glass   Las Palmas Film Festival -- Best Actor ( shared with Peter Sarsgaard ) Nominated -- Satellite Award for Best Actor - Motion Picture Drama       Star Wars : Episode VI -- Return of the Jedi   Anakin Skywalker   DVD re-release     2005   Star Wars : Episode III -- Revenge of the Sith   Anakin Skywalker / Darth Vader   ShoWest -- Male Star of Tomorrow MTV Movie Award for Best Villain Golden Raspberry Award for Worst Supporting Actor Nominated -- Saturn Award -- Best Actor Nominated -- MTV Movie Award for Best Fight ( shared with Ewan McGregor ) Nominated -- Teen Choice Award -- Choice Movie Actor : Action Nominated -- Teen Choice Award -- Choice Movie : Villain     2006   Factory Girl   Billy Quinn       2007   Awake   Clayton `` Clay '' Beresford , Jr .   Nominated -- Golden Raspberry Award for Worst Screen Combo ( shared with Jessica Alba )     Virgin Territory   Lorenzo de Lamberti       2008   Jumper   David Rice   Nominated -- MTV Movie Award for Best Fight ( shared with Jamie Bell )     2009   New York , I Love You   Ben   Segment : `` Jiang Wen ''       Takers   AJ   Nominated -- Black Reel Award for Best Ensemble     Vanishing on 7th Street   Luke Ryder       Quantum Quest : A Cassini Space Odyssey   Jammer ( voice )       2014   Outcast   Jacob       American Heist   James Kelly       2015   90 Minutes in Heaven   Don Piper       2017   First Kill   Billy       2017   Numb , at the Edge of the End   Kurt   Post-production     2018   Little Italy   Leo Campo   Post-production     Television   Year   Title   Role   Notes       Family Passions   Skip McDeere   Unknown episodes     1995   Love and Betrayal : The Mia Farrow Story   Fletcher   Television film     1995   Harrison Bergeron   Eric   Television film       No Greater Love   Teddy Winfield   Television film       Forever Knight   Andre   Episode : `` Fallen Idol ''       Goosebumps   Zane   Episode : `` Night of the Living Dummy III ''     1999   Real Kids , Real Adventures   Eli Goodner   Episode : `` Paralyzed : The Eli Goodner Story ''     1999   Are You Afraid of the Dark ?   Kirk   Episode : `` The Tale of Bigfoot Ridge ''     1999   The Famous Jett Jackson   Steven   Episode : `` Popularity ''     2000   Trapped in a Purple Haze   Orin Krieg   Television film     2000   Higher Ground   Scott Barringer   22 episodes     2018   Star Wars Rebels   Anakin Skywalker   Voice ( archive recording ) Episode : `` A World Between Worlds ''     References    ^ Jump up to : `` Hayden Christensen Biography ( 1981 - ) '' . FilmReference.com . Archived from the original on July 4 , 2017 . Retrieved September 20 , 2017 .   ^ Jump up to : Leith , William ( March 13 , 2002 ) . `` A force to be reckoned with '' . The Daily Telegraph . London , UK . Retrieved July 1 , 2008 .   Jump up ^ `` Hayden Christensen Biography '' . Yahoo !. Archived from the original on January 1 , 2006 . Retrieved July 1 , 2008 .   Jump up ^ Lee , Linda ( October 21 , 2001 ) . `` Film : Up and Coming -- Hayden Christensen ; Life as the Latest Bearer of the Force '' . The New York Times . Retrieved December 12 , 2007 .   ^ Jump up to : Goldman , Andrew ( March 10 , 2002 ) . `` Space Boy '' . The New York Times . Retrieved May 4 , 2010 .   ^ Jump up to : `` Hello Magazine Filmography -- Hayden Christensen '' . Hello Magazine . Retrieved July 1 , 2008 .   ^ Jump up to : Welch , David ( May 20 , 2002 ) . `` The cast and crew of the latest Star Wars flick are n't cloning around '' . Sci Fi . Archived from the original on May 18 , 2009 . Retrieved July 1 , 2008 .   Jump up ^ `` HFPA -- Awards Search '' . Golden Globes . Retrieved July 1 , 2008 .   Jump up ^ `` 8th Annual SAG Awards Nominees '' . SAG Awards . Archived from the original on September 7 , 2008 . Retrieved July 1 , 2008 .   Jump up ^ `` National Board of Review of Motion Pictures -- Awards 2001 '' . NBRMP . Archived from the original on September 27 , 2011 . Retrieved July 1 , 2008 .   Jump up ^ Loveridge , Lizzie ( March 2002 ) , `` A CurtainUp London Review : This is Our Youth '' , CurtainUp.com . Retrieved on April 19 , 2018   Jump up ^ Ebert , Roger ( November 7 , 2003 ) . `` Shattered Glass Review '' . Chicago Sun - Times . Roger Ebert.com . Retrieved July 27 , 2008 .   Jump up ^ Schembri , Jim ( May 20 , 2005 ) . `` Darth wish '' . The Age . Melbourne , Australia . Retrieved July 1 , 2008 .   Jump up ^ Travers , Peter ( October 23 , 2003 ) . `` Shattered Glass Review '' . Rolling Stone . Archived from the original on December 28 , 2009 . Retrieved July 27 , 2008 .   Jump up ^ `` The 24 Hour Plays 2005 '' . IBDB . Retrieved May 18 , 2010 .   Jump up ^ `` Robin Gurland -- Do n't Call Her ; She 'll Call You '' . Star Wars.com . Archived from the original on June 28 , 2011 . Retrieved May 17 , 2010 .   Jump up ^ `` Star Wars -- Lucas Made Vader Suit Extra Awkward '' . Contactmusic.com . Retrieved July 30 , 2010 .   Jump up ^ `` Hayden Christensen Talks About `` Revenge of the Sith '' `` . Movies About . Retrieved May 17 , 2010 .   Jump up ^ Star Wars Trilogy : Star Wars Episode VI : Return of the Jedi ( DVD ) . 20th Century Fox . 2004 .   Jump up ^ Johnson , Derek . `` Star Wars fans , DVD , and cultural ownership : an interview with Will Brooker ; Interview '' , Velvet Light Trap , September 22 , 2005 , pg. 36 -- 44 .   Jump up ^ Ebert , Roger ( May 1 , 2005 ) . `` Anakin 's fans strike back '' . Chicago Sun - Times . Roger Ebert.com . Archived from the original on January 13 , 2010 . Retrieved February 26 , 2010 .   Jump up ^ `` Moviefone Unscripted with Hayden Christensen and George Lucas '' . YouTube . 2005 .   Jump up ^ Star Wars Episode III : Revenge of the Sith ( DVD ) . 20th Century Fox . 2005 .   Jump up ^ `` Review : Star Wars : Episode II -- Attack of the Clones '' . Chicago Sun - Times . Retrieved May 10 , 2002 .   Jump up ^ `` Revenge of the Sith review '' . Houston Chronicle . Retrieved September 30 , 2005 .   Jump up ^ `` May the Force Be Over '' . Village Voice . Retrieved May 10 , 2005 .   Jump up ^ Scott , A.O. ( May 10 , 2002 ) . `` Kicking Up Cosmic Dust '' . New York Times . Retrieved May 10 , 2002 .   Jump up ^ `` 26th Annual Golden Raspberry ( Razzie © ) Award `` Winners '' `` . Razzies.com . Archived from the original on July 5 , 2008 . Retrieved May 19 , 2015 .   Jump up ^ `` It 's Madonna ! It 's Britney ! It 's -- BOTH ? ? Pop Divas TIE at 23rd RAZZIE Awards '' . Razzies . Archived from the original on April 15 , 2014 . Retrieved May 19 , 2015 .   Jump up ^ `` Hello Magazine Profile -- Hayden Christensen '' . Hello Magazine . Retrieved July 1 , 2008 .   Jump up ^ `` Hayden Christensen : Actor '' . People . May 13 , 2002 . Retrieved July 1 , 2008 .   Jump up ^ `` 2006 MTV Movie Awards '' . MTV . Retrieved August 4 , 2008 .   Jump up ^ Scheck , Frank ( December 3 , 2007 ) . `` Awake : Bottom Line : Sleep wo n't be an option '' . The Hollywood Reporter . Archived from the original on May 18 , 2009 . Retrieved July 1 , 2008 .   Jump up ^ Howell , Peter ( February 9 , 2007 ) . `` ' Factory Girl ' : Time 's up '' . TheStar . Archived from the original on October 7 , 2008 . Retrieved July 1 , 2008 .   Jump up ^ Kiefer , Peter ( December 17 , 2006 ) . `` Oh My God , Can You Rent the Colosseum ? '' . New York Times . Retrieved July 1 , 2008 .   Jump up ^ `` Christensen Onboard Jumper ? '' . Moviehole . July 22 , 2006 . Archived from the original on October 13 , 2006 . Retrieved July 24 , 2006 .   Jump up ^ `` Bilson and Christensen Reteam For New York Love Story '' . Contactmusic.com . Retrieved July 30 , 2010 .   Jump up ^ `` Virgin Territory '' . Tribute.ca . Retrieved July 30 , 2010 .   Jump up ^ Foster , Dave ( June 26 , 2008 ) . `` Virgin Territory ( R2 ) in August '' . DVD Times . Retrieved July 1 , 2008 .   Jump up ^ `` Hayden Christensen is ' Street ' smart '' . The Hollywood Reporter . Retrieved February 28 , 2015 .   Jump up ^ `` Hayden Christensen is ' Vanishing on 7th Street ' '' . Cinematical . Retrieved May 18 , 2010 .   Jump up ^ `` Takers '' . Coming Soon . Retrieved November 9 , 2010 .   Jump up ^ `` Hayden Christensen claims USA stole his idea for ' Royal Pains ' '' . The Hollywood Reporter . Archived from the original on September 11 , 2010 . Retrieved July 11 , 2010 .   Jump up ^ Golding , Bruce . `` Christensen sues USA Network over ' stolen ' TV series '' . New York Post . Retrieved May 30 , 2010 .   Jump up ^ `` Hayden Christensen Wins Big Victory Against USA Network in ' Royal Pains ' Appeal '' . Hollywood Reporter .   Jump up ^ Dave McNary ( May 16 , 2013 ) . `` Hayden Christensen Launching Glacier Films Slate '' . Variety .   Jump up ^ `` Nicolas Cage , Hayden Christensen to Begin ' Outcast ' Chinese Shoot in April '' . Hollywood Reporter .   Jump up ^ `` Rachel Bilson and Hayden Christensen are engaged '' . People . Retrieved April 20 , 2009 .   Jump up ^ `` Christensen Proposed Over Christmas '' . Contactmusic.com . Retrieved July 11 , 2010 .   Jump up ^ `` Rep : Rachel Bilson , Hayden Christensen 's Wedding Officially `` Off '' `` . Us Weekly . August 9 , 2010 . Retrieved August 10 , 2010 .   Jump up ^ Chiu , Alexis ; Shira , Dahvi ( August 9 , 2010 ) . `` Hayden Christensen &amp; Rachel Bilson Call Off Engagement '' . People Magazine . Retrieved August 10 , 2010 .   Jump up ^ Byrne , Alla ( November 9 , 2010 ) . `` Hayden Christensen &amp; Rachel Bilson Are Dating Again '' . People Magazine . Retrieved November 9 , 2010 .   Jump up ^ Everett , Cristina ( November 9 , 2010 ) . `` Hayden Christensen and Rachel Bilson ' dating again ' months after calling off engagement '' . New York Daily News . Retrieved November 9 , 2010 .   Jump up ^ Confirmed by Bilson 's representative in Webber , Stephanie ( November 6 , 2014 ) . `` Rachel Bilson Gives Birth , Welcomes Baby Girl Briar Rose With Hayden Christensen '' . Us Weekly . Archived from the original on March 20 , 2016 .   Jump up ^ US Weekly Staff . `` Rachel Bilson and Hayden Christensen Split '' . usmagazine.com . Retrieved December 9 , 2017 .   ^ Jump up to : Hiscock , John ( February 13 , 2008 ) . `` Hayden Christensen dreaming of the simple life '' . The Toronto Star . Retrieved November 3 , 2013 .   Jump up ^ Heilbron , Alexandra ( May 31 , 2007 ) . `` Christensen buys Toronto area farm '' . Tribute.ca . Retrieved November 3 , 2013 .   Jump up ^ `` Hayden Christensen Teams With RW&amp;Co : Collection Inspired By ' Star Wars ' Actor 's Farm '' . Huffington Post . September 16 , 2013 . Retrieved November 3 , 2013 .   Jump up ^ `` Hayden Christensen Promotes Teens for Jeans '' . Do Something . Retrieved January 7 , 2008 .   Jump up ^ `` Hayden Christensen Smartens up for Louis Vuitton '' . Contactmusic.com . Retrieved October 5 , 2009 .   Jump up ^ `` Hayden Christensen 's New `` Challenge '' : Face of Lacoste Fragrance `` . People . Retrieved May 18 , 2010 .   Jump up ^ Christensen , Hayden ( July 31 , 2010 ) . `` Hayden Christensen on ' The Lazarus Effect ' '' . CNN . Retrieved July 1 , 2008 .   Jump up ^ `` The Lazarus Effect Campaign '' . Join Red . Retrieved May 10 , 2010 .    External links       Wikimedia Commons has media related to Hayden Christensen .      Star Wars portal   Vancouver portal     Hayden Christensen on IMDb   Hayden Christensen at the Internet Broadway Database   Hayden Christensen at the TCM Movie Database   Hayden Christensen at AllMovie   Hiscock , John ( May 13 , 2005 ) . `` Skywalker comes down to earth '' . The Daily Telegraph . London . Retrieved July 1 , 2008 .       Awards for Hayden Christensen                MTV Movie Award for Best Villain       Rebecca De Mornay ( 1992 )   Jennifer Jason Leigh ( 1993 )   Alicia Silverstone ( 1994 )   Dennis Hopper ( 1995 )   Kevin Spacey ( 1996 )   Jim Carrey ( 1997 )   Mike Myers ( 1998 )   Matt Dillon / Stephen Dorff ( 1999 ) †   Mike Myers ( 2000 )   Jim Carrey ( 2001 )   Denzel Washington ( 2002 )   Daveigh Chase ( 2003 )   Lucy Liu ( 2004 )   Ben Stiller ( 2005 )   Hayden Christensen ( 2006 )   Jack Nicholson ( 2007 )   Johnny Depp ( 2008 )   Heath Ledger ( 2009 )   Tom Felton ( 2010 )   Tom Felton ( 2011 )   Jennifer Aniston ( 2012 ) ‡   Tom Hiddleston ( 2013 )   Mila Kunis ( 2014 )   Meryl Streep ( 2015 )   Adam Driver ( 2016 )   Jeffrey Dean Morgan ( 2017 )       † Tie ; ‡ The Award was re-named Best On - Screen Dirtbag               National Board of Review Award for Breakthrough Performance       Alicia Silverstone ( 1995 )   Renée Zellweger ( 1996 )   Bai Ling ( 1997 )   Billy Crudup / Angelina Jolie ( 1998 )   Hilary Swank / Wes Bentley ( 1999 )   Jamie Bell / Michelle Rodriguez ( 2000 )   Hayden Christensen / Naomi Watts ( 2001 )   Maggie Gyllenhaal / Derek Luke ( 2002 )   Charlize Theron / Paul Giamatti ( 2003 )   Emmy Rossum / Topher Grace ( 2004 )   Q'orianka Kilcher / Terrence Howard ( 2005 )   Jennifer Hudson / Rinko Kikuchi / Ryan Gosling ( 2006 )   Ellen Page / Emile Hirsch ( 2007 )   Viola Davis / Dev Patel ( 2008 )   Gabourey Sidibe / Jeremy Renner ( 2009 )   Jennifer Lawrence ( 2010 )   Rooney Mara / Felicity Jones ( 2011 )   Quvenzhané Wallis / Tom Holland ( 2012 )   Adèle Exarchopoulos / Michael B. Jordan ( 2013 )   Jack O'Connell ( 2014 )   Abraham Attah / Jacob Tremblay ( 2015 )   Lucas Hedges / Royalty Hightower ( 2016 )   Timothée Chalamet ( 2017 )                 Trophée Chopard     2000s     Eduardo Noriega / Audrey Tautou ( 2001 )   Hayden Christensen / Paz Vega / Ludivine Sagnier ( 2002 )   Gael García Bernal / Diane Kruger ( 2003 )   Rodrigo Santoro / Marion Cotillard ( 2004 )   Jonathan Rhys Meyers / Kelly Reilly ( 2005 )   Kevin Zegers / Jasmine Trinca ( 2006 )   Nick Cannon / Archie Panjabi ( 2007 )   Omar Metwally / Tang Wei ( 2008 )   David Kross / Léa Seydoux ( 2009 )       2010s     Edward Hogg / Liya Kebede ( 2010 )   Niels Schneider / Àstrid Bergès - Frisbey ( 2011 )   Ezra Miller / Shailene Woodley ( 2012 )   Jeremy Irvine / Blanca Suárez ( 2013 )   Logan Lerman / Adèle Exarchopoulos ( 2014 )   Jack O'Connell / Lola Kirke ( 2015 )   John Boyega / Bel Powley ( 2016 )   George MacKay / Anya Taylor - Joy ( 2017 )   Joe Alwyn / Elizabeth Debicki ( 2018 )                  BNE : XX1632395   BNF : cb14461642g ( data )   GND : 144039109   ISNI : 0000 0001 2102 7454   LCCN : n2001025456   SNAC : w60p4bvk   SUDOC : 119215209   VIAF : 84237045      Retrieved from `` https://en.wikipedia.org/w/index.php?title=Hayden_Christensen&amp;oldid=840667129 '' Categories :   1981 births   20th - century Canadian male actors   21st - century Canadian male actors   Male actors from Toronto   Male actors from Vancouver   Actors Studio alumni   Canadian male child actors   Canadian male film actors   Canadian people of American descent   Canadian people of Danish descent   Canadian people of Italian descent   Canadian people of Swedish descent   Canadian male soap opera actors   Canadian male stage actors   Canadian male television actors   Canadian male voice actors   Lee Strasberg Theatre and Film Institute alumni   Living people   People from Thornhill , Ontario   Hidden categories :   Wikipedia indefinitely semi-protected biographies of living people   Use mdy dates from April 2018   Articles with hCards   All articles with unsourced statements   Articles with unsourced statements from May 2017   Articles with IBDb links   Wikipedia articles with BNF identifiers   Wikipedia articles with GND identifiers   Wikipedia articles with ISNI identifiers   Wikipedia articles with LCCN identifiers   Wikipedia articles with SNAC - ID identifiers   Wikipedia articles with VIAF identifiers           Talk                           View source                 Contents                   About Wikipedia                                                   Asturianu   تۆرکجه   Български   Català   Čeština   Cymraeg   Dansk   Deutsch   Ελληνικά   Español   فارسی   Français   Galego   </t>
    </r>
    <r>
      <rPr>
        <sz val="11"/>
        <color rgb="FF000000"/>
        <rFont val="Noto Sans CJK SC"/>
        <family val="2"/>
      </rPr>
      <t xml:space="preserve">한국어   </t>
    </r>
    <r>
      <rPr>
        <sz val="11"/>
        <color rgb="FF000000"/>
        <rFont val="Calibri"/>
        <family val="0"/>
        <charset val="1"/>
      </rPr>
      <t xml:space="preserve">Հայերեն   Bahasa Indonesia   Íslenska   Italiano   עברית   Қазақша   Lëtzebuergesch   Lietuvių   Magyar   Македонски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Slovenčina   Slovenščina   Српски / srpski   Srpskohrvatski / српскохрватски   Suomi   Svenska   தமிழ்   ไทย   Türkçe   Українська   Tiếng Việt   </t>
    </r>
    <r>
      <rPr>
        <sz val="11"/>
        <color rgb="FF000000"/>
        <rFont val="Noto Sans CJK SC"/>
        <family val="2"/>
      </rPr>
      <t xml:space="preserve">中文  </t>
    </r>
    <r>
      <rPr>
        <sz val="11"/>
        <color rgb="FF000000"/>
        <rFont val="Calibri"/>
        <family val="0"/>
        <charset val="1"/>
      </rPr>
      <t xml:space="preserve">38 more  Edit links   This page was last edited on 11 May 2018 , at 10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</si>
  <si>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anakin in revenge of the sith</t>
  </si>
  <si>
    <t xml:space="preserve"> Hayden Christensen ( born April 19 , 1981 ) is a Canadian actor and producer . He began his career on Canadian television at the age of 13 , then diversified into American television in the late 1990s . He was praised for his acting as Sam in Life as a House ( 2001 ) , earning Golden Globe Award and Screen Actors Guild Award nominations . Christensen gained international fame for his portrayal of Anakin Skywalker in Star Wars : Episode II -- Attack of the Clones ( 2002 ) and Star Wars : Episode III -- Revenge of the Sith ( 2005 ) . His honors for these films include a nomination for the Saturn Award for Best Actor and the Cannes Film Festival Revelation Award . </t>
  </si>
  <si>
    <t xml:space="preserve">2017 NFL season - wikipedia  2017 NFL season  Jump to : navigation , search This article is about the American football season in the United States . For the Gaelic football season in Ireland , see 2017 National Football League ( Ireland ) .  2017 National Football League season   Regular season     Duration   September 7 , 2017 ( 2017 - 09 - 07 ) -- December 31 , 2017 ( 2017 - 12 - 31 )     Playoffs     Start date   January 6 , 2018     Super Bowl LII     Date   February 4 , 2018     Site   U.S. Bank Stadium , Minneapolis , Minnesota         Pro Bowl     Date   January 28 , 2018     Site   Camping World Stadium , Orlando , Florida           ← 2016   NFL seasons       The 2017 NFL season is the 98th and current season in the history of the National Football League ( NFL ) . The season began on September 7 , 2017 , with the Kansas City Chiefs defeating the defending Super Bowl LI champion New England Patriots 42 -- 27 in the NFL Kickoff Game . The season will conclude with Super Bowl LII , the league 's championship game , on February 4 , 2018 , at U.S. Bank Stadium in Minneapolis , Minnesota .   For the second consecutive year , a team relocated to the Los Angeles metropolitan area , as the former San Diego Chargers announced their intent to relocate to the city in January 2017 .   Contents  ( hide )   1 Player movements and retirements   1.1 Free agency   1.2 Trades   1.3 Notable retirements   1.4 Draft     2 Preseason   3 Regular season   4 In - season scheduling changes   5 Regular season standings   5.1 Division   5.2 Conference     6 Anthem protests   7 Notable deaths   7.1 Dan Rooney   7.2 Others     8 Rule changes   9 Records , milestones , and notable statistics   10 Awards   10.1 Players of the week / month     11 Head coaching and front office personnel changes   11.1 Head coaches   11.1. 1 Offseason     11.2 Front office personnel   11.2. 1 Offseason       12 Stadiums   12.1 Atlanta Falcons   12.2 Naming rights   12.2. 1 Arizona Cardinals   12.2. 2 Denver Broncos     12.3 Relocations   12.3. 1 San Diego Chargers ' relocation to Los Angeles   12.3. 2 Oakland Raiders ' relocation to Las Vegas     12.4 Attendance     13 New uniforms and patches   14 Media   14.1 Broadcast rights   14.2 Commercials   14.3 Personnel changes     15 Television viewers and ratings   15.1 Most watched regular season games     16 References    Player movements and retirements ( edit )   The 2017 NFL League year began on March 9 at 4 : 00 p.m. EST . On March 7 , clubs were allowed to contact and enter into contract negotiations with the agents of players who became unrestricted free agents upon the expiration of their contracts two days later . On March 9 , clubs exercised options for 2017 on players who have option clauses in their contracts , submitted qualifying offers to their restricted free agents with expiring contracts and to whom desire to retain a Right of Refusal / Compensation , submitted a Minimum Salary Tender to retain exclusive negotiating rights to their players with expiring 2016 contracts and who have fewer than three accrued seasons of free agent credit , and teams were required to be under the salary cap using the `` Top - 51 '' definition ( in which the 51 highest paid - players on the team 's payroll must have a collected salary cap hit below the actual cap ) . The 2017 trading period also began the same day .   Free agency ( edit )   A total of 496 players were eligible for some form of free agency at the beginning of the free agency period . Among the high - profile players who changed teams via free agency were cornerbacks A.J. Bouye ( from Texans to Jaguars ) , Logan Ryan ( from Patriots to Titans ) , and Stephon Gilmore ( from Bills to Patriots ) ; safeties Barry Church ( from Cowboys to Jaguars ) , Johnathan Cyprien ( from Jaguars to Titans ) , Micah Hyde ( from Packers to Bills ) , and Tony Jefferson ( from Cardinals to Ravens ) ; linebackers Jabaal Sheard ( from Patriots to Colts ) , Malcolm Smith ( from Raiders to 49ers ) , and Manti Te'o ( from Chargers to Saints ) ; defensive tackles Johnathan Hankins ( from Giants to Colts ) and Calais Campbell ( from Cardinals to Jaguars ) ; offensive tackles Andrew Whitworth ( from Bengals to Rams ) , Kelvin Beachum ( from Jaguars to Jets ) , Matt Kalil ( from Vikings to Panthers ) , Mike Remmers ( from Panthers to Vikings ) , Ricky Wagner ( from Ravens to Lions ) , Riley Reiff ( from Lions to Vikings ) , and Russell Okung ( from Broncos to Chargers ) ; offensive guards Kevin Zeitler ( from Bengals to Browns ) , Larry Warford ( from Lions to Saints ) , Ronald Leary ( from Cowboys to Broncos ) , and T.J. Lang ( from Packers to Lions ) ; tight ends Martellus Bennett ( from Patriots to Packers ) and Jared Cook ( from Packers to Raiders ) ; wide receivers Alshon Jeffery ( from Bears to Eagles ) , Brandon Marshall ( from Jets to Giants ) , DeSean Jackson ( from Redskins to Buccaneers ) , Kenny Britt ( from Rams to Browns ) , Pierre Garçon ( from Redskins to 49ers ) , Robert Woods ( from Bills to Rams ) , Terrelle Pryor ( from Browns to Redskins ) , and Torrey Smith ( from 49ers to Eagles ) ; running backs Latavius Murray ( from Raiders to Vikings ) , Adrian Peterson ( from Vikings to Saints ) , Eddie Lacy ( from Packers to Seahawks ) , and Jamaal Charles ( from Chiefs to Broncos ) ; fullbacks Mike Tolbert ( from Panthers to Bills ) and Patrick DiMarco ( from Falcons to Bills ) ; quarterback Mike Glennon ( from Buccaneers to Bears ) .   Trades ( edit )    On March 9 , the Jacksonville Jaguars traded tight end Julius Thomas to the Miami Dolphins in exchange for a 2017 seventh - round draft pick .   On March 9 , the Miami Dolphins traded offensive tackle Branden Albert to the Jacksonville Jaguars in exchange for a 2018 seventh - round draft pick .   On March 9 , the Houston Texans traded quarterback Brock Osweiler , a 2018 second - round draft pick and a 2017 sixth - round draft pick to the Cleveland Browns in exchange for a 2017 fourth - round compensatory draft pick .   On March 9 , the Indianapolis Colts traded tight end Dwayne Allen and a 2017 sixth - round draft pick to the New England Patriots in exchange for a 2017 fourth - round draft pick .   On March 9 , the Los Angeles Rams traded defensive end William Hayes along with a 2017 seventh - round draft pick to the Miami Dolphins in exchange for a 2017 sixth - round draft pick .   On March 10 , the New Orleans Saints traded wide receiver Brandin Cooks and a 4th round draft pick to the New England Patriots in exchange for a 1st and 3rd round draft pick .   On March 10 , the Carolina Panthers traded defensive end Kony Ealy and a 2017 third - round draft pick to the New England Patriots in exchange for a 2017 second - round draft pick .   On March 15 , the Baltimore Ravens traded center Jeremy Zuttah and a 2017 sixth - round draft pick to the San Francisco 49ers for their 2017 sixth - round draft pick .   On April 4 , the Baltimore Ravens traded defensive tackle Timmy Jernigan and a 2017 third - round draft pick to the Philadelphia Eagles in exchange for a 2017 third - round draft pick .   On April 26 , the Seattle Seahawks traded the contract rights of previously retired running back Marshawn Lynch and a 2018 sixth - round draft pick to the Oakland Raiders for a 2018 fifth - round draft pick .   On August 11 , the Buffalo Bills traded wide receiver Sammy Watkins and a 2018 sixth - round draft pick to the Los Angeles Rams for cornerback E.J. Gaines and a 2018 second - round draft pick . That same day , the Bills traded cornerback Ronald Darby to the Philadelphia Eagles for wide receiver Jordan Matthews and a 2018 third - round draft pick .    Notable retirements ( edit )       This section may require cleanup to meet Wikipedia 's quality standards . The specific problem is : Expand on some more notable players by adding details about their retirement . ( September 2017 ) ( Learn how and when to remove this template message )      Anquan Boldin   Josh Cribbs   King Dunlap   Brandon Flowers   Justin Forsett   Doug Free   Chad Greenway   Percy Harvin   A.J. Hawk   Andre Johnson   James Jones   Terrance Knighton   James Laurinaitis   Jake Long   Robert Mathis   Pat McAfee   Lance Moore   Rob Ninkovich   Jerraud Powers   Tony Romo   Steve Smith , Sr .   Stephen Tulloch   John Urschel   Michael Vick   DeMarcus Ware   Roddy White   Vince Wilfork    At one point , Jay Cutler had also announced retirement , but later rescinded and signed with the Miami Dolphins . Cutler previously played for the Chicago Bears .   Draft ( edit )  For more details on this topic , see 2017 NFL draft .  The 2017 NFL Draft was held on April 27 -- 29 , 2017 in Philadelphia . The Cleveland Browns selected Myles Garrett with the first overall pick .   Preseason ( edit )   Training camps for the 2017 season were held in late July through August . Teams started training camp no earlier than 15 days before the team 's first scheduled preseason game .   Prior to the start of the regular season , each team played four preseason exhibition games , beginning on August 10 . The preseason began on the evening of August 3 with the 2017 Pro Football Hall of Fame Game , that featured the Dallas Cowboys ( represented in the 2017 Hall of Fame Class by owner Jerry Jones ) who hosted Arizona Cardinals ( represented by former quarterback Kurt Warner ) . It was televised nationally on NBC . The 64 - game preseason schedule ended on August 31 ; a 65th game , that of the 2017 Texas Governor 's Cup , was canceled due to the aftermath of Hurricane Harvey .   Regular season ( edit )   The 2017 regular season 's 256 games will be played over a 17 - week schedule which began on September 7 . Each of the league 's 32 teams plays a 16 - game schedule , with one bye week for each team . The slate also features games on Monday nights . There are games played on Thursday , including the National Football League Kickoff game in prime time on September 7 and games on Thanksgiving Day . The regular season will conclude with a full slate of 16 games on Sunday , December 31 , all of which will be intra -- division matchups , as it has been since 2010 .    Scheduling formula    Under the NFL 's current scheduling formula , each team plays the other three teams in its own division twice . In addition a team plays against all four teams in one other division from each conference . The final two games on a team 's schedule are against the two teams in the team 's own conference in the divisions the team was not set to play which finished the previous season in the same rank in their division ( e.g. the team which finished first in its division the previous season would play each other team in its conference that also finished first in its respective division ) . The preset division pairings for 2017 will be as follows .      Intra-conference AFC East vs AFC West AFC North vs AFC South NFC East vs NFC West NFC North vs NFC South     Inter-conference AFC East vs NFC South AFC North vs NFC North AFC South vs NFC West AFC West vs NFC East      Highlights of the 2017 schedule include :    NFL Kickoff Game : The Super Bowl LI champion New England Patriots hosted the Kansas City Chiefs in a primetime NFL Kickoff Game on September 7 , 2017 , with the Chiefs winning 42 -- 27 .   NFL International Series : For the 2017 season , the International Series underwent a split in branding , with each country 's games receiving their own brand .   NFL London Games : Four games were played in London in 2017 . The Jacksonville Jaguars hosted the Baltimore Ravens at Wembley Stadium on September 24 , and the Miami Dolphins hosted the New Orleans Saints at the same venue a week later . The Los Angeles Rams hosted the Arizona Cardinals at Twickenham Stadium on October 22 , and the Cleveland Browns hosted the Minnesota Vikings at the same venue a week later .   NFL Mexico Game : The Oakland Raiders will host the New England Patriots at Estadio Azteca in Mexico City , making this the second consecutive year in which the Raiders will host one of their home games in Mexico City ; the game will be played on November 19 , with a kickoff time of 4 : 25 p.m. EST .     Thanksgiving Day : As has been the case since 2006 , three games will be played on November 23 , beginning with the Detroit Lions hosting the Minnesota Vikings , the Dallas Cowboys hosting the Los Angeles Chargers ( in their first Thanksgiving Day game since 1969 , and their first Thanksgiving game since they joined the NFL as part of the AFL - NFL merger in 1970 ) , and a primetime game featuring Washington Redskins hosting the New York Giants .   Christmas games : Christmas Day , December 25 , falls on a Monday in 2017 . Sunday Night Football will move from December 24 , Christmas Eve , to Saturday , December 23 , with the Green Bay Packers hosting the Minnesota Vikings ( alongside a Saturday Thursday Night Football game featuring the Indianapolis Colts and Baltimore Ravens ) . Two games will be played on Christmas Day : a late - afternoon game featuring the Houston Texans hosting the Pittsburgh Steelers as a special edition of Thursday Night Football , and the Philadelphia Eagles hosting the Oakland Raiders for Monday Night Football .   New Year 's Eve games : The NFL will play a full slate of 16 games on December 31 , to conclude the regular season . All of the Week 17 games will be intra-divisional matchups , as they have been since 2010 .    The entire schedule was released on April 20 , 2017 .   In - season scheduling changes ( edit )   The following games were moved or canceled because of severe weather , by way of flexible scheduling , or for other reasons :    Preseason Week 4 : Due to the effects of Hurricane Harvey in the Houston area , the Cowboys -- Texans game was eventually canceled . The 2017 Texas Governor 's Cup preseason game , originally scheduled to be played at Houston 's NRG Stadium , was initially moved to the Cowboys ' AT&amp;T Stadium , before the NFL opted instead to cancel the game altogether in order to allow Texans ' players and coaches to reunite with their families as well as to assist with the relief efforts .   Week 1 : Due to the threat posed from Hurricane Irma , the Buccaneers -- Dolphins game was rescheduled to Week 11 ( November 19 ) , when both teams were originally scheduled to have their bye weeks . Both teams had their bye also rescheduled to this week .   Week 7 : The Bengals -- Steelers game , originally scheduled to start at 1 : 00 p.m. ET , was moved to 4 : 25 p.m. ET , with the game still on CBS . In addition , the Panthers - Bears game , originally scheduled to be broadcast on Fox , was flexed to CBS , but retained its scheduled start time of 1 : 00 p.m. ET .    Regular season standings ( edit )   Division ( edit )        AFC East       view   talk             PCT   DIV   CONF   PF   PA   STK     New England Patriots   6     0   . 750   1 -- 0   3 -- 1   216   179   W4     Buffalo Bills   5     0   . 714   1 -- 0   3 -- 1   153   115   W2     Miami Dolphins       0   . 571   1 -- 1   3 -- 2   93   152   L1     New York Jets     5   0   . 375   1 -- 3   2 -- 4   157   187   L3       AFC North       view   talk             PCT   DIV   CONF   PF   PA   STK     Pittsburgh Steelers   6     0   . 750   3 -- 0   4 -- 1   167   131   W3     Baltimore Ravens       0   . 500   2 -- 1   4 -- 2   170   148   W1     Cincinnati Bengals       0   . 429   1 -- 2   3 -- 3   122   135   W1     Cleveland Browns   0   8   0   . 000   0 -- 3   0 -- 7   119   202   L8       AFC South       view   talk             PCT   DIV   CONF   PF   PA   STK     Tennessee Titans       0   . 571   2 -- 1   3 -- 3   158   173   W2     Jacksonville Jaguars       0   . 571   2 -- 1   4 -- 2   183   110   W1     Houston Texans       0   . 429   1 -- 1   3 -- 3   215   188   L1     Indianapolis Colts     6   0   . 250   0 -- 2   1 -- 3   142   246   L3       AFC West       view   talk             PCT   DIV   CONF   PF   PA   STK     Kansas City Chiefs   6     0   . 750   2 -- 1   4 -- 2   236   180   W1     Denver Broncos       0   . 429   2 -- 2   2 -- 3   127   147   L3     Los Angeles Chargers     5   0   . 375   2 -- 2   2 -- 4   150   152   L2     Oakland Raiders     5   0   . 375   1 -- 2   3 -- 4   169   187   L2         NFC East       view   talk             PCT   DIV   CONF   PF   PA   STK     Philadelphia Eagles   7     0   . 875   3 -- 0   6 -- 0   232   156   W6     Dallas Cowboys       0   . 571   2 -- 0   4 -- 2   198   161   W2     Washington Redskins       0   . 429   0 -- 3   2 -- 3   160   180   L2     New York Giants     6   0   . 143   0 -- 2   0 -- 5   112   156   L1       NFC North       view   talk             PCT   DIV   CONF   PF   PA   STK     Minnesota Vikings   6     0   . 750   2 -- 1   4 -- 1   179   138   W4     Green Bay Packers       0   . 571   1 -- 1   3 -- 3   164   161   L2     Detroit Lions       0   . 429   1 -- 0   3 -- 3   175   169   L3     Chicago Bears     5   0   . 375   0 -- 2   1 -- 5   134   171   L1       NFC South       view   talk             PCT   DIV   CONF   PF   PA   STK     New Orleans Saints   5     0   . 714   1 -- 0   4 -- 1   191   145   W5     Carolina Panthers   5     0   . 625   1 -- 1   3 -- 3   148   142   W1     Atlanta Falcons       0   . 571   0 -- 0   3 -- 0   153   152   W1     Tampa Bay Buccaneers     5   0   . 286   0 -- 1   2 -- 3   148   168   L4       NFC West       view   talk             PCT   DIV   CONF   PF   PA   STK     Seattle Seahawks   5     0   . 714   2 -- 0   3 -- 1   171   132   W4     Los Angeles Rams   5     0   . 714   2 -- 1   3 -- 2   212   136   W2     Arizona Cardinals       0   . 429   1 -- 1   2 -- 4   119   191   L1     San Francisco 49ers   0   8   0   . 000   0 -- 3   0 - 7   133   219   L8        Conference ( edit )     AFC             #   Team   Division         PCT   DIV   CONF   SOS   SOV   STK     Division leaders       Pittsburgh Steelers   North   6     0   . 750   3 -- 0   4 -- 1   . 475   . 478   W3       Kansas City Chiefs   West   6     0   . 750   2 -- 1   4 -- 2   . 557   . 556   W1       New England Patriots   East   6     0   . 750   1 -- 0   3 -- 1   . 517   . 455   W4       Tennessee Titans   South       0   . 571   2 -- 1   3 -- 3   . 404   . 367   W2     Wild Cards     5   Buffalo Bills   East   5     0   . 714   1 -- 0   3 -- 1   . 442   . 405   W2     6   Jacksonville Jaguars   South       0   . 571   2 -- 1   4 -- 2   . 509   . 484   W1     In the hunt     7   Miami Dolphins   East       0   . 571   1 -- 1   3 -- 2   . 491   . 467   L1     8   Baltimore Ravens   North       0   . 500   2 -- 1   4 -- 2   . 475   . 333   W1     9   Houston Texans   South       0   . 500   1 -- 1   3 -- 3   . 538   . 318   W1     10   Cincinnati Bengals   North       0   . 429   1 -- 2   3 -- 3   . 453   . 304   W3     11   Denver Broncos   West       0   . 429   2 -- 2   2 -- 3   . 472   . 435   L3     12   New York Jets   East     5   0   . 375   1 -- 3   3 -- 4   . 508   . 364   L3     13   Los Angeles Chargers   West     5   0   . 375   2 -- 2   2 -- 4   . 550   . 318   L1     14   Oakland Raiders   West     5   0   . 375   1 -- 2   3 -- 4   . 517   . 565   L1     15   Indianapolis Colts   South     6   0   . 250   0 -- 2   1 -- 2   . 414   . 000   L3     16   Cleveland Browns   North   0   8   0   . 000   0 -- 3   0 -- 7   . 508   . 000   L8     Tiebreakers       ^ Jump up to : Pittsburgh wins tie break over New England and Kansas City based on best win percentage in conference games .   ^ Jump up to : Kansas City wins tie break over New England based on head - to - head win percentage .   ^ Jump up to : Tennessee wins tie break over Jacksonville based on head - to - head win percentage .   ^ Jump up to : Jacksonville wins tie break over Miami based on best win percentage in conference games .   ^ Jump up to : Houston wins tie break over Cincinnati based on head - to - head win percentage .   ^ Jump up to : Houston wins tie break over Denver based on best win percentage in conference games .   ^ Jump up to : Cincinnati wins tie break over Denver based on best win percentage in conference games .   ^ Jump up to : NY Jets wins tie break over LA Chargers based on best win percentage in conference games . Division tie break was initially used to eliminate Oakland ( see below ) .   ^ Jump up to : LA Chargers wins tie break over Oakland based on head - to - head win percentage .   Jump up ^ When breaking ties for three or more teams under the NFL 's rules , they are first broken within divisions , then comparing only the highest ranked remaining team from each division .         NFC             #   Team   Division         PCT   DIV   CONF   SOS   SOV   STK     Division leaders       Philadelphia Eagles   East   7     0   . 875   3 -- 0   6 -- 0   . 400   . 346   W6       Minnesota Vikings   North   6     0   . 750   2 -- 1   4 -- 1   . 450   . 400   W4       New Orleans Saints   South   5     0   . 714   1 -- 0   4 -- 1   . 585   . 514   W5       Seattle Seahawks   West   5     0   . 714   2 -- 0   3 -- 1   . 373   . 297   W4     Wild Cards     5   Los Angeles Rams   West   5     0   . 714   2 -- 1   3 -- 2   . 412   . 351   W2     6   Carolina Panthers   South   5     0   . 625   1 -- 1   3 -- 3   . 517   . 432   W1     In the hunt     7   Atlanta Falcons   South       0   . 571   0 -- 0   3 -- 0   . 538   . 433   W1     8   Green Bay Packers   North       0   . 571   1 -- 1   3 -- 3   . 588   . 517   L2     9   Dallas Cowboys   East       0   . 500   2 -- 0   4 -- 2   . 380   . 241   W2     10   Detroit Lions   North       0   . 429   1 -- 0   3 -- 3   . 577   . 455   L2     11   Washington Redskins   East       0   . 429   0 -- 3   2 -- 3   . 593   . 348   L1     12   Arizona Cardinals   West       0   . 429   1 -- 1   2 -- 4   . 442   . 174   L1     13   Chicago Bears   North     5   0   . 375   0 -- 2   1 -- 5   . 600   . 625   L1     14   Tampa Bay Buccaneers   South     5   0   . 286   0 -- 1   2 -- 3   . 547   . 267   L4     15   New York Giants   East     6   0   . 143   0 -- 2   0 -- 5   . 529   . 429   L1     16   San Francisco 49ers   West   0   8   0   . 000   0 -- 3   0 -- 7   . 576   . 000   L8     Tiebreakers       ^ Jump up to : New Orleans wins tie break over Seattle based on best win percentage in conference games .   ^ Jump up to : Seattle wins tie break over LA Rams based on head - to - head win percentage .   ^ Jump up to : Atlanta wins tie break over Dallas and Green Bay based on best win percentage in conference games .   ^ Jump up to : Green Bay wins tie break over Dallas based on head - to - head win percentage .   ^ Jump up to : Detroit wins tie break over Arizona and Washington based on best win percentage in conference games .   ^ Jump up to : Washington wins tie break over Arizona based on best win percentage in conference games .   Jump up ^ When breaking ties for three or more teams under the NFL 's rules , they are first broken within divisions , then comparing only the highest ranked remaining team from each division .       Anthem protests ( edit )  Main article : U.S. national anthem protests ( 2016 -- present )  In week 3 of the season there were numerous anthem protests in response to comments by President Donald Trump stating that those who kneel during the anthem should be fired . Protests included entire teams linking arms or kneeling during the anthem . Three teams - the Steelers , Titans and Seahawks - did not even take to the field for the anthem .   Notable Deaths ( edit )   The following people associated with the NFL ( or AFL ) have died in 2017 .   Dan Rooney ( edit )   Dan Rooney was chairman and plurality owner of the Pittsburgh Steelers and one of the sons of founding owner Art Rooney , Sr. Having been officially involved with the franchise since 1960 , Rooney was a part of all six of the Steelers ' Super Bowl victories . In addition to this , Rooney was considered an active and progressive owner in the league 's operations , most famously by successfully pushing for the Rooney Rule , an affirmative action policy requiring all NFL franchises to interview persons of color for head coaching vacancies . Concurrently with his role with the Steelers , Rooney also served as United States Ambassador to Ireland from 2009 to 2014 . He was inducted into the Pro Football Hall of Fame in 2000 , making him and his father the second father - son duo in the Hall behind Tim &amp; Wellington Mara . Rooney died on April 13 at the age of 84 .   Others ( edit )    Dave Adolph   Bill Anderson   Ron Billingsley   Dave Brazil   Kevin Cadle   Bernie Casey   Bill Cox   Bill Fischer   Tom Graham   Larry Grantham   Ralph Guglielmi   James Hadnot   James Hardy III   Larry Hayes   Mitchell Henry   Aaron Hernandez   Larry Hickman   John Hilton   Claude Hipps   Michael Jackson   Derrick Jensen   Cortez Kennedy   Ken Kranz   Yale Lary   Bob Lee   Tony Liscio   Eddie Macon   George Maderos   Mickey Marvin   Clay Matthews Sr .   Red Miller   Paul Mitchell   David Modell   Tom Modrak   Rod Monroe   Quentin Moses   Leonard Myers   Tommy Neck   Babe Parilli   Benny Perrin   Hugh Pitts   Sonny Randle   Len Rohde   Max Runager   Jimmy Thomas   Y.A. Tittle   Ted Topor   Rick Tuten   Wayne Walker   Clarence Williams   Ellery Williams    Bold indicates members of the Pro Football Hall of Fame .   Rule changes ( edit )   The following rule changes were approved for the 2017 NFL season at the owners ' meeting on March 28 , 2017 :    Defensive players are now prohibited from running toward the line of scrimmage and leaping or hurdling over offensive linemen on field goal or PAT attempts , similar to a change made in college football for the 2017 season . Previously this action was permitted as long as the leaper or hurdler did not land on other players .   Include in the definition of a `` defenseless player '' receivers tracking the quarterback or looking back for the ball , including inside the legal contact ( 5 yards from the line of scrimmage ) zone .   Egregious hits to the head ( similar to the `` targeting '' rule in NCAA football ) will now result in an automatic ejection .   The replay control center will make the final ruling on reviewed plays instead of the game referee , although the referee can still provide input on reviewable plays .   The sideline replay monitor ( the `` hood '' ) will be eliminated and replaced with a tablet on the field for the referee to review with the replay control center .   Crackback blocks are now prohibited by a backfield player in motion , even if he is not more than two yards outside the tackle box when the ball is snapped .   Make permanent the rule that players who commit two certain types of unsportsmanlike conduct penalties ( throwing punches / forearms / kicking , even if they do not connect , directing abusive , threatening , or insulting language toward opponents , teammates , game officials or league officials , and using baiting or taunting acts or words that may engender ill will between teams ) in the same game will be automatically ejected .   Extend for a second season the change in the touchback spot after a kickoff or safety free kick to the 25 - yard line .   Make illegal actions that would conserve time penalized by the option for a 10 - second runoff inside of the two - minute warning of each half or overtime ( previously this only applied in the final minute of each half or overtime ) .   If a team commits multiple fouls on the same down with the intent of manipulating the game clock , the team will be penalized 15 yards for unsportsmanlike conduct and the game clock will be reset . This change was made in response to both the San Francisco 49ers and the Baltimore Ravens employing this strategy by intentionally holding the defensive players to allow the game clock to run down or run out ( in the case of the Ravens ' game vs. the Cincinnati Bengals ) during the previous season .   In response to the move of Sarah Thomas from line judge to head linesman for the 2017 season , the NFL renamed the officiating position of the head linesman to `` down judge '' .    The following rule changes were approved for the 2017 NFL season at the NFL Spring League meeting on May 23 , 2017 :    Overtime has been shortened from 15 minutes to 10 minutes for preseason and regular season games . Playoff games will continue to have 15 minutes for overtime periods .   Restrictions on celebrations have been relaxed , removing penalties for group celebrations , going to the ground to celebrate , or using the ball as a prop .   Teams can bring two players back from injured reserve instead of one .   Teams can now cut their preseason rosters from 90 players to 53 on one day , removing the deadline to get the roster down to 75 players before the final preseason game .   Teams will not be required to give candidates for general manager final say over the 53 - man roster .    The following will be `` points of emphasis '' for the 2017 season :    Blindside blocks of a defender in the head or neck area while the defender is in a defenseless position   Low hits on quarterbacks at or below the knees   `` Launching '' at players by leaving both feet to impact a defender anywhere on his body with the helmet   Contact downfield between receivers and defensive players , closely enforcing both offensive and defensive pass interference or illegal contact / holding    The ban on teams contacting potential coaching candidates until that candidate 's team has been eliminated from the playoffs was tabled .   Records , milestones , and notable statistics ( edit )    Week 1     Kansas City Chiefs ' running back Kareem Hunt finished with 246 total yards and three touchdowns , setting the record for the most total yards in an NFL debut .     Week 2     Los Angeles Chargers ' tight end Antonio Gates scored his 112th career receiving touchdown , breaking a tie with Tony Gonzalez for the most career receiving touchdowns by a tight end in NFL history .   Aaron Rodgers passed for his 300th touchdown , surpassing Peyton Manning as the fastest quarterback to reach that milestone both in attempts and appearances .     Week 3     Antonio Brown reached 650 receptions in his 104th game , becoming the fastest player since Marvin Harrison to reach that feat .   New York Giants ' wide receiver Odell Beckham Jr. broke the record for fastest receiver to reach 300 career receptions , doing so in 45 games .   Matt Prater of the Detroit Lions broke the previous NFL record of three made field goals from more than 55 yards in a season by kicking a 57 - yard field goal against the Atlanta Falcons .     Week 5     Larry Fitzgerald became the third player in NFL history to record 200 straight games with a reception , all while playing for the Arizona Cardinals .     Week 6     With his 187th regular season win , Tom Brady surpassed Peyton Manning and Brett Favre for the most regular season wins by a quarterback in NFL history .     Week 7     Drew Brees became just the fourth player in NFL history to record 500 or more passing touchdowns ( including playoffs ) , joining Tom Brady , Brett Favre , and Peyton Manning .   Eddie Jackson became the first player in NFL history with multiple defensive touchdowns of at least 75 yards in a single game against the Carolina Panthers .    Awards ( edit )   Players of the week / month ( edit )   The following were named the top performers during the 2017 season :     Week / Month   Offensive Player of the Week / Month   Defensive Player of the Week / Month   Special Teams Player of the Week / Month     AFC   NFC   AFC   NFC   AFC   NFC       Alex Smith ( Chiefs )   Sam Bradford ( Vikings )   Calais Campbell ( Jaguars )   Trumaine Johnson ( Rams )   Giorgio Tavecchio ( Raiders )   Matt Prater ( Lions )       Tom Brady ( Patriots )   J.J. Nelson ( Cardinals )   Chris Jones ( Chiefs )   Desmond Trufant ( Falcons )   Cody Parkey ( Dolphins )   Jamal Agnew ( Lions )       Tom Brady ( Patriots )   Kirk Cousins ( Redskins )   Terrence Brooks ( Jets )   DeMarcus Lawrence ( Cowboys )   Steven Hauschka ( Bills )   Jake Elliott ( Eagles )     Sept .   Kareem Hunt ( Chiefs )   Todd Gurley ( Rams )   Melvin Ingram ( Chargers )   DeMarcus Lawrence ( Cowboys )   Ryan Succop ( Titans )   Matt Prater ( Lions )       Deshaun Watson ( Texans )   Todd Gurley ( Rams )   Cameron Heyward ( Steelers )   Julius Peppers ( Panthers )   Steven Hauschka ( Bills )   Greg Zuerlein ( Rams )     5   Melvin Gordon ( Chargers )   Aaron Rodgers ( Packers )   Telvin Smith ( Jaguars )   Earl Thomas ( Seahawks )   Adam Vinatieri ( Colts )   Kenjon Barner ( Eagles )     6   Le'Veon Bell ( Steelers )   Adrian Peterson ( Cardinals )   Johnathan Joseph ( Texans )   Cameron Jordan </t>
  </si>
  <si>
    <t xml:space="preserve">when is the first nfl football game in 2017</t>
  </si>
  <si>
    <r>
      <rPr>
        <sz val="11"/>
        <color rgb="FF000000"/>
        <rFont val="Calibri"/>
        <family val="0"/>
        <charset val="1"/>
      </rPr>
      <t xml:space="preserve">First Lady - wikipedia  First Lady  This article is about the unofficial title for the spouses or partners of elected heads of state . For the American title , see First Lady of the United States . For other uses , see First Lady ( disambiguation ) .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September 2013 ) ( Learn how and when to remove this template message )         The examples and perspective in this article may not represent a worldwide view of the subject . You may improve this article , discuss the issue on the talk page , or create a new article , as appropriate . ( November 2016 ) ( Learn how and when to remove this template message )    ( Learn how and when to remove this template message )    A group of first ladies assemble in the Metropolitan Museum of Art in New York City , September 22 , 2008 First ladies in Pittsburgh , Pennsylvania , September 25 , 2009  First Lady is an unofficial title used for the wife of a non-monarchical head of state or chief executive . The term is also used to describe a woman seen to be at the top of her profession or art .   The term is often used to a non-monarchical heads of state or chief executives who do n't have that kind of style in their own country . Some countries have a title , official or unofficial , that is or can be translated as first lady . The title is not normally used for the wife of a head of government who is not also head of state .   First Gentleman is the male equivalent of the title in countries where the head of state 's spouse has been a man , such as the Philippines or Malta . While there has never been a male spouse of a U.S. President , `` First Gentleman '' is used in the United States for the husband of a governor .   In the United States , collectively , the President of the United States and his spouse are known as the First Couple and , if they have children , they are usually referred to as the First Family .   Contents  ( hide )   1 Origin   2 Use   2.1 Armenia   2.2 Azerbaijan   2.3 Brazil   2.4 Bulgaria   2.5 Cambodia   2.6 Colombia   2.7 Croatia   2.8 Czech Republic   2.9 France   2.10 Greece   2.11 India   2.12 Indonesia   2.13 Republic of Ireland   2.14 Malawi   2.15 Maldives   2.16 New Zealand   2.17 Nigeria   2.18 Pakistan   2.19 Peru   2.20 Philippines   2.21 Poland   2.22 South Korea   2.23 Taiwan   2.24 Trinidad and Tobago   2.25 United States of America   2.26 Ukraine     3 Non-spousal uses   4 Apolitical uses   5 See also   6 References   7 Further reading   8 External links    Origin ( edit )   The designation First Lady seems to have originated in the United States , where one of the earliest uses in print , in 1838 , was in reference to Martha Washington . Other sources indicate that , in 1849 , President Zachary Taylor called Dolley Madison `` first lady '' at her state funeral , while reciting a eulogy written by himself ; but no copy of that eulogy has been found .   Use ( edit )   Armenia ( edit )   The wife of the current President of Armenia is referred to as `` Հայաստանի Առաջին տիկին '' , which translates as ( among other things ) `` First Lady of Armenia '' .   Azerbaijan ( edit )   The wife of the current President of Azerbaijan uses the term `` Birinci xanım '' .   Brazil ( edit )   The wife of the President of Brazil is called `` Primeira - Dama '' .   Bulgaria ( edit )   The wife of the President of Bulgaria is called `` Първа дама '' .   Cambodia ( edit )   The term `` Lok Chumteav '' is used .   Colombia ( edit )   The term `` Primera Dama '' is used .   Croatia ( edit )   The terms Supruga Predsjednika Republike ( Wife of the President of the Republic ) or Suprug Predsjednice Republike ( Husband of the President of the Republic ) are most commonly used in Croatia , while the terms Prva dama ( First Lady ) and Prvi gospodin ( First Gentleman ) are rarely used , except by foreign sources . The current husband of the President of Croatia is Jakov Kitarović .   The wife of the Prime Minister has occasionally , in exceptionally rare cases , also been referred to as the First Lady of Croatia , however as the spouses of Prime Ministers have often maintained a low profile and have almost never been public figures , the title Supruga Predsjednika Vlade ( Wife of the Prime Minister ) has been used in cases when such a reference is needed . The current wife of the Prime Minister is Ana Maslać Plenković .   Czech Republic ( edit )   The term První dáma is used for wife of the President of the Czech Republic .   The current first lady is Ivana Zemanová .   France ( edit )   Following a petition against a proposed change in her status that gathered more than 275,000 signatures , the French government announced that Brigitte Macron will not be holding the official title of `` First Lady '' , and will not be allocated an official budget for her activities . In an interview with French magazine Elle , she stated that a soon - to - be published transparency charter would clarify her `` role and accompanying resources '' , including the composition and size of her staff .   Greece ( edit )   The Prime Minister of Greece is the country 's leading political figure and the active chief executive of its government ; the President of Greece has a ceremonial role . As such , the term `` Proti Kyria '' is unofficially used by the Press to refer to the wife of the country 's Prime Minister .   India ( edit )  Main article : Spouse of the President of India  The term `` First Lady '' is less frequently used in India . The term might be used at times to refer to the wife of the President of India in newspapers ; however , the more widespread term in general use is `` Wife of The President '' or more informally as the President 's wife / spouse / husband . The term `` First Lady '' is not used to refer to the wife of the Prime Minister .   Indonesia ( edit )   The term `` Ibu Negara '' ( Lady / Mother of the State ) is used for wife of the President of Indonesia .   Republic of Ireland ( edit )   In the Republic of Ireland , the term `` First Lady '' ( Irish : an Chéad Bhean ) is not used in official contexts , but is often used in the media to refer to the wife of the President and , less frequently , to refer to the wife of the Taoiseach ( prime minister ) . During the first half of Bertie Ahern 's term as Taoiseach , he was separated from his wife Miriam ( née Kelly ) and the role of First Lady was filled by his then domestic partner , Celia Larkin .   The term `` First Gentleman '' has also been used to describe the husband of a female President .   Leo Varadkar was elected Taoiseach in 2017 , the first homosexual person to hold either post . However , he has said that he does n't plan for his domestic partner , Dr Matthew `` Matt '' Barrett , to fulfil First Gentleman roles .   Malawi ( edit )   During the administration of President Kamuzu Banda , Malawi had an `` Official Hostess '' who served in the same capacity as `` First Lady '' because the President was unmarried . Banda was never married and therefore Cecilia Kadzamira served in this capacity for the nation .   Maldives ( edit )   The title First Lady of Maldives is used by the office of the president , governmental offices , and by visiting dignitaries .   New Zealand ( edit )   The term `` first lady '' is not officially used in New Zealand , but is sometimes used in the press and colloquially to refer to the wife of the Prime Minister .   Nigeria ( edit )   The term first lady has been used intermittently for the wife of the President of Nigeria . The spouse of the President has no official title , but receives the same style as the president , Excellency . A former president Shehu Shagari was a polygamist , and none of his wives were referred to as the first lady .   Pakistan ( edit )   In Pakistan , the term خاتون اول ( Read As Khatoon - e-Awwal ) is commonly used for the wife of Prime Minister of Pakistan . It has also been used for wife of President of Pakistan .   Peru ( edit )   The wife of the current President of Peru uses the term Primera Dama .   Philippines ( edit )   The consort of the President of the Philippines bears the gender - neutral title of First Spouse ( Filipino : Unang Kabiyák ) , and among other duties , is host ( ess ) of Malacañan Palace . The title is genderless as many Philippine languages lack grammatical gender , and because there have been presidential consorts of both sexes .   When the official consort is female , she is known as `` First Lady '' ( Unang Ginang ) ; the title has also been applied to an immediate female relative serving in this capacity for a widowed President . There has only been one First Gentleman ( Unang Ginoó ) in history : José Miguel Arroyo , the husband of Gloria Macapagal Arroyo , the 14th President .   Poland ( edit )   The term Pierwsza Dama is used by the wife of the current President of Poland . The title of Pani Prezydentowa ( the Presidential Lady ) is also commonly , though informally , used .   South Korea ( edit )   The wife of the president is called `` Yoeong - boo - in '' ( </t>
    </r>
    <r>
      <rPr>
        <sz val="11"/>
        <color rgb="FF000000"/>
        <rFont val="Noto Sans CJK SC"/>
        <family val="2"/>
      </rPr>
      <t xml:space="preserve">영부인 </t>
    </r>
    <r>
      <rPr>
        <sz val="11"/>
        <color rgb="FF000000"/>
        <rFont val="Calibri"/>
        <family val="0"/>
        <charset val="1"/>
      </rPr>
      <t xml:space="preserve">/ </t>
    </r>
    <r>
      <rPr>
        <sz val="11"/>
        <color rgb="FF000000"/>
        <rFont val="Noto Sans CJK SC"/>
        <family val="2"/>
      </rPr>
      <t xml:space="preserve">令 夫人 </t>
    </r>
    <r>
      <rPr>
        <sz val="11"/>
        <color rgb="FF000000"/>
        <rFont val="Calibri"/>
        <family val="0"/>
        <charset val="1"/>
      </rPr>
      <t xml:space="preserve">) .   When the wife of the president is incapacitated , the role of First lady fell to the oldest daughter of the president during Park Chung - hee 's era . Park Chung - hee 's wife , Yuk Young - soo , was assassinated on August 15 , 1974 , and his daughter , Park Geun - hye assumed the First Lady .   Taiwan ( edit )   The term `` first lady '' is used by the wife of the President of the Republic of China .   Trinidad and Tobago ( edit )   The wife of the current president uses the term `` first lady '' .   United States of america ( edit )  Main article : First Lady of the United States  In American media , the term First Lady is often applied to the wife of a head of state in any country , irrespective of whether a different appellation ( or none ) is used in that country . For example , in 1902 , the U.S. publication Munsey 's Magazine said of the wife of Canadian Governor General the Earl of Minto : `` As the first lady in the land , she has done much to weld together the heterogeneous components of a colonial society which includes peoples of different races and of antagonistic religions . '' The term was also used by Munsey 's to refer to the wife of Mexico 's leader , President Porfirio Díaz : In an 1896 piece about `` The Daughters of Mexico '' , author Jeannie Marshall said of Carmen Romero Rubio de Díaz : `` She is still a young woman , though she has filled the position of ' first lady of the land ' for many years , with marked success . '' The U.S. Spanish - language newspaper La Prensa also called her `` primera dama '' when writing about her activities .   In the early days of the United States , there was no generally accepted title for the wife of the president . Many early first ladies expressed their own preference for how they were addressed , including the use of such titles as Lady . One of the earliest uses of the term `` first lady '' was applied to Martha Washington in a profile by Mrs. C.H. Sigourney in 1838 : Mrs. Sigourney , discussing how Martha Washington had not changed , even after her husband George became president , wrote that `` The first lady of the nation still preserved the habits of early life . Indulging in no indolence , she left the pillow at dawn , and after breakfast , retired to her chamber for an hour for the study of the scriptures and devotion '' . However , the term `` first lady '' would not come into common use until the late 1800s .   Harriet Lane , niece of bachelor President James Buchanan , was the first woman to be called first lady while actually serving in that position . The phrase appeared in Frank Leslie 's Illustrated Monthly in 1860 , when he wrote , `` The Lady of the White House , and by courtesy , the First Lady of the Land . '' Once Harriet Lane was called first lady , the term was applied retrospectively to her predecessors .   The title first gained nationwide recognition in 1877 , when Mary C. Ames wrote an article in the New York City newspaper The Independent describing the inauguration of President Rutherford B. Hayes . She used the term to describe his wife , Lucy Webb Hayes .   While historically the term has generally been used to refer to the wife of a president , there were occasions when another woman , such as the President 's daughter , has filled the duties of First Lady as hostess in the White House , if the President 's wife was unwilling , unable , or if the President was a widower or bachelor .   As of 2018 , the First Lady of the United States is Melania Trump , wife of Donald Trump .   The entire family of the head of state may be known familiarly as the `` First Family '' .   The spouse of the second - in - command ( such as a Vice President ) may be known as the `` Second Lady '' , or Vice-First Lady . Less frequently , the family would be known as the `` Second Family '' .   The spouse of a governor of a U.S. state is commonly referred to as the First Lady or First Gentleman of that state , for example `` First Lady Tonette Marie Walker of Wisconsin '' . The practice is less common for spouses of mayors but is nevertheless used for some , particularly in large cities ; example : `` First Lady Amy Rule of Chicago '' or `` First Lady Kris Barrett of Milwaukee . '' Mike Gregoire , husband of former Washington state governor Chris Gregoire , preferred to use his name instead of a common noun , calling himself `` First Mike '' .   `` First Lady '' is also used to refer , less formally , to wives of college and university presidents . It has even been used in reference to female spouses of men who were chairmen of major corporations .   Ukraine ( edit )   First Lady of Ukraine is the unofficial title given by the society to the wife of the President of Ukraine . Since Ukraine gained independence in 1991 , the post has been highly ceremonial and has rarely played a role in social activism . However , the recent years have witnessed some changes as Marina Poroshenko , the First Lady since 2014 , is engaged in various social initiatives , particularly the movement for inclusive education and rights of persons with disabilities   Non-spousal uses ( edit )   In some situations , the title is bestowed upon a non-spouse . This includes terms like `` First Family '' , `` First Daughter '' , and `` First Son '' .   In the past , occasionally another woman , such as the President 's daughter , has filled the duties of First Lady as hostess in the White House , if the President 's wife was unwilling , unable , or if the President was a widower or bachelor . Harriet Lane , niece of bachelor President James Buchanan was the first non-spouse to be called First Lady .   South Korean President Park Geun - hye has been referred to as First Lady to former President Park Chung - hee , who is her father . The title was bestowed upon her after her mother 's assassination .   The title was also officially bestowed on Victoria Quirino - Delgado , the daughter of widower Elpidio Quirino ( 1948 -- 53 ) , sixth President of the Philippines . Victoria 's mother , Alicia Quirino née Syquía , had been killed by occupying Japanese troops towards the end of the Second World War . While President Corazón Aquino ( 1986 -- 92 ) was also widowed , the title was not given to her older children who would assist her in official duties . These included her son ( and later President ) Benigno Aquino III , who was a sort of de facto First Gentleman ; his four sisters , as under their mother 's presidency , now unofficially share the duties of the First Spouse . The current President , Rodrigo Duterte 's marriage was annulled , and his common - law wife is not qualified to take the title as they are not married yet . Instead , he named his daughter , Davao City Mayor Sara Duterte , as First Lady .   In 1994 , Peruvian president Alberto Fujimori officially named his daughter Keiko `` First Lady '' , after he had separated from his wife Susana Higuchi .   After taking office as Puerto Rico 's first female governor , Governor Sila Maria Calderón appointed her two daughters , Sila María González Calderón and María Elena González Calderón , to serve as First Ladies .   Evo Morales , the president of Bolivia , is single , so his sister , Esther Morales Ayma , fulfills the role of First Lady .   Following the leadership spill which installed Julia Gillard as the first female Prime Minister of Australia on 24 June 2010 , some news media referred to her de facto partner , Tim Mathieson , as the `` First Bloke '' .   Apolitical uses ( edit )   It has become commonplace in the United States for the title of `` First Lady '' to be bestowed on women , as a term of endearment , who have proven themselves to be of exceptional talent or unique notoriety in non-political areas . The phrase is often , but not always , used when the person in question is either the wife or `` female equivalent '' of a well - known man ( or men ) in a similar field . For example , the term has been applied in the entertainment field to denote the `` First Lady of Television '' ( Lucille Ball ) , the `` First Lady of Song '' ( Ella Fitzgerald ) , the `` First Lady of Country Music '' ( Tammy Wynette , although Loretta Lynn was also known by the title ) , the `` First Lady of Star Trek '' ( actor / producer Majel Barrett ) , the `` First Lady of American Soul '' ( Aretha Franklin ) , the `` First Lady of the Grand Ole Opry '' ( Loretta Lynn ) , and the `` First Lady of the American Stage '' ( Helen Hayes ) .   The term `` first lady '' is also used to denote a woman who occupies the foremost social position within a particular locality , in this sense being particularly popular in Africa , where the pre-eminent female noble in some chieftaincy hierarchies , such as those of the Yoruba people , is often referred to by the title .   In recent years , the term has also been used to refer to the wife of the pastor of a church , especially in predominantly black churches .   See also ( edit )    List of First Spouses   List of first gentlemen in the United States   Second Lady   Queen consort    References ( edit )    Jump up ^ First Lady , Merriam - Webster Dictionary , retrieved 2014 - 12 - 30   Jump up ^ First Lady , Oxford Dictionaries , retrieved 2014 - 12 - 30   Jump up ^ Amanda Foreman , `` Our First Ladies and Their Predecessors '' , Wall Street Journal , May 30 -- 31 , 2015 , C11 , https://www.wsj.com/articles/the-first-ladies-and-their-predecessors-1432830990 , retrieved 2015 - 5 - 30   Jump up ^ First Lady , Collins English Dictionary , retrieved 2014 - 12 - 30   ^ Jump up to : M. , Design by Paul Andres Gomez . `` ' He asumido mi compromiso con la niñez de Colombia con toda la disposición de mi corazón ' , afirma la Primera Dama '' .   Jump up ^ Collins English Dictionary definition . Retrieved 2013 - 12 - 08   ^ Jump up to : Mrs. Sigourney , `` Martha Washington '' , St. Johnsbury ( VT ) Caledonian , August 7 , 1838 , p. 1 .   Jump up ^ `` Dolley Madison '' . National First Ladies Library . Retrieved 2007 - 04 - 29 .   Jump up ^ `` Rita Sargsyan First Lady of Armenia - The President of Armenia '' .   Jump up ^ `` Ռիտա Սարգսյան Հայաստանի Առաջին տիկին - Հայաստանի Նախագահ '' .   Jump up ^ Mehriban Əliyeva Archived 2015 - 03 - 30 at the Wayback Machine .   Jump up ^ Willsher , Kim ( 2017 - 08 - 08 ) . `` No ' first lady ' title for Brigitte Macron after petition over her status '' . The Guardian . ISSN 0261 - 3077 . Retrieved 2017 - 08 - 17 .   Jump up ^ `` Brigitte Macron : A ' first lady ' in all but title - France 24 '' . France 24 . 2017 - 08 - 17 . Retrieved 2017 - 08 - 17 .   Jump up ^ `` First Lady Sabina Higgins wears 100 % Irish during historic visit - Independent.ie '' .   Jump up ^ Archives , RTÉ ( 5 July 2012 ) . `` RTÉ Archives '' . stillslibrary.rte.ie .   Jump up ^ `` The Milwaukee Journal - Google News Archive Search '' .   Jump up ^ `` Step forward Fionnuala -- Taoiseach 's wife and his perfect partner as he runs country - Herald.ie '' .   Jump up ^ Donnelly , Larry . `` Column : Why are Ireland 's first lady and family so invisible ? '' .   Jump up ^ `` Celia -- the greatest political wife this country never had - Independent.ie '' .   Jump up ^ `` Ireland debates Larkin role -- Irish Echo '' .   Jump up ^ `` The UDA and the pay - off '' .   Jump up ^ `` The UDA kingpin who gained a President 's trust - Independent.ie '' .   Jump up ^ `` BEHIND EVERY GREAT PRESIDENT ... ''   Jump up ^ Manley , John . `` Leo Varadkar does n't plan ' first gentleman ' role for partner '' . The Irish News .   Jump up ^ `` Leo Varadkar opens up about bridging the miles with FaceTime as his boyfriend Matt moves to the US - Independent.ie '' .   Jump up ^ `` ' Matt makes me a better man ' - Leo Varadkar 's most revealing interview - Independent.ie '' .   Jump up ^ `` Leo Varadkar ' very much in love ' as partner jets to US to take up medical fellowship '' . 25 June 2017 .   Jump up ^ `` How Is It Going To Be For Leo Varadkar 's ' Silent Partner ' Dr. Matt Barrett '' . 3 June 2017 .   Jump up ^ `` Mystery of the Banda millions '' . BBC News . 2000 - 05 - 17 .   Jump up ^ `` Cecilia Kadzamira - Malawi 's First Lady '' .   Jump up ^ The Office of the President , statement by The President of the Republic of Maldives , 02 January 2014   Jump up ^ `` President Yameen and First Lady meet Sri Lankan President and First Lady - Maldives High Commission - London - Maldives in the UK and Europe '' .   Jump up ^ `` First ladies of Pakistan , Maldives visit Bhaktapur , My Republica , Nov 28 , 2014 '' .   Jump up ^ PM 's Trade Mission 2013 Archived 2015 - 01 - 22 at the Wayback Machine .   Jump up ^ Hanging out with the political Wags , stuff.co.nz , 2 November 2011 .   ^ Jump up to : Okon - Ekong , Nseobong ( 2010 - 10 - 02 ) . `` Nigeria : First Ladies - Colourful Brilliance , Gaudy Rays '' . Thisday . AllAfrica.com . Archived from the original on 2012 - 07 - 27 . Retrieved 2012 - 07 - 26 .   Jump up ^ ( https://en.wikipedia.org/wiki/First_Ladies_and_Gentlemen_of_Pakistan )   Jump up ^ `` Primera Dama : `` Comencemos a formar una sociedad con valores '' - Presidencia `` . Archived from the original on 2014 - 02 - 26 .   Jump up ^ www.ideo.pl , ideo - . `` Oficjalna strona Prezydenta Rzeczypospolitej Polskiej / Pierwsza Dama / Aktywność Pierwszej Damy '' .   Jump up ^ McDonald , Charlotte . `` Royal Botanic Garden Edinburgh - Visit by Taiwan 's First Lady '' .   Jump up ^ `` The First Lady 's Profile -- The Office of the President of the Republic of Trinidad and Tobago '' .   Jump up ^ `` In The Public Eye : The Governor - General of Canada '' , p. 684 . http://www.unz.org/Pub/Munseys-1902feb-00681   Jump up ^ Jeannie A. Marshall , `` The Daughters of Mexico ''   Jump up ^ `` Domincales '' , La Prensa , 19 September 1917 , p. 4   Jump up ^ `` First Family -- Definitions from Dictionary.com '' . dictionary.com . Retrieved 2007 - 07 - 19 . 2 . The family of the chief executive of a city , state , or country .   Jump up ^ `` First Gentleman -- What 's in a Name ? '' . State of Michigan . Archived from the original on 2009 - 04 - 19 .   Jump up ^ `` About Mike '' . Governor Chris Gregoire 's official state website . Archived from the original on February 16 , 2007 .   Jump up ^ `` Maryna Poroshenko : The level of inclusion in education is an indicator of the state development degree '' . President of Ukraine . Retrieved 2017 - 11 - 15 .   Jump up ^ `` Maryna Poroshenko and Roman Kysliak met in the coffeehouse in the framework of # накавуздругом social initiative '' . President of Ukraine . Retrieved 2017 - 11 - 15 .   Jump up ^ Geun Hye Park ( 2007 ) . The Republic of Korea and the United States : Our Future Together . Institute for Corean - American Studies , Inc . Retrieved on 2007 - 07 - 19 .   Jump up ^ `` Sila M. Calderon '' .   Jump up ^ Bolivia 's First Lady hopes for unity , BBC News , 17 February 2009   Jump up ^ Preston , Richard ( 2007 - 05 - 25 ) . `` Are you ready to think outside the box ? The abuses of the English language that readers hated most have inspired a new Telegraph book , explains Richard Preston '' . Daily Telegraph . p. 24 .   Jump up ^ Didion , Joan ( 2007 - 03 - 04 ) . `` The Year Of Hoping For Magic '' . New York Times . p. 1 .   Jump up ^ Sellers , Maud ( April 1894 ) . `` The City of York in the Sixteenth Century '' . The English Historical Review . 9 ( 34 ) : 275 -- 304 . doi : 10.1093 / ehr / IX. XXXIV. 275 . ; Russell , A. ( 1889 ) . `` Journal of the American Geographical Society of New York '' . 21 : 494 -- 515 .   Jump up ^ DuBois , Joshua . First Ladies of the Church . The Daily Beast , 2013 - 03 - 20 .    Further reading ( edit )    Bailey , Tim . `` America 's First Ladies on Twentieth - Century Issues : A Common Core Unit '' , History Now 35 ( Spring 2013 ) online , curriculum unit based on primary sources   Berkin , Berkin , ed. , `` America 's First Ladies '' , History Now 35 ( Spring 2013 ) online ; popular essays by scholars   Burns , Lisa M. ( 2008 ) . First Ladies and the Fourth Estate : Press Framing of Presidential Wives . DeKalb : Northern Illinois University Press . ISBN 978 - 0 - 87580 - 391 - 3   Caroli , Betty Boyd ( 2010 ) . First ladies : from Martha Washington to Michelle Obama . Oxford , New York : Oxford University Press . ISBN 9780195392852 .   Horohoe , Jill , `` First Ladies as Modern Celebrities : Politics and the Press in Progressive Era '' ( PhD dissertation , Arizona State University , 2011 ) . DA3452884 .   Lugo - Lugo , Carmen R. and Mary K. Bloodsworth - Lugo . `` Bare Biceps and American ( In ) Security : Post-9 / 11 Constructions of Safe ( ty ) , Threat , and the First Black First Lady '' , Women 's Studies Quarterly ( 2011 ) 39 # 1 pp 200 -- 217 , on media images of Michelle Obama   Watson , Robert P. `` Toward the Study of the First Lady : The State of Scholarship '' , Presidential Studies Quarterly ( 2003 ) 33 # 2 pp 423 -- 441 .    External links ( edit )    Current First Ladies ( biographies and photo profiles )      hide         First Ladies and Gentlemen by country       Afghanistan   Albania   Argentina   Armenia   Australia   Austria   Azerbaijan   Bangladesh   Botswana   Brazil   Cambodia   Cameroon   Canada   Cape Verde   Chile   China   Costa Rica   Croatia   Czech Republic   Djibouti   Ecuador   Egypt   Estonia   Finland   France   Gabon   Georgia   Germany   Ghana   Guatemala   Guyana   Honduras   Hong Kong   Iceland   India   Indonesia   Iran   Italy   Ivory Coast   Japan   Kazakhstan   Kenya   Kyrgyzstan   Madagascar   Malawi   Malaysia   Maldives   Mali   Malta   Mauritius   Mexico   Mongolia   Moldova   Mozambique   Namibia   New Zealand   Nigeria   North Korea   Panama   Pakistan   Paraguay   Peru   Philippines   Poland   Portugal   Romania   Russia   Senegal   Sierra Leone   Singapore   Slovakia   South Africa   South Korea   Sri Lanka   Sweden   Tanzania   Taiwan   Tajikistan   Thailand   Trinidad and Tobago   Tunisia   Turkey   Ukraine   United Kingdom   United States   list     Uruguay   Uzbekistan   Venezuela   Zambia   Zimbabwe         List of spouses of heads of state   List of spouses of heads of government      Retrieved from `` https://en.wikipedia.org/w/index.php?title=First_Lady&amp;oldid=841325140 '' Categories :   Spouses of national leaders   Women 's social titles   Hidden categories :   Webarchive template wayback links   Articles needing additional references from September 2013   All articles needing additional references   Articles with limited geographic scope from November 2016   Articles with multiple maintenance issues   All articles with unsourced statements   Articles with unsourced statements from October 2017   Articles with unsourced statements from April 2015   Articles with unsourced statements from August 2017   Articles containing Irish - language text   Articles with unsourced statements from August 2011   Articles with unsourced statements from November 2013   Articles containing potentially dated statements from 2018   All articles containing potentially dated statements           Talk                                           Contents                   About Wikipedia                                                 Afrikaans     Asturianu   Azərbaycanca   বাংলা   Bân - lâm - gú   Беларуская   Български   Català   Čeština   Dansk   Deutsch   Eesti   Español   Euskara   فارسی   Français   Frysk   Galego   </t>
    </r>
    <r>
      <rPr>
        <sz val="11"/>
        <color rgb="FF000000"/>
        <rFont val="Noto Sans CJK SC"/>
        <family val="2"/>
      </rPr>
      <t xml:space="preserve">客家 語 </t>
    </r>
    <r>
      <rPr>
        <sz val="11"/>
        <color rgb="FF000000"/>
        <rFont val="Calibri"/>
        <family val="0"/>
        <charset val="1"/>
      </rPr>
      <t xml:space="preserve">/ Hak - kâ - ngî   </t>
    </r>
    <r>
      <rPr>
        <sz val="11"/>
        <color rgb="FF000000"/>
        <rFont val="Noto Sans CJK SC"/>
        <family val="2"/>
      </rPr>
      <t xml:space="preserve">한국어   </t>
    </r>
    <r>
      <rPr>
        <sz val="11"/>
        <color rgb="FF000000"/>
        <rFont val="Calibri"/>
        <family val="0"/>
        <charset val="1"/>
      </rPr>
      <t xml:space="preserve">Հայերեն   हिन्दी   Hrvatski   Bahasa Indonesia   Italiano   עברית   Қазақша   Kiswahili   Latviešu   Nederlands   </t>
    </r>
    <r>
      <rPr>
        <sz val="11"/>
        <color rgb="FF000000"/>
        <rFont val="Noto Sans CJK SC"/>
        <family val="2"/>
      </rPr>
      <t xml:space="preserve">日本 語   </t>
    </r>
    <r>
      <rPr>
        <sz val="11"/>
        <color rgb="FF000000"/>
        <rFont val="Calibri"/>
        <family val="0"/>
        <charset val="1"/>
      </rPr>
      <t xml:space="preserve">Norsk   Polski   Português   Русский   Shqip   Slovenčina   Српски / srpski   Suomi   Svenska   தமிழ்   Türkçe   Українська   اردو   </t>
    </r>
    <r>
      <rPr>
        <sz val="11"/>
        <color rgb="FF000000"/>
        <rFont val="Noto Sans CJK SC"/>
        <family val="2"/>
      </rPr>
      <t xml:space="preserve">粵語   中文  </t>
    </r>
    <r>
      <rPr>
        <sz val="11"/>
        <color rgb="FF000000"/>
        <rFont val="Calibri"/>
        <family val="0"/>
        <charset val="1"/>
      </rPr>
      <t xml:space="preserve">38 more  Edit links   This page was last edited on 15 May 2018 , at 04 : 26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</si>
  <si>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title first lady come from</t>
  </si>
  <si>
    <t xml:space="preserve"> The designation First Lady seems to have originated in the United States , where one of the earliest uses in print , in 1838 , was in reference to Martha Washington . Other sources indicate that , in 1849 , President Zachary Taylor called Dolley Madison `` first lady '' at her state funeral , while reciting a eulogy written by himself ; but no copy of that eulogy has been found . </t>
  </si>
  <si>
    <t xml:space="preserve">Sanford and Son - wikipedia  Sanford and Son  Jump to : navigation , search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2015 ) ( Learn how and when to remove this template message )         This article describes a work or element of fiction in a primarily in - universe style . Please help rewrite it to explain the fiction more clearly and provide non-fictional perspective . ( January 2017 ) ( Learn how and when to remove this template message )    ( Learn how and when to remove this template message )       Sanford and Son     From the Sanford and Son opening credits : the sign above the Sanfords ' home and workplace     Genre   Sitcom     Based on   Steptoe and Son by Ray Galton Alan Simpson     Developed by   Norman Lear ( uncredited )     Starring   Redd Foxx Demond Wilson     Theme music composer   Quincy Jones     Opening theme   `` The Streetbeater ''     Composer ( s )   Quincy Jones     Country of origin   United States     Original language ( s )   English     No. of seasons   6     No. of episodes   138 ( list of episodes )     Production     Executive producer ( s )   Bud Yorkin Norman Lear ( uncredited )     Producer ( s )   Aaron Ruben ( 1972 -- 1974 ) Bernie Orenstein &amp; Saul Turteltaub ( 1974 -- 1977 )     Camera setup   Multi-camera     Running time   22 -- 24 minutes     Production company ( s )   Tandem Productions NorBud Productions     Distributor   PITS Films ( 1979 -- 1982 ) Embassy Telecommunications ( 1982 -- 1986 ) Embassy Communications ( 1986 -- 1988 ) Columbia Pictures Television ( 1988 -- 1995 ) Columbia TriStar Television ( 1995 -- 2002 ) Sony Pictures Television ( 2002 -- present )     Release     Original network   NBC     Picture format   1.33 : 1 ( fullscreen )     Audio format   Monaural     Original release   January 14 , 1972 ( 1972 - 01 - 14 ) -- March 25 , 1977 ( 1977 - 03 - 25 )     Chronology     Followed by   Sanford Arms Sanford     Related shows   Steptoe and Son Grady     Sanford and Son is an American sitcom that ran on the NBC television network from January 14 , 1972 , to March 25 , 1977 . It was based on the BBC Television program Steptoe and Son .   Known for its edgy racial humor , running gags and catchphrases , the series was adapted by Norman Lear and considered NBC 's answer to CBS 's All in the Family . Sanford and Son has been hailed as the precursor to many other African American sitcoms . It was a ratings hit throughout its six - season run .   While the role of Fred G. Sanford was known for his bigotry and cantankerousness , the role of Lamont Sanford was that of a conscientious peacemaker . At times , both characters would involve themselves in schemes , usually as a means of earning cash quickly in order to pay off their various debts . Other colorful and unconventional characters on the show included Aunt Esther , Grady Wilson , Bubba Hoover and Rollo Lawson .   In 2007 , Time magazine included the show on its list of the `` 100 Best TV Shows of All Time '' .     Contents  ( hide )   1 Summary   1.1 Fred Sanford   1.2 Lamont Sanford   1.3 Series progression   1.4 Other characters     2 Episodes   3 Reception and cancellation   3.1 Ratings     4 Production notes   4.1 Redd Foxx 's death   4.2 Theme music     5 Spin - offs and 1980 -- 81 revival   6 DVD releases   7 References   8 External links      Summary ( edit )  Fred and Lamont Sanford  Sanford and Son stars Redd Foxx as Fred G. Sanford , a widower and junk dealer living at 9114 South Central Avenue in the Watts neighborhood of Los Angeles , California , and Demond Wilson as his son Lamont Sanford . In his youth , Fred moved to South Central Los Angeles from his hometown of St. Louis .   After the show 's premiere in 1972 , newspaper ads touted Foxx as NBC 's answer to Archie Bunker , the bigoted white protagonist of All in the Family . Both shows were adapted by Norman Lear from BBC programs . Sanford and Son was adapted from Steptoe and Son and All in the Family from Till Death Us Do Part .   Fred Sanford ( edit )   Redd Foxx played Fred G. Sanford ( named after Redd Foxx 's ( real name : John Elroy Sanford ) brother Fred ) , portraying him as a sarcastic , streetwise , irascible schemer whose frequent get - rich - quick ideas routinely backfired . His son Lamont longs for independence , but loves his father too much to move out and leave the trouble - prone Fred unsupervised . Though each owns an equal share in the business ( technically Fred is the boss ) , Lamont often finds himself doing all the work and demanding his father complete tasks and duties , which he almost never does . Fred often insults his son , usually calling him `` dummy . '' Lamont returns the favor , referring to Fred as an `` old fool . '' Despite their disagreements , the two share a close bond and regularly come to each other 's aid . An episode in the second season featured a plot in which Fred and Lamont had a heated argument over the business ; Lamont quit and went to work for one of his father 's business competitors . Meanwhile , Fred filled Lamont 's position with a slacker who squandered Fred 's money on a worthless item . When Lamont quits his new job and Fred fires the slacker , the two decide to reform their partnership , though each is too proud to admit they could not make it without the other .   According to Fred , his wife Elizabeth died around 1947 . In a running gag in the series , during times of distress , Fred looks up ( as to heaven ) with his hand across his chest , faking a heart attack and saying , `` This is the big one , Elizabeth ! I 'm coming to join ya honey . '' No one , however , falls for this transparent ruse . Fred raised Lamont alone and missed Elizabeth deeply . According to Fred , his son was named for Lamont Lomax , a pitcher from the Homestead Grays . In one episode , Lamont asks why he did not have a middle name ; Fred tells him that Lamont is his middle name : he and Elizabeth never came up with a first name . However , it was revealed in the third episode of the first season that Lamont was named `` Lamont Grady Sanford . ''   Initially , Fred 's main antagonist on the show was his sister - in - law and Lamont 's aunt Ethel ( Beah Richards ) . Ethel 's involvement in the Sanford family squabbles lasted until midway through the second season , where she was replaced in the cast with her more tart - tongued sister Esther ( LaWanda Page ) . Fred and Esther 's relationship as in - laws became a major part of the plot . The two frequently trade insults , usually instigated by Fred , who contorts his face upon Esther 's entrance and describes her with disparaging and colorful metaphors ( such as comparing her to King Kong ) . The deeply religious , no - nonsense Esther typically responds to Fred 's insults by scowling , saying `` watch it , sucka ! '' , referring to him as `` you old heathen '' or `` old fish - eyed fool '' , or even attacking Fred with her purse when he continues his remarks . Esther 's disdain for Fred goes back to when he and Elizabeth were dating ; she disapproved of Fred 's marrying her sister .   Despite his stubbornness and irascible nature , Fred sometimes redeems himself with acts of kindness , even to those ( like Esther ) whom he insists he does not like . In the last episode of the series , Fred earns his high school diploma , and is the valedictorian of his graduating class .   Earlier in the show 's run , it more closely adhered to the format of its British predecessor Steptoe and Son with 16 episodes ( 12 in season one and 4 in season two ) being re-made from the original `` Galton and Simpson '' scripts with Fred and Lamont often at odds over various issues . Fred and Lamont also are depicted as being equally manipulative . Fred manipulates with constant threats of `` the big one '' and avoids manual labor due to his `` arthur-itis '' . In earlier episodes , Lamont through various antics would try and drive a wedge between his father and Fred 's girlfriend Donna Harris ( Lynn Hamilton ) , who he disapproves of because he thinks she is trying to usurp his mother 's place .   Lamont Sanford ( edit )   Demond Wilson played Lamont Sanford , who is depicted at times as the greedier of the two . In one episode , for example , he refuses to sell two coffins for less than what he thinks they were worth , despite the fact that even possessing them upsets his superstitious father . Lamont sometimes receives his comeuppance for being disdainful of his father 's habits and ways . ( One example of this is the time Lamont is upbraided by a Nigerian woman who considers his attitude towards Fred to be disrespectful . ) There are moments when Lamont is shown to be naive and foolish , such as the episode where he invites his new `` friends '' over to play poker . His street - savvy father immediately recognizes that they are card sharps , out to cheat Lamont after they gain his confidence by letting him win a few smaller - stakes games . After Lamont has lost all of his money , Fred turns the tables on the scammers by pretending to be ignorant of poker himself , agreeing to play a few hands and then taking all of their money by means of a marked deck of cards and special glasses that allow him to see what he is dealing . A similar predicament befalls Lamont in the second season when he gets involved in an unethical deal by purchasing a possibly valuable Regency commode from a woman for a rock - bottom price , then selling it back to her husband at double the price . He then takes an offer from a third party for quadruple that price while Fred tries over and over again to warn him that he is doing something immoral . Lamont becomes so angry that he threatens to lock Fred in his bedroom . Finally , due to some investigation on Fred 's part , it is revealed that Lamont has been scammed , the pot is a fake , and the culprits have made off with several hundred dollars of Lamont 's money .   One constant with Lamont ( particularly in the second season ) is that he is always trying to find new ways to move up in the world and away from the junk business , like his British counterpart Harold Steptoe ( played by Harry H. Corbett ) , but he often is thwarted by Fred 's interference . In the first episode , he buys a possibly valuable piece of porcelain from an elderly woman in Beverly Hills with the intention of selling at auction . However , Fred messes things up at the auction , and Lamont ends up buying the piece back from himself . In the second season , Lamont buys a war rifle from the American Revolution at an auction with the intent to sell it for thousands . While investigating it , Fred accidentally fires the gun through the front window , and he and Lamont spend all night wondering if he 's accidentally killed the neighbor across the street who appears to be missing . In a panic , Lamont melts the gun down before realizing that the neighbor was just out of town . In one episode , he attempts to become an actor , Lamont and Rollo answer an ad for wannabe black film actors for an independent film company only to realize that it is really a pornographic film factory . In another episode , he answers an ad to travel around the world working on a tramp steamer , which would mean putting Fred in a nursing home , but Fred tricks him into not going . During the third season , Lamont attempts to open a side business with Julio , selling used automobile parts . Fred is so upset that he leaves and moves into a flop house . Lamont eventually convinces Fred to come home , but whether or not he left the new business venture never is addressed .   The most significant change in Lamont 's character throughout the series was his attitude toward his work , his father and his future . In the very first episode , he is portrayed as hostile and angry toward Fred and the life he is forced to live , especially when Fred 's interference ruins his plans ; similar to the relationship of Harold Steptoe and Albert Steptoe . This would last through the middle of the first season , especially in an episode when he takes Fred out on the town for his birthday and becomes frustrated by Fred 's lack of manners and crudeness in public . At the end of the night , he becomes so angry that he abandons Fred at the restaurant , leaving his father to walk home in the rain . His attitude towards Fred would soften by mid-season as episodes tended to focus more on the two working together to solve a problem , as when several bill collectors converged on the house threatening to repossess their belongings . He would change throughout the series and become a man dedicated to his work and to his father , but also who would try new things and new ideas to better himself , such as when he attempts to embrace his African heritage or later when he tries to run for state assemblyman .   Series progression ( edit )   As the series progressed , it focused more on Fred 's antics and schemes , with Lamont often adopting the role of the gentler , more open - minded progressive who attempts to broaden his father 's horizons . A notable example of the softening of Lamont 's character is his change in attitude towards Donna Harris ( Lynn Hamilton ) , Fred 's girlfriend . Early in the show 's run Lamont derides her as `` the barracuda '' and is openly hostile towards her , attempting to ruin her relationship with his father at least twice . In a later episode , however , Lamont invites Donna to dinner with himself and his girlfriend , remarking that it would do his reputation good to be seen with `` two lovely ladies . ''   Similarly , Fred is initially depicted as a man who , though not always ethically or culturally sensitive , has the wisdom of experience and significant street smarts . As the series progressed , Fred got into increasingly ludicrous situations , such as faking an English accent to get a job as a waiter , convincing a white couple that an earthquake was really the `` Watts Line '' of the then - nonexistent L.A. subway ( a wordplay on the common phrase `` WATS line '' ) , taking over a play featuring George Foreman , or sneaking into a celebrity 's private area , such as Lena Horne 's dressing room or Frank Sinatra 's hotel room . Some of these situations revolve around Fred 's trying to make a quick buck .   One constant throughout the show is the loyalty of father and son to each other . Even in the show 's earliest episodes when one or the other leaves the house , seemingly for good ( Lamont moves out at least twice , and at one point he even puts Fred in a retirement home ) , something always occurs to return the situation to normal . ( Lamont gets homesick and worries about his father , or something does not work out and Lamont schemes his way back in , Lamont feels lonely without his father around the house thanks to a plan Fred hatched with his friend Bubba , etc . )   Perhaps the best example of this bond between father and son occurs in the episode where a friend from Fred 's past shows up and claims to be Lamont 's real father . After hearing the news , Lamont tells a tearful Fred that he is `` the only pop I 've ever known '' and as far as he is concerned , it is `` always '' going to be Sanford and Son . ( In the humorous twist that closes the episode , it turns out the friend had actually slept with Aunt Esther , thinking she was her sister Elizabeth . ) Lamont 's birthday is mentioned in the third - season episode `` Libra Rising All Over Lamont '' as September 27 , 1940 . However , in a season five episode called `` Ebenezer Sanford '' , Lamont says his birthday is in February .   Other characters ( edit )    Esther Anderson ( LaWanda Page ) , also known as Aunt Esther , is the Bible - toting sister of Fred 's late wife Elizabeth . Esther is a staunchly religious Baptist who finds little use for humor , though she is kind and loving towards Lamont . Fred and Esther dislike each other intensely . Fred 's trademark response to Esther 's entrance is to make an exaggerated grimace followed by colorful insults and comparisons to various animals ( `` Esther , I could stick your face in some dough and make gorilla cookies '' ) and fictitious monsters such as King Kong ( often referring to her as `` Esther Kong '' ) and Godzilla . Her usual reaction to his antics is to scowl and exclaim `` watch it , sucka ! '' . Other times , she will threaten Fred with violence , with phrases like `` I 'll knock you so far down in your socks , you 'll think you wearing a turtleneck sweater ! '' , or she swings her purse at Fred while angrily calling him `` old fish - eyed fool '' or `` old heathen '' . When leaving the Sanford home , she often exclaims `` oh glory ! '' or `` hallelujah ! '' Her long - suffering but loving alcoholic husband Woodrow ( played by Raymond Allen ) began appearing infrequently later in the series . Woodrow eventually became sober so he and Esther could adopt a young orphan , played by Eric Laneuville . Fred and Esther called a temporary truce , of sorts , in the episode `` My Fair Esther . '' Esther first appeared in early 1973 , in the 29th episode of the series ( `` The Big Party '' ) , and would eventually replace her sister Ethel ( Beah Richards ) , the first main in - law character .   Grady Wilson ( Whitman Mayo ) is Fred 's good - natured best friend , who appears regularly on the show . Grady 's catchphrase is `` Good Googley Goo '' He utters this when something good happens or he is in a pleasant mood . Grady is Fred 's `` sidekick '' and often is involved in various get - rich - quick schemes concocted by Fred . In the episode `` Hello Cousin Emma , Goodbye Cousin Emma '' , it is revealed that Grady grew up on the south side of Chicago and in his youth was a lady 's man with the nickname `` The Sheik of Drexel Avenue . '' Early in the series , a running gag was that Grady could never remember Lamont 's name . Lamont would often correct him with a bogus name like Lucas or Lance . Later in the series , Grady 's name - confusion gag was targeted at Esther . When Foxx refused to appear in several episodes due to a contract dispute , Grady became the central character , watching over the business and Lamont while Fred was `` away '' on vacation in St. Louis . Grady was actually named after actor Demond Wilson , whose full real name is `` Grady Demond Wilson . '' ( The character eventually was spun off into his own eponymous TV series in December 1975 . )   Bubba Bexley ( Don Bexley ) is another of Fred 's friends who appears frequently . Bubba is known for his infectious belly - laugh and jovial personality . Bubba is primarily a straight man to set up punchlines for Fred . His loud greeting of `` Hey Fred ! '' drives Fred and Lamont crazy . His function in several episodes is to encourage Fred 's get - rich - quick schemes , as when he tells Fred to fake having whiplash after he is hit by a white man in a Cadillac while driving the truck . In the episode `` Lamont Goes African '' , Bubba reveals that he is originally from Memphis , Tennessee .   Rollo Lawson ( Nathaniel Taylor ) is Lamont 's best friend . Fred will often make disrespectful remarks towards Rollo , usually stating that he thinks Rollo is a criminal , as Rollo had spent time in jail . At one time , when Rollo introduced Lamont to his African cultural heritage , Fred thought it was a scam and noted that `` If there was money to be made , Rollo would become an Eskimo '' . Rollo 's mother Rita is an unseen character sometimes referred to when Rollo 's name comes up and someone asks `` Is that Rita Lawson 's boy Rollo ? '' and she is also friends with Lamont 's aunt Esther .   Donna Harris ( Lynn Hamilton ) is Fred 's on - again , off - again girlfriend who later becomes his fiancée . She is employed as a practical nurse . Donna is an amiable , even - tempered lady who takes in stride Fred 's shenanigans and occasional trysts . She also appears to be more sophisticated in contrast to Fred 's rather blunt and boorish personality . Lamont , being the overprotective son , mistrusts Donna at first ( branding her as `` The Barracuda '' ) , but by Season 6 has completely warmed to her . Esther is hostile toward Donna at first , almost coming to blows with her during their first meeting on Donna 's and Fred 's wedding day ( an event that causes the cancellation of the wedding ) . Eventually , Esther warms to her as well .   Julio Fuentes ( Gregory Sierra ) is the Sanfords ' Puerto Rican next - door neighbor who befriends Lamont . When Julio and his family move in next to the Sanfords , Fred takes an immediate dislike to them and remarks , `` There goes the neighborhood . '' Despite Julio 's friendliness , Fred often makes insulting ethnic jokes about Julio and openly wishes he would return to Puerto Rico , despite the fact that Julio is originally from New York City . Despite the contention , Fred does stand up for Julio 's nephew at his elementary school , which has threatened to drop him to a lower grade due to lack of proficiency in speaking English ; Fred tutors him for some time as well . In the fifth season , Julio moves away . The Sanfords buy his former home and convert it into a boarding house named the Sanford Arms .   Ah Chew ( Pat Morita ) is a Japanese - American friend of Lamont whom Fred belittles every chance he gets . Fred insults Ah Chew on numerous occasions using clichéd Oriental jokes . Fred actually befriends Ah Chew in a later episode because he wants to use him as a cook when he opens `` Sanford and Rising Son '' , a Japanese restaurant in the Sanford house . Despite this arrangement , Fred still hurls verbal abuse at Ah Chew . In the fifth - season episode `` Sergeant Gork '' , Morita portrays Colonel Hiakowa , in a flashback where Fred tells Roger , Lamont 's fiancee 's son , of his supposed heroism in World War II .   Officer `` Smitty '' Smith and Officer Howard `` Hoppy '' Hopkins are a pair of police officers who occasionally show up at the Sanfords ' residence . One officer is African - American , Officer `` Smitty '' Smith ( played by Hal Williams ) , and one Caucasian , Officer Howard `` Hoppy '' Hopkins ( played by Howard Platt ) . Often , Hoppy incorrectly uses ' jive ' slang , which Smitty corrects -- e.g. , `` cold '' instead of `` cool '' or `` right up '' instead of `` right on . '' Conversely , the ever - professional Hoppy delivers a speech filled with police jargon and big words , which confuses Fred and / or Lamont thus turning to Smitty , who would translate Hoppy 's speech into jive . Later in the series 's run , the officers often appear individually . Unlike Ah Chew and Julio , Hoppy remains free of Fred 's usual insults . In one episode , `` This Little TV Went to Market '' , Officer `` Jonesy '' Jones ( Bernie Hamilton ) appears with Hoppy in place of Smitty . In the sixth - season episode `` The Hawaii Connection '' , Smitty appears with his slow - witted new partner , Percy ( Pat Paulsen ) . In `` The Reverend Sanford '' , comic Freeman King appears as a police officer named Jim , presumably standing in for Smitty , but without Hoppy or any other partner .   Officer `` Swanny '' Swanhauser ( Noam Pitlik ) is originally Officer Smitty 's Caucasian partner who is replaced early in the second season with Officer Hopkins . Swanny is basically the same as Hoppy , but his demeanor is much more serious and humorless . Like Hoppy , Swanny never is insulted racially by Fred .   May Hopkins ( Nancy Kulp ) is Officer Hopkins ' prim and proper mother who appeared in the fifth season . She is a retired store detective who rents a room at the Sanford Arms next door . Landlord Fred often insults her when she pays a visit . Much like her son , Mrs. Hopkins incorrectly uses jive slang , but the more experienced Hoppy corrects her .   Janet Larson ( Marlene Clark ) is a divorcee Lamont begins dating in the fifth season . Janet also has a young son , Roger ( Edward Crawford ) . The Larsons appear occasionally until Lamont and Janet break up in the sixth and final season , due to the return of Janet 's ex-husband .   Melvin White ( Slappy White ) is an old buddy of Fred 's who appears in the first season . He appears in one second - season episode as well .   Leroy &amp; Skillet ( Leroy Daniels &amp; Ernest ' Skillet ' Mayhand ) are a rambunctious pair of Fred 's friends who like to play poker , billiards or joke around . They appear in the second and third seasons .   Otis Littlejohn ( Matthew `` Stymie '' Beard ) is a friend of Grady 's who appears in the third and fourth seasons .   George `` Hutch '' Hutton ( Arnold Johnson ) is an elderly tenant of the Sanford Arms who befriends Fred . When they first meet , Hutch admits to serving a lengthy sentence in prison to avoid his ugly sister - in - law . This immediately endears him to Fred . Fred is then disgusted when Hutch joins Aunt Esther 's Bible study group . He appears in the fifth season .   Frank Nelson appears as various comic foils to Fred in the fifth and sixth seasons using his catchphrase , `` Yeeees ? ''   Fritzi Burr appeared as various comic foils to Fred from the fourth season to the sixth .   Dr. Caldwell ( Davis Roberts ) is the Sanford 's family doctor who shows up in several early episodes . He often enters the Sanford residence with an alarming cough and his credentials as a doctor are questionable . Asked if he is really a doctor he claims `` On Monday , Wednesday and Friday , I 'm a doctor . The other days I work in the post office . ''   Nelson B. Davis ( James Wheaton ) is a mortician who dropped by the Sanford residence several times in the second season , at one point to look at some caskets that Lamont picked up an auction . With a deep voice and a spooky laugh , he would often make odd quips in reference to his unusual profession : `` It 's been a slow week , business is dead '' and `` I must to return to my place , I 'm a working stiff . '' Once he told Lamont that `` Burial insurance is something that everybody digs . ''   Reverend Trimble ( Alvin Childress ) is the soft - spoken minister of the Central Avenue Baptist Church who dropped by in the first two seasons , usually to officiate a wedding . The running joke was that every time he officiated a wedding for the Sanford family , the family usually ended up in a screaming match over petty disagreements which escalated into a war that left everyone fleeing the house in anger while the Reverend stood by in stunned silence .    Episodes ( edit )  Main article : List of Sanford and Son episodes    Season   Episodes   Originally aired   DVD release date     Season premiere   Season finale         14   January 14 , 1972 ( 1972 - 01 - 14 )   April 14 , 1972 ( 1972 - 04 - 14 )   August 6 , 2002         24   September 15 , 1972 ( 1972 - 09 - 15 )   March 16 , 1973 ( 1973 - 03 - 16 )   February 4 , 2003         24   September 14 , 1973 ( 1973 - 09 - 14 )   March 29 , 1974 ( 1974 - 03 - 29 )   October 7 , 2003         25   September 13 , 1974 ( 1974 - 09 - 13 )   April 25 , 1975 ( 1975 - 04 - 25 )   March 30 , 2004       5   24   September 12 , 1975 ( 1975 - 09 - 12 )   March 19 , 1976 ( 1976 - 03 - 19 )   September 14 , 2004       6   24   September 24 , 1976 ( 1976 - 09 - 24 )   March 25 , 1977 ( 1977 - 03 - 25 )   June 7 , 2005     Reception and cancellation ( edit )   Sanford and Son was enormously popular during most of its run , and was one of the top 10 highest - rated series on American television from its first season ( 1971 -- 72 ) through the 1975 -- 76 season .   With its coveted 8 p.m. Eastern Friday night time slot , Sanford and Son put enough of a dent into the middling audience of ABC 's The Brady Bunch to drive it off the air in 1974 . Sanford and Son peaked at # 2 in the Nielsen ratings during the 1972 -- 73 season and the 1974 -- 75 season . The series was second only to All in the Family in terms of ratings during those years . By the 1974 -- 75 season , Sanford and Son 's high lead - in helped the entire NBC Friday night lineup to place in the coveted bracket of the Top 15 shows ( Chico and the Man , following Sanford , ranked # 3 for the season , while the police dramas The Rockford Files and Police Woman aired later in the evening and ranked at # 12 and # 15 , respectively ) .   In the midst of taping episodes for the 1973 -- 74 season , Redd Foxx walked off the show in a salary dispute . In 1974 , Foxx was earning $19,000 per episode . His character was written out of the series for the rest of the season . The continuity of the show explained that Fred Sanford was away in St. Louis attending his cousin 's funeral and leaving his friend Grady ( Whitman Mayo ) in charge of the business . NBC sued Foxx and as part of the settlement , Foxx later returned . Foxx had taped 18 of that season 's 24 episodes before Fred `` left for St. Louis . '' The show was still quite popular when it was cancelled in 1977 .   Ratings ( edit )   Sanford and Son was a ratings hit through its six - season run on NBC . Despite airing in the Friday night death slot , it managed to peak at # 2 in the ratings ( behind All in the Family , and ranked less than one ratings point behind during the 1974 - 75 season ) .     Season   Time slot ( ET )   Rank   Rating     1971 -- 72   Friday at 8 : 00 - 8 : 30 PM   # 6   25.2     1972 -- 73   # 2   27.6     1973 -- 74   # 3   27.5     1974 -- 75   # 2   29.6     1975 -- 76   # 7   24.4 ( Tied with Rhoda )     1976 -- 77   Friday at 8 : 00 - 8 : 30 PM ( Episodes 1 , 3 - 11 , 13 - 25 ) Friday at 8 : 30 - 9 : 00 PM ( Episode 2 ) Tuesday at 8 : 00 - 8 : 30 PM ( Episode 12 )   # 27   20.3     Production notes ( edit )   The series was produced by Norman Lear and Bud Yorkin 's Tandem Productions , which were also responsible for All in the Family . The two shows had a number of things in common . Both were based on popular British sitcoms and both were pioneers of edgy , racial humor that reflected the changing politics of the time . Both series also featured outspoken , working class protagonists with overt prejudices . However , Sanford and Son differed from All in the Family and other Norman Lear shows of the era in that it lacked the element of drama . Sanford and Son helped to redefine the genre of black situation comedy . Due to Lear 's commitments to his other series that were on the air at the time , and the relative distance among taping locations of other Tandem shows ( as Sanford and Son taped at NBC 's now - former Burbank facility , while the other shows such as All in the Family , Maude , The Jeffersons , and One Day at a Time were recorded at either CBS Television City or Metromedia Square , both in Hollywood ) , he did not have as much day - to - day involvement in Sanford and Son as he did with the other Tandem series , leaving the show - running to Yorkin .   As noted , the show was taped at the NBC Studios in Burbank , California ; an exterior shot of the NBC Burbank lot was featured in the season five episode , `` Steinberg and Son '' . The storefront seen only in the opening credits still stands , although extensively remodeled , at 10654 West Magnolia Boulevard in North Hollywood . This same storefront , minus the `` Sanford and Son '' sign , can also be seen in Emergency ! , in the episode titled `` Alley Cat , '' filmed in 1973 .   Foxx did not appear in nine episodes due to his conflicts with the series producers Bud Yorkin and Norman Lear . Foxx was absent from the third season 's final six episodes and the first three episodes of the fourth season ( in which the episodes were held back from broadcast and aired later in the season ) . The series continued with Fred 's best friend Grady Wilson stepping in to serve as guardian for Lamont .   The pickup truck depicted in the series is a 1951 Ford F1 . It was purchased at auction after the series ended and was later leased back to NBC for the spin offs Sanford Arms and Sanford . It has changed hands a few times over the years , eventually purchased by a real life junk dealer , Donald Dimmitt of Dimmitts Auto Salvage , in Argos , Indiana . Most recently it was purchased from Dimmitts Auto Salvage by Tim Franko and Jeff Canter , owners of BlueLine Classics , a classic car dealership in North Royalton , Ohio . The truck has been preserved by BlueLine Classics to its true condition as seen on the TV series and is proudly displayed in the BlueLine Classics showroom . It is often seen a</t>
  </si>
  <si>
    <t xml:space="preserve">sanford and son what was his wife's name</t>
  </si>
  <si>
    <t xml:space="preserve"> According to Fred , his wife Elizabeth died around 1947 . In a running gag in the series , during times of distress , Fred looks up ( as to heaven ) with his hand across his chest , faking a heart attack and saying , `` This is the big one , Elizabeth ! I 'm coming to join ya honey . '' No one , however , falls for this transparent ruse . Fred raised Lamont alone and missed Elizabeth deeply . According to Fred , his son was named for Lamont Lomax , a pitcher from the Homestead Grays . In one episode , Lamont asks why he did not have a middle name ; Fred tells him that Lamont is his middle name : he and Elizabeth never came up with a first name . However , it was revealed in the third episode of the first season that Lamont was named `` Lamont Grady Sanford . '' </t>
  </si>
  <si>
    <t xml:space="preserve">Frankie Laine - Wikipedia  Frankie Laine  Jump to : navigation , search For the Canadian wrestler , see Frankie Laine ( wrestler ) .      This article needs additional citations for verification . Please help improve this article by adding citations to reliable sources . Unsourced material may be challenged and removed . ( January 2014 ) ( Learn how and when to remove this template message )       Frankie Laine     Laine in 1954     Background information     Birth name   Francesco Paolo LoVecchio       ( 1913 - 03 - 30 ) March 30 , 1913 Near West Side , Chicago , Illinois , U.S.       February 6 , 2007 ( 2007 - 02 - 06 ) ( aged 93 ) San Diego , California , U.S.     Genres     Pop standards   Jazz   Rhythm and blues   Gospel   Folk   Easy Listening   Country       Years active   1932 -- 2007     Labels     Mercury   Philips   Columbia   Capitol   ABC   Amos   Score       Website   www.frankielaine.com     Frankie Laine ( born Francesco Paolo LoVecchio ; March 30 , 1913 -- February 6 , 2007 ) was an American singer , songwriter , and actor whose career spanned 75 years , from his first concerts in 1930 with a marathon dance company to his final performance of `` That 's My Desire '' in 2005 . Often billed as `` America 's Number One Song Stylist '' , his other nicknames include `` Mr. Rhythm '' , `` Old Leather Lungs '' , and `` Mr. Steel Tonsils '' . His hits included `` That 's My Desire '' , `` That Lucky Old Sun '' , `` Mule Train '' , `` Cry of the Wild Goose '' , `` A Woman In Love '' , `` Jezebel '' , `` High Noon '' , `` I Believe '' , `` Hey Joe ! '' , `` The Kid 's Last Fight '' , `` Cool Water '' , `` Moonlight Gambler , '' `` Love Is a Golden Ring , '' `` Rawhide '' , and `` Lord , You Gave Me a Mountain . ''   He sang well - known theme songs for many movie Western soundtracks , including 3 : 10 To Yuma , Gunfight at the O.K. Corral , and Blazing Saddles , although he was not a country &amp; western singer . Laine sang an eclectic variety of song styles and genres , stretching from big band crooning to pop , western - themed songs , gospel , rock , folk , jazz , and blues . He did not sing the soundtrack song for High Noon , which was sung by Tex Ritter , but his own version ( with somewhat altered lyrics , omitting the name of the antagonist , Frank Miller ) was the one that became a bigger hit , nor did he sing the theme to another show he is commonly associated with -- Champion the Wonder Horse ( sung by Mike Stewart ) -- but released his own , subsequently more popular , version .   Laine 's enduring popularity was illustrated in June 2011 , when a TV - advertised compilation called Hits reached No. 16 on the British chart . The accomplishment was achieved nearly 60 years after his debut on the UK chart , 64 years after his first major U.S. hit and four years after his death .     Contents  ( hide )   1 Style   2 Biography   2.1 Early years   2.2 At Beltone and Atlas   2.3 `` That 's My Desire ''   2.4 At Mercury   2.5 At Columbia   2.6 Mr. Rhythm   2.7 Portrait of New Orleans   2.8 Jazz Spectacular   2.9 Frankie Laine and the Four Lads   2.10 Rockin '   2.11 With Michel Legrand   2.12 With Frank Comstock   2.13 Balladeer   2.14 John Williams arrangements   2.15 Hell Bent for Leather   2.16 Deuces Wild   2.17 Call of the Wild   2.18 Wanderlust   2.19 At Capitol , ABC , and beyond   2.20 Film and television   2.21 Social activism   2.22 Later years   2.23 Marriages   2.24 Final appearance     3 Legacy   4 Samples   4.1 Hit singles     5 Discography   6 Lyrics by Laine   7 Filmography   7.1 Acting   7.2 Sang title song   7.3 Included in soundtrack     8 Television   8.1 Guest star appearances     9 Biographies   9.1 Video documentary     10 See also   11 References   12 External links      Style ( edit )   A clarion - voiced singer with lots of style , able to fill halls without a microphone , and one of the biggest hit - makers of late 1940s / early 1950s , Laine had more than 70 charted records , 21 gold records , and worldwide sales of over 100 million records . Originally a rhythm and blues influenced jazz singer , Laine excelled at virtually every music style , eventually expanding to such varied genres as popular standards , gospel , folk , country , western / Americana , rock ' n ' roll , and the occasional novelty number . He was also known as Mr. Rhythm for his driving jazzy style .   Laine was the first and biggest of a new breed of singers who rose to prominence in the post -- World War II era . This new , raw , emotionally charged style seemed at the time to signal the end of the previous era 's singing styles and was , indeed , a harbinger of the rock ' n ' roll music that was to come . As music historian Jonny Whiteside wrote :   In the Hollywood clubs , a new breed of performers laid down a baffling hip array of new sounds ... Most important of all these , though , was Frankie Laine , a big lad with ' steel tonsils ' who belted out torch blues while stomping his size twelve foot in joints like Billy Berg 's , Club Hangover and the Bandbox ... Laine 's intense vocal style owed nothing to Crosby , Sinatra , or Dick Haymes . Instead he drew from Billy Eckstine , Big Joe Turner , Jimmy Rushing , and with it Laine had sown the seeds from which an entire new perception and audience would grow ... Frank Sinatra represented perhaps the highest flowering of a quarter century tradition of crooning but suddenly found himself an anachronism . First Frankie Laine , then Tony Bennett , and now Johnnie ( Ray ) , dubbed ' the Belters ' and ' the Exciters , ' came along with a brash vibrancy and vulgar beat that made the old bandstand routine which Frank meticulously perfected seem almost invalid .   In the words of Jazz critic Richard Grudens :   Frank 's style was very innovative , which was why he had such difficulty with early acceptance . He would bend notes and sing about the chordal context of a note rather than to sing the note directly , and he stressed each rhythmic downbeat , which was different from the smooth balladeer of his time .   His 1946 recording of `` That 's My Desire '' remains a landmark record signaling the end of both the dominance of the big bands and the crooning styles favored by contemporary Dick Haymes and others . Often called the first of the blue - eyed soul singers , Laine 's style cleared the way for many artists who arose in the late 1940s and early 1950s , including Kay Starr , Tony Bennett , and Johnnie Ray .   I think that Frank probably was one of the forerunner of ... blues , of ... rock ' n ' roll . A lot of singers who sing with a passionate demeanor -- Frank was and is definitely that . I always used to love to mimic him with ' That 's ... my ... desire . ' And then later Johnnie Ray came along that made all of those kind of movements , but Frank had already done them . -- Patti Page   Throughout the 1950s , Laine enjoyed a second career singing the title songs over the opening credits of Hollywood films and television shows , including Gunfight at the O.K. Corral , 3 : 10 to Yuma , Bullwhip , and Rawhide . His rendition of the title song for Mel Brooks 's 1974 hit movie Blazing Saddles won an Oscar nomination for Best Song , and on television , Laine 's featured recording of `` Rawhide '' for the series of the same name became a popular theme song .   You ca n't categorize him . He 's one of those singers that 's not in one track . And yet and still I think that his records had more excitement and life into it . And I think that was his big selling point , that he was so full of energy . You know when you hear his records it was dynamite energy . -- Herb Jeffries   Biography ( edit )   Early years ( edit )   Frankie Laine was born Francesco Paolo LoVecchio on March 30 , 1913 , to Giovanni and Cresenzia LoVecchio ( née Salerno ) ( His actual Cook County , Ill , birth Certificate , No. 14436 , was already Americanized at the time of his birth , with his name written as `` Frank Lovecchio , '' his mother as `` Anna Salerno , '' and his father as `` John Lovecchio , '' with the `` V '' lower case in each instance , except in the `` Reported by '' section with `` John Lo Vecchio  '' written in . ) . His parents had emigrated from Monreale , Sicily , to Chicago 's Near West Side , in `` Little Italy , '' where his father worked at one time as the personal barber for gangster Al Capone . Laine 's family appears to have had several organized crime connections , and young Francesco was living with his grandfather when the latter was killed by rival gangsters .   The eldest of eight children , Laine grew up in the Old Town neighborhood ( first at 1446 N. North Park Avenue and later at 331 W. Schiller Street ) and got his first taste of singing as a member of the choir in the Church of the Immaculate Conception 's elementary school across the street from the North Park Avenue home . He later attended Lane Technical High School , where he helped to develop his lung power and breath control by joining the track and field and basketball teams . He realized he wanted to be a singer when he missed time in school to see Al Jolson 's current talking picture , The Singing Fool . Jolson would later visit Laine when both were filming pictures in 1949 , and at about this time , Jolson remarked that Laine was going to put all the other singers out of business .   Even in the 1920s , his vocal abilities were enough to get him noticed by a slightly older `` in crowd '' at his school , who began inviting him to parties and to local dance clubs , including Chicago 's Merry Garden Ballroom . At 17 , he sang before a crowd of 5,000 at The Merry Garden Ballroom to such applause that he ended up performing five encores on his first night . Laine was giving dance lessons for a charity ball at the Merry Garden when he was called to the bandstand to sing :   Soon I found myself on the main bandstand before this enormous crowd , Laine recalled . I was really nervous , but I started singing ' Beside an Open Fireplace , ' a popular song of the day . It was a sentimental tune and the lyrics choked me up . When I got done , the tears were streaming down my cheeks and the ballroom became quiet . I was very nearsighted and could n't see the audience . I thought that the people did n't like me .   Some of his other early influences during this period included Enrico Caruso , Carlo Buti , and especially Bessie Smith -- a record of whose somehow wound up in his parents ' collection :   I can still close my eyes and visualize its blue and purple label . It was a Bessie Smith recording of ' The Bleeding Hearted Blues , ' with ' Midnight Blues ' on the other side . The first time I laid the needle down on that record I felt cold chills and an indescribable excitement . It was my first exposure to jazz and the blues , although I had no idea at the time what to call those magical sounds . I just knew I had to hear more of them ! -- Frankie Laine   Another singer who influenced him at this time was falsetto crooner , Gene Austin . Laine worked after school at a drugstore that was situated across the street from a record store that continually played hit records by Gene Austin over their loudspeakers . He would swab down the windows in time to Austin 's songs . Many years later , Laine related the story to Austin when both were guests on the popular television variety show Shower of Stars . He would also co-star in a film , Rainbow ' Round My Shoulder , with Austin 's daughter , Charlotte .   Shortly after graduating high school , Laine signed on as a member of The Merry Garden 's marathon dance company and toured with them , working dance marathons during the Great Depression ( setting the world record of 3,501 hours with partner Ruthie Smith at Atlantic City 's Million Dollar Pier in 1932 ) . Still billed as Frank LoVecchio , he would entertain the spectators during the fifteen - minute breaks the dancers were given each hour . During his marathon days , he worked with several up - and - coming entertainers , including Rose Marie , Red Skelton , and a 14 - year - old Anita O'Day , for whom he served as a mentor ( as noted by Laine in a 1998 interview by David Miller ) .   Other artists whose styles began to influence Laine at this time were Bing Crosby , Louis Armstrong ( as a trumpet player ) , Billie Holiday , Mildred Bailey , and , later , Nat `` King '' Cole . Laine befriended Cole in Los Angeles , when the latter 's career was just beginning to gain momentum . Cole recorded a song , `` It Only Happens Once '' , that fledgling songwriter Laine had composed . They remained close friends throughout the remainder of Cole 's life , and Laine was one of the pall bearers at Cole 's funeral .   His next big break came when he replaced Perry Como in the Freddy Carlone band in Cleveland in 1937 ; Como made a call to Carlone about Laine . Como was another lifelong friend of Laine 's , who once lent Laine the money to travel to a possible gig . Laine 's rhythmic style was ill - suited to the sweet sounds of the Carlone band , and the two soon parted company . Success continued to elude Laine , and he spent the next 10 years `` scuffling '' ; alternating between singing at small jazz clubs on both coasts and a series of jobs , including those of a bouncer , dance instructor , used car salesman , agent , synthetic leather factory worker , and machinist at a defense plant . It was while working at the defense plant during the Second World War that he first began writing songs ( `` It Only Happens Once '' was written at the plant ) . Often homeless during his `` scuffling '' phases , he hit the lowest point of his career , when he was sleeping on a bench in Central Park .   I would sneak into hotel rooms and sleep on the floor . In fact , I was bodily thrown out of 11 different New York hotels . I stayed in YMCAs and with anyone who would let me flop . Eventually I was down to my last four cents , and my bed became a roughened wooden bench in Central Park . I used my four pennies to buy four tiny Baby Ruth candy bars and rationed myself to one a day . -- Frankie Laine   He changed his professional name to Frankie Laine in 1938 , upon receiving a job singing for the New York City radio station WINS . The program director , Jack Coombs , thought that `` LoVecchio '' was `` too foreign sounding , and too much of a mouthful for the studio announcers , '' so he Americanized it to `` Lane . '' Frankie added the `` i '' to avoid confusion with a girl singer at the station who went by the name of Frances Lane . It was at this time that Laine got unknown songbird Helen O'Connell her job with the Jimmy Dorsey band . WINS , deciding that they no longer needed a jazz singer , dropped him . With the help of bandleader Jean Goldkette , he got a job with a sustainer ( nonsponsored ) radio show at NBC . As he was about to start , Germany attacked Poland and all sustainer broadcasts were pulled off the air in deference to the needs of the military .   Laine next found employment in a munitions plant , at a salary of $150.00 a week . He quit singing for what was perhaps the fifth or sixth time of his already long career . While working at the plant , he met a trio of girl singers , and became engaged to the lead singer . The group had been noticed by Johnny Mercer 's Capitol Records , and convinced Laine to head out to Hollywood with them as their agent .   In 1943 , he moved to California where he sang in the background of several films , including The Harvey Girls , and dubbed the singing voice for an actor in the Danny Kaye comedy The Kid from Brooklyn . It was in Los Angeles in 1944 that he met and befriended disc jockey Al Jarvis and composer / pianist Carl T. Fischer , the latter of whom was to be his songwriting partner , musical director , and piano accompanist until his death in 1954 . Their songwriting collaborations included `` I 'd Give My Life , '' `` Baby , Just For Me , '' `` What Could Be Sweeter ? , '' `` Forever More , '' and the jazz standard `` We 'll Be Together Again . ''   The engagement fell through , with the songstresses breaking up with the loyal singer - manager when success for them seemed just around the corner . When Jarvis discovered how the girl group had mistreated Laine , he pulled their records from his show , in effect breaking their career .   When the war ended , Laine soon found himself `` scuffling '' again , and was eventually given a place to stay by Jarvis . Jarvis also did his best to help promote the struggling singer 's career , and Laine soon had a small , regional following . In the meantime , Laine would make the rounds of the bigger jazz clubs , hoping that the featured band would call him up to perform a number with them . In late 1946 , Hoagy Carmichael heard him singing at Billy Berg 's club in Los Angeles , and this was when success finally arrived . Not knowing that Carmichael was in the audience , Laine sang the Carmichael - penned standard `` Rockin ' Chair '' when Slim Gaillard called him up to the stage to sing . This eventually led to a contract with the newly established Mercury records . Laine and Carmichael would later collaborate on a song , `` Put Yourself in My Place , Baby '' .   At Beltone and Atlas ( edit )   Laine cut his first record in 1944 , for a fledgling company called `` Beltone Records . '' The sides were called `` In the Wee Small Hours of the Morning '' , ( an uptempo number not to be confused with the Frank Sinatra recording of the same name ) and a wartime propaganda tune entitled `` Brother , That 's Liberty '' , though the records failed to make much of an impression . The label soon folded , and Laine was picked up by Atlas Records , a `` race label '' that initially hired him to imitate his friend Nat `` King '' Cole . Cole would occasionally `` moonlight '' for other labels , under pseudonyms , while under contract to `` Capitol '' , and as he had previously recorded some sides for Atlas , they reasoned that fans would assume that `` Frankie Laine '' was yet another pseudonym for `` Cole . ''   Laine cut his first two numbers for Atlas in the King mode , backed by R&amp;B artist Johnny Moore 's group , The Three Blazers which featured Charles Brown and Cole 's guitarist ( from `` The King Cole Trio '' ) , Oscar Moore . The ruse worked and the record sold moderately well , although limited to the `` race '' market . Laine cut the remainder of his songs for Atlas in his own style , including standards such as `` Roses of Picardy '' and `` Moonlight in Vermont '' .   It was also at this time that he recorded a single for Mercury Records : `` Pickle in the Middle with the Mustard on Top '' and `` I May Be Wrong ( But I Think You 're Wonderful ) . '' He appears only as a character actor on the first side , which features the comedic singing of Artie Auerbach ( a.k.a. , `` Mr. Kitzel '' ) who was a featured player on the Jack Benny radio show . In it , Laine plays a peanut vendor at a ball game and can be heard shouting out lines like `` It 's a munchy , crunchy bag of lunchy ! '' The flip side features Laine , and is a jazzy version of an old standard done as a rhythm number . It was played by Laine 's friend , disc jockey Al Jarvis , and gained the singer a small West Coast following .   `` That 's My Desire '' ( edit )   Even after his discovery by Carmichael , Laine still was considered only an intermission act at Billy Berg 's . His next big break came when he dusted off a fifteen - year - old song that few people remembered in 1946 , `` That 's My Desire '' . Laine had picked up the song from songstress June Hart a half a dozen years earlier , when he sang at the College Inn in Cleveland . He introduced `` Desire '' as a `` new '' song -- meaning new to his repertoire at Berg 's -- but the audience mistook it for a new song that had just been written . He ended up singing it five times that night . After that , Laine quickly became the star attraction at Berg 's , and record company executives took note .   Laine soon had patrons lining up to hear him sing `` Desire '' ; among them was R&amp;B artist Hadda Brooks , known for her boogie woogie piano playing . She listened to him every night , and eventually cut her own version of the song , which became a hit on the `` harlem '' charts . `` I liked the way he did it '' Brooks recalled ; `` he sings with soul , he sings the way he feels . ''   He was soon recording for the fledgling Mercury label , and `` That 's My Desire '' was one of the songs cut in his first recording session there . It quickly took the No. 3 spot on the R&amp;B charts , and listeners initially thought Laine was black . It also made it to the No. 4 spot on the Mainstream charts . Although it was quickly covered by many other artists , including Sammy Kaye who took it to the No. 2 spot , it was Laine 's version that became the standard .   `` Desire '' became Laine 's first Gold Record , and established him as a force in the music world . He had been over $7,000 in debt , on the day before he recorded this song . '' His first paycheck for royalties was over five times this amount . Laine paid off all of his debts except one -- fellow singer Perry Como refused to let Laine pay him back , and would kid him about the money owed for years to come . The loan to Laine during the time when both men were still struggling singers was one of the few secrets Como kept from his wife , Roselle , who learned of it many years later . A series of hit singles quickly followed , including `` Black and Blue '' , `` Mam'selle '' , `` Two Loves Have I '' , `` Shine '' , `` On the Sunny Side of the Street '' , `` Monday Again '' , and many others .   At Mercury ( edit )   Laine was a jazz singer in the late 1940s . Accompanied by Carl Fischer and some of the best jazz men in the business , he was singing standards like `` By the River Sainte Marie '' , `` Black and Blue '' , `` Rockin ' Chair '' , `` West End Blues '' , `` At the End of the Road '' , `` Ai n't That Just Like a Woman '' , `` That Ai n't Right '' , `` Exactly Like You '' , `` Shine '' and `` Sleepy Ol ' River '' on the Mercury label .   He enjoyed his greatest success after impresario Mitch Miller , who became the A&amp;R man at Mercury in 1948 , recognized a universal quality in his voice that led to a succession of chart - topping popular songs , often with a folk or western flavor . Laine and Miller became a formidable hit - making team whose first collaboration , `` That Lucky Old Sun '' , became the number one song in the country three weeks after its release . It was also Laine 's fifth Gold record . `` That Lucky Old Sun '' was something new to the musical scene in 1949 : a folk spiritual which , as interpreted by Laine , became both an affirmation of faith and a working man 's wish to bring his earthly sufferings to an end .   The song was knocked down to the number two position by Laine and Miller 's second collaboration , `` Mule Train '' , which proved an even bigger hit , making Laine the first artist to hold the Number One and Two positions simultaneously . `` Mule Train '' , with its whip cracks and echo , has been cited as the first song to use an `` aural texture '' that `` set the pattern for virtually the entire first decade of rock . ''   `` Mule Train '' represents a second direction in which Laine 's music would be simultaneously heading under the guidance of Mitch Miller : as the voice of the great outdoors and the American West . `` Mule Train '' is a slice of life in the mid-19th century West in which the contents of the packages being delivered by the mule train provide a snapshot into frontier life : `` There 's some cotton , thread and needles for the folks a-way up yonder / A shovel for a miner who left his home to wander / Some rheumatism pills for the settlers in the hills . ''   The collaboration producing a run of top forty hits that lasted into the early years of the rock and roll era . Other hits included `` Dream a Little Dream of Me '' , `` Stars and Stripes Forever '' , `` The Cry of the Wild Goose '' , `` Swamp Girl '' , `` Satan Wears a Satin Gown '' , and `` Music , Maestro Please '' .   `` Shine '' , written in 1910 by Cecil Mack ( R.C. McPherson ) , a ground - breaking African - American songwriter and publisher , was believed to be based on a real - life friend of vaudevillian George Walker , who was with him during the New York City race riots of 1900 . The song takes what was then an ethnic slur , `` shine '' , and turns it into what is essentially a badge of honor . It had been a hit for Laine 's idol Louis Armstrong , who would cover several of Laine 's hits as well .   `` Satan Wears a Satin Gown '' is the prototype of another recurring motif in Laine 's oeuvre , the `` Lorelei '' or `` Jezebel '' song ( both of which would be the titles of later Laine records ) . The song , which has a loosely structured melody that switches in tone and rhythm throughout , was pitched to Laine by a young song plugger , Tony Benedetto , who would later go on to achieve success as Tony Bennett . Laine recognized the younger singer 's talent , and gave him encouragement .  Laine and Patti Page , circa 1950s .  `` Swamp Girl '' is another entry with the `` Lorelei '' / `` Jezebel '' motif in the Laine songbook . In this decidedly gothic tale of a ghostly female spirit who inhabits a metaphorical `` swamp '' , the femme fatale attempts to lure the singer to his death , calling `` Come to the deep where your sleep is without a dream . '' The swamp girl is voiced ( in an obligato ) by coloratura Loolie Jean Norman , who would later go on to provide a similar vocal for the theme song of the television series Star Trek . The coloratura contrasts well with Laine 's rough , masculine voice , and disembodied female voices would continue to appear in the background of many of his records , to great effect .   `` Cry of the Wild Goose '' would be Laine 's last number one hit on the American charts . It was written by folksinger Terry Gilkyson , of The Easy Riders fame . Gilkyson would write many more songs for Laine over the next decade , and he and The Easy Riders would back him on the hit single , `` Love Is a Golden Ring '' . `` Cry of the Wild Goose '' falls into the `` voice of the great outdoors '' category of Laine songs , with the opening line of its chorus , `` My heart knows what the wild goose knows '' , becoming a part of the American lexicon .   Laine 's influence on today 's music can be clearly evidenced in his rendition of the Hoagy Carmichael standard , `` Georgia on My Mind . '' Laine 's slow , soulful version was a model for the iconic remake by Ray Charles a decade later . Charles would follow up `` Georgia '' with remakes of other Frankie Laine hits , including `` Your Cheatin ' Heart '' , and `` That Lucky Old Sun . '' ( Elvis Presley also remade several of Laine 's hits , and his early influence on The Beatles has been well documented . )   In an interview , Mitch Miller described the basis of Laine 's appeal :   He was my kind of guy . He was very dramatic in his singing ... and you must remember that in those days there were no videos so you had to depend on the image that the record made in the listener 's ears . And that 's why many fine artists were not good record sellers . For instance , Lena Horne . Fabulous artist but she never sold many records till that last album of hers . But she would always sell out the house no matter where she was . And there were others who sold a lot of records but could n't get to first base in personal appearances , but Frankie had it both . -- Mitch Miller   But the biggest label of all was Columbia Records , and in 1950 Mitch Miller left Mercury to embark upon his phenomenally successful career as the A&amp;R man there . Laine 's contract at Mercury would be up for renewal the following year , and Miller soon brought Laine to Columbia as well . Laine 's contract with Columbia was the most lucrative in the industry until RCA bought Elvis Presley 's contract five years later .   At Columbia ( edit )   Laine began recording for Columbia Records in 1951 , where he immediately scored a double - sided hit with the single `` Jezebel '' ( # 2 ) / `` Rose , Rose , I Love You '' ( # 3 ) . Other Laine hits from this period include `` High Noon ( Do Not Forsake Me ) '' ( # 5 ) , `` Jealousy ( Jalousie ) '' ( # 3 ) , `` The Girl in the Wood '' ( # 23 ) , `` When You 're in Love '' ( # 30 ) , `` Way Down Yonder in New Orleans '' ( with Jo Stafford ) ( # 26 ) , `` Your Cheatin ' Heart '' ( # 18 ) , `` Granada '' ( # 17 ) , `` Hey Joe ! '' ( # 6 ) , `` The Kid 's Last Fight '' ( # 20 ) , `` Cool Water '' , `` Some Day '' ( # 14 ) , `` A Woman in Love '' ( # 19 ) , `` Love Is a Golden Ring '' ( with The Easy Riders ) ( # 10 ) , and `` Moonlight Gambler '' ( # 3 ) .   One of the signature songs of the early 1950s , `` Jezebel '' takes the `` Lorelei '' motif to its end , with Laine shouting `` Jezebel ! '' at the woman who has destroyed him . In Laine 's words , the song uses `` flamenco rhythms to whip up an atmosphere of sexual frustration and hatred while a guy berated the woman who 'd done him wrong . ''   `` High Noon '' was the theme song from the western motion picture starring Gary Cooper and Grace Kelly . It had been sung by cowboy star Tex Ritter in the film , but it was Laine 's recording that became the big hit . From this point on , Laine would sing the theme songs over the opening credits of many Hollywood and television westerns , becoming so identified with these title songs that Mel Brooks would hire him to sing the theme song for his classic cult film western spoof Blazing Saddles .   At this time , Laine had become more popular in the United Kingdom than in the USA , as many of his hit records in the UK were only minor hits in his native country . Songs like `` The Gandy Dancer 's Ball '' , `` The Rock of Gibraltar '' , and `` Answer Me , O Lord '' were much bigger hits for him abroad . `` Answer Me '' would later provide the inspiration for Paul McCartney 's composition `` Yesterday '' . It was also there that he broke attendance records when appearing at the Palladium , and where he launched his first successful television series ( with songstress Connie Haines ) .   Mitch Miller teamed Laine with many of Mercury and Columbia 's biggest artists . He scored hits with Patti Page ( `` I Love You for That '' ) at Mercury , Doris Day ( `` Sugarbush '' ) , Jo Stafford ( `` Hey Good Lookin ' '' , `` Gambella ( The Gambling Lady ) '' , `` Hambone '' , `` Floatin ' Down to Cotton Town '' , `` Settin ' the Woods on Fire '' , and many others ) , Jimmy Boyd ( `` Tell Me a Story '' , `` The Little Boy and the Old Man '' ) , the Four Lads ( `` Rain , Rain , Rain '' ) and Johnnie Ray ( `` Up Above My Head ( I Hear Music in the Air ) '' ) .   Laine scored a total of 39 hit records on the charts while at Columbia , and it is many of his songs from this period that are most readily associated with him . His Greatest Hits album , released in 1957 , has been a perennial best seller that has never gone out of print . His songs at Columbia included everything from pop and jazz standards , novelties , gospel , spirituals , R&amp;B numbers , country , western , folk , rock ' n ' roll , calypso , foreign language , children 's music , film and television themes , tangos , light operetta . His vocal style could range anywhere from shouting out lines to rhythm numbers to romantic ballads .   Both in collaboration with Jo Stafford and as a solo artist , Laine was one of the earliest , and most frequent , Columbia artists to bring country numbers into the mainstream . Late in his career , Laine would go on to record two straight country albums ( `` A Country Laine '' and `` The Nashville Connection '' ) that would fully demonstrate his ability to inflect multiple levels of emotional nuances into a line or word . Many of his pop - country hits from the early 1950s featured the steel guitar playing of Speedy West ( who played a custom built , 3 - neck , 4 - pedal model ) .   His duets with Doris Day were folk - pop adaptations of traditional South African folk songs , translated by folk singer Josef Marais . Marais would also provide Laine and Jo Stafford with a similar translation of a song which Stafford seems to have particularly disliked called `` Chow Willy '' . Although `` Sugarbush '' brought Laine &amp; Day a gold record , they would never team up again .   In 1953 he set two more records ( this time on the UK charts ) : weeks at No 1 for a song ( `` I Believe '' , which held the number one spot for 18 weeks ) , and weeks at No 1 for an artist in a single year ( 27 weeks </t>
  </si>
  <si>
    <t xml:space="preserve">who sang the theme song for the tv show rawhide</t>
  </si>
  <si>
    <t xml:space="preserve"> Throughout the 1950s , Laine enjoyed a second career singing the title songs over the opening credits of Hollywood films and television shows , including Gunfight at the O.K. Corral , 3 : 10 to Yuma , Bullwhip , and Rawhide . His rendition of the title song for Mel Brooks 's 1974 hit movie Blazing Saddles won an Oscar nomination for Best Song , and on television , Laine 's featured recording of `` Rawhide '' for the series of the same name became a popular theme song . </t>
  </si>
  <si>
    <r>
      <rPr>
        <sz val="11"/>
        <color rgb="FF000000"/>
        <rFont val="Calibri"/>
        <family val="0"/>
        <charset val="1"/>
      </rPr>
      <t xml:space="preserve">Moana ( Soundtrack ) - wikipedia  Moana ( Soundtrack )  Jump to : navigation , search    Moana : Original Motion Picture Soundtrack         Soundtrack album by various artists     Released   November 19 , 2016 ( 2016 - 11 - 19 )     Recorded   2016     Studio    Eastwood Scoring Stage , Warner Bros. , Los Angeles ( score )  Elbo Studios , Avatar Studios , The Hit Factory , NRG Recording Studios , Red Horse Studios , University of the South Pacific     Genre     Film score   pop   world       Length   1 : 09 : 40     Language   English , Tokelauan , Tuvaluan , Samoan     Label   Walt Disney     Producer     Mark Mancina   Lin - Manuel Miranda   Opetaia Foa'i   Tom MacDougall       Mark Mancina chronology        Planes : Fire &amp; Rescue ( 2014 )   Moana : Original Motion Picture Soundtrack ( 2016 )              Singles from Moana : Original Motion Picture Soundtrack       `` How Far I 'll Go ( Alessia Cara version ) '' Released : November 3 , 2016   `` You 're Welcome ( Dwayne Johnson version ) '' Released : December 7 , 2016           Moana : Original Motion Picture Soundtrack , is the soundtrack to the 2016 Disney animated film Moana . The soundtrack was released by Walt Disney Records on November 19 , 2016 . It features songs written by Lin - Manuel Miranda , Mark Mancina and Opetaia Foa'i , with lyrics in English , Samoan , Tokelauan , and Tuvalu . The two - disc deluxe edition includes the score , which was composed by Mancina , as well as demos , outtakes and instrumental karaoke tracks .   The album debuted on the Billboard 200 chart at number 16 and peaked at number 2 , kept off the top spot by The Weeknd 's Starboy . `` How Far I 'll Go '' was nominated for the Golden Globe Award for Best Original Song and the Academy Award for Best Original Song .     Contents  ( hide )   1 Recording   2 Commercial performance   3 Accolades   4 Track listing   5 Charts   5.1 Weekly charts   5.2 Year - end charts   5.3 Tracks     6 Certifications   7 Notes   8 References      Recording ( edit )   For the soundtrack , Disney wanted to combine traditional South Pacific culture with pop and Broadway sensibilities , which led to the hiring of Broadway playwright , songwriter and composer Lin - Manuel Miranda , composer Mark Mancina and Tokelauan singer - songwriter Opetaia Foa'i . The first song they completed was `` We Know the Way '' , which Foa'i began after his first meeting with Disney in December 2013 . The trio worked together in New Zealand and in Los Angeles . At the same time , Miranda was also developing and starring in the Broadway musical Hamilton , which meant he was able to recruit Hamilton stars Phillipa Soo , Christopher Jackson , and Renée Elise Goldsberry as well as In The Heights star Marcy Harriell to help him record demos of his songs .   The songs feature Foa'i's New Zealand - based vocal group Te Vaka , as well as a choir from Fiji . The soundtrack contains seven original songs , two reprises , and two end - credits versions of songs from the film . Mancina composed the score and produced both the score and the songs . In addition to guitars and strings , the score features Polynesian vocals and percussion , woodwinds made from bamboo from the South Pacific , and traditional hide - covered Tyka drums .   According to Miranda , `` Shiny '' was inspired by the Flight of the Conchords ' tribute to David Bowie at the Aspen Comedy Festival in 2004 , as well as listening to Bowie 's songs on a loop shortly after the singer 's death in January 2016 .   Commercial performance ( edit )   `` How Far I 'll Go '' appears during the film performed by actress Auli'i Cravalho , and during the end credits performed by Canadian singer - songwriter Alessia Cara . A music video for Cara 's version of the song was released on November 3 , 2016 . It reached number 88 on the Billboard Hot 100 for the week of December 17 , 2016 . South African singer Lira and Filipino singer Janella Salvador recorded two English - language versions of `` How Far I 'll Go '' that will play over the end credits on the South African and Filipino release of the film , while Indonesian singer Maudy Ayunda and Malaysian singer Ayda Jebat recorded their own versions of the song respectively in Indonesian and Malaysian language .   Lin - Manuel Miranda and Jordan Fisher sing a duet on `` You 're Welcome '' , which plays over the end credits . The song as performed by Dwayne Johnson appears in the film . Johnson 's version of `` You 're Welcome '' peaked at number 83 on the Billboard Hot 100 for the week of December 17 , 2016 . The soundtrack also features Jemaine Clement , who voices the coconut crab Tamatoa .   The album sold 509,000 copies in the United States by April 2017 , making it the third soundtrack to surpass a half - million in sales that year after Suicide Squad and Trolls . Moana sold 709,000 copies and earned 1,254,000 album - equivalents , finishing as the country 's fifth best - selling album of the year and had its ninth largest overall album consumption .   Accolades ( edit )   At the 74th Golden Globe Awards , `` How Far I 'll Go '' was nominated for Best Original Song . It also received a nomination for Best Original Song at the 89th Academy Awards .   Track listing ( edit )     ( show ) Disc one     No .   Title   Lyrics   Music   Performer ( s )   Length     1 .   `` Tulou Tagaloa ''   Opetaia Foa'i   Opetaia Foa'i   Olivia Foa'i and Opetaia Foa'i   0 : 51     2 .   `` An Innocent Warrior ''   Opetaia Foa'i   Opetaia Foa'i   Vai Mahina , Sulata Foai - Amiatu &amp; Matthew Ineleo   1 : 37     3 .   `` Where You Are ''   Lin - Manuel Miranda   Opetaia Foa'i , Miranda , Mark Mancina   Christopher Jackson , Rachel House , Nicole Scherzinger , Auli'i Cravalho &amp; Louise Bush   3 : 30     4 .   `` How Far I 'll Go ''   Miranda   Miranda   Auli'i Cravalho   2 : 43     5 .   `` We Know the Way ''   Opetaia Foa'i , Miranda   Opetaia Foa'i   Opetaia Foa'i &amp; Miranda   2 : 21     6 .   `` How Far I 'll Go ( Reprise ) ''   Miranda   Miranda , Mancina   Auli'i Cravalho   1 : 27     7 .   `` You 're Welcome ''   Miranda   Miranda   Dwayne `` The Rock '' Johnson   2 : 43     8 .   `` Shiny ''   Miranda   Miranda , Mancina   Jemaine Clement   3 : 05     9 .   `` Logo Te Pate ''   Opetaia Foa'i   Opetaia Foa'i   O. Foa'i , Op . Foa'i &amp; Talaga Steve Sale   2 : 10     10 .   `` I Am Moana ( Song of the Ancestors ) ''   Opetaia Foa'i , Miranda   Opetaia Foa'i , Miranda , Mancina   House &amp; Cravalho   2 : 42     11 .   `` Know Who You Are ''   Opetaia Foa'i , Miranda   Opetaia Foa'i , Miranda , Mancina   Cravalho , Mahina , O. Foa'i , Op . Foa'i &amp; Ineleo   1 : 12     12 .   `` We Know the Way ( Finale ) ''   Opetaia Foa'i , Miranda   Opetaia Foa'i   Miranda &amp; Op . Foa'i   1 : 09     13 .   `` How Far I 'll Go '' ( Alessia Cara version )   Miranda   Miranda   Alessia Cara   2 : 55     14 .   `` You 're Welcome '' ( featuring Lin - Manuel Miranda )   Miranda   Miranda   Jordan Fisher ( produced by Illmind )   2 : 17     15 .   `` Prologue ''     Mancina   Mancina and Op . Foa'i   2 : 25     16 .   `` He Was You ''     Mancina   Mancina and O. Foa'i   0 : 50     17 .   `` Village Crazy Lady ''     Mancina   Mancina   0 : 45     18 .   `` Cavern ''     Mancina   Mancina , Op . Foa'i , and Pasifika Voices Choir   2 : 05     19 .   `` The Ocean Chose You ''     Mancina   Mancina , Op . Foa'i , and P.V Choir   1 : 17     20 .   `` The Hook ''     Mancina   Mancina   1 : 09     21 .   `` Tala 's Deathbed ''     Mancina   Mancina and P.V Choir   2 : 00     22 .   `` Battle of Wills ''     Mancina   Mancina   3 : 10     23 .   `` Kakamora ''     Mancina   Mancina   4 : 33     24 .   `` It 's Called Wayfinding ''     Mancina   Mancina   1 : 52     25 .   `` Climbing ''     Mancina   Mancina   0 : 54     26 .   `` Tamatoa 's Lair ''     Mancina , Op . Foa'i , and Christophe Beck   Mancina   2 : 45     27 .   `` Great Escape ''     Mancina and Op . Foa'i   Mancina   0 : 59     28 .   `` If I Were the Ocean ''     Mancina   Mancina   3 : 01     29 .   `` Te Ka Attacks ''     Mancina and Op . Foa'i   Mancina and Op . Foa'i   1 : 41     30 .   `` Maui Leaves ''     Mancina   Mancina and P.V. Choir   2 : 05     31 .   `` Heartache ''     Mancina   Mancina   0 : 39     32 .   `` Tala Returns ''     Mancina   Mancina   1 : 01     33 .   `` Sails to Te Fiti ''     Mancina and Op . Foa'i   Mancina and Op . Foa'i   5 : 46     34 .   `` Shiny Heart ''     Mancina   Mancina   0 : 36     35 .   `` Te Fiti Restored ''     Mancina   Mancina and Op . Foa'i   1 : 03     36 .   `` Hand of a God ''     Mancina   Mancina   0 : 30     37 .   `` Voyager Tagaloa ''     Mancina and Op . Foa'i   Mancina , Op . Foa'i , and O. Foa'i   0 : 57     38 .   `` Toe Feiloa'i ''     Mancina   Mancina and P.V. Choir   1 : 25     39 .   `` Navigating Home ''     Mancina   Mancina   0 : 47     40 .   `` The Return to Voyaging ''     Mancina and Op . Foa'i   Mancina , Op . Foa'i , and P.V. Choir   1 : 01     Total length :   1 : 15 : 48       ( show ) Disc two     No .   Title   Music   Performer ( s )   Length     1 .   `` Unstoppable '' ( outtake )   Lin - Manuel Miranda , Opetaia Foa'i , Mark Mancina   Miranda   3 : 59     2 .   `` More '' ( outtake )   Miranda , Foa'i , Mancina   Marcy Harriell   3 : 16     3 .   `` More ( Reprise ) '' ( outtake )   Miranda , Foa'i , Mancina   Harriell   2 : 38     4 .   `` Warrior Face '' ( outtake )   Miranda , Foa'i , Mancina   Miranda   2 : 16     5 .   `` Where You Are '' ( demo )   Miranda , Foa'i , Mancina   Miranda   3 : 01     6 .   `` You 're Welcome '' ( demo )   Miranda , Foa'i , Mancina   Miranda   2 : 37     7 .   `` Shiny '' ( demo )   Miranda , Foa'i , Mancina   Miranda   3 : 04     8 .   `` Prologue '' ( score demo )   Mancina   Mancina   2 : 26     9 .   `` Village Crazy Lady '' ( score demo )   Mancina   Mancina   0 : 45     10 .   `` Cavern '' ( score demo )   Mancina   Mancina   2 : 05     11 .   `` Kakamora ( Ocean Creatures ) '' ( score demo )   Mancina   Mancina   3 : 58     12 .   `` It 's Called Wayfinding '' ( score demo )   Mancina   Mancina   0 : 53     13 .   `` Maui Leaves '' ( score demo )   Mancina   Mancina   2 : 04     14 .   `` Sails to Te Fiti '' ( score demo )   Mancina   Mancina and Op . Foa'i   1 : 37     15 .   `` Maui Battles '' ( score demo )   Mancina   Mancina   1 : 57     16 .   `` Sea Monsters '' ( score demo )   Mancina   Mancina   0 : 45     17 .   `` Tala Returns '' ( score demo )   Mancina   Mancina   1 : 15     18 .   `` How Far I 'll Go '' ( instrumental )   Miranda , Foa'i , Mancina     2 : 44     19 .   `` You 're Welcome '' ( instrumental )   Miranda , Foa'i , Mancina     2 : 44     Total length :   44 : 04     Charts ( edit )      Weekly charts ( edit )     Chart ( 2016 -- 17 )   Peak position     Australian Albums ( ARIA )       Austrian Albums ( Ö3 Austria ) Vaiana   8     Belgian Albums ( Ultratop Flanders ) Vaiana   49     Belgian Albums ( Ultratop Wallonia ) Vaiana   48     Canadian Albums ( Billboard )       Danish Albums ( Hitlisten ) Vaiana   12     Dutch Albums ( MegaCharts ) Vaiana   50     French Albums ( SNEP ) Vaiana   20     German Albums ( Offizielle Top 100 ) Vaiana   11     Irish Albums ( IRMA )   9     Italian Compilation Albums ( FIMI ) Oceania       New Zealand Albums ( RMNZ )       Norwegian Albums ( VG - lista ) Vaiana   5     Polish Albums ( ZPAV ) Vaiana   39     Scottish Albums ( OCC )   5     Spanish Albums ( PROMUSICAE ) Vaiana   61     Swiss Albums ( Schweizer Hitparade ) Vaiana   18     Taiwanese Albums ( Five Music )   12     UK Albums ( OCC )   7     UK Soundtrack Albums ( OCC )       US Billboard 200       US Soundtrack Albums ( Billboard )         Year - end charts ( edit )     Chart ( 2017 )   Position     Australian Albums ( ARIA )   5     Austrian Albums ( Ö3 Austria ) Vaiana   33     Canadian Albums ( Billboard )   10     Danish Albums ( Hitlisten ) Vaiana   37     Dutch Albums ( MegaCharts ) Vaiana   79     German Albums ( Offizielle Top 100 ) Vaiana   78     New Zealand Albums ( RMNZ )       Swiss Albums ( Schweizer Hitparade ) Vaiana   96     UK Albums ( OCC )   12     US Billboard 200   6        Tracks ( edit )     Track title   Performer ( s )   Peak positions     US   AUS   CAN   NZ   UK     `` How Far I 'll Go ''   Auli'i Cravalho   41   49   58   --   55     `` How Far I 'll Go ''   Alessia Cara   56   15   46     49     `` You 're Welcome ''   Dwayne Johnson   65   77   85   --   --     `` We Know the Way ''   Opetaia Foa'i &amp; Lin - Manuel Miranda   93   --   --   --   --     `` Shiny ''   Jemaine Clement   --   --   --   --   --     `` Where You Are ''   Christopher Jackson , Rachel House , Nicole Scherzinger , Auli'i Cravalho &amp; Louise Bush   --   --   --   --   --     `` I Am Moana ( Song of the Ancestors ) ''   Rachel House &amp; Auli'i Cravalho   --   --   --   --   --     `` -- '' denotes a recording that did not chart .     Certifications ( edit )     Region   Certification   Certified units / Sales     Australia ( ARIA )   Gold   35,000     Canada ( Music Canada )   Platinum   80,000     France ( SNEP )   Gold   50,000     Germany ( BVMI )   Gold   100,000     Mexico ( AMPROFON )   Gold   30,000     New Zealand ( RMNZ )   Gold   7,500     Poland ( ZPAV )   Gold   10,000     United Kingdom ( BPI )   Gold   100,000     United States ( RIAA )   2 × Platinum   2,000,000      sales figures based on certification alone shipments figures based on certification alone sales + streaming figures based on certification alone      Notes ( edit )    Jump up ^ `` How Far I 'll Go '' did not enter the NZ Top 40 Singles Chart , but peaked at number one on the NZ Heatseekers Singles Chart .   Jump up ^ `` You 're Welcome '' did not enter the NZ Top 40 Singles Chart , but peaked at number three on the NZ Heatseekers Singles Chart .   Jump up ^ `` We Know the Way '' did not enter the NZ Top 40 Singles Chart , but peaked at number two on the NZ Heatseekers Singles Chart .   Jump up ^ `` Shiny '' did not enter the Billboard Hot 100 , but peaked at number six on the Bubbling Under Hot 100 Singles chart .   Jump up ^ `` Shiny '' did not enter the NZ Top 40 Singles Chart , but peaked at number five on the NZ Heatseekers Singles Chart .   Jump up ^ `` Where You Are '' did not enter the NZ Top 40 Singles Chart , but peaked at number six on the NZ Heatseekers Singles Chart .   Jump up ^ `` I Am Moana ( Song of the Ancestors ) '' did not enter the NZ Top 40 Singles Chart , but peaked at number eight on the NZ Heatseekers Singles Chart .    References ( edit )    Jump up ^ Hugh McIntyre , `` The ' Moana ' Soundtrack Blasts Into The Top 10 While The Weeknd Is On Top '' , Forbes , December 4 , 2016 .   ^ Jump up to : Caulfield , Keith ( January 9 , 2017 ) . `` The Weeknd Returns to No. 1 on Billboard 200 , ' Moana ' Soundtrack Zooms to No. 2 '' . Billboard . Retrieved January 10 , 2017 .   ^ Jump up to : `` Golden Globe Nominations : Complete List '' , Variety , December 12 , 2016 .   ^ Jump up to : `` 2016 Academy Awards Nominee Ballot '' ( PDF ) . January 24 , 2017 . Retrieved January 24 , 2017 .   ^ Jump up to : Melinda Newman , `` Lin - Manuel Miranda , Mark Mancina &amp; Opetaia Foa'i on Creating Disney 's ' Moana ' Music as ' Hamilton ' Exploded '' , Billboard , November 23 , 2016 .   ^ Jump up to : Tim Greiving , `` In ' Moana , ' New Voices Both Uphold And Challenge The Disney Tradition '' , NPR , November 20 , 2016 .   Jump up ^ Quinn , Dave ( February 24 , 2017 ) . `` How Lin - Manuel Miranda 's Oscar - Nominated Moana Track Evolved into Disney 's Most Unique Ballad '' . People . New York : Time Inc . Retrieved February 27 , 2017 .   Jump up ^ `` Disney 's Moana Soundtrack , Featuring Music by Lin - Manuel Miranda , Out Today '' , broadwayworld.com , November 18 , 2016 .   Jump up ^ Warner , Kara ( December 20 , 2016 ) . `` How Lin - Manuel Miranda Pays Tribute to David Bowie with Moana Song `` Shiny '' `` . People . Retrieved December 27 , 2016 .   Jump up ^ Jessica Goodman , `` Alessia Cara debuts new Moana song written by Lin - Manuel Miranda '' , Entertainment Weekly , October 28 , 2016 .   Jump up ^ Ashley Lee , `` ' Moana ' : Alessia Cara Sings Lin - Manuel Miranda 's Anthem ' How Far I 'll Go ' in New Music Video '' , Billboard , November 3 , 2016 .   ^ Jump up to : Alessia Cara chart , Billboard . Accessed December 12 , 2016 .   Jump up ^ El Broide , `` Lira Lends Her Voice To Disney 's Moana Soundtrack '' , People , November 28 , 2016 .   Jump up ^ Walt Disney Studios Philippines ( November 16 , 2016 ) , Disney 's Moana -- MV teaser -- Janella Salvador , retrieved December 14 , 2016   Jump up ^ Walt Disney Indonesia ( November 9 , 2016 ) , Disney 's Moana : Maudy Ayunda -- Seb'rapa Jauh Ku Melangkah / How Far I 'll Go , retrieved December 14 , 2016   Jump up ^ Walt Disney Studios , Malaysia ( November 9 , 2016 ) , Disney 's Moana `` How Far I 'll Go '' -- Ayda Jebat , retrieved December 14 , 2016   Jump up ^ Dave Quinn , `` Jordan Fisher 's Friends Hounded Him for Hamilton Tickets 18 Minutes After He Was Cast '' , People , December 5 , 2016 .   ^ Jump up to : Trevor Anderson , `` Thanks to ' Moana , ' Dwayne ' The Rock ' Johnson Debuts on Hot 100 '' , Billboard , December 7 , 2016 .   Jump up ^ Mark Kermode , `` Moana review -- sail of the century from Disney '' , The Guardian , December 4 , 2016 .   Jump up ^ Keith Caulfield ( April 21 , 2017 ) . `` Billboard 200 Chart Moves : Twenty One Pilots ' ' Blurryface ' Hits 100th Consecutive Week on List '' . Billboard . Retrieved April 21 , 2017 .   Jump up ^ Caulfield , Keith ( January 3 , 2018 ) . `` Ed Sheeran 's ' Divide ' Is Nielsen Music 's Top Album of 2017 in U.S. '' Billboard . Retrieved January 4 , 2018 .   Jump up ^ `` Australiancharts.com -- Soundtrack -- Moana '' . Hung Medien . Retrieved April 18 , 2017 .   Jump up ^ `` Austriancharts.at -- Soundtrack -- Vaiana '' ( in German ) . Hung Medien . Retrieved January 12 , 2017 .   Jump up ^ `` Ultratop.be -- Soundtrack -- Vaiana '' ( in Dutch ) . Hung Medien . Retrieved April 21 , 2017 .   Jump up ^ `` Ultratop.be -- Soundtrack -- Vaiana '' ( in French ) . Hung Medien . Retrieved April 14 , 2017 .   Jump up ^ `` On The Charts ... This Week '' . FYIMusicNews . Retrieved March 21 , 2017 .   Jump up ^ `` Hitlisten.NU -- Album Top - 40 Uge 8 , 2017 '' . Hitlisten . Retrieved March 1 , 2017 .   Jump up ^ `` Dutchcharts.nl -- Soundtrack -- Vaiana '' ( in Dutch ) . Hung Medien . Retrieved January 14 , 2017 .   Jump up ^ `` Le Top de la semaine : Top Albums -- SNEP ( Week 16 , 2017 ) '' ( in French ) . Syndicat National de l'Édition Phonographique . Retrieved April 25 , 2017 .   Jump up ^ `` Offiziellecharts.de -- Soundtrack -- Vaiana '' ( in German ) . GfK Entertainment Charts . Retrieved January 13 , 2017 .   Jump up ^ `` Irish Albums Chart : 21 April 2017 '' . Irish Recorded Music Association . Retrieved April 21 , 2017 .   Jump up ^ `` ' Oceania ( O.S.T. ) ' on the FIMI charts '' ( in Italian ) . Federazione Industria Musicale Italiana . Retrieved March 10 , 2018 .   Jump up ^ `` Charts.org.nz -- Soundtrack -- Moana '' . Hung Medien . Retrieved January 27 , 2017 .   Jump up ^ `` VG - lista -- Topp 40 Album uke 6 , 2017 '' . VG - lista . Retrieved February 11 , 2017 .   Jump up ^ `` Oficjalna lista sprzedaży : : OLiS - Official Retail Sales Chart '' . OLiS . Polish Society of the Phonographic Industry . Retrieved January 12 , 2017 .   Jump up ^ `` Official Scottish Albums Chart Top 100 '' . Official Charts Company . Retrieved April 22 , 2017 .   Jump up ^ `` Spanishcharts.com -- Soundtrack -- Vaiana '' . Hung Medien . Retrieved February 2 , 2017 .   Jump up ^ `` Swisscharts.com -- Soundtrack -- Vaiana '' . Hung Medien . Retrieved January 11 , 2017 .   Jump up ^ `` </t>
    </r>
    <r>
      <rPr>
        <sz val="11"/>
        <color rgb="FF000000"/>
        <rFont val="Noto Sans CJK SC"/>
        <family val="2"/>
      </rPr>
      <t xml:space="preserve">第 </t>
    </r>
    <r>
      <rPr>
        <sz val="11"/>
        <color rgb="FF000000"/>
        <rFont val="Calibri"/>
        <family val="0"/>
        <charset val="1"/>
      </rPr>
      <t xml:space="preserve">4 </t>
    </r>
    <r>
      <rPr>
        <sz val="11"/>
        <color rgb="FF000000"/>
        <rFont val="Noto Sans CJK SC"/>
        <family val="2"/>
      </rPr>
      <t xml:space="preserve">週 統計 時間 </t>
    </r>
    <r>
      <rPr>
        <sz val="11"/>
        <color rgb="FF000000"/>
        <rFont val="Calibri"/>
        <family val="0"/>
        <charset val="1"/>
      </rPr>
      <t xml:space="preserve">: 2017 / 1 / 20 -- 2017 / 1 / 26 '' ( in Chinese ) . Five - Music . Archived from the original on January 26 , 2017 . Retrieved January 27 , 2017 .   Jump up ^ `` ( ( ( artist ) ) ) Artist Official Charts '' . UK Albums Chart . Retrieved January 21 , 2017 .   Jump up ^ `` Official Soundtrack Albums Chart Top 50 '' . Official Charts Company . Retrieved April 15 , 2017 .   Jump up ^ `` Soundtrack Chart History ( Billboard 200 ) '' . Billboard . Retrieved January 10 , 2017 .   Jump up ^ `` Soundtrack Chart History ( Soundtrack Albums ) '' . Billboard . Retrieved December 24 , 2016 .   Jump up ^ `` ARIA End of Year Albums 2017 '' . Australian Recording Industry Association . Retrieved January 5 , 2018 .   Jump up ^ `` Ö3 Austria Top 40 -- Album - Charts 2017 '' . oe3.orf.at . Retrieved December 29 , 2017 .   Jump up ^ `` Top Canadian Albums -- Year - End 2017 '' . Billboard . Retrieved December 15 , 2017 .   Jump up ^ `` Album Top - 100 2017 '' . Hitlisten . Retrieved January 11 , 2018 .   Jump up ^ `` Jaaroverzichten -- Album 2017 '' . Hung Medien . Retrieved December 23 , 2017 .   Jump up ^ `` Top 100 Album - Jahrescharts '' . GfK Entertainment ( in German ) . offiziellecharts.de . Retrieved December 29 , 2017 .   Jump up ^ `` Top Selling Albums of 2017 '' . Recorded Music NZ . Retrieved December 22 , 2017 .   Jump up ^ `` Schweizer Jahreshitparade 2017 -- hitparade.ch '' . Hung Medien . Retrieved December 31 , 2017 .   Jump up ^ White , Jack ( January 3 , 2018 ) . `` The Top 40 biggest albums of 2017 on the Official Chart '' . Official Charts Company . Retrieved January 3 , 2018 .   Jump up ^ `` Top Billboard 200 Albums -- Year - End 2017 '' . Billboard . Retrieved December 12 , 2017 .   Jump up ^ Billboard Hot 100 , December 17 , 2016 .   Jump up ^ Peaks of Moana songs in Australia :   `` How Far I 'll Go '' ( Auli'i Cravalho version ) : `` ARIA Australian Top 50 Singles '' . Australian Recording Industry Association . January 16 , 2017 . Retrieved January 14 , 2017 .   `` How Far I 'll Go '' ( Alessia Cara version ) and `` You 're Welcome '' : `` ARIA CHART WATCH # 403 '' . auspOp . January 14 , 2017 . Retrieved January 14 , 2017 .     Jump up ^ ( 1 )   ^ Jump up to : `` NZ Heatseekers Singles Chart '' . Recorded Music NZ . January 9 , 2017 . Retrieved January 9 , 2017 .   Jump up ^ `` AULI'I CRAVALHO - full Official Chart History - Official Charts Company '' . www.officialcharts.com .   Jump up ^ `` ALESSIA CARA - full Official Chart History - Official Charts Company '' . www.officialcharts.com .   Jump up ^ `` Jemaine Clement -- Chart history ( Bubbling Under Hot 100 ) '' . Billboard . Retrieved January 9 , 2017 .   Jump up ^ `` ARIA Australian Top 50 Albums '' . Australian Recording Industry Association . April 17 , 2017 . Retrieved April 15 , 2017 .   Jump up ^ `` Canadian album certifications -- Various Artists -- Moana : Original Motion Picture Soundtrack '' . Music Canada . Retrieved September 17 , 2017 .   Jump up ^ `` French album certifications -- Multi Interprètes -- Vaiana -- La légende de bout du monde '' ( in French ) . Syndicat National de l'Édition Phonographique .   Jump up ^ `` Gold - / Platin - Datenbank ( Diverse ; ' Vajana ' ) '' ( in German ) . Bundesverband Musikindustrie . Retrieved 23 March 2018 .   Jump up ^ `` Certificados Musicales Amprofon -- May 2017 '' . Asociación Mexicana de Productores de Fonogramas y Videogramas . May 9 , 2017 . Retrieved May 25 , 2017 .   Jump up ^ THE FIELD id ( chart number ) MUST BE PROVIDED for NEW ZEALAND CERTIFICATION .   Jump up ^ `` Polish album certifications -- Various Artists -- Vaiana '' ( in Polish ) . Polish Society of the Phonographic Industry . Retrieved November 8 , 2017 .   Jump up ^ `` British album certifications -- Various artists -- Moana '' . British Phonographic Industry . Retrieved May 19 , 2017 . Enter Moana in the search field and then press Enter .   Jump up ^ `` American album certifications -- Various Artists -- Moana '' . Recording Industry Association of America . Retrieved December 18 , 2017 . If necessary , click Advanced , then click Format , then select Album , then click SEARCH   Retrieved from `` https://en.wikipedia.org/w/index.php?title=Moana_(soundtrack)&amp;oldid=836964149 '' Categories :   2016 soundtracks   Disney animation soundtracks   Film soundtracks   Pop soundtracks   Walt Disney Records soundtracks   World music albums   Tokelauan music   Hidden categories :   CS1 French - language sources ( fr )   CS1 Italian - language sources ( it )   CS1 Chinese - language sources ( zh )   CS1 German - language sources ( de )   All articles with dead external links   Articles with dead external links from April 2018   Cite certification used with missing parameters   CS1 Polish - language sources ( pl )   Use mdy dates from August 2017   Articles with hAudio microformats   Track listings with deprecated parameters   Certification Table Entry usages for Australia   Certification Table Entry usages for Canada   Certification Table Entry usages for France   Certification Table Entry usages for Germany   Certification Table Entry usages for Mexico   Certification Table Entry usages for New Zealand   Certification Table Entry usages for Poland   Certification Table Entry usages for United Kingdom   Certification Table Entry usages for United States           Talk                                           Contents                   About Wikipedia                                           Deutsch   Português   </t>
    </r>
    <r>
      <rPr>
        <sz val="11"/>
        <color rgb="FF000000"/>
        <rFont val="Noto Sans CJK SC"/>
        <family val="2"/>
      </rPr>
      <t xml:space="preserve">中文   </t>
    </r>
    <r>
      <rPr>
        <sz val="11"/>
        <color rgb="FF000000"/>
        <rFont val="Calibri"/>
        <family val="0"/>
        <charset val="1"/>
      </rPr>
      <t xml:space="preserve">Edit links   This page was last edited on 17 April 2018 , at 22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</si>
  <si>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does the rock sing all the songs in moana</t>
  </si>
  <si>
    <t xml:space="preserve">   Track title   Performer ( s )   Peak positions     US   AUS   CAN   NZ   UK     `` How Far I 'll Go ''   Auli'i Cravalho   41   49   58   --   55     `` How Far I 'll Go ''   Alessia Cara   56   15   46     49     `` You 're Welcome ''   Dwayne Johnson   65   77   85   --   --     `` We Know the Way ''   Opetaia Foa'i &amp; Lin - Manuel Miranda   93   --   --   --   --     `` Shiny ''   Jemaine Clement   --   --   --   --   --     `` Where You Are ''   Christopher Jackson , Rachel House , Nicole Scherzinger , Auli'i Cravalho &amp; Louise Bush   --   --   --   --   --     `` I Am Moana ( Song of the Ancestors ) ''   Rachel House &amp; Auli'i Cravalho   --   --   --   --   --     `` -- '' denotes a recording that did not chart .   </t>
  </si>
  <si>
    <r>
      <rPr>
        <sz val="11"/>
        <color rgb="FF000000"/>
        <rFont val="Calibri"/>
        <family val="0"/>
        <charset val="1"/>
      </rPr>
      <t xml:space="preserve">Wedding Crashers - wikipedia  Wedding Crashers       Wedding Crashers     Theatrical release poster     Directed by   David Dobkin     Produced by     Peter Abrams   Robert L. Levy   Andrew Panay       Written by     Steve Faber   Bob Fisher       Starring     Owen Wilson   Vince Vaughn   Christopher Walken   Rachel McAdams   Isla Fisher   Bradley Cooper   Jane Seymour       Music by   Rolfe Kent     Cinematography   Julio Macat     Edited by   Mark Livolsi     Production company   Tapestry Films     Distributed by   New Line Cinema     Release date     July 15 , 2005 ( 2005 - 07 - 15 )               Running time   119 minutes     Country   United States     Language   English     Budget   $40 million     Box office   $285.2 million     Wedding Crashers is a 2005 American comedy film directed by David Dobkin and written by Steve Faber and Bob Fisher . Starring an ensemble cast led by Owen Wilson , Vince Vaughn , and Christopher Walken , and featuring Rachel McAdams , Isla Fisher , Bradley Cooper , and Jane Seymour , the film has a cameo appearance by Will Ferrell .   The film opened on July 15 , 2005 through New Line Cinema to critical and massive commercial success , grossing $285 million worldwide on a $40 million budget , and is credited with helping to revive the popularity of adult - oriented , R - rated comedies .   Contents  ( hide )   1 Plot   2 Cast   3 Production   4 Release   4.1 Critical response   4.2 Box office   4.3 Accolades   4.4 Controversies   4.5 Home media     5 Television version   6 Discussed sequel   7 References   8 External links    Plot ( edit )   John Beckwith ( Owen Wilson ) and Jeremy Grey ( Vince Vaughn ) are divorce mediators in Washington D.C. who `` crash '' wedding parties to meet and bed women . At the end of a season of successful crashes , Jeremy takes John to a wedding for a daughter of the U.S. Secretary of the Treasury , William Cleary ( Christopher Walken ) . Once inside , the pair set their sights on Cleary 's other daughters , Gloria ( Isla Fisher ) and Claire ( Rachel McAdams ) . Jeremy ends up having sex with Gloria on a nearby beach during the reception . Gloria is possessive and quickly becomes obsessed with Jeremy , and Jeremy urges John to escape the reception with him .   Meanwhile , John attempts to court Claire , the maid of honor , but is interrupted by her hotheaded boyfriend , Sack Lodge ( Bradley Cooper ) , who is unfaithful and disrespectful behind her back . When Gloria invites Jeremy and John to an extended weekend party at their family compound , Jeremy tries to refuse due to him being extremely uncomfortable with Gloria . John overrules Jeremy to accept as it would be great to get to know the family . Jeremy reluctantly accepts , although he is suspicious that John only wanted to go just to get closer to Claire .   John and Jeremy become acquainted with the Clearys at their home : the Secretary 's wife ( Jane Seymour ) sexually harasses John ; Gloria 's brother Todd ( Keir O'Donnell ) tries to seduce Jeremy during the night ; Gloria continues to lavish unwanted sexual attention on Jeremy ; and Sack repeatedly injures Jeremy during a game of touch football . During dinner , as a means to get even with Sack for injuring Jeremy along with more time to connect with Claire , John spikes Sack 's wine with eye - drops to make him sick and he spends the rest of his night throwing up in the toilet .   John and Claire continue to bond the next day on a sailing trip . The suspicious Sack calls his friend , Trapster , to privately investigate John and Jeremy . He then takes Jeremy hunting , where he is shot in the buttocks . While he recovers , John and Claire go on a bike ride to a secluded beach . Claire finally admits she is unsure how she feels about Sack and ends up kissing John passionately . Meanwhile , Gloria tends to Jeremy 's wounds and reveals to him that she is not as innocent or inexperienced as she initially let on . Jeremy realizes that he himself has been played and that he may be in love with Gloria . When Sack falsely claims that he and Claire are engaged , John is n't fooled by this attempt knowing how unhappy she is with the former .   Ready to confess everything to Claire about his feelings for her and convince her not to marry Sack , John is interrupted by Jeremy being chased out of the house : Sack has investigated and revealed John and Jeremy 's identities to the family . Betrayed , Claire turns away from John and the Secretary tells them to leave . Before leaving , Gloria and Jeremy briefly professes their love for each other .   Over the following months , Jeremy manages to keep his relationship with Gloria a secret . Meanwhile , John attempts to reach Claire but she refuses to see him . He comes up with a plan to see her by disguising himself as a waiter at her and Sack 's engagement party . Concerned about John 's behavior , Jeremy tries to talk some sense into him by reminding him that his last attempts to speak to her has failed and that he needs to accept the fact that it 's over . He also warns John against attempting to crash Claire and Sack 's engagement party because of the high security Secretary Cleary has put on to ensure no crashers . Jeremy mentions that their only chance of avoiding jail time is to keep a low profile and stay away . John ignores the warning and attempts to crash Claire and Sack 's engagement party by disguising himself as a waiter . He is caught by Sack who was alerted by his friends and beats John up . He then warns John to stay away from Claire forever or else he will press charges against John . John visits Jeremy at his house to confront him for his absence and catches him having sex with Gloria . Betrayed , John walks out of the house and Jeremy follows trying to explain himself , while Gloria leaves to go to the engagement party . Outside , John demanded why he did n't appear to stop Sack and learns that Jeremy had continued his secret relationship with Gloria . John spirals into depression , crashing weddings alone and becoming nihilistic and suicidal . Meanwhile , as Claire and Sack plan their wedding , Claire 's doubts grow . Jeremy proposes to Gloria and tries to ask John to be his best man , but a depressed John refuses .   John visits Jeremy 's former wedding crashing mentor , Chazz Reinhold ( an uncredited Will Ferrell ) , who convinces him to crash a funeral . While there , he reconsiders his belief in love and marriage after witnessing a grieving widow . He rushes to Jeremy 's wedding and joins the wedding mid-ceremony to Jeremy 's delight . Claire is upset by his appearance , prompting John to profess his love to her and his regret for his past behavior in front of the congregation . Sack interrupts , but Claire finally tells him that she can not marry him . Senator Cleary supports Claire 's decision and even admits his disgust over Sack 's recent behavior . He also comes to the realization that unlike Sack , John actually cared for Claire and made her happy . Sack tries to attack John , but Jeremy intervenes to knock him out , and John and Claire kiss .   After the wedding , the two couples drive away from the ceremony together , discussing crashing another wedding together .   Cast ( edit )    Owen Wilson as John Beckwith , one half of the wedding crasher duo ; a bachelor who is a divorce mediator , riding high on his success with Jeremy .   Vince Vaughn as Jeremy Grey , the other half of the wedding crasher duo ; an arrogant lothario . He remains a loyal friend to John .   Christopher Walken as United States Secretary of the Treasury William Cleary , a big sailing fan and oblivious head of the dysfunctional but loving Cleary household ; a generally friendly man , but punishes anyone who insults his wife or four children .   Rachel McAdams as Claire Cleary , middle daughter of William Cleary ; sweet girl and full - time environmental activist .   Isla Fisher as Gloria Cleary , youngest daughter of William Cleary ; an emotionally unstable nymphomaniac who is obsessed with Jeremy .   Jane Seymour as Kathleen `` Kitty Kat '' Cleary , the `` social alcoholic '' wife of Secretary Cleary and daughter - in - law of `` Grandma '' Mary Cleary ; she appears to try and hit on younger men , including John and an ex-boyfriend of Claire ( this last one revealed by Todd ) .   Ellen Albertini Dow as `` Grandma '' Mary Cleary , William 's mother , Kathleen 's mother - in - law , and the siblings ' grandmother who lives in the compound ; she is kind but obscene .   Keir O'Donnell as Todd Cleary , William and Kathleen 's reclusive , hyper - sensitive son ; a homosexual artist and family black sheep .   Bradley Cooper as Sack Lodge , Claire 's testosterone - fueled , manly , and violent boyfriend who is obsessed with winning at any cost .   Henry Gibson as Father O'Neil , the Cleary family priest .   Ron Canada as Randolph , the Clearys ' Jamaican butler ; he seems completely aware of Gloria 's obsessive behaviors and does not approve of Sack 's hotheadedness .   Jenny Alden as Christina Cleary , the eldest daughter of William Cleary .   Will Ferrell ( uncredited ) as Chazz Reinhold , the sage who passed on the wedding crashing rules to his protege Jeremy in 1993 . When John actually meets him , Chazz is revealed to be a lazy man - child who still lives with his mother .   Diora Baird as Vivian   Dwight Yoakam and Rebecca De Mornay in the beginning mediation scene as Mr. and Mrs. Kroger   Kathryn Joosten as Mrs. Reinhold   Naureen Zaim as Hindu Woman   Richard Riehle ( uncredited ) as Funeral guest    Arizona Senator and 2008 Republican presidential nominee John McCain and Democratic strategist and CNN contributor James Carville both have a brief cameo appearance in the film towards the beginning , where both are seen congratulating the secretary and his wife on their daughter 's wedding .   Production ( edit )   The film was written by Steve Faber and Bob Fisher and produced through New Line Cinema , with shooting taking place on location in Washington , D.C. and Maryland 's Eastern Shore . Principal photography began on March 22 , 2004 and the movie had a 52 - day shooting schedule . The main Cleary wedding reception scene was filmed at the Inn at Perry Cabin in Saint Michaels , Maryland .   Dobkin has said that the script originally set the film around Cape Cod , but a need to film in spring made this impractical . He suggested moving the shoot to Washington , his home town , feeling that his knowledge of the area would make choosing locations easier , and that using the city as the setting for a comedy would be an unexpected choice .   Release ( edit )   Critical response ( edit )   Wedding Crashers received generally positive reviews . On Rotten Tomatoes , the film has a rating of 76 % , based on 184 reviews , with an average rating of 6.7 / 10 . The site 's critical consensus reads , `` Wedding Crashers is both raunchy and sweet , and features top - notch comic performances from Vince Vaughn and Owen Wilson . '' On Metacritic the film has a score of 64 out of 100 , based on 39 critics , indicating `` generally favorable reviews '' .   Carina Chocano of the Los Angeles Times wrote a favorable review and said `` underneath the diarrhea gags , the long lens at close range of Vaughn 's pants and the handcuffs , it 's really just a love story about a couple of buddies who live happily ever after . And it could n't have happened to a nicer , more charming couple '' . Manohla Dargis of the New York Times said `` It 's crude , yes , but also funny ; too bad these lost boys ca n't stay lost . Like clockwork , the film soon mutates from a guy - oriented sex comedy into a wish - fulfillment chick flick '' .   Roger Ebert of the Chicago Sun - Times gave the film two stars out of four ; although he wrote that `` there are individual moments that are very funny '' he added that the director , David Dobkin , `` has too much else on his mind '' . British Movie magazine Empire awarded it three out of five stars and were complimentary to Vaughn and Wilson , saying `` Sharing an easy chemistry and free of the usual joker / straight - guy dynamic , Wilson and Vaughn quip , riff and banter to hilarious effect . And both get their fair share of money moments , the latter 's muggings are particularly hysterical in a raunchy dinner - party sequence . The laidback stars are funny and sweet , but they 're let down by a patchy script which squanders some potentially priceless set - ups . ''   Box office ( edit )   The film was released in North America on July 15 , 2005 , and became an immediate hit , grossing $33,900,720 in its first weekend , hitting # 2 in the box office , behind Charlie and the Chocolate Factory . Fairly well received by critics , the film eventually grossed over $209,255,921 domestically , narrowly outgrossing Charlie . Considering its modest budget ( $40 million ) and competition with heavily advertised blockbusters during the summer season , the studio did not expect the movie 's astounding level of success . It grossed $75,920,820 overseas , totaling $285,176,741 worldwide .   Accolades ( edit )   On April 24 , 2006 , Wedding Crashers topped the nominations for the year 's MTV Movie Awards with five including Best Movie . It won Best Movie , On - Screen Team ( Vaughn and Wilson ) , and Breakthrough Performance ( Isla Fisher ) . The financial success of the film has been credited along with The 40 - Year - Old Virgin for reviving the popularity of adult - aimed R - rated comedies .   Bradley Cooper was mentioned in the August 2006 issue of GQ as one of `` The Top Twelve Movie Dicks '' .   Controversies ( edit )   The film was criticized for depicting the forcible rape of Vince Vaughn 's character in a humorous light . The film has been accused of `` turn ( ing ) graphic sexual assault into a punchline . ''   Home media ( edit )   The DVD was released in the United States on January 3 , 2006 , and a Blu - ray was released on December 30 , 2008 . It is available in an unrated version ( `` Uncorked Edition '' ) and in an R - rated version ( the Blu - ray has both versions on one disc ) . It features eight new minutes integrated into the film and DVD - ROM bonuses . Also included are two audio commentaries ( one by the stars , one by the director ) , four deleted scenes , two featurettes , a `` Rules of Wedding Crashing '' text gallery , trailers , Budweiser Wedding Crashers commercials , a track listing for the official soundtrack on 20th Century Fox Records , a music video by The Sights , and a jump - to - a-song sample feature .   Television version ( edit )   The creators of the film made a reality TV version , called The Real Wedding Crashers and shown on NBC in April and May 2007 . NBC only showed four episodes .   Discussed sequel ( edit )   In a 2014 post on the website Quora , Wedding Crashers director David Dobkin said that he , Vaughn and Wilson once came up with an idea for a sequel in which John and Jeremy find themselves competing with a superior wedding crasher , played by Daniel Craig ; but that this idea never went beyond the discussion phase .   The 2013 film The Internship , which also starred Vaughn and Wilson , was sometimes described by critics as an unofficial sequel to Wedding Crashers .   In November 2016 , Fisher was a guest on The Today Show and while talking about Nocturnal Animals , she revealed from her Wedding Crashers co-star Vaughn that a sequel is in the works .   References ( edit )    Jump up ^ `` Wedding Crashers ( 15 ) '' . British Board of Film Classification . June 6 , 2005 . Retrieved October 24 , 2016 .   ^ Jump up to : `` Total Worldwide Gross for Wedding Crashers '' . Box Office Mojo . Retrieved July 21 , 2009 .   Jump up ^ `` Release Dates for Wedding Crashers '' . IMDb . Retrieved July 21 , 2009 .   ^ Jump up to : Farber , Stephen ( July 10 , 2005 ) . `` The Return of the R - Rated Comedy '' . The New York Times .   Jump up ^ `` Filming Locations for Wedding Crashers '' . IMDb . Retrieved July 21 , 2009 .   Jump up ^ `` Production Notes '' . Cinemareview.com . Retrieved September 13 , 2013 .   Jump up ^ `` Never Use Your Real Name '' . Cinema Review . Retrieved 1 April 2017 .   Jump up ^ Frey , Jennifer . `` A Filmmaker 's D.C. Close - Up '' . Washington Post . Retrieved 1 April 2017 .   Jump up ^ `` Wedding Crashers Reviews '' . Rotten Tomatoes . July 19 , 2012 . Retrieved September 9 , 2015 .   Jump up ^ `` Wedding Crashers Reviews '' . Metacritic . Retrieved September 4 , 2016 .   Jump up ^ `` Wedding Crashers Review '' . Los Angeles Times . July 15 , 2005 . Archived from the original on July 18 , 2009 . Retrieved July 21 , 2009 .   Jump up ^ Dargis , Manohla ( July 15 , 2005 ) . `` Wedding Crashers Movie Review '' . New York Times . Retrieved July 21 , 2009 .   Jump up ^ Ebert , Roger ( July 14 , 2005 ) . `` Wedding Crashers Review '' . Retrieved September 4 , 2016 .   Jump up ^ `` Review '' . Empire Magazine . Retrieved September 13 , 2013 .   Jump up ^ Wedding Crashers ( 2005 ) - Weekend Box Office Results - Box Office Mojo   Jump up ^ Wedding Crashers at Box Office Mojo   Jump up ^ GQ Karate Kid Bully Tops ' Movie Dicks ' Poll Contactmusic   Jump up ^ Meslow , Scott ( 17 January 2018 ) . `` Does Wedding Crashers Hold Up ? '' . GQ . Retrieved 7 June 2018 .   Jump up ^ `` Wait A Second , Did Amy Schumer Rape a Guy ? '' . Thought Catalog. 6 May 2014 . Retrieved 7 June 2018 .   Jump up ^ `` It Was n't Rape . Just Assault '' . HuffPost . American Anthropological Association . 23 December 2013 . Retrieved 7 June 2018 .   Jump up ^ `` Wedding Crashers - Uncorked DVD details '' . IMDb . Retrieved July 21 , 2009 .   Jump up ^ `` The Real Wedding Crashers NBC TV Show : Funny Marriage Prank Series and Jokes '' . NBC Official Site . Archived from the original on June 22 , 2009 .   Jump up ^ David Dobkin ( October 10 , 2014 ) . `` Why was there no sequel to Wedding Crashers ? '' . Quora .   Jump up ^ Dowd , A.A. ( June 6 , 2013 ) . `` The Internship ( review ) '' . The A.V. Club .   Jump up ^ `` Isla Fisher on ' Nocturnal Animals , ' lookalike Amy Adams , ' Wedding Crashers 2 ' '' . The Today Show . November 17 , 2016 .    External links ( edit )       Wikiquote has quotations related to : Wedding Crashers      Wedding Crashers on IMDb   Wedding Crashers at Box Office Mojo   Wedding Crashers at Rotten Tomatoes   Wedding Crashers at Metacritic              Films directed by David Dobkin       Clay Pigeons ( 1998 )   Shanghai Knights ( 2003 )   Wedding Crashers ( 2005 )   Fred Claus ( 2007 )   The Change - Up ( 2011 )   The Judge ( 2014 )                 MTV Movie Award for Movie of the Year     Best Movie     Terminator 2 : Judgment Day ( 1992 )   A Few Good Men ( 1993 )   Menace II Society ( 1994 )   Pulp Fiction ( 1995 )   Seven ( 1996 )   Scream ( 1997 )   Titanic ( 1998 )   There 's Something About Mary ( 1999 )   The Matrix ( 2000 )   Gladiator ( 2001 )   The Lord of the Rings : The Fellowship of the Ring ( 2002 )   The Lord of the Rings : The Two Towers ( 2003 )   The Lord of the Rings : The Return of the King ( 2004 )   Napoleon Dynamite ( 2005 )   Wedding Crashers ( 2006 )   Pirates of the Caribbean : Dead Man 's Chest ( 2007 )   Transformers ( 2008 )   Twilight ( 2009 )   The Twilight Saga : New Moon ( 2010 )   The Twilight Saga : Eclipse ( 2011 )       Movie of the Year     The Twilight Saga : Breaking Dawn -- Part 1 ( 2012 )   The Avengers ( 2013 )   The Hunger Games : Catching Fire ( 2014 )   The Fault in Our Stars ( 2015 )   Star Wars : The Force Awakens ( 2016 )   Beauty and the Beast ( 2017 )   Black Panther ( 2018 )        2000s portal   Film portal   United States portal   Comedy portal   Retrieved from `` https://en.wikipedia.org/w/index.php?title=Wedding_Crashers&amp;oldid=848023772 '' Categories :   2005 films   English - language films   2000s buddy films   2000s romantic comedy films   2000s sex comedy films   2000s comedy films   American films   American buddy films   American romantic comedy films   American comedy films   American sex comedy films   Films about weddings   Films directed by David Dobkin   Films set in Maryland   Films set in Washington , D.C.   Films shot in Maryland   Films shot in Washington , D.C.   Rape in film   Hidden categories :   Use mdy dates from September 2013   Film articles using image size parameter           Talk                                           Contents                   About Wikipedia                                           Wikiquote         Dansk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Қазақша   Magyar   Македонски   Nederlands   </t>
    </r>
    <r>
      <rPr>
        <sz val="11"/>
        <color rgb="FF000000"/>
        <rFont val="Noto Sans CJK SC"/>
        <family val="2"/>
      </rPr>
      <t xml:space="preserve">日本 語   </t>
    </r>
    <r>
      <rPr>
        <sz val="11"/>
        <color rgb="FF000000"/>
        <rFont val="Calibri"/>
        <family val="0"/>
        <charset val="1"/>
      </rPr>
      <t xml:space="preserve">Polski   Português   Русский   Simple English   Suomi   Svenska   Türkçe   Українська   </t>
    </r>
    <r>
      <rPr>
        <sz val="11"/>
        <color rgb="FF000000"/>
        <rFont val="Noto Sans CJK SC"/>
        <family val="2"/>
      </rPr>
      <t xml:space="preserve">中文  </t>
    </r>
    <r>
      <rPr>
        <sz val="11"/>
        <color rgb="FF000000"/>
        <rFont val="Calibri"/>
        <family val="0"/>
        <charset val="1"/>
      </rPr>
      <t xml:space="preserve">15 more  Edit links   This page was last edited on 29 June 2018 , at 09 : 17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</si>
  <si>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movie wedding crashers take place</t>
  </si>
  <si>
    <t xml:space="preserve"> John Beckwith ( Owen Wilson ) and Jeremy Grey ( Vince Vaughn ) are divorce mediators in Washington D.C. who `` crash '' wedding parties to meet and bed women . At the end of a season of successful crashes , Jeremy takes John to a wedding for a daughter of the U.S. Secretary of the Treasury , William Cleary ( Christopher Walken ) . Once inside , the pair set their sights on Cleary 's other daughters , Gloria ( Isla Fisher ) and Claire ( Rachel McAdams ) . Jeremy ends up having sex with Gloria on a nearby beach during the reception . Gloria is possessive and quickly becomes obsessed with Jeremy , and Jeremy urges John to escape the reception with him . </t>
  </si>
  <si>
    <t xml:space="preserve">Blue Bloods ( season 1 ) - wikipedia  Blue Bloods ( season 1 )  Jump to : navigation , search    Blue Bloods ( season 1 )     Region 1 DVD cover art     Country of origin   United States     No. of episodes   22     Release     Original network   CBS     Original release   September 24 , 2010 ( 2010 - 09 - 24 ) -- May 13 , 2011 ( 2011 - 05 - 13 )     Season chronology     Next → Season 2     List of Blue Bloods episodes     The first season of the Blue Bloods , an American police procedural - family drama television series , aired in the United States on CBS between September 24 , 2010 to May 13 , 2011 . The series was created and , along with Leonard Goldberg and Michael Cuesta , executively produced by Robin Green and Mitchell Burgess . The show revolves around the Reagan family , consisting of police officers and a district attorney all working with the New York City Police Department ( NYPD ) . Actors Donnie Wahlberg , Bridget Moynahan , Will Estes , Len Cariou and Tom Selleck make up the main cast as the Reagan family - Danny , Erin , Jamie , Henry and Frank .   Blue Bloods ' first season aired during the 2010 -- 11 television season on Fridays at 10 : 00 p.m. EST . The series debuted with pilot episode , which was viewed by 13.01 million viewers . The season ended with the finale `` The Blue Templar '' , which was watched by 11.79 million viewers . The season averaged 12.58 million viewers per 22 episodes . Internationally , the first season was very successful in Canada , United Kingdom and New Zealand , ranking among the top 30 most watched programs on the respective channels . The first season also garnered positive reviews from television critics , praising the performances of lead actors Donnie Wahlberg and Tom Selleck and the family dynamic among the Reagans .   The entire season was released on DVD in Region 1 on September 13 , 2011 , Region 2 on September 19 , 2011 and Region 4 on September 15 , 2011 .     Contents  ( hide )   1 Production   2 Cast   2.1 Main Cast   2.2 Recurring Cast     3 Reception   3.1 Viewership and ratings   3.2 Critical reviews     4 Episodes   5 Ratings   5.1 United States   5.2 Canada   5.3 United Kingdom   5.4 Australia     6 DVD release   7 References   8 External links      Production ( edit )  Stephen Gyllenhaal directed two episodes for the season .  The first season of Blue Bloods was produced by Panda Productions , Paw In Your Face Productions and CBS Productions . The series aired in the United States on CBS Friday nights at 10 : 00 P.M. EST and Canada on CTV via simulcast . Internationally , season one aired in New Zealand on TV3 Saturday nights at 9 : 30 P.M. , in Australia on Network Ten for the first twelve episodes ( Wednesday nights at 8 : 30 P.M. for the first six and Friday nights at 9 : 30 P.M. ) and on One for the rest of the season . In a deal with CBS Studios International , the series was acquired by the UK channel Sky Atlantic on January 5 , 2011 and was one of the first series to air on the new channel , which launched on February 1 , 2011 . The series was created by Mitchell Burgess and Robin Green and executive produced by Burgess , Green , producer Leonard Goldberg and director Michael Cuesta . The show was initially run by director Ken Sanzel , but Sanzel left in August 2010 amid alleged creative tension with series star Tom Selleck . Staff directors for the season include Cuesta , Félix Alcalá , Jan Eliasberg , Karen Gaviola , Stephen Gyllenhaal , Ralph Hemecker , Gwyneth Horder - Payton , Frederick K. Keller , Matt Penn , John Polson , Michael Pressman , Rosemary Rodriguez , and Alex Zakrzewski . Episodes were written by a team of writers , which consisted of Burgess , Green , Brian Burns , Siobhan Byrne - O'Connor , Amanda Green , Julie Hébert , Thomas Kelly , Gwendolyn M. Parker , Mark Rosner , Ken Sanzel , Diana Son , and Kevin Wade . Cinematographers hired for the season included Craig DiBona , David Insley , Tim Ives and Teodoro Maniaci . Composers Mark Morgan and Rob Simonsen provided the background music for the season .   Cast ( edit )  Will Estes and Len Cariou portray multi-generational NYPD officers Jamie and Henry Reagan  The first season featured a cast of five main actors who received star billing . Tom Selleck portrays Francis `` Frank '' Reagan , the patriarch of the Reagan family , a former Marine , and current Police Commissioner who is notably silent about his political beliefs . Donnie Wahlberg acted as Frank 's eldest son Daniel `` Danny '' Reagan , a hard - nosed NYPD Detective and former Marine who often roughs up his suspects , despite being prohibited to do so . Bridget Moynahan portrays Frank 's daughter Erin Reagan - Boyle , an assistant district attorney who abides by the law in her dealings with criminal justice . Will Estes portrayed Frank 's youngest son Jamison `` Jamie '' Reagan , a rookie police officer and graduate from Harvard Law before entering the police academy . Len Cariou played Frank 's father Henry Reagan , a retired police commissioner and former Marine who , like Danny , is very vocal about his political beliefs .   In addition to the regular cast , the season also featured actors who received the `` also starring '' billing , appearing in almost every episode of the season . Jennifer Esposito portrayed Jackie Curatola , an NYPD detective at the precinct and Danny 's partner . Nicholas Turturro portrayed Sergeant Anthony Renzulli , Jamie 's partner and mentor , who had been a partner of Joe Reagan .   Several recurring characters appeared in the first season . Amy Carlson appeared as Linda Reagan , Danny 's wife and mother of two children Jack and Sean . Sami Gayle portrayed Erin 's teenage daughter Nicole `` Nikki '' Reagan - Boyle ( Marlene Lawston played this role in the pilot episode ) . Abigail Hawk portrayed Abigail Baker , Frank 's primary aide . Brothers Andrew and Tony Terraciano portray Sean and Jack Reagan , Danny and Linda 's sons . Gregory Jbara acted as Garrett Moore , the NYPD 's Deputy Commissioner of Public Information . Robert Clohessy played Sgt . Sidney Gormley , the immediate supervisor of Danny and the other detectives at the precinct . Actress Dylan Moore appeared in the first six episodes as Jamie 's brief fiance Sydney Davenport . Bruce Altman portrayed Mayor Frank Russo , Frank 's superior . Andrea Roth appeared in four episodes as Kelly Davidson , a television news reporter who dated Frank . Yvonna Kopacz Wright portrayed Ava Hotchkiss , a detective at the precinct and Danny 's temporary partner . Noelle Beck appeared in three episodes as Frank 's Deputy Press Secretary Sue Connors . Nick Sandow recurred in four episodes as Lieutenant Alex Bello , an officer at Internal Affairs . Michael T. Weiss portrayed Sonny Malevsky , a detective who had worked with Joe Reagan before his murder . Colleen Clinton appeared as Agent Anderson , an FBI agent who attempts to recruit Jamie for her investigation into the Blue Templar . Bobby Cannavale appeared in three episodes as Charles Rosselini , Erin 's boss who becomes romantically involved with her . Robert John Burke portrayed Jyle Hogan in three episodes .   Main Cast ( edit )    Tom Selleck as Police Commissioner Francis `` Frank '' Reagan   Donnie Wahlberg as Detective Daniel `` Danny '' Reagan   Bridget Moynahan as ADA Erin Reagan - Boyle   Will Estes as Officer Jamison `` Jamie '' Reagan   Len Cariou as Henry Reagan    Recurring Cast ( edit )    Jennifer Esposito as Detective Jackie Curatola   Amy Carlson as Linda Reagan   Sami Gayle as Nicole `` Nicky '' Reagan - Boyle    Reception ( edit )   Viewership and Ratings ( edit )   Blue Bloods premiered with the pilot episode , which attracted 13.01 million viewers . After four episodes , the season received a full order of 22 episodes . The series was the most watched program on Friday nights during its duration and was the second most watched program during its short move to the Wednesday timeslot . Apart from the pilot episode , the most - watched episode of the season was `` Little Fish '' , which accrued a viewership of 12.30 million viewers . The series finale was watched by 11.78 million viewers . The season averaged over 12.58 million viewers and a 7.8 / 14 household rating , becoming the 19th most - watched series of the 2010 - 2011 primetime television season . In the 18 - 49 adult demographic , the season averaged a 2.2 Nielsen rating , equating to 2.88 million viewers and ranking number 85th for the 2010 - 2011 primetime television season .   In Canada , Blue Bloods stood as a solid performer on CTV , landing within the top twenty of the top programs in Canada . The show ended its first season as the most watched new drama series as well as second most watched new series of the season . The season ranked number five in the 18 - 49 and 25 - 54 age demographics . In the United Kingdom , the series was among the weekly top five most viewed program on Sky Atlantic , amassing an audience between 450,000 and 630,000 viewers . In Australia , the series premiered with a strong 1.11 million viewers , but viewership fell to 288,000 viewers by April , prompting Network Ten to move the series to its HD channel One , which premiered the second half of the season on October 31 , 2011 .   Critical reviews ( edit )   Upon the premiere of the pilot episode , the series received positive reviews from television critics . At Metacritic , which assigns a weighted mean rating out of 100 to reviews from television critics , the show received an average score of 70 , which indicates `` generally favorable review '' , based on 25 reviews . Reviews for the full season were generally positive .  The performances of Tom Selleck and Donnie Wahlberg were highlighted by many television critics .  Nick Hartel of DVD Talk deemed the DVD release of the season as `` Recommended '' , writing that it `` should wisely be approached as a family drama that utilizes the police angle as a common bonding element . '' Hartel lauded Selleck , Wahlberg and Cariou 's performances and the family dinners , noting that `` the arguments and interruptions that garnish the meals give `` Blue Bloods '' its most human qualities . '' Hartel also noted that the series `` quickly resort to genre story staples '' , adding that the `` identity crisis of cop drama versus family drama results in the former getting the short end of the stick with many cases feeling like an afterthought or plot contrivance for the Reagans to discuss at the weekly family dinner . '' C.S. Stonebridge of The Numbers wrote , `` The regular crimes are also intriguing enough to carry most episodes , although there were a few too many times where there were pretty big coincidences that strained credibility . But this storyline made watching each episode more important , as opposed to a show like Law &amp; Order , where you could almost literally grab any episode in the show 's 20 year run and watch it without having to have seen any of the earlier episodes to know what 's going on . '' Stuart Cummins of What Culture called the series `` entertaining police drama that combines the best elements of shows such as Numbers , CSI and Law &amp; Order with the family crises and dramas found in shows like Brothers &amp; Sisters . '' Chuck Barney of San Jose Mercury News found the cases on the series to `` do n't carry much of a wow factor '' and the show overall lacked `` the kind of grittiness that might make it more powerful . '' Barney however praised the actors ' performances and the family dynamic of the Reagans .   Some reviewers , however , share mixed to negative opinion concerning the shows format . DVD Verdict writer Adam Arseneau wrote positively about the season , praising the actors ' performances , the family dynamic and the multi-generational police family plot while deeming the family dinners and the lessons doled out from them `` smacks of self - righteousness and lazy writing . '' Arseneau concluded about the season , `` If we had genuinely solid material to engage the Reagans , Blue Bloods could be one of the best cop shows on television . As it stands , it rarely transcends average . '' David Brown from Radio Times gave the season release three stars ( out of five ) , writing `` Imagine something that mixes the best elements of Law &amp; Order and Brothers &amp; Sisters and you get the idea . '' The Guardian writer Michael Hann wrote negatively of the series , noting that `` one can know what is happening without even watching the show , since each episode follows the same template . ''   Episodes ( edit )  See also : List of Blue Bloods episodes    No . overall   No. in season   Title   Directed by   Written by   Original air date   Prod . code   U.S. viewers ( millions )         `` Pilot ''   Michael Cuesta   Robin Green &amp; Mitchell Burgess   September 24 , 2010 ( 2010 - 09 - 24 )   101   13.01     Jamie graduates from the Police Academy and joins the NYPD on the same day Teresa Campos , a nine - year - old hispanic girl , is abducted while on her way home from school . Frank addresses the press regarding the case , and Danny is questioned about his interrogation tactics .         `` Samaritan ''   Ralph Hemecker   Ken Sanzel   October 1 , 2010 ( 2010 - 10 - 01 )   102   11.32     The Reagans contemplate the rights and wrongs of taking matters into their own hands after a good Samaritan shoots a criminal on the subway .         `` Privilege ''   Stephen Gyllenhaal   Brian Burns   October 8 , 2010 ( 2010 - 10 - 08 )   103   11.15     Erin , Frank , and Danny seek justice for a rape victim .         `` Officer Down ''   Ralph Hemecker   Thomas Kelly   October 15 , 2010 ( 2010 - 10 - 15 )   104   10.39     The NYPD is dispatched to track down the robbery suspect connected with the killing a police officer during a jewelry store heist .     5   5   `` What You See ''   Félix Alcalá   Julie Hébert   October 22 , 2010 ( 2010 - 10 - 22 )   105   11.15     The Reagans object about the pros and cons of profiling as Frank , Danny , Jamie and the rest of the NYPD search for a bomb that is set to go off in Manhattan .     6   6   `` Smack Attack ''   Gwyneth Horder - Payton   Siobhan Byrne - O'Connor   October 29 , 2010 ( 2010 - 10 - 29 )   106   11.62     After three teenage boys die from a drug overdose , Danny sets out to find their narcotic source .     7   7   `` Brothers ''   Frederick K. Keller   Mark Rosner   November 5 , 2010 ( 2010 - 11 - 05 )   107   10.31     When Erin tries to take down a gang leader , using his law - abiding brother , the family debates her methods . Meanwhile , Danny tries to protect Jamie by being tough on the rookie .     8   8   `` Chinatown ''   Michael Cuesta   Diana Son   November 12 , 2010 ( 2010 - 11 - 12 )   108   10.57     After meeting with federal agents in Chinatown , Jamie witnesses a crime in progress , which results in a suspect getting killed during a pursuit . To avoid Jamie undergoing an investigation by Internal Affairs , Danny works to solve the case and clear Jamie 's name .     9   9   `` Re-Do ''   Rosemary Rodriguez   Julie Hébert   November 19 , 2010 ( 2010 - 11 - 19 )   109   11.36     Erin is jeopardized when three dangerous criminals are released from prison , one of whom is Richard Reed , a convicted rapist and murderer .     10   10   `` After Hours ''   Alex Zakrzewski   Brian Burns   December 3 , 2010 ( 2010 - 12 - 03 )   110   11.32     Danny attends to the murder of a popular bouncer outside a nightclub , while Frank deals with controversy when it comes to light that his former partner is artificially tampering with arrest records .     11   11   `` Little Fish ''   Michael Pressman   Siobhan Byrne - O'Connor   January 19 , 2011 ( 2011 - 01 - 19 )   111   12.30     Danny and Jackie investigate the murder of a high - end escort after her body is found floating in the East River . Meanwhile at the crime scene , Jamie meets Det . Sonny Malevsky ( Michael T. Weiss ) , his late brother Joe 's old partner and is suspicious of him . Frank vows to bring a killer to justice when a missing boy 's remains are finally found from a 25 - year - old case that he was emotionally involved in .     12   12   `` Family Ties ''   Stephen Gyllenhaal   Mark Rosner   January 26 , 2011 ( 2011 - 01 - 26 )   112   12.10     Danny explores the world of the Russian Mob in Brighton Beach and their politics after the son of a gangster is killed . While Erin is handed a high - profile case of political corruption by her boss , the district attorney .     13   13   `` Hall of Mirrors ''   Frederick K. Keller   Thomas Kelly   February 2 , 2011 ( 2011 - 02 - 02 )   113   11.31     Danny is assigned to investigate the attempted assassination of an undercover counterterrorism agent and must solve the case without disrupting the police activity in the sleeper cell .     14   14   `` My Funny Valentine ''   John Polson   Diana Son   February 9 , 2011 ( 2011 - 02 - 09 )   114   11.80     When a teenager is kidnapped , Danny and Jackie suspect her older boyfriend with a criminal past is involved . Erin 's relationship with her boss takes an unexpected turn when her daughter sets them up on a dinner date for Valentine 's Day .     15   15   `` Dedication ''   Jan Eliasberg   Kevin Wade   February 18 , 2011 ( 2011 - 02 - 18 )   115   11.16     When Frank is almost assassinated in a drive - by shooting , the police force begins a citywide manhunt . The search points Danny towards a dying crime boss with a grudge against Frank , sparked by a tragic event from their past . The Reagan family attend a ceremony at John Jay College of Criminal Justice to dedicate their atrium in Joe 's memory .     16   16   `` Age of Innocence ''   Félix Alcalá   Amanda Green   February 25 , 2011 ( 2011 - 02 - 25 )   116   11.65     When an unidentified young girl is found murdered at a debutante ball , Danny and Jackie interrogate a prostitute that was seen on the hotel 's surveillance footage giving the girl a hard time . Also , Danny gets into an argument with Erin for bringing Nicky to the crime scene .     17   17   `` Silver Star ''   Ralph Hemecker   Thomas Kelly   March 11 , 2011 ( 2011 - 03 - 11 )   117   11.60     When a highly decorated war veteran from Iraq is found dead on the streets and his Silver Star missing , Danny , a former Marine , finds himself emotionally involved .     18   18   `` To Tell the Truth ''   Alex Zakrzewski   Siobhan Byrne - O'Connor   April 1 , 2011 ( 2011 - 04 - 01 )   119   10.92     Just before Danny prepares to testify at narcotic kingpin Raymundo Salazar 's murder trial , he witnesses the shooting of a young man perpetrated by the felon with a history of witness intimidation . Matters become personal when the criminal 's goons abducts Linda in a daring attempt to force Danny 's silence .     19   19   `` Model Behavior ''   Matt Penn   Brian Burns   April 8 , 2011 ( 2011 - 04 - 08 )   118   10.71     At a fashion show , someone attempts to poison Linda 's niece Sophie ( Sonya Harum ) , an up - and - coming model , and succeeds at killing another model . Danny investigates the case while Linda must deal with animosity between herself and her older sister , Sophie 's mother . Meanwhile , Frank is on a personal mission to discover why a popular local priest is being suddenly reassigned .     20   20   `` All That Glitters ''   Michael Pressman   Gwendolyn M. Parker   April 29 , 2011 ( 2011 - 04 - 29 )   120   10.06     Frank 's frustrations rise when the media sensationalizes the murder of a tourist outside a trendy Lower East Side restaurant .     21   21   `` Cellar Boy ''   Karen Gaviola   Diana Son and Robin Green &amp; Mitchell Burgess   May 6 , 2011 ( 2011 - 05 - 06 )   121   10.38     Danny 's next - door neighbors are murdered and their son becomes the prime suspect . Jamie becomes convinced of being pursued by the Blue Templar when his gun goes missing and the brakes of his car were sabatoged .     22   22   `` The Blue Templar ''   Frederick K. Keller   Kevin Wade   May 13 , 2011 ( 2011 - 05 - 13 )   122   11.79     In his attempt to expose the Blue Templar , Frank chooses to bypass Internal Affairs after a drug bust indicates dirty cops are involved .     Ratings ( edit )   United States ( edit )     No. in   Episode   Air date   Time slot ( EST )   18 - 49 rating   Viewership   Live + 7   Ref     series   season   Rating   Share   in millions   Nightly rank   Weekly rank   18 - 49 rating   Viewership         Pilot   September 24 , 2010   Fridays 10 : 00 P.M.   2.2   7   13.01   # 1   # 17   N / A   15.27           Samaritan   October 1 , 2010   2.0   7   11.32   # 1   # 23   2.6   13.83           Privilege   October 8 , 2010   1.8   6   11.15   # 1   # 23   2.5   13.51           Officer Down   October 15 , 2010   1.7   6   10.40   # 1   N / A   2.3   12.69       5   5   What You See   October 22 , 2010   1.8   6   11.15   # 1   # 22   2.4   13.32       6   6   Smack Attack   October 29 , 2010   1.8   6   11.62   # 1   # 21   2.4   13.86       7   7   Brothers   November 5 , 2010   1.8   6   10.31   # 1   # 25   2.4   12.74       8   8   Chinatown   November 12 , 2010   1.6   5   10.57   # 1   # 24   N / A   12.79       9   9   Re-Do   November 19 , 2010   1.6   5   11.36   # 1   # 22   2.2   13.63       10   10   After Hours   December 3 , 2010   1.7   6   11.32   # 1   # 12   2.3   13.71       11   11   Little Fish   January 19 , 2011   Wednesdays 10 : 00 P.M.   2.0   6   12.30   # 2   # 13   2.7   14.94       12   12   Family Ties   January 26 , 2011   2.1   6   12.10   # 2   # 7   2.7   14.51       13   13   Hall of Mirrors   February 2 , 2011   1.6   5   11.31   # 2   # 12   2.3   13.73       14   14   My Funky Valentine   February 9 , 2011   2.1   6   11.80   # 4   # 16   N / A   14.24       15   15   Dedication   February 18 , 2011   Fridays 10 : 00 P.M.   1.5   5   11.16   # 1   # 14   2.2   13.78       16   16   Age of Ignorance   February 25 , 2011   1.7   6   11.65   # 1   # 14   2.4   14.25       17   17   Silver Star   March 11 , 2011   1.8   6   11.60   # 1   # 11   2.5   14.15       18   18   To Tell the Truth   April 1 , 2011   1.7   5   10.92   # 1   # 19   2.5   13.85       19   19   Model Behavior   April 8 , 2011   1.6   5   10.71   # 1   # 19   2.2   13.42       20   20   All That Glitters   April 29 , 2011   1.6   5   10.06   # 1   # 17   2.4   13.01       21   21   Cellar Boy   May 6 , 2011   1.5   5   10.38   # 1   # 17   2.2   12.77       22   22   The Blue Templar   May 13 , 2011   1.8   5   11.79   # 1   # 12   2.6   14.60       Canada ( edit )     No. in   Episode title   Air date   Time slot ( EST )   Viewership   Ref     series   season   in millions   Weekly rank         Pilot   September 24 , 2010   Fridays 10 : 00 pm   2.126   # 12           Samaritan   October 1 , 2010   1.585   # 21           Privilege   October 8 , 2010   1.744   # 16           Officer Down   October 15 , 2010   1.937   # 12       5   5   What You See   October 22 , 2010   1.767   # 13       6   6   Smack Attack   October 29 , 2010   1.720   # 17       7   7   Brothers   November 5 , 2010   1.602   # 20       8   8   Chinatown   November 12 , 2010   1.630   # 19       9   9   Re-Do   November 19 , 2010   1.608   # 25       10   10   After Hours   December 3 , 2010   1.756   # 11       11   11   Little Fish   January 19 , 2011   Wednesdays 10 : 00 pm   1.598   # 15       12   12   Family Ties   January 26 , 2011   1.662   # 11       13   13   Hall of Mirrors   February 2 , 2011   1.576   # 19       14   14   My Funky Valentine   February 9 , 2011   1.769   # 17       15   15   Dedication   February 18 , 2011   Fridays 10 : 00 pm   1.769   # 17       16   16   Age of Ignorance   February 25 , 2011   1.963   # 11       17   17   Silver Star   March 11 , 2011   1.479   # 20       18   18   To Tell the Truth   April 1 , 2011   1.794   # 10       19   19   Model Behavior   April 8 , 2011   1.664   # 15       20   20   All That Glitters   April 29 , 2011   1.486   # 15       21   21   Cellar Boy   May 6 , 2011   1.456   # 20       22   22   The Blue Templar   May 13 , 2011   1.799   # 17       United Kingdom ( edit )   All viewing figures and ranks are sourced from BARB .     No. in   Episode   Air date   Time slot ( UTC )   Sky Atlantic     series   season   Viewers ( millions )   Weekly rank         Pilot   February 1 , 2011   Tuesdays 10 : 00 pm   N / A   N / A         Samaritan   February 8 , 2011   0.626   # 1         Privilege   February 15 , 2011   0.584   # 2         Officer Down   February 22 , 2011   0.551   # 2     5   5   What You See   March 1 , 2011   0.582   # 2     6   6   Smack Attack   March 8 , 2011   0.530   # 2     7   7   Brothers   March 15 , 2011   0.499   # 2     8   8   Chinatown   March 22 , 2011   0.452   # 2     9   9   Re-Do   March 29 , 2011   0.451   # 2     10   10   After Hours   April 5 , 2011   0.517   # 2     11   11   Little Fish   April 12 , 2011   0.540   # 1     12   12   Family Ties   April 19 , 2011   0.489   # 2     13   13   Hall of Mirrors   April 26 , 2011   0.521   # 2     14   14   My Funky Valentine   May 3 , 2011   0.473   # 2     15   15   Dedication   May 10 , 2011   0.465   # 2     16   16   Age of Ignorance   May 17 , 2011   0.472   # 2     17   17   Silver Star   May 24 , 2011   0.539   # 2     18   18   To Tell the Truth   May 31 , 2011   0.503   # 2     19   19   Model Behavior   June 7 , 2011   0.525   # 2     20   20   All That Glitters   June 14 , 2011   0.493   # 2     21   21   Cellar Boy   June 21 , 2011   0.478   # 3     22   22   The Blue Templar   June 28 , 2011   0.471   # 1     Australia ( edit )     No. in   Episode title   Air date   Time slot   Viewership   Ref     series   season   in millions   Nightly rank   Weekly rank         Pilot   February 2 , 2011   Wednesdays 8 : 30 P.M.   1.107   # 8   # 23           Samaritan   February 9 , 2011   0.701   # 17   # 63           Privilege   February 16 , 2011   0.653   # 20   # 74           Officer Down   February 23 , 2011   0.467   # 22   # 74       5   5   What You See   February 23 , 2011   0.377   # 27   N / A       6   6   Smack Attack   March 2 , 2011   0.565   # 20   # 83       7   7   Brothers   March 11 , 2011   Fridays 9 : 30 P.M.   0.283   # 32   N / A       8   8   Chinatown   March 18 , 2011   0.387   # 21   N / A       9   9   Re-Do   March 25 , 2011   0.337   # 25   N / A       10   10   After Hours   April 1 , 2011   0.318   # 28   N / A       11   11   Little Fish   April 8 , 2011   0.286   # 30   N / A       12   12   Family Ties   April 15 , 2011   0.288   # 31   N / A       DVD release ( edit )     Blue Bloods - The 1st Season     Set details   Special features       22 episodes   6 - disc set ( DVD )   1.78 : 1 aspect ratio   Subtitles : English , French , Spanish , Portuguese   English : Dolby Digital 5.1 , Stereo   French : Stereo       Featurettes   `` Analyzing the Scene ''   `` Code Blue ''   `` Creating the Characters ''   `` Empire State of Mind ''   `` Keeping it in the Family ''   `` Keeping it Real ''     Deleted scenes   Gag reel   Network on - air promos       DVD release date     Region 1   Region 2   Region 4     September 13 , 2011 ( 2011 - 09 - 13 )   September 19 , 2011 ( 2011 - 09 - 19 )   September 15 , 2011 ( 2011 - 09 - 15 )     References ( edit )    Jump up ^ TV3 New Zealand ( July 11 , 2013 ) . `` From the creators of The Sopranos , # BlueBloods premieres this Saturday at 9.30 pm . Check out the trailer tv3.co.nz/Shows/BlueBloo ... '' . Twitter . Retrieved May 16 , 2014 .   ^ Jump up to : Knox , David ( October 21 , 2011 ) . `` Returning : Blue Bloods '' . TV Tonight . Retrieved September 24 , 2013 .   Jump up ^ `` Sky Atlantic HD to bring the very best in entertainment and drama exclusively to Sky customers from 1st February 2011 '' ( Press release ) . Sky.com . British Sky Broadcasting . 5 January 2011 .   Jump up ^ Finke , Nikki ( August 5 , 2010 ) . `` Showrunner Ken Sanzel Exits ' Blue Bloods ' After Creative Tension With Tom Selleck '' . Deadline.com . Penske Business Media , LLC . Retrieved 19 August 2014 .   ^ Jump up to : `` Blue Bloods Full Cast and Crew '' . IMDB . Amazon.com . Retrieved 19 August 2014 .   ^ Jump up to : `` Blue Bloods Cast '' . CBS . CBS Interactive . Retrieved 21 August 2014 .   ^ Jump up to : Schweikart , Larry ( December 27 , 2010 ) . `` Best Television Show of 2010 : Tom Selleck 's ' Blue Bloods ' '' . Breitbart . Retrieved 21 August 2014 .   Jump up ^ http://www.imdb.com/title/tt1662066/fullcredits?ref_=tt_cl_sm#cast   ^ Jump up to : `` DANNY BECOMES EMOTIONALLY INVOLVED WHILE LOOKING FOR A FORMER U.S. MARINE 'S KILLER ON `` BLUE BLOODS , '' FRIDAY , MARCH 11 `` . CBS Press Express . CBS Broadcasting Inc . February 24 , 2011 . Retrieved 21 August 2014 .   Jump up ^ `` THE REAGANS DEBATE ERIN 'S METHODS WHEN SHE TRIES TO TAKE DOWN A GANG LEADER USING HIS LAW - ABIDING AND DO - GOOD YOUNGER BROTHER AS BAIT , ON `` BLUE BLOODS , '' FRIDAY , NOV. 5 `` . CBS Press Express . CBS Broadcasting , Inc . Retrieved 21 August 2014 .   ^ Jump up to : `` FAMILY FRIENDS OF THE REAGANS ARE MURDERED AND THEIR SON IS THE PRIME SUSPECT , ON `` BLUE BLOODS , '' FRIDAY , MAY 6 `` . CBS Press Express . CBS Broadcasting , Inc . April 11 , 2011 . Retrieved 21 August 2014 .   Jump up ^ `` THE LIFE OF A REAGAN IS PUT IN DANGER WHEN THREE DANGEROUS CRIMINALS ARE RELEASED FROM PRISON BECAUSE OF COMPROMISED DNA EVIDENCE , ON `` BLUE BLOODS , '' FRIDAY , NOV. 19 `` . CBS Press Express . CBS Broadcasting , Inc . November 8 , 2010 . Retrieved 21 August 2014 .   Jump up ^ `` Press Releases '' . CBS Press Express . CBS Broadcasting , Inc . Retrieved 21 August 2014 .   Jump up ^ `` Jyle Hogan '' . IMDB . Amazon.com . Retrieved 21 August 2014 .   Jump up ^ Seidman , Robert ( October 21 , 2010 ) . `` CBS Gives Full Season Pickups to All New Series : Hawaii Five - 0 , Defenders , Blue Bloods , Mike &amp; Molly &amp; $ # * ! My Dad Says '' . TV by the Numbers . Tribune Media Services . Retrieved 19 August 2014 .   Jump up ^ Gorman , Bill ( June 1 , 2011 ) . `` 2010 - 11 Season Broadcast Primetime Show Viewership Averages '' . TV by the Numbers . Tribune Media Services . Retrieved 21 August 2014 .   Jump up ^ Gorman , Bill ( June 1 , 2011 ) . `` 2010 - 11 Season Broadcast Primetime Show 18 - 49 Ratings Averages '' . TV by the Numbers . Tribune Media Services . Retrieved 21 August 2014 .   Jump up ^ `` Bazinga ! CTV is Canada 's Most - Watched Network for 10th Straight Year '' . Canada : CNW Group . May 31 , 2011 . Retrieved 17 August 2014 .   Jump up ^ `` Critic Reviews for Blue Bloods Season 1 '' . Metacritic . September 24 , 2010 . Retrieved August 17 , 2014 .   Jump up ^ Hartel , Nick ( October 15 , 2011 ) . `` Blue Bloods : The First Season '' . DVD Talk . Internet Brands , Inc . Retrieved 20 August 2014 .   Jump up ^ Strowbridge , C.S. ( September 12 , 2011 ) . `` Featured TV on DVD Review : Blue Bloods : Season One '' . The Numbers . Nash Information Services , LLC . Retrieved 20 August 2014 .   Jump up ^ Cummins , Stuart ( September 19 , 2011 ) . `` DVD Review : BLUE BLOODS '' . What Culture . What Culture Ltd . Retrieved 20 August 2014 .   Jump up ^ Barney , Chuck ( December 2 , 2010 ) . `` Barney : Tom Selleck , Donnie Wahlberg shine in ' Blue Bloods ' '' . San Jose Mercury News . San Jose : MediaNews Group . Retrieved 21 August 2014 .   Jump up ^ Arseneau , Adam ( September 29 , 2011 ) . `` Blue Bloods : The First Season '' . DVD Verdict . Verdict Partners LLC . Retrieved 20 August 2014 .   Jump up ^ Brown , David ( 19 September 2011 ) . `` DVD review : Blue Bloods : Season 1 '' . Radio Times . Immediate Media Company Limited . Retrieved 20 August 2014 .   Jump up ^ Hann , Michael ( 19 May 2011 ) . `` Blue Bloods : so bad , it 's criminal '' . The Guardian . United Kingdom : Guardian News and Media . Retrieved 21 August 2014 .   ^ Jump up to : Gorman , Bill ( September 27 , 2010 ) . `` Friday Finals : Supernatural Up ; Dateline Dow '' . TV by the Numbers . Tribune Media Services . Retrieved October 1 , 2010 .   ^ Jump up to : Seidman , Robert ( October 5 , 2010 ) . `` Friday Finals : No Changes With 18 - 49 Ratings for Originals '' . TV by the Numbers . Tribune Media Services . Retrieved October 10 , 2010 .   ^ Jump up to : Gorman , Bill ( October 11 , 2010 ) . `` Friday Final Ratings : Dateline , Outlaw , Good Guys , Supernatural Adjusted Down '' . TV by the Numbers . Tribune Media Services . Retrieved October 12 , 2010 .   ^ Jump up to : Seidman , Robert ( October 18 , 2010 ) . `` Friday Final Ratings : Medium Adjusted Down , Smallville , Supernatural Hold Preliminary Ratings '' . TV by the Numbers . Tribune Media Services . Archived from the original on October 20 , 2010 . Retrieved October 19 ,</t>
  </si>
  <si>
    <t xml:space="preserve">who plays nicky on blue bloods season 1</t>
  </si>
  <si>
    <t xml:space="preserve"> Sami Gayle as Nicole `` Nicky '' Reagan - Boyle </t>
  </si>
  <si>
    <t xml:space="preserve">Jet black - wikipedia  Jet black   Jet black or Jet - black is a shade of black referring to the geological material jet .       Look up jet - black in Wiktionary , the free dictionary .     Jet black may refer to :    Jet black , the darkest shade of black hair color   Jet Black , English drummer for The Stranglers   `` Jet Black '' , the second single released by The Shadows ( known then as The Drifters ) ; released in 1959 .   Jet Black ( album ) , an album by Gentleman Reg .   Jet Black ( Cowboy Bebop ) , a character from the anime Cowboy Bebop   Jet Black ( Viewtiful Joe ) , a character from the video game series Viewtiful Joe   `` Jet black '' , a color option available for the iPhone 7 , released in 2016    See also ( edit )    All pages beginning with `` Jet Black ''   All pages with a title containing Jet Black        Disambiguation page providing links to articles with similar titles This disambiguation page lists articles associated with the title Jet black . If an internal link led you here , you may wish to change the link to point directly to the intended article .    Retrieved from `` https://en.wikipedia.org/w/index.php?title=Jet_black&amp;oldid=798409701 '' Categories :   Disambiguation pages   Hidden categories :   Disambiguation pages with short description   All article disambiguation pages   All disambiguation pages           Talk                                                             About Wikipedia                                           Français   Italiano   Edit links   This page was last edited on 1 September 2017 , at 19 : 26 ( UTC ) .         About Wikipedia                    </t>
  </si>
  <si>
    <t xml:space="preserve">where does the term jet black come from</t>
  </si>
  <si>
    <t xml:space="preserve"> Jet black or Jet - black is a shade of black referring to the geological material jet . </t>
  </si>
  <si>
    <t xml:space="preserve">Master Blaster - wikipedia  Master Blaster   Master Blaster may refer to :   Contents    1 Film   2 Television   3 Music   4 Fiction   5 Sports   6 Other uses   7 See also    Film ( edit )    Master Blaster , a pair of characters from Mad Max Beyond Thunderdome    Television ( edit )    `` Master Blaster '' , a Beast Wars episode   Master Blaster , a character from Kidd Video   Master Blasters , an American game show that debuted on July 27 , 2005    Music ( edit )    `` Master Blaster ( Jammin ' ) '' , a 1980 song by Stevie Wonder   `` Masterblaster 2000 '' , a hit cover of `` Master Blaster ( Jammin ' ) '' by DJ Luck &amp; MC Neat   `` Master Blaster '' , a 1996 song by Nikka Costa from Butterfly Rocket   Master Blaster ( band ) , a German dance band   Master Blaster ( musician ) , former Ugandan dance - hall musician    Fiction ( edit )    Master Blaster , a member of the Legion of Net. Heroes    Sports ( edit )    Master Blaster , nickname of Viv Richards , retired West Indian Cricketer   Master Blaster , nickname of Sanath Jayasuriya , retired Sri Lankan Cricketer   Master Blasters , a type of Cricket   Master Blaster , nickname of Sachin Tendulkar , retired Indian Cricketer    Other uses ( edit )    Masterblaster , a video game series   The Master Blasters , a professional wrestling tag team in World Championship Wrestling from 1990 - 1991 that consisted of Steel ( Kevin Nash ) , Iron , and Blade ( Al Green )   The Master Blaster , a ring name used by professional wrestler Kevin Nash in World Championship Wrestling in 1991   Master Blaster , an uphill water coaster at Schlitterbahn , New Braunfels , Texas   Master Blaster , a roller coaster at Sandcastle Waterworld , England   Master Blaster , the job title of a senior explosives engineer working with materials such as Tovex   Master Blasters , a type of water coaster   Master Blaster , a theme deck from the Mirrodin block in Magic : The Gathering    See also ( edit )    Blaster Master ( disambiguation )   Raster Blaster        Disambiguation page providing links to articles with similar titles This disambiguation page lists articles associated with the title Master Blaster . If an internal link led you here , you may wish to change the link to point directly to the intended article .    Retrieved from `` https://en.wikipedia.org/w/index.php?title=Master_Blaster&amp;oldid=848500826 '' Categories :   Disambiguation pages   Hidden categories :   Disambiguation pages with short description   All article disambiguation pages   All disambiguation pages           Talk                                           Contents                   About Wikipedia                                           Deutsch   Italiano   Nederlands   Edit links   This page was last edited on 2 July 2018 , at 09 : 16 ( UTC ) .         About Wikipedia                    </t>
  </si>
  <si>
    <t xml:space="preserve">who is known as master blaster in cricket</t>
  </si>
  <si>
    <t xml:space="preserve">  Master Blaster , nickname of Viv Richards , retired West Indian Cricketer   Master Blaster , nickname of Sanath Jayasuriya , retired Sri Lankan Cricketer   Master Blasters , a type of Cricket   Master Blaster , nickname of Sachin Tendulkar , retired Indian Cricketer  </t>
  </si>
  <si>
    <t xml:space="preserve">List of Celebrity Big Brother ( UK ) housemates - wikipedia  List of Celebrity Big Brother ( UK ) housemates  This is the latest accepted revision , reviewed on 4 April 2018 . Jump to : navigation , search  Celebrity Big Brother is a spin - off of the British reality television series Big Brother , broadcast in the UK and Ireland . Originally broadcast on Channel 4 and E4 and now broadcast on Channel 5 and 5Star , it involves a group of celebrities , called housemates , living in isolation from the outside world in a custom - built `` house '' . The actions of the participants are recorded constantly by microphones and cameras situated in each room . Regularly , the housemates nominate two other members of the group each to face eviction ; those with the most nominations face a public telephone vote , and the housemate who receives the most public votes is evicted . This procedure continues until the final day , when the viewers vote for who of the remaining participants they want to win the programme . Profits from premium - rate telephone votes are donated to charities such as Comic Relief , Centrepoint and Samaritans .     Contents  ( hide )   1 Programme   2 Housemates   2.1 Notes   2.2 Statistics   2.3 Deaths     3 Guests   4 International versions   5 References   6 External links      Programme ( edit )   Twenty - one editions of Celebrity Big Brother have been made , involving a total of 262 housemates . The programme has been the centre of controversies over the actions and inclusion of some of its housemates . For instance , viewer and People for the Ethical Treatment of Animals ( PETA ) complaints prompted Hertfordshire Police to remove a coat from the 2006 edition after Pete Burns claimed that it was made from gorilla fur and therefore against the Convention on International Trade in Endangered Species agreement of 1975 . However , after an analysis at the Natural History Museum , it was later discovered that the coat was made from the fur of Colobus monkeys . Fellow members of parliament criticised George Galloway 's participation in the same series , stating that Galloway had missed important debates regarding his constituency , Bethnal Green and Bow , and rejecting claims that Galloway took part to raise political awareness amongst the British youth . The family of Stuart Lubbock , a man who died in Michael Barrymore 's swimming pool , criticised the programme makers for paying the entertainer £ 150,000 to participate on the programme . The mental states of the contestants were called into question during the first series ; psychologist Mark Griffiths highlighted behaviour displayed by Anthea Turner and Vanessa Feltz as examples of the negative effects of the programme . Germaine Greer voluntarily left the 2005 series after accusing the producers of using `` superior bullying '' tactics against contestants ; commentators such as Graham Norton have argued that the housemates are not `` actual celebrities '' . During the 2009 series , 527 viewers complained to Ofcom , the majority concerned about Coolio 's conduct towards female contestants , but it was decided that the broadcaster 's code was not breached . Comments made by Heidi Fleiss also proved controversial during the final series to air on Channel 4 of the programme in 2010 ; she accused Ivana Trump of smuggling drugs onto the programme , a claim that Trump 's spokesperson denied , and made comments about abortion that attracted criticism .   During the 2007 series , comments directed to and made about Shilpa Shetty from Jade Goody , Danielle Lloyd , Jo O'Meara and Jack Tweed caused an international racism controversy . The British and Indian governments commented on the issue , while Ofcom decreed that Channel 4 had been guilty of `` serious editorial misjudgements '' after 54,000 viewers claimed that Shetty had been the victim of racial discrimination . The broadcaster was made to air a series of on - air apologies , and the programme was not included in Channel 4 's 2008 schedule ; it was replaced by Big Brother : Celebrity Hijack . In 2009 , Channel 4 's director of television Kevin Lygo announced that Big Brother `` had reached a natural end point '' and the 2010 edition was the final celebrity series to air on the channel . However , Channel 5 stated in April 2011 that it has signed a two - year deal with Endemol , the show 's creators , to air both version of the programme for a reported £ 220m . The series started on 18 August 2011 and former Big Brother winner Brian Dowling replaced Davina McCall as the programme 's presenter . Dowling presented the programme until January 2013 , his final series being Celebrity Big Brother 11 . Since the twelfth series of the show , Emma Willis has presented .   Housemates ( edit )  Jack Dee won the first edition of the programme . Jade Goody 's involvement in a racism controversy sparked an international debate in the 2007 edition . Alex Reid was the winner of the seventh and final Celebrity Big Brother to air on Channel 4 . Atomic Kitten singer and reality television star Kerry Katona was the runner - up of the eighth series which was the first to air on Channel 5 . Jeremy Jackson ( left ) was one of two contestants to be removed from the programme after breaching the rules in the fifteenth series . This was the first edition of Celebrity Big Brother to feature a housemate leaving the show in this manner . Reality TV star , drag queen and singer Shane Jenek / Courtney Act is the most recent winner after winning the twenty - first series on 2 February 2018 .   Winner   Runner - up   Third place   Walked / Illness   Ejected   Participating   Housemate entered for the second time      Series   Celebrity   Age   Notability   Status       Jack Dee   38   Comedian   1st -- Winner       Claire Sweeney   29   Actress   2nd -- Runner - up       Keith Duffy   26   Singer and actor   3rd -- Third place       Anthea Turner   40   Presenter   4th -- Evicted       Vanessa Feltz   39   Broadcaster and journalist   5th -- Evicted       Chris Eubank   35   Boxer   6th -- Evicted       Mark Owen   30   Singer   1st -- Winner       Les Dennis   48   Presenter and comedian   2nd -- Runner - up       Melinda Messenger   31   Glamour model and presenter   3rd -- Third place       Sue Perkins   33   Comedian and presenter   4th -- Evicted       Anne Diamond   48   Journalist and presenter   5th -- Evicted       Goldie   37   Musician , DJ and actor   6th -- Evicted       Bez   40   Dancer and percussionist   1st -- Winner       Kenzie   19   Rapper   2nd -- Runner - up       Brigitte Nielsen   41   Actress and model   3rd -- Third place       Jeremy Edwards   33   Actor   4th -- Evicted       Caprice Bourret   33   Model and actress   5th -- Evicted       Lisa I'Anson   39   Presenter   6th -- Evicted       John McCririck   64   Horse racing pundit   7th -- Evicted       Jackie Stallone   83   Mother of Sylvester Stallone   8th -- Evicted       Germaine Greer   65   Feminist , academic and journalist   9th -- Walked       Chantelle Houghton   22   Non-celebrity   1st -- Winner       Michael Barrymore   53   Comedian and presenter   2nd -- Runner - up       Maggot   24   Rapper   3rd -- Third place       Preston   23   Singer   4th -- Evicted       Pete Burns   46   Singer   5th -- Evicted       Traci Bingham   37   Actress and model   6th -- Evicted       Dennis Rodman   44   Basketball player   7th -- Evicted       George Galloway   51   Politician and journalist   8th -- Evicted       Rula Lenska   57   Actress   9th -- Evicted       Faria Alam   39   Affair with Sven - Goran Eriksson   10th -- Evicted       Jodie Marsh   27   Glamour model   11th -- Evicted     5   Shilpa Shetty   31   Actress   1st -- Winner     5   Jermaine Jackson   52   Jackson family member and singer   2nd -- Runner - up     5   Dirk Benedict   61   Actor   3rd -- Third place     5   Ian `` H '' Watkins   30   Singer   4th -- Evicted     5   Danielle Lloyd   23   Glamour model and Miss Great Britain   5th -- Evicted     5   Jack Tweed   19   Boyfriend of Jade Goody   6th -- Evicted     5   Cleo Rocos   44   Actress   7th -- Evicted     5   Jo O'Meara   27   Singer   8th -- Evicted     5   Jade Goody   25   Reality TV star   9th -- Evicted     5   Carole Malone   52   Journalist and broadcaster   10th -- Evicted     5   Leo Sayer   58   Singer   11th -- Walked     5   Jackiey Budden   48   Mother of Jade Goody   12th -- Evicted     5   Ken Russell   79   Director   13th -- Walked     5   Donny Tourette   22   Singer   14th -- Walked     6   Ulrika Jonsson   41   Presenter   1st -- Winner     6   Terry Christian   45   Presenter   2nd -- Runner - up     6   Coolio   45   Musician   3rd -- Third place     6   Verne Troyer   40   Actor   4th -- Evicted     6   Ben Adams   27   Singer   5th -- Evicted     6   Tommy Sheridan   44   Politician   6th -- Evicted     6   La Toya Jackson   52   Jackson family member and singer   7th -- Evicted     6   Michelle Heaton   28   Singer   8th -- Evicted     6   Mutya Buena   23   Singer   9th -- Walked     6   Tina Malone   45   Actress   10th -- Evicted     6   Lucy Pinder   25   Glamour model   11th -- Evicted     7   Alex Reid   34   Mixed martial artist   1st -- Winner     7   Dane Bowers   30   Singer   2nd -- Runner - up     7   Vinnie Jones   44   Actor and ex-footballer   3rd -- Third place     7   Jonas Altberg   25   Singer , record producer and DJ   4th -- Evicted     7   Stephanie Beacham   62   Actress   5th -- Evicted     7   Nicola T   27   Glamour model   6th -- Evicted     7   Ivana Trump   60   Model and socialite   7th -- Evicted     7   Sisqó   31   Singer   8th -- Evicted     7   Stephen Baldwin   43   Actor   9th -- Evicted     7   Lady Sovereign   24   Rapper   10th -- Evicted     7   Heidi Fleiss   44   Former pimp and TV personality   11th -- Evicted     7   Katia Ivanova   21   Ex-girlfriend of Ronnie Wood   12th -- Evicted     8   Paddy Doherty   52   Reality TV star   1st -- Winner     8   Kerry Katona   30   Media personality and singer   2nd -- Runner - up     8   Jedward   19   Singers   3rd -- Third place     8   Amy Childs   21   Reality TV star   4th -- Evicted     8   Lucien Laviscount   19   Actor   5th -- Evicted     8   Darryn Lyons   45   Paparazzo   6th -- Evicted     8   Bobby Sabel   25   Model   7th -- Evicted     8   Tara Reid   35   Actress and model   8th -- Evicted     8   Pamela Bach Hasselhoff   47   Actress , ex-wife of David Hasselhoff   9th -- Evicted     8   Sally Bercow   41   Wife of John Bercow   10th -- Evicted     9   Denise Welch   53   Actress and TV panellist   1st -- Winner     9   Frankie Cocozza   18   Singer   2nd -- Runner - up     9   Gareth Thomas   37   Rugby player   3rd -- Third place     9   Michael Madsen   54   Actor , poet and photographer   4th -- Evicted     9   Karissa and Kristina Shannon   22   Playboy playmates and glamour models   5th -- Evicted     9   Romeo   31   Rapper   6th -- Evicted     9   Nicola McLean   30   Glamour model and media personality   7th -- Evicted     9   Natalie Cassidy   28   Actress and TV personality   8th -- Evicted     9   Kirk Norcross   23   Reality TV star   9th -- Evicted     9   Georgia Salpa   26   Model   10th -- Evicted     9   Natasha Giggs   29   Affair with Ryan Giggs   11th -- Evicted     9   Andrew Stone   39   Reality TV star   12th -- Evicted     10   Julian Clary   53   Comedian   1st -- Winner     10   Coleen Nolan   47   Singer and TV presenter   2nd -- Runner - up     10   Martin Kemp   50   Singer and actor   3rd -- Third place     10   The Situation   30   Reality TV star   4th -- Evicted     10   Ashley McKenzie   21   Judoka   5th -- Evicted     10   MC Harvey   33   Rapper   6th -- Evicted     10   Julie Goodyear   70   Actress   7th -- Evicted     10   Prince Lorenzo   40   Italian prince and entrepreneur   8th -- Evicted     10   Danica Thrall   24   Glamour model and TV personality   9th -- Evicted     10   Samantha Brick   41   Journalist and writer   10th -- Evicted     10   Rhian Sugden   25   Glamour model   11th -- Evicted     10   Cheryl Fergison   46   Actress   12th -- Evicted     10   Jasmine Lennard   27   Fashion model   13th -- Evicted     11   Rylan Clark   24   Singer   1st -- Winner     11   Heidi Montag and Spencer Pratt   26 29   Reality TV stars   2nd -- Runner - up     11   Ryan Moloney   33   Actor   3rd -- Third place     11   Claire Richards   35   Singer   4th -- Evicted     11   Razor Ruddock   44   Ex-footballer and TV personality   5th -- Evicted     11   Tricia Penrose   42   Actress and singer   6th -- Evicted     11   Frankie Dettori   42   Jockey   7th -- Evicted     11   Gillian Taylforth   57   Actress   8th -- Evicted     11   Lacey Banghard   19   Glamour model   9th -- Evicted     11   Sam Robertson   27   Actor   10th -- Evicted     11   Paula Hamilton   51   Supermodel   11th -- Evicted     12   Charlotte Crosby   23   Reality TV star   1st -- Winner     12   Abz Love   34   Singer   2nd -- Runner - up     12   Lauren Harries   35   Media personality   3rd -- Third place     12   Carol McGiffin   53   TV presenter and journalist   4th -- Evicted     12   Mario Falcone   25   Reality TV star   5th -- Evicted     12   Vicky Entwistle   44   Actress   6th -- Evicted     12   Louie Spence   44   Dancer and TV personality   7th -- Evicted     12   Courtney Stodden   18   TV and media personality   8th -- Evicted     12   Bruce Jones   60   Actor   9th -- Evicted     12   Dustin Diamond   36   Actor   10th -- Evicted     12   Sophie Anderton   36   Model and reality TV star   11th -- Evicted     12   Ron Atkinson   74   Former football manager and pundit   12th -- Evicted     12   Danielle Marr   33   Reality TV star   13th -- Evicted     13   Jim Davidson   60   Comedian and TV presenter   1st -- Winner     13   Dappy   26   Rapper   2nd -- Runner - up     13   Ollie Locke   26   Reality TV star   3rd -- Third place     13   Luisa Zissman   26   Reality TV star   4th -- Evicted     13   Sam Faiers   23   Reality TV star   5th -- Evicted     13   Casey Batchelor   29   Glamour model   6th -- Evicted     13   Lee Ryan   30   Singer   7th -- Evicted     13   Linda Nolan   54   Singer   8th -- Evicted     13   Liz Jones   55   Journalist and columnist   9th -- Evicted     13   Lionel Blair   85   Actor   10th -- Evicted     13   Jasmine Waltz   31   US media personality   11th -- Evicted     13   Evander Holyfield   51   Boxer   12th -- Evicted     14   Gary Busey   70   Actor   1st -- Winner     14   Audley Harrison   42   Heavyweight boxer   2nd -- Runner - up     14   James Jordan   36   Professional dancer   3rd -- Third place     14   George Gilbey   30   Reality TV star   4th -- Evicted     14   Dee Kelly   43   Reality TV star   5th -- Evicted     14   Edele Lynch   35   Singer   6th -- Evicted     14   Lauren Goodger   27   Reality TV star   7th -- Evicted     14   Ricci Guarnaccio   27   Reality TV star   8th -- Evicted     14   Kellie Maloney   61   Boxing manager and former UKIP politician   9th -- Evicted     14   Stephanie Pratt   28   Reality TV star   10th -- Evicted     14   Frenchy   38   Model , actress and TV personality   11th -- Evicted     14   Claire King   52   Actress   12th -- Walked     14   Leslie Jordan   59   Actor   13th -- Evicted     14   David McIntosh   28   Model and Kelly Brook 's fiancé   14th -- Evicted     15   Katie Price   36   TV personality and glamour model   1st -- Winner     15   Katie Hopkins   39   TV personality and columnist   2nd -- Runner - up     15   Calum Best   33   Model and TV personality   3rd -- Third place     15   Keith Chegwin   57   Actor and presenter   4th -- Evicted     15   Michelle Visage   46   Singer and presenter   5th -- Evicted     15   Perez Hilton   36   Blogger and TV personality   6th -- Evicted     15   Kavana   37   Singer   7th -- Evicted     15   Cami - Li   26   Model   8th -- Evicted     15   Nadia Sawalha   50   Actress and presenter   9th -- Evicted     15   Patsy Kensit   46   Actress   10th -- Evicted     15   Alicia Douvall   35   Media personality   11th -- Evicted     15   Alexander O'Neal   61   Singer   12th -- Walked     15   Chloe Goodman   21   Reality TV star   13th -- Evicted     15   Ken Morley   72   Actor   14th -- Ejected     15   Jeremy Jackson   34   Actor   15th -- Ejected     16   James Hill   28   Reality TV star   1st -- Winner     16   Austin Armacost   27   Reality TV star   2nd -- Runner - up     16   Natasha Hamilton   33   Singer   3rd -- Third place     16   Bobby Davro   56   Comedian   4th -- Evicted     16   Stevi Ritchie and Chloe - Jasmine Whichello   34 25   Singers and Reality TV stars   5th -- Evicted     16   Sherrie Hewson   64   Actress   6th -- Evicted     16   Janice Dickinson   60   Model   7th -- Evicted     16   Jenna Jameson   41   Porn star   8th -- Evicted     16   Farrah Abraham   24   Reality TV star   9th -- Evicted     16   Gail Porter   44   TV presenter   10th -- Evicted     16   Fatman Scoop   35   Rapper   11th -- Evicted     16   Chris Ellison   68   Actor   12th -- Evicted     16   Daniel Baldwin   54   Actor   13th -- Evicted     16   Tila Tequila   33   Internet personality and reality TV star   14th -- Ejected     17   Scotty T   27   Reality TV star   1st -- Winner     17   Stephanie Davis   22   Actress   2nd -- Runner - up     17   Darren Day   47   Actor and singer   3rd -- Third place     17   Tiffany Pollard   33   Reality TV star   4th -- Evicted     17   Danniella Westbrook   42   Actress   5th -- Evicted     17   John Partridge   44   Actor   6th -- Evicted     17   Gemma Collins   34   Reality TV star   7th -- Evicted     17   Jeremy McConnell   25   Reality TV star and model   8th -- Evicted     17   Christopher Maloney   38   Singer   9th -- Evicted     17   Megan McKenna   23   Reality TV star   10th -- Evicted     17   Kristina Rihanoff   38   Professional dancer   11th -- Evicted     17   Angie Bowie   66   Ex-wife of David Bowie   12th -- Walked     17   David Gest   62   Producer and TV personality   13th -- Walked     17   Nancy Dell'Olio   54   Ex-girlfriend of Sven - Göran Eriksson   14th -- Evicted     17   Jonathan Cheban   42   Reality TV star   15th -- Walked     17   Winston McKenzie   59   Former boxer and UKIP candidate   16th -- Evicted     18   Stephen Bear   26   Reality TV star   1st -- Winner     18   Ricky Norwood   28   Actor   2nd -- Runner - up     18   Renee Graziano   47   Reality TV star   3rd -- Third place     18   Marnie Simpson   24   Reality TV star   4th -- Evicted     18   Aubrey O'Day   32   Singer and reality TV star   5th -- Evicted     18   Frankie Grande   33   Internet personality and half - brother of Ariana Grande   6th -- Evicted     18   Samantha Fox   50   Model and singer   7th -- Evicted     18   Katie Waissel   30   Singer   8th -- Evicted     18   James Whale   65   Radio broadcaster   9th -- Evicted     18   Lewis Bloor   26   Reality TV star   10th -- Evicted     18   Heavy D   43   Reality TV star   11th -- Evicted     18   Chloe Khan   25   Media personality   12th -- Evicted     18   Saira Khan   46   TV presenter   13th -- Evicted     18   Grant Bovey   55   Media personality and ex-husband of Anthea Turner   14th -- Evicted     18   Christopher Biggins   67   Actor and TV presenter   15th -- Ejected     19   Coleen Nolan   51   Singer , TV presenter and CBB10 housemate   1st -- Winner     19   Jedward   24   Singers and CBB8 housemates   2nd -- Runner - up     19   Kim Woodburn   74   Television presenter and expert cleaner   3rd -- Third place     19   James Cosmo   68   Actor   4th -- Evicted     19   Nicola McLean   35   Model , media personality and CBB9 housemate   5th -- Evicted     19   Bianca Gascoigne   30   Model and TV personality   6th -- Evicted     19   Calum Best   35   Model , TV personality and CBB15 housemate   7th -- Evicted     19   Jamie O'Hara   30   Footballer   8th -- Evicted     19   Heidi Montag and Spencer Pratt   30 33   Reality TV stars and CBB11 housemates   9th -- Evicted     19   Jessica Cunningham   29   Reality TV star   10th -- Evicted     19   Stacy Francis   47   Singer and reality TV star   11th -- Evicted     19   Chloe Ferry   21   Reality TV star   12th -- Evicted     19   James Jordan   38   Professional dancer and CBB14 housemate   13th -- Evicted     19   Jasmine Waltz   34   US media personality and CBB13 housemate   14th -- Evicted     19   Austin Armacost   28   Reality TV star and CBB16 housemate   15th -- Evicted     19   Angie Best   64   Model and ex-wife of George Best   16th -- Evicted     19   Brandon Block   49   DJ   17th -- Walked     19   Ray J   35   Singer and TV personality   18th -- Walked     20   Sarah Harding   35   Singer and actress   1st -- Winner     20   Amelia Lily   22   Singer and actress   2nd -- Runner - up     20   Sam Thompson   24   Reality TV star   3rd -- Third place     20   Derek Acorah   67   Spiritual medium   4th -- Evicted     20   Chad Johnson   29   Reality TV star   5th -- Evicted     20   Jemma Lucy   29   Reality TV star   6th -- Evicted     20   Shaun Williamson   51   Actor   7th -- Evicted     20   Helen Lederer   62   Comedian and actress   8th -- Evicted     20   Sandi Bogle   52   Reality TV star   9th -- Evicted     20   Paul Danan   39   Actor   10th -- Evicted     20   Brandi Glanville   44   Reality TV star   11th -- Evicted     20   Jordan Davies   25   Reality TV star   12th -- Evicted     20   Trisha Paytas   29   Internet personality   13th -- Walked     20   Karthik Nagesan   34   Reality TV star   14th -- Evicted     20   Marissa Jade   32   Reality TV star   15th -- Evicted     21   Shane Jenek / Courtney Act   35   Reality TV star , drag queen and singer   1st -- Winner     21   Ann Widdecombe   70   Politician   2nd -- Runner - up     21   Shane Lynch   41   Singer   3rd -- Third place     21   Jess Impiazzi   28   Reality TV star   4th -- Evicted     21   Wayne Sleep   69   Dancer   5th -- Evicted     21   Amanda Barrie   82   Actress   6th -- Evicted     21   Malika Haqq   34   Reality TV star   7th -- Evicted     21   Ashley James   30   Reality TV star   8th -- Evicted     21   Daniel O'Reilly   33   Comedian   9th -- Evicted     21   Jonny Mitchell   26   Reality TV star   10th -- Evicted     21   Andrew Brady   27   Reality TV star   11th -- Evicted     21   Ginuwine   47   Singer   12th -- Evicted     21   John Barnes   54   Footballer   13th -- Evicted     21   Maggie Oliver   62   Detective constable   14th -- Evicted     21   Rachel Johnson   52   Journalist and presenter   15th -- Evicted     21   India Willoughby   52   Newsreader   16th -- Evicted     Notes ( edit )    ^ Ages at the time the celebrity entered the house    Statistics ( edit )    Number of housemates : 263   Male housemates : 125   Female housemates : 132   Two competing as one housemate : 6 ( 2 male pairs , 1 female pair , 3 mixed pairs )   Male winners : 13 ( Latest : Shane Jenek -- Celebrity Big Brother 21 )   Female winners : 8 ( Latest : Sarah Harding -- Celebrity Big Brother 20 )   Walks : 13 ( Latest : Trisha Paytas -- Celebrity Big Brother 20 )   Ejections : 4 ( Latest : Christopher Biggins -- Celebrity Big Brother 18 )   First to enter : Anthea Turner ( Celebrity Big Brother 1 )   Last to enter : Ginuwine ( Celebrity Big Brother 21 )   Last out : Shane Jenek / Courtney Act ( Winner ) ( Celebrity Big Brother 21 )   Biggest winning percentage : 77 % to win -- Mark Owen ( Celebrity Big Brother 2 )   Closest winning percentage : 54 % to win -- Bez ( Celebrity Big Brother 3 )   Biggest eviction percentage : 82 % to evict -- Jade Goody ( Celebrity Big Brother 5 )   Closest eviction percentage : 50.6 % to evict -- Anne Diamond ( Celebrity Big Brother 2 )   Most nominations : 24 nominations -- Gary Busey ( Celebrity Big Brother 14 )   Most nominations in a single week : 11 nominations -- James Whale ( Celebrity Big Brother 18 )   Most times up for eviction : 5 times -- Jim Davidson , Liz Jones , Luisa Zissman ( Celebrity Big Brother 13 ) , Gary Busey ( Celebrity Big Brother 14 ) , Stevi Ritchie and Chloe - Jasmine Whichello ( Celebrity Big Brother 16 ) , Stephen Bear ( Celebrity Big Brother 18 ) , Jedward ( Celebrity Big Brother 19 )   Most nominations from a winner : 24 nominations -- Gary Busey ( Celebrity Big Brother 14 )   Least nominations from a winner : 0 nominations -- Paddy Doherty ( Celebrity Big Brother 8 )   Most nominations from a finalist : 24 nominations -- Gary Busey ( Celebrity Big Brother 14 )   Least nominations from a finalist : 0 nominations -- Vinnie Jones ( Celebrity Big Brother 7 ) , Paddy Doherty , Kerry Katona , Jedward , Amy Childs ( Celebrity Big Brother 8 ) , Casey Batchelor ( Celebrity Big Brother 13 ) , Amelia Lily ( Celebrity Big Brother 20 ) , Jess Impiazzi ( Celebrity Big Brother 21 )    Heidi and Spencer ( Celebrity Big Brother 11 and Celebrity Big Brother 19 ) were up for eviction a combined total of 6 times during their two appearances .   Deaths ( edit )   2009    22 March -- Jade Goody , Big Brother 3 , Big Brother Panto and Celebrity Big Brother 5 , Bigg Boss 2 housemate . ( b . 1981 )    2011    27 November -- Ken Russell , Celebrity Big Brother 5 housemate . ( b . 1927 )    2016    12 April -- David Gest , Celebrity Big Brother 17 housemate . ( b . 1953 )   23 October -- Pete Burns , Celebrity Big Brother 4 housemate . ( b . 1959 )    2017    11 December -- Keith Chegwin , Celebrity Big Brother 15 housemate . ( b . 1957 )    Guests ( edit )   On some occasions , celebrities have entered the house for a short period of time as guests .     Series   Celebrity   Notability   Ref ( s )       Jimmy Savile   Television presenter       5   John and Sylvia Caddock   Parents of Jackiey Budden , grandparents of Jade Goody       6   Michelle Marsh   Glamour model       Michael Barrymore   TV presenter , comedian and CBB4 housemate     Chesney Hawkes   Singer     Alice Barry   Shameless actress     Rebecca Ryan     Nikki Grahame   BB7 housemate       7   Barry Fry   Football manager       Edward   Lionel Richie impersonator       Davina McCall   TV presenter ( Big Brother and Celebrity Big Brother )       8   Mohamed Al - Fayed   Businessman       Marco Pierre White   Chef       Christopher Mintz - Plasse   Actor       Anton Yelchin   Actor     9   Jodie Marsh   Glamour model and CBB4 housemate       Jedward   Singers and CBB8 housemates       Aldo Zilli   Chef       10   Marilyn Galsworthy   Actress and Jasmine Lennard 's mother       11   Paula Hamilton   Supermodel and ex-housemate       Jamie East   TV presenter       12   Doug Hutchison   Actor and Courtney Stodden 's husband       Vanessa Feltz   Broadcaster , journalist and CBB1 and UBB housemate       Rylan Clark   TV personality , CBB11 housemate and Bit on the Side host       Danielle Marr   Reality TV star and ex-housemate     Sophie Anderton   Model , reality TV star and ex-housemate     13   Antony Costa   Members of Blue       Duncan James     Simon Webbe     Jasmine Waltz   US media personality , ex-housemate       Emma Willis   TV presenter ( Big Brother and Celebrity Big Brother )       15   Emma Willis   TV presenter ( Big Brother and Celebrity Big Brother )       Eamonn Holmes   TV presenter       James Jordan   Professional dancer and CBB14 housemate     16   Paul Burrell   Former British Royal Household servant       Jennie Bond   Journalist and TV presenter       Emma Willis   TV presenter ( Big Brother and Celebrity Big Brother )       Eamonn Holmes   Television presenter       17   Gillian McKeith   Nutritionist , author and television presenter       Vanessa Feltz   Broadcaster , Journalist and CBB1 and UBB housemate       Luisa Zissman   Reality TV star and CBB13 housemate       Megan McKenna   Reality TV star and ex-housemate       Rylan Clark   TV personality , CBB11 housemate and Bit on the Side host       Vicky Pattison   Reality TV star       Joe Swash   Actor     18   Emma Willis   TV presenter ( Big Brother and Celebrity Big Brother )       Sophie Kasaei   Reality TV star       Lillie Lexie Gregg   Media personality and Reality TV star       19   Austin Armacost   Reality TV star and ex-housemate       John McCririck   Horse racing pundit and CBB3 and UBB housemate     Luisa Zissman   Reality TV star and CBB13 housemate     Saira Khan   TV presenter and CBB18 housemate     Vanessa Feltz   Broadcaster , journalist and CBB1 and UBB housemate     International versions ( edit )     Name   Celebrity Big Brother UK history   Big Brother International history     Series   Status   Country   Series   Season ( s )   Status     Brandi Glanville   Celebrity Big Brother 20   Evicted -- 11th place   America   Celebrity Big Brother   Celebrity Big Brother 1   Evicted -- 7th place     References ( edit )    Jump up ^ `` Top TV shows of the noughties '' . The Guardian . London . 28 July 2009 . Retrieved 14 August 2009 .   ^ Jump up to : `` Rules '' . Channel 4 . 5 June 2008 . Archived from the original on 14 July 2009 . Retrieved 14 August 2009 .   ^ Jump up to : `` Big Brother win for Rachel Rice '' . BBC . 6 September 2008 . Retrieved 14 August 2009 .   ^ Jump up to : Bailey , Fiona ( 18 August 2011 ) . `` Why is Channel 5 bothering with Big Brother ? '' . London : BBC . Retrieved 19 August 2011 .   ^ Jump up to : `` Dee big winner of Big Brother '' . BBC . 17 March 2001 . Retrieved 19 August 2009 .   Jump up ^ `` Owen wins Celebrity Big Brother '' . BBC . 29 November 2002 . Retrieved 19 August 2009 .   Jump up ^ Naughton , Philippe ( 19 January 2006 ) . `` Police feel fluffy collar of Pete Burns '' . London : The Times . Retrieved 19 August 2009 .   ^ Jump up to : `` Big Brother coat not gorilla fur '' . BBC . 20 January 2006 . Retrieved 19 August 2009 .   Jump up ^ `` Big Brother Galloway criticised '' . BBC . 6 January 2006 . Retrieved 19 August 2009 .   Jump up ^ `` Galloway joins Big Brother house '' . BBC . 6 January 2006 . Retrieved 20 August 2009 .   Jump up ^ Fox , Isobel . `` Is Big Brother bad for you ? '' . London : Daily Mail . Retrieved 20 August 2009 .   Jump up ^ Bishop , Tom ( 12 January 2005 ) . `` Has reality TV become too cruel ? '' . BBC . Retrieved 20 August 2009 .   Jump up ^ Hanks , Robert ( 21 November 2002 ) . `` First Night : Celebrity Big Brother , Channel 4 '' . London : The Independent . Retrieved 20 August 2009 .   Jump up ^ `` Celebrity Big Brother cleared by Ofcom '' . London : The Independent . 27 May 2009 . Retrieved 20 August 2009 .   Jump up ^ Harmsworth , Andrei ( 26 January 2010 ) . `` Celebrity Big Brother star Heidi Fleiss reveals her drugs hell '' . Metro . Retrieved 27 January 2010 .   Jump up ^ `` Celebrity Big Brother viewers turn on Hollywood madam Heidi Fleiss as she rants : ' Thank God for abortion ' '' . London : Daily Mail . 5 January 2010 . Retrieved 27 January 2010 .   ^ Jump up to : Gibson , Owen ( 25 May 2007 ) . `` C4 to air Big Brother racism apologies '' . London : The Guardian . Retrieved 20 August 2009 .   Jump up ^ Byrne , Ciar ( 25 August 2007 ) . `` Channel 4 to drop ' Celebrity Big Brother ' from 2008 schedules '' . London : The Independent . Retrieved 20 August 2009 .   Jump up ^ Noah , Sherna ( 22 December 2007 ) . `` Celebrities take control in Big Brother spin - off show '' . The Scotsman . Retrieved 20 August 2009 .   Jump up ^ Sheridan , Emily ( 29 January 2010 ) . `` Celebrity Big Brother : Alex Reid beats Dane Bowers to be crowned show 's last ever winner '' . London : Daily Mail . Retrieved 29 January 2010 .   Jump up ^ Danahar , Paul ( 22 January 2007 ) . `` Big Brother row points to mature India '' . BBC . Retrieved 19 August 2009 .   Jump up ^ `` Celebrity Big Brother 2010 line - up '' . BBC . 4 January 2010 . Retrieved 5 January 2010 .   Jump up ^ `` Celebrity Big Brother 2011 : Newlywed Tara Reid leaves new hubby behind as she enters the house '' . London : Daily Mail . 19 August 2011 . Retrieved 19 August 2011 .   Jump up ^ Zendle , Miriam ( 14 January 2006 ) . `` Sir Jimmy Savile enters the house '' . Digital Spy . Retrieved 20 August 2009 .   Jump up ^ `` Jade Goody ' has emergency operation to remove life - threatening tumour ' '' . London : Daily Mail . 8 February 2009 . Retrieved 21 August 2009 .   Jump up ^ Welsh , James ( 7 January 2007 ) . `` Jade Goody 's grandparents to enter house '' . Digital Spy . Retrieved 21 August 2009 .   Jump up ^ `` Celebrity Big Brother housemates fail ' paparazzi ' task '' . London : The Daily Telegraph . 8 January 2009 . Retrieved 21 August 2009 .   Jump up ^ Clare , Paul ( 9 January 2009 ) . `` Celebrities fail to recognise Nikki '' . Digital Spy . Retrieved 21 August 2009 .   Jump up ^ Grieves , Jen ( 17 January 2010 ) . `` Celebrities ponder Barry Fry </t>
  </si>
  <si>
    <t xml:space="preserve">who are the celebrity guests on big brother</t>
  </si>
  <si>
    <t xml:space="preserve">   Series   Celebrity   Age   Notability   Status       Jack Dee   38   Comedian   1st -- Winner       Claire Sweeney   29   Actress   2nd -- Runner - up       Keith Duffy   26   Singer and actor   3rd -- Third place       Anthea Turner   40   Presenter   4th -- Evicted       Vanessa Feltz   39   Broadcaster and journalist   5th -- Evicted       Chris Eubank   35   Boxer   6th -- Evicted       Mark Owen   30   Singer   1st -- Winner       Les Dennis   48   Presenter and comedian   2nd -- Runner - up       Melinda Messenger   31   Glamour model and presenter   3rd -- Third place       Sue Perkins   33   Comedian and presenter   4th -- Evicted       Anne Diamond   48   Journalist and presenter   5th -- Evicted       Goldie   37   Musician , DJ and actor   6th -- Evicted       Bez   40   Dancer and percussionist   1st -- Winner       Kenzie   19   Rapper   2nd -- Runner - up       Brigitte Nielsen   41   Actress and model   3rd -- Third place       Jeremy Edwards   33   Actor   4th -- Evicted       Caprice Bourret   33   Model and actress   5th -- Evicted       Lisa I'Anson   39   Presenter   6th -- Evicted       John McCririck   64   Horse racing pundit   7th -- Evicted       Jackie Stallone   83   Mother of Sylvester Stallone   8th -- Evicted       Germaine Greer   65   Feminist , academic and journalist   9th -- Walked       Chantelle Houghton   22   Non-celebrity   1st -- Winner       Michael Barrymore   53   Comedian and presenter   2nd -- Runner - up       Maggot   24   Rapper   3rd -- Third place       Preston   23   Singer   4th -- Evicted       Pete Burns   46   Singer   5th -- Evicted       Traci Bingham   37   Actress and model   6th -- Evicted       Dennis Rodman   44   Basketball player   7th -- Evicted       George Galloway   51   Politician and journalist   8th -- Evicted       Rula Lenska   57   Actress   9th -- Evicted       Faria Alam   39   Affair with Sven - Goran Eriksson   10th -- Evicted       Jodie Marsh   27   Glamour model   11th -- Evicted     5   Shilpa Shetty   31   Actress   1st -- Winner     5   Jermaine Jackson   52   Jackson family member and singer   2nd -- Runner - up     5   Dirk Benedict   61   Actor   3rd -- Third place     5   Ian `` H '' Watkins   30   Singer   4th -- Evicted     5   Danielle Lloyd   23   Glamour model and Miss Great Britain   5th -- Evicted     5   Jack Tweed   19   Boyfriend of Jade Goody   6th -- Evicted     5   Cleo Rocos   44   Actress   7th -- Evicted     5   Jo O'Meara   27   Singer   8th -- Evicted     5   Jade Goody   25   Reality TV star   9th -- Evicted     5   Carole Malone   52   Journalist and broadcaster   10th -- Evicted     5   Leo Sayer   58   Singer   11th -- Walked     5   Jackiey Budden   48   Mother of Jade Goody   12th -- Evicted     5   Ken Russell   79   Director   13th -- Walked     5   Donny Tourette   22   Singer   14th -- Walked     6   Ulrika Jonsson   41   Presenter   1st -- Winner     6   Terry Christian   45   Presenter   2nd -- Runner - up     6   Coolio   45   Musician   3rd -- Third place     6   Verne Troyer   40   Actor   4th -- Evicted     6   Ben Adams   27   Singer   5th -- Evicted     6   Tommy Sheridan   44   Politician   6th -- Evicted     6   La Toya Jackson   52   Jackson family member and singer   7th -- Evicted     6   Michelle Heaton   28   Singer   8th -- Evicted     6   Mutya Buena   23   Singer   9th -- Walked     6   Tina Malone   45   Actress   10th -- Evicted     6   Lucy Pinder   25   Glamour model   11th -- Evicted     7   Alex Reid   34   Mixed martial artist   1st -- Winner     7   Dane Bowers   30   Singer   2nd -- Runner - up     7   Vinnie Jones   44   Actor and ex-footballer   3rd -- Third place     7   Jonas Altberg   25   Singer , record producer and DJ   4th -- Evicted     7   Stephanie Beacham   62   Actress   5th -- Evicted     7   Nicola T   27   Glamour model   6th -- Evicted     7   Ivana Trump   60   Model and socialite   7th -- Evicted     7   Sisqó   31   Singer   8th -- Evicted     7   Stephen Baldwin   43   Actor   9th -- Evicted     7   Lady Sovereign   24   Rapper   10th -- Evicted     7   Heidi Fleiss   44   Former pimp and TV personality   11th -- Evicted     7   Katia Ivanova   21   Ex-girlfriend of Ronnie Wood   12th -- Evicted     8   Paddy Doherty   52   Reality TV star   1st -- Winner     8   Kerry Katona   30   Media personality and singer   2nd -- Runner - up     8   Jedward   19   Singers   3rd -- Third place     8   Amy Childs   21   Reality TV star   4th -- Evicted     8   Lucien Laviscount   19   Actor   5th -- Evicted     8   Darryn Lyons   45   Paparazzo   6th -- Evicted     8   Bobby Sabel   25   Model   7th -- Evicted     8   Tara Reid   35   Actress and model   8th -- Evicted     8   Pamela Bach Hasselhoff   47   Actress , ex-wife of David Hasselhoff   9th -- Evicted     8   Sally Bercow   41   Wife of John Bercow   10th -- Evicted     9   Denise Welch   53   Actress and TV panellist   1st -- Winner     9   Frankie Cocozza   18   Singer   2nd -- Runner - up     9   Gareth Thomas   37   Rugby player   3rd -- Third place     9   Michael Madsen   54   Actor , poet and photographer   4th -- Evicted     9   Karissa and Kristina Shannon   22   Playboy playmates and glamour models   5th -- Evicted     9   Romeo   31   Rapper   6th -- Evicted     9   Nicola McLean   30   Glamour model and media personality   7th -- Evicted     9   Natalie Cassidy   28   Actress and TV personality   8th -- Evicted     9   Kirk Norcross   23   Reality TV star   9th -- Evicted     9   Georgia Salpa   26   Model   10th -- Evicted     9   Natasha Giggs   29   Affair with Ryan Giggs   11th -- Evicted     9   Andrew Stone   39   Reality TV star   12th -- Evicted     10   Julian Clary   53   Comedian   1st -- Winner     10   Coleen Nolan   47   Singer and TV presenter   2nd -- Runner - up     10   Martin Kemp   50   Singer and actor   3rd -- Third place     10   The Situation   30   Reality TV star   4th -- Evicted     10   Ashley McKenzie   21   Judoka   5th -- Evicted     10   MC Harvey   33   Rapper   6th -- Evicted     10   Julie Goodyear   70   Actress   7th -- Evicted     10   Prince Lorenzo   40   Italian prince and entrepreneur   8th -- Evicted     10   Danica Thrall   24   Glamour model and TV personality   9th -- Evicted     10   Samantha Brick   41   Journalist and writer   10th -- Evicted     10   Rhian Sugden   25   Glamour model   11th -- Evicted     10   Cheryl Fergison   46   Actress   12th -- Evicted     10   Jasmine Lennard   27   Fashion model   13th -- Evicted     11   Rylan Clark   24   Singer   1st -- Winner     11   Heidi Montag and Spencer Pratt   26 29   Reality TV stars   2nd -- Runner - up     11   Ryan Moloney   33   Actor   3rd -- Third place     11   Claire Richards   35   Singer   4th -- Evicted     11   Razor Ruddock   44   Ex-footballer and TV personality   5th -- Evicted     11   Tricia Penrose   42   Actress and singer   6th -- Evicted     11   Frankie Dettori   42   Jockey   7th -- Evicted     11   Gillian Taylforth   57   Actress   8th -- Evicted     11   Lacey Banghard   19   Glamour model   9th -- Evicted     11   Sam Robertson   27   Actor   10th -- Evicted     11   Paula Hamilton   51   Supermodel   11th -- Evicted     12   Charlotte Crosby   23   Reality TV star   1st -- Winner     12   Abz Love   34   Singer   2nd -- Runner - up     12   Lauren Harries   35   Media personality   3rd -- Third place     12   Carol McGiffin   53   TV presenter and journalist   4th -- Evicted     12   Mario Falcone   25   Reality TV star   5th -- Evicted     12   Vicky Entwistle   44   Actress   6th -- Evicted     12   Louie Spence   44   Dancer and TV personality   7th -- Evicted     12   Courtney Stodden   18   TV and media personality   8th -- Evicted     12   Bruce Jones   60   Actor   9th -- Evicted     12   Dustin Diamond   36   Actor   10th -- Evicted     12   Sophie Anderton   36   Model and reality TV star   11th -- Evicted     12   Ron Atkinson   74   Former football manager and pundit   12th -- Evicted     12   Danielle Marr   33   Reality TV star   13th -- Evicted     13   Jim Davidson   60   Comedian and TV presenter   1st -- Winner     13   Dappy   26   Rapper   2nd -- Runner - up     13   Ollie Locke   26   Reality TV star   3rd -- Third place     13   Luisa Zissman   26   Reality TV star   4th -- Evicted     13   Sam Faiers   23   Reality TV star   5th -- Evicted     13   Casey Batchelor   29   Glamour model   6th -- Evicted     13   Lee Ryan   30   Singer   7th -- Evicted     13   Linda Nolan   54   Singer   8th -- Evicted     13   Liz Jones   55   Journalist and columnist   9th -- Evicted     13   Lionel Blair   85   Actor   10th -- Evicted     13   Jasmine Waltz   31   US media personality   11th -- Evicted     13   Evander Holyfield   51   Boxer   12th -- Evicted     14   Gary Busey   70   Actor   1st -- Winner     14   Audley Harrison   42   Heavyweight boxer   2nd -- Runner - up     14   James Jordan   36   Professional dancer   3rd -- Third place     14   George Gilbey   30   Reality TV star   4th -- Evicted     14   Dee Kelly   43   Reality TV star   5th -- Evicted     14   Edele Lynch   35   Singer   6th -- Evicted     14   Lauren Goodger   27   Reality TV star   7th -- Evicted     14   Ricci Guarnaccio   27   Reality TV star   8th -- Evicted     14   Kellie Maloney   61   Boxing manager and former UKIP politician   9th -- Evicted     14   Stephanie Pratt   28   Reality TV star   10th -- Evicted     14   Frenchy   38   Model , actress and TV personality   11th -- Evicted     14   Claire King   52   Actress   12th -- Walked     14   Leslie Jordan   59   Actor   13th -- Evicted     14   David McIntosh   28   Model and Kelly Brook 's fiancé   14th -- Evicted     15   Katie Price   36   TV personality and glamour model   1st -- Winner     15   Katie Hopkins   39   TV personality and columnist   2nd -- Runner - up     15   Calum Best   33   Model and TV personality   3rd -- Third place     15   Keith Chegwin   57   Actor and presenter   4th -- Evicted     15   Michelle Visage   46   Singer and presenter   5th -- Evicted     15   Perez Hilton   36   Blogger and TV personality   6th -- Evicted     15   Kavana   37   Singer   7th -- Evicted     15   Cami - Li   26   Model   8th -- Evicted     15   Nadia Sawalha   50   Actress and presenter   9th -- Evicted     15   Patsy Kensit   46   Actress   10th -- Evicted     15   Alicia Douvall   35   Media personality   11th -- Evicted     15   Alexander O'Neal   61   Singer   12th -- Walked     15   Chloe Goodman   21   Reality TV star   13th -- Evicted     15   Ken Morley   72   Actor   14th -- Ejected     15   Jeremy Jackson   34   Actor   15th -- Ejected     16   James Hill   28   Reality TV star   1st -- Winner     16   Austin Armacost   27   Reality TV star   2nd -- Runner - up     16   Natasha Hamilton   33   Singer   3rd -- Third place     16   Bobby Davro   56   Comedian   4th -- Evicted     16   Stevi Ritchie and Chloe - Jasmine Whichello   34 25   Singers and Reality TV stars   5th -- Evicted     16   Sherrie Hewson   64   Actress   6th -- Evicted     16   Janice Dickinson   60   Model   7th -- Evicted     16   Jenna Jameson   41   Porn star   8th -- Evicted     16   Farrah Abraham   24   Reality TV star   9th -- Evicted     16   Gail Porter   44   TV presenter   10th -- Evicted     16   Fatman Scoop   35   Rapper   11th -- Evicted     16   Chris Ellison   68   Actor   12th -- Evicted     16   Daniel Baldwin   54   Actor   13th -- Evicted     16   Tila Tequila   33   Internet personality and reality TV star   14th -- Ejected     17   Scotty T   27   Reality TV star   1st -- Winner     17   Stephanie Davis   22   Actress   2nd -- Runner - up     17   Darren Day   47   Actor and singer   3rd -- Third place     17   Tiffany Pollard   33   Reality TV star   4th -- Evicted     17   Danniella Westbrook   42   Actress   5th -- Evicted     17   John Partridge   44   Actor   6th -- Evicted     17   Gemma Collins   34   Reality TV star   7th -- Evicted     17   Jeremy McConnell   25   Reality TV star and model   8th -- Evicted     17   Christopher Maloney   38   Singer   9th -- Evicted     17   Megan McKenna   23   Reality TV star   10th -- Evicted     17   Kristina Rihanoff   38   Professional dancer   11th -- Evicted     17   Angie Bowie   66   Ex-wife of David Bowie   12th -- Walked     17   David Gest   62   Producer and TV personality   13th -- Walked     17   Nancy Dell'Olio   54   Ex-girlfriend of Sven - Göran Eriksson   14th -- Evicted     17   Jonathan Cheban   42   Reality TV star   15th -- Walked     17   Winston McKenzie   59   Former boxer and UKIP candidate   16th -- Evicted     18   Stephen Bear   26   Reality TV star   1st -- Winner     18   Ricky Norwood   28   Actor   2nd -- Runner - up     18   Renee Graziano   47   Reality TV star   3rd -- Third place     18   Marnie Simpson   24   Reality TV star   4th -- Evicted     18   Aubrey O'Day   32   Singer and reality TV star   5th -- Evicted     18   Frankie Grande   33   Internet personality and half - brother of Ariana Grande   6th -- Evicted     18   Samantha Fox   50   Model and singer   7th -- Evicted     18   Katie Waissel   30   Singer   8th -- Evicted     18   James Whale   65   Radio broadcaster   9th -- Evicted     18   Lewis Bloor   26   Reality TV star   10th -- Evicted     18   Heavy D   43   Reality TV star   11th -- Evicted     18   Chloe Khan   25   Media personality   12th -- Evicted     18   Saira Khan   46   TV presenter   13th -- Evicted     18   Grant Bovey   55   Media personality and ex-husband of Anthea Turner   14th -- Evicted     18   Christopher Biggins   67   Actor and TV presenter   15th -- Ejected     19   Coleen Nolan   51   Singer , TV presenter and CBB10 housemate   1st -- Winner     19   Jedward   24   Singers and CBB8 housemates   2nd -- Runner - up     19   Kim Woodburn   74   Television presenter and expert cleaner   3rd -- Third place     19   James Cosmo   68   Actor   4th -- Evicted     19   Nicola McLean   35   Model , media personality and CBB9 housemate   5th -- Evicted     19   Bianca Gascoigne   30   Model and TV personality   6th -- Evicted     19   Calum Best   35   Model , TV personality and CBB15 housemate   7th -- Evicted     19   Jamie O'Hara   30   Footballer   8th -- Evicted     19   Heidi Montag and Spencer Pratt   30 33   Reality TV stars and CBB11 housemates   9th -- Evicted     19   Jessica Cunningham   29   Reality TV star   10th -- Evicted     19   Stacy Francis   47   Singer and reality TV star   11th -- Evicted     19   Chloe Ferry   21   Reality TV star   12th -- Evicted     19   James Jordan   38   Professional dancer and CBB14 housemate   13th -- Evicted     19   Jasmine Waltz   34   US media personality and CBB13 housemate   14th -- Evicted     19   Austin Armacost   28   Reality TV star and CBB16 housemate   15th -- Evicted     19   Angie Best   64   Model and ex-wife of George Best   16th -- Evicted     19   Brandon Block   49   DJ   17th -- Walked     19   Ray J   35   Singer and TV personality   18th -- Walked     20   Sarah Harding   35   Singer and actress   1st -- Winner     20   Amelia Lily   22   Singer and actress   2nd -- Runner - up     20   Sam Thompson   24   Reality TV star   3rd -- Third place     20   Derek Acorah   67   Spiritual medium   4th -- Evicted     20   Chad Johnson   29   Reality TV star   5th -- Evicted     20   Jemma Lucy   29   Reality TV star   6th -- Evicted     20   Shaun Williamson   51   Actor   7th -- Evicted     20   Helen Lederer   62   Comedian and actress   8th -- Evicted     20   Sandi Bogle   52   Reality TV star   9th -- Evicted     20   Paul Danan   39   Actor   10th -- Evicted     20   Brandi Glanville   44   Reality TV star   11th -- Evicted     20   Jordan Davies   25   Reality TV star   12th -- Evicted     20   Trisha Paytas   29   Internet personality   13th -- Walked     20   Karthik Nagesan   34   Reality TV star   14th -- Evicted     20   Marissa Jade   32   Reality TV star   15th -- Evicted     21   Shane Jenek / Courtney Act   35   Reality TV star , drag queen and singer   1st -- Winner     21   Ann Widdecombe   70   Politician   2nd -- Runner - up     21   Shane Lynch   41   Singer   3rd -- Third place     21   Jess Impiazzi   28   Reality TV star   4th -- Evicted     21   Wayne Sleep   69   Dancer   5th -- Evicted     21   Amanda Barrie   82   Actress   6th -- Evicted     21   Malika Haqq   34   Reality TV star   7th -- Evicted     21   Ashley James   30   Reality TV star   8th -- Evicted     21   Daniel O'Reilly   33   Comedian   9th -- Evicted     21   Jonny Mitchell   26   Reality TV star   10th -- Evicted     21   Andrew Brady   27   Reality TV star   11th -- Evicted     21   Ginuwine   47   Singer   12th -- Evicted     21   John Barnes   54   Footballer   13th -- Evicted     21   Maggie Oliver   62   Detective constable   14th -- Evicted     21   Rachel Johnson   52   Journalist and presenter   15th -- Evicted     21   India Willoughby   52   Newsreader   16th -- Evicted   </t>
  </si>
  <si>
    <r>
      <rPr>
        <sz val="11"/>
        <color rgb="FF000000"/>
        <rFont val="Calibri"/>
        <family val="0"/>
        <charset val="1"/>
      </rPr>
      <t xml:space="preserve">Cabo San Lucas - wikipedia  Cabo San Lucas  Jump to : navigation , search This is an encyclopedia article . For a travel guide see Cabo San Lucas .    Cabo San Lucas Yenecami     View of the harbor Cabo San Lucas ( 2005 )        Coat of arms        Nickname ( s ) : Cabo     Cabo San Lucas Location in Baja California Sur     Coordinates : 22 ° 53 ′ 23 '' N 109 ° 54 ′ 56 '' W ﻿ / ﻿ 22.88972 ° N 109.91556 ° W ﻿ / 22.88972 ; - 109.91556 Coordinates : 22 ° 53 ′ 23 '' N 109 ° 54 ′ 56 '' W ﻿ / ﻿ 22.88972 ° N 109.91556 ° W ﻿ / 22.88972 ; - 109.91556     Country   Mexico     State   Baja California Sur     Elevation   20 m ( 70 ft )     Population ( 2010 )     Total   68,463     Time zone   Pacific ( US Mountain ) ( UTC − 7 )     Summer ( DST )   Pacific ( UTC − 6 )     Cabo San Lucas ( Spanish pronunciation : ( ˈkaβo san ˈlukas ) , Cape Saint Luke ) , commonly called Cabo in American English , is a city at the southern tip of the Baja California Peninsula , in the Mexican state of Baja California Sur . Cabo San Lucas together with San José del Cabo is known as Los Cabos .   Cabo has been rated as one of Mexico 's top 5 tourist destinations ; it is known for its beaches , scuba diving locations , balnearios , the sea arch El Arco de Cabo San Lucas , and marine life . The Los Cabos Corridor has become a heavily trafficked holiday destination for tourists , with numerous resorts and timeshares along the coast between Cabo San Lucas and San José del Cabo .   Cabo houses a range of wildlife , including rays , sharks , birds , and a range of fish , such as mahi - mahi ( dorado ) , and striped marlin .     Contents  ( hide )   1 History   2 Tourism   2.1 Development   2.2 Transportation   2.3 Nightlife and activities   2.4 Resort corridor     3 Climate   4 Population   5 Education   6 See also   7 References   8 External links      History ( edit )   Archaeological excavations have shown evidence of continual human habitation in the area for at least 10,000 years . When the first Europeans arrived , they encountered the Pericú people , who survived on a subsistence diet based on hunting and gathering seeds , roots , shellfish , and other marine resources . They called the location Yenecamú .   According to the narrative of Hatsutaro , a Japanese castaway , in the book Kaigai Ibun ( written by Maekawa , Junzo and Bunzo Sakai and narrated by Hatsutaro ) , when he arrived at Cabo San Lucas in May 1842 , there were only two houses and about 20 inhabitants . However , American authors such as Henry Edwards and John Ross Browne claim that Cabo San Lucas 's founder was an Englishman named Thomas `` Old Tom '' Ritchie . John Ross Browne says Ritchie arrived there about 1828 , while Edwards says that he died in October 1874 .   A fishing village began growing in the area . In 1917 , an American company built a floating platform to catch tuna , and ten years later founded Compañía de Productos Marinos S.A. The plant operated for several years .   Tourism ( edit )  El Arco de Cabo San Lucas  Cabo San Lucas has become a prominent vacation and spa destination , with a variety of sites of interest and timeshares that have been built on the coast between San Lucas and San José del Cabo . The distinctive Arco de Cabo San Lucas is a local landmark .   Cabo San Lucas has the highest paying marlin tournament in the world called the `` Bisbee 's Los Cabos Offshore '' . This tournament takes place every year in the month of October .   In the winter , pods of whales can be observed in the area . They bear their calves in the warm waters of the Gulf of California after completing their 6000 - mile migration from Alaska and Siberia .   Development ( edit )  This view of Cabo San Lucas shows the rapid growth of the area ( 2005 )  The beaches , surfing , and sport fishing opportunities in Cabo San Lucas have attracted a great number of Mexican natives and foreigners to spend their vacations in large - scale tourist developments there . The development of Cabo 's tourism industry was prompted by the Mexican government 's development of infrastructure to turn Cabo San Lucas into a major center for tourism in Mexico , beginning in 1974 . Upon completion of the Transpeninsular Highway , also known as the Mexican Federal Highway 1 , tourist developments in Los Cabos proceeded relatively unchecked .   Until fairly recently , the unique and fragile environment of this part of Mexico was largely unprotected by law , and therefore was subjected to developers acting in concert with government agencies interested only in low - end tourist bonanzas . There is , however , a growing collection of activists and attorneys now involved in preserving many of Baja 's desert habitats , marine mammals , and stretches of coastline . A number of agencies including the Gulf of California Conservation Fund and the Center for Environmental Law in La Paz are challenging the destruction of wetlands and other ecosystems from Los Cabos to Ensenada . In the face of a growing international public demand for corporate - driven ecological stewardship , higher - end resorts in the Los Cabos area are increasingly sensitive to their environmental impact , and are taking initial steps to institute sustainable practices such as reducing water usage and non-recyclable trash output . In 2017 Los Cabos is projected to be one of the leaders in travel in Latin America , many of the developments owed to its increased accessibility with added plane routes from the US and Canada . It is expected that by 2018 4,000 new sleeping rooms will come online in Cabo , and the increase in tourism will contribute to its growth as a leader in leisure .   Transportation ( edit )  A sizeable marina dominates the port of Cabo San Lucas  Cabo San Lucas San José del Cabo are served by Los Cabos International Airport .   The town is also a popular port of call for many cruise ships . Cabo San Lucas has a small international airfield , which handles air traffic for general aviation flights and air taxi service .   Many tourists get around the area through the numerous local taxis that service the primary parts of Cabo , as well as the Corridor and the airport . Alternatively , there is a system of small buses that are used by locals but also available to tourists , and costing a few pesos tend to be much less expensive than the taxis .   Nightlife and activities ( edit )  Puerto Paraiso , in the very center of Cabo San Lucas  Clubs in Cabo include the Cabo Wabo Cantina , the Baja Brewing Company ( also the first microbrewery in Baja California ) , Pink Kitty Nightclub , Mandala , El Squid Roe , Giggling Marlin , Nowhere Bar , Tiki Bar , the Usual Suspects and the Jungle Bar . Restaurants in downtown Cabo include Edith 's , Hacienda Cocina y Cantina , and Sunset da Mona Lisa . Tourists can also ride horses through the desert , charter a boat for fishing , snorkel , and parasail on the beach . The English - language newspaper for Cabo San Lucas , the biweekly `` Gringo Gazette '' , has news on tourist activities in Cabo San Lucas , San Jose , Todos Santos , La Paz , and the East Cape Baja .   Resort Corridor ( edit )  Main article : Los Cabos Corridor Medano is the main beach of Cabo San Lucas , pictured here with Land 's End in the background  The corridor is home to a variety of hotels and tourist attractions . High - end resorts in the corridor include the One&amp;Only Palmilla , Esperanza , The Resort at Pedregal , and Las Ventanas al Paraiso .   Medano Beach , located in the Chileno Bay , is one of the most frequented beaches in the Corridor . It is home to tropical fish , sea turtles , invertebrates , and sponges . Snorkelers often visit Chileno Bay to observe the underwater sea life .   Climate ( edit )   Cabo San Lucas has a BWh desert climate .   During summer , Cabo San Lucas is cooler than San José del Cabo by about by about 1.5 to 3 ° C ( 3 to 5 ° F ) . Sometimes during the summer , when winds blow from the Pacific Ocean instead of the Gulf of California , the differences in temperatures between San José del Cabo and Cabo San Lucas are higher .   Cabo San Lucas is less rainy than San José del Cabo , although hurricanes can bring heavy rain for long periods . Hurricane Odile made landfall at Cabo San Lucas on 14 September 2014 , and caused widespread damage . Due to the position of the city and orography , local summer thunderstorms do not get near enough to bring rain to the town .   The sea temperature experiences lows of 21 -- 22 ° C ( 70 -- 72 ° F ) in winter , and highs of 28 -- 29 ° C ( 82 -- 84 ° F ) during the summer months .     ( hide ) Climate data for Cabo San Lucas , Baja California Sur ( 1951 -- 2010 , extremes 1937 -- 2010 )     Month   Jan   Feb   Mar   Apr   May   Jun   Jul   Aug   Sep   Oct   Nov   Dec   Year     Record high ° C ( ° F )   36.0 ( 96.8 )   37.0 ( 98.6 )   37.0 ( 98.6 )   41.0 ( 105.8 )   40.0 ( 104 )   41.5 ( 106.7 )   41.0 ( 105.8 )   44.0 ( 111.2 )   44.0 ( 111.2 )   41.0 ( 105.8 )   38.0 ( 100.4 )   37.0 ( 98.6 )   44.0 ( 111.2 )     Average high ° C ( ° F )   25.4 ( 77.7 )   25.9 ( 78.6 )   26.9 ( 80.4 )   29.0 ( 84.2 )   30.7 ( 87.3 )   31.7 ( 89.1 )   33.3 ( 91.9 )   33.7 ( 92.7 )   33.0 ( 91.4 )   32.1 ( 89.8 )   29.4 ( 84.9 )   26.8 ( 80.2 )   29.8 ( 85.6 )     Daily mean ° C ( ° F )   19.2 ( 66.6 )   19.3 ( 66.7 )   20.2 ( 68.4 )   22.2 ( 72 )   23.8 ( 74.8 )   25.3 ( 77.5 )   28.1 ( 82.6 )   29.0 ( 84.2 )   28.4 ( 83.1 )   26.7 ( 80.1 )   23.5 ( 74.3 )   20.6 ( 69.1 )   23.9 ( 75 )     Average low ° C ( ° F )   13.0 ( 55.4 )   12.7 ( 54.9 )   13.5 ( 56.3 )   15.4 ( 59.7 )   17.0 ( 62.6 )   19.0 ( 66.2 )   22.8 ( 73 )   24.2 ( 75.6 )   23.9 ( 75 )   21.4 ( 70.5 )   17.5 ( 63.5 )   14.5 ( 58.1 )   17.9 ( 64.2 )     Record low ° C ( ° F )   4.5 ( 40.1 )   1.5 ( 34.7 )   1.0 ( 33.8 )   7.0 ( 44.6 )   6.5 ( 43.7 )   10.0 ( 50 )   10.0 ( 50 )   10.0 ( 50 )   10.0 ( 50 )   10.0 ( 50 )   1.0 ( 33.8 )   5.0 ( 41 )   1.0 ( 33.8 )     Average precipitation mm ( inches )   11.7 ( 0.461 )   3.4 ( 0.134 )   1.8 ( 0.071 )   1.3 ( 0.051 )   0.1 ( 0.004 )   0.0 ( 0 )   13.3 ( 0.524 )   48.5 ( 1.909 )   82.3 ( 3.24 )   32.2 ( 1.268 )   11.5 ( 0.453 )   14.5 ( 0.571 )   220.6 ( 8.685 )     Average precipitation days ( ≥ 0.1 mm )     0.4   0.3   0.1   0.1   0.0     2.9   3.3   1.6   0.7   1.0   12.7     Source : Servicio Meteorologico Nacional    Suburb in Cabo San Lucas with terrain illustrating the mixture of the State 's common environments : semi-arid desert , mountains and coastal plains .  Average Sea Temperature   Jan   Feb   Mar   Apr   May   Jun   Jul   Aug   Sep   Oct   Nov   Dec     22.4 ° C  72.4 ° F    21.5 ° C  70.7 ° F    21.5 ° C  70.6 ° F    21.5 ° C  70.7 ° F    23.5 ° C  74.3 ° F    23.1 ° C  73.5 ° F    25.7 ° C  78.2 ° F    28.5 ° C  83.2 ° F    29.5 ° C  85 ° F    29 ° C  84.1 ° F    26.8 ° C  80.2 ° F    24 ° C  75.3 ° F      Population ( edit )     Historical population     Year   Pop .   ± %       16,059   --     1995   28,483   + 77.4 %     2000     --     2005     --       68,464   --         As of the 2010 Censo General de Población y Vivienda , the population was 68,463 and has experienced very rapid growth and development . It is the third - largest city in Baja California Sur after La Paz and San José del Cabo ( although it is only slightly less populous than San José del Cabo ) .   The majority of non-Mexican inhabitants in the community originate from the United States , and along with residents from San José del Cabo they account for the 80 % of the U.S. population in the state .   Education ( edit )    Secondary     Colegio Amaranto , a private school , is in Cabo San Lucas   Colegio El Camino , IB accredited K - 12 private school , in Pedregal , Cabo San Lucas     Postsecondary     Instituto de Estudios Superiores de Los Cabos , a campus of the National Institute of Technology of Mexico   UABCS Los Cabos , a branch campus of the public Universidad Autónoma de Baja California Sur   Universidad del Golfo de California , a private masters level university   Universidad del Desarrollo Profesional S.C. , a local campus of UNIDEP , a private university    See also ( edit )    Mexican Federal Highway 1   Mexican Federal Highway 19   Sebastián Vizcaíno    References ( edit )    Jump up ^ `` Los Cabos '' . Enciclopedia de los Municipios y Delegaciones de México . Mexico : INAFED. 2010 . Retrieved July 23 , 2014 .   Jump up ^ John Howells and Don Merwin ( 2007 ) . Choose Mexico for retirement . Guilford , CT : The Globe Pequot Press . p. 182 . ISBN 9780762743926 .   ^ Jump up to : `` Cabo San Lucas '' . Censo de Población y Vivienda 2010 ( in Spanish ) . INEGI . Retrieved 3 September 2012 .   Jump up ^ `` Best Destinations in Mexico - Travelers ' Choice Awards - TripAdvisor '' .   Jump up ^ `` An Interview with Harumi Fujita on the Archaeology of Baja California Sur '' .   Jump up ^ `` Thomas Ritchie ( 1810 - 1874 ) - Find A Grave Memorial '' .   Jump up ^ Inc. , DAGTech Solutions , . `` Home Page - Bisbees.com '' . www.bisbees.com . Retrieved 2017 - 08 - 07 .   Jump up ^ The Gulf of California Conservation Fund   Jump up ^ The Center for Environmental Law in La Paz   Jump up ^ `` Going Green in Los Cabos '' .   Jump up ^ http://www.travelpulse.com/news/destinations/is-los-cabos-becoming-a-luxury-leader-in-the-americas.html   Jump up ^ http://www.cabosanlucas.net/fast_facts/getting_around.php   Jump up ^ `` Mexican Newspapers and News Sites '' .   Jump up ^ `` Hurricane Odile Timeline : Unprecedented Cyclone Leaves Widespread Damage in Cabo San Lucas , Baja California '' . weather.com . Retrieved 2014 - 09 - 17 .   Jump up ^ Ltd , Copyright Global Sea Temperatures - A-Connect . `` Cabo San Lucas Sea Temperature January Average , Mexico - Sea Temperatures '' .   Jump up ^ `` Estado de Baja California Sur - Estacion : Cabo San Lucas '' . Normales Climatologicas 1951 -- 2010 ( in Spanish ) . Servicio Meteorologico Nacional . Archived from the original on March 3 , 2016 . Retrieved 22 April 2015 .   Jump up ^ `` Extreme Temperatures and Precipitation for Cabo San Lucas 1937 -- 2010 '' ( in Spanish ) . Servicio Meteorológico Nacional . Archived from the original on March 4 , 2016 . Retrieved 22 April 2015 .   Jump up ^ http://www.inegi.org.mx/sistemas/TabuladosBasicos/LeerArchivo.aspx?ct=993&amp;c=16762&amp;s=est&amp;f=1   Jump up ^ Morales , Omar Lizárraga ( 1 January 2010 ) . `` The US citizens Retirement Migration to Los Cabos , Mexico . Profile and social effects '' . 1 ( 1 ) -- via journal.lib.uoguelph.ca .    External links ( edit )       Wikimedia Commons has media related to Cabo San Lucas .         Wikivoyage has a travel guide for Cabo San Lucas .      Cabo San Lucas travel guide from Wikivoyage   Cabo San Lucas links at Curlie ( based on DMOZ )              State of Baja California Sur     La Paz ( capital )     Municipalities and municipal seats     Comondú ( Ciudad Constitución )   Mulegé ( Santa Rosalía )   La Paz ( La Paz )   Los Cabos ( San José del Cabo )   Loreto ( Loreto )                 VIAF : 138423505      Retrieved from `` https://en.wikipedia.org/w/index.php?title=Cabo_San_Lucas&amp;oldid=815605438 '' Categories :   Headlands of Mexico   Landforms of Baja California Sur   Los Cabos Municipality ( Baja California Sur )   Populated places in Baja California Sur   Populated coastal places in Mexico   Port cities and towns on the Mexican Pacific coast   Beaches of Baja California Sur   Hidden categories :   CS1 Spanish - language sources ( es )   Coordinates on Wikidata   All articles with unsourced statements   Articles with unsourced statements from July 2013   All articles with vague or ambiguous time   Vague or ambiguous time from March 2012   Articles with DMOZ links   Wikipedia articles with VIAF identifiers           Talk                                           Contents                   About Wikipedia                                             Wikivoyage         Български   Dansk   Deutsch   Español   فارسی   Français   Galego   </t>
    </r>
    <r>
      <rPr>
        <sz val="11"/>
        <color rgb="FF000000"/>
        <rFont val="Noto Sans CJK SC"/>
        <family val="2"/>
      </rPr>
      <t xml:space="preserve">한국어   </t>
    </r>
    <r>
      <rPr>
        <sz val="11"/>
        <color rgb="FF000000"/>
        <rFont val="Calibri"/>
        <family val="0"/>
        <charset val="1"/>
      </rPr>
      <t xml:space="preserve">Ирон   Italiano   Ladino   मराठी   Nederlands   </t>
    </r>
    <r>
      <rPr>
        <sz val="11"/>
        <color rgb="FF000000"/>
        <rFont val="Noto Sans CJK SC"/>
        <family val="2"/>
      </rPr>
      <t xml:space="preserve">日本 語   </t>
    </r>
    <r>
      <rPr>
        <sz val="11"/>
        <color rgb="FF000000"/>
        <rFont val="Calibri"/>
        <family val="0"/>
        <charset val="1"/>
      </rPr>
      <t xml:space="preserve">Norsk   Polski   Português   Русский   Simple English   Srpskohrvatski / српскохрватски   Svenska   Tiếng Việt   Edit links   This page was last edited on 15 December 2017 , at 21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</si>
  <si>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cabo san lucas located on the map</t>
  </si>
  <si>
    <t xml:space="preserve"> Cabo San Lucas ( Spanish pronunciation : ( ˈkaβo san ˈlukas ) , Cape Saint Luke ) , commonly called Cabo in American English , is a city at the southern tip of the Baja California Peninsula , in the Mexican state of Baja California Sur . Cabo San Lucas together with San José del Cabo is known as Los Cabos . </t>
  </si>
  <si>
    <t xml:space="preserve">What Have I Done to Deserve This ? ( Song ) - wikipedia  What Have I Done to Deserve This ? ( Song )  Jump to : navigation , search      This article needs additional citations for verification . Please help improve this article by adding citations to reliable sources . Unsourced material may be challenged and removed . ( December 2009 ) ( Learn how and when to remove this template message )       `` What Have I Done to Deserve This ? ''         Single by Pet Shop Boys with Dusty Springfield     from the album Actually     B - side   `` A New Life ''     Released   10 August 1987     Format   7 `` , 12 '' , cassette , CD     Recorded       Genre   Synthpop     Length   4 : 19     Label   Parlophone -- R 6163     Songwriter ( s )   Neil Tennant , Chris Lowe , Allee Willis     Producer ( s )   Stephen Hague     Pet Shop Boys singles chronology        `` It 's a Sin '' ( 1987 )   `` What Have I Done to Deserve This ? '' ( 1987 )   `` Rent '' ( 1987 )           `` It 's a Sin '' ( 1987 )   `` What Have I Done to Deserve This ? '' ( 1987 )   `` Rent '' ( 1987 )            Actually track listing        `` One More Chance '' ( 1 )   `` What Have I Done to Deserve This ? '' ( 2 )   `` Shopping '' ( 3 )            Dusty Springfield singles chronology        `` Something in Your Eyes '' ( 1987 ) Something in Your Eyes1987   `` What Have I Done to Deserve This ? '' ( 1987 ) What Have I Done to Deserve This ? 1987   `` Nothing Has Been Proved '' ( 1989 ) Nothing Has Been Proved 1989            `` What Have I Done to Deserve This ? '' is a song by English synthpop duo Pet Shop Boys , featuring singer Dusty Springfield .   When released as a single in late 1987 , it peaked at number 2 in the UK and also at number 2 on the Billboard Hot 100 , becoming the fourth top ten hit for Pet Shop Boys as well as the biggest hit of Springfield 's career in the US . It was kept from the top spot by `` Seasons Change '' by Exposé and `` Father Figure '' by their fellow British singer George Michael on that chart , while in the UK it was kept off the top by Rick Astley with his debut single Never Gonna Give You Up . The single made it to number 1 on the Irish singles chart , where it was Pet Shop Boys ' second number 1 hit in the space of just six weeks .   The song 's success helped revive Springfield 's career and led to a resurgence of interest in her music . Pet Shop Boys and Dusty Springfield performed the song for the 1988 BRIT Awards . Following the duet the Pet Shop Boys wrote and produced the singles `` Nothing Has Been Proved '' and `` In Private '' for Springfield , both included on her 1990 album Reputation .   The music video was filmed in a music hall , featuring a female chorus line and male members of the pit orchestra . It made significant use of the theater drapes and stage curtains for dramatic effect . Like all of the singles taken from the Actually album , the song also appears on the film It Could n't Happen Here , where it is briefly played in instrumental form , without vocals .   At the 2009 BRIT Awards where the duo were due to receive an Outstanding Contribution to Music award , Pet Shop Boys performed the song with American singer Lady Gaga .     Contents  ( hide )   1 Track listing   1.1 7 `` : Parlophone / R 6163 ( UK )   1.2 12 `` : Parlophone / 12 R 6163 ( UK )   1.3 12 `` : EMI - Manhattan / V - 56080 ( US - First Issue )   1.4 12 `` : EMI - Manhattan / V - 56080 ( US - Second Issue )     2 Chart performance   3 Cover versions   4 References      Track listing ( edit )   7 `` : Parlophone / R 6163 ( UK ) ( edit )    `` What Have I Done to Deserve This ? '' -- 4 : 19   `` A New Life '' -- 4 : 55    12 `` : Parlophone / 12 R 6163 ( UK ) ( edit )    `` What Have I Done to Deserve This ? '' ( Extended Mix ) -- 6 : 53   `` A New Life '' -- 4 : 55   `` What Have I Done to Deserve This ? '' ( Disco Mix ) -- 8 : 13     also available on CD ( Parlophone / CD R 6163 )    12 `` : EMI - Manhattan / V - 56080 ( US - First Issue ) ( edit )    `` What Have I Done to Deserve This ? '' ( Disco Mix ) -- 8 : 17   `` Rent '' ( Extended Mix ) -- 7 : 06    12 `` : EMI - Manhattan / V - 56080 ( US - Second Issue ) ( edit )    `` What Have I Done to Deserve This ? '' ( The Shep Pettibone Remix ) -- 8 : 28   `` What Have I Done to Deserve This ? '' ( Dub Mix ) -- 6 : 53   `` Rent '' ( The François Kevorkian Remix ) -- 7 : 04   `` I Want a Dog '' -- 4 : 48    Chart performance ( edit )     Chart ( 1987 -- 88 )   Peak position     Australian Singles Chart   22     Austrian Singles Chart   11     Belgian Singles Chart       Canadian Singles Chart       Dutch Singles Chart       Finnish Singles Chart       French Singles Chart   -     German Singles Chart       Irish Singles Chart       Italian Singles Chart   11     New Zealand Singles Chart   6     Norwegian Singles Chart   9     Polish Singles Chart   6     South African Singles Chart   16     Spanish Singles Chart       Swedish Singles Chart       Swiss Singles Chart       UK Singles Chart       US Billboard Adult Contemporary Chart   14     US Billboard Hot 100       US Billboard Dance / Club Play Songs Chart       Cover versions ( edit )    In 1987 , Hong Kong singer Prudence Liew covered this song in Cantonese .   In 2017 , American vocalist ShyBoy released a cover version featuring Allee Willis , who co-wrote the song with Neil Tennant and Chris Lowe .    References ( edit )    Jump up ^ Kent , David ( 1993 ) . Australian Chart Book 1970 -- 1992 . St Ives , N.S.W. : Australian Chart Book . ISBN 0 - 646 - 11917 - 6 .   Jump up ^ Steffen Hung . `` Pet Shop Boys with Dusty Springfield - What Have I Done To Deserve This ? '' . austriancharts.at . Retrieved 2012 - 06 - 23 .   Jump up ^ `` Results - RPM - Library and Archives Canada '' . Collectionscanada.gc.ca . Retrieved 2012 - 06 - 23 .   Jump up ^ Steffen Hung . `` Pet Shop Boys with Dusty Springfield - What Have I Done To Deserve This ? '' . dutchcharts.nl . Retrieved 2012 - 06 - 23 .   Jump up ^ Pennanen , Timo ( 2006 ) . Sisältää hitin - levyt ja esittäjät Suomen musiikkilistoilla vuodesta 1972 ( in Finnish ) ( 1st ed . ) . Helsinki : Tammi . ISBN 978 - 951 - 1 - 21053 - 5 .   Jump up ^ `` Pet Shop Boys With Dusty Springfield - What Have I Done To Deserve This ? ( Chanson ) '' . lescharts.com ( in French ) . Hung Medien . Retrieved 2018 - 01 - 08 .   Jump up ^ `` charts.de '' . charts.de. 2006 - 11 - 14 . Retrieved 2012 - 06 - 23 .   Jump up ^ Jaclyn Ward . `` The Irish Charts - All there is to know '' . Irishcharts.ie . Retrieved 2012 - 06 - 23 .   Jump up ^ `` Hit Parade Italia - Indice per Interprete : P '' . Hitparadeitalia.it . Retrieved 2012 - 06 - 23 .   Jump up ^ Steffen Hung . `` Pet Shop Boys with Dusty Springfield - What Have I Done To Deserve This ? '' . charts.org.nz . Retrieved 2012 - 06 - 23 .   Jump up ^ Steffen Hung . `` Pet Shop Boys with Dusty Springfield - What Have I Done To Deserve This ? '' . norwegiancharts.com . Retrieved 2012 - 06 - 23 .   Jump up ^ Brian Currin ( 2003 - 05 - 25 ) . `` South African Rock Lists Website - SA Charts 1969 - 1989 Acts ( P ) '' . Rock.co.za . Retrieved 2012 - 06 - 23 .   Jump up ^ Salaverri , Fernando ( September 2005 ) . Sólo éxitos : año a año , 1959 -- 2002 ( 1st ed . ) . Spain : Fundación Autor - SGAE . ISBN 84 - 8048 - 639 - 2 .   Jump up ^ Steffen Hung . `` Pet Shop Boys with Dusty Springfield - What Have I Done To Deserve This ? '' . swedishcharts.com . Retrieved 2012 - 06 - 23 .   Jump up ^ Steffen Hung . `` Pet Shop Boys with Dusty Springfield - What Have I Done To Deserve This ? '' . hitparade.ch . Retrieved 2012 - 06 - 23 .   Jump up ^ `` ChartArchive - The Pet Shop Boys And Dusty Springfield - What Have I Done To Deserve This '' . Chartstats.com . Retrieved 2012 - 06 - 23 .   Jump up ^ `` Eurythmics Music News &amp; Info '' . Billboard.com . Retrieved 2012 - 06 - 23 .   ^ Jump up to : Pet Shop Boys ( 2009 - 12 - 21 ) . `` Pet Shop Boys - Awards '' . AllMusic . Retrieved 2012 - 06 - 23 .      Preceded by `` Never Gonna Give You Up '' by Rick Astley   Billboard Hot Dance Club Play number - one single 23 January 1988   Succeeded by `` The Way You Make Me Feel '' by Michael Jackson               Pet Shop Boys       Chris Lowe   Neil Tennant       Studio albums     Please   Actually   Introspective   Behaviour   Very   Bilingual   Nightlife   Release   Fundamental   Yes   Elysium   Electric   Super       Compilation albums     Discography : The Complete Singles Collection   Alternative   Essential   PopArt : The Hits   Story : 25 Years of Hits   Party   Ultimate   Format       Remix albums     Disco   Disco 2   Disco 3   Disco 4       Live albums     Concrete   Pandemonium       Extended plays     Christmas       Soundtracks and scores     It Could n't Happen Here   Closer to Heaven   Battleship Potemkin   The Most Incredible Thing       Other songs     `` King 's Cross ''   `` The Loving Kind ''   `` The Night I Fell in Love ''   `` I 'm Not Scared ''   `` In Private ''   `` Nothing Has Been Proved ''   `` So Sorry , I Said ''   `` Do n't Drop Bombs ''       Film , stage and television     It Could n't Happen Here   Closer to Heaven   Pet Shop Boys : A Life In Pop   The Most Incredible Thing       Notable tours and concerts     MCMLXXXIX   Performance   Discovery   Somewhere   Nightlife   Release   Fundamental   Pandemonium   Progress ( as special guests )   Electric   Super       Related articles     Discography   Songs   x2   Reputation   Results   Electronic   Back to Mine : Pet Shop Boys   West End Girls       Book               Pet Shop Boys singles     Please ( 1984 -- 86 )     `` West End Girls ''   `` Opportunities ( Let 's Make Lots of Money ) ''   `` Love Comes Quickly ''   `` Suburbia ''       Disco ( 1986 )     `` Paninaro ''       Actually ( 1987 -- 88 )     `` It 's a Sin ''   `` What Have I Done to Deserve This ? ''   `` Rent ''   `` Heart ''       Introspective ( 1988 -- 89 )     `` Always on My Mind ''   `` Domino Dancing ''   `` Left to My Own Devices ''   `` It 's Alright ''       Behaviour ( 1990 -- 91 )     `` So Hard ''   `` Being Boring ''   `` How Can You Expect to Be Taken Seriously ? '' / `` Where the Streets Have No Name ( I Ca n't Take My Eyes off You ) ''   `` Jealousy ''       Discography ( 1991 )     `` DJ Culture ''   `` Was It Worth It ? ''       Very ( 1993 -- 94 )     `` Can You Forgive Her ? ''   `` Go West ''   `` I Would n't Normally Do This Kind of Thing ''   `` Liberation ''   `` Yesterday , When I Was Mad ''       Alternative ( 1995 )     `` Paninaro ' 95 ''       Bilingual ( 1996 -- 97 )     `` Before ''   `` Se a vida é ( That 's the Way Life Is ) '' / `` To Step Aside ''   `` Single - Bilingual ''   `` A Red Letter Day ''       Nightlife ( 1999 -- 2000 )     `` I Do n't Know What You Want But I Ca n't Give It Any More ''   `` New York City Boy ''   `` You Only Tell Me You Love Me When You 're Drunk ''       Release ( 2002 -- 03 )     `` Home and Dry ''   `` I Get Along ''   `` London ''       PopArt ( 2003 -- 04 )     `` Miracles ''   `` Flamboyant ''       Fundamental ( 2006 )     `` I 'm with Stupid ''   `` Minimal ''   `` Numb ''       Disco 4 ( 2007 )     `` Integral ''       Yes ( 2009 )     `` Love Etc . ''   `` Did You See Me Coming ? ''   `` Beautiful People ''       Ultimate ( 2010 )     `` Together ''       Elysium ( 2012 )     `` Winner ''   `` Leaving ''   `` Memory of the Future ''       Electric ( 2013 -- 14 )     `` Axis ''   `` Vocal ''   `` Love Is a Bourgeois Construct ''   `` Thursday ''   `` Fluorescent ''       Super ( 2016 )     `` The Pop Kids ''   `` Twenty - something ''   `` Inner Sanctum ''   `` Say It to Me ''   `` Undertow ''       Non-album singles     `` One More Chance ''   `` Absolutely Fabulous ''   `` Hallo Spaceboy ''   `` Somewhere ''   `` Break 4 Love ''   `` She 's Madonna ''   `` Love Life ''      Retrieved from `` https://en.wikipedia.org/w/index.php?title=What_Have_I_Done_to_Deserve_This%3F_(song)&amp;oldid=834096089 '' Categories :   1987 singles   Pet Shop Boys songs   Dusty Springfield songs   Dance - pop songs   Billboard Dance Club Songs number - one singles   Irish Singles Chart number - one singles   Songs written by Allee Willis   Songs written by Neil Tennant   Songs written by Chris Lowe   Song recordings produced by Stephen Hague   1987 songs   Parlophone singles   Vocal duets   Hidden categories :   CS1 Finnish - language sources ( fi )   CS1 French - language sources ( fr )   Use dmy dates from August 2014   Use British English from August 2014   Articles needing additional references from December 2009   All articles needing additional references   Music infoboxes with deprecated parameters   Articles with hAudio microformats   All articles with unsourced statements   Articles with unsourced statements from February 2018   Articles with unsourced statements from February 2012           Talk                                           Contents                   About Wikipedia                                           Français   Italiano   Nederlands   Русский   Svenska   Türkçe   Edit links   This page was last edited on 3 April 2018 , at 22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</si>
  <si>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what have i done to deserve this</t>
  </si>
  <si>
    <t xml:space="preserve"> `` What Have I Done to Deserve This ? '' is a song by English synthpop duo Pet Shop Boys , featuring singer Dusty Springfield . </t>
  </si>
  <si>
    <r>
      <rPr>
        <sz val="11"/>
        <color rgb="FF000000"/>
        <rFont val="Calibri"/>
        <family val="0"/>
        <charset val="1"/>
      </rPr>
      <t xml:space="preserve">Cleo King - wikipedia  Cleo King  Jump to : navigation , search    Cleo King     King at the 2014 Seventh Annual Bel Air Film Festival at the Saban Theatre in Beverly Hills .       Harriet Cleo King ( 1962 - 08 - 21 ) August 21 , 1962 ( age 55 ) St. Louis , Missouri , U.S     Occupation   Actress     Years active   1988 -- present     Cleo King ( born Harriet Cleo King ; August 21 , 1962 ) is an American character actress , best known for her roles on television .   Life and career ( edit )   King was born in St. Louis , Missouri , and was the youngest of seven children in her family . She graduated from University of Missouri and later moved to New York to pursue an acting career , appearing on stage productions . In mid-1990s , King moved to Los Angeles , California , when she began appearing on television shows such as The Wayans Bros. , Living Single , Malcolm &amp; Eddie , Murphy Brown , and Any Day Now .   King has appeared in a number of films , playing small parts , include Magnolia ( 1999 ) , Dude , Where 's My Car ? ( 2000 ) , Bubble Boy ( 2001 ) , The Life of David Gale ( 2003 ) , Dreamgirls ( 2006 ) , Pineapple Express ( 2008 ) , The Hangover ( 2009 ) , and Valentine 's Day . She guest - starred on more than 50 shows , include NYPD Blue , Ally McBeal , Six Feet Under , The West Wing , CSI : Crime Scene Investigation , NCIS , and Ugly Betty .   From 2001 to 2002 , King had the recurring role as Helene Parks in the Fox drama series , Boston Public created by David E. Kelley . In 2003 , she co-starred in the short - lived CBS drama The Brotherhood of Poland , New Hampshire , also created by Kelley . In 2006 , she played Aunt Lou in the HBO drama series Deadwood during its third and final season . In 2009 , King had the recurring role as Neeta , the nanny of Jax Teller 's son in the FX drama series , Sons of Anarchy .   In 2010 , King was cast in the series regular role as grandmother , Rosetta McMillan `` Nana '' , in the CBS sitcom Mike &amp; Molly , even though she is only 7 years older than Reno Wilson ( who plays her grandson , Carl ) .   She also appears regularly in Netflix 's adaptation of A Series of Unfortunate Events , which premiered in 2017 .   References ( edit )    ^ Jump up to : Iya Bakare . `` Mike - Molly - s - Cleo - King - Claims - Her - Throne - in - Acting - Industry - Entertainment - Articles '' . Retrieved 2 February 2016 .   Jump up ^ `` Cleo King '' . Hollywood.com . Retrieved 2 February 2016 .   Jump up ^ William Keck ( 2 September 2010 ) . `` Keck 's Exclusives : CBS ' Mike &amp; Molly Makes a Surprising Casting Choice '' . TVGuide.com . Retrieved 2 February 2016 .    External links ( edit )    Cleo King on IMDb            VIAF : 106882459   LCCN : no2010008040      Retrieved from `` https://en.wikipedia.org/w/index.php?title=Cleo_King&amp;oldid=801142129 '' Categories :   1962 births   American television actresses   American film actresses   Living people   Actresses from St. Louis   University of Missouri alumni   African - American actresses   American actresses   20th - century American actresses   21st - century American actresses   Hidden categories :   Articles with hCards   Wikipedia articles with VIAF identifiers   Wikipedia articles with LCCN identifiers           Talk                                                             About Wikipedia                                                 Deutsch   فارسی   Français   Italiano   </t>
    </r>
    <r>
      <rPr>
        <sz val="11"/>
        <color rgb="FF000000"/>
        <rFont val="Noto Sans CJK SC"/>
        <family val="2"/>
      </rPr>
      <t xml:space="preserve">日本 語   </t>
    </r>
    <r>
      <rPr>
        <sz val="11"/>
        <color rgb="FF000000"/>
        <rFont val="Calibri"/>
        <family val="0"/>
        <charset val="1"/>
      </rPr>
      <t xml:space="preserve">Português   Русский   Svenska   Edit links   This page was last edited on 17 September 2017 , at 22 : 37 .         About Wikipedia                  </t>
    </r>
  </si>
  <si>
    <t xml:space="preserve">who plays carl's grandma on mike and molly</t>
  </si>
  <si>
    <t xml:space="preserve"> In 2010 , King was cast in the series regular role as grandmother , Rosetta McMillan `` Nana '' , in the CBS sitcom Mike &amp; Molly , even though she is only 7 years older than Reno Wilson ( who plays her grandson , Carl ) . </t>
  </si>
  <si>
    <r>
      <rPr>
        <sz val="11"/>
        <color rgb="FF000000"/>
        <rFont val="Calibri"/>
        <family val="0"/>
        <charset val="1"/>
      </rPr>
      <t xml:space="preserve">World Trigger - wikipedia  World Trigger     World Trigger     Cover of the first volume of World Trigger , featuring one of the main protagonists Yūma Kuga .     </t>
    </r>
    <r>
      <rPr>
        <sz val="11"/>
        <color rgb="FF000000"/>
        <rFont val="Noto Sans CJK SC"/>
        <family val="2"/>
      </rPr>
      <t xml:space="preserve">ワールド トリガー </t>
    </r>
    <r>
      <rPr>
        <sz val="11"/>
        <color rgb="FF000000"/>
        <rFont val="Calibri"/>
        <family val="0"/>
        <charset val="1"/>
      </rPr>
      <t xml:space="preserve">( Wārudo Torigā )     Genre   Adventure , science fiction     Manga     Written by   Daisuke Ashihara     Published by   Shueisha     English publisher   Viz Media     Demographic   Shōnen     Imprint   Jump Comics     Magazine   Weekly Shōnen Jump ( February 9 , 2013 -- November 26 , 2018 ) Jump Square ( December 4 , 2018 -- present )     English magazine   Weekly Shonen Jump     Original run   February 9 , 2013 -- present     Volumes   18 ( List of volumes )     Anime television series     Directed by   Mitsuru Hongo ( 01 − 48 ) Kouji Ogawa ( 49 − 73 )     Produced by     Kei Mizutani   Daichi Nagatomi       Written by     Hiroyuki Yoshino   Yuuichi Nomura   Natsuko Takahashi   Masahiro Yokotani       Music by   Kenji Kawai     Studio   Toei Animation     Licensed by   Toei Animation Inc .     Original network   ANN ( TV Asahi )     English network   Primo TV     Original run   October 5 , 2014 -- April 3 , 2016     Episodes   73 ( List of episodes )     Anime and Manga portal     World Trigger ( Japanese : </t>
    </r>
    <r>
      <rPr>
        <sz val="11"/>
        <color rgb="FF000000"/>
        <rFont val="Noto Sans CJK SC"/>
        <family val="2"/>
      </rPr>
      <t xml:space="preserve">ワールド トリガー </t>
    </r>
    <r>
      <rPr>
        <sz val="11"/>
        <color rgb="FF000000"/>
        <rFont val="Calibri"/>
        <family val="0"/>
        <charset val="1"/>
      </rPr>
      <t xml:space="preserve">, Hepburn : Wārudo Torigā ) , also known in short form as WorTri ( Japanese : </t>
    </r>
    <r>
      <rPr>
        <sz val="11"/>
        <color rgb="FF000000"/>
        <rFont val="Noto Sans CJK SC"/>
        <family val="2"/>
      </rPr>
      <t xml:space="preserve">ワートリ </t>
    </r>
    <r>
      <rPr>
        <sz val="11"/>
        <color rgb="FF000000"/>
        <rFont val="Calibri"/>
        <family val="0"/>
        <charset val="1"/>
      </rPr>
      <t xml:space="preserve">, Hepburn : Wātori ) , is a Japanese manga series written and illustrated by Daisuke Ashihara , which was initially serialized in Weekly Shōnen Jump since February 2013 until December 2018 when it was transferred to Jump Square . An anime adaptation of the series produced by Toei Animation started airing on October 5 , 2014 , with the series ending on April 3 , 2016 .   Contents    1 Plot   2 Media   2.1 Manga   2.2 Anime   2.3 Video games     3 Reception   4 References   5 Further reading   6 External links    Plot ( edit )  Main article : List of World Trigger characters  In Mikado City ( </t>
    </r>
    <r>
      <rPr>
        <sz val="11"/>
        <color rgb="FF000000"/>
        <rFont val="Noto Sans CJK SC"/>
        <family val="2"/>
      </rPr>
      <t xml:space="preserve">三 門市 </t>
    </r>
    <r>
      <rPr>
        <sz val="11"/>
        <color rgb="FF000000"/>
        <rFont val="Calibri"/>
        <family val="0"/>
        <charset val="1"/>
      </rPr>
      <t xml:space="preserve">, Mikado - shi ) ( 280 000 inhabitants ) , a `` gate '' to a different world suddenly opens one day . Monsters called `` Neighbors '' ( </t>
    </r>
    <r>
      <rPr>
        <sz val="11"/>
        <color rgb="FF000000"/>
        <rFont val="Noto Sans CJK SC"/>
        <family val="2"/>
      </rPr>
      <t xml:space="preserve">近 界 民 </t>
    </r>
    <r>
      <rPr>
        <sz val="11"/>
        <color rgb="FF000000"/>
        <rFont val="Calibri"/>
        <family val="0"/>
        <charset val="1"/>
      </rPr>
      <t xml:space="preserve">( </t>
    </r>
    <r>
      <rPr>
        <sz val="11"/>
        <color rgb="FF000000"/>
        <rFont val="Noto Sans CJK SC"/>
        <family val="2"/>
      </rPr>
      <t xml:space="preserve">ネイバー </t>
    </r>
    <r>
      <rPr>
        <sz val="11"/>
        <color rgb="FF000000"/>
        <rFont val="Calibri"/>
        <family val="0"/>
        <charset val="1"/>
      </rPr>
      <t xml:space="preserve">) , Neibā , lit . `` Near - world people '' ) start appearing from the gate . Humans are overwhelmed at first when their weapons are found to be useless against Neighbors , until a mysterious organization appears that is able to repel the Neighbors ' attacks . The organization is called the National Defense Agency , or `` Border , '' and has appropriated the Neighbor technology called `` Triggers , '' which allows the user to channel an internal energy called Trion and use it as a weapon or for other purposes . By activating a trigger , the body of users is replaced by a battle - body made of trion which is stronger and more resistant . Members of Border are divided in three ranks , A , B , and C , with only the members of rank A possessing the most powerful triggers , comparable in strength to those of Neighbors .   Four years later , people in Mikado City have grown used to the occasional battles with the Neighbors , and have returned more or less to their everyday lives . Border has become popular . One day , a mysterious white - haired student transfers to the local school , named Yūma Kuga ( </t>
    </r>
    <r>
      <rPr>
        <sz val="11"/>
        <color rgb="FF000000"/>
        <rFont val="Noto Sans CJK SC"/>
        <family val="2"/>
      </rPr>
      <t xml:space="preserve">空閑 遊 真 </t>
    </r>
    <r>
      <rPr>
        <sz val="11"/>
        <color rgb="FF000000"/>
        <rFont val="Calibri"/>
        <family val="0"/>
        <charset val="1"/>
      </rPr>
      <t xml:space="preserve">, Kuga Yūma ) . Kuga is in fact a strong humanoid Neighbor , a fact that he wants to hide from Border . In the school he meets another student , Osamu Mikumo ( </t>
    </r>
    <r>
      <rPr>
        <sz val="11"/>
        <color rgb="FF000000"/>
        <rFont val="Noto Sans CJK SC"/>
        <family val="2"/>
      </rPr>
      <t xml:space="preserve">三雲 修 </t>
    </r>
    <r>
      <rPr>
        <sz val="11"/>
        <color rgb="FF000000"/>
        <rFont val="Calibri"/>
        <family val="0"/>
        <charset val="1"/>
      </rPr>
      <t xml:space="preserve">, Mikumo Osamu ) , who is secretly a C - class Border trainee . Since Kuga is completely oblivious about life in Mikado City , it falls to Mikumo to guide him through it , and to prevent him from being discovered by Border .   Media ( edit )   Manga ( edit )  Main article : List of World Trigger chapters  The manga was written and illustrated by Daisuke Ashihara . Individual chapters have been serialized in Weekly Shōnen Jump since February 2013 , and are collected into tankōbon volumes published by Shueisha . As of March 2017 , eighteen volumes have been released in Japan . Viz Media has licensed the series . Due to health issues , on the part of the author , it was put on hiatus after the 50th issue of 2016 . The series will return in issue # 48 of Weekly Shōnen Jump on October 29 , 2018 and will run until issue # 52 on November 29 , then it will be transferred to Jump Square on December 4 .   Anime ( edit )  Main article : List of World Trigger episodes  An anime adaptation of World Trigger was announced on May 27 , 2014 and was to start airing in October 2014 .   On July 8 , 2014 , it was revealed that the anime adaptation would be produced by Toei Animation .   On August 4 , 2014 , the anime 's official website revealed the voice cast ( in Japanese alphabetical order ) : Nobuhiko Okamoto , Rie Kugimiya , Hideyuki Tanaka , Nao Tamura , Jun Fukuyama , Tomo Muranaka and Yūki Kaji . It also revealed that the anime would be broadcast on TV Asahi . An event was held on Roppongi Hills Arena ( TV Asahi 's `` Summer Festival '' venue ) revealing the full cast and the characters they would be playing . On August 6 , 2014 , the combined 37 - 38th issue of Weekly Shonen Jump revealed the roles for some of the cast , as well announcing the addition of Yūichi Nakamura as Yuichi Jin . On August 11 , 2014 , the official website for the anime was updated to reveal the rest of the cast members ' roles and a PV for the anime was posted .   On August 20 , 2014 , Weekly Shōnen Jump 's 39th issue revealed more of the anime 's cast . On August 25 , 2014 , the anime 's official website revealed the anime would premier in October 5 , 2014 .   On August 29 , Weekly Shōnen Jump 's 39th issue revealed the staff , with Mitsuru Hongo directing the anime at Toei Animation with series composition by Hiroyuki Yoshino . Toshihisa Kaiya and Hitomi Tsuruta were announced as character designers and animation directors , and Kenji Kawai composing the music for the soundtrack . The series was slated to run for 50 episodes , but ended up having 73 episodes .   On September 10 , it was revealed that the Nagoya trio Sonar Pocket would perform the anime 's opening theme , `` GIRIGIRI '' ( </t>
    </r>
    <r>
      <rPr>
        <sz val="11"/>
        <color rgb="FF000000"/>
        <rFont val="Noto Sans CJK SC"/>
        <family val="2"/>
      </rPr>
      <t xml:space="preserve">ギリギリ </t>
    </r>
    <r>
      <rPr>
        <sz val="11"/>
        <color rgb="FF000000"/>
        <rFont val="Calibri"/>
        <family val="0"/>
        <charset val="1"/>
      </rPr>
      <t xml:space="preserve">, lit . `` Borderline '' ) .   Like in most of the TV anime that are broadcast on TV Asahi in Japan , the World Trigger anime incorporates all the credits into the opening theme and there is only an opening for the show and no ending for the show .   In summer 2015 , the `` World Trigger Natsu Matsuri 2015 '' ( World Trigger Summer Festival 2015 ) event announced World Trigger : Isekai Kara no Tōbōsha , a brand new series with an original story not presented in the World Trigger manga , and with new characters and concepts . This `` new series '' actually ended up being the `` Fugitve Arc '' of the anime , which ran from Episodes 49 to 63 .   In July 2015 , it was announced that Toei would be producing an English dub with Ocean Productions . The series began airing in the United States on Primo TV on January 16 , 2017 .   On March 7 , 2016 , it was confirmed that the World Trigger anime would end , after it was announced that TV Asahi would be replacing the time slot airing it with sports programming .   Video Games ( edit )   A PlayStation Vita action game developed by Artdink titled World Trigger : Borderless Mission was released in Japan on September 17 , 2015 . An iOS and Android game developed by Ganbarion titled World Trigger : Smash Borders was released on July 21 , 2015 . It was later released on PlayStation Vita on February 17 , 2016 . Both were published by Bandai Namco Games .   Reception ( edit )   In the year of 2016 , a survey conducted by Oricon found that World Trigger was the 18th best - selling manga , with about 2,234,851 copies sold . Rebecca Silverman of Anime News Network said that `` World Trigger is an exciting read that distributes its information organically rather than relying on info - dumps . '' In a 2016 reader 's poll on goo , the series ranked the fifth most likely to become a Weekly Shonen Jump signature series .   However , the anime received criticism stemming from Toei 's handling of the adaptation . Gabriella Ekens from Anime News Network referred to the production as `` incompetent '' and `` baffling '' , stating `` World Trigger is n't a bad show , but it 's a terrible adaptation . '' The series ranked 10th in the Tokyo Anime Award Festival 's top 100 TV anime series of 2016 . During NHK 'S top 100 anime voting , World Trigger placed 158 out of 400 , tied with Detective Conan : The Darkest Nightmare .   References ( edit )    Jump up ^ `` The Official Website for World Trigger '' . Viz Media . Archived from the original on July 2 , 2017 . Retrieved October 28 , 2017 .   Jump up ^ `` Viz Media Announces Print Edition for World Trigger Manga '' . Anime News Network . April 18 , 2014 . Archived from the original on November 12 , 2014 . Retrieved November 9 , 2014 .   Jump up ^ `` World Trigger Manga Goes on Indefinite Hiatus Due to Author 's Poor Health '' . Anime News Network . November 17 , 2016 . Archived from the original on May 17 , 2017 . Retrieved May 14 , 2017 .   Jump up ^ `` World Trigger Manga Resumes on October 29 '' . Anime News Network . October 14 , 2018 . Retrieved October 15 , 2018 .   Jump up ^ `` Shonen Jump 's World Trigger Manga Gets Anime '' . Anime News Network . Retrieved May 27 , 2014 .   Jump up ^ `` World Trigger TV Anime Slated to Premiere in October '' . Anime News Network . Archived from the original on June 24 , 2014 . Retrieved June 24 , 2014 .   Jump up ^ `` Toei Animation Produces `` World Trigger '' TV Anime Adaptation `` . Crunchyroll . Archived from the original on July 12 , 2014 . Retrieved July 8 , 2014 .   Jump up ^ `` Yuuki Kaji , Nobuhiko Okamoto , Rie Kugimiya Star in World Trigger Anime '' . Anime News Network . Archived from the original on August 5 , 2014 . Retrieved August 4 , 2014 .   Jump up ^ `` Yūichi Nakamura Joins World Trigger TV Anime Cast '' . Anime News Network . August 6 , 2014 . Archived from the original on August 8 , 2014 .   Jump up ^ `` World Trigger Gets Commemorative Video for Upcoming Anime '' . Anime News Network . August 11 , 2014 . Archived from the original on August 13 , 2014 .   Jump up ^ `` Tomoaki Maeno , Masakazu Morita , Kana Hanazawa Join World Trigger Cast '' . Anime News Network . August 20 , 2014 . Archived from the original on July 12 , 2015 .   Jump up ^ `` Anime 's premiere date '' . Toei Animation . Archived from the original on September 3 , 2014 . Retrieved August 25 , 2014 .   Jump up ^ `` Outlaw Star 's Mitsuru Hongo Directs World Trigger Anime '' . Anime News Network . Archived from the original on September 1 , 2014 . Retrieved August 29 , 2014 .   Jump up ^ `` World Trigger Anime Listed With 50 Episodes '' . Anime News Network . Archived from the original on January 7 , 2015 . Retrieved January 28 , 2015 .   Jump up ^ `` </t>
    </r>
    <r>
      <rPr>
        <sz val="11"/>
        <color rgb="FF000000"/>
        <rFont val="Noto Sans CJK SC"/>
        <family val="2"/>
      </rPr>
      <t xml:space="preserve">主題 歌 に ソナー ポケット の 新曲 「 </t>
    </r>
    <r>
      <rPr>
        <sz val="11"/>
        <color rgb="FF000000"/>
        <rFont val="Calibri"/>
        <family val="0"/>
        <charset val="1"/>
      </rPr>
      <t xml:space="preserve">GIRIGIRI </t>
    </r>
    <r>
      <rPr>
        <sz val="11"/>
        <color rgb="FF000000"/>
        <rFont val="Noto Sans CJK SC"/>
        <family val="2"/>
      </rPr>
      <t xml:space="preserve">」 が 決定 </t>
    </r>
    <r>
      <rPr>
        <sz val="11"/>
        <color rgb="FF000000"/>
        <rFont val="Calibri"/>
        <family val="0"/>
        <charset val="1"/>
      </rPr>
      <t xml:space="preserve">! ! </t>
    </r>
    <r>
      <rPr>
        <sz val="11"/>
        <color rgb="FF000000"/>
        <rFont val="Noto Sans CJK SC"/>
        <family val="2"/>
      </rPr>
      <t xml:space="preserve">コメント も 到着 </t>
    </r>
    <r>
      <rPr>
        <sz val="11"/>
        <color rgb="FF000000"/>
        <rFont val="Calibri"/>
        <family val="0"/>
        <charset val="1"/>
      </rPr>
      <t xml:space="preserve">! '' ( in Japanese ) . Toei Animation . Archived from the original on September 11 , 2014 . Retrieved September 11 , 2014 .   Jump up ^ `` World Trigger TV Anime Gets New Series in October '' . Anime News Network . Archived from the original on 2016 - 05 - 17 . Retrieved 2016 - 05 - 27 .   Jump up ^ `` Toei Screens 1st 3 World Trigger Episodes with English Dub '' . Anime News Network . 2015 - 07 - 03 . Archived from the original on 2017 - 06 - 24 . Retrieved 2017 - 01 - 24 .   Jump up ^ `` World Trigger Anime 's Main English Dub Cast Revealed '' . Anime News Network . 2016 - 04 - 21 . Archived from the original on 2016 - 12 - 21 . Retrieved 2017 - 01 - 24 .   Jump up ^ `` Bilingual Hispanic Channel To Feature `` World Trigger '' Anime `` . Crunchyroll. 2017 - 01 - 24 . Archived from the original on 2017 - 01 - 26 . Retrieved 2017 - 01 - 24 .   Jump up ^ Green , Scott ( March 7 , 2016 ) . `` '' World Trigger '' Anime Wraps Up In March `` . Crunchyroll . Archived from the original on March 7 , 2016 . Retrieved March 7 , 2016 .   Jump up ^ `` World Trigger game announced for PS Vita '' . Gematsu . Archived from the original on December 9 , 2014 . Retrieved December 11 , 2014 .   Jump up ^ `` World Trigger game announced for iOS and Android '' . Dengeki Online - Dengeki App . Archived from the original on April 8 , 2015 . Retrieved April 6 , 2015 .   Jump up ^ Romano , Sal ( February 17 , 2016 ) . `` World Trigger : Smash Borders for PS Vita now available in Japan '' . Gematsu . Archived from the original on March 12 , 2017 . Retrieved January 24 , 2017 .   Jump up ^ `` Top - Selling Manga in Japan by Series : 2016 ( First Half ) '' . Anime News Network . Archived from the original on June 21 , 2016 . Retrieved June 19 , 2016 .   Jump up ^ `` World Trigger GN 1 - Review '' . Anime News Network . Archived from the original on April 4 , 2016 . Retrieved June 19 , 2016 .   Jump up ^ Green , Scott ( December 28 , 2016 ) . `` Japanese Readers Suggest Which Manga Will Be Next `` Shonen Jump '' Signature Series `` . Crunchyroll . Archived from the original on January 26 , 2017 . Retrieved January 23 , 2017 .   Jump up ^ `` Episodes 1 - 3 - World Trigger '' . Anime News Network . Archived from the original on May 24 , 2016 . Retrieved June 21 , 2016 .   Jump up ^ Komatsu , Mikikazu ( December 28 , 2016 ) . `` Tokyo Anime Award Festival Announced Top 100 Anime of 2016 '' . Crunchyroll . Archived from the original on December 29 , 2016 . Retrieved October 21 , 2017 .   Jump up ^ `` </t>
    </r>
    <r>
      <rPr>
        <sz val="11"/>
        <color rgb="FF000000"/>
        <rFont val="Noto Sans CJK SC"/>
        <family val="2"/>
      </rPr>
      <t xml:space="preserve">ベスト ・ アニメ </t>
    </r>
    <r>
      <rPr>
        <sz val="11"/>
        <color rgb="FF000000"/>
        <rFont val="Calibri"/>
        <family val="0"/>
        <charset val="1"/>
      </rPr>
      <t xml:space="preserve">100 </t>
    </r>
    <r>
      <rPr>
        <sz val="11"/>
        <color rgb="FF000000"/>
        <rFont val="Noto Sans CJK SC"/>
        <family val="2"/>
      </rPr>
      <t xml:space="preserve">投票 結果 発表 ニッポン アニメ </t>
    </r>
    <r>
      <rPr>
        <sz val="11"/>
        <color rgb="FF000000"/>
        <rFont val="Calibri"/>
        <family val="0"/>
        <charset val="1"/>
      </rPr>
      <t xml:space="preserve">100 NHK '' . NHK . Archived from the original on 2017 - 10 - 07 . Retrieved October 22 , 2017 .    Further reading ( edit )    Douresseaux , Leroy ( September 25 , 2014 ) . `` World Trigger : Volume 1 Advanced manga review '' . Comic Book Bin . Toon Doctor .   Douresseaux , Leroy ( October 6 , 2014 ) . `` World Trigger : Volume 2 Advanced manga review '' . Comic Book Bin . Toon Doctor .   Douresseaux , Leroy ( February 25 , 2015 ) . `` World Trigger : Volume 4 manga review '' . Comic Book Bin . Toon Doctor .   Douresseaux , Leroy ( March 29 , 2015 ) . `` World Trigger : Volume 5 manga review '' . Comic Book Bin . Toon Doctor .   Douresseaux , Leroy ( August 24 , 2015 ) . `` World Trigger : Volume 6 manga review '' . Comic Book Bin . Toon Doctor .   Douresseaux , Leroy ( October 28 , 2015 ) . `` World Trigger : Volume 7 manga review '' . Comic Book Bin . Toon Doctor .   Douresseaux , Leroy ( January 25 , 2016 ) . `` World Trigger : Volume 8 manga review '' . Comic Book Bin . Toon Doctor .   Douresseaux , Leroy ( April 29 , 2016 ) . `` World Trigger : Volume 10 manga review '' . Comic Book Bin . Toon Doctor .   Luster , Joseph ( April 28 , 2015 ) . `` Manga Review : World Trigger vol. 5 '' . Otaku USA . Sovereign Media .   Surat , Daryl ( January 17 , 2016 ) . `` ( Review ) World Trigger '' . Otaku USA . Sovereign Media .   Warner , Matthew ( November 11 , 2014 ) . `` World Trigger Vol. # 01 Manga Review '' . The Fandom Post .   Warner , Matthew ( November 20 , 2014 ) . `` World Trigger Vol. # 02 Manga Review '' . The Fandom Post .   Warner , Matthew ( January 26 , 2015 ) . `` World Trigger Vol. # 03 Manga Review '' . The Fandom Post .   Warner , Matthew ( January 26 , 2015 ) . `` World Trigger Vol. # 04 Manga Review '' . The Fandom Post .   Warner , Matthew ( July 11 , 2015 ) . `` World Trigger Vol. # 05 Manga Review '' . The Fandom Post .   Warner , Matthew ( December 12 , 2015 ) . `` World Trigger Vol. # 07 Manga Review '' . The Fandom Post .   Warner , Matthew ( March 27 , 2016 ) . `` World Trigger Vol. # 08 Manga Review '' . The Fandom Post .   Warner , Matthew ( August 19 , 2016 ) . `` World Trigger Vol. # 10 Manga Review '' . The Fandom Post .   Taylor , Jarrius ( October 5 , 2014 ) . `` World Trigger Episode # 01 Anime Review '' . The Fandom Post .    External links ( edit )    Official World Trigger Website ( in Japanese )   World Trigger Anime Website on Toei Animation 's site ( in Japanese )   World Trigger ( anime ) at Anime News Network 's encyclopedia              Series currently running in Weekly Shōnen Jump       Black Clover   Boruto : Naruto Next Generations   Demon Slayer : Kimetsu no Yaiba   Dr. Stone   Food Wars ! : Shokugeki no Soma   Haikyu ! !   Hinomaru Sumo   Hunter × Hunter   My Hero Academia   One Piece   The Promised Neverland   We Never Learn   World Trigger   Yuuna and the Haunted Hot Springs                 Weekly Shōnen Jump : 2010 -- 2019         Oumagadoki Zoo   Enigma       2011     Magico   St&amp;rs   Nisekoi       2012     Haikyu ! !   The Disastrous Life of Saiki K .   Barrage   Assassination Classroom   Cross Manage   Food Wars ! : Shokugeki no Soma       2013     World Trigger   Jaco the Galactic Patrolman       2014     Hinomaru Sumo   My Hero Academia       2015     Black Clover   Naruto : The Seventh Hokage and the Scarlet Spring       2016     Yuuna and the Haunted Hot Springs   Demon Slayer : Kimetsu no Yaiba   Boruto : Naruto Next Generations   The Promised Neverland       2017     We Never Learn   Dr. Stone   Robot x LaserBeam      Retrieved from `` https://en.wikipedia.org/w/index.php?title=World_Trigger&amp;oldid=864170995 '' Categories :   Manga series   2013 manga   2014 anime television series   Adventure anime and manga   Anime series based on manga   Science fiction anime and manga   Shōnen manga   Shueisha manga   Toei Animation television   TV Asahi shows   Viz Media manga   Hidden categories :   CS1 Japanese - language sources ( ja )   Articles containing Japanese - language text   Articles with Japanese - language external links           Talk                                           Contents                   About Wikipedia                                           Español   Français   </t>
    </r>
    <r>
      <rPr>
        <sz val="11"/>
        <color rgb="FF000000"/>
        <rFont val="Noto Sans CJK SC"/>
        <family val="2"/>
      </rPr>
      <t xml:space="preserve">한국어   </t>
    </r>
    <r>
      <rPr>
        <sz val="11"/>
        <color rgb="FF000000"/>
        <rFont val="Calibri"/>
        <family val="0"/>
        <charset val="1"/>
      </rPr>
      <t xml:space="preserve">Italiano   </t>
    </r>
    <r>
      <rPr>
        <sz val="11"/>
        <color rgb="FF000000"/>
        <rFont val="Noto Sans CJK SC"/>
        <family val="2"/>
      </rPr>
      <t xml:space="preserve">日本 語   </t>
    </r>
    <r>
      <rPr>
        <sz val="11"/>
        <color rgb="FF000000"/>
        <rFont val="Calibri"/>
        <family val="0"/>
        <charset val="1"/>
      </rPr>
      <t xml:space="preserve">Português   Русский   ไทย   </t>
    </r>
    <r>
      <rPr>
        <sz val="11"/>
        <color rgb="FF000000"/>
        <rFont val="Noto Sans CJK SC"/>
        <family val="2"/>
      </rPr>
      <t xml:space="preserve">中文   </t>
    </r>
    <r>
      <rPr>
        <sz val="11"/>
        <color rgb="FF000000"/>
        <rFont val="Calibri"/>
        <family val="0"/>
        <charset val="1"/>
      </rPr>
      <t xml:space="preserve">Edit links   This page was last edited on 15 October 2018 , at 15 : 20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</si>
  <si>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world trigger anime end in manga</t>
  </si>
  <si>
    <t xml:space="preserve"> The manga was written and illustrated by Daisuke Ashihara . Individual chapters have been serialized in Weekly Shōnen Jump since February 2013 , and are collected into tankōbon volumes published by Shueisha . As of March 2017 , eighteen volumes have been released in Japan . Viz Media has licensed the series . Due to health issues , on the part of the author , it was put on hiatus after the 50th issue of 2016 . The series will return in issue # 48 of Weekly Shōnen Jump on October 29 , 2018 and will run until issue # 52 on November 29 , then it will be transferred to Jump Square on December 4 . </t>
  </si>
  <si>
    <t xml:space="preserve">Virginia University of Lynchburg - Wikipedia  Virginia University of Lynchburg  Jump to : navigation , search This article is about the historically black college in Lynchburg , Virginia . For the private institution changing its name to the University of Lynchburg , see Lynchburg College .  Virginia University of Lynchburg       Former names   Virginia Seminary Virginia Theological Seminary and College Virginia Seminary and College     Motto   Sibi Auxilium et Libertas     Type   Private , HBCU     Established   1886     President   Kathy Franklin ( Interim )     Administrative staff   32     Students   205     Undergraduates   85     Location   Lynchburg , Virginia , U.S. 37 ° 23 ′ 42.7 '' N 79 ° 9 ′ 6.3 '' W ﻿ / ﻿ 37.395194 ° N 79.151750 ° W ﻿ / 37.395194 ; - 79.151750 Coordinates : 37 ° 23 ′ 42.7 '' N 79 ° 9 ′ 6.3 '' W ﻿ / ﻿ 37.395194 ° N 79.151750 ° W ﻿ / 37.395194 ; - 79.151750     Campus   Suburban     Athletics   Independent     Nickname   Dragons     Website    www.vul.edu          Virginia University of Lynchburg     U.S. National Register of Historic Places     U.S. Historic district     Virginia Landmarks Register         Show map of Virginia Show map of the US Show all     Location   2058 Garfield Ave. , Lynchburg , Virginia     Area   6.82 acres ( 2.76 ha )     Built   1888 ( 1888 )     Architect   Archer , Romulus C. , Jr .     Architectural style   Colonial Revival , Beaux - Arts     NRHP reference #   11000035     VLR #   118 - 5297     Significant dates     Added to NRHP   February 22 , 2011     Designated VLR   December 16 , 2010         Virginia University of Lynchburg is a private , historically black university located in Lynchburg , Virginia . The university currently offers instruction and degrees , primarily in religious studies , including a Doctorate of Ministry program .     Contents  ( hide )   1 History   2 Athletics   3 Notable alumni and faculty   4 References   5 External links      History ( edit )  Humbles Hall  Virginia University of Lynchburg is the oldest school of higher learning in Lynchburg . The school was founded in 1886 and incorporated in 1888 by the Virginia Baptist State Convention as the coeducational `` Lynchburg Baptist Seminary '' . Classes were first held in 1890 under the name Virginia Seminary . With the offering of a collegiate program in 1900 , the name was again changed , to Virginia Theological Seminary and College . In 1962 , the institution was renamed to the Virginia Seminary and College . Finally , in 1996 , the school was given its current name . The campus includes three historic academic buildings on 6.82 acres : Graham Hall ( 1917 ) , Humbles Hall ( 1920 -- 21 ) and the Mary Jane Cachelin Memorial Science and Library Building ( 1946 ) . These buildings and the Hayes Monument ( c. 1906 ) comprise a historic district , which was listed on the National Register of Historic Places in 2010 .   Its first President was the Rev. Phillip F. Morris , pastor of the city 's Court Street Baptist Church . Seeking a financial patron , Morris agreed to step down as president rather than yield to the demand of the American Baptist Home Mission Society that he step down from the pulpit to assume full - time leadership of the school . Rev. Morris would later serve as President of the National Baptist Convention . Rev. Gregory W. Hayes , a graduate of Oberlin College , assumed the full - time position as President in 1891 , serving until his death in 1906 . His wife , Mary Rice Hayes Allen , biracial daughter of a Confederate general and mother of author Carrie Allen McCray , assumed the presidency until replaced by Dr. JRL Diggs in 1908 .   During Hayes ' administration , controversy arose between black separatists and accommodationists over the future of the school . The chief patron wished it to become a pre-collegiate manual training institution . Hayes , among the separatists , returned the patronage to retain and strengthen black autonomy and academic integrity . This move eventually led to a schism within the National Baptist Convention .   In July 2010 , the school reached an agreement with Liberty University to help VUL students looking for degrees not offered at the school to complete their degrees at Liberty .   Among the alumni of the university is John Chilembwe , a Nyasa ( Malawian ) Baptist preacher and leader of the 1915 Chilembwe uprising , who graduated in 1901 .   Athletics ( edit )   Virginia University of Lynchburg was formerly a member of the United States Collegiate Athletic Association . They are athletically known as the Dragons . Men 's sports include basketball , football , soccer , and track and field ; while women 's sports include basketball and track and field .   Notable alumni and faculty ( edit )    John Chilembwe , a Nyasa ( Malawian ) Baptist preacher and leader of the 1915 Chilembwe uprising   Stella James Sims , professor at Storer College , Virginia University of Lynchburg , and Bluefield State College   Georgia Mabel DeBaptiste , academic ,   W. Henry Maxwell , politician , and pastor   Lawrence Carter , Civil Rights historian    References ( edit )    ^ Jump up to : `` National Register of Historic Places Listings '' . Weekly List of Actions Taken on Properties : 2 / 22 / 11 through 2 / 25 / 11 . National Park Service . 2011 - 03 - 04 .   Jump up ^ `` Virginia Landmarks Register '' . Virginia Department of Historic Resources . Retrieved 19 March 2013 .   Jump up ^ Bogger , Tommy L. `` John M. Armistead ( 1852 -- 1929 ) '' . Encyclopedia Virginia . Retrieved 26 August 2015 .   Jump up ^ Ashley Neville &amp; John Salmon ( September 2010 ) . `` National Register of Historic Places Inventory / Nomination : Virginia University of Lynchburg '' ( PDF ) . Virginia Department of Historic Resources . and Accompanying six photo   Jump up ^ `` Virginia University of Lynchburg , Liberty University strike deal for degrees '' . Retrieved 2010 - 07 - 10 .    External links ( edit )       Wikimedia Commons has media related to Virginia University of Lynchburg .      Official website   Athletic website              Historically black colleges and universities     Public institutions     Alabama A&amp;M   Alabama State   Albany State   Alcorn State   Arkansas -- Pine Bluff   Bishop State CC   Bluefield State   Bowie State   Central State   Cheyney   Coahoma CC   Coppin State   Delaware State   Elizabeth City State   Fayetteville State   Florida A&amp;M   Fort Valley State   Gadsden State CC   Grambling State   Harris -- Stowe   Hinds CC   Jackson State   Kentucky State   Langston   Lincoln , Missouri   Lincoln , Pennsylvania   Maryland , Eastern Shore   Mississippi Valley State   Morgan State   Norfolk State   North Carolina A&amp;T   North Carolina Central   Prairie View A&amp;M   Savannah State   Shelton State CC   South Carolina State   Southern   Southern -- New Orleans   Southern -- Shreveport   Tennessee State   Texas Southern   UDC   UVI   Virginia State   West Virginia State   Winston - Salem State       Private institutions     Allen   Arkansas Baptist   Barber -- Scotia   Benedict   Bennett   Bethune -- Cookman   Claflin   Clark Atlanta   Concordia Alabama   Dillard   Edward Waters   Fisk   Florida Memorial University   Hampton   Howard   Huston -- Tillotson   Interdenominational Theological Center   Jarvis Christian   Johnson C. Smith   Lane   LeMoyne -- Owen   Livingstone   Meharry   Miles   Morehouse   Morehouse School of Medicine   Morris Brown   Morris   Oakwood   Paine   Paul Quinn   Philander Smith   Rust   Selma   Shaw   Simmons College ( Ky . )   Southwestern Christian   Spelman   Stillman   St. Augustine 's   Talladega   Texas College   Tougaloo   Tuskegee   Virginia Union   Virginia University   Voorhees   Wilberforce   Wiley   Xavier ( Louisiana )       Defunct institutions     Bishop   Booker T. Washington   Carver   Collier - Blocker   Daniel Payne   Gibbs   Guadalupe   Hampton   Jackson   Johnson   Kittrell   Knoxville   Lewis College of Business   Lincoln Junior College   Mississippi Industrial College   Morristown   Mount Hermon Female Seminary   Roosevelt   Rosenwald   Saint Paul 's   Storer   Straight   Suwannee River   Volusia County   Western                 Colleges and universities in Virginia     Private     Appalachian College of Pharmacy   Appalachian School of Law   Art Institute of Virginia Beach   Art Institute of Washington   Atlantic University   Averett University   Baptist Theological Seminary at Richmond   Bluefield College   Bon Secours Memorial College of Nursing   Bridgewater College   Christendom College   Cordoba University   DeVry University   Eastern Mennonite University   ECPI University   Edward Via College of Osteopathic Medicine   Emory and Henry College   Ferrum College   George Washington University Virginia Campus   Hampden -- Sydney College   Hampton University   Hartland College   Hollins University   Jefferson College of Health Sciences   John Leland Center for Theological Studies   Liberty University   Lynchburg College   Mary Baldwin University   Marymount University   Patrick Henry College   Randolph College   Randolph -- Macon College   Regent University   Roanoke College   Shenandoah University   Southern Virginia University   Stratford University   Sweet Briar College   Union Theological Seminary &amp; Presbyterian School of Christian Education   University of Management and Technology   University of the Potomac   University of Richmond   Virginia International University   Virginia Theological Seminary   Virginia Union University   Virginia University of Lynchburg   Virginia Wesleyan College   Washington and Lee University   Westwood College       Public     Christopher Newport University   College of William &amp; Mary   Eastern Virginia Medical School   George Mason University   James Madison University   Joint Forces Staff College   Longwood University   Marine Corps University   Norfolk State University   Old Dominion University   Radford University   Richard Bland College   University of Mary Washington   University of Virginia   University of Virginia 's College at Wise   Virginia Commonwealth University   Virginia Community College System   Virginia Military Institute   Virginia Polytechnic Institute and State University   Virginia State University   Virginia -- Maryland Regional College of Veterinary Medicine       Defunct     Blackstone College for Girls   Elizabeth College   Frederick College   Gibbs College   Marion College   Saint Paul 's College   Sullins College   University of Northern Virginia   Virginia Intermont College         Complete list                 U.S. National Register of Historic Places in Virginia     Lists by county     Accomack   Albemarle   Alleghany   Amelia   Amherst   Appomattox   Arlington   Augusta   Bath   Bedford   Bland   Botetourt   Brunswick   Buchanan   Buckingham   Campbell   Caroline   Carroll   Charles City   Charlotte   Chesterfield   Clarke   Craig   Culpeper   Cumberland   Dickenson   Dinwiddie   Essex   Fairfax County   Fauquier   Floyd   Fluvanna   Franklin County   Frederick   Giles   Gloucester   Goochland   Grayson   Greene   Greensville   Halifax   Hanover   Henrico   Henry   Highland   Isle Of Wight   James City   King and Queen   King George   King William   Lancaster   Lee   Loudoun   Louisa   Lunenburg   Madison   Mathews   Mecklenburg   Middlesex   Montgomery   Nelson   New Kent   Northampton   Northumberland   Nottoway   Orange   Page   Patrick   Pittsylvania   Powhatan   Prince Edward   Prince George   Prince William   Pulaski   Rappahannock   Richmond County   Roanoke County   Rockbridge   Rockingham   Russell   Scott   Shenandoah   Smyth   Southampton   Spotsylvania   Stafford   Surry   Sussex   Tazewell   Warren   Washington   Westmoreland   Wise   Wythe   York         Lists by city     Alexandria   Bristol   Buena Vista   Charlottesville   Chesapeake   Colonial Heights   Covington   Danville   Emporia   Fairfax   Falls Church   Franklin   Fredericksburg   Galax   Hampton   Harrisonburg   Hopewell   Lexington   Lynchburg   Manassas   Manassas Park   Martinsville   Newport News   Norfolk   Norton   Petersburg   Portsmouth   Radford   Richmond   Roanoke   Salem   Staunton   Suffolk   Virginia Beach   Waynesboro   Williamsburg   Winchester       Other lists     Bridges   National Historic Landmarks         Keeper of the Register   History of the National Register of Historic Places   Property types   Historic district   Contributing property                 NCCAA Division I - South       Brewton -- Parker College   Carver Bible College   Columbia International University   Emmanuel College   John Wesley University   North Greenville University   Piedmont International University   Regent University   Southeastern University   Southern Wesleyan University   Virginia University of Lynchburg   Warner University      Retrieved from `` https://en.wikipedia.org/w/index.php?title=Virginia_University_of_Lynchburg&amp;oldid=798470883 '' Categories :   Educational institutions established in 1886   Educational institutions established in 1888   Historically black universities and colleges in the United States   Education in Lynchburg , Virginia   Universities and colleges in Virginia   Transnational Association of Christian Colleges and Schools   Buildings and structures in Lynchburg , Virginia   University and college buildings on the National Register of Historic Places in Virginia   USCAA member institutions   National Register of Historic Places in Lynchburg , Virginia   1886 establishments in Virginia   1888 establishments in Virginia   Non-profit organizations based in Lynchburg , Virginia   Historic districts on the National Register of Historic Places in Virginia   Hidden categories :   Coordinates on Wikidata   Commons category without a link on Wikidata   Official website different in Wikidata and Wikipedia           Talk                                           Contents                   About Wikipedia                                           Add links   This page was last edited on 2 September 2017 , at 04 : 58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</si>
  <si>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division is virginia university of lynchburg football</t>
  </si>
  <si>
    <t xml:space="preserve"> Virginia University of Lynchburg was formerly a member of the United States Collegiate Athletic Association . They are athletically known as the Dragons . Men 's sports include basketball , football , soccer , and track and field ; while women 's sports include basketball and track and field . </t>
  </si>
  <si>
    <r>
      <rPr>
        <sz val="11"/>
        <color rgb="FF000000"/>
        <rFont val="Calibri"/>
        <family val="0"/>
        <charset val="1"/>
      </rPr>
      <t xml:space="preserve">A Bathing Ape - wikipedia  A Bathing Ape   A Bathing Ape </t>
    </r>
    <r>
      <rPr>
        <sz val="11"/>
        <color rgb="FF000000"/>
        <rFont val="Noto Sans CJK SC"/>
        <family val="2"/>
      </rPr>
      <t xml:space="preserve">ア ・ ベイジング ・ エイプ </t>
    </r>
    <r>
      <rPr>
        <sz val="11"/>
        <color rgb="FF000000"/>
        <rFont val="Calibri"/>
        <family val="0"/>
        <charset val="1"/>
      </rPr>
      <t xml:space="preserve">( Bape )       Type   Subsidiary     Industry   Fashion     Founded   1993 ; 25 years ago ( 1993 ) in Ura - Harajuku , Shibuya , Tokyo , Japan     Founder   Nigo     Headquarters   Tokyo , Japan     Owner   I.T Group     Website   bape.com    BAPE store deployed in Hong Kong  A Bathing Ape ( </t>
    </r>
    <r>
      <rPr>
        <sz val="11"/>
        <color rgb="FF000000"/>
        <rFont val="Noto Sans CJK SC"/>
        <family val="2"/>
      </rPr>
      <t xml:space="preserve">ア ・ ベイジング ・ エイプ </t>
    </r>
    <r>
      <rPr>
        <sz val="11"/>
        <color rgb="FF000000"/>
        <rFont val="Calibri"/>
        <family val="0"/>
        <charset val="1"/>
      </rPr>
      <t xml:space="preserve">, A Beijingu Eipu ) ( or BAPE ) is a Japanese clothing brand founded by Nigo ( Tomoaki Nagao ) in Ura - Harajuku in 1993 . The brand specializes in men 's , women 's and children 's lifestyle and street wear , running 19 stores in Japan , including Bape Stores , Bape Pirate Stores , Bape Kids Stores , Bapexclusive Aoyama , and Bapexclusive Kyoto . The Kyoto store also includes Bape Gallery , a space used for various events and art shows sponsored by Bape . There are also stores located in Hong Kong , New York City , London , Paris , Taipei , Los Angeles , China , Bangkok and Singapore . The company previously operated ( Busy Work Shop ) , Bape Cuts hair salon , Bape Café , BABY MILO and The cay Soldier . Nigo also founded the secondary lines AAPE ( by A Bathing Ape ) and BAPY ( Busy Working Lady ) . In 2011 , the company had been sold to Hong Kong fashion conglomerate I.T Group . Nigo left the brand in 2013 .   Contents    1 History   2 Design   3 See also   4 References   5 External links    History ( edit )   Nigo , founder and owner , cites his mother and father , who were a nurse and a billboard maker respectively , as major influences in the development of his character , though because they both worked , he spent a lot of time alone with toys . He also credits DJ / fashion guru Hiroshi Fujiwara as his business model . His nickname means `` number two '' in Japanese ; the MD of Astoarobot , the fashion store , coined the moniker when he noted the physical resemblance to Fujiwara . Nigo cites his early influences as Elvis , The Beatles and hip - hop acts such as Beastie Boys and Run -- D.M.C.   After studying fashion editing at college , he worked as an editor and a stylist for Popeye magazine . After borrowing four million yen from an acquaintance , who also let him use his shop , he opened `` Nowhere '' , his first store , along with Jun Takahashi of Undercover , on April 1 , 1993 , in Ura - Harajuku . Deciding to start his own brand , he named it after the 1968 film Planet of the Apes . According to Nigo , the name `` BAPE '' is a reference to `` A Bathing Ape in Lukewarm Water '' . Japanese people typically have daily baths in water at temperatures above 40 degrees Celsius ( 104 ° F ) . As such , to bathe in lukewarm water is to complacently overindulge . This is an ironic reference to the lazy opulence of the younger generation of Japanese , the brand 's own customers . To expose the brand he gave T - shirts to the musician Cornelius who wore them when performing . For two years he produced 30 to 50 shirts a week , selling half and giving half to friends . In 1997 , Nigo released his debut album Ape Sounds under Mo'Wax , with DJ / Producer James Lavelle of UNKLE . Nigo is also co-owner and head designer of Pharrell Williams ' clothes brands Billionaire Boys Club and Ice Cream .   On February 1 , 2011 , it was announced that A Bathing Ape had been sold to Hong Kong fashion conglomerate I.T Group . I.T purchased a 90.27 % stake in A Bathing Ape . In a transaction encompassing $21,850,000 HKD ( approx . $2.8 million USD ) , I.T purchased a total of 668 shares . Exact details regarding the creative future and expansion of A Bathing Ape are unknown ; however , A Bathing Ape founder Nigo remained on board as the Creative Director for the next two years .   Bape is a popular Japanese street fashion brand and with many celebrities appearing in magazines and catalogs wearing Bape 's clothing .   Design ( edit )   Bape frequently collaborates with other brands and features characters from popular media such as SpongeBob SquarePants , Marvel comics characters , Nintendo , DC Comics , and Hello Kitty and the Sanrio Family . These designs are used throughout the Bathing Ape range , on goodies , accessories , hoodies , jackets , T - shirts and shoes . A Bathing Ape has also collaborated with many other famous brands such as Pepsi , Coca - Cola , M * A * C , Comme des Garçons , Undercover , Neighborhood , mastermind Japan , Supreme , Wiz Khalifa , Stüssy , Carhartt , Casio and artists such as Biggie Smalls , Beastie Boys , Pharrell , UNKLE , Kanye West , A $ AP Rocky , A $ AP Ferg , Kid Cudi , Juelz Santana , Pusha T , KAWS , Kreayshawn , Linkin Park , Gary Panter , Big Sean , Lil ' Wayne , Chris Brown , Flatbush Zombies , Travis Scott , Domo Genesis , Damian Lillard , and Keith Ape .   See also ( edit )    I.T   Billionaire Boys Club    References ( edit )    ^ Jump up to : David Fischer , NIGO Announces His Definitive Departure from BAPE highsnobiety , May 25 , 2013   Jump up ^ Breaking Down Bapes TheHipHopIcon.com , 2007 . Retrieved October 4 , 2007   Jump up ^ ( 1 ) bape.com , 2010 . Retrieved August 1 , 2010   ^ Jump up to : CNN TalkAsia Transcript 28 February 2006 . Retrieved June 28 , 2007 .   ^ Jump up to : Nigo interview Archived July 12 , 2007 , at the Wayback Machine . Pig Mag 24 May 2005 . Retrieved 21 June 2007 .   Jump up ^ `` Recognize Fresh ! Billionaire Boys Club '' .   Jump up ^ `` I.T Hong Kong Purchase a 90 % Financial Stake in A Bathing Ape '' .   Jump up ^ Kansai Scene Magazine : : Style Archived July 14 , 2008 , at the Wayback Machine .    External links ( edit )    Official website   Retrieved from `` https://en.wikipedia.org/w/index.php?title=A_Bathing_Ape&amp;oldid=845040778 '' Categories :   Companies established in 1993   Clothing brands of Japan   Clothing retailers of Japan   2000s fashion   Hip hop fashion   Clothing companies of Hong Kong   Companies of Hong Kong   Hidden categories :   Webarchive template wayback links   Pages using deprecated image syntax   Articles containing Japanese - language text           Talk                                           Contents                   About Wikipedia                                                 Dansk   Deutsch   Español   Français   </t>
    </r>
    <r>
      <rPr>
        <sz val="11"/>
        <color rgb="FF000000"/>
        <rFont val="Noto Sans CJK SC"/>
        <family val="2"/>
      </rPr>
      <t xml:space="preserve">한국어   </t>
    </r>
    <r>
      <rPr>
        <sz val="11"/>
        <color rgb="FF000000"/>
        <rFont val="Calibri"/>
        <family val="0"/>
        <charset val="1"/>
      </rPr>
      <t xml:space="preserve">Bahasa Indonesia   Italiano   Nederlands   </t>
    </r>
    <r>
      <rPr>
        <sz val="11"/>
        <color rgb="FF000000"/>
        <rFont val="Noto Sans CJK SC"/>
        <family val="2"/>
      </rPr>
      <t xml:space="preserve">日本 語   </t>
    </r>
    <r>
      <rPr>
        <sz val="11"/>
        <color rgb="FF000000"/>
        <rFont val="Calibri"/>
        <family val="0"/>
        <charset val="1"/>
      </rPr>
      <t xml:space="preserve">Русский   Svenska   Українська   </t>
    </r>
    <r>
      <rPr>
        <sz val="11"/>
        <color rgb="FF000000"/>
        <rFont val="Noto Sans CJK SC"/>
        <family val="2"/>
      </rPr>
      <t xml:space="preserve">中文  </t>
    </r>
    <r>
      <rPr>
        <sz val="11"/>
        <color rgb="FF000000"/>
        <rFont val="Calibri"/>
        <family val="0"/>
        <charset val="1"/>
      </rPr>
      <t xml:space="preserve">4 more  Edit links   This page was last edited on 8 June 2018 , at 22 : 38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</si>
  <si>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owner of the brand bape</t>
  </si>
  <si>
    <r>
      <rPr>
        <sz val="11"/>
        <color rgb="FF000000"/>
        <rFont val="Calibri"/>
        <family val="0"/>
        <charset val="1"/>
      </rPr>
      <t xml:space="preserve"> A Bathing Ape </t>
    </r>
    <r>
      <rPr>
        <sz val="11"/>
        <color rgb="FF000000"/>
        <rFont val="Noto Sans CJK SC"/>
        <family val="2"/>
      </rPr>
      <t xml:space="preserve">ア ・ ベイジング ・ エイプ </t>
    </r>
    <r>
      <rPr>
        <sz val="11"/>
        <color rgb="FF000000"/>
        <rFont val="Calibri"/>
        <family val="0"/>
        <charset val="1"/>
      </rPr>
      <t xml:space="preserve">( Bape )       Type   Subsidiary     Industry   Fashion     Founded   1993 ; 25 years ago ( 1993 ) in Ura - Harajuku , Shibuya , Tokyo , Japan     Founder   Nigo     Headquarters   Tokyo , Japan     Owner   I.T Group     Website   bape.com   </t>
    </r>
  </si>
  <si>
    <t xml:space="preserve">List of UFC records - wikipedia  List of UFC records   Below is a list of records held in the Ultimate Fighting Championship ( UFC ) .   Contents    1 Fighting   1.1 Most bouts   1.1. 1 In any bout   1.1. 1.1 All fighters   1.1. 1.2 By division     1.1. 2 In a title bout   1.1. 2.1 All fighters   1.1. 2.2 By division     1.1. 3 In a calendar year     1.2 Most total fight time   1.2. 1 In any bout   1.2. 1.1 All fighters   1.2. 1.2 By division     1.2. 2 In title bouts   1.2. 2.1 All fighters   1.2. 2.2 By division       1.3 Most PPV Main Events     2 Winning   2.1 Most wins   2.1. 1 In any bout   2.1. 1.1 All fighters   2.1. 1.2 By division     2.1. 2 In a title bout   2.1. 2.1 All fighters   2.1. 2.2 By division     2.1. 3 In a calendar year     2.2 Highest win percentage   2.3 Longest winning streaks     3 Finishes   3.1 Most finishes   3.1. 1 In any bout   3.1. 1.1 All fighters   3.1. 1.2 By division     3.1. 2 In a title bout   3.1. 2.1 All fighters   3.1. 2.2 By division     3.1. 3 In a single event     3.2 Fastest finishes   3.2. 1 In any bout   3.2. 1.1 All fighters   3.2. 1.2 By division     3.2. 2 In a title bout   3.2. 2.1 All fighters   3.2. 2.2 By division       3.3 Latest finishes   3.3. 1 In any bout   3.3. 1.1 All fighters   3.3. 1.2 By division     3.3. 2 In a title bout   3.3. 2.1 All fighters   3.3. 2.2 By division       3.4 Highest finishes per win percentage     4 Knockouts   4.1 Most knockouts   4.1. 1 In any bout   4.1. 1.1 All fighters   4.1. 1.2 By division     4.1. 2 In a title bout   4.1. 2.1 All fighters   4.1. 2.2 By division     4.1. 3 In a single event     4.2 Fastest knockouts   4.2. 1 In any bout   4.2. 1.1 All fighters   4.2. 1.2 By division     4.2. 2 In a title bout   4.2. 2.1 All fighters   4.2. 2.2 By division       4.3 Latest knockouts   4.3. 1 In any bout   4.3. 1.1 All fighters   4.3. 1.2 By division     4.3. 2 In a title bout   4.3. 2.1 All fighters   4.3. 2.2 By division       4.4 Highest knockouts per win percentage     5 Submissions   5.1 Most submissions   5.1. 1 In any bout   5.1. 1.1 All fighters   5.1. 1.2 By division     5.1. 2 In a title bout   5.1. 2.1 All fighters   5.1. 2.2 By division     5.1. 3 In a single event     5.2 Fastest submissions   5.2. 1 In any bout   5.2. 1.1 All fighters   5.2. 1.2 By division     5.2. 2 In a title bout   5.2. 2.1 All fighters   5.2. 2.2 By division       5.3 Latest submissions   5.3. 1 In any bout   5.3. 1.1 All fighters   5.3. 1.2 By division     5.3. 2 In a title bout   5.3. 2.1 All fighters   5.3. 2.2 By division       5.4 Highest submissions per win percentage     6 Decisions   6.1 Most decision bouts   6.1. 1 All fighters   6.1. 2 By division     6.2 Most unanimous decision wins   6.2. 1 All fighters   6.2. 2 By division     6.3 Most split decision wins   6.3. 1 All fighters   6.3. 2 By division     6.4 Most decision bouts in one event   6.5 Highest decision wins per win percentage     7 Striking   7.1 Most significant strikes landed   7.1. 1 Career   7.1. 1.1 In any bout   7.1. 1.1. 1 All fighters   7.1. 1.1. 2 By division     7.1. 1.2 In title bouts   7.1. 1.2. 1 All fighters   7.1. 1.2. 2 By division       7.1. 2 In any single bout   7.1. 2.1 All fighters   7.1. 2.2 By division   7.1. 2.3 In a single title bout   7.1. 2.3. 1 All fighters   7.1. 2.3. 2 By division       7.1. 3 In a single event     7.2 Highest significant strike percentage   7.3 Highest significant strike landed per minute     8 Knockdowns   8.1 Most knockdowns   8.1. 1 Career   8.1. 1.1 In any bout   8.1. 1.1. 1 All fighters   8.1. 1.1. 2 By division     8.1. 1.2 In title bouts   8.1. 1.2. 1 All fighters   8.1. 1.2. 2 By division       8.1. 2 In a single bout   8.1. 2.1 In any bout   8.1. 2.1. 1 All fighters   8.1. 2.1. 2 By division     8.1. 2.2 In a title bout   8.1. 2.2. 1 All fighters   8.1. 2.2. 2 By division       8.1. 3 In a single event       9 Takedowns   9.1 Most takedowns   9.1. 1 Career   9.1. 1.1 In any bout   9.1. 1.1. 1 All fighters   9.1. 1.1. 2 By division     9.1. 1.2 In title bouts   9.1. 1.2. 1 All fighters   9.1. 1.2. 2 By division       9.1. 2 In a single bout   9.1. 2.1 In any bout   9.1. 2.1. 1 All fighters   9.1. 2.1. 2 By division     9.1. 2.2 In a title bout   9.1. 2.2. 1 All fighters   9.1. 2.2. 2 By division       9.1. 3 In a single event     9.2 Highest takedown percentage   9.3 Highest takedowns landed rate     10 Submission attempts   10.1 Career   10.1. 1 In any bout   10.1. 1.1 All fighters   10.1. 1.2 By division     10.1. 2 In title bouts   10.1. 2.1 All fighters   10.1. 2.2 By division       10.2 In a single bout   10.2. 1 In any bout   10.2. 1.1 All fighters   10.2. 1.2 By Division     10.2. 2 In a title bout   10.2. 2.1 All fighters   10.2. 2.2 By division       10.3 Highest submission attempt rate     11 Championships   11.1 Most title reigns   11.2 Longest single title reigns   11.2. 1 By division     11.3 Longest combined title reigns   11.3. 1 By division     11.4 Youngest champions   11.5 Oldest champions   11.6 Multi-division champions     12 Tournaments   12.1 Multiple tournament wins     13 Bonuses   13.1 Most overall   13.2 Most Performance of the Night bonuses   13.3 Most Fight of the Night bonuses   13.4 Most Knockout of the Night bonuses ( discontinued )   13.5 Most Submission of the Night bonuses ( discontinued )     14 Attendances   14.1 Overall   14.2 United States     15 Finances   15.1 Highest Pay - Per - View buys   15.2 Highest Pay - Per - View buys for a non-championship main event   15.3 Lowest Pay - Per - View buys for a championship main event   15.4 Biggest gates     16 References   17 External links    Fighting ( edit )   Most bouts ( edit )  In any bout ( edit ) All fighters ( edit )  On December 16 , 1994 , Royce Gracie became the first fighter to reach 10 fights in the UFC .   On July 7 , 2007 , Tito Ortiz became the first fighter to reach 20 fights in the UFC .   On September 8 , 2018 , Jim Miller became the first fighter to reach 30 fights in the UFC .       Active fighters on bold         Fighter   Division / s   Bouts     1 .   Jim Miller   Lightweight Catchweight   30     2 .   Jeremy Stephens   Featherweight Lightweight   29     Michael Bisping   Middleweight Light - Heavyweight     4 .   Demian Maia   Welterweight Middleweight   28     Diego Sanchez   Featherweight Lightweight Welterweight Middleweight Catchweight     Donald Cerrone   Lightweight Welterweight Catchweight     Gleison Tibau   Lightweight Welterweight     8 .   Frank Mir   Heavyweight   27     Tito Ortiz   Light - Heavyweight     10 .   Andrei Arlovski   Heavyweight   26     Clay Guida   Featherweight Lightweight     Joe Lauzon   Lightweight Catchweight     Vitor Belfort   Middleweight Light - Heavyweight Heavyweight Catchweight      Jump up ^ 2 of 27 Light Heavyweight bouts in deprecated UFC Middleweight ( 171 - 199 lbs . ) class ( now known as Light Heavyweight ) and 2 of 27 Light Heavyweight bouts in first deprecated UFC Lightweight (   Jump up ^ 1 of 8 Light Heavyweight bouts in deprecated UFC Middleweight ( 171 - 199 lbs . ) class ( now known as Light Heavyweight )   By division ( edit )       Division / s   Fighter   Bouts     Heavyweight   Frank Mir   27     Light Heavyweight   Tito Ortiz   27     Middleweight   Michael Bisping   24     Welterweight   Josh Koscheck   24     Matt Hughes     Lightweight   Jim Miller   30     Featherweight   Max Holloway   17     Bantamweight   Urijah Faber   15     Flyweight   Demetrious Johnson   14     Women 's Featherweight   Cristiane Justino       Women 's Bantamweight   Amanda Nunes   10     Women 's Flyweight   Jessica Rose - Clark       Women 's Strawweight   Joanna Jędrzejczyk   8         Jump up ^ 2 of 27 Light Heavyweight bouts in first deprecated UFC Middleweight ( 171 - 199 lbs . ) class ( now known as Light Heavyweight ) and 2 of 27 Light Heavyweight bouts in first deprecated UFC Lightweight (   Jump up ^ 1 of 24 Welterweight bouts in second deprecated UFC Lightweight (   In a title bout ( edit ) All fighters ( edit )      Fighter   Title / s   Wins   Losses   Draws   Total     1 .   Georges St - Pierre   Welterweight Middleweight   13     0   15     Randy Couture   Light Heavyweight Heavyweight   9   6   0   15     3 .   Anderson Silva   Middleweight   11     0   13     Demetrious Johnson   Flyweight Bantamweight   12     0     5 .   Matt Hughes   Welterweight   9     0   12     6 .   B.J. Penn   Lightweight Welterweight   5   5     11    By division ( edit )       Division / s   Fighter   Wins     Heavyweight   Randy Couture   9     Tim Sylvia     Light Heavyweight   Jon Jones   10     Middleweight   Anderson Silva   13     Welterweight   Georges St - Pierre   14     Lightweight   B.J. Penn   8     Featherweight   Jose Aldo   10     Bantamweight   Renan Barão   6     Flyweight   Demetrious Johnson   12     Women 's Featherweight   Cristiane Justino       Women 's Bantamweight   Ronda Rousey   8     Women 's Flyweight   Nicco Montaño       Women 's Strawweight   Joanna Jędrzejczyk   7       In a calendar year ( edit )      Fighter   Division / s   Year   Bouts     1 .   Chris Leben   Middleweight   2006   5     Roger Huerta   Lightweight   2007     Donald Cerrone   Lightweight   2011     Daron Cruickshank   Lightweight   2014     Neil Magny   Welterweight   2014     2015     Uriah Hall   Middleweight   2015     Ross Pearson   Lightweight Welterweight   2016      Jump up ^ Does not include multiple - bout tournaments    Most total fight time ( edit )  In any bout ( edit ) All fighters ( edit )      Fighter   Division / s   Time ( hh : mm : ss )     1 .   Frankie Edgar   Featherweight Lightweight   6 : 27 : 49     2 .   Michael Bisping   Middleweight Light Heavyweight   6 : 05 : 33     3 .   Georges St - Pierre   Welterweight Middleweight   5 : 48 : 12     4 .   Diego Sanchez   Featherweight Lightweight Welterweight Middleweight   5 : 26 : 01     5 .   B.J. Penn   Featherweight Lightweight Welterweight   5 : 38 : 31    By division ( edit )       Division / s   Fighter   Time ( hh : mm : ss )     Heavyweight   Roy Nelson   3 : 22 : 33     Light Heavyweight   Tito Ortiz   5 : 00 : 53     Middleweight   Michael Bisping   4 : 58 : 22     Welterweight   Georges St - Pierre   5 : 28 : 12     Lightweight   Gleison Tibau   4 : 45 : 33     Featherweight   Cub Swanson   3 : 07 : 50     Bantamweight   Urijah Faber   3 : 29 : 04     Flyweight   Demetrious Johnson   3 : 50 : 57     Women 's Featherweight   Holly Holm     0 : 50 : 00     Women 's Bantamweight   Miesha Tate   2 : 05 : 39     Women 's Flyweight   Jessica Rose - Clark   0 : 30 : 00     Women 's Strawweight   Joanna Jędrzejczyk   2 : 33 : 39         Jump up ^ 1 : 11 : 33 Light Heavyweight bout time in first deprecated UFC Middleweight ( 171 - 199 lbs . ) class ( now known as Light Heavyweight ) and 02 : 31 Light Heavyweight bout time in first deprecated UFC Lightweight (   In title bouts ( edit ) All fighters ( edit )      Fighter   Division / s   Time ( hh : mm : ss )     1 .   Georges St - Pierre   Welterweight Middleweight   4 : 14 : 28     2 .   Demetrious Johnson   Flyweight Bantamweight   3 : 45 : 57     3 .   Randy Couture   Light Heavyweight Heavyweight   3 : 33 : 00     4 .   B.J. Penn   Featherweight Lightweight Welterweight   3 : 24 : 05     5 .   Frankie Edgar   Featherweight Lightweight   3 : 13 : 54    By division ( edit )  Most PPV main events ( edit )       Fighter   Division / s   PPV Main Events   Total     1 .   Randy Couture   Light Heavyweight Heavyweight   Japan , 28 , 31 , 34 , 36 , 39 , 43 , 44 , 46 , 49 , 52 , 57 , 68 , 74 , 91 , 102 , 105 , 109   18     2 .   Georges St - Pierre   Welterweight Middleweight   52 , 54 , 56 , 58 , 65 , 69 , 79 , 83 , 87 , 94 , 111 , 124 , 129 , 154 , 158 , 167 , 217   17     3 .   Anderson Silva   Middleweight Light Heavyweight   64 , 67 , 73 , 77 , 82 , 90 , 97 , 112 , 117 , 126 , 134 , 148 153 , 162 , 168 , 183 ,   16     Tito Ortiz   Light Heavyweight   13 , 19 , 22 , 25 , 29 , 30 , 32 , 33 , 40 , 44 , 47 , 50 , 51 , 66 , 106 , 133   16     4 .   Chuck Liddell   Light Heavyweight   37.5 , 43 , 47 , 52 , 54 , 57 , 62 , 66 , 71 , 76 , 88 , 115   12     5 .   Jon Jones   Light Heavyweight   128 , 135 , 140 , 145 , 152 , 159 , 165 , 172 , 182 , 197 , 214   11     6 .   Rich Franklin   Middleweight Catchweight Light Heavyweight   56 , 58 , 64 , 72 , 77 , 93 , 99 , 103 , 115 , 147   10     B.J. Penn   Lightweight Welterweight   35 , 63 , 80 , 84 , 94 , 101 , 107 , 118 , 127 , 137      1. ^ Minimum 10 pay - per - view main events .    Winning ( edit )   Most wins ( edit )  In any bout ( edit ) All fighters ( edit )      Fighter   Division / s   Wins     1 .   Michael Bisping   Middleweight Light Heavyweight   20     Georges St - Pierre   Welterweight Middleweight     Donald Cerrone   Lightweight Welterweight     4 .   Demian Maia   Welterweight Middleweight   19     5 .   Matt Hughes   Welterweight Catchweight   18    By division ( edit )       Division / s   Fighter   Wins     Heavyweight   Frank Mir   16     Light Heavyweight   Jon Jones   16     Middleweight   Michael Bisping   16     Welterweight   Georges St - Pierre   19     Lightweight   Jim Miller   17     Featherweight   Max Holloway   14     Bantamweight   T.J. Dillashaw   11     Flyweight   Demetrious Johnson   13     Women 's Featherweight   Cristiane Justino       Women 's Bantamweight   Amanda Nunes   8     Women 's Flyweight   Jessica Rose - Clark       Women 's Strawweight   Joanna Jędrzejczyk   8       In a title bout ( edit ) All fighters ( edit )      Fighter   Title / s   Wins     1 .   Georges St - Pierre   Welterweight Middleweight   13     2 .   Demetrious Johnson   Flyweight   12     3 .   Anderson Silva   Middleweight   11     4 .   Jon Jones   Light Heavyweight   9     5 .   Matt Hughes   Welterweight   9     Randy Couture   Light Heavyweight Heavyweight    By division ( edit )       Division / s   Fighter   Wins     Heavyweight   Randy Couture   6     Light Heavyweight   Jon Jones   9     Middleweight   Anderson Silva   11     Welterweight   Georges St - Pierre   12     Lightweight   B.J. Penn       Benson Henderson     Featherweight   José Aldo   8     Bantamweight   T.J. Dillashaw   5     Flyweight   Demetrious Johnson   12     Women 's Featherweight   Cristiane Justino       Women 's Bantamweight   Ronda Rousey   6     Women 's Flyweight   Nicco Montaño       Women 's Strawweight   Joanna Jędrzejczyk   6       In a calendar year ( edit )    Fighter   Division / s   Year   Dates   Events   Opponents   Wins     Roger Huerta   Lightweight   2007   Feb 3 Apr 7 Jun 23 Aug 25 Dec 8   UFC 67 UFC 69 TUF 5 UFC 74 TUF 6   John Halverson Leonard Garcia Doug Evans Alberto Crane Clay Guida   5     Neil Magny   Welterweight   2014   Feb 1 May 10 Jun 28 Aug 23 Oct 25   UFC 169 UFC Fight Night 40 UFC Fight Night 43 UFC Fight Night 49 UFC 179   Gasan Umalatov Tim Means Rodrigo de Lima Alex Garcia William Macário      Jump up ^ Does not include multiple - bout tournaments    Highest win percentage ( edit )       Fighter   Division / s   Wins   Losses   Draws   NC   %     1 .   Khabib Nurmagomedov   Lightweight   11   0   0   0   100.00 %     5 .   Jon Jones   Light Heavyweight   16     0     94.11 %     3 .   Tony Ferguson   Lightweight Welterweight   14     0   0   93.33 %     4 .   Georges St - Pierre   Welterweight Middleweight   20     0   0   90.90 %     5 .   Don Frye   Openweight   9     0   0   90.00 %     Longest winning streaks ( edit )       fighter   Division / s   Began   Ended   Winning streak     1 .   Anderson Silva   Middleweight Light Heavyweight   Jun 28 , 2006   July 6 , 2013   16     2 .   Georges St - Pierre   Welterweight Middleweight   Aug 25 , 2007   Active   13     Jon Jones   Light Heavyweight   Mar 21 , 2010   Jul 29 , 2017   13     Demetrious Johnson   Flyweight   Jun 8 , 2012   Aug 4 , 2018   13     5 .   Max Holloway   Featherweight Catchweight   January 4 , 2014   Active   12     6 .   Khabib Nurmagomedov   Lightweight   Jan 20 , 2012   Active   11     Tony Ferguson   Lightweight   Oct 17 , 2013   Active   11      ^ Jump up to : currently active streak    Finishes ( edit )   Most finishes ( edit )  In any bout ( edit ) All fighters ( edit )      Fighter   Division / s   Finishes     1 .   Vitor Belfort   Middleweight Light Heavyweight Heavyweight Catchweight   14     Anderson Silva   Middleweight Light Heavyweight     Donald Cerrone   Welterweight Lightweight     4 .   Frank Mir   Heavyweight   13     Matt Hughes   Welterweight Catchweight     6 .   Joe Lauzon   Lightweight Catchweight   12    By division ( edit )       Division / s   Fighter   Finishes     Heavyweight   Frank Mir   13     Light Heavyweight   Chuck Liddell   10     Tito Ortiz     Middleweight   Anderson Silva   11     Welterweight   Matt Hughes   12     Lightweight   Joe Lauzon   12     Featherweight   Max Holloway   9     Bantamweight   T.J. Dillashaw   7     Flyweight   Demetrious Johnson   7     Women 's Featherweight   Cristiane Justino       Women 's Bantamweight   Amanda Nunes   7     Women 's Flyweight   Joanne Calderwood       Women 's Strawweight   Rose Namajunas           Jump up ^ 1 of 10 Light Heavyweight finishes in deprecated UFC Middleweight ( 171 - 199 lbs . ) class ( now known as Light Heavyweight )   Jump up ^ 2 of 10 Light Heavyweight finishes in deprecated UFC Middleweight ( 171 - 199 lbs . ) class ( now known as Light Heavyweight ) and 1 of 10 Light Heavyweight finishes in first deprecated UFC Lightweight (   In a title bout ( edit ) All fighters ( edit )      Fighter   Division / s   Finishes     1 .   Anderson Silva   Middleweight Light Heavyweight   9     2 .   Matt Hughes   Welterweight   8     3 .   Demetrious Johnson   Flyweight   7     4 .   Ronda Rousey   Bantamweight ( W )   6 s     Jon Jones   Light Heavyweight     6 .   Chuck Liddell   Light Heavyweight   5     Frank Shamrock   Light Heavyweight     Randy Couture   Light Heavyweight Heavyweight     B.J. Penn   Lightweight Welterweight     Georges St - Pierre   Welterweight Middleweight      Jump up ^ 4 of 5 finishes in deprecated UFC Middleweight ( 171 - 199 lbs . ) class ( now known as Light Heavyweight ) and 1 of 5 submissions in first deprecated UFC Lightweight (   By division ( edit )       Division / s   Fighter   Finishes     Heavyweight   Brock Lesnar       Stipe Miocic     Randy Couture     Andrei Arlovski     Tim Sylvia     Light Heavyweight   Jon Jones   6     Middleweight   Anderson Silva   9     Welterweight   Matt Hughes   8     Lightweight   B.J. Penn       Featherweight   Max Holloway       Bantamweight   T.J. Dillashaw       Flyweight   Demetrious Johnson   7     Women 's Featherweight   Cristiane Justino       Women 's Bantamweight   Ronda Rousey   6     Women 's Flyweight   -   -     Women 's Strawweight   Joanna Jędrzejczyk         In a single event ( edit )      Event   Date   Finishes     1 .   UFC 2   March 11 , 1994   15     2 .   UFC Fight Night 55   November 7 , 2014   11     UFC 224   May 12 , 2018     4 .   UFC 4   December 16 , 1994   10     UFC 6   July 14 , 1995     UFC 7   September 8 , 1995     Ultimate Ultimate 1996   December 7 , 1996     UFC Fight Night 13   April 2 , 2008     UFC on Fuel TV 10   June 8 , 2013     UFC Fight Night 65   May 10 , 2015     UFC Fight Night 68   June 6 , 2015     Fastest finishes ( edit )  In any bout ( edit ) All fighters ( edit )      Fighter   Opponent   Division   Event   Type of finish   Time     1 .   Duane Ludwig   Jonathan Goulet   Welterweight   UFC Fight Night 3   Knockout   0 : 06     2 .   Todd Duffee   Tim Hague   Heavyweight   UFC 102   Knockout   0 : 07     Chan Sung Jung   Mark Hominick   Featherweight   UFC 140   Knockout     Ryan Jimmo   Anthony Perosh   Light Heavyweight   UFC 149   Knockout     5 .   Don Frye   Thomas Ramirez   Heavyweight   UFC 8   Knockout   0 : 08     James Irvin   Houston Alexander   Light Heavyweight   UFC Fight Night 13   Knockout     Leon Edwards   Seth Baczynski   Welterweight   UFC Fight Night 64   Knockout     Makwan Amirkhani   Andy Ogle   Featherweight   UFC on Fox 14   Knockout      Jump up ^ Official UFC records have the bout time at 0 : 11 , Dana White and UFC officials have admitted the actual KO time was 0 : 06 . The NSAC can not retroactively amend bout times , however this is considered the fastest finish and KO in UFC history .   By division ( edit )       Division   Fighter   Opponent   Event   Type of finish   Time     Heavyweight   Todd Duffee   Tim Hague   UFC 102   Knockout   0 : 07     Light Heavyweight   Ryan Jimmo   Anthony Perosh   UFC 149   Knockout   0 : 07     Middleweight   Mark Weir   Eugene Jackson   UFC 38   Knockout   0 : 10     Welterweight   Duane Ludwig   Jonathan Goulet   UFC Fight Night 3   Knockout   0 : 06     Lightweight   Gray Maynard   Joe Veres   UFC Fight Night 11   Knockout   0 : 09     Featherweight   Chan Sung Jung   Mark Hominick   UFC 140   Knockout   0 : 07     Bantamweight   Erik Perez   Ken Stone   UFC 150   Knockout   0 : 17     Flyweight   Dustin Ortiz   Hector Sandoval   UFC Fight Night 114   Knockout   0 : 15     Women 's Featherweight   Cristiane Justino   Yana Kunitskaya   UFC 222   Knockout   3 : 25     Women 's Bantamweight   Ronda Rousey   Cat Zingano   UFC 184   Submission   0 : 14     Women 's Flyweight   Montana De La Rosa   Christina Marks   The Ultimate Fighter : A New World Champion Finale   Submission   2 : 00     Women 's Strawweight   Poliana Botelho   Syuri Kondo   UFC Fight Night 129   Knockout   0 : 33         Jump up ^ Official UFC records have the bout time at 0 : 11 , Dana White and UFC officials have admitted the actual KO time was 0 : 06 . The NSAC can not retroactively amend bout times , however this is considered the fastest finish and KO in UFC history .   In a title bout ( edit ) All fighters ( edit )      Fighter   Opponent   Championship   Event   Type of finish   Time     1 .   Conor McGregor   José Aldo   Featherweight   UFC 194   Knockout   0 : 13     2 .   Ronda Rousey   Cat Zingano   Bantamweight ( W )   UFC 184   Submission   0 : 14     3 .   Andrei Arlovski   Paul Buentello   Heavyweight   UFC 55   Knockout   0 : 15     4 .   Ronda Rousey   Alexis Davis   Bantamweight ( W )   UFC 175   Knockout   0 : 16     Frank Shamrock   Kevin Jackson   Light Heavyweight   UFC 15.5   Submission    By division ( edit )       Division   Fighter   Opponent   Event   Type of finish   Time     Heavyweight   Andrei Arlovski   Paul Buentello   UFC 55   Knockout   0 : 15     Light Heavyweight   Frank Shamrock   Kevin Jackson   UFC 15.5   Submission   0 : 16     Middleweight   Rich Franklin   Nate Quarry   UFC 56   Knockout   2 : 34     Welterweight   Tyron Woodley   Robbie Lawler   UFC 201   Knockout   2 : 12     Lightweight   Rafael Dos Anjos   Donald Cerrone   UFC on Fox 17   Knockout   1 : 06     Featherweight   Conor McGregor   José Aldo   UFC 194   Knockout   0 : 13     Bantamweight   Renan Barão   Urijah Faber   UFC 169   Knockout   3 : 42     Flyweight   Demetrious Johnson   Joseph Benavidez   UFC on Fox 9   Knockout   2 : 08     Women 's Featherweight   Cristiane Justino   Yana Kunitskaya   UFC 222   Knockout   3 : 25     Women 's Bantamweight   Ronda Rousey   Cat Zingano   UFC 184   Submission   0 : 14     Women 's Flyweight   -   -   -   -   -     Women 's Strawweight   Rose Namajunas   Joanna Jędrzejczyk   UFC 217   Knockout   3 : 03        Latest finishes ( edit )  In any bout ( edit ) All fighters ( edit )      Fighter   Opponent   Division   Event   Type of finish   Round   Time     1 .   Demetrious Johnson   Kyoji Horiguchi   Flyweight   UFC 186   Submission   5   4 : 59     3 .   Frankie Edgar   Cub Swanson   Featherweight   UFC Fight Night 57   Submission   4 : 56     4 .   Demetrious Johnson   John Moraga   Flyweight   UFC on Fox 8   Submission   3 : 43     5 .   Miesha Tate   Holly Holm   Bantamweight ( W )   UFC 196   Technical Submission   3 : 30    By division ( edit )       Division / s   Fighter   Opponent   Event   Type of finish   Round   Time     Heavyweight   Cain Velasquez   Junior Dos Santos   UFC 166   Knockout   5   3 : 09     Light Heavyweight   Alexander Gustafsson   Glover Teixeira   UFC Fight Night 109   Knockout   5   1 : 07     Middleweight   Anderson Silva   Chael Sonnen   UFC 117   Submission   5   3 : 10     Welterweight   Robbie Lawler   Rory MacDonald   UFC 189   Knockout   5   1 : 00     Lightweight   B.J. Penn   Diego Sanchez   UFC 107   Knockout   5   2 : 37     Featherweight   Frankie Edgar   Cub Swanson   UFC Fight Night 57   Submission   5   4 : 56     Bantamweight   T.J. Dillashaw   Renan Barão   UFC 173   Knockout   5   2 : 26     Flyweight   Demetrious Johnson   Kyoji Horiguchi   UFC 186   Submission   5   4 : 59     Women 's Featherweight   Cristiane Justino   Tonya Evinger   UFC 214   Knockout     1 : 56     Women 's Bantamweight   Miesha Tate   Holly Holm   UFC 196   Submission   5   3 : 30     Women 's Flyweight   Joanne Calderwood   Valérie Létourneau   UFC Fight Night 89   Knockout     2 : 44     Women 's Strawweight   Rose Namajunas   Paige VanZant   UFC Fight Night 80   Submission   5   2 : 25       In a title bout ( edit ) All fighters ( edit )      Fighter   Opponent   Division   Event   Type of finish   Round   Time     1 .   Demetrious Johnson   Kyoji Horiguchi   Flyweight   UFC 186   Submission   5   4 : 59     2 .   Demetrious Johnson   John Moraga   Flyweight   UFC on Fox 8   Submission   3 : 43     3 .   Miesha Tate   Holly Holm   Bantamweight ( W )   UFC 196   Submission   3 : 30     4 .   Anderson Silva   Chael Sonnen   Middleweight   UFC 117   Submission   3 : 10     5 .   Cain Velasquez   Junior Dos Santos   Heavyweight   UFC 166   Knockout   3 : 09    By division ( edit )       Division / s   Fighter   Opponent   Event   Type of finish   Round   Time     Heavyweight   Cain Velasquez   Junior Dos Santos   UFC 166   Knockout   5   3 : 09     Light Heavyweight   Frank Shamrock   Tito Ortiz   UFC 22   Knockout     4 : 42     Middleweight   Anderson Silva   Chael Sonnen   UFC 117   Submission   5   3 : 10     Welterweight   Robbie Lawler   Rory MacDonald   UFC 189   Knockout   5   1 : 00     Lightweight   B.J. Penn   Diego Sanchez   UFC 107   Knockout   5   2 : 37     Featherweight   José Aldo   Chan Sung Jung   UFC 163   Knockout     2 : 00     Bantamweight   T.J. Dillashaw   Renan Barão   UFC 173   Knockout   5   2 : 26     Flyweight   Demetrious Johnson   Kyoji Horiguchi   UFC 186   Submission   5   4 : 59     Women 's Featherweight   Cristiane Justino   Tonya Evinger   UFC 214   Knockout     1 : 56     Women 's Bantamweight   Miesha Tate   Holly Holm   UFC 196   Submission   5   3 : 30     Women 's Flyweight   -   -   -   -   -   -     Women 's Strawweight   Joanna Jędrzejczyk   Jessica Penne   UFC Fight Night 69   Knockout     4 : 22         Jump up ^ Light Heavyweight bout in deprecated UFC Middleweight ( 171 - 199 lbs . ) class ( now known as Light Heavyweight )    Highest finishes per win percentage ( edit )       Fighter   Division / s   Finishes   Wins   %     1 .   Royce Gracie   Welterweight Openweight Catchweight   11   11   100 %     2 .   Vitor Belfort   Middleweight Light Heavyweight Heavyweight Catchweight   14   15   93.33 %     3 .   Gabriel Gonzaga   Heavyweight   11   12   91.67 %     B.J. Penn   Lightweight Welterweight   11   12     Charles Oliveira   Featherweight Lightweight   11   12      1. ^ Minimum 10 UFC wins .    Knockouts ( edit )   Most knockouts ( edit )  In any bout ( edit ) All fighters ( edit )      Fighter   Division / s   Knockouts     1 .   Vitor Belfort   Middleweight Light Heavyweight Heavyweight Catchweight   12     2 .   Anderson Silva   Middleweight Light Heavyweight   11     Anthony Johnson   Light Heavyweight Middleweight Welterweight     4 .   Chuck Liddell   Light Heavyweight   10     Michael Bisping   Middleweight Light Heavyweight     Cain Velasquez   Heavyweight     Derrick Lewis   Heavyweight      Jump up ^ 1 of 10 knockouts in deprecated UFC Middleweight ( 171 - 199 lbs . ) class ( now known as Light Heavyweight )   By division ( edit )       Division / s   Fighter   Knockouts     Heavyweight   Cain Velasquez  Derrick Lewis    10     Light Heavyweight   Chuck Liddell   10     Middleweight   Anderson Silva   8     Welterweight   Matt Brown   9     Lightweight   Melvin Guillard   7     Featherweight   Max Holloway   7     Bantamweight   T.J. Dillashaw   5     Flyweight   John Dodson       Joseph Benavidez     Women 's Featherweight   Cristiane Justino       Women 's Bantamweight   Amanda Nunes       Women 's Flyweight   Joanne Calderwood       Women 's Strawweight   Joanna Jędrzejczyk       Paige VanZant       In a title bout ( edit ) All fighters ( edit )      Fighter   Division / s   Knockouts     1 .   Anderson Silva   Middleweight   7     2 .   Chuck Liddell   Light Heavyweight   5     Randy Couture   Light Heavyweight Heavyweight     Matt Hughes   Welterweight     5 .   8 Fighters   -      By division ( edit )       Division / s   Fighter   Knockouts     Heavyweight   Cain Velasquez       Stipe Miocic     Light Heavyweight   Chuck Liddell   5     Middleweight   Anderson Silva   7     Welterweight   Matt Hughes   5     Lightweight   B.J. Penn       Featherweight   Max Holloway       Bantamweight   T.J. Dillashaw       Flyweight   Demetrious Johnson       Women 's Featherweight   Cristiane Justino       Women 's Bantamweight   Ronda Rousey       Women 's Flyweight   -   -     Women 's Strawweight   Joanna Jędrzejczyk         In a single event ( edit )      Event   Date   Knockouts     1 .   UFC 92   December 27 , 2008   8     UFC on Fox 7   April 20 , 2013     UFC Fight Night 45   July 16 , 2014     UFC 199   June 4 , 2016     Fastest knockouts ( edit )  In any bout ( edit ) All fighters ( edit )      Fighter   Opponent   Division   Event   Time     1 .   Duane Ludwig   Jonathan Goulet   Welterweight   UFC Fight Night 3   0 : 06     2 .   Todd Duffee   Tim Hague   Heavyweight   UFC 102   0 : 07     Chan Sung Jung   Mark Hominick   Featherweight   UFC 140     Ryan Jimmo   Anthony Perosh   Light Heavyweight   UFC 149     5 .   Don Frye   Thomas Ramirez   Heavyweight   UFC 8   0 : 08     James Irvin   Houston Alexander   Light Heavyweight   UFC Fight Night 13     Leon Edwards   Seth Baczynski   Welterweight   UFC Fight Night 64     Makwan Amirkhani   Andy Ogle   Featherweight   UFC on Fox 14      Jump up ^ Official UFC records have the bout time at 0 : 11 , Dana White and UFC officials have admitted the actual KO time was 0 : 06 . The NSAC can not retroactively amend bout times , however this is considered the fastest finish and KO in UFC history .   By division ( edit )       Division   Fighter   Opponent   Event   Time     Heavyweight   Todd Duffee   Tim Hague   UFC 102   0 : 07     Light Heavyweight   Ryan Jimmo   Anthony Perosh   UFC 149   0 : 07     Middleweight   Mark Weir   Eugene Jackson   UFC 38   0 : 10     Welterweight   Duane Ludwig   Jonathan Goulet   UFC Fight Night 3   0 : 06     Lightweight   Gray Maynard   Joe Veres   UFC Fight Night 11   0 : 09     Featherweight   Chan Sung Jung   Mark Hominick   UFC 140   0 : 07     Bantamweight   Erik Perez   Ken Stone   UFC 150   0 : 17     Flyweight   Dustin Ortiz   Hector Sandoval   UFC Fight Night 114   0 : 15     Women 's Featherweight   -   -   -   -     Women 's Bantamweight   Ronda Rousey   Alexis Davis   UFC 175   0 : 16     Women 's Flyweight   Joanne Calderwood   Valérie Létourneau   UFC Fight Night 89   12 : 44     Women 's Strawweight   Cortney Casey   Cristina Stanciu   UFC Fight Night 91   2 : 36         Jump up ^ Official UFC records have the bout time at 0 : 11 , Dana White and UFC officials have admitted the actual KO time was 0 : 06 . The NSAC can not retroactively amend bout times , however this is considered the fastest finish and KO in UFC history .   In a title bout ( edit ) All fighters ( edit )      Fighter   Opponent   Championship   Event   Time     1 .   Conor McGregor   José Aldo   Featherweight   UFC 194   0 : 13     2 .   Andrei Arlovski   Paul Buentello   Heavyweight   UFC 55   0 : 15     3 .   Ronda Rousey   Alexis Davis   Bantamweight ( W )   UFC 175   0 : 16     4 .   Frank Shamrock   Igor Zinoviev   Light Heavyweight   UFC 16   0 : 22     5 .   Tito Ortiz   Evan Tanner   Light Heavyweight   UFC 30   0 : 32    By division ( edit )       Division   Fighter   Opponent   Event   Time     Heavyweight   Andrei Arlovski   Paul Buentello   UFC 55   0 : 15     Light Heavyweight   Frank Shamrock   Igor Zinoviev   UFC 16   0 : 22     Middleweight   Rich Franklin   Nate Quarry   UFC 56   2 : 34     Welterweight   Tyron Woodley   Robbie Lawler   UFC 201   2 : 12     Lightweight   Rafael Dos Anjos   Donald Cerrone   UFC on Fox 17   1 : 06     Featherweight   Conor McGregor   Jos</t>
  </si>
  <si>
    <t xml:space="preserve">who has the most title defenses in ufc</t>
  </si>
  <si>
    <t xml:space="preserve">St - Pierre   Welterweight   9     4 .   Jon Jones   Light Heavyweight   8     5 .   José Aldo   Featherweight   7       By division ( edit )       Division / s   Fighter   Days     Heavyweight   Stipe Miocic   896     Light Heavyweight   Jon Jones   1501     Middleweight   Anderson Silva   2457     Welterweight   Georges St - Pierre   2064     Lightweight   B.J. Penn   812     Featherweight   Jose Aldo   2008     Bantamweight   Dominick Cruz   1117     Flyweight   Demetrious Johnson   2142     Women 's Featherweight   Cris Cyborg   623     Women 's Bantamweight   Ronda Rousey   1074     Women 's Flyweight</t>
  </si>
  <si>
    <t xml:space="preserve">Tariff of 1816 - wikipedia  Tariff of 1816  Jump to : navigation , search  The Tariff of 1816 ( also known as the Dallas tariff ) is notable as the first tariff passed by Congress with an explicit function of protecting U.S. manufactured items from overseas competition . Prior to the War of 1812 , tariffs had primarily served to raise revenues to operate the national government . Another unique aspect of the tariff was the strong support it received from Northern states .   The bill was conceived as part of a solution to the purely domestic matter of avoiding a projected federal deficit reported by Secretary of the Treasury Alexander J. Dallas . International developments added key facts to the debate ; in 1816 there was widespread concern among Americans that war with Great Britain might be rekindled over economic and territorial issues . A tariff on manufactured goods , including war industry products , was deemed essential in the interests of national defense .   The tariff was approved on April 27 , 1816 , as a temporary measure , authorized for only three years ( until June 1820 ) . Northern efforts to establish permanent protection in 1820 , after tensions with Great Britain had eased , provoked a backlash among Southern legislators . The South consistently opposed protective tariffs during the remainder of the ante bellum period .     Contents  ( hide )   1 US manufacturing advances in the Napoleonic Era   2 Post-War European threats and the rise of US economic nationalism   3 The Federal deficit and the tariff debate   4 The reasons for Southern support of the tariff   5 The passage of the tariff   6 The influence of détente on support for protection   7 The Panic of 1819 and the end of Southern protectionism   8 References   9 Bibliography   9.1 Cited in footnotes     10 External links      US manufacturing advances in the Napoleonic era ( edit )   The trade restrictions imposed by Great Britain and France during the Napoleonic Wars , the US Embargo Act of 1807 and non-intercourse policies , as well as the War of 1812 : all these crises forced Americans to develop domestic manufactures to provide goods formerly supplied by Europe . Through necessity American domestic industries had grown and diversified significantly , especially cotton and woolen textiles , and iron production .   Sectional characteristics of the country were also taking shape : the Northeast was transitioning from trade and shipping towards industrial enterprises ; the Deep South concentrating on cotton cultivation , and the West seeking transportation routes to market their agricultural goods .   Despite these sectional developments , America emerged from the War of 1812 as a young nation - state , with a renewed sense of self - reliance and common identity .   Post-war European threats and the rise of US economic Nationalism ( edit )   The Treaty of Ghent in December 1814 did not resolve US -- British boundary and territorial disputes in Louisiana and Spanish Florida . The frontier remained a flashpoint for international strife . In addition , British economic aggression persisted . In an egregious move to recapture American markets , Great Britain proceeded to systematically flood the US markets with superior manufactured items at cut - rate prices , the aim of which was to drive American manufacturers out of business .   These geostrategic and economic provocations caused a shift in domestic policy . The strict constructionist ideologists of the dominant Jeffersonian Republican Party - though averse to concentrating power into the hands of the federal government - recognized the expediency of nationalizing certain institutions and projects as a means of achieving national growth and economic security .   In his Seventh Annual Message to the Fourteenth Congress on December 5 , 1815 , President James Madison suggested legislation to create 1 ) a national bank with regulatory powers 2 ) a program of federally funded internal improvements for roads and canals , and 3 ) a protective tariff to shelter emerging American manufacturing from the advanced industries in Europe .   The federal deficit and the tariff debate ( edit )   In December 1815 , Treasury Secretary Alexander J. Dallas presented a federal budget report to Congress projecting a substantial government deficit by the end of 1816 . Though his budget figures were not in dispute , the means of raising the funds were , and proposals for direct or excise taxes were generally unpopular . Secretary Dallas called for a limited protective tariff on manufactures to forestall the deficit . His proposal provoked opposition from two economic sectors : commerce and agriculture .   Commercial maritime centers in New England and the Mid-Atlantic states had anticipated a lucrative import and export exchange with the post-war reopening of European and global markets . A protective tariff might provoke retaliatory measures , impeding free trade and profits .   Agrarians in most regions of the US were also advocates of open markets . Northerners , like most Southerners , were still farmers ( 84 % for the whole country ) . The North , however , was increasingly industrial , with 20 percent of its workforce engaged in manufacturing , compared to 8 percent in the South . Southerner planters , committed to a pastoral slave - based culture and economy , were net consumers of manufactured goods -- goods which would cost more under a tariff regime . The South expressed hostility to the measure throughout the debates , but a substantial number ultimately were compelled to consider its protective advantages .   Support for the duties was strongest in manufacturing centers , the immediate beneficiaries of the protection , particularly in Pennsylvania and New York . The tariff was also popular in the Kentucky , among those who hoped to develop new textile industries weaving locally grown hemp . Economic interests aside , `` both protectionists and freetraders were in agreement that the country needed more revenue ''   The reasons for Southern support of the tariff ( edit )   The tariff of 1816 was the first -- and last -- protective tariff that received significant Southern support during the `` thirty - year tariff war '' from 1816 to 1846 . A number of historical factors were important in shaping Southern perceptions of the legislation . Acknowledging the need to provide sufficient government funding , and with no adequate alternative propositions , the South felt compelled to consider protection . Southern support of the tariff was not demonstrably linked to any significant trend towards industry in the South , or to the existence of textile mills in the Congressional districts of Southern representatives .   Southern legislators were keenly aware that British merchants were engaging in off - loading manufactured goods on the US market in an effort to cripple emerging American industries . The Southern patriots -- War Hawks - had been some of the most strident foes of British aggression and fierce champions of the national government . Among these statesmen were Speaker of the House Henry Clay of Kentucky , Henry St. George Tucker , Sr. of Virginia and Alexander C. Hanson of Maryland all supporting the tariff as a war measure .   There were well - founded fears that British economic warfare would lead to a resumption of armed conflict . In that event , a healthy US manufacturing base -- including war industries -- would be vital to the survival of the American republic . Rejecting doctrinaire anti-Federalism , Representative John C. Calhoun of South Carolina called for national unity through interdependence of trade , agriculture and manufacturing . Recalling how poorly prepared the United States had been for war in 1812 , he demanded that American factories be provided protection . John Quincy Adams , as US minister to Great Britain , concurred with Calhoun , discerning a deep hostility from the capitols of Europe towards the fledgling United States .   Old Republicans such as Representative John Randolph of Virginia were marginal figures in this struggle , where strict constructionists were at their nadir . These Tertium quids remained adamant in holding the principles of state sovereignty and limited government , rejecting any protection whatsoever as an assault upon `` poor men and on slaveholders '' . Among more moderate Southern leaders who remained skeptical about supporting openly protectionist tariff , there were four additional considerations :   First , the tariff was understood to be a temporary expedient to deal with clear and present dangers . The duties would be lowered in three years ( June 1819 ) by which time the strife would likely have subsided .   Second , the tariff as proposed in debates would be applied only to cotton and woolen products , and iron ; the bulk of imported goods that the South regularly bought from foreign countries were not affected .   Third , economic prosperity prevailed in the agrarian South at the time of the debates , easing concerns about the financial burdens imposed by the tariff . Those who backed this mild tariff were fully aware that most of the financial burden of the tariff , with a concomitant increase in the retail costs would be absorbed by the South . Most of the economic benefits would accrue to the North and the West -- in the national interest .   Finally , Republicans , emerging from the War of 1812 , with the opposition Federalist Party in disgrace , felt sufficiently in control of the political landscape to permit an experiment in centralizing policies .   The passage of the tariff ( edit )   As a protective measure , the tariff legislation was very temperate . It placed a duty of twenty - five percent on cottons and woolens for a period of three years ( until June 1819 ) , at which time it would drop to twenty percent . A duty of thirty percent was placed on iron , leather , hats , writing paper and cabinet ware , as well as three cents on a pound of sugar . ( Iron duties were further increased in 1818 as a defense measure . )   Low grade printed fabrics from British colonies in India , however cheaply they were priced , were accessed at a fixed rate of twenty - five cents per square yard . This was the only overtly protective feature of the legislation , and served to exclude these foreign textiles altogether from US markets .   The bill - requiring a simple majority for passage -- passed 88 yeas to 54 nays in the House ( 62 % to 38 % ) . Both parties were divided , with Republicans voting nationwide 63 yeas to 31 nays , and the Federalists voting 25 yeas to 23 nays .   The influence of détente on support for protection ( edit )   A gradual easing of British - American territorial and economic disputes commenced shortly after the passage of the Dallas tariff .   The Rush -- Bagot Treaty of 1817 demilitarized the Great Lakes regions and the following year the Treaty of 1818 drew the forty - ninth parallel from the Lake of the Woods west to the Rocky Mountains . With this , Great Britain tacitly acknowledged the legitimacy of US claims to the vast Louisiana territory .   Another potentially volatile international development -- General Andrew Jackson 's military incursion into Spanish Florida and his summary execution of two British citizens -- failed to incite British retaliation , diplomatically or militarily The Adams -- Onís Treaty of 1819 transferred all of Florida into US hands , ending Spain 's machinations to enlist Great Britain in recovering Louisiana from the United States . By 1820 , US -- British diplomatic relations had significantly improved .   British mercantilism and trade monopolies also weakened during this period . Great Britain recognized that its prosperity was inextricably connected to the industrial growth and territorial expansion of America . British -- American trade wars had virtually vanished by 1820 and with it the argument that protectionist tariffs were necessary to sustain war industries .   In the three years following the passage of the Dallas tariff , the issues that prompted appeals for protection -- trade wars , geostrategic disputes and the federal deficit -- had largely been resolved .   The Panic of 1819 and the end of Southern protectionism ( edit )   The tariff of 1816 supplied comfortable federal surpluses from 1817 to 1819 ; even with the scheduled reduction in duty rates for 1819 , the tariff was expected to provide sufficient revenue .   The Panic of 1819 caused an alarming , but temporary drop in the projected federal revenue for 1820 . Manufacturers and other protectionists , as well as agrarian anti-protectionists , agreed that the existing tariff of 1816 would perform adequately during the economic recovery . Secretary Dallas warned that any increase in customs on cotton , wool and iron during the economic crisis would actually depress revenues further .   Protectionists were eager to distance themselves from the revenue issue -- if revenues were adequate , they could hardly argue for an increase in duties . Manufacturers sought a new argument to support higher tariffs -- economic distress due to the downturn . In reality , the Panic had benefited manufacturing by causing a drop in the price of raw materials ; even as the retail sales of the cotton goods plummeted , so did the wholesale cost of raw cotton - textile producers could still turn a profit . The primary producers in the agricultural South , however , saw the value of their goods decline and sell at a loss .   By 1820 , the support for higher tariffs was less an argument for government revenue , than an effort by Western and Northern interests to establish protection as a principle of economic national well - being . Unlike the tariff in 1816 , the tariff legislation in 1820 included higher duties and a long list of new items , and the duties were to be permanent . No longer a mere expedient , this tariff reflected the new loose constructionist principles of the National Republicans , deviating from the strict constructionist requirements of the Democratic - Republican wing of the party . This the Southern agrarians could not abide , when no external threat to the nation at large remained .   Historian Norris W. Preyer summarized the shift in Southern opinion this way :    By 1820 the South realized that the earlier arguments and appeals of protectionism were no longer valid . In 1816 it was not a desire for manufacturing , but a combination of prosperity , patriotism , and promises that had swayed Southerners . None of these factors now existed to influence them . One consideration , however , which had always been a strong influence on the thinking of Southerners still remained -- the need to defend their economic interests . Now , with no other views to challenge or obscure this desire , the South turned almost unanimously against the tariff bill of 1820 . The brief Southern experiment in supporting protection had come to an end , and from then on that section would consistently oppose all protective tariffs .    References ( edit )    Jump up ^ Bancroft , Hubert H. , 1902   Jump up ^ Commager and Morris , 1965 , p. ix   Jump up ^ Dangerfield , 1965 , P. 4   Jump up ^ Remini , 1991 p. 119 - 120   Jump up ^ Preyer , 1959 , p. 17   Jump up ^ Dangerfield , 1965 , p. 13 .   Jump up ^ Dangerfield , 1965 , p. 5 - 6 , p. 7 - 8   Jump up ^ Wilentz , 2008 , p. 203   Jump up ^ Dangerfield , 1965 , p. 7 - 8   Jump up ^ Preyer , 1959 , p. 13   Jump up ^ Bancroft , 1902   Jump up ^ Dangerfield , 1965 , p. 13 - 14   Jump up ^ Dangerfield , 1965 , p. 14   Jump up ^ Remini , 1991 , p. 226   Jump up ^ Preyer , 1959 , p. 15   Jump up ^ Remini , 1991 , p. 138   Jump up ^ Dangerfield , 1965 , p. 13 - 14   Jump up ^ Preyer , 1959 , p. 15   Jump up ^ Bancroft , 1902   Jump up ^ Preyer , 1959 , p. 14 - 15   Jump up ^ Wilentz , 2008 , p. 144   Jump up ^ Preyer , 1959 , p. 16   Jump up ^ Dangerfield , 1965 , p. 13   Jump up ^ Preyer , 1959 , p. 17   Jump up ^ Dangerfield , 1965 , p. 15   Jump up ^ Preyer , 1959 , p. 17   Jump up ^ Goodrich , 1948 , p61   Jump up ^ Preyer , 1959 , p. 17   Jump up ^ Brown , 1966 , p. 24   Jump up ^ Dangerfield , 1965 , p. 16   Jump up ^ Dangerfield , 1965 , p. 14   Jump up ^ Preyer , 1959 , p. 16 - 17   Jump up ^ Preyer , 1959 , p. 17   Jump up ^ Dangerfield , 1965 , p .   Jump up ^ Dangerfield , 1965 , p. 14   Jump up ^ Preyer , 1959 , p. 17 - 18   Jump up ^ Preyer , 1959 , p. 20   Jump up ^ Dangerfield , 1965 , p. 14   Jump up ^ Dangerfield , 1965 , p. 14   Jump up ^ Preyer , 1959 , p. 17   Jump up ^ Preyer , 1959 , p. 17   Jump up ^ Preyer , 1959 , p. 18   Jump up ^ Dangerfield , 1965 , p. 62   Jump up ^ Preyer , 1959 , p. 18   Jump up ^ Dangerfield , 1965 , p. 152 - 153   Jump up ^ Dangerfield , 1965 , p. 152 - 153   Jump up ^ Preyer , 1959 , p. 18   Jump up ^ Preyer , 1959 , p. 18   Jump up ^ Preyer , 1959 , p. 17 - 18   Jump up ^ Preyer , 1959 , p. 17 - 18   Jump up ^ Preyer , 1959 , p. 18 - 19   Jump up ^ Preyer , 1966 , p. 20   Jump up ^ Preyer , 1959 , p. 20   Jump up ^ Preyer , 1966 , p. 20   Jump up ^ Preyer , 1959 , p. 20    Bibliography ( edit )   Cited in footnotes ( edit )    Bancroft , Hubert H. 1902 . The protective tariff , in The Great Republic By the Master Historians , Vol . III ,   Brown , Richard H. 1966 . The Missouri Crisis , Slavery , and the Politics of Jacksonianism . South Atlantic Quarterly , pp. 55 -- 72 , in Essays on Jacksonian America , Ed . Frank Otto Gatell . New York : Holt , Rinehart and Winston , 1970 .   Commager and Morris . 1965 . Introduction to The Awakening of American Nationalism : 1815 - 1828 . Harper &amp; Row . New York .   Dangerfield , George . 1965 . The Awakening of American Nationalism : 1815 - 1828 . Harper &amp; Row . New York .   Gatell , Frank O. 1970 . Essays on Jacksonian America , Ed . Frank Otto Gatell . Holt , Rinehart and Winston , Inc . New York .   Goodrich , Carter . 1948 . The National Planning of Internal Improvements . Political Science Quarterly , LXIII ( March 1948 ) , 16 - 44 in Essays on Jacksonian America , Ed . Frank Otto Gatell . Holt , Rinehart and Winston , Inc . New York . 1970 .   Preyer , Norris W. 1959 . Southern Support of the Tariff of 1816 : A Reappraisal ( Journal of Southern History , XXV ( August 1959 , pp. 306 -- 322 ) in Essays on Jacksonian America , Ed . Frank Otto Gatell . Holt , Rinehart and Winston , Inc . New York . 1970 .   Remini , Robert V. 1991 . Henry Clay : Statesman for the Union . W.W. Norton and Co . New York .   Webroots - US History for the Early 19th century   `` Alexander James Dallas . '' Dictionary of American Biography Base Set . American Council of Learned Societies , 1928 - 1936 . Reproduced in Biography Resource Center . Farmington Hills , Mich. : Thomson Gale. 2005 .   `` Henry Clay . '' Gale Encyclopedia of U.S. Economic History Gale Group , 1999 . Reproduced in Biography Resource Center . Farmington Hills .    External links ( edit )    Act to regulate the duties on imports and tonnage . 14th Congress , 1st Session , Ch. 107 , 3 Stat. 310 . ( Tariff of 1816 )   Retrieved from `` https://en.wikipedia.org/w/index.php?title=Tariff_of_1816&amp;oldid=812781820 '' Categories :   Economic history of the United States           Talk                                           Contents                   About Wikipedia                                           Português   Edit links   This page was last edited on 29 November 2017 , at 20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</si>
  <si>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was the purpose of the protective tariffs on european goods after the war of 1812</t>
  </si>
  <si>
    <t xml:space="preserve"> The Tariff of 1816 ( also known as the Dallas tariff ) is notable as the first tariff passed by Congress with an explicit function of protecting U.S. manufactured items from overseas competition . Prior to the War of 1812 , tariffs had primarily served to raise revenues to operate the national government . Another unique aspect of the tariff was the strong support it received from Northern states . </t>
  </si>
  <si>
    <t xml:space="preserve">Art Institute of Pittsburgh - wikipedia  Art Institute of Pittsburgh  Jump to : navigation , search  The Art Institute of Pittsburgh   Motto   The College for Creative Minds     Type   Private , For - Profit NASDAQ : EDMC )     Established   1921     President   George Sebolt     Students   6,200     Location   Pittsburgh , Pennsylvania , United States     Campus   Urban     Affiliations   Education Management Corporation     Website   www.artinstitutes.edu/pittsburgh/     Coordinates : 40 ° 26 ′ 14 '' N 79 ° 59 ′ 59 '' W ﻿ / ﻿ 40.437198 ° N 79.999674 ° W ﻿ / 40.437198 ; - 79.999674 The Art Institute of Pittsburgh ( AIP ) is a private , for - profit , higher education institute located in Pittsburgh , Pennsylvania , United States , that emphasizes design education and career preparation for the creative job market . It was founded in 1921 .   According to the National Center for Education Statistics , the Art Institute of Pittsburgh has a 32 % graduation rate and a 20 % student loan default rate .     Contents  ( hide )   1 History   2 Location   3 Art Institute Online   4 Licensing , accreditation and memberships   5 References      History ( edit )   Founded in 1921 , the school began as an independent school of art and illustration , producing a number of accomplished artists ( including watercolorist Frank Webb , animation producer and director Rick Schneider - Calabash and the late science fiction illustrator Frank Kelly Freas ) , but now specializes primarily in design disciplines and Culinary arts . In 1968 , Education Management Corporation ( EDMC ) acquired The Art Institute of Pittsburgh and it became the model for creating additional schools in the Art Institute system .   Since the 2009 public offering of EDMC , and the subsequent majority position by Goldman Sachs , emphasis throughout the EDMC system shifted increasingly toward shareholder profits with cost - cutting measures resulting in larger classes , fewer student services , and a standardized curriculum throughout the system , obviating the need for resident experts and curriculum developers at the individual colleges . In 2013 , Payscale.com found that the Institute provided the worst return on tuition and the student 's time of all institutes of higher learning surveyed . According to disclosures the college is required to provide to the Department of Education , overall graduation rates fell to 39 % in 2012 , while graduation rates among Pell grant recipients were still lower at 27 % . The graduation rate fell substantially further in 2014 from 39 % to 24 % . New owners took control of EDMC in 2015 , as EDMC entered into a debt - for - equity swap with its current owners giving up the majority of their stock to creditors with whom they broke loan covenants .   Location ( edit )   On March 27 , 2017 , The Art Institute of Pittsburgh moved to 1400 Penn Avenue , Pittsburgh , PA 15222 . During its growth phase , it relocated six times , expanding each time into larger facilities with a broader curriculum , and in 2008 became one of the largest arts colleges in the United States . However enrollment began to quickly drop beginning in 2010 , in part because of federal lawsuits . The historic landmark building at 420 Boulevard of the Allies the school had purchased in 2000 was sold in 2014 to a Chicago developer . The Art Institute operated in the building under a two - year lease expiring in 2016 , with an option to extend the lease into 2017 .   Art Institute online ( edit )   The Art Institute of Pittsburgh 's Online division is a semi-autonomous division of the Art Institutes offering degree programs and non-degree diploma courses in a variety of creative fields , and offers online classes for on - ground Art Institute students .   Practices at the online division have been called into question in recent years as whistleblower suits were brought forth by employees within the company , and joined by the United States Department of Justice . Enrollment in the online division and EDMC 's other online programs ballooned from 7900 in 2007 to 42,300 in 2012 , due in large part to practices that devoted more per - student expenditures to marketing ( $4158 ) than on education ( $3460 ) . Dramatic drops in enrollment since that time however led to massive layoffs in the online division   Licensing , accreditation and memberships ( edit )   The Art Institute of Pittsburgh is accredited by The Middle States Commission on Higher Education ( since 2008 ) .    Pittsburgh portal    References ( edit )    Jump up ^ http://nces.ed.gov/collegenavigator/?q=art+institute&amp;s=PA&amp;id=210960   Jump up ^ Deitch , Charlie . `` EDMC layoffs hit Art Institutes nationwide '' . Pittsburgh City Paper . Retrieved 26 April 2014 .   Jump up ^ Halperin , David . `` EDMC Professors and Students Speak : How Lobbyists &amp; Goldman Sachs Ruined For - Profit Education '' . Republic Report . Retrieved 26 April 2014 .   Jump up ^ `` The 25 Colleges With The Worst Return On Investment . ''   Jump up ^ `` Graduation / completion rates - The Art Institute of Pittsburgh '' ( PDF ) . The Art Institute of Pittsburgh . Retrieved 26 April 2014 .   Jump up ^ `` Graduation Rates : The Art Institute of Pittsburgh '' ( PDF ) . www.artinstitutes.edu . EDMC Corporation . Retrieved 6 September 2015 .   Jump up ^ Allen , Lisa . `` Education Management Cuts Deal to Trim Over $1 B in Debt '' . The Street . Retrieved 3 September 2014 .   Jump up ^ Van Osdul , Paul . `` Whistle - blower accuses EDMC of falsifying records to get taxpayer money '' . wtae.com . Retrieved 28 July 2014 .   Jump up ^ Hechinger , John . `` U.S. Joins Whistleblower Suit Against Education Management '' . Bloomberg .   Jump up ^ Deitch , Charlie . `` EDMC reports revenues , enrollment down on heels of more layoffs '' . pghcitypaper.com . Retrieved 27 July 2014 .   Jump up ^ Deitch , Charlie . `` EDMC insiders report layoffs underway '' . pghcitypaper.com . Retrieved 27 July 2014 .   Jump up ^ Middle States Commission on Higher Education      ( hide )         Institutions of higher learning in the Pittsburgh metro area       Art Institute of Pittsburgh   Butler County Community College   Byzantine Catholic Seminary of SS . Cyril and Methodius   California University of Pennsylvania   Carlow University   Carnegie Mellon University   Chatham University   Community College of Allegheny County   Community College of Beaver County   Duquesne University   Geneva College   Grove City College   Indiana University of Pennsylvania   La Roche College   Penn State Beaver   Penn State Fayette   Penn State Greater Allegheny   Penn State New Kensington   Pittsburgh Theological Seminary   Point Park University   Reformed Presbyterian Theological Seminary   Robert Morris University   Saint Vincent College   Seton Hill University   Slippery Rock University of Pennsylvania   Trinity School for Ministry   University of Pittsburgh   University of Pittsburgh at Greensburg   Washington &amp; Jefferson College   Waynesburg University   Westminster College   Westmoreland County Community College      Retrieved from `` https://en.wikipedia.org/w/index.php?title=Art_Institute_of_Pittsburgh&amp;oldid=797003125 '' Categories :   Educational institutions established in 1921   The Art Institutes   Colleges accredited by the Accrediting Council for Independent Colleges and Schools   Universities and colleges in Pittsburgh   Pittsburgh History &amp; Landmarks Foundation Historic Landmarks   1921 establishments in Pennsylvania   Arts organizations established in 1921   Hidden categories :   All articles with dead external links   Articles with dead external links from July 2017   Articles with permanently dead external links   Coordinates on Wikidata           Talk                                           Contents                   About Wikipedia                                           Norsk   Edit links   This page was last edited on 24 August 2017 , at 10 : 56 .         About Wikipedia                    </t>
  </si>
  <si>
    <t xml:space="preserve">is the art institute of pittsburgh an accredited school</t>
  </si>
  <si>
    <t xml:space="preserve"> The Art Institute of Pittsburgh is accredited by The Middle States Commission on Higher Education ( since 2008 ) . </t>
  </si>
  <si>
    <r>
      <rPr>
        <sz val="11"/>
        <color rgb="FF000000"/>
        <rFont val="Calibri"/>
        <family val="0"/>
        <charset val="1"/>
      </rPr>
      <t xml:space="preserve">List of Fullmetal Alchemist : Brotherhood episodes - wikipedia  List of Fullmetal Alchemist : Brotherhood episodes  Cover for Fullmetal Alchemist : Brotherhood 's first DVD and Blu - ray release  Fullmetal Alchemist : Brotherhood , known in Japan as Alchemist of Steel : Fullmetal Alchemist ( </t>
    </r>
    <r>
      <rPr>
        <sz val="11"/>
        <color rgb="FF000000"/>
        <rFont val="Noto Sans CJK SC"/>
        <family val="2"/>
      </rPr>
      <t xml:space="preserve">鋼 の 錬金術 師 フルメタル アルケミスト </t>
    </r>
    <r>
      <rPr>
        <sz val="11"/>
        <color rgb="FF000000"/>
        <rFont val="Calibri"/>
        <family val="0"/>
        <charset val="1"/>
      </rPr>
      <t xml:space="preserve">, Hagane no Renkinjutsushi : Furumetaru Arukemisuto ) , is the second independent anime adaptation developed by Bones from the Fullmetal Alchemist manga series by Hiromu Arakawa . Yasuhiro Irie worked as director , and Hiroshi Ōnogi as writer . The series follows the story of two alchemist brothers , Edward and Alphonse Elric , who want to restore their bodies after a disastrous failed attempt to bring their mother back to life through alchemy . Unlike the first anime , which added original elements to the story , the second series follows the manga . The series comprises a total of 64 episodes and four original video animations .   The series premiered on April 5 , 2009 , on MBS - TBS 's Sunday 5 : 30 pm JST anime timeblock , replacing Mobile Suit Gundam 00 . It received its English language premiere five days later on Animax Asia , with Japanese audio and English subtitles . Anime distributor Funimation streamed English subtitled episodes four days after the Japanese air dates on both its website and its YouTube channel . Funimation suspended streaming of the series for a few weeks in May following the accidental leak of an episode of One Piece from its servers before it had aired in Japan . All episodes were also available on American subscription service Hulu , showing 14 days after their original airing , as well as via Australia 's Madman Entertainment . English dubbed episodes of the show started on American cable channel Adult Swim from February 13 , 2010 , onwards , as part of their Saturday anime block .   Aniplex began releasing the series in DVD and Blu - ray on August 26 , 2009 . The first one contains two episodes and an original video animation ( OVA ) . Three more OVAs were included in the fifth , ninth and thirteenth volumes alongside four episodes . Other volumes feature four episodes and no OVAs . A total of sixteen volumes were released , with the last one on November 24 , 2010 . Funimation released the episodes on Blu - ray and DVD in five volumes , each of thirteen episodes on May 25 , 2010 .   Brotherhood 's music composer is Akira Senju . Ten pieces of theme music were used in Brotherhood . The respective opening and ending themes for the first 14 episodes are `` Again '' by Yui , and `` Uso '' ( </t>
    </r>
    <r>
      <rPr>
        <sz val="11"/>
        <color rgb="FF000000"/>
        <rFont val="Noto Sans CJK SC"/>
        <family val="2"/>
      </rPr>
      <t xml:space="preserve">嘘 </t>
    </r>
    <r>
      <rPr>
        <sz val="11"/>
        <color rgb="FF000000"/>
        <rFont val="Calibri"/>
        <family val="0"/>
        <charset val="1"/>
      </rPr>
      <t xml:space="preserve">, lit . `` Lie '' ) by Sid . From episode 15 - 26 , the respective opening and ending themes are `` Hologram '' by Nico Touches the Walls , and `` Let It Out '' by Miho Fukuhara . From episode 27 - 38 , the respective opening and ending themes are `` Golden Time Lover '' by Sukima Switch , and `` Tsunaida Te '' ( </t>
    </r>
    <r>
      <rPr>
        <sz val="11"/>
        <color rgb="FF000000"/>
        <rFont val="Noto Sans CJK SC"/>
        <family val="2"/>
      </rPr>
      <t xml:space="preserve">つない だ 手 </t>
    </r>
    <r>
      <rPr>
        <sz val="11"/>
        <color rgb="FF000000"/>
        <rFont val="Calibri"/>
        <family val="0"/>
        <charset val="1"/>
      </rPr>
      <t xml:space="preserve">, lit . `` Tied Hands '' ) by Lil'B . From episode 39 - 50 , the respective opening and ending themes are `` Period '' by Chemistry , and `` Shunkan Sentimental '' ( </t>
    </r>
    <r>
      <rPr>
        <sz val="11"/>
        <color rgb="FF000000"/>
        <rFont val="Noto Sans CJK SC"/>
        <family val="2"/>
      </rPr>
      <t xml:space="preserve">瞬間 センチメンタル </t>
    </r>
    <r>
      <rPr>
        <sz val="11"/>
        <color rgb="FF000000"/>
        <rFont val="Calibri"/>
        <family val="0"/>
        <charset val="1"/>
      </rPr>
      <t xml:space="preserve">, Shunkan Senchimentaru , lit . `` Sentimental Moment '' ) by Scandal . From episodes 51 - 62 , the respective opening and ending themes are `` Rain '' ( </t>
    </r>
    <r>
      <rPr>
        <sz val="11"/>
        <color rgb="FF000000"/>
        <rFont val="Noto Sans CJK SC"/>
        <family val="2"/>
      </rPr>
      <t xml:space="preserve">レイン </t>
    </r>
    <r>
      <rPr>
        <sz val="11"/>
        <color rgb="FF000000"/>
        <rFont val="Calibri"/>
        <family val="0"/>
        <charset val="1"/>
      </rPr>
      <t xml:space="preserve">, Rein ) by Sid , and `` Ray of Light '' by Shoko Nakagawa . While episodes 63 and 64 do not use opening themes , they use `` Rain '' and `` Hologram '' , respectively , for the endings .   Contents    1 Episodes list   2 OVAs   3 References   4 External links    Episodes list ( edit )     No .   Title   Original airdate   U.S. airdate     01   `` Fullmetal Alchemist '' `` Hagane no Renkinjutsushi '' ( </t>
    </r>
    <r>
      <rPr>
        <sz val="11"/>
        <color rgb="FF000000"/>
        <rFont val="Noto Sans CJK SC"/>
        <family val="2"/>
      </rPr>
      <t xml:space="preserve">鋼 の 錬金術 師 </t>
    </r>
    <r>
      <rPr>
        <sz val="11"/>
        <color rgb="FF000000"/>
        <rFont val="Calibri"/>
        <family val="0"/>
        <charset val="1"/>
      </rPr>
      <t xml:space="preserve">)   April 5 , 2009   February 13 , 2010     The Elric brothers , Edward and Alphonse , have already made a strong reputation for themselves despite Edward 's short military career . They are called upon by the Führer King Bradley and Colonel Roy Mustang to hunt down the `` Freezing Alchemist '' , the rogue state alchemist Isaac McDougal . Edward and Alphonse ambush and successfully capture their target . However , Edward becomes enraged by McDougal calling him `` small '' and McDougal finds an opening and escapes . The Elric brothers and the state military are forced to confront McDougal again when he simultaneously activates numerous transmutation circles in Central . This creates an alchemic reaction encompassing the entire command center . Edward suspects the use of a philosopher 's stone , but is unable to confirm his suspicion . Luckily , the Elric brothers , Major Alex Louis Armstrong , and Mustang succeed in thwarting McDougal 's plans to bury Central in ice . The Führer confronts McDougal as he attempts to escape . In the brief battle that follows , McDougal is easily sliced to death by the Führer , who later credits Mustang and the Elric brothers with helping to accomplish the mission .     02   `` The First Day '' `` Hajimari no Hi '' ( </t>
    </r>
    <r>
      <rPr>
        <sz val="11"/>
        <color rgb="FF000000"/>
        <rFont val="Noto Sans CJK SC"/>
        <family val="2"/>
      </rPr>
      <t xml:space="preserve">はじまり の 日 </t>
    </r>
    <r>
      <rPr>
        <sz val="11"/>
        <color rgb="FF000000"/>
        <rFont val="Calibri"/>
        <family val="0"/>
        <charset val="1"/>
      </rPr>
      <t xml:space="preserve">)   April 12 , 2009   February 20 , 2010     As Edward and Alphonse depart for Liore by train , their childhood is shown in flashback where they learned rudimentary alchemy from their father 's books . Upon their mother 's death , they attempted to revive her by performing human transmutation , a practice officially considered taboo among alchemists . A dark mass of shadowy hands then proceeded to disintegrate Alphonse 's physical body , while a disembodied figure named Truth showed Edward the secret behind perfect human transmutation in exchange for his left leg . To prevent the loss of his brother , Edward bonds Alphonse 's soul to a suit of armor , sacrificing his right arm to complete the process . Elsewhere in the present , Colonel Maes Hughes shows Mustang the paperwork concerning the McDougal incident , which states that McDougal used a little - known Xingese art known as alkahestry . Back in the past , Edward 's skill in surviving the attempted human transmutation and anchoring his brother 's soul attracted the attention of Mustang , who suggested that Edward become a state alchemist . Edward later passes the state alchemist examination and is given the title of `` Fullmetal Alchemist '' .     03   `` City of Heresy '' `` Jakyō no Machi '' ( </t>
    </r>
    <r>
      <rPr>
        <sz val="11"/>
        <color rgb="FF000000"/>
        <rFont val="Noto Sans CJK SC"/>
        <family val="2"/>
      </rPr>
      <t xml:space="preserve">邪教 の 街 </t>
    </r>
    <r>
      <rPr>
        <sz val="11"/>
        <color rgb="FF000000"/>
        <rFont val="Calibri"/>
        <family val="0"/>
        <charset val="1"/>
      </rPr>
      <t xml:space="preserve">)   April 19 , 2009   February 27 , 2010     Edward and Alphonse arrive at Liore , where they witness Father Cornello gaining the devotion of the townspeople by performing `` miraculous '' transmutations , which they believe could only have been accomplished using a philosopher 's stone . They meet Rosé and request to see Cornello . When Cornello realizes that Edward and Alphonse are alchemists , he ambushes them with a chimera . While battling the chimera , Edward unintentionally reveals his prosthetic automail limbs , and Cornello realizes that he had attempted the taboo of human transmutation . Edward and Alphonse escape , taking Rosé with them . While Alphonse explains their story to Rosé , Cornello finds Edward and reveals his nefarious plan , unaware that it had been broadcast to the whole town of Liore through a microphone . Cornello attacks Edward using the philosopher 's stone on his ring , but Edward manages to defeat him . Edward realizes that the stone is a fake when it falls and shatters on the ground . Cornello runs off , but is killed by Lust and eaten by Gluttony . Later , Rosé demands the stone from Edward , but he confronts her with the truth about the fake stone and Cornello and he tells her to find strength within herself .     04   `` An Alchemist 's Anguish '' `` Renkinjutsushi no Kunō '' ( </t>
    </r>
    <r>
      <rPr>
        <sz val="11"/>
        <color rgb="FF000000"/>
        <rFont val="Noto Sans CJK SC"/>
        <family val="2"/>
      </rPr>
      <t xml:space="preserve">錬金術 師 の 苦悩 </t>
    </r>
    <r>
      <rPr>
        <sz val="11"/>
        <color rgb="FF000000"/>
        <rFont val="Calibri"/>
        <family val="0"/>
        <charset val="1"/>
      </rPr>
      <t xml:space="preserve">)   April 26 , 2009   March 6 , 2010     A mysterious man with a cross-shaped scar across his face attacks and murders Brigadier General Basque Grand . The Führer orders Hughes and Armstrong to use all available resources to stop the murderer . Meanwhile , to avoid being in their debt , Mustang introduces Edward and Alphonse to state alchemist Shou Tucker , the `` Sewing - Life Alchemist '' , who obtained his credentials by creating a chimera which could understand human speech . He opens up his library to the Elric brothers to study living creature transmutation , but they also spend time playing with Tucker 's daughter Nina and the family dog Alexander . On returning to the house for another study session , they find that Tucker has created another speaking chimera in order to satisfy his yearly assessment requirements . However , Edward is furious to discover that the chimera was created by combining Nina and Alexander . He then realizes that Tucker did the same with his wife two years earlier and Alphonse stops Edward from nearly beating Tucker to death . Mustang tells him that by being a state alchemist , he must prepare himself to take a life if called upon by the military . While Tucker is arrested for his actions , he is visited by the scarred man , who kills him , and then delivers a mercy killing to the Nina / Alexander chimera .     05   `` Rain of Sorrows '' `` Kanashimi no Ame '' ( </t>
    </r>
    <r>
      <rPr>
        <sz val="11"/>
        <color rgb="FF000000"/>
        <rFont val="Noto Sans CJK SC"/>
        <family val="2"/>
      </rPr>
      <t xml:space="preserve">哀しみ の 雨 </t>
    </r>
    <r>
      <rPr>
        <sz val="11"/>
        <color rgb="FF000000"/>
        <rFont val="Calibri"/>
        <family val="0"/>
        <charset val="1"/>
      </rPr>
      <t xml:space="preserve">)   May 3 , 2009   March 13 , 2010     Lieutenant Riza Hawkeye tells Edward and Alphonse that both Tucker and the chimera have been killed . Meanwhile , back in Liore , Lust and Gluttony attempt to cause a rebellion using the faith of the locals , with Envy using his shape - shifting powers to disguise himself as Cornello . Back at East City , as Edward and Alphonse dwell on their limits in alchemy , they are viciously attacked by Scar . They quickly retreat until they are cornered and are forced to defend themselves , resulting in Scar damaging Alphonse 's body and then destroying Edward 's right arm . The state alchemists intervene just when Scar prepares to finish off Edward . Mustang , unable to subdue Scar , is saved by Hawkeye , who reminds Mustang that his flame alchemy is useless in the rain . When Armstrong arrives and battles Scar , it is revealed that the man is an Ishvalan . Outnumbered , Scar manages to escape into the sewers , and Mustang tells the Elric brothers about the Ishval civil war . Edward and Alphonse decide to head back to Resembool to repair their bodies .     06   `` Road of Hope '' `` Kibō no Michi '' ( </t>
    </r>
    <r>
      <rPr>
        <sz val="11"/>
        <color rgb="FF000000"/>
        <rFont val="Noto Sans CJK SC"/>
        <family val="2"/>
      </rPr>
      <t xml:space="preserve">希望 の 道 </t>
    </r>
    <r>
      <rPr>
        <sz val="11"/>
        <color rgb="FF000000"/>
        <rFont val="Calibri"/>
        <family val="0"/>
        <charset val="1"/>
      </rPr>
      <t xml:space="preserve">)   May 10 , 2009   March 20 , 2010     While Armstrong escorts Edward and Alphonse back to Resembool by train , he spots a man named Tim Marcoh , the `` Crystal Alchemist '' , at a nearby stop . He explains that Marcoh was a state alchemist and doctor during the Ishval civil war , and conducted research on biological alchemy before disappearing at the end of the war . They talk to Marcoh and learn that he was researching the philosopher 's stone but only succeeded in creating an incomplete version . At first refusing to share his knowledge with Edward , Marcoh eventually provides a clue to the location of his research data . After they reach Resembool , Winry Rockbell and her grandmother Pinako Rockbell start working on Edward 's automail . After receiving his replacement arm and leg , Edward uses his alchemy to rebuild Alphonse 's suit of armor from the shattered remains . Afterwards , the Elric brothers , along with Armstrong , head back to Central to look for Marcoh 's research .     07   `` Hidden Truths '' `` Kakusareta Shinjitsu '' ( </t>
    </r>
    <r>
      <rPr>
        <sz val="11"/>
        <color rgb="FF000000"/>
        <rFont val="Noto Sans CJK SC"/>
        <family val="2"/>
      </rPr>
      <t xml:space="preserve">隠 され た 真実 </t>
    </r>
    <r>
      <rPr>
        <sz val="11"/>
        <color rgb="FF000000"/>
        <rFont val="Calibri"/>
        <family val="0"/>
        <charset val="1"/>
      </rPr>
      <t xml:space="preserve">)   May 17 , 2009   March 27 , 2010     Edward and Alphonse arrive back in Central , only to find that the first branch of the state library , where Marcoh 's research was stored , has been burned to the ground . Scar encounters and battles Lust and Gluttony in the sewers , resulting in a large explosion . Edward and Alphonse 's new escorts , Denny Brosh and Maria Ross , direct them to Sheska , a file clerk who had worked at the first branch of the state library , but was fired for spending her time reading . Sheska reveals that she has an eidetic memory and memorized all of Marcoh 's research and then makes handwritten duplicates for the Elric brothers . While initially appearing to be a cookbook , Edward notices that it is written in a code that Marcoh created . Edward and Alphonse spend several days deciphering the hidden data , only to discover that the philosopher 's stone is made by sacrificing living humans . Edward asks Brosh and Ross to keep it a secret , but Armstrong learns about it using intimidation . Edward notices another hidden piece of information , locating an unused laboratory next to a prison , where `` raw materials '' for the stone were gathered . Armstrong tells the Elric brothers to stay put , but they both manage to sneak out to the fifth laboratory . Edward enters the building via an air duct , while Alphonse waits outside , unaware that he is being watched by a menacing figure .     08   `` The Fifth Laboratory '' `` Daigo Kenkyūsho '' ( </t>
    </r>
    <r>
      <rPr>
        <sz val="11"/>
        <color rgb="FF000000"/>
        <rFont val="Noto Sans CJK SC"/>
        <family val="2"/>
      </rPr>
      <t xml:space="preserve">第 五 研究 所 </t>
    </r>
    <r>
      <rPr>
        <sz val="11"/>
        <color rgb="FF000000"/>
        <rFont val="Calibri"/>
        <family val="0"/>
        <charset val="1"/>
      </rPr>
      <t xml:space="preserve">)   May 24 , 2009   April 3 , 2010     At the fifth laboratory , Alphonse fights Barry the Chopper outside , and Edward faces Slicer inside . It is revealed that both opponents are souls of murderers affixed to armor . Edward struggles in his battle when his automail arm malfunctions . Alphonse initially has the advantage in his fight , until Barry suggests that Alphonse never truly existed , claiming he was a doll made by Edward with false memories , causing Alphonse to contemplate the possibility . Edward is particularly troubled when his opponent turns out to be a pair of brothers , each controlling a different part of the armor . Edward manages to defeat Slicer by use of Scar 's destruction technique , but before he can extract any information from the two brothers , they are killed by Lust and Envy . Edward demands to know who they are and tries to use alchemy , but his automail arm breaks and he is knocked out by Envy . Outside , Barry almost gains the upper hand over Alphonse , but Alphonse is saved by the arrival of Brosh and Ross . Lust and Envy destroy the lab to cover up the evidence of the philosopher 's stone , but not before carrying Edward outside and handing him over to Brosh and Ross , commenting that he is a valuable resource .     09   `` Created Feelings '' `` Tsukurareta Omoi '' ( </t>
    </r>
    <r>
      <rPr>
        <sz val="11"/>
        <color rgb="FF000000"/>
        <rFont val="Noto Sans CJK SC"/>
        <family val="2"/>
      </rPr>
      <t xml:space="preserve">創 られ た 想い </t>
    </r>
    <r>
      <rPr>
        <sz val="11"/>
        <color rgb="FF000000"/>
        <rFont val="Calibri"/>
        <family val="0"/>
        <charset val="1"/>
      </rPr>
      <t xml:space="preserve">)   May 31 , 2009   April 10 , 2010     Edward is hospitalized following the incident at the fifth laboratory . Needing his automail repaired , Edward calls for Winry to come to Central . Winry arrives and repairs Edward 's arm , adding the small bolt she forgot to insert back in Resembool . Alphonse still contemplates what Barry had told him about being a doll created by Edward . Hughes invites Winry over to his daughter Elicia 's birthday party , where she laments that Edward and Alphonse never tell her anything . Hughes tells her that men tend to hide things to avoid worrying anyone . Alphonse then confronts Edward about whether he is really an artificial soul . Edward storms off and Winry yells at Alphonse , telling him that Edward was terrified Alphonse may have blamed him for getting him stuck in the armor . The Elric brothers then fight , with Edward emerging as the victor . They both reminisce about their past fights , reaffirming their existence . Meanwhile , Scar wakes up in the care of Ishvalan refugees .     10   `` Separate Destinations '' `` Sorezore no Yukusaki '' ( </t>
    </r>
    <r>
      <rPr>
        <sz val="11"/>
        <color rgb="FF000000"/>
        <rFont val="Noto Sans CJK SC"/>
        <family val="2"/>
      </rPr>
      <t xml:space="preserve">それぞれ の 行く先 </t>
    </r>
    <r>
      <rPr>
        <sz val="11"/>
        <color rgb="FF000000"/>
        <rFont val="Calibri"/>
        <family val="0"/>
        <charset val="1"/>
      </rPr>
      <t xml:space="preserve">)   June 7 , 2009   April 17 , 2010     Führer King Bradley appears at the hospital and warns the Elric brothers to be careful around the military , and he then exits through a window to evade his subordinates . Edward and Alphonse decide to go to the town of Dublith to visit their alchemy teacher , Izumi Curtis , to ask her for information about the philosopher 's stone . They agree to take Winry with them when she notices that Rush Valley , a town known for creating the best automail in the world , is on the way to Dublith . Meanwhile , Hughes links the problems in Liore , the fifth laboratory , and the Ishval civil war . He discovers a connection , but is then attacked by Lust . He escapes her and tries to contact Mustang with his information at a public telephone booth , only to be pursued and gunned down by Envy , disguised firstly as Ross , and then as his wife Gracia . Hughes is posthumously promoted to the rank of brigadier general while his murder is investigated by Mustang , who concludes via Armstrong that a high ranked member of the military may be responsible for ordering Hughes ' death .     11   `` Miracle at Rush Valley '' `` Rasshu Barē no Kiseki '' ( </t>
    </r>
    <r>
      <rPr>
        <sz val="11"/>
        <color rgb="FF000000"/>
        <rFont val="Noto Sans CJK SC"/>
        <family val="2"/>
      </rPr>
      <t xml:space="preserve">ラッシュ バレー の 奇跡 </t>
    </r>
    <r>
      <rPr>
        <sz val="11"/>
        <color rgb="FF000000"/>
        <rFont val="Calibri"/>
        <family val="0"/>
        <charset val="1"/>
      </rPr>
      <t xml:space="preserve">)   June 14 , 2009   April 24 , 2010     Edward , Alphonse and Winry arrive in Rush Valley where Edward 's state alchemist pocket watch is stolen by a pickpocket named Paninya . After chasing her down , they find she has automail legs . Winry asks the automail 's creator , Dominic LeCoulte , to let her be his apprentice , but her request is swiftly denied . Winry convinces Paninya to stop being a pickpocket and return the pocket watch , but first she peeks inside and sees the date when the Elric brothers burned down their house . Meanwhile , Dominic 's daughter - in - law is having a baby , and she is unable to travel to a hospital in the poor weather . Winry and Paninya deliver the baby , resulting in a successful birth . Winry asks Dominic again to be an apprentice , and this time he directs her to another automail mechanical engineer . With that , Edward and Alphonse continue onward to Dublith .     12   `` One is All , All is One '' `` Ichi wa Zen , Zen wa Ichi '' ( </t>
    </r>
    <r>
      <rPr>
        <sz val="11"/>
        <color rgb="FF000000"/>
        <rFont val="Noto Sans CJK SC"/>
        <family val="2"/>
      </rPr>
      <t xml:space="preserve">一 は 全 、 全 は 一 </t>
    </r>
    <r>
      <rPr>
        <sz val="11"/>
        <color rgb="FF000000"/>
        <rFont val="Calibri"/>
        <family val="0"/>
        <charset val="1"/>
      </rPr>
      <t xml:space="preserve">)   June 21 , 2009   May 1 , 2010     Edward and Alphonse visit their master Izumi and her husband Sig seeking clues on the philosopher 's stone . During their stay , the Elric brothers recall how they first met Izumi during a flooding in Resembool , and how they were formally accepted as Izumi 's disciples after she stranded them on an island for a month as a test . They look back at how they figured out the meaning behind `` one is all , all is one '' . Izumi realizes that the Elric brothers attempted human transmutation by their movements during hand - to - hand combat training . Realizing that they had attempted human transmutation Izumi tells the Elrics that she had also broke the taboo to bring back her baby who died during childbirth . The three make up , bonding over the hardships that they had suffered from their attempts at human transmutaton .     13   `` Beasts of Dublith '' `` Daburisu no Kemono - tachi '' ( </t>
    </r>
    <r>
      <rPr>
        <sz val="11"/>
        <color rgb="FF000000"/>
        <rFont val="Noto Sans CJK SC"/>
        <family val="2"/>
      </rPr>
      <t xml:space="preserve">ダブリス の 獣 たち </t>
    </r>
    <r>
      <rPr>
        <sz val="11"/>
        <color rgb="FF000000"/>
        <rFont val="Calibri"/>
        <family val="0"/>
        <charset val="1"/>
      </rPr>
      <t xml:space="preserve">)   June 28 , 2009   May 8 , 2010     Edward and Alphonse are expelled by Izumi , now treating them as her equals rather than as students . Meanwhile , Mustang announces to his five subordinates that they are all transferring to Central . Elsewhere , Scar is recovering in an Ishvalan squatter colony and is advised by the elder that pursuing the current state alchemists would not benefit the surviving Ishvalans . Scar is then accosted two thugs recruited by Yoki , who wants to take Scar back to Central over the murder of Basque Grand , but he defeats them and leaves the colony . In Dublith , Alphonse is lured to a trap and captured by Roa , Bido , Martel , and Dolcetto , chimera employed by the homunculus Greed . Edward finds Greed , who offers to teach him homunculus fabrication in exchange for information about human transmutation . Enraged , Edward charges at Greed who uses his ultimate shield to repel Edward 's attacks . However , Edward is able to counterattack by transmuting Greed 's ultimate shield . In the midst of the battle , Izumi arrives and intervenes , taking Greed by surprise .     14   `` Those Who Lurk Underground '' `` Chika ni Hisomu Mono - tachi '' ( </t>
    </r>
    <r>
      <rPr>
        <sz val="11"/>
        <color rgb="FF000000"/>
        <rFont val="Noto Sans CJK SC"/>
        <family val="2"/>
      </rPr>
      <t xml:space="preserve">地下 に ひそむ 者 たち </t>
    </r>
    <r>
      <rPr>
        <sz val="11"/>
        <color rgb="FF000000"/>
        <rFont val="Calibri"/>
        <family val="0"/>
        <charset val="1"/>
      </rPr>
      <t xml:space="preserve">)   July 5 , 2009   May 15 , 2010     Bradley and Armstrong lead a team of state military soldiers to raid Greed 's hideout , although Bradley uses it as cover to hunt for Greed . Bradley goes into the sewage passageway beneath the hideout and duels with Greed . Surprised by the abilities of Bradley the Führer , Greed is severely weakened by Bradley who reveals his true identity as Wrath . Roa and Dolcetto attempt to save Greed , but are killed by the Führer . Martel , who is still inside Alphonse , attempts to choke Bradley to death with Alphonse 's armor , but she is stabbed by Bradley . Her blood splashes on Alphonse 's blood seal and unlocks his forgotten memories . Later , Alphonse reveals to Edward that he managed to recover his former memories , prior to their failed attempt at human transmutation to revive their mother . Greed is taken as a captive to Father , who was disappointed in him after he deserted the rest of the homunculi . When Greed refuses to rejoin the homunculi , he is melted alive to a liquid philosopher 's stone , which is then consumed by Father .     15   `` Envoy from the East '' `` Tōhō no Shisha '' ( </t>
    </r>
    <r>
      <rPr>
        <sz val="11"/>
        <color rgb="FF000000"/>
        <rFont val="Noto Sans CJK SC"/>
        <family val="2"/>
      </rPr>
      <t xml:space="preserve">東方 の 使者 </t>
    </r>
    <r>
      <rPr>
        <sz val="11"/>
        <color rgb="FF000000"/>
        <rFont val="Calibri"/>
        <family val="0"/>
        <charset val="1"/>
      </rPr>
      <t xml:space="preserve">)   July 12 , 2009   May 22 , 2010     Scar engages and defeats another state alchemist named Giolio Comanche , the `` Silver Alchemist '' . Returning to his temporary hideout , Scar discovers Yoki with a young Xingese girl named May Chang accompanied by a tiny panda named Shao Mei . They traveled across the eastern desert searching for the philosopher 's stone . Meanwhile , Barry the Chopper is detained and interrogated by Roy Mustang , Riza Hawkeye , and Vato Falman over the assassination of Captain Maes Hughes . In Rush Valley , the Elric brothers ask Winry to repair Edward 's automail once again . They then find a starving Xingese man named Ling Yao . After being fed , he explains his purpose for researching alkahestry . Lin 's bodyguards , Lan Fan and Fu , attempt to take Elric brothers hostage , in the hope of extracting the secrets of the philosopher 's stone . The Elric brothers defeat the bodyguards , damaging much of the town in the process . However , the bodyguards escape , leaving the brothers to confront the angry townspeople . After they repair the town , Edward and Alphonse meet Ling again who explains that he wants to become the heir to the throne by offering the king some information about the philosopher 's stone and immortality . Winry joins the group as they all prepare to depart for Central . Meanwhile , Scar and Yoki travel to Central at night with May in a horse - drawn wagon .     16   `` Footsteps of a Comrade - in - Arms '' `` Senyuu no Ashiato '' ( </t>
    </r>
    <r>
      <rPr>
        <sz val="11"/>
        <color rgb="FF000000"/>
        <rFont val="Noto Sans CJK SC"/>
        <family val="2"/>
      </rPr>
      <t xml:space="preserve">戦友 の 足跡 </t>
    </r>
    <r>
      <rPr>
        <sz val="11"/>
        <color rgb="FF000000"/>
        <rFont val="Calibri"/>
        <family val="0"/>
        <charset val="1"/>
      </rPr>
      <t xml:space="preserve">)   July 19 , 2009   May 30 , 2010     Edward , Alphonse and Winry arrive in Central , where Ling is arrested for being an illegal immigrant . Sheska accidentally reveals some information on Mustang to Envy , disguised as Captain Focker , one of her superiors . Mustang tells the Elric brothers that Hughes has retired from the state military , however , they soon learn the truth about his death after encountering Ross . When they visit Gracia and Elicia , Winry is already there , and the brothers apologize to Gracia , as Edward blames himself for Hughes ' murder . Gracia encourages them to push forward as she holds back her tears . Meanwhile , Envy comes up with a plan to stop Mustang from investigating Hughes ' murder . The next day , Ross is arrested by Colonel Henry Douglas for Hughes ' murder .     17   `` Cold Flame '' `` Reitetsu na Honō '' ( </t>
    </r>
    <r>
      <rPr>
        <sz val="11"/>
        <color rgb="FF000000"/>
        <rFont val="Noto Sans CJK SC"/>
        <family val="2"/>
      </rPr>
      <t xml:space="preserve">冷徹 な 焔 </t>
    </r>
    <r>
      <rPr>
        <sz val="11"/>
        <color rgb="FF000000"/>
        <rFont val="Calibri"/>
        <family val="0"/>
        <charset val="1"/>
      </rPr>
      <t xml:space="preserve">)   July 26 , 2009   June 5 , 2010     Ross , accused of Hughes ' assassination , is placed under military police custody and interrogated by Douglas . After reading a newspaper article about Ross 's detention , Barry the Chopper leaves the safe house and launches a solo raid on the jail . Barry releases Ross from jail as well as Ling who promises to help them both . Barry tells Ross that she needs to leave Central immediately or risk being killed . Edward and Alphonse run into the trio , and Barry holds the brothers off to allow Ross time to escape . Ross then runs into Mustang , who seemingly kills her in with a massive fireball . Edward accosts Mustang after seeing a charred body , but Mustang coldly reminds Edward of his place as a soldier of the state military . Later , Armstrong shows up and declares that Edward should return to Resembool to have his automail arm fixed , dragging the confused Edward away .     18   `` The Arrogant Palm of a Small Human '' `` Chiisa na Ningen no Gōman na Tenohira '' ( </t>
    </r>
    <r>
      <rPr>
        <sz val="11"/>
        <color rgb="FF000000"/>
        <rFont val="Noto Sans CJK SC"/>
        <family val="2"/>
      </rPr>
      <t xml:space="preserve">小さな 人間 の 傲慢 な 掌 </t>
    </r>
    <r>
      <rPr>
        <sz val="11"/>
        <color rgb="FF000000"/>
        <rFont val="Calibri"/>
        <family val="0"/>
        <charset val="1"/>
      </rPr>
      <t xml:space="preserve">)   August 2 , 2009   June 12 , 2010     Edward and Armstrong arrive in Resembool where they meet Heymans Breda , who takes them to the Xerxes ruins . Once there , they discover that Ross is still alive , and that Mustang faked her death in order to draw out those responsible for Hughes ' murder . After the brief reunion , Ross decides to hide out in Xing with Fu , but promises to return if she is ever needed . After Ross ' departure , Edward explores the ruins , finding a damaged transmutation circle . He also encounters a group of Ishbalan refugees , who reveal that it was Scar who killed Winry 's parents while they gave medical aid to the Ishbalan during the civil war . Meanwhile , Barry 's human body , which is now nothing more than a crazed animal , attacks Falman and Barry back in Central . However , with the assistance of Jean Havoc and the sniper Hawkeye , they manage to subdue Barry 's body . Suddenly , Hawkeye is attacked by Gluttony .     19   `` Death of the Undying '' `` Shinazaru Mono no Shi '' ( </t>
    </r>
    <r>
      <rPr>
        <sz val="11"/>
        <color rgb="FF000000"/>
        <rFont val="Noto Sans CJK SC"/>
        <family val="2"/>
      </rPr>
      <t xml:space="preserve">死な ざる 者 の 死 </t>
    </r>
    <r>
      <rPr>
        <sz val="11"/>
        <color rgb="FF000000"/>
        <rFont val="Calibri"/>
        <family val="0"/>
        <charset val="1"/>
      </rPr>
      <t xml:space="preserve">)   August 9 , 2009   June 19 , 2010     Kain Fuery manages to save Hawkeye , with Mustang coming to defeat Gluttony . Alphonse meets up with the group and they pursue Barry , who chases his body into the depths of the third laboratory . The group splits into two teams . Mustang and Havoc are ambushed by Lust , resulting in both men being grievously wounded and left for dead . Lust then confronts Barry , slicing him to pieces . Hawkeye , believing Mustang to be dead , desperately shoots Lust repeatedly with minimal effect . Before Lust can kill Hawkeye , Mustang appears , having cauterized his wounds , he repeatedly incinerates Lust until her philosopher 's stone is depleted . No longer able to regenerate , she crumbles to ash . Barry 's soul survives , but his blood seal is scratched out by his human body , which kills both of them . Edward returns to Resembool and heads toward the Rockbell residence where he sees his father Van Hohenheim at the grave of his mother Trisha Elric .     20   `` Father Before the Grave '' `` Bozen no Chichi '' ( </t>
    </r>
    <r>
      <rPr>
        <sz val="11"/>
        <color rgb="FF000000"/>
        <rFont val="Noto Sans CJK SC"/>
        <family val="2"/>
      </rPr>
      <t xml:space="preserve">墓前 の 父 </t>
    </r>
    <r>
      <rPr>
        <sz val="11"/>
        <color rgb="FF000000"/>
        <rFont val="Calibri"/>
        <family val="0"/>
        <charset val="1"/>
      </rPr>
      <t xml:space="preserve">)   August 16 , 2009   June 26 , 2010     After arguing with his father , Edward overhears Hohenheim tell Pinako Rockbell that the corpse that Elric brothers had attempted to transmute may not have been their mother . Hohenheim leaves the next day , warning Pinako that something terrible will happen in Amestris . Edward and Pinako dig up the failed transmutation corpse during a downpour and Edward realizes it is not their mother . Edward then calls Izumi , asking her to confirm that child in her transmutation was definitely hers . Edward returns to Central and reunites with Alphonse and Winry , explaining his discoveries . Izumi calls Edward , to say the transmuted baby was not hers . Edward , Alphonse , and Izumi then feel a sense of relief that they had not killed their loved ones a second time . This confirms Edward 's suspicions that it is not possible to revive someone who has died . However , Edward reassures the others that retrieving someone from beyond the gateway of Truth is still possible and the Elric brothers reaffirm their resolve to return Alphonse to his original body .     21   `` Advance of the Fool '' `` Gusha no Zenshin '' ( </t>
    </r>
    <r>
      <rPr>
        <sz val="11"/>
        <color rgb="FF000000"/>
        <rFont val="Noto Sans CJK SC"/>
        <family val="2"/>
      </rPr>
      <t xml:space="preserve">愚者 の 前進 </t>
    </r>
    <r>
      <rPr>
        <sz val="11"/>
        <color rgb="FF000000"/>
        <rFont val="Calibri"/>
        <family val="0"/>
        <charset val="1"/>
      </rPr>
      <t xml:space="preserve">)   August 30 , 2009   July 3 , 2010     Edward ponders the proposition that Alphonse may be absorbing some nutrients through him . In hospital , Mustang suspects that the Führer is cooperating with the homunculi . Havoc reveals the lower half of his body is paralyzed , but Mustang says that he is still needed . Scar returns to Central and murders three more state alchemists , so Edward and Alphonse dangerously plan to confront him in order to draw out the homunculi . Ling and Lan Fan agree to help them , as it would benefit Ling in finding information about immortality . Mustang sends Breda to locate Marcoh , only to find he has been kidnapped . Edward begins showboating in the streets , eventually luring out Scar . While the Elric brothers fight him , Mustang reports false information regarding Scar 's whereabouts , confusing and stalling the state military to prevent Scar being shot before the homunculi appear . Gluttony appears , but is stopped by Lan Fan , who is in turn attacked by Bradley .     22   `` Backs in the Distance '' `` Tōku no Senaka '' ( </t>
    </r>
    <r>
      <rPr>
        <sz val="11"/>
        <color rgb="FF000000"/>
        <rFont val="Noto Sans CJK SC"/>
        <family val="2"/>
      </rPr>
      <t xml:space="preserve">遠く の 背中 </t>
    </r>
    <r>
      <rPr>
        <sz val="11"/>
        <color rgb="FF000000"/>
        <rFont val="Calibri"/>
        <family val="0"/>
        <charset val="1"/>
      </rPr>
      <t xml:space="preserve">)   September 6 , 2009   July 10 , 2010     Ling tries to escape with the wounded Lan Fan , but is attacked by Bradley and Gluttony . Meanwhile , Winry heads to where the Elric brothers are fighting Scar and she hears Edward questioning Scar about the death of her parents . Shocked by this , Winry picks up a nearby gun and aims it at Scar . It is then that Scar tells them about his brother who had researched alchemy to combat the attacking state alchemists . However , they were attacked by Solf J. Kimblee , the `` Crimson Alchemist '' and Scar had his right arm brutally severed . To save him , his brother sacrificed himself and transferred his right arm onto Scar . Shocked upon waking up and seeing his brother 's arm on his body , Scar went berserk and killed Winry 's parents whom he saw as the enemy . Back in the present , Edward intervenes between Winry and Scar , reminding Scar of when his brother protected him . Edward then consoles the traumatized Winry , while Alphonse chases after Scar . Edward slowly unclasps her hand from the gun saying that her hands were meant to give life and not to kill .     23   `` Girl on the Battlefield '' `` Ikusaba no Shōjo '' ( </t>
    </r>
    <r>
      <rPr>
        <sz val="11"/>
        <color rgb="FF000000"/>
        <rFont val="Noto Sans CJK SC"/>
        <family val="2"/>
      </rPr>
      <t xml:space="preserve">戦場 の 少女 </t>
    </r>
    <r>
      <rPr>
        <sz val="11"/>
        <color rgb="FF000000"/>
        <rFont val="Calibri"/>
        <family val="0"/>
        <charset val="1"/>
      </rPr>
      <t xml:space="preserve">)   September 13 , 2009   July 17 , 2010     Edward leaves Winry in the custody of the state military , while Bradley continues to chase Ling and Lan Fan , and Gluttony goes after Scar . Edward rejoins Alphonse in his fight against Scar when Gluttony arrives on the scene . Ling then joins the fight and is able to capture Gluttony using binding steel cables . Lan Fan manages to escape Bradley by cutting off her disabled arm and strapping it to a dog to throw him off her trail . Hawkeye arrives and drives off with Ling and Gluttony . As the Elric brothers are about to capture Scar , they are stopped by May . She uses her alkahestry to escape with him , however the Elric brothers catch her panda , Shao Mei . After the brothers explain everything to Winry she feels depressed and helpless , but her mood improves when she realizes that she is needed by her customers back in Rush Valley . As she leaves on the train for Rush Valley , Winry suspects that she may be falling in love with Edward . Meanwhile , Edward and Alphonse join the others at a hideout , where Lan Fan 's wounds are treated by Doctor Knox . Ling reveals to Edward , Alphonse , and Mustang that Bradley the Führer is a homunculus . When Gluttony hears mention of Mustang , Lust 's killer , he transforms and blows the corner off the hideout .     24   `` Inside the Belly '' `` Hara no Naka '' ( </t>
    </r>
    <r>
      <rPr>
        <sz val="11"/>
        <color rgb="FF000000"/>
        <rFont val="Noto Sans CJK SC"/>
        <family val="2"/>
      </rPr>
      <t xml:space="preserve">腹の中 </t>
    </r>
    <r>
      <rPr>
        <sz val="11"/>
        <color rgb="FF000000"/>
        <rFont val="Calibri"/>
        <family val="0"/>
        <charset val="1"/>
      </rPr>
      <t xml:space="preserve">)   September 20 , 2009   July 24 , 2010     Marcoh , in the custody of the homunculi , has to cooperate in exchange for his village 's safety . Meanwhile , Edward , Alphonse , and Ling try to escape from Gluttony , who has become able to swallow anything in his sight . After losing Gluttony , Dr. Knox takes Mustang , Hawkeye , and Lan Fan to safety while Edward , Alphonse , and Ling stay to fight . Envy arrives to stop Gluttony from harming the Elric brothers . Hearing this , Edward and Alphonse face Gluttony while Ling battles Envy . During the fight , Gluttony accidentally swallows Edward , Ling , and Envy . Back in Central , Mustang stumbles upon a conspiracy between the Führer and the top brass of the state military .     25   `` Doorway of Darkness '' `` Yami no Tobira '' ( </t>
    </r>
    <r>
      <rPr>
        <sz val="11"/>
        <color rgb="FF000000"/>
        <rFont val="Noto Sans CJK SC"/>
        <family val="2"/>
      </rPr>
      <t xml:space="preserve">闇 の 扉 </t>
    </r>
    <r>
      <rPr>
        <sz val="11"/>
        <color rgb="FF000000"/>
        <rFont val="Calibri"/>
        <family val="0"/>
        <charset val="1"/>
      </rPr>
      <t xml:space="preserve">)   September 27 , 2009   July 31 , 2010     Edward and Ling find themselves in an endless dark cavern and assume they are inside Gluttony 's stomach . May misses her companion Shao Mei , explaining how their circumstances brought them together , so Scar decides to help search for the panda . Edward and Ling find Envy who explains that there is no exit from the cavern and that Gluttony was a failed attempt by Father at recreating the Gate of Truth . Envy then reveals that he was the one who started the Ishval civil war . Edward angrily attacks him , but Envy transforms into his real form , a giant beast . In Central , the Führer isolates Mustang by transferring his staff to various military command headquarters and assigning Hawkeye as his personal assistant , effectively making her his hostage . Meanwhile , Alphonse convinces Gluttony to take him to Father , who is apparently in Central .     26   `` Reunion '' `` Saikai '' ( </t>
    </r>
    <r>
      <rPr>
        <sz val="11"/>
        <color rgb="FF000000"/>
        <rFont val="Noto Sans CJK SC"/>
        <family val="2"/>
      </rPr>
      <t xml:space="preserve">再会 </t>
    </r>
    <r>
      <rPr>
        <sz val="11"/>
        <color rgb="FF000000"/>
        <rFont val="Calibri"/>
        <family val="0"/>
        <charset val="1"/>
      </rPr>
      <t xml:space="preserve">)   October 4 , 2009   August 7 , 2010     Edwa</t>
    </r>
  </si>
  <si>
    <t xml:space="preserve">how many episodes of fullmetal alchemist brotherhood are there</t>
  </si>
  <si>
    <r>
      <rPr>
        <sz val="11"/>
        <color rgb="FF000000"/>
        <rFont val="Calibri"/>
        <family val="0"/>
        <charset val="1"/>
      </rPr>
      <t xml:space="preserve"> Fullmetal Alchemist : Brotherhood , known in Japan as Alchemist of Steel : Fullmetal Alchemist ( </t>
    </r>
    <r>
      <rPr>
        <sz val="11"/>
        <color rgb="FF000000"/>
        <rFont val="Noto Sans CJK SC"/>
        <family val="2"/>
      </rPr>
      <t xml:space="preserve">鋼 の 錬金術 師 フルメタル アルケミスト </t>
    </r>
    <r>
      <rPr>
        <sz val="11"/>
        <color rgb="FF000000"/>
        <rFont val="Calibri"/>
        <family val="0"/>
        <charset val="1"/>
      </rPr>
      <t xml:space="preserve">, Hagane no Renkinjutsushi : Furumetaru Arukemisuto ) , is the second independent anime adaptation developed by Bones from the Fullmetal Alchemist manga series by Hiromu Arakawa . Yasuhiro Irie worked as director , and Hiroshi Ōnogi as writer . The series follows the story of two alchemist brothers , Edward and Alphonse Elric , who want to restore their bodies after a disastrous failed attempt to bring their mother back to life through alchemy . Unlike the first anime , which added original elements to the story , the second series follows the manga . The series comprises a total of 64 episodes and four original video animations . </t>
    </r>
  </si>
  <si>
    <t xml:space="preserve">Hagia Sophia - wikipedia  Hagia Sophia  `` Haghia Sophia '' redirects here . For the steamship known by that name , see SS Sussex . For other uses , see Hagia Sophia ( disambiguation ) .    Hagia Sophia Ayasofya ( Turkish ) Αγία Σοφία ( Greek ) Sancta Sophia ( Latin )   A view of Hagia Sophia , Istanbul     Location in Istanbul     Coordinates   41 ° 00 ′ 31 '' N 28 ° 58 ′ 48 '' E ﻿ / ﻿ 41.0085 ° N 28.9799 ° E ﻿ / 41.0085 ; 28.9799 Coordinates : 41 ° 00 ′ 31 '' N 28 ° 58 ′ 48 '' E ﻿ / ﻿ 41.0085 ° N 28.9799 ° E ﻿ / 41.0085 ; 28.9799     Location   Istanbul ( historically Constantinople ) , Turkey     Designer   Isidore of Miletus Anthemius of Tralles     Type     Byzantine Christian Cathedral ( 537 -- 1204 )   Roman Catholic Cathedral ( 1204 -- 1261 )   Greek Orthodox Cathedral ( 1261 -- 1453 )   Ottoman Mosque ( 1453 -- 1931 )   Museum ( 1935 -- present )       Material   Ashlar , brick     Length   82 m ( 269 ft )     Width   73 m ( 240 ft )     Height   55 m ( 180 ft )     Beginning date   532     Completion date   537 ; 1481 years ago ( 537 )         UNESCO World Heritage site     Part of   Historic Areas of Istanbul     Criteria   Cultural : i , ii , iii , iv     Reference   356     Inscription   1985 ( 9th Session )         Hagia Sophia ( / ˈhɑːɡiə soʊˈfiːə / ; from the Greek Αγία Σοφία , pronounced ( aˈʝia soˈfia ) , `` Holy Wisdom '' ; Latin : Sancta Sophia or Sancta Sapientia ; Turkish : Ayasofya ) is the former Greek Orthodox Christian patriarchal cathedral , later an Ottoman imperial mosque and now a museum ( Ayasofya Müzesi ) in Istanbul , Turkey . Built in 537 AD at the beginning of the Middle Ages , it was famous in particular for its massive dome . It was the world 's largest building and an engineering marvel of its time . It is considered the epitome of Byzantine architecture and is said to have `` changed the history of architecture '' .   From the date of its construction in 537 until 1453 , it served as an Eastern Orthodox cathedral and the seat of the Ecumenical Patriarch of Constantinople , except between 1204 and 1261 , when it was converted by the Fourth Crusaders to a Roman Catholic cathedral under the Latin Empire . The building was later converted into an Ottoman mosque from 29 May 1453 until 1931 . It was then secularized and opened as a museum on 1 February 1935 . It remained the world 's largest cathedral for nearly a thousand years , until Seville Cathedral was completed in 1520 .   The current building was originally constructed as a church between 532 and 537 on the orders of the Byzantine Emperor Justinian I and was the third Church of the Holy Wisdom to occupy the site , the prior one having been destroyed by rioters in the Nika Revolt . It was designed by the Greek geometers Isidore of Miletus and Anthemius of Tralles . The church was dedicated to the Wisdom of God , the Logos , the second person of the Trinity , its patronal feast taking place on 25 December , the commemoration of the birth of the incarnation of the Logos in Christ . Although sometimes referred to as Sancta Sophia ( as though it were named after Sophia the Martyr ) , sophia being the phonetic spelling in Latin of the Greek word for wisdom , its full name in Greek is Ναός της Αγίας του Θεού Σοφίας , Naos tēs Hagias tou Theou Sophias , `` Shrine of the Holy Wisdom of God '' . The church contained a large collection of relics and featured , among other things , a 15 - metre ( 49 ft ) silver iconostasis . The focal point of the Eastern Orthodox Church for nearly one thousand years , the building witnessed the excommunication of Patriarch Michael I Cerularius officially communicated by Humbert of Silva Candida , the papal envoy of Pope Leo IX in 1054 , an act that is commonly considered the start of the East -- West Schism .   In 1453 , Constantinople was conquered by the Ottoman Empire under Mehmed the Conqueror , who ordered this main church of Orthodox Christianity converted into a mosque . Although some parts of the city of Constantinople were falling into disrepair , the cathedral was maintained with an amount of money set aside for this purpose . Nevertheless , the Christian cathedral made a strong impression on the new Ottoman rulers and they decided to convert it into a mosque . The bells , altar , iconostasis , and other relics were destroyed and the mosaics depicting Jesus , his Mother Mary , Christian saints , and angels were also destroyed or plastered over . Islamic features -- such as the mihrab ( a niche in the wall indicating the direction toward Mecca , for prayer ) , minbar ( pulpit ) , and four minarets -- were added . It remained a mosque until 1931 when it was closed to the public for four years . It was re-opened in 1935 as a museum by the Republic of Turkey . Hagia Sophia was , as of 2014 , the second-most visited museum in Turkey , attracting almost 3.3 million visitors annually . According to data released by the Turkish Culture and Tourism Ministry , Hagia Sophia was Turkey 's most visited tourist attraction in 2015 .   From its initial conversion until the construction of the nearby Sultan Ahmed Mosque ( Blue Mosque of Istanbul ) in 1616 , it was the principal mosque of Istanbul . The Byzantine architecture of the Hagia Sophia served as inspiration for many other Ottoman mosques , such as the aforementioned mosque , the Şehzade Mosque , the Süleymaniye Mosque , the Rüstem Pasha Mosque and the Kılıç Ali Pasha Complex .   Contents    1 History   1.1 Church of Constantius II   1.2 Church of Theodosius II   1.3 Basilica of the Hagia Sophia ( current structure )   1.4 Mosque ( 1453 -- 1935 )   1.4. 1 Renovation of 1847     1.5 Museum ( 1935 -- present )     2 Timeline of Hagia Sophia   3 Architecture   3.1 Narthex and portals   3.2 Upper gallery   3.3 Dome   3.4 Minarets   3.5 Buttresses     4 Notable elements and decorations   4.1 Loggia of the Empress   4.2 Lustration urns   4.3 Marble Door   4.4 The Nice Door   4.5 The Emperor Door   4.6 Wishing column   4.7 Mosaics   4.7. 1 19th - century restoration   4.7. 2 20th - century restoration   4.7. 3 Imperial Gate mosaic   4.7. 4 Southwestern entrance mosaic   4.7. 5 Apse mosaics   4.7. 6 Emperor Alexander mosaic   4.7. 7 Empress Zoe mosaic   4.7. 8 Comnenus mosaic   4.7. 9 Deësis mosaic   4.7. 10 Northern tympanum mosaics   4.7. 11 Dome Angel Figure Mosaic       5 Other burials   6 Gallery   7 Works modeled on the Hagia Sofia   8 See also   9 References   10 Bibliography   11 Further reading   11.1 Articles   11.2 Mosaics     12 External links    History ( edit )   Church of Constantius II ( edit )   The first church on the site was known as the Μεγάλη Ἐκκλησία ( Megálē Ekklēsíā , `` Great Church '' ) , or in Latin Magna Ecclesia , because of its larger dimensions in comparison to the contemporary churches in the City . Inaugurated on 15 February 360 ( during the reign of Constantius II ) by the Arian bishop Eudoxius of Antioch , it was built next to the area where the imperial palace was being developed . The nearby Hagia Eirene ( `` Holy Peace '' ) church was completed earlier and served as cathedral until the Great Church was completed . Both churches acted together as the principal churches of the Byzantine Empire .   Writing in 440 , Socrates of Constantinople claimed that the church was built by Constantius II , who was working on it in 346 . A tradition which is not older than the 7th or 8th century , reports that the edifice was built by Constantine the Great . Zonaras reconciles the two opinions , writing that Constantius had repaired the edifice consecrated by Eusebius of Nicomedia , after it had collapsed . Since Eusebius was bishop of Constantinople from 339 to 341 , and Constantine died in 337 , it seems possible that the first church was erected by the latter . The edifice was built as a traditional Latin colonnaded basilica with galleries and a wooden roof . It was preceded by an atrium . It was claimed to be one of the world 's most outstanding monuments at the time .   The Patriarch of Constantinople John Chrysostom came into a conflict with Empress Aelia Eudoxia , wife of the emperor Arcadius , and was sent into exile on 20 June 404 . During the subsequent riots , this first church was largely burned down . Nothing remains of the first church today .   Church of Theodosius II ( edit )   A second church on the site was ordered by Theodosius II , who inaugurated it on 10 October 415 . The basilica with a wooden roof was built by architect Rufinus . A fire started during the tumult of the Nika Revolt and burned the second Hagia Sophia to the ground on 13 -- 14 January 532 .   Several marble blocks from the second church survive to the present ; among them are reliefs depicting 12 lambs representing the 12 apostles . Originally part of a monumental front entrance , they now reside in an excavation pit adjacent to the museum 's entrance after they were discovered in 1935 beneath the western courtyard by A.M. Schneider . Further digging was forsaken for fear of impinging on the integrity of the building .    Remains of the second Hagia Sophia              Basilica of the Hagia Sophia ( current structure ) ( edit )       This section needs additional citations for verification . Please help improve this article by adding citations to reliable sources . Unsourced material may be challenged and removed . ( December 2017 ) ( Learn how and when to remove this template message )    Hagia Sophia Construction of church depicted in codex Manasses Chronicle ( 14th century )  On 23 February 532 , only a few weeks after the destruction of the second basilica , Emperor Justinian I decided to build a third and entirely different basilica , larger and more majestic than its predecessors .   Justinian chose geometer and engineer Isidore of Miletus and mathematician Anthemius of Tralles as architects ; Anthemius , however , died within the first year of the endeavor . The construction is described in the Byzantine historian Procopius ' On Buildings ( Peri ktismatōn , Latin : De aedificiis ) . Columns and other marbles were brought from all over the empire , throughout the Mediterranean . The idea of these columns being spoils from cities such as Rome and Ephesus is a later invention . Even though they were made specifically for Hagia Sophia , the columns show variations in size . More than ten thousand people were employed . This new church was contemporaneously recognized as a major work of architecture . The theories of Heron of Alexandria may have been utilized to address the challenges presented by building such an expansive dome over so large a space . The emperor , together with the Patriarch Menas , inaugurated the new basilica on 27 December 537 -- 5 years and 10 months after construction start -- with much pomp . The mosaics inside the church were , however , only completed under the reign of Emperor Justin II ( 565 -- 578 ) .   Hagia Sophia was the seat of the Orthodox patriarch of Constantinople and a principal setting for Byzantine imperial ceremonies , such as coronations . Like other churches throughout Christendom , the basilica offered sanctuary from persecution to outlaws .   Earthquakes in August 553 and on 14 December 557 caused cracks in the main dome and eastern half - dome . The main dome collapsed completely during a subsequent earthquake on 7 May 558 , destroying the ambon , altar , and ciborium . The collapse was due mainly to the unfeasibly high bearing load and to the enormous shear load of the dome , which was too flat . These caused the deformation of the piers which sustained the dome . The emperor ordered an immediate restoration . He entrusted it to Isidorus the Younger , nephew of Isidore of Miletus , who used lighter materials and elevated the dome by `` 30 feet '' ( about 6.25 meters or 20.5 feet ) -- giving the building its current interior height of 55.6 meters ( 182 ft ) . Moreover , Isidorus changed the dome type , erecting a ribbed dome with pendentives , whose diameter lay between 32.7 and 33.5 m . Under Justinian 's orders , eight Corinthian columns were disassembled from Baalbek , Lebanon , and shipped to Constantinople around 560 . This reconstruction , giving the church its present 6th - century form , was completed in 562 . The Byzantine poet Paul the Silentiary composed a long epic poem ( still extant ) , known as Ekphrasis , for the rededication of the basilica presided over by Patriarch Eutychius on 23 December 562 A.D.  The vaulting of the nave . ( annotations )  In 726 , the emperor Leo the Isaurian issued a series of edicts against the veneration of images , ordering the army to destroy all icons -- ushering in the period of Byzantine iconoclasm . At that time , all religious pictures and statues were removed from the Hagia Sophia . After a brief reprieve under Empress Irene ( 797 -- 802 ) , the iconoclasts made a comeback . The Emperor Theophilus ( 829 -- 842 ) had two - winged bronze doors with his monograms installed at the southern entrance of the church .   The basilica suffered damage , first in a great fire in 859 , and again in an earthquake on 8 January 869 , that made one of the half - domes collapse . Emperor Basil I ordered the church repaired .   After the great earthquake of 25 October 989 , which collapsed the Western dome arch , Emperor Basil II asked for the Armenian architect Trdat , creator of the cathedrals of Ani and Argina , to direct the repairs . He erected again and reinforced the fallen dome arch , and rebuilt the west side of the dome with 15 dome ribs . The extent of the damage required six years of repair and reconstruction ; the church was re-opened on 13 May 994 . At the end of the reconstruction , the church 's decorations were renovated , including the addition of four immense paintings of cherubs ; a new depiction of Christ on the dome ; a burial cloth of Christ shown on Fridays , and on the apse a new depiction of the Virgin Mary holding Jesus , between the apostles Peter and Paul . On the great side arches were painted the prophets and the teachers of the church .   In his book De caerimoniis aulae Byzantinae ( `` Book of Ceremonies '' ) , Emperor Constantine VII ( 913 -- 919 ) wrote a detailed account of the ceremonies held in the Hagia Sophia by the emperor and the patriarch .   Upon the capture of Constantinople during the Fourth Crusade , the church was ransacked and desecrated by the Crusaders , as described by the Byzantine historian Niketas Choniates . During the Latin occupation of Constantinople ( 1204 -- 1261 ) the church became a Roman Catholic cathedral . Baldwin I of Constantinople was crowned emperor on 16 May 1204 in Hagia Sophia , at a ceremony which closely followed Byzantine practices . Enrico Dandolo , the Doge of Venice who commanded the sack and invasion of the city by the Latin Crusaders in 1204 , is buried inside the church , probably in the upper Eastern gallery . In the 19th century , an Italian restoration team placed a cenotaph marker near the probable location , which is still visible today . The marker is frequently mistaken by tourists as being a medieval marker of the actual tomb of the doge . The real tomb was destroyed by the Ottomans after the conquest of Constantinople in 1453 and subsequent conversion of Hagia Sophia into a mosque .   After the recapture in 1261 by the Byzantines , the church was in a dilapidated state . In 1317 , emperor Andronicus II ordered four new buttresses ( Pyramídas , Greek : `` Πυραμίδας '' ) to be built in the eastern and northern parts of the church , financing them with the inheritance of his deceased wife , Irene . New cracks developed in the dome after the earthquake of October 1344 , and several parts of the building collapsed on 19 May 1346 ; consequently , the church was closed until 1354 , when repairs were undertaken by architects Astras and Peralta .   Mosque ( 1453 -- 1935 ) ( edit )   Constantinople fell to the attacking Ottoman forces on the 29th of May in 1453 . In accordance with the traditional custom at the time , Sultan Mehmet II allowed his troops and his entourage three full days of unbridled pillage and looting in the city shortly after it was captured . Once the three days passed , he would then claim its remaining contents for himself . Hagia Sophia was not exempted from the pillage and looting and specifically became its focal point as the invaders believed it to contain the greatest treasures and valuables of the city . Shortly after Constantinople 's defenses collapsed and the Ottoman troops entered the city victoriously , the pillagers and looters made their way to the Hagia Sophia and battered down its doors before storming in . All throughout the period of the siege of Constantinople , the trapped worshippers of the city participated in the Divine Liturgy and the Prayer of the Hours at the Hagia Sophia and the church formed a safe - haven and a refuge for many of those who were unable to contribute to the city 's defense , which comprised women , children , the elderly and the sick and the wounded . Being hopelessly trapped in the church , the many congregants and yet more refugees inside became spoils - of - war to be divided amongst the triumphant invaders . The building was significantly desecrated and looted to a large extent , with the helpless occupants who sought shelter within the church being either enslaved , physically and sexually violated or simply slaughtered . While most of the elderly and the infirm / wounded and sick were killed , a vast number of women and girls were raped and the remainder ( mainly teenage males and young boys ) were chained up and sold off into slavery . The church 's priests and religious personnel continued to perform Christian rites , prayers and ceremonies until finally being forced to stop by the invaders . When Sultan Mehmet II and his accompanying entourage entered the church , he insisted that it should be converted into a mosque at once . One of the ulama ( Islamic scholars ) present then climbed up the church 's pulpit and recited out the Shahada ( `` There is no God but Allah , and Mohammed is His prophet '' ) , thus marking the beginning of the gradual conversion of the church into a mosque .  Fountain ( Şadırvan ) for ritual ablutions  As described by several Western visitors ( such as the Córdoban nobleman Pero Tafur and the Florentine Cristoforo Buondelmonti ) , the church was in a dilapidated state , with several of its doors fallen from their hinges ; Mehmed II ordered a renovation as well as the conversion . Mehmet attended the first Friday prayer in the mosque on 1 June 1453 . Aya Sofya became the first imperial mosque of Istanbul . To the corresponding Waqf were endowed most of the existing houses in the city and the area of the future Topkapı Palace . From 1478 , 2,360 shops , 1,300 houses , 4 caravanserais , 30 boza shops , and 23 shops of sheep heads and trotters gave their income to the foundation . Through the imperial charters of 1520 ( AH 926 ) and 1547 ( AH 954 ) shops and parts of the Grand Bazaar and other markets were added to the foundation .   Before 1481 a small minaret was erected on the southwest corner of the building , above the stair tower . Later , the subsequent sultan , Bayezid II ( 1481 -- 1512 ) , built another minaret at the northeast corner . One of these collapsed after the earthquake of 1509 , and around the middle of the 16th century they were both replaced by two diagonally opposite minarets built at the east and west corners of the edifice .  The mihrab located in the apse where the altar used to stand , pointing towards Mecca  In the 16th century the sultan Suleiman the Magnificent ( 1520 -- 1566 ) brought back two colossal candlesticks from his conquest of Hungary . They were placed on either side of the mihrab . During the reign of Selim II ( 1566 -- 1574 ) , the building started showing signs of fatigue and was extensively strengthened with the addition of structural supports to its exterior by Ottoman architect Mimar Sinan , who was also an earthquake engineer . In addition to strengthening the historic Byzantine structure , Sinan built the two additional large minarets at the western end of the building , the original sultan 's lodge and the Türbe ( mausoleum ) of Selim II to the southeast of the building in 1576 - 7 / AH 984 . In order to do that , parts of the Patriarchate at the south corner of the building were pulled down the previous year . Moreover , the golden crescent was mounted on the top of the dome , while a respect zone 35 arşin ( about 24 m ) wide was imposed around the building , pulling down all the houses which in the meantime had nested around it . Later his türbe hosted also 43 tombs of Ottoman princes . In 1594 / AH 1004 Mimar ( court architect ) Davud Ağa built the türbe of Murad III ( 1574 -- 1595 ) , where the Sultan and his Valide , Safiye Sultan were later buried . The octagonal mausoleum of their son Mehmed III ( 1595 -- 1603 ) and his Valide was built next to it in 1608 / AH 1017 by royal architect Dalgiç Mehmet Aĝa . His son Mustafa I ( 1617 -- 1618 ; 1622 -- 1623 ) converted the baptistery into his türbe .   Murad III had also two large alabaster Hellenistic urns transported from Pergamon and placed on two sides of the nave .   In 1717 , under Sultan Ahmed III ( 1703 -- 1730 ) , the crumbling plaster of the interior was renovated , contributing indirectly to the preservation of many mosaics , which otherwise would have been destroyed by mosque workers . In fact , it was usual for them to sell mosaics stones -- believed to be talismans -- to the visitors . Sultan Mahmud I ordered the restoration of the building in 1739 and added a medrese ( a Koranic school , now the library of the museum ) , an Imaret ( soup kitchen for distribution to the poor ) and a library , and in 1740 a Şadirvan ( fountain for ritual ablutions ) , thus transforming it into a külliye , i.e. a social complex . At the same time , a new sultan 's lodge and a new mihrab were built inside .  Renovation of 1847 ( edit )  Restoration of the Hagia Sophia was ordered by Sultan Abdülmecid and completed by eight hundred workers between 1847 and 1849 , under the supervision of the Swiss - Italian architect brothers Gaspare and Giuseppe Fossati . The brothers consolidated the dome and vaults , straightened the columns , and revised the decoration of the exterior and the interior of the building . The mosaics in the upper gallery were exposed and cleaned , although many were recovered `` for protection against further damage '' . The old chandeliers were replaced by new pendant ones . New gigantic circular - framed disks or medallions were hung on columns . These were inscribed with the names of Allah , Muhammad , the first four caliphs Abu Bakr , Umar , Uthman and Ali , and the two grandchildren of Muhammad : Hassan and Hussain , by the calligrapher Kazasker Mustafa İzzed Effendi ( 1801 -- 1877 ) . In 1850 the architects Fossati built a new sultan 's lodge or loge in a Neo-Byzantine style connected to the royal pavilion behind the mosque . They also renovated the minbar and mihrab . Outside the main building , the minarets were repaired and altered so that they were of equal height . A timekeeper 's building and a new madrasah ( Islamic school ) were built . When the restoration was finished , the mosque was re-opened with ceremonial pomp on 13 July 1849 .   Museum ( 1935 -- present ) ( edit )  The interior undergoing restoration  In 1935 , the first Turkish President and founder of the Republic of Turkey , Mustafa Kemal Atatürk , transformed the building into a museum . The carpets were removed and marble floor decorations such as the Omphalion appeared for the first time in centuries , while the white plaster covering many of the mosaics was removed . Nevertheless , the condition of the structure deteriorated , and the World Monuments Fund placed Hagia Sophia on 1996 World Monuments Watch , and again in 1998 . The building 's copper roof had cracked , causing water to leak down over the fragile frescoes and mosaics . Moisture entered from below as well . Rising ground water had raised the level of humidity within the monument , creating an unstable environment for stone and paint . The WMF secured a series of grants from 1997 to 2002 for the restoration of the dome . The first stage of work involved the structural stabilization and repair of the cracked roof , which was undertaken with the participation of the Turkish Ministry of Culture . The second phase , the preservation of the dome 's interior , afforded the opportunity to employ and train young Turkish conservators in the care of mosaics . By 2006 , the WMF project was complete , though many other areas of Hagia Sophia continue to require significant stability improvement , restoration and conservation . Hagia Sophia is currently ( 2014 ) the second most visited museum in Turkey , attracting almost 3.3 million visitors annually .   Although use of the complex as a place of worship ( mosque or church ) was strictly prohibited , in 2006 the Turkish government allowed the allocation of a small room in the museum complex to be used as a prayer room for Christian and Muslim museum staff , and since 2013 from the minarets of the museum the muezzin sings the call to prayer twice per day , in the afternoon .   In 2007 , Greek American politician Chris Spirou launched an international organization `` Free Agia Sophia Council '' championing the cause of restoring the building to its original function as a Christian church . Since the early 2010s , several campaigns and government high officials , notably Turkey 's deputy prime minister Bülent Arınç in November 2013 , have been demanding that Hagia Sophia be converted into a mosque again . In 2015 , in retaliation for the acknowledgment by Pope Francis of the Armenian Genocide , the Mufti of Ankara , Mefail Hızlı , stated that he believes the conversion of Hagia Sophia into a mosque will be accelerated .   On July 1 , 2016 , Muslim prayers were held again in the Hagia Sophia for the first time in 85 years .   On May 13 , 2017 , a large group of people organized by the Anatolia Youth Association ( AGD ) , gathered in front of Hagia Sophia and prayed the morning prayer with a call for the reconversion of the museum into a mosque . On June 21 , 2017 , Presidency of Religious Affairs ( Diyanet ) organized a special program , which included the recitation of the Quran and prayers in Hagia Sofia , to mark the Laylat al - Qadr , the program was broadcast live by state - run television TRT .   In March 31 , 2018 , Turkish president Recep Tayyip Erdoğan recited the first verse of the Quran in the Hagia Sophia , dedicating the prayer to the `` souls of all who left us this work as inheritance , especially Istanbul 's conqueror , '' strengthening the political movement to make the Hagia Sophia a mosque once again , which would reverse Atatürk 's measure of turning the Hagia Sophia into a secular museum .   Timeline of Hagia Sophia ( edit )    360 A.D - Inauguration of Hagia Sophia , under the rule of Constantius II .   404 A.D - The original roof was destroyed in a fire .   415 A.D - Hagia Sophia was restored and rededicated by Theodosius II .   532 A.D - Hagia Sophia was burned down once again . The structure was completely destroyed alongside various other churches . After a mere 93 days , construction of the Hagia Sophia began .   537 A.D - The reconstruction was completed with the lavish decorations and ornaments   553 A.D - An earthquake shook Hagia Sophia , weakening the crown of Eastern arch .   558 A.D - Another earthquake hit , causing a break between the two halves . A few months after , the main dome collapsed alongside the eastern semidome . This caused the destruction of the ambo , ciborium , and the Holy Table .   562 A.D - Reconstruction was completed .   726 A.D - Hagia Sophia was stripped of religious illustrations and sculptural work .   842 A.D - St Sophia was finally re-installed . Commencing the redecoration of Hagia Sophia .   859 A.D - A great fire damaged the Hagia Sophia .   869 A.D - An Earthquake caused a half dome to collapse .   989 A.D - Another massive earthquake caused the collapse of the western dome .   994 A.D - Hagia Sophia was reopened after reconstruction took place .   1204 A.D - Hagia Sophia became a Roman Catholic Cathedral .   1261 A.D - Hagia Sophia was converted to a Orthodox Church again .   1344 A.D - An earthquake caused severe damage throughout the striation   1346 A.D - Various parts of the building collapsed and the church was closed .   1354 A.D - Hagia Sophia reopened after construction .   1453 A.D - Following the fall of Constantinople , Mehmed the Conqueror orders the conversion of Hagia Sophia into a mosque . Τhe Divine Service in Hagia Sophia at the time of the Salvation was interrupted .   1573 A.D - The exterior was significantly strengthened and altered to follow the customary mosque appearance .   1717 A.D - Renovations on the interior began .   1734 A.D - Hagia Sophia had additions to restorations , such as the building of a library and a Quranic School .   1847 A.D - The structure underwent another restoration   1849 A.D - the mosque was reopened .   1919 A.D. Τhe Divine Service in Hagia Sophia , which had interrupted after the Salvation in 1453 A.D. , was continued and completed by a Greek military priest .   1935 A.D - the Building was transformed into a museum .      Architecture ( edit )  Section of a `` restored '' design a ) Plan of the gallery ( upper half ) b ) Plan of the ground floor ( lower half )  Hagia Sophia is one of the greatest surviving examples of Byzantine architecture . Its interior is decorated with mosaics and marble pillars and coverings of great artistic value . The temple itself was so richly and artistically decorated that Justinian proclaimed , `` Solomon , I have outdone thee ! '' ( Νενίκηκά σε Σολομών ) . Justinian himself had overseen the completion of the greatest cathedral ever built up to that time , and it was to remain the largest cathedral for 1,000 years up until the completion of the cathedral in Seville in Spain .   Justinian 's basilica was at once the culminating architectural achievement of late antiquity and the first masterpiece of Byzantine architecture . Its influence , both architecturally and liturgically , was widespread and enduring in the Eastern Orthodox , Roman Catholic , and Muslim worlds alike .   The vast interior has a complex structure . The nave is covered by a central dome which at its maximum is 55.6 m ( 182 ft 5 in ) from floor level and rests on an arcade of 40 arched windows . Repairs to its structure have left the dome somewhat elliptical , with the diameter varying between 31.24 and 30.86 m ( 102 ft 6 in and 101 ft 3 in ) .   At the western entrance side and eastern liturgical side , there are arched openings extended by half domes of identical diameter to the central dome , carried on smaller semi-domed exedras ; a hierarchy of dome - headed elements built up to create a vast oblong interior crowned by the central dome , with a clear span of 76.2 m ( 250 ft ) .   Interior surfaces are sheathed with polychrome marbles , green and white with purple porphyry , and gold mosaics . The exterior , clad in stucco , was tinted yellow and red during restorations in the 19th century at the direction of the Fossati architects .   Narthex and portals ( edit )   The Imperial Gate was the main entrance between the exo - and esonarthex . It was reserved exclusively for the Emperor . The Byzantine mosaic above the portal depicts Christ and an unnamed emperor . A long ramp from the northern part of the outer narthex leads up to the upper gallery .   Upper gallery ( edit )  West side of the upper gallery  The upper gallery is laid out in a horseshoe shape that encloses the nave until the apse . Several mosaics are preserved in the upper gallery , an area traditionally reserved for the Empress and her court . The best - preserved mosaics are located in the southern part of the gallery .   The upper gallery contains runic graffiti presumed to be from the Varangian Guard .   Dome ( edit )  Cupola dome , semi-dome , and apse View upward to domes ( annotations ) .  The dome of Hagia Sophia has spurred particular interest for many art historians , architects and engineers because of the innovative way the original architects envisioned it . The dome is carried on four spherical triangular pendentives , one of the first large - scale uses of them . The pendentives are the corners of the square base of the dome , which curve upwards into the dome to support it , restraining the lateral forces of the dome and allowing its</t>
  </si>
  <si>
    <t xml:space="preserve">hagia sophia is an example of which style of architecture</t>
  </si>
  <si>
    <t xml:space="preserve"> Hagia Sophia ( / ˈhɑːɡiə soʊˈfiːə / ; from the Greek Αγία Σοφία , pronounced ( aˈʝia soˈfia ) , `` Holy Wisdom '' ; Latin : Sancta Sophia or Sancta Sapientia ; Turkish : Ayasofya ) is the former Greek Orthodox Christian patriarchal cathedral , later an Ottoman imperial mosque and now a museum ( Ayasofya Müzesi ) in Istanbul , Turkey . Built in 537 AD at the beginning of the Middle Ages , it was famous in particular for its massive dome . It was the world 's largest building and an engineering marvel of its time . It is considered the epitome of Byzantine architecture and is said to have `` changed the history of architecture '' . </t>
  </si>
  <si>
    <r>
      <rPr>
        <sz val="11"/>
        <color rgb="FF000000"/>
        <rFont val="Calibri"/>
        <family val="0"/>
        <charset val="1"/>
      </rPr>
      <t xml:space="preserve">The funniest joke in the World - wikipedia  The funniest joke in the World  Jump to : navigation , search This article is about the Monty Python sketch . For research into international humour , see World 's funniest joke .  `` The Funniest Joke in the World '' is the title most frequently used for written references to a Monty Python 's Flying Circus comedy sketch , which is also known by two other phrases that appear within it , `` Joke Warfare '' and `` Killer Joke '' , the latter being the most commonly spoken title used to refer to it . The premise of the sketch is that the joke is so funny that anyone who reads or hears it promptly dies from laughter .   The sketch appeared in the first episode of the television show Monty Python 's Flying Circus ( `` Whither Canada '' ) , first shown on 5 October 1969 .   The German translation of the joke in the sketch is made of various meaningless , German - sounding nonce words , and so it does not have an English translation .     Contents  ( hide )   1 Summary   2 Precursors   3 In other works   4 Notes   5 See also   6 References   7 External links      Summary ( edit )   The sketch is framed in a documentary style , and opens with Ernest Scribbler ( Michael Palin ) , a British `` writer of jokes '' , creating the funniest joke in the world only to die laughing . His mother ( Eric Idle ) finds what she believes to be a suicide note , reads it and also immediately dies laughing . A brave Scotland Yard inspector ( Graham Chapman ) attempts to retrieve the joke , with the playing of very sombre music on gramophone records and the chanting of laments by fellow policemen to create a depressing mood . The inspector leaves the flat with the joke but also dies from laughter .   The British Army wish to determine `` the military potential of the Killer Joke . '' They test the joke on a rifleman ( Terry Jones ) , who snickers and falls dead on the range . They then translate it into German , with each translator working on only one word of the joke for their own safety ( one translator saw two words of the joke and had to be hospitalised ) . The German translation is used for the first time on 8 July 1944 in the Ardennes , causing German soldiers to fall down dead from laughter :   Wenn ist das Nunstück git und Slotermeyer ? Ja ! Beiherhund das Oder die Flipperwaldt gersput !   The German version is described as being `` over 60,000 times as powerful as Britain 's great pre-war joke '' ( at this point a newsreel of Prime Minister Neville Chamberlain appears on screen ) . The joke is then used in open warfare , with Tommies running through an open field amid artillery fire shouting the joke at the Germans , who die laughing in response . Afterward , a German field hospital is shown with uncontrollably laughing German soldiers in blood - stained bandages , being attended to by medics with stoppered ears .   In a subsequent scene , a British officer from the Joke Brigade ( Palin ) has been taken prisoner and is being interrogated by Gestapo officers . The British officer uses the joke to escape as his German captors die laughing , with one German officer ( Cleese ) uttering a Woody Woodpecker - style laugh before expiring .   The Germans attempt counter-jokes . For example , film is shown of Adolf Hitler supposedly saying `` My dog has no nose , '' then a German soldier asking `` How does he smell ? '' , with Hitler replying `` Awful ! '' Eventually their best `` V - joke '' ( in reference to the V - 1 flying bomb ) is attempted on a radio broadcast : `` Der ver zwei peanuts , valking down der strasse , und von vas assaulted ... peanut . '' Although the joke is followed triumphantly by the German anthem Deutschland über alles , the attack is ineffective .   The British joke is said to have been laid to rest when `` Peace broke out '' at the end of the war , and countries agree to a Joke Warfare ban at the Geneva Convention . In 1950 , the last copy of the joke is sealed under a monument in the Berkshire countryside bearing the inscription `` To the Unknown Joke '' . Thus , the English version of the joke is never revealed to the audience .   The footage of Adolf Hitler is taken from Leni Riefenstahl 's film Triumph of the Will . The section ( about 34 minutes into the film ) where Konstantin Hierl presents the Reich Labor Corps to Hitler is the source of the speech used for the joke . The first clip shows Hitler saying Inbesondere keiner mehr in Deutschland leben wird ... ( `` In particular , no one will live in Germany anymore ( without working for their country ) '' ) , subtitled `` My dog has no nose '' . In the film , the camera cuts briefly away from Hitler ; the punchline of the joke is the next shot that shows Hitler 's face : `` Awful '' . The original words are eure Schule , from `` ( The whole nation will go through ) your school '' . `` How does he smell ? '' is from a scene just before Hitler 's speech ; the original German is Wir sind des Reiches junge Mannschaft ! , `` We are the Reich 's young men ! ''   Precursors ( edit )       This section needs additional citations for verification . Please help improve this article by adding citations to reliable sources . Unsourced material may be challenged and removed . ( September 2017 ) ( Learn how and when to remove this template message )     Robert W. Chambers 's 1895 short story collection The King in Yellow has a recurring motif of a play ( named `` The King in Yellow '' ) which causes all who read it to go mad .   Mark Twain 's story `` A Literary Nightmare '' ( also published as `` Punch , Brothers , Punch ! '' ) tells of a jingle so catchy that , upon hearing it , the listener can not stop repeating it until it is passed on to someone else .   The earliest known version referring to deadly jokes is in Lord Dunsany 's 1916 story `` The Three Infernal Jokes '' , published in the collection Tales of Wonder .   The 1943 war - time story `` Nothing But Gingerbread Left '' , written decades before by science fiction writer Henry Kuttner , has a very close premise . Rather than a joke , a marching song ( in German ) is used as a weapon against the German soldiers . Engineered by American linguists , it is by design such a catchy song that the soldiers can not stop singing it , and eventually they can think of nothing else . At the climax , Adolf Hitler is ready to deliver a critically important speech , but begins chanting the marching song .   A story that ran for several weeks in the Sunday comics of Li'l Abner during 1967 concerned the creation of a joke , never actually revealed , that was so funny that anyone who heard it immediately died laughing . For safety reasons , government agents somehow decided to keep the joke hidden in the protective custody of Abner Yokum . Meanwhile , comedian Bob Hope learns of the existence of this `` Funniest Joke in the World '' , but not about its deadly effects , and decides that he wants to recite it on his next television show . He procures the joke from Abner , and the government agents learn of this development too late to prevent him from reading it on national television . It turns out , however , that before Bob Hope obtained the joke from him , Abner had read the joke , not understood it , and substituted his own favourite joke . It is this joke that Bob Hope reads on the air , to no harmful effect whatsoever .   In other works ( edit )   The sketch was later remade in a shorter version for the film And Now for Something Completely Different . It is also available on the CD - ROM video game version of the film Monty Python 's The Meaning of Life .   Notes ( edit )    Jump up ^ The `` translated '' joke is meaningless in reality . All but the first three words are nonsensical pseudo-German words written to sound foreign .    See also ( edit )    Death from laughter    References ( edit )    Jump up ^ Chapman , Graham ; Cleese , John ; Gilliam , Terry ; Idle , Eric ; Jones , Terry ; Palin , Michael ( 1989 ) . Wilmut , Roger , ed . The Complete Monty Python 's Flying Circus : All the Words , Volume One . New York , New York : Pantheon Books . p. 320 ( Appendix ) . ISBN 0 - 679 - 72647 - 0 .   ^ Jump up to : All the Words : Volume One . pp. 10 - 14 .   Jump up ^ Leni Riefenstahl ( 1935 ) . Triumph of the Will .   Jump up ^ Kuttner , Henry ( 1943 ) . `` Nothing But Gingerbread Left '' . bravehost.com . Archived from the original on March 14 , 2012 . Retrieved August 24 , 2012 .    External links ( edit )    The Funniest Joke In The World -- Monty Python 's Flying Circus on YouTube   Translate the funniest joke in the world on Google Translate              Monty Python       Graham Chapman   John Cleese   Terry Gilliam   Eric Idle   Terry Jones   Michael Palin     Carol Cleveland   Neil Innes       Television series     Flying Circus   episodes     Fliegender Zirkus   Personal Best       Films     And Now for Something Completely Different   Holy Grail   Life of Brian   Live at the Hollywood Bowl   The Meaning of Life   The Crimson Permanent Assurance         Studio albums     Another Record   Previous Record   Matching Tie and Handkerchief   Holy Grail   Life of Brian   Contractual Obligation   The Meaning of Life       Compilation albums     Instant Record Collection   Final Rip Off   Sings   Ultimate Rip Off   Instant CD Collection   Total Rubbish       Live albums     Flying Circus   Live at Drury Lane   Live at City Center       Specials     Parrot Sketch Not Included   Live at Aspen   Python Night       Documentaries     The Pythons   Life of Python   Almost the Truth ( Lawyers Cut )   And Now for Something Rather Similar   The Meaning of Live       Stage productions     Spamalot   Not the Messiah ( He 's a Very Naughty Boy )   An Evening Without Monty Python   Live ( Mostly )       Literature     Big Red Book   Brand New Bok   Holy Grail ( Book )   Life of Brian / SCRAPBOOK   The Meaning of Life   Just the Words   Song Book   A Pocketful of Python   The Pythons Autobiography   Live !       Video games     Flying Circus   Complete Waste of Time   Quest for the Holy Grail   The Meaning of Life   Cow Tossing       Characters     Mr Praline   Gumbys   The Colonel   Mr Creosote   Rabbit of Caerbannog   Ron Obvious   Other characters       Sketches     Albatross !   Anne Elk 's Theory on Brontosauruses   Architects   Argument Clinic   Bishop   Bruces   Cheese Shop   Colin `` Bomber '' Harris vs Colin `` Bomber '' Harris   Crunchy Frog   Dead Parrot   Dirty Fork   Dirty Hungarian Phrasebook   Election Night Special   Fish Licence   Fish - Slapping Dance   Four Yorkshiremen   The Funniest Joke in the World   How Not to Be Seen   Kilimanjaro Expedition   Lifeboat   Marriage Guidance Counsellor   Ministry of Silly Walks   Mouse Problem   Nudge Nudge   Patient Abuse   Philosophers ' Football Match   Piranha Brothers   Sam Peckinpah 's `` Salad Days ''   Seduced Milkmen   Self Defence Against Fresh Fruit   Spam   Spanish Inquisition   Undertakers   Upper Class Twit of the Year   Vocational Guidance Counsellor   World Forum / Communist Quiz       Songs     `` Always Look on the Bright Side of Life ''   `` Brian Song ''   `` Bruces ' Philosophers Song ''   `` Decomposing Composers ''   `` Eric the Half - a-Bee ''   `` Every Sperm Is Sacred ''   `` Finland ''   `` Galaxy Song ''   `` I Bet You They Wo n't Play This Song on the Radio ''   `` I Like Chinese ''   `` I 've Got Two Legs ''   `` The Lumberjack Song ''   `` Medical Love Song ''   `` Never Be Rude to an Arab ''   `` Oliver Cromwell ''   `` Sit on My Face ''       Related articles     Filmography   Cambridge Circus   I 'm Sorry , I 'll Read That Again   The Frost Report   At Last the 1948 Show   Twice a Fortnight   Do Not Adjust Your Set   We Have Ways of Making You Laugh   How to Irritate People   The Complete and Utter History of Britain   Teach Yourself Heath   Tiny Black Round Thing   Bert Fegg 's Nasty Book for Boys and Girls   Rutland Weekend Television   Fawlty Towers   Ripping Yarns   Out of the Trees   The Secret Policeman 's Ball   Python On Song   All You Need Is Cash   The Hastily Cobbled Together for a Fast Buck Album   Monty Python Live   Concert for George   Diaries 1969 -- 1979 : The Python Years   The Seventh Python   Holy Flying Circus   A Liar 's Autobiography : The Untrue Story of Monty Python 's Graham Chapman      Retrieved from `` https://en.wikipedia.org/w/index.php?title=The_Funniest_Joke_in_the_World&amp;oldid=832100835 '' Categories :   Jokes   Monty Python sketches   Hidden categories :   All articles with unsourced statements   Articles with unsourced statements from September 2017   Articles needing additional references from September 2017   All articles needing additional references           Talk                                           Contents                   About Wikipedia                                           Deutsch   Español   Français   Italiano   </t>
    </r>
    <r>
      <rPr>
        <sz val="11"/>
        <color rgb="FF000000"/>
        <rFont val="Noto Sans CJK SC"/>
        <family val="2"/>
      </rPr>
      <t xml:space="preserve">日本 語   </t>
    </r>
    <r>
      <rPr>
        <sz val="11"/>
        <color rgb="FF000000"/>
        <rFont val="Calibri"/>
        <family val="0"/>
        <charset val="1"/>
      </rPr>
      <t xml:space="preserve">Polski   Suomi   Edit links   This page was last edited on 23 March 2018 , at 21 : 05 .         About Wikipedia                    </t>
    </r>
  </si>
  <si>
    <t xml:space="preserve">monty python funniest joke in the world english translation</t>
  </si>
  <si>
    <t xml:space="preserve"> The German translation of the joke in the sketch is made of various meaningless , German - sounding nonce words , and so it does not have an English translation . </t>
  </si>
  <si>
    <t xml:space="preserve">List of Miss America titleholders - Wikipedia  List of Miss America titleholders   Miss America is an annual competition open to women from the United States between the ages of 17 and 25 . Originating in 1921 as a beauty pageant , the competition now judges competitors ' talent performances and interviews in addition to their physical appearance .     Contents  ( hide )   1 Gallery of past Miss Americas   2 Winners   3 Winners by state   4 Notes   5 References   6 External links      Gallery of past Miss Americas ( edit )    Margaret Gorman Miss America 1921   Lee Meriwether Miss America 1955   Phyllis George Miss America 1971   Vanessa L. Williams Miss America 1984   Erika Harold Miss America 2003   Jennifer Berry Miss America 2006   Lauren Nelson Miss America 2007   Kirsten Haglund Miss America 2008   Katie Stam Miss America 2009   Caressa Cameron Miss America 2010   Teresa Scanlan Miss America 2011   Laura Kaeppeler Miss America 2012   Mallory Hagan Miss America 2013   Nina Davuluri Miss America 2014   Kira Kazantsev Miss America 2015   Savvy Shields Miss America 2017    Winners ( edit )     Year   Crowned   Winner   State / District   City   Age   Awards   Talent   Notes     1921   Sept. 8 , 1921   Margaret Gorman   District of Columbia   Washington   16   Inter-City Beauty , Amateur     Actually crowned `` The Most Beautiful Bathing Girl in America '' ; was not titled `` Miss America '' in 1922 , when she returned to defend her title     1922   Sept. 7 , 1922   Mary Campbell   Ohio   Columbus   16       Only person to win twice ; also was 1st Runner - up at 1924 pageant     1923   Sept. 7 , 1923   17         1924   Sept. 6 , 1924   Ruth Malcomson   Pennsylvania   Philadelphia   18           1925   Sept. 11 , 1925   Fay Lanphier   California   Oakland   19           1926   Sept. 10 , 1926   Norma Smallwood   Oklahoma   Tulsa   18   Bather 's Revue Winner , Evening Gown Award         1927   Sept. 9 , 1927   Lois Delander   Illinois   Joliet   17           1928   No pageants were held     1929     1930     1931     1932     1933   Sept. 9 , 1933   Marian Bergeron   Connecticut   West Haven   15       Prior to the organization 's change in age requirements , she became the youngest winner in history at the age of 151⁄2 . She held title for two years , since no competition was held in 1934 . To date , she is the only representative from a New England state to win .     1934   No pageant was held     1935   Sept. 7 , 1935   Henrietta Leaver   Pennsylvania   Pittsburgh   17     Vocal / Tap dance `` Living In a Great Big Way ''       1936   Sept. 12 , 1936   Rose Coyle   Pennsylvania   Philadelphia   22   Preliminary Talent   Vocal / tap dance `` I Ca n't Escape From You '' &amp; `` Truckin ' ''       1937   Sept. 11 , 1937   Bette Cooper   New Jersey   Bertrand Island   17   Evening Gown Award   Vocal `` When the Poppies Bloom Again ''       1938   Sept. 10 , 1938   Marilyn Meseke   Ohio   Marion   21     Tap dance `` The World Is Waiting for the Sunrise ''   Held the title of Miss Ohio twice ( 1931 &amp; 1938 ) ; was 14 when she won the title Miss Ohio 1931 ( no Miss America competition in 1931 )     1939   Sept. 9 , 1939   Patricia Donnelly   Michigan   Detroit   19     Vocal / Bass Fiddle `` To You '' &amp; `` Ol ' Man Mose ''       1940   Sept. 7 , 1940   Frances Marie Burke   Pennsylvania   Philadelphia   19   Preliminary Swimsuit   Vocal / dance `` I Ca n't Love You Anymore ''       1941   Sept. 6 , 1941   Rosemary LaPlanche   California   Los Angeles   18   Preliminary Swimsuit   Dance   Placed 1st runner - up at Miss America 1940 ( Pageant now no longer allows contestants to compete for Miss America more than once )     1942   Sept. 12 , 1942   Jo - Carroll Dennison   Texas   Tyler   18   Preliminary Swimsuit , Preliminary Talent   Vocal / dance `` Deep in the Heart of Texas ''       1943   Sept. 11 , 1943   Jean Bartel   California   Los Angeles   19   Preliminary Swimsuit , Preliminary Talent   Vocal `` Night and Day ''       1944   Sept. 9 , 1944   Venus Ramey   District of Columbia   Washington   19   Preliminary Swimsuit , Preliminary Talent   Vocal / dance `` Take It Easy ''       1945   Sept. 8 , 1945   Bess Myerson   New York   New York City   21   Preliminary Swimsuit , Preliminary Talent   Piano &amp; flute `` Piano Concerto In A Minor '' by Edvard Grieg &amp; `` Summertime ''   First Jewish - American Miss America First Miss New York crowned     1946   Sept. 7 , 1946   Marilyn Buferd   California   Los Angeles   21   Preliminary Swimsuit , Preliminary Talent ( tie )   Dramatic monologue Accent on Youth       1947   Sept. 6 , 1947   Barbara Jo Walker   Tennessee   Memphis   21   Preliminary Talent   Art display &amp; vocal medley `` One Kiss '' &amp; `` Un Bel Di '' from Madama Butterfly       1948   Sept. 11 , 1948   BeBe Shopp   Minnesota   Hopkins   18   Preliminary Swimsuit   Vibraharp `` Caprice Viennois '' by Fritz Kreisler       1949   Sept. 10 , 1949   Jacque Mercer   Arizona   Litchfield Park   18   Preliminary Swimsuit ( tie ) , Preliminary Talent   Dramatic reading Romeo and Juliet       1951   Sept. 9 , 1950   Yolande Betbeze   Alabama   Mobile   21   Preliminary Swimsuit   Classical vocal `` Caro Nome '' from Rigoletto   She is the reason for the creation of Miss USA and Miss Universe pageants     1952   Sept. 8 , 1951   Colleen Kay Hutchins   Utah   Salt Lake City   25   Preliminary Talent   Dramatic monologue `` Elizabeth the Queen '' by Maxwell Anderson       1953   Sept. 6 , 1952   Neva Jane Langley   Georgia   Macon   19   Preliminary Swimsuit , Preliminary Talent   Classical piano `` Toccata ''       1954   Sept. 12 , 1953   Evelyn Margaret Ay   Pennsylvania   Ephrata   20   Preliminary Swimsuit   Poetry recitation `` Footsteps '' from Leaves from a Grass - House by Don Blanding   Last winner crowned before pageant is presented on television     1955   Sept. 11 , 1954   Lee Meriwether   California   San Francisco   19   Preliminary Swimsuit   Dramatic monologue Riders to the Sea   Became an actress ( Batman )     1956   Sept. 10 , 1955   Sharon Ritchie   Colorado   Denver   18     Recitation `` The Murder of Lidice '' by Edna St. Vincent Millay       1957   Sept. 8 , 1956   Marian McKnight   South Carolina   Manning   19     Comedy sketch `` The Monroe Doctrine ''       1958   Sept. 7 , 1957   Marilyn Van Derbur   Colorado   Denver   20     Organ `` Tea for Two '' &amp; `` Tenderly ''       1959   Sept. 6 , 1958   Mary Ann Mobley   Mississippi   Brandon   21   Preliminary Talent   Vocal medley &amp; dance `` Un Bel Di '' &amp; `` There 'll Be Some Changes Made ''   Became an actress ( Diff'rent Strokes ) and TV hostess     1960   Sept. 12 , 1959   Lynda Lee Mead   Natchez   20     Original dramatic act `` Schizophrenia ''       1961   Sept. 10 , 1960   Nancy Fleming   Michigan   Montague   18   Preliminary Swimsuit , Preliminary Talent ( tie )   Presentation of dress design       1962   Sept. 9 , 1961   Maria Fletcher   North Carolina   Asheville   19   Preliminary Swimsuit   First Miss North Carolina crowned       1963   Sept. 8 , 1962   Jacquelyn Mayer   Ohio   Sandusky   20     Broadway Vignette `` Wishing Upon a Star , '' `` My Favorite Things '' &amp; The White Cliffs of Dover       1964   Sept. 7 , 1963   Donna Axum   Arkansas   El Dorado   21   Preliminary Swimsuit   Vocal medley `` Quando me'n vo ' '' &amp; `` I Love Paris ''       1965   Sept. 12 , 1964   Vonda Kay Van Dyke   Arizona   Phoenix   21   Miss Congeniality   Ventriloquism &amp; singing `` Together ( Wherever We Go ) ''   Only Miss Congeniality award winner to be also crowned Miss America     1966   Sept. 11 , 1965   Deborah Irene Bryant   Kansas   Overland Park   19   Preliminary Swimsuit   Dramatic interpretation `` The Miserable Miserliness of Midas Moneybags ''       1967   Sept. 10 , 1966   Jane Anne Jayroe   Oklahoma   Laverne   19   Preliminary Talent   Vocal / orchestra conducting `` 1 - 2 - 3 ''       1968   Sept. 9 , 1967   Debra Dene Barnes   Kansas   Moran   20   Preliminary Swimsuit   Piano solo `` Born Free ''       1969   Sept. 7 , 1968   Judith Anne Ford   Illinois   Belvidere   18   Preliminary Swimsuit , Preliminary Talent   Acrobatic dance &amp; trampoline `` The Blue Danube ''       1970   Sept. 6 , 1969   Pamela Anne Eldred   Michigan   West Bloomfield   21   Preliminary Swimsuit   Ballet `` Love Theme '' from Romeo &amp; Juliet       1971   Sept. 12 , 1970   Phyllis Ann George   Texas   Denton   21   Preliminary Swimsuit   Piano medley Promises , Promises &amp; `` Raindrops Keep Fallin ' on My Head ''   Became presenter of The NFL Today and First Lady of Kentucky     1972   Sept. 11 , 1971   Laurie Lea Schaefer   Ohio   Bexley   22   Preliminary Swimsuit   Semi-classical vocal `` And This Is My Beloved ''       1973   Sept. 9 , 1972   Terry Anne Meeuwsen   Wisconsin   De Pere   23   Preliminary Swimsuit , Preliminary Talent   Vocal `` He Touched Me '' from Drat ! The Cat !   Co-host of The 700 Club       Sept. 8 , 1973   Rebecca Ann King   Colorado   Denver   23     Vocal `` If I Ruled the World ''         Sept. 7 , 1974   Shirley Cothran   Texas   Fort Worth   21   Preliminary Swimsuit   Flute medley `` Bumble Boogie '' &amp; `` Swingin ' Shepherd Blues ''       1976   Sept. 6 , 1975   Tawny Elaine Godin   New York   Yonkers   18     Original piano composition `` Images in Pastels ''       1977   Sept. 11 , 1976   Dorothy Kathleen Benham   Minnesota   Edina   20   Preliminary Swimsuit , Preliminary Talent   Classical vocal `` Adele 's Laughing Song '' from Die Fledermaus       1978   Sept. 10 , 1977   Susan Perkins   Ohio   Columbus   23   Preliminary Talent   Vocal `` Good Morning Heartache ''       1979   Sept. 9 , 1978   Kylene Barker   Virginia   Galax   22     Gymnastics routine `` Gonna Fly Now '' &amp; `` Feels So Good ''       1980   Sept. 8 , 1979   Cheryl Prewitt   Mississippi   Ackerman   22   Preliminary Swimsuit   Vocal / Piano `` Do n't Cry Out Loud ''       1981   Sept. 6 , 1980   Susan Carol Powell   Oklahoma   Elk City   21   Preliminary Talent ( tie )   Classical vocal `` The Telephone Aria ''       1982   Sept. 12 , 1981   Grace Elizabeth Ward   Arkansas   Cabot   20   Preliminary Swimsuit   Vocal `` After You 've Gone ''         Sept. 18 , 1982   Debra Maffett   California   Anaheim   25   Preliminary Swimsuit , Preliminary Talent   Popular vocal `` Come In From the Rain ''   Competed for Miss Texas title several times prior to competing and winning Miss California on her first attempt     1984   Sept. 17 , 1983   Vanessa Lynn Williams   New York   Millwood   20   Preliminary Swimsuit , Preliminary Talent   Popular vocal `` Happy Days Are Here Again ''   First African American Miss America Resigned on July 23 , 1984 due to backlash from nude photos unauthorized to be published in Penthouse magazine     July 23 , 1984   Suzette Charles   New Jersey   Mays Landing   21   Preliminary Talent   Popular vocal `` Kiss Me In the Rain ''   Seven - week reign - the shortest served by any Miss America     1985   Sept. 8 , 1984   Sharlene Wells   Utah   Salt Lake City   20   Preliminary Swimsuit   Spanish vocal &amp; Paraguyan harp `` Mis Noches Sin Ti ''   The first foreign - born , bilingual Miss America , having been born in Asunción , Paraguay     1986   Sept. 14 , 1985   Susan Akin   Mississippi   Meridian   21   Preliminary Swimsuit   Vocal `` You 're My World ''         Sept. 13 , 1986   Kellye Cash   Tennessee   Memphis   21   Preliminary Swimsuit , Preliminary Talent   Piano / Vocal `` I 'll Be Home ''   Grandniece of singer , Johnny Cash     1988   Sept. 19 , 1987   Kaye Lani Rae Rafko   Michigan   Monroe   24   Preliminary Swimsuit   Hawaiian - Tahitian dance   President of Gabby 's Ladder , a bereavement program for children and their families     1989   Sept. 10 , 1988   Gretchen Carlson   Minnesota   Anoka   22   Preliminary Talent   Classical violin `` Zigeunerweisen ''   Former news anchor of Fox &amp; Friends     1990   Sept. 16 , 1989   Debbye Turner   Missouri   Mexico   23   Preliminary Swimsuit   Marimba medley `` Flight of the Bumblebee , '' `` Csárdás '' &amp; `` Can - Can ''   Medical Reporter and Anchor for CBS 's The Early Show First Miss Missouri crowned     1991   Sept. 8 , 1990   Marjorie Vincent   Illinois   Oak Park   25   Preliminary Talent   Classical piano `` Fantaisie - Impromptu ''   First Miss America winner of Haitian descent     1992   Sept. 14 , 1991   Carolyn Suzanne Sapp   Hawaii   Kona   24   Preliminary Swimsuit   Vocal `` Ai n't Misbehavin ' ''       1993   Sept. 19 , 1992   Leanza Cornett   Florida   Jacksonville   21     Vocal `` A New Life '' from Jekyll &amp; Hyde   Married ( and separated from ) Mark Steines     1994   Sept. 18 , 1993   Kimberly Clarice Aiken   South Carolina   Columbia   18     Vocal `` Summertime ''       1995   Sept. 17 , 1994   Heather Whitestone   Alabama   Birmingham   21   Preliminary Swimsuit , Preliminary Talent   Ballet en Pointe `` Via Dolorosa ''   First deaf Miss America       Sept. 16 , 1995   Shawntel Smith   Oklahoma   Muldrow   24     Vocal `` The Woman in the Moon '' from A Star Is Born   Executive vice president of administration of PBH Holdings .     1997   Sept. 14 , 1996   Tara Dawn Holland   Kansas   Overland Park   23   Preliminary Swimsuit   Classical vocal `` Où Va la Jeune Hindoue '' from Lakmé   Video of her crowning was shown at beginning of 2006 film Little Miss Sunshine     1998   Sept. 13 , 1997   Katherine Shindle   Illinois   Evanston   20   Preliminary Talent   Vocal `` Do n't Rain on My Parade ''   Performed in Legally Blonde on Broadway President of the Actors ' Equity Association     1999   Sept. 19 , 1998   Nicole Johnson   Virginia   Roanoke   24     Vocal `` That 's Life ''   Diabetes awareness advocate     2000   Sept. 18 , 1999   Heather Renee French   Kentucky   Maysville   24   Preliminary Swimsuit   Vocal `` As If We Never Said Goodbye '' from Sunset Boulevard   First Miss Kentucky crowned     2001   Oct. 14 , 2000   Angela Perez Baraquio   Hawaii   Honolulu   24   Preliminary Swimsuit   Hula `` Theme '' from Mutiny on the Bounty   First Filipino American and Asian American Miss America     2002   Sept. 22 , 2001   Katie Harman   Oregon   Gresham   21   Preliminary Talent   Classical vocal `` O mio babbino caro ''   First Miss Oregon crowned     2003   Sept. 21 , 2002   Erika Harold   Illinois   Urbana   22     Classical vocal `` Habanera ''         Sept. 20 , 2003   Ericka Dunlap   Florida   Orlando   21     Vocal `` If I Could ''   Finished in third place on The Amazing Race 15 with her then - husband , Brian Kleinschmidt     2005   Sept. 18 , 2004   Deidre Downs   Alabama   Birmingham   24     Vocal `` I 'm Afraid This Must Be Love ''   Won Miss Alabama on her fifth try     2006   Jan. 21 , 2006   Jennifer Berry   Oklahoma   Tulsa   22   Preliminary Talent   Ballet en Pointe `` Within ''   Won Miss Oklahoma on her fifth try     2007   Jan. 29 , 2007   Lauren Nelson   Lawton   20   Preliminary Lifestyle &amp; Fitness   Vocal `` You 'll Be in My Heart ''       2008   Jan. 26 , 2008   Kirsten Haglund   Michigan   Farmington Hills   19   Preliminary Lifestyle &amp; Fitness   Vocal `` Over the Rainbow ''   Grandmother competed at Miss America as Miss Detroit     2009   Jan. 24 , 2009   Katie Stam   Indiana   Seymour   22   Preliminary Lifestyle &amp; Fitness   Vocal `` Via Dolorosa ''   First Miss Indiana crowned       Jan. 30 , 2010   Caressa Cameron   Virginia   Fredericksburg   22   Preliminary Talent   Vocal `` Listen '' from Dreamgirls       2011   Jan. 15 , 2011   Teresa Scanlan   Nebraska   Gering   17   Preliminary Talent   Piano `` White Water Chopped Sticks '' by Calvin Jones   Youngest Miss America winner since 1933 First Miss Nebraska crowned     2012   Jan. 14 , 2012   Laura Kaeppeler   Wisconsin   Kenosha   23   Preliminary Talent   Operatic vocal `` Il Bacio '' by Luigi Arditi   On the Board of Directors for the Miss America Organization     2013   Jan. 12 , 2013   Mallory Hagan   New York   Brooklyn   24     Tap dance `` Get Up Offa That Thing '' by James Brown       2014   Sept. 15 , 2013   Nina Davuluri   Fayetteville   24     Bollywood Fusion dance `` Dhoom Tana '' from the film Om Shanti Om   First Indian American winner First to perform a Bollywood dance at Miss America pageant     2015   Sept. 14 , 2014   Kira Kazantsev   Manhattan   23     Vocal with plastic cup percussion `` Happy '' by Pharrell Williams       2016   Sept. 13 , 2015   Betty Cantrell   Georgia   Warner Robins   21   Preliminary Talent   Classical vocal `` Tu ? Tu ? Piccolo Iddio ! '' from Madama Butterfly       2017   Sept. 11 , 2016   Savvy Shields   Arkansas   Fayetteville   21   Preliminary Talent   Jazz dance , `` They Just Keep Moving the Line '' from the NBC show Smash       2018   Sept. 10 , 2017   Cara Mund   North Dakota   Bismarck   23     Jazz Dance , `` The Way You Make Me Feel '' by Michael Jackson   First Miss North Dakota crowned     Winners by state ( edit )     State   Number of Titles Won   Year ( s ) Won     New York   6   1945 , 1976 , 1984 , 2013 , 2014 , 2015     Oklahoma   1926 , 1967 , 1981 , 1996 , 2006 , 2007     California   1925 , 1941 , 1943 , 1946 , 1955 , 1983     Ohio   1922 , 1923 , 1938 , 1963 , 1972 , 1978     Michigan   5   1939 , 1961 , 1970 , 1988 , 2008     Illinois   1927 , 1969 , 1991 , 1998 , 2003     Pennsylvania   1924 , 1935 , 1936 , 1940 , 1954     Mississippi     1959 , 1960 , 1980 , 1986     Arkansas     1964 , 1982 , 2017     Virginia   1979 , 1999 , 2010     Alabama   1951 , 1995 , 2005     Kansas   1966 , 1968 , 1997     Minnesota   1948 , 1977 , 1989     New Jersey   1932 , 1937 , 1984     Texas   1942 , 1971 , 1975     Colorado   1956 , 1958 , 1974     Georgia     1953 , 2016     Wisconsin   1973 , 2012     Florida   1993 , 2004     Hawaii   1992 , 2001     South Carolina   1957 , 1994     Tennessee   1947 , 1987     Utah   1952 , 1985     Arizona   1949 , 1965     District of Columbia   1921 , 1944     North Dakota     2018     Nebraska   2011     Indiana   2009     Oregon   2002     Kentucky   2000     Missouri   1990     North Carolina   1962     Connecticut   1933      Notes    Competed as Miss Columbus , Ohio Competed as Miss Tulsa , Oklahoma Competed as Miss Philadelphia , Pennsylvania Competed as Miss Pittsburgh , Pennsylvania Competed as Miss Greater Camden , New Jersey Competed as Miss Bertrand Island , New Jersey Competed as Miss Memphis , Tennessee The initial 1984 winner was forced to resign and give her title seven weeks prior to the end of her reign   There have been no Miss America winners from the following eighteen states and two U.S. territories :       Miss Alaska   Miss Delaware   Miss Idaho   Miss Iowa   Miss Louisiana   Miss Maine   Miss Maryland       Miss Massachusetts   Miss Montana   Miss Nevada   Miss New Hampshire   Miss New Mexico   Miss Puerto Rico   Miss Rhode Island       Miss South Dakota   Miss Vermont   Miss Virgin Islands   Miss Washington   Miss West Virginia   Miss Wyoming       Notes ( edit )    Jump up ^ No `` Miss America 1950 '' was officially crowned . Since majority of titleholder 's reign occurs during year following coronation , the organization began referring to titleholder using upcoming year .    References ( edit )    Jump up ^ `` American Experience : Miss America '' . pbs.org . Retrieved April 15 , 2018 .   Jump up ^ `` Miss America : 1985 '' . Miss America . Archived from the original on June 5 , 2008 . Retrieved 2014 - 02 - 07 .   Jump up ^ `` Mark Steines annoyed that his divorce with wife Leanza Cornett is taking so long '' . Hitberry . Retrieved April 15 , 2018 .   Jump up ^ Johnston , Lauren ( July 29 , 2004 ) . `` Miss Ala . Wins Spiced - Up Pageant '' . CBS News .   Jump up ^ Associated Press ( January 30 , 2007 ) . `` Miss Oklahoma Lauren Nelson Wins Miss America 2007 Pageant '' . FOX News.com . access - date = requires url = ( help )   Jump up ^ `` Miss Michigan Kirsten Haglund Crowned Miss America 2008 '' . Associated Press . January 26 , 2008 .   Jump up ^ Lewis , Shawn ( 2008 - 01 - 28 ) . `` A dream come true for Miss America '' . The Detroit News .   Jump up ^ `` Miss Indiana Katie Stam is crowned 2009 Miss America ; Miss Georgia is first runner - up '' . Las Vegas Sun . January 24 , 2009 .   ^ Jump up to : `` Indiana student ill , but wins Miss America crown '' . Associated Press . 2009 - 01 - 24 .   Jump up ^ `` Miss Virginia wins 2010 Miss America crown '' . USA Today . 2010 - 01 - 30 .   Jump up ^ `` She 's just 17 ! Nebraskan wins Miss America pageant '' . TODAY .   Jump up ^ Oldenburg , Ann ( January 14 , 2012 ) . `` Miss America pageant crowns 2012 winner '' . USA Today . Gannett .   Jump up ^ `` NY woman crowned Miss America '' . 3 News NZ . January 14 , 2013 .   Jump up ^ Cavaliere , Victoria ( September 16 , 2013 ) . `` Miss New York is first Indian - American to win Miss America '' . Reuters . Archived from the original on November 20 , 2015 .   Jump up ^ Stern , Marlow ( September 16 , 2013 ) . `` Nina Davuluri Crowned Miss America : The First Miss America of Indian Descent '' . Daily Beast .   Jump up ^ `` A threepeat : Miss New York Kira Kazantsev crowned Miss America '' . CNN . September 15 , 2014 .   Jump up ^ Jensen , Erin ( September 14 , 2015 ) . `` Miss Georgia is crowned Miss America 2016 '' . USA Today . Gannett .   Jump up ^ `` Miss America 2017 is : Miss Arkansas Savvy Shields '' . USA Today . Gannett . September 11 , 2016 .   ^ Jump up to : Moniuszko , Sara M. ( September 10 , 2017 ) . `` Miss America 2018 : Miss North Dakota Cara Mund takes the crown '' . USA Today . Gannett .    External links ( edit )       Wikimedia Commons has media related to Miss America titleholders .      Miss America official website              Miss America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2019         Titleholders   Award winners     Outstanding Teen   MAOT State pageants                 Miss America state pageants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Puerto Rico   Rhode Island   South Carolina   South Dakota   Tennessee   Texas   Utah   Vermont   Virginia   Virgin Islands   Washington   West Virginia   Wisconsin   Wyoming                 Miss America titleholders     1921 -- 1939        Margaret Gorman ( 1921 )   Mary Campbell ( 1922 )   Mary Campbell ( 1923 )   Ruth Malcomson ( 1924 )   Fay Lanphier ( 1925 )   Norma Smallwood ( 1926 )   Lois Delander ( 1927 )   Marian Bergeron ( 1933 )   Henrietta Leaver ( 1935 )   Rose Coyle ( 1936 )   Bette Cooper ( 1937 )   Marilyn Meseke ( 1938 )   Patricia Donnelly ( 1939 )          1940 -- 1959        Frances Marie Burke ( 1940 )   Rosemary LaPlanche ( 1941 )   Jo - Carroll Dennison ( 1942 )   Jean Bartel ( 1943 )   Venus Ramey ( 1944 )   Bess Myerson ( 1945 )   Marilyn Buferd ( 1946 )   Barbara Jo Walker ( 1947 )   BeBe Shopp ( 1948 )   Jacque Mercer ( 1949 )   Yolande Betbeze ( 1951 )   Colleen Kay Hutchins ( 1952 )   Neva Jane Langley ( 1953 )   Evelyn Margaret Ay ( 1954 )   Lee Meriwether ( 1955 )   Sharon Ritchie ( 1956 )   Marian McKnight ( 1957 )   Marilyn Van Derbur ( 1958 )   Mary Ann Mobley ( 1959 )          1960 -- 1979        Lynda Lee Mead ( 1960 )   Nancy Fleming ( 1961 )   Maria Fletcher ( 1962 )   Jacquelyn Mayer ( 1963 )   Donna Axum ( 1964 )   Vonda Kay Van Dyke ( 1965 )   Deborah Bryant ( 1966 )   Jane Anne Jayroe ( 1967 )   Debra Dene Barnes ( 1968 )   Judith Anne Ford ( 1969 )   Pamela Eldred ( 1970 )   Phyllis Ann George ( 1971 )   Laurie Lea Schaefer ( 1972 )   Terry Meeuwsen ( 1973 )   Rebecca Ann King ( 1974 )   Shirley Cothran ( 1975 )   Tawny Elaine Godin ( 1976 )   Dorothy Benham ( 1977 )   Susan Perkins ( 1978 )   Kylene Barker ( 1979 )          1980 -- 1999        Cheryl Prewitt ( 1980 )   Susan Powell ( 1981 )   Elizabeth Ward ( 1982 )   Debra Maffett ( 1983 )   Vanessa Williams / Suzette Charles ( 1984 )   Sharlene Wells ( 1985 )   Susan Akin ( 1986 )   Kellye Cash ( 1987 )   Kaye Lani Rae Rafko ( 1988 )   Gretchen Carlson ( 1989 )   Debbye Turner ( 1990 )   Marjorie Judith Vincent ( 1991 )   Carolyn Suzanne Sapp ( 1992 )   Leanza Cornett ( 1993 )   Kimberly Clarice Aiken ( 1994 )   Heather Whitestone ( 1995 )   Shawntel Smith ( 1996 )   Tara Dawn Holland ( 1997 )   Katherine Shindle ( 1998 )   Nicole Johnson ( 1999 )          2000 -- 2019        Heather French ( 2000 )   Angela Perez Baraquio ( 2001 )   Katie Harman ( 2002 )   Erika Harold ( 2003 )   Ericka Dunlap ( 2004 )   Deidre Downs ( 2005 )   Jennifer Berry ( 2006 )   Lauren Nelson ( 2007 )   Kirsten Haglund ( 2008 )   Katie Stam ( 2009 )   Caressa Cameron ( 2010 )   Teresa Scanlan ( 2011 )   Laura Kaeppeler ( 2012 )   Mallory Hagan ( 2013 )   Nina Davuluri ( 2014 )   Kira Kazantsev ( 2015 )   Betty Cantrell ( 2016 )   Savvy Shields ( 2017 )   Cara Mund ( 2018 )         Retrieved from `` https://en.wikipedia.org/w/index.php?title=List_of_Miss_America_titleholders&amp;oldid=845685181 '' Categories :   Lists of American women   Lists of award winners   Lists of women in beauty pageants   Miss America winners   Hidden categories :   Pages using citations with accessdate and no URL   Use American English from July 2015   All Wikipedia articles written in American English   Use mdy dates from July 2015   Articles with hCards   All articles with unsourced statements   Articles with unsourced statements from March 2017   Articles with unsourced statements from June 2018           Talk                                           Contents                   About Wikipedia                                                 Català   Nederlands   Português   Edit links   This page was last edited on 13 June 2018 , at 13 : 04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</si>
  <si>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state has won the most miss americas</t>
  </si>
  <si>
    <t xml:space="preserve">   State   Number of Titles Won   Year ( s ) Won     New York   6   1945 , 1976 , 1984 , 2013 , 2014 , 2015     Oklahoma   1926 , 1967 , 1981 , 1996 , 2006 , 2007     California   1925 , 1941 , 1943 , 1946 , 1955 , 1983     Ohio   1922 , 1923 , 1938 , 1963 , 1972 , 1978     Michigan   5   1939 , 1961 , 1970 , 1988 , 2008     Illinois   1927 , 1969 , 1991 , 1998 , 2003     Pennsylvania   1924 , 1935 , 1936 , 1940 , 1954     Mississippi     1959 , 1960 , 1980 , 1986     Arkansas     1964 , 1982 , 2017     Virginia   1979 , 1999 , 2010     Alabama   1951 , 1995 , 2005     Kansas   1966 , 1968 , 1997     Minnesota   1948 , 1977 , 1989     New Jersey   1932 , 1937 , 1984     Texas   1942 , 1971 , 1975     Colorado   1956 , 1958 , 1974     Georgia     1953 , 2016     Wisconsin   1973 , 2012     Florida   1993 , 2004     Hawaii   1992 , 2001     South Carolina   1957 , 1994     Tennessee   1947 , 1987     Utah   1952 , 1985     Arizona   1949 , 1965     District of Columbia   1921 , 1944     North Dakota     2018     Nebraska   2011     Indiana   2009     Oregon   2002     Kentucky   2000     Missouri   1990     North Carolina   1962     Connecticut   1933   </t>
  </si>
  <si>
    <t xml:space="preserve">Comptroller and Auditor General of India - Wikipedia  Comptroller and Auditor General of India  Jump to : navigation , search This article is about Comptroller and Auditor General of India . For similar title in other jurisdictions , see Comptroller and Auditor General .    Comptroller and Auditor General of India     Logo of Comptroller and Auditor General of India     Incumbent Rajiv Mehrishi , IAS since 25 September 2017     Nominator   Prime Minister of India     Appointer   President of India     Term length   6 yrs or up to 65 yrs of age ( whichever is earlier )     Inaugural holder   V. Narahari Rao     Deputy   Deputy Comptrollers and Auditors General of India     Salary   ₹ 90,000 ( US $1,400 ) per month     Website   Official Website       India         This article is part of a series on the politics and government of India     Constitution and law ( show )   Constitutional amendment   Basic structure doctrine   Fundamental rights   Human rights    -- -- -- -- -- -- --    Code of Civil Procedure , 1908       Uniform civil code       Code of Criminal Procedure , 1973   Indian Penal Code   Law enforcement       Government of India ( show )   President ( Head of state )   Vice president    -- -- -- -- -- -- -- Executive :    Prime minister ( Head of government )   Union Council of Ministers   Cabinet secretary       Secretaries : ( Defence Finance Foreign Home )       Civil services       All India Services ( IAS IFS / IFoS IPS )      -- -- -- -- -- -- -- Legislature :    Parliament       Rajya Sabha ( Chairman )   Lok Sabha ( Speaker )      Judiciary :    Supreme court ( Chief justice )       High courts ( Chief justices )       District courts           Elections ( show ) Election commission :   Chief Election Commissioner ( Election commissioners )     Recent general elections : 2009   2014   2019       Recent state elections : 2017   2018   2019        -- -- -- -- -- -- -- Political parties    National parties   State parties    National coalitions :    National Democratic Alliance ( NDA )   United Progressive Alliance ( UPA )       Federalism ( show )   Administrative divisions    -- -- -- -- -- -- -- State governments    Governor   Chief minister   Chief secretary ( Principal secretaries )       Field - level officers       Divisional commissioners   District magistrates   Sub-divisional magistrates        Legislatures :    Vidhan Sabha   Vidhan Parishad    -- -- -- -- -- -- -- Local governments : Rural bodies :    District councils   Block panchayats   Gram Panchayats    Urban bodies :    Municipal corporations   Municipal councils   Nagar panchayats         Other countries   Atlas                   The Comptroller and Auditor General ( CAG ) of India is an authority , established by Article 148 of the Constitution of India , which audits all receipts and expenditure of the Government of India and the state governments , including those of bodies and authorities substantially financed by the government . The CAG is also the external auditor of Government - owned corporations and conducts supplementary audit of government companies , i.e. , any non-banking / non-insurance company in which Union Government has an equity share of at least 51 per cent or subsidiary companies of existing government companies . The reports of the CAG are taken into consideration by the Public Accounts Committees ( PACs ) and Committees on Public Undertakings ( COPUs ) , which are special committees in the Parliament of India and the state legislatures . The CAG is also the head of the Indian Audit and Accounts Department , the affairs of which are managed by officers of Indian Audit and Accounts Service , and has over 58,000 employees across the country .   The CAG is mentioned in the Constitution of India under Article 148 -- 151 .   The CAG is ranked 9th and enjoys the same status as a judge of Supreme Court of India in Indian order of precedence . The current CAG of India is Rajiv Mehrishi , who assumed office on 25 September 2017 . He is the 13th CAG of India .     Contents  ( hide )   1 Appointment   1.1 Oath or affirmation   1.2 Duties of the CAG   1.3 Recent achievements   1.4 Suggested reforms     2 Removal   3 Indian Audit and Accounts Service   4 Scope of audits   5 Reforms suggested by former CAG Vinod Rai   6 Prominent audit reports   6.1 2G Spectrum allocation   6.2 Coal Mine Allocation   6.3 Fodder scam   6.4 Krishna - Godavari ( KG ) D - 6 gas block     7 List of Comptroller and Auditors General of India   8 References   9 External links      Appointment ( edit )   The Comptroller and Auditor - General of India is appointed by the President of India following a recommendation by the Prime Minister . On appointment , he / she has to make an oath or affirmation before the President of India .   Oath or affirmation ( edit )   `` I , ( name of the person being appointed ) , having appointed Comptroller and Auditor - General of India do swear in the name of God / solemnly affirm that I will bear true faith and allegiance to the Constitution of India as by law established , that I will uphold the sovereignty and integrity of India , that I will duly and faithfully and to the best of my ability , knowledge and judgement perform the duties of my office without fear or favour , affection or ill - will and that I will uphold the Constitution and the laws .   Duties of the CAG ( edit )   As per the provisions of the constitution , the CAG 's ( DPC ) ( Duties , Powers and Conditions of Service ) Act , 1971 was enacted . As per the various provisions , the duties of the CAG include the audit of :    Receipts and expenditure from the Consolidated Fund of India and of the State and Union Territory having legislative assembly .   Trading , manufacturing , profit and loss accounts and balance sheets , and other subsidiary accounts kept in any Government department ; Accounts of stores and stock kept in Government offices or departments .   Government companies as per the provisions of the Companies Act , 2013 .   Corporations established by or under laws made by Parliament in accordance with the provisions of the respective legislation .   Authorities and bodies substantially financed from the Consolidated Funds of the Union and State Governments . Anybody or authority even though not substantially financed from the Consolidated Fund , the audit of which may be entrusted to the C&amp;AG .   Grants and loans given by Government to bodies and authorities for specific purposes .   Entrusted audits e.g. those of Panchayati Raj Institutions and Urban Local Bodies under Technical Guidance &amp; Support ( TGS ) .    Recent achievements ( edit )   Recently the CAG under Vinod Rai has constantly been in the limelight for its reports exposing mega corruption , particularly in 2G spectrum case , Commonwealth Games scam and other scams .   Suggested reforms ( edit )   In June 2012 , Lal Krishna Advani a veteran Indian politician and former Deputy Prime Minister of India ( as well as former Leader of the Opposition in Indian Parliament ) suggested that CAG 's appointment should be made by a bipartisan collegium consisting of the prime minister , the Chief Justice of India , the Law Minister and the Leaders of the Opposition in the Lok Sabha and the Rajya Sabha . Subsequently , M Karunanidhi , the head of Dravida Munnetra Kazhagam ( DMK ) party and five times Chief Minister of Tamil Nadu supported the suggestion . Advani made this demand to remove any impression of bias or lack of transparency and fairness because , according to him , the current system was open to `` manipulation and partisanship '' . Similar demand was made by many former CEC 's such as BB Tandon , N Gopalaswamy and SY Quraishi , however the government did not seem too keen .   CPI MP Gurudas Dasgupta wrote a letter to the PM and demand CAG has appointed by the collegium of consisting the PM , the CJI and the leader of the opposition in Lok Sabha but the PM declined . Former CAG V.K. Shunglu has suggested in its CWG scam report that CAG be made a multi-member body .   PMO minister V. Narayanasamy in his interview with PTI said Government is considering the Shunglu panel report but PM and Finance Minister declined it . Later V. Narayanasamy said he misquoted but PTI reaffirmed it .   rvice ) Act , 1971 `` . His salary is same as that of judge of the Supreme court of India . Neither leave of absence , pension or age of retirement can be varied to his disadvantage after his appointment . The CAG is not eligible for further office either under the Government of India or under the Government of any State after he has ceased to hold his office . These provisions are in order to ensure the independence of CAG .   Salary of CAG   Date   Salary     1 January 2006   ₹ 90,000 ( US $1,400 )     Removal ( edit )   The CAG can be removed only on an address from both house of parliament on the ground of proved misbehaviour or incapacity . The CAG vacates the office on attaining the age of 65 years age even without completing the 6 years term by impeachment also .   Indian audit and accounts Service ( edit )  Main article : Indian Audit and Accounts Service  The Constitution of India ( Article 148 ) provides for an independent office to the CAG of India . He or she is the head of Indian Audit and Accounts Department . He / She has a duty to uphold the Constitution of India and laws of the Parliament to safeguard the interests of the public exchequer . The Indian Audit and Accounts Service aids the CAG in the discharge of his / her functions .   Scope of audits ( edit )  `` CAG is not a munimji or an accountant or something like that ... He is a constitutional authority who can examine the revenue allocation and matters relating to the economy . CAG is the principal auditor whose function is to go into the economy , effectiveness and efficiency of the use of resources by the government . If the CAG will not do , then who else will do it ''  -- Observation of a bench of Supreme Court of India while dismissing a petition challenging CAG reports on 2G spectrum , Coal Blocks Allotment , etc .   Audit of government accounts ( including the accounts of the state governments ) in India is entrusted to the CAG of India who is empowered to audit all expenditure from the Consolidated Fund of the union or state governments , whether incurred within India or outside , all revenue into the Consolidated Funds and all transactions relating to the Public Accounts and the Contingency Funds of the Union and the states . Specifically , audits include :    Transactions relating to debt , deposits , remittances , Trading , and manufacturing   Profit and loss accounts and balance sheets kept under the order of the President or Governors   Receipts and stock accounts . CAG also audits the books of accounts of the government companies as per Companies Act .    In addition , the CAG also executes performance and compliance audits of various functions and departments of the government . Recently , the CAG as a part of thematic review on `` Introduction of New Trains '' is deputing an auditors ' team on selected trains , originating and terminating at Sealdah and Howrah stations , to assess the necessity of their introduction . In a path - breaking judgement , the Supreme Court of India ruled that the CAG General could audit private firms in revenue - share deals with government .   CAG has been elected the Chairman of the United Nations ' Board of Auditors. CAG has been appointed as external auditor of eleven UN organisations :    World Intellectual Property Organization ( WIPO ) ,   United Nations Secretariat ( Volume 1 ) ,   United Nations Children 's Fund ( UNICEF ) ,   United Nations Escrow ( Iraq ) Account ,   United Nations Joint Staff Pension Fund ( UNJSPF ) ,   Strategic Heritage Plan ( SHP ) ,   United Nations Compensation Commission ( UNCC ) ,   International Trade Centre ( ITC ) - Capital Master Plan ( CMP ) ,   United Nations Office for Project Services ( UNOPS ) ,   Information Communication Technology ( OICT ) ,   Umoja .      Mr Omkar Goswami is an Indian who is presently one of the External Auditors of the UN organisation World Food Programme ( WFP ) headquartered at Rome , Italy .   Reforms suggested by former CAG Vinod Rai ( edit )   In November 2009 , the CAG requested the government to amend the 1971 Audit Act to bring all private - public partnerships ( PPPs ) , Panchayti Raj Institutions and societies getting government funds within the ambit of the CAG. The amendment further proposes to enhance CAG 's powers to access information under the Audit Act . In the past , almost 30 % of the documents demanded by CAG officials have been denied to them . The PPP model has become a favourite mode of executing big infrastructure projects worth millions of rupees and these projects may or may not come under the audit purview of the CAG , depending on sources of funds and the nature of revenue sharing agreements between the government and the private entities . Currently , it is estimated that 65 percent of government spending does not come under the scrutiny of the CAG .   Prominent audit reports ( edit )   Following are some of the most debated CAG reports :   2G Spectrum allocation ( edit )  Main article : 2G Spectrum case  A CAG report on issue of Licences and Allocation of 2G Spectrum resulted in a huge controversy . The report estimated that there was a presumptive loss of ₹ 1,766 billion ( US $27 billion ) by the United Progressive Alliance ( UPA ) government . In a chargesheet filed on 2 April 2011 by the investigating agency Central Bureau of Investigation ( CBI ) , the agency pegged the loss at ₹ 310 billion ( US $4.7 billion )   All the speculations of profit , loss and no - loss were put to rest on 2 February 2012 when the Supreme Court of India on a public interest litigation ( PIL ) declared allotment of spectrum as `` unconstitutional and arbitrary '' and quashed all the 122 licenses issued in 2008 during tenure of A. Raja ( then minister for communications &amp; IT in the UPA government ) the main accused . The court further said that A. Raja `` wanted to favour some companies at the cost of the public exchequer '' and `` virtually gifted away important national asset '' .   Revenue loss calculation was further established on 3 August 2012 when according to the directions of the Supreme Court , Govt of India revised the reserve price for 2G spectrum to ₹ 140 billion ( US $2.1 billion )   However , the special court in New Delhi acquitted all accused in the 2G spectrum case including prime accused A Raja and Kanimozhi on December 21 , 2017 , the verdict was based on the fact that CBI could not find any evidence against the accused in those 7 years . Per the judgement , `` Some people created a scam by artfully arranging a few selected facts and exaggerating things beyond recognition to astronomical levels . ''   Coal Mine Allocation ( edit )  Main article : Coal Mining Scam  A 2012 CAG report on Coal Mine Allocation received massive media and political reaction as well as public outrage . During the 2012 monsoon session of the Parliament , the BJP protested the Government 's handling of the issue demanding the resignation of the prime minister and refused to have a debate in the Parliament . The deadlock resulted in Parliament functioning only seven of the twenty days of the session .   The CAG report criticised the Government by saying it had the authority to allocate coal blocks by a process of competitive bidding , but chose not to . As a result , both public sector enterprises ( PSEs ) and private firms paid less than they might have otherwise . In its draft report in March , the CAG estimated that the `` windfall gain '' to the allocatees was ₹ 10,673 billion ( US $160 billion ) . The CAG Final Report tabled in Parliament put the figure at ₹ 1,856 billion ( US $28 billion )   While the initial CAG report suggested that coal blocks could have been allocated more efficiently , resulting in more revenue to the government , at no point did it suggest that corruption was involved in the allocation of coal . Over the course of 2012 , however , the question of corruption came to dominate the discussion . In response to a complaint by the BJP , the Central Vigilance Commission ( CVC ) directed the CBI to investigate the matter . The CBI named a dozen Indian firms in a First Information Report ( FIR ) , the first step in a criminal investigation . These FIRs accuse them of overstating their net worth , failing to disclose prior coal allocations , and hoarding rather than developing coal allocations . The CBI officials investigating the case have speculated that bribery may be involved .   Fodder scam ( edit )  Main article : Fodder scam  The scandal was first exposed due to the CAG report in the matter in December 1995 . The report alleged of fraudulent withdrawal of government funds worth ₹ 9.5 billion ( US $150 million ) in the Bihar animal husbandry department against non-existent supplies of fodder and medicines . Subsequently , based on Patna High Court 's orders , CBI investigated the case and registered as many as 63 cases . Many accused have been convicted while many cases are still under trial .   Krishna - godavari ( KG ) D - 6 gas block ( edit )   The oil ministry imposed a fine of ₹ 7000 crores on Mukesh Ambani 's company for the sharp drop in production of gas and violations mentioned in CAG 's 2011 report . Oil ministry did not approve company 's US $7.2 billion stake in deal with BP . So Jaipal Reddy known for his honesty was shifted from oil ministry to the Science and Technology ministry owing to pressure from Reliance group of Industries . RIL allowed the CAG to begin the audit in April this year after stalling it for a year . But unresolved issues could stall audit of KG Basin again . Then Reliance appointed Defence Secretary Shashikant Sharma as new CAG to audit KG Basin , said Prashant Bhushan . In KG D - 6 , most of the cost had been recovered by the private player and the increase in price would only go as profit . About 90 % of receipts from K-G D - 6 were so far booked as expenditure and in the remaining 10 % , only 1 % was paid to the government and rest 9 % went to the operator as profit .   List of Comptroller and Auditors General of India ( edit )     No .   Comptroller and Auditor General of India   Year tenure began   Year tenure ended       V. Narahari Rao   1949   1954       A.K. Chanda   1954   1960       A.K. Roy   1960   1966       S. Ranganathan   1966   1972     5   A. Bakshi   1972   1978     6   Gian Prakash   1978   1984     7   T.N. Chaturvedi   1984   1990     8   C.G. Somiah   1990       9   V.K. Shunglu     2002     10   VN Kaul   2002   2008     11   Vinod Rai   2008   2013     12   Shashi Kant Sharma   2013   2017     13   Rajiv Mehrishi   2017   Incumbent ( 6 years or 65 years of age , whichever is earlier )     Source :   References ( edit )    ^ Jump up to : `` THE COMPTROLLER AND AUDITOR - GENERAL 'S ( DUTIES , POWERS AND CONDITIONS OF SERVICE ) ACT , 1971 '' . CAG India . Archived from the original on 27 August 2012 . Retrieved 27 August 2012 .   ^ Jump up to : `` CAG -- Article 148 of Constitution of India '' . Archived from the original on 28 December 2011 . Retrieved 6 April 2012 .   Jump up ^ Parihar , Rohit ( September 3 , 2017 ) . Kumar , Ganesh ; Udayakumar , Radha , eds . `` Why Rajiv Mehrishi 's and Sunil Arora 's appointments are Rajasthan 's loss and the Centre 's gain '' . India Today . Retrieved September 7 , 2017 .   Jump up ^ `` Former home secretary Rajiv Mehrishi to be next CAG '' . The Economic Times . September 24 , 2017 . Retrieved September 25 , 2017 .   Jump up ^ `` Former home secretary Rajiv Mehrishi to be next CAG of India '' . Live Mint . HT Media Ltd . September 24 , 2017 . Retrieved September 25 , 2017 .   Jump up ^ `` राजीव महर्षि होंगे अगले कैग , सोमवार से संभालेंगे कार्यभार '' ( Rajiv Mehrishi will be the next CAG , will assume charge on Monday ) . Dainik Jagran ( in Hindi ) . September 24 , 2017 . Retrieved September 25 , 2017 . CS1 maint : Unrecognized language ( link )   Jump up ^ `` पूर्व होम सेक्रेटरी राजीव महर्षि बने नए CAG , कल प्रेसिडेंट कोविंद दिलाएंगे शपथ '' ( Former Home Secretary Rajiv Mehrishi becomes the new CAG , President Kovind will swear him in tomorrow ) . Dainik Bhaskar ( in Hindi ) . September 24 , 2017 . Retrieved September 25 , 2017 . CS1 maint : Unrecognized language ( link )   Jump up ^ Constitution of India , Article 148 for the period of six years. 1   Jump up ^ `` A watchdog that bites '' . The Hindu . Chennai , India . 20 August 2012 . Archived from the original on 27 August 2012 . Retrieved 27 August 2012 .   Jump up ^ BS Arun . `` CAG ' activism ' gets the thumbs up '' . Deccan Herald . Archived from the original on 27 August 2012 . Retrieved 27 August 2012 . Corporate India needs to go through a phase of reflection and soul searching   Jump up ^ `` Members Bioprofile '' . Lok Sabha of India / National Informatics Centre , New Delhi . Archived from the original on 29 April 2011 . Retrieved 27 April 2011 .   ^ Jump up to : `` Karunanidhi backs Advani 's view on collegium to appoint CAG , EC '' . Times of India . 5 June 2012 . Retrieved 5 October 2012 .   ^ Jump up to : `` Karunanidhi backs Advani 's plea for collegium '' . The Hindu . Chennai. 5 June 2012 . Retrieved 5 October 2012 .   Jump up ^ `` DMK 's Official Homepage - Chennai - Tamilnadu - India 800x600 screen resolution '' . Dmk.in. 9 December 2011 . Retrieved 24 January 2012 .   Jump up ^ `` Collegium needed to select EC : SY Quraishi '' . Times of India . 16 July 2012 . Retrieved 5 October 2012 .   Jump up ^ `` Ex-CECs backed collegium , Law Ministry not too keen '' . Indian Express . 10 June 2012 . Retrieved 5 October 2012 .   Jump up ^ `` CAG itself needs an auditor : Shunglu panel '' . Times of India . 12 April 2011 . Retrieved 24 October 2017 .   Jump up ^ `` PTI stands by its report on Narayanasamy '' . The Hindu . 12 September 2016 . Retrieved 24 October 2017 .   Jump up ^ Chapter V - Constitution of India . Retrieved 6 April 2012 .   Jump up ^ `` The High Court and Supreme Court Judges Salaries and Conditions of Service Amendment Bill 2008 '' ( PDF ) . PRS India .   Jump up ^ `` SC Rejects PIL Against CAG Examining Coal Allotment '' . Outlook India . 1 October 2012 . Archived from the original on 1 October 2012 . Retrieved 1 October 2012 .   Jump up ^ `` Comptroller and Auditor General lens on trains introduced by Mamata Banerjee '' . The Times Of India . 12 July 2012 .   Jump up ^ `` CAG Vinod Rai elected U.N. external audit panel chief '' . The Times Of India . 8 December 2011 . Retrieved 28 February 2012 .   Jump up ^ `` CAG Vinod Rai to head UN audit panel '' . The Times Of India . 9 December 2011 . Retrieved 28 February 2012 .   Jump up ^ `` United Nations Panel of External Auditors '' . United Nations . Retrieved 24 October 2017 .   Jump up ^ `` Audit Committee - World Food Programme '' . World Food Programme . Retrieved 24 October 2017 .   Jump up ^ Four years on , UPA govt yet to accept CAG 's request for more powers Latest News &amp; Updates at DNAIndia.com   Jump up ^ After shaking and hurting the govt he is retiring - News Oneindia   Jump up ^ `` Report No. - 19 of 2010 - 11 for the period ended March 2010 Performance Audit of Issue of Licences and Allocation of 2G Spectrum by the Department of Telecommunications ( Ministry of Communications and Information Technology ) '' . CAG . Archived from the original on 29 November 2014 . Retrieved 17 April 2015 .   Jump up ^ `` Performance Audit Report on the Issue of Licences and Allocation of 2G Spectrum '' ( PDF ) . Archived from the original ( PDF ) on 21 March 2012 . Retrieved 5 January 2012 .   Jump up ^ `` 2G loss ? Govt gained over Rs. 3,000 cr : Trai '' . Times of India . 7 September 2011 .   Jump up ^ `` SC quashes 122 licences '' . Times of India . 2 February 2012 .   Jump up ^ `` 2G verdict : A Raja ' virtually gifted away important national asset ' , says Supreme Court '' . Times of India . 2 February 2012 .   Jump up ^ `` Cabinet sets Rs 14,000 cr as reserve price for 2G spectrum '' . Firstpost. 4 August 2012 . Retrieved 8 August 2012 .   Jump up ^ Singh , Shalini ( 8 August 2012 ) . `` Cabinet decision on 2G auction price demolishes zero - loss theory '' . The Hindu . Chennai , India . Retrieved 8 August 2012 .   Jump up ^ `` Report No. - 7 of 2012 - 13 for the period ended March 2012 - Performance Audit of Allocation of Coal Blocks and Augmentation of Coal Production ( Ministry of Coal ) '' . CAG . Archived from the original on 24 February 2015 . Retrieved 17 April 2015 .   Jump up ^ `` Turmoil - ridden Monsoon session of Parliament ends '' . DNA . Retrieved 7 September 2012 .   Jump up ^ `` Stalling Parliament is also a part of Democracy '' . Archived from the original on 3 January 2013 . Retrieved 7 September 2012 .   ^ Jump up to : `` '' Draft Performance Audit , Allocation of Coal Blocks and Augmentation of Coal Production by Coal India Limited '' Report of the Comptroller and Auditor General of India ( Union Government ( Commercial ) ) '' ( PDF ) . Comptroller and Auditor General of India ( Union Government ( Commercial ) ) . Retrieved 8 September 2012 . Hereafter Draft CAG Report .   Jump up ^ `` Transcript : Prime Minister Manmohan Singh Counters ' Coalgate ' Allegations - India Real Time - WSJ '' . The Wall Street Journal .   ^ Jump up to : Firms hid earlier allocations to get new blocks , says CBI - Hindustan Times Archived 4 November 2013 at the Wayback Machine .   Jump up ^ Coalgate : Now , DMK leader in the dock   Jump up ^ `` CBI orders prosecution of Laloo , Mishra in fodder scam '' . Rediff.com. April 1996 . Archived from the original on 31 May 2010 . Retrieved 1 October 2012 .   Jump up ^ `` Fodder scam case : 58 convicted , given jail terms '' , Times of India , 31 May 2007 , archived from the original on 1 May 2009 , retrieved 5 November 2008 , Snippet : ... A total 63 cases were registered in the scam and 41 were transferred to Jharkhand after it was created from Bihar in November 2000 ... The CBI has filed charge sheets in almost every case and trials are under progress . Till now the special CBI court has passed judgment in 16 cases and nearly 200 accused in different cases have been punished with two to seven years imprisonment ... 12121   Jump up ^ Steep Fall in Gas Output : Rs 7000cr Fine on Reliance IndiaWires Archived 29 October 2013 at the Wayback Machine .   Jump up ^ ( 1 ) Archived 29 October 2013 at the Wayback Machine .   Jump up ^ `` Jaipal Reddy 's shift from Oil Ministry creates a political storm '' . The Times Of India . 30 October 2012 .   Jump up ^ Reddy , B. Muralidhar ( 29 October 2012 ) . `` PM owes an explanation on shifting Jaipal Reddy : BJP , SP '' . The Hindu . Chennai , India .   Jump up ^ ( 2 )   Jump up ^ CAG audit of Krishna - Godavari D6 gas block resumes - The New Indian Express   Jump up ^ dna special : Unresolved issues could stall audit of KG Basin , again Latest News &amp; Updates at DNAIndia.com   Jump up ^ Bhushan questions new CAG selection Business Standard   Jump up ^ `` CAG may look into likely profit for RIL from gas price hike - The Times of India '' . The Times Of India . 2 July 2013 .   Jump up ^ `` Former CAG '' . Archived from the original on 18 April 2012 . Retrieved 9 May 2012 .   Jump up ^ http://www.firstpost.com/india/rajiv-mehrishi-is-the-next-cag-of-india-former-home-secretary-once-spearheaded-economic-reforms-in-rajasthan-3996307.html    External links ( edit )    `` Official website of the Comptroller and Auditor General of India '' . Retrieved 19 January 2009 .   Reports by Comptroller and Auditor General of India   Retrieved from `` https://en.wikipedia.org/w/index.php?title=Comptroller_and_Auditor_General_of_India&amp;oldid=840802117 '' Categories :   Comptrollers in India   Government audit   Hidden categories :   CS1 maint : Unrecognized language   Webarchive template wayback links   Use Indian English from February 2014   All Wikipedia articles written in Indian English   Use dmy dates from February 2014           Talk                                           Contents                   About Wikipedia                                           हिन्दी   ಕನ್ನಡ   മലയാളം   मराठी   ਪੰਜਾਬੀ   தமிழ்   اردو   Edit links   This page was last edited on 12 May 2018 , at 07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</si>
  <si>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first comptroller and auditor general of india (cag)</t>
  </si>
  <si>
    <t xml:space="preserve">   No .   Comptroller and Auditor General of India   Year tenure began   Year tenure ended       V. Narahari Rao   1949   1954       A.K. Chanda   1954   1960       A.K. Roy   1960   1966       S. Ranganathan   1966   1972     5   A. Bakshi   1972   1978     6   Gian Prakash   1978   1984     7   T.N. Chaturvedi   1984   1990     8   C.G. Somiah   1990       9   V.K. Shunglu     2002     10   VN Kaul   2002   2008     11   Vinod Rai   2008   2013     12   Shashi Kant Sharma   2013   2017     13   Rajiv Mehrishi   2017   Incumbent ( 6 years or 65 years of age , whichever is earlier )   </t>
  </si>
  <si>
    <t xml:space="preserve">The league - wikipedia  The league  Jump to : navigation , search This article is about the sitcom . For other uses , see League .      This article needs additional citations for verification . Please help improve this article by adding citations to reliable sources . Unsourced material may be challenged and removed . ( December 2015 ) ( Learn how and when to remove this template message )       The League         Genre   Comedy     Created by   Jeff Schaffer Jackie Schaffer     Starring   Mark Duplass Nick Kroll Stephen Rannazzisi Paul Scheer Jon Lajoie Katie Aselton     Country of origin   United States     Original language ( s )   English     No. of seasons   7     No. of episodes   84 ( list of episodes )     Production     Executive producer ( s )   Jeff Schaffer Jackie Schaffer     Running time   20 -- 30 minutes     Production company ( s )   Chicken Sticks FX Productions     Distributor   20th Television     Release     Original network   FX ( 2009 -- 2012 ) FXX ( 2013 -- 15 )     Original release   October 29 , 2009 ( 2009 - 10 - 29 ) -- December 9 , 2015 ( 2015 - 12 - 09 )     External links     Website   www.fxx.com/theleague     The League is an American sitcom that aired on FX and later FXX from October 29 , 2009 to December 9 , 2015 for a total of seven seasons . The series , set in Chicago , Illinois , is a semi-improvised comedy show about a fantasy football league , its members , and their everyday lives .     Contents  ( hide )   1 Synopsis   2 Episodes   3 Cast   3.1 Main characters   3.2 Recurring characters   3.3 Notable guest stars   3.3. 1 Notable NFL players and analysts as guest stars       4 Leagues   4.1 The League 's fictional league   4.1. 1 Teams   4.1. 2 Season - by - season results     4.2 The Shiva     5 Production   6 DVD releases   7 References   8 External links      Synopsis ( edit )   Set in Chicago , the series revolves around six friends who participate in a fantasy football league . The show follows the friends , who would do anything to win , while also dealing with a variety of situations that occur in their everyday lives .   Episodes ( edit )  Main article : List of The League episodes    Season   Episodes   Originally aired     First aired   Last aired   Network         6   October 29 , 2009 ( 2009 - 10 - 29 )   December 10 , 2009 ( 2009 - 12 - 10 )   FX         13   September 16 , 2010 ( 2010 - 09 - 16 )   December 9 , 2010 ( 2010 - 12 - 09 )         13   October 6 , 2011 ( 2011 - 10 - 06 )   December 22 , 2011 ( 2011 - 12 - 22 )         13   October 11 , 2012 ( 2012 - 10 - 11 )   December 20 , 2012 ( 2012 - 12 - 20 )       5   13   September 4 , 2013 ( 2013 - 09 - 04 )   November 20 , 2013 ( 2013 - 11 - 20 )   FXX       6   13   September 3 , 2014 ( 2014 - 09 - 03 )   November 19 , 2014 ( 2014 - 11 - 19 )       7   13   September 9 , 2015 ( 2015 - 09 - 09 )   December 9 , 2015 ( 2015 - 12 - 09 )     Cast ( edit )   Main characters ( edit )    Mark Duplass as Peter `` Pete '' Eckhart : Three - time league champion who separates from his wife Meegan ( Leslie Bibb ) in the pilot episode . Several episodes revolve around his interaction with women . Pete is known for tricking his gullible friends ( particularly Taco and Andre ) into making poor fantasy football trades ( called `` trade rapes '' ) . He works in a cubicle in sales , avoiding doing actual work as much as possible , though in the season 5 episode `` The Automatic Faucet , '' he declares he is done with fantasy football and focuses solely on work - except for when he helps his boss set his fantasy football lineup , which actually earns him a promotion . In Season 7 , he becomes a referee . He creates , and is commissioner of , the `` Sacko '' , the `` worst - team '' trophy created during the episode `` The Reunion '' . He still holds the North Winnetka High School pole - vault record . He once got a `` Fear Boner '' when he went to pick up Chicago Bears tickets from a man he met in the park .   Stephen Rannazzisi as Kevin MacArthur : An assistant district attorney , Kevin is the league commissioner from Seasons 1 -- 3 as well as Pete 's best friend . He returns to commissioner in season 5 . Because he has difficulty competing in the league on his own , he often takes football knowledge from his wife , Jenny , for which the rest of the League teases him incessantly . Jenny eventually joins the league herself after Ruxin 's brother - in - law Rafi leaves the league . At the beginning of the series , has never won the Shiva , the award given to the league winners ( named after Shivakamini Somakandarkram : a high school classmate to whom Kevin lost his virginity ) . In college , he got a `` Fear Boner '' when somebody asked for directions who he thought was going to mug him . Kevin wins in the finale of season 3 , however the entire season is declared null by Ruxin due to collusion and lies , until Kevin agrees to give Ruxin the role of commissioner and let him have naming rights to his newborn . Kevin has been highnotized ( hypnotized under the influence of marijuana ) by his brother Taco . His best friend , Pete , and his wife , Jenny , have also similarly programmed him using dog - training techniques . Kevin has a young daughter named Ellie whose foul mouth comes from her parents , and a son born in Season 4 's first episode and named Chalupa Batman by his Uncle Taco , but renamed Christopher Benjamin by his parents in the next episode . Rafi , Ruxin 's brother - in - law , constantly calls him ' Brian ' instead of Kevin .   Nick Kroll as Rodney Ruxin : A Jewish product - liability attorney , he is just as ruthless and obnoxious in the league as he is in the courtroom . He `` out - kicked his coverage '' with his wife , and therefore goes to great lengths to please her . He is constantly torn between his need to please his wife and his desire to crush his league opponents . In many episodes , and all of season 3 , Ruxin is extremely paranoid , often thinking that his opponents are `` trying to get into his head , '' or that other members of the league are `` in collusion '' to cheat him , but his paranoid hunches have been correct on at least two occasions , in `` Expert Witness '' and `` The Lockout '' . In the episode `` The Bounce Test '' , he describes his own appearance : `` I look like a Nazi propaganda cartoon of a Jew . '' He and Sofia have a son named Geoffrey ( `` Baby Geoffrey '' ) . He hates being called by his first name , Rodney , preferring to be called Ruxin ; his sister Rebecca ( Lizzy Caplan ) calls him the `` Rod - man , '' and Taco sometimes calls him `` Ruspin , '' two nicknames he finds equally unfavorable . He wins the league championship at the end of season 2 . In high school , he had a reputation for dating large women , giving him the nickname `` The Herdsman '' . He inherited his sarcastic nature from his father Rupert ( Jeff Goldblum ) , who also prefers to be called Ruxin . After catching Kevin in his `` clown car of lies '' , he declares season 3 to be null and void and claims himself as winner via default , after miraculously healing ( upon catching sight of Shiva ) from the after - effects of a stress - induced stroke from discovering the collusion . He then agrees that the events of season 3 of the television show -- season 7 of the league itself - -- would count in exchange for becoming the new league commissioner and for the naming rights to Kevin and Jenny 's newborn , the latter of which he trades to Taco for his # 1 draft pick . He is commissioner only in season 4 . Ruxin is a graduate of Northwestern University .   Paul Scheer as Dr. Andre Nowzick : A bald , rich plastic surgeon whose naïveté makes him the brunt of many jokes . He wears what he believes to be trendy clothing , for which he is mercilessly mocked by his friends . He tries to be cool by using current slang , particularly the jargon of hip - hop culture , but he is constantly rebuked by his friends and others , such as professional football player Chad Johnson . Andre wins the Shiva at the end of season 1 after entering a committed relationship with Shivakamini Somakandarkram ( the namesake of the league trophy ) . In the season 2 premiere , Andre renames the trophy `` the Dre '' which is quickly renamed by the rest of the crew as `` the SheDre '' ( A hybrid of `` Shiva '' and `` Dre '' ) . The worship of a false god in `` the Dre '' results in bad luck , which is nicknamed `` Draids '' . His Draids result in the worst record in the league and he quickly falls from first to worst . As the recipient of the Sacko , he is subject to innumerable punishments ranging from embarrassing to cruel . For instance , in the third season , he is locked out of his apartment while Dirty Randy ( Seth Rogen ) creates a low - budget porno based loosely on Andre 's life . Andre 's sister Heather ( Sarah Silverman ) has had sex with everyone in the league except Andre , Jenny , and Ruxin . Andre was engaged to his interior decorator Trixie Von Stein ( Jayma Mays ) but their marriage is ruined by the other members of the league . Andre also starts a wine bar known as Menage a Cinq with Russell , another member of the league , but this fails when Russell 's sex addiction breaks out and he has sex with Manchego cheese . In season 7 , Andre begins dating , and then later marries , Pete 's ex-wife Meegan .   Jon Lajoie as Taco MacArthur : Kevin 's younger brother , a perpetually stoned , unemployed musician . He does n't care or know much about American football , evident by his attempts to draft Canadian football players and his tendency to draft placekickers . He has won the league championship at least once in 2006 , evident by his handwritten name on the trophy . He hooks up with women easily , and lives via handouts from his brother Kevin and `` Eskimo family tree '' ( people who have slept with women he has slept with ) , making his own food ( thousand - year - old eggs ) and making his own personal hygiene products , such as deodorant . He also makes ringtones ( Horse Orgasm or , `` Horsegasm '' ) . For one episode , Taco takes martial arts , specializing in use of a naginata ( a long pole with a blade at the end ) and studies of naginatajutsu . He means well but his acts of kindness usually have disastrous results . He is perhaps the most emotional member of the league , prone to crying when his feelings are hurt . In the unrated version of season 1 , Ruxin claimed that the reason Taco is such a `` frittata '' is because they made him smoke marijuana when he was 8 . Between seasons 2 and 3 , Taco travels around the world and becomes a soap opera star in Algeria where he plays a stupid American . Taco enjoys keeping bongs ( which he calls `` guest bongs '' ) in all of his friends ' houses for him to use . In season 4 , it is revealed that he owns the domain name dallascowboys.com , which Dallas Cowboys owner Jerry Jones purchases for $250,000 . In Season 5 he turns his dead uncle 's van into multiple unsuccessful small businesses . It is also revealed that when he is not high he is actually very intelligent , probably the most intelligent member of the League . In season 6 , his Eskimo - Brother DataBase ends up making him a lot of money and he starts other business ventures after Mark Cuban buys it from him for $1.1 million dollars .   Katie Aselton as Jenny MacArthur ( née Banger ) : Kevin 's wife , who helps him run his team and has as much enthusiasm for the league as the actual members do during season 1 . When Kevin loses a bet to Pete in season 1 , Jenny is forced to streak since she is clearly the manager for Kevin 's team . In season 2 , Jenny wants her own team for the league , but the members vote to give the vacant spot to Ruxin 's brother - in - law Rafi ; angered , Jenny seeks revenge by helping Ruxin draft instead . She is introduced into the league during that same season to replace Rafi and eventually loses to Ruxin 's team in the Shiva Bowl . Her foul mouth is well equal to Kevin 's and their daughter Ellie is already taking after them . At the end of Season 3 , she tells Kevin that their second child is on the way . She gives birth to a baby boy in the Season - 4 premiere . She defeats Andre in Season 5 's Shiva Bowl .    Recurring characters ( edit )    Nadine Velazquez as Sofia Ruxin , Ruxin 's Latina wife . She is good friends with Taco -- Ruxin 's only friend with whom she gets along . Died in preparation for vaginal rejuvenation in Puerto Rico .   Jason Mantzoukas as Rafi , Sofia 's deranged , obnoxious brother , aka `` Bro - lo el Cuñado '' . Best friend and possible lover of porn director Dirty Randy . He shared a bed with Sofia until she was 18 . He was an altar boy as a child , but had to quit after he raped a priest . He always calls Pete `` Tall Guy '' and believes Kevin 's name is Brian . His residence has a large number of `` load - bearing chairs '' stacked up and has a `` toilet - kitchen '' . Rafi stores a never - ending supply of hotdogs in his pants , referring to them as `` pocket - dogs '' . He is a diabetic . He gets `` murder boners '' when practicing his MMA skills and gets a `` War Boner '' when playing paintball . He thinks that he is Baby Geoffrey 's true father . Occasionally he has suggested that he and Sofia shared an incestuous relationship in the past ( not directly denied by Sofia ) . Many times when he vomits , he defecates . Many times when he defecates , he orgasms . Ruxin 's sarcasm led him to take on the role of Bobbum Man in real life . He is apparently killed by Dirty Randy in a duel . In Season 6 's `` When Rafi Met Randy , '' it is revealed Rafi was once a normal family man until Randy 's business partner fell to his death on top of Rafi 's wife and two sons , killing them all . After numerous suicide attempts , Rafi was checked into a mental asylum along with Randy . An over-zealous nurse subjected them both to shock therapy that would alter their minds to their deranged state . Randy revealed that he was responsible for the deaths of Rafi 's family only for Rafi to be subjected to a partial lobotomy that made him forget them completely . It is also revealed how Rafi was returned to life via special means .   Alina Foley as Ellie MacArthur , Jenny and Kevin 's young daughter . She has inherited her parents ' profane language , which got her in trouble with her first grade teacher , Ms. Martin .   Janina Gavankar as Shivakamini Somakandarkram , a doctor who was the valedictorian of most of the league members ' graduating high - school class . She is a urologist , specializing in genital reconstruction . Usually appears on the penultimate or season finales of the season , given that she is the `` patron deity '' of their league 's trophy . They each present an item to the trophy , which contains a high - school photo of her . The only odd - episode - out is `` The High - School Reunion '' where she was present with the league , revealing that Pete 's mother 's windshield was n't busted by a high - school friend , but rather by Kevin when he lost his virginity to Shiva . Shiva cursed the 2012 season of the league because they would not take her picture off the trophy . She also dated Andre towards the end of season 1 .   Adam Karchmer as Geoffrey Ruxin , Ruxin and Sofia 's son . Ruxin calls him `` Baby Geoffrey '' .   Rob Huebel as Dr. Russell Deramo , a doctor and friend of the gang . He first appears in `` The Draft '' , where he attends Andre 's party . He returns in `` The Kluneberg '' , where it is revealed that he moved to New York , but returned saying New York was too crowded and too full of `` crazy people '' . He later reveals that he is a sex addict , and invites Jenny to join his league . He later replaces her with Rafi , allowing her to join the league . In Season 5 , he is a member of Rafi 's Domination League with `` Dirty Randy '' . He is introduced into the league in Season 6 as a replacement for Ted , claiming his sex addiction is gone due to his passion for wine . He starts a wine bar known as Menage a Cinq with Andre , but this fails when his sex addiction relapses .   Leslie Bibb as Meegan Eckhart , Pete 's abrasive ex-wife . They fought constantly . After she gave away his lucky draft shirt , Pete realized that they were not meant to be together and they separated . They finalized the divorce , and she was left with only the house . She had requested their The Curious Case of Benjamin Button DVD , presumably knowing that it contained a disc with a sex video she had made with Pete , but Pete had already sneaked into her house and stolen it , aided by Kevin ; Pete never gives it back . She was later seen dating an older man named Ted . She returns in season 7 , where it is revealed that she is now dating Andre , whom she later marries .   Seth Rogen as Dirty Randy -- Rafi 's friend , who works as a librarian and a pornographer . The reason he works at the library is for the infrastructure and says `` it 's a place where you can find desperate people and you can pay them in drugs and alcohol to work as part of the porn - production team . '' Before he was a porn director , he was homeless , kicked out of the military , a crack dealer , and a porn - location scout . He met Rafi in an asylum , an experience he describes as `` very romantic '' . He believes that puns `` are as vital to the porn business as they are to the pet shop and children 's barbershop industries . '' He directed such movies as the controversial `` Shitler 's List '' ( the controversy was that it was shot in black and white ) , `` Toe - Bangers 3 '' ( the SEAL Team Six member who shot Osama bin Laden found a copy of it in the compound , but the Government will not release the footage ) , `` Dr. Andre Nodick , '' and `` 12.12. 12 : The Mayan Cockandlips '' ( filmed in the loft Deion Sanders bought from Andre ) . In Season 5 , he is also a member of Rafi 's `` Domination League '' . He threatens Ruxin with a trident made from dildos . In Season 6 's `` When Rafi Met Randy , '' Randy is revealed to have been a successful businessman who accidentally knocked his partner off a construction building where the man crushed the family of a then - normal Rafi . The two were committed to the same mental institution where numerous shock therapy sessions resulted in their deranged states . When Randy realized he was responsible for the deaths of Rafi 's family , he used another shock session to make him forget about them .   Brie Larson as Ashley , Baby Geoffrey 's former au pair . She was hired partially due to her good looks . Pete quickly begins sleeping with her , which causes her to neglect her au - pair duties . Ruxin wants to fire her , but she ends up extorting him , threatening to tell Sofia that he was masturbating to her photo ( he was actually wiping pee off his pants ) unless he continues to pay her for doing nothing . In order to get her to quit , Ruxin enlisted Rafi to hit on her , which ends up backfiring when she brings Rafi into bed with her and Pete to do the `` Golden Gate Bridge '' . Rafi eventually talks her into quitting and moving in with him , which is in Ruxin 's home .   Ike Barinholtz as Frank `` The Body '' Gibiatti -- Ruxin 's high school rival . His sister , Gina Gibiatti , ' dated ' Pete for a while . The Body gave ( and still does give ) the guys a hard time .   Jayma Mays as Trixie -- Andre 's interior decorator , then fiancée . She is allergic to his semen . She breaks off the engagement after discovering the Secret Draft on her wedding weekend , then blinding herself with Andre 's semen - filled pee - bib while crying . At the end Taco calls her Pixie instead of Trixie .   Jeff Goldblum as Rupert Ruxin -- Rodney 's father .   Will Forte as Chuck -- One of the league 's two out - of - town members , a recovering alcoholic . Has the nickname , `` Two - Nut Chuck '' . In the Season - 5 premiere it is mentioned that he is in rehab again . In the Season - 7 premiere it is revealed that he has testicular cancer .   Brooklyn Decker as Gina Gibiatti -- Frank Gibiatti 's sister who briefly dates Pete , then Adrian Peterson .   Adam Brody as Ted Rappaport -- The other out - of - town member of the league and Season - 4 Shiva winner . Had AIDS . Died after being hit by a car while insulting Kevin via FaceTime .   Jorma Taccone as Spazz - a member of Rafi 's ' Domination League ' .   June Diane Raphael as Pam , a nurse at the mental institution where Rafi was committed , who later reappears in a different episode as Ellie 's teacher .   Zach Woods as Lane , a suicidal acquaintance of Pete 's .   Rob Riggle as Bethesda . `` Higher - up '' at Ruxin 's firm and coach of Geoffrey 's Little League baseball team .    Notable guest stars ( edit )    Matt Walsh as Mr. Friedman -- `` Freaky Friedman '' or `` The Oracle '' 's father . ( Season 1 - Pilot )   Thomas Lennon as Bryce -- Pete and Meegan 's mediator .   Bobby Lee as Lee Wei Lee -- a local `` frittata '' and patron of a local Chinese restaurant .   Craig Bierko as Craig O'Connor -- Kevin 's boss .   Brooke Nevin as Lily -- Kevin 's co-worker and for a brief moment , Taco 's girlfriend . Referred to by Kevin as a `` goody - two - shoes '' .   Janet Montgomery as Ambrosia -- Las Vegas stripper who has a vast knowledge in fantasy football .   Lake Bell as Brooke -- Pete 's girlfriend , and Kevin 's ex-girlfriend . Nicknamed `` The White Knuckler '' .   Alison Becker as Darcy - A practicing Wiccan Pete went out with on Halloween .   Jamey Sheridan as Ted -- Meegan 's new , significantly older boyfriend who has a heart attack at Ruxin 's anniversary party .   Michael Hitchcock as Ed - A man Pete meets in the park . He offers Pete Bears tickets and gives him a Fear Boner because Pete thought he was gay , although he had a wife and a son .   Alia Shawkat as April -- A courtroom artist and Taco 's girlfriend .   Martin Starr as Stu Pompeu -- Pete 's high school rival , nicknamed `` Box of Frogs '' . Pete believed that Stu broke his mom 's car 's window , ( although it was actually Kevin and Shiva . ) Stu offered Pete a high paying job , but Pete got revenge on him .   Lindsay Sloane as Lindsey Martin - Ellie 's teacher who is also dating Pete . Breaks Pete 's penis because of her constant kegel exercises .   Lloyd Ahlquist as Dr. Andre NoDick -- Dirty Randy 's porn star .   Kayden Kross as Kayden , a porn star in the Dr. Andre NoDick porno .   Rick Shapiro as Bum -- A homeless man .   Desi Lydic as Waitress -- - Briefly hooked up with Peter during `` The Marathon '' episode .   Ray Liotta as Mr. Hudabega -- Ruxin 's boss , a germaphobe .   Keegan - Michael Key as Steve ( Carmenjello ) -- A janitor Andre attempts to befriend after unintentionally upsetting him by calling him `` Carmenjello , '' thinking that was his name , but finds out that it is the name of the janitorial service for which he works . Kevin takes a picture of skin and says `` it 's the perfect shade of cinnamon '' which also offends him .   Sarah Silverman as Heather Nowzick -- Andre 's promiscuous sister . She has slept with Taco , Kevin , and Pete , as well as Ruxin 's father .   Eliza Dushku as Kristen -- Kevin 's Krav Maga instructor .   Deon Cole as Mugger -- Tries to rob Kevin and Kristen after Krav Maga class .   T.J. Miller as Gabriel -- A member of a religious cult called `` The Light of Genesis '' who tries to recruit Ruxin .   Thomas Middleditch - Another member of `` The Light of Genesis '' .   Brett Gelman as Gavin -- An ex-convict Kevin prosecuted , the father of Ellie 's friend Chloe .   Melissa Ordway as Sutton - A friend of the league and a sexual interest of Taco and Pete .   Chris Tallman as Mr. Swall -- The human - resources representative at Ruxin 's firm .   Allison Williams as Danielle -- Pete 's controlling girlfriend . Decides to make Pete 's roster and beer selections .   Marianne Muellerleile as Bernice , a hospital nurse who tends to Ruxin after his stroke ; when Rafi visits Ruxin , he hits on Bernice .   Timothy Olyphant as Wesley - san -- A sushi chef at Spuki Sushi . He is white but acts Asian . Claims to be from O - ma - ha .   Ryan Hansen as Ben -- Jenny 's ex-boyfriend , Kevin and Andre 's friend . In Season 4 , it is divulged that he and Jenny once had sex six times in one day ( `` The Freezeout '' ) .   Julia Duffy as Martha - Kevin and Taco 's mother who dislikes Jenny and considers Taco the more successful of the two brothers , seemingly oblivious to his shortcomings .   Kristin Cavallari as herself -- Appears in Kevin and Jenny 's `` Mommy &amp; Me '' class . Jenny steals her breast milk .   Ken Marino as Donnie `` The Seed '' Sadowski -- A bully from high school who used to jerk off in his hand and rub it on victims ' heads . Friends with Frank Gibiatti .   Andrea Savage as Gail .   J.B. Smoove as Wheelchair Guy ( DeRon ) -- Buys the last pair of Vapora Sport Sneakers out from under Pete . Pete steals the sneakers back .   Robert Wagner as Gumpa Duke - Pete 's promiscuous grandpa who pretends to be losing his mind so that he can hook up at the retirement home .   Lee Meriwether as Gumma Eve - Pete 's grandma who is married to Gumpa Duke .   John Ross Bowie as Dr. Pete Wyland - Gives Kevin a colonoscopy . Insists on being called Pete and has a nurse named Jenny .   Bob Odenkirk as Mall Manager -- Fights with Taco over Krampus and Ruxin over Christmas music .   Griffin Dunne and Glenne Headly as Andre 's parents .   Snoop Dogg as himself . One of Taco 's `` Eskimo Brothers '' .   Christine Lakin as `` Pete 's girl '' .   Dana White as The Falcon 's enforcer . Kills Dirty Randy and Rafi 's friend Spazz .   Will Sasso as Police Officer . Rafi and Dirty Randy thinks he is a Nazi .   Kevin Nealon as Chuck Falcon . Porn Kingpin who is known as the Steve Jobs of Porn . Killed by Dirty Randy .   Ali Larter as Georgia Thompson . Unhappily married woman who initiates an affair with Pete .   Erin Heatherton as Coach Crowley . Ellie 's intimidating basketball coach .   Lizzy Caplan as Rebecca Ruxin - Rodney 's sister .   Aziz Ansari as Dr. Hector Rocha , Andre 's plastic - surgery rival .   Mark Cuban as himself . Buys the Eskimo Brother Database from Taco .   Brenda Song as Rosette - Pete 's girlfriend who constantly wants to hold hands .   Jerry O'Connell as Father Muldoon . The MacArthurs ' priest .   Erinn Hayes as Heather .   Maria Thayer as Cheryl .   Anna Camp as Penny . Pete 's girlfriend who grooms Andre 's cat .   Corbin Bernsen as Bruce Banger - Jenny 's father .   Rich Fulcher as Luther the Hobo , the homeless dressing - gown - wearing heckler in `` The Bringer Show '' .   Dan Castellaneta as Dr. Harvat , Lane 's doctor .   Antonio Sabato Jr. as Father Zaragosa , the priest from Sofia 's church .   Jerry Minor as Greg , inmate at the mental institution who ended up being a figment of Rafi 's imagination .   Neil Casey as Neil , an inmate at the mental institution where Rafi was committed .   Christopher McDonald as Judge Hardy , a judge that disapproves of Kevin and Ruxin 's dishonesty .   Arielle Kebbel as Libby , a woman that Pete dated in three episodes of season 7 .   Deanna Russo as Brittany Barber , Andre 's college crush who he tries to avoid performing surgery .   Casey Wilson as Claire , a psychotic Uber driver who begins stalking Andre .   Milo Ventimiglia as Milo Ventimiglia , a character on the gangs favorite TV show , `` The Block '' .   Nicky Whelan as L-E , a character on the gangs favorite TV show , `` The Block '' .   Larry David as an older Ruxin in a dream in the final episode .   Notable NFL players and analysts as guest stars ( edit )   Fox NFL analyst and former Pittsburgh Steelers quarterback Terry Bradshaw in season 1 episode 3 `` Sunday at Ruxin 's '' .   San Diego Chargers tight end Antonio Gates in season 1 episode 4 ' Mr. McGibblets '' and the final episode of season 6 `` The Beach House '' .   Then - Cincinnati Bengals wide receiver Chad Johnson in season 2 episode 1 `` Vegas Draft '' .   Then - Cleveland Browns kick return specialist Josh Cribbs and Baltimore Ravens linebacker Terrell Suggs in season 2 episode 3 `` The White Knuckler '' .   Then - Jacksonville Jaguars running back Maurice Jones - Drew , then - Atlanta Falcons cornerback Brent Grimes and then - Minnesota Vikings wide receiver Sidney Rice in season 3 episode 1 `` The Lockout '' .   ESPN fantasy football analyst Matthew Berry in season 3 episode 3 `` The Au Pair '' .   Chicago Bears running back Matt Forté in season 3 episode 13 `` The Funeral '' .   Robert Griffin III , Trent Richardson , Matt Kalil , Ryan Kalil , Felix Jones , Brandon Carr , Jason Witten , Jay Ratliff , DeSean Jackson , Rich Eisen , Chris Brockman , and Jerry Jones in season 4 episode 1 `` Training Camp ''   Then - Buffalo Bills quarterback Ryan Fitzpatrick in season 4 episode 5 `` Judge MacArthur '' .   Former Chicago Bears quarterback Jim McMahon in season 4 episode 6 `` The Tailgate '' .   NFL Network analyst and Pro Football Hall of Famer Deion Sanders in season 4 episode 11 `` 12.12. 12 '' .   Minnesota Vikings running back Adrian Peterson in season 4 episode 13 `` The Curse of Shiva '' .   Houston Texans defensive end J.J. Watt in season 5 episodes 1 and 2 `` The Bachelor Draft '' and `` The Von Nowzick Wedding '' and season 6 episode 1 `` Sitting Shiva '' .   Minnesota Vikings kicker Blair Walsh in season 5 episode 1 `` The Bachelor Draft '' .   Tampa Bay Buccaneers defensive tackle Gerald McCoy and San Francisco 49ers linebacker NaVorro Bowman in season 5 episode 2 `` The Von Nowzick Wedding '' .   Chicago Bears quarterback Jay Cutler in season 5 episode 3 `` Chalupa vs. the Cutlet '' .   Minnesota Vikings wide receiver Greg Jennings in season 5 episode 10 `` The Near Death Flex - perience '' .   Then - San Francisco 49ers tight end Vernon Davis in season 5 episode 12 `` Baby Geoffrey Jesus '' .   NFL Network broadcaster Rich Eisen , Carlos Hyde , Mike Evans , Taylor Lewan , Ryan Shazier , Stephon Tuitt , New Orleans Saints defensive end Cameron Jordan , and then - Cleveland Browns tight end Jordan Cameron in season 6 episode 1 `` Sitting Shiva '' .   FoxSports.com senior writer Jay Glazer in season 6 episode 2 `` Tefl - Andre '' .   Philadelphia Eagles running back Darren Sproles in season 6 episode 3 `` The Height Supremacist '' .   Seattle Seahawks running back Marshawn Lynch in season 6 episode 11 `` EBDBBnB '' and season 7 episode 1 `` That Other Draft '' .   Jim McMahon , Calais Campbell , Tyrann Mathieu , and John Schneider in season 7 episode 1 `` That Other Draft '' .   Green Bay Packers wide receiver Randall Cobb in season 7 episode 4 `` Deflategate . ''    Leagues ( edit )   The league 's fictional league ( edit )  Teams ( edit )   Unknown 8th member ( drops out in 2007 )   Andre -- `` The Double Ent - Andres '' ( formerly `` The Ooh , Ruxin Got Serveds '' , `` The I Had Allergies '' , `` The Twilight Breaking Dawn - dres '' and `` The James B - Andres '' ) ( replaces unknown 8th member in 2007 )   Kevin -- `` Too Hot to Handle '' ( formerly `` The Ruxin Looks Like a Middle - Aged Lesbians '' , `` The Fighting MacArthurs '' , and `` The Pleasures of Andre 's Sister '' )   Pete -- `` The Shit Heads '' ( formerly `` 3 - Pete '' )   Ruxin -- `` Jenny Top / Kevin Bottom '' ( formerly `` Pete Top / Kevin Bottom '' , `` The Kevin 's Micro Dongs '' , `` The MacArthur 's Crotch Nubbs '' , `` The Andre Cried While Watching `` Jumanjis '' `` , and `` The Fear Boners '' )   Taco -- `` Password is Taco '' ( formerly `` The Encino Men '' )   Vince ( drops out in 2010 )   Rafi ( replaces Vince in 2010 )   Jenny -- `` The Lady MacArthurs '' ( replaces Rafi midway through 2010 )   Chuck -- `` Stephen Hawking 's Cleats '' -- Out - of - town player   Ted -- `` The Balls Deeper '' -- Out - of - town player ( dies in 2014 )   Russell - `` Seabiscuit Rip '' -- ( replaces Ted in 2014 )   The Coin - ( replaces Chuck in 2015 )    BOLD means current league member .  Season - by - season results ( edit )    Show season   NFL season   League season   Shiva Bowl winner   Shiva Bowl loser   Sacko Bowl loser ‡   Draft location     ( back story )   2005     Pete   Ruxin   N / A   Pete and Meegan 's House     ( back story )   2006     Taco   Pete   N / A   Pool near Kevin 's House     ( back story )   2007     Pete   Andre   N / A   Ruxin 's House     ( back story )   2008     Pete   Ruxin   N / A   Pete and Meegan 's House       2009   5   Andre * *   Pete   N / A   Andre 's new downtown Chicago loft         6   Ruxin   Jenny   Andre †   Las Vegas       2011   7 *   Kevin *   Taco   Ruxin ( Andre running Ruxin 's team ) ‡   Andre 's Metrosexual Loft       2012   8   Ted   Pete   Ruxin   Jen</t>
  </si>
  <si>
    <t xml:space="preserve">who wins the shiva bowl in season 6</t>
  </si>
  <si>
    <t xml:space="preserve">   Show season   NFL season   League season   Shiva Bowl winner   Shiva Bowl loser   Sacko Bowl loser ‡   Draft location     ( back story )   2005     Pete   Ruxin   N / A   Pete and Meegan 's House     ( back story )   2006     Taco   Pete   N / A   Pool near Kevin 's House     ( back story )   2007     Pete   Andre   N / A   Ruxin 's House     ( back story )   2008     Pete   Ruxin   N / A   Pete and Meegan 's House       2009   5   Andre * *   Pete   N / A   Andre 's new downtown Chicago loft         6   Ruxin   Jenny   Andre †   Las Vegas       2011   7 *   Kevin *   Taco   Ruxin ( Andre running Ruxin 's team ) ‡   Andre 's Metrosexual Loft       2012   8   Ted   Pete   Ruxin   Jenny 's hospital room     5   2013   9   Jenny   Andre   Kevin   Andre 's Bachelor Party in L.A.     6   2014   10   Andre §   Ruxin   Taco   Ted 's funeral     7   2015   11   The Coin   Ruxin   Pete   Restaurant ( 1890s Themed Draft )   </t>
  </si>
  <si>
    <t xml:space="preserve">Mizpah ( emotional bond ) - Wikipedia  Mizpah ( emotional bond )  Jump to : navigation , search Laban and Jacob make a covenant together , as narrated in Genesis 31 : 44 -- 54  Mizpah ( מִצְפָּה ) is Hebrew for `` watchtower . '' As mentioned in the Bible story of Jacob and Laban , making a pile of stones marked an agreement between two people , with God as their watching witness .   Jacob had secretly fled the house of Laban , his father - in - law , in the middle of the night , taking flocks of animals , all his other assets , and his two wives and their children ( the daughters and grandchildren of Laban ) with him , intending never to return . Laban discovered this and pursued Jacob . After discussion , the two decided to formalize the separation .   Laban admitted that his daughters had voluntarily left , saying `` ( W ) hat can I do to these daughters or to the children which they have bore ? '' ( Genesis 31 : 43 ) . He agreed to let Jacob go in peace , but exacted a promise from Jacob to never abuse his daughters or take additional wives ( Genesis 31 : 50 ) .   The two men then determined to erect a pile of stones , a figurative watchtower , called a mizpah , to commemorate this promise , even though no person was present other than the two men when it was made , for `` God is witness between you and me . '' Both of the men also agreed that they would consider the mizpah a border between their respective territories , and that would not pass the watchtower to visit one another `` to do evil '' ( Genesis 31 : 52 ) .   Since that time , the mizpah has come to connote an emotional bond between people who are separated ( either physically or by death ) . Mizpah jewelry is often made in the form of a coin - shaped pendant cut in two with a zig - zag line bearing the words `` The LORD watch between me and thee , when we are absent one from another '' ( Genesis 31 : 49 ) . This is worn to signify the bond . Additionally , the word `` mizpah '' can often be found on headstones in cemeteries and on other memorials . From Genesis 31 : 49 of the Bible :   And Mizpah ; for he said , The Lord watch between me and thee , when we are absent one from another .   Side note : This has nothing to do with further information on the word Mizpah . I 'm merely trying to express the significance of the beauty of this word . It is essentially a way of saying good - bye without truly telling a person that it is the end . It embodies the hope of another meeting , a desire for something to last or begin again . This is a word drenched in longing and wistfulness . You may call me a hopeless romantic and so shoot me for looking for the beauty those two syllables contain . I 'm finished with this edit and to whoever is reading this , mizpah . I do n't know you , but you have seen a snippet of myself and at least I ( sort of ) have the knowledge that you read this far , either to mock me or because you relate to my sentiment . I hope some higher power watches over you ( if there is one that is . ) So therefore , mizpah .   External links ( edit )    NASB Version of the Covenant of Mizpah          This article relating to anthropology is a stub . You can help Wikipedia by expanding it .            Retrieved from `` https://en.wikipedia.org/w/index.php?title=Mizpah_(emotional_bond)&amp;oldid=827465233 '' Categories :   Interpersonal relationships   Anthropology stubs               Talk                                                             About Wikipedia                                           Add links   This page was last edited on 24 February 2018 , at 21 : 51 .         About Wikipedia                    </t>
  </si>
  <si>
    <t xml:space="preserve">what is the meaning of mizpah in the bible</t>
  </si>
  <si>
    <t xml:space="preserve"> Mizpah ( מִצְפָּה ) is Hebrew for `` watchtower . '' As mentioned in the Bible story of Jacob and Laban , making a pile of stones marked an agreement between two people , with God as their watching witness . </t>
  </si>
  <si>
    <t xml:space="preserve">History of Liverpool - wikipedia  History of Liverpool  Jump to : navigation , search  The history of Liverpool can be traced back to 1190 when the place was known as ' Liuerpul ' , possibly meaning a pool or creek with muddy water , though other origins of the name have been suggested . The borough was founded by royal charter in 1207 , but Liverpool remained a small settlement until its trade with Ireland and coastal parts of England and Wales was overtaken by trade with Africa and the West Indies , which included the slave trade . The town 's first wet dock was opened in 1715 and Liverpool 's expansion to become a major city continued over the next two centuries .   By the start of the nineteenth century , a large volume of trade was passing through Liverpool . In 1830 , the Liverpool and Manchester Railway was opened . The population grew rapidly , especially with Irish migrants ; by 1851 , one quarter of the city 's population was Irish - born . As growth continued , the city became known as `` the second city of the Empire '' , and was also called `` the New York of Europe '' . During the Second World War , the city was the centre for planning the crucial Battle of the Atlantic , and suffered a blitz second only to London 's .   From the mid-twentieth century , Liverpool 's docks and traditional manufacturing industries went into sharp decline , with the advent of containerisation making the city 's docks obsolete . The unemployment rate in Liverpool rose to one of the highest in the UK . Over the same period , starting in the early 1960s , the city became internationally renowned for its culture , particularly as the centre of the `` Merseybeat '' sound which became synonymous with The Beatles . In recent years , Liverpool 's economy has recovered , partly due to tourism as well as substantial investment in regeneration schemes . The city was a European Capital of Culture in 2008 .     Contents  ( hide )   1 Origins of the name   2 Early history of the area   3 Origins of the town   4 Elizabethan era and the Civil War   5 Transatlantic Trade   6 Slavery   7 Industrial revolution and commercial expansion   8 20th century   8.1 1900 - 1938   8.2 1939 - 1945 : World War II   8.3 1946 - 1979   8.4 1980s   8.5 1990s     9 Recent history   10 See also   11 References   12 Further reading   13 External links      Origins of the name ( edit )   The name comes from the Old English liver , meaning thick or muddy , and pol , meaning a pool or creek , and is first recorded around 1190 as Liuerpul . According to the Cambridge Dictionary of English Place - Names , `` The original reference was to a pool or tidal creek now filled up into which two streams drained '' . The adjective Liverpudlian is first recorded in 1833 .   Early History of the area ( edit )  The ancient neolithic Calder Stones on display in the Harthill Greenhouses  In the Iron Age the area around modern - day Liverpool was sparsely populated , though there was a seaport at Meols . The Calderstones are thought to be part of an ancient stone circle and there is archaeological evidence for native Iron Age farmsteads at several sites in Irby , Halewood and Lathom . The region was inhabited by Brythonic tribes , the Setantii as well as nearby Cornovii and Deceangli . It came under Roman influence in about 70 AD , with the northward advance to crush the druid resistance at Anglesey and to end the internal strife between the ruling family of Brigantes . The main Roman presence was at the fortress and settlement at Chester . According to Ptolemy , the Latin hydronym for the Mersey was Seteia Aestuarium , which derives from the Setantii tribe .   After the withdrawal of Roman troops , land in the area continued to be farmed by native Britons . The Hen Ogledd ( Old North ) was subject to fighting between four medieval kingdoms : the Anglo - Saxon Kingdom of Mercia eventually defeated its rival Northumbria as well as the Celtic kingdoms of Gwynedd and Powys , with the Battle of Brunanburh perhaps taking place at nearby Bromborough . The settlements at Walton ( Wealas tun meaning ' farmstead of the Wealas ' ) , and Wallasey ( Wealas - eg meaning ' island of the Wealas ' ) were named at this time with Wealas being Old English for ' foreigner ' referring to the native Celtic and Romanized inhabitants .   The pseudo-historical Fragmentary Annals of Ireland appears to record the Norse settlement of the Wirral in its account of the immigration of Ingimundr near Chester . This Irish source places this settlement in the aftermath of the Vikings ' expulsion from Dublin in 902 , and an unsuccessful attempt to settle on Anglesey soon afterwards . Following these setbacks , Ingimundr is stated to have settled near Chester with the consent of Æthelflæd , co-ruler of Mercia . The Norse settlers eventually joined up with another group of Viking settlers who populated west Lancashire , and for a time had an independent Viking mini-state , with Viking placenames evident all over Merseyside . The Norse colony was governed at assembly places called þing ( pronounced thing ) on each side of the Mersey , at Thingwall in Wirral and also Thingwall of West Derby , and the area eventually became subject to the Danelaw .   Origins of the town ( edit )  W. Ferguson Irvine 's conjectural plan of Liverpool 's original 7 streets  Although a small motte and bailey castle had earlier been built by the Normans at West Derby , the origins of the city of Liverpool are usually dated from 28 August 1207 , when letters patent were issued by King John advertising the establishment of a new borough , `` Livpul '' , and inviting settlers to come and take up holdings there . It is thought that the King wanted a port in the district that was free from the control of the Earl of Chester . Initially it served as a dispatch point for troops sent to Ireland , soon after the building around 1235 of Liverpool Castle , which was removed in 1726 . St Nicholas Church was built by 1257 , originally as a chapel within the parish of Walton - on - the - Hill . In the 13th Century , Liverpool as an area comprised just seven streets .   With the formation of a market on the site of the later Town Hall , Liverpool became established as a small fishing and farming community , administered by burgesses and , slightly later , a mayor . There was probably some coastal trade around the Irish Sea , and there were occasional ferries across the Mersey . However , for several centuries it remained a small and relatively unimportant settlement , with a population of no more than 1,000 in the mid 14th century . By the early fifteenth century a period of economic decline set in , and the county gentry increased their power over the town , the Stanley family fortifying their house on Water Street . The Stanley Tower was also the catalyst for a feud between the Stanley and Molyneux families . The Molyneux family residing at the nearby Liverpool Castle during the early 15th century . The resulting rivalry spilling into a near riot in 1424 . In the middle of the 16th century the population of Liverpool had fallen to around 600 , and the port was regarded as subordinate to Chester until the 1650s .   Elizabethan era and the Civil War ( edit )  Liverpool in 1572 .  In 1571 the people of Liverpool sent a memorial to Queen Elizabeth , praying relief from a subsidy which they thought themselves unable to bear , wherein they styled themselves `` her majesty 's poor decayed town of Liverpool . '' Some time towards the close of this reign , Henry Stanley , 4th Earl of Derby , on his way to the Isle of Man , stayed at his house , the Tower ; at which the corporation erected a handsome hall or seat for him in the church , where he honoured them several times with his presence .   By the end of the sixteenth century , the town began to be able to take advantage of economic revival and the silting of the River Dee to win trade , mainly from Chester , to Ireland , the Isle of Man and elsewhere . In 1626 , King Charles I gave the town a new and improved charter .  Liverpool in 1650 .  In June 1644 Prince Rupert of the Rhine arrived in Liverpool with 10,000 men in an attempt to capture Liverpool Castle . A sixteen - day siege of Liverpool then took place . To defend the city the Parliament Army created a huge trench across much of the town centre . Prince Rupert eventually took hold of the Castle only to be driven out again to take refuge in the Everton area of the city , hence the name of the tower found on the modern day Everton Football Club badge is known as Prince Rupert 's Tower .   Transatlantic trade ( edit )   The first cargo from the Americas was recorded in 1648 . The development of the town accelerated after the Restoration of 1660 , with the growth of trade with America and the West Indies . From that time may be traced the rapid progress of population and commerce , until Liverpool had become the second metropolis of Great Britain . Initially , cloth , coal and salt from Lancashire and Cheshire were exchanged for sugar and tobacco ; the town 's first sugar refinery was established in 1670 .   In 1699 Liverpool was made a parish on its own by Act of Parliament , separate from that of Walton - on - the - Hill , with two parish churches . At the same time it gained separate customs authority from Chester .   Slavery ( edit )   On 3 October 1699 , the very same year that Liverpool had been granted status as an independent parish , Liverpool 's first ' recorded ' slave ship , named Liverpool Merchant , set sail for Africa , arriving in Barbados with a ' cargo ' of 220 Africans , returning to Liverpool on 18 September 1700 . The following month a second recorded ship , The Blessing , set sail for the Gold Coast .   The first wet dock in Britain was built in Liverpool and completed in 1715 . It was the first commercial enclosed wet dock in the world and was constructed for a capacity of 100 ships . By the close of the 18th century 40 % of the world 's , and 80 % of Britain 's Atlantic slave activity was accounted for by slave ships that voyaged from the docks at Liverpool . Liverpool 's black community dates from the building of the first dock in 1715 and grew rapidly , reaching a population of 10,000 within five years . This growth led to the opening of the Consulate of the United States in Liverpool in 1790 , its first consulate anywhere in the world .   Vast profits from the slave trade transformed Liverpool into one of Britain 's foremost important cities . Liverpool became a financial centre , rivalled by Bristol , another slaving port , and beaten only by London . In the peak year of 1799 , ships sailing from Liverpool carried over 45,000 slaves from Africa .   Many factors led to the demise of slavery including revolts , piracy , social unrest , and the repercussions of corruption such as slave insurance fraud , e.g. the Zong massacre case in 1783 . It was Liverpool born politician William Roscoe who spearheaded the anti-Slavery movement in parliament at the time .   Slavery in British colonies was finally abolished in 1833 and slave trading was made illegal in 1807 though some slavery apprenticeships ran until 1838 . However , many merchants managed to ignore the laws and continued to deal in underground slave trafficking , also underhandedly engaging in financial investments for slaving activities in the Americas .   Industrial revolution and commercial expansion ( edit )  The dock system in 1832 Albert Dock  The international trade of the city grew , based , as well as on slaves , on a wide range of commodities - including , in particular , cotton , for which the city became the leading world market , supplying the textile mills of Manchester and Lancashire .   During the eighteenth century the town 's population grew from some 6,000 to 80,000 , and its land and water communications with its hinterland and other northern cities steadily improved . Liverpool was first linked by canal to Manchester in 1721 , the St. Helens coalfield in 1755 , and Leeds in 1816 . In 1830 , Liverpool became home to the world 's first inter-urban rail link to another city , Manchester , through the Liverpool and Manchester Railway and the maiden journey Stephenson 's The Rocket train .   Liverpool 's importance was such that it was home to a number of world firsts , including gaining the world 's first fully electrically powered overhead railway , the Liverpool Overhead Railway , which was opened in 1893 and so pre-dated those in both New York City and Chicago .   The built - up area grew rapidly from the eighteenth century on . The Bluecoat Hospital for poor children opened in 1718 . With the demolition of the castle in 1726 , only St Nicholas Church and the historic street plan - with Castle Street as the spine of the original settlement , and Paradise Street following the line of the Pool - remained to reflect the town 's mediaeval origins . The Town Hall , with a covered exchange for merchants designed by architect John Wood , was built in 1754 , and the first office buildings including the Corn Exchange were opened in about 1810 .   Throughout the 19th century Liverpool 's trade and its population continued to expanded rapidly . Growth in the cotton trade was accompanied by the development of strong trading links with India and the Far East following the ending of the East India Company 's monopoly in 1813 . Over 140 acres ( 0.57 km ) of new docks , with 10 miles ( 16 km ) of quay space , were opened between 1824 and 1858 .  Map of Liverpool from 1880  During the 1840s , Irish migrants began arriving by the thousands due to the Great Famine of 1845 - 1849 . Almost 300,000 arrived in the year 1847 alone , and by 1851 approximately 25 % of the city was Irish - born . The Irish influence is reflected in the unique place Liverpool occupies in UK and Irish political history , being the only place outside Ireland to elect a member of parliament from the Irish Parliamentary Party to the British parliament in Westminster . T.P. O'Connor represented the constituency of Liverpool Scotland from 1885 to 1929 .   As the town became a leading port of the British Empire , a number of major buildings were constructed , including St. George 's Hall ( 1854 ) , and Lime Street Station . The Grand National steeplechase was first run at Aintree in 1837 .   Between 1851 and 1911 , Liverpool attracted at least 20,000 people from Wales in each decade , peaking in the 1880s , and Welsh culture flourished . One of the first Welsh language journals , Yr Amserau , was founded in Liverpool by William Rees ( Gwilym Hiraethog ) , and there were over 50 Welsh chapels in the city .   When the American Civil War broke out Liverpool became a hotbed of intrigue . The prevalence of cotton and slave interests in Liverpool ensured that the city was , in the words of the historian Sven Beckert , `` the most pro-Confederate place in the world outside the Confederacy itself . '' The Confederate Navy ship , the CSS Alabama , was built at Birkenhead on the Mersey and the CSS Shenandoah surrendered there ( being the final surrender and end of the war ) .   Liverpool was granted city status in 1880 , and the following year its university was established . By 1901 , the city 's population had grown to over 700,000 , and its boundaries had expanded to include Kirkdale , Everton , Walton , West Derby , Toxteth and Garston .   20th century ( edit )   1900 - 1938 ( edit )   During the first part of the 20th century Liverpool continued to expand , pulling in immigrants from Europe . In 1903 an International Exhibition took place in Edge Lane . In 1904 , the building of the Anglican Cathedral began , and by 1916 the three Pier Head buildings , including the Liver Building , were complete . This period marked the pinnacle of Liverpool 's economic success , when it regarded itself as the `` second city '' of the British Empire . The formerly independent urban districts of Allerton , Childwall , Little Woolton and Much Woolton were added in 1913 , and the parish of Speke added in 1932 , with large housing developments , mostly by the local authority , being built over the next few years .   Adolf Hitler 's half - brother Alois and his Irish sister - in - law Bridget Dowling are known to have lived in Upper Stanhope Street in the 1910s . Bridget 's alleged memoirs , which surfaced in the 1970s , said that Adolf stayed with them in 1912 - 13 , although this is much disputed as many believe the memoirs to be a forgery .   The maiden voyage of Titanic in April 1912 was originally planned to depart from Liverpool , as Liverpool was its port of registration and the home of owners White Star Line . However , it was changed to depart from Southampton instead .   Aside from the large Irish community in Liverpool , there were other pockets of cultural diversity . The area of Gerard , Hunter , Lionel and Whale streets , off Scotland Road , was referred to as Little Italy . Inspired by an old Venetian custom , Liverpool was ' married to the sea ' in September 1928 . Liverpool was also home to a large Welsh population , and was sometimes referred to as the Capital of North Wales . In 1884 , 1900 and 1929 , Eisteddfods were held in Liverpool . The population of the city peaked at over 850,000 in the 1930s .   Economic changes began in the first part of the 20th century , as falls in world demand for the North West 's traditional export commodities contributed to stagnation and decline in the city . Unemployment was well above the national average as early as the 1920s , and the city became known nationally for its occasionally violent religious sectarianism .   When Everton F.C. won the Football League First Division title in 1928 , their centre - forward Dixie Dean scored a Football League record of 60 goals in the same season .   The Great Depression hit Liverpool badly in the early 1930s with thousands of people in the city left unemployed . This was combated by a large amount of housing mostly built by the local council being constructed , creating jobs mostly in the building , plumbing and electrical trades . About 15 per cent of the city 's population were rehoused in the 1920s and 1930s with more than 30,000 new council houses being built to replace the slums in the city .   The rising popularity of motor cars led to congestion in the city , and in 1934 the city gained its first direct road link with the Wirral Peninsula , when the first Mersey Tunnel road was opened . The Queensway , as the new tunnel was named , linked Liverpool with Birkenhead at the other side of the Mersey . Many other buildings were built in the city in the 1930s to ease the depression and became local landmarks , with many buildings featuring American inspired architecture .   1939 - 1945 : world War ii ( edit )  Main article : Liverpool Blitz  During World War 2 , Liverpool was the control centre for the Battle of the Atlantic . There were eighty air - raids on Merseyside , with an especially concentrated series of raids in May 1941 which interrupted operations at the docks for almost a week . Some 2,500 people were killed , almost half the homes in the metropolitan area sustained some damage and some 11,000 were totally destroyed . Over 70,000 people were made homeless . John Lennon , one of the founding members of The Beatles , was born in Liverpool during an air - raid on 9 October 1940 . All four members of The Beatles were born in the city during the war , rising to fame in the early 1960s .   1946 - 1979 ( edit )  Tree stumps exposed by low water level of reservoir , at Capel Celyn , a Welsh village flooded to provide water for Liverpool .  Significant rebuilding followed the war , including massive housing estates and the Seaforth Dock , the largest dock project in Britain . However , the city has been suffering since the 1950s with the loss of numerous employers . By 1985 the population had fallen to 460,000 . Declines in manufacturing and dock activity struck the city particularly hard .   In 1955 , the Labour Party , led locally by Jack and Bessie Braddock , came to power in the City Council for the first time .   In 1956 , a private bill sponsored by Liverpool City Council was brought before Parliament to develop a water reservoir from the Tryweryn Valley . The development would include the flooding of Capel Celyn . By obtaining authority via an Act of Parliament , Liverpool City Council would not require planning consent from the relevant Welsh Local Authorities . This , together with the fact that the village was one of the last Welsh - only speaking communities , ensured that the proposals became deeply controversial . Thirty five out of thirty six Welsh Members of Parliament ( MPs ) opposed the bill ( the other did not vote ) , but in 1957 it was passed . The members of the community waged an eight - year effort , ultimately unsuccessful , to prevent the destruction of their homes , which finally occurred in 1965 . The incident led to a massive rise in Welsh nationalism , and a year later , Gwynfor Evans of Plaid Cymru won the party 's first seat in the Carmathen by - election .   In the 1960s Liverpool became a centre of youth culture . The city produced the distinctive Merseybeat sound , and , most famously , The Beatles .   From the 1970s onwards Liverpool 's docks and traditional manufacturing industries went into further sharp decline . The advent of containerisation meant that Liverpool 's docks ceased to be a major local employer . In 1974 , Liverpool became a metropolitan district within the newly created metropolitan county of Merseyside .   1980s ( edit )   The 1980s saw Liverpool 's fortunes sink to their lowest postwar point . Although the 1970s , along with the rest of Britain , had brought economic difficulties and a steady rise in unemployment , the situation in Liverpool went from bad to worse in the early 1980s , with endless factory closures and some of the highest unemployment rates in the UK . An average of 12,000 people each year were leaving the city , and 15 % of its land was vacant or derelict .   In July 1981 the infamous Toxteth Riots took place , during which , for the first time in the UK outside Northern Ireland , tear gas was used by police against civilians . In the same year , the Tate and Lyle sugar works , previously a mainstay of the city 's manufacturing economy , closed down . The docks had already declined dramatically by this stage , depriving the city of another major source of employment .   By 1985 , unemployment in Liverpool exceeded 20 % , around double the national average . About this time the scourge of heroin , always present in port cities , really began to rise .   Liverpool City Council was dominated by the far - left wing Militant group during the 1980s , under the de facto leadership of Derek Hatton ( although Hatton was formally only Deputy Leader ) . The city council sank heavily into debt , as the City Council fought a campaign to prevent central government from reducing funding for local services . Ultimately this led to 49 of the City 's Councillors being removed from office by the District Auditor for refusing to cut the budget , refusing to make good the deficit and forcing the City Council into virtual bankruptcy . The conduct of Hatton and the militant tendency had even come under the scrutiny of Labour Party leader Neil Kinnock , who was keen to remove the militant tendency from the party as part of the attempt to make it electable again . At the same time , the Conservative government of Margaret Thatcher was deeply unpopular in Liverpool , with the Conservatives share of the vote in most local council and parliamentary elections being consistently low throughout the 1980s .   On 15 April 1989 , 96 Liverpool F.C. fans ( mostly from Merseyside as well as neighbouring parts of Cheshire and Lancashire ) were fatally injured in the Hillsborough disaster at an FA Cup semi-final in Sheffield . This had a traumatic effect on people across the country , particularly in and around the city of Liverpool , and resulted in legally imposed changes in the way in which football fans have since been accommodated , including compulsory all - seater stadiums at all leading English clubs by the mid 1990s . Many clubs removed their perimeter fencing almost immediately after the tragedy , and such measures at football grounds in England have long since been banned .   In particular this led to strong feeling in Liverpool because it was widely reported in the media that the Liverpool fans were at fault . The Sun sparked particular controversy for publishing these allegations in an article four days after the disaster . Sales of the newspaper in Liverpool slumped and many newsagents refused to stock it . Three decades later , many people in the city still refuse to buy The Sun and a number of newsagents still refuse to sell it . Other media outlets including the Daily Star and Daily Mail also printed similar stories in which the behaviour of Liverpool fans was alleged to have been a major factor in the tragedy .   There was further controversy surrounding the tragedy in March 1991 when a verdict of accidental death was recorded on the 95 people who had died at Hillsborough ( the 96th victim did not die until 1993 ) , much to the dismay of the bereaved families , who had been hoping for a verdict of unlawful killing , or an open verdict , to be recorded ; and for criminal charges to be brought against South Yorkshire Police . This verdict was eventually replaced by one of unlawful killing at fresh inquest 25 years later .   It has since become clear that South Yorkshire Police made a range of mistakes at the game , though the senior officer in charge of the event retired soon after .   The success of Liverpool FC was some compensation for the city 's economic misfortune during the 1970s and 1980s . The club , formed in 1892 , had won five league titles by 1947 , but enjoyed its first consistent run of success under the management of Bill Shankly between 1959 and 1974 , winning a further three league titles as well as the club 's first two FA Cups and its first European trophy in the shape of the UEFA Cup . Following Shankly 's retirement , the club continued to dominate English football for nearly 20 years afterwards . By 1990 , Liverpool FC had won more major trophies than any other English club - a total of 18 top division league titles , four FA Cups , four Football League Cups , four European Cups and two UEFA Cups . The club 's iconic red shirt had been worn by some of the biggest names in British sport of the 1970s and 1980s , including Kevin Keegan , Kenny Dalglish ( who also served as manager from 1985 to 1991 and again from 2011 to 2012 ) , Phil Neal , Ian Rush , Ian Callaghan and John Barnes . The club has yet to win another league title since , although it has since won a further three FA Cups , three League Cups , a UEFA Cup and a European Cup , and fielded a new wave of stars including Robbie Fowler , Michael Owen , Jamie Carragher and Steven Gerrard .   Everton F.C. , the city 's other senior football club , also enjoyed a degree of success during the 1970s and 1980s . The club had enjoyed a consistent run of success during the interwar years and again in the 1960s , but after winning the league title in 1970 went 14 years without winning a major trophy , although they did hold onto the First Division place which had been theirs since 1954 . Then , in 1984 , Everton won the FA Cup under the management of Howard Kendall , who had once been a player at the club . A league title win followed in 1985 , along with the club 's first European trophy - the European Cup Winners ' Cup . By 1986 , the city 's two clubs were firmly established as the leading club sides in England as Liverpool finished league champions and Everton runners - up , and the two sides also met for the FA Cup final , which Liverpool won 3 - 1 . The Everton side of the mid 1980s included some of the highest rated footballers in the English league at the time ; goalkeeper Neville Southall , winger Trevor Steven , forwards Graeme Sharp and Andy Gray , and Gray 's successor Gary Lineker .   Everton have enjoyed an unbroken run in the top flight of English football since 1954 , although their only major trophy since the league title in 1987 came in 1995 when they won the FA Cup . Everton added another league title in 1987 , with Liverpool finishing runners - up .   Another all - Merseyside FA Cup final 1989 saw Liverpool beat Everton 3 - 2 . This match was played just five weeks after the Hillsborough disaster .   1990s ( edit )   A similar national outpouring of grief and shock to the Hillsborough disaster occurred in February 1993 when James Bulger was killed by two ten - year - old boys , Jon Venables and Robert Thompson . The two boys were found guilty of murder later in the year and sentenced to indefinite detention .   The 1990s saw the continued regeneration of the city which had started in the 1980s .   Recent History ( edit )   A general economic and civic revival has been underway since the mid-nineties . Liverpool 's economy has grown faster than the national average and its crime levels have remained lower than most other metropolitan areas in England and Wales , with recorded crime per head in Merseyside comparable to the national average -- unusually low for an urban area .   In recent years , the city has emphasised its cultural attractions . Tourism has become a significant factor in Liverpool 's economy , capitalising on the popularity of The Beatles and other groups of the Merseybeat era . In June 2003 , Liverpool won the right to be named European Capital of Culture for 2008 , beating other British cities such as Newcastle and Birmingham to the coveted title . The riverfront of the city was also designated as a World Heritage Site in 2004 .   In October 2005 , Liverpool City Council passed a public apology for the flooding Capel Celyn in Wales . The full statement reads -     ``   The Council acknowledges its debt to the many thousands of Welsh people who have made their homes in the City . They have , in so many ways , enriched the life of the City . We know that Liverpool , especially in the fields of medicine and education , has been of real service to the people of Wales . We realise the hurt of forty years ago when the Tryweryn Valley was transformed into a reservoir to help meet the water needs of Liverpool . For any insensitivity by our predecessor Council at that time , we apologise and hope that the historic and sound relationship between Liverpool and Wales can be completely restored .   ''     In October 2007 , Liverpool and London continued with wildcat strikes after the end of the official CWU strikes that had been ongoing since June in a dispute with the Royal Mail over pay , pensions , and hours .   See also ( edit )    Timeline of Liverpool history    References ( edit )    Jump up ^ Hanks , Patrick ; Hodges , Flavia ; Mills , David ; Room , Adrian ( 2002 ) . The Oxford Names Companion . Oxford : the University Press . p. 1110 . ISBN 0198605617 .   ^ Jump up to : Harper , Douglas . `` Liverpool '' . The Online Etymology Dictionary .   Jump up ^ `` Our ancestors and the Roman invasion '' . Museum of Liverpool . Retrieved 2 April 2014 .   Jump up ^ `` Celtic kingdoms of the British Isles '' . The History Files . Retrieved 3 April 2014 .   Jump up ^ Ekwall , Eilert ( 1936 ) . The Concise Oxford Dictionary of English Place - names . OUP .   Jump up ^ `` Wales '' . The Free Dictionary . Retrieved 25 November 2015 .   Jump up ^ Downham , C ( 2007 ) . Viking Kings of Britain and Ireland : The Dynasty of Ívarr to A.D. 1014 . Edinburgh : Dunedin Academic Press . pp. 27 -- 28 , 83 -- 84 , 206 -- 209 , 256 . ISBN 978 - 1 - 903765 - 89 - 0 .   Jump up ^ `` Wirral &amp; West Lancashire Viking Research Page '' . The University of Nottingham . Retrieved 25 November 2015 .   Jump up ^ Harding , Steve . `` Ingimund 's Saga : Norwegian Wirral '' . Archived from the original on 11 July 2014 .   ^ Jump up to : Belchem , John , ed. ( 2006 ) . Liverpool 800 : Culture , Character &amp; History . ISBN 1 - 84631 - 035 - 0 .   Jump up ^ `` Text only version of our interactive Liverpool Molyneux Stanley family history page '' . The History of Liverpool . Retrieved 25 November 2015 .   Jump up ^ `` Civil War Siege of Liverpool '' . The History of Liverpool . Retrieved 25 November 2015 .   Jump up ^ `` Liverpool Slave Trade '' . History of Liverpool . Retrieved 28 February 2015 .   Jump up ^ `` Liverpool Local History - American Connections - Slavery Timeline '' . BBC . Retrieved 25 November 2015 .   Jump up ^ `` KS3 History Rail</t>
  </si>
  <si>
    <t xml:space="preserve">what did liverpool have to do with the slave trade</t>
  </si>
  <si>
    <t xml:space="preserve"> The first wet dock in Britain was built in Liverpool and completed in 1715 . It was the first commercial enclosed wet dock in the world and was constructed for a capacity of 100 ships . By the close of the 18th century 40 % of the world 's , and 80 % of Britain 's Atlantic slave activity was accounted for by slave ships that voyaged from the docks at Liverpool . Liverpool 's black community dates from the building of the first dock in 1715 and grew rapidly , reaching a population of 10,000 within five years . This growth led to the opening of the Consulate of the United States in Liverpool in 1790 , its first consulate anywhere in the world . </t>
  </si>
  <si>
    <t xml:space="preserve">Cannabis in Colorado - wikipedia  Cannabis in Colorado  Jump to : navigation , search Cannabis dispensary in Denver  Cannabis in Colorado refers to cannabis ( legal term marijuana ) use and possession in Colorado , United States . The Colorado Amendment 64 , which was passed by voters on November 6 , 2012 , led to legalization in January 2014 . The policy has led to cannabis tourism . There are two sets of policies in Colorado relating to cannabis use : those for medicinal cannabis and for recreational drug use along with a third set of rules governing hemp .     Contents  ( hide )   1 History   1.1 Prohibition ( 1917 )   1.2 Decriminalization ( 1975 )   1.3 Medical marijuana ( 2000 )   1.4 Recreational marijuana ( 2012 )     2 Regulation   2.1 Impaired driving     3 Results   4 See also   5 References   6 External links      History ( edit )   Prohibition ( 1917 ) ( edit )   Amidst an early 20th century trend of limiting the drug , Colorado first restricted cannabis on March 30 , 1917 . In November 1914 Colorado voters approved the 22nd Amendment to the Colorado Constitution , also known as the Prohibition Amendment , prohibiting alcohol beginning January 1 , 1916 ; and on December 18 , 1917 the Eighteenth Amendment ( establishing Prohibition ) was proposed by Congress .   Shortly after the 1937 Marihuana Tax Act went into effect on October 1 , 1937 , the Federal Bureau of Narcotics and Denver Police Department arrested Moses Baca for possession and Samuel Caldwell for dealing . Baca and Caldwell 's arrest made them the first marijuana convictions under U.S. federal law for not paying the marijuana tax . Judge Foster Symes sentenced Baca to 18 months and Caldwell to four years in Leavenworth Penitentiary for violating the 1937 Marihuana Tax Act .   Decriminalization ( 1975 ) ( edit )   In 1975 , during a decade - long wave of decriminalization in the country , Colorado decriminalized marijuana . A contributing factor was the work on behalf of NORML by Pitkin County Deputy District Attorney Jay Moore , who helped win over the legislature 's Republican leadership with arguments as to money wasted on needless enforcement of marijuana laws .   Medical marijuana ( 2000 ) ( edit )   On November 7 , 2000 , 54 % of Colorado voters approved Amendment 20 , which amended the State Constitution to allow the use of marijuana in the state for approved patients with written medical consent . Under this law , patients may possess up to 2 ounces of medical marijuana and may cultivate no more than six marijuana plants ( no more than three of these mature flowering plants at a time ) . Patients who are caught with more than this in their possession may argue `` affirmative defense of medical necessity '' but are not protected under state law with the rights of those who stay within the guidelines set forth by the state . Furthermore , doctors , when making a patient recommendation to the state can recommend the rights to possess additional medicine and grow additional plants , because of the patient 's specific medical needs . Conditions recognized for medical marijuana in Colorado include : cachexia ; cancer ; chronic pain ; chronic nervous system disorders ; epilepsy and other disorders characterized by seizures ; glaucoma ; HIV or AIDS ; multiple sclerosis and other disorders characterized by muscle spasticity ; and nausea . Additionally , patients may not use medical marijuana in public places or in any place where they are in plain view , or in any manner which may endanger others ( this includes operating a vehicle or machinery after medicating ) . Colorado medical marijuana patients can not fill prescriptions at a pharmacy because under federal law , marijuana is classified as a schedule I drug . Instead , patients may get medicine from a recognized caregiver or a non-state - affiliated club or organization , usually called a dispensary . Dispensaries in Colorado offer a range of marijuana strains with different qualities , as well as various `` edibles '' or food products that contain marijuana extracts . Certain dispensaries also offer patients seeds and `` clones '' for those who want to grow their own medicine .   In April 2013 , the Colorado Court of Appeals held in Coats v. Dish Network that since marijuana remains against federal law , employers can use that standard rather than state law as a rationale for banning off - the - job worker use , and are not bound by Colorado 's Lawful Activities Statute :   The primary question before us is whether federally prohibited but state - licensed medical marijuana use is `` lawful activity '' under section 24 - 34 - 402.5 , C.R.S. 2012 , Colorado 's Lawful Activities Statute . If it is , employers in Colorado would be effectively prohibited from discharging an employee for off - the - job use of medical marijuana , regardless that such use was in violation of federal law . We conclude , on reasoning different from the trial court 's analysis , that such use is not `` lawful activity . ''   On June 10 , 2016 Governor John Hickenlooper signed House Bill 16 - 1359 . This bill stated that the court shall not prohibit the use or possession of medical marijuana as a condition of probation unless the individual is sentenced to probation for a conviction under Article 43.3 of Title 12 , C.R.S. ; or if the court determines based upon any material evidence that such a prohibition is necessary and appropriate to accomplish the goals of sentencing stated in 18 - 1 - 102.5 , C.R.S.   Recreational marijuana ( 2012 ) ( edit )  Play media News report from Voice of America about the business of cannabis in Colorado - published March 20 , 2015  Since the enactment of Colorado Amendment 64 in November 2012 , adults aged 21 or older can grow up to six marijuana plants ( with no more than half being mature flowering plants ) privately in a locked space , legally possess all marijuana from the plants they grow ( as long as it stays where it was grown ) , legally possess up to one ounce of marijuana while traveling , and give as a gift up to one ounce to other citizens 21 years of age or older . Any adult in Colorado 's territory may possess up to one ounce of marijuana at any time , regardless of whether they are an in - state resident or an out - of - state visitor , as of 2016 . Retail concentrate / edible limits are as follows : 8g of retail concentrate will be equal to 1oz of flower , and therefore 800mg of THC in the form of retail edibles will be equal to 1oz of retail flower . Consumption is permitted in a manner similar to alcohol , with equivalent offenses prescribed for driving . Consumption in public was recently passed in Denver under Ordinance 300 with a vote of 53 % for legal public consumption , and a 46 % vote against . Within 60 days the new rules will be written and should be similar to current public alcohol consumption rules and regulations . Amendment 64 also provides for licensing of cultivation facilities , product manufacturing facilities , testing facilities , and retail stores . Visitors and tourists in Colorado can use and purchase marijuana , but face prosecution if found in possession in any adjacent state . Denver airport has banned all possession of marijuana but admits it has not charged a single person with possession nor has the airport seized any marijuana since the ban went into effect .   Governor Hickenlooper signed several bills into law on May 28 , 2013 implementing the recommendations of the Task Force on the Implementation of Amendment 64 . On September 9 , 2013 , the Colorado Department of Revenue adopted final regulations for recreational marijuana establishments , implementing the Colorado Retail Marijuana Code ( HB 13 - 1317 ) . On September 16 , 2013 , the Denver City Council adopted an ordinance for retail marijuana establishments . The state prepared for an influx of tourists with extra police officers posted in Denver . Safety fears led to officials seeking to limit use of the drug in popular ski resorts . According to a Quinnipiac University poll released July 21 , 2014 , Coloradans continued to support the state 's legalization of marijuana for recreational use by a margin of 54 -- 43 percent . At the same time , the poll indicated 66 percent of voters there think marijuana use should be legal in private homes and in members - only clubs , but should not be legal in bars , clubs or entertainment venues where alcohol is served . Sixty - one percent of respondents also said laws regulating marijuana use should be as strict as laws regulating alcohol use .   During 2014 , the first year of implementation of Colorado Amendment 64 , Colorado 's legal marijuana market ( both medical and recreational ) reached total sales of $700 million . In September 2014 , legislation was submitted by Alabama senator Jeff Sessions to ensure that Electronic Benefit Transfer cards could not be used to purchase marijuana , as the United States Department of Health and Human Services stated that their usage in marijuana shops was not prohibited .   Regulation ( edit )   General regulations for the legal commercial production and vending of marijuana in the state , which continue to be updated by the General Assembly , are published through the Marijuana Enforcement Division of the Department of Revenue   Hemp is defined as any form of the cannabis plant which has less than `` 3 / 10 's of one percent '' delta - 9 - THC . The state department of agriculture regulates hemp production .   Impaired driving ( edit )   Like other states , driving while impaired by any drug is illegal in Colorado , though it took the legislature six attempts and three years to pass marijuana intoxication measures . Ultimately the legislators decided on a nanogram limit in the bloodstream , though the number they picked was scoffed at by activists . Today Colorado law states that juries may convict a person of marijuana intoxication if they have five or more nanograms of THC per milliliter of blood , but defendants are allowed to argue that they were not intoxicated despite having such levels of THC in their bloodstream .   Results ( edit )   The Colorado amendment 64 , which was passed by voters on November 6 , 2012 , led to legalization in January 2014 . Colorado 's 8 % increase in unemployment rate since 2014 was not as bad as that of other states in the region , like Nevada . Some experts argue that unemployment would have more than doubled without legalization . The Colorado state budget has shown dramatic increases in education , often used to build , upgrade , and increase school safety and funding due to tax revenue from legalization .   The number of teenagers sent to emergency rooms more than quadrupled after marijuana was legalized . The state has also seen car crash claim rates increase after legalization , but there has been no increase in fatalities in comparison with other states . Colorado 's youth marijuana use rate dipped after legalisation and is lower than the national average .   See also ( edit )    Colorado Amendment 44 ( 2006 )   Colorado Amendment 64 ( 2012 )   Law of Colorado   Cannabis Law Reform   Prohibition of drugs   Washington Initiative 502    References ( edit )    Jump up ^ In Colo. , a look at life after marijuana legalization Published by the Boston Globe , February 22 , 2016   Jump up ^ Jason Blevins The Denver Post ( 9 December 2015 ) . `` Marijuana has huge influence on Colorado tourism , state survey says '' .   ^ Jump up to : `` Industrial Hemp '' .   Jump up ^ Sarah E. Boslaugh ( 8 December 2015 ) . The SAGE Encyclopedia of Pharmacology and Society . SAGE Publications . pp. 1758 -- . ISBN 978 - 1 - 5063 - 4618 - 2 .   Jump up ^ Horner , Kylie ( 30 March 2012 ) . `` Marijuana criminalized in Colorado 95 years ago today : Unhappy anniversary ? '' . Westword .   Jump up ^ Session Laws of Colorado . 21st Assembly . 1917 . Ch. 39 , p. 120 . OCLC 1564150 .   Jump up ^ Kreck , Dick ( 5 July 2009 ) . `` High , dry times as Prohibition era sobered Denver '' . The Denver Post . Archived from the original on 2014 - 01 - 06 .   Jump up ^ Robert J. MacCoun ; Peter Reuter ( 27 August 2001 ) . Drug War Heresies : Learning from Other Vices , Times , and Places . Cambridge University Press . pp. 46 -- . ISBN 978 - 0 - 521 - 79997 - 3 .   Jump up ^ Patrick Anderson ( 17 May 2015 ) . High in America . Garrett County Press . pp. 144 -- . ISBN 978 - 1 - 939430 - 16 - 8 .   Jump up ^ `` Marijuana Law Reform '' . NORML. 1970 - 01 - 01 . Retrieved 2011 - 04 - 20 .   Jump up ^ CDPHE Archived May 21 , 2009 , at the Wayback Machine .   Jump up ^ Ingold , John ( 25 April 2013 ) . `` Colorado court upholds firing for off - the - job medical marijuana use '' . The Denver Post .   Jump up ^ Roberts , Michael ( 26 April 2013 ) . `` Marijuana : Paralyzed MMJ patient plans Supreme Court appeal over DISH sacking '' . Westword .   Jump up ^ Coats v. Dish Network , 2013 COA 62 ( 25 April 2013 ) .   Jump up ^ `` Bill Folder '' ( PDF ) . Colorado General Assembly . Colorado General Assembly . June 10 , 2016 . Retrieved October 12 , 2016 .   Jump up ^ `` Marijuana Laws Colorado '' .   Jump up ^ Amendment 64 : ( 3 ). b   Jump up ^ Amendment 64 : ( 3 ). a   Jump up ^ Amendment 64 : ( 3 ). a , 64 : ( 3 ). b , and 64 : ( 3 ). c   Jump up ^ Amendment 64 : ( 1 ). b - III and 64 : ( 6 ). b   Jump up ^ The Denver Post Editorial Board ( 30 September 2013 ) . `` In Colorado , you still ca n't smoke marijuana in public '' . The Denver Post .   Jump up ^ Caldwell , Alicia ( 19 October 2013 ) . `` Colorado must carefully define ' public consumption ' of marijuana '' . The Denver Post .   Jump up ^ Lee , Kurtis ( 11 November 2013 ) . `` Denver to continue tweaks to public pot consumption law '' . The Denver Post .   Jump up ^ Amendment 64 : ( 4 )   Jump up ^ `` Despite ban , no marijuana seized and no citations at Denver airport '' . www.denverpost.com . Retrieved 2016 - 04 - 02 .   Jump up ^ `` Where to buy legal Marijuana Shops , Maps , Laws '' . North Denver News . 20 March 2014 .   Jump up ^ Flatow , Nicole ( 28 May 2013 ) . `` Six Ways Colorado Will Regulate Marijuana Like Alcohol '' . Think Progress .   Jump up ^ `` Gov. Signs Marijuana Bills Into Law '' . KKTV . AP . 29 May 2013 . Archived from the original on 21 September 2013 .   Jump up ^ Kall , David M. ( 28 May 2013 ) . `` Legislature approves historic marijuana sales and excise taxes in Colorado '' .   Jump up ^ HB 13 - 1317 Implement Amendment 64 Majority Recommendation ; HB 13 - 1318 Retail Marijuana Taxes ; SB 13 - 283 Implement Amendment 64 Consensus Recommendations ; HB 13 - 1325 Inferences For Marijuana And Driving Offenses ; SB 13 - 250 Drug Sentencing Changes   Jump up ^ Ingold , John ( 10 September 2013 ) . `` Colorado first state in country to finalize rules for recreational pot '' . The Denver Post .   Jump up ^ Meyer , Jeremy P. ( 17 September 2013 ) . `` Denver council passes historic retail marijuana rules and regulations '' . The Denver Post .   Jump up ^ Healy , Jack ( 1 January 2014 ) . `` Colorado Stores Throw Open Their Doors to Pot Buyers '' . The New York Times .   Jump up ^ Nick Allen ( 31 December 2013 ) . `` Colorado becomes first US state to sell cannabis '' . telegraph.co.uk . Retrieved 2 January 2014 .   Jump up ^ `` July 21 , 2014 - Limit Marijuana To Home , Members - Only Clubs , Colorado Voters Tell Quinnipiac University Poll ; 50 % Back Supreme Court On Contraception '' . quinnipiac.edu . Quinnipiac University . Retrieved 21 July 2014 .   Jump up ^ `` Colorado 's legal weed market : $700 million in sales last year , $1 billion by 2016 '' . The Washington Post . February 12 , 2015 . Retrieved February 12 , 2015 .   Jump up ^ Miller , S.A. ( 9 September 2014 ) . `` Welfare recipients can use debit cards for marijuana '' . Washington Times . Retrieved 19 February 2015 .   Jump up ^ `` Marijuana Enforcement '' .   Jump up ^ `` Marijuana DUI Bill Passes In Colorado Senate , Appears Poised To Become Law '' . The Huffington Post . 7 May 2013 .   Jump up ^ Michael Roberts ( 8 May 2013 ) . `` THC driving limit 's passage means pot critic William Breathes may never drive legally again '' . Westword .   Jump up ^ `` Marijuana Laws in Colorado '' . Colorado Pot Guide .   Jump up ^ ER Visits for Kids Rise Significantly After Pot Legalized in Colorado - NBC News   Jump up ^ https://www.sciencedaily.com/releases/2017/05/170504083114.ht/   Jump up ^ Study : Colorado sees car crash claim rates increase after legalization of marijuana FOX31 Denver   Jump up ^ Colorado 's Teen Marijuana Usage Dips after Legalization - Scientific American    External links ( edit )    Cannabis portal   Colorado portal     Denver Marijuana Info at Colorado.gov              Cannabis in Colorado     Companies     Colorado Compassion Club   Openvape   Evolab       Culture     High Profits   International Church of Cannabis   Stoner Jesus Bible Study       Events     Cannabis Cup       Law     Colorado Amendment 64 ( 2012 )   Denver Initiative 300 ( 2016 )       Organizations     National Cannabis Industry Association   Safer Alternative for Enjoyable Recreation   Women Grow       People     Ricardo Baca   Chris Bartkowicz   Samuel R. Caldwell   Rachel K. Gillette   Ken Gorman   Mason Tvert       Related     Cannabis advertising in Denver                         Legality of cannabis in the United States     Legalized     Alaska   California   Colorado   District of Columbia   Maine   Massachusetts   Nevada   Oregon   Vermont   Washington       Decriminalized     Connecticut   Delaware   Illinois   Maryland   Minnesota   Mississippi   Missouri   Nebraska   New Hampshire   New York   North Carolina   Ohio   Rhode Island   U.S. Virgin Islands       Medical status      Medical cannabis     Arizona   Arkansas   Connecticut   Delaware   Florida   Guam   Hawaii   Illinois   Louisiana   Maryland   Michigan   Minnesota   Montana   New Hampshire   New Jersey   New Mexico   New York   North Dakota   Ohio   Pennsylvania   Puerto Rico   Rhode Island   West Virginia       CBD oil only     Alabama   Georgia   Indiana   Iowa   Kentucky   Mississippi   Missouri   North Carolina   Oklahoma   South Carolina   Tennessee   Texas   Utah   Virginia   Wisconsin   Wyoming          Illegal     American Samoa   Idaho   Kansas   Northern Mariana Islands   South Dakota       Cases     Leary v. United States ( 1969 )   Ravin v. State ( 1975 )   Conant v. McCaffrey ( 2000 )   United States v. Oakland Cannabis Buyers ' Cooperative ( 2001 )   Gonzales v. Raich ( 2005 )   Moncrieffe v. Holder ( 2013 )       Related topics     Legal history   Timeline   Medical   Non-medical   Legality by jurisdiction   Rescheduling   Dispensaries   Cannabis on American Indian reservations   Congressional Cannabis Caucus   Marihuana Tax Act of 1937   Politicians who have admitted use      Retrieved from `` https://en.wikipedia.org/w/index.php?title=Cannabis_in_Colorado&amp;oldid=824999262 '' Categories :   Cannabis in Colorado   Hidden categories :   Webarchive template wayback links   All articles with unsourced statements   Articles with unsourced statements from February 2017   Wikipedia articles in need of updating from November 2016           Talk                                           Contents                   About Wikipedia                                           Add links   This page was last edited on 10 February 2018 , at 21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</si>
  <si>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weed become legal for recreational use in colorado</t>
  </si>
  <si>
    <t xml:space="preserve"> Cannabis in Colorado refers to cannabis ( legal term marijuana ) use and possession in Colorado , United States . The Colorado Amendment 64 , which was passed by voters on November 6 , 2012 , led to legalization in January 2014 . The policy has led to cannabis tourism . There are two sets of policies in Colorado relating to cannabis use : those for medicinal cannabis and for recreational drug use along with a third set of rules governing hemp . </t>
  </si>
  <si>
    <t xml:space="preserve">These Are Special Times - wikipedia  These Are Special Times  Jump to : navigation , search    These Are Special Times         Studio album by Celine Dion     Released   30 October 1998 ( 1998 - 10 - 30 )     Recorded   1998     Genre     Christmas   pop       Length   68 : 27     Label     Columbia   Epic       Producer     Bryan Adams   David Foster   Humberto Gatica   R. Kelly   Tony Renis   Carole Bayer Sager   Ric Wake       Celine Dion chronology        S'il suffisait d'aimer ( 1998 ) S'il suffisait d'aimer 1998   These Are Special Times ( 1998 )   Au cœur du stade ( 1999 ) Au cœur du stade 1999            Singles from These Are Special Times       `` I 'm Your Angel '' Released : 16 November 1998   `` The Prayer '' Released : 1 March 1999           These Are Special Times is the sixth English - language studio album and the first English - language Christmas album by Canadian singer Celine Dion . Released by Sony Music Entertainment on 30 October 1998 , it features cover versions of popular Christmas tunes and original material . Dion worked with David Foster and Ric Wake , who produced most of the tracks for the album . Other producers include R. Kelly and Bryan Adams . Critics praised Dion 's commitment to the recorded material , as well as the production of the songs .   These Are Special Times was released after two of Dion 's most successful albums , Falling into You ( 1996 ) and Let 's Talk About Love ( 1997 ) . It includes the US number - one single , `` I 'm Your Angel '' ( duet with R. Kelly ) and the Golden Globe winning song , `` The Prayer '' ( also featured in Quest for Camelot ) . The album has sold 5.44 million copies in the United States as of November 2016 , according to Nielsen SoundScan , and has been certified five - times Platinum by the RIAA . In Canada , the album has sold one million copies and been certified Diamond by the CRIA . The album has sold 12 million copies worldwide and is one of the best - selling Christmas albums of all time .     Contents  ( hide )   1 Background   2 Content   3 Promotion   4 Singles   5 Critical reception   6 Commercial reception   7 Accolades   8 Track listing   9 Personnel   10 Charts   10.1 Weekly charts   10.2 Decade - end charts   10.3 All - time charts   10.4 Year - end charts     11 Certifications and sales   12 Release history   13 See also   14 References   15 External links      Background ( edit )   Celine Dion released two French - language Christmas albums in her early career : Céline Dion chante Noël ( 1981 ) and Chants et contes de Noël ( 1983 ) . Later , in 1993 , she recorded `` The Christmas Song '' which appears on David Foster 's The Christmas Album . The next year , Dion was featured on Alvin and the Chipmunks ' `` Petit Papa Noël '' which is on their album A Very Merry Chipmunk . In 1996 , she recorded `` Brahms ' Lullaby '' for the compilation For Our Children Too to benefit the Elizabeth Glaser Pediatric AIDS Foundation . `` The Christmas Song '' and `` Brahms ' Lullaby '' were included on These Are Special Times in 1998 .   Content ( edit )       `` The Prayer '' A 27 - second sample of `` The Prayer '' , duet with Andrea Bocelli .     Problems playing this file ? See media help .     Celine Dion worked on These Are Special Times with her longtime partners David Foster and Ric Wake , who produced most of the songs . The album contains seven original compositions : `` Do n't Save It All for Christmas Day '' ( co-written by Celine Dion ; covered by Avalon in 2000 and Clay Aiken in 2004 ) , `` Another Year Has Gone By '' ( written and produced by Bryan Adams ) , a solo version of `` The Magic of Christmas Day '' ( recorded in 1999 as a duet with Rosie O'Donnell and included on a charity album , A Rosie Christmas ) , `` The Prayer '' ( duet with Andrea Bocelli ; each artist sang it solo on the 1998 soundtrack to Quest for Camelot ) , `` Christmas Eve '' , `` These Are the Special Times '' ( written by Diane Warren ; covered by Christina Aguilera in 2000 ) and `` I 'm Your Angel '' ( duet with R. Kelly , written and produced by Kelly ) . Other tracks include inspired arrangements of standards like `` O Holy Night '' , `` Blue Christmas '' ( Diana Krall on acoustic piano ) , `` Adeste Fideles '' , `` Ave Maria '' and new versions of the modern classics `` Happy Xmas ( War Is Over ) '' and `` Feliz Navidad '' . On the latter track and `` Les cloches du hameau '' , Dion is joined by her family . In October 2007 , the album was re-released as a Collector 's Edition that includes a DVD of Dion 's CBS television special for These Are Special Times .   Promotion ( edit )   Celine Dion promoted the album in the United States with a television special which aired on CBS on 25 November 1998 . It included two musical guests : Andrea Bocelli on `` The Prayer '' and Rosie O'Donnell on `` Do You Hear What I Hear ? '' . Dion also performed album tracks ( `` O Holy Night '' , `` These Are the Special Times '' ) , her number - one hits ( `` The Power of Love '' , `` Because You Loved Me '' , `` My Heart Will Go On '' ) , as well as favorites ( `` Let 's Talk About Love '' , `` The First Time Ever I Saw Your Face '' ) . These Are Special Times was a television ratings champion , ranking number - one for the night and drawing an audience of more than sixteen million viewers . The show was nominated for two Emmy Awards . Celine Dion and Andrea Bocelli also performed `` The Prayer '' at the 41st Grammy Awards on 24 February 1999 and at the 71st Academy Awards on 21 March 1999 . She also performed `` Blue Christmas '' at `` The Today Show '' and `` Another Year Has Gone By '' at `` The Rosie O'Donnell Show '' and with Bryan Adams at the `` Late Show with David Letterman '' . `` The Christmas Song ( Chestnuts Roasting on an Open Fire ) '' was performed in 1992 at the TV show `` Good Morning America '' and in 1993 with David Foster on his TV special , `` David Foster 's Christmas Album '' on NBC on 10 December 1993 .   `` Happy Xmas ( War Is Over ) '' and `` The Christmas Song '' were part of Dion 's show A New Day during its winter runs in 2004 and 2007 respectively . In addition , Dion performed `` The Christmas Song '' at The Rockefeller Center on 28 November 2007 whereas one of the performances from Las Vegas was televised during Larry King Show in December 2007 .   What 's more , Dion performed `` Do n't Save It All for Christmas Day '' and `` Adeste Fideles ( O Come All Ye Faithful ) '' at the 2009 Walt Disney World Christmas Day Parade , which aired on ABC .   Both `` I 'm Your Angel '' and `` The Prayer '' were sung during Taking Chances World Tour and selected shows of Celine . Moreover , Celine performed `` The Prayer '' with Andrea Bocelli during Live At Central Park in New York in 2011 .   In December 2015 , as a part of Michael Bublé 's Christmas in Hollywood which aired on NBC , Celine sang `` O Holy Night '' and `` Happy Xmas ( War Is Over ) '' in a duet version with Bublé .   Singles ( edit )       `` I 'm Your Angel '' A 30 - second sample of `` I 'm Your Angel '' , duet with R. Kelly .     Problems playing this file ? See media help .     `` I 'm Your Angel '' was released as the first single from the album . It became Dion 's fourth number - one on the US Billboard Hot 100 , topping the chart for six consecutive weeks . On 9 December 1998 , it was certified Platinum by the RIAA for shipment of one million copies in the United States . The song was also successful in Europe , peaking at number three in the United Kingdom . In March 1999 , `` The Prayer '' ( duet with Andrea Bocelli ) was sent to adult contemporary radio stations in the United States and peaked at number twenty - two on the Hot Adult Contemporary Tracks . In February 2008 , Dion recorded a live version of this song in a duet with Josh Groban . Thanks to the digital sales , the track entered the Billboard Hot 100 at number seventy .   Critical reception ( edit )     Professional ratings     Review scores     Source   Rating     AllMusic       Billboard   ( favorable )     Entertainment Weekly   B −     These Are Special Times garnered generally positive reviews from music critics . Paul Verna from Billboard gave it a very positive review , praising Dion 's maturity and the album 's production . He wrote , `` sounding at complete ease and wielding a wildly creative wand , an ever - maturing Dion conjures up surprise on what should be regarded as her next `` big '' album . '' Verna noted that this `` grade - A effort '' is `` no ordinary holiday project . '' He praised `` grandiose versions of standards '' ( `` O Holy Night '' , `` Adeste Fideles '' ) , `` modern classics '' ( `` Happy Xmas ( War Is Over ) '' , `` Feliz Navidad '' ) and `` thoughtfully produced original compositions '' ( `` Another Year Has Gone By '' , `` Do n't Save It All for Christmas Day '' ) . According to him , other highlights include `` The Prayer '' , a `` gorgeous duet '' with Andrea Bocelli , the `` Phil Spector-esque '' `` Christmas Eve '' , and a `` sparkling reading '' of `` Ave Maria '' .   Chuck Taylor from Billboard also praised `` I 'm Your Angel '' , a duet with R. Kelly . He wrote that `` this wonderfully restrained ballad delights with the most graceful vocal performances either of these artists has ever offered to radio . '' Taylor commented , `` what raises the roof is the tune 's elegant , epic instrumental base , which includes sweeping strings , a soulful choir , and gentle but determined percussive drive . '' He continued , that `` I 'm Your Angel '' `` sells big at the bridge , where the instrumentation drops and Kelly and Dion harmonize in a gorgeous minor key -- it truly makes the song . '' Chuck Taylor also reviewed `` The Prayer '' , calling it `` a breathtaking , ultra-lush song , and the tour de force combination of Dion and Bocelli ( which ) will send a half - dozen chills up your spine . '' Although he felt that the song is `` an unorthodox track for the radio '' , Taylor called it `` affecting '' , `` heartwarming '' , `` absolutely exquisite '' and `` one of Dion 's most radiant performances ever . ''   Stephen Thomas Erlewine of AllMusic stated that `` any fan of Dion , or of ' 90s adult contemporary pop in general , should find this ( album ) very enjoyable . '' Although according to him , `` at times , the production is too slick '' and `` at other times Dion 's vocals are a little mannered , '' overall , These Are Special Times `` is very effective , because the songs are good and she 's committed to the material . '' Erlewine wrote that These Are Special Times is `` an especially successful holiday album since Dion wisely balances '' popular carols ( `` Blue Christmas , '' `` The Christmas Song , '' `` Feliz Navidad '' ) with new songs ( `` I 'm Your Angel , '' `` Do n't Save It All for Christmas '' ) , hymns ( `` Adeste Fideles , '' `` Ave Maria '' ) , and Christmas songs with a distinct religious theme ( `` The Prayer , '' `` O Holy Night '' ) . ''   Commercial reception ( edit )   These Are Special Times debuted at number four on the US Billboard 200 , selling 126,000 copies . The next week , it became a greatest gainer , jumping to number three and selling 163,000 units . In its third week , despite selling 210,000 copies , These Are Special Times fell to number five . In the fourth week , thanks to Dion 's CBS television special , the album rose to number three , with a 94 % sales increase ( 409,000 copies ) becoming a greatest gainer again . The next week , it moved to its peak position on the Billboard 200 , number two , with sales of 366,000 units . These Are Special Times tied Amy Grant 's 1992 Home for Christmas as the highest - charting holiday album ever by a female artist . It stayed at number two for the second week , selling 413,000 copies . In the seventh week , These Are Special Times reached its highest weekly sales of 462,000 copies , despite falling to number three . In the last week inside the top ten , the album fell to number five selling another 461,000 copies . On the Top Holiday Albums , it topped the chart for nine consecutive weeks .   These Are Special Times became the best - selling holiday album of 1998 in the US with a total of 2,684,000 copies sold . Dion 's album also sold more copies in its first year of release than any other holiday album by a female artist . On 6 December 2005 , the album was certified five - times Platinum by the RIAA for shipment of five million copies in the US . On 16 November 2008 , it also became the first holiday album by a female artist to top the five million mark in Nielsen SoundScan history . These Are Special Times is also the highest selling Christmas album by an artist born outside the US . It is the fourth best - selling Christmas album of the entire Nielsen SoundScan era with US sales of 5.44 million copies .   In Canada , These Are Special Times peaked at number one . The album shipped one million copies and was certified Diamond by the CRIA . In Japan , the album reached number four and exceeded sales of more than 500,000 copies . These Are Special Times was also successful in Australasia and Europe , hitting the top ten in most countries and peaking at number one in Switzerland and Norway . It has sold twelve million copies worldwide , and is one of the best - selling Christmas albums of all time .   Accolades ( edit )  Main article : List of awards and nominations received by Celine Dion  These Are Special Times received the 1999 Japan Gold Disc Award for International Pop Album of the Year . At the 56th Golden Globe Awards , `` The Prayer '' won the award for Best Original Song . `` I 'm Your Angel '' and `` The Prayer '' were nominated for the Grammy Award for Best Pop Collaboration with Vocals at the 41st and 42nd Grammy Awards , respectively . `` The Prayer '' was also nominated for the Academy Award for Best Original Song at the 71st Academy Awards . In 2017 , 24 / 7 Wall St. Named These Are Special Times as the 8th best Holiday Album of all time .   Track listing ( edit )     No .   Title   Writer ( s )   Producer ( s )   Length     1 .   `` O Holy Night ''   Traditional   David Foster   5 : 21     2 .   `` Do n't Save It All for Christmas Day ''     Peter Zizzo   Ric Wake   Celine Dion     Wake   4 : 37     3 .   `` Blue Christmas ''     Jay Johnson   Bill Hayes     Foster   3 : 48     4 .   `` Another Year Has Gone By ''     Bryan Adams   Eliot Kennedy     Adams   3 : 24     5 .   `` The Magic of Christmas Day ( God Bless Us Everyone ) ''   Dee Snider   Wake   4 : 17     6 .   `` Ave Maria ''   Franz Schubert   Foster   4 : 55     7 .   `` Adeste Fideles ( O Come All Ye Faithful ) ''   Traditional   Foster   4 : 43     8 .   `` The Christmas Song ( Chestnuts Roasting on an Open Fire ) ''     Mel Tormé   Robert Wells     Foster   4 : 13     9 .   `` The Prayer '' ( duet with Andrea Bocelli )     Carole Bayer Sager   Foster   Alberto Testa   Tony Renis       Foster   Renis   Bayer Sager     4 : 29     10 .   `` Brahms ' Lullaby ''   Johannes Brahms   Foster   3 : 32     11 .   `` Christmas Eve ''     Maria Christensen   Curtis Frasca     Wake   4 : 16     12 .   `` These Are the Special Times ''   Diane Warren   Foster   4 : 08     13 .   `` Happy Xmas ( War Is Over ) ''     John Lennon   Yoko Ono     Wake   4 : 14     14 .   `` I 'm Your Angel '' ( duet with R. Kelly )   R. Kelly   Kelly   5 : 31     15 .   `` Feliz Navidad ''   José Feliciano     Wake   Humberto Gatica     3 : 40     16 .   `` Les cloches du hameau ''   Brahms   Wake   3 : 10       ( show ) Japanese bonus track     No .   Title   Writer ( s )   Producer ( s )   Length     17 .   `` My Heart Will Go On '' ( No Lead Vox )     James Horner   Will Jennings       Walter Afanasieff   Horner     4 : 40       ( show ) 2007 Collector 's Edition bonus DVD     No .   Title   Writer ( s )   Length     1 .   `` The Power of Love ''     Candy DeRouge   Gunther Mende   Mary Susan Applegate   Jennifer Rush         2 .   `` Do You Hear What I Hear ? '' ( duet with Rosie O'Donnell )     Noël Regney   Gloria Shayne Baker         3 .   `` O Holy Night ''   Traditional       4 .   `` Because You Loved Me ''   Warren       5 .   `` Let 's Talk About Love ''     Adams   Jean - Jacques Goldman   Kennedy         6 .   `` The First Time Ever I Saw Your Face ''   Ewan MacColl       7 .   `` My Heart Will Go On ''     Horner   Jennings         8 .   `` The Prayer '' ( duet with Andrea Bocelli )     Bayer Sager   Foster   Testa   Renis         9 .   `` Ave Maria '' ( performed by Andrea Bocelli )   Pietro Mascagni       10 .   `` End Credits '' ( featuring `` Feliz Navidad '' and `` These Are the Special Times '' )     Feliciano   Warren         Personnel ( edit )   Adapted from AllMusic .    Bryan Adams -- arranger , bass , composer , guitar , producer , string arrangements   Tawatha Agee -- vocals ( background )   Steve Amerson -- vocals ( background )   Morgan Ames -- vocals ( background )   Randy Andos -- trombone   Jane Barnett -- vocals ( background )   David Barratt -- production coordination   Tony Black -- programming   Juan Bohorquez -- assistant engineer , mixing assistant   Dick Bolks -- vocals ( background )   Alfred Bosco -- assistant engineer   Jeff Bova -- programming   Robert Bowker -- vocals ( background )   Jimmy Bralower -- drum programming   Troy Bright -- vocals ( background )   Martin Briley -- vocals ( background )   Chris Brooke -- assistant engineer   Alexandra Brown -- choir , chorus   Bridgette Bryant -- choir , chorus   Sharon Bryant -- vocals ( background )   Bob Buckley -- conductor , string arrangements   Amick Byram -- vocals ( background )   Bob Cadway -- engineer   Richie Cannata -- sax ( tenor ) , saxophone   Johnnie Carl -- arranger   Elin Carlson -- vocals ( background )   Patrick Carroll -- drum programming , guitar ( bass ) , percussion   Carmen Carter -- choir , chorus   Lafayette Carthon , Jr. -- conductor , keyboards , vocals ( background )   Sue Ann Carwell -- vocals ( background )   John Chiodini -- guitar , guitar ( electric )   Maria Christensen -- composer , vocals ( background )   Dennis Collins -- vocals ( background )   Crystal Cathedral Choir -- choir   Barry Danielian -- trumpet   Donna Davidson -- vocals ( background )   Nathan Dean -- mixing assistant   Russ DeSalvo -- guitar   John Doelp -- executive producer   Chuck Domanico -- bass   Terence Dover -- engineer   Felipe Elgueta -- engineer , programming   Gary Falcone -- choir , chorus   David Foster -- arranger , composer , keyboards , piano , producer   Bob Franceschini -- sax ( alto )   Simon Franglen -- synclavier   Roger Freeland -- vocals ( background )   Yvonne Gage -- vocals ( background )   Humberto Gatica -- engineer , mixing   Ayuana George -- vocals ( background )   Stephen George -- programming   Diva Gray -- vocals ( background )   Nikki Gregoroff -- vocals ( background )   Don Hachey -- mixing assistant   Andy Haller -- assistant engineer   Jeff Hamilton -- drums   Brian Harding -- assistant engineer , mixing assistant   Linda Harmon -- vocals ( background )   Bill Harris -- sax ( alto )   Don Harris -- trumpet   Dan Hetzel -- engineer   Loris Holland -- conductor , keyboards , organ ( Hammond ) , vocal arrangement , vocals ( background )   Jimmy Hoyson -- assistant engineer   Ronn Huff -- arranger   Nancey Jackson -- vocals ( background )   Bashiri Johnson -- vocals ( background )   Tony Kadleck -- trumpet   Shane Keister -- arranger , handbell arrangement , piano , synclavier   Khris Kellow -- vocals ( background )   R. Kelly -- arranger , composer , performer , producer   Rick Kerr -- engineer   Curtis King -- vocals ( background )   Darlene Koldenhoven -- vocals ( background )   Diana Krall -- piano   John Kurlander -- engineer   Rick Logan -- vocals ( background )   Susie Stevens Logan -- vocals ( background )   Lisa Lougheed -- vocals ( background )   Jeremy Lubbock -- arranger , string arrangements   Vito Luprano -- executive producer   Johnny Mandel -- orchestral arrangements   Ethan Mates -- mixing assistant   Rob Mathes -- conductor , orchestral arrangements   Paulette McWilliams -- vocals ( background )   Ozzie Melendez -- trombone   Chieli Minucci -- guitar   Cindy Mizelle -- vocals ( background )   Robert Moe -- vocals ( background )   Jeffrey Morrow -- vocals ( background )   Rob Murphy -- assistant engineer , mixing assistant   Jake Ninan -- assistant engineer   Rafael Padilla -- percussion   Bobbi Page -- choir , chorus   Shawn Pelton -- drums   Randy Phillips -- choir , chorus   Louis Price -- choir , chorus   Tom Rainer -- synthesizer   Jeffrey Ramsey -- choir , chorus   Anthony Ransick -- vocals ( background )   Dave Reitzas -- engineer   Cathy Richardson -- vocals ( background )   John `` J.R. '' Robinson -- drums   Robin Robinson -- vocals ( background )   Stevie Robinson -- vocals ( background )   Olle Romo -- programming   William Ross -- arranger , orchestral arrangements   Kamil Rustam -- guitar ( acoustic )   Johnny Rutledge -- vocals ( background )   Larry Salzman -- guitar   John Scarpulla -- sax ( baritone )   Al Schmitt -- engineer   David Shackney -- engineer   Don Shelton -- vocals ( background )   Marc Shulman -- guitar   Ira Siegel -- guitar   Steve Skinner -- arranger , drum programming , keyboard programming   Ramón Stagnaro -- guitar ( acoustic )   Randy Staub -- engineer   Aya Takemura -- mixing assistant   Chris Taylor -- guitar   David Taylor -- trombone ( bass )   Vaneese Thomas -- vocals ( background )   Michael Thompson -- guitar ( electric )   Fonzi Thornton -- vocals ( background )   UB Tirado -- mixing assistant   Terry Trotter -- piano   Rob Trow -- vocals ( background )   Eric Troyer -- vocals ( background )   Carmen Twillie -- choir , chorus , vocals ( background )   Vancouver Orchestra -- strings   Gary Van Pelt -- engineer   Jeff Vereb -- mixing assistant   Frank Vilardi -- drums   Ric Wake -- arranger , composer , producer   Joan Walton -- vocals ( background )   Spencer Washington -- vocals ( background )   John West -- vocals ( background )   Phil Western -- engineer , keyboards , programming , string arrangements   Brenda White - King -- vocals ( background )   George Whitty -- engineer , keyboard arrangements , synthesizer arrangements   Cheryl Wilson -- vocals ( background )   Elisabeth Withers -- vocals ( background )   Steven Wolf -- drums   Thomas R. Yezzi -- engineer   Peter Zizzo -- arranger , bass programming , composer , drum programming , guitar , keyboard programming    Charts ( edit )      Weekly charts ( edit )     Chart ( 1998 -- 99 )   Peak position     Australian Albums ( ARIA )   6     Austrian Albums ( Ö3 Austria )       Belgian Albums ( Ultratop Flanders )   16     Belgian Albums ( Ultratop Wallonia )   12     Canada Top Albums / CDs ( RPM )       Canadian Albums ( Billboard )       Danish Albums ( Hitlisten )   6     Dutch Albums ( MegaCharts )       European Albums ( Top 100 )       Finnish Albums ( Suomen virallinen lista )       French Albums ( SNEP )   23     German Albums ( Offizielle Top 100 )       Hungarian Albums ( MAHASZ )   14     Italian Albums ( FIMI )   7     Italian Albums ( Hit Parade )   13     Japanese Albums ( Oricon )       Malaysian Albums ( RIM )   6     New Zealand Albums ( RMNZ )       Norwegian Albums ( VG - lista )       Scottish Albums ( OCC )   31     Swedish Albums ( Sverigetopplistan )       Swiss Albums ( Schweizer Hitparade )       UK Albums ( OCC )   20     US Billboard 200       US Top Holiday Albums ( Billboard )       US Top Catalog Albums ( Billboard )       Decade - end charts ( edit )     Chart ( 2000 -- 09 )   Position     US Top Catalog Albums ( Billboard )   17     US Top Holiday Albums ( Billboard )   6     All - time charts ( edit )     Chart   Position     Canadian Artists Albums ( SoundScan )   10       Year - end charts ( edit )     Chart ( 1998 )   Position     Australian Albums ( ARIA )   45     Belgian Albums ( Ultratop Flanders )   56     Belgian Albums ( Ultratop Wallonia )   64     Canada Top Albums / CDs ( RPM )   35     Dutch Albums ( MegaCharts )   85     German Albums ( Offizielle Top 100 )   91     Italian Albums ( Hit Parade )   62     Japanese Albums ( Oricon )   80     New Zealand ( RMNZ )   35     Norwegian Christmas Period Albums ( VG - lista )       Swiss Albums ( Schweizer Hitparade )   21     UK Albums ( OCC )   60     US Top Holiday Albums ( SoundScan )       Chart ( 1999 )   Position     Canada Top Albums / CDs ( RPM )   68     Dutch Albums ( MegaCharts )   80     US Billboard 200   23     Chart ( 2000 )   Position     Finnish Foreign Albums ( Suomen virallinen lista )   70     US Top Catalog Albums ( Billboard )       Chart ( 2001 )   Position     US Top Catalog Albums ( Billboard )   24     Chart ( 2002 )   Position     US Top Catalog Albums ( Billboard )   32     Chart ( 2003 )   Position     US Top Catalog Albums ( Billboard )   36     Chart ( 2004 )   Position     US Top Catalog Albums ( Billboard )   45     Chart ( 2008 )   Position     Swedish Albums ( Sverigetopplistan )   98     US Top Catalog Albums ( Billboard )   41     Chart ( 2012 )   Position     Swedish Albums ( Sverigetopplistan )   87     Chart ( 2016 )   Position     US Top Catalog Albums ( Billboard )   48        Certifications and sales ( edit )     Region   Certification   Certified units / Sales     Australia ( ARIA )   Platinum   70,000     Austria ( IFPI Austria )   Platinum   50,000     Belgium ( BEA )   Platinum   50,000     Canada ( Music Canada )   Diamond   1,000,000     Finland ( Musiikkituottajat )   Gold   44,678     France     80,000     Germany ( BVMI )   Gold   250,000     Japan ( RIAJ )   2 × Platinum   500,000     Netherlands ( NVPI )   Gold   50,000     New Zealand ( RMNZ )   2 × Platinum   30,000     Norway ( IFPI Norway )   2 × Platinum   100,000     Sweden ( GLF )   Platinum   80,000     Switzerland ( IFPI Switzerland )   2 × Platinum   100,000     United Kingdom ( BPI )   Platinum   300,000     United States ( RIAA )   5 × Platinum   5,440,000     Summaries     Europe ( IFPI )   Platinum   1,000,000     Worldwide     12,000,000      sales figures based on certification alone shipments figures based on certification alone      Release history ( edit )     Region   Date   Label   Format   Catalog     Europe   30 October 1998   Columbia   CD   COL 492730 2     Japan   31 October 1998   Epic   ESCA - 7390     United States   3 November 1998   550 , Epic   BK 69523     Australia   6 November 1998   Columbia   4926512     Germany   28 September 2007   Sony Music Ihre schönsten Weihnachtslieder   CD   82876 86057 2     United States   2 October 2007   Legacy Recordings   CD / DVD   88697 15575 2     Europe   2 November 2007     Japan   21 November 2007   EICP - 882 ~ EICP - 883     Australia   8 December 2007   88697 15575 2     See also ( edit )    List of best - selling Christmas / holiday albums in the United States   List of Canadian number - one albums of 1998   List of diamond - certified albums in Canada    References ( edit )    ^ Jump up to : Gary Trust ( 22 May 2016 ) . `` Ask Billboard : Celine Dion 's Career Sales &amp; Biggest Hot 100 Hits '' . Billboard . Retrieved 23 May 2016 .   ^ Jump up to : Keith Caulfield ( 14 November 2014 ) . `` Billboard 200 Chart Moves : Doobie Brothers Earn Highest Charting Album Since 1980 '' . Billboard . Retrieved 14 November 2014 .   Jump up ^ Grein , Paul ( 17 December 2012 ) . `` Chart Watch Extra : Christmas Albums , From Bing To Buble '' . Yahoo ! Music . Yahoo !. Retrieved 18 December 2012 .   ^ Jump up to : Keith Caulfield ( 24 November 2016 ) . `` What Are the Top - Selling Christmas Albums of All Time ? '' . Billboard . Retrieved 24 November 2016 .   Jump up ^ `` RIAA Searchable Database - Gold &amp; Platinum Certifications '' . Recording Industry Association of America . Retrieved 2 December 2014 .   Jump up ^ `` Céline Dion chante Noël '' . Discogs . Zink Media , Inc . Retrieved 1 May 2012 .   Jump up ^ `` Chants et contes de Noël '' . Discogs . Zink Media , Inc . Retrieved 1 May 2012 .   Jump up ^ `` David Foster -- The Christmas Album '' . Discogs . Zink Media , Inc . Retrieved 1 May 2012 .   Jump up ^ Erlewine , Stephen Thomas . `` A Very Merry Chipmunk '' . AllMusic . Retrieved 1 May 2012 .   Jump up ^ `` For Our Children Too '' . AllMusic . Retrieved 1 May 2012 .   ^ Jump up to : `` Celine Dion Takes Stock of Success '' . Billboard . Nielsen Business Media , Inc. 17 October 1998 . Retrieved 1 May 2012 .   Jump up ^ Blodgett - Williams , Dacia A. `` Joy : A Christmas Collection '' . AllMusic . Retrieved 1 May 2012 .   Jump up ^ Erlewine , Stephen Thomas . `` Merry Christmas with Love '' . AllMusic . Retrieved 1 May 2012 .   Jump up ^ Phares , Heather . `` A Rosie Christmas '' . AllMusic . Retrieved 1 May 2012 .   Jump up ^ Erlewine , Stephen Thomas . `` My Kind of Christmas '' . AllMusic . Retrieved 1 May 2012 .   ^ Jump up to : `` Celine Dion : These Are Special Times '' . celinedion.com . Retrieved 1 May 2012 .   ^ Jump up to : `` Between the Bullets '' . Billboard . Nielsen Business Media , Inc. 12 December 1998 . Retrieved 1 May 2012 .   Jump up ^ These Are Special Times : Collector 's Edition CD booklet : `` ( ... ) drawing an audience of more than sixteen million viewers . ''   ^ Jump up to : `` Reviews &amp; Previews &gt; Artists &amp; Music &gt; Singles &gt; AC &gt; The Prayer '' . Billboard . Nielsen Business Media , Inc. 20 March 1999 . Retrieved 1 May 2012 .   Jump up ^ `` Celine Dion &amp; Andrea Bocelli - The Prayer ( Oscars Academy 1999 ) video '' . NME . Retrieved 1 May 2012 .   ^ Jump up to : `` Two Angels We Have Heard on High '' . Billboard . Nielsen Business Media , Inc. 5 December 1998 . Retrieved 1 May 2012 .   Jump up ^ `` ' Salty ' Is Better Than Spicy At No. 1 '' . Billboard . Nielsen Business Media , Inc. 9 January 1999 . Retrieved 1 May 2012 .   ^ Jump up to : `` RIAA Searchable Database '' . Recording Industry Association of America . Retrieved 1 May 2012 .   Jump up ^ `` Celine Dion Top 75 Releases '' . Official Charts Company . Archived from the original on 15 February 2012 . Retrieved 1 May 2012 .   Jump up ^ `` Celine Dion &gt; Chart History &gt; Adult Contemporary '' . Billboard . Nielsen Business Media , Inc . Retrieved 1 May 2012 .   Jump up ^ `` Celine Dion : That 's Just the Woman in Me '' . CBS . Archived from the original on 28 June 2012 . Retrieved 1 May 2012 .   Jump up ^ `` Celine Dion &gt; Chart History &gt; Billboard Hot 100 '' . Billboard . Nielsen Business Media , Inc . Retrieved 1 May 2012 .   ^ Jump up to : Erlewine , Stephen Thomas . `` These Are Special Times &gt; Overview '' . AllMusic . Retrieved 1 May 2012 .   ^ Jump up to : `` Reviews &amp; Previews &gt; Artists &amp; Music &gt; Albums &gt; Spotlight &gt; These Are Special Times '' . Billboard . Nielsen Business Media , Inc. 14 November 1998 . Retrieved 1 May 2012 .   Jump up ^ Willman , Chris ( 4 December 1998 ) . `` Just Say Noel '' . Entertainment Weekly . Retrieved 1 July 2012 .   ^ Jump up to : `` Reviews &amp; Previews &gt; Artists &amp; Music &gt; Singles &gt; Pop &gt; I 'm Your Angel '' . Billboard . Nielsen Business Media , Inc. 17 October 1998 . Retrieved 1 May 2012 .   Jump up ^ `` Between the Bullets '' . Billboard . Nielsen Business Media , Inc. 21 November 1998 . Retrieved 1 May 2012 .   Jump up ^ `` Between the Bullets '' . Billboard . Nielsen Business Media , Inc. 28 November 1998 . Retrieved 1 May 2012 .   Jump up ^ `` Between the Bullets '' . Billboard . Nielsen Business Media , Inc. 19 December 1998 . Retrieved 1 May 2012 .   ^ Jump up to : Grein , Paul ( 4 December 2009 ) . `` Chart Watch Extra : Bring On Christmas ! '' . Yahoo !. Archived from the original on 11 December 2009 . Retrieved 1 May 2012 . CS1 maint : BOT : original - url status unknown ( link )   ^ Jump up to : `` Between the Bullets '' . Billboard . Nielsen Business Media , Inc. 2 January 1999 . Retrieved 1 May 2012 .   Jump up ^ `` Between the Bullets '' . Billboard . Nielsen Business Media , Inc. 9 January 1999 . Retrieved 1 May 2012 .   Jump up ^ `` No. 1 On This Week 's Unpublished Charts '' . Billboard . Nielsen Business Media , Inc. 16 January 1999 . Retrieved 1 May 2012 .   Jump up ^ Grein , Paul ( 19 November 2008 ) . `` Week Ending Nov. 16 , 2008 : Teens On Top '' . Yahoo !. Retrieved 1 May 2012 .   Jump up ^ Grein , Paul ( 5 December 2008 ) . `` Chart Watch Extra : The Top 40 Christmas Albums '' . Yahoo !. Retrieved 1 May 2012 .   Jump up ^ Gary Trust ( 15 January 2013 ) . `` Ask Billboard : 20 No. 13 Hits For 2013 '' . Billboard . Retrieved 21 January 2013 .   Jump up ^ `` These Are Special Times - Celine Dion '' . Billboard . Nielsen Business Media , Inc . Retrieved 1 May 2012 .   Jump up ^ `` Gold &amp; Platinum Certification , October 2007 '' . Can</t>
  </si>
  <si>
    <t xml:space="preserve">celine dion these are the special times full album</t>
  </si>
  <si>
    <t xml:space="preserve">   No .   Title   Writer ( s )   Producer ( s )   Length     1 .   `` O Holy Night ''   Traditional   David Foster   5 : 21     2 .   `` Do n't Save It All for Christmas Day ''     Peter Zizzo   Ric Wake   Celine Dion     Wake   4 : 37     3 .   `` Blue Christmas ''     Jay Johnson   Bill Hayes     Foster   3 : 48     4 .   `` Another Year Has Gone By ''     Bryan Adams   Eliot Kennedy     Adams   3 : 24     5 .   `` The Magic of Christmas Day ( God Bless Us Everyone ) ''   Dee Snider   Wake   4 : 17     6 .   `` Ave Maria ''   Franz Schubert   Foster   4 : 55     7 .   `` Adeste Fideles ( O Come All Ye Faithful ) ''   Traditional   Foster   4 : 43     8 .   `` The Christmas Song ( Chestnuts Roasting on an Open Fire ) ''     Mel Tormé   Robert Wells     Foster   4 : 13     9 .   `` The Prayer '' ( duet with Andrea Bocelli )     Carole Bayer Sager   Foster   Alberto Testa   Tony Renis       Foster   Renis   Bayer Sager     4 : 29     10 .   `` Brahms ' Lullaby ''   Johannes Brahms   Foster   3 : 32     11 .   `` Christmas Eve ''     Maria Christensen   Curtis Frasca     Wake   4 : 16     12 .   `` These Are the Special Times ''   Diane Warren   Foster   4 : 08     13 .   `` Happy Xmas ( War Is Over ) ''     John Lennon   Yoko Ono     Wake   4 : 14     14 .   `` I 'm Your Angel '' ( duet with R. Kelly )   R. Kelly   Kelly   5 : 31     15 .   `` Feliz Navidad ''   José Feliciano     Wake   Humberto Gatica     3 : 40     16 .   `` Les cloches du hameau ''   Brahms   Wake   3 : 10   </t>
  </si>
  <si>
    <t xml:space="preserve">Cristiano Ronaldo - wikipedia  Cristiano Ronaldo  Portuguese footballer For the Brazilian footballer , see Ronaldo ( Brazilian footballer ) . This name uses Portuguese naming customs . The first or maternal family name is Santos and the second or paternal family name is Aveiro .  Cristiano Ronaldo GOIH ComM   Cristiano Ronaldo with Portugal at the 2018 FIFA World Cup         Full name   Cristiano Ronaldo dos Santos Aveiro     Date of birth   ( 1985 - 02 - 05 ) 5 February 1985 ( age 33 )     Place of birth   Funchal , Madeira , Portugal     Height   1.85 m ( 6 ft 1 in )     Playing position   Forward     Club information     Current team   Real Madrid     Number   7     Youth career     1992 -- 1995   Andorinha     1995 -- 1997   Nacional     1997 -- 2002   Sporting CP     Senior career *     Years   Team   Apps   ( Gls )     2002 -- 2003   Sporting CP B     ( 0 )     2002 -- 2003   Sporting CP   25   ( 3 )     2003 -- 2009   Manchester United   196   ( 84 )     2009 --   Real Madrid   292   ( 311 )     National team     2001   Portugal U15   9   ( 7 )     2001 -- 2002   Portugal U17   7   ( 5 )     2003   Portugal U20   5   ( 1 )     2002 -- 2003   Portugal U21   10   ( 3 )       Portugal U23     ( 2 )     2003 --   Portugal   151   ( 84 )     Honours ( show )        Representing Portugal     UEFA European Championship       2016 France         2004 Portugal         2012 Poland &amp; Ukraine       FIFA Confederations Cup       2017 Russia          * Senior club appearances and goals counted for the domestic league only and correct as of 19 May 2018 ‡ National team caps and goals correct as of 15 June 2018            This article is part of a series about Cristiano Ronaldo         Portuguese professional footballer    International goals   Career achievements   Comparisons to Lionel Messi    Namesakes    Cristiano Ronaldo Campus Futebol   Cristiano Ronaldo International Airport   Galaxy CR7   Museu CR7    Films    Cristiano Ronaldo : The World at His Feet   Ronaldo                   Cristiano Ronaldo dos Santos Aveiro GOIH ComM ( European Portuguese : ( kɾiʃˈtjɐnu ʁoˈnaɫdu ) ; born 5 February 1985 ) is a Portuguese professional footballer who plays as a forward for Spanish club Real Madrid and the Portugal national team . Often considered the best player in the world and widely regarded as one of the greatest of all time , Ronaldo has a record - tying five Ballon d'Or awards , the most for a European player , and is the first player to win four European Golden Shoes . He has won 26 trophies in his career , including five league titles , five UEFA Champions League titles and one UEFA European Championship . A prolific goalscorer , Ronaldo holds the records for most official goals scored in Europe 's top - five leagues ( 395 ) , the UEFA Champions League ( 120 ) , the UEFA European Championship ( 9 ) , as well as those for most assists in the UEFA Champions League ( 34 ) and the UEFA European Championship ( 6 ) . He has scored over 670 senior career goals for club and country .   Born and raised on the Portuguese island of Madeira , Ronaldo was diagnosed with a racing heart at age 15 . He underwent an operation to treat his condition , and began his senior club career playing for Sporting CP , before signing with Manchester United at age 18 in 2003 . After winning his first trophy , the FA Cup , during his first season in England , he helped United win three successive Premier League titles , a UEFA Champions League title , and a FIFA Club World Cup . By age 22 , he had received Ballon d'Or and FIFA World Player of the Year nominations and at age 23 , he won his first Ballon d'Or and FIFA World Player of the Year awards . In 2009 , Ronaldo was the subject of the most expensive association football transfer when he moved from Manchester United to Real Madrid in a transfer worth € 94 million ( £ 80 million ) .   In Spain , Ronaldo has won 15 trophies , including two La Liga titles , two Copas del Rey , four UEFA Champions League titles , two UEFA Super Cups , and three FIFA Club World Cups . After joining Real Madrid , Ronaldo finished runner - up for the Ballon d'Or three times , behind Lionel Messi , his perceived career rival , before winning back - to - back Ballons d'Or in 2013 and 2014 . Real Madrid 's all - time leading goalscorer , Ronaldo has scored a record 34 La Liga hat - tricks , including a record - tying eight hat - tricks in the 2014 -- 15 season and is the only player to reach 30 league goals in six consecutive La Liga seasons . Ronaldo won back - to - back Ballons d'Or for a second time , winning by a record voting margin in 2016 after sealing La Undécima , Madrid 's 11th European title , and winning Euro 2016 , and in 2017 after firing Madrid to the first back - to - back UEFA Champions League victory in history . By winning the 2018 UEFA Champions League Final , he also became the first player to attain five Champions League titles .   Ronaldo was named the best Portuguese player of all time by the Portuguese Football Federation in 2015 . With 84 goals in 151 matches for Portugal since debuting at age 18 , Ronaldo is the highest goalscorer for his national team and his country 's most capped player . He was a key player of the Portuguese hosts that reached the Euro 2004 final , where he scored his first international goal . As his country 's captain from July 2008 , he led Portugal to their first - ever triumph in a major tournament by winning Euro 2016 , finishing as the second - highest goalscorer of the tournament . One of the most marketable sportsmen , he was ranked the world 's highest - paid athlete by Forbes in 2016 and 2017 , as well as the world 's most famous athlete by ESPN in 2016 , 2017 and 2018 .   Contents  ( hide )   1 Early life   2 Club career   2.1 Sporting CP   2.2 Manchester United   2.2. 1 2003 -- 07 : Development and breakthrough   2.2. 2 2007 -- 09 : Collective and individual success     2.3 Real Madrid   2.3. 1 2009 -- 13 : World record transfer and La Liga championship   2.3. 2 2013 -- 15 : Consecutive FIFA Ballon d'Or wins and La Décima   2.3. 3 2015 -- 17 : All - time Real Madrid top scorer and La Undécima   2.3. 4 2017 -- present : A record fifth Champions League title and fifth Ballon d'Or       3 International career   3.1 2001 -- 06 : Youth level and early international career   3.2 2006 -- 12 : Assuming the captaincy   3.3 2012 -- 16 : All - time Portugal top scorer and European champion   3.4 2016 -- present : Post-European Championship victory , and World Cup     4 Player profile   4.1 Style of play   4.2 Reception   4.3 Comparisons to Lionel Messi     5 Outside football   6 Personal life   7 Controversies   8 Philanthropy   9 Career statistics   9.1 Club   9.2 International     10 Honours and achievements   10.1 Club   10.2 International   10.3 Individual   10.3. 1 Orders     10.4 Records   10.4. 1 World   10.4. 2 Continental   10.4. 3 Spain   10.4. 4 England   10.4. 5 Real Madrid       11 See also   12 References   13 Further reading   14 External links    Early life   Ronaldo was born in São Pedro , Funchal , and grew up in the Funchal parish of Santo António , as the youngest child of Maria Dolores dos Santos Aveiro , a cook , and José Dinis Aveiro , a municipal gardener and a part - time kit man . His second given name , `` Ronaldo '' , was chosen after then - U.S. president Ronald Reagan . He has one older brother , Hugo , and two older sisters , Elma and Liliana Cátia . His great - grandmother on his father 's side , Isabel da Piedade , was from São Vicente , Cape Verde . Ronaldo grew up in a Catholic and impoverished home , sharing a room with his brother and sisters .   As a child , Ronaldo played for amateur team Andorinha from 1992 to 1995 , where his father was the kit man , and later spent two years with Nacional . In 1997 , aged 12 , he went on a three - day trial with Sporting CP , who signed him for a fee of £ 1,500 . He subsequently moved from Madeira to Alcochete , near Lisbon , to join Sporting 's other youth players at the club 's football academy . By age 14 , Ronaldo believed he had the ability to play semi-professionally , and agreed with his mother to cease his education in order to focus entirely on football . While popular with other students at school , he had been expelled after throwing a chair at his teacher , who he said had `` disrespected '' him . However , one year later , he was diagnosed with a racing heart , a condition that could have forced him to give up playing football . He underwent an operation in which a laser was used to cauterise the affected area of his heart ; discharged from hospital hours after the procedure , he resumed training only a few days later .   Club career   Sporting CP  Ronaldo memorabilia at Sporting CP 's museum  At age 16 , Ronaldo was promoted from Sporting 's youth team by first - team manager László Bölöni , who was impressed with his dribbling . He subsequently became the first player to play for the club 's under - 16 , under - 17 and under - 18 teams , the B team , and the first team , all within one season . A year later , on 7 October 2002 , Ronaldo made his debut in the Primeira Liga , against Moreirense , and scored two goals in their 3 -- 0 win . Over the course of the 2002 -- 03 season , his representatives suggested the player to Liverpool manager Gérard Houllier and Barcelona president Joan Laporta . Manager Arsène Wenger , who was interested in signing the winger , met with him at Arsenal 's grounds in November to discuss a possible transfer .  `` Oh , lads , and one final thing : They have a talented young winger . Look out for him , OK ? He 's strong and agile . He 's quite good . ''  -- At the end of his pre match talk , Ferguson briefly warned his players about Ronaldo .   Manchester United manager Alex Ferguson , however , determined to acquire Ronaldo on a permanent move urgently , after Sporting defeated United 3 -- 1 at the inauguration of the Estádio José Alvalade in August 2003 . Initially , United had just planned to sign Ronaldo and then loan him back to Sporting for a year . Having impressed the Manchester United players , however , they urged Ferguson to sign him . After the game , Ferguson agreed to pay Sporting £ 12.24 million for what he considered to be `` one of the most exciting young players '' he had ever seen .   A decade after his departure from the club , in April 2013 , Sporting honoured Ronaldo by selecting him to become their 100,000 th member .   Manchester United  2003 -- 07 : development and breakthrough  Ronaldo became Manchester United 's first - ever Portuguese player when he signed before the 2003 -- 04 season . His transfer fee of £ 12.24 million made him , at the time , the most expensive teenager in English football history . Although he requested the number 28 , his number at Sporting , he received the number 7 shirt , which had previously been worn by such United players as George Best , Eric Cantona and David Beckham . Wearing the number 7 became an extra source of motivation for Ronaldo . A key element in his development during his time in England proved to be his manager , Alex Ferguson , of whom he later said , `` He 's been my father in sport , one of the most important and influential factors in my career . ''  `` There have been a few players described as ' the new George Best ' over the years , but this is the first time it 's been a compliment to me . ''  -- Former Manchester United player George Best on the 18 - year - old Ronaldo in 2003   Ronaldo made his debut in the Premier League in a 4 -- 0 home victory over Bolton Wanderers on 16 August 2003 , receiving a standing ovation when he came on as a 60th - minute substitute for Nicky Butt . His performance earned praise from George Best , who hailed it as `` undoubtedly the most exciting debut '' he had ever seen . Ronaldo scored his first goal for Manchester United with a free - kick in a 3 -- 0 win over Portsmouth on 1 November . Three other league goals followed in the second half of the campaign , the last of which came against Aston Villa on the final day of the season , a match in which he also received his first red card . Ronaldo ended his first season in English football by scoring the opening goal in United 's 3 -- 0 victory over Millwall in the FA Cup final , earning his first trophy .  Ronaldo playing against Chelsea in the Premier League during his third season in England  At the start of 2005 , Ronaldo played two of his best matches of the 2004 -- 05 season , producing a goal and an assist against Aston Villa and scoring twice against rivals Arsenal . After scoring four goals in United 's run to the FA Cup final , he played the full 120 minutes of the decisive match against Arsenal , which ended in a goalless draw , and scored his attempt in the lost penalty shootout . Ronaldo scored three braces during the next campaign , the 2005 -- 06 season , scoring two goals each against Bolton Wanderers , Fulham , and Portsmouth . He scored Manchester United 's 1000th Premier League goal on 29 October , their only strike in a 4 -- 1 loss to Middlesbrough . Midway through the season , in November , he signed a new contract which extended his previous deal by two years to 2010 . Ronaldo won his second trophy in English football , the Football League Cup , after scoring the third goal in United 's 4 -- 0 final victory over Wigan Athletic .   During his third season in England , Ronaldo was involved in several incidents . He had a one - match ban imposed on him by UEFA for a `` one - fingered gesture '' towards Benfica fans , and was sent off in the Manchester derby -- a 3 -- 1 defeat -- for kicking Manchester City 's former United player Andy Cole . Ronaldo clashed with a teammate , striker Ruud van Nistelrooy , who took offence at the winger 's showboating style of play . Following a training ground fight in January 2006 , the two again fought in May , with Van Nistelrooy telling Ronaldo to `` go crying to your daddy '' , a reference to Ronaldo 's relationship with assistant manager Carlos Queiroz. Van Nistelrooy was left on the substitutes ' bench for the final game of the season against Charlton Athletic -- a 4 -- 0 victory in which Ronaldo scored his ninth league goal . Following the 2006 FIFA World Cup , in which he was involved in an incident where club teammate Wayne Rooney was sent off , Ronaldo publicly asked for a transfer , lamenting the lack of support he felt he had received from the club over the incident . United , however , denied the possibility of him leaving the club .   Although his World Cup altercation with Rooney resulted in Ronaldo being booed throughout the 2006 -- 07 season , it proved to be his breakout year , as he broke the 20 - goal barrier for the first time and won his first Premier League title . An important factor in this success was his one - to - one training by first - team coach René Meulensteen , who taught him to make himself more unpredictable , improve his teamwork , call for the ball , and capitalise on goalscoring opportunities rather than waiting for the chance to score the aesthetically pleasing goals for which he was already known . His upturn in form was showcased in November when he received a standing ovation from a section of Blackburn Rovers supporters as he was substituted . He scored three consecutive braces at the end of December , against Aston Villa -- a victory which put United on top of the league -- Wigan Athletic , and Reading . Ronaldo was named the Premier League Player of the Month in November and December , becoming only the third player to receive consecutive honours .  2007 -- 09 : collective and individual success Ronaldo during the 2006 -- 07 season  At the quarter - final stage of the 2006 -- 07 UEFA Champions League , Ronaldo scored his first - ever goals in the competition , finding the net twice in a 7 -- 1 victory over Roma . He subsequently scored four minutes into the first semi-final leg against Milan , which ended in a 3 -- 2 win , but was marked out of the second leg as United lost 3 -- 0 at the San Siro . He also helped United reach the FA Cup final , putting them 2 -- 1 up against Watford , but the decisive match against Chelsea ended in a 1 -- 0 defeat . Ronaldo scored the only goal in the Manchester derby on 5 May 2007 -- his 50th goal for the club -- as Manchester United claimed their first Premier League title in four years . As a result of his performances , he amassed a host of personal awards for the season . He won the Professional Footballers ' Association 's Player 's Player , Fans ' Player , and Young Player of the Year awards , as well as the Football Writers ' Association 's Footballer of the Year award , becoming the first player to win all four main PFA and FWA honours . His club wages were concurrently upgraded to £ 120,000 a week ( £ 31 million total ) as part of a five - year contract extension with United .   Ronaldo scored a total of 42 goals in all competitions during the 2007 -- 08 season , his most prolific campaign during his time in England . His first goal of the season came against his former club , Sporting , with a header in the first group match of the Champions League . He missed three matches after headbutting a Portsmouth player at the start of the season , an experience he said taught him not to let opponents provoke him , but still managed to score 13 league goals by the campaign 's midway point . At the end of 2007 , Ronaldo was named runner - up to Kaká for the Ballon d'Or , and came third , behind Kaká and Lionel Messi , in the running for the FIFA World Player of the Year award .  `` Ronaldo is better than George Best and Denis Law , who were two brilliant and great players in the history of United . ''  -- Dutch player Johan Cruyff on the 23 - year - old Ronaldo , April 2008 .   Ronaldo scored his first and only hat - trick for Manchester United in a 6 -- 0 win against Newcastle United on 12 January 2008 , bringing United up to the top of the Premier League table . A month later , on 19 March , he captained United for the first time in a home win over Bolton , and scored both goals of the match . His second goal was his 33rd of the campaign , which bettered George Best 's total of 32 goals in the 1967 -- 68 season , thus setting the club 's new single - season record by a midfielder . Ronaldo scored his final league goal of the season from the penalty spot in the title decider against Wigan on 11 May , as United claimed a second successive Premier League title . His 31 league goals earned him the Premier League Golden Boot , as well as the European Golden Shoe , which made him the first winger to win the latter award .  Ronaldo taking a direct free kick against Celtic in the 2008 -- 09 UEFA Champions League  In the knockout stage of the Champions League , Ronaldo scored the decisive goal against Lyon , which helped United advance to the quarter - finals 2 -- 1 on aggregate , and , while playing as a striker , scored with a header in the 3 -- 0 aggregate victory over Roma . Despite him missing a penalty in the first leg against Barcelona , United eventually advanced to the final in Moscow , where they faced Chelsea . His opening goal was negated by an equaliser as the match ended in a 1 -- 1 draw , but although his penalty was saved in the shoot - out , Manchester United emerged victorious . As the Champions League top scorer , Ronaldo was named the UEFA Club Footballer of the Year . He additionally received the PFA Players ' Player of the Year and FWA Footballer of the Year awards for the second consecutive season .   As rumours circulated of Ronaldo 's interest in moving to Real Madrid , United filed a tampering complaint with governing body FIFA over Madrid 's alleged pursuit of their player , but they declined to take action . FIFA president Sepp Blatter asserted that the player should be allowed to leave his club , describing the situation as `` modern slavery '' . Despite Ronaldo publicly agreeing with Blatter , he remained at United for another year . Ahead of the 2008 -- 09 season , on 7 July , he underwent ankle surgery , which kept him out of action for 10 weeks . Following his return , he scored his 100th goal in all competitions for United with the first of two free kicks in a 5 -- 0 win against Stoke City on 15 November , which meant he had now scored against all 19 opposition teams in the Premier League at the time . Five days later , he received the third red card of his career when he was sent off against Manchester City . At the close of 2008 , Ronaldo helped United win the FIFA Club World Cup in Japan , assisting the final - winning goal against Liga de Quito and winning the Silver Ball in the process . He subsequently became United 's first Ballon d'Or winner since George Best in 1968 , and the first Premier League player to be named the FIFA World Player of the Year .   Ronaldo scored his first Champions League goal of the season , and his first since the final against Chelsea , in a 2 -- 0 victory over Inter Milan , sending United into the quarter - finals . His match - winning goal in the second leg against Porto , a 40 - yard strike , earned him the inaugural FIFA Puskás Award , presented by FIFA in recognition of the best goal of the year ; he later called it the best goal he had ever scored . He scored twice against Arsenal , including a free kick from 39 yards , as United advanced to the final in Rome , where he made little impact in United 's 2 -- 0 defeat to Barcelona . Ronaldo ended his time in England with nine trophies , as United claimed their third successive Premier League title and a Football League Cup . He finished the campaign with 26 goals in all competitions , 16 goals fewer than the previous season , in four more appearances . His final ever goal for Manchester United came on 10 May 2009 with a free kick in the Manchester derby at Old Trafford .   Real Madrid  2009 -- 13 : World record transfer and La Liga Championship `` I have nothing but praise for the boy . He is easily the best player in the world . His contribution as a goal threat is unbelievable . His stats are incredible . Strikes at goal , attempts on goal , raids into the penalty box , headers . It is all there . Absolutely astounding . ''  -- Ronaldo 's former manager , Alex Ferguson , following his transfer to Real Madrid   Ahead of the 2009 -- 10 season , Ronaldo joined Real Madrid for a world record transfer fee at the time , of £ 80 million ( € 94 million ) . His contract , which ran until 2015 , was worth € 11 million per year and contained a € 1 billion buy - out clause . At least 80,000 fans attended his presentation at the Santiago Bernabéu , surpassing the 25 - year record of 75,000 fans who had welcomed Diego Maradona at Napoli . Since club captain Raúl already wore the number 7 , the number Ronaldo wore at Manchester United , Ronaldo received the number 9 shirt , which was presented to him by the former Madrid player Alfredo Di Stéfano .  As his usual number 7 was unavailable , Ronaldo wore number 9 during his first season at Madrid . Following Raúl 's departure , Ronaldo was handed the number 7 shirt before the 2010 -- 11 season .  Ronaldo made his debut in La Liga on 29 August 2009 , against Deportivo La Coruña , and scored from the penalty spot in Madrid 's 3 -- 2 home win . He scored in each of his first four league fixtures with the club , the first Madrid player to do so . His first Champions League goals for the club followed with two free kicks in the first group match against Zürich . His strong start to the season , however , was interrupted when he suffered an ankle injury in October while on international duty , which kept him sidelined for seven weeks . A week after his return , he received his first red card in Spain in a match against Almería . Midway through the season , Ronaldo placed second in the running for the Ballon d'Or and the FIFA World Player of the Year award , behind Lionel Messi of Barcelona , Madrid 's historic rivals . He finished the campaign with 33 goals in all competitions , including a hat - trick in a 4 -- 1 win against Mallorca on 5 May 2010 , his first in the Spanish competition . His first season at Real Madrid ended trophyless .   Following Raúl 's departure , Ronaldo was handed the number 7 shirt for Real Madrid before the 2010 -- 11 season . His subsequent return to his Ballon d'Or - winning form was epitomised when , for the first time in his career , he scored four goals in a single match during a 6 -- 1 rout against Racing Santander on 23 October . His haul concluded a goalscoring run of six consecutive matches -- three in La Liga , one in the Champions League , and two for Portugal -- totalling 11 goals , the most he had scored in a single month . Ronaldo subsequently scored further hat - tricks against Athletic Bilbao , Levante , Villarreal , and Málaga . Despite his performance , he failed to make the podium for the inaugural FIFA Ballon d'Or at the end of 2010 .   During a historical series of four Clásicos against rivals Barcelona in April 2011 , Ronaldo scored twice to equal his personal record of 42 goals in all competitions in a single season . Although he failed to find the net during Madrid 's eventual elimination in the Champions League semi-finals , he equalised from the penalty spot in the return league game and scored the match - winning goal in the 103rd minute of the Copa del Rey final , winning his first trophy in Spain . Over the next two weeks , Ronaldo scored another four - goal haul against Sevilla , a hat - trick against Getafe , and a brace of free kicks against Villarreal , taking his league total to 38 goals , which equalled the record for most goals scored in a season held by Telmo Zarra and Hugo Sánchez . His two goals in the last match of the season , against Almería , made him the first player in La Liga to score 40 goals . In addition to the Pichichi Trophy , Ronaldo consequently won the European Golden Shoe for a second time , becoming the first player to win the award in two different leagues . He ended his second season at Real Madrid with a total of 53 goals in all competitions .  Ronaldo scored 46 league goals during the La Liga championship success in his third season in Spain .  During the following campaign , the 2011 -- 12 season , Ronaldo surpassed his previous goalscoring feats to achieve a new personal best of 60 goals across all competitions . His 100th goal for Real Madrid came at Camp Nou in the Supercopa de España , though Barcelona claimed the trophy 5 -- 4 on aggregate . He regained a place on the FIFA Ballon d'Or podium , as runner - up to Messi , after scoring hat - tricks against Real Zaragoza , Rayo Vallecano , Málaga , Osasuna , and Sevilla , the last of which put Madrid on top of the league by the season 's midway point . Despite two goals from Ronaldo , Madrid were subsequently defeated by Barcelona 4 -- 3 on aggregrate in the quarter - finals of the Copa del Rey . He again scored twice , including a penalty , in the Champions League semi-finals against Bayern Munich , resulting in a 3 -- 3 draw , but his penalty kick in the shootout was saved by Manuel Neuer , leading to Madrid 's elimination .   Ronaldo found greater team success in the league , as he helped Real Madrid win their first La Liga title in four years , with a record 100 points . Following a hat - trick against Levante , further increasing Madrid 's lead over Barcelona , he scored his 100th league goal for Madrid in a 5 -- 1 win over Real Sociedad on 24 March 2012 , a milestone he reached in just 92 matches across three seasons , breaking the previous club record held by Ferenc Puskás . Another hat - trick in the Madrid derby against Atlético Madrid brought his total to 40 league goals , equalling his record of the previous season . His final league goal of the campaign , against Mallorca , took his total to 46 goals , four short of the new record set by Messi , and earned him the distinction of being the first player to score against all 19 opposition teams in a single season in La Liga .   Ronaldo began the 2012 -- 13 season by lifting the Supercopa de España , his third trophy in Spain . With a goal in each leg by the Portuguese , Madrid won the Spanish Super Cup on away goals following a 4 -- 4 aggregate draw against Barcelona . Although Ronaldo publicly commented that he was unhappy with a `` professional issue '' within the club , prompted by his refusal to celebrate his 150th goal for Madrid , his goalscoring rate did not suffer . After netting a hat - trick , including two penalties , against Deportivo La Coruña , he scored his first hat - trick in the Champions League in a 4 -- 1 victory over Ajax . Four days later , he became the first player to score in six successive Clásicos when he hit a brace in a 2 -- 2 draw at Camp Nou . His performances in 2012 again saw Ronaldo voted second in the running for the FIFA Ballon d'Or , finishing runner - up to four - time winner Messi .  2013 -- 15 : consecutive FIFA Ballon d'Or wins and La Décima  Following the 2012 -- 13 winter break , Ronaldo captained Real Madrid for the first time in an official match , scoring a brace to lift 10 - man Madrid to a 4 -- 3 victory over Real Sociedad on 6 January . He subsequently became the first non-Spanish player in 60 years to captain Madrid in El Clásico on 30 January , a match which also marked his 500th club appearance . Three days prior , he had scored his 300th club goal as part of a perfect hat - trick against Getafe . Following hat - tricks against Celta Vigo and Sevilla , he scored his 200th goal for Real Madrid on 8 May in a 6 -- 2 win against Málaga , reaching the landmark in 197 games . He helped Madrid reach the Copa del Rey final by scoring a brace in El Clásico , which marked the sixth successive match at Camp Nou in which he had scored , a Real Madrid record . In the final , he headed the opening goal of an eventual 2 -- 1 defeat to Atlético Madrid , but was shown a straight red card in the 114th minute for violent conduct . Real Madrid also failed to defend their La Liga title , finishing runners up to Barcelona .   In the first knockout round of the Champions League , Ronaldo faced his former club Manchester United for the first time . After scoring the equaliser in a 1 -- 1 draw at the Santiago Bernabéu , he scored the match - winning goal in a 2 -- 1 victory at Old Trafford , his first return to his former home ground . Ronaldo scored three goals in Madrid 's 5 -- 3 aggregate victory over Galatasaray to see them advance to the semi-finals , He scored Madrid 's only goal in the 4 -- 1 away defeat to Borussia Dortmund , but failed to increase his side 's 2 -- 0 victory in the second leg , as they were eliminated at the semi-final stage for the third consecutive year . Ronaldo had scored 12 goals , finishing as the Champions League top goalscorer for a second time in his career . Accounting for all competitions , he ended the season with a total of 55 goals .  Ronaldo scored a record 17 goals during the 2013 -- 14 La Décima campaign .  Real Madrid 's failure to win major silverware and reports of division among the players prompted speculation regarding Ronaldo 's future at the club . At the start of the 2013 -- 14 season , however , he signed a new contract that extended his stay by three years to 2018 , with a salary of € 17 million net , making him briefly the highest - paid player in football . He was joined at the club by winger Gareth Bale , whose world record transfer fee of € 100 million surpassed the fee Madrid had paid for Ronaldo four years prior . Together with striker Karim Benzema , they formed an attacking trio popularly dubbed `` BBC '' , an acronym of Bale , Benzema , and Cristiano , and a play off the name of the public service broadcaster . After enjoying a strong goalscoring run during the first half of the campaign , Ronaldo suggested that he was in the best form of his career . By late November , he had scored 32 goals from 22 matches played for both club and country , including hat - tricks against Galatasaray , Sevilla , Real Sociedad , Northern Ireland , and Sweden . He ended 2013 with a total of 69 goals in 59 appearances , his highest year - end goal tally . His efforts earned him the FIFA Ballon d'Or , an amalgamation of the Ballon d'Or and the FIFA World Player of the Year award , for the first time in his career .   Concurrently with his individual achievements , Ronaldo enjoyed his greatest team success in Spain to date , as he helped Real Madrid win La Décima , their tenth European Cup . In the knockout phase of the competition , he scored a brace in each leg of a 9 -- 2 aggr</t>
  </si>
  <si>
    <t xml:space="preserve">how many goals have c ronaldo scored in his career</t>
  </si>
  <si>
    <t xml:space="preserve"> Cristiano Ronaldo dos Santos Aveiro GOIH ComM ( European Portuguese : ( kɾiʃˈtjɐnu ʁoˈnaɫdu ) ; born 5 February 1985 ) is a Portuguese professional footballer who plays as a forward for Spanish club Real Madrid and the Portugal national team . Often considered the best player in the world and widely regarded as one of the greatest of all time , Ronaldo has a record - tying five Ballon d'Or awards , the most for a European player , and is the first player to win four European Golden Shoes . He has won 26 trophies in his career , including five league titles , five UEFA Champions League titles and one UEFA European Championship . A prolific goalscorer , Ronaldo holds the records for most official goals scored in Europe 's top - five leagues ( 395 ) , the UEFA Champions League ( 120 ) , the UEFA European Championship ( 9 ) , as well as those for most assists in the UEFA Champions League ( 34 ) and the UEFA European Championship ( 6 ) . He has scored over 670 senior career goals for club and country . </t>
  </si>
  <si>
    <t xml:space="preserve">Parenting styles - wikipedia  Parenting styles  Jump to : navigation , search  A parenting style is a psychological construct representing standard strategies that parents use in their child rearing . The quality of parenting can be more essential than the quantity of time spent with the child . For instance , a parent can spend an entire afternoon with his or her child , yet the parent may be engaging in a different activity and not demonstrating enough interest towards the child . Parenting styles are the representation of how parents respond and demand to their children . Parenting practices are specific behaviors , while parenting styles represent broader patterns of parenting practices . There are various theories and opinions on the best ways to rear children , as well as differing levels of time and effort that parents are willing to invest .   Children go through different stages in life , therefore parents create their own parenting styles from a combination of factors that evolve over time as children begin to develop their own personalities . During the stage of infancy , parents try to adjust to a new lifestyle in terms of adapting and bonding with their new infant . For example , the relationship between the parent and child is attachment . In the stage of adolescence , parents encounter new challenges , such as adolescents seeking and desiring freedom .  Mother carrying an infant child  A child 's temperament and parents ' cultural patterns have an influence on the kind of parenting style a child may receive . The degree to which a child 's education is part of parenting is a further matter of debate .   Early research in parenting and child development found that parents who provide their children with proper nurture , independence and firm control , have children who appear to have higher levels of competence and are socially skilled and proficient . Additional developmental skills result from positive parenting styles including : maintaining a close relationship with others , being self - reliant , and independence . During the mid 1980s , researchers began to explore how specific parenting styles influence a child 's later development .     Contents  ( hide )   1 Distinction with parenting practices   2 Theories of child rearing   2.1 Baumrind 's Parenting Typology   2.1. 1 The three styles   2.1. 1.1 Authoritative   2.1. 1.2 Authoritarian   2.1. 1.3 Indulgent or Permissive     2.1. 2 Effects on children     2.2 Other parenting styles     3 Differences for male and female children   4 See also   5 Citations   6 References   7 Further reading   8 External links      Distinction with parenting practices ( edit )  Father and children reading  According to a literature review by Christopher Spera ( 2005 ) , Darling and Steinberg ( 1993 ) suggest that it is important to better understand the differences between parenting styles and parenting practices : `` Parenting practices are defined as specific behaviors that parents use to socialize their children '' , while parenting style is `` the emotional climate in which parents raise their children '' .   One study association that has been made is the difference between `` child 's outcome and continuous measures of parental behavior '' . Some of the associations that are listed include the following : support , involvement , warmth , approval , control , monitoring , and harsh punishment . Parenting practices such as parental support , monitoring and firm boundaries appear to be linked to higher school grades , less behavior problems and better mental health . These components have no age limit and can begin early in pre-school leading all the way into college .   Theories of child rearing ( edit )   Beginning in the 17th century , two philosophers independently wrote works that have been widely influential in child rearing . John Locke 's 1693 book Some Thoughts Concerning Education is a well known foundation for educational pedagogy from a Puritan standpoint . Locke highlights the importance of experiences to a child 's development , and recommends developing their physical habits first . In 1762 , the French philosopher Jean - Jacques Rousseau published a volume on education , Emile : or , On Education . He proposed that early education should be derived less from books and more from a child 's interactions with the world . Of these , Rousseau is more consistent with slow parenting , and Locke is more for concerted cultivation .  Jean Piaget  Jean Piaget 's theory of cognitive development describes how children represent and reason about the world . This is a developmental stage theory that consists of a Sensorimotor stage , Preoperational stage , Concrete operational stage , and Formal operational stage . Piaget was a pioneer in the field of child development and continues to influence parents , educators and other theorists .   Erik Erikson , a developmental psychologist , proposed eight life stages through which each person must develop . In order to move on to the next stage , the person must work out a `` crisis '' in which a new dilemma must be solved . In each stage , they must understand and balance two conflicting forces , and so parents might choose a series of parenting styles that helps each child as appropriate at each stage . The first five of his eight stages occur in childhood : The virtue of hope requires balancing trust with mistrust , and typically occurs from birth to one year old . Will balances autonomy with shame and doubt around the ages of two to three . Purpose balances initiative with guilt around the ages of four to six years . Competence balances industry against inferiority around ages seven to 12 . Fidelity contrasts identity with role confusion , in ages 13 to 19 . The remaining adult virtues are love , care and wisdom .   Rudolf Dreikurs believed that pre-adolescent children 's misbehavior was caused by their unfulfilled wish to be a member of a social group . He argued that they then act out a sequence of four mistaken goals : first they seek attention . If they do not get it , they aim for power , then revenge and finally feel inadequate . This theory is used in education as well as parenting , forming a valuable theory upon which to manage misbehavior . Other parenting techniques should also be used to encourage learning and happiness. He emphasized the significance to establish a democratic family style that adopts a method of periodic democratic family councils and meanwhile avert the punishment . He advances `` logical and natural consequences '' . That teach children to be responsible and understand the natural consequences of proper rules of conduct and improper behavior .   Frank Furedi is a sociologist with a particular interest in parenting and families . He believes that the actions of parents are less decisive than others claim . He describes the term infant determinism as the determination of a person 's life prospects by what happens to them during infancy , arguing that there is little or no evidence for its truth . While commercial , governmental and other interests constantly try to guide parents to do more and worry more for their children , he believes that children are capable of developing well in almost any circumstances . Furedi quotes Steve Petersen of Washington University in St. Louis : `` development really wants to happen . It takes very impoverished environments to interfere with development ... ( just ) do n't raise your child in a closet , starve them , or hit them on the head with a frying pan '' . Similarly , the journalist Tim Gill has expressed concern about excessive risk aversion by parents and those responsible for children in his book No Fear . This aversion limits the opportunities for children to develop sufficient adult skills , particularly in dealing with risk , but also in performing adventurous and imaginative activities .   In 1998 , independent scholar Judith Rich Harris published The Nurture Assumption , in which she argued that scientific evidence , especially behavioral genetics , showed that all different forms of parenting do not have significant effects on children 's development , short of cases of severe child abuse or child neglect . She proposes two main points for the effects : genetic effects , and social effects involved by the peer groups in which children participate . The purported effects of different forms of parenting are all illusions caused by heredity , the culture at large , and children 's own influence on how their parents treat them .   Baumrind 's parenting typology ( edit )   Diana Baumrind is a researcher who focused on the classification of parenting styles . Baumrind 's research is known as `` Baumrind 's Parenting Typology '' . In her research , she found what she considered to be the four basic elements that could help shape successful parenting : responsiveness vs. unresponsiveness and demanding vs. undemanding . Parental responsiveness refers to the degree to which the parent responds to the child 's needs in a supportive and accepting manner . Through her studies Baumrind identified three initial parenting styles : Authoritative parenting , authoritarian parenting and permissive parenting . Maccoby and Martin expanded upon Baumrind 's three original parenting styles by placing parenting styles into two distinct categories : demanding and undemanding . With these distinctions , four new parenting styles were defined :     Maccoby and Martin 's Four Parenting Styles Baumrind 's Three Parenting Styles       Demanding   Undemanding     Responsive   Authoritative / Propagative   Indulgent ( Permissive )     Unresponsive   Authoritarian / Totalitarian   Neglectful     Baumrind believed that parents should be neither punitive nor aloof . Rather , they should develop rules for their children and be affectionate with them . These parenting styles are meant to describe normal variations in parenting , not deviant parenting , such as might be observed in abusive homes . In addition , parenting stress can often cause changes in parental behavior such as inconsistency , increased negative communication , decreased monitoring and / or supervision , setting vague rules or limits on behavior , being more reactive and less proactive , and engaging in increasingly harsh disciplinary behaviors .  The three styles ( edit ) Authoritative ( edit )  The parent is demanding and responsive . When this style is systematically developed , it grows to fit the descriptions propagative parenting and concerted cultivation .   Authoritative parenting is characterized by a child - centered approach that holds high expectations of maturity . Authoritative parents can understand how their children are feeling and teach them how to regulate their feelings . Even with high expectations of maturity , authoritative parents are usually forgiving of any possible shortcomings . They often help their children to find appropriate outlets to solve problems . Authoritative parents encourage children to be independent but still place limits on their actions . Extensive verbal give - and - take is not refused , and parents try to be warm and nurturing toward the child . Authoritative parents are not usually as controlling as authoritarian parents , allowing the child to explore more freely , thus having them make their own decisions based upon their own reasoning . Often , authoritative parents produce children who are more independent and self - reliant . An authoritative parenting style mainly results when there is high parental responsiveness and high parental demands .   Authoritative parents will set clear standards for their children , monitor the limits that they set , and also allow children to develop autonomy . They also expect mature , independent , and age - appropriate behavior of children . Punishments for misbehavior are measured and consistent , not arbitrary or violent . Often behaviors are not punished but the natural consequences of the child 's actions are explored and discussed - allowing the child to see that the behavior is inappropriate and not to be repeated , rather than not repeated to merely avoid adverse consequences . Authoritative parents set limits and demand maturity . They also tend to give more positive encouragement at the right places . However , when punishing a child , the parent will explain his or her motive for their punishment . Children are more likely to respond to authoritative parenting punishment because it is reasonable and fair . A child knows why they are being punished because an authoritative parent makes the reasons known . As a result , children of authoritative parents are more likely to be successful , well liked by those around them , generous and capable of self - determination .  Authoritarian ( edit ) See also : Strict father model  The parent is demanding but not responsive .   Authoritarian parenting is a restrictive , punishment - heavy parenting style in which parents make their children follow their directions with little to no explanation or feedback and focus on the child 's and family 's perception and status . Corporal punishment , such as spanking , and shouting are forms of discipline frequently preferred by authoritarian parents . The goal of this style , at least when well - intentioned , is to teach the child to behave , survive , and thrive as an adult in a harsh and unforgiving society by preparing the child for negative responses such as anger and aggression that the child will face if his / her behavior is inappropriate . In addition , advocates of this style often believe that the shock of aggression from someone from the outside world will be less for a child accustomed to enduring both acute and chronic stress imposed by parents .   Authoritarian parenting has distinctive effects on children :    Children raised using this type of parenting may have less social competence because the parent generally tells the child what to do instead of allowing the child to choose by him or herself , making the child appear to excel in the short term but limiting development in ways that are increasingly revealed as supervision and opportunities for direct parental control decline .   Children raised by authoritarian parents tend to be conformist , highly obedient , quiet , and not very happy . These children often suffer from depression and self - blame .       For some children raised by authoritarian parents , these behaviors continue into adulthood .   Children who are resentful of or angry about being raised in an authoritarian environment but have managed to develop high behavioral self - confidence often rebel in adolescence and / or young adulthood .   Children who experience anger and resentment coupled with the downsides of both inhibited self - efficacy and high self - blame often retreat into escapist behaviors , including but not limited to substance abuse , and are at heightened risk for suicide .       Specific aspects of authoritarian styles prevalent among certain cultures and ethnic groups , most notably aspects of traditional Asian child - rearing practices sometimes described as authoritarian , often continued by Asian American families and sometimes emulated by intensive parents from other cultures , may be associated with more positive median child outcomes than Baumrind 's model predicts , albeit at the risk of exacerbated downside outcomes exemplified by Asian cultural phenomena such as hikikomori and the heightened suicide rates found in South Korea , in India and by international observers of China before 2014 .   Indulgent or permissive ( edit )  The parent is responsive but not demanding .   Indulgent parenting , also called permissive , non-directive , lenient or libertarian , is characterized as having few behavioral expectations for the child . `` Indulgent parenting is a style of parenting in which parents are very involved with their children but place few demands or controls on them '' . Parents are nurturing and accepting , and are responsive to the child 's needs and wishes . Indulgent parents do not require children to regulate themselves or behave appropriately. The children will grow into adulthood not accustomed to aggression in others due to their inappropriate behavior which would be a great shock to them . As adults , they will pay less attention in avoiding behaviors which cause aggression in others .   Permissive parents try to be `` friends '' with their child , and do not play a parental role . The expectations of the child are very low , and there is little discipline . Permissive parents also allow children to make their own decisions , giving them advice as a friend would . This type of parenting is very lax , with few punishments or rules . Permissive parents also tend to give their children whatever they want and hope that they are appreciated for their accommodating style . Other permissive parents compensate for what they missed as children , and as a result give their children both the freedom and materials that they lacked in their childhood . Baumrind researched on pre-school children with permissive parents and she came up with a result that children were immature , absence in impulsive control and they were irresponsible because of permissive parenting style .   Children of permissive parents may tend to be more impulsive and as adolescents may engage more in misconduct such as drug use , `` Children never learn to control their own behavior and always expect to get their way . '' But in the better cases they are emotionally secure , independent and are willing to learn and accept defeat . They mature quickly and are able to live life without the help of someone else .   From a recent study ,    The teens least prone to heavy drinking had parents who scored high on both accountability and warmth .   So - called ' indulgent ' parents , those low on accountability and high on warmth , nearly tripled the risk of their teen participating in heavy drinking .   ' Strict parents ' or authoritarian parents -- high on accountability and low on warmth -- more than doubled their teen 's risk of heavy drinking .   Effects on children ( edit )  Most studies , mainly in Anglophone countries , have shown that children with authoritative parents have the best outcomes in different areas ( behavior , mental and social adjustment ... ) . The case might be different , however , for Asian populations , where the authoritarian style was found as good as the authoritative one . On the other hand , some studies have found a superiority of the indulgent style in Spain , Portugal or Brazil , but the methodology of these studies has been contested . More recently a study has shown that in Spain , while using the same questionnaire used in other countries , the authoritative style continues to be the best one for children .   Other parenting styles ( edit )    Attachment parenting   A parenting style framed around psychological attachment theory . Attachment in psychology is defined as `` a lasting emotional bond between people '' . There are four main types of attachment : secure , insecure - avoidant , insecure - resistant , and disorganized attachment .   Child - centered parenting   A parenting style advocated by Blythe and David Daniel , which focuses on the real needs and the unique person - hood of each child .   Positive parenting   A parenting style overlapping substantially with authoritative parenting and defined by consistent support and guidance through developmental stages .   Concerted cultivation   A specific form of positive parenting characterized by parents ' attempts to foster their child 's talents through organized extracurricular activities such as music lessons , sports / athletics , and academic enrichment .       Narcissistic parenting   A narcissistic parent is a parent affected by narcissism or narcissistic personality disorder . Typically narcissistic parents are exclusively and possessively close to their children and may be especially envious of , and threatened by , their child 's growing independence . The result may be what has been termed a pattern of narcissistic attachment , with the child considered to exist solely for the parent 's benefit .   Nurturant parenting   A family model where children are expected to explore their surroundings with protection from their parents .   Overparenting   Parents who try to involve themselves in every aspect of their child 's life , often attempting to solve all their problems and stifling the child 's ability to act independently or solve his or her own problems . A helicopter parent is a colloquial early 21st - century term for a parent who pays extremely close attention to his or her children 's experiences and problems , and attempts to sweep all obstacles out of their paths , particularly at educational institutions . Helicopter parents are so named because , like helicopters , they hover closely overhead , especially during the late adolescence to early adulthood years during which gradual development of independence and self - sufficiency are essential for future success . Modern communication technology has promoted this style by enabling parents to keep watch over their kids through cell phones , emails , and online monitoring of academic grades .   Affectionless control   This parental style combines a lack of warmth and caring ( low parental care ) with over-control ( such as parental criticism , intrusiveness ) . This has been linked to children 's anxiety and to dysfunctional attitudes and low self - esteem in the children , although it is not necessarily the cause . There is evidence that parental affectionless control is associated with suicidal behavior .   Slow parenting   Encourages parents to plan and organize less for their children , instead allowing them to enjoy their childhood and explore the world at their own pace . Electronics are limited , simplistic toys are utilized , and the child is allowed to develop their own interests and to grow into their own person with lots of family time , allowing children to make their own decisions .   Idle parenting   Toxic parenting   Poor parenting , with a toxic relationship between the parent and child . It results in complete disruption of the child 's ability to identify themselves and reduced self - esteem , neglecting the needs of the child . Abuse is sometimes seen in this parenting style . Adults who have suffered from toxic parents are mostly unable to recognize toxic parenting behavior in themselves . Children with toxic parents grow up with damages and pass their damages to their own children .   Dolphin parenting   A term used by psychiatrist Shimi Kang and happiness researcher Shawn Achor to represent a parenting style seen as similar to the nature of dolphins , being `` playful , social and intelligent '' . It has been contrasted to `` tiger '' parenting . According to Kang , dolphin parenting provides a balance between the strict approach of tiger parenting and the lack of rules and expectations that characterizes what she calls `` jellyfish parents '' . Dolphin parents avoid overscheduling activities for their children , refrain from being overprotective , and take into account the desires and goals of their children when setting expectations for behavior and academic success .   Ethnic Minority parenting style   This parenting style was coined out of Authoritarian parenting and it is characterized by exceptionally high academic achievements among children from Asian backgrounds . Ethnic Minority style differs from strict authoritarian parenting by being highly responsive towards children 's needs , while also differing from authoritative parenting by maintaining high demands , and not placing children 's needs as a priority . This style promotes high demandingness and high responsiveness together to produce high academic performance in children .    Differences for male and female children ( edit )   Mothers and fathers tend to pick up different behaviors of parenting based on the sex of their child . Studies have shown that fathers can affect their daughters ' emotional adjustment more through the style of parenting they demonstrate rather than through using disciplinary approaches , such as punishment . Also , both a father and mother sometimes tend to use an authoritative style towards their daughters , while feeling more comfortable switching over to an authoritarian style for sons .   Similarly , mothers may use a more authoritative style when they parent their daughters . Also , mothers spent more time reasoning with their daughters but mothers tended to favor their sons .   See also ( edit )    Dysfunctional family   Neglect   Parenting   Resources for Infant Education ( RIE )   Hong Kong children   Battle Hymn of the Tiger Mother    Citations ( edit )    ^ Jump up to : Spera , Christopher ( 1 June 2005 ) . `` A Review of the Relationship Among Parenting Practices , Parenting Styles , and Adolescent School Achievement '' . Educational Psychology Review . 17 ( 2 ) : 125 -- 146 . doi : 10.1007 / s10648 - 005 - 3950 - 1 .   Jump up ^ `` Parenting '' . Encyclopaedic dictionary of psychology . Missing or empty url = ( help )   Jump up ^ Berger S. , Kathleen ( 18 February 2011 ) . The Developing Person Through the Life Span ( 8th ed . ) . Worth Publishers . pp. 273 -- 278 . ISBN 978 - 1 - 4292 - 3203 - 6 .   Jump up ^ Campione &amp; Smetana , Nicole &amp; Judith . `` Parenting Styles '' . James J. Ponzetti Jr . Retrieved 22 October 2014 .   Jump up ^ Amato , Paul R. ; Fowler , Frieda ( 2002 ) . `` Parenting Practices , Child Adjustment , and Family Diversity '' . Journal of Marriage and Family . 64 ( 3 ) : 703 . doi : 10.1111 / j. 1741 - 3737.2002. 00703. x .   Jump up ^ Rousseau , Jean - Jacques ( 1762 ) . Émile , ou De l'éducation .   Jump up ^ Irvine , P. `` '' Rousseau , Jean j . '' Encyclopedia of special education : A reference for the education of children , adolescents , and adults with disabilities and other exceptional individuals `` . Credo Reference . Missing or empty url = ( help )   Jump up ^ White , F. , Hayes , B. , &amp; Livesey , D. ( 2005 ) . Developmental Psychology : From Infancy to Adulthood . NSW : Pearson Education Australia . CS1 maint : Multiple names : authors list ( link )   Jump up ^ `` Piaget , Jean . ( 2005 ) . In Science in the early twentieth century : An encyclopedia '' . Credo Reference . Missing or empty url = ( help )   Jump up ^ Constantinople , A.A. ( 1969 ) . An Eriksonian measure of personality development in college student . Developmental Psychology , 1357 - 372 .   Jump up ^ `` Erikson , erik Homburger ( 2002 ) '' . Credo Reference . Biographical dictionary of psychology . Missing or empty url = ( help )   Jump up ^ Wright , Benjamin ( Winter 1957 ) . `` Psychology in the Classroom by Rudolf Dreikurs '' . The School Review . The University of Chicago Press . 65 ( 4 ) : 490 -- 492 .   Jump up ^ GODDARD , H. WALLACE ; DENNIS , STEVEN A. ( 2003 ) . `` Parenting Education '' . In James J. Ponzetti Jr . International Encyclopedia of Marriage and Family . Gale , Farmington , USA . Retrieved 13 October 2014 .   Jump up ^ `` DEVELOPMENTAL THEORY '' . Credo . Elsevier 's dictionary of psychological theories . Missing or empty url = ( help )   Jump up ^ Jon , Roeckelein . `` '' Developmental Theory `` . In Elsevier 's Dictionary of Psychological Theories '' . Credo . Elsevier Science &amp; Technology , Oxford , United Kingdom . Missing or empty url = ( help )   Jump up ^ Furedi , Frank ( 2001 ) . Paranoid Parenting : Why Ignoring the Experts May Be Best for Your Child . Allen Lane . p. 240 . ISBN 978 - 0 - 7139 - 9488 - 9 .   Jump up ^ Petersen , Steve ( January 10 , 2000 ) . `` Baby Steps '' .   Jump up ^ Gill , Tim ( 2007 ) . No fear : Growing up in a Risk Averse Society ( PDF ) . Calouste Gulbenkian Foundation . p. 81 . ISBN 978 - 1 - 903080 - 08 - 5 .   Jump up ^ Gill , Tim ( April 2007 ) . `` Playing it too safe '' . RSA Journal . Royal Society for the Encouragement of Arts , Manufactures and Commerce . 154 ( 5528 ) : 46 -- 51 .   Jump up ^ Gerstel , Naomi ( Mar 1999 ) . `` The Nurture Assumption : Why Children Turn Out the Way they Do by Judith Rich Harris '' . Contemporary Sociology . American Sociological Association . 28 ( 2 ) : 174 -- 176 .   Jump up ^ Smith , P. `` Group socialization theory . In Reader 's guide to the social sciences '' . Missing or empty url = ( help )   Jump up ^ Perkins , Marian ( May 13 , 2000 ) . `` The Nurture Assumption : Why Children Turn Out The Way They Do by Judith Rich Harris '' . British Medical Journal . 320 ( 7245 ) : 1347 . doi : 10.1136 / bmj. 320.7245. 1347 .   Jump up ^ Baumrind , D. ( 1967 ) . Child care practices anteceding three patterns of preschool behavior . Genetic Psychology Monographs , 75 ( 1 ) , 43 - 88 .   Jump up ^ Slater , A. ; Bremner , J.G. ( 2017 ) . An Introduction to Developmental Psychology . Wiley . p. 592 . ISBN 978 - 1 - 118 - 76720 - 7 . Retrieved 21 September 2017 .   Jump up ^ Maccoby , E.E. ; Martin , J.A. ( 1983 ) . `` Socialization in the context of the family : Parent - child interaction '' . In Mussen , P.H. ; Hetherington , E.M. Manual of child psychology , Vol. 4 : Social development . New York : John Wiley and Sons . pp. 1 -- 101 .   ^ Jump up to : Santrock , J.W. ( 2007 ) . A topical approach to life - span development , third Ed . New York : McGraw - Hill .   Jump up ^ Parenting Style and Its Correlates athealth.com . Retrieved 2009 - 06 - 14   Jump up ^ Strassen Berger , Kathleen ( 2011 ) . The Developing Person Through the Life Span . Worth Publishers . p. 273 .   Jump up ^ `` All about the authoritative parenting style '' . Pagewise . Retrieved 2007 - 09 - 23 .   ^ Jump up to : `` Parenting Styles ''   Jump up ^ Stassen Berger , Kathleen ( 2011 ) . The Developing Person Through the Life Span . Worth Publishing . pp. 273 -- 274 .   Jump up ^ `` The Role of Parents in the Development of Peer Group Competence . ERIC Digest '' . Eric Digests . Retrieved 2007 - 09 - 23 .   ^ Jump up to : Stassen Berger , Kathleen ( 2011 ) . The Developing Person Through the Lifespan . Worth Publishers . p. 274 .   Jump up ^ What 's Your Parenting Style ? Parents . The Anti-Drug . National Youth Anti-Drug Media Campaign . Retrieved 2009 - 06 - 14   ^ Jump up to : Rosenthal , Maryann . `` Knowing Yourself and Your Children '' . www.drma.com . Retrieved 7 December 2014 .   Jump up ^ Dornbusch , Sanford ; Ritter , Philip ; Leiderman , P ; Robert , Donald ; Fraleigh , Michael ( 1987 ) . `` The Relation of Parenting Style to Adolescent School Performance '' . Child Development . Wiley on behalf of the Society for Research in Child Development . 58 ( 5 ) : 1245 . JSTOR 1130618 . doi : 10.2307 / 1130618 .   ^ Jump up to : Verzello , Amanda . `` Teens and alcohol study : Parenting style can prevent binge drinking '' . News . Brigham Young University . Retrieved 9 December 2014 .   Jump up ^ Darling , Nancy ( 1999 ) . `` Parenting style and its correlates '' ( PDF ) . ERIC Digest . ED427896 .   Jump up ^ Musitu , G. ; García , F. ( 2004 ) . `` Consequences of the family socialization in the Spanish culture '' . Psicothema. 16 ( 2 ) : 288 -- 293 .   Jump up ^ Rodrigues , Yara ; Veiga , Feliciano ; Fuentes , María C. ; García , Fernando ( 2013 - 03 - 11 ) . `` Parenting and Adolescents ' Self - esteem : The Portuguese Context / / Parentalidad y autoestima en la adolescencia : El contexto portugués '' . Journal of Psychodidactics. 18 ( 2 ) . ISSN 2254 - 4372 . doi : 10.1387 / RevPsicodidact. 6842 . Retrieved 2016 - 09 - 30 .   Jump up ^ Martínez , Isabel ; García , José Fernando ; Yubero , Santiago ( 2007 - 06 - 01 ) . `` Parenting Styles and Adolescents ' Self - Esteem in Brazil '' . Psychological Reports . 100 ( 3 ) : 731 -- 745 . ISSN 0033 - 2941 . doi : 10.2466 / pr0. 100.3. 731 - 745 . Retrieved 2016 - 09 - 30 .   Jump up ^ Oliva , A. ( 2006 ) . `` Relaciones familiares y desarrollo adolescente '' . Anuario de Psicología. 37 ( 3 ) : 209 -- 223 .   Jump up ^ Osorio , Alfonso ; González - Cámara , Marta . `` Testing the alleged superiority of the indulgent parenting style among Spanish adolescents '' ( PDF ) . Psicothema. 28 ( 4 ) : 414 -- 420 . doi : 10.7334 / psicothema2015. 314 .   Jump up ^ Stassen Berger , Kathleen ( 2011 ) . The Developing Person Through the Life Span . p. 194 .   Jump up ^ Stassen Berger , Kathleen ( 2011 ) . The Developing Person Through the Life Span . p. 196 .   Jump up ^ wethechildrenfoundation.com   Jump up ^ Walton , Stephen . `` The Positive parenting centre '' . www.the-positive-parenting-centre.com . Retrieved 10 December 2014 .   Jump up ^ Ch</t>
  </si>
  <si>
    <t xml:space="preserve">who identified the authoritarian permissive and authoritative styles</t>
  </si>
  <si>
    <t xml:space="preserve"> Diana Baumrind is a researcher who focused on the classification of parenting styles . Baumrind 's research is known as `` Baumrind 's Parenting Typology '' . In her research , she found what she considered to be the four basic elements that could help shape successful parenting : responsiveness vs. unresponsiveness and demanding vs. undemanding . Parental responsiveness refers to the degree to which the parent responds to the child 's needs in a supportive and accepting manner . Through her studies Baumrind identified three initial parenting styles : Authoritative parenting , authoritarian parenting and permissive parenting . Maccoby and Martin expanded upon Baumrind 's three original parenting styles by placing parenting styles into two distinct categories : demanding and undemanding . With these distinctions , four new parenting styles were defined : </t>
  </si>
  <si>
    <t xml:space="preserve">Unbreakable Kimmy Schmidt - Wikipedia  Unbreakable Kimmy Schmidt     Unbreakable Kimmy Schmidt         Genre   Sitcom     Created by     Tina Fey   Robert Carlock       Starring     Ellie Kemper   Tituss Burgess   Carol Kane   Jane Krakowski       Opening theme   `` Unbreakable '' by The Gregory Brothers and Mike Britt     Composer ( s )   Jeff Richmond     Country of origin   United States     Original language ( s )   English     No. of seasons       No. of episodes   45 ( list of episodes )     Production     Executive producer ( s )     Tina Fey   Robert Carlock   Jeff Richmond   Jack Burditt   David Miner       Producer ( s )     Jerry Kupfer   Sam Means   Dara Schnapper       Editor ( s )   Ken Eluto     Camera setup   Single - camera     Running time   22 -- 36 minutes     Production company ( s )     Little Stranger , Inc .   Bevel Gears   3 Arts Entertainment   Universal Television       Distributor   Netflix NBCUniversal Television Distribution     Release     Original network   Netflix     Picture format   1080p ( 16 : 9 HDTV ) ( season 1 ) 4K ( 16 : 9 Ultra HD ) ( seasons 2 - )     Audio format   Dolby Digital 5.1 with Descriptive Video Service track     Original release   March 6 , 2015 ( 2015 - 03 - 06 ) -- present ( present )     Unbreakable Kimmy Schmidt is an American web television sitcom created by Tina Fey and Robert Carlock , starring Ellie Kemper in the title role , that has streamed on Netflix since March 6 , 2015 . Originally set for a 13 - episode first season on NBC for spring 2015 , the show was sold to Netflix and given a two - season order .   The series follows 29 - year - old Kimmy Schmidt ( Kemper ) as she adjusts to life in New York City after her rescue from a doomsday cult in the fictional town of Durnsville , Indiana , where she and three other women were held by Reverend Richard Wayne Gary Wayne ( Jon Hamm ) for 15 years . Determined to be seen as something other than a victim and armed only with a positive attitude , Kimmy decides to restart her life by moving to New York City , where she quickly befriends her street-wise landlady Lillian Kaushtupper ( Carol Kane ) , finds a roommate in struggling actor Titus Andromedon ( Tituss Burgess ) , and gains a job as a nanny for the melancholy and out - of - touch socialite Jacqueline Voorhees ( Jane Krakowski ) .   Since its premiere , the show has received critical acclaim , with critic Scott Meslow calling it `` the first great sitcom of the streaming era '' . The series has been nominated for 18 Primetime Emmy Awards , including four nominations for Outstanding Comedy Series .   On June 13 , 2017 , the show was renewed for a fourth and final season , with the first 6 episodes premiering on May 30 , 2018 . The second half is expected to debut January 25 , 2019 .   Contents    1 Synopsis   2 Episodes   3 Cast and characters   3.1 Main   3.2 Recurring   3.3 Guest     4 Production and development   4.1 Casting   4.2 Music     5 Reception   5.1 Season 1   5.2 Season 2   5.3 Season 3   5.4 Season 4     6 References   7 External links    Synopsis ( edit )   Kimmy Schmidt ( Ellie Kemper ) was in eighth grade when kidnapped for 15 years by Reverend Richard Wayne Gary Wayne ( Jon Hamm ) . The Reverend held Kimmy and three other women hostage in an underground bunker , and convinced them that doomsday had come , gone , and had left them the sole survivors of humanity .   In the first season , the women are rescued , and go on to appear on the Today Show in New York City . After the show , Kimmy decides she does not want to return to Indiana , so she starts a new life in New York City . Roaming around the city , Kimmy comes across landlady Lillian Kaushtupper ( Carol Kane ) . Kaushtupper offers Kimmy a chance to room with Titus Andromedon ( Tituss Burgess ) in her downstairs apartment . However , Kimmy has to find a job in order to get the apartment . Returning a child who has tried to steal candy , Kimmy encounters his mother , Jacqueline Voorhees ( Jane Krakowski ) a Manhattan trophy wife , who mistakes her for a nanny , and whom Kimmy mistakes as someone trapped in a cult . Soon after , Jacqueline hires Kimmy to be a nanny for her 10 - year - old son . As Season 1 continues , Kimmy falls in love with a Vietnamese man , Dong ( Ki Hong Lee ) from her G.E.D. class , goes to court to testify against the Reverend , and discovers how the world has changed in the 15 years she was locked up .   In the second season , Kimmy is sick of working for Jacqueline and acquires a job at a year - round Christmas store and then as an Uber driver . She tries to get over Dong who enters a green card marriage with another G.E.D. student and eventually is deported . As Kimmy tries to move on , so do Titus and Jacqueline , who both find boyfriends . Titus begins dating construction worker Mikey Politano ( Mike Carlsen ) and Jacqueline begins dating lawyer Russ Snyder ( David Cross ) . Jacqueline also goes back to her Native American heritage and decides to take down the Redskins , who her boyfriend 's father happens to own . When Season 2 ends , Titus leaves to be a performer on a cruise and Lillian protests the invasion of hipsters in her neighborhood , while Kimmy makes amends with her mother ( Lisa Kudrow ) after advice from her therapist ( Tina Fey ) before receiving a phone call from The Reverend in prison , telling her that they need to get a divorce .   Episodes ( edit )  Main article : List of Unbreakable Kimmy Schmidt episodes    Season   Episodes   Originally released         13   March 6 , 2015 ( 2015 - 03 - 06 )         13   April 15 , 2016 ( 2016 - 04 - 15 )         13   May 19 , 2017 ( 2017 - 05 - 19 )         13   6   May 30 , 2018 ( 2018 - 05 - 30 )     7   January 25 , 2019 ( 2019 - 01 - 25 )     Cast and characters ( edit )   Main ( edit )    Ellie Kemper as Kimberly `` Kimmy '' Cougar Schmidt , the titular character . Armed with only unflagging optimism , a childlike sense of wonder and an eighth - grade education , she attempts to regain the life that was taken from her and navigate her way through the unfamiliar struggles of New York life .   Tituss Burgess as Titus Andromedon ( born Ronald Wilkerson ) , Kimmy 's flamboyantly gay roommate and an aspiring actor and singer . Melodramatic and self - absorbed , Titus nevertheless cares deeply for , and is very protective of Kimmy . Despite his talent and ego , he is plagued by self - doubt after years of rejection in the business .   Carol Kane as Lillian Kaushtupper , Kimmy and Titus ' odd landlady . A proud born - and - bred New Yorker with a long , complex criminal history , she fights tooth and nail against the possible gentrification of her neighborhood ( although it soon becomes clear that she hates any form of progress or technology ) . Despite her willingness to do anything to make a buck , she has a very big heart and will go out of her way to help her tenants .   Jane Krakowski as Jacqueline White ( formerly Voorhees ; née Jackie Lynn White ) , a wealthy and insecure socialite who hires Kimmy as a nanny . Despite coming across as arrogant , condescending and out of touch , she is very fond of ( and heavily reliant on ) her new employee , who helps her gain perspective on her unhappy marriage . She is secretly of Lakota Native American descent and is passing for white . As the series progresses , she gradually reconnects with her family and her culture .    Recurring ( edit )    Sara Chase as Cyndee Pokorny , Kimmy 's best friend from the cult .   Lauren Adams as Gretchen Chalker , a willing member of the cult , who believes everything she was told .   Sol Miranda as Donna Maria Nuñez , a cult member who pretends to not speak English during her time in the bunker , and is revealed to be using the `` Mole Woman '' name to advertise products .   Dylan Gelula as Xanthippe Lannister Voorhees , the pretty , popular , and bratty stepdaughter of Jacqueline , who is later revealed to be hiding her high achieving , ' good girl ' personality . After her father divorces Jacqueline , she is sent to Connecticut to move back in with her mother , and only appears in one episode in season 2 . She returns in season 3 , attending Columbia University , where Kimmy starts college .   Ki Hong Lee ( Seasons 1 &amp; 2 ) as Dong Nguyen , Kimmy 's GED study buddy and love interest . An undocumented immigrant from Vietnam , he spends much of the show hiding from the authorities under the name `` Richard Pennsylvania '' . He was deported in season 2 of the show .   Adam Campbell ( Season 1 ) as Logan Beekman , a wealthy acquaintance of Julian 's , who becomes intrigued by Kimmy after discovering she has no idea he is from one of New York 's richest families . They briefly date before his jealousy over Dong spoils their romance .   Mike Britt as Walter Bankston , a witness to the raid on the Bunker , whose remixed interview ( set to music by The Gregory Brothers ) serves as the series ' theme song . Walter Bankston is loosely based on Charles Ramsey , one of the rescuers of the captives of the Ariel Castro kidnappings .   Tanner Flood as Buckley Voorhees , Jacqueline 's hyperactive , violent son .   Andy Ridings ( Season 1 ) as Charles , Buckley 's tutor , who has a crush on Kimmy .   Susanna Guzman as Vera , Jacqueline 's housekeeper in season 1 and thus , Kimmy 's co-worker . She believes Kimmy looks like `` Wendy 's Old Fashioned Hamburgers '' .   Tim Blake Nelson ( Season 1 ) as Randy Shipka , Kimmy 's stepfather , a very incompetent state trooper who met Kimmy 's mother while searching for and failing to locate the missing Kimmy .   Jon Hamm as Reverend Richard Wayne Gary Wayne , the man who imprisoned Kimmy , Cyndee , Gretchen and Donna Maria in an underground bunker for fifteen years and led them to believe that they had survived the end of the world .   Tina Fey and Jerry Minor ( Season 1 ) as Marcia and Chris , incompetent prosecutors in the case against Richard Wayne . They are heavily implied to be Marcia Clark and Christopher Darden , the lead prosecutors in the OJ Simpson murder case .   Tina Fey ( Seasons 2 &amp; 3 ) as Dr. Andrea Bayden , an alcoholic psychiatrist who begins treating Kimmy for her experiences in the bunker .   Sheri Foster and Gil Birmingham as Fern and Virgil White , Jacqueline 's Lakota parents .   Amy Sedaris as Mimi Kanasis , an acquaintance of Jacqueline 's who is desperate to regain social status after her divorce .   Fred Armisen as Robert `` Bobby '' Durst , a former flame of Lillian 's . This character is a humorous representation of accused serial killer Robert Durst .   Mike Carlsen as Mikey Politano , a construction worker who started questioning his sexuality after receiving an unexpected answer when he hit on Kimmy in season 1 . In season 2 , he starts dating Titus . In season 4 , Mikey makes another appearance as part of their on - again , off - again relationship .   Anna Camp as Deirdre Robespierre , a wealthy , intelligent and dangerously bored trophy wife who becomes Jacqueline 's rival .   Chris Northrop as Meth - Head Charlie , Kimmy and Titus ' neighbor .   Doug Plaut ( Season 2 ) as Terry , Kimmy 's boss at the year round Christmas Store .   Brandon Jones ( Seasons 1 &amp; 2 ) as Brandon Yeagley , Cyndee 's childhood crush and later ex-fiancée .   Julie Tice - Bubolz as Yuko , a humanoid robot .   James Monroe Iglehart as Coriolanus Burt , Titus ' rival .   Jason Kravits ( Season 1 ) as Gary Dubbin , Jacqueline 's divorce lawyer .   David Cross / Billy Magnussen ( Seasons 2 &amp; 3 ) as Russ Snyder , a pro-bono attorney that Jacqueline pursues .   John Ellison Conlee as Rick , a cast member at Professor Dracula 's , a Times Square theme restaurant where Titus works .   Suzan Perry ( Seasons 1 &amp; 2 ) as Sonja , an old and unusual student at Kimmy 's GED class . At the end of season 1 , she marries Dong so that he can stay in the United States .   Derek Klena ( Season 2 &amp; 3 ) as Doug / DJ Fingablast / Douglas , a dog masseur hired by Jacqueline to become her trophy boyfriend .   Daveed Diggs ( Season 3 ) as Perry , a philosophy student whom Kimmy meets and helps her realize that she needs to go on a different path in her life , and later becomes her love interest .   Peter Riegert ( Season 3 ) as Artie Goodman , an upscale grocery chain owner who initially engages in a feud with Lillian , before they begin a relationship . He later dies in between seasons 3 and 4 .   Kenan Thompson ( Seasons 2 &amp; 3 ) as Roland Peacock , Lillian 's deceased husband .   Josh Charles ( Seasons 2 &amp; 3 ) as Duke Snyder , Russ ' more - favored brother , who tries to seduce Jacqueline .   Judah Friedlander ( Season 3 ) as Gordy , a controversial musician that helps produce Titus ' song `` Boobs in California '' .   Elise Mestichelli ( Season 4 ) as Cheryl , a humanoid robot and co-worker of Kimmy .   Bobby Moynihan ( Season 4 ) as Fran Dodd , a Men 's Rights Activist .   Stephanie D'Abruzzo ( Season 4 ) as Jan , Kimmy 's anthropomorphic backpack    Guest ( edit )    Matt Lauer as himself , interviewing the Mole Women on the Today Show ( `` Kimmy Goes Outside ! '' )   John McMartin as Grant , a friend of the Voorhees ' and a war veteran ( `` Kimmy Goes on a Date ! '' )   Martin Short as Dr. Grant ( pronounced `` Franff '' ) , Jacqueline 's plastic surgeon ( `` Kimmy Goes to the Doctor ! '' ) .   Pat Battle as herself , providing a report on the news , advertising the play Titus wishes to audition for ( `` Kimmy Goes to the Doctor ! '' )   Richard Kind as Mr. Lefkovitz , Kimmy 's GED teacher ( `` Kimmy Goes to School ! '' )   Mark Harelik as Julian Voorhees , Jacqueline 's adulterous husband ( `` Kimmy Goes to a Party ! '' )   Kiernan Shipka as Kymmi , Kimmy 's half - sister ( `` Kimmy Has a Birthday ! '' )   Christine Ebersole as Helene , Xanthippe 's biological mother ( `` Kimmy 's in a Love Triangle ! '' )   Dean Norris as M. Le Loup , a coach who helps Titus pass as a straight man in order to improve his casting chances ( `` Kimmy 's in a Love Triangle ! '' )   Robert Osborne as himself , providing a short ending comment on the showing of a fictitious 1938 musical film ( `` Kimmy 's in a Love Triangle ! '' )   Zosia Mamet and Evan Jonigkeit as Sue and Bob Thompstein , a pair of hipsters from Austin ( `` Kimmy Drives a Car ! '' )   Samuel Page as Keith Habersohl ( `` Kimmy Walks Into a Bar ! '' )   Joshua Jackson as Purvis ( `` Kimmy Goes to a Hotel ! '' )   Billy Eichner as himself ( `` Kimmy Meets a Drunk Lady ! '' )   Jeff Goldblum as Dr. Dave , a talk show host ( `` Kimmy Meets a Celebrity ! '' )   Ice - T as himself ( `` Kimmy Sees a Sunset ! '' )   Judy Gold as Judy ( `` Kimmy Sees a Sunset ! '' )   Lisa Kudrow as Lori - Ann Schmidt , Kimmy 's mother . ( `` Kimmy Finds Her Mom ! '' )   Laura Dern as Wendy Hebert , a woman who wants to marry the Reverend ( `` Kimmy Ca n't Help You ! '' )   Adrienne C. Moore as Black Cindy from Orange Is the New Black , whom Gretchen meets when she is sent off to prison . ( `` Kimmy Steps on a Crack ! '' )   Scott Adsit as Dale Bortz , an impressionist that impersonates Titus for a bladder commercial . ( `` Kimmy Learns About Weather ! '' )   Maya Rudolph as Dionne Warwick ( `` Kimmy Does a Puzzle ! '' )   John Lutz as Ricky Earl , the stage manager of the cruise ship Titus works on . ( `` Kimmy Does a Puzzle ! '' )   Ray Liotta as Paulie Fucillo ( `` Kimmy Pulls off a Heist ! )   Rachel Dratch as Leonora and Dianne ( `` Kimmy Googles the Internet ! '' )   Andrea Martin as Linda P. ( `` Kimmy Googles the Internet ! '' )   Andy Cohen as himself ( `` Kimmy and the Trolley Problem ! '' )   Jim Gaffigan as Officer Krupke ( `` Kimmy Bites an Onion ! '' )   Greg Kinnear as himself ( `` Kimmy Is ... Little Girl , Big City ! '' )   Aidy Bryant as Tabby Bobatti ( `` Party Monster : Scratching the Surface '' )   Marsai Martin as Aisha ( `` Kimmy and the Beest ! '' )   Busy Philipps as Sheba Goodman , Artie 's irresponsible Daughter ( `` Kimmy meets an Old Friend '' )    Production and Development ( edit )   The show was created by Tina Fey and Robert Carlock when NBC executives asked them to develop a show for Ellie Kemper . Fey stated that they found an `` innocence '' about Kemper 's face , but also noted there was a `` strength '' to it . One idea was for the show to center on Kemper 's character waking up from a coma , but this idea was abandoned in favor of the cult - survivor storyline .   The show was initially under development for NBC under the title Tooken . However , this was later changed to the current title . Eventually NBC sold the series to Netflix . Fey has stated that this was in part due to NBC `` not feeling confident about watching comedies '' . Prior to the network switch , NBC planned to air the series as either a mid-season replacement or as a summer series .   Casting ( edit )   Casting announcements for the remaining roles were held in March 2014 , with Tituss Burgess cast as the role of Kimmy 's roommate , Titus Andromedon . Titus is a talented singer who works odd entertainment jobs such as dressing up like a robot in Times Square or as a singing waiter at a theme restaurant . Also cast was Carol Kane as Kimmy and Titus ' landlord Lillian Kaushtupper .   Shortly afterwards , Sara Chase and Lauren Adams joined the series . Chase signed on for the role of Cyndee , Kimmy 's closest friend during their years in the cult ; Adams was cast in the role of Gretchen , a 10 - year member of the cult who believes everything that she is told . Jane Krakowski was later cast in the role of Jacqueline Voorhees , a wealthy Manhattanite who hires Kimmy as a nanny . Megan Dodds was originally cast before she was replaced with Krakowski .   Music ( edit )   The show 's theme song , `` Unbreakable '' , was produced by The Gregory Brothers and written by Jeff Richmond . It is a tribute to The Gregory Brothers ' YouTube show Songify the News -- auto - tuned news interviews that became viral videos . Richmond also wrote `` Peeno Noir '' , a song performed by character Titus Andromedon during season 1 , episode 6 of the series .   Reception ( edit )  See also : List of awards and nominations received by Unbreakable Kimmy Schmidt  The show has been widely acclaimed by television critics , who have praised the writing and cast .   Season 1 ( edit )   On Rotten Tomatoes , the first season has a rating of 95 % , based on 55 reviews , with an average rating of 7.5 / 10 . The site 's critical consensus reads , `` Blessed with originality and a spot - on performance from Ellie Kemper , The Unbreakable Kimmy Schmidt is as odd as it is hilarious . '' On Metacritic , the first season has a score of 78 out of 100 , based on 29 critics , indicating `` generally favorable reviews '' .   Scott Meslow of The Week called the series `` the first great sitcom of the streaming era '' , praising its wit , edge , and feminist tone . Brian Moylan of The Guardian noted that it is `` the sort of show that could benefit from multiple viewings , because the jokes are so packed in you 're sure to miss something while laughing . '' TV Guide named it the `` best new comedy of 2015 '' . IGN reviewer Max Nicholson gave the first season an 8.3 out of 10 ' Great ' rating , saying `` Tina Fey and Robert Carlock 's Unbreakable Kimmy Schmidt is another winner in Netflix 's original series catalog . Not only is it charming and funny , but it 's unabashedly kooky , and Ellie Kemper nails the lead role . ''   The series ' first season was nominated for seven Primetime Emmy Awards .     Category   Nominee ( s )   Result     Outstanding Casting for a Comedy Series   Jennifer Euston and Meredith Tucker   Nominated     Outstanding Comedy Series   Unbreakable Kimmy Schmidt   Nominated     Outstanding Guest Actor in a Comedy Series   Jon Hamm as Reverend Richard Wayne Gary Wayne   Nominated     Outstanding Guest Actress in a Comedy Series   Tina Fey as Marcia   Nominated     Outstanding Stunt Coordination for a Comedy Series or Variety Program   Jill Brown   Nominated     Outstanding Supporting Actor in a Comedy Series   Tituss Burgess as Titus Andromedon   Nominated     Outstanding Supporting Actress in a Comedy Series   Jane Krakowski as Jacqueline Voorhees   Nominated     Some reviewers have criticized the show 's portrayal of Native Americans , with Vulture referring to a prominent Native American subplot as `` offensive . '' BuzzFeed wrote that the show has a `` major race problem '' and cited the lack of a plurality of portrayals of Native Americans as the main issue with the subplot , stating that `` the way Native Americans are represented on this show matters . It 's not one representation among a cornucopia of representations ; it 's the single mainstream representation in years . '' The Daily Beast stated that when it comes to race , `` especially in its portrayal of a key Vietnamese character , the show leaves much to be desired . ''   In the wake of the controversy , Tina Fey responded : `` I feel like we put so much effort into writing and crafting everything , they need to speak for themselves . There 's a real culture of demanding apologies , and I 'm opting out of that . ''   Season 2 ( edit )   On Rotten Tomatoes , the second season holds a 100 % approval rating , based on 24 reviews , with an average rating of 7.6 / 10 . The site 's critical consensus reads , `` Not letting up in season two , Unbreakable Kimmy Schmidt is still odd in the best of ways , wonderfully building on its unique comedy stylings and brilliantly funny cast . '' On Metacritic , the second season has a score of 82 out of 100 , based on 16 reviews , indicating `` universal acclaim '' .   The series ' second season was nominated for four Primetime Emmy Awards .     Category   Nominee ( s )   Result     Outstanding Casting for a Comedy Series   Cindy Tolan   Nominated     Outstanding Comedy Series   Unbreakable Kimmy Schmidt   Nominated     Outstanding Lead Actress in a Comedy Series   Ellie Kemper as Kimmy Schmidt   Nominated     Outstanding Supporting Actor in a Comedy Series   Tituss Burgess as Titus Andromedon   Nominated     There was controversy surrounding the third episode from this season , `` Kimmy Goes to a Play ! , '' which involved the use of yellow - face and the name of a group of Asian - Americans who were critical of yellow - face . The group is referred to as `` Respectful Asian Portrayals in Entertainment '' , or `` R.A.P.E '' for short . The Asian - Americans shown protesting against yellow - face in the episode are conveyed as unlikable buffoons . Anna Akana criticized the use of yellow - face and the R.A.P.E. acronym during her 2016 Asians in Entertainment Key Note speech . Alex Abad - Santos wrote , `` The odd thing about this episode is that it 's another Tina Fey project that paints Asian people , specifically Asian women , as crappy characters . ( ... ) The plot feels like a pointed , ironic response to anyone who has criticized Fey 's past projects for being lazy and racist . ''   Season 3 ( edit )   On Rotten Tomatoes , the third season holds a 96 % approval rating , based on 25 reviews , with an average rating of 8.18 / 10 . The site 's critical consensus states : `` Unbreakable Kimmy Schmidt continues to thrive with a comically agile cast , notable guest stars , and a forceful influx of funny . '' On Metacritic , the third season has a score of 78 out of 100 , based on 12 reviews , indicating `` generally favorable reviews '' .   The series ' third season was nominated for five Primetime Emmy Awards .     Category   Nominee ( s )   Result     Outstanding Comedy Series   Unbreakable Kimmy Schmidt   Nominated     Outstanding Lead Actress in a Comedy Series   Ellie Kemper as Kimmy Schmidt   Nominated     Outstanding Music and Lyrics   `` Hell No ''   Nominated     Outstanding Stunt Coordination for a Comedy Series or Variety Program   Jill Brown   Nominated     Outstanding Supporting Actor in a Comedy Series   Tituss Burgess as Titus Andromedon   Nominated     Season 4 ( edit )   On Rotten Tomatoes , the fourth season holds a 100 % approval rating , based on 14 reviews , with an average rating of 8.33 / 10 . The site 's critical consensus states : `` Unbreakable Kimmy Schmidt ends with a final season that 's as topical as it is cheerily irreverent . '' On Metacritic , the fourth season has a score of 85 out of 100 , based on 6 reviews , indicating `` universal acclaim '' .   The series ' fourth season was nominated for two Primetime Emmy Awards .     Category   Nominee ( s )   Result     Outstanding Comedy Series   Unbreakable Kimmy Schmidt   Pending     Outstanding Supporting Actor in a Comedy Series   Tituss Burgess as Titus Andromedon   Pending     References ( edit )    ^ Jump up to : Wallenstein , Andrew ( November 21 , 2014 ) . `` Netflix Nabs ' Unbreakable Kimmy Schmidt ' from NBC '' . Variety . Penske Business Media . Retrieved November 22 , 2014 .   Jump up ^ Kondolojy , Amanda ( May 11 , 2014 ) . `` NBC 2014 - 2015 Schedule : ' Parenthood ' Renewed ; ' State of Affairs ' &amp; ' Marry Me ' To Air Post - ' Voice ' ; ' The Blacklist ' Moves Midseason + ' Parks and Recreation ' Final Season Benched '' . TV by the Numbers . Tribune Digital Ventures . Retrieved May 19 , 2014 .   ^ Jump up to : `` ' Unbreakable Kimmy Schmidt ' Has Two Native American Actors . It Needed Three '' . Indian Country Today Media Network . March 11 , 2015 . Retrieved March 12 , 2015 .   ^ Jump up to : `` ' Unbreakable Kimmy Schmidt ' Is the First Great Sitcom of the Streaming Era '' . The Week . The Week Publications . March 11 , 2015 . Retrieved March 12 , 2015 .   Jump up ^ Andreeva , Nellie ( 2017 - 06 - 13 ) . `` ' Unbreakable Kimmy Schmidt ' Renewed For Season 4 By Netflix '' . Deadline Hollywood . Retrieved 2017 - 06 - 13 .   Jump up ^ O'Connell , Michael ( 2018 - 05 - 03 ) . `` ' Unbreakable Kimmy Schmidt ' Will End With Season 4 , With Talks of a Movie '' . Hollywood Reporter . Retrieved 2018 - 05 - 03 .   Jump up ^ H , Hanis ( 2018 - 02 - 14 ) . `` ' Netflix 's ' Unbreakable Kimmy Schmidt ' returns May 30th '' . engadget . Retrieved 2018 - 02 - 18 .   Jump up ^ Gelman , Vlada ( 31 May 2018 ) . `` TVLine Items : Kimmy Schmidt 's Final Episodes , Tangled Renewed and More '' .   Jump up ^ Unbreakable Kimmy Schmidt , 2015 - 03 - 06 , retrieved 2016 - 04 - 18   Jump up ^ `` ' Unbreakable Kimmy Schmidt ' : Inside the Crazier - Than - Ever Comedy '' . Rolling Stone . Retrieved 2016 - 04 - 18 .   ^ Jump up to : `` Video : Netflix Releases New Trailer for `` Unbreakable Kimmy Schmidt '' `` . The Futon Critic . May 16 , 2018 . Retrieved May 30 , 2018 .   Jump up ^ Maas , Jennifer ( May 31 , 2018 ) . `` Second Half of ' Unbreakable Kimmy Schmidt ' Season 4 to Premiere Next Year ( Exclusive ) '' . The Wrap . Retrieved May 31 , 2018 .   ^ Jump up to : Andreeva , Nellie ( March 1 , 2014 ) . `` ' 30 Rock 's Tituss Burgess Joins Tina Fey &amp; Robert Carlock 's NBC Series ' Tooken ' '' . Deadline Hollywood . Penske Media Corporation . Retrieved March 2 , 2014 .   Jump up ^ `` Netflix to Premiere Globally in March 2015 the New Tina Fey and Robert Carlock Comedy Series Starring Ellie Kemper '' . The Futon Critic . Futon Media . November 23 , 2014 . Retrieved March 20 , 2015 .   ^ Jump up to : Reed , Kayla ( May 12 , 2014 ) . `` Jane Krakowski joining Tina Fey 's New NBC Sitcom '' . The A.V. Club . The Onion , Inc . Retrieved March 20 , 2015 .   Jump up ^ `` Giacomo Gianniotti Joins ABC 's ' Selfie ' ; Andy Ridings &amp; Dylan Gelula In NBC 's ' Unbreakable Kimmy Schmidt ' '' . Deadline Hollywood . Penske Media Corporation . August 15 , 2014 . Retrieved August 18 , 2014 .   Jump up ^ Harris , Aisha ( March 11 , 2015 ) . `` The Creators of Kimmy Schmidt 's Theme on Sending Up the `` Hilarious Black Neighbor '' Meme `` . Slate . The Slate Group . Retrieved June 16 , 2015 .   Jump up ^ Rosenberg , Alyssa ( March 10 , 2015 ) . `` ' Unbreakable Kimmy Schmidt ' mines comedy out of sexual abuse '' . The Washington Post . Nash Holdings LLC . Retrieved June 16 , 2015 .   Jump up ^ `` Tina Fey 's `` Unbreakable Kimmy Schmidt '' starring Ellie Kemper on Netflix March 6th `` . The Laugh Button . January 7 , 2015 . Retrieved March 20 , 2015 .   Jump up ^ Levine , Daniel S ( April 17 , 2015 ) . `` ' Unbreakable Kimmy Schmidt ' recap 9 : ' Kimmy Has A Birthday ! ' '' . The Celebrity Cafe . Archived from the original on May 18 , 2015 . Retrieved June 16 , 2015 .   Jump up ^ Virtel , Louis ( March 11 , 2015 ) . `` Weird Crush Wednesday : Tina Fey 's Idiotic ' Unbreakable Kimmy Schmidt ' Character '' . HitFix . Retrieved June 16 , 2015 .   Jump up ^ `` Mike Carlsen '' . IMDb . Retrieved August 28 , 2018 .   Jump up ^ Haring , Bruce ( 11 May 2018 ) . `` ' Unbreakable Kimmy Schmidt ' Sets Fourth Netflix Season Guest Stars and Teases Storylines '' . Deadline . Retrieved August 28 , 2018 .   ^ Jump up to : D'Alessandro , Anthony . `` ' Unbreakable Kimmy Schmidt 's Tina Fey &amp; Robert Carlock On Netflix And Their Modern Princess Tale '' . Deadline Hollywood . Retrieved 6 August 2015 .   Jump up ^ Andreeva , Nellie ( October 31 , 2013 ) . `` NBC Picks Up Comedy Series From ' 30 Rock 's Tina Fey &amp; Robert Carlock Starring Ellie Kemper With 13 - Episode Order '' . Deadline Hollywood . Penske Media Corporation . Retrieved January 27 , 2015 .   Jump up ^ `` Development Update : Tuesday , May 6 -- NBC Gives `` Tooken '' New Moniker of `` Unbreakable Kimmy Schmidt '' `` . The Futon Critic . Futon Media . May 6 , 2014 . Retrieved January 27 , 2015 .   Jump up ^ Gray , Ellen ( March 5 , 2015 ) . `` ' Unbreakable Kimmy Schmidt ' an escape - from - cult comedy '' . Philly.com . Retrieved January 27 , 2017 .   Jump up ^ `` Development Update : Wednesday , March 19 '' . The Futon Critic . Futon Media . April 5 , 2014 . Retrieved March 19 , 2014 .   Jump up ^ Unbreakable Kimmy Schmidt - Songify This ! . 6 March 2015 -- via YouTube .   Jump up ^ Villarreal , Yvonne ( March 31 , 2015 ) . `` ' Kimmy Schmidt ' composer Jeff Richmond on the show 's viral - friendly songs '' . Los Angeles Times . Tribune Publishing . Retrieved June 16 , 2015 .   ^ Jump up to : `` Unbreakable Kimmy Schmidt -- Season 1 Reviews '' . Metacritic . Retrieved April 9 , 2015 .   ^ Jump up to : `` Unbreakable Kimmy Schmidt -- Season 2 Reviews '' . Metacritic . Retrieved May 29 , 2016 .   ^ Jump up to : `` Unbreakable Kimmy Schmidt -- Season 3 Reviews '' . Metacritic . Retrieved May 17 , 2017 .   Jump up ^ `` Unbreakable Kimmy Schmidt -- Season 1 '' . Rotten Tomatoes . March 6 , 2015 . Retrieved December 22 , 2015 .   Jump up ^ Moylan , Brian ( March 6 , 2015 ) . `` Unbreakable Kimmy Schmidt : Tina Fey 's joyous new creation '' . The Guardian . Guardian Media Group . Retrieved March 20 , 2015 .   Jump up ^ Eng , Joyce ( March 5 , 2015 ) . `` Netflix 's Sunny , Dark Unbreakable Kimmy Schmidt Is the Best New Comedy This Year '' . TV Guide . CBS Interactive . Retrieved March 20 , 2015 .   Jump up ^ Nicholson , Max ( March 6 , 2015 ) . `` Unbreakable Kimy Schmidt : Season 1 Review '' . IGN . Retrieved March 7 , 2015 .   ^ Jump up to : `` Unbreakable Kimmy Schmidt -- AWARDS &amp; NOMINATIONS '' . Television Academy Foundation . Retrieved May 8 , 2016 .   Jump up ^ Hill , Libby ( March 10 , 2015 ) . `` What 's Up With the Native American Subplot on Unbreakable Kimmy Schmidt ? '' . Vulture . Retrieved May 13 , 2018 .   Jump up ^ Petersen , Anne Helen ; Madison III , Ira ; Alvarez , Alex ( March 17 , 2015 ) . `` Unbreakable Kimmy Schmidt Has A Major Race Problem '' . BuzzFeed . Retrieved May 13 , 2018 .   Jump up ^ Bergado , Gabe ( March 9 , 2015 ) . `` The Dong Problem : How ' Unbreakable Kimmy Schmidt ' Deals With Race '' . The Daily Beast . Retrieved May 13 , 2018 .   Jump up ^ Ge , Linda ( December 19 , 2015 ) . `` Tina Fey Dodges ' Unbreakable Kimmy Schmidt Controversy : ' I 'm Opting Out ' '' . The Wrap . Retrieved May 13 , 2018 .   Jump up ^ `` Unbreakable Kimmy Schmidt - Season 2 Reviews '' . Rotten Tomatoes . Retrieved May 29 , 2016 .   Jump up ^ Abad - Santos , Alex ; Framke , Caroline ( April 19 , 2016 ) . `` Why does Unbreakable Kimmy Schmidt keep choosing race as a hill to die on ? '' . Vox . Vox Media . Retrieved May 13 , 2018 .   Jump up ^ `` Unbreakable Kimmy Schmidt - Season 3 Reviews '' . Rotten Tomatoes . Retrieved July 2 , 2017 .   Jump up ^ `` Unbreakable Kimmy Schmidt - Season 4 Reviews '' . Rotten Tomatoes . Retrieved July 13 , 2018 .   Jump up ^ `` Unbreakable Kimmy Schmidt -- Season 4 Reviews '' . Metacritic . Retrieved July 13 , 2018 .    External links ( edit )    Official website   Unbreakable Kimmy Schmidt on IMDb   Unbreakable Kimmy Schmidt at TV Guide              Netflix original current series     Since 2013     </t>
  </si>
  <si>
    <t xml:space="preserve">when did the unbreakable kimmy schmidt come out</t>
  </si>
  <si>
    <t xml:space="preserve"> Unbreakable Kimmy Schmidt is an American web television sitcom created by Tina Fey and Robert Carlock , starring Ellie Kemper in the title role , that has streamed on Netflix since March 6 , 2015 . Originally set for a 13 - episode first season on NBC for spring 2015 , the show was sold to Netflix and given a two - season order . </t>
  </si>
  <si>
    <t xml:space="preserve">South India - Wikipedia  South India  Jump to : navigation , search    South India     Map of states and Union Territories in South India     Country   India     States and Union territories     Andaman and Nicobar   Andhra Pradesh   Karnataka   Kerala   Lakshadweep   Puducherry   Tamil Nadu   Telangana       Most populous cities ( 2011 )     Chennai   Bangalore   Hyderabad   Coimbatore   Visakhapatnam       Area     Total   635,780 km ( 245,480 sq mi )     Population     Total   253,051,953     Density   400 / km ( 1,000 / sq mi )     Time zone   IST ( UTC + 5 : 30 )     Official languages     Telugu   Tamil   Kannada   Malayalam   Urdu       South India is the area encompassing the Indian states of Andhra Pradesh , Karnataka , Kerala , Tamil Nadu , goa and Telangana as well as the union territories of Andaman and Nicobar , Lakshadweep and Puducherry , occupying 19.31 % of India 's area ( 635,780 km or 245,480 sq mi ) . Covering the southern part of the peninsular Deccan Plateau , South India is bounded by the Bay of Bengal in the east , the Arabian Sea in the west and the Indian Ocean in the south . The geography of the region is diverse with two mountain ranges - the Western and Eastern Ghats , bordering the plateau heartland . Godavari , Krishna , Kaveri , Tungabhadra and Vaigai rivers are important non-perennial sources of water . Chennai , Bengaluru , Hyderabad , Coimbatore and Kochi are the largest urban areas .   Majority of the people in South India speak one of the four major Dravidian languages : Telugu , Tamil , Kannada and Malayalam . During its history , a number of dynastic kingdoms ruled over parts of South India whose invasions across southern and southeastern Asia impacted the history and culture in those regions . Major dynasties that were established in South India include the Cheras , Cholas , Pandyas , Pallavas , Satavahanas , Chalukyas , Rashtrakutas and Vijayanagara . European countries entered India through Kerala and the region was colonised by Britain and other nations .   After experiencing fluctuations in the decades immediately after Indian independence , the economies of South Indian states have registered higher than national average growth over the past three decades . While South Indian states have improved in some socio - economic metrics , poverty continues to affect the region much like the rest of the country , although it has considerably decreased over the years . HDI in the southern states is high and the economy has undergone growth at a faster rate than most northern states . Literacy rates in the southern states are higher than the national average with approximately 80 % of the population capable of reading and writing . The fertility rate in South India is 1.9 , the lowest of all regions in India .     Contents  ( hide )   1 Etymology   2 History   2.1 Ancient era   2.2 Colonial era   2.3 Post Independence     3 Geography   4 Climate   5 Flora and fauna   6 Demographics   6.1 Languages   6.2 Religion     7 Economy   8 Subdivisions   8.1 States   8.2 Union territories     9 Administration   10 Politics   11 Culture and heritage   11.1 Clothing   11.2 Cuisine   11.3 Arts   11.4 Cinema   11.5 Literature   11.6 Architecture     12 Transport   12.1 Road   12.2 Rail   12.3 Air   12.4 Water     13 References   14 External links      Etymology ( edit )   South India also known as Peninsular India has been known by several other names . The term `` Deccan '' referring to the area covered by the Deccan Plateau that covers most of peninsular India excluding the coastal areas is an anglicised form of the word Prakrit dakkhin derived from the Sanskrit word dakshina meaning south . Carnatic derived from `` Karnād '' or `` Karunād '' meaning high country has also been associated with South India .   History ( edit )  Main article : History of South India  Ancient era ( edit )  The Chola Empire during Rajendra Chola I , c. 1030  Carbon dating on ash mounds associated with Neolithic cultures in South India date back to 8000 BCE . Artefacts such as ground stone axes , and minor copper objects have been found in the region . Towards the beginning of 1000 BCE , iron technology spread through the region ; however , there does not appear to be a fully developed Bronze Age preceding the Iron Age in South India . The region was in the middle of a trade route that extended from Muziris to Arikamedu linking the Mediterranean and East Asia . Trade with Phoenicians , Romans , Greeks , Arabs , Syrians , Jews and Chinese began from the Sangam period ( c. 3rd century BC to c. 4th century AD ) . The region was part of the ancient Silk Road connecting the Asian continent in the East and the West .   Several dynasties such as the Cheras of Karuvur , the Pandyas of Madurai , the Cholas of Thanjavur , the Satavahanas of Amaravati , the Pallavas of Kanchi , the Kadambas of Banavasi , the Western Gangas of Kolar , the Rashtrakutas of Manyakheta , the Chalukyas of Badami , the Hoysalas of Belur and the Kakatiyas of Orugallu ruled over the region from 6th century B.C. to 14th century A.D. The Vijayanagara Empire , founded in 14th century A.D. was the last Indian dynasty that ruled over the region . After repeated invasions from the Sultanate of Delhi and the fall of Vijayanagara empire in 1646 , the region was ruled by Deccan Sultanates , polygars and Nayak governors of Vijayanagara empire who declared independence .   Colonial era ( edit )   The Europeans arrived in the 15th century and by the middle of the 18th century , the French and the British were involved in a protracted struggle for military control over the South India . After the defeat of Tipu Sultan in the Fourth Anglo - Mysore War in 1799 and the end of the Vellore Mutiny in 1806 , the British consolidated their power over much of present - day South India with the exception of French Pondichéry . The British Empire took control of the region from the British East India Company in 1857 . During the British colonial rule , the region was divided into the Madras Presidency , Hyderabad state , Mysore , Travancore , Kochi , Vizianagaram and a number of other minor princely states . The region played a major role in the Indian independence movement ; of the 72 delegates who participated in the first session of the Indian National Congress at Bombay in December 1885 , 22 hailed from South India .   Post independence ( edit )  Map of South India ( 1953 -- 1956 ) before the States Reorganisation Act of 1956  After the independence of India in 1947 , the region was organised into four states : Madras State , Mysore State , Hyderabad State and Travancore - Cochin . The States Reorganisation Act of 1956 reorganised the states on linguistic lines resulting in the creation of the new states of Andhra Pradesh , Karnataka , Kerala and Tamil Nadu . As a result of this Act , Madras State retained its name and Kanyakumari district was added to it from the state of Travancore - Cochin . The state was subsequently renamed Tamil Nadu in 1968 . Andhra Pradesh was created through the merger of Andhra State with the Telugu - speaking districts of the Hyderabad State in 1956 . Kerala emerged from the merger of Malabar district and the Kasaragod taluk of South Canara districts of the Madras State with Travancore - Cochin . Mysore State was re-organised with the addition of districts of Bellary and South Canara ( excluding Kasaragod taluk ) and the Kollegal taluk of Coimbatore district from the Madras State , the districts of Belgaum , Bijapur , North Canara and Dharwad from the Bombay State , the Kannada - majority districts of Bidar , Raichur and Gulbarga from the Hyderabad State and the province of Coorg . Mysore State was renamed as Karnataka in 1973 . The Union territory of Puducherry was created in 1954 comprising the previous French enclaves of Pondichérry , Karaikal , Yanam and Mahé . The Laccadive Islands , which were divided between South Canara and Malabar districts of Madras State , were united and organised into the union territory of Lakshadweep . Telangana was created on 2 June 2014 by bifurcating Andhra Pradesh and it comprises ten districts of the erstwhile state of Andhra Pradesh .   ^ Taluk is a smaller administrative division than a district   Geography ( edit )  Main article : Geography of South India Satellite image of South India  South India is a peninsula in the shape of an inverted triangle bound by the Arabian Sea on the west , by the Bay of Bengal on the east and Vindhya and Satpura ranges on the north . The Narmada river flows westwards in the depression between the Vindhya and Satpura ranges which define the northern spur of the Deccan plateau . The Western Ghats run parallel along the western coast and the narrow strip of land between the Western Ghats and the Arabian Sea forms the Konkan region . The Western Ghats continue south until Kanyakumari . The Eastern Ghats run parallel along the eastern coast and the strip of land between the Eastern Ghats and the Bay of Bengal forms the Coromandel region . Both the ranges meet at the Nilgiri mountains . The Nilgiris run in a crescent approximately along the borders of Tamil Nadu with northern Kerala and Karnataka , encompassing the Palakkad and Wayanad hills and the Sathyamangalam ranges , extending on to the relatively low - lying hills of the Eastern Ghats on the western portion of the Tamil Nadu -- Andhra Pradesh border forming the Tirupati and Annamalai hills .   The low lying coral islands of Lakshadweep are situated off the south - western coast of India . The Andaman and Nicobar islands lie far off the eastern coast of India . The Palk Strait and the chain of low sandbars and islands known as Rama 's Bridge separate the region from Sri Lanka , which lies off the south - eastern coast . The southernmost tip of mainland India is at Kanyakumari where the Indian Ocean meets the Bay of Bengal and the Arabian Sea .   The Deccan plateau is the elevated region bound by the mountain ranges . The plateau rises to 100 metres ( 330 ft ) in the north and to more than 1 kilometre ( 0.62 mi ) in the south , forming a raised triangle within the downward - pointing triangle of the Indian subcontinent 's coastline . It also slopes gently from West to East resulting in major rivers arising in the Western Ghats and flowing east into the Bay of Bengal . The volcanic basalt beds of the Deccan were laid down in the massive Deccan Traps eruption , which occurred towards the end of the Cretaceous period between 67 and 66 million years ago . Layer after layer was formed by the volcanic activity that lasted 30,000 years and when the volcanoes became extinct , they left a region of highlands with typically vast stretches of flat areas on top like a table . The plateau is watered by east flowing rivers Godavari , Krishna , Kaveri and Vaigai . The major tributaries include Pennar , Tungabhadra , Bhavani and Thamirabarani .   Climate ( edit )  Climatic zones South - west monsoon currents  The region has a tropical climate and depends on monsoons for rainfall . According to the Köppen climate classification , it has a non-arid climate with minimum mean temperatures of 18 ° C ( 64 ° F ) . The most humid is the tropical monsoon climate characterised by moderate to high year - round temperatures and seasonal heavy rainfall above 2,000 mm ( 79 in ) per year . The tropical climate is experienced in a strip of south - western lowlands abutting the Malabar Coast , the Western Ghats and the islands of Lakshadweep and Andaman and Nicobar are also subject to this climate .   The tropical wet and dry climate , drier than areas with a tropical monsoon climate prevails over most of inland peninsular region except for a semi arid rain shadow east of the Western Ghats . Winter and early summer are long and dry periods with temperatures averaging above 18 ° C ( 64 ° F ) , summer is exceedingly hot with temperatures in low - lying areas exceeding 50 ° C ( 122 ° F ) and the rainy season lasts from June to September with annual rainfall averaging between 750 and 1,500 mm ( 30 and 59 in ) across the region . Once the dry northeast monsoon begins in September , most precipitation in India falls in Tamil Nadu , leaving other states comparatively dry . The hot semi-arid climate predominates the land east of the Western Ghats and the Cardamom Hills . The region , which includes Karnataka , inland Tamil Nadu and western Andhra Pradesh , gets between 400 and 750 millimetres ( 15.7 and 29.5 in ) of rainfall annually with hot summers and dry winters with temperatures around 20 -- 24 ° C ( 68 -- 75 ° F ) . The months between March and May are hot and dry with mean monthly temperatures hover around 32 ° C ( 90 ° F ) , with 320 millimetres ( 13 in ) precipitation and without artificial irrigation , this region is not suitable for agriculture .   The south -- west Monsoon from June to September accounts for most of the rainfall in the region . The Arabian Sea branch of the south - west monsoon hits the Western Ghats along the coastal state of Kerala and moves northwards along the Konkan coast with precipitation on coastal areas , west of the Western Ghats . The lofty Western Ghats prevent the winds from reaching the Deccan Plateau - hence the leeward region ( the region that deprived of winds ) receives very little rainfall . The Bay of Bengal branch of south - west monsoon heads toward north east India , picking up moisture from the Bay of Bengal . The Coramandel coast does not receive much rainfall from the south - west monsoon due to the shape of the land . Tamil Nadu and southeast Andhra Pradesh receive rains from the north -- east Monsoon . The north - east monsoon take place from November to early March when the surface high - pressure system is strongest . The North Indian Ocean tropical cyclones occur throughout the year in Bay of Bengal and Arabian sea bringing devastating winds and heavy rainfall .   Flora and fauna ( edit )  South India has the largest elephant population . Main articles : Wildlife of Karnataka , Wildlife of Tamil Nadu , Wildlife of Kerala , and List of birds of South India  There is a wide diversity of plants and animals in South India , resulting from its varied climates and geography . Deciduous forests are found along the Western Ghats while tropical dry forests and scrub lands are common in the interior Deccan plateau . The southern Western Ghats have rainforests located at high altitudes called the South Western Ghats montane rain forests and the Malabar Coast moist forests are found on the coastal plains . The Western Ghats is one of the eight hottest biodiversity hotspots in the world and a UNESCO World Heritage Site .   Important ecological regions of South India are the Nilgiri Biosphere Reserve , located at the conjunction of the borders of Karnataka , Kerala and Tamil Nadu in the Nilgiri Hills and the Anamalai Hills in the Western Ghats . Bird sanctuaries including Vedanthangal , Ranganathittu , Kumarakom , Neelapattu and Pulicat are home to numerous migratory and local birds . Lakshadweep has been declared a bird sanctuary by the Wildlife Institute of India . Other protected ecological sites include the mangrove forests of Pichavaram in Tamil Nadu , the backwaters of Pulicat lake in Tamil Nadu and Vembanad , Ashtamudi , Paravur and Kayamkulam lakes in Kerala . The Gulf of Mannar Biosphere Reserve covers an area of 10,500 km2 of ocean , islands and the adjoining coastline including coral reefs , salt marshes and mangroves . It is home to Endangered aquatic species including dolphins , dugongs , whales and sea cucumbers .   The region is home to one of the largest populations of endangered Indian elephant and Bengal Tiger in India . Elephant populations are found in eight fragmented sites in South India ; in northern Karnataka , along the Western Ghats , in Bhadra -- Malnad , in Brahmagiri -- Nilgiris -- Eastern Ghats , in Nilambur -- Silent Valley -- Coimbatore , in Anamalai -- Parambikulam , in Periyar -- Srivilliputhur and Agasthyamalai The region is home to one - third of the tiger population and more than half of the elephant population of India . There are 14 Project Tiger reserves and 11 Project Elephant reserves in the region . Other threatened and endangered species found in the region include grizzled giant squirrel , grey slender loris , sloth bear , nilgiri tahr , nilgiri langur , lion - tailed macaque , and Indian leopard .   Symbols of States of South India   Name   Animal   Bird   Tree   Fruit   Flower     Andaman and Nicobar Islands   Dugong ( Dugong dugon )   Andaman wood pigeon ( Columba palumboides )   Andaman padauk ( Pterocarpus dalbergioides )     Andaman crape myrtle ( Lagerstroemia hypoleuca )     Andhra Pradesh   Blackbuck ( Antilope cervicapra )   Indian roller ( Coracias indica )   Neem ( Azadirachta indica )   Mango ( Mangifera indica )   Lotus ( Nelumbo nucifera )     Karnataka   Indian Elephant ( Elephas maximus )   Indian roller ( Coracias indica )   Sandalwood ( Santalum album )     Lotus ( Nelumbo nucifera )     Kerala   Indian Elephant ( Elephas maximus )   Great hornbill ( Buceros bicornis )   Coconut ( Cocos nucifera )   Jackfruit ( Artocarpus heterophyllus )   Cana fistula ( Cassia fistula )     Lakshadweep   Butterfly fish ( Chaetodon falcula )   Noddy tern ( Anous stolidus )   Bread fruit ( Artocarpus incisa )         Puducherry   Indian palm squirrel ( Funambulus palmarum )   Koel ( Eudynamys scolopaceus )   Bael fruit ( Aegle marmelos )     Cannonball ( Couroupita guianensis )     Tamil Nadu   Nilgiri tahr ( Nilgiritragus hylocrius )   Emerald dove ( Chalcophaps indica )   Palmyra palm ( Borassus flabellifer )   Jackfruit ( Artocarpus heterophyllus )   Glory lily ( Gloriosa superba )     Telangana   Deer ( Axis axis )   Indian roller ( Coracias indica )   Khejri ( Prosopis cineraria )   Mango ( Mangifera indica )   Tanner 's Cassia ( Senna auriculata )     Demographics ( edit )  Main articles : Dravidian peoples , Tamils , Telugus , Kannadas , and Malayalis Population Pyramid in South India  As per the 2011 census of India , the estimated population of South India is 252 million , around one fifth of the total population of India . The region 's total fertility rate ( TFR ) was less than the population replacement level of 2.1 for all states with Kerala and Tamil Nadu having the lowest TFRs in India at 1.7 . As a result , the proportion of the population of South India to India 's total population has declined from 1981 to 2011 . The population density of the region is approximately 463 . Scheduled Castes and Tribes form 18 % of the population of the region . Agriculture is the major employer in the region with 47.5 % of the population is involved in agrarian activities . About 60 % of the population lives in permanent housing structures . 67.8 % of South India has access to tap water with wells and springs forming other major sources of water supply .   After experiencing fluctuations in the decades immediately after the independence of India , the economies of South Indian states have registered growth higher than the national average over the past three decades . While South Indian states have improved in some of the socio - economic metrics , poverty continues to affect the region as it does the rest of the country , although it has considerably decreased over the years . Basis the 2011 census , HDI in the southern states is high and the economy has grown at a faster rate than most northern states .   As per the 2011 census , the average literacy rate in South India is approximately 80 % , considerably higher than the Indian national average of 74 % with Kerala having the highest literacy rate of 93.91 % . South India has the highest sex ratio with Kerala and Tamil Nadu being the top two states . The South Indian states rank amongst the top 10 in economic freedom , life expectancy , access to drinking water , house ownership and TV ownership . Poverty rate is at 19 % while that in the other Indian states is at 38 % . The per capita income is ₹ 19,531 ( US $300 ) , which is more than double of the other Indian states ( ₹ 8,951 ( US $140 ) ) . Of the three demographic related targets of the Millennium Development Goals set by the United Nations expected to be achieved by 2015 , Kerala and Tamil Nadu achieved the goals related to improvement of maternal health and of reducing infant mortality and child mortality by 2009 .   Languages ( edit )  Main article : Dravidian languages Dravidian language tree  The largest linguistic group in South India is the Dravidian family of languages , a family of approximately 73 languages The major languages spoken include Telugu , Tamil , Kannada and Malayalam . Tulu is spoken by about 1.5 million people in coastal Kerala and Karnataka and Konkani , an Indo - Aryan language , is spoken by half a million people in the Konkan coast . English is also widely spoken in urban areas of South India . Urdu is spoken by around 12 million Muslims in southern India . Tamil , Telugu , Kannada , Malayalam , Urdu and Konkani are listed amongst the 22 official languages of India as per the Official Languages Act ( 1963 ) . Tamil was the first language to be granted classical language status by the Government of India in 2004 . Other major languages declared classical were Kannada ( in 2008 ) , Telugu ( in 2008 ) and Malayalam ( in 2013 )     S.No .   Language   Number of speakers   Official in States       Telugu   74,002,856   Andhra Pradesh , Telangana , Yanam ( Puducherry )       Tamil   60,793,814   Tamil Nadu , Puducherry       Kannada   37,924,011   Karnataka       Malayalam   33,066,392   Kerala , Lakshadweep , Mahé , Puducherry     5   Konkani   2,489,015   Not Official in any South Indian State .     Religion ( edit )     Religion     Religion       Percent ( % )       Hinduism     80 %     Islam     11 %     Christianity     8 %     Other     1 %     Hinduism is the major religion with about 80 % of the population adhering to it . About 11 % of the population follow Islam and 8 % follow Christianity . Evidence of prehistoric religion in South India comes from scattered Mesolithic rock paintings depicting dances and rituals in Stone Age sites such as the Kupgal petroglyphs of eastern Karnataka . Hinduism , often regarded as the oldest religion in the world , traces its roots to prehistoric times in India . The main spiritual traditions of South India include both Shaivite and Vaishnavite branches of Hinduism , although Buddhist and Jain philosophies had been influential several centuries earlier . Ayyavazhi is spread significantly across the southern parts of South India . Islam was introduced to South India in the early 7th century by Arab traders in Malabar Coast of Kerala and spread during the rule of Deccan Sultanates from 17th to 18th century and the Muslims in Kerala of Arab descent are called Jonaka Mappila . Christianity was introduced to South India by Thomas the Apostle , who visited Muziris in Kerala in 52 CE and baptised Kerala 's Jewish settlements . Kerala is also home to one of the oldest Jewish communities in the world who are supposed to have arrived in the Malabar coast during the reign of King Solomon .   Economy ( edit )  Main article : Economy of South India Major crop areas The growth of information technology hubs in the region have spurred economic growth . Pictured is Tidel Park in Chennai  The economy of South India after the independence of the nation conformed to a socialist framework , with strict governmental control over private sector participation , foreign trade and foreign direct investment . Through 1960 to 1990 , the South Indian economies experienced mixed economic growth . In the 1960s , Kerala achieved above average economic growth while Andhra Pradesh 's economy declined during this period . Kerala experienced an economic decline in the 1970s while the economies of Tamil Nadu , Andhra Pradesh and Karnataka consistently exceeded national average growth rates after 1970 due to reform - oriented economic policies compared to other Indian states . As of 2013 -- 14 , the total Gross domestic product of the region is ₹ 27.1 trillion ( US $420 billion ) . Tamil Nadu has the second highest GDP and is the second most industrialised state in the country after Maharashtra . As of March 2015 , there are 109 operational Special Economic Zones in South India , which is about 60 % of the country 's total .   Over 48 % of South India 's population is engaged in agriculture , which is largely dependent on seasonal monsoons . Some of the main crops cultivated in South India include paddy , sorghum , pearl millet , pulses , sugarcane , cotton , chilli and ragi . Areca , coffee , tea , rubber and spices are cultivated on the hilly regions . The staple food is rice ; the delta regions of Godavari , Krishna and Kaveri are amongst the top rice producing areas in the country . Frequent droughts have left farmers debt - ridden , forcing them to sell their livestock and sometimes to commit suicide . The region accounts for 92 % of the total Coffee production in India . South India is also a major producer of cotton , tea , rubber , turmeric , mangoes and spices . Other major agriculture related produce include silk and poultry .   Bangalore , Chennai , Hyderabad , Coimbatore and Thiruvananthapuram are amongst the major IT hubs of India and Bangalore is also known as the Silicon Valley of India . The growth of information technology ( IT ) hubs in the region have spurred economic growth and attracted foreign investments and job seekers from other parts of the country . Software exports from South India grossed over ₹ 640 billion ( US $10 billion ) in fiscal 2005 -- 06 . Chennai , known as the `` Detroit of Asia '' , accounts for about 35 % of India 's overall automotive components and automobile output . Coimbatore region supplies two - thirds of India 's requirements of motors and pumps and is one of the largest exporters of jewellery , wet grinders and auto components .   The other major industry is textiles with the region being home to nearly 60 % of the fibre textile mills in India .   Tourism contributes significantly to the GDP of the region with four states - Tamil Nadu , Karnataka , Andhra Pradesh and Telangana - among the top 10 states for tourist arrivals and accounting for more than 50 % of domestic tourist visits .     ( hide ) Economic and demographic indicators     Parameter   South India   National     Gross domestic product ( GDP )   ₹ 27.1 trillion ( US $420 billion )   ₹ 104.7 trillion ( US $1.6 trillion )     Net state domestic product ( SDP )   ₹ 27,027 ( US $420 )   ₹ 23,222 ( US $360 )     Population below poverty line   17.4 %   26.1 %     Urban population   32.8 %   27.8 %     Households with electricity   89.3 %   67.9 %     Literacy rate   80 %   74 %     Subdivisions ( edit )   South India consists of the five southern Indian states of Andhra Pradesh , Telangana , Karnataka , Kerala and Tamil Nadu as well as the union territories of Puducherry , Lakshadweep and Andaman and Nicobar . Puducherry and the five states have an elected state government each , while the Lakshadweep and Andaman islands are centrally administered by the President of India . Each sub-region is further divided into districts . Each state is headed by a Governor , who is a direct appointee of the President of India , while the Chief Minister is the elected head of the state government and represents the state 's ruling party or coalition .   States ( edit )     S.No .   Name   ISO 3166 - 2 code   Date of formation   Population   Area ( km )   Official language ( s )   Capital   Population density ( per km )   Sex Ratio   Literacy Rate ( % )   % of urban population       Andhra Pradesh   AP   1 Oct 1953   49,506,799   160,205   Telugu   Hyderabad   308   996   67.41   29.4       Karnataka   KA   1 Nov 1956   61,095,297   191,791   Kannada   Bengaluru   319   973   75.36   34.0       Kerala   KL   1 Nov 1956   33,406,061   38,852   Malayalam   Thiruvananthapuram   860   1084   94.00   26.0       Tamil Nadu   TN   26 Jan 1950   72,147,030   130,060   Tamil   Chennai   555   996   80.09   44.0     5   Telangana   TS   2 Jun 2014   35,193,978   114,840   Telugu , Urdu   Hyderabad   307   988   66.50   38.7      ^ Note 1 Andhra Pradesh was divided into two states , Telangana and a residual Andhra Pradesh on 2 June 2014 . Hyderabad , located entirely within the borders of Telangana , is to serve as joint capital for both states for a period of time not exceeding ten years .    Union territories ( edit )     S.No .   Name   ISO 3166 - 2 code   Population   Area ( km )   Official language   Capital   Population density ( per km )   Sex Ratio   Literacy Rate ( % )   % of urban population       Andaman and Nicobar   AN   380,581   8,249   English , Hindi   Port Blair   46   876   86.27   32.6       Lakshadweep   LD   64,473   30   English , Malayalam   Kavaratti   2,013   946   92.28   44.5       Puducherry   PY   1,247,953   490   Tamil , Malayalam , Telugu   Puducherry   2,598   1037   86.55   66.6     Administration ( edit )  Legislative assemblies of states Fort St. George ( Tamil Nadu ) Vidhan Bhavan ( Telangana ) Vidhan Soudha ( Karnataka ) Niyamasabha Mandiram ( Kerala )  South India elects 132 members to the Lok Sabha accounting for roughly one - fourth of the total strength . The region has an allocation of 58 seats in Rajya Sabha out of the total 245 . Each state is headed by a Governor , who is a direct appointee of the President of India ; the Chief Minister is the elected head of the state government and represents the ruling party or coalition . Tamil Nadu , Kerala and Puducherry follow unicameral legislature while Andhra Pradesh , Karnataka and Telangana follow bicameral legislature .   State legislatures elect members for terms of five years . States with bicameral legislatures have an upper house ( Legislative Council ) with members not more than one - third the size of the Assembly . Governors may suspend or dissolve assemblies and can administer when no party is able to form a government . Each state is organised into a number of districts , which are further subdivided into revenue divisions and taluk s ( or tehsils ) for administration . Local bodies govern respective cities , towns and villages with each electing a mayor , municipal chairman and panchayat chairman respectively to head the same .     State / UT   Lok Sabha   Rajya Sabha   Vidhan Sabha   Governor / Lieutenant Governor   Chief Minister     Andaman and Nicobar     N / A   N / A   A.K. Singh   N / A     Andhra Pradesh   25   11   175   E.S.L. Narasimhan   N. Chandrababu Naidu     Karnataka   28   12   224   Vajubhai Vala   Siddaramaiah     Kerala   20   9   140   P. Sathasivam   Pinarayi Vijayan     Lakshadweep     N / A   N / A   H. Rajesh Prasad   N / A     Puducherry       30   Kiran Bedi   V. Narayanasamy     Tamil Nadu   39   18   234   Vidyasagar Rao   Edappadi K. Palaniswami     Telangana   17   7   119   E.S.L. Narasimhan   K. Chandrashekar Rao     Total   132   58   922         Politics ( edit )  Main article : Politics in South India  Politics in South India is characterised by a mix of regional and national political parties . Justice Party and Swaraj Party were the two major parties in the erstwhile Madras Presidency . The Justice Party eventually lost the 1937 elections to the Indian National Congress and Chakravarti Rajagopalachari became the Chief Minister of the Madras Presidency . During the 1920s and 1930s , the Self - Respect Movement emerged in the Madras Presidency spearheaded by Theagaroya Chetty and E.V. Ramaswamy Naicker ( commonly known as Periyar ) . In 1944 Periyar , who had started the Self - Respect Movement transformed the party into a social organisation , renaming the party Dravidar Kazhagam , and withdrew from electoral politics . The initial aim was the secession of Dravida Nadu from the rest of India on independence . After Independence , C.N. Annadurai , a follower of Periyar formed the Dravida Munnetra Kazhagam in 1948 . The Anti-Hindi agitations of Tamil Nadu led to the rise of Dravidian parties which formed its first government in 1967 in Tamil Nadu . In 1972 , a split in the DMK resulted in the formation of the All India Anna Dravida Munnetra Kazhagam led by M.G. Ramachandran . Dravidian parties continue to dominate Tamil Nadu electoral politics ; the national parties usually aligned as junior partners to the major Dravidian parties , AIADMK and DMK .   Indian National Congress dominated the political scene in Tamil Nadu in 1950s and 1960s under the leadership of K. Kamaraj , who led the party after the death of Jawaharlal Nehru and ens</t>
  </si>
  <si>
    <t xml:space="preserve">what is the largest state in south india in area</t>
  </si>
  <si>
    <t xml:space="preserve">   S.No .   Name   ISO 3166 - 2 code   Date of formation   Population   Area ( km )   Official language ( s )   Capital   Population density ( per km )   Sex Ratio   Literacy Rate ( % )   % of urban population       Andhra Pradesh   AP   1 Oct 1953   49,506,799   160,205   Telugu   Hyderabad   308   996   67.41   29.4       Karnataka   KA   1 Nov 1956   61,095,297   191,791   Kannada   Bengaluru   319   973   75.36   34.0       Kerala   KL   1 Nov 1956   33,406,061   38,852   Malayalam   Thiruvananthapuram   860   1084   94.00   26.0       Tamil Nadu   TN   26 Jan 1950   72,147,030   130,060   Tamil   Chennai   555   996   80.09   44.0     5   Telangana   TS   2 Jun 2014   35,193,978   114,840   Telugu , Urdu   Hyderabad   307   988   66.50   38.7   </t>
  </si>
  <si>
    <r>
      <rPr>
        <sz val="11"/>
        <color rgb="FF000000"/>
        <rFont val="Calibri"/>
        <family val="0"/>
        <charset val="1"/>
      </rPr>
      <t xml:space="preserve">The Perfect Game - Wikipedia  The Perfect Game  This article is about the 2009 American drama film . For other uses , see Perfect game ( disambiguation ) .    The Perfect Game     Theatrical release poster     Directed by   William Dear     Produced by   David Salzberg Christian Tureaud Jason French     Written by   W. William Winokur     Starring   Clifton Collins Jr . Cheech Marin Moises Arias Jake T. Austin Ryan Ochoa Carlos Padilla Jansen Panettiere Carlos Gómez Emilie de Ravin     Music by   Bill Conti     Cinematography   Bryan F. Greenberg     Edited by   Chris Conlee     Production company   IndustryWorks Pictures HighRoad Entertainment Prelude Pictures Lone Runner Entertainment Independent Producers Alliance     Distributed by   Image Entertainment     Release date     March 21 , 2009 ( 2009 - 03 - 21 ) ( Guadalajara )   April 16 , 2010 ( 2010 - 04 - 16 ) ( US )             Running time   118 minutes     Country   United States     Language   English     Box office   $3,878,993     The Perfect Game is a 2009 American drama film directed by William Dear , based on the 2008 book of the same name written by W. William Winokur . The film is based on the events leading to the 1957 Little League World Series , which was won by the first team from outside the United States , the Industrial Little League of Monterrey , Mexico , who defeated the heavily favored U.S. team . Mexican pitcher Ángel Macías threw the first , and so far only , perfect game in championship game history .   Contents    1 Plot   2 Cast   3 Background   4 Reception   5 Release   6 References   7 Further reading   8 External links    Plot ( edit )   César Faz ( Clifton Collins , Jr . ) , moves to Monterrey , Mexico , after he is let go by the St. Louis Cardinals from his job as a clubhouse attendant . There he meets local children being led by Padre Esteban ( Cheech Marin ) , enjoying baseball ; he takes pitcher Ángel Macías ( Jake T. Austin ) , under his wing and brags about his own pitching skills and how he used to coach the Cardinals . Ángel convinces César to help recruit and coach Monterrey 's first - ever Little League team . With César 's skills and Padre Esteban 's support , the boys hone themselves into a competitive team worthy of international competition . At the final game of the World Series of Little League , Monterrey defeated the team of West La Mesa , California , 4 -- 0 . Enrique Suárez ( Jansen Panettiere ) , hit a grand slam home run , and Ángel Macías pitched a perfect game , a feat that has not since been repeated in Little League World Series history .   When the team arrives in the United States , they are met with racism , a language barrier , and visa troubles . Though the underdogs , the team scores a series of victories that endear them to the media , and new fans . They befriend a sports reporter , Frankie ( Emilie de Ravin ) , and the groundskeeper , Cool Papa Bell ( Louis Gossett Jr . ) , who then assist the boys in reaching the final game .   Cast ( edit )  Actor Jake T. Austin in 2008   Clifton Collins , Jr. as César Faz   Cheech Marin as Padre Esteban   Moisés Arias as Mario Ontiveros   Jake T. Austin as Ángel Macías   Ryan Ochoa as Norberto Villarreal   Carlos Padilla as Baltazar Charles   Gabriel Morales as Ricardo Treviño   Jansen Panettiere as Enrique Suárez   Carlos Gómez as Umberto Macías   Alfredo Rodríguez as José Pepe Maiz   Emilie de Ravin as Frankie   Samantha Boscarino as Gloria   Patricia Manterola as María   Louis Gossett Jr. as Cool Papa Bell   William May as Juan   Bruce McGill as Tanner   David Koechner as Charlie   Frances Fisher as Betty   Wyatt Smith as Jarrett   Marc Musso as Tommy   Tracey Walter as Police Officer   Riley Wells as a spectator at the Little League World Series    Background ( edit )       This section may need to be rewritten entirely to comply with Wikipedia 's quality standards . You can help . The discussion page may contain suggestions . ( August 2012 )     The film is based on a true story about a group of boys from Monterrey , Mexico , who became the first non-U.S. team to win the Little League World Series in 1957 . Their team was Industriales de Monterrey , nicknamed `` Los pequeños gigantes '' ( The little giants ) . Before traveling to the United States , the Little League team of the Industriales de Monterrey Baseball Club , played two seasons on the local 4 team Little League circuit before qualifying , as the second Little League team coming from outside of the United States and Canada ; they participated in the southern area regional tournaments , which qualified them for the Little League World Series , held every August in South Williamsport , Pennsylvania .   The Industriales won all qualifying tournaments , to many rather unexpectedly , and advanced to the Little League World Series as the first Mexican team . There , they made it to the finals and defeated the highly favored team from La Mesa , California by a score of 4 - 0 . The pitcher from Monterrey , Angel Macías , threw the first and only perfect game in championship history . The Industriales de Monterrey little league team was so dominant that year , that they were able to repeat their success in the following year in the 1958 Little League World Series .   The film scenes in Monterrey , which is the leading industrial center , one of the largest Mexican cities for over 100 years and a major center for science and research in Mexico , depicted the city as a two - burro village where the children played ball in the dirt choked streets with pigs and chickens serving as bases . The border between Mexico and Texas was portrayed as an out - in - the - middle - of - nowhere border crossing along a dirt road , instead of a bridge border - crossing over the Rio Grande . The digital work to recreate the separate looks for the United States and Monterrey in 1957 was done by Post Logic Studios .   Reception ( edit )   The film has received mixed reviews . Patrick Goldstein of the Los Angeles Times said he felt that `` the film did a nice job of telling the story of the surprise upset when a youth ball team from Monterrey , Mexico , won the 1957 Little League World Series . '' He also commented that , `` although the story seems like a fable , it reflected true events . '' He further expressed concern over Lionsgate 's suspending the original release date . Ben Apatoff of MLB.com felt that the film was a strong family movie that appeals to baseball history buffs or any person who could relate to a child in love with the game . Roger Ebert wrote : `` You sort of know how these underdog sports movies turn out . Does n't matter . The Perfect Game so expertly uses the charisma and personalities of the actors , especially the young ones , that it 's thrilling anyway . ''   A.O. Scott of At the Movies said , `` ( From ) the second minute of the movie I knew every single thing that was going to happen and there was not a single surprise . '' Michael Phillips of the Chicago Tribune wrote , `` The movie feels fraudulent , whether it 's sticking to the historical record or going its own way with the customary composites and revisions and fabrications . '' The film ranking website Rotten Tomatoes reports that 54 % of critics have given The Perfect Game positive reviews , based upon a sample of 39 .   Release ( edit )   The film screened at the 2009 Guadalajara International Film Festival , with Eva Longoria invited to the preview . Louis Gossett Jr. was also in attendance for the premiere . The film was originally to be released in theaters on August 8 , 2008 , but it was bumped from that date , which Lionsgate said was due to marketing monies another party pledged but did not deliver .   References ( edit )    ^ Jump up to : Apatoff , Ben ( July 17 , 2009 ) . `` Little Leaguers make waves '' . MLB.com . Retrieved 2009 - 07 - 19 .   Jump up ^ Morrison , Jim ( April 6 , 2010 ) . `` The Little League World Series ' Only Perfect Game '' . Smithsonian Institution . Retrieved 2010 - 08 - 22 .   Jump up ^ Marilyn Beck , Stacy Jenel Smith ( August 6 , 2008 ) . `` Clifton Collins Jr. on `` The Perfect Game '' `` . The National Ledger . Retrieved 2009 - 07 - 19 .   Jump up ^ `` Post Logic Studios Completes Digital Intermediate and VFX Work for The Perfect Game '' . postproductionbuyersguide.com . Post Production . July 9 , 2008 . Archived from the original on August 20 , 2008 . Retrieved 2009 - 07 - 19 .   ^ Jump up to : Goldstein , Patrick ( July 24 , 2008 ) . `` Lionsgate 's ' Perfect Game ' : Bumped to season 's end ? '' . Los Angeles Times . Retrieved 2009 - 07 - 19 .   Jump up ^ Ebert , Robert . suntimes.com , `` The Perfect Game '' . Accessed 26 April 2010 .   Jump up ^ `` Archived copy '' . Archived from the original on 2008 - 09 - 23 . Retrieved 2009 - 08 - 06 . CS1 maint : Archived copy as title ( link )   Jump up ^ Phillips , Michael ( April 15 , 2010 ) . `` ' Perfect Game ' : Real - life baseball fable turns into an easy out '' . Chicago Tribune .   Jump up ^ `` The Perfect Game - Rotten Tomatoes '' . Rotten Tomatoes . IGN Entertainment , Inc . Retrieved 2010 - 04 - 27 .   Jump up ^ Staff ( March 20 , 2009 ) . `` Film Festival widens its reach '' . Guadalajara Reporter . pp. paragraph 14 . Retrieved 2009 - 07 - 19 .   Jump up ^ `` Eva Longoria absolument divine ... pour son retour au pays '' . wabayn.com ( in French ) . March 23 , 2009 . pp. paragraph 2 . Archived from the original on February 9 , 2013 . Retrieved 2009 - 07 - 19 .   Jump up ^ `` Mr. Gossett attends the Guadalajara Film Festival '' . louisgossett.com . March 21 , 2009 . Retrieved 2009 - 07 - 19 .   Jump up ^ Jorn , John ( August 14 , 2008 ) . `` Lionsgate 's novel plan of attack : Blitz ' em '' . The Los Angeles Times . pp. paragraph 11 . Retrieved 2009 - 07 - 19 .    Further reading ( edit )    Morrison , Jim , `` Little League World Series ' Only Perfect Game '' , Smithsonian magazine , April 6 , 2010   `` Golden Anniversary of Little League 's `` Perfect Game '' Celebrated `` , Little League Communications Division , Williamsport , Pennsylvania , October 7 , 2008   Sanchez , Jesse , `` History of baseball in Mexico '' , Major League Baseball ( mlb.com ) , January 7 , 2004   `` Sport : Ambidextrous Angel '' , Time magazine , Monday , Sep. 02 , 1957    External links ( edit )    Baseball portal   Film portal     Official website   The Perfect Game on IMDb   The Perfect Game at AllMovie   The Perfect Game at Box Office Mojo   The Perfect Game at Rotten Tomatoes              Films directed by William Dear       Nymph ( 1973 )   Northville Cemetery Massacre ( 1976 )   Elephant Parts ( 1981 )   Timerider : The Adventure of Lyle Swann ( 1982 )   Harry and the Hendersons ( 1987 )   If Looks Could Kill ( 1991 )   Angels in the Outfield ( 1994 )   Wild America ( 1997 )   Santa Who ? ( 2000 )   School of Life ( 2005 )   The Foursome ( 2006 )   Simon Says ( 2006 )   The Sandlot : Heading Home ( 2007 )   The Perfect Game ( 2009 )   Free Style ( 2009 )   Mr. Troop Mom ( 2009 )   Politics of Love ( 2011 )   A Mile in His Shoes ( 2011 )      Retrieved from `` https://en.wikipedia.org/w/index.php?title=The_Perfect_Game&amp;oldid=863334710 '' Categories :   2009 films   English - language films   2000s drama films   2000s sports films   American films   American baseball films   American drama films   Films scored by Bill Conti   Films directed by William Dear   Films set in Mexico   Films set in 1957   Lions Gate Entertainment films   Hidden categories :   CS1 maint : Archived copy as title   CS1 French - language sources ( fr )   Film articles using image size parameter   Wikipedia articles needing rewrite from August 2012   All articles needing rewrite   Official website different in Wikidata and Wikipedia           Talk                                           Contents                   About Wikipedia                                           Español   Français   </t>
    </r>
    <r>
      <rPr>
        <sz val="11"/>
        <color rgb="FF000000"/>
        <rFont val="Noto Sans CJK SC"/>
        <family val="2"/>
      </rPr>
      <t xml:space="preserve">한국어   </t>
    </r>
    <r>
      <rPr>
        <sz val="11"/>
        <color rgb="FF000000"/>
        <rFont val="Calibri"/>
        <family val="0"/>
        <charset val="1"/>
      </rPr>
      <t xml:space="preserve">Nederlands   Edit links   This page was last edited on 10 October 2018 , at 04 : 06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</si>
  <si>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mexican little league team from</t>
  </si>
  <si>
    <t xml:space="preserve"> The Perfect Game is a 2009 American drama film directed by William Dear , based on the 2008 book of the same name written by W. William Winokur . The film is based on the events leading to the 1957 Little League World Series , which was won by the first team from outside the United States , the Industrial Little League of Monterrey , Mexico , who defeated the heavily favored U.S. team . Mexican pitcher Ángel Macías threw the first , and so far only , perfect game in championship game history . </t>
  </si>
  <si>
    <r>
      <rPr>
        <sz val="11"/>
        <color rgb="FF000000"/>
        <rFont val="Calibri"/>
        <family val="0"/>
        <charset val="1"/>
      </rPr>
      <t xml:space="preserve">Brian Patrick Wade - wikipedia  Brian Patrick Wade  Jump to : navigation , search    Brian Patrick Wade       ( 1978 - 06 - 09 ) June 9 , 1978 ( age 39 )     Occupation   Actor , personal trainer     Years active   2002 -- present     Height   1.93 m ( 6 ft 4 in ) ( 6'4 `` )     Brian Patrick Wade ( born June 9 , 1978 ) is an American actor and physical trainer , best known for his television roles as Capt . Craig Schwetje in the mini-series Generation Kill , as Kurt , Penny 's former love interest , in The Big Bang Theory , and as the Alpha Werewolf Ennis on Teen Wolf .     Contents  ( hide )   1 Career   2 Filmography   3 References   4 External links      Career ( edit )   Wade made his debut in 2002 as a hunky lap dancer on CSI : Miami . He later appeared in the films Latter Days and The Guardian .   He later appeared on television in episodes of Two and a Half Men , Sabrina , the Teenage Witch , NCIS , Las Vegas , Surface , ' Til Death , The Closer , The Game , and Teen Wolf . He appeared in three episodes of Agents of S.H.I.E.L.D. portraying Carl `` Crusher '' Creel , also known as the Absorbing Man .   Filmography ( edit )     Year   Title   Role     2002   Sabrina , The Teenage Witch   Kim       Bring It On Again   Fathead     2005   Las Vegas   Muscular Guy     2006   Two and a Half Men   Sam     The Guardian   Mitch Lyons     2007 , 2009   The Big Bang Theory   Kurt     2008   Generation Kill   Cpt . Craig `` Encino Man '' Schwetje     2013   Teen Wolf   Ennis     2014   The Mentalist   Martin Hagen     2014 -- 16   Agents of S.H.I.E.L.D   Carl Creel / Absorbing Man     References ( edit )    Jump up ^ Profile , tcm.com ; accessed August 30 , 2014 .   Jump up ^ Profile , superherohype.com ; accessed August 30 , 2014 .    External links ( edit )    Brian Patrick Wade on IMDb            VIAF : 120528315   LCCN : no2010057701      Retrieved from `` https://en.wikipedia.org/w/index.php?title=Brian_Patrick_Wade&amp;oldid=816650389 '' Categories :   1978 births   Living people   American male film actors   American male television actors   American male models   American exercise instructors   21st - century American male actors   Hidden categories :   Articles with hCards   Wikipedia articles with VIAF identifiers   Wikipedia articles with LCCN identifiers   Place of birth missing ( living people )           Talk                                           Contents                   About Wikipedia                                           Asturianu   Deutsch   Español   فارسی   Français   </t>
    </r>
    <r>
      <rPr>
        <sz val="11"/>
        <color rgb="FF000000"/>
        <rFont val="Noto Sans CJK SC"/>
        <family val="2"/>
      </rPr>
      <t xml:space="preserve">한국어   </t>
    </r>
    <r>
      <rPr>
        <sz val="11"/>
        <color rgb="FF000000"/>
        <rFont val="Calibri"/>
        <family val="0"/>
        <charset val="1"/>
      </rPr>
      <t xml:space="preserve">Italiano   עברית   Edit links   This page was last edited on 22 December 2017 , at 19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</si>
  <si>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penny's boyfriend on big bang theory</t>
  </si>
  <si>
    <t xml:space="preserve"> Brian Patrick Wade ( born June 9 , 1978 ) is an American actor and physical trainer , best known for his television roles as Capt . Craig Schwetje in the mini-series Generation Kill , as Kurt , Penny 's former love interest , in The Big Bang Theory , and as the Alpha Werewolf Ennis on Teen Wolf . </t>
  </si>
  <si>
    <t xml:space="preserve">Tarzan ( 1966 TV series ) - wikipedia  Tarzan ( 1966 TV series )  Jump to : navigation , search For other uses , see Tarzan ( disambiguation ) .    Tarzan     Opening title     Starring   Ron Ely Manuel Padilla , Jr . Alan Caillou Rockne Tarkington     Country of origin   USA     Original language ( s )   English     No. of seasons       No. of episodes   57     Production     Executive producer ( s )   Sy Weintraub     Producer ( s )   Leon Benson Jon Epstein Steve Shagan Maurice Unger     Running time   60 mins .     Production company ( s )   Banner Productions     Distributor   Warner Bros. Television Distribution     Release     Original network   NBC     Original release   September 8 , 1966 -- April 5 , 1968    Andrew Prine with Ron Ely as Tarzan ( 1966 )  Tarzan is a series that aired on NBC from 1966 -- 1968 . The series portrayed Tarzan ( played by Ron Ely ) as a well - educated character who had grown tired of civilization , and returned to the jungle where he had been raised . It was filmed in Brazil . The production later relocated to Mexico . This series was set in the newly - independent Africa of the time .   This series retained many of the trappings of the film series , included the `` Tarzan yell '' and Cheeta , but excluded Jane as part of the `` new look '' for the fabled apeman that executive producer Sy Weintraub had introduced in previous motion pictures starring Gordon Scott , Jock Mahoney , and Mike Henry . CBS aired repeat episodes of the program during the summer of 1969 .     Contents  ( hide )   1 Cast   1.1 Recurring Appearances     2 Episode list   2.1 Season 1 : 1966 -- 67   2.2 Season 2 : 1967 -- 68     3 DVD / syndication   4 References   5 External links      Cast ( edit )    Tarzan ... Ron Ely   Jai ... Manuel Padilla , Jr .   Jason Flood ... Alan Caillou   Rao ... Rockne Tarkington    Recurring appearances ( edit )   Maurice Evans had a recurring guest - starring role as retired Brigadier Sir Basil Bertram , hero of the Battle of the Bulge . Julie Harris had a recurring guest - starring role as missionary Charity Jones . Chips Rafferty had a recurring guest - starring role as Dutch Jensen .   Episode list ( edit )     Season 1 : 1966 -- 67 ( edit )     No   Ep   Title   Directed by :   Written by :   Original air date         `` Eyes of the Lion ''   Charles S. Dubin   George F. Slavin   September 8 , 1966 ( 1966 - 09 - 08 )     When a blind girl 's seeing eye lion is mistaken for a rogue , Tarzan must prove the beast 's innocence .         `` The Ultimate Weapon ''   Paul Stanley   Don Brinkley , John Hawkins , Ward Hawkins   September 16 , 1966 ( 1966 - 09 - 16 )     The vengeful son of an ivory poacher swears revenge on Tarzan .         `` Leopard on the Loose ''   Paul Stanley   Oliver Crawford   September 23 , 1966 ( 1966 - 09 - 23 )     A post worker desperate for money kidnaps Jai 's pet leopard .         `` A Life for a Life ''   Robert Day   Don Brinkley   September 30 , 1966 ( 1966 - 09 - 30 )     The Lord of Jungle must race against time when Jai is bitten by a poisonous spider .     5   5   `` The Prisoner ''   George Marshall   Don Brinkley   October 7 , 1966 ( 1966 - 10 - 07 )     After a police officer is injured by a diamond thief , Tarzan must prevent the officer 's tribe from exacting vigilante justice .     6   6   `` The Three Faces of Death ''   Earl Bellamy   S.J. Loy   October 14 , 1966 ( 1966 - 10 - 14 )     Tarzan helps out a woman seeking to retain leadership of her tribe .     7   7   `` The Prodigal Puma ''   Paul Stanley   Robert Sabaroff   October 21 , 1966 ( 1966 - 10 - 21 )     A big game hunter targets a puma Tarzan has captured .     8   8   `` The Deadly Silence : Part 1 ''   Robert L. Friend   Lee Erwin , Jack H. Robinson   October 28 , 1966 ( 1966 - 10 - 28 )     The jungle lord tries to stop a bloodthirsty Colonel from taking over an African village with his soldiers of fortune . However , Tarzan has been rendered temporarily deaf by an exploding hand grenade , effectively limiting one of his keen senses , so he must rely on his near - telepathic ability to communicate with a lion .     9   9   `` The Deadly Silence : Part 2 ''   Lawrence Dobkin   John Considine , Tim Considine   November 4 , 1966 ( 1966 - 11 - 04 )     Rendered deaf by an explosion , the jungle lord still tries to stop a colonel from taking over a village . National General Pictures released this two - parter theatrically in 1970 as Tarzan 's Deadly Silence .     10   10   `` The Figurehead ''   Alan Crosland Jr .   Samuel Roeca , George F. Slavin   November 11 , 1966 ( 1966 - 11 - 11 )     Tarzan and Jai protect a young prince .     11   11   `` Village of Fire ''   Hollingsworth Morse   Jack Gross , James Leighton , Michael Stein   November 18 , 1966 ( 1966 - 11 - 18 )     After Jai is bitten by a leopard , Tarzan must recover a special serum that can save the boy .     12   12   `` The Day of the Golden Lion ''   Anton Leader   Robert Goodwin   December 2 , 1966 ( 1966 - 12 - 02 )     Tarzan joins an athletic championship , but an attempt to steal the prize happens .     13   13   `` Pearls of Tanga ''   R.G. Springsteen   Sid Saltzman   December 9 , 1966 ( 1966 - 12 - 09 )     A criminal known as the Admiral and his crew poison the waters so they can be the only ones to take pearl oysters .     14   14   `` End of the River ''   Anton Leader   G. Joshua David   December 16 , 1966 ( 1966 - 12 - 16 )     Tarzan must save a young girl and battle a criminal . One of the criminal 's two minions ( Robert J. Wilke ) ends up being fatally devoured by a crocodile .     15   15   `` The Ultimate Duel ''   Robert L. Friend   Cornelius Ballard   December 23 , 1966 ( 1966 - 12 - 23 )     A scientist ( Henry Silva ) pits Tarzan against his computer , which can predict Tarzan 's every move .     16   16   `` The Fire People ''   Earl Bellamy   Wells Root   December 30 , 1966 ( 1966 - 12 - 30 )     Tarzan and Jai must help a chief rescue his superstitious tribe from a volcano that 's about to erupt .     17   17   `` Track of the Dinosaur ''   Lawrence Dobkin   Norman Lessing , Samuel Newman   January 6 , 1967 ( 1967 - 01 - 06 )     A corrupt government official uses a local legend to his advantage to get people away from a mineral deposit .     18   18   `` The Day the Earth Trembled ''   Alex Nicol   Carey Wilber   January 13 , 1967 ( 1967 - 01 - 13 )     Tarzan reluctantly recruits three escaped convicts to help him get a group of children and their caregiver to safety .     19   19   `` Captain Jai ''   Anton Leader   James Bonnet , James Leighton   January 20 , 1967 ( 1967 - 01 - 20 )     Jai is held hostage by criminals seeking stolen diamonds .     20   20   `` A Pride of Assassins ''   Harmon Jones   Samuel Newman , Barry Trivers   January 27 , 1967 ( 1967 - 01 - 27 )     A smuggler sends assassins after Tarzan and a young woman because they threaten to expose a smuggling scheme .     21   21   `` The Golden Runaway ''   Lawrence Dobkin   Carey Wilber   February 3 , 1967 ( 1967 - 02 - 03 )     Tarzan leads a young woman to a red - headed Irishman who may have a clue to her brother 's disappearance .     22   22   `` Basil of the Bulge ''   Alex Nicol   Samuel Newman   February 10 , 1967 ( 1967 - 02 - 10 )     A native chief and a corrupt government official capture Sir Basil Bertram before he can arrange tribal treaty .     23   23   `` Mask of Rona ''   James Komack   S.S. Schweitzer   February 17 , 1967 ( 1967 - 02 - 17 )     Tarzan leads a group on the search for missing artist Rona Swann ; a group member uses the safari as a cover for a gun - running operation .     24   24   `` To Steal the Rising Sun ''   William Witney   Jackson Gillis   February 24 , 1967 ( 1967 - 02 - 24 )     An exiled chief plots to steal his tribe 's priceless ruby . A con man 's minion ( Henry Beckman ) ends up being fatally devoured by a crocodile .     25   25   `` Jungle Dragnet ''   William Wiard   Arnold Belgard   March 3 , 1967 ( 1967 - 03 - 03 )     A native revolutionary and a foreign soldier try to prevent a little girl from revealing the location of an oil - rich field .     26   26   `` The Perils of Charity Jones : Part 1 ''   Alex Nicol   Carey Wilber   March 10 , 1967 ( 1967 - 03 - 10 )     An American midwestern missionary enlists Jai 's aid to fulfill her father 's final wish and deliver an organ to a primitive tribe , but their boat is disabled .     27   27   `` The Perils of Charity Jones : Part 2 ''   Alex Nicol   Carey Wilber   March 17 , 1967 ( 1967 - 03 - 17 )     Tarzan rescues Charity and Jai from hostile natives , but then the trio are pursued by another tribe who are after the guns that Jai hid from them .     28   28   `` The Circus ''   Harmon Jones   Lawrence Dobkin   March 24 , 1967 ( 1967 - 03 - 24 )     Jai and Dutch encounter a fugitive who makes an attempt to evade a manhunt by joining the circus .     29   29   `` The Ultimatum ''   Robert L. Friend   James Menzies   March 31 , 1967 ( 1967 - 03 - 31 )     A female criminal and her goons threaten to destroy a native village unless Tarzan submits to being their prisoner .     30   30   `` Algie B for Brave ''   Alex Nicol   Samuel Newman   April 7 , 1967 ( 1967 - 04 - 07 )     Sir Basil Bertram recruits Tarzan and Jai to assist him in order to discover the location of a Communist country 's nuclear detection equipment .     31   31   `` Man Killer ''   James Komack   Carey Wilber   April 14 , 1967 ( 1967 - 04 - 14 )     Tarzan 's search for a murderer is complicated by a village whose natives employ drugs in their ceremonial rituals .     Season 2 : 1967 -- 68 ( edit )     No   Ep   Title   Directed by :   Written by :   Original air date     32     `` Tiger , Tiger ! ''   Harmon Jones   Jackson Gillis   September 15 , 1967 ( 1967 - 09 - 15 )     An engineer ignores Tarzan 's warning about a tiger on the loose .     33     `` Voice of the Elephant ''   Harmon Jones   Terence Maples , Al Martin   September 22 , 1967 ( 1967 - 09 - 22 )     Jai 's pet elephant is blamed for the death of a commissioner .     34     `` Thief Catcher ''   James Komack   Edmund Morris   September 29 , 1967 ( 1967 - 09 - 29 )     The jungle lord must track and capture two escaped convicts before more people are put in danger .     35     `` The Blue Stone of Heaven : Part 1 ''   William Witney   Jackson Gillis   October 6 , 1967 ( 1967 - 10 - 06 )     The jungle lord leads an archaeological expedition to a burial ground deep in the jungle in defiance of an ancient taboo .     36   5   `` The Blue Stone of Heaven : Part 2 ''   William Witney   Jackson Gillis   October 13 , 1967 ( 1967 - 10 - 13 )     A power - mad colonel plans to steal the jeweled idol and dynamite the burial ground .     37   6   `` The Maguma Curse ''   Alex Nicol   Carey Wilber   October 20 , 1967 ( 1967 - 10 - 20 )     The jungle lord battles to save a young woman from a curse of death implemented by a witch doctor .     38   7   `` The Fanatics ''   William Witney   Lee Loeb   October 27 , 1967 ( 1967 - 10 - 27 )     The jungle lord assists a female journalist expose a rigged tribal election .     39   8   `` The Last of the Supermen ''   Gerald Mayer   S.S. Schweitzer   November 3 , 1967 ( 1967 - 11 - 03 )     A unrepentant Nazi urges Tarzan to assist him in locating a buried fortune left over from the war .     40   9   `` Hotel Hurricane ''   Ron Ely   Jackson Gillis   November 10 , 1967 ( 1967 - 11 - 10 )     A mob makes an attempt to fool Tarzan and Jai into assisting them to recover stolen money after a plane crash .     41   10   `` The Pride of the Lioness ''   Barry Shear   Jerry Adelman , Gerry Day , William Driskill   November 17 , 1967 ( 1967 - 11 - 17 )     A young doctor gets help from Tarzan when he faces to forces opposed to his clinic : a witch doctor who has threatened the young man with death , and the young man 's socialite mother , who wants him to return home .     42   11   `` Mountains of the Moon : Part 1 ''   Harmon Jones   Jackson Gillis   November 24 , 1967 ( 1967 - 11 - 24 )     A widow leads a cult of religious pilgrims on a dangerous journey into forbidden land beset by saboteurs as well as hostile natives .     43   12   `` Mountains of the Moon : Part 2 ''   Harmon Jones   Jackson Gillis   December 1 , 1967 ( 1967 - 12 - 01 )     Tarzan aids a religious group on their pilgrimage to an area known as the Mountains of the Moon .     44   13   `` Jai 's Amnesia ''   Harmon Jones   Jerry Adelman , William Driskill   December 15 , 1967 ( 1967 - 12 - 15 )     Jai suffers a memory loss , but ends up being involved in stealing a sacred ruby .     45   14   `` The Professional ''   Alex Nicol   Jerry Adelman , William Driskill   January 5 , 1968 ( 1968 - 01 - 05 )     A colonel and his heavily armed troops overrun the land of a peace - loving tribe , but he has reckoned without Tarzan .     46   15   `` The Convert ''   Harmon Jones   Jo Pagano   January 12 , 1968 ( 1968 - 01 - 12 )     Three nuns become unwitting pawns in a struggle between the village chief and a scheming land developer .     47   16   `` The Creeping Giant ''   Alex Nicol   Donn Mullally   January 19 , 1968 ( 1968 - 01 - 19 )     Tarzan fights a powerful land owner who has duped an engineer into dynamiting a mountain range , a project that will wipe out several native villages .     48   17   `` King of the Dwsari ''   William Witney   Esther Shapiro , Richard Alan Shapiro   January 26 , 1968 ( 1968 - 01 - 26 )     Tarzan is imprisoned when he tries to release the Dwsari tribe which has been tricked by a smooth - talking American .     49   18   `` A Gun for Jai ''   E. Darrell Hallenbeck   Jackson Gillis   February 2 , 1968 ( 1968 - 02 - 02 )     Against the Tarzan 's wishes , Jai is given a rifle by one of the local hunters . The jungle lord searches for Cheeta .     50   19   `` Trek to Terror ''   Barry Shear   Lee Erwin   February 9 , 1968 ( 1968 - 02 - 09 )     The jungle lord is tricked into helping a corrupt police inspector who intends to murder a crusading missionary .     51   20   `` End of a Challenge ''   Barry Shear   Richard H. Landau   February 16 , 1968 ( 1968 - 02 - 16 )     The jungle lord and Chief Bangu must search for the chief 's son and Jai who have been abducted by a gun - toting thief .     52   21   `` Jungle Ransom ''   Barry Shear   Esther Shapiro , Richard Alan Shapiro   February 23 , 1968 ( 1968 - 02 - 23 )     As the jungle lord and a bandit engage in a battle of wits , a young woman tries to use both men in an effort to set free her husband , a hostage in the bandit 's camp .     53   22   `` The Four O'Clock Army : Part 1 ''   Alex Nicol   Carey Wilber   March 1 , 1968 ( 1968 - 03 - 01 )     General Basil Bertram and missionary Charity Jones return in this two - part story , and this time must ally with the jungle lord against a band of slavers who have been taking people and destroying villages .     54   23   `` The Four O'Clock Army : Part 2 ''   Alex Nicol   Carey Wilber   March 8 , 1968 ( 1968 - 03 - 08 )     The jungle lord goes after the slave traders whose prisoners include Jai .     55   24   `` Rendezvous for Revenge ''   William Witney   Richard H. Landau   March 15 , 1968 ( 1968 - 03 - 15 )     After a poacher known for his arson escapes from custody , the jungle lord tracks him and his adoring girlfriend to an oceanside cliff , and a fateful encounter . But the poacher 's girlfriend and two minions later track Tarzan down and force him to lead them back to the scene .     56   25   `` Trina ''   Harmon Jones   Milton S. Gelman   March 22 , 1968 ( 1968 - 03 - 22 )     A girl enlists the jungle 's help in finding her long - lost uncle who is believed to be doing humanitarian work .     57   26   `` Alex the Great ''   Barry Shear   Esther Shapiro , Richard Alan Shapiro   March 29 , 1968 ( 1968 - 03 - 29 )     A global judo champion who is also a braggart wants to prove he can best the jungle lord in any physical endeavor ; smugglers yearn to steal a huge golden idol .     DVD / syndication ( edit )   On March 13 , 2012 , Warner Bros. released Tarzan : Season 1 , Part 1 &amp; Tarzan : Season 1 , Part 2 on DVD in region 1 via their Warner Archive Collection manufacture - on - demand service . The second season was released on September 17 , 2013 .   After being seen intermittently in syndication and on cable in the years after its network run , as of 2016 , the series airs on the Heroes &amp; Icons network Saturday mornings .   On June 4 -- 5 , 2016 the Decades TV network ran a marathon of the series . On September 9 , 2016 Decades celebrated Tarzan 's fiftieth anniversary repeating a few choice episodes .   References ( edit )    ^ Jump up to : `` Tarzan '' . Heroes and Icons TV.com . Retrieved 2017 - 03 - 28 .   Jump up ^ By Mike Johnson , Black Yodel No. 1 ( 2013 - 11 - 19 ) . `` Tarzan - Season One : Part One '' . Wbshop.com . Retrieved 2017 - 03 - 28 . CS1 maint : Multiple names : authors list ( link )   Jump up ^ By Ed the Reviewer . `` Tarzan - Season One : Part Two '' . Wbshop.com . Retrieved 2017 - 03 - 28 .   Jump up ^ By Ed the Movie Reviewer . `` Tarzan : The Complete Second Season ( MOD ) '' . Wbshop.com . Retrieved 2017 - 03 - 28 .    External links ( edit )       Wikimedia Commons has media related to Tarzan ( 1966 TV series ) .      Tarzan on IMDb   Tarzan at TV.com   Edgar Rice Burroughs , Inc. : Tarzan on TV              Tarzan by Edgar Rice Burroughs        Literature        Edgar Rice Burroughs 's Official canon     Tarzan of the Apes ( 1912 )   The Return of Tarzan ( 1913 )   The Beasts of Tarzan ( 1914 )   The Son of Tarzan ( 1915 )   Tarzan and the Jewels of Opar ( 1916 )   Jungle Tales of Tarzan ( 1919 )   Tarzan the Untamed ( 1920 )   Tarzan the Terrible ( 1921 )   Tarzan and the Golden Lion ( 1922 / 23 )   Tarzan and the Ant Men ( 1924 )   Tarzan , Lord of the Jungle ( 1927 / 28 )   Tarzan and the Lost Empire ( 1928 / 29 )   Tarzan at the Earth 's Core ( 1929 / 30 )   Tarzan the Invincible ( 1930 / 31 )   Tarzan Triumphant ( 1931 / 32 )   Tarzan and the City of Gold ( 1932 )   Tarzan and the Lion Man ( 1933 / 34 )   Tarzan and the Leopard Men ( 1932 / 33 )   Tarzan 's Quest ( 1935 / 36 )   Tarzan and the Forbidden City ( 1938 )   Tarzan the Magnificent ( 1939 )   Tarzan and the Foreign Legion ( 1947 )   Tarzan and the Madman ( 1964 )   Tarzan and the Castaways ( 1965 )       Related works     The Eternal Lover ( 1925 )   The Mad King ( 1926 )   Tarzan and the Tarzan Twins ( 1963 )   Tarzan : The Lost Adventure ( 1995 )       Licensed works     Tarzan and the Valley of Gold ( 1966 )   Hadon of Ancient Opar ( 1974 )   Bunduki ( 1975 )   Flight to Opar ( 1976 )   Tarzan : The Epic Adventures ( 1996 )   the Dark Heart of Time ( 1999 )   The Adventures of Tarzan ( 1921 / 2006 )   Tarzan : The Greystoke Legacy ( 2011 )   Tarzan : Return to Pal - ul - don ( 2015 )   Tarzan on the Precipice ( 2016 )   King Kong vs. Tarzan ( 2016 )   Tarzan Trilogy ( 2016 )   Tarzan : The Greystoke Legacy Under Siege ( 2017 )                Films        Silent films     Tarzan of the Apes ( 1918 )   The Romance of Tarzan ( 1918 )   The Revenge of Tarzan ( 1920 )   The Son of Tarzan ( 1920 )   The Adventures of Tarzan ( 1921 )   Tarzan and the Golden Lion ( 1927 )   Tarzan the Mighty ( 1928 )   Tarzan the Tiger ( 1929 )       Johnny Weissmuller     Tarzan the Ape Man ( 1932 )   Tarzan and His Mate ( 1934 )   Tarzan Escapes ( 1936 )   Tarzan Finds a Son ! ( 1939 )   Tarzan 's Secret Treasure ( 1941 )   Tarzan 's New York Adventure ( 1942 )   Tarzan Triumphs ( 1943 )   Tarzan 's Desert Mystery ( 1943 )   Tarzan and the Amazons ( 1945 )   Tarzan and the Leopard Woman ( 1946 )   Tarzan and the Huntress ( 1947 )   Tarzan and the Mermaids ( 1948 )       Lex Barker     Tarzan 's Magic Fountain ( 1949 )   Tarzan and the Slave Girl ( 1950 )   Tarzan 's Peril ( 1951 )   Tarzan 's Savage Fury ( 1952 )   Tarzan and the She - Devil ( 1953 )       Gordon Scott     Tarzan 's Hidden Jungle ( 1955 )   Tarzan and the Lost Safari ( 1957 )   Tarzan and the Trappers ( 1958 )   Tarzan 's Fight for Life ( 1958 )   Tarzan 's Greatest Adventure ( 1959 )   Tarzan the Magnificent ( 1960 )       Jock Mahoney     Tarzan Goes to India ( 1962 )   Tarzan 's Three Challenges ( 1963 )       Mike Henry     Tarzan and the Valley of Gold ( 1966 )   Tarzan and the Great River ( 1967 )   Tarzan and the Jungle Boy ( 1968 )       Disney animated films     Tarzan ( 1999 )   Tarzan &amp; Jane ( 2002 )   Tarzan II ( 2005 )       Related documentaries     Investigating Tarzan ( 1997 )   Tarzan : Silver Screen King of the Jungle ( 2004 )       Miscellaneous films     Tarzan the Fearless ( 1933 )   The New Adventures of Tarzan ( 1935 )   Tarzan and the Green Goddess ( 1938 )   Tarzan 's Revenge ( 1938 )   Vanaraja Karzan ( 1938 )   Tarzan , the Ape Man ( 1959 )   Tarzan 's Deadly Silence ( 1970 )   Tarzan and the Brown Prince ( 1972 )   Tarzan , the Ape Man ( 1981 )   Greystoke : The Legend of Tarzan ( 1984 )   Adventures of Tarzan ( 1985 )   Tarzan in Manhattan ( 1989 )   Tarzan and the Lost City ( 1998 )   Tarzan of the Apes ( 1999 )   Tarzan ( 2013 )   The Legend of Tarzan ( 2016 )                Television        Series     Tarzan ( 1966 - 1968 )   Tarzan , Lord of the Jungle ( 1976 - 1980 )   Tarzán ( 1991 - 1994 )   Tarzan : The Epic Adventures ( 1996 - 1997 )   The Legend of Tarzan ( 2001 - 2003 )   episodes   `` Tarzan and the Caged Fury ''       Tarzan ( 2003 )   Tarzan and Jane ( 2017 )       Adventure hours     The Batman / Tarzan Adventure Hour   The Tarzan / Lone Ranger Adventure Hour   Tarzan and the Super 7                Characters       Cheeta   Jad - bal - ja   Kala   Kerchak   Korak   La   Mangani   Meriem   Muviro   Nkima   Jane Porter   Harry Holt   Sabor   Tantor   Tarzan   Tublat   Waziri   William Cecil Clayton             Disney version        Films     Tarzan ( 1999 )   Tarzan &amp; Jane ( 2002 )   Tarzan II ( 2005 )       Adaptations     The Legend of Tarzan ( episodes )   Musical   Tarzan 's Treehouse       Video games     Disney 's Tarzan   Disney 's Tarzan : Untamed   Disney 's Tarzan : Return to the Jungle   Disney 's Tarzan Activity Center       Music     Music soundtrack   `` You 'll Be in My Heart ''   `` Strangers Like Me ''   `` Son of Man ''   `` Two Worlds ''   `` Singing to the Song of Life ''                Other articles        Music     `` Gitarzan '' ( 1969 )   `` Jungle Boogie '' ( 1973 )   `` Tarzan Boy '' ( 1985 )   `` Tarzan &amp; Jane '' ( 1998 )       Speech     Kreegah bundolo   Tarzan yell       Radio     Tarzan ( radio program )       Games     Tarzan : Lord of the Jungle   Jungle Lord       Comics     Tarzan   Akim   Tarzan vs. Predator : At the Earth 's Core   Batman / Tarzan : Claws of the Cat - woman   Superman / Tarzan : Sons of the Jungle   Tarzan on the Planet of the Apes       General     Edgar Rice Burroughs , Inc .   Tarzanesque   Tarzan Alive : A Definitive Biography of Lord Greystoke   Pellucidar   Brothers of the Spear   Opar   Zone ( play )   Tarzan and Jane ( musical )   Tarzana , Los Angeles            Retrieved from `` https://en.wikipedia.org/w/index.php?title=Tarzan_(1966_TV_series)&amp;oldid=831510745 '' Categories :   1960s American television series   Tarzan television series   Television series by Warner Bros. Television   NBC network shows   1966 American television series debuts   1968 American television series endings   Hidden categories :   CS1 maint : Multiple names : authors list   All articles with unsourced statements   Articles with unsourced statements from December 2017           Talk                                           Contents                   About Wikipedia                                                 Deutsch   فارسی   Français   Italiano   Nederlands   Português   Simple English   Edit links   This page was last edited on 20 March 2018 , at 23 : 24 .         About Wikipedia                    </t>
  </si>
  <si>
    <t xml:space="preserve">who played the original tarzan in the tv series</t>
  </si>
  <si>
    <t xml:space="preserve"> Tarzan is a series that aired on NBC from 1966 -- 1968 . The series portrayed Tarzan ( played by Ron Ely ) as a well - educated character who had grown tired of civilization , and returned to the jungle where he had been raised . It was filmed in Brazil . The production later relocated to Mexico . This series was set in the newly - independent Africa of the time . </t>
  </si>
  <si>
    <t xml:space="preserve">Land of Oz - wikipedia  Land of Oz  Jump to : navigation , search For other uses , see Land of Oz ( disambiguation ) .    Oz     The official map of Oz and its neighbouring kingdoms . The regions beyond Oz 's surrounding deserts were introduced after the first Oz book .     Flag of Oz     The Oz series location     Other name ( s )   Land of Oz     Created by   L. Frank Baum     Genre   Classic children 's book     Type   Fairy country     Ethnic group ( s )   Munchkins , Winkies , Quadlings , Gillikins     Notable locations   Emerald City ( capital ) , Munchkin Country , Gillikin Country , Quadling Country , Winkie Country , Yellow brick road , Deadly Desert     Notable characters   Dorothy Gale , Toto , Wicked Witch of the East , Good Witch of the North , Wizard of Oz , Princess Ozma , Scarecrow , Tin Woodman , Cowardly Lion , Glinda the Good Witch , Wicked Witch of the West     Population   500,000     Anthem   `` The Oz Spangled Banner ''     Currency   none     The fictional Land of Oz is a magical country first introduced in the classic children 's novel The Wonderful Wizard of Oz ( 1900 ) .   Oz consists of four vast quadrants , the Gillikin Country in the north , Quadling Country in the south , Munchkin Country in the east and Winkie Country in the west . Each province has its own ruler , but the realm itself has always been ruled by a single monarch . After The Marvelous Land of Oz , this monarch is Princess Ozma .   Originally , Baum did not intend for The Wonderful Wizard of Oz to have any sequels , but it achieved a greater popularity than any of the other fairylands he created , including the land of Merryland in Baum 's children 's novel Dot and Tot in Merryland , written a year later . Due to Oz 's worldwide success , Baum decided to return to it four years after The Wonderful Wizard of Oz was published . For the next two decades , he described and expanded upon the land in the Oz Books , a series which introduced many fictional characters and creatures . Baum intended to end the series with the sixth Oz book The Emerald City of Oz ( 1910 ) , in which Oz is forever sealed off and made invisible to the outside world , but this did not sit well with fans , and he quickly abandoned the idea , writing eight more successful Oz books , and even naming himself the `` Royal Historian of Oz '' .   In all , Baum wrote fourteen best - selling children 's books about Oz and its enchanted inhabitants , as well as a spin off - series of six early readers . After his death in 1919 , author Ruth Plumly Thompson , illustrator John R. Neill ( who had previously collaborated with Baum on his Oz books ) and several other writers and artists continued the series . There are now over 50 novels based upon Baum 's original Oz saga .   Baum characterized Oz as a real place , unlike MGM 's 1939 musical movie adaptation , which presents it as a dream of lead character Dorothy Gale . According to the Oz books , it is a hidden fairyland cut off from the rest of the world by a deadly desert .   The canonical demonym for Oz is `` Ozite '' . The term appears in Dorothy and the Wizard in Oz , The Road to Oz , and The Emerald City of Oz . Elsewhere in the canon , `` Ozmie '' is also used . In the animated 1974 semi-sequel to the MGM film , Journey Back to Oz , `` Ozonian '' is used . The term `` Ozian '' appears in the script for the Royal Shakespeare Company 's stage adaptation of the MGM movie and in the non-canonical modern work Wicked . `` Ozmite '' was used in Reilly &amp; Lee marketing in the 1920s , which has suggested to some critics that `` Ozmie '' may have been a typographical error .     Contents  ( hide )   1 Characteristics   2 Geography   2.1 The Land of Oz   2.2 West and East   2.3 Location   2.4 Inspiration   2.5 Witches and wizards   2.6 Animals   2.7 Other races     3 History   3.1 Prehistory   3.2 History through the first six books     4 Economy and politics   5 Defense   6 Characters   7 Other media   7.1 The 1939 MGM film 's Oz   7.2 Gregory Maguire 's revisionist Oz   7.3 Alexander Melentyevich Volkov 's Magic Land   7.4 March Laumer 's Oz   7.5 Philip José Farmer 's Oz   7.6 Robert A. Heinlein 's Oz   7.7 L. Sprague de Camp 's Oz   7.8 Tad Williams ' Otherland Oz   7.9 The Outer Zone ( Tin Man )   7.10 Emerald City Confidential   7.11 Once Upon a Time     8 Magic   8.1 Silver Shoes / Ruby Slippers   8.2 Powder of Life   8.3 Magic Belt   8.4 Magic Picture   8.5 Great Book of Records   8.6 The Love Magnet   8.7 Magic Fan   8.8 Fountain of Oblivion   8.9 Magic Dinner Bell     9 Miscellaneous   9.1 Death in Oz   9.1. 1 Theories     9.2 Talking animals   9.3 Origin of the name Oz     10 References   11 External links      Characteristics ( edit )   Oz is , in the first book The Wonderful Wizard of Oz , distinguished from Dorothy 's native Kansas by not being civilized ; this explains why Kansas does not have witches and wizards , while Oz does . In the third book , Ozma of Oz , Oz is described as a `` fairy country '' , new terminology that remained to explain its wonders .   Geography ( edit )   The Land of Oz ( edit )  The Land of Oz ; note that the map is a mirror image of `` actual '' locations , but that the compass rose shows east on the right - hand side .  Oz is roughly rectangular in shape , and divided along the diagonals into four countries : Munchkin Country ( but commonly referred to as ' Munchkinland ' in adaptations ) in the East , Winkie Country in the West ( sometimes West and East are reversed on maps of Oz , see West and East below ) , Gillikin Country in the North , and Quadling Country in the South . In the center of Oz , where the diagonals cross , is the fabled Emerald City , capital of the land of Oz and seat to the monarch of Oz , Princess Ozma .   The regions have a color schema : blue for Munchkins , yellow for Winkies , red for Quadlings , green for the Emerald city , and ( in works after the first ) purple for the Gillikins , which region was also not named in the first book . ( This contrasts with Kansas ; Baum , describing it , used `` gray '' nine times in four paragraphs . ) In The Wonderful Wizard of Oz , this is merely the favorite color , used for clothing and other man - made objects , and having some influence on their choice of crops , but the basic colors of the world are natural colors . The effect is less consistent in later works . In The Marvelous Land of Oz , the book states that everything in the land of the Gillikins is purple , including the plants and mud , and a character can see that he is leaving when the grass turns from purple to green , but it also describes pumpkins as orange and corn as green in that land . Baum , indeed , never used the color schema consistently ; in many books , he alluded to the colors to orient the characters and readers to their location , and then did not refer to it again . His most common technique was to depict the man - made articles and flowers as the color of the country , leaving leaves , grass , and fruit their natural colors .   Most of these regions are settled with prosperous and contented people . However , this naturally is lacking in scope for plot . Numerous pockets throughout the land of Oz are cut off from the main culture , for geographic or cultural reasons . Many have never heard of Ozma , making it impossible for them to acknowledge her as their rightful queen . These regions are concentrated around the edges of the country , and constitute the main settings for books that are set entirely within Oz . The Lost Princess of Oz , for instance is set entirely in rough country in Winkie Country , between two settled areas . In Glinda of Oz , Ozma speaks of her duty to discover all these stray corners of Oz .   In The Wonderful Wizard of Oz , a yellow brick road leads from the lands of the Munchkins to the Emerald City . Other such roads featured in other works : one from Gillikin Country in The Marvelous Land of Oz , and a second one from Munchkin Land in The Patchwork Girl of Oz .   Oz is completely surrounded on all four sides by a desert which insulates the citizens of the Land of Oz from discovery and invasion . In the first two books , this is merely a natural desert , with only its extent making it dangerous to the traveler , but in The Road to Oz it is said to turn anyone who touches it to sand . Indeed , in The Marvelous Land of Oz , Mombi tries to escape through it and Glinda chases her over the sands . Still , it is the dividing land between the magic of Oz and the outside world , and the Winged Monkeys can not obey Dorothy 's command to carry her home because it would take them outside the lands of Oz . In Ozma of Oz , it has become a magical desert called the Deadly Desert with life - destroying sands and noxious fumes , a feature that remained constant through the rest of the series , although no actual destruction is depicted in the Oz books , unlike in the film Return to Oz . The desert has nonetheless been breached numerous times , both by children from our world ( mostly harmless ) , by the Wizard of Oz himself , and by more sinister characters , such as the Nome King , who attempted to conquer Oz . After such an attempt in The Emerald City of Oz , the book ends with Glinda creating a barrier of invisibility around the Land of Oz , for further protection . This was , indeed , an earnest effort on Baum 's part to end the series , but the insistence of readers meant the continuation of the series , and therefore the discovery of many ways for people to pass through this barrier as well as over the sands . Despite this continual evasion , the barrier itself remained ; nowhere in any Oz book did Baum hint that the inhabitants were even considering removing the magical barrier .   West and East ( edit )   The first known map of Oz was a glass slide used in Baum 's Fairylogue and Radio - Play traveling show , showing the blue land of the Munchkins in the east and the yellow land of the Winkies in the west . These directions are confirmed by the text of all of Baum 's Oz books , especially the first , in which the Wicked Witch of the East rules over the Munchkins , and the Wicked Witch of the West rules over the Winkies .   Like traditional western maps , the Fairylogue and Radio - Play map showed the west on the left , and the east on the right . However , the first map of Oz to appear in an Oz book had those directions reversed , and the compass rose adjusted accordingly . It is believed that this is a result of Baum copying the map from the wrong side of the glass slide , effectively getting a mirror image of his intended map . When he realized he was copying the slide backward , he reversed the compass rose to make the directions correct . However , an editor at Reilly and Lee reversed the compass rose , thinking he was fixing an error , and resulting in further confusion . Most notably , this confused Ruth Plumly Thompson , who frequently reversed directions in her own Oz books as a result .   Another speculation stems from the original conception of Oz , which at first appeared to be situated in an American desert . If Baum thought of the country of the Munchkins as the nearest region to him , it would have been in the east while he lived in Chicago , but when he moved to California , it would have been in the west .   Modern maps of Oz are almost universally drawn with the Winkies in the west and the Munchkins in the east , although west and east often appear reversed . Many Oz fans believe this is the correct orientation , perhaps as a result of Glinda 's spell , which has the effect of confusing most standard compasses ; perhaps resembling its similarity to the world Alice found through the looking glass in which everything was a mirror image ; or perhaps just reflecting the alien nature of Oz . In Robert A. Heinlein 's book The Number of the Beast he posits that Oz is on a retrograde planet , meaning that it spins in the opposite direction of Earth so that the sun seems to rise on one 's left as one faces north . March Laumer 's The Magic Mirror of Oz attributes the changes to a character named Till Orangespiegel attempting to turn the Land of Oz orange .   Location ( edit )   Oz , like all of Baum 's fantasy countries , was presented as existing as part of the real world , albeit protected from civilization by natural barriers . Indeed , in the first books , nothing indicated that it was not hidden in the deserts of the United States . It gradually acquired neighboring magical countries , often from works of Baum 's that had been independent , as Ix from Queen Zixi of Ix , and Mo from The Magical Monarch of Mo . The first of these is Ev , introduced in Ozma of Oz .  Oz and surrounding countries , on the map from Tik - Tok of Oz ( The directional indicator in the map 's corner shows North and South correctly , but it flips East to the left , and West to the right ) .  In Tik - Tok of Oz , Baum included maps in the endpapers which definitively situated Oz on a continent with its neighboring countries . Oz is the largest country on the continent unofficially known as Nonestica ( this name was proposed by Robert R. Pattrick for the whole of the countries surrounding Oz ; Pattrick proposed `` Ozeria '' for the whole continent , but that name is generally unused in fan discussions ) , which also includes the countries of Ev , Ix , and Mo , which has also been known as Phunniland , among others . Nonestica is , according to the map , in the Nonestic Ocean . A fair amount of evidence in the books point to this continent as being envisioned as somewhere in the southern Pacific Ocean . At the opening of Ozma of Oz , Dorothy Gale is sailing to Australia with her Uncle Henry when she is washed overboard ( in a chicken coop , with Billina the yellow hen ) , and lands on the shore of Ev -- a rare instance in which an outsider reaches the Oz landmass through non-magical ( or apparently non-magical ) means . Palm trees grow outside the Royal Palace in the Emerald City , and horses are not native to Oz , both points of consistency with a South - Pacific location ; illustrations and descriptions of round - shaped and domed Ozite houses suggest a non-Western architecture . Conversely , Oz has technological , architectural , and urban elements typical of Europe and North America around the turn of the twentieth century ; but this may involve cultural input from unusual external sources ( see History below ) . Ruth Plumly Thompson asserts in her first Oz book , The Royal Book of Oz , that the language of Oz is English , which also suggests European or American influence .   An argument against the South Pacific is that the seasons in Oz are shown as the same seasons in the United States at the same time . In addition , in The Wishing Horse of Oz , Pigasus follows the North Star when he flies to Thunder Mountain , which could only be done in the Northern Hemisphere .   Inspiration ( edit )   Baum 's creation of the Emerald City may have been inspired by the White City of the World Columbian Exposition , which he visited frequently . Its quick building , in less than a year , may have been an element in the quick construction of the Emerald City in the first book .   Schematically , Oz is much like the United States , with the Emerald City taking the place of Chicago : to the East , mixed forest and farmland ; to the West , treeless plains and fields of wheat ; to the South , warmth and lush growth , and red earth .   Ruth Plumly Thompson took a different direction with her Oz books , introducing European elements such as the title character of The Yellow Knight of Oz , a knight straight out of Arthurian Legend .   Witches and wizards ( edit )  The Wicked Witch of the West melts , from the William Wallace Denslow illustration in the first edition of The Wonderful Wizard of Oz ( 1900 )  At the time of The Wonderful Wizard of Oz , the lands in the North , South , East and West of Oz are each ruled by a Witch . The Witches of the North and South are good , while the Witches of the East and West are wicked . Glinda ( the Good Witch of the South ) is later revealed to be the most powerful of the four , although later Oz books reveal that the Wicked Witch of the West was so powerful , even Glinda feared her . After Dorothy 's house crushes the Wicked Witch of the East , thereby liberating the Munchkins from bondage , the Good Witch of the North tells Dorothy that she ( the Witch of the North ) is not as powerful as the Wicked Witch of the East had been , or she would have freed the Munchkins herself .   During the first scene in Oz in The Wonderful Wizard of Oz , the Good Witch of the North ( Locasta or Tattypoo ) explains to Dorothy that Oz still has witches and wizards , not being civilized , and goes on to explain that witches and wizards can be both good and evil , unlike the evil witches that Dorothy had been told of . That book contained only the four witches ( besides the humbug wizard ) , but despite Ozma 's prohibition on magic , many more magicians feature in later works .   Baum tended to capitalize the word `` Witch '' when referring to the Witches of the North , South , East or West , but did not do so when referring to witches in general . For example , in the aforementioned first scene of The Wonderful Wizard of Oz , Locasta ( or Tattypoo ) thanks Dorothy for killing the `` Wicked Witch of the East '' , and introduces herself as `` the Witch of the North '' , with the word `` Witch '' capitalized in both cases . However , when she goes on to tell Dorothy that `` I ( the Witch of the North ) am a good witch , and the people love me '' , the word `` witch '' is not capitalized .   White is the traditional color of witches in Oz . The Good Witch of the North wears a pointed white hat and a white gown decorated with stars , while Glinda , the Good Witch of the South ( called a `` sorceress '' in later books ) , wears a pure white dress . Dorothy is taken for a witch not only because she had killed the Wicked Witch of the East , but because her dress is blue and white checked .   Ozma , once on the throne , prohibits the use of magic by anyone other than Glinda the Good , the Wizard of Oz , and herself -- as , earlier , the Good Witch of the North had prohibited magic by any other witch in her domains . The illicit use of magic is a frequent feature of villains in later works in the series , appearing in The Scarecrow of Oz , Rinkitink in Oz , The Lost Princess of Oz , The Tin Woodman of Oz , and The Magic of Oz .   Animals ( edit )   There are different kinds of animals living in Oz . According to Baum , all animals in Oz have the ability to speak because it is a `` fairy '' kingdom . When asked by his readers why Dorothy 's dog Toto did not speak , Baum insisted that he had the ability to , but did not choose to speak , but he finally does so in Tik - Tok of Oz .   Among the many animals in Oz are :    A-B - Sea Serpent -- A 200 feet ( 61 m ) long sea serpent that is composed of alphabet blocks .   Chiss -- An evil porcupine spirit that can launch his quills .   Choggenmugger - Thick , hard scales cover its body . It has wide jaws , sharp teeth . A dragon - eater that ate all dragons , serpents and crocodiles on the Regos Island to extinction .   Comfortable Camel -- A camel from outside of Oz , who found his way into Oz , along with the Doubtful Dromedary , and they joined Dorothy Gale 's party to find the Scarecrow . He almost always feels comfortable during his eventful journey .   Cowardly Lion -- The Cowardly Lion is one of Dorothy Gale 's friends .   Crab -- A crab ended up in an argument with a Zebra to determine if the world had more water , or more land   Doubtful Dromedary -- A dromedary from outside of Oz , who found his way into Oz , along with the Comfortable Camel , and they joined Dorothy Gale 's party to find the Scarecrow . He doubts nearly everything that anyone says .   Dragons -- Dragons are the toughest creatures in the Land of Oz and its neighboring countries . The ones in Gillikin Country live underground and are allowed to come out once every 100 years in search of food .   Field Mice -- The Tin Man once saved the Queen of the Field Mice from a wildcat . Her kind later helps Dorothy and her friends get out of a deadly poppy field . The mice also reappear in the Magical Land of Oz to help the Scarecrow on his quest to reclaim his throne from General Jinjur , by hiding inside his clothes and jumping out to scare Jinjur 's guards .   Foolish Owl -- The Foolish Owl lives in Munchkin Country . She and the Wise Donkey are public advisers .   Gargoyles -- A bunch of wooden gargoyles live in the Land of Naught ( underground , outside of Oz ) . They once captured Dorothy Gale , Zeb Hugson , and their animal friends when they visited the Land of Naught .   Giant Purple Spiders -- A race of spiders in Gillikin Country that catch travelers in their webs and make them their servants .   Glass Cat -- A glass sculpture brought to life by the Powder of Life .   Gump -- Gumps are common creatures in the Land of Oz . They are elk - like creatures with wide - spreading antlers , caprine whiskers , and a turned - up nose .   Hippocampus -- A race of half - horse half - fish aquatic creatures that live in Lake Orizon within Munchkin Country . The lake monster Quiberon once ate them into extinction . After Quiberon was turned to stone by the Wizard of Oz , he used his magic to reconstitute the bones of the Hippocampus causing their species to live once more .   Hip - po - gy - raf -- A Hip - po - gy - raf lives in Munchkin Country west of Mount Munch . It appears to be a combination of a hippopotamus and a giraffe .   Hungry Tiger -- The Hungry Tiger is the Cowardly Lion 's best friend .   Jackdaws -- A bunch of Jackdaws live in Quadling Country .   Kabumpo -- The elegant elephant of Pumperdink .   Kalidahs -- The Kalidahs have the head and back legs of a tiger and the arms , torso , and feet of a bear . Their claws are known to rip a lion in half .   Kangaroo -- A mittens - wearing kangaroo lives near the village of Fuddlecumjig .   Lonesome Duck -- The Lonesome Duck is the only duck in the Land of Oz .   Orks -- Orks are unusual flying animals that have the blended characteristics of a common ostrich and a parrot .   Rak -- A terrible beast with a horrible appetite and a bad disposition . It is said to be bigger than 100 men and can eat any living thing .   Rattlesnake -- A rattlesnake serves as a companion of the A-B - Sea Serpent .   Squirrel King -- The King of the Squirrels that live in Winkie Country .   Stork -- A stork once helped Dorothy and her companions rescue Scarecrow .   Unicorns -- A group of unicorns live that at Unicorners within Munchkin Country .   Winged Monkeys -- Monkeys with wings . They obey the owner of the Golden Hat that summons them for three times .   Wise Donkey -- The Wise Donkey was a former citizen of the Land of Mo who often advised the King of Mo . He now lives in Munchkin Country with the Foolish Owl .   Zebra -- A Zebra ended up in an argument with a Crab to determine if there was either more water in the world or more land .    Other races ( edit )   There is a multitude of other races living in the land of Oz , many of which only appear once . Among the known races are :    The Bun People of Bunbury -- The Bun People are made of baked goods .   The Bunnies of Bunnybury -- A race of civilized rabbits .   The China People -- A race of beings that are made of china ( porcelain ) that live in Quadling Country .   The Cuttenclips -- A race of living paper dolls that live in Quadling Country .   The Dicks -- The topsy - turvy inhabitants of Dicksy Land .   The Equinots -- A race of centaurs .   The Flatheads -- A race of flat - headed humans who carry their brains in cans .   The Flutterbudgets -- A race of people who entertain foolish fears and spend time worrying over nothing .   The Fuddles -- A race of anthropomorphic jigsaw puzzles that live in Fuddlecumjig .   The Hammerheads -- An armless race with extensible necks and hard heads .   The Hoopers -- A race of 10 ft. tall humanoids that live in the Purple Forest of Gillikin Country and can roll into hoops by grabbing their toes with their hands .   The Hoppers -- A race of one - legged people that live inside a mountain in Quadling Country .   The Horners -- A race of strange one - horned people that live inside a mountain in Quadling Country .   The Hyups -- A subspecies of Munchkins that live on Mount Munch .   The Loons -- A race of living balloon people that live in Loonville .   The Magical Mimics -- A race of evil shape - shifting creatures that are a type of Erb that live on Mount Illuso .   The Phanfasms -- A magically powerful race of Erb spirits that change their appearance into beasts .   The Rigmaroles -- A race of people that make long deliberate speeches which makes use of many words .   The Scares -- A race of grotesque beings that reside in Scare City within Quadling Country .   The Scooters -- A race of people that live on the waters of the Gillikin River . They have long boat - like feet and have sails growing from their wrists to their ribs .   The Skeezers -- A race of anatomically normal humans who are often in conflicts with the Flatheads .   The Sticks - in - the - Muds -- A tribe of mud - covered people on stilts that live in Marsh Land within Winkie Country .   The Thists -- A race of creatures that has diamond - shaped heads and heart - shaped bodies that live in Thi .   The Tottenhots -- A race of small mischievous people who live on the borders of Quadling Country and Winkie Country .   The Utensians -- A race of living utensils that live in Utensia in Quadling Country .   The Yips -- A small community of people that resemble the Hyups .    Outside of them are many other strange races who are often found living in the wilderness of Oz . Despite the overlordship of Ozma , many of the communities live autonomously . Oz has great tolerance for eccentricity and oddness .   Many characters in Oz are animated objects . Such figures as the Glass Cat , the Scarecrow , Jack Pumpkinhead , the Sawhorse , and others are common . Entire regions are the homes of such animated beings . The Dainty China Country is entirely filled with creatures made of china , who would freeze into figurines if removed . The China princess lives in fear of breaking , because she would never be as pretty even if repaired .   Many other characters are highly individual , even unique members of a species . Many such people from the outer worlds find refuge in Oz , which is highly tolerant of eccentricity .   History ( edit )   Prehistory ( edit )   The history of Oz prior to The Wonderful Wizard of Oz ( often called the prehistory of Oz as it takes place before Baum 's `` histories '' ) is often the subject of dispute , as Baum himself gave conflicting accounts . In The Wonderful Wizard of Oz , the title character recounts that he was a ventriloquist and a circus balloonist from Omaha , and during one flight the rope for his parachute vent became tangled , preventing him from descending until the next morning , and he awoke to find that he was floating over a strange land . When he landed , the people thought he was a great wizard because of his ability to fly . He did not disabuse them of this notion , and with his new power over them , he had them build a city with a palace in the center of Oz . He also ordered them to wear green glasses so it would appear to be made entirely of emeralds . However , in the later Oz books the city is depicted as actually being made of emerald or other green materials . The Wizard was a young man when he first arrived in Oz , and grew old while he was there . Afraid of the Wicked Witches of the West and the East , who , unlike him , could do real magic , the Wizard hid away in a room of his palace and refused to see visitors . He lived in this way until the arrival of Dorothy in the first book .   In The Marvelous Land of Oz the prehistory was changed slightly . Glinda , the Good Witch of the South , reveals that the Wizard usurped the previous king of Oz Pastoria and hid away his daughter Ozma . This was Baum 's reaction to the popular 1903 Broadway extravaganza Baum adapted from his book , The Wonderful Wizard of Oz , in which the Wizard took the role of the main antagonist and the Wicked Witch of the West was left out .   The Wizard , however , had been more popular with his readers than he thought . In Ozma of Oz , he omitted any mention of the Wizard 's having usurped the throne of Ozma 's father , but the largest changes occurred in the next book .   In the preface to Dorothy and the Wizard in Oz , Baum remarks that the Wizard had turned out to be a popular character with the children who had read the first book and so he brought the Wizard back . During it , the Wizard relates yet another account of his history in Oz , telling Ozma that his birth name was Oscar Zoroaster Phadrig Isaac Norman Henkle Emmanuel Ambroise Diggs , which , being a very long and cumbersome name , and as his other initials spelled out `` PINHEAD , '' he preferred to leave just as O.Z. The balloon part of his story was unchanged , except for the detail added by Ozma , that the people probably saw his initials on his balloon and took them as a message that he was to be their king . She relates that the country was already named Oz ( a word which in their language means `` great and good '' ) , and that it was typical for the rulers to have names that are variations of Oz ( King Pastoria being a notable exception to this rule ) .   Ozma elaborates further , saying that there were once four Wicked Witches in Oz , who leagued together to depose the King , but the Wicked Witches of the North and South were defeated by Good Witches before the Wizard arrived in Oz . According to this version , the King at the time was Ozma 's grandfather . This version of prehistory restores the Wizard 's reputation , but adds the awkwardness of both Ozma and her father having been born in captivity .   In The Tin Woodman of Oz Baum writes how Oz came to be a fairyland :    Oz was not always a fairyland , I am told . Once it was much like other lands , except it was shut in by a dreadful desert of sandy wastes that lay all around it , thus preventing its people from all contact with the rest of the world . Seeing this isolation , the fairy band of Queen Lurline , passing over Oz while on a journey , enchanted the country and so made it a Fairyland . And Queen Lurline left one of her fairies to rule this enchanted Land of Oz , and then passed on and forgot all about it .    Thenceforward , no one in Oz would ever age , get sick , or die . After becoming a fairyland , Oz harbored many Witches , Magicians , and Sorcerers until the time when Ozma made magic illegal without a permit . In yet another inconsistency , it is implied that Ozma was the fairy left behind by Queen Lurline to rule the country , contradicting the story where she was Pastoria 's daughter . This is later confirmed in Glinda of Oz :    `` If you are really Princess Ozma of Oz , '' the Flathead said , `` you are one of that band of fairies who , under Queen Lurline , made all Oz a Fairyland . I have heard that Lurline left one of her own fairies to rule Oz , and gave the fairy the name of Ozma . ''    While this explains why no one dies or ages , and nevertheless there are people of differing ages in Oz , it is completely inconsistent with the earlier versions of the prehistory .   Maguire , author of Wicked addresses this inconsistency by saying that the people of Oz believe that Ozma is reincarnated -- that her spirit was left behind by Lurline , but her body is reborn to different mortal queens .   In Jack Snow 's The Magical Mimics in Oz , the prehistory story is retold . This version relates that Ozma was given to the king of Oz as an adoptive daughter , for he was old and had no children .   In the Magic Land stories of Alexander Melentyevich Volkov , the prehistory is quite different . The land was created 6,000 -- 7,000 years ago by a wizard named Hurricap , who was tired of people coming to him with requests , so he decided to find a place without them annoying him . He found a remote land and separated it from the rest of the world , along with putting the enchantments of eternal spring and talking animals ( Volkov 's version does n't include any forms of immortality ) . However , he failed to notice that the land already contained people ( since he was a giant , already suffering from nearsightedness in his advanced age , and the people in the Magic Land were much shorter than in other </t>
  </si>
  <si>
    <t xml:space="preserve">where do the bad witches live in the wizard of oz</t>
  </si>
  <si>
    <t xml:space="preserve"> At the time of The Wonderful Wizard of Oz , the lands in the North , South , East and West of Oz are each ruled by a Witch . The Witches of the North and South are good , while the Witches of the East and West are wicked . Glinda ( the Good Witch of the South ) is later revealed to be the most powerful of the four , although later Oz books reveal that the Wicked Witch of the West was so powerful , even Glinda feared her . After Dorothy 's house crushes the Wicked Witch of the East , thereby liberating the Munchkins from bondage , the Good Witch of the North tells Dorothy that she ( the Witch of the North ) is not as powerful as the Wicked Witch of the East had been , or she would have freed the Munchkins herself . </t>
  </si>
  <si>
    <r>
      <rPr>
        <sz val="11"/>
        <color rgb="FF000000"/>
        <rFont val="Calibri"/>
        <family val="0"/>
        <charset val="1"/>
      </rPr>
      <t xml:space="preserve">Pullman strike - wikipedia  Pullman strike       Pullman Strike     Part of The Great Railroad Strike of 1877     Striking American Railway Union members confront Illinois National Guard troops in Chicago during the Pullman Strike     Date   May 11 , 1894 -- July 20 , 1894     Location   Began in Pullman , Chicago ; spread throughout the United States     Goals   Recognition     Methods   Strikes , Protest , Demonstrations     Resulted in   Unsuccessful     Parties to the civil conflict        American Railway Union ; Railroad workers   Pullman Company ; General Managers ' Association ; United States National Guard        Lead figures        Eugene V. Debs   George Pullman ; Grover Cleveland        Number        250,000   12,000        Casualties        Deaths : 30 Injuries : 57 Arrests :   Deaths : Injuries :        The Pullman Strike was a nationwide railroad strike in the United States that lasted from May 11 to July 20 , 1894 , and a turning point for US labor law . It pitted the American Railway Union ( ARU ) against the Pullman Company , the main railroads , and the federal government of the United States under President Grover Cleveland . The strike and boycott shut down much of the nation 's freight and passenger traffic west of Detroit , Michigan . The conflict began in Pullman , Chicago , on May 11 when nearly 4,000 factory employees of the Pullman Company began a wildcat strike in response to recent reductions in wages . A total of 30 workers were killed by railroad agents and their allies .   Most of the factory workers who built Pullman cars lived in the `` company town '' of Pullman on the South Side of Chicago , Illinois . The industrialist George Pullman had designed it ostensibly as a model community . Pullman had a diverse work force . He wanted to hire African - Americans for certain jobs at the company . Pullman used ads and other campaigns to help bring workers into his company .   When his company laid off workers and lowered wages , it did not reduce rents , and the workers called for a strike . Among the reasons for the strike were the absence of democracy within the town of Pullman and its politics , the rigid paternalistic control of the workers by the company , excessive water and gas rates , and a refusal by the company to allow workers to buy and own houses . They had not yet formed a union . Founded in 1893 by Eugene V. Debs , the ARU was an organization of unskilled railroad workers . Debs brought in ARU organizers to Pullman and signed up many of the disgruntled factory workers . When the Pullman Company refused recognition of the ARU or any negotiations , ARU called a strike against the factory , but it showed no sign of success . To win the strike , Debs decided to stop the movement of Pullman cars on railroads . The over-the - rail Pullman employees ( such as conductors and porters ) did not go on strike .   Debs and the ARU called a massive boycott against all trains that carried a Pullman car . It affected most rail lines west of Detroit and at its peak involved some 250,000 workers in 27 states . The Railroad brotherhoods and the American Federation of Labor ( AFL ) opposed the boycott , and the General Managers ' Association of the railroads coordinated the opposition . Thirty people were killed in response to riots and sabotage that caused $80 million in damages . The federal government obtained an injunction against the union , Debs , and other boycott leaders , ordering them to stop interfering with trains that carried mail cars . After the strikers refused , President Grover Cleveland ordered in the Army to stop the strikers from obstructing the trains . Violence broke out in many cities , and the strike collapsed . Defended by a team including Clarence Darrow , Debs was convicted of violating a court order and sentenced to prison ; the ARU then dissolved .   Contents    1 Background   2 Boycott   3 Federal intervention   4 Local responses   5 Public opinion   6 Aftermath   6.1 Politics   6.2 Labor Day     7 See also   8 References   9 Sources   9.1 Primary sources     10 External links    Background ( edit )  The condition of laboring man at Pullman . The employee is being squeezed by Pullman between high rent and low wages , July 7 , 1894 .  During a severe recession ( the Panic of 1893 ) , the Pullman Palace Car Company cut wages as demand for new passenger cars plummeted and the company 's revenue dropped . A delegation of workers complained that wages had been cut but not rents at their company housing or other costs in the company town . The company owner , George Pullman , refused to lower rents or go to arbitration .   Boycott ( edit )  The American Railway Union escalated the Pullman strike beginning with the blockade of the Grand Crossing in Chicago during the night of June 26 , 1894 .  Many of the Pullman factory workers joined the American Railway Union ( ARU ) , led by Eugene V. Debs , which supported their strike by launching a boycott in which ARU members refused to run trains containing Pullman cars . At the time of the strike approximately 35 % of Pullman workers were members of the ARU . The plan was to force the railroads to bring Pullman to compromise . Debs began the boycott on June 26 , 1894 . Within four days , 125,000 workers on twenty - nine railroads had `` walked off '' the job rather than handle Pullman cars . The railroads coordinated their response through the General Managers ' Association , which had been formed in 1886 and included 24 lines linked to Chicago . The railroads began hiring replacement workers ( strikebreakers ) , which increased hostilities . Many blacks were recruited as strikebreakers and crossed picket lines , as they feared that the racism expressed by the American Railway Union would lock them out of another labor market . This added racial tension to the union 's predicament .   On June 29 , 1894 , Debs hosted a peaceful meeting to rally support for the strike from railroad workers at Blue Island , Illinois . Afterward , groups within the crowd became enraged and set fire to nearby buildings and derailed a locomotive . Elsewhere in the western states , sympathy strikers prevented transportation of goods by walking off the job , obstructing railroad tracks , or threatening and attacking strikebreakers . This increased national attention and the demand for federal action .   Federal intervention ( edit )  Violence erupted on July 7 , 1894 , with hundreds of boxcars and coal cars looted and burned . State and federal troops used force to quell the mob , as this study by Frederic Remington illustrates .  Under direction from President Grover Cleveland , the US Attorney General Richard Olney dealt with the strike . Olney had been a railroad attorney , and still received a $10,000 retainer from the Chicago , Burlington and Quincy Railroad , in comparison to his $8,000 salary as Attorney General . Olney obtained an injunction in federal court barring union leaders from supporting the strike and demanding that the strikers cease their activities or face being fired . Debs and other leaders of the ARU ignored the injunction , and federal troops were called up to enforce it . While Debs had been reluctant to start the strike , he threw his energies into organizing it . He called a general strike of all union members in Chicago , but this was opposed by Samuel Gompers , head of the AFL , and other established unions , and it failed .   City by city the federal forces broke the ARU efforts to shut down the national transportation system . Thousands of United States Marshals and some 12,000 United States Army troops , commanded by Brigadier General Nelson Miles , took action . President Cleveland wanted the trains moving again , based on his legal , constitutional responsibility for the mails . His lawyers argued that the boycott violated the Sherman Antitrust Act , and represented a threat to public safety . The arrival of the military and the subsequent deaths of workers in violence led to further outbreaks of violence . During the course of the strike , 30 strikers were killed and 57 were wounded . Property damage exceeded $80 million .   Local responses ( edit )  Lurid depiction of Illinois National Guardsmen firing into the mob on July 7 , 1894 , the day of greatest looting and violence .  The strike affected hundreds of towns and cities across the country . Railroad workers were divided , for the old established Brotherhoods , which included the skilled workers such as engineers , firemen and conductors , did not support the labor action . ARU members did support the action , and often comprised unskilled ground crews . In many areas townspeople and businessmen generally supported the railroads while farmers -- many affiliated with the Populists -- supported the ARU .   In Billings , Montana , an important rail center , a local Methodist minister , J.W. Jennings , supported the ARU . In a sermon he compared the Pullman boycott to the Boston Tea Party , and attacked Montana state officials and President Cleveland for abandoning `` the faith of the Jacksonian fathers . '' Rather than defending `` the rights of the people against aggression and oppressive corporations , '' he said party leaders were `` the pliant tools of the codfish monied aristocracy who seek to dominate this country . '' Billings remained quiet but on July 10 , soldiers reached Lockwood , Montana , a small rail center , where the troop train was surrounded by hundreds of angry strikers . Narrowly averting violence , the army opened the lines through Montana . When the strike ended , the railroads fired and blacklisted all the employees who had supported it .   In California the boycott was effective in Sacramento , a labor stronghold , but weak in the Bay Area and minimal in Los Angeles . The strike lingered as strikers expressed longstanding grievances over wage reductions , and indicate how unpopular the Southern Pacific Railroad was . Strikers engaged in violence and sabotage ; the companies saw it as civil war while the ARU proclaimed it was a crusade for the rights of unskilled workers .   Public opinion ( edit )  American Railway Union President Eugene V. Debs was pilloried in the press for the disruption of food distribution and passenger traffic associated with the 1894 Pullman Strike .  Public opinion was mostly opposed to the strike and supported Cleveland 's actions . Republicans and eastern Democrats supported Cleveland ( the leader of the northeastern pro-business wing of the party ) , but southern and western Democrats as well as Populists generally denounced him . Chicago Mayor John Hopkins supported the strikers and stopped the Chicago Police from interfering before the strike turned violent . Governor John Peter Altgeld of Illinois , a Democrat , denounced Cleveland and said he could handle all disturbances in his state without federal intervention .   Media coverage was extensive and generally negative . A common trope in news reports and editorials depicted the boycotters as foreigners who contested the patriotism expressed by the militias and troops involved , as numerous recent immigrants worked in the factories and on the railroads . The editors warned of mobs , aliens , anarchy , and defiance of the law . The New York Times called it `` a struggle between the greatest and most important labor organization and the entire railroad capital . '' In Chicago the established church leaders denounced the boycott , but some younger Protestant ministers defended it .   Aftermath ( edit )   Debs was arrested on federal charges , including conspiracy to obstruct the mail as well as disobeying an order directed to him by the Supreme Court to stop the obstruction of railways and to dissolve the boycott . He was defended by Clarence Darrow , a prominent attorney , as well as Lyman Trumbull . At the conspiracy trial Darrow argued that it was the railways , not Debs and his union , that met in secret and conspired against their opponents . Sensing that Debs would be acquitted , the prosecution dropped the charge when a juror took ill . Although Darrow also represented Debs at the United States Supreme Court for violating the federal injunction , Debs was sentenced to six months in prison .   Early in 1895 General William M. Graham erected a memorial obelisk in the San Francisco National Cemetery at the Presidio , in honor of four soldiers of the 5th Artillery killed in a Sacramento train crash of July 11 , 1894 , during the strike . The train wrecked crossing a trestle bridge purportedly dynamited by union members . Graham 's monument included the inscription , `` Murdered by Strikers '' , a description he hotly defended . The obelisk remains in place .   In the aftermath of the Pullman Strike , the state ordered the company to sell off its residential holdings . In the decades after Pullman died ( 1897 ) , Pullman became just another South Side neighborhood . It remained the area 's largest employer before closing in the 1950s . The area is both a National Historic Landmark as well as a Chicago Landmark District . Because of the significance of the strike , many state agencies and non-profit groups are hoping for many revivals of the Pullman neighborhoods starting with Pullman Park , one of the largest projects . It was to be a $350 million mixed used development on the site of an old steel plant . The plan was for 670,000 square feet of new retail space , 125,000 square foot neighborhood recreation center and 1,100 housing units .   Politics ( edit )  Harper 's Weekly labeled Eugene Debs and the strike organizers as `` The Vanguard of Anarchy '' , July 21 , 1894 .  Following his release from jail in 1895 , ARU President Debs became a committed advocate of socialism , helping in 1897 to launch the Social Democracy of America , a forerunner of the Socialist Party of America . He ran for president in 1900 for the first of five times as head of the Socialist Party ticket .   Civil as well as criminal charges were brought against the organizers of the strike and Debs in particular , and the Supreme Court issued a unanimous decision , In re Debs , that rejected Debs ' actions . The Illinois Governor John P. Altgeld was incensed at Cleveland for putting the federal government at the service of the employers , and for rejecting Altgeld 's plan to use his state militia rather than federal troops to keep order .   Cleveland 's administration appointed a national commission to study the causes of the 1894 strike ; it found George Pullman 's paternalism partly to blame and described the operations of his company town to be `` un-American '' . In 1898 , the Illinois Supreme Court forced the Pullman Company to divest ownership in the town , as its company charter did not authorize such operations , and the land was annexed to Chicago . Much of it is now designated as an historic district , which is listed on the National Register of Historic Places .   Labor Day ( edit )   In 1894 , in an effort to conciliate organized labor after the strike , President Grover Cleveland and Congress designated Labor Day as a federal holiday . Legislation for the holiday was pushed through Congress six days after the strike ended . Samuel Gompers , who had sided with the federal government in its effort to end the strike by the American Railway Union , spoke out in favor of the holiday .   See also ( edit )    Organized labour portal     United States labor law   History of rail transport in the United States   Murder of workers in labor disputes in the United States    References ( edit )    ^ Jump up to : `` The Pullman Strike and Boycott , '' Annals of American History .  ( Accessed January 24 , 2014 ) .   Jump up ^ Ayres , Tim , and Susan Eleanor Hirsch . `` After the Strike : A Century of Labor Struggle at Pullman . '' Labour History , 2003 , 280 .   ^ Jump up to : `` Pullman Strike United States history '' . Encyclopedia Britannica . Retrieved 2017 - 11 - 16 .   ^ Jump up to : Ray Ginger , Eugene V. Debs ( 1962 ) p 170   ^ Jump up to : Papke , David Ray ( 1999 ) . The Pullman Case : The Clash of Labor and Capital in Industrial America . Landmark law cases &amp; American society . Lawrence , Kansas : University Press of Kansas . pp. 35 -- 37 . ISBN 0 - 7006 - 0954 - 7 .   Jump up ^ Joseph C. Bigott ( 2001 ) . From Cottage to Bungalow : Houses and the Working Class in Metropolitan Chicago , 1869 -- 1929 . U. of Chicago Press . p. 93 . Archived from the original on May 15 , 2016 .   Jump up ^ Richard Schneirov ; Shelton Stromquist ; Nick Salvatore ( 1999 ) . The Pullman Strike and Crisis of 1890s : Essays on Labor and Politics . U. of Illinois Press . p. 137 . Archived from the original on April 25 , 2016 .   Jump up ^ Wish , `` The Pullman Strike ''   Jump up ^ Donald L. McMurry , `` Labor Policies of the General Managers ' Association of Chicago , 1886 -- 1894 , '' Journal of Economic History ( 1953 ) 13 # 2 pp. 160 -- 78 in JSTOR Archived June 21 , 2015 , at the Wayback Machine .   Jump up ^ David E. Bernstein , Only One Place of Redress ( 2001 ) p. 54   Jump up ^ Harvey Wish , `` The Pullman Strike : A Study in Industrial Warfare , '' Journal of the Illinois State Historical Society ( 1939 ) 32 # 3 , pp. 288 -- 312 in JSTOR Archived March 5 , 2016 , at the Wayback Machine .   Jump up ^ `` Archived copy '' . Archived from the original on November 18 , 2016 . Retrieved 2016 - 02 - 09 . CS1 maint : Archived copy as title ( link )   Jump up ^ Eric Arnesen ( 2004 ) . The Human Tradition in American Labor History . Rowman &amp; Littlefield . p. 96 . Archived from the original on April 24 , 2016 .   Jump up ^ Salvatore , Debs pp 134 -- 37   Jump up ^ John R. Commons ; et al. ( 1918 ) . History of Labour in the United States vol 2 . Macmillan . p. 502 . Archived from the original on April 26 , 2016 .   Jump up ^ Brendel , Martina ( December 1994 ) . `` The Pullman Strike '' . Illinois History : 8 -- via Illinois Periodicals Online .   ^ Jump up to : Carroll Van West , Capitalism on the Frontier : Billings and the Yellowstone Valley in the Nineteenth Century ( 1993 ) p 200   Jump up ^ Van West , Capitalism on the Frontier : Billings and the Yellowstone Valley in the Nineteenth Century , p 200   Jump up ^ William W. Ray , `` Crusade or Civil War ? The Pullman Strike in California , '' California History ( 1979 ) 58 # 1 pp 20 -- 37 .   Jump up ^ Allan Nevins , Grover Cleveland : A Study in Courage ( 1933 ) pp. 624 -- 27   Jump up ^ Schneirov , Richard . `` The Pullman Strike and Boycott '' . Northern Illinois University Libraries . Retrieved October 16 , 2017 .   Jump up ^ H.W. Brands ( 2002 ) . The Reckless Decade : America in the 1890s . U. of Chicago Press . p. 153 . Archived from the original on April 27 , 2016 .   Jump up ^ Troy Rondinone , `` Guarding the Switch : Cultivating Nationalism during the Pullman Strike , '' Journal of the Gilded Age and Progressive Era ( 2009 ) 8 # 1 pp 83 -- 109 .   Jump up ^ Donald L. Miller ( 1997 ) . City of the Century : The Epic of Chicago and the Making of America . Simon and Schuster . p. 543 . Archived from the original on April 28 , 2016 .   Jump up ^ Heath W. Carter , `` Scab Ministers , Striking Saints : Christianity and Class Conflict in 1894 Chicago , '' American Nineteenth Century History ( 2010 ) 11 # 3 pp 321 -- 349   Jump up ^ John A. Farrell ( 2011 ) . Clarence Darrow : Attorney for the Damned . Random House Digital , Inc . pp. 69 -- 72 . Archived from the original on May 10 , 2016 .   Jump up ^ Leach , Frank A . `` The Great Railroad Strike of 1894 '' . U.S. Library of Congress . Archived from the original on November 2 , 2016 . Retrieved 14 April 2017 .   Jump up ^ `` General Graham Writes of Treason '' ( PDF ) . San Francisco Call via Library of Congress . 22 August 1895 . Archived ( PDF ) from the original on April 14 , 2017 . Retrieved 14 April 2017 .   Jump up ^ Historical NY Times   Jump up ^ `` Eugene V. Debs American social and labour leader '' . Encyclopedia Britannica . Retrieved 2017 - 11 - 16 .   Jump up ^ Peter Zavodnyik ( 2011 ) . The Rise of the Federal Colossus : The Growth of Federal Power from Lincoln to F.D.R. ABC - CLIO . pp. 233 -- 34 . Archived from the original on June 17 , 2016 .   Jump up ^ Dennis R. Judd ; Paul Kantor ( 1992 ) . Enduring tensions in urban politics . Macmillan . Archived from the original on April 25 , 2016 .   Jump up ^ `` Online NewsHour : Origins of Labor Day -- September 2 , 1996 '' . PBS . Archived from the original on February 9 , 2014 . Retrieved July 25 , 2011 .   Jump up ^ Bill Haywood , The Autobiography of Big Bill Haywood , 1929 , p. 78 ppbk .    Sources ( edit )    Cleveland , Grover . The Government and the Chicago Strike of 1894 ( 1904 ) . Princeton , NJ : Princeton University Press , 1913 .   DeForest , Walter S . The Periodical Press and the Pullman Strike : An Analysis of the Coverage and Interpretation of the Railroad Strike of 1894 by Eight Journals of Opinion and Reportage MA thesis . University of Wisconsin , Madison , 1973 .   Ginger , Ray . The Bending Cross : A Biography of Eugene V. Debs . New Brunswick , NJ : Rutgers University Press , 1949 .   Hirsch , Susan Eleanor . After the Strike : A Century of Labor Struggle at Pullman . Urbana , IL : University of Illinois Press , 2003 .   Lindsey , Almont . The Pullman Strike : The Story of a Unique Experiment and of a Great Labor Upheaval . Chicago : University of Chicago Press , 1943 .   Lindsey , Almont . `` Paternalism and the Pullman Strike , '' American Historical Review , Vol. 44 , No. 2 ( Jan. , 1939 ) , pp. 272 -- 89 in JSTOR   Nevins , Allan Nevins . Grover Cleveland : A Study in Courage. ( 1933 ) pp. 611 -- 28   Papke , David Ray . The Pullman Case : The Clash of Labor and Capital in Industrial America . Lawrence , KS : University Press of Kansas , 1999 .   Rondinone , Troy . `` Guarding the Switch : Cultivating Nationalism During the Pullman Strike , '' Journal of the Gilded Age &amp; Progressive Era 2009 8 ( 1 ) : 83 -- 109 27p .   Salvatore , Nick . Eugene V. Debs : Citizen and Socialist . Urbana , IL : University of Illinois Press , 1984 .   Schneirov , Richard , et al. ( eds . ) The Pullman Strike and the Crisis of the 1890s : Essays on Labor and Politics . Urbana , IL : University of Illinois Press , 1999 .   Smith , Carl . Urban Disorder and the Shape of Belief : The Great Chicago Fire , the Haymarket Bomb , and the Model Town of Pullman . Chicago : University of Chicago Press , 1995 .   Winston , A.P. `` The Significance of the Pullman Strike , '' Journal of Political Economy , vol. 9 , no . 4 ( Sept. 1901 ) , pp. 540 -- 61 . In JSTOR   Wish , Harvey . `` The Pullman Strike : A Study in Industrial Warfare , '' Journal of the Illinois State Historical Society ( 1939 ) 32 # 3 pp. 288 -- 312 in JSTOR    Primary sources ( edit )    United States Strike Commission , Report on the Chicago Strike of June -- July , 1894 . Washington , DC : Government Printing Office , 1895 .    External links ( edit )       Wikimedia Commons has media related to Pullman Strike .      Pullman Strike Timeline   Chicago Strike   The Pullman Strike , Illinois During the Gilded Age 1866 -- 1894 , Illinois Historical Digitization Projects at Northern Illinois University Libraries              Major armed conflicts in American labor union history     19th century     Great Railroad Strike of 1877   Rock Springs massacre , 1885   Bay View massacre , 1886   Haymarket affair , 1886   Thibodaux massacre , 1887   Morewood massacre , 1891   Homestead Strike , 1892   Coeur d'Alene , Idaho labor strike of 1892   Pullman Strike , 1894   Streetcar strikes in the United States , 1895 -- 1929   Lattimer massacre , 1897   Illinois coal wars , 1898 -- 1899         20th century     Streetcar strikes in the United States , 1895 -- 1929   Colorado Labor Wars , 1903 -- 04   1905 Chicago teamsters ' strike   Pressed Steel Car strike of 1909   Westmoreland County coal strike of 1910 -- 11   Paint Creek -- Cabin Creek strike of 1912   Colorado Coalfield War , including the Ludlow Massacre , 1913 -- 14   Copper Country strike of 1913 -- 14   1920 Alabama coal strike   Battle of Matewan , 1920   Battle of Blair Mountain , 1921   Herrin massacre , 1922   Hanapepe massacre , 1924   Harlan County War , 1931 -- 32   Gulf Coast longshoremen 's strike , 1935   Memorial Day massacre of 1937   Hilo Massacre , 1938       Portal : Organized Labour               Riots and civil unrest in Illinois     Race riots     Pana riot of 1899   Springfield race riot of 1908   East St. Louis riots of 1917   Chicago race riot of 1919   Airport Homes race riots of 1946   Fernwood Park race riot of 1947   Englewood race riots of 1949   Cicero race riot of 1951   Trumbull Park race riots of 1953   Dixmoor race riot of 1964   Cairo racial unrest , 1967 - 1973   Marquette park racial unrest , 1960s - 1980s       Other riots and unrest     Banditti of the Prairie , 1830s -- 1840s   Lager Beer Riot , 1855   Charleston riot , 1864   Haymarket affair , 1886   Pullman Strike , 1894   Battle of Virden , 1898   1905 Chicago Teamsters ' strike   Aldermen 's Wars , 1916 -- 1921   Memorial Day massacre of 1937   Division Street riots , 1966   1966 Chicago West Side Riots   1968 Chicago riots   Democratic National Convention protest activity , 1968   Days of Rage Weatherman riot , 1969   Humboldt Park riot , 1977   Chicago Bulls riots , 1990s   2016 Donald Trump Chicago rally protest      Retrieved from `` https://en.wikipedia.org/w/index.php?title=Pullman_Strike&amp;oldid=864347696 '' Categories :   Riots and civil disorder in Illinois   1894 in Illinois   1894 labor disputes and strikes   Labor disputes in the United States   History of rail transportation in the United States   Labor disputes in Illinois   Socialism in the United States   1894 riots   Rail transport strikes   1894 in rail transport   Progressive Era in the United States   Pullman Company   May 1894 events   Hidden categories :   Webarchive template wayback links   CS1 maint : Archived copy as title   CS1 : Julian -- Gregorian uncertainty   Use mdy dates from May 2012   All articles with unsourced statements   Articles with unsourced statements from November 2013   Articles with unsourced statements from May 2018   All articles with vague or ambiguous time   Vague or ambiguous time from May 2018   Articles needing more detailed references           Talk                                           Contents                   About Wikipedia                                                 Dansk   Deutsch   Esperanto   Euskara   Français   </t>
    </r>
    <r>
      <rPr>
        <sz val="11"/>
        <color rgb="FF000000"/>
        <rFont val="Noto Sans CJK SC"/>
        <family val="2"/>
      </rPr>
      <t xml:space="preserve">한국어   </t>
    </r>
    <r>
      <rPr>
        <sz val="11"/>
        <color rgb="FF000000"/>
        <rFont val="Calibri"/>
        <family val="0"/>
        <charset val="1"/>
      </rPr>
      <t xml:space="preserve">עברית   Русский   Српски / srpski   Suomi   Українська   </t>
    </r>
    <r>
      <rPr>
        <sz val="11"/>
        <color rgb="FF000000"/>
        <rFont val="Noto Sans CJK SC"/>
        <family val="2"/>
      </rPr>
      <t xml:space="preserve">中文  </t>
    </r>
    <r>
      <rPr>
        <sz val="11"/>
        <color rgb="FF000000"/>
        <rFont val="Calibri"/>
        <family val="0"/>
        <charset val="1"/>
      </rPr>
      <t xml:space="preserve">5 more  Edit links   This page was last edited on 16 October 2018 , at 16 : 44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</si>
  <si>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was the pullman strike of 1894 resolved</t>
  </si>
  <si>
    <t xml:space="preserve"> Debs and the ARU called a massive boycott against all trains that carried a Pullman car . It affected most rail lines west of Detroit and at its peak involved some 250,000 workers in 27 states . The Railroad brotherhoods and the American Federation of Labor ( AFL ) opposed the boycott , and the General Managers ' Association of the railroads coordinated the opposition . Thirty people were killed in response to riots and sabotage that caused $80 million in damages . The federal government obtained an injunction against the union , Debs , and other boycott leaders , ordering them to stop interfering with trains that carried mail cars . After the strikers refused , President Grover Cleveland ordered in the Army to stop the strikers from obstructing the trains . Violence broke out in many cities , and the strike collapsed . Defended by a team including Clarence Darrow , Debs was convicted of violating a court order and sentenced to prison ; the ARU then dissolved . </t>
  </si>
  <si>
    <t xml:space="preserve">Bob Newhart - wikipedia  Bob Newhart  Jump to : navigation , search    Bob Newhart     Newhart in 2002     Birth name   George Robert Newhart       ( 1929 - 09 - 05 ) September 5 , 1929 ( age 88 ) Oak Park , Illinois , U.S.     Medium   Stand - up , film , television     Nationality   American     Years active   1958 -- present     Genres   Deadpan , satire     Subject ( s )   American culture , American politics     Spouse   Virginia Quinn ( m . 1963 )     Children       Website   bobnewhartofficial.com     George Robert Newhart ( born September 5 , 1929 ) is an American stand - up comedian and actor , noted for his deadpan and slightly stammering delivery . Newhart came to prominence in 1960 when his album of comedic monologues , The Button - Down Mind of Bob Newhart , became a worldwide bestseller and reached number one on the Billboard pop album chart ; it remains the 20th - best selling comedy album in history . The follow - up album , The Button - Down Mind Strikes Back ! , was also a success , and the two albums held the Billboard number one and number two spots simultaneously .   Newhart later went into acting , starring as Chicago psychologist Dr. Robert Hartley in The Bob Newhart Show during the 1970s and then as Vermont innkeeper Dick Loudon on the 1980s series Newhart . He also had two short - lived sitcoms in the 1990s titled Bob and George and Leo . Newhart also appeared in film roles such as Major Major in Catch - 22 and Papa Elf in Elf . He provided the voice of Bernard in the Walt Disney animated films The Rescuers and The Rescuers Down Under . In 2004 , he played the library head Judson in The Librarian , a character which continued in 2014 to the TV series The Librarians . In 2013 , Newhart made his first of five guest appearances on The Big Bang Theory as Professor Proton , for which he received his first Primetime Emmy Award on September 15 , 2013 .     Contents  ( hide )   1 Early life   2 Career   2.1 Comedy career beginnings   2.2 Albums   2.3 Television   2.4 Films     3 Sitcoms   3.1 The Bob Newhart Show   3.2 Newhart   3.3 Other TV series     4 Other TV appearances   5 Personal comedic style   6 Writings   7 Honors   8 Personal life   9 Selected filmography   10 References   11 Further reading   12 External links      Early life ( edit )   Newhart was born on September 5 , 1929 at West Suburban Hospital in Oak Park , Illinois . His parents were George David Newhart ( 1899 -- 1986 ) , a part - owner of a plumbing and heating - supply business , and Julia Pauline ( née Burns ; 1901 -- 1991 ) , a housewife . His mother was of Irish descent and his father was of English , Irish , and German ancestry . One of his grandmothers was from St. Catharines , Ontario , Canada . Newhart has three sisters : Virginia , Mary Joan ( a nun , who taught at the all - girls Carmel High School in Mundelein , Illinois ) , and Pauline .   Newhart was educated at Roman Catholic schools in the Chicago area , including St. Catherine of Siena grammar school in Oak Park , and attended St. Ignatius College Prep ( high school ) , graduating in 1947 . He then enrolled at Loyola University of Chicago from which he graduated in 1952 with a bachelor 's degree in business management .   Newhart was drafted into the United States Army and served in the United States during the Korean War as a personnel manager until being discharged in 1954 . Newhart briefly attended Loyola University Chicago School of Law , but did not complete a degree , in part , he says , because he was asked to behave unethically during an internship .   Career ( edit )   After the war , Newhart worked for United States Gypsum as an accountant . He later said that his motto , `` That 's close enough '' and his habit of adjusting petty cash imbalances with his own money shows he did not have the temperament to be an accountant . He also said he was a clerk in the unemployment office who made $55 a week , but who quit upon learning unemployment benefits were $45 a week and he `` only had to come in to the office one day a week to collect it . ''   Comedy career beginnings ( edit )   In 1958 , Newhart became an advertising copywriter for Fred A. Niles , a major independent film and television producer in Chicago . There , he and a co-worker entertained each other with long telephone calls about absurd scenarios , which they later recorded and sent to radio stations as audition tapes . When his co-worker ended his participation , Newhart continued the recordings alone , developing this type of routine .   Dan Sorkin , a disc jockey at a radio station who later became the announcer - sidekick on Newhart 's NBC series , introduced Newhart to the head of talent at Warner Bros. Records . The label signed him in 1959 , only a year after it was formed , based solely on those recordings . Newhart expanded his material into a stand - up routine , which he began to perform at nightclubs .   Albums ( edit )   Newhart became famous mostly on the strength of his audio releases , in which he played a solo `` straight man '' . Newhart 's routine was to portray one end of a conversation ( usually a phone call ) , playing the comedic straight man and implying what the other person was saying .   His 1960 comedy album , The Button - Down Mind of Bob Newhart , was the first comedy album to make number one on the Billboard charts . The album received the 1961 Grammy Award for Album of the Year . The album peaked at number two in the UK Albums Chart . Newhart also won Best New Artist .   Newhart told a 2005 interviewer for PBS 's American Masters that his favorite stand - up routine is `` Abe Lincoln vs. Madison Avenue '' , which appears on this album . In the routine , a slick promoter has to deal with the reluctance of the eccentric President to agree to efforts to boost his image . The routine was suggested to Newhart by Chicago TV director and future comedian Bill Daily , who was Newhart 's castmate on the 1970s The Bob Newhart Show for CBS . Newhart became known for using an intentional stammer , in service to his unique combination of politeness and disbelief at what he was supposedly hearing . Newhart has used the delivery throughout his career .   The follow - up album , The Button - Down Mind Strikes Back , was released six months later and won Best Comedy Performance - Spoken Word that same year . Subsequent comedy albums include Behind the Button - Down Mind of Bob Newhart ( 1961 ) , The Button - Down Mind on TV ( 1962 ) , Bob Newhart Faces Bob Newhart ( 1964 ) , The Windmills Are Weakening ( 1965 ) , This Is It ( 1967 ) , Best of Bob Newhart ( 1971 ) , and Very Funny Bob Newhart ( 1973 ) . Years later , he released Bob Newhart Off the Record ( 1992 ) , The Button - Down Concert ( 1997 ) , and Something Like This ( 2001 ) , an anthology of his 1960s Warner Bros. albums .   On December 10 , 2015 , it was revealed by publicist and comedy album collector Jeff Abraham that a `` lost '' Newhart track from 1965 about Paul Revere existed on a one - of - a-kind acetate , which he owns . The track made its world premiere on episode 163 of the Comedy on Vinyl podcast .   Television ( edit )   Newhart 's success in stand - up led to his own short - lived NBC variety show in 1961 , The Bob Newhart Show . The show lasted only a single season , but it earned Newhart a Primetime Emmy Award nomination and a Peabody Award . The Peabody Board cited him as :     ``   a person whose gentle satire and wry and irreverent wit waft a breath of fresh and bracing air through the stale and stuffy electronic corridors . A merry marauder , who looks less like St. George than a choirboy , Newhart has wounded , if not slain , many of the dragons that stalk our society . In a troubled and apprehensive world , Newhart has proved once again that laughter is the best medicine .   ''     In the mid-1960s , Newhart appeared on The Dean Martin Show 24 times , and on The Ed Sullivan Show eight times . He appeared in a 1963 episode of The Alfred Hitchcock Hour , `` How to Get Rid of Your Wife '' , and on The Judy Garland Show . Newhart guest - hosted The Tonight Show Starring Johnny Carson 87 times , and hosted Saturday Night Live twice , 15 years apart ( 1980 and 1995 ) .   In addition to stand - up comedy , Newhart became a dedicated character actor . This led to other series such as : Bob Hope Presents the Chrysler Theatre , Captain Nice , two episodes of Insight , and It 's Garry Shandling 's Show . He reprised his role as Dr. Bob Hartley on Murphy Brown , and appeared as himself on The Simpsons , and as a retired forensic pathologist on NCIS .   Newhart guest - starred on three episodes of ER , for which he was nominated for a Primetime Emmy Award , as well as on Desperate Housewives and a role on NCIS as Ducky 's mentor and predecessor , who was discovered to have Alzheimer 's disease . In 2013 , he also appeared on Committed and appeared in an episode of the sixth season of The Big Bang Theory , for which he was awarded a Primetime Emmy Award , and subsequent episodes of its seventh season .   Films ( edit )   Although he is primarily a television star , Newhart has been in a number of popular films , beginning with the 1962 war story Hell Is for Heroes . In 1968 , Newhart played an annoying software specialist in the film Hot Millions . His films have ranged from 1970 's Alan Jay Lerner musical On a Clear Day You Can See Forever , the 1971 Norman Lear comedy Cold Turkey , the Mike Nichols - directed war satire Catch 22 , the Walt Disney animated feature The Rescuers in 1977 and with its 1990 sequel The Rescuers Down Under , and the Will Ferrell holiday comedy Elf ( 2003 ) .   Newhart played the President of the United States in the comedy , First Family ( 1980 ) . He appeared as a beleaguered school principal in In &amp; Out ( 1997 ) . He made a cameo appearance as a sadistic but appreciative CEO at the end of the comedy Horrible Bosses ( 2011 ) .   Sitcoms ( edit )   The Bob Newhart show ( edit )  Standing , from left : Howard Borden , Carol Kester , Jerry Robinson , seated : Newhart and Emily Hartley  Newhart 's most notable exposure on television came from two long - running programs that centered on him . In 1972 , soon after Newhart guest - starred on The Smothers Brothers Comedy Hour , he was approached by his agent and his managers , producer Grant Tinker , and actress Mary Tyler Moore ( the husband / wife team who founded MTM Enterprises ) , to work on a pilot series called The Bob Newhart Show , to be written by Davis and Music . He was very interested in the starring role of dry psychologist Bob Hartley , with Suzanne Pleshette playing his wry , loving wife , Emily , and Bill Daily as neighbor and friend Howard Borden .   The Bob Newhart Show faced heavy competition from the beginning , launching at the same time as the popular shows M * A * S * H , Maude , Sanford And Son , and The Waltons . Nevertheless , it was an immediate hit . The show eventually referenced what made Newhart 's name in the first place . Apart from the first few episodes , it used an opening - credits sequence featuring Newhart answering a telephone in his office . According to co-star Marcia Wallace , the entire cast got along well , and Newhart became close friends with both Wallace and co-star Suzanne Pleshette .   The cast also included Marcia Wallace as Bob 's wisecracking , man - chasing receptionist , Carol Kester ; Peter Bonerz as amiable orthodontist Dr. Jerry Robinson ; Jack Riley as Elliot Carlin , the most misanthropic of Dr. Hartley 's patients ; character actor and voice artist , John Fiedler as milquetoast Emil Petersen ; and Pat Finley as Bob 's sister , Ellen Hartley , a love interest for Howard Borden . Future Newhart regular Tom Poston had a briefly recurring role as Cliff `` Peeper '' Murdock , veteran stage actor Barnard Hughes appeared as Bob 's father for three episodes spread over two seasons , and Martha Scott appeared in several episodes as Bob 's mother .   By 1977 , the show 's ratings were declining and Newhart wanted to end it , but was under contract to do one more season . The show 's writers tried to rework the sitcom by adding a pregnancy , but Newhart objected : `` I told the creators I did n't want any children , because I did n't want it to be a show about ' How stupid Daddy is , but we love him so much , let 's get him out of the trouble he 's gotten himself into ' . '' Nevertheless , the staff wrote an episode that they hoped would change Newhart 's mind . Newhart read the script and he agreed it was very funny . He then asked , `` Who are you going to get to play Bob ? '' Coincidentally , Newhart 's wife gave birth to their daughter Jenny late in the year , which caused him to miss several episodes .   In the last episode of the fifth season , not only was Bob 's wife , Emily , pregnant , but his receptionist , Carol , was , too . In the first show of the sixth season , Bob revealed his dream of the pregnancies and that neither Emily nor Carol was really pregnant .   Marcia Wallace spoke of Newhart 's amiable nature on set : `` He 's very low key , and he did n't want to cause trouble . I had a dog by the name of Maggie that I used to bring to the set . And whenever there was a line that Bob did n't like -- he did n't want to complain too much -- so , he 'd go over , get down on his hands and knees , and repeat the line to the dog , which invariably yawned ; and he 'd say , ' See , I told you it 's not funny ! ' '' Wallace has also commented on the show 's lack of Emmy recognition : `` People think we were nominated for many an Emmy , people presume we won Emmys , all of us , and certainly Bob , and certainly the show . Nope , never ! ''   Newhart discontinued the series in 1978 after six seasons and 142 episodes . Wallace said of its ending , `` It was much crying and sobbing . It was so sad . We really did get along . We really had great times together . '' Of Newhart 's other long - running sitcom , Newhart , Wallace said , `` But some of the other great comedic talents who had a brilliant show , when they tried to do it twice , it did n't always work . And that 's what ... but like Bob , as far as I 'm concerned , Bob is like the Fred Astaire of comics . He just makes it look so easy , and he 's not as in - your - face as some might be . And so , you just kind of take it for granted , how extraordinarily funny and how he wears well . '' She was later reunited with Newhart twice , once in a reprise of her role as Carol on Murphy Brown in 1994 , and on an episode of Newhart 's short - lived sitcom , George &amp; Leo , in 1997 .   Newhart ( edit )  Newhart at the 1987 Emmy Awards  By 1982 , Newhart was interested in a new sitcom . After he had discussions with Barry Kemp and CBS , the show Newhart was created , in which Newhart played Vermont innkeeper and TV talk show host Dick Loudon . Mary Frann was cast as his wife , Joanna . Jennifer Holmes was originally cast as Leslie Vanderkellen , but left after former daytime soap star and still unfamilar prime - time actress Julia Duffy ( who had been a fan of Newhart 's since she was 21 ) joined the cast as Dick 's inn maid and spoiled rich girl , Stephanie Vanderkellen , while struggling actor Peter Scolari ( who had been a fan of Newhart 's since he was 17 ) was also casted as Dick 's manipulative TV producer , Michael Harris , in six of the eight seasons . Character actor Tom Poston played the role of handyman George Utley , earning three Primetime Emmy Award nominations as Outstanding Supporting Actor in a Comedy Series in 1984 , 1986 , and 1987 . Like The Bob Newhart Show , Newhart was an immediate hit , and again , like the show before it , it was also nominated for Primetime Emmy Awards , but failed to win any . During the time Newhart was working on the show , in 1985 , his smoking habit finally caught up to him , and he was taken to the emergency room for secondary polycythemia . The doctors ordered him to stop smoking .   In 1987 , ratings began to drop . Newhart ended in 1990 after eight seasons and 182 episodes . The last episode ended with a scene in which Newhart wakes up in bed with Suzanne Pleshette , who had played Emily , his wife from The Bob Newhart Show . He realizes ( in a satire of a famous plot element in the television series Dallas a few years earlier ) that the entire eight - year Newhart series had been a single nightmare of Dr. Bob Hartley 's , which Emily attributes to eating Japanese food before he went to bed . Recalling Mary Frann 's buxom figure and proclivity for wearing sweaters , Bob closes the segment and the series by telling Emily , `` You really should wear more sweaters '' before the typical closing notes of the old Bob Newhart Show theme played over the fadeout . The twist ending was later chosen by TV Guide as the best finale in television history .   Other TV series ( edit )  Circa 1991 , in Norfolk , Virginia  In 1992 , Newhart returned to television with a series called Bob , about a cartoonist . An ensemble cast included Lisa Kudrow , but the show did not develop a strong audience and was cancelled shortly after the start of its second season , despite good critical reviews . ( On The Tonight Show following the cancellation , Newhart joked he had now done shows called The Bob Newhart Show , Newhart and Bob so his next show was going to be called The . )   In 1997 , Newhart returned again with George &amp; Leo on CBS with Judd Hirsch and Jason Bateman ; the show was cancelled during its first season .   Other TV appearances ( edit )    The Alfred Hitchcock Hour , episode `` How to Get Rid of Your Wife '' ( 1963 )   The Entertainers ( regular performer in 1964 )   Thursday 's Game ( 1974 ) ( made - for - TV film )   Marathon ( 1980 )   Ladies and Gentlemen ... Bob Newhart ( 1980 )   Ladies and Gentlemen ... Bob Newhart Part II ( 1981 )   The Entertainers ( 1991 )   The Simpsons , season 7 : `` Bart the Fink '' ( 1996 )   The Sports Pages ( 2001 ) ( made - for - TV film )   MADtv ( Season 6 , 2001 ) , playing a psychiatrist who yells `` Stop it ! '' in a skit   The Librarian : Quest for the Spear ( 2004 )   The Librarian : Return to King Solomon 's Mines ( 2006 )   The Librarian : Curse of the Judas Chalice ( 2008 )   NCIS , season 8 : `` Recruited '' ( 2011 )   Five , Dr. Roth ( 2011 )   The Big Bang Theory , season 6 : `` The Proton Resurgence '' ( 2013 )   The Big Bang Theory , season 7 : `` The Proton Displacement '' ( 2013 )   The Big Bang Theory , season 7 : `` The Proton Transmogrification '' ( 2014 )   The Late Late Show with Craig Ferguson , final episode ( 2014 )   Hot in Cleveland , season 6 ( series finale ) : `` Vegas Baby / I Hate Goodbyes '' ( 2015 )   The Big Bang Theory , season 9 : `` The Opening Night Excitation '' ( 2015 )   The Big Bang Theory , season 11 : `` The Proton Regeneration '' ( 2017 )    In 1995 , a 65 - year - old Newhart was approached by the Showtime cable network to appear in the first comedy special in his 35 - year career . His special Off The Record consisted of him performing material from his first and second albums in front of a live audience in Pasadena , California . In 2003 , Newhart guest - starred on three episodes of ER in a rare dramatic role that earned him an Primetime Emmy Award nomination , his first in nearly 20 years . In 2005 , he began a recurring role in Desperate Housewives as Morty , the on - again / off - again boyfriend of Sophie ( Lesley Ann Warren ) , Susan Mayer 's ( Teri Hatcher ) mother . In 2009 , he received another Primetime Emmy nomination for reprising his role as Judson in The Librarian : Curse of the Judas Chalice .   On August 27 , 2006 , at the 58th Primetime Emmy Awards , hosted by Conan O'Brien , Newhart was placed in a supposedly airtight glass prison that contained three hours of air . If the Emmys went over the time of three hours , he would die . This gag was an acknowledgment of the common frustration that award shows usually run on past their allotted time ( which is usually three hours ) . Newhart `` survived '' his containment to help O'Brien present the award for Outstanding Comedy Series ( which went to The Office ) .   During an episode of Jimmy Kimmel Live ! , Newhart made a comedic cameo with members of ABC 's show Lost lampooning an alternate ending to the series finale . In 2011 , Newhart appeared in a small but pivotal role as a doctor in Lifetime 's anthology film on breast cancer Five , and in 2013 , he made a guest appearance on The Big Bang Theory as the aged Professor Proton ( Arthur Jeffries ) , a former science TV show host turned children 's party entertainer , for which he won the Primetime Emmy Award for Outstanding Guest Actor in a Comedy Series . It marked the first Emmy in Newhart 's entire career . At that year 's Emmy ceremony , Newhart appeared as a presenter with Big Bang Theory star Jim Parsons and received an unexpected standing ovation .   On December 19 , 2014 , Newhart made a surprise appearance on the final episode of The Late Late Show with Craig Ferguson , where he was revealed to be the person inside Secretariat , Ferguson 's on - set pantomime horse . The show then ended with a scene parodying the Newhart series finale , with Ferguson and Drew Carey reprising their roles from The Drew Carey Show . In June 2015 , Newhart appeared on another series finale , the final episode of Hot in Cleveland playing the father - in - law of Joy Scroggs ( Jane Leeves ) . It marked a reunion with one time co-star Betty White who had been a cast member during the second season of Bob 23 years earlier . The finale ends with their characters getting married .   Personal comedic style ( edit )   Newhart is known for his deadpan delivery and a slight stammer which he incorporated early on into the persona around which he built a successful career . On his TV shows , although he got his share of funny lines , he worked often in the Jack Benny tradition of being the `` straight man '' while the sometimes rather bizarre cast members surrounding him got the laughs . Newhart , however , has stated that `` I was not influenced by Jack Benny '' in terms of his style or persona , and cites George Gobel and the comedy team of Bob and Ray as his initial writing and performance inspirations .   Several of his routines involve hearing one - half of a conversation as he speaks to someone over the phone . In a bit called `` King Kong '' , a rookie security guard at the Empire State Building seeks guidance as to how to deal with an ape that is `` between 18 and 19 stories high , depending on whether there 's a 13th floor or not . '' He assures his boss he has looked in the guards ' manual `` under ' ape ' and ' ape 's toes ' . '' Other famous routines include `` The Driving Instructor '' , `` The Mrs. Grace L. Ferguson Airline ( and Storm Door Company ) '' , `` Introducing Tobacco to Civilization '' , `` Abe Lincoln vs. Madison Avenue '' , `` Defusing a Bomb '' ( in which an uneasy police chief tries to walk a new and nervous patrolman through defusing a live shell discovered on a beach ) , `` The Retirement Party '' , `` Ledge Psychology '' , `` The Krushchev Landing Rehearsal '' , and `` A Friend With a Dog . ''   In a 2012 podcast interview with Marc Maron , comedian Shelley Berman accused Newhart of plagiarizing his improvisational telephone routine style . However , in interviews both years before and after Berman 's comments , Newhart has never taken credit for originating the telephone concept , which he has noted was done earlier by Berman and -- predating Berman -- Nichols and May , George Jessel ( in his well - known sketch `` Hello Mama '' ) , and in the 1913 recording `` Cohen on the Telephone '' . The technique would later also be used by Lily Tomlin , Ellen DeGeneres , and many others .   Writings ( edit )   On September 20 , 2006 , Hyperion Books released Newhart 's first book , I Should n't Even Be Doing This . The book is primarily a memoir , but features comic bits by Newhart , as well . Transcripts of many of Newhart 's classic routines are woven in with the rest of the text . As actor David Hyde Pierce notes , `` The only difference between Bob Newhart on stage and Bob Newhart offstage -- is that there is no stage . ''   Honors ( edit )   In addition to his Peabody Award and several Primetime Emmy Award nominations , Newhart 's recognitions include :    Three Grammy awards in 1961 : Best New Artist , Album of the Year for The Button - Down Mind of Bob Newhart ( the first comedy record to be honored as Album of the Year ) , and Best Comedy Performance ( Spoken Word ) for The Button - Down Mind Strikes Back ! .   Newhart won the Golden Globe for Best TV Star - Male in 1961 .   In 1993 , Newhart was inducted into the Academy of Television Arts &amp; Sciences Hall of Fame .   In 1996 , Newhart was ranked number 17 on TV Guide 's `` 50 Greatest TV Stars of All Time '' list .   In 1998 , Billboard recognized Newhart 's first album as number 20 on their list of most popular albums of the past 40 years , and the only comedy album on the list .   On January 6 , 1999 Newhart received a star on the Hollywood Walk of Fame located at 6381 Hollywood Boulevard for his contribution to television .   In 2002 , Newhart won the Mark Twain Prize for American Humor .   In 2004 , Newhart was named number 14 on `` Comedy Central Presents : 100 Greatest Stand - Ups of All Time '' .   On July 27 , 2004 , American cable television network TV Land unveiled a life - sized statue of Newhart on the Magnificent Mile in his native Chicago , depicting Dr. Robert Hartley from The Bob Newhart Show . The statue depicts Dr. Hartley sitting in his therapy practice chair with a pencil held between his hands , and a patients ' sofa next to him . After an initial temporary installation in front of 430 North Michigan Avenue , the building used for exterior establishing shots of Hartley 's office , the bronze set is now permanently located in the sculpture park in front of Chicago 's Navy Pier entertainment complex . Visitors routinely sit on the couch and pose for photographs as Bob 's patients .   On October 17 , 2012 , Loyola University Chicago honored him by naming their new theatre , the Newhart Family Theatre .   On September 15 , 2013 , Newhart won his first Primetime Emmy Award , for Outstanding Guest Actor in a Comedy Series , for his portrayal of Professor Proton ( Arthur Jeffries ) on The Big Bang Theory .   On February 20 , 2015 , Newhart was honored with the Publicists of the International Cinematographers Guild Lifetime Achievement Award .    Personal life ( edit )   Newhart was introduced by Buddy Hackett to Virginia `` Ginnie '' Quinn , the daughter of character actor Bill Quinn . They were married on January 12 , 1963 . The couple have four children ( Robert , Timothy , Jennifer , and Courtney ) , and ten grandchildren . They are Roman Catholic and raised their children as such . He is a member of the Good Shepherd Parish and the Catholic Motion Picture Guild in Beverly Hills , California .   Newhart 's best friend was comedian Don Rickles , who nicknamed him `` Charlie Everybody '' for his everyman persona .   In 1985 , Newhart was rushed to the emergency room , suffering from secondary polycythemia , after years of heavy smoking . He made a recovery , several weeks after , and has since quit smoking .   In 1995 , Newhart was one of several investors who bought a radio station in Santa Barbara , California . The station played adult standards and its call letters ended in Newhart 's initials , AM 1290 KZBN . In 2005 , Newhart 's group sold the station . It is now KZSB , the radio voice of The Santa Barbara News - Press .   Newhart was an early home - computer hobbyist , purchasing the Commodore PET after its 1977 introduction . He wrote in 2001 , `` Later , I moved up to the 64 KB model and thought that was silly because it was more memory than I would ever possibly need . ''   Newhart sold his Wallace Neff - designed Bel Air mansion to Canadian Robert Quigg in May 2016 for $14.5 million .   Selected filmography ( edit )    Hell Is for Heroes ( 1962 , a World War II drama with a comedic monologue by Newhart ) - Pvt . Driscoll   Hot Millions ( 1968 ) - Willard C. Gnatpole   On A Clear Day You Can See Forever ( 1970 ) - Dr. Mason Hume   Catch - 22 ( 1970 ) - Maj . Major Major   Cold Turkey ( 1971 ) - Merwin Wren   The Rescuers ( 1977 ) - Bernard ( voice )   Little Miss Marker ( 1980 ) - Regret   First Family ( 1980 ) - President Manfred Link   The Rescuers Down Under ( 1990 ) - Bernard ( voice )   The Entertainers ( 1991 ) - Todd Wilson   In &amp; Out ( 1997 ) - Tom Halliwell   Rudolph the Red - Nosed Reindeer : The Movie ( 1998 ) - Leonard the Polar Bear ( voice )   Legally Blonde 2 : Red , White &amp; Blonde ( 2003 ) - Sid Post   Elf ( 2003 ) - Papa Elf   The Librarian : Quest for the Spear ( 2004 ) - Judson   The Librarian : Return to King Solomon 's Mines ( 2006 ) - Judson   The Librarian : Curse of the Judas Chalice ( 2008 ) - Judson   Horrible Bosses ( 2011 ) - Lou Sherman ( cameo )   The Big Bang Theory ( 2013 -- 2017 , 5 episodes ) - Arthur Jeffries / Professor Proton   The Librarians ( 2014 ) - Judson   Young Sheldon ( 2017 ) - Arthur Jeffries / Professor Proton    References ( edit )    ^ Jump up to : `` The funny world of Bob Newhart '' . latimes .   Jump up ^ `` On Stage at the Kennedy Center : The Mark Twain Prize 2002 ( Bob Newhart ) . More About Bob - PBS '' .   Jump up ^ The Comedy Couch - Ellen Degeneres Interview   Jump up ^ Gillette , Amelie ( July 7 , 2006 ) . `` Interview with Lewis Black '' . The A.V. Club . The Onion . Retrieved December 29 , 2008 .   Jump up ^ Ridiculous , Norm Macdonald , 2006 , Comedy Central Records   Jump up ^ `` ' Bob Newhart : Unbuttoned ' '' . The Washington Post .   ^ Jump up to : Newhart , Bob ( 2006 ) . I Should n't Even Be Doing This ! . New York : Hyperion . ISBN 1 - 4013 - 0246 - 7 .   Jump up ^ `` SHECKYmagazine.com Standup Comedy ... Seriously ! Interview : Tom Rhodes ! '' .   Jump up ^ Kuhn , Clifford . `` An Interview with Comic Legend , Chris Rush '' . Natural-Humor-Medicine.com . Archived from the original on November 21 , 2004 . Retrieved May 10 , 2013 .   Jump up ^ Manilla , Ben . `` ' Button - Down Mind ' Changed Modern Comedy '' , October 23 , 2007 .   Jump up ^ `` Bob Newhart finally gets his Emmy Award '' . Washington Times . Retrieved September 16 , 2013 .   Jump up ^ `` Archived copy '' ( PDF ) . Archived from the original ( PDF ) on May 28 , 2016 . Retrieved May 29 , 2017 .   Jump up ^ `` Comedian Bob Newhart tickles Naples ' funnybone '' . Retrieved April 18 , 2018 .   Jump up ^ Herod , Doug ( December 8 , 2009 ) . `` Misunderstanding Thorold , feeling good about St. Catharines '' . St Catharines Standard . Retrieved April 6 , 2012 .   Jump up ^ `` Interview with Bob Newhart '' . American Masters . PBS .   Jump up ^ Margaret Hicks ; Mick Napier ( May 2 , 2011 ) . Chicago Comedy : A Fairly Serious History . The History Press . p. 66 . ISBN 978 - 1 - 60949 - 211 - 3 . Retrieved November 24 , 2012 .   Jump up ^ `` In Step With : Bob Newhart '' . Parade Magazine . July 17 , 2005 . Archived from the original on March 15 , 2007 .   Jump up ^ Roberts , David ( 2006 ) . British Hit Singles &amp; Albums ( 19th ed . ) . London : Guinness World Records Limited . p. 393 . ISBN 1 - 904994 - 10 - 5 .   Jump up ^ `` Lost Bob Newhart Routine Airs Publicly for the First Time '' . The Interrobang . December 10 , 2015 . Retrieved December 10 , 2015 .   Jump up ^ `` ' The Big Bang Theory ' Season 6 : Bob Newhart to Play Professor Proton '' . TVLine . Retrieved March 21 , 2013 .   Jump up ^ `` The Bob Newhart Show A Television Heaven Review '' . Televisionheaven.co.uk . September 5 , 1929 . Archived from the original on January 5 , 2012 . Retrieved December 11 , 2011 .   Jump up ^ tavm ( November 7 , 2013 ) . `` '' The Big Bang Theory '' The Proton Displacement ( TV Episode 2013 ) `` . IMDb .   Jump up ^ saratoma08 ( May 1 , 2014 ) . `` '' The Big Bang Theory '' The Proton Transmogrification ( TV Episode 2014 ) `` . IMDb .   Jump up ^ Bob Newhart Television Academy . Emmys.com . Retrieved on April 12 , 2014 .   ^ Jump up to : Thorn , Jesse . ( May 16 , 2012 ) Bob Newhart talks about stand - up , sitcoms , and why he stays busy Interview The A.V. Club . Avclub.com . Retrieved on April 12 , 2014 .   Jump up ^ `` Episode 332 - Shelley Berman '' . WTF with Marc Maron Podcast .   Jump up ^ Martel , Ned ( April 12 , 2005 ) . `` For Bob Newhart , Dean of Deadpan , the Laughs Go On '' . New York Times .   Jump up ^ DeBord , Matthew ( September 19 , 2006 ) . `` Bob Newhart is cool . No punch line '' . Los Angeles Ti</t>
  </si>
  <si>
    <t xml:space="preserve">who plays professor proton on the big bang theory</t>
  </si>
  <si>
    <t xml:space="preserve"> Newhart later went into acting , starring as Chicago psychologist Dr. Robert Hartley in The Bob Newhart Show during the 1970s and then as Vermont innkeeper Dick Loudon on the 1980s series Newhart . He also had two short - lived sitcoms in the 1990s titled Bob and George and Leo . Newhart also appeared in film roles such as Major Major in Catch - 22 and Papa Elf in Elf . He provided the voice of Bernard in the Walt Disney animated films The Rescuers and The Rescuers Down Under . In 2004 , he played the library head Judson in The Librarian , a character which continued in 2014 to the TV series The Librarians . In 2013 , Newhart made his first of five guest appearances on The Big Bang Theory as Professor Proton , for which he received his first Primetime Emmy Award on September 15 , 2013 . </t>
  </si>
  <si>
    <t xml:space="preserve">Civil rights movement - Wikipedia  Civil rights movement  Jump to : navigation , search This article is about the social and political movement in the United States for equal rights for African - Americans , focusing on the actions of the movement after 1954 . For a worldwide series of social and political movements , see Civil rights movements . For the timeline of this movement 's events prior to 1954 , see Civil rights movement ( disambiguation ) .    Civil rights movement     The March on Washington participants and leaders marching from the Washington Monument to the Lincoln Memorial     Date   1954 -- 1968     Location   United States     Resulted in     Rulings by federal judiciary :   `` Separate but equal '' doctrine overturned by Brown v. Board of Education ( 1954 )   Bus segregation ruled unconstitutional by Browder v. Gayle ( 1956 )   Interracial marriages legalized by Loving v. Virginia ( 1967 )     Passage of federal laws :   Civil Rights Act of 1957   Civil Rights Act of 1960   Civil Rights Act of 1964   Voting Rights Act of 1965   Civil Rights Act of 1968 ( Fair Housing Act )     Ratification of a federal constitutional amendment :   24th Amendment ( 1964 )     Formation of federal agencies :   Civil Rights Division within US Department of Justice ( 1957 )   US Commission on Civil Rights ( 1957 )   Equal Employment Opportunity Commission ( 1965 )   Office of Fair Housing and Equal Opportunity within US Department of Housing and Urban Development ( 1968 )         The civil rights movement ( also known as the African - American civil rights movement , American civil rights movement and other terms ) was a decades - long movement with the goal of securing legal rights for African Americans that other Americans already held . With roots starting in the Reconstruction era during the late 19th century , the movement resulted in the largest legislative impacts after the direct actions and grassroots protests organized from the mid-1950s until 1968 . Encompassing strategies , various groups , and organized social movements to accomplish the goals of ending legalized racial segregation and discrimination in the United States , the movement , using major nonviolent campaigns , eventually secured new recognition in federal law and federal protection of all Americans .   After the American Civil War and the abolition of slavery in the 1860s , the Reconstruction Amendments to the United States Constitution , sought to secure the rights of African Americans . While for a short time , African Americans voted and held political office , they were soon deprived of civil rights , often under Jim Crow laws , and subjected to discrimination and sustained violence . Over the following century , various efforts were made by African Americans to secure their legal rights . Between 1955 and 1968 , acts of nonviolent protest and civil disobedience produced crisis situations and productive dialogues between activists and government authorities . Federal , state , and local governments , businesses , and communities often had to respond immediately to these situations , which highlighted the inequities faced by African Americans . The lynching of Emmett Till and the visceral response to his mother 's decision to have an open - casket funeral mobilized the African - American community nationwide . Forms of protest and / or civil disobedience included boycotts such as the successful Montgomery Bus Boycott ( 1955 -- 56 ) in Alabama ; `` sit - ins '' such as the influential Greensboro sit - ins ( 1960 ) in North Carolina and successful Nashville sit - ins in Tennessee ; marches , such as the 1963 Birmingham Children 's Crusade and 1965 Selma to Montgomery marches ( 1965 ) in Alabama ; and a wide range of other nonviolent activities .   Moderates in the movement worked with Congress to achieve the passage of several significant pieces of federal legislation overturning discriminatory practices . The Civil Rights Act of 1964 expressly banned discrimination based on race , color , religion , sex , or national origin in employment practices ; ended unequal application of voter registration requirements ; and prohibited racial segregation in schools , at the workplace , and in public accommodations . The Voting Rights Act of 1965 restored and protected voting rights for minorities by authorizing federal oversight of registration and elections in areas with a historic under - representation of minorities as voters . The Fair Housing Act of 1968 banned discrimination in the sale or rental of housing . African Americans re-entered politics in the South , and across the country young people were inspired to take action .   From 1964 through 1970 , a wave of inner - city riots in black communities undercut support from the white middle class , but increased support from private foundations . The emergence of the Black Power movement , which lasted from about 1965 to 1975 , challenged the established black leadership for its cooperative attitude and its practice of nonviolence , and instead demanding that , in addition to the new laws gained through the nonviolent movement , political and economic self - sufficiency be built in the black community .   Many popular representations of the movement are centered on the charismatic leadership and philosophy of Martin Luther King Jr. , who won the 1964 Nobel Peace Prize for his role in the movement . However , some scholars note that the movement was too diverse to be credited to any one person , organization , or strategy .     Contents  ( hide )   1 Background   2 The beginnings of direct action ( 1950s )   3 History   3.1 Brown v. Board of Education , 1954   3.2 Emmett Till 's murder , 1955   3.3 Rosa Parks and the Montgomery Bus Boycott , 1955 -- 1956   3.4 Desegregating Little Rock Central High School , 1957   3.5 The method of Nonviolence and Nonviolence Training   3.6 Robert F. Williams and the debate on nonviolence , 1959 -- 1964   3.7 Sit - ins , 1958 -- 1960   3.8 Freedom Rides , 1961   3.9 Voter registration organizing   3.10 Integration of Mississippi universities , 1956 -- 1965   3.11 Albany Movement , 1961 -- 62   3.12 Birmingham campaign , 1963   3.13 `` Rising tide of discontent '' and Kennedy 's response , 1963   3.14 March on Washington , 1963   3.15 Malcolm X joins the movement , 1964 -- 1965   3.16 St. Augustine , Florida , 1963 -- 64   3.17 Freedom Summer , 1964   3.18 Civil Rights Act of 1964   3.19 Harlem riot of 1964   3.20 Mississippi Freedom Democratic Party , 1964   3.21 Selma Voting Rights Movement   3.22 Voting Rights Act , 1965   3.23 Watts riot of 1965   3.24 Fair housing movements , 1966 -- 1968   3.25 Nationwide riots of 1967   3.26 Memphis , King assassination and the Poor People 's March 1968   3.27 Civil Rights Act of 1968     4 Movements , politics , and white reactions   4.1 Grassroots leadership   4.2 Black power ( 1966 -- 1968 )   4.3 Black conservatism   4.4 Avoiding the `` Communist '' label   4.5 Kennedy administration , 1961 -- 1963   4.6 American Jewish community and the civil rights movement   4.6. 1 Profile     4.7 White backlash   4.8 African - American women in the movement   4.8. 1 Discrimination       5 Johnson administration : 1963 -- 1968   6 Prison reform   6.1 Gates v. Collier     7 Cold War   8 In popular culture   9 Activist organizations   10 Individual activists   11 See also   12 Notes   13 References   14 Bibliography   15 Further reading   15.1 Historiography and memory   15.2 Autobiographies and memoirs     16 External links      Background ( edit )  Further information : Disenfranchisement after the Reconstruction Era , Thirteenth Amendment to the United States Constitution , and Jim Crow laws  Before the American Civil War , almost four million blacks were enslaved in the South , only white men of property could vote , and the Naturalization Act of 1790 limited U.S. citizenship to whites only . Following the Civil War , three constitutional amendments were passed , including the 13th Amendment ( 1865 ) that ended slavery ; the 14th Amendment ( 1868 ) that gave African - Americans citizenship , adding their total population of four million to the official population of southern states for Congressional apportionment ; and the 15th Amendment ( 1870 ) that gave African - American males the right to vote ( only males could vote in the U.S. at the time ) . From 1865 to 1877 , the United States underwent a turbulent Reconstruction Era trying to establish free labor and civil rights of freedmen in the South after the end of slavery . Many whites resisted the social changes , leading to insurgent movements such as the Ku Klux Klan , whose members attacked black and white Republicans to maintain white supremacy . In 1871 , President Ulysses S. Grant , the U.S. Army , and U.S. Attorney General Amos T. Akerman , initiated a campaign to repress the KKK under the Enforcement Acts . Some states were reluctant to enforce the federal measures of the act ; by the early 1870s , other white supremacist and paramilitary groups arose that violently opposed African - American legal equality and suffrage . However , if the states failed to implement the acts , the laws allowed the Federal Government to get involved . Many Republican governors were afraid of sending black militia troops to fight the Klan for fear of war .   After the disputed election of 1876 resulted in the end of Reconstruction and federal troops were withdrawn , whites in the South regained political control of the region 's state legislatures by the end of the century , after having intimidated and violently attacked blacks before and during elections .   From 1890 to 1908 , southern states passed new constitutions and laws to disenfranchise African Americans and many poor whites by creating barriers to voter registration ; voting rolls were dramatically reduced as blacks and poor whites were forced out of electoral politics . After the landmark court case of Smith v. Allwright progress was made in increasing black political participation in the Rim South and Acadiana -- although almost entirely in urban areas and a few rural localities where most blacks worked outside plantations . The status quo ante of excluding African Americans from the political system lasted in the remainder of the South , especially North Louisiana , Mississippi and Alabama , until national civil rights legislation was passed in the mid-1960s to provide federal enforcement of constitutional voting rights . For more than sixty years , blacks in the South were not able to elect anyone to represent their interests in Congress or local government . Since they could not vote , they could not serve on local juries .  The mob - style lynching of Will James , Cairo , Illinois , 1909  During this period , the white - dominated Democratic Party maintained political control of the South . With whites controlling all the seats representing the total population of the South , they had a powerful voting block in Congress . The Republican Party -- the `` party of Lincoln '' and the party to which most blacks had belonged -- shrank to insignificance as black voter registration was suppressed except in remote Unionist areas of Appalachia and the Ozarks . Until 1965 , the `` Solid South '' was a one - party system under the Democrats , and excepting previously - noted historic Unionist strongholds the Democratic Party nomination was tantamount to election for state and local office . In 1901 , President Theodore Roosevelt invited Booker T. Washington to dine at the White House , making him the first African American to attend an official dinner there . `` The invitation was roundly criticized by southern politicians and newspapers . '' Washington persuaded the president to appoint more blacks to federal posts in the South and to try to boost African - American leadership in state Republican organizations . However , this was resisted by both white Democrats and white Republicans as an unwanted federal intrusion into state politics .  Lynching victim Will Brown who was mutilated and burned during the Omaha , Nebraska race riot of 1919 . Postcards and photographs of lynchings were popular souvenirs in the U.S.  During the same time as African Americans were being disenfranchised , white Democrats imposed racial segregation by law . Violence against blacks increased , with numerous lynchings through the turn of the century . The system of de jure state - sanctioned racial discrimination and oppression that emerged from the post-Reconstruction South became known as the `` Jim Crow '' system . The United States Supreme Court , made up almost entirely of Northerners , upheld the constitutionality of those state laws that required racial segregation in public facilities in its 1896 decision Plessy v. Ferguson , legitimizing them through the `` separate but equal '' doctrine . Segregation , which began with slavery , continued with Jim Crow laws , with signs used to show blacks where they could legally walk , talk , drink , rest , or eat . For those places that were racially mixed , non-whites had to wait until all white customers were dealt with . Elected in 1912 , President Woodrow Wilson ordered segregration throughout the federal government .   Segregation remained intact into the mid-1950s , when many states began to gradually integrate their schools following the unanimous Supreme Court decision in Brown v. Board of Education that overturned Plessy v. Ferguson . The early 20th century is a period often referred to as the `` nadir of American race relations '' . While tensions and civil rights violations were most intense in the South , social discrimination affected African Americans in other regions as well . At the national level , the Southern block controlled important committees in Congress , defeated passage of laws against lynching , and exercised considerable power beyond the number of whites in the South .   Characteristics of the post-Reconstruction period :    Racial segregation . By law , public facilities and government services such as education were divided into separate `` white '' and `` colored '' domains . Characteristically , those for colored were underfunded and of inferior quality .   Disenfranchisement . When white Democrats regained power , they passed laws that made voter registration more restrictive , essentially forcing black voters off the voting rolls . The number of African - American voters dropped dramatically , and they were no longer able to elect representatives . From 1890 to 1908 , Southern states of the former Confederacy created constitutions with provisions that disfranchised tens of thousands of African Americans , and U.S. states such as Alabama disenfranchised poor whites as well .   Exploitation . Increased economic oppression of blacks through the convict lease system , Latinos , and Asians , denial of economic opportunities , and widespread employment discrimination .   Violence . Individual , police , paramilitary , organizational , and mob racial violence against blacks ( and Latinos in the Southwest and Asians in California ) .   KKK night rally in Chicago , c. 1920  African Americans and other ethnic minorities rejected this regime . They resisted it in numerous ways and sought better opportunities through lawsuits , new organizations , political redress , and labor organizing ( see the African - American civil rights movement ( 1896 -- 1954 ) ) . The National Association for the Advancement of Colored People ( NAACP ) was founded in 1909 . It fought to end race discrimination through litigation , education , and lobbying efforts . Its crowning achievement was its legal victory in the Supreme Court decision Brown v. Board of Education in 1954 when the Court rejected separate white and colored school systems and , by implication , overturned the `` separate but equal '' doctrine established in Plessy v. Ferguson of 1896 .   The integration of Southern public libraries involved many of the same characteristics seen in the larger civil rights movement . This includes sit - ins , beatings , and white resistance . For example , in 1963 in the city of Anniston , Alabama , two black ministers were brutally beaten for attempting to integrate the public library . Though there was resistance and violence , the integration of libraries was generally quicker than integration of other public institutions .  Colored Sailors room in World War I  Black veterans of the military after both World Wars pressed for full civil rights and often led activist movements . In 1948 , they gained integration in the military under President Harry Truman , who issued Executive Order 9981 to accomplish it . The situation for blacks outside the South was somewhat better ( in most states they could vote and have their children educated , though they still faced discrimination in housing and jobs ) . From 1910 to 1970 , African Americans sought better lives by migrating north and west out of the South . Nearly seven million blacks left the South in what was known as the Great Migration . So many people migrated that the demographics of some previously black - majority states changed to white majority ( in combination with other developments ) . The rapid influx of blacks disturbed the racial balance within Northern cities , exacerbating hostility between both black and white Northerners . The Red Summer of 1919 was marked by hundreds of deaths and higher casualties across the U.S. as a result of race riots that occurred in more than three dozen cities , such as the Chicago race riot of 1919 and the Omaha race riot of 1919 . Stereotypic schemas of Southern blacks were used to attribute issues in urban areas , such as crime and disease , to the presence of African - Americans . Overall , African Americans in Northern cities experienced systemic discrimination in a plethora of aspects of life . Within employment , economic opportunities for blacks were routed to the lowest - status and restrictive in potential mobility . Within the housing market , stronger discriminatory measures were used in correlation to the influx , resulting in a mix of `` targeted violence , restrictive covenants , redlining and racial steering '' .  White tenants seeking to prevent blacks from moving into the housing project erected this sign , Detroit , 1942 .  Housing segregation was a nationwide problem , persistent well outside the South . Although the federal government had become increasingly involved in mortgage lending and development in the 1930s and 1940s , it did not reject the use of race - restrictive covenants until 1950 . Suburbanization was already connected with white flight by this time , a situation perpetuated by real estate agents ' continuing discrimination . In particular , from the 1930s to the 1960s the National Association of Real Estate Boards ( NAREB ) issued guidelines that specified that a realtor `` should never be instrumental in introducing to a neighborhood a character or property or occupancy , members of any race or nationality , or any individual whose presence will be clearly detrimental to property values in a neighborhood . '' The result was the creation of all - black ghettos in the North as well as South .   Invigorated by the victory of Brown and frustrated by the lack of immediate practical effect , private citizens increasingly rejected gradualist , legalistic approaches as the primary tool to bring about desegregation . They were faced with `` massive resistance '' in the South by proponents of racial segregation and voter suppression . In defiance , African - American activists adopted a combined strategy of direct action , nonviolence , nonviolent resistance , and many events described as civil disobedience , giving rise to the civil rights movement of 1954 to 1968 .   The beginnings of direct action ( 1950s ) ( edit )   The strategy of public education , legislative lobbying , and litigation that had typified the civil rights movement during the first half of the 20th century broadened after Brown to a strategy that emphasized `` direct action '' : boycotts , sit - ins , Freedom Rides , marches or walks , and similar tactics that relied on mass mobilization , nonviolent resistance , standing in line , and , at times , civil disobedience .   Churches , local grassroots organizations , fraternal societies , and black - owned businesses mobilized volunteers to participate in broad - based actions . This was a more direct and potentially more rapid means of creating change than the traditional approach of mounting court challenges used by the NAACP and others .   In 1952 , the Regional Council of Negro Leadership ( RCNL ) , led by T.R.M. Howard , a black surgeon , entrepreneur , and planter , organized a successful boycott of gas stations in Mississippi that refused to provide restrooms for blacks . Through the RCNL , Howard led campaigns to expose brutality by the Mississippi state highway patrol and to encourage blacks to make deposits in the black - owned Tri-State Bank of Nashville which , in turn , gave loans to civil rights activists who were victims of a `` credit squeeze '' by the White Citizens ' Councils .   Although considered and rejected after Claudette Colvin 's arrest for not giving up her seat on a Montgomery , Alabama , bus in March 1955 , after Rosa Parks ' arrest in December Jo Ann Gibson - Robinson of the Montgomery Women 's Political Council put a long - considered Bus Boycott protest in motion . Late that night , she , John Cannon ( chairman of the Business Department at Alabama State University ) and others mimeographed and distributed thousands of leaflets calling for a boycott . The eventual success of the boycott made its spokesman Dr. Martin Luther King Jr. a nationally known figure . It also inspired other bus boycotts , such as the successful Tallahassee , Florida , boycott of 1956 -- 57 .   In 1957 , Dr. King and Rev. Ralph Abernathy , the leaders of the Montgomery Improvement Association , joined with other church leaders who had led similar boycott efforts , such as Rev. C.K. Steele of Tallahassee and Rev. T.J. Jemison of Baton Rouge ; and other activists such as Rev. Fred Shuttlesworth , Ella Baker , A. Philip Randolph , Bayard Rustin and Stanley Levison , to form the Southern Christian Leadership Conference ( SCLC ) . The SCLC , with its headquarters in Atlanta , Georgia , did not attempt to create a network of chapters as the NAACP did . It offered training and leadership assistance for local efforts to fight segregation . The headquarters organization raised funds , mostly from Northern sources , to support such campaigns . It made nonviolence both its central tenet and its primary method of confronting racism .   In 1959 , Septima Clarke , Bernice Robinson , and Esau Jenkins , with the help of Myles Horton 's Highlander Folk School in Tennessee , began the first Citizenship Schools in South Carolina 's Sea Islands . They taught literacy to enable blacks to pass voting tests . The program was an enormous success and tripled the number of black voters on Johns Island . SCLC took over the program and duplicated its results elsewhere .   History ( edit )  Main article : Timeline of the African - American civil rights movement  Brown v. Board of Education , 1954 ( edit )  Main article : Brown v. Board of Education  In the spring of 1951 , black students in Virginia protested their unequal status in the state 's segregated educational system . Students at Moton High School protested the overcrowded conditions and failing facility . Some local leaders of the NAACP had tried to persuade the students to back down from their protest against the Jim Crow laws of school segregation . When the students did not budge , the NAACP joined their battle against school segregation . The NAACP proceeded with five cases challenging the school systems ; these were later combined under what is known today as Brown v. Board of Education .   On May 17 , 1954 , the U.S. Supreme Court ruled unanimously in Brown v. Board of Education of Topeka , Kansas , that mandating , or even permitting , public schools to be segregated by race was unconstitutional . The Court stated that the   segregation of white and colored children in public schools has a detrimental effect upon the colored children . The impact is greater when it has the sanction of the law ; for the policy of separating the races is usually interpreted as denoting the inferiority of the Negro group .   The lawyers from the NAACP had to gather plausible evidence in order to win the case of Brown vs. Board of Education . Their method of addressing the issue of school segregation was to enumerate several arguments . One pertained to having exposure to interracial contact in a school environment . It was argued that interracial contact would , in turn , help prepare children to live with the pressures that society exerts in regards to race and thereby afford them a better chance of living in democracy . In addition , another argument emphasized how `` ' education ' comprehends the entire process of developing and training the mental , physical and moral powers and capabilities of human beings '' .   Risa Goluboff wrote that the NAACP 's intention was to show the Courts that African American children were the victims of school segregation and their futures were at risk . The Court ruled that both Plessy v. Ferguson ( 1896 ) , which had established the `` separate but equal '' standard in general , and Cumming v. Richmond County Board of Education ( 1899 ) , which had applied that standard to schools , were unconstitutional .   The federal government filed a friend of the court brief in the case urging the justices to consider the effect that segregation had on America 's image in the Cold War . Secretary of State Dean Acheson was quoted in the brief stating that `` The United States is under constant attack in the foreign press , over the foreign radio , and in such international bodies as the United Nations because of various practices of discrimination in this country . ''   The following year , in the case known as Brown II , the Court ordered segregation to be phased out over time , `` with all deliberate speed '' . Brown v. Board of Education of Topeka , Kansas ( 1954 ) did not overturn Plessy v. Ferguson ( 1896 ) . Plessy v. Ferguson was segregation in transportation modes . Brown v. Board of Education dealt with segregation in education . Brown v. Board of Education did set in motion the future overturning of ' separate but equal ' .  School integration , Barnard School , Washington , D.C. , 1955  On May 18 , 1954 , Greensboro , North Carolina , became the first city in the South to publicly announce that it would abide by the Supreme Court 's Brown v. Board of Education ruling . `` It is unthinkable , ' remarked School Board Superintendent Benjamin Smith , ' that we will try to ( override ) the laws of the United States . '' This positive reception for Brown , together with the appointment of African American Dr. David Jones to the school board in 1953 , convinced numerous white and black citizens that Greensboro was heading in a progressive direction . Integration in Greensboro occurred rather peacefully compared to the process in Southern states such as Alabama , Arkansas , and Virginia where `` massive resistance '' was practiced by top officials and throughout the states . In Virginia , some counties closed their public schools rather than integrate , and many white Christian private schools were founded to accommodate students who used to go to public schools . Even in Greensboro , much local resistance to desegregation continued , and in 1969 , the federal government found the city was not in compliance with the 1964 Civil Rights Act . Transition to a fully integrated school system did not begin until 1971 .   Many Northern cities also had de facto segregation policies , which resulted in a vast gulf in educational resources between black and white communities . In Harlem , New York , for example , neither a single new school was built since the turn of the century , nor did a single nursery school exist -- even as the Second Great Migration was causing overcrowding . Existing schools tended to be dilapidated and staffed with inexperienced teachers . Brown helped stimulate activism among New York City parents like Mae Mallory who , with support of the NAACP , initiated a successful lawsuit against the city and state on Brown 's principles . Mallory and thousands of other parents bolstered the pressure of the lawsuit with a school boycott in 1959 . During the boycott , some of the first freedom schools of the period were established . The city responded to the campaign by permitting more open transfers to high - quality , historically - white schools . ( New York 's African - American community , and Northern desegregation activists generally , now found themselves contending with the problem of white flight , however . )   Emmett Till 's murder , 1955 ( edit )  Main article : Emmett Till Emmett Till before and after the lynching on August 28 , 1955 . He was a fourteen - year - old boy in Chicago who went to spend the summer together with his uncle Moses Wright in Money , Mississippi , and was massacred by white men for allegedly whistling at Carolyn Bryant .  Emmett Till , a 14 - year old African American from Chicago , visited his relatives in Money , Mississippi , for the summer . He allegedly had an interaction with a white woman , Carolyn Bryant , in a small grocery store that violated the norms of Mississippi culture , and Bryant 's husband Roy and his half - brother J.W. Milam brutally murdered young Emmett Till . They beat and mutilated him before shooting him in the head and sinking his body in the Tallahatchie River . Three days later , Till 's body was discovered and retrieved from the river . Mamie Till , Emmett 's Mother , `` brought him home to Chicago and insisted on an open casket . Tens of thousands filed past Till 's remains , but it was the publication of the searing funeral image in Jet , with a stoic Mamie gazing at her murdered child 's ravaged body , that forced the world to reckon with the brutality of American racism . '' Vann R. Newkirk wrote : `` The trial of his killers became a pageant illuminating the tyranny of white supremacy '' . The state of Mississippi tried two defendants , but they were speedily acquitted by an all - white jury .   `` Emmett 's murder , '' historian Tim Tyson writes , `` would never have become a watershed historical moment without Mamie finding the strength to make her private grief a public matter . '' The visceral response to his mother 's decision to have an open - casket funeral mobilized the black community throughout the U.S. `` Young black people such as Julian Bond , Joyce Ladner and others who were born around the same time as Till were galvanized into action by the murder and trial . '' They often see themselves as the `` Emmett Till Generation . '' One hundred days after Emmett Till 's murder , Rosa Parks refused to give up her seat on the bus in Alabama -- indeed , Parks told Mamie Till that `` the photograph of Emmett 's disfigured face in the casket was set in her mind when she refused to give up her seat on the Montgomery bus . '' Decades later , Bryant disclosed that she had fabricated her story in 1955 .   Rosa Parks and the Montgomery bus boycott , 1955 -- 1956 ( edit )  Main articles : Rosa Parks and Montgomery Bus Boycott Rosa Parks being fingerprinted by Deputy Sheriff D.H. Lackey after being arrested for not giving up her seat on a bus to a white person  On December 1 , 1955 , nine months after a 15 - year - old high school student , Claudette Colvin , refused to give up her seat to a white passenger on a public bus in Montgomery , Alabama , and was arrested , Rosa Parks did the same thing . Parks soon became the symbol of the resulting Montgomery Bus Boycott and received national publicity . She was later hailed as the `` mother of the civil rights movement '' .   Parks was secretary of the Montgomery NAACP chapter and had recently returned from a meeting at the Highlander Folk School in Tennessee where nonviolence as a strategy was taught by Myles Horton and others . After Parks ' arrest , African Americans gathered and organized the Montgomery Bus Boycott to demand a bus system in which passengers would be treated equally . The organization was led by Jo Ann Robinson , a member of the Women 's Political Council who had been waiting for the opportunity to boycott the bus system . Following Rosa Park 's arrest , Jo Ann Robinson mimeographed 52,500 leaflets calli</t>
  </si>
  <si>
    <t xml:space="preserve">when did the civil rights movement gain momentum</t>
  </si>
  <si>
    <t xml:space="preserve"> The civil rights movement ( also known as the African - American civil rights movement , American civil rights movement and other terms ) was a decades - long movement with the goal of securing legal rights for African Americans that other Americans already held . With roots starting in the Reconstruction era during the late 19th century , the movement resulted in the largest legislative impacts after the direct actions and grassroots protests organized from the mid-1950s until 1968 . Encompassing strategies , various groups , and organized social movements to accomplish the goals of ending legalized racial segregation and discrimination in the United States , the movement , using major nonviolent campaigns , eventually secured new recognition in federal law and federal protection of all Americans . </t>
  </si>
  <si>
    <r>
      <rPr>
        <sz val="11"/>
        <color rgb="FF000000"/>
        <rFont val="Calibri"/>
        <family val="0"/>
        <charset val="1"/>
      </rPr>
      <t xml:space="preserve">Memory controller - Wikipedia  Memory controller  Jump to : navigation , search      This article needs additional citations for verification . Please help improve this article by adding citations to reliable sources . Unsourced material may be challenged and removed . ( December 2006 ) ( Learn how and when to remove this template message )         This article needs to be updated . Please update this article to reflect recent events or newly available information . ( March 2017 )         This article 's factual accuracy may be compromised due to out - of - date information . Please update this article to reflect recent events or newly available information . ( March 2017 )         This article is incomplete . Please help to improve it , or discuss the issue on the talk page . ( March 2017 )     The memory controller is a digital circuit that manages the flow of data going to and from the computer 's main memory . A memory controller can be a separate chip or integrated into another chip , such as being placed on the same die or as an integral part of a microprocessor ; in the latter case , it is usually called an integrated memory controller ( IMC ) . A memory controller is sometimes also called a memory chip controller ( MCC ) or a memory controller unit ( MCU ) .     Contents  ( hide )   1 History   2 Purpose   3 Variants   3.1 Double data rate memory   3.2 Dual - channel memory   3.3 Fully buffered memory   3.4 Flash memory controller     4 See also   5 References   6 External links      History ( edit )   Most modern desktop or workstation microprocessors use an integrated memory controller ( IMC ) , including microprocessors from Intel , AMD , and those built around the ARM architecture .   Prior to Nehalem ( circa 2008 ) , Intel microprocessors had a memory controller implemented on their motherboard 's northbridge . In Nehalem and later , Intel employed an integrated memory controller .   Other examples of microprocessors that use integrated memory controllers include AMD 's Athlon 64 and Opteron processors , IBM 's POWER5 , and Sun Microsystems 's UltraSPARC T1 .   While an integrated memory controller has the potential to increase the system 's performance , such as by reducing memory latency , it locks the microprocessor to a specific type ( or types ) of memory , forcing a redesign in order to support newer memory technologies . When DDR2 SDRAM was introduced , AMD released new Athlon 64 CPUs . These new models , with a DDR2 controller , use a different physical socket ( known as Socket AM2 ) , so that they will only fit in motherboards designed for the new type of RAM . When the memory controller is not on - die , the same CPU may be installed on a new motherboard , with an updated northbridge .   Some microprocessors in the 1990s , such as the DEC Alpha 21066 and HP PA - 7300LC , had integrated memory controllers ; however , rather than for performance gains , this was implemented to reduce the cost of systems by eliminating the need for an external memory controller .   Some CPUs are designed to have their memory controllers as dedicated external components that are not part of the chipset . An example is IBM POWER8 , which uses external Centaur chips that are mounted onto DIMM modules and act as memory buffers , L4 cache chips , and as the actual memory controllers . The first version of the Centaur chip used DDR3 memory but an updated version was later released which can use DDR4 .   Purpose ( edit )   Memory controllers contain the logic necessary to read and write to DRAM , and to `` refresh '' the DRAM . Without constant refreshes , DRAM will lose the data written to it as the capacitors leak their charge within a fraction of a second ( not more than 64 milliseconds according to JEDEC standards ) .   Reading and writing to DRAM is performed by selecting the row and column data addresses of the DRAM as the inputs to the multiplexer circuit , where the demultiplexer on the DRAM uses the converted inputs to select the correct memory location and return the data , which is then passed back through a multiplexer to consolidate the data in order to reduce the required bus width for the operation .   Bus width is the number of parallel lines available to communicate with the memory cell . Memory controllers ' bus widths range from 8 - bit in earlier systems , to 512 - bit in more complicated systems and video cards ( typically implemented as four 64 - bit simultaneous memory controllers operating in parallel , though some are designed to operate in `` gang mode '' where two 64 - bit memory controllers can be used to access a 128 - bit memory device ) .   Some memory controllers , such as the one integrated into PowerQUICC II processors , can be connected to different kinds of devices at the same time , including SDRAM , SRAM , ROM , and memory - mapped I / O ; each kind of these devices requires a slightly different control bus , while the memory controller presents a common system bus / front - side bus to the processor . Some memory controllers , such as the one integrated into PowerQUICC II processors , include error detection and correction hardware .   A few experimental memory controllers contain a second level of address translation , in addition to the first level of address translation performed by the memory management unit .   Memory controllers integrated into certain Intel Core processors also provide memory scrambling as a feature that turns user data written to the main memory into pseudo-random patterns . As such , memory scrambling prevents forensic and reverse - engineering analysis based on DRAM data remanence , by effectively rendering various types of cold boot attacks ineffective . However , this feature has been designed to address DRAM - related electrical problems , not to prevent security issues , so it may not be rigorously cryptographically secure .   Variants ( edit )   Double data rate memory ( edit )   Double data rate ( DDR ) memory controllers are used to drive DDR SDRAM , where data is transferred on both rising and falling edges of the system 's memory clock . DDR memory controllers are significantly more complicated when compared to single data rate controllers , but they allow for twice the data to be transferred without increasing the memory cell 's clock rate or bus width .   Dual - channel memory ( edit )   Dual Channel memory controllers are memory controllers where the DRAM devices are separated on to two different buses to allow two memory controllers to access them in parallel . This doubles the theoretical amount of bandwidth of the bus . In theory , more channels can be built ( a channel for every DRAM cell would be the ideal solution ) , but due to wire count , line capacitance , and the need for parallel access lines to have identical lengths , more channels are very difficult to add .   Fully buffered memory ( edit )  Main article : Fully Buffered DIMM  Fully buffered memory systems place a memory buffer device on every memory module ( called an FB - DIMM when Fully Buffered RAM is used ) , which unlike traditional memory controller devices , use a serial data link to the memory controller instead of the parallel link used in previous RAM designs . This decreases the number of the wires necessary to place the memory devices on a motherboard ( allowing for a smaller number of layers to be used , meaning more memory devices can be placed on a single board ) , at the expense of increasing latency ( the time necessary to access a memory location ) . This increase is due to the time required to convert the parallel information read from the DRAM cell to the serial format used by the FB - DIMM controller , and back to a parallel form in the memory controller on the motherboard .   In theory , the FB - DIMM 's memory buffer device could be built to access any DRAM cells , allowing for memory cell agnostic memory controller design , but this has not been demonstrated , as the technology is in its infancy .   Flash memory controller ( edit )  Main article : Flash memory controller  Many flash memory devices , such as USB memory sticks , include a flash memory controller on chip . Flash memory is inherently slower to access than RAM and often becomes unusable after a few million write cycles , which generally makes it unsuitable for RAM applications .   See also ( edit )    Memory scrubbing    References ( edit )    Jump up ^ Comptia A+ Certification Exam Guide , Seventh Edition , by Mike Meyers , in the glossary , bottom of page 1278 : `` Chip that handles memory requests from the CPU . ''   Jump up ^ `` Maximizing Performance and Scalability with IBM WebSphere '' . google.com . Retrieved 6 February 2015 .   Jump up ^ Torres , Gabriel ( 2008 - 08 - 26 ) . `` Inside Intel Nehalem Microarchitecture '' . Hardware Secrets . p. 2 . Retrieved 7 September 2017 .   Jump up ^ Prickett Morgan , Timothy ( 2016 - 10 - 17 ) . `` IBM Brings DDR4 Memory To Bear On Power Systems '' ( HTML ) . IT Jungle . p. 1 . Retrieved 2017 - 09 - 07 .   Jump up ^ `` Memory Controller ''   Jump up ^ John Carter , Wilson Hsieh , Leigh Stoller , Mark Swansony , Lixin Zhang , et al. `` Impulse : Building a Smarter Memory Controller '' .   Jump up ^ `` 2nd Generation Intel Core Processor Family Desktop , Intel Pentium Processor Family Desktop , and Intel Celeron Processor Family Desktop '' ( PDF ) . June 2013 . p. 23 . Retrieved 2015 - 11 - 03 .   Jump up ^ `` 2nd Generation Intel Core Processor Family Mobile and Intel Celeron Processor Family Mobile '' ( PDF ) . September 2012 . p. 24 . Retrieved 2015 - 11 - 03 .   Jump up ^ Igor Skochinsky ( 2014 - 03 - 12 ) . `` Secret of Intel Management Engine '' . SlideShare . pp. 26 -- 29 . Retrieved 2014 - 07 - 13 .    External links ( edit )    Infineon / Kingston ( a memory vendor ) Dual Channel DDR Memory Whitepaper -- explains dual channel memory controllers , and how to use them      ( hide )         CPU technologies     Architecture     Turing machine   Post -- Turing machine   Universal Turing machine   Quantum Turing machine   Belt machine   Stack machine   Register machine   Counter machine   Pointer machine   Random access machine   Random access stored program machine   Finite - state machine   Queue automaton   Von Neumann   Harvard ( modified )   Dataflow   TTA   Cellular   Artificial neural network   Machine learning   Deep learning   Neural processing unit ( NPU )     Convolutional neural network   Load / store architecture   Register memory architecture   Register register architecture   Endianness   FIFO   Zero - copy   NUMA   HUMA   HSA   Mobile computing   Surface computing   Wearable computing   Heterogeneous computing   Parallel computing   Concurrent computing   Distributed computing   Cloud computing   Amorphous computing   Ubiquitous computing   Fabric computing   Reconfigurable computing   Cognitive computing   DNA computing   Peptide computing   Chemical computing   Organic computing   Wetware computing   Quantum computing   Neuromorphic computing   Optical computing   Reversible computing   Unconventional computing   Hypercomputation   Ternary computer   Symmetric multiprocessing ( SMP )   Asymmetric multiprocessing ( AMP )   Cache hierarchy   Memory hierarchy       ISA types     ASIP   CISC   RISC   EDGE ( TRIPS )   VLIW ( EPIC )   MISC   OISC   NISC   ZISC   Comparison       ISAs     x86   z / Architecture   ARM   MIPS   Power Architecture ( PowerPC )   SPARC   VISC   Mill   Itanium ( IA - 64 )   Alpha   Prism   SuperH   Clipper   VAX   Unicore   PA - RISC   MicroBlaze       Word size     1 - bit   2 - bit   4 - bit   8 - bit   9 - bit   10 - bit   12 - bit   15 - bit   16 - bit   18 - bit   22 - bit   24 - bit   25 - bit   26 - bit   27 - bit   31 - bit   32 - bit   33 - bit   34 - bit   36 - bit   39 - bit   40 - bit   48 - bit   50 - bit   60 - bit   64 - bit   128 - bit   256 - bit   512 - bit   Variable       Execution     Instruction pipelining   Bubble   Operand forwarding     Out - of - order execution   Register renaming     Speculative execution   Branch predictor   Memory dependence prediction     Hazards       Parallel level     Bit   Bit - serial   Word     Instruction   Pipelining   Scalar   Superscalar     Task   Thread   Process     Data   Vector     Memory       Multithreading     Temporal   Simultaneous ( SMT ) ( Hyper - threading )   Speculative ( SpMT )   Preemptive   Cooperative   Clustered Multi-Thread ( CMT )   Hardware scout       Flynn 's taxonomy     SISD   SIMD ( SWAR )   SIMT   MISD   MIMD   SPMD     Addressing mode       CPU performance     Instructions per second ( IPS )   Instructions per clock ( IPC )   Cycles per instruction ( CPI )   Floating - point operations per second ( FLOPS )   Transactions per second ( TPS )   Synaptic Updates Per Second ( SUPS )   Performance per watt   Orders of magnitude ( computing )   Cache performance measurement and metric       Core count     Single - core processor   Multi-core processor   Manycore processor       Types     Central processing unit ( CPU )   GPGPU   AI accelerator   Vision processing unit ( VPU )   Vector processor   Barrel processor   Stream processor   Digital signal processor ( DSP )   I / O processor / DMA controller   Network processor   Baseband processor   Physics processing unit ( PPU )   Coprocessor   Secure cryptoprocessor   ASIC   FPGA   FPOA   CPLD   Microcontroller   Microprocessor   Mobile processor   Notebook processor   Ultra-low - voltage processor   Multi-core processor   Manycore processor   Tile processor   Multi-chip module ( MCM )   Chip stack multi-chip modules   System on a chip ( SoC )   Multiprocessor system - on - chip ( MPSoC )   Programmable System - on - Chip ( PSoC )   Network on a chip ( NoC )       Components     Execution unit ( EU )   Arithmetic logic unit ( ALU )   Address generation unit ( AGU )   Floating - point unit ( FPU )   Load - store unit ( LSU )   Fixed - point unit ( FXU )   Vector unit ( VU )   Branch predictor   Branch execution unit ( BEU )   Instruction Decoder   Instruction Scheduler   Instruction Fetch Unit   Instruction Dispatch Unit   Instruction Sequencing Unit   Unified Reservation Station   Barrel shifter   Uncore   Sum addressed decoder ( SAD )   Front - side bus   Back - side bus   Northbridge ( computing )   Southbridge ( computing )   Adder ( electronics )   Binary multiplier   Binary decoder   Address decoder   Multiplexer   Demultiplexer   Registers   Cache   Memory management unit ( MMU )   Input -- output memory management unit ( IOMMU )   Integrated Memory Controller ( IMC )   Power Management Unit ( PMU )   Translation lookaside buffer ( TLB )   Stack engine   Register file   Processor register   Hardware register   Memory buffer register ( MBR )   Program counter   Microcode ROM   Datapath   Control unit   Instruction unit   Re-order buffer   Data buffer   Write buffer   Coprocessor   Electronic switch   Electronic circuit   Integrated circuit   Three - dimensional integrated circuit   Boolean circuit   Digital circuit   Analog circuit   Mixed - signal integrated circuit   Power management integrated circuit   Quantum circuit   Logic gate   Combinational logic   Sequential logic   Emitter - coupled logic ( ECL )   Transistor -- transistor logic ( TTL )   Glue logic     Quantum gate   Gate array   Counter ( digital )   Bus ( computing )   Semiconductor device   Clock rate   CPU multiplier   Vision chip   Memristor       Power management     APM   ACPI   Dynamic frequency scaling   Dynamic voltage scaling   Clock gating       Hardware security     Non-executable memory ( NX bit )   Memory Protection Extensions ( Intel MPX )   Intel Secure Key   Hardware restriction ( firmware )   Software Guard Extensions ( Intel SGX )   Trusted Execution Technology   OmniShield   Trusted Platform Module ( TPM )   Secure cryptoprocessor   Hardware security module   Hengzhi chip       Related     History of general - purpose CPUs      Retrieved from `` https://en.wikipedia.org/w/index.php?title=Memory_controller&amp;oldid=804912911 '' Categories :   Computer memory   Integrated circuits   Hidden categories :   Articles needing additional references from December 2006   All articles needing additional references   Wikipedia articles in need of updating from March 2017   All Wikipedia articles in need of updating   Articles with obsolete information from March 2017   Articles to be expanded from March 2017           Talk                  Variants                          Contents                   About Wikipedia                                           Deutsch   Eesti   Español   فارسی   Français   </t>
    </r>
    <r>
      <rPr>
        <sz val="11"/>
        <color rgb="FF000000"/>
        <rFont val="Noto Sans CJK SC"/>
        <family val="2"/>
      </rPr>
      <t xml:space="preserve">한국어   </t>
    </r>
    <r>
      <rPr>
        <sz val="11"/>
        <color rgb="FF000000"/>
        <rFont val="Calibri"/>
        <family val="0"/>
        <charset val="1"/>
      </rPr>
      <t xml:space="preserve">Magyar   </t>
    </r>
    <r>
      <rPr>
        <sz val="11"/>
        <color rgb="FF000000"/>
        <rFont val="Noto Sans CJK SC"/>
        <family val="2"/>
      </rPr>
      <t xml:space="preserve">日本 語   </t>
    </r>
    <r>
      <rPr>
        <sz val="11"/>
        <color rgb="FF000000"/>
        <rFont val="Calibri"/>
        <family val="0"/>
        <charset val="1"/>
      </rPr>
      <t xml:space="preserve">Română   Русский   Српски / srpski   </t>
    </r>
    <r>
      <rPr>
        <sz val="11"/>
        <color rgb="FF000000"/>
        <rFont val="Noto Sans CJK SC"/>
        <family val="2"/>
      </rPr>
      <t xml:space="preserve">中文   </t>
    </r>
    <r>
      <rPr>
        <sz val="11"/>
        <color rgb="FF000000"/>
        <rFont val="Calibri"/>
        <family val="0"/>
        <charset val="1"/>
      </rPr>
      <t xml:space="preserve">Edit links   This page was last edited on 11 October 2017 , at 21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</si>
  <si>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function of the memory controller chip (mcc)</t>
  </si>
  <si>
    <t xml:space="preserve"> The memory controller is a digital circuit that manages the flow of data going to and from the computer 's main memory . A memory controller can be a separate chip or integrated into another chip , such as being placed on the same die or as an integral part of a microprocessor ; in the latter case , it is usually called an integrated memory controller ( IMC ) . A memory controller is sometimes also called a memory chip controller ( MCC ) or a memory controller unit ( MCU ) . </t>
  </si>
  <si>
    <t xml:space="preserve">List of NFL franchise postseason droughts - wikipedia  List of NFL franchise postseason droughts  Jump to : navigation , search  This is a list of current National Football League ( NFL ) franchise post-season and Super Bowl droughts ( multiple consecutive seasons of not winning ) . Listed here are both appearance droughts and winning droughts in almost every level of the NFL playoff system .   As of the 2016 NFL season , every active NFL team has qualified for , and won a game in , the playoffs at least once . Teams that have never made it beyond each successive milestone are listed under the year in which they began NFL play .   Of the 15 teams that have never won the Super Bowl , four ( 4 ) are expansion franchises younger than the Super Bowl itself ( Bengals , Panthers , Jaguars , and the Texans ) . The Falcons were enfranchised the season the Super Bowls began . The eight ( 8 ) other clubs ( Cardinals , Lions , Eagles , Oilers / Titans , Chargers , Browns , Bills , and Vikings ) all won an NFL or AFL championship prior to the AFL -- NFL merger ; in the case of the Vikings , however , the Super Bowl existed at the time they won their league title , leaving them and the Falcons as the only two teams to have existed for as long as or longer than the Super Bowl and to have never secured the highest championship available to them . The longest drought since a championship of any kind is that of the Cardinals , at 69 seasons .   Note that for continuity purposes , the Cleveland Browns are officially considered to have suspended operations for the 1996 , 1997 and 1998 seasons , and that the Baltimore Ravens are a separate team that began play in 1996 . The Ravens , as a result of the Cleveland Browns relocation controversy , absorbed the Browns ' personnel upon their suspension , but not their history .     Contents  ( hide )   1 Active team droughts   1.1 Post-season droughts   1.2 Playoff game victory droughts   1.3 AFC / NFC Championship game appearance droughts   1.4 Super Bowl or NFL Championship appearance droughts   1.5 Super Bowl win droughts   1.6 Super Bowl crown droughts by division   1.7 Cities / regions awaiting first Super Bowl crown   1.8 Division title droughts     2 Historical team droughts   2.1 Playoff droughts of 5 plus seasons   2.2 Most consecutive post-season losses in team history   2.3 Longest post-season droughts in team history     3 See also   4 References      Active team droughts ( edit )   Postseason droughts ( edit )   Updated through the 2016 - 17 post season .     0 ^ 0   Longest drought in team history     0 † 0   Tied for Longest drought in team history     Playoff Droughts   0Team0   Last earned appearance in post-season   Seasons     Buffalo Bills ^   1999 AFC Wild Card Playoffs   17     Cleveland Browns ^   2002 AFC Wild Card Playoffs   14     Los Angeles Rams ^   2004 NFC Divisional Playoffs   12     Jacksonville Jaguars ^   2007 AFC Divisional Playoffs   9     Tampa Bay Buccaneers   2007 NFC Wild Card Playoffs   9     Tennessee Titans †   2008 AFC Divisional Playoffs   8     New York Jets   2010 AFC Championship Game   6     Chicago Bears   2010 NFC Championship Game   6     Philadelphia Eagles   2013 NFC Wild Card Playoffs       Los Angeles Chargers   2013 AFC Divisional Playoffs       New Orleans Saints   2013 NFC Divisional Playoffs       San Francisco 49ers   2013 NFC Championship Game       Baltimore Ravens   2014 AFC Divisional Playoffs       Indianapolis Colts   2014 AFC Championship Game       Cincinnati Bengals   2015 AFC Wild Card Playoffs       Minnesota Vikings   2015 NFC Wild Card Playoffs       Washington Redskins   2015 NFC Wild Card Playoffs       Arizona Cardinals   2015 NFC Championship Game       Denver Broncos   Super Bowl L       Carolina Panthers   Super Bowl L       2016 Playoff Teams     Miami Dolphins   2016 AFC Wild Card Playoffs   --     Oakland Raiders   2016 AFC Wild Card Playoffs   --     New York Giants   2016 NFC Wild Card Playoffs   --     Detroit Lions   2016 NFC Wild Card Playoffs   --     Kansas City Chiefs   2016 AFC Divisional Playoffs   --     Houston Texans   2016 AFC Divisional Playoffs   --     Dallas Cowboys   2016 NFC Divisional Playoffs   --     Seattle Seahawks   2016 NFC Divisional Playoffs   --     Pittsburgh Steelers   2016 AFC Championship Game   --     Green Bay Packers   2016 NFC Championship Game   --     New England Patriots   Super Bowl LI   --     Atlanta Falcons   Super Bowl LI   --     At 17 seasons , the Bills ' playoff drought is also the longest in major North American professional sports .   Playoff game victory droughts ( edit )   Updated through the 2016 season . Sortable table , click on header arrows .     0 ^ 0   Longest drought in team history     0 † 0   Tied for longest drought in team history     0 0   Most consecutive losses in team history     0 ¤ 0   Tied for most consecutive losses in team history     0 ♣ ♣ 0   Most consecutive losses in NFL history       Current Playoff Loss Streak   Team   Last playoff game win   Seasons Since Win   Loss Streak   Playoff Losses - Teams     Cincinnati Bengals ^   1990 AFC Wild Card Playoffs   26   8   1990 Divisional - Los Angeles 2005 Wild Card - Pittsburgh 2009 Wild Card - New York Jets 2011 Wild Card - Houston 2012 Wild Card - Houston 2013 Wild Card - San Diego 2014 Wild Card - Indianapolis 2015 Wild Card - Pittsburgh     Detroit Lions   1991 NFC Divisional Playoffs *   25   ♣ ♣ 9   1991 NFC Championship - Washington 1993 Wild Card - Green Bay 1994 Wild Card - Green Bay 1995 Wild Card - Philadelphia 1997 Wild Card - Tampa Bay 1999 Wild Card - Washington 2011 Wild Card - New Orleans 2014 Wild Card - Dallas 2016 Wild Card - Seattle     Buffalo Bills ^   1995 AFC Wild Card Playoffs   21   4   1995 Divisional - Pittsburgh 1996 Wild Card - Jacksonville 1998 Wild Card - Miami 1999 Wild Card - Tennessee     Cleveland Browns ^   1994 AFC Wild Card Playoffs   19 * *     1994 Divisional - Pittsburgh 2002 Wild Card - Pittsburgh     Miami Dolphins ^   2000 AFC Wild Card Playoffs   16   4 ¤   2000 Divisional - Oakland 2001 Wild Card - Baltimore 2008 Wild Card - Baltimore 2016 Wild Card - Pittsburgh     Oakland Raiders ^   2002 AFC Championship *   14   2 ¤   2002 Super Bowl - Tampa Bay 2016 Wild Card - Houston     Tampa Bay Buccaneers   Super Bowl XXXVII *   14     2005 Wild Card - Washington 2007 Wild Card - New York Giants     Tennessee Titans   2003 AFC Wild Card Playoffs   13   3 ¤   2003 Divisional - New England 2007 Wild Card - San Diego 2008 Divisional - Baltimore     Los Angeles Rams   2004 NFC Wild Card Playoffs   12     2004 Divisional - Atlanta     Washington Redskins   2005 NFC Wild Card Playoffs   11   4 ¤   2005 Divisional - Seattle 2007 Wild Card - Seattle 2012 Wild Card - Seattle 2015 Wild Card - Green Bay     Jacksonville Jaguars ^   2007 AFC Wild Card Playoffs   9     2007 Divisional - New England     Philadelphia Eagles   2008 NFC Divisional Playoffs   8     2008 NFC Championship - Arizona 2009 Wild Card - Dallas 2010 Wild Card - Green Bay 2013 Wild Card - New Orleans     Minnesota Vikings   2009 NFC Divisional Playoffs *   7     2009 NFC Championship - New Orleans 2012 Wild Card - Green Bay 2015 Wild Card - Seattle     New York Jets   2010 AFC Divisional Playoffs   6     2010 AFC Championship - Pittsburgh     Chicago Bears   2010 NFC Divisional Playoffs *   6     2010 NFC Championship - Green Bay     New York Giants   2011 ! Super Bowl XLVI   5     2016 Wild Card - Green Bay     Los Angeles Chargers   2013 AFC Wild Card Playoffs       2013 Divisional - Denver     New Orleans Saints   2013 NFC Wild Card Playoffs       2013 Divisional - Seattle     San Francisco 49ers   2013 NFC Divisional Playoffs       2013 NFC Championship - Seattle     Baltimore Ravens   2014 AFC Wild Card Playoffs       2014 Divisional - New England     Dallas Cowboys   2014 NFC Wild Card Playoffs       2014 Divisional - Green Bay 2016 Divisional - Green Bay     Indianapolis Colts   2014 AFC Divisional Playoffs       2014 AFC Championship - New England     Kansas City Chiefs   2015 AFC Wild Card Playoffs       2015 Divisional - New England 2016 Divisional - Pittsburgh     Arizona Cardinals   2015 NFC Divisional Playoffs *       2015 NFC Championship - Carolina     Carolina Panthers   2015 NFC Championship *       2015 Super Bowl - Denver     Denver Broncos   Super Bowl 50 *     0   3 game win streak       2016 Playoff 0   Winners         Houston Texans   2016 AFC Wild Card Playoffs   --     2016 Divisional - New England     Seattle Seahawks   2016 NFC Wild Card Playoffs   --     2016 Divisional - Atlanta     Pittsburgh Steelers   2016 AFC Divisional Playoffs   --     2016 AFC Championship - New England     Green Bay Packers   2016 NFC Divisional Playoffs   --     2016 NFC Championship - Atlanta     Atlanta Falcons   2016 NFC Championship *   --     2016 Super Bowl - New England     New England Patriots   Super Bowl LI *   --   0   3 game win streak     Team   Last playoff game win   Seasons Since Win   Loss Streak   Playoff Losses - Teams     ( * ) : Franchise earned a bye in the Wild Card round . ( * * ) : Franchise dormant 1996 -- 1998 .   Afc / nfc championship game appearance droughts ( edit )   This is also a list of the last time a particular club won a Divisional playoff game .     0 ^ 0   Longest drought in team history     0 † 0   Tied for longest drought in team history     Drought Reference   Seasons   Team   Last appearance in Conference Championship Game   Result     28   Cincinnati Bengals ^   1988 AFC   Won vs. Buffalo     25   Washington Redskins ^   1991 NFC   Won vs. Detroit     25   Detroit Lions ^   1991 NFC   Lost vs. Washington     24   Miami Dolphins ^   1992 AFC   Lost vs. Buffalo     24 * *   Cleveland Browns ^   1989 AFC   Lost vs. Denver     23   Buffalo Bills ^   1993 AFC   Won vs. Kansas City     23   Kansas City Chiefs †   1993 AFC   Lost vs. Buffalo     21   Dallas Cowboys ^   1995 NFC   Won vs. Green Bay     17   Jacksonville Jaguars ^   1999 AFC   Lost vs. Tennessee     15   Houston Texans ^   1985 Never *   y --     15   Los Angeles Rams ^   2001 NFC   Won vs. Philadelphia     14   Tampa Bay Buccaneers   2002 NFC   Won vs. Philadelphia     14   Oakland Raiders ^   2002 AFC   Won vs. Tennessee     14   Tennessee Titans   2002 AFC   Lost vs. Oakland     9   Los Angeles Chargers   2007 AFC   Lost vs. New England     8   Philadelphia Eagles   2008 NFC   Lost vs. Arizona     7   New Orleans Saints   2009 NFC   Won vs. Minnesota     7   Minnesota Vikings   2009 NFC   Lost vs. New Orleans     6   New York Jets   2010 AFC   Lost vs. Pittsburgh     6   Chicago Bears   2010 NFC   Lost vs. Green Bay     5   New York Giants   2011 NFC   Won vs. San Francisco       Baltimore Ravens   2012 AFC   Won vs. New England       San Francisco 49ers   2013 NFC   Lost vs. Seattle       Indianapolis Colts   2014 AFC   Lost vs. New England       Seattle Seahawks   2014 NFC   Won vs. Green Bay       Denver Broncos   2015 AFC   Won vs. New England       Arizona Cardinals   2015 NFC   Lost vs. Carolina       Carolina Panthers   2015 NFC   Won vs. Arizona     . 75   Z2016 Conference Finalists   2015   z     --   Pittsburgh Steelers   2016 AFC   Lost vs. New England     . 5 --   New England Patriots   2016 AFC   Won vs. Pittsburgh     --   Green Bay Packers   2016 NFC   Lost vs. Atlanta     --   Atlanta Falcons   2016 NFC   Won vs. Green Bay     ( * ) : Franchise first played in 2002 season ( * * ) : Franchise dormant 1996 -- 1998 .   Super Bowl or NFL championship appearance droughts ( edit )   Last appearance in Super Bowl or NFL Championship   Seasons   Team   Last appearance in Super Bowl   NFL Season   Result     59   Detroit Lions   7003195700000000000 ♠ 1957 NFL Championship Game   1957   Won vs. Cleveland     48   New York Jets   7003196800000000000 ♠ Super Bowl III   1968   Won vs. Baltimore Colts     47   Kansas City Chiefs   7003196900000000000 ♠ Super Bowl IV   1969   Won vs. Minnesota     44 *   Cleveland Browns *   7003196910000000000 ♠ 1969.1 1969 NFL Championship Game   1969   Lost vs. Minnesota     40   Minnesota Vikings   7003197700000000000 ♠ Super Bowl XI   1976   Lost vs. Oakland     32   Miami Dolphins   7003198400000000000 ♠ Super Bowl XIX   1984   Lost vs. San Francisco     28   Cincinnati Bengals   7003198800000000000 ♠ Super Bowl XXIII   1988   Lost vs. San Francisco     25   Washington Redskins   7003199100000000000 ♠ Super Bowl XXVI   1991   Won vs. Buffalo     23   Buffalo Bills   7003199300000000000 ♠ Super Bowl XXVIII   1993   Lost vs. Dallas     22   Jacksonville Jaguars   7000100000000000000 ♠ Never ( enfranchised 1995 )     Y --     22   Los Angeles Chargers   7003199400000000000 ♠ Super Bowl XXIX   1994   Lost vs. San Francisco     21   Dallas Cowboys   7003199500000000000 ♠ Super Bowl XXX   1995   Won vs. Pittsburgh     17   Tennessee Titans   7003199900000000000 ♠ Super Bowl XXXIV   1999   Lost vs. St. Louis Rams     15   Houston Texans   7000200000000000000 ♠ Never ( enfranchised 2002 )     Y --     15   Los Angeles Rams   7003200100000000000 ♠ Super Bowl XXXVI   2001   Lost vs. New England     14   Tampa Bay Buccaneers   7003200200000000000 ♠ Super Bowl XXXVII   2002   Won vs. Oakland     14   Oakland Raiders   7003200210000000000 ♠ Super Bowl XXXVII   2002   Lost vs. Tampa Bay     12   Philadelphia Eagles   7003200400000000000 ♠ Super Bowl XXXIX     Lost vs. New England     10   Chicago Bears   7003200600000000000 ♠ Super Bowl XLI   2006   Lost vs. Indianapolis     8   Arizona Cardinals   7003200800000000000 ♠ Super Bowl XLIII   2008   Lost vs. Pittsburgh     7   New Orleans Saints   7003200900000000000 ♠ Super Bowl XLIV   2009   Won vs. Indianapolis     7   Indianapolis Colts   7003200900000000000 ♠ Super Bowl XLIV   2009   Lost vs. New Orleans     6   Green Bay Packers   7003201000000000000 ♠ Super Bowl XLV     Won vs. Pittsburgh     6   Pittsburgh Steelers   7003201010000000000 ♠ Super Bowl XLV     Lost vs. Green Bay     5   New York Giants   7003201100000000000 ♠ Super Bowl XLVI   2011   Won vs. New England       Baltimore Ravens   7003201200000000000 ♠ Super Bowl XLVII   2012   Won vs. San Francisco       San Francisco 49ers   7003201210000000000 ♠ Super Bowl XLVII   2012   Lost vs. Baltimore Ravens       Seattle Seahawks   7003201420000000000 ♠ Super Bowl XLIX   2014   Lost vs. New England       Carolina Panthers   7003201500000000000 ♠ Super Bowl 50   2015   Lost vs. Denver       Denver Broncos   7003201500000000000 ♠ Super Bowl 50   2015   Won vs. Carolina     0   Atlanta Falcons   7003201600000000000 ♠ Super Bowl LI   2016   Lost vs. New England     0   New England Patriots   7003201600000000000 ♠ Super Bowl LI   2016   Won vs. Atlanta     ( * ) : Cleveland 's drought does not include three seasons ( 1996 -- 1998 ) where the franchise was dormant . ( † ) : Team was based in St. Louis .   Super Bowl win droughts ( edit )   This list also counts all seasons since a team last won the league championship .   Drought References   Seasons   Team   Last Super Bowl crown ( 1966 -- present )   NFL Season   Last League Championship crown Before 1970 Merger ( 1920 -- 1969 )   Seasons     51   Arizona Cardinals   Never   --   1947 NFL Championship   69     51   Detroit Lions   Never   --   1957 NFL Championship   59     51   Philadelphia Eagles   Never   --   1960 NFL Championship   56     51   Tennessee Titans   Never   --   1961 AFL Championship   55     51   Los Angeles Chargers   Never   --   1963 AFL Championship   53     51   Buffalo Bills   Never   --   1965 AFL Championship   51     48   Cleveland Browns   Never   --   1964 NFL Championship   49     51   Minnesota Vikings   Never   --   1969 NFL Championship   47     51   Atlanta Falcons   Never ( enfranchised 1966 )   --     49   Cincinnati Bengals   Never ( enfranchised 1968 )   --     48   New York Jets   Super Bowl III   1968     47   Kansas City Chiefs   Super Bowl IV   1969     43   Miami Dolphins   Super Bowl VIII   1973     33   Oakland Raiders   Super Bowl XVIII       31   Chicago Bears   Super Bowl XX   1985     25   Washington Redskins   Super Bowl XXVI   1991     22   Jacksonville Jaguars   Never ( enfranchised 1995 )   --     22   Carolina Panthers   Never ( enfranchised 1995 )   --     22   San Francisco 49ers   Super Bowl XXIX   1994     21   Dallas Cowboys   Super Bowl XXX   1995     17   Los Angeles Rams   Super Bowl XXXIV   1999     15   Houston Texans   Never ( enfranchised 2002 )   --     14   Tampa Bay Buccaneers   Super Bowl XXXVII   2002     10   Indianapolis Colts   Super Bowl XLI   2006     8   Pittsburgh Steelers   Super Bowl XLIII   2008     7   New Orleans Saints   Super Bowl XLIV   2009     6   Green Bay Packers   Super Bowl XLV       5   New York Giants   Super Bowl XLVI   2011       Baltimore Ravens   Super Bowl XLVII   2012       Seattle Seahawks   Super Bowl XLVIII   2013       Denver Broncos   Super Bowl 50   2015     0   New England Patriots   Super Bowl LI   2016      Team won as the Chicago Cardinals in 1947 .   Team won as the Houston Oilers in 1961 .   AFL and NFL league champions met in Super Bowls I thru IV before the 1970 merger ( 1966 -- 1969 ) . They are not generally counted in the overall league championship list .   Cleveland 's drought does not include three seasons ( 1996 -- 98 ) when the franchise was dormant .   Super Bowl winner was not the NFL league champion till after 1970 merger ( Super Bowl V ) .   Team was based in Los Angeles when it won Super Bowl XVIII .   Team was based in St. Louis when it won Super Bowl XXXIV .    Super Bowl crown droughts by division ( edit )     Division   Last Super Bowl crown   Seasons     AFC South   XLI -- Colts   10     NFC South   XLIV -- Saints   7     NFC North   XLV -- Packers   6     NFC East   XLVI -- Giants   5     AFC North   XLVII -- Ravens       NFC West   XLVIII -- Seahawks       AFC West   50 -- Broncos       AFC East   LI -- Patriots   0     Cities / regions awaiting first Super Bowl crown ( edit )   Listed according to seasons waited . Current NFL cities / regions only   Last city to leave list - Seattle , 2013 season   City / region   Seasons waited   Conference Title ( s )   Team ( s )   Notes     Detroit   51   None   Detroit Lions ( 1966 -- )   Played in the 1991 NFC Championship Game     Philadelphia   51   1980 , 2004   Philadelphia Eagles ( 1966 -- )   Played in Super Bowls XV and XXXIX     Buffalo   51   1990 , 1991 , 1992 , 1993   Buffalo Bills ( 1966 -- )   Played in Super Bowls XXV , XXVI , XXVII , and XXVIII     Atlanta   51   1998 , 2016   Atlanta Falcons ( 1966 -- )   Played in Super Bowls XXXIII and LI     Minneapolis -- St. Paul   51   1969 , 1973 , 1974 , 1976   Minnesota Vikings ( 1966 -- )   Played in Super Bowls IV , VIII , IX , and XI     Cincinnati   49   1981 , 1988   Cincinnati Bengals ( 1968 -- )   Played in Super Bowls XVI and XXIII     Cleveland   48   None   Cleveland Browns ( 1966 -- )   Played in the 1986 , 1987 , and 1989 AFC Championship Games     Houston   46   None   Includes 31 Oilers seasons ( 1966 -- 1996 ) and 15 Texans seasons ( 2002 -- )   Played in the 1978 and 1979 AFC Championship Games     Phoenix   29   2008   Phoenix / Arizona Cardinals ( 1988 -- )   Played in Super Bowl XLIII     Jacksonville   22   None   Jacksonville Jaguars ( 1995 -- )   Played in the 1996 and 1999 AFC Championship Games     Charlotte   22   2003 , 2015   Carolina Panthers ( 1995 -- )   Played in Super Bowls XXXVIII and 50     Nashville   20   1999   Tennessee Oilers / Titans ( 1997 -- )   Played in Super Bowl XXXIV     Division title droughts ( edit )   Listed according to seasons waited . Updated through the 2016 season .     0 ^ 0   Longest drought in team history     0 † 0   Tied for Longest drought in team history       Franchise   0 0 Most recent 0 0 division title   0Year0   Seasons     Cleveland Browns ^   AFC Central   1989   24 * *     Detroit Lions ^   NFC Central   1993   23     Buffalo Bills ^   AFC East   1995   21     Jacksonville Jaguars ^   AFC Central   1999   17     Oakland Raiders ^   AFC West   2002   14     New York Jets   AFC East   2002   14     Los Angeles Rams †   NFC West   2003   13     Tampa Bay Buccaneers   NFC South   2007   9     Miami Dolphins ^   AFC East   2008   8     Tennessee Titans   AFC South   2008   8     Los Angeles Chargers   AFC West   2009   7     Chicago Bears   NFC North     6     New York Giants   NFC East   2011   5     New Orleans Saints   NFC South   2011   5     Baltimore Ravens   AFC North   2012       San Francisco 49ers   NFC West   2012       Philadelphia Eagles   NFC East   2013       Indianapolis Colts   AFC South   2014       Cincinnati Bengals   AFC North   2015       Denver Broncos   AFC West   2015       Washington Redskins   NFC East   2015       Minnesota Vikings   NFC North   2015       Carolina Panthers   NFC South   2015       Arizona Cardinals   NFC West   2015       2016 Division Champions     New England Patriots   AFC East   2016   --     Pittsburgh Steelers   AFC North   2016   --     Houston Texans   AFC South   2016   --     Kansas City Chiefs   AFC West   2016   --     Dallas Cowboys   NFC East   2016   --     Green Bay Packers   NFC North   2016   --     Atlanta Falcons   NFC South   2016   --     Seattle Seahawks   NFC West   2016   --     * * Does not include the three seasons ( 1996 -- 1998 ) during which the franchise suspended operations .   Historical team droughts ( edit )   Playoff droughts of 5 plus seasons ( edit )    Updated through the 2016 season .   Sort by clicking on desired column heading .   When sorting , Indianapolis and Baltimore Colts are grouped together ,   Arizona , Phoenix , St. Louis and Chicago Cardinals are grouped together ,   Tennessee Titans , Houston Oilers and Tennessee Oilers are grouped together ,   Los Angeles , St. Louis and Cleveland Rams are grouped together ,   Oakland and Los Angeles Raiders are grouped together .        0 ^ 0   Denotes active streak       Last place NFL finishes   Last place AFL finishes ( 1960 -- 1969 )     7003197800000000000 ♠   List of Droughts   Seasons   Team   Drought Duration   Division or Conference Last Place finishes during drought   League Worst win - loss record during drought     Last Place   Seasons     7001250000000000000 ♠ 25   Washington Redskins A ! Washington Redskins   1946 -- 1970     1950 , 1952 , 1960 -- 1961   1961     7001250000000000000 ♠ 25   Arizona Cardinals A ! Chicago / St. Louis Cardinals   1949 -- 1973   5   1951 , 1953 -- 1954 , 1957 , 1959   1953 , 1954 , 1957 tie , 1959 1959 tie     7001240000000000000 ♠ 24   Pittsburgh Steelers A ! Pittsburgh Steelers   1948 -- 1971   5   1955 , 1965 , 1967 -- 1969   1965 , 1969 tie     7001200000000000000 ♠ 20   New Orleans Saints A ! New Orleans Saints   1967 -- 1986   9   1967 , 1970 -- 1972 , 1975 , 1977 , 1980 -- 1981 , 1986   1975 1975 tie , 1980     7001170000000000000 ♠ 17   Denver Broncos A ! Denver Broncos   1960 -- 1976   8   1960 , 1963 -- 1967 , 1970 -- 1971   1960 , 1963 , 1964 , 1965 tie , 1967     7001170000000000000 ♠ 17   Philadelphia Eagles A ! Philadelphia Eagles   1961 -- 1977   7   1962 -- 1963 , 1968 -- 1970 , 1972 , 1975   1968 tie     7001170000000000000 ♠ 17   New York Giants D ! New York Giants   1964 -- 1980   9   1964 , 1966 , 1971 , 1973 -- 1974 , 1976 -- 1978 , 1980   1964 , 1966 , 1974 tie     7001170000000000000 ♠ 17 ^   Buffalo Bills A ! Buffalo Bills   2000 -- 2016   8   2001 -- 2002 , 2008 -- 2013   --     7001160000000000000 ♠ 16   Detroit Lions A ! Detroit Lions   1936 -- 1951     1942 , 1946 -- 1948   1942 , 1946 , 1948     7001150000000000000 ♠ 15   Arizona Cardinals B ! Chicago Cardinals   1932 -- 1946   10   1933 , 1935 -- 1936 , 1938 -- 1940 , 1943 -- 1946   1933 , 1938 tie , 1939 , 1943 , 1944 tie , 1945     7001150000000000000 ♠ 15   Green Bay Packers A ! Green Bay Packers   1945 -- 1959     1949 , 1953 , 1957 , 1958   1957 tie , 1958     7001150000000000000 ♠ 15   Arizona Cardinals C ! St. Louis / Phoenix / Arizona Cardinals   1983 -- 1997   7   1985 -- 1986 , 1990 -- 1992 , 1995 , 1997   --     7001140000000000000 ♠ 14   Pittsburgh Steelers B ! Pittsburgh Pirates / Steelers   1933 -- 1946   7   1933 -- 1934 , 1938 -- 1939 , 1941 , 1944 -- 1945   1938 tie , 1941 , 1944 tie     7001140000000000000 ♠ 14   Philadelphia Eagles B ! Philadelphia Eagles   1933 -- 1946   5   1935 -- 1937 , 1940 , 1942   1935 , 1936 , 1940     7001140000000000000 ♠ 14   Kansas City Chiefs A ! Kansas City Chiefs   1972 -- 1985   5   1977 -- 1979 , 1983 , 1985   1977 1977 tie     7001140000000000000 ♠ 14   Tampa Bay Buccaneers A ! Tampa Bay Buccaneers   1983 -- 1996   8   1983 , 1985 -- 1986 , 1989 , 1991 , 1993 -- 1995   1983 1983 tie , 1985 tie , 1986     7001140000000000000 ♠ 14   Cincinnati Bengals A ! Cincinnati Bengals   1991 -- 2004   6   1991 -- 1993 , 1998 , 2001 -- 2002   1993 , 1998 tie , 2002     7001140000000000000 ♠ 14 ^   Cleveland Browns A ! Cleveland Browns   2003 -- 2016   12   2003 -- 2006 , 2008 -- 2009 , 2011 -- 2016   2015 tie , 2016     7001130000000000000 ♠ 13   Chicago Bears A ! Chicago Bears   1964 -- 1976   5   1969 -- 1970 , 1972 -- 1974   1969 tie     7001130000000000000 ♠ 13   San Diego Chargers A ! San Diego Chargers   1966 -- 1978     1972 -- 1973 , 1975   1975 tie     7001130000000000000 ♠ 13   Oakland Raiders A ! Oakland Raiders   2003 -- 2015   6   2004 -- 2007 , 2013 -- 2014   2003 tie , 2006     7001120000000000000 ♠ 12   Detroit Lions B ! Detroit Lions   1958 -- 1969     1966 , 1968   --     7001120000000000000 ♠ 12   San Francisco 49ers A ! San Francisco 49ers   1958 -- 1969     1963 -- 1964 , 1969   1963     7001120000000000000 ♠ 12   New England Patriots A ! Boston / New England Patriots   1964 -- 1975     1967 , 1970 , 1972 , 1975   1970     7001120000000000000 ♠ 12   Atlanta Falcons A ! Atlanta Falcons   1966 -- 1977     1967 -- 1968 , 1974   1967 , 1968 tie     7001120000000000000 ♠ 12 ^   Los Angeles Rams A ! St. Louis / Los Angeles Rams   2005 -- 2016   6   2007 -- 2009 , 2011 , 2013 -- 2014   2009 , 2011 tie     7001110000000000000 ♠ 11   Los Angeles Rams B ! Los Angeles Rams   1956 -- 1966     1956 , 1959 , 1962 , 1965   1959 1959 tie , 1962     7001110000000000000 ♠ 11   New York Jets A ! New York Jets   1970 -- 1980     1980   --     7001110000000000000 ♠ 11   Detroit Lions C ! Detroit Lions   1971 -- 1981     1979   1979 1979 tie     7001110000000000000 ♠ 11   Detroit Lions D ! Detroit Lions   2000 -- 2010   6   2001 -- 2003 , 2006 , 2008 -- 2009   2008     7001100000000000000 ♠ 10   Philadelphia Eagles C ! Philadelphia Eagles   1950 -- 1959     1956 , 1958   1956     7001100000000000000 ♠ 10   Green Bay Packers B ! Green Bay Packers   1983 -- 1992     1988   --     7001100000000000000 ♠ 10   Seattle Seahawks A ! Seattle Seahawks   1989 -- 1998     1992 -- 1994 , 1996   1992 tie     7000900000000000000 ♠ 9   Green Bay Packers C ! Green Bay Packers   1973 -- 1981     1976 , 1980   --     7000900000000000000 ♠ 9   Indianapolis Colts A ! Baltimore / Indianapolis Colts   1978 -- 1986     1978 - 1979 , 1982 , 1986   1981 tie , 1982     7000900000000000000 ♠ 9   San Diego Chargers B ! San Diego Chargers   1983 -- 1991     1984 , 1986 , 1989 , 1991   --     7000900000000000000 ♠ 9   Los Angeles Rams C ! Los Angeles / St. Louis Rams   1990 -- 1998   6   1991 -- 1994 , 1997 -- 1998   --     7000900000000000000 ♠ 9   Arizona Cardinals E ! Arizona Cardinals   1999 -- 2007     2000 , 2002 -- 2003 , 2006   2003 tie     7000900000000000000 ♠ 9   Houston Texans A ! Houston Texans   2002 -- 2010   5   2002 -- 2003 , 2005 -- 2007   2005     7000900000000000000 ♠ 9 ^   Tampa Bay Buccaneers B ! Tampa Bay Buccaneers   2008 -- 2016   6   2009 , 2011 -- 2015   2014 2014 tie     7000900000000000000 ♠ 9 ^   Jacksonville Jaguars A ! Jacksonville Jaguars   2008 -- 2016     2008 -- 2009 , 2012 , 2016   2012 tie     7000800000000000000 ♠ 8   New York Jets B ! New York Titans / Jets   1960 -- 1967     1962 -- 1963   --     7000800000000000000 ♠ 8   Tennessee Titans A ! Houston Oilers   1970 -- 1977     1970 , 1972 -- 1973 , 1976   1972 , 1973     7000800000000000000 ♠ 8   San Francisco 49ers B ! San Francisco 49ers   1973 -- 1980     1978 -- 1979   1978 , 1979 tie     7000800000000000000 ♠ 8   Atlanta Falcons B ! Atlanta Falcons   1983 -- 1990   7   1983 -- 1985 , 1987 -- 1990       7000800000000000000 ♠ 8   San Diego Chargers C ! San Diego Chargers   1996 -- 2003   5   1997 -- 1998 , 2000 -- 2001 , 2003   2000 , 2003 tie     7000800000000000000 ♠ 8   San Francisco 49ers C ! San Francisco 49ers   2003 -- 2010     2004 -- 2005       7000800000000000000 ♠ 8 ^   Tennessee Titans B ! Tennessee Titans   2009 -- 2016     2010 , 2014 -- 2015   2014 2014 tie , 2015 tie     7000700000000000000 ♠ 7   Los Angeles Rams D ! Cleveland Rams   1937 -- 1944     1937 , 1941   1937     7000700000000000000 ♠ 7   San Francisco 49ers D ! San Francisco 49ers   1950 -- 1956   0   --   --     7000700000000000000 ♠ 7   Oakland Raiders B ! Oakland Raiders   1960 -- 1966     1961 -- 1962   1961 , 1962     7000700000000000000 ♠ 7   Minnesota Vikings A ! Minnesota Vikings   1961 -- 1967     1961 , 1966 -- 1967   --     7000700000000000000 ♠ 7   Buffalo Bills B ! Buffalo Bills   1967 -- 1973     1968 , 1971   1968 1971     7000700000000000000 ♠ 7   Cleveland Browns B ! Cleveland Browns   1973 -- 1979     1974 -- 1975 , 1977   --     7000700000000000000 ♠ 7   Seattle Seahawks B ! Seattle Seahawks   1976 -- 1982     1976 , 1980 -- 1981   --     7000700000000000000 ♠ 7   Detroit Lions E ! Detroit Lions   1984 -- 1990       --     7000700000000000000 ♠ 7   New England Patriots A ! New England Patriots   1987 -- 1993     1990 , 1992   1990 , 1992 tie     7000700000000000000 ♠ 7   Indianapolis Colts B ! Indianapolis Colts   1988 -- 1994     1991 , 1993   1991     7000700000000000000 ♠ 7   New Orleans Saints B ! New Orleans Saints   1993 -- 1999     1995 -- 1996 , 1999   --     7000700000000000000 ♠ 7   Miami Dolphins A ! Miami Dolphins   2009 -- 2015     2015   --     7000600000000000000 ♠ 6   Chicago Bears B ! Chicago Bears   1957 -- 1962   0   --   --     7000600000000000000 ♠ 6   Dallas Cowboys A ! Dallas Cowboys   1960 -- 1965     1960   1960     7000600000000000000 ♠ 6   Arizona Cardinals E ! St. Louis Cardinals   1976 -- 1981     1979 , 1981   --     7000600000000000000 ♠ 6   Tennessee Titans C ! Houston Oilers   1981 -- 1986     1983 -- 1986   1983 1983 tie     7000600000000000000 ♠ 6   Buffalo Bills C ! Buffalo Bills   1982 -- 1987     1984 -- 1985   1984 , 1985 tie     7000600000000000000 ♠ 6   Philadelphia Eagles D ! Philadelphia Eagles   1982 -- 1987     1984   --     7000600000000000000 ♠ 6   New York Jets C ! New York Jets   1992 -- 1997     1994 -- 1996   1995 , 1996     7000600000000000000 ♠ 6   Washington Redskins B ! Washington Redskins   1993 -- 1998     1993 -- 1994   --     7000600000000000000 ♠ 6   Oakland Raiders C ! Los Angeles / Oakland Raiders   1994 -- 1999   0   --   --     7000600000000000000 ♠ 6   Chicago Bears C ! Chicago Bears   1995 -- 2000     1997 -- 2000   --     7000600000000000000 ♠ 6   Carolina Panthers A ! Carolina Panthers   1997 -- 2002     2001 -- 2002   2001     7000600000000000000 ♠ 6   Miami Dolphins B ! Miami Dolphins   2002 -- 2007     2004 , 2006 -- 2007   2007     7000600000000000000 ♠ 6 ^   New York Jets D ! New York Jets   2011 -- 2016     2014 , 2016   --     7000600000000000000 ♠ 6 ^   Chicago Bears E ! Chicago Bears   2011 -- 2016     2014 -- 2016   --     7000500000000000000 ♠ 5   New York Giants D ! New York Giants   1951 -- 1955   0   --   --     7000500000000000000 ♠ 5   Chicago Bears D ! Chicago Bears   1951 -- 1955   0   --   --     7000500000000000000 ♠ 5   Indianapolis Colts C ! Baltimore Colts   1953 -- 1957     1954   --     7000500000000000000 ♠ 5   Cleveland Browns C ! Cleveland Browns   1959 -- 1963   0   --   --     7000500000000000000 ♠ 5   Buffalo Bills D ! Buffalo Bills   1975 -- 1979     1976 -- 1977   --     7000500000000000000 ♠ 5   Cincinnati Bengals B ! Cincinnati Bengals   1976 -- 1980     1978 -- 1980   --     7000500000000000000 ♠ 5   Washington Redskins C ! Washington Redskins   1977 -- 1981   0   --   --     7000500000000000000 ♠ 5   Cincinnati Bengals C ! Cincinnati Bengals   1983 -- 1987       --     7000500000000000000 ♠ 5   Dallas Cowboys B ! Dallas Cowboys   1986 -- 1990     1988 , 1989   1988 , 1989     7000500000000000000 ♠ 5   Tennessee Titans D ! Houston / Tennessee Oilers   1994 -- 1998     1994   1994     7000500000000000000 ♠ 5   Kansas City Chiefs B ! Kansas City Chiefs   1998 -- 2002     2002   --     7000500000000000000 ♠ 5   Washington Redskins D ! Washington Redskins   2000 -- 2004       --     7000500000000000000 ♠ 5   Jacksonville Jaguars B ! Jacksonville Jaguars   2000 -- 2004   0   -</t>
  </si>
  <si>
    <t xml:space="preserve">when was the last time cleveland browns went to playoffs</t>
  </si>
  <si>
    <t xml:space="preserve"> Playoff Droughts   0Team0   Last earned appearance in post-season   Seasons     Buffalo Bills ^   1999 AFC Wild Card Playoffs   17     Cleveland Browns ^   2002 AFC Wild Card Playoffs   14     Los Angeles Rams ^   2004 NFC Divisional Playoffs   12     Jacksonville Jaguars ^   2007 AFC Divisional Playoffs   9     Tampa Bay Buccaneers   2007 NFC Wild Card Playoffs   9     Tennessee Titans †   2008 AFC Divisional Playoffs   8     New York Jets   2010 AFC Championship Game   6     Chicago Bears   2010 NFC Championship Game   6     Philadelphia Eagles   2013 NFC Wild Card Playoffs       Los Angeles Chargers   2013 AFC Divisional Playoffs       New Orleans Saints   2013 NFC Divisional Playoffs       San Francisco 49ers   2013 NFC Championship Game       Baltimore Ravens   2014 AFC Divisional Playoffs       Indianapolis Colts   2014 AFC Championship Game       Cincinnati Bengals   2015 AFC Wild Card Playoffs       Minnesota Vikings   2015 NFC Wild Card Playoffs       Washington Redskins   2015 NFC Wild Card Playoffs       Arizona Cardinals   2015 NFC Championship Game       Denver Broncos   Super Bowl L       Carolina Panthers   Super Bowl L       2016 Playoff Teams     Miami Dolphins   2016 AFC Wild Card Playoffs   --     Oakland Raiders   2016 AFC Wild Card Playoffs   --     New York Giants   2016 NFC Wild Card Playoffs   --     Detroit Lions   2016 NFC Wild Card Playoffs   --     Kansas City Chiefs   2016 AFC Divisional Playoffs   --     Houston Texans   2016 AFC Divisional Playoffs   --     Dallas Cowboys   2016 NFC Divisional Playoffs   --     Seattle Seahawks   2016 NFC Divisional Playoffs   --     Pittsburgh Steelers   2016 AFC Championship Game   --     Green Bay Packers   2016 NFC Championship Game   --     New England Patriots   Super Bowl LI   --     Atlanta Falcons   Super Bowl LI   --   </t>
  </si>
  <si>
    <t xml:space="preserve">Sa Re Ga Ma Pa L'il Champs 2017 - wikipedia  Sa Re Ga Ma Pa L'il Champs 2017       Sa Re Ga Ma Pa Li'l Champs 2017     सुरों का दंगल Suron Ka Dangal     Created by   Zee TV , Gajendra Singh     Presented by   Aditya Narayan     Judges   Himesh Reshammiya Javed Ali Neha Kakkar     Country of origin   India     Original language ( s )   Hindi     No. of episodes   69     Production     Producer ( s )   Essel Vision Productions     Running time   60 - 120 minutes     Release     Original network   Zee TV     Picture format   576i ( SDTV ) 1080i ( HDTV )     Original release   February 25 , 2017 -- 29 October 2017     Chronology     Preceded by   Sa Re Ga Ma Pa L'il Champs 2014     Related shows   Sa Re Ga Ma Pa Sa Re Ga Ma Pa L'il Champs     External links     Website     Sa Re Ga Ma Pa L'il Champs 2017 ( stylised as Saregamapa Li'l Champs ) is a singing competition television series , which premiered on February 25 , 2017 on Zee TV . The series airs every Saturday and Sunday nights at 9 pm . In a ' Back to School ' format that lends itself to a spirited atmosphere of camaraderie and fun , the L'il Champs will represent their schools .   For the first time in L'il Champs , they have incorporated the format created for Sa Re Ga Ma Pa 2016 . There is a 30 - member Grand Jury which grades the contestants and the average percentage of their scores is displayed . Himesh Reshammiya , Neha Kakkar and Javed Ali are the mentors in the show , whereas Aditya Narayan is the host . The show went off air on 29 October 2017 following the Great Grand Finale in Jaipur . Shreyan Bhattacharya and Anjali Gaikwad were announced as the winners .   Contents  ( hide )   1 Format   2 Grand Jury   3 Top 15 Contestants   4 References    Format   Children aged 5 - 14 years participate in a singing competition . In the auditions round , they have 100 seconds to impress the three judges and the 30 - members of the grand jury . If two of the three judges say YES and they secure at least 50 per cent of the support of the Grand Jury , then the contestant progresses to the next round .   In the Gala round , the judges select the ' Student of the Week ' who is the best performer according to them . The contestant gets to sit on a ' flying sofa ' , which indicates that the contestant is safe from next week 's elimination .   The audience vote will come in later in the competition . The contestant with the highest votes in the final round will win the competition .   Grand jury   The show has a panel of 30 jury members who are experts from the music industry . They closely assess the contestants from the audition stage wherein they help the mentors in the selection process and are present in the show during the studio rounds too .   Some of them are :    Pandit Ajay Pohankar ( Classical maestro )   Ami Mishra ( singer , composer )   Amit Mishra ( singer )   Aneek Dhar ( singer , winner of Sa Re Ga Ma Pa Challenge 2007 )   Arpita Mukherjee ( singer ) , winner of Sa Re Ga Ma Pa : Golden Voice Hunt )   Arvinder Singh ( singer )   Asees Kaur ( singer )   Bhavya Pandit ( singer )   Chintu Singh ( guitarist )   Debojit Saha ( singer , winner of Sa Re Ga Ma Pa Challenge 2005 )   Earl Edgar URL ( rapper , singer )   Eric Pillai ( mixing engineer &amp; music producer )   Ghanshyam Vaswani ( singer )   Hamsika Iyer ( singer )   Hrishikesh Chury ( singer )   Jalees Sherwani ( lyricist )   Jasraj Jayant Joshi ( singer , winner of Sa Re Ga Ma Pa Challenge 2012 )   Jolly Mukherjee ( singer )   Kamal Khan ( singer , winner of Sa Re Ga Ma Pa Singing Superstar )   Kiran Kamath ( music producer , DJ )   Manasi Scott ( singer , songwriter )   Murtaza Khan ( singer )   Nandini Srikar ( singer )   Nikhil Paul George ( singer , record producer &amp; composer )   Padma Wadkar ( singer , winner of the first series of Sa Re Ga Ma in 1995 )   DJ Paroma ( celebrity DJ )   Pavni Pandey ( singer )   Prashant Ingole ( lyricist )   Raja Hasan ( singer , contestant on Sa Re Ga Ma Pa Challenge 2007 )   Ram Shankar ( singer &amp; composer )   Raman Mahadevan ( singer )   Ranjeet Rajwada ( singer , contestant on Sa Re Ga Ma Pa Singing Superstar )   Ronu Majumdar ( flautist )   Sachin Kumar Valmiki ( singer )   Sandeep Batraa ( singer , contestant on Sa Re Ga Ma Pa Challenge 2005 and Fame Gurukul )   Sarfraz Ahmed Khan ( Sufi maestro )   Shabbir Ahmed ( lyricist )   Shamsher Singh ( composer , brother of Daler Mehndi and Mika Singh )   Shashi Suman ( singer &amp; composer )   Shibani Kashyap ( singer )   Shriram Iyer ( singer )   Sumedha Karmahe ( singer , contestant on Sa Re Ga Ma Pa Challenge 2007 )   Suzanne D'Mello ( singer )   Vaishali Made ( singer , winner of Sa Re Ga Ma Pa Challenge 2009 )   Dr. Vinod Hasal ( Kathak exponent )   Vipin Aneja ( singer )   Yashita Yashpal Sharma ( singer , contestant on Sa Re Ga Ma Pa Challenge 2009 )    Top 15 Contestants     Contestant   Age ( in years )   From   hide Result     Adnan Hussain Sabri   12   Mumbai Maharashtra   Eliminated     Dhroon Tickoo   11   Amritsar Punjab   Runner - up     Jasu Khan Mir   13   Rajasthan   Eliminated     Rajashree Bag   14   Kolkata West Bengal   Eliminated     Riya Biswas   13   Kolkata West Bengal   Runner - up     Saimann Sewa   13   Siliguri   Eliminated     Satyajeet Jena   12   Bhubaneshwar Odisha   Quits on June 24 , 2017     Shaktiswaroopa Panda   9   Odisha   Eliminated     Shanmukhapriya   14   Visakhapatnam Andhra Pradesh   Runner - up     Shreyan Bhattacharya   11   Midnapur West Bengal   Winner     Sonakshi Kar   13   Kolkata West Bengal   Runner - up     Tanya Tiwari   13   Varanasi Uttar Pradesh   Eliminated     Utkarsh Wankhede   11   Nagpur Maharashtra   Eliminated     Yumna Ajin   11   Kerala   Runner - up     Jayas Kumar     Delhi   Runner - up     Anjali Gaikwad   11   Ahmednagar , Maharashtra   Winner     References    Jump up ^ Zee TV - Sa Re Ga Ma Pa L'il Champs 2017   ^ Jump up to : `` Sa Re Ga Ma Pa Lil Champs 2017 : Anjali Gaikwad and Shreyan Bhattacharya are the winners of the show '' . Retrieved 9 November 2017 .   ^ Jump up to : `` Sa Re Ga Ma Pa Li'l Champs winners : Shreyan Bhattacharya , Anjali Gaikwad jointly lift the trophy '' . The Indian Express . 29 October 2017 . Retrieved 9 November 2017 .   Jump up ^ Sa Re Ga Ma Pa L'il Champs 2017 - Format   Jump up ^ Sa Re Ga Ma Pa L'il Champs 2017 - Grand Jury              Sa Re Ga Ma Pa     Sa Re Ga Ma Pa     Sa Re Ga Ma Pa Challenge 2005   Sa Re Ga Ma Pa Ek Main Aur Ek Tu   Sa Re Ga Ma Pa Challenge 2007   Sa Re Ga Ma Pa Challenge 2009   Sa Re Ga Ma Pa Mega Challenge   Sa Re Ga Ma Pa Singing Superstar   Sa Re Ga Ma Pa 2012       Sa Re Ga Ma Pa L'il Champs     Sa Re Ga Ma Pa L'il Champs International   Sa Re Ga Ma Pa L'il Champs 2009   Sa Re Ga Ma Pa L'il Champs 2011   Sa Re Ga Ma Pa L'il Champs 2014   Sa Re Ga Ma Pa L'il Champs 2017       Regional shows     Sa Re Ga Ma Pa Marathi L'il Champs   Sa Re Ga Ma Pa Challenge USA 2008   Zee Tamil Sa Re Ga Ma Pa 2009 Challenge                 Programs currently broadcast by Zee TV     Soap operas     Aap Ke Aa Jane Se   Bhootu   Kaliren   Kumkum Bhagya   Kundali Bhagya   Jeet Gayi Toh Piya Morey   Piyaa Albela   Woh Apna Sa   Zindagi Ki Mahek   Ishq Subhan Allah       Reality shows     Dance India Dance       Weekend shows     Fear Files                 Reality television shows in India     Adventure     Fear Factor India ( Fear Factor : Khatron Ke Khiladi )   Survivor India   Roadies       Comedy     Comedy Circus   Comedy Nights Bachao   Comedy Nights Live   Comedy Nights with Kapil   Majaa Talkies   Comedy Superstars   Laugh India Laugh   Lunars Comedy Express   Mirakkel   The Great Indian Laughter Challenge   The Kapil Sharma Show       Dance     D 4 Dance   Dance Bangla Dance   Dance India Dance   Dance Plus   Dance Champions   Jhalak Dikhhla Jaa   Jodi Number One   Kings of Dance ( season 2 )   Just Dance   Nach Baliye       Dating     MTV Splitsvilla   Power Couple       Food     Dhe Chef   Foodistan   MasterChef India   Kitchen Champion       Game     10 Ka Dum   Deal Ya No Deal   India Poochega Sabse Shaana Kaun ?   Kaiyil Oru Kodi - Are You Ready ?   Kannadada Kotyadhipati   Kaun Banega Crorepati   Minute To Win It   Neengalum Vellalam Oru Kodi   Ningalkkum Aakaam Kodeeshwaran       Music     Antakshari Intercollegiate Championship   Bol Baby Bol   Asianet Super Voice       Quiz     Bournvita Quiz Contest   Dadagiri Unlimited   Disney Q Family Mastermind   Jabab Kinte Chai   Kya Aap Paanchvi Pass Se Tez Hain ?   Quizzing in India   Sell Me the Answer   Thatt Antha Heli       Singing     Airtel Super Singer   Airtel Super Singer Junior   Fame Gurukul   Idea Star Singer   Indian Idol   Sa Re Ga Ma Pa ( Sa Re Ga Ma Pa L'il Champs )   Voice of India   Lip Sing Battle       Sports     Box Cricket League   BCL Punjab   Zee 20 Cricket League       Others     Bigg Boss   Bigg Boss Bangla   Bigg Boss Tamil   Bigg Boss Kannada   Bigg Boss Malayalam   Bigg Boss Telugu   Biggest Loser Jeetega   India 's Got Talent   Lead India   Malayalee House   National Bingo Night   Nayika Nayakan   Sacch Ka Saamna       Defunct     Ad Mad Show   Antakshari -- The Great Challenge   Baazi Kiski   Biggest Loser Jeetega   Boogie Woogie   Champions of the World   Dance Premier League   Deal Ya No Deal   Fame X   India 's Magic Star   Iss Jungle Se Mujhe Bachao   Jo Jeeta Wohi Super Star   Junoon   Lead India   Mastermind India   Perfect Bride   National Bingo Night   Sawaal Dus Crore Ka   Swayamwar   Titan Antakshari   Zee Cinestars   Zor Ka Jhatka      Retrieved from `` https://en.wikipedia.org/w/index.php?title=Sa_Re_Ga_Ma_Pa_L%27il_Champs_2017&amp;oldid=841236171 '' Categories :   2010s Indian television series   Hindi - language television programs   Music competitions in India   Singing talent shows   Television shows set in Mumbai   Zee TV television series   Sa Re Ga Ma Pa   Hidden categories :   Wikipedia semi-protected pages   Use mdy dates from August 2017           Talk                           View source                 Contents                   About Wikipedia                                           Add links   This page was last edited on 14 May 2018 , at 18 : 26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</si>
  <si>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winner of sa re ga ma pa little champ</t>
  </si>
  <si>
    <t xml:space="preserve"> For the first time in L'il Champs , they have incorporated the format created for Sa Re Ga Ma Pa 2016 . There is a 30 - member Grand Jury which grades the contestants and the average percentage of their scores is displayed . Himesh Reshammiya , Neha Kakkar and Javed Ali are the mentors in the show , whereas Aditya Narayan is the host . The show went off air on 29 October 2017 following the Great Grand Finale in Jaipur . Shreyan Bhattacharya and Anjali Gaikwad were announced as the winners . </t>
  </si>
  <si>
    <t xml:space="preserve">Good Times - wikipedia  Good Times  For the Chinese television series , see Good Times ( TV series ) . For other uses , see Good Times ( disambiguation ) .    Good Times         Genre   Sitcom     Created by   Eric Monte and Mike Evans     Developed by   Norman Lear     Directed by     Gerren Keith   Herbert Kenwith   Bob LaHendro   Donald McKayle   Perry Rosemond       Starring     Esther Rolle ( Seasons 1 - 4 , 6 )   John Amos ( Seasons 1 -- 3 )   Jimmie Walker   Ja'net Dubois   Bern Nadette Stanis   Ralph Carter   Johnny Brown ( Seasons 2 - 6 )   Janet Jackson ( Seasons 5 -- 6 )   Ben Powers ( Season 6 )       Theme music composer     Dave Grusin   Alan Bergman   Marilyn Bergman       Opening theme   `` Good Times '' performed by Jim Gilstrap and Blinky Williams     Composer ( s )   Dave Grusin Alan and Marilyn Bergman     Country of origin   United States     Original language ( s )   English     No. of seasons   6     No. of episodes   133 ( list of episodes )     Production     Executive producer ( s )     Norman Lear ( 1974 -- 75 )   Allan Manings ( 1974 -- 77 )   Austin and Irma Kalish ( 1976 -- 78 )   Norman Paul ( 1975 -- 79 )       Producer ( s )     Allan Manings   Jack Elinson ( 1975 -- 76 )   Norman Paul   Austin and Irma Kalish   Lloyd Turner ( 1977 -- 78 )   Gordon Mitchell ( 1977 -- 78 )   Sid Dorfman ( 1978 -- 79 )       Production location ( s )   CBS Television City , Hollywood , California ( 1974 -- 75 ) Metromedia Square , Hollywood , California ( 1975 -- 79 )     Camera setup   Multi-camera     Running time   22 -- 24 minutes     Production company ( s )   Tandem Productions     Distributor     PITS Films ( 1979 -- 1984 ) Embassy Telecommunications ( 1984 -- 1986 )   Embassy Communications ( 1986 -- 1988 )   Columbia Pictures Television ( 1988 -- 1995 )   Columbia TriStar Television ( 1995 -- 2002 )   Sony Pictures Television ( 2002 -- present )       Release     Original network   CBS     Original release   February 8 , 1974 ( 1974 - 02 - 08 ) -- August 1 , 1979 ( 1979 - 08 - 01 )     Chronology     Preceded by   All in the Family Maude     Related shows   Checking In The Jeffersons Archie Bunker 's Place Gloria 704 Hauser     Good Times is an American sitcom that aired on CBS from February 8 , 1974 , to August 1 , 1979 . Created by Eric Monte and Mike Evans , and developed by Norman Lear , the series ' primary executive producer , it was television 's first African American two - parent family sitcom . Good Times was billed as a spin - off of Maude , which was itself a spin - off of All in the Family .   Contents    1 Synopsis   1.1 Cast conflicts   1.2 Final seasons     2 Cast and characters   2.1 Main   2.2 Minor characters   2.3 Notable guest stars     3 Production notes   3.1 Theme song and opening sequence     4 Episodes   5 Reception   5.1 Ratings     6 Awards and nominations   7 Syndication   8 DVD releases   9 References   10 External links    Synopsis ( edit )  John Amos and Esther Rolle , 1974  Florida and James Evans and their three children live at 921 North Gilbert Avenue , apartment 17C , in a housing project in a poor , black neighborhood in inner - city Chicago . The project is unnamed on the show , but is implicitly the infamous Cabrini -- Green projects , shown in the opening and closing credits . Florida and James have three children : James Jr. , also known as `` J.J. '' ; Thelma ; and Michael , called `` the militant midget '' by his father due to his passionate activism . When the series begins , J.J. is seventeen years old , Thelma is sixteen , and Michael is eleven . Their exuberant neighbor , and Florida 's best friend , is Willona Woods , a recent divorcée who works at a boutique . Their building superintendent is Nathan Bookman ( seasons 2 -- 6 ) , who James , Willona and later J.J. refer to as `` Buffalo Butt '' , or , even more derisively , `` Booger '' .  Jimmie Walker and Esther Rolle , 1974  The characters originated on the sitcom Maude as Florida and Henry Evans , with Florida employed as Maude Findlay 's housekeeper in Tuckahoe , New York , and Henry employed as a New York City firefighter . When producers decided to feature the Florida character in her own show , they changed the characters ' history to fit a new series that was well into development rather than start from scratch to create a consistent starring vehicle . Henry 's name became James , he worked various odd jobs , there was no mention of Maude , and the couple lived in Chicago .   Episodes of Good Times deal with the characters ' attempts to overcome poverty living in a high rise project building in Chicago . James Evans often works at least two jobs , mostly manual labor such as dishwasher , construction laborer , etc . Often he is unemployed , but he is a proud man who will not accept charity . When he has to , he hustles money playing pool , although Florida disapproves of this .   Cast conflicts ( edit )   Good Times was intended to be a good show for Esther Rolle and John Amos . Both expected the show to deal with serious topics in a comedic way while providing positive characters for viewers to identify with .   However , Jimmie Walker 's character of J.J. was an immediate hit with audiences and became the breakout character of the series . J.J. 's frequent use of the expression `` Dy - no - mite ! '' ( often in the phrase `` Kid Dy - no - mite ! '' ) , credited to director John Rich , became a popular catchphrase ( later included in TV Land 's The 100 Greatest TV Quotes and Catch Phrases special ) . Rich insisted Walker say it in every episode . Walker and executive producer Norman Lear were skeptical of the idea , but the phrase and the J.J. Evans character caught on with the audience . As a result of the character 's popularity , the writers focused more on J.J. 's comedic antics instead of serious issues .   Through seasons two and three , Rolle and Amos grew increasingly disillusioned with the direction of the show and especially with J.J. 's antics and stereotypically buffoonish behavior . Rolle was vocal about her hate of his character . In a 1975 interview with Ebony magazine she stated :   He 's 18 and he does n't work . He ca n't read or write . He does n't think . The show did n't start out to be that ... Little by little -- with the help of the artist , I suppose , because they could n't do that to me -- they have made J.J. more stupid and enlarged the role . Negative images have been slipped in on us through the character of the oldest child .   Although doing so less publicly , Amos also was outspoken about his dissatisfaction with the J.J. character . Amos stated :   The writers would prefer to put a chicken hat on J.J. and have him prance around saying `` DY - NO - MITE '' , and that way they could waste a few minutes and not have to write meaningful dialogue .   While Amos was less public with his dissatisfaction , he was ultimately fired after season three due to disagreements with Norman Lear . Amos ' departure was initially attributed to his desire to focus on a film career , but he admitted in a 1976 interview that Lear called him and told him that his contract option with the show was not being renewed . Amos stated , `` That 's the same thing as being fired . '' The producers decided not to recast the character of James Evans , instead opting to kill off the character in the two - part season four episode , `` The Big Move '' .   Final seasons ( edit )   By the end of season four , Esther Rolle had also become dissatisfied with the show 's direction and decided to leave the series . In the final two episodes of the season , `` Love Has a Spot On His Lung '' , Rolle 's character gets engaged to Carl Dixon ( Moses Gunn ) , a man she began dating toward the end of season four . In the season five premiere episode , it is revealed that Florida and Carl married off screen and moved to Arizona for the sake of Carl 's health .   With Amos and Rolle gone , Ja'net Dubois took over as the lead character , as Willona checked in on the Evans children since they were now living alone . In season five Janet Jackson joined the cast , playing Penny Gordon Woods , an abused girl who is abandoned by her mother and eventually adopted by Willona .   Before taping of season six began , CBS and the show 's producers decided that they had to do `` something drastic '' to increase viewership . According to then - vice president of CBS programming Steve Mills , `` We had lost the essence of the show . Without parental guidance the show slipped . Everything told us that : our mail , our phone calls , our research . We felt we had to go back to basics . ''   Producers approached Esther Rolle with an offer to appear in a guest role on the series . Rolle was initially hesitant but when producers agreed to a number of her demands ( including an increased salary and higher quality scripts ) , she agreed to return to the series on a full - time basis . Rolle also wanted producers to make the character of J.J. more responsible , as she felt the character was a poor role model for black American youths . She also requested that producers write out the character of Carl Dixon ; Rolle reportedly disliked the storyline surrounding the Carl Dixon character , as she believed Florida would not have moved on so quickly after James ' death or leave her children . Rolle also thought the writers had disregarded Florida 's devout Christian beliefs by having her fall for and marry Carl , who was an atheist .   In the season six premiere episode `` Florida 's Homecoming : Part 1 '' , Florida returns from Arizona without Carl to attend Thelma 's upcoming wedding to professional football player Keith Anderson ( Ben Powers , who joined the cast for the final season ) . In a rare uncut version of `` Florida 's Homecoming : Part 2 '' , after Florida arrives home from Arizona , Willona briefly pulls her aside and mentions Carl , to which Florida sadly smiles and shakes her head implying that Carl had died from cancer . Florida later mentions Carl one last time when she tells Michael about a book they 'd both bought him . Despite changes in the series at Esther Rolle 's request and her return , ratings did not improve and CBS canceled the series during the 1978 -- 79 season .   In the series finale , `` The End of the Rainbow '' , each character finally gets a `` happy ending . '' J.J. gets his big break as an artist for a comic book company with his newly created character , DynoWoman , which is based on Thelma ( much to her surprise and delight ) , and is moving into an apartment with some lady friends . Michael attends college and moves into an on - campus dorm . Keith 's bad knee heals due to his exercise and own physical therapy , leading to the Chicago Bears offering him a contract to play football . Keith announces that he and Thelma are moving into a luxury apartment in the city 's upscale Gold Coast district . Thelma also announces that she is pregnant with the couple 's first child . Keith offers Florida the chance to move in with them so she can help Thelma with the new baby . Willona becomes the head buyer of the boutique she works in and announces that she and Penny are also moving out of the projects . Willona then reveals that her new apartment is in the same apartment building that Keith , Thelma and Florida are moving to ; once again , she and Penny become the Evans ' downstairs neighbors .   Cast and characters ( edit )   Main ( edit )     Actor   Character   Seasons             5   6     Esther Rolle   Florida Evans   Main     Main     John Amos   James Evans   Main       Ja'net Dubois   Willona Woods   Main     Jimmie Walker   James `` J.J. '' Evans Jr .   Main     Ralph Carter   Michael Evans   Main     Bern Nadette Stanis   Thelma Evans Anderson   Main     Johnny Brown   Nathan Bookman     Recurring   Main     Janet Jackson   Millicent `` Penny '' Gordon Woods     Main     Ben Powers   Keith Anderson     Main     Bern Nadette Stanis was credited as `` Bern Nadette '' during early episodes of season one , and later as `` Bernnadette Stanis . ''     Minor characters ( edit )  Johnny Brown as superintendent Nathan ( `` Buffalo Butt '' ) Bookman   Ned the Wino ( Raymond Allen ) is the local drunk who frequents the neighborhood and the apartment building where the Evans family reside . In the season one episode `` Black Jesus '' , J.J. uses Ned the Wino as the model for a portrait of Jesus . Another episode is centered on Michael 's plan to `` clean up '' Ned and get him off the booze by letting him stay at the Evans ' house .   Carl Dixon ( Moses Gunn ) is an atheist shop owner who Michael briefly works for . Despite their religious differences , Carl and Florida begin dating and become engaged in the final episode of season four . Carl breaks off the engagement after he is diagnosed with lung cancer . After a talk from Bookman , Carl again asks Florida for her hand in marriage . The two marry off - screen and move to Arizona . Florida returns at the beginning of season six , without Carl , for Thelma 's wedding . Carl is referenced briefly in episode two of season six , but he is never mentioned again ( Florida continues to use the surname Evans instead of Dixon ) . ( Esther Rolle decided to come back to the show if the character was written out . ) Florida then revealed he died from his battle of lung cancer .   Marion `` Sweet Daddy '' Williams ( Theodore Wilson ) is a menacing neighborhood numbers runner and pimp , who has a reputation for wearing flashy clothing and jewelry . He is usually accompanied by bodyguards ( one portrayed by Bubba Smith , the other by series painter Ernie Barnes ) and comes across as cool and threatening , but has shown a soft heart on occasion , particularly when he decided not to take an antique locket ( to settle a debt ) that Florida had given to Thelma because it had reminded him of his late mother . ( Wilson also plays a club owner named Stanley in the season four episode , `` The Comedian and the Loan Sharks '' ) .   Alderman Fred C. Davis ( Albert Reed , Jr . ) is a local politician with a slightly shady disposition whom the Evans generally despise . Spoofing President Richard M. Nixon , he would state in a speech `` I am not a crook . '' He frequently relies on the support of the Evans family ( his `` favorite project family '' ) for reelection or support and resorts to threats of eviction to secure their support . In a running joke , Alderman Davis frequently forgets Willona 's name and calls her another similar - sounding name that began with a `` W '' ( such as Wilhemina , Winnifrieda , Winsomnium , Wyomia and even Waldorf - Astoria ) , thus earning him her everlasting ire as well as the nickname `` Baldy '' .   Lenny ( Dap ' Sugar ' Willie ) is a neighborhood hustler and peddler who tries to sell presumably stolen items that are usually attached to the lining of his fur coat . He usually approaches people with a laid - back rap and a rhyme ( `` my name is Len - nay , if I ai n't got it , there ai n't an - nay '' ) . He is typically rebuffed by the people he approaches and responds by saying `` that 's cold '' or uses a small brush to `` brush off '' the negativity .   `` Grandpa '' Henry Evans ( Richard Ward ) is James ' long lost father . He abandoned the family years before because he was ashamed that he could not do more to provide for them . This hurt James deeply , who disregarded his father 's existence , telling everyone he was dead . Thelma learns about her grandfather while doing some family research . She meets him and invites him to the Evans ' home to surprise James for his birthday , not knowing that James was well aware of his whereabouts but chose to stay out of his life . After Henry arrives at the Evans home and meets the rest of the family , he realizes that James would not welcome him in the home and decides to leave . Florida convinces him to stay and talk to James and explains that there may never be another chance to do so . Henry and James have a heart - to - heart talk , with Henry being remorseful and apologetic . James ultimately forgives his father . After James ' death , the Evans family embraces Henry into the family , alongside his common law ( and eventually legal ) wife Lena in later episodes .   Wanda ( Helen Martin ) is another resident in the apartment building where the Evans reside . Earlier episodes show her at a women 's support group , and the tenants rallying around her by giving her a rent party . Later episodes show her appearing and crying at several funerals , whether she knew the person or not , thus earning her the nickname `` Weeping Wanda '' from J.J. and Willona .   Lynnetta Gordon ( Chip Fields ) is Penny 's abusive biological mother . Her first appearance is in the four part Fifth season opening episode , `` The Evans Get Involved '' . Lynnetta 's father abandoned her when she became pregnant at 16 . As a result , she takes her anger and frustrations out on Penny , including burning her with a hot iron . After the abuse is finally brought to light , she tells the Evans family that she , herself , was abused as a child . She gets into a fighting match with Willona and Thelma , and they plead for her to seek therapy . Just before she disappears , she expresses regret for hurting her child , telling Willona that Penny deserves better than her . This clears the way for Willona to adopt Penny . She reappears more than a year later , in the sixth - season episode , `` A Matter of Mothers '' , having gotten married , and reveals that her new husband is from a very wealthy family . She uses her husband 's wealth to send Penny anonymous gifts , and in an effort to regain custody of Penny , she also attempts to frame Willona as an unfit adoptive mother who throws wild parties with less than wholesome attendees . However , her scheme is exposed by being recorded on tape admitting that the scheme was a set up to get Penny back . After trying to get the tape from Penny and threatening to hurt her again , which is stopped by Willona , Penny tells her birth mother that no matter what anyone says , she will always consider Willona her mother . Devastated , she agrees to drop the charges against Willona and leaves Penny with her , never to be seen again .   Cleatus ( Jack Baker ) is a cousin of J.J. Evans , Thelma Evans Anderson , and Michael Evans and nephew of Florida Evans and James Evans . He made one appearance in the episode `` Cousin Cleatus '' .   Violet Bookman ( Marilyn Coleman ) is the wife of Bookman ( episodes : `` Bye , Bye Bookman '' and `` Willona , the Other Woman '' in season 5 ) .    Notable guest stars ( edit )  Louis Gossett , Jr. as Florida 's brother , Wilbert J.A. Preston as Walter Ingles , friend of Willona Woods ( Ja'net Dubois ) ( 1976 )   Debbie Allen as J.J. 's heroin - addicted fiancée , Diana in `` J.J. 's Fiancee ( Parts 1 &amp; 2 ) '' ( season 3 )   Matthew `` Stymie '' Beard ( former Our Gang child actor ) in five episodes , including four appearances as James ' friend Monty   Sorrell Booke as Mr. Galbraith , J.J. 's boss at the ad agency ( season 5 , episode 17 )   Roscoe Lee Browne as a shady televangelist Reverend Sam `` the Happiness Man '' , who befriended James in the military ( season 1 , episode 4 )   T.K. Carter as J.J. 's friend `` Head '' ( part of the `` Awesome Foursome '' , later the `` Gleesome Threesome '' , the `` Gruesome Twosome '' and the `` Lonesome Onesome '' , as stated in the episode `` The New Car ''   Rosalind Cash as Thelma 's teacher , Jessica Bishop , who becomes romantically involved with a much younger J.J. ( season 4 , episode 3 )   Judith Cohen as herself in the episode `` The Judy Cohen Story '' ( season 4 , episode 12 )   Gary Coleman as Gary , a sharp - tongued classmate of Penny 's in two season five episodes   Conchata Ferrell as Miss Johnson , Willona 's supervisor at her short - lived second job as security in a department store ( season 5 , episode 6 )   Kim Fields ( real - life daughter of Chip Fields ) as Penny 's friend , Kim , who has a tendency to add the suffix `` - ness '' to emphasize her anxiety such as `` hopelessnessness '' ( 2 season 6 episodes )   Carl Franklin as Larry , Thelma 's fiancé ' , ultimately breaking up when Larry is offered a job on the West Coast and Thelma is not ready to accompany him ( 2 episodes )   Alice Ghostley as Ms Dobbs , a social worker who is working on Penny being adopted by Willona ( 3 episodes )   Ron Glass as Michael 's elementary school principal ( 2.4 ) ; also made an appearance as a blind encyclopedia salesman who tries to swindle the Evans family ( 2.8 )   Louis Gossett , Jr. , in season two as Thelma 's older boyfriend ( Florida and James object to their relationship because of the age difference ) ( 2.6 ) ; also appears as Uncle Wilbert ( Florida 's brother ) , who comes from Detroit to look in on the family while James is away ( 3.8 )   Robert Guillaume as Fishbone the wino in the episode `` Requiem for a Wino '' ( season 5 , episode 11 )   Phillip Baker Hall as Motel Owner in the episode `` J.J. 's Fiancee ( Part 2 ) '' ( season 3 , episode 18 )   Shirley Hemphill as `` Roz '' , the dimwitted sister of Edna , who was being tutored by Thelma ( season 4 , episode 10 )   Gordon Jump as Mr. Rogers , the head of security at Willona 's short - lived second job as security in a department store ( season 5 , episode 6 )   Paula Kelly as Dr. Kelly in the episode `` Where Have All The Doctors Gone '' ( season 6 , episode 17 )   Jay Leno as `` Young Man '' in the season three 's `` J.J. in Trouble '' , which was one of the first times that the subject of `` VD '' ( STD ) was addressed on a primetime series   Calvin Lockhart as Florida 's cousin Raymond , who earned his riches by betting on horses ( season 6 , episode 23 )   Don Marshall as FBI Agent Lloyd in the episode `` The Investigation '' ( season 3 , episode 20 ) .   Paul Mooney as `` The Second Guy '' in the episode `` J.J. and T.C. '' ( season 6 )   Debbi Morgan as Samantha , a date of J.J. 's ( 3.23 ) ; and as Ellen ( 4.18 )   J.A. Preston as Walter Ingles in the episode `` Wilona 's Dilemma '' ( season 3 , episode 10 )   Charlotte Rae as a hiring manager for a sales job that Florida stole from James ( season 2 , episode 14 )   Sheryl Lee Ralph as Vanessa in the episode `` J.J. and The Plumber 's Helper '' ( season 6 , episode 9 )   Bubba Smith as Claude , a bodyguard / thug working for Marion `` Sweet Daddy '' Williams ( 4 season 6 episodes )   Thalmus Rasulala as Ernie Harris , a childhood friend of James with a gambling problem ( season 3 , episode 20 )   Philip Michael Thomas as Eddie , Thelma 's college - age boyfriend ( season 1 , episode 6 )   Adam Wade as successful businessman Frank Mason , Willona 's boyfriend ( 2 season 5 episodes )   Vernee Watson - Johnson as Thelma 's friend and college mate Valerie , in the episode `` Thelma 's African Romance ( Part 1 ) '' ( season 4 )   Carl Weathers as Calvin Brooks , husband of the ' nude ' model for J.J. 's painting ( season 2 , episode 16 )   Hal Williams as one of the movers in a season one episode ; James ' friend , Willie Washington ( season 2 ) ; and Mr. Mitchell , the father of Earl Mitchell , who is an art student of J.J. 's ( season 6 )   John Witherspoon as Officer Lawson in the episode `` A Matter of Mothers '' ( season 6 , episode 20 )    Production notes ( edit )  Co-creator Mike Evans ( 1975 )  Good Times was created by Eric Monte and actor Mike Evans . The series also features a character named `` Michael Evans '' , after co-creator Mike Evans who portrayed Lionel Jefferson on the Norman Lear - produced series All in the Family and The Jeffersons .   Theme song and opening sequence ( edit )   The gospel - styled theme song was composed by Dave Grusin with lyrics written by Alan and Marilyn Bergman . It was sung by Jim Gilstrap and Motown singer Blinky Williams with a gospel choir providing background vocals .   The lyrics to the theme song are notorious for being hard to discern , notably the line `` Hangin ' in a chow line '' / `` Hangin ' in and jivin ' '' ( depending on the source used ) . Dave Chappelle used this part of the lyrics as a quiz in his `` I Know Black People '' skit on Chappelle 's Show in which the former was claimed as the answer . The insert for the Season One DVD box set has the lyric as `` Hangin ' in a chow line '' . However , the Bergmans confirmed that the lyric is actually `` Hangin ' in and jivin ' . '' Slightly different lyrics were used for the closing credits , with the song beginning on a verse instead of the chorus .   Episodes ( edit )  Main article : List of Good Times episodes  Reception ( edit )   Ratings ( edit )  L -- R : Ralph Carter , Bern Nadette Stanis , Jimmie Walker , Esther Rolle and John Amos  The program premiered in February 1974 ; high ratings led CBS to renew the program for the 1974 -- 75 season , as it was the seventeenth - highest - rated program that year . During its first full season on the air , 1974 -- 75 , the show was the seventh - highest - rated program in the Nielsen ratings , with more than 25 % of all American households tuning into an episode each week . Three of the top ten highest - rated programs on American TV that season centered on the lives of African - Americans : Sanford and Son , The Jeffersons , and Good Times .   The Nielsen ratings for the series declined over time , partly because of its many time slot changes and the departure of John Amos . The ratings went down considerably when the show entered its final two seasons :     Season   TV Season   No. of Episodes   Time slot ( ET )   Nielsen ratings     Rank   Rating       1973 -- 1974   13   Friday at 8 : 30 pm   17   21.4 ( Tied with Barnaby Jones )       1974 -- 1975   24   Tuesday at 8 : 00 pm   7   25.8       1975 -- 1976   24   24   21.0       1976 -- 1977   24   Wednesday at 8 : 00 pm ( Episodes 1 - 15 , 17 - 24 ) Wednesday at 8 : 30 pm ( Episode 16 )   26   20.5     5   1977 -- 1978   24   Wednesday at 8 : 00 pm ( Episodes 1 , 3 - 16 ) Wednesday at 8 : 30 pm ( Episode 2 ) Monday at 8 : 00 pm ( Episodes 17 - 24 )   53   N / A     6   1978 -- 1979   22   Saturday at 8 : 00 pm ( Episode 1 ) Saturday at 8 : 30 pm ( Episodes 2 - 10 ) Wednesday at 8 : 30 pm ( Episodes 11 - 22 )   83   14.4     Awards and nominations ( edit )     Year   Association     Recipient ( s ) / work   Result       Golden Globe Awards   Best Supporting Actor -- Television   Jimmie Walker   Nominated       Best TV Actress -- Musical / Comedy   Esther Rolle   Nominated     Best Supporting Actor -- Television   Jimmie Walker   Nominated     Humanitas Prize   30 Minute Category   John Baskin and Roger Shulman / episode : `` The Lunch Money Ripoff ''   Nominated     30 Minute Category   Bob Peete / episode : `` My Girl Henrietta ''   Nominated     2006   TV Land Awards   Impact Award   John Amos , Ralph Carter , Ja'net DuBois , Esther Rolle ( posthumously ) , BernNadette Stanis , and Jimmie Walker   Won     Syndication ( edit )   Cable network TV One aired reruns of the show since its launch on January 19 , 2004 , with the exception of a period from 2002 until June 2013 . Good Times had also aired at various times on TV Land and on the Canadian specialty cable channel DejaView . Minisodes of the show are available for free on Crackle .   Additionally , digital multicast network Antenna TV also aired episodes of the show until January 1 , 2018 , when GetTV , operated by Sony ( which distributes the show ) began airing the program .   Good Times airs on GetTV with a TV - PG rating . Also , most episodes run on TV One with a TV - G rating , with the exception being the Season 3 episode `` J.J. in Trouble '' , in which J.J. fears he may have contracted an STD ; this episode airs on TV One with a TV - 14 rating , as well as the `` parental guidance is suggested '' slide that preceded the episode when it was originally broadcast on CBS . In the past , it aired on TV Land with a TV - PG rating .   DVD releases ( edit )   Sony Pictures Home Entertainment released the entire series on DVD in Region 1 between February 2003 and August 2006 , with a complete box set following the separate seasons on October 28 , 2008 . Season 1 was released on DVD in Region 4 on December 27 , 2006 .   On August 27 , 2013 , it was announced that Mill Creek Entertainment had acquired the rights to various television series from the Sony Pictures library including Good Times . They have subsequently re-released the first four seasons on DVD .   On September 1 , 2015 , Mill Creek Entertainment re-released Good Times - The Complete Series on DVD in Region 1 .     DVD name   Ep #   Release date     The Complete First Season   13   February 4 , 2003 January 21 , 2014 ( re-release )     The Complete Second Season   24   February 3 , 2004 January 21 , 2014 ( re-release )     The Complete Third Season   24   August 10 , 2004 May 20 , 2014 ( re-release )     The Complete Fourth Season   24   February 15 , 2005 May 20 , 2014 ( re-release )     The Complete Fifth Season   24   August 23 , 2005     The Complete Sixth and Final Season   24   August 1 , 2006     The Complete Series   133   October 28 , 2008 September 1 , 2015 ( re-release )     References ( edit )    Jump up ^ `` Cabrini - Green Set For Demolition '' . cbslocal.com . December 9 , 2010 .   ^ Jump up to : Simms , Gregory ( September 8 , 1977 ) . `` Ja'Net DuBois Tells Diet And ' Good Times ' Secrets During Swing Through Chi '' . Jet . Vol. 52 no . 25 . Johnson Publishing Company . pp. 62 -- 63 . ISSN 0021 - 5996 .   ^ Jump up to : Brooks , Tim ; Marsh , Earle F. ( October 17 , 2007 ) . The Complete Directory to Prime Time Network and Cable TV Shows , 1946 - Present ( 9 ed . ) . Ballantine Books . p. 869 . ISBN 0 - 345 - 49773 - 2 .   Jump up ^ The Star Ledger . December 11 , 2006   Jump up ^ `` Jimmie ' J.J. ' Walker lights ' Dy - no - mite ' on gay marriage , Leno and dating '' . CNN . July 16 , 2012 . Retrieved February 12 , 2012 .   Jump up ^ Fearn - Banks , Kathleen ( August 4 , 2009 ) . The A to Z of African - American Television . 49 . Scarecrow Press . p. 169 . ISBN 0 - 810 - 86348 - 0 .   Jump up ^ Robinson , Louie ( September 1975 ) . `` Bad Times On the ' Good Times ' Set '' . Ebony . Vol. 30 no . 11 . Johnson Publishing Company . p. 35 . ISSN 0012 - 9011 .   Jump up ^ Mitchell , John L. ( April 14 , 2006 ) . `` Plotting His Next Big Break '' . Los Angeles Times . Archived from the original on April 16 , 2016 . Retrieved November 3 , 2017 .   Jump up ^ `` ' I Was Fired , ' Reveals Good Times ' John Amos '' . Jet . Vol. 50 no . 10 . Johnson Publishing Company . May 27 , 1976 . p. 57 . ISSN 0021 - 5996 .   Jump up ^ Dawidziak , Mark ( January 17 , 1994 ) . `` Lear , Amos paired up again '' . Herald - Journal . p . C3 . Retrieved February 24 , 2013 .   Jump up ^ 5000 Episodes and No Commercials : The Ultimate Guide to TV Shows On DVD . Random House Digital , Inc . November 9 , 2011 . p. 125 . ISBN 0 - 307 - 79950 - 6 .   ^ Jump up to : Marguiles , Lee ( June 10 , 1978 ) . `` Esther Rolle Returning To ' Good Times ' '' . St. Petersburg Times . p. 11B . Retrieved February 24 , 2013 .   Jump up ^ Beck , Marilyn ( September 23 , 1977 ) . `` It 's ' good times ' for Ja'net Dubois '' . St. Petersburg Times . p. 14D . Retrieved February 24 , 2013 .   Jump up ^ Brooks , Tim ; Marsh , Earle F. ( October 17 , 2007 ) . The Complete Directory to Prime Time Network and Cable TV Shows , 1946 - Present ( 9 ed . ) . Ballantine Books . p. 552 . ISBN 0 - 345 - 49773 - 2 .   Jump up ^ Newcomb 2004 p. 1012   ^ Jump up to : Bodroghkozy , Aniko ( January 1 , 2012 ) . Equal Time : Television and the Civil Rights Movement . University of Illinois Press . p. 223 . ISBN 0 - 252 - 09378 - X .   Jump up ^ J.J. 's Fiancee with guest star Debbie Allen at IMDb   Jump up ^ Lewis , Dan ( February 19 , 1974 ) . `` Good Times Is Maude Spinoff '' . St. Joseph News - Press . p. 15 . Retrieved February 24 , 2013 .   ^ Jump up to : `` Backstage with ... Alan and Marilyn Bergman '' . timeout.com . Time Out New York . February 1 , 2007 . Retrieved July 31 , 2007 .   Jump up ^ `` Good Times In Trouble ; Jeffersons Holding Own '' . Jet . Vol. 55 no . 13 . Johnson Publishing Company . December 14 , 1978 . p. 64 . ISSN 0021 - 5996 .   Jump up ^ Brooks , Tim ; Marsh , Earle ( 2007 ) . The Complete Directory to Prime Time Network and Cable TV Shows 1946 - Present ( Ninth Edition ) . Ballantine Books . pp. 1687 -- 1688 . ISBN 978 - 0 - 345 - 49773 - 4 .   ^ Jump up to : http://www.revealshot.com/good-times-movie-is-bad-idea-but-could-be-cathartic-for-series-co-creator-eric-monte/   Jump up ^ Lacey , Gord ( August 27 , 2013</t>
  </si>
  <si>
    <t xml:space="preserve">who sang the theme song for the tv show good times</t>
  </si>
  <si>
    <t xml:space="preserve">   Good Times         Genre   Sitcom     Created by   Eric Monte and Mike Evans     Developed by   Norman Lear     Directed by     Gerren Keith   Herbert Kenwith   Bob LaHendro   Donald McKayle   Perry Rosemond       Starring     Esther Rolle ( Seasons 1 - 4 , 6 )   John Amos ( Seasons 1 -- 3 )   Jimmie Walker   Ja'net Dubois   Bern Nadette Stanis   Ralph Carter   Johnny Brown ( Seasons 2 - 6 )   Janet Jackson ( Seasons 5 -- 6 )   Ben Powers ( Season 6 )       Theme music composer     Dave Grusin   Alan Bergman   Marilyn Bergman       Opening theme   `` Good Times '' performed by Jim Gilstrap and Blinky Williams     Composer ( s )   Dave Grusin Alan and Marilyn Bergman     Country of origin   United States     Original language ( s )   English     No. of seasons   6     No. of episodes   133 ( list of episodes )     Production     Executive producer ( s )     Norman Lear ( 1974 -- 75 )   Allan Manings ( 1974 -- 77 )   Austin and Irma Kalish ( 1976 -- 78 )   Norman Paul ( 1975 -- 79 )       Producer ( s )     Allan Manings   Jack Elinson ( 1975 -- 76 )   Norman Paul   Austin and Irma Kalish   Lloyd Turner ( 1977 -- 78 )   Gordon Mitchell ( 1977 -- 78 )   Sid Dorfman ( 1978 -- 79 )       Production location ( s )   CBS Television City , Hollywood , California ( 1974 -- 75 ) Metromedia Square , Hollywood , California ( 1975 -- 79 )     Camera setup   Multi-camera     Running time   22 -- 24 minutes     Production company ( s )   Tandem Productions     Distributor     PITS Films ( 1979 -- 1984 ) Embassy Telecommunications ( 1984 -- 1986 )   Embassy Communications ( 1986 -- 1988 )   Columbia Pictures Television ( 1988 -- 1995 )   Columbia TriStar Television ( 1995 -- 2002 )   Sony Pictures Television ( 2002 -- present )       Release     Original network   CBS     Original release   February 8 , 1974 ( 1974 - 02 - 08 ) -- August 1 , 1979 ( 1979 - 08 - 01 )     Chronology     Preceded by   All in the Family Maude     Related shows   Checking In The Jeffersons Archie Bunker 's Place Gloria 704 Hauser   </t>
  </si>
  <si>
    <t xml:space="preserve">So Awkward - wikipedia  So Awkward  Jump to : navigation , search    So Awkward         Genre     Sitcom       Created by   Julie Bower     Written by     Julie Bower   Mark Oswin   Bede Blake   Matt Brito   Anthony McMurray       Directed by     Rebecca Rycroft   Jordan Hogg   Ian Curtis       Starring     Cleo Demetriou   Sophia Dall'Aglio   Ameerah Falzon - Ojo   Jamie Flatters   Archie Lyndhurst   Carla Mendonça   Clive Rowe       Composer ( s )   Samuel Karl Bohn     Country of origin   Britain     No. of series       No. of episodes   27     Production     Executive producer ( s )     Alan Marke   Jim Reid   Sue Nott   Chris Rose         Producer ( s )   Sally Martin     Editor ( s )     Justin James   Lindsey Dillon - Massey       Running time   28 minutes     Production company ( s )   Channel X     Release     Original network   CBBC     Picture format   16 : 9 1080i     Audio format   Stereo     Original release   21 May 2015 ( 2015 - 05 - 21 ) -- Present     External links     www.bbc.co.uk/cbbc/shows/so-awkward     So Awkward is a sitcom series on CBBC . It stars Cleo Demetriou as Lily Hampton , Ameerah Falzon - Ojo as Jas ( Jasmine ) Salford , and Sophia Dall'aglio as Martha Fitzgerald . The thirteen - episode first series began on May 21 , 2015 , and finished on August 6 , 2015 . Another thirteen - episode series began on August 25 , 2016 and ended on November 17 , 2016 , followed by a thirteen - episode third series - which began on August 31 , 2017 , and will end on December 7 , 2017 .     Contents  ( hide )   1 Plot   2 Cast   3 Episodes   3.1 Series 1 ( 2015 )   3.2 Series 2 ( 2016 )   3.3 Series 3 ( 2017 )     4 References   5 External links      Plot   Filmed in Manchester , So Awkward is a TV series with three socially awkward 13 year old girls , Lily Hampton , Jas Salford and Martha Fitzgerald , trying to fit in at school and deal with day - to - day life at school , boys and parental dramas .   Cast    Cleo Demetriou as Lily Hampton   Ameerah Falzon - Ojo as Jasmine Salford   Sophia Dall'aglio as Martha Fitzgerald   Samuel Small as Rob Edwards   Archie Lyndhurst as Ollie Coulton   Jamie Flatters as Matt Furnish   Susan Earl as Mrs Griggs   Kay Purcell as Mrs Rennison   Alex Carter as Mr Jeff Malone   Laura Aikman as Miss Vicky Parfitt   Clive Rowe as Mr Salford   Carla Mendonça as Mrs Fitzgerald   Vicky Hall as Mrs Hampton   Flynn Horne as Jason Hampton    Episodes     Season   Episodes   Originally aired     First aired   Last aired         13   May 21 , 2015 ( 2015 - 05 - 21 )   August 6 , 2015 ( 2015 - 08 - 06 )         13   August 25 , 2016 ( 2016 - 08 - 25 )   November 17 , 2016 ( 2016 - 11 - 17 )         15   August 31 , 2017 ( 2017 - 08 - 31 )   December 7 , 2017 ( 2017 - 12 - 07 )     Series 1 ( 2015 )     No. in series   No. in season   Title   Directed by   Written by   Original air date         `` Parentology ''   Rebecca Ryworth   Julie Bower   21 May 2015 ( 2015 - 05 - 21 )     Martha feels abandoned by her workaholic mother , so she tries to get into trouble at school to be noticed , with the help of Jas . Unfortunately , this is not as easy as it seems . When her mum realises that Martha is feeling abandoned she tries to fix it , but Martha realises that she would rather have her workaholic mother the way she was before . Meanwhile , Lily is tired of her mother knitting her embarrassing jumpers and asking her if she has a boyfriend . She gives up and pretends that Ollie is her boyfriend , with disastrous results         `` Friendundancy ''   Rebecca Ryworth   Julie Bower   21 May 2015 ( 2015 - 05 - 21 )     Mufti Day is arriving , and Lily does n't want to wear one of Jas ' quirky and weird outfits again . She runs into Natasha Jones , and accidentally suggests they all wear yellow , and ends up trying to change between Jas ' and Natasha 's outfits . She finally gives up when she forgets that Jas had transferred into her Art class the week before . Lily embraces Jas ' zombie idea , and they end up setting a cool trend . Meanwhile Martha turns into a Goth , and Ollie decides that due to his fear of clothes he ca n't take the girls talking about clothes any more . Ollie gives the girls a ' friendundancy ' form to sign .         `` A Minus ''   Jordan Hogg   Bede Blake   28 May 2015 ( 2015 - 05 - 28 )     Martha is mortified when she gets an A - on her test , so she revises so much that she begins to faint all over the place . Mrs. Griggs gets worried about her , so she decides to make Matt her ' fun ' tutor . At first Martha is annoyed , but she soon learns that she can have fun , and she helps get Matt 's grades up . Lily is jealous that Martha is spending so much with Matt , and Ollie is jealous that Martha is always with Matt , so Jas comes up with a plan to put them together .         `` The Nox Factor ''   Jordan Hogg   Julie Bower   4 June 2015 ( 2015 - 06 - 04 )     Martha 's mum buys three tickets to a science talk hosted by a famous scientist , Dr. Nox . Lily and Jas both fancy him , so they compete at being a better friend so Martha will take them . In the end , Martha goes to ask Mrs. Griggs who she should pick . After failing to convince Martha to take her , Mrs. Griggs confiscates the tickets , but accidentally leaves them in a book which she later returns to the library . Meanwhile , Ollie wants to prove to everyone else that he is better than Dr. Nox , with Matt 's help .     5   5   `` Mr. Sicky Bear ''   Jordan Hogg   Julie Bower   11 June 2015 ( 2015 - 06 - 11 )     Jas really wants to be Juliet in the play in assembly , but catches a cold . She accidentally passes the cold on to Martha and they both have to take a few days off . Martha stays at Jas ' house . When she gets there though , she discovers Jas ' house is a mess and spends ages cleaning . She also washes a teddy that Jas ' dad uses to cheer up Jas when she is sick , which deeply upsets Jas and her dad . Meanwhile , because Jas is sick , Ollie really wants Lily to be Juliet in the play . However , she does n't want to betray Jas even though Romeo is Matt Furnish , her crush .     6   6   `` Love Machine ''   Jordan Hogg   Bede Blake   18 June 2015 ( 2015 - 06 - 18 )     Lily is worried that she and Matt might not be compatible , so Jas adapts some plant compatibility software , which tells you how compatible you are with someone , or who your perfect match is from the entire school database . When Lily finds out that she and Matt are 97 % compatible , she becomes worried and tries to figure out what the 3 percent is . When Jas enters Mrs. Griggs into the software , she is horrified to find out that the perfect match is her own father ! She becomes worried when Mrs. Griggs gives her a letter to give to her dad , and hides it thinking that it was a date offer . However , when Lily has the same envelope , Jas finds out that it was just a request to help out at the school fair .     7   7   `` Library vs. Tree ''   Rebecca Ryworth   Mark Oswin   25 June 2015 ( 2015 - 06 - 25 )     Martha is campaigning to get a new library built , but when campaigning works , they find out that Jas ' favourite tree would have to be cut down . A fierce battle between Martha and Jas and their parents ensues . When it is all over they find that plans for the library have been cancelled , but then find out that the tree will still be cut down for a new sports centre .     8   8   `` Space Over ''   Rebecca Ryworth   Julie Bower   2 July 2015 ( 2015 - 07 - 02 )     When Lily finds out that Matt is going out with a girl called Greta Masters , she becomes very upset . Jas organises a sleepover to cheer her up , but Martha is upset because a rare comet sighting is on the same night . She attempts to sneak Ollie into the attic of Lily 's house so that they can see the comet .     9   9   `` Fitzgerald vs Fitzgerald ''   Jordan Hogg   Matt Brito   9 July 2015 ( 2015 - 07 - 09 )     When the Careers advisor suggests that Martha can not become a human rights lawyer and that she should aim lower , she campaigns against her mother to bring back the schools vending machine because Jas can not focus without the chocolate from it . She is nearly beaten , but proves that her mother did n't sign it . Because Martha 's mother used her signature stamp , it was n't a legal document .     10   10   `` Rox My World ''   Rebbeca Rycroft   Bede Blake   16 July 2015 ( 2015 - 07 - 16 )     The girls have teamed up to enter a National Young Inventors competition . Lily and Martha fall out when Lily leaves the team to join Matt 's team , and Martha replaces Lily with super-geek Roxanne Bunce . Roxanne has recently returned from a science exchange programme in France , and during that time she has undergone a major transformation - the super-geek has become super-cool , now calling herself Roxy . Matt Furnish falls head - over-heels for Roxy and comes to Lily for advice on how to impress her . Lily ends up giving the boy she likes lessons in how to chat up another girl . Meanwhile , Lily does n't realise Jas in turn has been advising Roxy on how to secure Matt as a boyfriend .     11   11   `` Good Girls ''   Rebecca Rycroft   Mark Oswin   30 July 2015 ( 2015 - 07 - 30 )     When Lily loses her tie , she is encouraged unwittingly to ' steal ' a tie by an older pupil whom she helped earlier . Meanwhile , Martha is called a snitch and denies this .     12   12   `` Everyone Loves Clementine ''   Rebecca Rycroft   Matt Brito   30 July 2015 ( 2015 - 07 - 30 )     Lily borrows books from the library and leaves them on top of a car while she ties her shoe laces but the trouble starts when the car drives off with them . The books were due back that day and as Lily does n't want to get banned from the library she makes up Clementine to say that Clementine lost the books so Jas tries to make Clementine as convincing as possible , but even more trouble is about to happen when she get carried away .     13   13   `` Pouncing Tigers ''   Jordan Hogg   Julie Bower   6 August 2015 ( 2015 - 08 - 06 )     Series 2 ( 2016 )     No. in series   No. in season   Title   Directed by   Written by   Original air date     14     `` Dinner Date ''   Ian Curtis   Anthony McMurray   25 August 2016 ( 2016 - 08 - 25 )     Lily invites Matt round for dinner , but things do n't go as planned . Meanwhile Martha 's obsession with emulating her idol makes Ollie jealous .     15     `` PSHE Hee Hee ''   Ian Curtis   Anthony McMurray   1 September 2016 ( 2016 - 09 - 01 )     Martha fears Mr Malone is not teaching PHSE well enough , so is worried that she will fail , while Lily is worried that she ca n't make Matt laugh .     16     `` Locustium Insectium ''   Ian Curtis   Julie Bower   8 September 2016 ( 2016 - 09 - 08 )     Jas looks after the school locusts and becomes devoted to them ; Lily 's attempts to cover up the locusts ' escape from her rapidly get out of hand . Meanwhile , Martha and Ollie get preoccupied by their competing phone apps .     17     `` The Kiss ''   Ian Curtis   Lucy Guy   15 September 2016 ( 2016 - 09 - 15 )     Lily is determined to kiss Matt to prove they really are boyfriend and girlfriend , Martha and Ollie do a project on the transfer of germs , and Mr Malone suspects Mrs Griggs is flirting with him .     18   5   `` Slang Gang ''   Ian Curtis   Anthony MacMurray   22 September 2016 ( 2016 - 09 - 22 )     Martha and Ollie build a slang generator machine to help them come up with a cool slogan for the school graffiti wall . Meanwhile , Jas tries to track down the inventor of a new slang word going round the school and Lily wonders what 's in Matt 's diary .     19   6   `` Girls &amp; Boys ''   Ian Curtis   Adam G Goodwin and Jonathan Parkyn   29 September 2016 ( 2016 - 09 - 29 )     The girls are mistaken for boys when dressing up for drama , and Lily keeps up the pretense in order to get closer to Matt . Ollie , without his contact lenses and trying to avoid wearing his old glasses , strikes up a friendship with Lily 's alter ego ' Liam ' .     20   7   `` BFF ''   Ian Curtis   Matt Brito   6 October 2016 ( 2016 - 10 - 06 )     When Mrs Hampton volunteers to help out at the upcoming food festival at school Lily worries that her mother is going to embarrass her , but when Jas tries to help it only leads to jealousy . Meanwhile , Martha becomes an accidental rebel and risks her place on the chess team .     21   8   `` Race To The Bottom ''   Jordan Hogg   Mark Oswin   13 October 2016 ( 2016 - 10 - 13 )     22   9   `` Party Clause ''   Jordan Hogg   Julie Bower   20 October 2016 ( 2016 - 10 - 20 )     23   10   `` What Would Emmeline Do ''   Jordan Hogg   Lucy Guy   27 October 2016 ( 2016 - 10 - 27 )     24   11   `` The Salford Curse ''   Jordan Hogg   Jonathan Parkyn and Adam G Goodwin   3 November 2016 ( 2016 - 11 - 03 )     Ollie and Martha feel that Cassie and Maxwell are trying to replace them as they are copying what Ollie and Martha do but better so they feel as they have to stop Cassie and Maxwell by sabotaging their lemonade stand , meanwhile Keith Salford is coaching the school hockey team and is relying on Jas to not get distracted and stop the other team from scoring but gets nervous when she believes she is under a curse . Lily is not apart of any of these things and feels as if she has just lost her friends so she tries to get them to notice how great friends they were and how it would be great if they were still friends .     25   12   `` Eye Contact ''   Jordan Hogg   Holly Phillips   10 November 2016 ( 2016 - 11 - 10 )     26   13   `` Totes Emosh ''   Jordan Hogg   Julie Bower   17 November 2016 ( 2016 - 11 - 17 )     Martha is troubled when she 's the only one who has n't cried in assembly meaning she has to find a way to get the different feelings which make her cry if she wants to change the world , meanwhile Matt wants to audition for a school band with another popular girl which makes lily jealous . Matt does n't get the place in the band but still wants to perform so he decides to perform in front of the school but when he loses his voice he needs Lily 's help . Lily ends up singing the song which leads into Matt and Lily becoming a couple .     Series 3 ( 2017 )     No. in series   No. in season   Title   Directed by   Written by   Original air date     27     `` The Two Mrs. Hamptons ''   Ian Curtis   Anthony MacMurray   31 August 2017 ( 2017 - 08 - 31 )      Lily realises she 's turning out to be just like her mum . When she discovers her mum 's school grades suddenly dropped from straight As to Cs and Ds the year she got her first boyfriend , Lily is desperate to avoid the same thing happening to her now she 's officially going out with Rob . She tries different strategies - hanging out with younger kids Cassie and Maxwell to keep herself young and planning an educational Saturday afternoon out with Rob rather than going trainer shopping . None of her strategies work .  Meanwhile Rufus , who has a big crush on Martha , is helping her with her conversational Spanish . When Rufus asks Martha out and she says no he figures she must already have a boyfriend and guesses it 's Ollie . Uncomfortable with the situation , yet anxious still to keep Rufus as her tutor , Martha decides to pretend she is actually going out with Ollie .     28     `` Ms Perfect ''   Ian Curtis   Anthony MacMurray   7 September 2017 ( 2017 - 09 - 07 )      History teacher Mr Malone is jealous when new geography teacher Ms Parfitt arrives on the scene and all the pupils are excited about how brilliant a teacher she is . When it 's announced there is not enough money to fund both a geography and history field trip and the most popular trip will be the one that gets the funding , both teachers go head to head in a fierce competition to get their field trip chosen . Dirty tactics are employed by Mr Malone - he steals Ms Parfitt 's coffee supply , so she 's super-sleepy and unable to teach and tries to find out how she produces real smoke from her model volcano in class - almost getting himself blown up in the process .  Meanwhile , Lily is complaining Rob is too ' boy ' - she finds his boisterousness and burping gross and decides to give him a dose of his own medicine . It backfires - she eats disgustingly in his presence intending to shock him , but he does n't even notice . By contrast , Ollie is sick of being treated by the others as one of the girls and Rob agrees to teach Ollie to be more ' boy ' .     29     `` Science Chic ''   TBA   TBA   14 September 2017 ( 2017 - 09 - 14 )      A business studies competition is announced at school , and both Lily and Martha desperately want to be project manager . Lily thinks she would be the best candidate because the task is to organise a fashion show and she is more creative . Martha wants to be project manager so she gets to meet her business hero Sir Adam Salt . It is decided the role will go to the one who can come up with the best outfit design . Lily is confident she will win , but against the odds Martha wins with her ' lab coat ' design .  Martha gets carried away and turns into a true fashionista . Lily is upset that Martha has taken over her natural role , and Martha in turn is jealous when she discovers Lily and Ollie happily working on the spreadsheet . To add insult to injury , Martha 's mother tries to muscle in and redesign the collection. Meanwhile , when Jas accidentally wrecks the shelves in Mrs Rennison 's office , Mr Salford is roped into repairing them . Jas mistakenly thinks her dad is a DIY expert - he is actually hopeless but has never had the heart to tell Jas .     30     `` A Room of Her Own ''   TBA   TBA   21 September 2017 ( 2017 - 09 - 21 )     Lily decides her bedroom is babyish and needs a makeover to reflect the fact she is now a sophisticated teen . So Lily and her mum decide to donate all her old toys to the upcoming school charity auction . Jas and Lily 's mum secretly plan to redecorate her room as a surprise when Lily is out . Meanwhile in Life Lessons class Martha and Ollie volunteer to be parents to a new ' baby app ' , thinking it 'll be an easy task . Utterly defeated by the baby app 's constant crying and demands they palm ' baby ' off on Cassie and Maxwell , who in turn are soon at their wits ' end .     31   5   `` Never the Bridsemaid , Never the Bride ''   TBA   TBA   28 September 2017 ( 2017 - 09 - 28 )      Jas is asked to be a bridesmaid and is worried about being too clumsy to pull it off . Lily suggests staging a mock wedding so Jas can have a rehearsal - with herself and Rob as the bride and groom ! Lily goes all Bridezilla . As she plans the big day she gets so carried away that she actually has no time for Rob and snubs him , just when he 's ready to take their relationship to the next level and ask Lily on a romantic meal out .  Meanwhile , Mr Salford has been asked to make a presentation to become the area youth hockey rep . Terrified of public speaking , he gets Mrs Griggs to help him . Mrs Griggs declares he must make a speech at the fake wedding .     32   6   `` Fly Me to the Moon ''   TBA   TBA   5 October 2017 ( 2017 - 10 - 05 )      No - one wants to be Jas ' partner for Experiment Friday , as her science projects are always too crazy and ambitious - meaning she gets really low marks . However , first Rufus is roped in to ' Team Jas ' and then Ollie and Rob . Jas calls Ollie and Rob to the art room and when they get there it 's all in darkness , until the lights suddenly come on and Jas and Rufus announce from the control room next door ' You 're going to the moon ! ' . She has transformed the art room into a spaceship to conduct an experiment into how teenage boys deal with being cooped up together on a long space voyage .  Meanwhile , Lily and Martha have been paired with Cassie and Maxwell for Experiment Friday . Lily is fretting that she and Rob are obviously incompatible as he hates her favourite naturalist Steve Batchelor and Cassie and Maxwell decide to ' study ' Lily as part of their science project , researching teen relationship issues .     33   7   `` Hormone Horror ''   TBA   TBA   12 October 2017 ( 2017 - 10 - 12 )      Martha starts acting oddly , getting emotional and over-reacting to things . She 's horrified to realise that her hormones are kicking in . Lily sympathises - she feels the same . Jas is n't feeling any effects from her hormones but , not wanting to feel left out , decides to fake it . Faced with two seemingly hormonal teenagers , Mrs Fitzgerald and Mr Salford join forces to address their problem . Deciding that exercise is a great antidote , they try to encourage Jas and Martha to join the new street dance class Ms Parfitt is running .  Meanwhile , Mrs Griggs wants to be best friends with Ms Parfitt and thinks Ms Parfitt 's street dance class is the perfect opportunity to impress her .     34   8   TBA   TBA   TBA   19 October 2017 ( 2017 - 10 - 19 )      Martha and Ollie throw Cassie and Maxwell off the maths team , desperate not to be outshone as they were last year by the lightning - fast buzzer technique of the younger pair . Outraged , Cassie and Maxwell vow to fight for their rightful places on the team .   After what he considers a near - death experience stranded up a ladder , Alfie is determined to compile and complete a ' bucket list ' before it 's too late . Jas thinks she 's helping him by encouraging him to do the scariest things she can think of , but poor Alfie becomes increasingly traumatised . Jas realises that she really needs to help him achieve his own personal goal - spending time with Martha !  Meanwhile , Rob has to attend a History Catch - Up Club run by Mr Malone . Lily is frustrated , as she 's hardly getting to see Rob at all and Ms Parfitt is jealous of the club 's popularity .     35   9   TBA   TBA   TBA   26 October 2017 ( 2017 - 10 - 26 )     36   10   TBA   TBA   TBA   2 November 2017 ( 2017 - 11 - 02 )     37   11   TBA   TBA   TBA   9 November 2017 ( 2017 - 11 - 09 )     38   12   TBA   TBA   TBA   16 November 2017 ( 2017 - 11 - 16 )     39   13   TBA   TBA   TBA   23 November 2017 ( 2017 - 11 - 23 )     40   14   TBA   TBA   TBA   30 November 2017 ( 2017 - 11 - 30 )     41   15   TBA   TBA   TBA   7 December 2017 ( 2017 - 12 - 07 )     References    ^ Jump up to : `` Forecast students to star in new CBBC Sitcom '' . Forecast Academy . 19 May 2014 . Retrieved 4 August 2015 .   Jump up ^ `` The Next Step -- Episode Guide '' . Zap2it . Retrieved 16 March 2015 .   ^ Jump up to : `` Series 2 Dinner Date Credits '' . BBC . Retrieved 12 October 2016 .   Jump up ^ `` So Awkward Series 2 : 1 . Dinner Date '' . BBC . Retrieved 12 October 2016 .   ^ Jump up to : `` Series 2 PSHE Hee Hee Credits '' . BBC . Retrieved 12 October 2016 .   Jump up ^ `` So Awkward Series 2 : 2 . PSHE Hee Hee '' . BBC . Retrieved 12 October 2016 .   ^ Jump up to : `` Series 2 Locustium Insectium Credits '' . BBC . Retrieved 12 October 2016 .   Jump up ^ `` So Awkward Series 2 : 3 . Locustium Insectium '' . BBC . Retrieved 12 October 2016 .   ^ Jump up to : `` Series 2 The Kiss Credits '' . BBC . Retrieved 12 October 2016 .   Jump up ^ `` So Awkward Series 2 : 4 . The Kiss '' . BBC . Retrieved 12 October 2016 .   ^ Jump up to : `` Series 2 Slang Gang Credits '' . BBC . Retrieved 12 October 2016 .   Jump up ^ `` So Awkward Series 2 : 5 . Slang Gang '' . BBC . Retrieved 12 October 2016 .   ^ Jump up to : `` Series 2 Girls &amp; Boys Credits '' . BBC . Retrieved 12 October 2016 .   Jump up ^ `` So Awkward Series 2 : 6 . Girls &amp; Boys '' . BBC . Retrieved 12 October 2016 .   ^ Jump up to : `` Series 2 BFF Credits '' . BBC . Retrieved 12 October 2016 .   Jump up ^ `` So Awkward Series 2 : 7 . BFF '' . BBC . Retrieved 12 October 2016 .    External links    So Awkward - CBBC Online   So Awkward on IMDb   Retrieved from `` https://en.wikipedia.org/w/index.php?title=So_Awkward&amp;oldid=806607396 '' Categories :   2015 British television programme debuts   2010s British children 's television series   BBC high definition programmes   BBC children 's television programmes   Children 's television sitcoms   British teen sitcoms   English - language television programs   Television shows set in the United Kingdom   Hidden categories :   Wikipedia pages semi-protected against vandalism   Use dmy dates from May 2016   Pages using infobox television with editor parameter   Episode list using the default LineColor           Talk                           View source                 Contents                   About Wikipedia                                           Add links   This page was last edited on 23 October 2017 , at 02 : 13 .         About Wikipedia                    </t>
  </si>
  <si>
    <t xml:space="preserve">who plays rob in so awkward season 3</t>
  </si>
  <si>
    <t xml:space="preserve"> Samuel Small as Rob Edwards </t>
  </si>
  <si>
    <t xml:space="preserve">Sexual differentiation in humans - wikipedia  Sexual differentiation in humans  Jump to : navigation , search The human Y chromosome showing the SRY gene which codes for a protein regulating sexual differentiation .  Sexual differentiation in humans is the process of development of sex differences in humans . It is defined as the development of phenotypic structures consequent to the action of hormones produced following gonadal determination . Sexual differentiation includes development of different genitalia and the internal genital tracts , breasts , body hair , and plays a role in gender identification .   The development of sexual differences begins with the XY sex - determination system that is present in humans , and complex mechanisms are responsible for the development of the phenotypic differences between male and female humans from an undifferentiated zygote . Females have two X chromosomes , and males have a Y chromosome and an X chromosome . At an early stage in embryonic development , both sexes possess equivalent internal structures . These are the mesonephric ducts and paramesonephric ducts . The presence of the SRY gene on the Y chromosome causes the development of the testes in males , and the subsequent release of hormones which cause the paramesonephric ducts to regress . In females , the mesonephric ducts regress .   Divergent sexual development , also known as intersexuality , can be a result of genetic and hormonal factors .     Contents  ( hide )   1 Sex determination   2 Reproductive system   2.1 Internal genital differentiation   2.2 External genital differentiation     3 Secondary sexual characteristics   3.1 Breast     4 Psychological and behavioral differentiation   5 Intersex conditions   6 Timeline   7 See also   8 Further reading   9 References      Sex determination ( edit )  Main article : XY sex - determination system      This article 's factual accuracy is disputed . Relevant discussion may be found on the talk page . Please help to ensure that disputed statements are reliably sourced . ( December 2017 ) ( Learn how and when to remove this template message )     A baby 's sex is determined at the time of conception . When the baby is conceived , a chromosome from the sperm cell , either X or Y , fuses with the X chromosome in the egg cell , determining whether the baby will be female ( XX ) or male ( XY ) . To be female , one needs to be ( XX ) , whereas to be a male , ( XY ) is needed . It is the Y chromosome that is essential for the development of the male reproductive organs , and with no Y chromosome , an embryo will develop into a female . This is because of the presence of the sex determining region of the Y chromosome , also known as the SRY gene .   A fetus does n't develop its external sexual organs until the second month of pregnancy -- seven weeks after conception . The fetus appears to be sexually indifferent , looking neither like a male or a female . Over the next five weeks , the fetus begins producing hormones that cause its sex organs to grow into either male or female organs . This process is called sexual differentiation . The precursor of the internal female sex organs is called the Müllerian system .   Reproductive system ( edit )  Main article : Development of the reproductive system  By 7 weeks , a fetus has a genital tubercle , urogenital groove and sinus , and labioscrotal folds . In females , without excess androgens , these become the clitoris , urethra and vagina , and labia   Differentiation between the sexes of the sex organs occurs throughout embryological , fetal and later life . This includes both internal and external genital differentiation . In both males and females , the sex organs consist of three structures : the gonads , the internal genitalia , and the external genitalia . In males , the gonads are the testes and in females they are the ovaries . These are the organs that produce gametes ( egg and sperm ) , the reproductive cells that will eventually meet to form the fertilized egg ( zygote ) .   As the zygote divides , it first becomes the embryo ( which means ' growing within ' ) , typically between zero and eight weeks , then from the eighth week until birth , it is considered the fetus ( which means ' unborn offspring ' ) . The internal genitalia are all the accessory glands and ducts that connect the gonads to the outside environment . The external genitalia consist of all the external reproductive structures . The sex of an early embryo can not be determined because the reproductive structures do not differentiate until the seventh week . Prior to this , the child is considered bipotential because it can not be identified as male or female .   Internal genital differentiation ( edit )   The internal genitalia consist of two accessory ducts : mesonephric ducts ( male ) and paramesonephric ducts ( female ) . The mesonephric system is the precursor to the male genitalia and the paramesonephric to the female reproductive system . As development proceeds , one of the pairs of ducts develops while the other regresses . This depends on the presence or absence of the sex determining region of the Y chromosome , also known as the SRY gene . In the presence of a functional SRY gene , the bipotential gonads develop into testes . Gonads are histologically distinguishable by 6 -- 8 weeks of gestation .   Subsequent development of one set and degeneration of the other depends on the presence or absence of two testicular hormones : testosterone and anti-müllerian hormone ( AMH ) . Disruption of typical development may result in the development of both , or neither , duct system , which may produce morphologically intersex individuals .   Males : The SRY gene when transcribed and processed produces SRY protein that binds to DNA and directs the development of the gonad into testes . Male development can only occur when the fetal testis secretes key hormones at a critical period in early gestation . The testes begin to secrete three hormones that influence the male internal and external genitalia : they secrete anti-müllerian hormone ( AMH ) , testosterone , and dihydrotestosterone ( DHT ) . Anti-müllerian hormone causes the paramesonephric ducts to regress . Testosterone converts the mesonephric ducts into male accessory structures , including the epididymis , vas deferens , and seminal vesicle . Testosterone will also control the descending of the testes from the abdomen into the scrotum . Many other genes found on other autosomes , includingWT - 1 , SOX9 , SF - 1 also play a role in gonadal development .   Females : Without testosterone and AMH , the mesonephric ducts degenerate and disappear . The paramesonephric ducts develop into a uterus , fallopian tubes , and upper vagina . There still remains a broad lack of information about the genetic controls of female development , and much remains unknown about the female embryonic process .   External genital differentiation ( edit )  Photograph of an adult female human , with an adult male for comparison . Note that both models have partially shaved body hair .  Males become externally distinct between 8 and 12 weeks , as androgens enlarge the phallus and cause the urogenital groove and sinus to fuse in the midline , producing an unambiguous penis with a phallic urethra , and a thinned , rugated scrotum . Dihydrotestosterone will differentiate the remaining male characteristics of the external genitalia .   A sufficient amount of any androgen can cause external masculinization . The most potent is dihydrotestosterone ( DHT ) , generated from testosterone in skin and genital tissue by the action of 5α - reductase . A male fetus may be incompletely masculinized if this enzyme is deficient . In some diseases and circumstances , other androgens may be present in high enough concentrations to cause partial or ( rarely ) complete masculinization of the external genitalia of a genetically female fetus . The testes begin to secrete three hormones that influence the male internal and external genitalia . They secrete anti-müllerian hormone , testosterone , and Dihydrotestosterone . anti-Müllerian hormone ( AMH ) causes the paramesonephric ducts to regress . Testosterone , which is secreted and converts the mesonephric ducts into male accessory structures , such as epididymis , vas deferens and seminal vesicle . Testosterone will also control the descending of the testes from the abdomen into the scrotom . Dihydrotestosterone , also known as ( DHT ) will differentiate the remaining male characteristics of the external genitalia .   Further sex differentiation of the external genitalia occurs at puberty , when androgen levels again become disparate . Male levels of testosterone directly induce growth of the penis , and indirectly ( via DHT ) the prostate .   Alfred Jost observed that while testosterone was required for mesonephric duct development , the regression of the paramesonephric duct was due to another substance . This was later determined to be paramesonephric inhibiting substance ( MIS ) , a 140 kD dimeric glycoprotein that is produced by sertoli cells . MIS blocks the development of paramesonephric ducts , promoting their regression .   Secondary sexual characteristics ( edit )   Breast ( edit )   Visible differentiation occurs at puberty , when estradiol and other hormones cause breasts to develop in typical females .   Psychological and behavioral differentiation ( edit )       This section possibly contains original research . Please improve it by verifying the claims made and adding inline citations . Statements consisting only of original research should be removed . ( May 2017 ) ( Learn how and when to remove this template message )     Human adults and children show many psychological and behavioral sex differences . Some ( e.g. , dress ) are learned and obviously cultural . Others are demonstrable across cultures and have both biological and learned determinants . For example , some studies claim girls are , on average , more verbally fluent than boys , but boys are , on average , better at spatial calculation . Some have observed that this may be due to two different patterns in parental communication with infants , noting that parents are more likely to talk to girls and more likely to engage in physical play with boys . Because people can not explore hormonal influences on human behavior experimentally , the relative contributions of biological factors and learning to human psychological and behavioral sex differences ( especially gender identity , role , and sexual orientation ) are controversial ( and hotly contested ) .   Current theories on mechanisms of sexual differentiation of brains and behavior in humans are based primarily on three sources of evidence : animal research involving manipulation of hormones in early life , observation of outcomes of small numbers of individuals with disorders of sexual development ( intersex conditions or cases of early sex reassignment ) , and statistical distribution of traits in populations ( e.g. , rates of homosexuality in twins ) . Many of these cases suggest some genetic or hormonal effect on sex differentiation of behavior and mental traits this has been disputed as poor interpretation of scientific methodology .   Intersex conditions ( edit )  Main article : Intersex  The following variations are associated with atypical determination and differentiation process :    A zygote with only X chromosome ( XO ) results in Turner syndrome and will develop with female characteristics .   Congenital adrenal hyperplasia - Inability of adrenal to produce sufficient cortisol , leading to increased production of testosterone resulting in severe masculinization of 46 XX females .   Persistent müllerian duct syndrome - A rare type of pseudohermaphroditism that occurs in 46 XY males , caused by either a mutation in the Müllerian inhibiting substance ( MIS ) gene , on 19p13 , or its type II receptor , 12q13 . Results in a retention of Müllerian ducts ( persistence of rudimentary uterus and fallopian tubes in otherwise normally virilized males ) , unilateral or bilateral undescended testes and sometimes causes infertility .   XY differences of sex development - Atypical androgen production or inadequate androgen response , which can cause incomplete masculinization in XY males . Varies from mild failure of masculinization with undescended testes to complete sex reversal and female phenotype ( Androgen insensitivity syndrome )   Swyer syndrome . A form of complete gonadal dysgenesis , mostly due to mutations in the first step of sex determination ; the SRY genes .   A 5 - alpha - reductase deficiency results in atypical development characterized by female phenotype or undervirilized male phenotype with development of the epididymis , vas deferens , seminal vesicle , and ejaculatory duct , but also a pseudovagina . This is because testosterone is converted to the more potent DHT by 5 - alpha reductase . DHT is necessary to exert androgenic effects farther from the site of testosterone production , where the concentrations of testosterone are too low to have any potency .    Timeline ( edit )   Human prenatal sexual differentiation   Fetal age ( weeks )   Crown - rump length ( mm )   Sex differentiating events       blastocyst   Inactivation of one X chromosome       2 - 3   Development of wolffian ducts     5   7   Migration of primordial germ cells in the undifferentiated gonad     6   10 - 15   Development of müllerian ducts     7   13 - 20   Differentiation of seminiferous tubules     8   30   Regression of müllerian ducts in male fetus     8   32 - 35   Appearance of Leydig cells . First synthesis of testosterone     9   43   Total regression of müllerian ducts . Loss of sensitivity of müllerian ducts in the female fetus     9   43   First meiotic prophase in oogonia     10   43 - 45   Beginning of masculinization of external genitalia     10   50   Beginning of regression of wolffian ducts in the female fetus     12   70   Fetal testis is in the internal inguinal ring     12 - 14   70 - 90   Male penile urethra is completed     14   90   Appearance of first spermatogonia     16   100   Appearance of first ovarian follicles     17   120   Numerous Leydig cells . Peak of testosterone secretion     20   150   Regression of Leydig cells . Diminished testosterone secretion     24   200   First multilayered ovarian follicles . Canalisation of the vagina     28   230   Cessation of oogonia multiplication     28   230   Descent of testis     See also ( edit )    Heteronormativity   Gender essentialism   Neuroscience of sex differences   Sex differences in humans    Further reading ( edit )    Josso , Nathalie . ( May 10 , 2008 ) . Sex Determination . Differences of Sex Determination . June 26 , 2012 .   De Felici , M. ( 2010 ) . `` Germ stem cells in the mammalian adult ovary : Considerations by a fan of the primordial germ cells '' . Molecular Human Reproduction. 16 ( 9 ) : 632 -- 6 . doi : 10.1093 / molehr / gaq006 . PMID 20086005 .   Rodolfo Rey . ( November 10 , 2009 ) . Externalgenitalia . Endotext . June 26 , 2012 .   Sharman , GB ; Hughes , RL ; Cooper , DW ( 1989 ) . `` The Chromosomal Basis of Sex - Differentiation in Marsupials '' . Australian Journal of Zoology. 37 ( 3 ) : 451 . doi : 10.1071 / ZO9890451 .   Watson , CM ; Margan , SH ; Johnston , PG ( 1998 ) . `` Sex - chromosome elimination in the bandicoot Isoodon macrourus using Y - linked markers '' . Cytogenetics and Cell Genetics . 81 ( 1 ) : 54 -- 9 . doi : 10.1159 / 000015008 . PMID 9691176 .   Minireview : Sex Differentiation .    References ( edit )    ^ Jump up to : Hughes , Ieuan A. ( 1 August 2001 ) . `` Minireview : Sex Differentiation '' . Endocrinology. 142 ( 8 ) : 3281 -- 3287 . doi : 10.1210 / endo. 142.8. 8406 . Retrieved 2 October 2017 -- via endo.endojournals.org .   Jump up ^ `` Human sexual differentiation '' . Gfmer.ch . Retrieved 2 October 2017 .   Jump up ^ Mukherjee , Asit B. ; Parsa , Nasser Z. ( 1990 ) . `` Determination of sex chromosomal constitution and chromosomal origin of drumsticks , drumstick - like structures , and other nuclear bodies in human blood cells at interphase by fluorescence in situ hybridization '' . Chromosoma. 99 ( 6 ) : 432 -- 5 . doi : 10.1007 / BF01726695 . PMID 2176962 .   Jump up ^ Kučinskas , Laimutis ; Just , Walter ( 2005 ) . `` Human male sex determination and sexual differentiation : Pathways , molecular interactions and genetic disorders '' . Medicina. 41 ( 8 ) : 633 -- 40 . PMID 16160410 .   ^ Jump up to : Fauci , Anthony S. ; Harrison , T.R. , eds. ( 2008 ) . Harrison 's principles of internal medicine ( 17th ed . ) . New York : McGraw - Hill Medical . pp. 2339 -- 2346 . ISBN 978 - 0 - 07 - 147693 - 5 .   ^ Jump up to : ( 1 )   Jump up ^ Silverthorn , Dee , U ... ( 2010 ) . Reproduction and Development . In : Human Physiology : an integrated approach . 5th ed. san francisco : Pearson education . p828 - 831 .   Jump up ^ `` Learning Objectives '' . Albany.edu . Retrieved 2 October 2017 .   ^ Jump up to : Fausto - Sterling , Anne ( 1992 ) . Myths of Gender , Revised Edition . Perseus Books ( HarperCollins ) , 81 - 82 .   Jump up ^ Hughes , Ieuan A ... ( June 12 , 2011 ) .   Jump up ^ Jost , A. ; Price , D. ; Edwards , R.G. ( 1970 ) . `` Hormonal Factors in the Sex Differentiation of the Mammalian Foetus ( and Discussion ) '' . Philosophical Transactions of the Royal Society B : Biological Sciences . 259 ( 828 ) : 119 -- 31 . Bibcode : 1970RSPTB. 259 ... 119J . doi : 10.1098 / rstb. 1970.0052 . JSTOR 2417046 .   Jump up ^ Halpern , Diane F. ( 2011 ) . Sex Differences in Cognitive Abilities : 4th Edition . NY : Psychology Press .   Jump up ^ Geary , David C. ( 2009 ) . Male , Female : The Evolution of Human Sex Differences ( 2nd Ed . ) Washington , D.C. : American Psychological Association .   ^ Jump up to : 1963 - , Jordan - Young , Rebecca M. , . Brain storm : the flaws in the science of sex differences ( First Harvard University Press paperback ed . ) . Cambridge , Massachusetts . ISBN 9780674063518 . OCLC 733913684 .   ^ Jump up to : Cordelia. , Fine , ( 2011 ) . Delusions of Gender : The Real Science Behind Sex Differences . London : Icon Books . ISBN 9781848312203 . OCLC 707442506 .   Jump up ^ Pinker , Steven ( 2002 ) . The Blank Slate . New York : Penguin . pp. 346 -- 350 .   Jump up ^ MacLaughlin , David T. ; Donahoe , Patricia K. ( 2004 ) . `` Sex Determination and Differentiation '' . New England Journal of Medicine . 350 ( 4 ) : 367 -- 78 . doi : 10.1056 / NEJMra022784 . PMID 14736929 .   Jump up ^ PC Sizonenko in Pediatric Endocrinology , edited by J. Bertrand , R. Rappaport , and PC Sizonenko , ( Baltimore : Williams &amp; Wilkins , 1993 ) , pp. 88 -- 99   Jump up ^ `` Page Not Found - HHMI BioInteractive '' ( PDF ) . Hhmi.org . Retrieved 2 October 2017 .              Sex differences in humans     Physiology      Medicine     Sexual differentiation   Autism   Narcissism   Schizophrenia   Stroke care       Neuroscience     Memory   Eyewitness memory     Cognition   Intelligence   Emotional intelligence     Psychology   Gender psychology            Sociology     Crime   Education   Leadership   Social capital   Suicide         ( hide )         Sex determination and differentiation     Overview     Sexual differentiation   humans     Development of the reproductive system   gonads     Mesonephric duct   Paramesonephric duct       Genetic basis     Sex - determination system   XY   X0   ZW   Temperature - dependent   Haplodiploidy     Sex chromosome   X chromosome   Y chromosome     Testis - determining factor       See also     Hermaphrodite   Intersex   Disorders of sex development                 Development of the reproductive system     Precursors     Mesoderm   intermediate   lateral plate     Endoderm   Cloaca   Urogenital sinus     Ectoderm   Cloacal membrane         Internal     Development of the gonads   Gonadal ridge     Pronephric duct   Mesonephric duct   Paramesonephric duct   Vaginal plate     Definitive urogenital sinus       External     Genital tubercle   Labioscrotal swelling   Primordial phallus     Gubernaculum   Peritoneum   Vaginal process   Canal of Nuck         See also     List of related male and female reproductive organs   Prenatal development   Embryogenesis                 Sex     Biological terms     Sexual dimorphism   Male   Female     Sexual differentiation   Feminization   Virilization     Sex - determination system   XY   ZW   XO   Temperature - dependent   Haplodiploidy     Heterogametic sex   Homogametic sex   Sex chromosome   X chromosome   Y chromosome     Testis - determining factor   Hermaphrodite   Sequential hermaphroditism     Intersex       Sexual reproduction     Evolution of sexual reproduction   Anisogamy   Isogamy     Germ cell   Reproductive system   Sex organ   Meiosis   Gametogenesis   Spermatogenesis   Oogenesis     Gamete   spermatozoon   ovum     Fertilization   External   Internal     Sexual selection   Plant reproduction   Fungal reproduction   Sexual reproduction in animals   Sexual intercourse   Copulation   Human reproduction         Sexuality     Plant sexuality   Animal sexuality   Human sexuality   Mechanics   Differentiation   Activity           Sex portal   Biology portal                 Human physiology of sexual reproduction     Menstrual cycle     Menarche   Menstruation   Follicular phase   Ovulation   Luteal phase       Gametogenesis     Spermatogenesis ( spermatogonium   spermatocyte   spermatid   sperm )   Oogenesis ( oogonium   oocyte   ootid   ovum )   Germ cell ( gonocyte   gamete )       Human sexual behavior     Sexual arousal   Sexual intercourse   Masturbation   Erection   Orgasm   Ejaculation   Insemination   Fertilisation / Fertility   Implantation   Pregnancy   Postpartum period   Mechanics of sex       Life span     Prenatal development / Sexual dimorphism / Sexual differentiation ( Feminization   Virilization )   Puberty ( Gonadarche   Pubarche   Menarche   Spermarche   Adrenarche )   Maternal age / Paternal age   Climacteric ( Menopause   Late - onset hypogonadism )   Tanner scale       Egg     Ovum   Oviposition   Oviparity   Ovoviviparity   Vivipary       Reproductive endocrinology and infertility     Hypothalamic -- pituitary -- gonadal axis   Hypothalamic -- pituitary -- prolactin axis   Andrology   Hormone       Breast     Thelarche   Breast development   Lactation   Breastfeeding      Retrieved from `` https://en.wikipedia.org/w/index.php?title=Sexual_differentiation_in_humans&amp;oldid=820180099 '' Categories :   Sex - determination systems   Epigenetics   Human reproduction   Physiology   Hidden categories :   All articles with dead external links   Articles with dead external links from October 2017   Accuracy disputes from December 2017   All accuracy disputes   Articles that may contain original research from May 2017   All articles that may contain original research           Talk                                           Contents                   About Wikipedia                                           Русский   Tagalog   Edit links   This page was last edited on 13 January 2018 , at 14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</si>
  <si>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gonadal differentiation begins at approximately what point after conception</t>
  </si>
  <si>
    <t xml:space="preserve"> As the zygote divides , it first becomes the embryo ( which means ' growing within ' ) , typically between zero and eight weeks , then from the eighth week until birth , it is considered the fetus ( which means ' unborn offspring ' ) . The internal genitalia are all the accessory glands and ducts that connect the gonads to the outside environment . The external genitalia consist of all the external reproductive structures . The sex of an early embryo can not be determined because the reproductive structures do not differentiate until the seventh week . Prior to this , the child is considered bipotential because it can not be identified as male or female . </t>
  </si>
  <si>
    <t xml:space="preserve">The Hitchhiker 's Guide to the Galaxy - wikipedia  The Hitchhiker 's Guide to the Galaxy  For other uses , see The Hitchhiker 's Guide to the Galaxy ( disambiguation ) and Hitchhiker 's Guide ( disambiguation ) .    The Hitchhiker 's Guide to the Galaxy     First edition cover of The Hitchhiker 's Guide to the Galaxy ( novel )     Created by   Douglas Adams     Original work   The Hitchhiker 's Guide to the Galaxy Primary and Secondary Phases ( 1978 -- 80 )     Print publications     Book ( s )     The Hitchhiker 's Guide to the Galaxy : The Original Radio Scripts ( 1985 )       Novel ( s )     The Hitchhiker 's Guide to the Galaxy ( 1979 )   The Restaurant at the End of the Universe ( 1980 )   Life , the Universe and Everything ( 1982 )   So Long , and Thanks for All the Fish ( 1984 )   Mostly Harmless ( 1992 )   And Another Thing ... ( 2009 )       Films and television     Film ( s )   The Hitchhiker 's Guide to the Galaxy ( 2005 )     Television series   The Hitchhiker 's Guide to the Galaxy ( 1981 )     Games     Video game ( s )   The Hitchhiker 's Guide to the Galaxy ( 1984 ) Starship Titanic ( 1997 )     Audio     Radio programme ( s )     The Hitchhiker 's Guide to the Galaxy Primary and Secondary Phases ( 1978 -- 80 )   The Hitchhiker 's Guide to the Galaxy Tertiary to Quintessential Phases ( 2004 -- 05 )   The Hitchhiker 's Guide to the Galaxy Hexagonal Phase ( 2018 )       The Hitchhiker 's Guide to the Galaxy ( sometimes referred to as HG2G , HHGTTG or H2G2 ) is a comedy science fiction series created by Douglas Adams . Originally a radio comedy broadcast on BBC Radio 4 in 1978 , it was later adapted to other formats , including stage shows , novels , comic books , a 1981 TV series , a 1984 video game , and 2005 feature film .   A prominent series in British popular culture , The Hitchhiker 's Guide to the Galaxy has become an international multi-media phenomenon ; the novels are the most widely distributed , having been translated into more than 30 languages by 2005 . In 2017 , BBC Radio 4 announced a 40th - anniversary celebration with Dirk Maggs , one of the original producers , in charge . This sixth series of the sci - fi spoof has been based on Eoin Colfer 's book And Another Thing , with additional unpublished material by Douglas Adams . The first of six new episodes was broadcast on 8 March 2018 .   The broad narrative of Hitchhiker follows the misadventures of the last surviving man , Arthur Dent , following the demolition of the planet Earth by a Vogon constructor fleet to make way for a hyperspace bypass . Dent is rescued from Earth 's destruction by Ford Prefect , a human - like alien writer for the eccentric , electronic travel guide The Hitchhiker 's Guide to the Galaxy , by hitchhiking onto a passing Vogon spacecraft . Following his rescue , Dent explores the galaxy with Prefect and encounters Trillian , another human that had been taken from Earth prior to its destruction by the President of the Galaxy , the two - headed Zaphod Beeblebrox , and the depressed Marvin , the Paranoid Android . Certain narrative details were changed between the various adaptations .     Contents  ( hide )   1 Plot   2 Background   3 Original radio series   4 Novels   4.1 The Hitchhiker 's Guide to the Galaxy   4.2 The Restaurant at the End of the Universe   4.3 Life , the Universe and Everything   4.4 So Long , and Thanks for All the Fish   4.5 Mostly Harmless   4.6 And Another Thing ...     5 Omnibus editions   5.1 The More Than Complete Hitchhiker 's Guide   5.2 The Ultimate Hitchhiker 's Guide     6 Other Hitchhiker 's - related books and stories   6.1 Related stories   6.2 Published radio scripts     7 Television series   7.1 Other television appearances     8 Radio series three to five   9 Radio series six   10 Film   11 Stage shows   12 Live radio adaptation   13 LP album adaptations   14 Audiobook adaptations   15 Interactive fiction and video games   16 Comic books   17 `` Hitch - Hikeriana ''   18 International phenomenon   19 Spelling   20 See also   21 References   22 External links   22.1 Official sites   22.2 Other links        Plot ( edit )   The various versions follow the same basic plot but they are in many places mutually contradictory , as Adams rewrote the story substantially for each new adaptation . Throughout all versions , the series follows the adventures of Arthur Dent , a hapless Englishman , following the destruction of the Earth by the Vogons , a race of unpleasant and bureaucratic aliens , to make way for an intergalactic bypass . Dent 's adventures intersect with several other characters : Ford Prefect ( who named himself after the Ford Prefect car to blend in with what was assumed to be the dominant life form , automobiles ) , an alien from a small planet somewhere in the vicinity of Betelgeuse and a researcher for the eponymous guidebook , who rescues Dent from Earth 's destruction ; Zaphod Beeblebrox , Ford 's eccentric semi-cousin and the Galactic President ; the depressed robot Marvin the Paranoid Android ; and Trillian , formerly known as Tricia McMillan , a woman Arthur once met at a party in Islington and the only other human survivor of Earth 's destruction thanks to Beeblebrox ' intervention .   Background ( edit )   The first radio series comes from a proposal called `` The Ends of the Earth '' : six self - contained episodes , all ending with Earth 's being destroyed in a different way . While writing the first episode , Adams realized that he needed someone on the planet who was an alien to provide some context , and that this alien needed a reason to be there . Adams finally settled on making the alien a roving researcher for a `` wholly remarkable book '' named The Hitchhiker 's Guide to the Galaxy . As the first radio episode 's writing progressed , the Guide became the centre of his story , and he decided to focus the series on it , with the destruction of Earth being the only hold - over .   Adams claimed that the title came from a 1971 incident while he was hitchhiking around Europe as a young man with a copy of the Hitch - hiker 's Guide to Europe book : while lying drunk in a field near Innsbruck with a copy of the book and looking up at the stars , he thought it would be a good idea for someone to write a hitchhiker 's guide to the galaxy as well . However , he later claimed that he had told this story so many times that he had forgotten the incident itself , and only remembered himself telling the story . His friends are quoted as saying that Adams mentioned the idea of `` hitch - hiking around the galaxy '' to them while on holiday in Greece in 1973 .   Adams 's fictional Guide is an electronic guidebook to the entire universe , originally published by Megadodo Publications , one of the great publishing houses of Ursa Minor Beta . The narrative of the various versions of the story are frequently punctuated with excerpts from the Guide . The voice of the Guide ( Peter Jones in the first two radio series and TV versions , later William Franklyn in the third , fourth and fifth radio series , and Stephen Fry in the movie version ) , also provides general narration .   Original radio series ( edit )  See also : The Hitchhiker 's Guide to the Galaxy ( radio series ) and The Hitchhiker 's Guide to the Galaxy Primary and Secondary Phases  The first radio series of six episodes ( called `` Fits '' after the names of the sections of Lewis Carroll 's nonsense poem `` The Hunting of the Snark '' ) was broadcast in 1978 on BBC Radio 4 . Despite a low - key launch of the series ( the first episode was broadcast at 10 : 30 pm on Wednesday , 8 March 1978 ) , it received generally good reviews and a tremendous audience reaction for radio . A one - off episode ( a `` Christmas special '' ) was broadcast later in the year . The BBC had a practice at the time of commissioning `` Christmas Special '' episodes for popular radio series , and while an early draft of this episode of The Hitchhiker 's Guide had a Christmas - related plotline , it was decided to be `` in slightly poor taste '' and the episode as transmitted served as a bridge between the two series . This episode was released as part of the second radio series and , later , The Secondary Phase on cassettes and CDs . The Primary and Secondary Phases were aired , in a slightly edited version , in the United States on NPR Playhouse .   The first series was repeated twice in 1978 alone and many more times in the next few years . This led to an LP re-recording , produced independently of the BBC for sale , and a further adaptation of the series as a book . A second radio series , which consisted of a further six episodes , and bringing the total number of episodes to 12 , was broadcast in 1980 .   The radio series ( and the LP and TV versions ) greatly benefited from the narration of noted comedy actor Peter Jones as The Book . He was cast after it was decided that a `` Peter Jonesy '' sort of voice was required . This led to a three - month search for an actor who sounded exactly like Peter Jones , which was unsuccessful . The producers then hired Peter Jones as exactly the `` Peter Jonesy '' voice they were looking for .   The series was also notable for its use of sound , being the first comedy series to be produced in stereo . Adams said that he wanted the programme 's production to be comparable to that of a modern rock album . Much of the programme 's budget was spent on sound effects , which were largely the work of Paddy Kingsland ( for the pilot episode and the complete second series ) at the BBC Radiophonic Workshop and Dick Mills and Harry Parker ( for the remaining episodes ( 2 -- 6 ) of the first series ) . The fact that they were at the forefront of modern radio production in 1978 and 1980 was reflected when the three new series of Hitchhiker 's became some of the first radio shows to be mixed into four - channel Dolby Surround . This mix was also featured on DVD releases of the third radio series .   The theme tune used for the radio , television , LP and film versions is `` Journey of the Sorcerer '' , an instrumental piece composed by Bernie Leadon and recorded by The Eagles on their album One of These Nights . Only the transmitted radio series used the original recording ; a sound - alike cover by Tim Souster was used for the LP and TV series , another arrangement by Joby Talbot was used for the 2005 film , and still another arrangement , this time by Philip Pope , was recorded to be released with the CDs of the last three radio series . Apparently , Adams chose this song for its futuristic - sounding nature , but also for the fact that it had a banjo in it , which , as Geoffrey Perkins recalls , Adams said would give an `` on the road , hitch - hiking feel '' to it .   The twelve episodes were released ( in a slightly edited form , removing the Pink Floyd music and two other tunes `` hummed '' by Marvin when the team land on Magrathea ) on CD and cassette in 1988 , becoming the first CD release in the BBC Radio Collection . They were re-released in 1992 , and at this time Adams suggested that they could retitle Fits the First to Sixth as `` The Primary Phase '' and Fits the Seventh to Twelfth as `` The Secondary Phase '' instead of just `` the first series '' and `` the second series '' . It was at about this time that a `` Tertiary Phase '' was first discussed with Dirk Maggs , adapting Life , the Universe and Everything , but this series would not be recorded for another ten years .   Main cast :    Simon Jones as Arthur Dent   Geoffrey McGivern as Ford Prefect   Susan Sheridan as Trillian   Mark Wing - Davey as Zaphod Beeblebrox   Stephen Moore as Marvin , the Paranoid Android   Richard Vernon as Slartibartfast   Peter Jones as The Book    Novels ( edit )   The novels are described as `` a trilogy in five parts '' , having been described as a trilogy on the release of the third book , and then a `` trilogy in four parts '' on the release of the fourth book . The US edition of the fifth book was originally released with the legend `` The fifth book in the increasingly inaccurately named Hitchhiker 's Trilogy '' on the cover . Subsequent re-releases of the other novels bore the legend `` The ( first , second , third , fourth ) book in the increasingly inaccurately named Hitchhiker 's Trilogy '' . In addition , the blurb on the fifth book describes it as `` the book that gives a whole new meaning to the word ' trilogy ' '' .   The plots of the television and radio series are more or less the same as that of the first two novels , though some of the events occur in a different order and many of the details are changed . Much of parts five and six of the radio series were written by John Lloyd , but his material did not make it into the other versions of the story and is not included here . Many consider the books ' version of events to be definitive because they are the most readily accessible and widely distributed version of the story . However , they are not the final version that Adams produced .   Before his death from a heart attack on 11 May 2001 , Adams was considering writing a sixth novel in the Hitchhiker 's series . He was working on a third Dirk Gently novel , under the working title The Salmon of Doubt , but felt that the book was not working and abandoned it . In an interview , he said some of the ideas in the book might fit better in the Hitchhiker 's series , and suggested he might rework those ideas into a sixth book in that series . He described Mostly Harmless as `` a very bleak book '' and said he `` would love to finish Hitchhiker on a slightly more upbeat note '' . Adams also remarked that if he were to write a sixth instalment , he would at least start with all the characters in the same place . Eoin Colfer , who wrote the sixth book in the Hitchhiker 's series in 2008 -- 09 , used this latter concept but none of the plot ideas from The Salmon of Doubt .   The Hitchhiker 's Guide to the Galaxy ( edit )  Main article : The Hitchhiker 's Guide to the Galaxy ( novel )  In The Hitchhiker 's Guide to the Galaxy ( published in 1979 ) , the characters visit the legendary planet Magrathea , home to the now - collapsed planet - building industry , and meet Slartibartfast , a planetary coastline designer who was responsible for the fjords of Norway . Through archival recordings , he relates the story of a race of hyper - intelligent pan-dimensional beings who built a computer named Deep Thought to calculate the Answer to the Ultimate Question of Life , the Universe , and Everything . When the answer was revealed to be 42 , Deep Thought explained that the answer was incomprehensible because the beings did n't know what they were asking . It went on to predict that another computer , more powerful than itself would be made and designed by it to calculate the question for the answer . ( Later on , referencing this , Adams would create the 42 Puzzle , a puzzle which could be approached in multiple ways , all yielding the answer 42 . )   The computer , often mistaken for a planet ( because of its size and use of biological components ) , was the Earth , and was destroyed by Vogons to make way for a hyperspatial express route five minutes before the conclusion of its 10 - million - year program . Two members of the race of hyper - intelligent pan-dimensional beings who commissioned the Earth in the first place disguise themselves as Trillian 's mice , and want to dissect Arthur 's brain to help reconstruct the question , since he was part of the Earth 's matrix moments before it was destroyed , and so he is likely to have part of the question buried in his brain . Trillian is also human but had left Earth six months previously with Zaphod Beeblebrox , President of the Galaxy . The protagonists escape , setting the course for `` The Restaurant at the End of the Universe '' . The mice , in Arthur 's absence , create a phony question since it is too troublesome for them to wait 10 million years again just to cash in on a lucrative deal .   The book was adapted from the first four radio episodes . It was first published in 1979 , initially in paperback , by Pan Books , after BBC Publishing had turned down the offer of publishing a novelization , an action they would later regret . The book reached number one on the book charts in only its second week , and sold over 250,000 copies within three months of its release . A hardback edition was published by Harmony Books , a division of Random House in the United States in October 1980 , and the 1981 US paperback edition was promoted by the give - away of 3,000 free copies in the magazine Rolling Stone to build word of mouth . In 2005 , Del Rey Books rereleased the Hitchhiker series with new covers for the release of the 2005 movie . To date , it has sold over 14 million copies .   A photo - illustrated edition of the first novel appeared in 1994 .   The Restaurant at the End of the Universe ( edit )  Main article : The Restaurant at the End of the Universe  In The Restaurant at the End of the Universe ( published in 1980 ) , Zaphod is separated from the others and finds he is part of a conspiracy to uncover who really runs the Universe . Zaphod meets Zarniwoop , a conspirator and editor for The Guide , who knows where to find the secret ruler . Zaphod becomes briefly reunited with the others for a trip to Milliways , the restaurant of the title . Zaphod and Ford decide to steal a ship from there , which turns out to be a stunt ship pre-programmed to plunge into a star as a special effect in a stage show . Unable to change course , the main characters get Marvin to run the teleporter they find in the ship , which is working other than having no automatic control ( someone must remain behind to operate it ) , and Marvin seemingly sacrifices himself . Zaphod and Trillian discover that the Universe is in the safe hands of a simple man living on a remote planet in a wooden shack with his cat .   Ford and Arthur , meanwhile , end up on a spacecraft full of the outcasts of the Golgafrinchan civilization . The ship crashes on prehistoric Earth ; Ford and Arthur are stranded , and it becomes clear that the inept Golgafrinchans are the ancestors of modern humans , having displaced the Earth 's indigenous hominids . This has disrupted the Earth 's programming so that when Ford and Arthur manage to extract the final readout from Arthur 's subconscious mind by pulling lettered tiles from a Scrabble set , it is `` What do you get if you multiply six by nine ? '' Arthur then comments , `` I 've always said there was something fundamentally wrong with the universe . ''   The book was adapted from the remaining material in the radio series -- covering from the fifth episode to the twelfth episode , although the ordering was greatly changed ( in particular , the events of Fit the Sixth , with Ford and Arthur being stranded on pre-historic Earth , end the book , and their rescue in Fit the Seventh is deleted ) , and most of the Brontitall incident was omitted , instead of the Haggunenon sequence , co-written by John Loyd , the Disaster Area stunt ship was substituted -- this having first been introduced in the LP version . Adams himself considered Restaurant to be his best novel of the five .   Life , the Universe and Everything ( edit )  Main article : Life , the Universe and Everything  In Life , the Universe and Everything ( published in 1982 ) , Ford and Arthur travel through the space - time continuum from prehistoric Earth to Lord 's Cricket Ground . There they run into Slartibartfast , who enlists their aid in preventing galactic war . Long ago , the people of Krikkit attempted to wipe out all life in the Universe , but they were stopped and imprisoned on their home planet ; now they are poised to escape . With the help of Marvin , Zaphod , and Trillian , our heroes prevent the destruction of life in the Universe and go their separate ways .   This was the first Hitchhiker 's book originally written as a book and not adapted from radio . Its story was based on a treatment Adams had written for a Doctor Who theatrical release , with the Doctor role being split between Slartibartfast ( to begin with ) , and later Trillian and Arthur .  The front cover of The Ultimate Hitchhiker 's Guide , a collection of the five books in the series written before Adams 's death , a leatherbound volume published in the United States by Portland House , a division of Random House , in 1997  In 2004 it was adapted for radio as the Tertiary Phase of the radio series .   So Long , and Thanks for all the Fish ( edit )  Main article : So Long , and Thanks for All the Fish      This section does not cite any sources . Please help improve this section by adding citations to reliable sources . Unsourced material may be challenged and removed . ( March 2018 ) ( Learn how and when to remove this template message )     In So Long , and Thanks for All the Fish ( published in 1984 ) , Arthur returns home to Earth , rather surprisingly since it was destroyed when he left . He meets and falls in love with a girl named Fenchurch , and discovers this Earth is a replacement provided by the dolphins in their Save the Humans campaign . Eventually , he rejoins Ford , who claims to have saved the Universe in the meantime , to hitch - hike one last time and see God 's Final Message to His Creation . Along the way , they are joined by Marvin , the Paranoid Android , who , although 37 times older than the universe itself ( what with time travel and all ) , has just enough power left in his failing body to read the message and feel better about it all before expiring .   This was the first Hitchhiker 's novel which was not an adaptation of any previously written story or script . In 2005 it was adapted for radio as the Quandary Phase of the radio series .   Mostly Harmless ( edit )  Main article : Mostly Harmless  Finally , in Mostly Harmless ( published in 1992 ) , Vogons take over The Hitchhiker 's Guide ( under the name of InfiniDim Enterprises ) , to finish , once and for all , the task of obliterating the Earth . After abruptly losing Fenchurch and traveling around the galaxy despondently , Arthur 's spaceship crashes on the planet Lamuella , where he settles in happily as the official sandwich - maker for a small village of simple , peaceful people . Meanwhile , Ford Prefect breaks into The Guide 's offices , gets himself an infinite expense account from the computer system , and then meets The Hitchhiker 's Guide to the Galaxy , Mark II , an artificially intelligent , multi-dimensional guide with vast power and a hidden purpose . After he declines this dangerously powerful machine 's aid ( which he receives anyway ) , he sends it to Arthur Dent for safety ( `` Oh yes , whose ? '' -- Arthur ) .   Trillian uses DNA that Arthur donated for traveling money to have a daughter , and when she goes to cover a war , she leaves her daughter Random Frequent Flyer Dent with Arthur . Random , a more than typically troubled teenager , steals The Guide Mark II and uses it to get to Earth . Arthur , Ford , Trillian , and Tricia McMillan ( Trillian in this alternate universe ) follow her to a crowded club , where an anguished Random becomes startled by a noise and inadvertently fires her gun at Arthur . The shot misses Arthur and kills a man ( the ever - unfortunate Agrajag ) . Immediately afterwards , The Guide Mark II causes the removal of all possible Earths from probability . All of the main characters , save Zaphod , were on Earth at the time and are apparently killed , bringing a good deal of satisfaction to the Vogons .   In 2005 it was adapted for radio as the Quintessential Phase of the radio series , with the final episode first transmitted on 21 June 2005 .   And another Thing ... ( edit )  Main article : And Another Thing ... ( novel )  It was announced in September 2008 that Eoin Colfer , author of Artemis Fowl , had been commissioned to write the sixth instalment entitled And Another Thing ... with the support of Jane Belson , Adams 's widow . The book was published by Penguin Books in the UK and Hyperion in the US in October 2009 .   The story begins as death rays bear down on Earth , and the characters awaken from a virtual reality . Zaphod picks them up shortly before they are killed , but completely fails to escape the death beams . They are then saved by Bowerick Wowbagger , the Infinitely Prolonged , whom they agree to help kill . Zaphod travels to Asgard to get Thor 's help . In the meantime , the Vogons are heading to destroy a colony of people who also escaped Earth 's destruction , on the planet Nano . Arthur , Wowbagger , Trillian and Random head to Nano to try to stop the Vogons , and on the journey , Wowbagger and Trillian fall in love , making Wowbagger question whether or not he wants to be killed . Zaphod arrives with Thor , who then signs up to be the planet 's God . With Random 's help , Thor almost kills Wowbagger . Wowbagger , who merely loses his immortality , then marries Trillian .   Thor then stops the first Vogon attack and apparently dies . Meanwhile , Constant Mown , son of Prostetnic Jeltz , convinces his father that the people on the planet are not citizens of Earth , but are , in fact , citizens of Nano , which means that it would be illegal to kill them . As the book draws to a close , Arthur is on his way to check out a possible university for Random , when , during a hyperspace jump , he is flung across alternate universes , has a brief encounter with Fenchurch , and ends up exactly where he would want to be . And then the Vogons turn up again .   In 2017 it was adapted for radio as the Hexagonal Phase of the radio series , with its premiere episode first transmitted on 8 March 2018 ( exactly forty years , to the day , from the first episode of the first series , the Primary Phase ) .   Omnibus editions ( edit )   Two omnibus editions were created by Douglas Adams to combine the Hitchhiker series novels and to `` set the record straight '' . The stories came in so many different formats that Adams stated that every time he told it he would contradict himself . Therefore , he stated in the introduction of The More Than Complete Hitchhiker 's Guide that `` anything I put down wrong here is , as far as I 'm concerned , wrong for good . '' The two omnibus editions were The More Than Complete Hitchhiker 's Guide , Complete and Unabridged ( published in 1987 ) and The Ultimate Hitchhiker 's Guide , Complete and Unabridged ( published in 1997 ) .   The more than Complete Hitchhiker 's Guide ( edit )   Published in 1987 , this 624 - page leatherbound omnibus edition contains `` wrong for good '' versions of the four Hitchhiker series novels at the time , and also includes one short story :    The Hitchhiker 's Guide to the Galaxy   The Restaurant at the End of the Universe   Life , the Universe and Everything   So Long , and Thanks for All the Fish   `` Young Zaphod Plays it Safe ''    The Ultimate Hitchhiker 's Guide ( edit )   Published in 1997 , this 832 - page leatherbound final omnibus edition contains five Hitchhiker series novels and one short story :    The Hitchhiker 's Guide to the Galaxy   The Restaurant at the End of the Universe   Life , the Universe and Everything   So Long , and Thanks for All the Fish   Mostly Harmless   `` Young Zaphod Plays it Safe ''    Also appearing in The Ultimate Hitchhiker 's Guide , at the end of Adams 's introduction , is a list of instructions on `` How to Leave the Planet '' , providing a humorous explanation of how one might replicate Arthur and Ford 's feat at the beginning of Hitchhiker 's .   Other Hitchhiker 's - related Books and stories ( edit )   Related stories ( edit )   A short story by Adams , `` Young Zaphod Plays It Safe '' , first appeared in The Utterly Utterly Merry Comic Relief Christmas Book , a special large - print compilation of different stories and pictures that raised money for the then - new Comic Relief charity in the UK . The story also appears in some of the omnibus editions of the trilogy , and in The Salmon of Doubt . There are two versions of this story , one of which is slightly more explicit in its political commentary .   A novel , Douglas Adams ' Starship Titanic : A Novel , written by Terry Jones , is based on Adams 's computer game of the same name , Douglas Adams 's Starship Titanic , which in turn is based on an idea from Life , the Universe and Everything . The idea concerns a luxury passenger starship that suffers `` sudden and gratuitous total existence failure '' on its maiden voyage .   Wowbagger the Infinitely Prolonged , a character from Life , the Universe and Everything , also appears in a short story by Adams titled `` The Private Life of Genghis Khan '' which appears in some early editions of The Salmon of Doubt .   Published radio Scripts ( edit )   Douglas Adams and Geoffrey Perkins collaborated on The Hitchhiker 's Guide to the Galaxy : The Original Radio Scripts , first published in the United Kingdom and United States in 1985 . A tenth - anniversary ( of the script book publication ) edition was printed in 1995 , and a twenty - fifth - anniversary ( of the first radio series broadcast ) edition was printed in 2003 .   The 2004 series was produced by Above The Title Productions and the scripts were published in July 2005 , with production notes for each episode . This second radio script book is entitled The Hitchhiker 's Guide to the Galaxy Radio Scripts : The Tertiary , Quandary and Quintessential Phases . Douglas Adams gets the primary writer 's credit ( as he wrote the original novels ) , and there is a foreword by Simon Jones , introductions by the producer and the director , and other introductory notes from other members of the cast .   Television series ( edit )  Main article : The Hitchhiker 's Guide to the Galaxy ( TV series )  The popularity of the radio series gave rise to a six - episode television series , directed and produced by Alan J.W. Bell , which first aired on BBC 2 in January and February 1981 . It employed many of the actors from the radio series and was based mainly on the radio versions of Fits the First to Sixth . A second series was at one point planned , with a storyline , according to Alan Bell and Mark Wing - Davey that would have come from Adams 's abandoned Doctor Who and the Krikkitmen project ( instead of simply making a TV version of the second radio series ) . However , Adams got into disputes with the BBC ( accounts differ : problems with budget , scripts , and having Alan Bell involved are all offered as causes ) , and the second series was never made . Elements of Doctor Who and the Krikkitmen were instead used in the third novel , Life , the Universe and Everything .   The main cast was the same as the original radio series , except for David Dixon as Ford Prefect instead of McGivern , and Sandra Dickinson as Trillian instead of Sheridan . Interview with Sandra Dickinson on 1st June 2018 , where she talks about The Hitchhiker 's Guide to the Galaxy .   Other television appearances ( edit )   Segments of several of the books were adapted as part of the BBC 's The Big Read survey and programme , broadcast in late 2003 . The film , directed by Deep Sehgal , starred Sanjeev Bhaskar as Arthur Dent , alongside Spencer Brown as Ford Prefect , Nigel Planer as the voice of Marvin , Stephen Hawking as the voice of Deep Thought , Patrick Moore as the voice of the Guide , Roger Lloyd - Pack as Slartibartfast , and Adam Buxton and Joe Cornish as Loonquawl and Phouchg .   Radio series three to five ( edit )  Main article : The Hitchhiker 's Guide to the Galaxy Tertiary to Quintessential Phases  On 21 June 2004 , the BBC announced in a press release that a new series of Hitchhiker 's based on the third novel would be broadcast as part of its autumn schedule , produced by Above the Title Productions Ltd . The episodes were recorded in late 2003 , but actual transmission was delayed while an agreement was reached with The Walt Disney Company over Internet re-broadcasts , as Disney had begun pre-production on the film . This was followed by news that further series would be produced based on the fourth and fifth novels . These were broadcast in September and October 2004 and May and June 2005 . CD releases accompanied the transmission of the final episode in each series .   The adaptation of the third novel followed the book very closely , which caused major structural issues in meshing with the preceding radio series in comparison to the second novel . Because many events from the radio series were omitted from the second novel , and those that did occur happened in a diffe</t>
  </si>
  <si>
    <t xml:space="preserve">what is the ultimate hitchhiker's guide to the galaxy</t>
  </si>
  <si>
    <t xml:space="preserve"> Published in 1997 , this 832 - page leatherbound final omnibus edition contains five Hitchhiker series novels and one short story : </t>
  </si>
  <si>
    <t xml:space="preserve">Rajni Kothari - Wikipedia  Rajni Kothari   Rajni Kothari ( 16 August 1928 -- 19 January 2015 ) was an Indian political scientist , political theorist , academic and writer . He was the founder of Centre for the Study of Developing Societies ( CSDS ) in 1963 , a social sciences and humanities research institute , based in Delhi and Lokayan ( Dialogue of the People ) , started in 1980 as a forum for interaction between activists and intellectuals . He was also associated with Indian Council of Social Science Research , International Foundation for Development Alternatives , and People 's Union for Civil Liberties .   One of the great political thinkers of the 20th - century , amongst his noted works include Politics in India ( 1970 ) , Caste in Indian Politics ( 1973 ) , and Rethinking Democracy ( 2005 ) . In 1985 , Lokayan was awarded the Right Livelihood Award .     Contents  ( hide )   1 Early life and background   2 Career   3 Personal life   4 Death   5 Works   6 References   7 External links      Early Life and background ( edit )   Kothari was an only son of his father , a Jain trader . His mother died early in life .   Career ( edit )   Kothari started his career as a lecturer at Maharaja Sayajirao University of Baroda ( Baroda University ) . While working here he first received recognition in 1961 , when his essays series , `` Form and Substance in Indian Politics '' were published in the Economic and Political Weekly ( then Economic Weekly ) over six issues . He had also started writing for Seminar , the journal published by Romesh Thapar . Thereafter he was invited by Professor Shyama Charan Dubey to become the Assistant Director of the National Institute of Community Development , Mussoorie .   In 1963 , he moved to Delhi , where using a personal grant of Rs. 70,000 given by Professor Richard L. Park , head of Asia Foundation 's India chapter , he started the Centre for the Study of Developing Societies ( CSDS ) , in the premises of the Indian Adult Education Association at Indraprastha Estate , Delhi , before moving to its present location in Civil Lines , Delhi . Here working along with Ashis Nandy , D.L. Sheth , Ramashray Roy , Bashiruddin Ahmed and others , pioneering works in social sciences were published over next two decades . In 1970 he published Politics in India , which first theorized Indian National Congress as a system rather than a party . Thereafter he published noted works like Caste in Indian Politics ( 1973 ) and Footsteps into the Future ( 1975 ) .   During the early 1970s , he was associated with Congress - leader Indira Gandhi , and negotiated with the Congress - led central government for Navnirman movement , a socio - political movement of 1974 against corruption in Gujarat , which ultimately led to the dissolution of the state government . However , with the entry of Sanjay Gandhi , he distanced himself from Congress , and came close to Jaya Prakash Narayan and the Janata Party instead . After the Emergency of 1975 , he moved away from political parties , and started his career as an activist . This phase culminated with the foundation of Lokayan - Dialogue of the People in 1980 , a forum for interaction between activists , thinkers and intellectuals to talked about positive changes in the fields of religion , agriculture , health , politics , and education .   He soon became associated with Citizens for Democracy , and People 's Union for Civil Liberties , a human rights body established in 1976 , where he remained General Secretary from 1982 to 1984 , and subsequently its President . He served as the chairman of Indian Council of Social Science Research and remained a member of the Planning Commission .   Besides scholarly articles he also wrote newspaper columns , and in 2002 published his memoirs titled , Memoirs : Uneasy is the Life of the Mind .   CSDS where he was an honorary fellow , in 2004 established The Rajni Kothari Chair in Democracy in his honour , funded by Ford Foundation and the Sir Ratan Tata Trust . On 27 November 2012 , CSDS celebrated its 50th anniversary , presided over by Kothari .   Personal Life ( edit )   He married in 1947 , and his wife Hansa died in 1999 . In his final years , Rajni Kothari was a lonely man broken by the death of son Smithu in 2009 . Smitu , trained in physics , communications and sociology , was involved in ecological , cultural and human rights issues . He had been a visiting professor at Cornell and Princeton Universities .   Death ( edit )   He died on 19 January 2015 at his residence at Patparganj in East Delhi following urinary tract infection and other age related ailments .   Works ( edit )    Rajni Kothari ; Centre for the Study of Developing Societies ( 1969 ) . Context of electoral change in India : general elections , 1967 . Academic Books .   Rajni Kothari ( 1970 ) . Politics in India . Orient Blackswan . ISBN 978 - 81 - 250 - 0072 - 3 .   Rajni Kothari ( 1971 ) . Political economy of development . Gokhale Institute of Politics and Economics .   Rajni Kothari ( 1975 ) . Footsteps Into the Future : Diagnosis of the Present World and a Design for an Alternative . Free Press . ISBN 978 - 0 - 02 - 917580 - 4 .   Rajni Kothari ; Centre for the Study of Developing Societies ( 1976 ) . State and nation building . Allied Publishers .   Rajni Kothari ( 1976 ) . Democracy and the Representative System in India . Citizens for Democracy .   Rajni Kothari ( 1976 ) . Democratic Polity and Social Change in India : Crisis and Opportunities . Allied Pub .   Rajni Kothari ( 1980 ) . Towards a Just World . Institute for World Order .   Rajni Kothari ; Gobinda Mukhoty ( 1984 ) . Who are the guilty ? ( PDF ) . People 's Union for Democratic Rights ; People 's Union for Civil Liberties .   Rajni Kothari ( 1989 ) . State against democracy : in search of humane governance . New Horizons Press . ISBN 978 - 0 - 945257 - 16 - 5 .   Rajni Kothari ( 1989 ) . Towards a liberating peace . United Nations University . ISBN 978 - 81 - 85296 - 00 - 5 .   Rajni Kothari ( 1989 ) . Rethinking development : in search of humane alternatives . New Horizons Press . ISBN 978 - 0 - 945257 - 18 - 9 .   Rajni Kothari ( 1989 ) . Transformation &amp; Survival : In Search of Humane World Order . New Horizon Press . ISBN 978 - 0 - 945257 - 17 - 2 .   Rajni Kothari ( 1989 ) . Politics and the people : in search of a humane India . New Horizons Press . ISBN 978 - 0 - 945257 - 20 - 2 .   Rajni Kothari ( 1995 ) . Poverty : Human Consciousness and the Amnesia of Development . Zed Books . ISBN 978 - 1 - 85649 - 361 - 1 .   Rajni Kothari ; D.L. Sheth ; Ashis Nandy ( 1996 ) . The Multiverse of Democracy : Essays in Honour of Rajni Kothari . SAGE Publications . ISBN 978 - 81 - 7036 - 523 - 5 .   Deepak Nayyar ; Rajni Kothari ; Arjun Sengupta ( 1998 ) . Economic development and political democracy : the interaction of economics and politics in independent India . National Council of Applied Economic Research . ISBN 978 - 81 - 85877 - 53 - 2 .   Rajni Kothari ( 1998 ) . Communalism in Indian Politics . Rainbow Publishers . ISBN 978 - 81 - 86962 - 00 - 8 .   Rajni Kothari ( 2005 ) . Rethinking Democracy . Orient Blackswan . ISBN 978 - 81 - 250 - 2894 - 9 .   Rajni Kothari ( 2002 ) . Memoirs : Uneasy is the Life of the Mind . Rupa &amp; Company . ISBN 978 - 81 - 7167 - 813 - 6 .   Rajni Kothari ( 2009 ) . The Writings Of Rajni Kothari . Orient BlackSwan . ISBN 978 - 81 - 250 - 3755 - 2 .    References ( edit )    Jump up ^ `` Articles by Rajni Kothari '' . Economic and Political Weekly portal .   ^ Jump up to : `` Honorary Fellows : Rajni Kothari '' . Centre for the Study of Developing Societies ( CSDS ) portal .   ^ Jump up to : `` Right Livelihood Award Laureates : 1985 - Lokayan '' . Right Livelihood Award Foundation . Retrieved 2014 - 01 - 13 .   Jump up ^ `` A Short history of PUCL '' . PUCL . Retrieved 30 January 2018 .   Jump up ^ `` Print Pick '' . The Hindu . 16 November 2009 . Retrieved 2014 - 01 - 13 .   ^ Jump up to : G.V. Gupta . `` Journey of a political thinker '' . The Tribune . Retrieved 2014 - 01 - 13 .   ^ Jump up to : Sethi , Harsh ( 3 June 2002 ) . `` Book review : ' Memoirs ' by Rajni Kothari : Books '' . India Today . Retrieved 2014 - 01 - 13 .   Jump up ^ `` Interview Rajni Kothari , The Centre and Indian reality '' . India - seminar. 2012 . Retrieved 13 January 2014 .   ^ Jump up to : `` Rajni Kothari , Personally speaking '' . Seminar. 1999 . Retrieved 2014 - 01 - 13 .   Jump up ^ `` PUCL National Council office bearers : Former Presidents '' . People 's Union for Civil Liberties ( PUCL ) . Retrieved 2014 - 01 - 13 .   Jump up ^ `` The Rajni Kothari Chair in Democracy at CSDS '' . CSDS . Retrieved 2014 - 01 - 13 .   Jump up ^ Ananya Vajpeyi ( 4 December 2012 ) . `` After the party : In celebration of mavericks , visionaries , loners and outliers '' . The Telegraph . Retrieved 2014 - 01 - 13 .   Jump up ^ Visvanathan , Shiv ( 21 January 2015 ) . `` A prophet abandoned by his own community '' . The Hindu .   Jump up ^ Smitu Kothari : India loses a leading activist and ecologist   Jump up ^ `` Eminent Scholar , Political Scientist Rajni Kothari Dies at 86 '' . NDTV. 20 January 2015 . Retrieved 24 January 2015 .   Jump up ^ `` Ex-Plan panel member Rajni Kothari dies at 86 '' . Indian Express . 20 January 2015 .    External links ( edit )    Centre for the Study of Developing Societies , Official Website   Lokayan - Dialogue of the people , website   `` Interview Rajni Kothari , The Centre and Indian reality ( 2012 ) '' . Seminar .   `` Rajni Kothari articles '' . Economic and Political Weekly .   `` Rajni Kothari reflects on India 's past and future '' . Rediff . September 2002 .            BNF : cb12179555w ( data )   GND : 10428840X   ISNI : 0000 0001 0862 7578   LCCN : n50042602   NDL : 00730388   NLA : 35280790   SUDOC : 030365627   VIAF : 2514971      Retrieved from `` https://en.wikipedia.org/w/index.php?title=Rajni_Kothari&amp;oldid=831770414 '' Categories :   1928 births   2015 deaths   Indian political scientists   Indian founders   Maharaja Sayajirao University of Baroda faculty   Indian political theorists   Right Livelihood Award laureates   Members of the Planning Commission of India   20th - century Indian educators   Indian political writers   Indian male writers   Hidden categories :   Use dmy dates from March 2018   Use Indian English from March 2018   All Wikipedia articles written in Indian English   Wikipedia articles with BNF identifiers   Wikipedia articles with GND identifiers   Wikipedia articles with ISNI identifiers   Wikipedia articles with LCCN identifiers   Wikipedia articles with NDL identifiers   Wikipedia articles with NLA identifiers   Wikipedia articles with SUDOC identifiers   Wikipedia articles with VIAF identifiers           Talk                                           Contents                   About Wikipedia                                           Deutsch   हिन्दी   മലയാളം   ଓଡ଼ିଆ   ਪੰਜਾਬੀ   தமிழ்   Edit links   This page was last edited on 22 March 2018 , at 03 : 26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</si>
  <si>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book caste in indian politics</t>
  </si>
  <si>
    <t xml:space="preserve"> One of the great political thinkers of the 20th - century , amongst his noted works include Politics in India ( 1970 ) , Caste in Indian Politics ( 1973 ) , and Rethinking Democracy ( 2005 ) . In 1985 , Lokayan was awarded the Right Livelihood Award . </t>
  </si>
  <si>
    <t xml:space="preserve">Rachel Crow - wikipedia  Rachel Crow  Jump to : navigation , search This article is about the singer . For her eponymous extended play , see Rachel Crow ( EP ) .      This biography of a living person needs additional citations for verification . Please help by adding reliable sources . Contentious material about living persons that is unsourced or poorly sourced must be removed immediately , especially if potentially libelous or harmful . ( April 2014 ) ( Learn how and when to remove this template message )       Rachel Crow     Crow in 2016     Background information     Birth name   Rachel Kelly Crow       ( 1998 - 01 - 23 ) January 23 , 1998 ( age 19 ) Mead , Colorado , United States     Genres     Pop   R&amp;B   soul       Occupation ( s )     Singer   actress   comedian       Instruments   Vocals     Years active   2011 -- present     Labels     Syco   Columbia   Nickelodeon   S - Curve       Website   www.rachelcrowofficial.com     Rachel Kelly Crow ( born January 23 , 1998 ) is an American singer , comedian , and actress . Born in Mead , Colorado , she participated in the first season of the American version of The X Factor in 2011 , where she finished in fifth place . Following her elimination , she contacted Walt Disney for possible roles in future Disney productions . This resulted in her starring in multiple television shows and movies , including BrainSurge , Inside Edition , Big Time Rush , Figure It Out , The Wendy Williams Show and Fred : The Show . Crow released her first and eponymous extended play ( EP ) in June 2012 .     Contents  ( hide )   1 Career   1.1 2011 : The X Factor   1.2 2012 - present : Music debut     2 Television and acting career   3 Filmography   3.1 Film   3.2 Television     4 Discography   4.1 Extended plays   4.2 Singles     5 References   6 External links      Career ( edit )   2011 : the X Factor ( edit )   Crow auditioned for the first first season of the US version of The X Factor in 2011 with the song `` Mercy '' ( 2008 ) by Duffy . She reached the live shows and finished in fifth place overall .     ( show ) The X Factor performances and results     Episode   Theme   Order   Song   Original artist   Result     Audition   Auditioner 's Choice   N / A   `` Mercy ''   Duffy   Through to Bootcamp     Bootcamp 1   Group Performance 1   `` Who You Are ''   Jessie J   Advanced     Bootcamp 2   Group Performance 2   `` I Have Nothing ''   Whitney Houston   Advanced     Bootcamp 3   Solo Performance   `` If I Were a Boy ''   Beyoncé   Through to Judges ' Houses     Judges ' houses   Free Choice   `` I Want It That Way ''   Backstreet Boys   Through to Live Shows     Week 1   14   `` Baby '' / `` Where Did Our Love Go ''   Justin Bieber / The Supremes   Saved by Simon Cowell     Week 2   Judge 's Choice     `` Walking on Sunshine ''   Katrina and the Waves   Safe ( 2nd )     Week 3   Songs from movies   11   `` I 'd Rather Go Blind ''   Etta James   Safe ( 1st )     Week 4   Rock     `` ( I Ca n't Get No ) Satisfaction ''   The Rolling Stones   Safe ( 1st )     Week 5   Giving Thanks     `` I Believe ''   Yolanda Adams   Safe ( 3rd )     Week 6   Songs by Michael Jackson     `` Can You Feel It ''   The Jacksons   Safe ( 2nd )     Week 7   Dance music hits     `` Nothin ' on You ''   B.o.B / Bruno Mars   Bottom two     Save me songs   8   `` Music and Me ''   Michael Jackson     Final Showdown ( Week 7 )   Free Choice     `` I 'd Rather Go Blind ''   Etta James   Eliminated by Deadlock ( 5th )     2012 - present : music debut ( edit )   In February 2012 , it was announced that Crow signed a music deal with Columbia Records and a television deal with Nickelodeon for her own show . She was also featured on Big Time Rush 's Summer Tour 2012 along with Cody Simpson , and starred on a two - part episode of Fred : The Show .   In June , 2012 , Crow announced via Twitter that she would be releasing a five - song EP , featuring one song co-written by Crow herself . She later announced via her website that it would be released on June 26 , 2012 and would be self - titled . The lead single is `` Mean Girls , '' which Crow co-wrote with Toby Gad . Gad also produced the song . The four other songs are `` Rock With You '' featuring rapper Mann , `` Lemonade , '' `` My Kind of Wonderful '' and `` What A Song Can Do . '' She has also worked with producer Jonas Jeberg , who has worked with singers such as The Wanted .   In his review of ' Mean Girls ' , The Re-View complimented Crow 's `` intelligence and aspirations '' and finished his article saying of the singer : `` I do n't doubt that her vocal ability to out - diva some of the best singers will lead to even greater things in the future . ''   In September 2017 , she was picked as Elvis Duran 's Artist of the Month and was featured on NBC 's Today show and broadcast nationally where she performed live her single `` Dime '' .   Television and acting Career ( edit )   Rachel Crow appeared on a few Nickelodeon shows such as Fred : The Show , Figure It Out , and Big Time Rush , she even signed a deal with Nickelodeon for her own Musical - Comedy . `` We are in the early stages now , '' Crow told The New York Post . `` I want it to be definitely very ' Rachel . ' Something that shows who I am and who I want to be . '' she continued , in the aforementioned interview . Crow said that , if she could have any guest star on her show , it would be Eminem ; she also said she has also always wanted to duet with him .   Crow had a recurring role as Starr on the Nickelodeon series Fred : The Show . Crow voiced Carla in the film Rio 2 , which was released in 2014 . Crow also provides the voice of Gratuity `` Tip '' Tucci on the Netflix cartoon , Home : Adventures of Tip and Oh .   Filmography ( edit )   Film ( edit )     Year   Title   Role   Notes     2014   Rio 2   Carla   Voice     2015   Invisible Sister   Nikki       2017   Deidra &amp; Laney Rob a Train   Laney   Netflix movie     2018   Bumblebee     Filming     Television ( edit )     Year   Title   Role   Notes     2005   Three Wise Guys   Girl   Uncredited     2006   In from the Night   Little Girl in Doctors Office   Uncredited       Pizza &amp; Karaoke   Darla   TV Movie     2011   BrainSurge   Herself   Contestant     The X Factor USA   Contestant     2012   Arthur Ashe Kids ' Day 2012       Big Time Rush   Winnie   Episode : `` Bel Air Rush ''     Fred : The Show   Starr   Recurring role ; 8 episodes     2013   The Office   Gabriella   Episode : `` A.A.R.M. ''     Figure It Out   Herself   6 episodes     2016 -- present   Home : Adventures with Tip &amp; Oh   Tip ( voice )   26 episodes     Discography ( edit )   Extended plays ( edit )     Title   Details   Peak chart positions     US Heat     Rachel Crow     Release date : June 26 , 2012   Label : Syco Music / Columbia Records   Formats : Digital download     14     Singles ( edit )    `` Mean Girls '' ( 2012 )   `` Dime '' ( 2017 )    References ( edit )    Jump up ^ `` Twitter / iamrachelcrow : @ CassidyCrow kelly '' . En.twitter.com . Retrieved 2012 - 11 - 26 .   Jump up ^ `` Rachel Crow '' . Buddy TV December 17 , 2011 .   Jump up ^ Benson , Kirstin ( December 12 , 2011 ) . `` Rachel Crow Is ' Perfect ' For Disney -- Casting Director &amp; Talent Manager Agree '' . hollywoodlife.com . Retrieved March 19 , 2012 .   Jump up ^ Silberman , Lindsay ( February 22 , 2012 ) . `` X Factor Finalist Rachel Crow Lands Nickelodeon Series '' . TV Guide . Retrieved March 2 , 2012 .   Jump up ^ Fitzmaurice , Sarah ( December 13 , 2011 ) . `` Touchy subject ? X Factor USA judge Paula Abdul storms off Jimmy Kimmel after being grilled over her role in Rachel Crow 's elimination '' . Daily Mail . Retrieved March 19 , 2012 .   Jump up ^ `` Rachel Crow Talks Up ' Amazing ' Post - ' X Factor ' Career '' . MTV . February 22 , 2012 .   Jump up ^ `` Rachel Crow : EP In June `` Dream Magazine '' . Thedreamagazine.com. 2012 - 05 - 18 . Retrieved 2012 - 09 - 22 .   Jump up ^ `` RACHEL CROW TO RELEASE SELF - TITLED EP ON COLUMBIA RECORDS / SYCO AVAILABLE JUNE 26 The Official Rachel Crow Site '' . Rachelcrowofficial.com. 2012 - 06 - 04 . Retrieved 2012 - 09 - 22 .   Jump up ^ `` Rachel Crow debuts official music video for ' Mean Girls ' '' .   ^ Jump up to : 03 / 09 / 2012 21 : 21 : 12 ( 2012 - 03 - 12 ) . `` Rachel Crow Wants Eminem On Her Nickelodeon Show - Music , Celebrity , Artist News '' . MTV.com . Retrieved 2012 - 11 - 26 .   Jump up ^ `` Rachel Crow to Star on Nickelodeon Series '' . The Hollywood Gossip. 2012 - 02 - 22 . Retrieved 2012 - 11 - 26 .   Jump up ^ http://www.billboard.com/artist/1493299/rachel-crow/chart    External links ( edit )    Rachel Crow on X Factor   Rachel Crow on IMDb   Rachel Crow Discography ( in Polish )   Rachel Crow Rachel Crow ( in English )              Notable contestants of The X Factor ( U.S. )     Season 1     Melanie Amaro   Josh Krajcik   Chris Rene   Marcus Canty   Rachel Crow   Astro   LeRoy Bell   Hayley Orrantia   Stacy Francis   Simone Battle   Christa Collins       Season 2     Tate Stevens   Carly Rose Sonenclar   Fifth Harmony   Emblem3   Diamond White   Beatrice Miller       Season 3     Alex &amp; Sierra   Jeff Gutt   Carlito Olivero   Ellona Santiago   Josh Levi   Lillie McCloud   Rachel Potter   Forever in Your Mind   Jamie Pineda                 Syco     Syco Music     People     Simon Cowell   Sir Philip Green       SYCOtv     American Inventor   Celebrity Duets   Food Glorious Food   Got Talent   Red or Black ?   The X Factor               VIAF : 308181089   LCCN : no2014011646   MusicBrainz : c2dc6936 - 5d1d - 4884 - 90c7 - 0c6ccc3058f0      Retrieved from `` https://en.wikipedia.org/w/index.php?title=Rachel_Crow&amp;oldid=807090567 '' Categories :   1998 births   Actresses from Colorado   American voice actresses   African - American comedians   American comedians   African - American female singers   American adoptees   21st - century American singers   21st - century American actresses   American child singers   American television actresses   American women comedians   Child pop musicians   Living people   Singers from Colorado   People from Weld County , Colorado   The X Factor ( U.S. TV series ) contestants   African - American actresses   American actresses   American child actresses   Hidden categories :   BLP articles lacking sources from April 2014   All BLP articles lacking sources   Articles with hCards   Articles with Polish - language external links   Wikipedia articles with VIAF identifiers   Wikipedia articles with LCCN identifiers   Wikipedia articles with MusicBrainz identifiers           Talk                                           Contents                   About Wikipedia                                           Español   فارسی   Bahasa Indonesia   Português   Română   Русский   Simple English   Edit links   This page was last edited on 25 October 2017 , at 20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</si>
  <si>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happened to rachel from the x factor</t>
  </si>
  <si>
    <t xml:space="preserve"> Rachel Kelly Crow ( born January 23 , 1998 ) is an American singer , comedian , and actress . Born in Mead , Colorado , she participated in the first season of the American version of The X Factor in 2011 , where she finished in fifth place . Following her elimination , she contacted Walt Disney for possible roles in future Disney productions . This resulted in her starring in multiple television shows and movies , including BrainSurge , Inside Edition , Big Time Rush , Figure It Out , The Wendy Williams Show and Fred : The Show . Crow released her first and eponymous extended play ( EP ) in June 2012 . </t>
  </si>
  <si>
    <t xml:space="preserve">Molly Dobbs - wikipedia  Molly Dobbs       Molly Dobbs         Coronation Street character     Portrayed by   Vicky Binns     Duration   2005 -- 2010     First appearance   Episode 6108 5 September 2005     Last appearance   Episode 7487 9 December 2010     Created by   Tony Wood     Book appearances   Coronation Street : The Complete Saga     Classification   Former ; regular     Profile     Other names   Molly Compton     Occupation   Shop assistant        show Family     Father   Diggory Compton     Husband   Tyrone Dobbs ( 2009 -- 2010 )     Sons   Jack Webster     Aunts   Pam Hobsworth        Molly Cosette Dobbs ( also Compton ) is a fictional character from the British ITV soap opera , Coronation Street . Portrayed by Vicky Binns , the character first appeared on - screen during the episode airing on 5 September 2005 . On 7 May 2010 , Binns announced she was quitting the soap . The character was killed - off on 9 December 2010 in a live episode celebrating the show 's 50th anniversary , when she died from injuries sustained when a tram crashed into the corner shop .   Contents    1 Storylines   2 Creation   2.1 Background   2.2 Casting     3 Development   3.1 Personality and identity   3.2 Relationships     4 Reception   5 References   6 External links    Storylines ( edit )   Molly is introduced as the daughter of local baker , Diggory Compton . When she first arrives , it becomes clear that she was a victim of bullying at school , with one of the bullies being Fiz Brown . Molly starts to work for Fiz 's boyfriend Kirk Sutherland ( Andrew Whyment ) , whom she flirts with to get revenge on Fiz and wind her up .   After briefly working in her father 's shop and at Kirk 's kennels , Molly then starts working for Dev Alahan at D&amp;S Alahans Corner shop . Molly begins dating Tyrone Dobbs and lives with him and his foster parents Jack ( William Tarmey ) and Vera Duckworth ( Liz Dawn ) . Molly forms a close bond and friendship with Vera and asks her for advice about her relationship with Tyrone . Molly is devastated when Vera dies in January 2008 .   After Vera 's death , Molly and Tyrone buy the Duckworths ' house and live there with Jack , and also keep Jack and Vera 's grandson Paul Clayton ( Tom Hudson ) in as lodger until he leaves in May 2008 .   In May 2008 , Molly decides to make her mark on the Duckworths ' house by removing the stone cladding that Vera had put on the front of the house in 1989 . Jack agrees with this move but Tyrone is not happy as he sees the cladding as a memory of Vera . Eventually as the builders proceed to remove the cladding they inform Molly that the job would be much more expensive as the cladding is ruining the brick work as it is being removed . The cheapest option was for the cladding to remain on the house and Molly agrees , much to Tyrone 's delight .   In July 2008 , Tyrone is advised by Jack to propose marriage to Molly at an upmarket restaurant . Tyrone , however , chooses not to propose at that moment . Molly later plans a surprise proposal to Tyrone and the two get engaged , with the help of Molly 's aunt Pam Hobsworth , who arrives in Weatherfield around the same time .   In August 2008 , Tyrone decides that Molly should meet his mother Jackie ( Margi Clarke ) . Everything goes to plan , until Molly and Tyrone discover that Jackie is £ 1,000 in debt to an old friend of Tyrone 's father and needs the money to pay this off , much to Molly 's despair . Tyrone agrees to help her and the couple use their wedding savings to pay the man off . This puts their plans on hold for Molly to afford her dream wedding dress .  Molly and Tyrone marry ( 2009 ) .  In December 2008 , Molly becomes suspicious of Tyrone 's behaviour . He has secretly been selling illegal merchandise with Pam , to help pay for their wedding . Molly mistakenly thinks that Tyrone is having an affair with Minnie Chandra ( Poppy Jhakra ) , after she spots the pair flirting , when in reality Minnie was buying perfume and T - shirts from Tyrone . When Tyrone confesses that he has been selling illegal stock with Pam , Molly is furious and leaves him , saying that she can no longer trust him . She later forgives him , and the couple get married on 12 January 2009 .   In Mid 2009 , Molly strikes up a friendship with Tyrone 's workmate Kevin Webster . The pair , along with Jason Grimshaw ( Ryan Thomas ) , train together for the local fun run . Although Kevin jealously accuses Jason of sleeping with Molly , Molly laughs it off and they remain friends . Kevin is the only person to support Molly at the local fun run and , the same night , Kevin looks longingly at photos of Molly at the fun run on his mobile phone . In June 2009 , Molly confronts Kevin to why he is acting so strangely around her ; Kevin reluctantly admits that he is in love with her . Molly slaps him and leaves , but outside the garage she smiles to herself .   They later begin an affair which is nearly exposed at Kevin 's wife Sally 's 42nd birthday party in July 2009 , however Molly smooths things over between the couple . Molly ends her affair with Kevin and goes on holiday with Tyrone , however , when she returns in August 2009 she does the fun run again with Kevin and they celebrate by having sex at a nearby hotel . Some weeks later Pam spots Molly kissing Kevin . When Pam confronts Molly about her affair , Molly declares that she is in love with Kevin . However , Pam disapproves and gives her an ultimatum , either she confesses to Tyrone or she ends her relationship with Kevin . As a result , Molly has no choice but to pretend to end her affair with Kevin . However , when she has a conversation with Tyrone about Kevin and Sally 's marriage , Molly discovers that she is not the only liaison of Kevin 's as Tyrone mentions that he has had previous affairs in the past , which she feels insulted by .   Molly and Kevin soon confess their love for each other , and pledge to leave their respective spouses and start a new life together . However , Sally had a secret of her own - she had breast cancer . On Christmas Day , just as Kevin is about to tell Sally that he is leaving her , she breaks the news of her illness . Kevin then hurries over to the Dobbs 's house , on the pretence of needing stuffing for the turkey , after seeing Molly sitting Tyrone down . When Tyrone leaves the house to go to the Rovers , Kevin tells Molly about Sally 's breast cancer . Selfishly , Molly tearfully says how unfair it was , not for Sally , but for them . Kevin gets angry and tells her that their relationship is over , as she was the least of his worries , and that he would support Sally through her illness .   In January 2010 , Molly promises to be a better wife to Tyrone on their first wedding anniversary . However , on the second anniversary of Vera 's death , Molly tells Tyrone that she is leaving him because she no longer loves him , and he begs her to stay . She denies that she has been seeing someone else and moves into the flat above Dev 's shop . In March 2010 , Molly is shocked to discover that she is four months pregnant , with the possibility of the father either being Kevin or Tyrone . When she informs Kevin of her pregnancy , he refuses to have anything to do with her and he coldly burns the baby scan picture in front of her . With nowhere left to turn , she tells Tyrone about the pregnancy and they reconcile and agree to give their marriage another chance . In April , Molly and Tyrone find out Molly is expecting a baby boy . Kevin is furious and demands Molly has an abortion and to pass it off as a miscarriage .   On 19 April 2010 , Tyrone asks Kevin to check up on his car . Whilst fixing it , Kevin is distracted by his daughter Sophie ( Brooke Vincent ) who is upset . Thinking that the car is ready , Tyrone takes it and drives through the countryside with Molly to tell her father Diggory the news about her pregnancy . Kevin realises that the car is missing before he has finished his work on the brakes and frantically calls Molly and Tyrone . Molly tells Tyrone not to answer as she wants to have a peaceful trip . Tyrone loses control of the car when the brakes fail and it leaves the road and somersaults into a field . Molly and Tyrone are both left unconscious . As Tyrone regains consciousness he finds Molly , still unconscious , next to him . Tyrone flags down a passing motorist who calls 999 and Kevin arrives after following an ambulance to the scene . Kevin and Tyrone both watch as Molly is cut from the wreckage . She is rushed to hospital where she has a scan whilst she is still unconscious and the doctors discover there is still a heartbeat from the baby . Tyrone is told , as long as Molly 's life is in the balance , so is the baby 's . Tyrone is horrified of the condition of his wife and the unborn child and turns to Kevin for support . When she regains consciousness Molly asks Pam , who is visiting her , what happened and she reveals that Kevin did not fix the brakes . Kevin feels guilty and arrives at the hospital . Molly accuses him of trying to kill her and the baby . Kevin apologises but a furious Molly tells him to save his story for the police . Kevin panics but with Tyrone by Molly 's side she changes her mind about her decision . Kevin returns to the hospital to thank Molly but says she did n't do it for him she did it for Tyone . Molly then tries to persuade Tyrone to move away from Weatherfield for a fresh start as she did not think it was fair on Tyrone or the baby to be around Kevin .   In July 2010 , Molly is thrilled when her neighbour Eileen Grimshaw ( Sue Cleaver ) expresses an interest in buying their house , much to Tyrone 's despair . However , whilst Eileen and Owen Armstrong ( Ian Puleston - Davies ) are examining the house , Molly has a health scare and nearly collapses . At the hospital the doctors tell her that her collapse was caused by stress . Molly changes her mind about moving and decides to remain in Weatherfield .   On 6 September 2010 , Molly gives birth to her son , Jack . She suddenly goes into labour in her home and it is left to Sally to deliver the baby as Tyrone is out on a breakdown call - out . After Kevin agrees to himself and Sally being godparents , Molly is furious and tells Kevin that she wants him to play no part in Jack 's life . Kevin then asks Molly for a DNA test to prove he is the father , but she refuses , and chooses to believe that Tyrone is Jack 's father . Kevin steals Jack 's dummy in the Rovers following his christening and sends it away for testing . On 5 November 2010 , Kevin receives the DNA test results , proving that he is the father . He shows the results to Molly and she is distraught and furious with Kevin for going behind her back .   Not long afterwards at Jack Duckworth 's wake , Molly tells Kevin that she is still in love with him . However , Kevin tells her that he loves Sally and wants to be with her . Realising that Kevin no longer has feelings for her , Molly is left heart - broken .   On 6 December 2010 , Molly leaves Tyrone , telling him that he is not Jack 's father , but she does n't tell him who the father is despite his demands to know . She sets out to leave with Jack , intending to go and stay at her father 's . She goes to the corner shop to say goodbye to her former employer , Sunita Alahan ( Shobna Gulati ) . Kevin comes into the shop to buy some milk and says goodbye to Molly and Jack after she tells him that he will never see his son again . Shortly after Kevin leaves the shop , there is an explosion in ' The Joinery ' bar which throws Molly and Jack to the floor . A tram is then derailed and crashes into the shop and Molly and Jack are buried by rubble . Molly tries to comfort Jack and loses consciousness . She comes round when firefighters arrive , and Jack is removed from the wreckage and taken to hospital . Molly is trapped under a beam and has to be released by heavy lifting gear and cutting equipment . Sally enters the wreckage and sits by Molly 's side to comfort her and keep her conscious . Molly 's condition deteriorates and , when she realises that she is dying , she confesses her affair with Kevin and apologises to Sally , saying that Kevin chose Sally because she was beautiful inside and out and that he loved Sally and their daughters more than herself and Jack . Explaining that Kevin is Jack 's father , Molly asks Sally to look after him and says that Jack is the only thing from the affair she does not regret . After Molly admits this , Sally lets go of her hand . As Molly pleads for Sally not to leave her , her hand goes limp and she dies , with a shocked and devastated Sally by her side . Shortly afterwards Tyrone returns from the hospital and is devastated when Sally emerges from the rubble and informs him of Molly 's death .   Creation ( edit )   Background ( edit )   The character of Molly was introduced as the daughter of local baker Diggory Compton ( Eric Potts ) in 2005 . She was a former class mate of character Fiz Brown ( Jennie McAlpine ) ; Molly was very resentful against Fiz , who had bullied her at school . She worked in the bakery until her father 's departure and worked briefly as a kennel - maid before becoming an assistant to Dev Alahan ( Jimmi Harkishin ) at the Corner Shop .   Casting ( edit )   Vicky Binns was selected to join Coronation Street as a rival for at - the - time already established character Fiz Brown . In real life , Binns is the best friend of actress Jennie McAlpine who plays Fiz . She told the Manchester Evening News : `` They brought me in to play her rival , which is ridiculous . It really requires some acting . '' . In April 2010 Binns announced that she had quit the show and will leave at the end of her contract which she did when she was killed off in the 50th anniversary when a tram crashed of the viaduct and destroyed the corner shop which Molly was in at the time .   Development ( edit )   Personality and identity ( edit )   The Coronation Street official website described Molly as a bubbly , optimistic , friendly and outgoing character . She first arrived in Weatherfield after her father bought the bakery in May 2005 . There were rumours that she would leave along with her father in July 2006 , but she stayed on . Binns says she is grateful that her character appears to be `` un-trendy '' . Molly 's look changed a little at the beginning of 2008 after Binns went on a strict weight loss regime . However , the producer of Coronation Street was supportive of Binns and did not mind changing Molly 's appearance slightly . Binns stated in another interview that Molly is stubborn and that honesty is the element of a relationship she wants most , which was why she was reluctant to forgive Tyrone for his deception .   Another focal point of the character 's style is the rucksack which she carried frequently . Binns once stated that she did n't think her character would ever stop wearing it . Gareth McLean of the Radio times even joked that when Molly and Kevin Webster consummated their relationship , he doubted Molly would remove her rucksack .   Relationships ( edit )   Molly 's relationship with Tyrone Dobbs ( Alan Halsall ) began in 2006 . Their relationship has been long - term and appeared perfect to begin with . After Molly moves into number 9 to be with Tyrone permanently she wants to take her relationship to the next level and forms a close bond with Vera Duckworth ( Elizabeth Dawn ) who Tyrone regarded as his mother . She even turns to her for advice on furthering her relationship with Tyrone , in scenes which Binns said were really funny . The media called the pairing the next ' Jack and Vera ' with the show 's bosses even stating their potential . Actress Vicky Binns stated in an interview that she was flattered but did n't think they could ever replace the couple adding that : `` You ca n't really replace anyone like that . The show progresses and changes so much with new characters you do n't even know if they 'll keep Molly and Tyrone together . But I suppose Molly is quite bossy and , like Vera , will keep Tyrone under her thumb . '' The characters go on to buy their own home together and eventually get engaged . They hit one of their first difficulties when Molly finds out that Tyrone has been selling illegal goods with her Aunt , Pam Hobsworth ( Kate Anthony ) . Vicky Binns also revealed that she and Alan Halsall , who plays Tyrone , work so well together and hope that they had many more scenes to come and she also stated that in real life , fans approach her in the street to ask where Tyrone is .   Tyrone 's best friend and colleague , Kevin Webster ( Michael Le Vell ) , begins a sexual affair with Molly in 2009 , but on Christmas Day that year , he ends the affair after discovering his wife , Sally ( Sally Dynevor ) , has breast cancer .   Reception ( edit )   Ian Wylie of The Manchester Evening News praised the character and actress for scenes which aired during the highly publicised death of long - term character Vera Duckworth , stating : `` readers will know how impressed I was by the acting of Vicky Binns in scenes immediately following the death of Vera Duckworth '' .   The affair between Molly and Kevin received some negative attention , and criticism for changes in Molly 's character , described by the author and TV critic Grace Dent as transforming her into a `` sex fuelled dick - daft strumpet . '' Vicky Binns , however , was surprised at positive reaction : `` I love playing a minx . Women give me a nudge and a wink when I 'm in the supermarket and say , ' You go girl ! ' '' Ruth Deller of entertainment website Lowculture criticised her affair storyline stating : `` Like the rest of the world , we 've hated the Kevin / Molly storyline . We hate it even more for it turning Molly , previously somewhat likeable , into an out - and - out bitch . Let 's just hope it 's one of those storylines that will be swept under the carpet soon and never mentioned again ... ''   References ( edit )    ^ Jump up to : `` Molly Compton '' . ITV.com. 21 August 2007 . Retrieved 29 October 2008 .   Jump up ^ `` Characters Molly Dobbs and dustman Trevor Dean both axed from Coronation Street '' . The Sun . London . 7 May 2010 . Retrieved 10 May 2010 .   Jump up ^ `` Second Corrie Anniversary Death Confirmed '' . Digital Spy. 9 December 2010 . Retrieved 9 December 2010 .   Jump up ^ `` Molly helps out Maria '' . Digital Spy. 5 September 2005 . Retrieved 29 October 2008 .   Jump up ^ Lunn , Emma ( 11 February 2008 ) . `` Money '' . The Sun . London . Retrieved 29 October 2008 .   Jump up ^ `` Vera 's stone cladding is to be removed '' . Digital Spy. 20 November 2007 . Retrieved 29 October 2008 .   Jump up ^ `` Tyrone does n't fiance proposal '' . The Sun . London . 16 July 2008 . Retrieved 29 October 2008 .   Jump up ^ Bentley , Paul ( 25 July 2008 ) . `` Proposal full of hitches '' . The Sun . London . Retrieved 29 October 2008 .   Jump up ^ `` Tyrone 's scrambled proposal '' . Metro. 17 June 2008 . Retrieved 29 October 2008 .   Jump up ^ `` Car flips and spins through the air in horror Corrie car crash scene '' . The Sun . London . 9 March 2010 . Retrieved 5 April 2010 .   Jump up ^ `` Coronation Street preview - Thursday April 22 , 8.30 pm '' . STV. 13 April 2010 . Retrieved 17 April 2010 .   Jump up ^ `` Coronation Street preview - Friday April 23 , 7.30 pm '' . STV. 13 April 2010 . Retrieved 17 April 2010 .   Jump up ^ `` Coronation Street preview - Friday April 23 , 8.30 pm '' . STV. 13 April 2010 . Retrieved 17 April 2010 .   Jump up ^ `` Molly faces labour with the Websters '' . Digital Spy. 30 August 2010 . Retrieved 5 October 2010 .   ^ Jump up to : http://danielmeyer.co.uk/second-corrie-50th-week-death-confirmed/   Jump up ^ `` Corrie is driving me barking ! '' . Manchest Evening News . 21 February 2006 . Retrieved 15 December 2008 .   Jump up ^ `` Vicky Binns happy to be untrendy '' . Digital Spy. 28 July 2008 . Retrieved 29 October 2008 .   Jump up ^ `` The Life of Wylie : Coronation street : Vicky Binns '' . Manchester Evening News . 7 January 2008 . Retrieved 15 December 2008 .   ^ Jump up to : `` Exclusive : I 've turned into brideszilla after getting ready for Coronation Street wedding '' . Daily Record . 11 December 2005 . Archived from the original on 11 December 2008 . Retrieved 15 December 2008 .   Jump up ^ Fame editor ( 29 July 2008 ) . `` Corrie star glad to be ' untrendy ' - Metro.co.uk '' . Metro . Retrieved 3 August 2009 . CS1 maint : Extra text : authors list ( link )   Jump up ^ Gareth McLean ( 19 June 2009 ) . `` The week in soapland - Blogs - Radio Times '' . Radio Times . Retrieved 3 August 2009 .   Jump up ^ `` Jack &amp; Vera : The Joy of Sex '' . Sunday Mail . 26 February 2008 . Retrieved 29 October 2008 .   Jump up ^ `` Vicky Binns ' co-star praise '' . My Park Magazine . 18 July 2008 . Retrieved 15 December 2008 .   Jump up ^ `` Coronation Street : Vicky And Vera '' . Manchester Evening News . 4 June 2008 . Retrieved 15 December 2008 .   Jump up ^ `` Grace Dent 's World of Lather '' . London : The Guardian . 20 June 2009 . Retrieved 27 December 2009 .   Jump up ^ `` Vicky Binns Turns Off Coronation Street '' . STV Entertainment . 16 December 2009 . Retrieved 26 December 2009 .   Jump up ^ Deller , Ruth ( 31 October 2009 ) . `` Soapstar Superstars -- September / October '' . Lowculture . Archived from the original on 22 February 2011 . Retrieved 16 May 2010 .    External links ( edit )    Profile at ITV.com   Profile at What 's On TV              Coronation Street characters        Present and future characters       Ken Barlow   Rita Sullivan   Peter Barlow   Gail McIntyre   Tracy Barlow   Audrey Roberts   Nick Tilsley   Kevin Webster   Jenny Bradley   Sally Webster   Sarah Platt   Jim McDonald   Liz McDonald   Steve McDonald   Rosie Webster   David Platt   Norris Cole   Sophie Webster   Roy Cropper   Leanne Battersby   Toyah Battersby   Tyrone Dobbs   Dev Alahan   Eileen Grimshaw   Maria Connor   Kirk Sutherland   Bethany Platt   Adam Barlow   Fiz Brown   Simon Barlow   Sean Tully   Chesney Brown   Amy Barlow   Michelle Connor   Ryan Connor   Carla Connor   Gary Windass   Mary Taylor   Lewis Archer   Izzy Armstrong   Faye Windass   Beth Tinker   Tim Metcalfe             Past characters       Sunita Alahan   Christine Appleby   Shirley Armitage   Katy Armstrong   Owen Armstrong   Danny Baldwin   Frankie Baldwin   Jamie Baldwin   Mike Baldwin   Deirdre Barlow   Frank Barlow   Ida Barlow   Susan Barlow   Des Barnes   Natalie Barnes   Janice Battersby   Les Battersby   Cilla Battersby - Brown   Sheila Birtles   Emily Bishop   Natasha Blakeman   Alan Bradley   Renee Bradshaw   Teresa Bryant   Julie Carp   Casey Carswell   Matt Carter   Paul Clayton   Liam Connor   Paul Connor   Kelly Crabtree   Hayley Cropper   Trevor Dean   Marcus Dent   Jackie Dobbs   Molly Dobbs   Rob Donovan   Jack Duckworth   Terry Duckworth   Tommy Duckworth   Vera Duckworth   Fred Elliott   Anne Foster   Frank Foster   Alec Gilroy   Tony Gordon   Cheryl Gray   Jason Grimshaw   Todd Grimshaw   Alma Halliwell   Richard Hillman   Charlotte Hoyle   Blanche Hunt   Mel Hutchwright   Amber Kalirai   Ray Langton   Bet Lynch   Tara Mandal   Ciaran McCarthy   Becky McDonald   Karen McDonald   Joe McIntyre   Tina McIntyre   Darryl Morton   Jerry Morton   Kayleigh Morton   Mel Morton   Lloyd Mullaney   Karl Munro   Hilda Ogden   Stan Ogden   Ashley Peacock   Claire Peacock   Pat Phelan   Kylie Platt   Martin Platt   Sian Powers   Eva Price   Stella Price   Graeme Proctor   Mark Redman   Alf Roberts   Maya Sharma   Ena Sharples   Kirsty Soames   John Stape   Jed Stone   Candice Stowe   Luke Strong   Charlie Stubbs   Percy Sugden   Leonard Swindley   Dennis Tanner   Elsie Tanner   Albert Tatlock   Ivy Tilsley   Vernon Tomlin   Shelley Unwin   Annie Walker   Curly Watts   Raquel Watts   Bill Webster   Betty Williams   Violet Wilson   Derek Wilton   Mavis Wilton   Anna Windass   Eddie Windass   Eddie Yeats             Original characters       David Barlow   Frank Barlow   Ida Barlow   Ken Barlow   Minnie Caldwell   Ivan Cheveski   Linda Cheveski   Christine Appleby   May Hardman   Esther Hayes   Harry Hewitt   Lucille Hewitt   Florrie Lindley   Martha Longhurst   Emily Bishop   Concepta Riley   Ena Sharples   Leonard Swindley   Dennis Tanner   Elsie Tanner   Albert Tatlock   Annie Walker   Jack Walker             Lists of characters       1960   1961   1962   1963   1964   1965   1966   1967   1968   1969   1970   1971   1972   1973       1976   1977   1978   1979   1980   1981   1982     1984   1985   1986                                                               2017   2018         Retrieved from `` https://en.wikipedia.org/w/index.php?title=Molly_Dobbs&amp;oldid=847632265 '' Categories :   Coronation Street characters   Fictional characters introduced in 2005   Fictional shopkeepers   Fictional bakers   Hidden categories :   CS1 maint : Extra text : authors list   Use British English from March 2014   Use dmy dates from November 2012           Talk                                           Contents                   About Wikipedia                                           Gaeilge   Edit links   This page was last edited on 26 June 2018 , at 18 : 32 ( UTC ) .         About Wikipedia                    </t>
  </si>
  <si>
    <t xml:space="preserve">who is the mother of kevin's son in coronation street</t>
  </si>
  <si>
    <t xml:space="preserve"> On 6 September 2010 , Molly gives birth to her son , Jack . She suddenly goes into labour in her home and it is left to Sally to deliver the baby as Tyrone is out on a breakdown call - out . After Kevin agrees to himself and Sally being godparents , Molly is furious and tells Kevin that she wants him to play no part in Jack 's life . Kevin then asks Molly for a DNA test to prove he is the father , but she refuses , and chooses to believe that Tyrone is Jack 's father . Kevin steals Jack 's dummy in the Rovers following his christening and sends it away for testing . On 5 November 2010 , Kevin receives the DNA test results , proving that he is the father . He shows the results to Molly and she is distraught and furious with Kevin for going behind her back . </t>
  </si>
  <si>
    <r>
      <rPr>
        <sz val="11"/>
        <color rgb="FF000000"/>
        <rFont val="Calibri"/>
        <family val="0"/>
        <charset val="1"/>
      </rPr>
      <t xml:space="preserve">Woolworth building - wikipedia  Woolworth building  Jump to : navigation , search For other uses , see List of Woolworth buildings .    Woolworth Building     Woolworth Building in November 2005     Location within Lower Manhattan Woolworth Building ( Manhattan ) Woolworth Building ( New York City ) Woolworth Building ( New York ) Woolworth Building ( the US ) Show map of Lower Manhattan Show map of Manhattan Show map of New York City Show map of New York Show map of the US Show all     Record height     Tallest in the world from 1913 to 1930     Preceded by   Metropolitan Life Insurance Company Tower     Surpassed by   40 Wall Street     General information     Location   233 Broadway Manhattan , New York City     Construction started   1910     Completed   1912     Opening   April 24 , 1913     Renovated   1977 -- 1981     Cost   US $13.5 million     Owner   Witkoff Group     Height     Roof   792 feet     Technical details     Floor count   57     Lifts / elevators   34     Design and construction     Architect   Cass Gilbert     Structural engineer   Gunvald Aus and Kort Berle     Renovating team     Renovating firm   Ehrenkrantz Group             Woolworth Building     U.S. National Register of Historic Places     U.S. National Historic Landmark     NYC Landmark         Show map of New York City Show map of New York Show map of the US Show all     Coordinates   40 ° 42 ′ 44 '' N 74 ° 00 ′ 29 '' W ﻿ / ﻿ 40.71222 ° N 74.00806 ° W ﻿ / 40.71222 ; - 74.00806 Coordinates : 40 ° 42 ′ 44 '' N 74 ° 00 ′ 29 '' W ﻿ / ﻿ 40.71222 ° N 74.00806 ° W ﻿ / 40.71222 ; - 74.00806     Area   0.5 acres ( 0.2 ha )     NRHP reference #   66000554     Significant dates     Added to NRHP   November 13 , 1966     Designated NHL   November 13 , 1966     Designated NYCL   April 12 , 1983         References         The Woolworth Building , at 233 Broadway , Manhattan , New York City , designed by architect Cass Gilbert and constructed between 1910 and 1912 , is an early US skyscraper . The original site for the building was purchased by F.W. Woolworth and his real estate agent Edward J. Hogan by April 15 , 1910 , from the Trenor Luther Park Estate and other owners for $1.65 million . By January 18 , 1911 , Woolworth and Hogan had acquired the final site for the project , totaling $4.5 million . More than a century after its construction , it remains , at 792 feet ( 241 m ) , one of the 100 tallest buildings in the United States as well as one of the 30 tallest buildings in New York City . It has been a National Historic Landmark since 1966 , and a New York City landmark since 1983 .     Contents  ( hide )   1 Architecture   2 History   3 Tenants   4 In popular culture   5 See also   6 References   7 External links      Architecture ( edit )       This section needs additional citations for verification . Please help improve this article by adding citations to reliable sources . Unsourced material may be challenged and removed . ( April 2017 ) ( Learn how and when to remove this template message )     The Woolworth Building was designed in the neo-Gothic style by the architect Cass Gilbert , whom Frank Woolworth commissioned in 1910 to design a 20 - story office building as the F.W. Woolworth Company 's new corporate headquarters on Broadway , between Park Place and Barclay Street in Lower Manhattan , opposite City Hall . Originally designed to be 420 feet ( 130 m ) high , the building was eventually elevated to 792 feet ( 241 m ) . At its opening , the Woolworth Building was 60 stories tall and had over 5,000 windows . The construction cost was US $13.5 million . With Irving National Exchange Bank Woolworth set up the Broadway - Park Place Company to finance the building , but by May 1914 , had purchased all of the shares from the bank , thus owning the building outright . On completion , the Woolworth building topped the record set by the Metropolitan Life Insurance Company Tower as the world 's tallest building .  Under construction  Construction was completed in 1912 and the building opened on April 24 , 1913 . President Woodrow Wilson turned the lights on by way of a button in Washington , D.C. that evening .   Given its resemblance to European Gothic cathedrals , the structure was called `` The Cathedral of Commerce '' by the Reverend S. Parkes Cadman in a booklet of the same title published in 1916 . It remained the tallest building in the world until the construction of 40 Wall Street and the Chrysler Building , also in New York City , in 1930 ; an observation deck on the 57th floor attracted visitors until 1941 .   The building 's tower , flush with the main frontage on Broadway , joins an office block base with a narrow interior court for light . The exterior decoration was cast in limestone - colored , glazed architectural terra - cotta panels . Strongly articulated piers , carried -- without interrupting cornices -- right to the pyramidal cap , give the building its upward thrust . The Gothic detailing concentrated at the highly visible crown is over scaled , able to be read from the street level several hundred feet below .   Engineers Gunvald Aus and Kort Berle designed the steel frame , supported on massive caissons that penetrate to the bedrock . The high - speed elevators were innovative , and the building 's high office - to - elevator ratio made the structure profitable .  The building 's crown  The ornate , cruciform lobby , is `` one of the most spectacular of the early 20th century in New York City '' . It is covered in Skyros veined marble , has a vaulted ceiling , mosaics , a stained - glass ceiling light and bronze fittings . Over the balconies of the mezzanine are the murals Labor and Commerce . Corbel sculptures include Gilbert with a model of the building , Aus taking a girder 's measurements , and Woolworth counting nickels . Woolworth 's private office , revetted in marble in the French Empire style , has been preserved .   The building 's façade was restored between 1977 and 1981 by the Ehrenkrantz Group , during which much of the terra - cotta was replaced with concrete and Gothic ornament was removed .   History ( edit )  Woolworth Building c. 1913  The building was owned by the Woolworth company for 85 years until 1998 , when the Venator Group ( formerly the F.W. Woolworth Company ) sold it to the Witkoff Group for $155 million . Until recently , that company kept a presence in the building through a Foot Locker store ( Foot Locker is the successor to the Woolworth Company ) .   Prior to the September 11 , 2001 , attacks , the World Trade Center was often photographed in such a way that the Woolworth Building could be seen between 1 and 2 World Trade Center . After the attacks , which occurred only a few blocks away , the building was without electricity , water and telephone service for a few weeks and had broken windows and the top turret was damaged by falling rubble . Increased post-attack security restricted access to most of the ornate lobby , previously a tourist attraction , although the lobby was reopened to public tours in 2014 .   The structure has a long association with higher education , housing a number of Fordham University schools in the early 20th century . Today , the building houses , among other tenants , TTA Inc. , Control Group Inc. , AIGA , and the New York University School of Continuing and Professional Studies ' Center for Global Affairs .   In August 2012 , The New York Times reported that an investment group led by Alchemy Properties , a New York developer , bought the top 30 floors of the landmark on July 31 for $68 million from the Witkoff Group and Cammeby 's International . The firm plans to renovate the space into luxury apartments and convert the penthouse into a five - level living space . The lower 28 floors are still owned by the Witkoff Group and Cammeby International , who plan to lease them as office space .   The project will cost approximately $150 million , according to the article , including its $68 million purchase price . In August 2014 , the New York Attorney General 's office approved Alchemy 's offering plan for condos at the newly branded Woolworth Tower Residences . The $110 million price tag for the building 's penthouse unit is the highest asking price ever for an apartment in downtown Manhattan .   Tenants ( edit )  Part of the lobby  At the building 's completion , the F.W. Woolworth Company occupied only one and a half floors of the building , but , as the owner , profited from renting space out to others , including the Irving National Exchange Bank and Columbia Records . Columbia Records moved into the building in 1913 and housed a recording studio in it . In 1917 , Columbia made what are considered the first jazz recordings , by the Original Dixieland Jass Band , in this studio .   During the Second World War , the Kellex Corporation , part of the Manhattan Project to develop nuclear weapons , was based here .   In popular culture ( edit )   Architecture    The Lincoln American Tower in Memphis , Tennessee , built in 1924 , is a small replica of the building , standing at one - third its height .     Film    In film , the building has been referenced several times .    In Applause ( 1929 ) , April ( Joan Peers ) and her sailor boyfriend Tony ( Henry Wadsworth ) , are sightseeing on top of a high building . April : `` Look , there 's the Woolworth building '' . Tony : `` that 's some sight is n't it '' , April : `` it 's wonderful '' . Tony : `` you 're wonderful '' .   The film Five and Ten ( 1931 ) is loosely based on Woolworth heiress Barbara Hutton and has many references to `` the tower '' that is being built . The main characters , played by Marion Davies and Leslie Howard , get stranded overnight atop the skyscraper .   In Winner Take All ( 1932 ) , Jimmy ( James Cagney ) sends Peggy ( Marian Nixon ) a post card with the picture of the Woolworth building on it .   In On the Town ( 1949 ) , in which one of the sailors on leave in Manhattan ( Frank Sinatra ) is using an out - of - date guidebook , there 's a reference to the Woolworth Tower 's being the tallest building in the world .   In Singin ' in the Rain ( 1952 ) , which is set in 1927 , Don Lockwood ( Gene Kelly ) laments the colossal failure of his latest film , `` The Dueling Cavalier '' by saying that after its release , nobody would come to see him jump off the Woolworth Building into a damp rag .   In Spider - Man 2 ( 2004 ) , Peter Parker ( Tobey Maguire ) delivers a number of pizzas to a receptionist ( Emily Deschanel ) at the building   In the Disney film Enchanted ( 2007 ) , the building is the site of the film 's grand climax .   In the opening scenes of Cloverfield ( 2008 ) , the building is depicted collapsing after Clover critically damages it .   In Baz Luhrmann 's film adaptation of The Great Gatsby ( 2013 ) , Nick Carraway works in the building as a stock broker for Chase . In an opening scene , a spectacular tilt down from the top of the building is shown .   In the movie Fantastic Beasts And Where To Find Them ( 2016 ) , the Magical Congress of the United States of America is concealed from No - Maj view inside the building itself .    Video games    The `` Woodworld Building '' in the video game Grand Theft Auto IV ( 2008 ) mimics the Woolworth Building in its name , architectural style , and street address number . The building also appears in Grand Theft Auto : Chinatown Wars , but only its bottom floors are rendered due to the game 's top - down angle .    Literature    In the novel Peak ( 2007 ) , the protagonist is arrested for climbing the building .   In Langston Hughes ' poem `` Negro '' the narrator has made mortar for the building .    Television    The building is shown as the headquarters of Meade Publications in the 2006 television series , Ugly Betty .   Exterior shots of the building were used to establish the headquarters of fictional cable television channel `` The Explorer 's Channel '' which employed Paul Buchman in season four of the 1990s sitcom Mad About You .    See also ( edit )    Architecture portal   New York City portal   List of tallest buildings in the world    References ( edit )   Notes    Jump up ^ `` Woolworth Building '' . CTBUH Skyscraper Database .   Jump up ^ Woolworth Building at Emporis   Jump up ^ `` Woolworth Building '' . SkyscraperPage .   Jump up ^ Woolworth Building at Structurae   Jump up ^ `` Woolworth Building '' . National Historic Landmark summary listing . National Park Service . September 23 , 2007 . Archived from the original on June 6 , 2011 . Retrieved August 31 , 2011 .   Jump up ^ Patricia Heintzelman and Cecil McKithan ( January 6 , 1978 ) . `` The Woolworth Building '' ( PDF ) . National Register of Historic Places Inventory - Nomination . National Park Service .   Jump up ^ `` The Woolworth Building -- Accompanying 3 photos , exterior , from 1975 '' ( PDF ) . National Register of Historic Places Inventory - Nomination . National Park Service . January 6 , 1978 . Retrieved August 31 , 2011 .   ^ Jump up to : New York City Landmarks Preservation Commission ; Dolkart , Andrew S. ( text ) ; Postal , Matthew A. ( text ) ( 2009 ) , Postal , Matthew A. , ed. , Guide to New York City Landmarks ( 4th ed . ) , New York : John Wiley &amp; Sons , ISBN 978 - 0 - 470 - 28963 - 1 , p. 25 .   ^ Jump up to : `` Study for Woolworth Building , New York '' . World Digital Library . 1910 - 12 - 10 . Retrieved 2013 - 07 - 25 .   ^ Jump up to : White , Norval &amp; Willensky , Elliot ( 2000 ) , AIA Guide to New York City ( 4th ed . ) , New York : Three Rivers Press , ISBN 978 - 0 - 8129 - 3107 - 5 , p. 67 .   Jump up ^ Sutton , Philip . `` The Woolworth Building : The Cathedral of Commerce '' . Blogs . New York Public Library . Retrieved 25 July 2013 .   Jump up ^ recordonline.com - The Times Herald - Record , serving New York 's Hudson Valley and the Catskills Archived June 1 , 2005 , at the Wayback Machine .   Jump up ^ `` Woolworth Building Turns 100 '' . Wall Street Journal . 23 April 2013 . ISSN 0099 - 9660 . Retrieved 2016 - 02 - 07 . Picture 11 of 19 : The World Trade Center , shown under construction in 1970 , and other modern skyscrapers eventually dwarfed the Woolworth Building , visible here at the center between the Trade Center 's two towers .   Jump up ^ Fendrich , Laurie ( January 8 , 2008 ) . `` American Architectural Wonder : Keep Out '' . The Chronicle of Higher Education . Retrieved August 30 , 2011 .   Jump up ^ Dunlap , David W. ( December 31 , 2014 ) . `` Woolworth Building 's Grand Arcade Is Once Again a Sight All Can See '' . The New York Times . Retrieved July 28 , 2016 .   Jump up ^ `` NYU Center for Global Affairs to Open in Woolworth Building ; Lower Manhattan Location To House Academic Programs and Host Public Events '' . www.businesswire.com . Retrieved 2017 - 06 - 19 .   Jump up ^ Higgins , Michelle ( August 7 , 2012 ) . `` Luxury Living in Old Temple of the 5 and Dime '' . The New York Times . Retrieved August 24 , 2014 .   Jump up ^ Polsky , Sara ( August 7 , 2012 ) . `` Woolworth Building 's Top Floors Will Become Luxury Condos '' . Curbed . Retrieved August 24 , 2014 .   Jump up ^ Samtani , Hiten ( August 21 , 2012 ) . `` Revealed : Floor plans for $110 M Woolworth penthouse : PHOTOS '' . The Real Deal . Retrieved August 24 , 2014 .   Jump up ^ Perlberg , Heather ( June 2 , 2014 ) . `` NYC Woolworth Tower Condo Priced at Record $110 Million '' . Bloomberg News . Retrieved August 24 , 2014 .   Jump up ^ Hoffman , Frank , Encyclopedia of Recorded Sound , New York &amp; London : Routledge , 1993 &amp; 2005 , Volume 1 . Cf . p. 212 , article on `` Columbia ( Label ) '' .   Jump up ^ Cogan , Jim ; Clark , William , Temples of sound : inside the great recording studios , San Francisco : Chronicle Books , 2003 . ISBN 0 - 8118 - 3394 - 1 . Cf . chapter on Columbia Studios .   Jump up ^ `` The Woolworth Building '' , NYC Architecture   Jump up ^ `` Corporate Partners '' . Atomic Heritage Foundation . Retrieved 31 January 2018 .   Jump up ^ Ashby , Andy ( 2008 - 05 - 16 ) . `` Lincoln American lands first tenants '' . Memphis Business Journal . Memphis , Tennessee . Retrieved 2008 - 09 - 22 .   ^ Jump up to : Soll , Lindsay ( October 17 , 2008 ) . `` The Deep Dive : Made in NYC '' . Entertainment Weekly . Retrieved January 21 , 2010 .   Jump up ^ `` ' Fantastic Beasts ' : 5 secrets in our photo you might have missed EW.com '' . www.ew.com . Retrieved 2015 - 11 - 07 .    Bibliography    Fenske , Gail . The Skyscraper and the City : The Woolworth Building and the Making of Modern New York . Chicago : University of Chicago Press , 2008 . ISBN 978 - 0 - 226 - 24141 - 8 .   Heintzleman , Patricia ; Cecil McKithan ( January 23 , 1978 ) . `` National Register of Historic Places Inventory / Nomination : The Woolworth Building '' . New York State Office of Parks , Recreation and Historic Preservation . Retrieved December 25 , 2010 .   `` Big Town Big Picture : The Woolworth Building '' . Daily News . March 11 , 2009 . p. 23 .    External links ( edit )       Wikimedia Commons has media related to Woolworth Building .      Official lobby tours website   The Woolworth Tower Residences official website   `` Designation List 164 : The Woolworth Building '' , New York City Landmarks Preservation Commission , April 12 , 1983   `` Pride and Humility in the Woolworth Building and in Ourselves '' by John Stern , from beautyofnyc.org   The Woolworth Building from GreatBuildings.com   A Rare Glimpse Inside as the Woolworth Building Turns 100 at NY Curbed   Medieval New York website from Fordham University , with construction details and photo images of the Woolworth Building   Margaret Herman , Gilbert 's Woolworth Building , Smarthistory      Records     Preceded by Metropolitan Life Insurance Company Tower   Tallest building in the world 1913 -- 1930   Succeeded by 40 Wall Street     Tallest building in the United States 1913 -- 1930               Structures on Broadway in Manhattan     1 - 599 ( Battery Pl . - W. Houston St . )     1 Broadway   2 Broadway   Bowling Green   26 Broadway ( previously occupied by Lautman 's Dairy )   Cunard Building   52 Broadway   Adams Express Building   65 Broadway   1 Wall Street   AXA Equitable Life Insurance Company   Trinity Church   Equitable Building   Equitable Life Building   Marine Midland Building   Zuccotti Park   One Liberty Plaza   Fulton Center   Corbin Building   American Surety Building   195 Broadway   Astor House   Woolworth Building   City Hall Park   New York City Hall   Broadway -- Chambers Building   280 Broadway   287 Broadway   Ted Weiss Federal Building   291 Broadway   Mutual Reserve Building   319 Broadway   Appleton Building   359 Broadway   361 Broadway ( James S. White Building )   462 Broadway   Mechanics ' Hall   E.V. Haughwout Building   New Era Building   Scholastic Building   Singer Building         600 - 1499 ( W. Houston St. - Times Sq . )     Cable Building   Canterbury Hall   Grace Church   Church of the Messiah   Grand Central Hotel   770 Broadway   Strand Bookstore   Tisch School of the Arts   Grace Church   Union Square   Flatiron Building   Madison Square   Baudouine Building   Gilsey House   Grand Hotel   Radisson Hotel Martinique   Hotel McAlpin   Herald Square   Haier Building   Knickerbocker Theatre   Marbridge Building   Metropolitan Opera House ( former )   Rialto Theatre   Times Square   One Times Square ( previously occupied by Pabst Hotel )   Condé Nast Building   The Knickerbocker Hotel       1500 - 1800 ( Times Sq . - Columbus Cir . )     1500 Broadway ( previously occupied by Hotel Claridge )   1501 Broadway   One Astor Plaza   Astor Theatre   Minskoff Theatre   New York Marriott Marquis   Morgan Stanley Building   Palace Theatre   Brill Building   Winter Garden Theatre   Central Theatre   Capitol Theatre   Ellen 's Stardust Diner   Paramount Plaza   Studebaker Building   Broadway Theatre   Ed Sullivan Theater   1717 Broadway   1740 Broadway   Random House Tower   Columbus Circle       North of Columbus Cir .     Museum of Biblical Art   Dauphin Hotel   Beacon Theatre   The Apthorp   Bretton Hall   Goddard Institute for Space Studies   Barnard College   Audubon Ballroom   United Palace   Dyckman House   Church of the Good Shepherd                 Timeline of tallest buildings in New York City       Collegiate Reformed Protestant Dutch Church ( c. 1643 )   Trinity Church ( 85 m ) ( 1846 )   New York World Building ( 94 m ) ( 1890 )   Manhattan Life Insurance Building ( 100 m ) ( 1894 )   Park Row Building ( 119 m ) ( 1899 )   Singer Building ( 187 m ) ( 1908 )   Metropolitan Life Tower ( 213 m ) ( 1909 )   Woolworth Building ( 241 m ) ( 1913 )   40 Wall Street ( 283 m ) ( 1930 )   Chrysler Building ( 320 m ) ( 1930 )   Empire State Building ( 443 m ) ( 1931 )   World Trade Center ( 526 m ) ( 1973 )   Empire State Building ( 443 m ) ( 2001 )   One World Trade Center ( 541 m ) ( 2014 )                 U.S. National Register of Historic Places in New York     Topics     Contributing property   Keeper of the Register   Historic district   History of the National Register of Historic Places   National Park Service   Property types         Lists by county     Albany   Allegany   Bronx   Broome   Cattaraugus   Cayuga   Chautauqua   Chemung   Chenango   Clinton   Columbia   Cortland   Delaware   Dutchess   Erie   Essex   Franklin   Fulton   Genesee   Greene   Hamilton   Herkimer   Jefferson   Kings ( Brooklyn )   Lewis   Livingston   Madison   Monroe   Montgomery   Nassau   New York ( Manhattan )   Niagara   Oneida   Onondaga   Ontario   Orange   Orleans   Oswego   Otsego   Putnam   Queens   Rensselaer   Richmond ( Staten Island )   Rockland   Saratoga   Schenectady   Schoharie   Schuyler   Seneca   St. Lawrence   Steuben   Suffolk   Sullivan   Tioga   Tompkins   Ulster   Warren   Washington   Wayne   Westchester   Northern   Southern     Wyoming   Yates       Lists by city     Albany   Buffalo   New Rochelle   New York City   Bronx   Brooklyn   Queens   Staten Island   Manhattan   Below 14th St .   14th -- 59th St .   59th -- 110th St .   Above 110th St .   Minor islands       Niagara Falls   Peekskill   Poughkeepsie   Rhinebeck   Rochester   Syracuse   Yonkers       Other lists     Bridges and tunnels   National Historic Landmarks         Category : National Register of Historic Places in New York ( state )   Portal : National Register of Historic Places                 F.W. Woolworth Company -- Foot Locker     Company     F.W. Woolworth Company   Champs Sports   Eastbay   Foot Locker   Kinney Shoes   Woolco   Other divisions and namesakes       Buildings     List of Woolworth buildings   Woolworth Building   Lexington Store   St. Louis Office   Shadow Lawn   Watertown Store   Wilmington Store   Winfield Hall   Winfield House       Culture     `` Love at the Five and Dime ''   Seafoam salad   Woolworth v. Contemporary Arts       Events     Foot Locker Cross Country       Civil rights     Greensboro sit - ins   Ezell Blair Jr .   Franklin McCain   Joseph McNeil   David Richmond   International Civil Rights Center and Museum   February One   Clarence Harris   Lexington Woolworths   Nashville sit - ins       Family     Frank Winfield Woolworth   Barbara Hutton   Poor Little Rich Girl   Lance Reventlow               VIAF : 197062985   GND : 7627213 - 8      Retrieved from `` https://en.wikipedia.org/w/index.php?title=Woolworth_Building&amp;oldid=835157595 '' Categories :   1913 establishments in New York ( state )   Broadway ( Manhattan )   Cass Gilbert buildings   Civic Center , Manhattan   F.W. Woolworth Company buildings and structures   Buildings at Fordham University   Former world 's tallest buildings   Gothic Revival architecture in New York City   Gothic Revival skyscrapers   National Historic Landmarks in Manhattan   Office buildings completed in 1913   Skyscraper office buildings in Manhattan   Office buildings on the National Register of Historic Places in Manhattan   Retail company headquarters in the United States   Terracotta   Columbia Records   Hidden categories :   Skyscraper Center ID same as Wikidata   Structurae ID different from Wikidata   CS1 : Julian -- Gregorian uncertainty   Webarchive template wayback links   Wikipedia page with obscure country or subdivision   Coordinates on Wikidata   Articles needing additional references from April 2017   All articles needing additional references   All articles with unsourced statements   Articles with unsourced statements from April 2011   Wikipedia articles with VIAF identifiers   Wikipedia articles with GND identifiers           Talk                                           Contents                   About Wikipedia                                                   Български   Català   Čeština   Cymraeg   Dansk   Deutsch   Eesti   Español   Esperanto   Euskara   فارسی   Français   </t>
    </r>
    <r>
      <rPr>
        <sz val="11"/>
        <color rgb="FF000000"/>
        <rFont val="Noto Sans CJK SC"/>
        <family val="2"/>
      </rPr>
      <t xml:space="preserve">한국어   </t>
    </r>
    <r>
      <rPr>
        <sz val="11"/>
        <color rgb="FF000000"/>
        <rFont val="Calibri"/>
        <family val="0"/>
        <charset val="1"/>
      </rPr>
      <t xml:space="preserve">Bahasa Indonesia   Italiano   עברית   ქართული   Latina   Lietuvių   Nederlands   </t>
    </r>
    <r>
      <rPr>
        <sz val="11"/>
        <color rgb="FF000000"/>
        <rFont val="Noto Sans CJK SC"/>
        <family val="2"/>
      </rPr>
      <t xml:space="preserve">日本 語   </t>
    </r>
    <r>
      <rPr>
        <sz val="11"/>
        <color rgb="FF000000"/>
        <rFont val="Calibri"/>
        <family val="0"/>
        <charset val="1"/>
      </rPr>
      <t xml:space="preserve">Norsk   پنجابی   Polski   Português   Română   Русский   Simple English   Slovenčina   Suomi   Svenska   ไทย   Türkçe   Українська   </t>
    </r>
    <r>
      <rPr>
        <sz val="11"/>
        <color rgb="FF000000"/>
        <rFont val="Noto Sans CJK SC"/>
        <family val="2"/>
      </rPr>
      <t xml:space="preserve">中文  </t>
    </r>
    <r>
      <rPr>
        <sz val="11"/>
        <color rgb="FF000000"/>
        <rFont val="Calibri"/>
        <family val="0"/>
        <charset val="1"/>
      </rPr>
      <t xml:space="preserve">27 more  Edit links   This page was last edited on 6 April 2018 , at 22 : 25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</si>
  <si>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was the architect of the woolworth building what was the final cost of the building</t>
  </si>
  <si>
    <t xml:space="preserve"> The Woolworth Building was designed in the neo-Gothic style by the architect Cass Gilbert , whom Frank Woolworth commissioned in 1910 to design a 20 - story office building as the F.W. Woolworth Company 's new corporate headquarters on Broadway , between Park Place and Barclay Street in Lower Manhattan , opposite City Hall . Originally designed to be 420 feet ( 130 m ) high , the building was eventually elevated to 792 feet ( 241 m ) . At its opening , the Woolworth Building was 60 stories tall and had over 5,000 windows . The construction cost was US $13.5 million . With Irving National Exchange Bank Woolworth set up the Broadway - Park Place Company to finance the building , but by May 1914 , had purchased all of the shares from the bank , thus owning the building outright . On completion , the Woolworth building topped the record set by the Metropolitan Life Insurance Company Tower as the world 's tallest building . </t>
  </si>
  <si>
    <r>
      <rPr>
        <sz val="11"/>
        <color rgb="FF000000"/>
        <rFont val="Calibri"/>
        <family val="0"/>
        <charset val="1"/>
      </rPr>
      <t xml:space="preserve">Connective tissue - wikipedia  Connective tissue  Jump to : navigation , search    Connective tissue     Section of epididymis . Connective tissue ( blue ) is seen supporting the epithelium ( purple )     Identifiers     FMA   9640     Anatomical terminology ( edit on Wikidata )     Connective tissue ( CT ) is one of the four basic types of animal tissue , along with epithelial tissue , muscle tissue , and nervous tissue . It develops from the mesoderm . Connective tissue is found in between other tissues everywhere in the body , including the nervous system . In the central nervous system , the three outer membranes ( the meninges ) that envelope the brain and spinal cord are composed of connective tissue . They support and protect the body . All connective tissue consists of three main components : fibers ( elastic and collagenous fibers ) , ground substance and cells . Not all authorities include blood or lymph as connective tissue because they lack the fiber component . All are immersed in the body water .   The cells of connective tissue include fibroblasts , adipocytes , macrophages , mast cells and leucocytes .     Contents  ( hide )   1 Structure   1.1 Characteristics     2 Function   3 Clinical significance   4 Staining of connective tissue   5 See also   6 Notes and references   7 External links      Structure ( edit )   Connective tissue can be broadly subdivided into connective tissue proper , and special connective tissue . Connective tissue proper consists of loose connective tissue and dense connective tissue ( which is further subdivided into dense regular and dense irregular connective tissues . ) Special connective tissue consists of reticular connective tissue , adipose tissue , cartilage , bone , and blood . Other kinds of connective tissues include fibrous , elastic , and lymphoid connective tissues . New vascularised connective tissue that forms in the process of wound healing is termed granulation tissue . Fibroblasts are the cells responsible for the production of some CT .   Type I collagen is present in many forms of connective tissue , and makes up about 25 % of the total protein content of the mammalian body .   Characteristics ( edit )   Characteristics of CT :    Cells are spread through an extracellular fluid .   Ground substance - A clear , colorless , and viscous fluid containing glycosaminoglycans and proteoglycans to fix the body water and the collagen fibers in the intercellular spaces . Ground substance slows the spread of pathogens .   Fibers . Not all types of CT are fibrous . Examples of non-fibrous CT include adipose tissue and blood . Adipose tissue gives `` mechanical cushioning '' to the body , among other functions . Although there is no dense collagen network in adipose tissue , groups of adipose cells are kept together by collagen fibers and collagen sheets in order to keep fat tissue under compression in place ( for example , the sole of the foot ) . The matrix of blood is plasma .   Both the ground substance and proteins ( fibers ) create the matrix for CT . Connective tissues are derived from the mesenchyme .    Types of fibers :     Tissue   Purpose   Components   Location     Collagenous fibers   Bind bones and other tissues to each other   Alpha polypeptide chains   tendon , ligament , skin , cornea , cartilage , bone , blood vessels , gut , and intervertebral disc .     Elastic fibers   Allow organs like arteries and lungs to recoil   Elastic microfibril and elastin   extracellular matrix     Reticular fibers   Form a scaffolding for other cells   Type III collagen   liver , bone marrow , and lymphatic organs     Function ( edit )   Connective tissue has a wide variety of functions that depend on the types of cells and the different classes of fibers involved . Loose and dense irregular connective tissue , formed mainly by fibroblasts and collagen fibers , have an important role in providing a medium for oxygen and nutrients to diffuse from capillaries to cells , and carbon dioxide and waste substances to diffuse from cells back into circulation . They also allow organs to resist stretching and tearing forces . Dense regular connective tissue , which forms organized structures , is a major functional component of tendons , ligaments and aponeuroses , and is also found in highly specialized organs such as the cornea . Elastic fibers , made from elastin and fibrillin , also provide resistance to stretch forces . They are found in the walls of large blood vessels and in certain ligaments , particularly in the ligamenta flava .   In hematopoietic and lymphatic tissues , reticular fibers made by reticular cells provide the stroma -- or structural support -- for the parenchyma -- or functional part -- of the organ .   Mesenchyme is a type of connective tissue found in developing organs of embryos that is capable of differentiation into all types of mature connective tissue . Another type of relatively undifferentiated connective tissue is mucous connective tissue , found inside the umbilical cord .   Various types of specialized tissues and cells are classified under the spectrum of connective tissue , and are as diverse as brown and white adipose tissue , blood , cartilage and bone . Cells of the immune system , such as macrophages , mast cells , plasma cells and eosinophils are found scattered in loose connective tissue , providing the ground for starting inflammatory and immune responses upon the detection of antigens .   Clinical significance ( edit )  Main articles : Connective tissue disease and Connective tissue neoplasm  It is estimated that 1 in 10 people have a connective tissue disorder . Diseases of connective tissue include :    Connective tissue neoplasms including sarcomas such as hemangiopericytoma and malignant peripheral nerve sheath tumor in nervous tissue .   Congenital diseases include Marfan syndrome and Ehlers - Danlos Syndrome .   Myxomatous degeneration -- a pathological weakening of connective tissue .   Mixed connective tissue disease -- a disease of the autoimmune system , also undifferentiated connective tissue disease .   Systemic lupus erythematosus ( SLE ) -- a major autoimmune disease of connective tissue   Scurvy , caused by a deficiency of vitamin C which is necessary for the synthesis of collagen .    Staining of connective tissue ( edit )   For microscopic viewing , most of the connective tissue staining - techniques , colour tissue fibers in contrasting shades . Collagen may be differentially stained by any of the following :    Van Gieson 's stain   Masson 's trichrome stain   Mallory 's trichrome stain   Aniline blue stain   Eosin   Reticulin stain    See also ( edit )    Connective tissue in skeletal muscle   Endometrium   Fascia   Parametrium    Notes and references ( edit )    Jump up ^ `` Connective Tissue Study Guide '' . 2 January 2013 . Retrieved 26 October 2014 .   Jump up ^ Dorland , W.A. Newman ( 2012 ) . Dorland 's Illustrated Medical Dictionary ( 32nd ed . ) . Elsevier . p. 1931 . ISBN 978 - 1 - 4160 - 6257 - 8 .   Jump up ^ Shostak , Stanley . `` Connective Tissues '' . Retrieved 9 December 2012 .   Jump up ^ Carol Mattson Porth ; Glenn Matfin ( 1 October 2010 ) . Essentials of Pathophysiology : Concepts of Altered Health States . Lippincott Williams &amp; Wilkins . pp. 24 -- . ISBN 978 - 1 - 58255 - 724 - 3 . Retrieved 11 May 2011 .   Jump up ^ Potter , Hugh . `` The Connective Tissues '' . Retrieved 9 December 2012 .   Jump up ^ Caceci , Thomas . `` Connective Tisues '' . Retrieved 9 December 2012 .   Jump up ^ King , David . `` Histology Intro '' . Retrieved 9 December 2012 .   Jump up ^ `` Granulation Tissue Definition '' . Memidex . Retrieved 7 May 2016 .   Jump up ^ Di Lullo ; G.A. ( 2002 ) . `` Mapping the Ligand - binding Sites and Disease - associated Mutations on the Most Abundant Protein in the Human , Type I Collagen '' . Journal of Biological Chemistry . 277 ( 6 ) : 4223 -- 31 . doi : 10.1074 / jbc. M110709200 . PMID 11704682 .   Jump up ^ Xu , H. ; et al. ( 2008 ) . `` Monitoring Tissue Engineering Using Magnetic Resonance Imaging '' . Journal of Bioscience and Bioengineering. 106 ( 6 ) : 515 -- 527 . doi : 10.1263 / jbb. 106.515 . PMID 19134545 .   Jump up ^ Laclaustra , M. ; et al. ( 2007 ) . `` Metabolic syndrome pathophysiology : The role of adiposetissue '' . Nutrition , Metabolism and Cardiovascular Diseases . 17 ( 2 ) : 125 -- 139 . doi : 10.1016 / j. numecd. 2006.10. 005 . PMID 17270403 .   ^ Jump up to : Ross M , Pawlina W ( 2011 ) . Histology : A Text and Atlas ( 6th ed . ) . Lippincott Williams &amp; Wilkins . pp. 158 -- 197 . ISBN 978 - 0 - 7817 - 7200 - 6 .   Jump up ^ Young B , Woodford P , O'Dowd G ( 2013 ) . Wheater 's Functional Histology : A Text and Colour Atlas ( 6th ed . ) . Elsevier . p. 65 . ISBN 978 - 0702047473 .   Jump up ^ EDS Awareness.com ( 2012 ) . `` EDS Awareness Ehlers - Danlos Syndrome . '' Acquired by ( EDSawareness.com )    External links ( edit )       Wikimedia Commons has media related to Connective tissues .      Encyclopædia Britannica , Connective Tissue   Overview at kumc.edu   UIUC Histology Subject 230   Connective tissue atlas at uiowa.edu   Questions and Answers about Heritable Disorders of Connective Tissue - US National Institute of Arthritis and Musculoskeletal and Skin Diseases   Connective Tissue Photomicrographs              Biological tissues     Animals     Epithelial   Connective   Muscular   Nervous       Plants     Dermal tissue   Epidermis : Cuticle   Pavement cell   Guard cell   Subsidiary cell   Periderm : Phellem   Phelloderm       Vascular tissue   Phloem : Sieve tube   Companion cell   Phloem fiber   Phloem parenchyma   Xylem : Tracheid   Vessel element   Xylem fiber   Xylem parenchyma       Ground tissue   Parenchyma : Chlorenchyma   Aerenchyma   Collenchyma   Sclerenchyma : Sclereid   Fiber       Meristematic tissue   Primary : Protoderm   Procambium   Ground meristem   Secondary : Cork cambium   Vascular cambium                   Connective tissue     Physiology     Soft tissue   Fibrosis   Scarring       Composition      Cells      Resident     Fibroblast   Fibrocyte   Reticular cell   Tendon cell   Adipocyte   Melanocyte       Wandering cells     Mast cell   Macrophage          Extracellular matrix      Ground substance     Tissue fluid       Fibers     Collagen fibers   Reticular fibers   COL3A1     Elastic fibers   Elastin   Fibrillin   FBN1   FBN2   FBN3     EMILIN1   Elaunin               Classification      Proper      Loose     Reticular   Adipose   Brown   White         Dense     Dense irregular connective tissue   Submucosa   Dermis     Dense regular connective tissue   Ligament   Tendon   Aponeurosis            Embryonic     Mucoid   Mesenchymal       Specialized     Cartilage   Bone           Biology portal   Medicine portal   Neuroscience portal          GND : 4006725 - 7   NDL : 00565679      Retrieved from `` https://en.wikipedia.org/w/index.php?title=Connective_tissue&amp;oldid=813889207 '' Categories :   Connective tissue   Hidden categories :   All articles lacking reliable references   Articles lacking reliable references from August 2015   Commons category with local link different than on Wikidata   Wikipedia articles with GND identifiers   Use dmy dates from April 2017           Talk                                           Contents                   About Wikipedia                                                 Afrikaans     বাংলা   Беларуская   Български   Bosanski   Català   Čeština   Cymraeg   Dansk   Deutsch   Eesti   Ελληνικά   Español   Esperanto   Euskara   فارسی   Français   Gaeilge   Galego   </t>
    </r>
    <r>
      <rPr>
        <sz val="11"/>
        <color rgb="FF000000"/>
        <rFont val="Noto Sans CJK SC"/>
        <family val="2"/>
      </rPr>
      <t xml:space="preserve">한국어   </t>
    </r>
    <r>
      <rPr>
        <sz val="11"/>
        <color rgb="FF000000"/>
        <rFont val="Calibri"/>
        <family val="0"/>
        <charset val="1"/>
      </rPr>
      <t xml:space="preserve">Հայերեն   हिन्दी   Hrvatski   Bahasa Indonesia   Interlingua   Íslenska   Italiano   עברית   ქართული   Қазақша   Kurdî   Кыргызча   Latina   Latviešu   Lietuvių   Magyar   Македонски   Bahasa Melayu   Nederlands   </t>
    </r>
    <r>
      <rPr>
        <sz val="11"/>
        <color rgb="FF000000"/>
        <rFont val="Noto Sans CJK SC"/>
        <family val="2"/>
      </rPr>
      <t xml:space="preserve">日本 語   </t>
    </r>
    <r>
      <rPr>
        <sz val="11"/>
        <color rgb="FF000000"/>
        <rFont val="Calibri"/>
        <family val="0"/>
        <charset val="1"/>
      </rPr>
      <t xml:space="preserve">Norsk   Norsk nynorsk   Oromoo   Oʻzbekcha / ўзбекча   Plattdüütsch   Polski   Português   Română   Русский   Scots   සිංහල   Simple English   Slovenčina   Slovenščina   کوردی   Српски / srpski   Srpskohrvatski / српскохрватски   Suomi   Svenska   தமிழ்   తెలుగు   ไทย   Türkçe   Українська   اردو   Tiếng Việt   </t>
    </r>
    <r>
      <rPr>
        <sz val="11"/>
        <color rgb="FF000000"/>
        <rFont val="Noto Sans CJK SC"/>
        <family val="2"/>
      </rPr>
      <t xml:space="preserve">粵語   中文   </t>
    </r>
    <r>
      <rPr>
        <sz val="11"/>
        <color rgb="FF000000"/>
        <rFont val="Calibri"/>
        <family val="0"/>
        <charset val="1"/>
      </rPr>
      <t xml:space="preserve">Edit links   This page was last edited on 5 December 2017 , at 20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</si>
  <si>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structure of a connective tissue</t>
  </si>
  <si>
    <t xml:space="preserve"> Connective tissue ( CT ) is one of the four basic types of animal tissue , along with epithelial tissue , muscle tissue , and nervous tissue . It develops from the mesoderm . Connective tissue is found in between other tissues everywhere in the body , including the nervous system . In the central nervous system , the three outer membranes ( the meninges ) that envelope the brain and spinal cord are composed of connective tissue . They support and protect the body . All connective tissue consists of three main components : fibers ( elastic and collagenous fibers ) , ground substance and cells . Not all authorities include blood or lymph as connective tissue because they lack the fiber component . All are immersed in the body water . </t>
  </si>
  <si>
    <t xml:space="preserve">No Exit ( the Vampire Diaries ) - wikipedia  No Exit ( the Vampire Diaries )  This article is about an episode of TV series The Vampire Diaries . For other uses , see No Exit . 14th episode of the fifth season of The Vampire Diaries    `` No Exit ''     The Vampire Diaries episode     Episode no .   Season 5 Episode 14     Directed by   Michael Allowitz     Written by   Brian Young     Production code   2J7514     Original air date   February 27 , 2014     Guest appearance ( s )       Olga Fonda ( Nadia )   Michael Malarkey ( Enzo )   Rick Cosnett ( Wes Maxfield )       Episode chronology        ← Previous `` Total Eclipse of the Heart ''   Next → `` Gone Girl ''        The Vampire Diaries ( season 5 ) List of The Vampire Diaries episodes     `` No Exit '' is the 14th episode of the fifth season of the American series The Vampire Diaries and the series ' 103rd episode overall . `` No Exit '' was originally aired on February 27 , 2014 , on The CW . The episode was written by Brian Young and directed by Michael Allowitz .   Contents    1 Plot   2 Feature music   3 Reception   3.1 Ratings   3.2 Reviews     4 Notes   5 References   6 External links    Plot ( edit )   Enzo ( Michael Malarkey ) and Damon ( Ian Somerhalder ) turn people to vampires so that Damon can feed on them since now , after Wes ' ( Rick Cosnett ) injection , he craves vampire blood and not human . The two of them try to leave the last victim 's house when Wes appears with travelers who spell the house so vampires will not be able to get out . Wes informs them that he wants to make one last test ; how long can Damon last before he attacks his friends to feed on .   Katherine ( Nina Dobrev ) , still pretending to be Elena , tries to get closer to Stefan ( Paul Wesley ) so they can be back together . When Caroline ( Candice Accola ) arrives and tells them about Damon , Stefan wants to find him and Katherine offers to go with him . Caroline warns him that it is weird for him to be so close to `` Elena '' after everything that happened but he reassures her that they are just friends . Before Stefan and Katherine go , Caroline gets a phone call from Tyler ( Michael Trevino ) who tells her that he worries about Matt ( Zach Roerig ) , who has vanished for two days , and that Nadia ( Olga Fonda ) was compelling him . Katherine hears Caroline 's conversation with Tyler and she calls Nadia to ask if everything is fine . When Nadia tells her that Matt found out that she is not Elena , Katherine asks her to kill him . Caroline leaves to go to Tyler 's while Katherine and Stefan leave to find Damon .   Caroline gets to Tyler 's and they try to find out why Nadia would compel Matt and what she wants from him . The two of them feel awkward because of what happened between Caroline and Klaus ( Joseph Morgan ) . At the same time , Matt tries to convince Nadia that she does not have to kill him and all he has to do is convince his friends that he is fine . Matt returns home with Nadia and acts like everything is fine . He tells Tyler and Caroline that Nadia is not compelling him and that they just have fun together but Caroline is not really supportive of that . They both depart , leaving Matt and Nadia alone .   Katherine and Stefan are on the road in search of Damon and Katherine tries to seduce Stefan . She breaks the car so they can stay at a hotel she had seen till the car is ready . While there , Enzo calls Stefan to inform him about the situation he and Damon are in but Katherine answers who asks him to text her the address . Stefan goes to get the car and Katherine calls Nadia to tell her that she plans to lead Stefan on killing Damon to save her . Stefan gets back and before they leave the hotel , Katherine gets closer to him and kisses him . He kisses her back but he stops because `` Elena '' has just broken up with Damon and it is not right .   Enzo chains Damon on a chair in an attempt to prevent him of attacking him . Wes shoots Enzo to make him bleed , so Damon will not be able to resist . Damon breaks the chains and attacks Enzo who tries to tell him to stop . Damon chokes at Enzo 's blood and Wes appears to tell him that it is because he had travelers put a spell on it . He offers for Enzo to go with him so he will not be killed by Damon since the spell will not last forever . Enzo does not want to go but Damon convinces him to do it because if he stays he will kill him . Enzo leaves with Wes and Damon stays alone , trapped in the house .   Nadia checks that finally the vervain is out of Matt 's system so she can compel him again but before she makes him forget , Matt tries to warn Caroline about Katherine taking over Elena 's body . He kisses Nadia who kisses him back and while they are kissing , he tries to text Caroline . He manages to write `` Help K '' and send it to Caroline before Nadia sees him and stops him . She is hurt by his behavior and trying to fool her , so she compels him and starts to exit the house . Caroline , who got the text , meets Nadia at the door and asks her what is she planning and they start fighting . Tyler gets there in time to stop Nadia from killing Caroline and he fights Nadia who runs away .   Katherine and Stefan arrive at the house where Damon is but Damon warns them to not get into the house because they will not be able to get out and he will attack them . They tell him that they are not afraid of him and they both enter the house . Katherine , to help Damon fight his urge , cuts her hand with a glass and provokes him with her blood telling him that he can fight it . Damon starts feeding on her , Stefan tells him to stop and Katherine kicks a stake towards Stefan telling him that Damon is going to kill her . Stefan , instead of taking the stake , he takes a piece of glass and cuts himself to distract Damon . Damon leaves Katherine and Stefan snaps his neck .   Katherine and Stefan bring Damon back to Mystic Falls and Katherine arranges immediately to meet Nadia . Katherine is happy because , despite her plan to kill Damon not working , she had a moment with Stefan . She stops smiling when Nadia tells her that she was bitten by Tyler Lockwood .   Damon wakes up chained on the Salvatore house 's basement . Stefan is there and Damon tries to warn him that because of his cravings , one day he will kill him but Stefan tells him that they will find a solution . Damon points to Stefan that `` Elena '' provoked him to feed on her and then she kicked a stake towards him so he will kill him . Stefan does not believe that Elena would want that , he locks Damon up and gets upstairs where Caroline is . The two of them discuss what happened between Stefan and `` Elena '' and Caroline also tells him about Nadia and Matt and the text he sent to her . From Matt 's text , who used `` K '' and not `` E '' , they put the pieces together and they realize that Katherine is in Elena 's body .   Feature Music ( edit )   In the `` No Exit '' episode we can hear the songs :    `` Radioactive '' by Imagine Dragons   `` You Belong Here '' by Leagues   `` Fleur Blanche '' by Örsten   `` Poisonous Spider '' by Company    Reception ( edit )   Ratings ( edit )   In its original American broadcast , `` No Exit '' was watched by 2.03 million ; down by 0.13 from the previous episode .   Reviews ( edit )   `` No Exit '' received mixed to negative reviews with many hoping that now that Katherine 's secret was revealed , the show will `` kick in '' .   Carrie Raisler from The A.V. Club gave a B rate to the episode saying that it was a filler episode : `` this path to realization ( finding out that Katherine is in Elena 's body ) basically creates a filler episode , a way to move the story to the place it needs to be for the inevitable big confrontation in the future ( ... ) Katherine taking over Elena 's life was an incredibly inspired storyline , and watching it unfold has been delightful , but sooner or later , someone had to figure out what was going on . To spend an episode almost solely focused on making that happen is a good thing . ''   Alyse Wax of Fearnet writes : `` I miss the bad - assery this show used to have . Julie Plec took it all with her and stuffed it into The Originals . ( ... ) All of the awesome , violent , supernatural drama has been replaced with standard who 's - sleeping - with - who nonsense , ever since the original vampires got their own show . I guess Klaus really took the bad - assery with him . Well , now everyone knows that `` Elena '' is really Katherine , so hopefully the crazy shit will kick in . ''   Caroline Preece from Den of Geek gave a negative review saying that season five of the show has been the worst by far . `` ( The show ) stopped being a fast - paced , well - written vampire show and became a long - running soap that happened to have mythical creatures in it . That 's not what any of us signed up for but , with the Katherine storyline presumably on its way out now that Stefan and Caroline have figured out the deceit and Nadia has a dreaded werewolf bite to contend with , maybe the next half - arsed arc will be better ? Let 's hope so because , since we all know how fantastically entertaining this show can be at its best , there is always a glimmer of hope that it can return to form . ''   Stephanie Hall from K Site TV said that overall the episode left her a feeling that this was an off week of the show . `` '' No Exit '' was an uncharacteristically odd episode of The Vampire Diaries that primarily served to stall the impending solutions of this run of episodes ' two most pressing issues : Katherine and Damon . While it did bring our heroes a step closer to solving both of these problems , the ways in which it did so were not delivered with as much metaphoric bang as could be hoped . ''   Matt Richenthal of TV Fanatic rated the episode with only 1.3 / 5 saying that it was one boring hour of television and that the writers recycles scenes and stories from previous episodes / seasons . `` We knew from the moment Katherine inhabited Elena 's body that she would eventually be found out . What other alternative possibly existed ? So we 've been waiting and waiting and waiting for that moment for weeks and that 's exactly what tonight 's episode felt like . ''   Notes ( edit )    The episode was dedicated to Sarah Jones , who lost her life on February 20 , 2014 on a train accident while being on set .    References ( edit )    Jump up ^ Bell , Crystal ( February 27 , 2014 ) . `` The Vampire Diaries Music : Songs From Season 5 , Episode 14 -- `` No Exit '' `` . Wet Paint . Retrieved March 3 , 2014 .   Jump up ^ Kondolojy , Amanda ( February 28 , 2014 ) . `` Thursday Final Ratings : ' The Big Bang Theory ' , ' Scandal ' , ' Grey 's Anatomy ' , ' American Idol ' &amp; ' Parks &amp; Recreation ' Adjusted Up ; ' The Millers ' Adjusted Down '' . TV by the Numbers . Retrieved February 28 , 2014 .   Jump up ^ Raisler , Carrie ( February 27 , 2014 ) . `` The Vampire Diaries : `` No Exit '' `` . The A.V. Club . Retrieved March 3 , 2014 .   Jump up ^ Wax , Alyse ( February 28 , 2014 ) . `` TV Recap : ' The Vampire Diaries ' Episode 514 - ' No Exit ' '' . Fearnet . Retrieved March 3 , 2014 .   Jump up ^ Preece , Caroline ( March 3 , 2014 ) . `` The Vampire Diaries season 5 episode 14 review : No Exit '' . Den of Geek . Retrieved March 3 , 2014 .   Jump up ^ Hall , Stephanie ( March 4 , 2014 ) . `` The Vampire Diaries # 5.14 `` No Exit '' Recap &amp; Review `` . K Site TV . Retrieved March 6 , 2014 .   Jump up ^ Richenthal , Matt ( February 28 , 2014 ) . `` The Vampire Diaries Review : Starving for Suspense '' . TV Fanatic . Retrieved March 3 , 2014 .   Jump up ^ Somerhalder , Ian ( February 27 , 2014 ) . `` Tonights episode of the Vampire Diaries is dedicated in loving memory of our Cosmic Sister Sarah Jones whom we lost last week - pls watch2nite '' . Twitter . Retrieved March 3 , 2014 .   Jump up ^ Koplowitz , Howard ( February 21 , 2014 ) . `` ' Vampire Diaries ' Crew Member , Sarah Jones , Dies In ' Midnight Rider ' Train Accident '' . IBTimes . Retrieved March 3 , 2014 .    External links ( edit )    List of The Vampire Diaries episodes on IMDb   Afterbuzz 's discussion about `` No Exit '' on YouTube              The Vampire Diaries     Episodes      Season 1     `` Pilot ''   `` The Night of the Comet ''   `` Friday Night Bites ''   `` Family Ties ''   `` You 're Undead to Me ''   `` Lost Girls ''   `` Haunted ''   `` 162 Candles ''   `` History Repeating ''   `` The Turning Point ''   `` Bloodlines ''   `` Unpleasantville ''   `` Children of the Damned ''   `` Fool Me Once ''   `` A Few Good Men ''   `` There Goes the Neighborhood ''   `` Let the Right One In ''   `` Under Control ''   `` Miss Mystic Falls ''   `` Blood Brothers ''   `` Isobel ''   `` Founder 's Day ''       Season 2     `` The Return ''   `` Brave New World ''   `` Bad Moon Rising ''   `` Memory Lane ''   `` Kill or Be Killed ''   `` Plan B ''   `` Masquerade ''   `` Rose ''   `` Katerina ''   `` The Sacrifice ''   `` By the Light of the Moon ''   `` The Descent ''   `` Daddy Issues ''   `` Crying Wolf ''   `` The Dinner Party ''   `` The House Guest ''   `` Know Thy Enemy ''   `` The Last Dance ''   `` Klaus ''   `` The Last Day ''   `` The Sun Also Rises ''   `` As I Lay Dying ''       Season 3     `` The Birthday ''   `` The Hybrid ''   `` The End of the Affair ''   `` Disturbing Behavior ''   `` The Reckoning ''   `` Smells Like Teen Spirit ''   `` Ghost World ''   `` Ordinary People ''   `` Homecoming ''   `` The New Deal ''   `` Our Town ''   `` The Ties That Bind ''   `` Bringing Out the Dead ''   `` Dangerous Liaisons ''   `` All My Children ''   `` The Departed ''       Season 4     `` Growing Pains ''   `` Memorial ''   `` The Rager ''   `` The Five ''   `` The Killer ''   `` We All Go a Little Mad Sometimes ''   `` My Brother 's Keeper ''   `` We 'll Always Have Bourbon Street ''   `` O Come , All Ye Faithful ''   `` After School Special ''   `` Catch Me If You Can ''   `` A View to a Kill ''       Season 5     `` I Know What You Did Last Summer ''   `` True Lies ''   `` Original Sin ''   `` For Whom the Bell Tolls ''   `` Monster 's Ball ''   `` Handle with Care ''   `` Death and the Maiden ''   `` Dead Man on Campus ''   `` The Cell ''   `` Fifty Shades of Grayson ''   `` 500 Years of Solitude ''   `` The Devil Inside ''   `` Total Eclipse of the Heart ''   `` No Exit ''   `` Gone Girl ''   `` While You Were Sleeping ''   `` Rescue Me ''   `` Resident Evil ''   `` Man on Fire ''   `` What Lies Beneath ''   `` Promised Land ''   `` Home ''       Season 6     `` I 'll Remember ''   `` Yellow Ledbetter ''   `` Welcome to Paradise ''   `` Black Hole Sun ''   `` The World Has Turned and Left Me Here ''   `` The More You Ignore Me , the Closer I Get ''   `` Do You Remember the First Time ? ''   `` Fade Into You ''   `` I Alone ''       Season 7     `` Gods and Monsters ''       Season 8     `` I Was Feeling Epic ''          Characters     Elena Gilbert   Katherine Pierce   Stefan Salvatore   Damon Salvatore       Related     Awards and nominations   Novel series   L.J. Smith   Original Vampires   The Originals   episodes   season 1         5     characters     Legacies      Retrieved from `` https://en.wikipedia.org/w/index.php?title=No_Exit_(The_Vampire_Diaries)&amp;oldid=839317790 '' Categories :   2014 American television episodes   The Vampire Diaries ( season 5 ) episodes   Hidden categories :   Articles with short description   Television episode articles with short description for single episodes           Talk                                           Contents                   About Wikipedia                                           Add links   This page was last edited on 2 May 2018 , at 17 : 26 ( UTC ) .         About Wikipedia                    </t>
  </si>
  <si>
    <t xml:space="preserve">when do they figure out katherine is in elenas body</t>
  </si>
  <si>
    <t xml:space="preserve"> Damon wakes up chained on the Salvatore house 's basement . Stefan is there and Damon tries to warn him that because of his cravings , one day he will kill him but Stefan tells him that they will find a solution . Damon points to Stefan that `` Elena '' provoked him to feed on her and then she kicked a stake towards him so he will kill him . Stefan does not believe that Elena would want that , he locks Damon up and gets upstairs where Caroline is . The two of them discuss what happened between Stefan and `` Elena '' and Caroline also tells him about Nadia and Matt and the text he sent to her . From Matt 's text , who used `` K '' and not `` E '' , they put the pieces together and they realize that Katherine is in Elena 's body . </t>
  </si>
  <si>
    <t xml:space="preserve">Home Run Derby ( Major league Baseball ) - wikipedia  Home Run Derby ( Major league Baseball )  Jump to : navigation , search This article is about the Major League Baseball contest . For the 1960 television show , see Home Run Derby ( TV series ) .      ( hide ) This article has multiple issues . Please help improve it or discuss these issues on the talk page . ( Learn how and when to remove these template messages )      This article possibly contains original research . Please improve it by verifying the claims made and adding inline citations . Statements consisting only of original research should be removed . ( July 2016 ) ( Learn how and when to remove this template message )         This article needs additional citations for verification . Please help improve this article by adding citations to reliable sources . Unsourced material may be challenged and removed . ( July 2016 ) ( Learn how and when to remove this template message )    ( Learn how and when to remove this template message )       Frequency   Annual     Location   Varies ( site of MLB All - Star Game )     Inaugurated   1985     Most Recent   July 10 , 2017 ( Marlins Park , Miami )     Next Event   July 16 , 2018 ( Nationals Park , Washington , DC )     Current Champion   Aaron Judge     Current runner - up   Giancarlo Stanton     Participants   American League and National League baseball players     Organized by   Major League Baseball                 The Home Run Derby is an annual home run hitting contest in Major League Baseball ( MLB ) customarily held the day before the MLB All - Star Game , which places the contest on a Monday in July . Since the inaugural derby in 1985 , the event has seen several rule changes , evolving from a short outs - based competition , to multiple rounds , and eventually a bracket - style timed event . It is currently sponsored by MLB 's wireless sponsor , T - Mobile .   Contents  ( hide )   1 History   2 Overview   2.1 Format   2.1. 1 1985 -- 1990   2.1. 2 1991 -- 2005   2.1. 3 2006 -- 2013   2.1. 4 2014   2.1. 5 Since 2015     2.2 Gold balls     3 Television and radio coverage   3.1 Most watched Home Run Derbys     4 Winners   5 Records   5.1 Most home runs in a single round   5.2 Most single - derby home runs   5.3 Most all - time home runs   5.4 Wins by team     6 Complete scoreboard   6.1 1980s   6.1. 1 1985   6.1. 2 1986   6.1. 3 1987   6.1. 4 1988   6.1. 5 1989     6.2 1990s   6.2. 1 1990   6.2. 2 1991   6.2. 3 1992   6.2. 4 1993   6.2. 5 1994   6.2. 6 1995   6.2. 7 1996   6.2. 8 1997   6.2. 9 1998   6.2. 10 1999     6.3 2000s   6.3. 1 2000   6.3. 2 2001   6.3. 3 2002   6.3. 4 2003   6.3. 5 2004   6.3. 6 2005   6.3. 7 2006   6.3. 8 2007   6.3. 9 2008   6.3. 10 2009     6.4 The 2010s   6.4. 1 2010   6.4. 2 2011   6.4. 3 2012   6.4. 4 2013   6.4. 5 2014   6.4. 6 2015 Great American Ball Park ( Cincinnati )   6.4. 7 2016 Petco Park ( San Diego )   6.4. 8 2017 Marlins Park ( Miami )       7 See also   8 References   9 External links    History ( edit )  2008 Major League Baseball Home Run Derby  The event has grown significantly from its roots in the 1980s , when it was not televised . Prior to 1991 , the Home Run Derby was structured as a two - inning event with each player receiving five outs per inning , allowing for the possibility of ties . It is now one of the most - watched events broadcast on ESPN .   In 2000 , a `` match play '' - style format was instituted for the second round . The player with the most home runs in the first round faced the player with the least among the four qualifying players , as did the players with the second - and third-most totals . The contestant who won each matchup advanced to the finals . This format was discontinued after the 2003 competition .   The field of players selected currently consists of four American League players and four National League players . The first Derby in 1985 featured five from each league , and the 1986 and 1987 events featured three and two players from each league , respectively . In 1996 , the field was again expanded to ten players , five from each league ( though in 1997 , the AL had six contestants to the NL 's four ) .   In 2000 , the field reverted to the current four - player - per - league format . The only exception was 2005 , when Major League Baseball changed the selection criteria with eight players representing their home countries rather than their respective leagues . The change was believed to be in promotion of the inaugural World Baseball Classic , played in March 2006 . In 2006 , the selection of four players from each league resumed . In 2011 , the format was revised so that team captains selected the individual sides .   Some notable performances in the Derby include Bobby Abreu in 2005 , who won the Derby with a then - record 41 homers , including a then - record 24 in the first round . The first - round record was broken in 2008 by Josh Hamilton , who hit 28 home runs . Though Hamilton 's performance was notable for the length of his home runs , he ultimately lost to Justin Morneau in a brief final round . The overall record was broken in 2016 by Giancarlo Stanton , who finished with a total of 61 home runs , defeating Todd Frazier in the final round . Only two participants , Yoenis Céspedes and Giancarlo Stanton , have won the Home Run Derby without being selected to the All - Star game itself .   Overview ( edit )   Format ( edit )   The format has varied since the Home Run Derby started in 1985 .  1985 -- 1990 ( edit )  In the early years of the Home Run Derby , 4 - 10 players from both the AL and NL were selected to participate . Each player was given 2 `` innings '' to hit as many home runs as possible before reaching 5 outs . For the derby , an out is defined as any swing that is not a home run . The winner of the contest was the player with the most total home runs in the two innings .  1991 -- 2005 ( edit )  Beginning in 1991 , the format changed to a 3 - round contest . From 1991 -- 2006 , 8 - 10 players were selected and hit as many home runs as possible before reaching 10 outs in each round . The tally reset for each round , with the top four advancing to the second round , and the top two advancing to the final .   In honor of the World Baseball Classic , the 2005 contest featured eight players from different countries . The format remained the same .  2006 -- 2013 ( edit )  The format changed slightly in 2006 . Instead of the tally resetting for each round , it was only reset before the final round . Therefore , the players with the four highest totals after Round 1 advanced to Round 2 , and the players with the two highest sum of Round 1 and 2 advanced to the finals .  2014 ( edit )  The Home Run Derby format was changed significantly in 2014 , as MLB sought to speed - up the contest and increase the drama . In the new bracket format , 5 players from each league faced the other players in their league in Round 1 , with each players having 7 `` outs . '' The player in each league with the highest Round 1 total received a second - round bye , and the players with the second - and third - highest Round 1 totals from each league faced off . The Round 2 winner from each league faced the Round 1 winner , and the Round 3 winner crowned the league winner . The final featured the winner of each league . Each round stands alone , with the score reset for each round . Ties in any round are broken by a 3 - swing swing - off . If the players remain tied , the players engage in a sudden - death swing - off until one player homers .  Since 2015 ( edit )  The format was changed once again in 2015 . The most significant change was the elimination of `` outs '' , which was replaced by a time limit . Eight players are seeded based on their season home run totals and are given 5 minutes to hit as many home runs as possible . The winner of each head - to - head matchup advances , until a final winner is determined . If a tie occurs in any match - up , three sets of tiebreakers are employed : first , a 90 - second swing - off decides the winner ; second , best - of - 3 - swing swing - off ; thereafter , sudden - death swingoffs until a winner is determined . Further , a player can get `` bonus time '' in the last minute of each round . During that time , the clock stops for each home run , and does n't restart until a swing does not result in a home run . Additional bonus time could be earned for distance . Players who hit at least two home runs measuring at least 420 feet ( 128.0 m ) are given an extra minute of bonus time . An additional 30 seconds of bonus time is granted if at least one home run measures over 475 feet ( 144.8 m ) .   Weather concerns in 2015 lead to a reduction in time from 5 minutes per round to 4 minutes . The clock was not stopped in the final minute , and bonus time was only granted for hitting 2 home runs of over 425 feet ( 129.5 m ) .   The format was tweaked slightly in 2016 . The four - minute round length returned , while the minute of bonus time was changed to 30 seconds and required two home runs of 440 feet ( 134.1 m ) or longer . The additional time was removed , while the swing - off ( which was not required ) was reduced to 1 minute . Each batter is allowed one time - out during each round , and two in the finals .   By 2017 the first tie - breaker was restored back to 90 seconds .   Gold balls ( edit )   From 2005 -- 2013 , a gold ball has been used once a player reaches nine outs ( in 2014 when the T - Mobile Ball came into play , six ; since 2015 , during the final minute ) . If a batter hit a home run using the golden ball , Century 21 Real Estate and Major League Baseball would donate $21,000 ( a reference to the `` 21 '' in `` Century 21 '' ) per home run to charity ( MLB donated to the Boys and Girls Clubs of America , and Century 21 donated to Easter Seals ) . In both 2005 and 2006 , $294,000 was raised for the charities , equaling fourteen golden ball home runs per year . State Farm continued this in 2007 as they designated $17,000 per home run ( one dollar for each of State Farm 's agencies ) , to the Boys and Girls Clubs of America . In the 2007 event , fifteen golden balls were hit for a donation of $255,000 , and ten ( $170,000 ) were hit in the 2008 event . For 2009 , State Farm added $5,000 for all non-Gold Ball homers , and $517,000 was collected . For 2010 , the non-Gold Ball homer was reduced to $3,000 per home run and a total of $453,000 was collected . Since 2014 any homer hit off a T - Mobile Ball resulted in a $10,000 donation to charity by T - Mobile and MLB , to the Boys &amp; Girls Clubs of America .   Television and radio coverage ( edit )   On July 11 , 1988 , the day before the Major League Baseball All - Star Game from Cincinnati , TBS televised the annual All - Star Gala from the Cincinnati Zoo . Larry King hosted the broadcast with Craig Sager and Pete Van Wieren handling interviews . The broadcast 's big draw would 've been the Home Run Derby , which TBS intended on taping during the afternoon , and later airing it in prime time during the Gala coverage . Unfortunately , the derby and a skills competition were canceled due to rain .   The derby was first nationally televised by ESPN in 1993 on a same - day delayed basis , with the first live telecast in 1998 . Although two hours are scheduled in programming listings for the telecast , it has rarely ever been contained to the timeslot and consistently runs three to four hours . Chris Berman has gained notoriety for his annual hosting duties on ESPN , including his catchphrase , `` Back back back ... Gone ! '' . Berman starts this phrase when the ball is hit , and does not say `` Gone ! '' until the ball lands .   The 2008 Derby was the year 's most highly rated basic cable program .   Because of the game 's TV popularity , invited players have felt pressure to participate . Notably , Ken Griffey Jr. initially quietly declined to take part in 1998 , partly due to ESPN scheduling the Mariners in their late Sunday game the night before . After a discussion with ESPN 's Joe Morgan and another with Hall of Famer Frank Robinson , Griffey changed his mind , and then won the Derby at Coors Field .   In Spanish , the event is televised on Spanish language network ESPN Deportes .   ESPN Radio also carries the event annually .   Most watched Home Run Derbys ( edit )     Rank   Year   Winner   Ballpark   Viewers ( millions )       2008   Justin Morneau   Yankee Stadium   9.1       2017   Aaron Judge   Marlins Park   8.6       2009   Prince Fielder   Busch Stadium   8.3         Miguel Tejada   Minute Maid Park   7.7     5   2002   Jason Giambi   Miller Park   7.7     6   2015   Todd Frazier   Great American Ballpark   7.1     7   2012   Prince Fielder   Kauffman Stadium   6.9     8   2007   Vladimir Guerrero   AT&amp;T Park   6.8     9   2006   Ryan Howard   PNC Park   6.8     10   2013   Yoenis Céspedes   Citi Field   6.7     Winners ( edit )  Prince Fielder accepting his second trophy in 2012  Key     Indicates multiple winners in the same year       Member of the Baseball Hall of Fame       Year   Winner   Team   League   Stadium     1985   Parker , Dave Dave Parker   Cincinnati Reds   NL   Hubert H. Humphrey Metrodome ( MIN )     1986 ^   Joyner , Wally Wally Joyner   California Angels   AL   Astrodome ( HOU )     Strawberry , Darryl Darryl Strawberry   New York Mets   NL       Dawson , Andre Andre Dawson   Chicago Cubs   NL   Oakland -- Alameda County Coliseum ( OAK )     1988   Cancelled due to rain     1989   Davis , Eric Eric Davis   Cincinnati Reds   NL   Anaheim Stadium ( CAL )     1990   Sandberg , Ryne Ryne Sandberg   Chicago Cubs   NL   Wrigley Field ( CHC )     1991   Ripken Jr. , Cal Cal Ripken Jr .   Baltimore Orioles   AL   SkyDome ( TOR )     1992   McGwire , Mark Mark McGwire   Oakland Athletics   AL   Jack Murphy Stadium ( SD )     1993   González , Juan Juan González   Texas Rangers   AL   Oriole Park at Camden Yards ( BAL )     1994   Griffey Jr. , Ken Ken Griffey Jr. ( 1 )   Seattle Mariners   AL   Three Rivers Stadium ( PIT )     1995   Thomas , Frank Frank Thomas   Chicago White Sox   AL   The Ballpark in Arlington ( TEX )       Bonds , Barry Barry Bonds   San Francisco Giants   NL   Veterans Stadium ( PHI )     1997   Martinez , Tino Tino Martinez   New York Yankees   AL   Jacobs Field ( CLE )     1998   Griffey Jr. , Ken Ken Griffey Jr. ( 2 )   Seattle Mariners   AL   Coors Field ( COL )     1999   Griffey Jr. , Ken Ken Griffey Jr. ( 3 )   Seattle Mariners   AL   Fenway Park ( BOS )     2000   Sosa , Sammy Sammy Sosa   Chicago Cubs   NL   Turner Field ( ATL )     2001   Gonzalez , Luis Luis Gonzalez   Arizona Diamondbacks   NL   Safeco Field ( SEA )     2002   Giambi , Jason Jason Giambi   New York Yankees   AL   Miller Park ( MIL )     2003   Anderson , Garret Garret Anderson   Anaheim Angels   AL   U.S. Cellular Field ( CHW )       Tejada , Miguel Miguel Tejada   Baltimore Orioles   AL   Minute Maid Park ( HOU )     2005   Abreu , Bobby Bobby Abreu   Philadelphia Phillies   NL   Comerica Park ( DET )     2006   Howard , Ryan Ryan Howard   Philadelphia Phillies   NL   PNC Park ( PIT )     2007   Guerrero , Vladimir Vladimir Guerrero   Los Angeles Angels of Anaheim   AL   AT&amp;T Park ( SF )     2008   Morneau , Justin Justin Morneau   Minnesota Twins   AL   Yankee Stadium ( NYY )     2009   Fielder , Prince Prince Fielder ( 1 )   Milwaukee Brewers   NL   Busch Stadium ( STL )       Ortiz , David David Ortiz   Boston Red Sox   AL   Angel Stadium of Anaheim ( LAA )     2011   Canó , Robinson Robinson Canó   New York Yankees   AL   Chase Field ( ARI )     2012   Fielder , Prince Prince Fielder ( 2 )   Detroit Tigers   AL   Kauffman Stadium ( KC )     2013   Céspedes , Yoenis Yoenis Céspedes ( 1 )   Oakland Athletics   AL   Citi Field ( NYM )     2014   Céspedes , Yoenis Yoenis Céspedes ( 2 )   Oakland Athletics   AL   Target Field ( MIN )     2015   Frazier , Todd Todd Frazier   Cincinnati Reds   NL   Great American Ball Park ( CIN )     2016   Stanton , Giancarlo Giancarlo Stanton   Miami Marlins   NL   Petco Park ( SD )     2017   Judge , Aaron Aaron Judge   New York Yankees   AL   Marlins Park ( MIA )     Records ( edit )   Most home runs in a single round ( edit )    Josh Hamilton ( 2008 First Round ) -- 28   Bobby Abreu ( 2005 First Round ) , Giancarlo Stanton ( 2016 First Round ) -- 24   Aaron Judge ( 2017 First Round ) - 23   Justin Bour ( 2017 First Round ) - 22   Giancarlo Stanton ( 2016 Final Round ) -- 20    Most single - derby home runs ( edit )   Note : these numbers exclude swingoffs .    Giancarlo Stanton ( 2016 ) -- 61   Aaron Judge ( 2017 ) -- 47   Todd Frazier ( 2016 ) -- 42   Bobby Abreu ( 2005 ) -- 41   Joc Pederson ( 2015 ) , Todd Frazier ( 2015 ) -- 39   Josh Hamilton ( 2008 ) -- 35   David Ortiz ( 2010 ) , Robinson Canó ( 2011 ) , Yoenis Céspedes ( 2013 ) , Miguel Sanó ( 2017 ) -- 32   Adrian Gonzalez ( 2011 ) -- 31   Mark Trumbo ( 2016 ) -- 30   Prince Fielder ( 2012 ) , Yoenis Céspedes ( 2014 ) -- 28    Most all - time home runs ( edit )   Note : these numbers exclude swingoffs .    Todd Frazier -- 91   Giancarlo Stanton - 83   Prince Fielder -- 81   David Ortiz - 77   Albert Pujols -- 71   Ken Griffey Jr. -- 70   Jason Giambi -- 67   Sammy Sosa -- 65   Yoenis Céspedes -- 60   Mark McGwire -- 56    Wins by team ( edit )     Rank   Team   Wins   Years       New York Yankees     1997 , 2002 , 2011 , 2017       Los Angeles Angels of Anaheim     1986 * , 2003 , 2007     Oakland Athletics     1992 , 2013 , 2014     Chicago Cubs     1987 , 1990 , 2000     Seattle Mariners     1994 , 1998 , 1999     Cincinnati Reds     1985 , 1989 , 2015       Baltimore Orioles     1991 , 2004     Philadelphia Phillies     2005 , 2006       New York Mets     1986 *     Texas Rangers     1993     Chicago White Sox     1995     San Francisco Giants         Arizona Diamondbacks     2001     Minnesota Twins     2008     Milwaukee Brewers     2009     Boston Red Sox         Detroit Tigers     2012     Miami Marlins     2016     5   Tampa Bay Rays   0       Toronto Blue Jays   0       Cleveland Indians   0       Kansas City Royals   0       Houston Astros   0       Atlanta Braves   0       Washington Nationals   0       Pittsburgh Pirates   0       St. Louis Cardinals   0       Colorado Rockies   0       Los Angeles Dodgers   0       San Diego Padres   0        * In 1986 , Wally Joyner of the California Angels and Darryl Strawberry of the New York Mets were declared co-champions .    Complete scoreboard ( edit )   1980s ( edit )  1985 ( edit )    The Metrodome , Minneapolis -- A.L. 17 , N.L. 16     Player   Team   Home runs     American League     Jim Rice   Boston       Eddie Murray   Baltimore       Carlton Fisk   Chicago       Tom Brunansky   Minnesota       Cal Ripken Jr .   Baltimore       National League     Dave Parker   Cincinnati   6     Dale Murphy   Atlanta       Steve Garvey   San Diego       Ryne Sandberg   Chicago       Jack Clark   St. Louis      1986 ( edit )    Astrodome , Houston -- N.L. 8 , A.L. 7     Player   Team   Home runs     American League     Wally Joyner   California       Jesse Barfield   Toronto       Jose Canseco   Oakland       National League     Darryl Strawberry   New York       Dave Parker   Cincinnati       Hubie Brooks   Montreal         Oakland Coliseum , Oakland -- N.L. 6 , A.L. 2     Player   Team   Home runs     American League     George Bell   Toronto       Mark McGwire   Oakland       National League     Andre Dawson   Chicago       Ozzie Virgil Jr .   Atlanta      1988 ( edit )  Home Run Derby canceled due to rain .  1989 ( edit )    Anaheim Stadium , Anaheim -- N.L. 9 , A.L. 5     Player   Team   Home runs     American League     Rubén Sierra   Texas       Mickey Tettleton   Baltimore       Bo Jackson   Kansas City       Gary Gaetti   Minnesota   0     National League     Eric Davis   Cincinnati       Glenn Davis   Houston       Howard Johnson   New York       Kevin Mitchell   San Francisco       1990s ( edit )  1990 ( edit )    Wrigley Field , Chicago -- N.L. 4 , A.L. 1     Player   Team   Home runs     American League     Mark McGwire   Oakland       Ken Griffey Jr .   Seattle   0     Jose Canseco   Oakland   0     Cecil Fielder   Detroit   0     National League     Ryne Sandberg   Chicago       Matt Williams   San Francisco       Bobby Bonilla   Pittsburgh   0     Darryl Strawberry   New York   0    1991 ( edit )    SkyDome , Toronto -- A.L. 20 , N.L. 7     Player   Team   Home runs     American League     Cal Ripken Jr .   Baltimore   12     Cecil Fielder   Detroit       Joe Carter   Toronto       Danny Tartabull   Kansas City       National League     Paul O'Neill   Cincinnati   5     George Bell   Chicago       Chris Sabo   Cincinnati   0     Howard Johnson   New York   0    1992 ( edit )    Jack Murphy Stadium , San Diego -- A.L. 27 , N.L. 13     Player   Team   Home runs     American League     Mark McGwire   Oakland   12     Ken Griffey Jr .   Seattle   7     Joe Carter   Toronto       Cal Ripken Jr .   Baltimore       National League     Larry Walker   Montreal       Gary Sheffield   San Diego       Fred McGriff   San Diego       Barry Bonds   Pittsburgh      1993 ( edit )    Camden Yards , Baltimore -- A.L. 20 , N.L. 12     Player   Team   Home runs     American League     Juan González   Texas   7     Ken Griffey Jr .   Seattle   7 *     Cecil Fielder   Detroit       Albert Belle   Cleveland       National League     Barry Bonds   San Francisco   5     Bobby Bonilla   New York   5     David Justice   Atlanta       Mike Piazza   Los Angeles   0     * Lost in playoff to Gonzalez  1994 ( edit )    Three Rivers Stadium , Pittsburgh -- A.L. 17 , N.L. 11     Player   Team   Home runs     American League     Ken Griffey Jr .   Seattle   7     Rubén Sierra   Oakland       Frank Thomas   Chicago       Albert Belle   Cleveland       National League     Fred McGriff   Atlanta   5     Jeff Bagwell   Houston       Dante Bichette   Colorado       Mike Piazza   Los Angeles   0    1995 ( edit )    The Ballpark in Arlington , Arlington -- A.L. 40 , N.L. 12     Player   Team   Home runs     American League     Frank Thomas   Chicago   15 *     Albert Belle   Cleveland   16     Mo Vaughn   Boston   6     Manny Ramirez   Cleveland       National League     Ron Gant   Cincinnati       Sammy Sosa   Chicago       Reggie Sanders   Cincinnati       Raúl Mondesí   Los Angeles       * Beat Belle in finals     Veterans Stadium , Philadelphia -- A.L. 36 , N.L. 23     Player   Team   Home runs     American League     Mark McGwire   Oakland   15     Brady Anderson   Baltimore   11     Jay Buhner   Seattle   8     Joe Carter   Toronto       Greg Vaughn   Milwaukee   0     National League     Barry Bonds   San Francisco   17     Henry Rodríguez   Montreal       Jeff Bagwell   Houston       Ellis Burks   Colorado       Gary Sheffield   Florida   0    1997 ( edit )    Jacobs Field , Cleveland -- A.L. 32 , N.L. 29     Player   Team   Home runs     American League     Tino Martinez   New York   16 *     Mark McGwire   Oakland   7     Brady Anderson   Baltimore       Ken Griffey Jr .   Seattle       Nomar Garciaparra   Boston   0     Jim Thome   Cleveland   0     National League     Larry Walker   Colorado   19     Jeff Bagwell   Houston   5     Chipper Jones   Atlanta       Ray Lankford   St. Louis       * Beat Walker in finals  1998 ( edit )    Coors Field , Denver -- A.L. 53 , N.L. 29     Player   Team   Home runs     American League     Ken Griffey Jr .   Seattle   19     Rafael Palmeiro   Baltimore   10     Jim Thome   Cleveland   17     Alex Rodriguez   Seattle   5     Damion Easley   Detroit       National League     Vinny Castilla   Colorado   12     Moisés Alou   Houston   7     Javy López   Atlanta   5     Mark McGwire   St. Louis       Chipper Jones   Atlanta      1999 ( edit )    Fenway Park , Boston -- N.L. 39 , A.L. 23     Player   Team   Home runs     American League     Ken Griffey Jr .   Seattle   16     Nomar Garciaparra   Boston       B.J. Surhoff   Baltimore       Shawn Green   Toronto       John Jaha   Oakland       National League     Jeromy Burnitz   Milwaukee   14     Mark McGwire   St. Louis   16 *     Jeff Bagwell   Houston   6     Larry Walker   Colorado       Sammy Sosa   Chicago       * Lost to Burnitz in round 2   2000s ( edit )  2000 ( edit )    Turner Field , Atlanta -- N.L. 41 , A.L. 21     Player   Team   Round 1   Semis   Finals   Total     Sammy Sosa   Cubs   6   11   9   26     Ken Griffey Jr .   Reds   6       11     Carl Everett   Red Sox   6   6   --   12     Carlos Delgado   Blue Jays   5     --   6     Edgar Martínez   Mariners     --   --       Chipper Jones   Braves     --   --       Vladimir Guerrero   Expos     --   --       Iván Rodríguez   Rangers     --   --           Semifinals       Finals                                       Ken Griffey Jr .                 Carlos Delgado               Ken Griffey Jr .                     Sammy Sosa   9           Carl Everett   6                 Sammy Sosa   11              2001 ( edit )  Safeco Field , Seattle -- N.L. 41 , A.L. 25   Player   Team   Round 1   Semis   Finals   Totals     Luis Gonzalez   Diamondbacks   5   5   6   16     Sammy Sosa   Cubs     8     13     Jason Giambi   Athletics   14   6   --   20     Barry Bonds   Giants   7     --   10     Bret Boone   Mariners     --   --       Todd Helton   Rockies     --   --       Alex Rodriguez   Rangers     --   --       Troy Glaus   Angels   0   --   --   0         Semifinals       Finals                                       Jason Giambi   6               Sammy Sosa   8             Sammy Sosa                     Luis Gonzalez   6           Barry Bonds                   Luis Gonzalez   5              2002 ( edit )    Miller Park , Milwaukee -- A.L. 42 , N.L. 31     Player   Team   Round 1   Semis   Finals   Totals     Jason Giambi   Yankees   11   6   7   24     Sammy Sosa   Cubs   12   5     18     Paul Konerko   White Sox   6   6   --   12     Richie Sexson   Brewers   6     --   10     Torii Hunter   Twins     --   --       Barry Bonds   Giants     --   --       Alex Rodriguez   Rangers     --   --       Lance Berkman   Astros     --   --           Semifinals       Finals                                       Sammy Sosa   5               Richie Sexson               Jason Giambi   7                   Sammy Sosa             Jason Giambi   7                 Paul Konerko   6               * Giambi defeated Konerko in a swing off  2003 ( edit )    U.S. Cellular Field , Chicago -- A.L. 47 , N.L. 39     Player   Team   Round 1   Semis   Finals   Total     Garret Anderson   Angels   7   6   9   22     Albert Pujols   Cardinals     14   8   26     Jason Giambi   Yankees   12   11   --   23     Jim Edmonds   Cardinals       --   8     Gary Sheffield   Braves     --   --       Carlos Delgado   Blue Jays     --   --       Richie Sexson   Brewers     --   --       Bret Boone   Mariners   0   --   --   0         Semifinals       Finals                                       Jason Giambi   11               Albert Pujols   14             Albert Pujols   8                   Garret Anderson   9           Garret Anderson   6                 Jim Edmonds                   Minute Maid Park , Houston -- A.L. 47 , N.L. 41     Player   Team   Round 1   Semis   Finals   Total     Miguel Tejada   Orioles   7   15   5   27     Lance Berkman   Astros   7   10     21     Rafael Palmeiro   Orioles   9   5   --   14     Barry Bonds   Giants   8     --   11     Sammy Sosa   Cubs   5   --   --   5     Jim Thome   Phillies     --   --       Hank Blalock   Rangers     --   --       David Ortiz   Red Sox     --   --      2005 ( edit )    Comerica Park , Detroit -- N.L. 66 , A.L. 42     Player   Home Country   Team   Round 1   Semis   Finals   Totals     Bobby Abreu   Venezuela   Phillies   24   6   11   41     Iván Rodríguez   Puerto Rico   Tigers   7   8   5   20     David Ortiz   Dominican Republic   Red Sox   17     --   20     Carlos Lee   Panama   Brewers   11     --   15     Hee - seop Choi   South Korea   Dodgers   5   --   --   5     Andruw Jones   Netherlands   Braves   5   --   --   5     Mark Teixeira   USA   Rangers     --   --       Jason Bay   Canada   Pirates   0   --   --   0     * Total rounds record .  2006 ( edit )    PNC Park , Pittsburgh -- N.L. 62 , A.L. 24     Player   Team   Round 1   Round 2   Subtotal   Finals   Total     Ryan Howard   Phillies   8   10   18   5   23     David Wright   Mets   16     18     22     Miguel Cabrera   Marlins   9   6   15   --   15     David Ortiz   Red Sox   10     13   --   13     Jermaine Dye   White Sox   7   --   7   --   7     Lance Berkman   Astros     --     --       Miguel Tejada   Orioles     --     --       Troy Glaus   Blue Jays     --     --      2007 ( edit )    AT&amp;T Park , San Francisco -- A.L. 42 , N.L. 32     Player   Team   Round 1   Round 2   Subtotal   Finals   Total     Vladimir Guerrero   Angels   5   9   14     17     Alex Ríos   Blue Jays   5   12   17     19     Matt Holliday   Rockies   5   8   13   --   13     Albert Pujols   Cardinals   4 ( 2 )   9   13   --   13     Justin Morneau   Twins   4 ( 1 )   --     --       Prince Fielder   Brewers     --     --       Ryan Howard   Phillies     --     --       Magglio Ordóñez   Tigers     --     --       Notes : ^ a Recorded only seven of ten outs before hitting winning home run . Italicized numbers denote swing - offs .  2008 ( edit )    Yankee Stadium , New York -- A.L. 66 , N.L. 39     Player   Team   Round 1   Round 2   Subtotal   Finals   Total     Justin Morneau   Twins   8   9   17   5   22     Josh Hamilton   Rangers   28     32     35     Lance Berkman   Astros   8   6   14   --   14     Ryan Braun   Brewers   7   7   14   --   14     Dan Uggla   Marlins   6   --   6   --   6     Grady Sizemore   Indians   6   --   6   --   6     Chase Utley   Phillies   5   --   5   --   5     Evan Longoria   Rays     --     --       Notes : ^ a New single round record . ^ b Voluntarily ended round with four outs .  2009 ( edit )    Busch Stadium , St. Louis -- N.L. 51 , A.L. 31     Player   Team   Round 1   Round 2   Subtotal   Finals   Total     Prince Fielder   Brewers   11   6   17   6   23     Nelson Cruz   Rangers   11   5   16   5   21     Ryan Howard   Phillies   7   8   15   --   15     Albert Pujols   Cardinals   5 ( 2 )   6   11   --   11     Carlos Peña   Rays   5 ( 1 )   --   5   --   5     Joe Mauer   Twins   5 ( 0 )   --   5   --   5     Adrian Gonzalez   Padres     --     --       Brandon Inge   Tigers   0   --   0   --   0     Notes : Italicized numbers denote swing - offs .   The 2010s ( edit )     Angel Stadium of Anaheim , Anaheim -- A.L. 50 , N.L. 45     Player   Team   Round 1   Round 2   Subtotal   Finals   Total     David Ortiz   Red Sox   8   13   21   11   32     Hanley Ramírez   Marlins   9   12   21   5   26     Corey Hart   Brewers   13   0   13   --   13     Miguel Cabrera   Tigers   7   5   12   --   12     Matt Holliday   Cardinals   5   --   5   --   5     Nick Swisher   Yankees     --     --       Vernon Wells   Blue Jays     --     --       Chris Young   Diamondbacks     --     --      2011 ( edit )    Chase Field , Phoenix -- A.L. 76 , N.L. 19     Player   Team   Round 1   Round 2   Subtotal   Finals   Total     Robinson Canó   Yankees   8   12   20   12   32     Adrian Gonzalez   Red Sox   9   11   20   11   31     Prince Fielder   Brewers   5 ( 5 )     9   --   9     David Ortiz   Red Sox   5 ( 4 )     9   --   9     Matt Holliday   Cardinals   5 ( 2 )   --   5   --   5     José Bautista   Blue Jays     --     --       Rickie Weeks Jr .   Brewers     --     --       Matt Kemp   Dodgers     --     --       Notes : Italicized numbers denote swing - offs .  2012 ( edit )    Kauffman Stadium , Kansas City -- A.L. 61 , N.L. 21     Player   Team   Round 1   Round 2   Subtotal   Finals   Total     Prince Fielder   Tigers   5   11   16   12   28     José Bautista   Blue Jays   11     13 ( 2 )   7   20     Mark Trumbo   Angels   7   6   13 ( 1 )   --   13     Carlos Beltrán   Cardinals   7   5   12   --   12     Carlos González   Rockies     --     --       Andrew McCutchen   Pirates     --     --       Matt Kemp   Dodgers     --     --       Robinson Canó   Yankees   0   --   0   --   0     Notes : Italicized numbers denote swing - offs .  2013 ( edit )    Citi Field , New York -- A.L. 53 , N.L. 50     Player   Team   Round 1   Round 2   Subtotal   Finals   Total     Yoenis Céspedes   Athletics   17   6   23   9   32     Bryce Harper   Nationals   8   8   16   8   24     Michael Cuddyer   Rockies   7   8   15   --   15     Chris Davis   Orioles   8     12   --   12     Pedro Álvarez   Pirates   6   --   6   --   6     Prince Fielder   Tigers   5   --</t>
  </si>
  <si>
    <t xml:space="preserve">who has the record for most home runs in the home run derby</t>
  </si>
  <si>
    <t xml:space="preserve">  Giancarlo Stanton ( 2016 ) -- 61   Aaron Judge ( 2017 ) -- 47   Todd Frazier ( 2016 ) -- 42   Bobby Abreu ( 2005 ) -- 41   Joc Pederson ( 2015 ) , Todd Frazier ( 2015 ) -- 39   Josh Hamilton ( 2008 ) -- 35   David Ortiz ( 2010 ) , Robinson Canó ( 2011 ) , Yoenis Céspedes ( 2013 ) , Miguel Sanó ( 2017 ) -- 32   Adrian Gonzalez ( 2011 ) -- 31   Mark Trumbo ( 2016 ) -- 30   Prince Fielder ( 2012 ) , Yoenis Céspedes ( 2014 ) -- 28  </t>
  </si>
  <si>
    <r>
      <rPr>
        <sz val="11"/>
        <color rgb="FF000000"/>
        <rFont val="Calibri"/>
        <family val="0"/>
        <charset val="1"/>
      </rPr>
      <t xml:space="preserve">Ark : Survival Evolved - wikipedia  Ark : Survival Evolved  Jump to : navigation , search    Ark : Survival Evolved         Developer ( s )   Studio Wildcard     Publisher ( s )   Studio Wildcard     Director ( s )     Jesse Rapczak   Jeremy Stieglitz       Producer ( s )     Navin Supphapholsiri   Dave Loyd       Designer ( s )   Kayd Hendricks     Composer ( s )   Gareth Coker     Engine   Unreal Engine 4     Platform ( s )     Linux   Microsoft Windows   OS X   PlayStation 4   Xbox One       Release   August 29 , 2017     Genre ( s )   Action - adventure , survival     Mode ( s )   Single - player , multiplayer     Ark : Survival Evolved ( stylized as ΛRK ) is an action - adventure survival video game developed by Studio Wildcard in collaboration with Instinct Games , Efecto Studios , and Virtual Basement . It was released in August 2017 for PlayStation 4 , Xbox One , Microsoft Windows , OS X and Linux . In the game , players must survive being stranded on an island filled with roaming dinosaurs and other prehistoric animals , natural hazards , and potentially hostile human players .   The game is played from either a third - person or first - person perspective and its open world is navigated on foot or by riding a prehistoric animal . Players can use firearms and improvised weapons to defend against hostile humans and creatures , with the ability to build bases as defense . The game has both single - player and multiplayer options .   Development began in October 2014 . The development team conducted research into the physical appearance of the animals , but took creative license for gameplay purposes . One of the game modes , Survival of the Fittest , was released as a free standalone game in March 2016 . Egypt - based developer Instinct Games was hired to facilitate the game 's development . Several expansions to the game have also been released as downloadable content : The Center , Primitive Plus , Scorched Earth , and Ragnarok .     Contents  ( hide )   1 Gameplay   2 Development   3 Sales   4 References   5 External links      Gameplay ( edit )   Ark : Survival Evolved is an action - adventure survival game set in an open world environment and played either from a third - person or first - person perspective . To survive , players must establish a base , with a fire and weapons ; additional activities , such as taming and feeding dinosaurs , require more resources . The game 's world , known as the `` Ark '' , is approximately 48 km ( 19 sq mi ) in size : there is approximately 36 km ( 14 sq mi ) of land with 12 km ( 4.6 sq mi ) of ocean .   To build a base , players must gain structure components -- such as floors , doors and windows built with the resources littered throughout the world -- which are earned as they progress and gain levels . These components can be crafted and placed in the world . Players can create any structure , as long as they have the logistics and resources ; the structural integrity of the building is compromised when the pillars and foundations are destroyed . Creating structures out of metal make them the most durable ; only titanosaurs and explosives can damage metal structures . Players can also craft items in the game , such as weapons , by collecting the resources and technology required for crafting . In addition , players can craft and attach accessories to their weapons , such as a scope or flashlight for a pistol or machine gun . Should players take damage , their health meter will gradually regenerate if they have consumed the necessary food , or if they craft items that regenerate the health meter at a faster pace .   There are sixty species of dinosaurs in the game . Dinosaurs in the game can be tamed by feeding them food after they have been rendered unconscious , or by using kibble designed especially for each species . Once a dinosaur is tamed , players can utilize the dinosaur 's abilities , such as flight or fast underwater movement , as well as its statistics , such as speed , health and damage . When riding atop certain creatures , players can use their weapons . With the larger dinosaurs , other players can ride on the side with full control of their own weapons . They can also be used to carry items , and players can issue offensive and defensive commands to them ; for example , a pack of Utahraptors can be assigned to defend the base , or a group of Triceratops can be ordered to attack an enemy 's base . The game also features various other animals , such as the dodo , saber - toothed cat , woolly mammoth , Meganeura , Titanomyrma , and Doedicurus . Every creature in the game has living ecosystems and predator hierarchies .   Development ( edit )   Preliminary work on Ark : Survival Evolved began in October 2014 . Studio Wildcard , the Seattle - based team behind the game , co-opted Egypt - based developer Instinct Games to facilitate development . When researching for information about the game 's prehistoric species , the development team read `` general audience books '' and online articles , and sought assistance from friends who studied in the fields in biological sciences . When creating the species and world , the team took creative license for gameplay purposes , although there is an in - game reason that the species have diverged from their historical counterparts .   The team added features to the game that would appeal to all players , as opposed to specifically players of the survival genre , such as the ability to simply explore the island and compete against large bosses , as a reward for uncovering secrets of the island . They also added an end - game for players to strive towards , as they felt that most survival games lack a final goal . They wanted to `` provide a depth and scope that allows for the world to not just be a means to an end ( ... ) but also a place to explore '' , said creative director Jesse Rapczak .   The game , powered by Unreal Engine 4 , contains `` tens of thousands '' of artificial intelligence entities , according to Rapczak . It also features support for virtual reality ( VR ) gameplay ; Rapczak , who has almost three years of experience with head - mounted displays , described the game as being designed with VR in mind from the beginning .   The game was initially released through Steam Early Access for Microsoft Windows on June 2 , 2015 , for Linux and OS X on July 1 , 2015 , and through the Xbox Game Preview Program for Xbox One on December 16 , 2015 ; a PlayStation 4 version was released on December 6 , 2016 . The final game will launch in August 2017 ; it was originally intended for release in June 2016 , but was delayed in April . The game will launch with support for Oculus Rift and PlayStation VR , and the Xbox One version will be released via the ID@Xbox program .   On March 16 , 2016 , the Survival of the Fittest game mode was released in early access as a free standalone game with no microtransactions ; it was scheduled to fully launch in mid 2016 , but was eventually merged back to the main game as the development team did not wish to monetize on its release , and wanted to ensure that modders can apply the development kit of Survival Evolved to create mods for Survival of the Fittest . There will be various eSports tournaments of the game mode , with a prize pool of US $50,000 . Players who played Survival of the Fittest before it was merged back into the main game can continue to play the game without paying an extra cost , while new players must pay before getting access to it . It will be available for every player who purchases the main game .   On September 1 , 2016 , Studio Wildcard released the paid downloadable content ( DLC ) Scorched Earth . The expansion includes a new , desert map as well as several desert - themed resources and items . It also features ten new creatures , some of which are fictional , like the Wyvern . The release of paid DLC for a game still in early access caused negative reaction among players of the game , resulting in lots of negative reviews on Steam right after the expansion launch .   The game left early access on August 29 , 2017 , for Microsoft Windows , PlayStation 4 , and Xbox One . The standard version was released alongside an `` Explorer 's Edition '' , which included a season pass with three expansions , and the `` Collector 's Edition '' , which included a season pass as well , a necklace , a map , a notebook , a development team poster , a wooden chest packaging , and the game 's official soundtrack .   Sales ( edit )   Within a month of its early access release on Steam , Ark had sold over one million digital copies . By August 2016 , the game had over 5.5 million sales across both Windows and Xbox , with about 1.5 million from the Xbox One platform .   References ( edit )   Notes    ^ Jump up to : `` Fight for Life in Studio Wildcard 's ARK : Survival Evolved '' . Xbox Wire . Xbox . Microsoft . May 15 , 2015 . Archived from the original on May 17 , 2015 . Retrieved May 18 , 2015 .   Jump up ^ Rapczak 2015 , 20 : 20   ^ Jump up to : Karunakaran , Jathiesh ( May 12 , 2015 ) . `` Frequently Asked Questions '' . Steam . Valve Corporation . Archived from the original on June 3 , 2015 . Retrieved June 3 , 2015 .   Jump up ^ Rapczak 2015 , 31 : 31   Jump up ^ Rapczak 2015 , 31 : 51   Jump up ^ Rapczak 2015 , 41 : 02   ^ Jump up to : `` Ark : Survival Evolved -- A New Breed of Open - World Dinosaur Adventure is Coming '' ( Press release ) . Seattle , Washington : Studio Wildcard . May 11 , 2015 . Archived from the original on May 18 , 2015 .   Jump up ^ Rapczak 2015 , 36 : 27   ^ Jump up to : Rapczak , Jesse ( May 11 , 2015 ) . `` Ride dinosaurs in ARK : Survival Evolved , coming soon to PS4 '' . PlayStation Blog . Sony Computer Entertainment . Archived from the original on June 3 , 2015 . Retrieved June 3 , 2015 .   Jump up ^ Rapczak 2015 , 7 : 38   ^ Jump up to : `` Ark : Survival Evolved Available Now for Mac and Linux on Steam Early Access '' ( Press release ) . Seattle , Washington : Studio Wildcard . July 1 , 2015 . Archived from the original on July 2 , 2015 . Retrieved July 3 , 2015 .   Jump up ^ Rapczak 2015 , 38 : 59   Jump up ^ McCaffrey , Ryan ( December 9 , 2015 ) . `` Ark : Survival Evolved Xbox One Footage and Early Access Details '' . IGN . Ziff Davis . Archived from the original on December 9 , 2015 . Retrieved December 10 , 2015 .   ^ Jump up to : Yin - Poole , Wesley ( November 30 , 2016 ) . `` Ark : Survival Evolved finally has a PS4 release date '' . Eurogamer . Gamer Network . Archived from the original on November 30 , 2016 . Retrieved December 1 , 2016 .   ^ Jump up to : Makuch , Eddie ( April 22 , 2016 ) . `` Dino Game Ark Passes New Sales Milestone on Xbox One and PC , Full Release Delayed '' . GameSpot . CBS Interactive . Archived from the original on April 25 , 2016 . Retrieved April 24 , 2016 .   ^ Jump up to : O'Conner , Alice ( August 2 , 2016 ) . `` Mod Me Up ! Ark : Survival Of The Fittest No Longer F2P '' . Rock , Paper , Shotgun . Retrieved August 3 , 2016 .   Jump up ^ Morrison , Angus ( March 16 , 2016 ) . `` Ark : Survival of the Fittest becomes free standalone with cash prizes '' . PC Gamer . Future plc . Archived from the original on March 16 , 2016 . Retrieved March 17 , 2016 .   Jump up ^ Yin - Poole , Wesley ( August 3 , 2016 ) . `` Ark dev folds Survival of the Fittest back into Survival Evolved '' . Eurogamer . Retrieved August 3 , 2016 .   Jump up ^ `` ARK : Survival Evolved Pounded With Negative Reviews After Releasing Paid Early Access DLC '' . Game Revolution . September 2 , 2016 . Retrieved November 3 , 2016 .   Jump up ^ `` Community Crunch 98 : Gold Master Edition '' . survivetheark.com . Retrieved 30 July 2017 .   Jump up ^ Minotti , Mike ( February 10 , 2017 ) . `` Conan Exiles hits 320,000 sold after one week on Steam Early Access '' . Venture Beat . Retrieved February 10 , 2017 .   Jump up ^ Calvin , Alex ( August 4 , 2016 ) . `` Ark : Survival Evolved hits 5.5 m on PC and Xbox One '' . The Market for Computer &amp; Video Games . Retrieved February 10 , 2017 .    Sources    Rapczak , Jesse ( May 11 , 2015 ) . `` Ark : Survival Evolved . Interview with Jesse Rapczak '' ( Interview ) . Interview with Lirik . Archived from the original on May 14 , 2015 . Retrieved May 14 , 2015 .    External links ( edit )    Official website   Retrieved from `` https://en.wikipedia.org/w/index.php?title=Ark:_Survival_Evolved&amp;oldid=803105162 '' Categories :   2017 video games   Action - adventure games   Dinosaurs in video games   Early access video games   Linux games   Multiplayer and single - player video games   Oculus Rift games   Open world video games   MacOS games   PlayStation 4 games   PlayStation VR games   Science fantasy video games   Steam Workshop games   Survival video games   Unreal Engine games   Video games developed in Egypt   Video games developed in the United States   Video games featuring protagonists of selectable gender   Video games with cross-platform play   Video games with downloadable content   Video games with expansion packs   Video games with procedurally generated levels   Video games with user - generated gameplay content   Windows games   Xbox One games   Xbox Play Anywhere games   Xbox One X enhanced games   Hidden categories :   Use mdy dates from August 2016   Articles using Infobox video game using locally defined parameters   Articles using Wikidata infoboxes with locally defined images           Talk                                           Contents                   About Wikipedia                                             Čeština   Deutsch   Español   Français   </t>
    </r>
    <r>
      <rPr>
        <sz val="11"/>
        <color rgb="FF000000"/>
        <rFont val="Noto Sans CJK SC"/>
        <family val="2"/>
      </rPr>
      <t xml:space="preserve">한국어   </t>
    </r>
    <r>
      <rPr>
        <sz val="11"/>
        <color rgb="FF000000"/>
        <rFont val="Calibri"/>
        <family val="0"/>
        <charset val="1"/>
      </rPr>
      <t xml:space="preserve">Italiano   Latina   Polski   Português   Русский   Türkçe   Українська   </t>
    </r>
    <r>
      <rPr>
        <sz val="11"/>
        <color rgb="FF000000"/>
        <rFont val="Noto Sans CJK SC"/>
        <family val="2"/>
      </rPr>
      <t xml:space="preserve">中文   </t>
    </r>
    <r>
      <rPr>
        <sz val="11"/>
        <color rgb="FF000000"/>
        <rFont val="Calibri"/>
        <family val="0"/>
        <charset val="1"/>
      </rPr>
      <t xml:space="preserve">Edit links   This page was last edited on 30 September 2017 , at 13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</si>
  <si>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does ark mean in ark survival evolved</t>
  </si>
  <si>
    <t xml:space="preserve"> Ark : Survival Evolved is an action - adventure survival game set in an open world environment and played either from a third - person or first - person perspective . To survive , players must establish a base , with a fire and weapons ; additional activities , such as taming and feeding dinosaurs , require more resources . The game 's world , known as the `` Ark '' , is approximately 48 km ( 19 sq mi ) in size : there is approximately 36 km ( 14 sq mi ) of land with 12 km ( 4.6 sq mi ) of ocean . </t>
  </si>
  <si>
    <r>
      <rPr>
        <sz val="11"/>
        <color rgb="FF000000"/>
        <rFont val="Calibri"/>
        <family val="0"/>
        <charset val="1"/>
      </rPr>
      <t xml:space="preserve">America 's Next Top Model ( cycle 1 ) - wikipedia  America 's Next Top Model ( cycle 1 )  Jump to : navigation , search      This article needs additional citations for verification . Please help improve this article by adding citations to reliable sources . Unsourced material may be challenged and removed . ( November 2011 ) ( Learn how and when to remove this template message )       America 's Next Top Model ( cycle 1 )     Cycle 1 cast     Country of origin   United States     No. of episodes   9     Release     Original network   UPN     Original release   May 20 ( 2003 - 05 - 20 ) -- July 15 , 2003 ( 2003 - 07 - 15 )         Additional information     Judges     Tyra Banks   Janice Dickinson   Kimora Lee Simmons   Beau Quillian       No. of contestants   10     Winner   Adrianne Curry     All - stars   Shannon Stewart         Cycle chronology     Next → Cycle 2     America 's Next Top Model , cycle 1 was the first cycle of America 's Next Top Model . It originally aired on UPN from May to July 2003 , and was hosted by Tyra Banks , who additionally served as its executive producer and presenter . The judging panel consisted of Banks , Janice Dickinson , Kimora Lee Simmons , and Beau Quillian . The cycle 's catchphrase was `` One girl has what it takes '' .   This was the only season to feature a cast of only 10 finalists . All later cycles have featured at least 12 finalists . The international destination for the cycle was Paris , France . The winner of the competition was 20 - year - old Adrianne Curry from Joliet , Illinois . Her prizes were a modelling contract with Wilhelmina Models , a photo spread in Marie Claire magazine and a contract with Revlon cosmetics .     Contents  ( hide )   1 Contestants   2 Episode summaries   2.1 The Girl Who Wants It Bad   2.2 The Girl Is Here To Win , Not Make Friends   2.3 The Girl Who Gets Rushed To The Emergency Room   2.4 The Girl Who Drives Everyone Crazy   2.5 The Girl Who Everyone Thinks Is Killing Herself   2.6 The Girl Who Deals With A Pervert   2.7 The Girls Get Really Naked   2.8 How The Girls Got Here   2.9 The Girl Who Becomes America 's Next Top Model     3 Summaries   3.1 Call - out order   3.2 Photo shoot guide   3.3 Makeovers     4 Post-Top Model careers   5 References   6 External links      Contestants   ( ages stated are at start of contest )     Contestant   Age   Height   Hometown   Finish   Place     Tessa Carlson   19   5 ft 9 in ( 1.75 m )   Chicago , Illinois   Episode 1   10     Katie Cleary   21   5 ft 9 in ( 1.75 m )   Glenview , Illinois   Episode 2   9     Nicole Panattoni   22   5 ft 11 in ( 1.80 m )   Murrieta , California   Episode 3   8     Ebony Haith   24   5 ft 10 in ( 1.78 m )   Bronx , New York   Episode 4   7     Giselle Samson   18   5 ft 10 in ( 1.78 m )   Corona , California   Episode 5   6     Kesse Wallace   21   5 ft 9 in ( 1.75 m )   North Little Rock , Arkansas   Episode 6   5     Robin Manning   26   5 ft 9 in ( 1.75 m )   Memphis , Tennessee   Episode 7       Elyse Sewell   20   5 ft 10 in ( 1.78 m )   Albuquerque , New Mexico   Episode 9       Shannon Stewart   18   5 ft 10.5 in ( 1.79 m )   Franklin , Ohio       Adrianne Curry   20   5 ft 10.5 in ( 1.79 m )   Joliet , Illinois       Episode summaries   The girl who wants it bad   First aired May 20 , 2003   Twenty semi-finalists , chosen from thousands of hopefuls , arrived in Los Angeles for the preliminary round of the competition . The contestants were told that only ten of them would make it to the finals , but after their meetings with Tyra Banks and the producers , only eight advanced . Two more contestants , Giselle and Tessa , were added to the final cast following a separate audition .   For the week 's photo shoot , the ten finalists modeled J. Lo by Jennifer Lopez swimwear atop a Manhattan skyscraper . The judging session saw Tessa become the first model eliminated from the competition .    Featured photographer : Douglas Bizzaro &amp; Elizabeth Moss    The girl is here to win , not make friends   First aired May 27 , 2003   For the week 's challenge , the nine remaining finalists took part in a mock fashion show . The challenge winner was Giselle . For the photo shoot , the finalists posed for Stuff magazine . The judging session saw Katie become the second model eliminated from the competition .    Featured photographer : Barry Hollywood   Special guests : Wyclef Jean    The girl who gets rushed to the emergency room   First aired June 3 , 2003   The eight remaining finalists were given makeovers . They had a challenge on applying make - up , which was won by Elyse . For the week 's photo shoot , the finalists had beauty shots taken with a snake . The judging session saw Nicole become the third model eliminated from the competition .    Featured photographer : Troy Ward   Special guests : Kim Lepine , Jon Silverman , Max Tucci , Janice Combs , Constance White , Derek Kahn    The girl who drives everyone crazy   First aired June 10 , 2003   The seven remaining finalists were challenged to polish their acting skills . They were given a challenge on line - reading , which was won by Robin . Instead of a photo shoot , the finalists shot a commercial for Fresh Look contact lenses . The judging session saw Ebony become the fourth model eliminated from the competition .    Featured commercial director : Loren Haynes   Special guests : Jon Silverman , Alice Spivak , Tracy Staus    The girl who everyone thinks is killing herself   First aired June 17 , 2003   For the week 's challenge , the six remaining finalists gave interviews , with Elyse winning . The photo shoot was a campaign for Reebok with NFL Rookie of the Year Clinton Portis . The judging session saw Giselle become the fifth model eliminated from the competition .    Featured photographer : Daniel Garriga   Special guests : Cindy Berger , Jon Silverman , Clinton Portis , Christine Curry , Martin Crandall , Derek Kahn , Steve Santagati    The girl who deals with a pervert   First aired June 24 , 2003   The five remaining finalists were flown to Paris for the week 's challenge and photo shoot . They did a lingerie shoot for Wonder Bra with male model Brad Pinkert , and for the challenge they attended go - sees . The judging session saw Kesse become the sixth model eliminated from the competition .    Featured photographer : Michel Haddi   Special guests : Pink , Brad Pinkert , Emma Mackie , Marilyn Gauthier    The girls Get really naked   First aired July 1 , 2003   For the week 's challenge , the four remaining finalists went to a restaurant and met four men , who judged them on their ability to carry themselves in a couture situation . The challenge winner was Adrianne . The finalists did two photo shoots this week : a black - and - white beauty shoot shot by Tyra Banks , and a nude shoot for Merit Diamond jewelry , the latter of which Robin and Shannon refused to participate in . The finalists were flown back to New York City for the judging session , which saw Robin become the seventh model eliminated from the competition .    Featured photographers : Tyra Banks , Patrick Katzman   Special guests : Pascal Millet , Derek Khan    How the girls got here   First aired July 8 , 2003   This episode was an overview of the past seven episodes of the cycle which featured previously unseen footage .   The girl who becomes America 's Next Top Model   First aired July 8 , 2003   The final three contestants were Adrianne Curry , Elyse Sewell and Shannon Stewart . Elyse became the eighth model eliminated at the penultimate judging session .   Adrianne and Shannon competed in a Baby Phat fashion show . The final judging session saw Adrianne crowned America 's Next Top Model .    Special guest : Drew Lineham    Summaries   Call - out order     Order   Episodes             5   6   7   9       Nicole   Ebony   Shannon   Shannon   Kesse   Adrianne   Elyse   Elyse   Shannon   Adrianne       Robin   Elyse   Nicole   Kesse   Elyse   Kesse   Shannon   Adrianne   Adrianne   Shannon       Kesse   Kesse   Giselle   Elyse   Adrianne   Shannon   Robin   Shannon   Elyse         Elyse   Adrianne   Robin   Giselle   Robin   Robin   Adrianne   Robin       5   Katie   Katie   Adrianne   Adrianne   Shannon   Elyse   Kesse       6   Ebony   Nicole   Ebony   Robin   Giselle   Giselle       7   Adrianne   Giselle   Elyse   Ebony   Ebony       8   Shannon   Robin   Kesse   Nicole       9     Shannon   Katie       10     Tessa        The contestant was eliminated   The contestant won the competition     In episode 1 , the pool of 20 semi-finalists was reduced to 8 . Later , two more contestants ( Giselle and Tessa ) were scouted and introduced to the cast .   In episode 7 , Robin and Shannon did not participate in the photo shoot .   Episode 8 was the recap episode .    Photo shoot guide    Episode 1 photo shoot : Swimwear on a rooftop   Episode 2 photo shoot : Swimwear for Stuff   Episode 3 photo shoot : Beauty shots with snakes   Episode 4 commercial : Fresh Look contact lenses   Episode 5 photo shoot : Reebok ad with Clinton Portis   Episode 6 photo shoot : Wonder Bra overlooking the Eiffel Tower   Episode 7 photo shoots : Black &amp; white beauty shots , nude campaign for Merit Diamond    Makeovers    Adrianne -- Weave with bangs   Ebony -- Tuft shaved off   Elyse -- Pixie cut   Giselle -- Dyed red and layered   Kesse -- Hair weave with honey blonde highlights , à la Tyra Banks in 1992   Nicole -- Weave trimmed and straightened   Robin -- Weave removed and light brown weave added   Shannon -- Straight hair weave and more blonde    Post-top Model careers       This section needs additional citations for verification . Please help improve this article by adding citations to reliable sources . Unsourced material may be challenged and removed . ( August 2009 ) ( Learn how and when to remove this template message )      Tessa Carlson modeled for Noah Kalina and Joey Quintero .   Katie Cleary is working with Deal or No Deal and has done print modeling . She has been an on - camera host for TV Guide Channel , E ! News , and HDTV 's Get Out . Her acting credits include Chuck , The Break - Up , The Lake House , and Iron Man 2 .   Adrianne Curry collected her prizes and has modeled for several magazines , including Life &amp; Style Weekly , Us Weekly , Star , OK ! , Stuff , People , Maxim , made the Maxim Hot 100 list in 2005 , Max ( Spanish ) Marie Claire , Spanish Marie Claire , Von Dutch , Von Dutch Watches , Salon City , Macy 's , Famous Stars and Straps , Lucky , Ed Hardy , Kinis Bikinis , Beverly Hills Choppers , and Merit Diamonds . She has walked for Jaime Pressly and Pamela Anderson . She was signed with Wilhelmina Models and Avenue Modeller , and is no longer a model . She was married to actor Christopher Knight from 2006 to 2012 .   Ebony Haith was signed with Downtown Model Management .   Robin Manning is pursuing an acting career and has been in two movies , and has done church - related print work .   Nicole Panattoni modeled for various companies . She is married to BMX rider Cory Nastazio .   Giselle Samson now works as a hostess for Carnival Cruise .   Elyse Sewell has done multiple print ads , and been signed by multiple agencies in Asia .   Shannon Stewart has done print work , and has been signed with Ford Models and Elite Model Management . She participated in the America 's Next Top Model All Stars cycle alongside other former contestants , finishing in sixth place .    References    Jump up ^ `` Would - be supermodel finds her competition shallow '' . Record - Journal . June 2 , 2003 . Retrieved November 7 , 2012 .   Jump up ^ `` LOOKING FOR A TOP MODEL '' . Long Beach Press - Telegram . June 3 , 2003 . Retrieved November 7 , 2012 .   Jump up ^ La Ferla , Ruth . `` Front Row '' . New York Times . Retrieved November 7 , 2012 .   Jump up ^ `` Why America 's Next Top Model Was Never Better Than Its First Cycle '' . Vulture. 2015 - 12 - 04 . Retrieved 2018 - 03 - 31 .   Jump up ^ `` Adrianne Curry Spills ' The Truth ' About ' America 's Next Top Model ' and Hearing ' Crickets ' From Tyra Banks '' . toofab . Retrieved 2018 - 03 - 31 .   Jump up ^ https://web.archive.org/web/20030420131826/http://www.upn.com/shows/top_model/bio_tessa.shtml   Jump up ^ `` UPN '' . April 20 , 2003 . Archived from the original on April 20 , 2003 . CS1 maint : BOT : original - url status unknown ( link )   Jump up ^ `` UPN '' . April 20 , 2003 . Archived from the original on April 20 , 2003 . CS1 maint : BOT : original - url status unknown ( link )   Jump up ^ `` UPN '' . August 1 , 2003 . Archived from the original on August 1 , 2003 . CS1 maint : BOT : original - url status unknown ( link )   Jump up ^ `` UPN '' . April 20 , 2003 . Archived from the original on April 20 , 2003 . CS1 maint : BOT : original - url status unknown ( link )   Jump up ^ `` UPN '' . April 20 , 2003 . Archived from the original on April 20 , 2003 . CS1 maint : BOT : original - url status unknown ( link )   Jump up ^ `` UPN '' . April 20 , 2003 . Archived from the original on April 20 , 2003 . CS1 maint : BOT : original - url status unknown ( link )   Jump up ^ `` UPN '' . June 21 , 2003 . Archived from the original on June 21 , 2003 . CS1 maint : BOT : original - url status unknown ( link )   Jump up ^ `` UPN '' . April 20 , 2003 . Archived from the original on April 20 , 2003 . CS1 maint : BOT : original - url status unknown ( link )   Jump up ^ `` UPN '' . April 20 , 2003 . Archived from the original on April 20 , 2003 . CS1 maint : BOT : original - url status unknown ( link )   Jump up ^ Stephens , Brittney . `` ANTM Contestants : Where Are They Now ? '' .   Jump up ^ FashionModelDirectory.com , The FMD - . `` Adrianne Curry -- Fashion Model Models Photos , Editorials &amp; Latest News The FMD '' . The FMD - FashionModelDirectory.com . Retrieved July 14 , 2016 .   Jump up ^ Balser , Erin ( January 10 , 2009 ) . `` Top Model Round - Up : January 10 '' . Topmodelgossip.com . Archived from the original on April 9 , 2009 . Retrieved August 9 , 2012 .   Jump up ^ Ward , Kate ( May 12 , 2011 ) . `` ' Top Model All - Stars ' cast reported : Lisa D'Amato , Isis King in ; Jade out '' . Entertainment Weekly . Archived from the original on June 24 , 2011 . Retrieved May 15 , 2011 .    External links    America 's Next Top Model , cycle 1 on IMDb   America 's Next Top Model , cycle 1 at TV.com   America 's Next Top Model Fact - O - File History      ( hide )         America 's Next Top Model     Cycles             5   6   7   8   9   10   11   12   13   14   15   16   All - Stars ( 17 )   British Invasion ( 18 )   College Edition ( 19 )   Guys &amp; Girls   20   21   22     23   24       Contestants      Winners     Adrianne Curry   Yoanna House   Eva Pigford   Naima Mora   Nicole Linkletter   Danielle Evans   CariDee English   Jaslene Gonzalez   Saleisha Stowers   Whitney Thompson   McKey Sullivan   Nicole Fox   Krista White   Ann Ward   Brittani Kline   Lisa D'Amato   Sophie Sumner   Laura James   Jourdan Miller   Keith Carlos   Nyle DiMarco       Other alumni     Elyse Sewell   Mercedes Scelba - Shorte   Yaya DaCosta   Toccara Jones   Bre Scullark   Kim Stolz   Cassandra Whitehead   Jade Cole   Melrose Bickerstaff   Eugena Washington   Anchal Joseph   Renee DeWitt   Chantal Jones   Heather Kuzmich   Lisa Jackson   Anya Kop   Fatima Siad   Dominique Reighard   Analeigh Tipton   Isis King   Allison Harvard   Celia Ammerman   Natalie Pack   Laura Kirkpatrick   Jane Randall   Esther Petrack   AzMarie Livingston   Jasmia Robinson   Leila Goldkuhl   Chantelle Young          Related series     Modelville ( 2008 )   Stylista ( 2008 )   True Beauty ( 2009 -- 2010 )      Retrieved from `` https://en.wikipedia.org/w/index.php?title=America%27s_Next_Top_Model_(cycle_1)&amp;oldid=837531539 '' Categories :   America 's Next Top Model   2003 American television seasons   Hidden categories :   CS1 maint : BOT : original - url status unknown   Use mdy dates from August 2017   Wikipedia pages semi-protected from banned users   Articles needing additional references from November 2011   All articles needing additional references   Articles needing additional references from August 2009           Talk                           View source                 Contents                   About Wikipedia                                           Español   Italiano   Português   Русский   Simple English   ไทย   Tiếng Việt   </t>
    </r>
    <r>
      <rPr>
        <sz val="11"/>
        <color rgb="FF000000"/>
        <rFont val="Noto Sans CJK SC"/>
        <family val="2"/>
      </rPr>
      <t xml:space="preserve">中文   </t>
    </r>
    <r>
      <rPr>
        <sz val="11"/>
        <color rgb="FF000000"/>
        <rFont val="Calibri"/>
        <family val="0"/>
        <charset val="1"/>
      </rPr>
      <t xml:space="preserve">Edit links   This page was last edited on 21 April 2018 , at 12 : 22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</si>
  <si>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first season of americas next top model come out</t>
  </si>
  <si>
    <t xml:space="preserve"> America 's Next Top Model , cycle 1 was the first cycle of America 's Next Top Model . It originally aired on UPN from May to July 2003 , and was hosted by Tyra Banks , who additionally served as its executive producer and presenter . The judging panel consisted of Banks , Janice Dickinson , Kimora Lee Simmons , and Beau Quillian . The cycle 's catchphrase was `` One girl has what it takes '' . </t>
  </si>
  <si>
    <r>
      <rPr>
        <sz val="11"/>
        <color rgb="FF000000"/>
        <rFont val="Calibri"/>
        <family val="0"/>
        <charset val="1"/>
      </rPr>
      <t xml:space="preserve">Northern hairy - nosed wombat - wikipedia  Northern hairy - nosed wombat  Jump to : navigation , search    Northern hairy - nosed wombat     Conservation status     Critically Endangered ( IUCN 3.1 )     Scientific classification     Kingdom :   Animalia     Phylum :   Chordata     Class :   Mammalia     Infraclass :   Marsupialia     Order :   Diprotodontia     Family :   Vombatidae     Genus :   Lasiorhinus Gray , 1863     Species :   L. krefftii     Binomial name     Lasiorhinus krefftii ( Owen , 1873 )         Northern hairy - nosed wombat range     The northern hairy - nosed wombat ( Lasiorhinus krefftii ) is one of three extant species of wombats . It is one of the rarest land mammals in the world and is critically endangered . Its historical range extended across New South Wales , Victoria , and Queensland as recently as 100 years ago , but it is now restricted to one place , a 3 - km range within the 32 - km Epping Forest National Park in Queensland . In 2003 , the total population consisted of 113 individuals , including only around 30 breeding females . In the last census taken in 2013 , the estimated population was 196 individuals , with an additional 9 individuals at the Richard Underwood Nature Refuge at Yarran Downs near St. George in southern Queensland . In recent years , the population has experienced a slow but steady increase to an estimated 230 individuals in 2015 .     Contents  ( hide )   1 Description   2 Behaviour   3 Taxonomy   3.1 Nomenclature   3.2 Classification     4 Conservation   5 References      Description ( edit )   In general , all species of wombat are heavily built , with large heads and short , powerful legs . They have strong claws to dig their burrows , where they live much of the time . It usually takes about a day for an individual to dig a burrow .   Northern hairy - nosed wombats have bodies covered in soft , grey fur and even have fur on their noses , a trait that sets them apart from the common wombat . They have longer , more pointed ears and a much broader muzzle than the other two species . Individuals can be 35 cm high , up to 1 m long and weigh up to 40 kg . The species exhibits sexual dimorphism , with females being somewhat larger than males due to the presence of an extra layer of fat . They are slightly larger than the common wombat and able to breed somewhat faster ( giving birth to two young every three years on average ) .   The northern hairy - nosed wombat 's nose is very important in its survival because it has very poor eyesight , so it must detect its food in the dark through smell .   Behaviour ( edit )   The northern hairy - nosed wombat is nocturnal , living underground in networks of burrows . They avoid coming above ground during harsh weather , as their burrows maintain a constant humidity and temperature . They have been known to share burrows with up to 10 individuals , equally divided by sex . Young are usually born during the wet season , between November and April . When rain is abundant , 50 - 80 % of the females in the population will breed , giving birth to one offspring at a time . Juveniles stay in their mothers ' pouches for 8 to 9 months , and are weaned at 12 months of age .   The fat reserves and low metabolic rate of this species permit northern hairy - nosed wombats to go without food for several days when food is scarce . Even when they do feed every day , it is only for 6 hours a day in the winter and 2 hours in the summer , significantly less than a similar - sized kangaroo , which feeds for at least 18 hours a day . Their diet consists of native grasses : black speargrass ( Heteropogon contortus ) , bottle washer grasses ( Enneapogon spp . ) , golden beard grass ( Chrysopogon fallax ) , and three - awned grass ( Aristida spp . ) , as well as various types of roots . The teeth continue to grow beyond the juvenile period , and are worn down by the abrasive grasses they eat. . Its habitat has become infested with African buffel grass , which outcompetes the native grasses on which the wombat prefers to feed .   Taxonomy ( edit )   Nomenclature ( edit )   The genus name Lasiorhinus comes from the Latin words lasios , meaning hairy or shaggy , and rhinus , meaning nose . The widely accepted common name is northern hairy - nosed wombat , based on the historical range of the species , as well as the fur , or `` whiskers '' , on its nose . In some older literature , it is referred to as the Queensland hairy - nosed wombat .   Classification ( edit )   The northern hairy - nosed wombat shares its genus with one other extant species , the southern hairy - nosed wombat , while the common wombat is in the genus Vombatus . Both Lasiorhinus species differ morphologically from the common wombat by their silkier fur , broader hairy noses , and longer ears .   The koala is the most closely related marsupial to wombats , and is categorised in the same suborder , Vombatiformes .   Conservation. ( edit )   Threats to the northern hairy - nosed wombat include small population size , predation , competition for food , disease , floods , droughts , wildfires , and habitat loss . Its small , highly localised population makes the species especially vulnerable to natural disasters . Wild dogs are the wombat 's primary predator . The habitat at Epping Forest National Park is now well - protected for better chances of survival .   Due to these threats , the northern hairy - nosed wombat is listed as `` endangered '' by the Australian Species Profile and Threats Database ( SPRAT ) , and `` critically endangered '' by the IUCN . Its range is restricted to about 300 ha ( 750 acres ) of the Epping National Forest in east - central Queensland , 120 km northwest of Clermont .   To combat the vulnerability of this species , a number of conservation projects have been put into action over recent years . One example was the construction of a two - metre - high , predator - proof fence around 25 km of the park in 2000 . A second population of wombats has been established at Richard Underwood Nature Refuge at Yarran Downs near St. George in southern Queensland . This second population was established in 2008 and is also in a reserve surrounded by a predator - proof fence . Within Epping Forest National Park , increased attention and funds have been given for wombat research and population monitoring , fire management , maintenance of the predator - proof fence , general management , and control of predators and competitors , and elimination of invasive plant species . In addition , the species recovery plan of 2004 to 2008 included communication and community involvement in saving the species and worked to increase the current population in the wild , established other populations within the wombat 's historical range , and worked with zoos to establish a captive husbandry program . Also , a volunteer caretaker program allows volunteers to contribute in monitoring the population and keeping the predator fence in good repair . Finally , DNA fingerprint identification of wombat hairs allows research to be conducted without an invasive trapping or radio - tracking program . Due to the combined efforts of these forces , the northern hairy - nosed wombat population is slowly making a comeback .   References ( edit )       Wikispecies has information related to : Lasiorhinus latifrons         Wikimedia Commons has media related to Lasiorhinus latifrons .      Jump up ^ Groves , C.P. ( 2005 ) . `` Order Diprotodontia '' . In Wilson , D.E. ; Reeder , D.M. Mammal Species of the World : A Taxonomic and Geographic Reference ( 3rd ed . ) . Johns Hopkins University Press . p. 43 . ISBN 978 - 0 - 8018 - 8221 - 0 . OCLC 62265494 .   ^ Jump up to : Taggart , D. ; Martin , R. &amp; Horsup ( 2008 ) . `` Lasiorhinus krefftii '' . IUCN Red List of Threatened Species . Version 2008 . International Union for Conservation of Nature . Retrieved 02 Sept 2009 . Check date values in : access - date = ( help )   Jump up ^ Eastwood , K. ( October -- December 2003 ) . `` Saving the northern hairy - nosed wombat '' . Australian Geographic ( 72 ) .   Jump up ^ Horsup , Alan ( 23 October 2015 ) . `` Northern hairy - nosed wombat '' . Queensland Government . The State of Queensland ( Department of Environment and Heritage Protection ) . Retrieved 30 August 2016 .   Jump up ^ Jew , Darren . `` Northern Hairy - Nosed Wombat '' . Wildlife Preservation Society of Qld . Wildlife Queensland . Retrieved 23 February 2014 .   Jump up ^ Banks , Sam ; Hoyle , Horsup ; Sunnucks , Taylor ( 28 February 2006 ) . `` Demographic monitoring of an entire species ( the northern hairy - nosed wombat , Lasiorhinus krefftii ) by genetic analysis of non-invasively collected material '' . Animal Conservation. 6 ( 2 ) : 101 -- 107 . doi : 10.1017 / S1367943003003135 . Retrieved 23 February 2014 .   Jump up ^ Johnson , C.N. ; Crossman ( 23 March 2009 ) . `` Dispersal and social organization of the northern hairy - nosed wombat Lasiorhinus krefftii '' . Journal of Zoology. 225 ( 4 ) : 605 -- 613 . doi : 10.1111 / j. 1469 - 7998.1991. tb04328. x . Retrieved 25 February 2014 .   Jump up ^ Johnson , C.N. ( November 1991 ) . `` Utilization of habitat by the northern hairy - nosed wombat Lasiorhinus krefftii '' . Journal of Zoology. 225 ( 3 ) : 495 -- 507 . doi : 10.1111 / j. 1469 - 7998.1991. tb03831. x . Retrieved 25 February 2014 .   Jump up ^ Gotch , A.F. ( 1979 ) . Mammals , their Latin names explained . Poole : Blanchford Press .   Jump up ^ Gordon , G. ; Riney , T. ; Toop , J. ; Lawrie , B.C. ; Godwin , M.D. ( 1985 ) . `` Observations on the Queensland Hairy - nosed Wombat , Lasiorhinus krefftii ( Owen ) '' . Biological Conservation. 33 : 165 -- 195 . doi : 10.1016 / 0006 - 3207 ( 85 ) 90102 - 8 .   Jump up ^ Horsup , A. `` Recovery plan for the northern hairy - nosed wombat Lasiorhinus krefftii 2004 - 2008 '' . Report to the Department of Environment and Heritage , Canberra . Missing or empty url = ( help )   Jump up ^ Triggs , B ( 2009 ) . Wombats . Collingwood , Australia : CSIRO Publishing .   Jump up ^ `` Lasiorhinus krefftii Northern Hairy - nosed Wombat '' . deh.gov.au . Retrieved 2007 - 01 - 05 .   ^ Jump up to : Department of Environment and Resource Management . `` Northern hairy - nosed wombat '' . Queensland Government .   Jump up ^ Short , Jeff ; Smith ( 2 May 1994 ) . `` Mammal Decline and Recovery in Australia '' . Journal of Mammalogy. 75 ( 2 ) : 288 -- 301 . doi : 10.2307 / 1382547 . Retrieved 28 February 2014 .   Jump up ^ White , Lauren C. ; Horsup , Alan ; Taylor , Andrea C. ; Austin , Jeremy J. ( 2014 ) . `` Improving genetic monitoring of the northern hairy - nosed wombat ( Lasiorhinus krefftii ) '' . Australian Journal of Zoology. 62 ( 3 ) : 246 -- 250 . doi : 10.1071 / zo14031 . Retrieved 2016 - 08 - 04 .   Jump up ^ Sloane , M.A. ; Sunnucks , Alpers ; Taylor , Beheragary ( September 2000 ) . `` Highly reliable genetic identification of individual northern hairy - nosed wombats from single remotely collected hairs : a feasible censusing method '' . Molecular Ecology. 9 ( 9 ) : 1233 -- 1240 . doi : 10.1046 / j. 1365 - 294x. 2000.00993. x . Retrieved 28 February 2014 .     Underhill D ( 1993 ) . Australia 's Dangerous Creatures . Sydney NSW : Reader 's Digest . ISBN 0 - 86438 - 018 - 6 .              Extant Diprotodontia species       Kingdom Animalia   Phylum Chordata   Class Mammalia   Infraclass Marsupialia          ( hide ) Suborder Vombatiformes        Phascolarctidae      Phascolarctos     Koala ( P. cinereus )          Vombatidae ( Wombats )      Vombatus     Common wombat ( V. ursinus )       Lasiorhinus     Southern hairy - nosed wombat ( L. latifrons )   Northern hairy - nosed wombat ( L. krefftii )                   Suborder Phalangeriformes ( Possums ) ( cont . below )        Phalangeridae ( including Cuscuses )      Ailurops ( Bear cuscuses )     Talaud bear cuscus ( A. melanotis )   Sulawesi bear cuscus ( A. ursinus )       Phalanger     Gebe Cuscus ( P. alexandrae )   Mountain cuscus ( P. carmelitae )   Ground cuscus ( P. gymnotis )   Eastern common cuscus ( P. intercastellanus )   Woodlark cuscus ( P. lullulae )   Blue - eyed cuscus ( P. matabiru )   Telefomin cuscus ( P. matanim )   Southern common cuscus ( P. mimicus )   Northern common cuscus ( P. orientalis )   Ornate cuscus ( P. ornatus )   Rothschild 's cuscus ( P. rothschildi )   Silky cuscus ( P. sericeus )   Stein 's cuscus ( P. vestitus )       Spilocuscus     Admiralty Island cuscus ( S. kraemeri )   Common spotted cuscus ( S. maculatus )   Waigeou cuscus ( S. papuensis )   Black - spotted cuscus ( S. rufoniger )   Blue - eyed spotted cuscus ( S. wilsoni )       Strigocuscus     Sulawesi dwarf cuscus ( S. celebensis )   Banggai cuscus ( S. pelegensis )       Trichosurus ( Brushtail possums )     Northern brushtail possum ( T. arnhemensis )   Short - eared possum ( T. caninus )   Mountain brushtail possum ( T. cunninghami )   Coppery brushtail possum ( T. johnstonii )   Common brushtail possum ( T. vulpecula )       Wyulda     Scaly - tailed possum ( W. squamicaudata )          Burramyidae ( Pygmy possums )      Burramys     Mountain pygmy possum ( B. parvus )       Cercartetus     Long - tailed pygmy possum ( C. caudatus )   Southwestern pygmy possum ( C. concinnus )   Tasmanian pygmy possum ( C. lepidus )   Eastern pygmy possum ( C. nanus )                   Suborder Phalangeriformes ( Possums ) ( cont . above )        Tarsipedidae      Tarsipes     Honey possum ( T. rostratus )          Petauridae      Dactylopsila     Great - tailed triok ( D. megalura )   Long - fingered triok ( D. palpator )   Tate 's triok ( D. tatei )   Striped possum ( D. trivirgata )       Gymnobelideus     Leadbeater 's possum ( G. leadbeateri )       Petaurus     Northern glider ( P. abidi )   Yellow - bellied glider ( P. australis )   Biak glider ( P. biacensis )   Sugar glider ( P. breviceps )   Mahogany glider ( P. gracilis )   Squirrel glider ( P. norfolcensis )          Pseudocheiridae      Hemibelideus     Lemur - like ringtail possum ( H. lemuroides )       Petauroides     Greater glider ( P. volans )       Petropseudes     Rock - haunting ringtail possum ( P. dahli )       Pseudocheirus     Common ringtail possum ( P. peregrinus )       Pseudochirulus     Lowland ringtail possum ( P. canescens )   Weyland ringtail possum ( P. caroli )   Cinereus ringtail possum ( P. cinereus )   Painted ringtail possum ( P. forbesi )   Herbert River ringtail possum ( P. herbertensis )   Masked ringtail possum ( P. larvatus )   Pygmy ringtail possum ( P. mayeri )   Vogelkop ringtail possum ( P. schlegeli )       Pseudochirops     D'Albertis ' ringtail possum ( P. albertisii )   Green ringtail possum ( P. archeri )   Plush - coated ringtail possum ( P. corinnae )   Reclusive ringtail possum ( P. coronatus )   Coppery ringtail possum ( P. cupreus )          Acrobatidae      Acrobates     Feathertail glider ( A. pygmaeus )       Distoechurus     Feather - tailed possum ( D. pennatus )                   Suborder Macropodiformes ( cont . below )        Macropodidae ( includes Wallabies )      Lagostrophus     Banded hare - wallaby ( L. fasciatus )       Dendrolagus ( Tree - kangaroos )     Grizzled tree - kangaroo ( D. inustus )   Lumholtz 's tree - kangaroo ( D. lumholtzi )   Bennett 's tree - kangaroo ( D. bennettianus )   Ursine tree - kangaroo ( D. ursinus )   Matschie 's tree - kangaroo ( D. matschiei )   Doria 's tree - kangaroo ( D. dorianus )   Ifola tree - kangaroo ( D. notatus )   Goodfellow 's tree - kangaroo ( D. goodfellowi )   Lowlands tree - kangaroo ( D. spadix )   Golden - mantled tree - kangaroo ( D. pulcherrimus )   Seri 's tree - kangaroo ( D. stellarum )   Dingiso ( D. mbaiso )   Tenkile ( D. scottae )       Dorcopsis     Brown dorcopsis ( D. muelleri )   White - striped dorcopsis ( D. hageni )   Black dorcopsis ( D. atrata )   Gray dorcopsis ( D. luctuosa )       Dorcopsulus     Small dorcopsis ( D. vanheurni )   Macleay 's dorcopsis ( D. macleayi )       Lagorchestes     Spectacled hare - wallaby ( L. conspicillatus )   Rufous hare - wallaby ( L. hirsutus )       Macropus ( includes Kangaroos and Wallaroos )     Subgenus Notamacropus : Agile wallaby ( M. agilis )   Black - striped wallaby ( M. dorsalis )   Tammar wallaby ( M. eugenii )   Western brush wallaby ( M. irma )   Parma wallaby ( M. parma )   Pretty - faced wallaby ( M. parryi )   Red - necked wallaby ( M. rufogriseus )     Subgenus Osphranter : Antilopine kangaroo ( M. antilopinus )   Woodward 's wallaroo ( M. bernadus )   Eastern wallaroo ( M. robustus )   Red kangaroo ( M. rufus )     Subgenus Macropus : Western grey kangaroo ( M. fuliginosus )   Eastern grey kangaroo ( M. giganteus )       Onychogalea ( Nail - tail wallabies )     Bridled nail - tail wallaby ( O. fraenata )   Northern nail - tail wallaby ( O. unguifera )       Petrogale ( Rock - wallabies )     P. brachyotis species - group : Short - eared rock - wallaby ( P. brachyotis )   Wilkins ' rock - wallaby ( P. wilkinsi )   Monjon ( P. burbidgei )   Nabarlek ( P. concinna )     P. xanthopus species - group : Proserpine rock - wallaby ( P. persephone )   Rothschild 's rock - wallaby ( P. rothschildi )   Yellow - footed rock - wallaby ( P. xanthopus )     P. lateralis / penicillata species - group : Allied rock - wallaby ( P. assimilis )   Cape York rock - wallaby ( P. coenensis )   Godman 's rock - wallaby ( P. godmani )   Herbert 's rock - wallaby ( P. herberti )   Unadorned rock - wallaby ( P. inornata )   Black - flanked rock - wallaby ( P. lateralis )   Mareeba rock - wallaby ( P. mareeba )   Brush - tailed rock - wallaby ( P. penicillata )   Purple - necked rock - wallaby ( P. purpureicollis )   Mount Claro rock - wallaby ( P. sharmani )       Setonix     Quokka ( S. brachyurus )       Thylogale ( Pademelons )     Tasmanian pademelon ( T. billardierii )   Brown 's pademelon ( T. browni )   Dusky pademelon ( T. brunii )   Calaby 's pademelon ( T. calabyi )   Mountain pademelon ( T. lanatus )   Red - legged pademelon ( T. stigmatica )   Red - necked pademelon ( T. thetis )       Wallabia     Swamp wallaby ( W. bicolor )                   Suborder Macropodiformes ( cont . above )        Potoroidae      Aepyprymnus     Rufous rat - kangaroo ( A. rufescens )       Bettongia ( Bettongs )     Eastern bettong ( B. gaimardi )   Boodie ( B. lesueur )   Woylie ( B. penicillata )   Northern bettong ( B. tropica )       Potorous ( Potoroos )     Long - footed potoroo ( P. longipes )   Long - nosed potoroo ( P. tridactylus )   Gilbert 's potoroo (. gilbertii )          Hypsiprymnodontidae      Hypsiprymnodon     Musky rat - kangaroo ( H. moschatus )               Retrieved from `` https://en.wikipedia.org/w/index.php?title=Northern_hairy-nosed_wombat&amp;oldid=802933738 '' Categories :   IUCN Red List critically endangered species   Critically endangered fauna of Australia   Vombatiforms   Mammals of Queensland   Mammals of New South Wales   Marsupials of Australia   EDGE species   Nature Conservation Act endangered biota   Taxa named by Richard Owen   Mammals described in 1873   Hidden categories :   CS1 errors : dates   Pages using web citations with no URL   Articles with ' species ' microformats   All articles with unsourced statements   Articles with unsourced statements from March 2014   Commons category with local link different than on Wikidata           Talk                                           Contents                   About Wikipedia                                             Wikispecies       تۆرکجه   Български   Brezhoneg   Català   Cebuano   Čeština   Deutsch   Español   Esperanto   Euskara   فارسی   Français   Gaeilge   Galego   </t>
    </r>
    <r>
      <rPr>
        <sz val="11"/>
        <color rgb="FF000000"/>
        <rFont val="Noto Sans CJK SC"/>
        <family val="2"/>
      </rPr>
      <t xml:space="preserve">한국어   </t>
    </r>
    <r>
      <rPr>
        <sz val="11"/>
        <color rgb="FF000000"/>
        <rFont val="Calibri"/>
        <family val="0"/>
        <charset val="1"/>
      </rPr>
      <t xml:space="preserve">Italiano   עברית   Magyar   മലയാളം   Nederlands   Polski   Português   Română   Српски / srpski   Suomi   Svenska   Tiếng Việt   Winaray   </t>
    </r>
    <r>
      <rPr>
        <sz val="11"/>
        <color rgb="FF000000"/>
        <rFont val="Noto Sans CJK SC"/>
        <family val="2"/>
      </rPr>
      <t xml:space="preserve">中文   </t>
    </r>
    <r>
      <rPr>
        <sz val="11"/>
        <color rgb="FF000000"/>
        <rFont val="Calibri"/>
        <family val="0"/>
        <charset val="1"/>
      </rPr>
      <t xml:space="preserve">Edit links   This page was last edited on 29 September 2017 , at 11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</si>
  <si>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are the northern hairy nosed wombats predators</t>
  </si>
  <si>
    <t xml:space="preserve"> Threats to the northern hairy - nosed wombat include small population size , predation , competition for food , disease , floods , droughts , wildfires , and habitat loss . Its small , highly localised population makes the species especially vulnerable to natural disasters . Wild dogs are the wombat 's primary predator . The habitat at Epping Forest National Park is now well - protected for better chances of survival . </t>
  </si>
  <si>
    <r>
      <rPr>
        <sz val="11"/>
        <color rgb="FF000000"/>
        <rFont val="Calibri"/>
        <family val="0"/>
        <charset val="1"/>
      </rPr>
      <t xml:space="preserve">Bailee Madison - wikipedia  Bailee Madison  Jump to : navigation , search    Bailee Madison     Madison in January 2015       ( 1999 - 10 - 15 ) October 15 , 1999 ( age 18 ) Fort Lauderdale , Florida , U.S.     Occupation   Actress     Years active   2006 -- present     Bailee Madison ( born October 15 , 1999 ) is an American actress . In film , she played May Belle Aarons in Bridge to Terabithia ( 2007 ) , Isabelle in Brothers ( 2009 ) , Sally Hurst in Do n't Be Afraid of the Dark ( 2010 ) , Maggie in Just Go with It ( 2011 ) , Harper Simmons in Parental Guidance ( 2012 ) , and Kinsey in The Strangers : Prey at Night ( 2018 ) .   On television , she made guest appearances as Maxine Russo in Wizards of Waverly Place and young Snow White in Once Upon a Time . She also has a recurring role as Sophia Quinn in The Fosters . In 2015 , she began starring as Grace Russell in the Hallmark Channel series Good Witch .     Contents  ( hide )   1 Life and career   1.1 Community involvement     2 Filmography   2.1 Film   2.2 Television     3 Awards and nominations   4 References   5 External links      Life and career ( edit )   Madison was born in Fort Lauderdale , Florida , the youngest of seven children . She has four brothers and two sisters . Her older sister , Kaitlin Riley , is also an actress . Her mother is Patricia Riley . She began her career when she was two weeks old in an Office Depot commercial . Since then , she has appeared in several national commercials for major companies including Disney , SeaWorld , and Cadillac . She also serves as a national youth spokesperson for the childhood - cancer charity Alex 's Lemonade Stand Foundation .   She made her major motion picture debut in the movie Lonely Hearts , in which she plays Rainelle , a girl thrown into the midst of a world of crime . Madison also has a significant role in the Disney movie Bridge to Terabithia , based on the children 's book . She plays May Belle Aarons , the younger sister of the lead male character played by Josh Hutcherson . She also appears in the independent film Look as Megan , a girl who is being watched and followed by a kidnapper .  Madison at the Faith and Values Awards Gala in 2008  Madison had a small role in Terminator : The Sarah Connor Chronicles during the season 1 finale `` What He Beheld '' as a girl who becomes part of a short - lived hostage situation . In the DVD extras it is said that they thought about changing the role slightly because of its violent nature , but she insisted that they not . Madison appeared in Nickelodeon 's made - for - TV movie , The Last Day of Summer . She plays a girl who helps a friend during a difficult time . Another Nickelodeon production she had a role in was the television Christmas special Merry Christmas , Drake &amp; Josh . She played a girl who lived with a foster family .   Madison is seen in a featured supporting role in the 2009 film Brothers as Isabelle Cahill , the older daughter of Captain Sam Cahill ( Tobey Maguire ) and Grace Cahill ( Natalie Portman ) . For her portrayal in the movie , she was nominated for both a Saturn Award and a BFCA Critics ' Choice Award . In 2010 , Madison was in the movie Letters to God , where she portrayed Samantha Perryfield , best friend of the lead character who is fighting cancer .   She is seen in Conviction playing the younger version of Hilary Swank 's character , Betty Anne Waters . She can be seen in the episode `` Locum '' from Law &amp; Order : Special Victims Unit as Mackenzie Burton , a girl who was adopted and feels like she is only filling the place of her parents ' older daughter who was abducted years ago . She appeared in three episodes of the children 's horror series , R.L. Stine 's The Haunting Hour .   In 2011 , Madison had a recurring role in the Disney Channel Original Series Wizards of Waverly Place as Maxine , the girl form of Max Russo . She also appeared in Just Go with It , alongside Adam Sandler and Jennifer Aniston , as Maggie Murphy , a young girl who wants to become an actress . Madison can be seen in the drama film , An Invisible Sign as the younger version of Jessica Alba 's character Mona Gray . She starred in her first leading role in the horror film , Do n't Be Afraid of the Dark , alongside Katie Holmes and Guy Pearce where she portrayed Sally Hurst , a lonely withdrawn child who is sent to live with her father and his new girlfriend .  Madison at the Golden Globes Gift Lounge on January 14 , 2012  In 2012 , Madison appeared in the Hallmark film A Taste of Romance alongside Teri Polo and James Patrick Stuart . She also had a guest role as the younger version of Ginnifer Goodwin 's character Snow White in the TV series Once Upon a Time . She also could be seen as the main character in the film Cowgirls n ' Angels where she played the feisty and rebellious Ida Clayton who has fantasies of finding her father , a rodeo rider . Madison appeared in another Hallmark film entitled Smart Cookie as Daisy , an eager girl hoping to prove herself as a Girl Scout . In December , she appeared in the family comedy film Parental Guidance , alongside Billy Crystal and Bette Midler .   In 2013 , Madison began playing Hillary on the TV sitcom Trophy Wife , replacing Gianna LePera who played the character in the pilot . In 2014 , she began playing the recurring role of Sophia Quinn in the ABC Family drama The Fosters . In 2015 , she began playing Grace Russell , the daughter of Cassie Nightingale , in the Hallmark series Good Witch .   In 2018 , she portrayed the role of Kinsey , a rebellious child in horror film The Strangers : Prey at Night . Christina Hendricks and Martin Henderson played her parents . The film received mixed response from critics .   Bailee Madison 's career also includes voice over work ( or voice acting ) with Breathe Bible .   Community involvement ( edit )   Madison has served as the national youth spokesperson for Alex 's Lemonade Stand Foundation since 2010 , an organization that encourages kids to fundraise and spread awareness of pediatric cancer by running their own lemonade stands .   Filmography ( edit )   Film ( edit )     Year   Title   Role   Notes     2006   Lonely Hearts   Rainelle Downing       2007   Bridge to Terabithia   May Belle Aarons       2007   Look   Megan       2008   Phoebe in Wonderland   Olivia Lichten       2009   Brothers   Isabelle Cahill         An Invisible Sign   Young Mona Gray         Conviction   Young Betty Anne Waters         Letters to God   Samantha Perryfield       2011   Just Go With It   Maggie Murphy ( Kiki Dee )       2011   Do n't Be Afraid of the Dark   Sally Hurst       2011   25 Hill   Kate Slater   Cameo appearance     2012   Parental Guidance   Harper Simmons       2012   Monica   Monica   Voice role ; animated short     2012   Cowgirls ' n Angels   Ida Clayton       2013   The Magic Bracelet   Ashley   Short film     2016   Annabelle Hooper and the Ghosts of Nantucket   Annabelle Hooper       2016   Holiday Joy   Joy       2016   The Night Before Halloween   Megan       2017   A Cowgirl 's Story   Dusty Rhodes   Also producer     2018   The Strangers : Prey at Night   Kinsey       Television ( edit )     Year   Title   Role   Notes     2007   CSI : NY   Rose Duncan   Episode : `` Boo ''     2007   House   Lucy   Episode : `` Act Your Age ''     2007   Unfabulous   Young Addie Singer   2 episodes     2007   Cory in the House   Maya   2 episodes     2007   Saving Sarah Cain   Hannah Cottrell   Movie     2007   The Last Day of Summer   Maxine   Movie     2008   Terminator : The Sarah Connor Chronicles   Little Girl   Episode : `` What He Beheld ''     2008   Merry Christmas , Drake &amp; Josh   Mary Alice Johansson   Movie       Law &amp; Order : Special Victims Unit   Mackenzie Burton   Episode : `` Locum ''       Hubworld   Herself       2010 , 2012   R.L. Stine 's The Haunting Hour   Lilly Carbo / Jenny / Becky   4 episodes     2011   Wizards of Waverly Place   Maxine Russo   6 episodes ( Season 4 )     2011   Chase   Zoe   Episode : `` Father Figure ''     2011   Powers   Calista   Pilot     2012   A Taste of Romance   Hannah Callahan   Movie     2012   Smart Cookies   Daisy   Movie     2012 -- 13 , 2016   Once Upon a Time   Young Snow White   4 episodes     2013   Holliston   Bailee   Episode `` Rock the Cradle ''     2013   Half   Riley Young   Movie     2013   Pete 's Christmas   Katie   Movie     2013 -- 2014   Trophy Wife   Hillary Harrison   Series regular ( 21 episodes )     2014 -- 2016   The Fosters   Sophia Quinn   Recurring role , 11 episodes     2014   American Dad !   Unknown   Episode : `` Roger Passes The Bar ''     2014   Northpole   Clementine   Movie     2015 -- present   Good Witch   Grace Russell   Series regular ( 30 episodes )     2015   Northpole : Open for Christmas   Clementine   Movie     2015   Mulaney   Ruby   Episode : `` Ruby ''     2015   Good Witch Halloween   Grace Russell   Hallmark movie     2016   Date with Love   Heidi Watts   Hallmark movie     2016   Holiday Joy   Joy Hockstatter   Movie     Awards and nominations ( edit )     Year   Association     Nominated work   Result   Ref .     2008   Young Artist Awards   Best Performance in a Feature Film Young Actress Age Ten or Younger   Bridge to Terabithia   Won       Best Performance in a Feature Film -- Young Ensemble Cast   Won       Best Performance in a TV Series Guest Starring Young Actress   House   Nominated       Best Performance in a TV Movie , Miniseries or Special -- Supporting Young Actress   The Last Day of Summer   Won       Movieguide Awards   Most Inspirational Television Acting   Saving Sarah Cain   Won         BFCA Critics ' Choice Awards   Best Young Actress   Brothers   Nominated       Saturn Awards   Best Performance by a Younger Actor   Nominated       2011   Young Artist Awards   Best Performance in a Feature Film ( Leading Young Actress Ten and Under )   An Invisible Sign   Nominated       Youth Rock Awards   Rockin ' Child Performer ( TV / Film )   Do n't Be Afraid of the Dark   Nominated       2012   Fangoria Chainsaw Awards   Best Actress   Nominated       Young Artist Awards   Best Performance in a Feature Film -- Supporting Young Actress   Just Go With It   Nominated       2013   Best Performance in a Feature Film -- Young Ensemble Cast   Parental Guidance   Nominated       References ( edit )    Jump up ^ `` Children in Film '' . Retrieved March 12 , 2014 .   Jump up ^ Stacey Harrison . `` Bailee Madison returns to The Hub 's `` Haunting Hour '' with `` Scarecrow '' `` . channelguidemag.com . Retrieved December 12 , 2011 .   Jump up ^ I Am Second . `` I Am Second Bailee Madison -- Child Actress '' . youtube.com . Retrieved April 17 , 2011 .   Jump up ^ `` Bailee Madison Trophy Wife '' . IGN . Retrieved January 22 , 2014 .   Jump up ^ `` ' Good Witch ' Star Bailee Madison Teases Spellbinding Season 2 '' . International Business Times . April 15 , 2016 . Retrieved October 8 , 2016 .   Jump up ^ `` Review -- Strangers : Prey at Night is Why Some Films Do n't Need Sequels '' . Bleeding Cool News And Rumors . 2018 - 03 - 09 . Retrieved 2018 - 03 - 10 .   Jump up ^ `` Film Review : The Strangers : Prey at Night is a Quick , Bloody Slasher Throwback '' . Consequence of Sound . 2018 - 03 - 08 . Retrieved 2018 - 03 - 10 .   Jump up ^ `` Bailee Madison , The Voice of Young Mary '' , BreatheBible.com ; retrieved September 19 , 2017 .   ^ Jump up to : `` Young actress Bailee Madison sells lemonade for charity , celebrates Girl Scouts 100th anniversary with new role '' , FoxNews.com , June 12 , 2012 .   Jump up ^ `` Bridge to Terabithia official site '' . Disney.go.com . Retrieved January 28 , 2012 .   Jump up ^ `` J2 Pictures / J2TV official web site '' . J2tv.com . Retrieved January 28 , 2012 .   Jump up ^ Josh L. Dickey ( April 11 , 2011 ) . `` Bailee Madison rides rodeo pic '' . variety.com . Retrieved April 11 , 2011 .   Jump up ^ `` The Last Day Of Summer official site '' . Nick.com . Archived from the original on October 6 , 2012 . Retrieved January 28 , 2012 .   Jump up ^ `` Merry Christmas , Drake &amp; Josh official site '' . Nick.com . Retrieved January 28 , 2012 .   Jump up ^ `` Twitter / Bailee Madison : Katie and I will be on the '' . Twitter.com . December 23 , 2010 . Retrieved January 28 , 2012 .   Jump up ^ Megan Walsh - Boyle . `` Exclusive : Disney Channel Announces Season 4 of Wizards of Waverly Place '' . tvguide.com . Retrieved April 17 , 2011 .   Jump up ^ Nellie Andreeva . `` Pilot Castings : USA 's ' Over / Under ' Finds Female Lead , Young Actress Joins ' Powers ' '' . deadline.com . Archived from the original on July 6 , 2011 . Retrieved June 16 , 2011 .   Jump up ^ `` Cast of Good Witch '' . Hallmark Channel .   ^ Jump up to : `` 29th Annual Young Artist Awards '' . YoungArtistAwards.org . Archived from the original on July 6 , 2008 . Retrieved March 31 , 2011 .   Jump up ^ garcia , Ellen ( February 14 , 2008 ) . `` Top 10 Movies of 2007 Announced at ' Christian Oscars ' '' . christianpost.com . Retrieved July 23 , 2014 .   Jump up ^ `` 15th Annual Critics ' Choice Movie Awards ( 2010 ) -- Best Picture : The Hurt Locker '' . criticschoice.com . November 21 , 2011 . Retrieved July 23 , 2014 .   Jump up ^ Miller , Ross ( February 15 , 2014 ) . `` Avatar Leads 2010 Saturn Awards Nominations '' . screenrant.com . Retrieved July 23 , 2014 .   Jump up ^ `` 32nd Annual Young Artist Awards -- Nominations / Special Awards '' . The Young Artist Foundation . 2011 . Archived from the original on August 8 , 2013 . Retrieved March 14 , 2011 .   Jump up ^ `` Youth Rock Awards Nominees '' . Youth Rocks Awards . 2011 . Retrieved October 16 , 2011 .   Jump up ^ `` The 2012 Fangoria Chainsaw Awards Ballot ! '' . Fangoria Staff . 2012 . Retrieved May 17 , 2012 .   Jump up ^ `` 33rd Annual Young Artist Awards -- Nominations / Special Awards '' . The Young Artist Foundation . 2012 . Archived from the original on April 4 , 2012 . Retrieved April 6 , 2012 .   Jump up ^ `` 34th Annual Young Artist Awards '' . YoungArtistAwards.org . Archived from the original on April 2 , 2013 . Retrieved January 3 , 2013 .    External links ( edit )       Wikimedia Commons has media related to Bailee Madison .      Bailee Madison on IMDb   Bailee Madison on Twitter   Bailee Madison at AllMovie            VIAF : 91177049   LCCN : no2009112111   ISNI : 0000 0000 6603 1804   GND : 1020547847   BNF : cb16612024q ( data )      Retrieved from `` https://en.wikipedia.org/w/index.php?title=Bailee_Madison&amp;oldid=834314795 '' Categories :   1999 births   21st - century American actresses   Actresses from Florida   American child actresses   American film actresses   American television actresses   Living people   Actresses from Fort Lauderdale , Florida   Hidden categories :   Use mdy dates from May 2017   Articles with hCards   All articles with unsourced statements   Articles with unsourced statements from March 2018   Wikipedia articles with VIAF identifiers   Wikipedia articles with LCCN identifiers   Wikipedia articles with ISNI identifiers   Wikipedia articles with GND identifiers   Wikipedia articles with BNF identifiers           Talk                                           Contents                   About Wikipedia                                                   تۆرکجه   Čeština   Deutsch   Español   فارسی   Français   </t>
    </r>
    <r>
      <rPr>
        <sz val="11"/>
        <color rgb="FF000000"/>
        <rFont val="Noto Sans CJK SC"/>
        <family val="2"/>
      </rPr>
      <t xml:space="preserve">한국어   </t>
    </r>
    <r>
      <rPr>
        <sz val="11"/>
        <color rgb="FF000000"/>
        <rFont val="Calibri"/>
        <family val="0"/>
        <charset val="1"/>
      </rPr>
      <t xml:space="preserve">Bahasa Indonesia   Italiano   Magyar   मैथिली   Bahasa Melayu   Nederlands   नेपाली   </t>
    </r>
    <r>
      <rPr>
        <sz val="11"/>
        <color rgb="FF000000"/>
        <rFont val="Noto Sans CJK SC"/>
        <family val="2"/>
      </rPr>
      <t xml:space="preserve">日本 語   </t>
    </r>
    <r>
      <rPr>
        <sz val="11"/>
        <color rgb="FF000000"/>
        <rFont val="Calibri"/>
        <family val="0"/>
        <charset val="1"/>
      </rPr>
      <t xml:space="preserve">Polski   Português   Русский   Simple English   Suomi   Svenska   Українська   Tiếng Việt   डोटेली  16 more  Edit links   This page was last edited on 5 April 2018 , at 01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</si>
  <si>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max as a girl in wizards of waverly place</t>
  </si>
  <si>
    <t xml:space="preserve"> In 2011 , Madison had a recurring role in the Disney Channel Original Series Wizards of Waverly Place as Maxine , the girl form of Max Russo . She also appeared in Just Go with It , alongside Adam Sandler and Jennifer Aniston , as Maggie Murphy , a young girl who wants to become an actress . Madison can be seen in the drama film , An Invisible Sign as the younger version of Jessica Alba 's character Mona Gray . She starred in her first leading role in the horror film , Do n't Be Afraid of the Dark , alongside Katie Holmes and Guy Pearce where she portrayed Sally Hurst , a lonely withdrawn child who is sent to live with her father and his new girlfriend . </t>
  </si>
  <si>
    <t xml:space="preserve">List of NFL franchise postseason droughts - wikipedia  List of NFL franchise postseason droughts  Jump to : navigation , search  This is a list of current National Football League ( NFL ) franchise post-season and Super Bowl droughts ( multiple consecutive seasons of not winning ) . Listed here are both appearance droughts and winning droughts in almost every level of the NFL playoff system .   As of the 2017 NFL season , every active NFL team has qualified for , and won a game in , the playoffs at least once . Teams that have never made it beyond each successive milestone are listed under the year in which they began NFL play .   Of the 13 teams that have never won the Super Bowl , four ( 4 ) are expansion franchises younger than the Super Bowl itself ( Bengals , Panthers , Jaguars , and the Texans ) . The Falcons were enfranchised the season the Super Bowls began . The eight ( 8 ) other clubs ( Cardinals , Lions , Eagles , Oilers / Titans , Chargers , Browns , Bills , and Vikings ) all won an NFL or AFL championship prior to the AFL -- NFL merger ; in the case of the Vikings , however , the Super Bowl existed at the time they won their league title , leaving them and the Falcons as the only two teams to have existed for as long as or longer than the Super Bowl and to have never secured the highest championship available to them . The longest drought since a championship of any kind is that of the Cardinals , at 69 seasons .   Note that for continuity purposes , the Cleveland Browns are officially considered to have suspended operations for the 1996 , 1997 and 1998 seasons , and that the Baltimore Ravens are a separate team that began play in 1996 . The Ravens , as a result of the Cleveland Browns relocation controversy , absorbed the Browns ' personnel upon their suspension , but not their history .     Contents  ( hide )   1 Active team droughts   1.1 Post-season droughts   1.2 Playoff game victory droughts   1.3 AFC / NFC Championship game appearance droughts   1.4 Super Bowl or NFL Championship appearance droughts   1.5 Super Bowl win droughts   1.6 Super Bowl crown droughts by division   1.7 Cities / regions awaiting first Super Bowl crown   1.8 Division title droughts     2 Historical team droughts   2.1 Closest approaches without winning the Super Bowl   2.2 Playoff droughts of 5 plus seasons   2.3 Most consecutive post-season losses in team history   2.4 Longest post-season droughts in team history     3 See also   4 References      Active team droughts ( edit )   All active drought listings now include the 2017 season for season total droughts .   Postseason droughts ( edit )   Updated through the end of the 2017 regular season .     0 ^ 0   Longest drought in team history     Playoff Droughts   0Team0   Last appearance in post-season   Seasons     Cleveland Browns ^   2002 AFC Wild Card Playoffs   15     Tampa Bay Buccaneers   2007 NFC Wild Card Playoffs   10     New York Jets   2010 AFC Championship Game   7     Chicago Bears   2010 NFC Championship Game   7     Los Angeles Chargers   2013 AFC Divisional Playoffs       San Francisco 49ers   2013 NFC Championship Game       Baltimore Ravens   2014 AFC Divisional Playoffs       Indianapolis Colts   2014 AFC Championship Game       Cincinnati Bengals   2015 AFC Wild Card Playoffs       Washington Redskins   2015 NFC Wild Card Playoffs       Arizona Cardinals   2015 NFC Championship Game       Denver Broncos   Super Bowl 50       Miami Dolphins   2016 AFC Wild Card Playoffs       Oakland Raiders   2016 AFC Wild Card Playoffs       New York Giants   2016 NFC Wild Card Playoffs       Detroit Lions   2016 NFC Wild Card Playoffs       Houston Texans   2016 AFC Divisional Playoffs       Dallas Cowboys   2016 NFC Divisional Playoffs       Seattle Seahawks   2016 NFC Divisional Playoffs       Green Bay Packers   2016 NFC Championship Game       2017 Playoff Teams     Buffalo Bills   2017 AFC Wild Card Playoffs   --     Tennessee Titans   2017 AFC Wild Card Playoffs   --     Kansas City Chiefs   2017 AFC Wild Card Playoffs   --     Jacksonville Jaguars   2017 AFC Wild Card Playoffs   --     Atlanta Falcons   2017 NFC Wild Card Playoffs   --     Carolina Panthers   2017 NFC Wild Card Playoffs   --     New Orleans Saints   2017 NFC Wild Card Playoffs   --     Los Angeles Rams   2017 NFC Wild Card Playoffs   --     Pittsburgh Steelers   2017 AFC Divisional Playoffs   --     New England Patriots   2017 AFC Divisional Playoffs   --     Minnesota Vikings   2017 NFC Divisional Playoffs   --     Philadelphia Eagles   2017 NFC Divisional Playoffs   --     Playoff game victory droughts ( edit )   Updated through the December 31 , 2017 games . Sortable table , click on header arrows .     0 ^ 0   Longest drought in team history     0 † 0   Tied for longest drought in team history     0 0   Most consecutive losses in team history     0 ¤ 0   Tied for most consecutive losses in team history     0 ♣ ♣ 0   Most consecutive losses in NFL history       Current Playoff Loss Streak   Team   Last playoff game win   Seasons Since Win   Loss Streak   Playoff Losses - Teams     Cincinnati Bengals ^   1990 AFC Wild Card Playoffs   27   8   1990 Divisional - LA Raiders 2005 Wild Card - Pittsburgh 2009 Wild Card - New York Jets 2011 Wild Card - Houston 2012 Wild Card - Houston 2013 Wild Card - San Diego 2014 Wild Card - Indianapolis 2015 Wild Card - Pittsburgh     Detroit Lions   1991 NFC Divisional Playoffs *   26   ♣ ♣ 9   1991 NFC Championship - Washington 1993 Wild Card - Green Bay 1994 Wild Card - Green Bay 1995 Wild Card - Philadelphia 1997 Wild Card - Tampa Bay 1999 Wild Card - Washington 2011 Wild Card - New Orleans 2014 Wild Card - Dallas 2016 Wild Card - Seattle     Buffalo Bills ^   1995 AFC Wild Card Playoffs   22   4   1995 Divisional - Pittsburgh 1996 Wild Card - Jacksonville 1998 Wild Card - Miami 1999 Wild Card - Tennessee     Cleveland Browns ^   1994 AFC Wild Card Playoffs   20 * *     1994 Divisional - Pittsburgh 2002 Wild Card - Pittsburgh     Miami Dolphins ^   2000 AFC Wild Card Playoffs   17   4 ¤   2000 Divisional - Oakland 2001 Wild Card - Baltimore 2008 Wild Card - Baltimore 2016 Wild Card - Pittsburgh     Oakland Raiders ^   2002 AFC Championship *   15   2 ¤   2002 Super Bowl - Tampa Bay 2016 Wild Card - Houston     Tampa Bay Buccaneers   Super Bowl XXXVII *   15     2005 Wild Card - Washington 2007 Wild Card - New York Giants     Tennessee Titans   2003 AFC Wild Card Playoffs   14   3 ¤   2003 Divisional - New England 2007 Wild Card - San Diego 2008 Divisional - Baltimore     Los Angeles Rams   2004 NFC Wild Card Playoffs   13     2004 Divisional - Atlanta     Washington Redskins   2005 NFC Wild Card Playoffs   12   4 ¤   2005 Divisional - Seattle 2007 Wild Card - Seattle 2012 Wild Card - Seattle 2015 Wild Card - Green Bay     Jacksonville Jaguars ^   2007 AFC Wild Card Playoffs   10     2007 Divisional - New England     Philadelphia Eagles   2008 NFC Divisional Playoffs   9     2008 NFC Championship - Arizona 2009 Wild Card - Dallas 2010 Wild Card - Green Bay 2013 Wild Card - New Orleans     Minnesota Vikings   2009 NFC Divisional Playoffs *   8     2009 NFC Championship - New Orleans 2012 Wild Card - Green Bay 2015 Wild Card - Seattle     New York Jets   2010 AFC Divisional Playoffs   7     2010 AFC Championship - Pittsburgh     Chicago Bears   2010 NFC Divisional Playoffs *   7     2010 NFC Championship - Green Bay     New York Giants   2011 ! Super Bowl XLVI   6     2016 Wild Card - Green Bay     Los Angeles Chargers   2013 AFC Wild Card Playoffs       2013 Divisional - Denver     New Orleans Saints   2013 NFC Wild Card Playoffs       2013 Divisional - Seattle     San Francisco 49ers   2013 NFC Divisional Playoffs       2013 NFC Championship - Seattle     Baltimore Ravens   2014 AFC Wild Card Playoffs       2014 Divisional - New England     Dallas Cowboys   2014 NFC Wild Card Playoffs       2014 Divisional - Green Bay 2016 Divisional - Green Bay     Indianapolis Colts   2014 AFC Divisional Playoffs       2014 AFC Championship - New England     Kansas City Chiefs   2015 AFC Wild Card Playoffs       2015 Divisional - New England 2016 Divisional - Pittsburgh     Arizona Cardinals   2015 NFC Divisional Playoffs *       2015 NFC Championship - Carolina     Carolina Panthers   2015 NFC Championship *       2015 Super Bowl - Denver     Denver Broncos   Super Bowl 50 *     0   3 game win streak       2016 Playoff 0   Winners         Houston Texans   2016 AFC Wild Card Playoffs       2016 Divisional - New England     Seattle Seahawks   2016 NFC Wild Card Playoffs       2016 Divisional - Atlanta     Pittsburgh Steelers   2016 AFC Divisional Playoffs   --     2016 AFC Championship - New England     Green Bay Packers   2016 NFC Divisional Playoffs       2016 NFC Championship - Atlanta     Atlanta Falcons   2016 NFC Championship *   --     2016 Super Bowl - New England     New England Patriots   Super Bowl LI *   --   0   3 game win streak     Team   Last playoff game win   Seasons Since Win   Loss Streak   Playoff Losses - Teams     ( * ) : Franchise earned a bye in the Wild Card round . ( * * ) : Franchise dormant 1996 -- 1998 .   AFC / NFC championship game appearance droughts ( edit )   This is also a list of the last time a particular club won a Divisional playoff game .     0 ^ 0   Longest drought in team history     0 † 0   Tied for longest drought in team history     Drought Reference   Seasons   Team   Last appearance in Conference Championship Game   Result     29   Cincinnati Bengals ^   1988 AFC   Won vs. Buffalo     26   Washington Redskins ^   1991 NFC   Won vs. Detroit     26   Detroit Lions ^   1991 NFC   Lost vs. Washington     25   Miami Dolphins ^   1992 AFC   Lost vs. Buffalo     25   Cleveland Browns ^   1989 AFC   Lost vs. Denver     24   Buffalo Bills ^   1993 AFC   Won vs. Kansas City     24   Kansas City Chiefs   1993 AFC   Lost vs. Buffalo     22   Dallas Cowboys ^   1995 NFC   Won vs. Green Bay     18   Jacksonville Jaguars ^   1999 AFC   Lost vs. Tennessee     16   Houston Texans ^   1985 Never   y --     16   Los Angeles Rams ^   2001 NFC   Won vs. Philadelphia     15   Tampa Bay Buccaneers   2002 NFC   Won vs. Philadelphia     15   Oakland Raiders ^   2002 AFC   Won vs. Tennessee     15   Tennessee Titans   2002 AFC   Lost vs. Oakland     10   Los Angeles Chargers   2007 AFC   Lost vs. New England     9   Philadelphia Eagles   2008 NFC   Lost vs. Arizona     8   New Orleans Saints   2009 NFC   Won vs. Minnesota     8   Minnesota Vikings   2009 NFC   Lost vs. New Orleans     7   New York Jets   2010 AFC   Lost vs. Pittsburgh     7   Chicago Bears   2010 NFC   Lost vs. Green Bay     6   New York Giants   2011 NFC   Won vs. San Francisco     5   Baltimore Ravens   2012 AFC   Won vs. New England       San Francisco 49ers   2013 NFC   Lost vs. Seattle       Indianapolis Colts   2014 AFC   Lost vs. New England       Seattle Seahawks   2014 NFC   Won vs. Green Bay       Denver Broncos   2015 AFC   Won vs. New England       Arizona Cardinals   2015 NFC   Lost vs. Carolina       Carolina Panthers   2015 NFC   Won vs. Arizona     . 75   Z2016 Conference Finalists   2015   z     --   Pittsburgh Steelers   2016 AFC   Lost vs. New England     . 5 --   New England Patriots   2016 AFC   Won vs. Pittsburgh       Green Bay Packers   2016 NFC   Lost vs. Atlanta     --   Atlanta Falcons   2016 NFC   Won vs. Green Bay      The Los Angeles Rams last appeared in the NFC Championship game as the St. Louis Rams .   The Los Angeles Chargers last appeared in the AFC Championship game as the San Diego Chargers .   The Texans first played in 2002 season   The Browns were dormant from 1996 -- 1998 .    Super Bowl or NFL championship appearance droughts ( edit )   Last appearance in Super Bowl or NFL Championship   Seasons   Team   Last appearance in Super Bowl   NFL Season   Result     60   Detroit Lions   7003195700000000000 ♠ 1957 NFL Championship Game   1957   Won vs. Cleveland     49   New York Jets   7003196800000000000 ♠ Super Bowl III   1968   Won vs. Baltimore Colts     48   Kansas City Chiefs   7003196900000000000 ♠ Super Bowl IV   1969   Won vs. Minnesota     45   Cleveland Browns   7003196910000000000 ♠ 1969.1 1969 NFL Championship Game   1969   Lost vs. Minnesota     41   Minnesota Vikings   7003197700000000000 ♠ Super Bowl XI   1976   Lost vs. Oakland     33   Miami Dolphins   7003198400000000000 ♠ Super Bowl XIX   1984   Lost vs. San Francisco     29   Cincinnati Bengals   7003198800000000000 ♠ Super Bowl XXIII   1988   Lost vs. San Francisco     26   Washington Redskins   7003199100000000000 ♠ Super Bowl XXVI   1991   Won vs. Buffalo     24   Buffalo Bills   7003199300000000000 ♠ Super Bowl XXVIII   1993   Lost vs. Dallas     23   Jacksonville Jaguars   7000100000000000000 ♠ Never ( enfranchised 1995 )     z --     23   Los Angeles Chargers   7003199400000000000 ♠ Super Bowl XXIX   1994   Lost vs. San Francisco     22   Dallas Cowboys   7003199500000000000 ♠ Super Bowl XXX   1995   Won vs. Pittsburgh     18   Tennessee Titans   7003199900000000000 ♠ Super Bowl XXXIV   1999   Lost vs. St. Louis Rams     16   Houston Texans   7000200000000000000 ♠ Never ( enfranchised 2002 )     z --     16   Los Angeles Rams   7003200100000000000 ♠ Super Bowl XXXVI   2001   Lost vs. New England     15   Tampa Bay Buccaneers   7003200200000000000 ♠ Super Bowl XXXVII   2002   Won vs. Oakland     15   Oakland Raiders   7003200210000000000 ♠ Super Bowl XXXVII   2002   Lost vs. Tampa Bay     13   Philadelphia Eagles   7003200400000000000 ♠ Super Bowl XXXIX     Lost vs. New England     11   Chicago Bears   7003200600000000000 ♠ Super Bowl XLI   2006   Lost vs. Indianapolis     9   Arizona Cardinals   7003200800000000000 ♠ Super Bowl XLIII   2008   Lost vs. Pittsburgh     8   New Orleans Saints   7003200900000000000 ♠ Super Bowl XLIV   2009   Won vs. Indianapolis     8   Indianapolis Colts   7003200900000000000 ♠ Super Bowl XLIV   2009   Lost vs. New Orleans     7   Green Bay Packers   7003201000000000000 ♠ Super Bowl XLV     Won vs. Pittsburgh     7   Pittsburgh Steelers   7003201010000000000 ♠ Super Bowl XLV     Lost vs. Green Bay     6   New York Giants   7003201100000000000 ♠ Super Bowl XLVI   2011   Won vs. New England     5   Baltimore Ravens   7003201200000000000 ♠ Super Bowl XLVII   2012   Won vs. San Francisco     5   San Francisco 49ers   7003201210000000000 ♠ Super Bowl XLVII   2012   Lost vs. Baltimore Ravens       Seattle Seahawks   7003201420000000000 ♠ Super Bowl XLIX   2014   Lost vs. New England       Carolina Panthers   7003201500000000000 ♠ Super Bowl 50   2015   Lost vs. Denver       Denver Broncos   7003201500000000000 ♠ Super Bowl 50   2015   Won vs. Carolina     . 75   ZSuper Bowl LI finalists   2016   2016   zz     0   Atlanta Falcons   7003201600000000000 ♠ Super Bowl LI   2016   Lost vs. New England     0   New England Patriots   7003201600000000000 ♠ Super Bowl LI   2016   Won vs. Atlanta        The Browns were dormant from 1996 -- 1998 .   The Los Angeles Chargers last appeared in the Super Bowl as the San Diego Chargers .   The Los Angeles Rams last appeared in the Super Bowl as the St. Louis Rams .    Super Bowl win droughts ( edit )   This list also counts all seasons since a team last won the league championship .     Competing in the 2017 NFL Playoffs     Drought References   Seasons   Team   Last Super Bowl crown ( 1966 -- present )   NFL Season   Last League Championship crown Before 1970 Merger ( 1920 -- 1969 )   Seasons     52   Arizona Cardinals   Never   --   1947 NFL Championship   70     52   Detroit Lions   Never   --   1957 NFL Championship   60     52   Philadelphia Eagles   Never   --   1960 NFL Championship   57     52   Tennessee Titans   Never   --   1961 AFL Championship   56     52   Los Angeles Chargers   Never   --   1963 AFL Championship   54     52   Buffalo Bills   Never   --   1965 AFL Championship   52     49   Cleveland Browns   Never   --   1964 NFL Championship   50     52   Minnesota Vikings   Never   --   1969 NFL Championship   48     52   Atlanta Falcons   Never ( enfranchised 1966 )   --     50   Cincinnati Bengals   Never ( enfranchised 1968 )   --     49   New York Jets   Super Bowl III   1968     48   Kansas City Chiefs   Super Bowl IV   1969     44   Miami Dolphins   Super Bowl VIII   1973     34   Oakland Raiders   Super Bowl XVIII       32   Chicago Bears   Super Bowl XX   1985     26   Washington Redskins   Super Bowl XXVI   1991     23   Jacksonville Jaguars   Never ( enfranchised 1995 )   --     23   Carolina Panthers   Never ( enfranchised 1995 )   --     23   San Francisco 49ers   Super Bowl XXIX   1994     22   Dallas Cowboys   Super Bowl XXX   1995     18   Los Angeles Rams   Super Bowl XXXIV   1999     16   Houston Texans   Never ( enfranchised 2002 )   --     15   Tampa Bay Buccaneers   Super Bowl XXXVII   2002     11   Indianapolis Colts   Super Bowl XLI   2006     9   Pittsburgh Steelers   Super Bowl XLIII   2008     8   New Orleans Saints   Super Bowl XLIV   2009     7   Green Bay Packers   Super Bowl XLV       6   New York Giants   Super Bowl XLVI   2011     5   Baltimore Ravens   Super Bowl XLVII   2012       Seattle Seahawks   Super Bowl XLVIII   2013       Denver Broncos   Super Bowl 50   2015     . 75   ZDefending champion   2015   z     0   New England Patriots   Super Bowl LI   2016      Team won as the Chicago Cardinals in 1947 .   Team won as the Houston Oilers in 1961 .   AFL and NFL league champions met in Super Bowls I thru IV before the 1970 merger ( 1966 -- 1969 ) . They are not generally counted in the overall league championship list .   Cleveland 's drought does not include three seasons ( 1996 -- 98 ) when the franchise was dormant .   Super Bowl winner was not the NFL league champion till after 1970 merger ( Super Bowl V ) .   Team was based in Los Angeles when it won Super Bowl XVIII .   Team was based in St. Louis when it won Super Bowl XXXIV .    Super Bowl crown droughts by division ( edit )     Division   Last Super Bowl crown   Seasons     AFC South   XLI -- Colts   11     NFC South   XLIV -- Saints   8     NFC North   XLV -- Packers   7     NFC East   XLVI -- Giants   6     AFC North   XLVII -- Ravens   5     NFC West   XLVIII -- Seahawks       AFC West   50 -- Broncos       AFC East   LI -- Patriots   0     Cities / regions awaiting first Super Bowl crown ( edit )   Listed according to seasons waited . Current NFL cities / regions only   Last city to leave list - Seattle , 2013 season   City / region   Seasons waited   Conference Title ( s )   Team ( s )   Notes     Detroit   52   None   Detroit Lions ( 1966 -- )   Played in the 1991 NFC Championship Game     Philadelphia   52   1980 , 2004   Philadelphia Eagles ( 1966 -- )   Played in Super Bowls XV and XXXIX     Buffalo   52   1990 , 1991 , 1992 , 1993   Buffalo Bills ( 1966 -- )   Played in Super Bowls XXV , XXVI , XXVII , and XXVIII     Atlanta   52   1998 , 2016   Atlanta Falcons ( 1966 -- )   Played in Super Bowls XXXIII and LI     Minneapolis -- St. Paul   52   1969 , 1973 , 1974 , 1976   Minnesota Vikings ( 1966 -- )   Played in Super Bowls IV , VIII , IX , and XI     Cincinnati   50   1981 , 1988   Cincinnati Bengals ( 1968 -- )   Played in Super Bowls XVI and XXIII     Cleveland   49   None   Cleveland Browns ( 1966 -- 1995 , 1999 - )   Played in the 1986 , 1987 , and 1989 AFC Championship Games     Houston   47   None   31 Oilers seasons ( 1966 -- 1996 ) and 16 Texans seasons ( 2002 -- )   Played in the 1978 and 1979 AFC Championship Games     Phoenix   30   2008   Phoenix / Arizona Cardinals ( 1988 -- )   Played in Super Bowl XLIII     Jacksonville   23   None   Jacksonville Jaguars ( 1995 -- )   Played in the 1996 and 1999 AFC Championship Games     Charlotte   23   2003 , 2015   Carolina Panthers ( 1995 -- )   Played in Super Bowls XXXVIII and 50     Nashville   21   1999   Tennessee Oilers / Titans ( 1997 -- )   Played in Super Bowl XXXIV     Division title droughts ( edit )   Listed according to seasons waited . Updated through December 24 , 2017 games .     0 ^ 0   Longest drought in team history       Franchise   0 0 Most recent 0 0 division title   0Year0   Seasons     Cleveland Browns ^   AFC Central   1989   25 * *     Detroit Lions ^   NFC Central   1993   24     Buffalo Bills ^   AFC East   1995   22     Oakland Raiders ^   AFC West   2002   15     New York Jets   AFC East   2002   15     Tampa Bay Buccaneers   NFC South   2007   10     Miami Dolphins ^   AFC East   2008   9     Tennessee Titans   AFC South   2008   9     Los Angeles Chargers   AFC West   2009   8     Chicago Bears   NFC North     7     New York Giants   NFC East   2011   6     Baltimore Ravens   AFC North   2012   5     San Francisco 49ers   NFC West   2012   5     Indianapolis Colts   AFC South   2014       Cincinnati Bengals   AFC North   2015       Denver Broncos   AFC West   2015       Washington Redskins   NFC East   2015       Carolina Panthers   NFC South   2015       Arizona Cardinals   NFC West   2015       Houston Texans   AFC South   2016       Dallas Cowboys   NFC East   2016       Green Bay Packers   NFC North   2016       Atlanta Falcons   NFC South   2016       Seattle Seahawks   NFC West   2016       2017 Division Champions     New England Patriots   AFC East   2017   --     Pittsburgh Steelers   AFC North   2017   --     Jacksonville Jaguars   AFC South   2017   --     Kansas City Chiefs   AFC West   2017   --     Philadelphia Eagles   NFC East   2017   --     Minnesota Vikings   NFC North   2017   --     New Orleans Saints   NFC South   2017   --     Los Angeles Rams   NFC West   2017   --     * * Does not include the three seasons ( 1996 -- 1998 ) during which the franchise suspended operations .   Historical team droughts ( edit )   Closest approaches without winning the Super Bowl ( edit )   Counted from the first Super Bowl seaon , 1966 , to present . Updated through the 2016 playoffs .     Team   Wild Card appearances   Divisional Round appearances   Conference Final appearances   Super Bowl appearances   Fewest wins short of Super Bowl Title     Minnesota Vikings   12   20   8     1 win short : 1969 , 1973 , 1974 , 1976     Buffalo Bills   6   10   5     1 win short : 1990 , 1991 , 1992 , 1993     Philadelphia Eagles   15   12   6     1 win short : 1980 , 2004     Cincinnati Bengals   8   6       1 win short : 1982 , 1988     Atlanta Falcons   6   9       1 win short : 1998 , 2016     Carolina Panthers     7       1 win short : 2003 , 2015     Los Angeles Chargers   6   10       1 win short : 1994     Tennessee Titans   12   12       1 win short : 1999     Arizona Cardinals     6       1 win short : 2008     Cleveland Browns     8   6     2 wins short : 1968 , 1969 , 1986 , 1987 , 1989     Jacksonville Jaguars   5         2 wins short : 1996 , 1999     Detroit Lions   8         2 wins short : 1991     Houston Texans           3 wins short : 2011 , 2012 , 2016       Playoff droughts of 5 plus seasons ( edit )    Updated through the 2017 season .   Sort by clicking on desired column heading .   When sorting , Indianapolis and Baltimore Colts are grouped together ,   Arizona , Phoenix , St. Louis and Chicago Cardinals are grouped together ,   Tennessee Titans , Houston Oilers and Tennessee Oilers are grouped together ,   Los Angeles , St. Louis and Cleveland Rams are grouped together ,   Oakland and Los Angeles Raiders are grouped together .        0 ^ 0   Denotes active streak       Last place NFL finishes   Last place AFL finishes ( 1960 -- 1969 )     7003197800000000000 ♠   List of Droughts   Seasons   Team   Drought Duration   Division or Conference Last Place finishes during drought   League Worst win - loss record during drought     Last Place   Seasons     7001250000000000000 ♠ 25   Washington Redskins A ! Washington Redskins   1946 -- 1970     1950 , 1952 , 1960 -- 1961   1961     7001250000000000000 ♠ 25   Arizona Cardinals A ! Chicago / St. Louis Cardinals   1949 -- 1973   5   1951 , 1953 -- 1954 , 1957 , 1959   1953 , 1954 , 1957 tie , 1959 1959 tie     7001240000000000000 ♠ 24   Pittsburgh Steelers A ! Pittsburgh Steelers   1948 -- 1971   5   1955 , 1965 , 1967 -- 1969   1965 , 1969 tie     7001200000000000000 ♠ 20   New Orleans Saints A ! New Orleans Saints   1967 -- 1986   9   1967 , 1970 -- 1972 , 1975 , 1977 , 1980 -- 1981 , 1986   1975 1975 tie , 1980     7001170000000000000 ♠ 17   Denver Broncos A ! Denver Broncos   1960 -- 1976   8   1960 , 1963 -- 1967 , 1970 -- 1971   1960 , 1963 , 1964 , 1965 tie , 1967     7001170000000000000 ♠ 17   Philadelphia Eagles A ! Philadelphia Eagles   1961 -- 1977   7   1962 -- 1963 , 1968 -- 1970 , 1972 , 1975   1968 tie     7001170000000000000 ♠ 17   New York Giants D ! New York Giants   1964 -- 1980   9   1964 , 1966 , 1971 , 1973 -- 1974 , 1976 -- 1978 , 1980   1964 , 1966 , 1974 tie     7001170000000000000 ♠ 17   Buffalo Bills A ! Buffalo Bills   2000 -- 2016   8   2001 -- 2002 , 2008 -- 2013   --     7001160000000000000 ♠ 16   Detroit Lions A ! Detroit Lions   1936 -- 1951     1942 , 1946 -- 1948   1942 , 1946 , 1948     7001150000000000000 ♠ 15   Arizona Cardinals B ! Chicago Cardinals   1932 -- 1946   10   1933 , 1935 -- 1936 , 1938 -- 1940 , 1943 -- 1946   1933 , 1938 tie , 1939 , 1943 , 1944 tie , 1945     7001150000000000000 ♠ 15   Green Bay Packers A ! Green Bay Packers   1945 -- 1959     1949 , 1953 , 1957 , 1958   1957 tie , 1958     7001150000000000000 ♠ 15   Arizona Cardinals C ! St. Louis / Phoenix / Arizona Cardinals   1983 -- 1997   7   1985 -- 1986 , 1990 -- 1992 , 1995 , 1997   --     7001150000000000000 ♠ 15 ^   Cleveland Browns A ! Cleveland Browns   2003 -- 2017   13   2003 -- 2006 , 2008 -- 2009 , 2011 -- 2017   2015 tie , 2016 , 2017     7001140000000000000 ♠ 14   Pittsburgh Steelers B ! Pittsburgh Pirates / Steelers   1933 -- 1946   7   1933 -- 1934 , 1938 -- 1939 , 1941 , 1944 -- 1945   1938 tie , 1941 , 1944 tie     7001140000000000000 ♠ 14   Philadelphia Eagles B ! Philadelphia Eagles   1933 -- 1946   5   1935 -- 1937 , 1940 , 1942   1935 , 1936 , 1940     7001140000000000000 ♠ 14   Kansas City Chiefs A ! Kansas City Chiefs   1972 -- 1985   5   1977 -- 1979 , 1983 , 1985   1977 1977 tie     7001140000000000000 ♠ 14   Tampa Bay Buccaneers A ! Tampa Bay Buccaneers   1983 -- 1996   8   1983 , 1985 -- 1986 , 1989 , 1991 , 1993 -- 1995   1983 1983 tie , 1985 tie , 1986     7001140000000000000 ♠ 14   Cincinnati Bengals A ! Cincinnati Bengals   1991 -- 2004   6   1991 -- 1993 , 1998 , 2001 -- 2002   1993 , 1998 tie , 2002     7001130000000000000 ♠ 13   Chicago Bears A ! Chicago Bears   1964 -- 1976   5   1969 -- 1970 , 1972 -- 1974   1969 tie     7001130000000000000 ♠ 13   San Diego Chargers A ! San Diego Chargers   1966 -- 1978     1972 -- 1973 , 1975   1975 tie     7001130000000000000 ♠ 13   Oakland Raiders A ! Oakland Raiders   2003 -- 2015   6   2004 -- 2007 , 2013 -- 2014   2003 tie , 2006     7001120000000000000 ♠ 12   Detroit Lions B ! Detroit Lions   1958 -- 1969     1966 , 1968   --     7001120000000000000 ♠ 12   San Francisco 49ers A ! San Francisco 49ers   1958 -- 1969     1963 -- 1964 , 1969   1963     7001120000000000000 ♠ 12   New England Patriots A ! Boston / New England Patriots   1964 -- 1975     1967 , 1970 , 1972 , 1975   1970     7001120000000000000 ♠ 12   Atlanta Falcons A ! Atlanta Falcons   1966 -- 1977     1967 -- 1968 , 1974   1967 , 1968 tie     7001120000000000000 ♠ 12   Los Angeles Rams A ! St. Louis / Los Angeles Rams   2005 -- 2016   6   2007 -- 2009 , 2011 , 2013 -- 2014   2009 , 2011 tie     7001110000000000000 ♠ 11   Los Angeles Rams B ! Los Angeles Rams   1956 -- 1966     1956 , 1959 , 1962 , 1965   1959 1959 tie , 1962     7001110000000000000 ♠ 11   New York Jets A ! New York Jets   1970 -- 1980     1980   --     7001110000000000000 ♠ 11   Detroit Lions C ! Detroit Lions   1971 -- 1981     1979   1979 1979 tie     7001110000000000000 ♠ 11   Detroit Lions D ! Detroit Lions   2000 -- 2010   6   2001 -- 2003 , 2006 , 2008 -- 2009   2008     7001100000000000000 ♠ 10   Philadelphia Eagles C ! Philadelphia Eagles   1950 -- 1959     1956 , 1958   1956     7001100000000000000 ♠ 10   Green Bay Packers B ! Green Bay Packers   1983 -- 1992     1988   --     7001100000000000000 ♠ 10   Seattle Seahawks A ! Seattle Seahawks   1989 -- 1998     1992 -- 1994 , 1996   1992 tie     7001100000000000000 ♠ 10 ^   Tampa Bay Buccaneers B ! Tampa Bay Buccaneers   2008 -- 2017   7   2009 , 2011 -- 2015 , 2017   2014 2014 tie     7000900000000000000 ♠ 9   Green Bay Packers C ! Green Bay Packers   1973 -- 1981     1976 , 1980   --     7000900000000000000 ♠ 9   Indianapolis Colts A ! Baltimore / Indianapolis Colts   1978 -- 1986     1978 - 1979 , 1982 , 1986   1981 tie , 1982     7000900000000000000 ♠ 9   San Diego Chargers B ! San Diego Chargers   1983 -- 1991     1984 , 1986 , 1989 , 1991   --     7000900000000000000 ♠ 9   Los Angeles Rams C ! Los Angeles / St. Louis Rams   1990 -- 1998   6   1991 -- 1994 , 1997 -- 1998   --     7000900000000000000 ♠ 9   Arizona Cardinals E ! Arizona Cardinals   1999 -- 2007     2000 , 2002 -- 2003 , 2006   2003 tie     7000900000000000000 ♠ 9   Houston Texans A ! Houston Texans   2002 -- 2010   5   2002 -- 2003 , 2005 -- 2007   2005     7000900000000000000 ♠ 9   Jacksonville Jaguars A ! Jacksonville Jaguars   2008 -- 2016     2008 -- 2009 , 2012 , 2016   2012 tie     7000800000000000000 ♠ 8   New York Jets B ! New York Titans / Jets   1960 -- 1967     1962 -- 1963   --     7000800000000000000 ♠ 8   Tennessee Titans A ! Houston Oilers   1970 -- 1977     1970 , 1972 -- 1973 , 1976   1972 , 1973     7000800000000000000 ♠ 8   San Francisco 49ers B ! San Francisco 49ers   1973 -- 1980     1978 -- 1979   1978 , 1979 tie     7000800000000000000 ♠ 8   Atlanta Falcons B ! Atlanta Falcons   1983 -- 1990   7   1983 -- 1985 , 1987 -- 1990       7000800000000000000 ♠ 8   San Diego Chargers C ! San Diego Chargers   1996 -- 2003   5   1997 -- 1998 , 2000 -- 2001 , 2003   2000 , 2003 tie     7000800000000000000 ♠ 8   San Francisco 49ers C ! San Francisco 49ers   2003 -- 2010     2004 -- 2005       7000800000000000000 ♠ 8   Tennessee Titans B ! Tennessee Titans   2009 -- 2016     2010 , 2014 -- 2015   2014 2014 tie , 2015 tie     7000700000000000000 ♠ 7   Los Angeles Rams D ! Cleveland Rams   1937 -- 1944     1937 , 1941   1937     7000700000000000000 ♠ 7   San Francisco 49ers D ! San Francisco 49ers   1950 -- 1956   0   --   --     7000700000000000000 ♠ 7   Oakland Raiders B ! Oakland Raiders   1960 -- 1966     1961 -- 1962   1961 , 1962     7000700000000000000 ♠ 7   Minnesota Vikings A ! Minnesota Vikings   1961 -- 1967     1961 , 1966 -- 1967   --     7000700000000000000 ♠ 7   Buffalo Bills B ! Buffalo Bills   1967 -- 1973     1968 , 1971   1968 1971     7000700000000000000 ♠ 7   Cleveland Browns B ! Cleveland Browns   1973 -- 1979     1974 -- 1975 , 1977   --     7000700000000000000 ♠ 7   Seattle Seahawks B ! Seattle Seahawks   1976 -- 1982     1976 , 1980 -- 1981   --     7000700000000000000 ♠ 7   Detroit Lions E ! Detroit Lions   1984 -- 1990       --     7000700000000000000 ♠ 7   New England Patriots A ! New England Patriots   1987 -- 1993     1990 , 1992   1990 , 1992 tie     7000700000000000000 ♠ 7   Indianapolis Colts B ! Indianapolis Colts   1988 -- 1994     1991 , 1993   1991     7000700000000000000 ♠ 7   New Orleans Saints B ! New Orleans Saints   1993 -- 1999     1995 -- 1996 , 1999   --     7000700000000000000 ♠ 7   Miami Dolphins A ! Miami Dolphins   2009 -- 2015     2015   --     7000700000000000000 ♠ 7 ^   Chicago Bears B ! Chicago Bears   2011 -- 2017     2014 -- 2017   --     7000700000000000000 ♠ 7 ^   New York Jets C ! New York Jets   2011 -- 2017     2014 , 2016   --     7000600000000000000 ♠ 6   Chicago Bears C ! Chicago Bears   1957 -- 1962   0   --   --     7000600000000000000 ♠ 6   Dallas Cowboys A ! Dallas Cowboys   1960 -- 1965     1960   1960     7000600000000000000 ♠ 6   Arizona Cardinals E ! St. Louis Cardinals   1976 -- 1981     1979 , 1981   --     7000600000000000000 ♠ 6   Tennessee Titans C ! Houston Oilers   1981 -- 1986     1983 -- 1986   1983 1983 tie     7000600000000000000 ♠ 6   Buffalo Bills C ! Buffalo Bills   1982 -- 1987     1984 -- 1985   1984 , 1985 tie     7000600000000000000 ♠ 6   Philadelphia Eagles D ! Philadelphia Eagles   1982 -- 1987     1984   --     7000600000000000000 ♠ 6   New York Jets D ! New York Jets   1992 -- 1997     1994 -- 1996   1995 , 1996     7000600000000000000 ♠ 6   Washington Redskins B ! Washington Redskins   1993 -- 1998     1993 -- 1994   --     7000600000000000000 ♠ 6   Oakland Raiders C ! Los Angeles / Oakland Raiders   1994 -- 1999   0   --   --     7000600000000000000 ♠ 6   Chicago Bears D ! Chicago Bears   1995 -- 2000     1997 -- 2000   --     70006</t>
  </si>
  <si>
    <t xml:space="preserve">last time each nfl team won a playoff game</t>
  </si>
  <si>
    <t xml:space="preserve"> Playoff Droughts   0Team0   Last appearance in post-season   Seasons     Cleveland Browns ^   2002 AFC Wild Card Playoffs   15     Tampa Bay Buccaneers   2007 NFC Wild Card Playoffs   10     New York Jets   2010 AFC Championship Game   7     Chicago Bears   2010 NFC Championship Game   7     Los Angeles Chargers   2013 AFC Divisional Playoffs       San Francisco 49ers   2013 NFC Championship Game       Baltimore Ravens   2014 AFC Divisional Playoffs       Indianapolis Colts   2014 AFC Championship Game       Cincinnati Bengals   2015 AFC Wild Card Playoffs       Washington Redskins   2015 NFC Wild Card Playoffs       Arizona Cardinals   2015 NFC Championship Game       Denver Broncos   Super Bowl 50       Miami Dolphins   2016 AFC Wild Card Playoffs       Oakland Raiders   2016 AFC Wild Card Playoffs       New York Giants   2016 NFC Wild Card Playoffs       Detroit Lions   2016 NFC Wild Card Playoffs       Houston Texans   2016 AFC Divisional Playoffs       Dallas Cowboys   2016 NFC Divisional Playoffs       Seattle Seahawks   2016 NFC Divisional Playoffs       Green Bay Packers   2016 NFC Championship Game       2017 Playoff Teams     Buffalo Bills   2017 AFC Wild Card Playoffs   --     Tennessee Titans   2017 AFC Wild Card Playoffs   --     Kansas City Chiefs   2017 AFC Wild Card Playoffs   --     Jacksonville Jaguars   2017 AFC Wild Card Playoffs   --     Atlanta Falcons   2017 NFC Wild Card Playoffs   --     Carolina Panthers   2017 NFC Wild Card Playoffs   --     New Orleans Saints   2017 NFC Wild Card Playoffs   --     Los Angeles Rams   2017 NFC Wild Card Playoffs   --     Pittsburgh Steelers   2017 AFC Divisional Playoffs   --     New England Patriots   2017 AFC Divisional Playoffs   --     Minnesota Vikings   2017 NFC Divisional Playoffs   --     Philadelphia Eagles   2017 NFC Divisional Playoffs   --   </t>
  </si>
  <si>
    <t xml:space="preserve">The Dolan Twins - Wikipedia  The Dolan Twins  Jump to : navigation , search    The Dolan Twins           ( 1999 - 12 - 16 ) December 16 , 1999 ( age 18 )     Nationality   American     Occupation   Comedian     YouTube information     Years active   2014 - present     Subscribers   5,103,699 ( January 4 , 2018 )     Total views   626,375,929 ( January 4 , 2018 )     Associated acts   Logan Paul        Play buttons       100,000 subscribers         1,000,000 subscribers          Ethan and Grayson Dolan ( born December 16 , 1999 ) , collectively known as The Dolan Twins , are an American comedy duo who rose to prominence in May 2013 on the video sharing application Vine . They are currently signed to AwesomenessTV , and have been since 2015 .   The twins are from the Long Valley section of Washington Township , Morris County , New Jersey .   Since their beginnings , the duo has accumulated over 6.4 million followers on Vine and 4.4 million subscribers on YouTube , and embarked on a world tour titled the `` 4OU '' Tour in 2016 . The duo was also involved in a Twitter ad campaign for the social network 's new stickers feature . At the 2016 Teen Choice Awards , the duo won the awards for Choice Web Star : Male and Choice YouTuber .   Awards and nominations     Year   Nominated   Award   Result     2016   Teen Choice Awards   Choice Web Star : Male   Won     Choice YouTuber   Won     2017   Choice Comedian   Won     Choice Web Star : Male   Nominated     Choice YouTuber   Nominated     Choice Comedy Web Star   Nominated     References    Jump up ^ `` The Dolan Twins Talk YouTube Videos , Tour and More '' . Extra . Retrieved 1 August 2016 .   Jump up ^ Nickoloff , Anne . `` Youtube sensations Dolan Twins perform short show at House Of Blues '' . Cleveland.com . Retrieved 1 August 2016 .   Jump up ^ Morgan , Emily . `` Dolan Twins : 5 Fast Facts You Need to Know '' . Heavy.com . Retrieved 1 August 2016 .   Jump up ^ Brouwer , Bree . `` AwesomenessTV Signs Comedy Sketch Channel The Dolan Twins '' . Tubefilter . Retrieved 1 August 2016 .   Jump up ^ Harper , Kathleen . `` Dolan Twins : 5 Things To Know About YouTube Hotties '' . Hollywood Life . Retrieved 1 August 2016 .   Jump up ^ Whitehouse , Beth . `` YouTube 's Dolan Twins : 10 things you need to know '' , Newsday , June 8 , 2016 . Accessed March 1 , 2017 . `` ' We 're from a country town called Long Valley , ' Ethan says of New Jersey . ''   Jump up ^ Weiss , Geoff. `` 16 - Year - Old Dolan Twins Will Kick Off Worldwide ' 4OU ' Tour This Summer '' . Tubefilter . Retrieved 1 August 2016 .   Jump up ^ Weiss , Geoff . `` Twitter Teams With Dolan Twins , Andrea Russett , And Todrick Hall For Video Ad Campaign '' . Tubefilter . Retrieved 1 August 2016 .   Jump up ^ Shilliday , Beth . `` Dolan Twins Brought To Tears Over Teen Choice Win -- So Sweet '' . Hollywood Life . Retrieved 1 August 2016 .        This biographical article about someone involved with the Internet is a stub . You can help Wikipedia by expanding it .            Retrieved from `` https://en.wikipedia.org/w/index.php?title=The_Dolan_Twins&amp;oldid=824456561 '' Categories :   Internet celebrities   American YouTubers   American comedy duos   1999 births   Living people   YouTube channels   People from Washington Township , Morris County , New Jersey   Internet stubs   Computer specialist stubs               Talk                           View source                                   About Wikipedia                                           বাংলা   Dansk   Edit links   This page was last edited on 7 February 2018 , at 13 : 20 .         About Wikipedia                    </t>
  </si>
  <si>
    <t xml:space="preserve">where did the dolan twins live in nj</t>
  </si>
  <si>
    <t xml:space="preserve"> The twins are from the Long Valley section of Washington Township , Morris County , New Jersey . </t>
  </si>
  <si>
    <t xml:space="preserve">Stephanie Mills ( All in the Family ) - wikipedia  Stephanie Mills ( All in the Family )       This article needs additional citations for verification . Please help improve this article by adding citations to reliable sources . Unsourced material may be challenged and removed . ( November 2017 ) ( Learn how and when to remove this template message )       Stephanie Mills     Portrayed by   Danielle Brisebois     Information     Aliases   Rose Marie and Melanie ( by Archie )     Gender   Female     Family   Floyd Mills ( father ) Marilyn Mills , nee Harris ( mother , deceased ) John Harris ( maternal grandfather , deceased ) Estelle Harris ( maternal grandmother ) Mr. Mills ( paternal grandfather ) Tessie Mills ( paternal step - grandmother ) Edith Bunker Archie Bunker Gloria Stivic Mike Stivic Joey Stivic Barbara `` Billie '' Bunker     Stephanie Mills ( born around 1969 ) was a character on the 1970s American television situation comedy All in the Family and the follow - up series , Archie Bunker 's Place . She was portrayed by child actress Danielle Brisebois , who joined All in the Family in 1978 . Brisebois continued in the role until Archie Bunker 's Place ended its run in 1983 .   Contents  ( hide )   1 Character background   2 See also   3 References   4 Bibliography   5 External links    Character background ( edit )   Stephanie was introduced in the All in the Family 's ninth - season premiere as the 9 - year - old niece of Archie and Edith Bunker ( although she was actually the daughter of Edith 's step - cousin ) . Stephanie was abandoned at the doorstep of the Bunkers ' home by her father Floyd Mills , a chronic alcoholic . Floyd was Edith 's step - cousin from her aunt 's second marriage . Stephanie 's mother -- Floyd 's wife , Marilyn -- had died some time earlier in a car accident .   Edith is more than delighted to take in Stephanie , but Archie is decidedly less so , especially since he was finally looking forward to some peace and quiet after his daughter and son - in - law , Gloria and Mike `` Meathead '' Stivic , moved to California . Eventually , Stephanie wins over Archie , and he grows to love her as his own daughter . She also appeared to hold liberal views in contrast with the conservative Archie . Shortly after moving in with the Bunkers , Stephanie reveals herself to be Jewish , something that at first upsets Archie . While he learns to live with Stephanie 's religious beliefs , Archie was not stopped from making his usual bigoted remarks against Judaism from time to time . She eventually becomes a member of the Temple Beth Shalom .   Stephanie proved to be very talented as a singer and dancer , showcasing her talents on several episodes of All in the Family and Archie Bunker 's Place . She once applied to a fine arts school ( despite Archie 's decidedly reluctant support ) , but she was turned down because of her less - than - stellar grades .   On several occasions , Stephanie 's relatives tried to take Stephanie away from the Bunkers . Not long after Edith died , Stephanie 's wealthy grandmother Estelle Harris ( portrayed by Celeste Holm ) sued Archie for custody , citing his bigoted attitudes and blue collar background . A judge sides with Archie , but grants Estelle liberal visitation rights . Stephanie 's father Floyd ( Ben Slack ) also re-appears on occasion , asking to take his daughter back ( in once instance , extorting money from Archie and Edith in exchange for allowing them to keep Stephanie ) ; however , the Bunkers manage to foil him each time .   Stephanie first attended an unnamed elementary school and later Ditmars Junior High School . Her best friend ( and sometimes rival ) was classmate Amy Bloom ( played by Seven Anne MacDonald ) .   In the latter years of Archie Bunker 's Place , Stephanie would be one of two teenaged girls living under Archie 's roof , the other being Archie 's 18 - year - old niece Barbara Lee `` Billie '' Bunker ( portrayed by Denise Miller ) . Stephanie would also make fewer appearances during the final two seasons of the series .   See also ( edit )    All in the Family   Archie Bunker 's Place   Danielle Brisebois    References ( edit )   Bibliography ( edit )    Brooks , Tim and Earl Marsh . The Complete Directory to Prime Time Network and Cable TV Shows , 9th Ed . Ballantine Books , Random House , New York City , New York , 2007 . ISBN 0 - 345 - 49773 - 2   Terrace , Vincent . Television Character and Story Facts : Over 110,000 Details From 1,008 Shows , 1945 -- 1992 . McFarland &amp; Co. Inc. , Jefferson , North Carolina , 1993 . ISBN 0 - 89950 - 891 - X    External links ( edit )     hide         All in the Family     Main characters     Archie Bunker   Edith Bunker   Gloria Stivic   Michael Stivic   Stephanie Mills       Recurring characters     Joey Stivic   George Jefferson   Louise Jefferson   Lionel Jefferson   Henry Jefferson       Episodes     `` Maude ''   `` Cousin Liz ''   `` Edith 's 50th Birthday ''   `` Edith 's Crisis of Faith ''   `` The 200th Episode Celebration of All in the Family ''       Related series      Based on     Till Death Us Do Part       Spin - offs     Maude ( 1972 -- 1978 ) ( episodes )   Good Times ( 1974 -- 1979 ) ( episodes )   The Jeffersons ( 1975 -- 1985 ) ( episodes )   Checking In ( 1981 )   Gloria ( 1982 -- 1983 )       Sequels     Archie Bunker 's Place ( 1979 -- 1983 ) ( episodes )   704 Hauser ( 1994 )         Retrieved from `` https://en.wikipedia.org/w/index.php?title=Stephanie_Mills_(All_in_the_Family)&amp;oldid=815743256 '' Categories :   All in the Family characters   Fictional American Jews   Fictional orphans   Fictional singers   Fictional dancers   Child characters in television   Fictional characters introduced in 1978   Hidden categories :   Articles needing additional references from November 2017   All articles needing additional references   All articles with unsourced statements   Articles with unsourced statements from November 2017           Talk                                           Contents                   About Wikipedia                                           Add links   This page was last edited on 16 December 2017 , at 21 : 09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</si>
  <si>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stephanie in all in the family</t>
  </si>
  <si>
    <t xml:space="preserve"> Stephanie Mills ( born around 1969 ) was a character on the 1970s American television situation comedy All in the Family and the follow - up series , Archie Bunker 's Place . She was portrayed by child actress Danielle Brisebois , who joined All in the Family in 1978 . Brisebois continued in the role until Archie Bunker 's Place ended its run in 1983 . </t>
  </si>
  <si>
    <t xml:space="preserve">Married at first Sight ( Australian TV series ) - Wikipedia  Married at first Sight ( Australian TV series )  Jump to : navigation , search      This article may require copy editing for grammar , style , cohesion , tone , or spelling . You can assist by editing it . ( February 2018 ) ( Learn how and when to remove this template message )       Married at First Sight Australia     Genre   Reality Series     Directed by   Kate Douglas - Walker     Presented by     John Aiken   Trisha Stratford   Mel Schilling       Narrated by   Georgie Gardner     Country of origin   Australia     Original language ( s )   English     No. of seasons   5     No. of episodes   82     Production     Executive producer ( s )     Tara McWilliams   John Walsh       Location ( s )   Sydney , New South Wales     Running time   60 -- 90 minutes     Production company ( s )   Endemol Australia ( 2015 -- present )     Release     Original network   Nine Network     Picture format     576i ( SDTV )   1080i ( HDTV ) ( 2016 - present )       Audio format   Stereo     Original release   18 May 2015 -- present     External links     Website     Married at First Sight Australia is an Australian reality television series based on the Danish program of the same name . The show is premiered 7 : 00pm every Sunday and 7 : 30pm every Monday , Tuesday and Wednesday on the Nine Network . The show features four to eleven couples , matched by three experts , who agree to marry when they first meet . However , unlike other versions of the show around the world , the couples do not partake in a legally binding marriage due to legal restrictions , but instead meet as strangers at the altar of a commitment ceremony . The couples spend their wedding night in a hotel , then leave for a honeymoon . Upon returning they live together for a month , whereafter they choose whether they will continue their relationship .   The first season premiered on 18 May 2015 on the Nine Network . A second season began on 4 April 2016 with the third season premiering later in the same year on 29 August 2016 . A fourth season premiered on Monday 30 January 2017 . The fifth season premiered on Monday 29 January 2018 .     Contents  ( hide )   1 Season overview   2 Season 1 ( 2015 )   2.1 Couples   2.1. 1 Lachlan &amp; Clare   2.1. 2 Roni &amp; Michael   2.1. 3 Zoe &amp; Alex   2.1. 4 James &amp; Michelle       3 Season 2 ( 2016 )   3.1 Couples   3.1. 1 Erin &amp; Bryce   3.1. 2 Christie &amp; Mark   3.1. 3 Clare &amp; Jono   3.1. 4 Simone &amp; Xavier       4 Season 3 ( 2016 )   4.1 Couples   4.1. 1 Keller &amp; Nicole   4.1. 2 Mark &amp; Monica   4.1. 3 Jess &amp; Dave   4.1. 4 Bella &amp; Michael   4.1. 5 Craig &amp; Andy       5 Season 4 ( 2017 )   5.1 Couples   5.1. 1 Jonathan &amp; Cheryl   5.1. 2 Sean &amp; Susan   5.1. 3 Michael &amp; Scarlett   5.1. 4 Nadia &amp; Anthony   5.1. 5 Simon &amp; Alene   5.1. 6 Andy &amp; Vanessa   5.1. 7 Lauren &amp; Andrew   5.1. 8 John &amp; Deborah   5.1. 9 Michelle &amp; Jesse   5.1. 10 Sharon &amp; Nick   5.1. 11 Cheryl &amp; Andrew       6 Season 5 ( 2018 )   6.1 Couples   6.1. 1 Sarah &amp; Telv   6.1. 2 Dean &amp; Tracey   6.1. 3 Mat &amp; Alycia   6.1. 4 Jo &amp; Sean D   6.1. 5 Davina &amp; Ryan   6.1. 6 Charlene &amp; Patrick   6.1. 7 Melissa &amp; John   6.1. 8 Troy &amp; Ashley   6.1. 9 Gabrielle &amp; Nasser   6.1. 10 Justin &amp; Carly   6.1. 11 Sean T &amp; Blair       7 Season 6 ( 2019 )   8 Viewership   8.1 Season ratings   8.2 Season 1 ( 2015 )   8.3 Season 2 ( 2016 )   8.4 Season 3 ( 2016 )   8.5 Season 4 ( 2017 )   8.6 Season 5 ( 2018 )   8.7 Season 6 ( 2019 )     9 Controversy and legality   10 References   11 External links      Season overview ( edit )     Season   Episodes   Originally aired     Season premiere   Season finale       6   18 May 2015   22 June 2015       7   4 April 2016   27 April 2016       8   29 August 2016   13 September 2016       29   30 January 2017   3 April 2017     5   32   29 January 2018   21 March 2018     6     2019   2019     Season 1 ( 2015 ) ( edit )   During the first season , four female contestants were matched with their ' perfect ' male partner by a panel of experts . In the first episode , two couples ( Michael &amp; Roni , Clare &amp; Lachlan ) met and wed . In the second episode , another two couples ( Zoe &amp; Alex , Michelle &amp; James ) did the same . They all embarked on married life together for the rest of the season . In the fourth episode , all couples meet each other for the first time and discuss their current experiences .   Couples ( edit )     #   Couple   Age   Hometown   Occupation   Final Decision   Status       Lachlan McAleer   36   Sydney , New South Wales   Farmer   Yes   Separated     Clare Tamas   37   Sydney , New South Wales   Marketing Manager       Roni Azzopardi   32   Melbourne , Victoria   Payroll Manager   Broke up before final decision   Separated     Michael O'Dea   31   Melbourne , Victoria   Event Manager       Zoe Hendrix   25   Melbourne , Victoria   Digital Marketing Executive   Yes   Currently Together     Alex Garner   29   Melbourne , Victoria   Plumber       Michelle Worsley   34   Sydney , New South Wales   Communications Manager   Yes   Separated     James Webster   36   Sydney , New South Wales   Sign Writer    Lachlan &amp; Clare ( edit )  Lachlan and Clare met and wed in Sydney in the show 's first episode . Despite their decision to continue their relationship at the end of the season , Lachlan and Clare revealed they had split but remain good friends . The Nine Network announced on 26 June 2015 , that Lachlan would participate in the networks upcoming revival of The Farmer Wants a Wife .  Roni &amp; Michael ( edit )  Roni and Michael met and wed in Melbourne in the show 's first episode . By the fifth episode , Roni and Michael found that their relationship was not working for them and they mutually decided to split .  Zoe &amp; Alex ( edit )  Zoe and Alex met and wed in Melbourne in the show 's second episode . Following the conclusion of the season , Zoe and Alex are the only couple currently still together . In March 2016 , Zoe and Alex revealed that they are planning to get married legally . After suffering a miscarriage in June 2015 , Zoe and Alex revealed that they were expecting their first child in October 2016 . On November 14 , 2016 , Zoe gave birth to their baby girl named Harper - Rose Garner .  James &amp; Michelle ( edit )  James and Michelle met and wed in Sydney in the show 's second episode . In early June 2015 , news reports revealed that James and Michelle had split , with Michelle having remarried to a former boyfriend . It was revealed that the two are no longer in contact with each other .   Season 2 ( 2016 ) ( edit )   After airing only one episode , the Nine Network on 19 May 2015 , announced that the series had been renewed for a second season which aired on 4 April 2016 . During the second season , four female contestants are matched with their ' perfect ' male partner by a panel of experts . In the first episode , two couples ( Erin &amp; Bryce , Christie &amp; Mark ) meet and wed . In the second episode , another two couples ( Clare &amp; Jono , Simone &amp; Xavier ) do the same . They all embark on married life together for the rest of the series . In the fifth episode , all couples meet each other for the first time and discuss their current experiences .   Couples ( edit )     #   Couple   Age   Hometown   Occupation   Final Decision   Status       Erin Bateman   26   Melbourne , Victoria   Retail Manager   Yes   Currently Together     Bryce Mohr   31   Melbourne , Victoria   Business Analyst       Christie Jordee   39   Sydney , New South Wales   Business Owner   Yes   Separated     Mark Hughes   36   Gippsland , Victoria   Farmer       Clare Verrall   32   Melbourne , Victoria   Recruitment Consultant   Broke up before final decision   Separated     Jono Pitman   28   Melbourne , Victoria   Tradie       Simone Lee Brennan   29   Sydney , New South Wales   Make - Up Artist   No   Separated     Xavier Forsberg   26   Sydney , New South Wales   Sales Manager    Erin &amp; Bryce ( edit )  Erin and Bryce met and wed in Melbourne in the show 's first episode . In the final episode , they both decided to stay together . They are the only couple currently still together . Since the show ended Erin has started her own fashion label called Boy Is Mine and is writing a fashion lifestyle blog , erinbateman.com .  Christie &amp; Mark ( edit )  Christie and Mark met and wed in Sydney in the show 's first episode . In the final episode , they both decided to stay together . On 15 June 2016 , they announced that they had split up .  Clare &amp; Jono ( edit )  Clare and Jono met and wed in Melbourne in the show 's second episode and quickly became the season 's most controversial couple . By the fifth episode , Clare decided that their relationship was not working as she felt ' uncomfortable ' with Jono 's constant aggressive outbursts and she decided to end the relationship prior to the couple 's dinner . After the show it was revealed by investigative journalist Siobhan Duck of the Herald Sun that Jono Pitman had previously been arrested and charged with assault after a bar brawl and completed a court ordered anger management course . Jono was then matched with Clare Verrall , who had been open about being attacked on the street by a stranger only months prior to filming and suffering from post-traumatic stress disorder after the incident . A Nine Network spokesperson confirmed they were aware of Jono Pitman 's violent history prior to coupling up the pair .  Simone &amp; Xavier ( edit )  Simone and Xavier met and wed in Sydney in the show 's second episode . In the final decision , Simone decided to walk away from the relationship and they are now separated .   Season 3 ( 2016 ) ( edit )   It was announced in February 2016 that show should would return with two seasons , season two &amp; three , there will be a bold casting move this season . This season will be the first to include five couples &amp; is set to include the series ' first ever same - sex male couple . During the third season , four female contestants are matched with their ' perfect ' male partner &amp; for the first time a male contestant is matched with his ' perfect ' male partner by a panel of experts . In the first episode , two couples ( Keller &amp; Nicole , Mark &amp; Monica ) met and wed . In the second episode , another two couples ( Jess &amp; Dave , Bella &amp; Michael ) did the same . In the third episode , one more couple ( Craig &amp; Andy ) were wed . They all embark on married life together for the rest of the series . In the sixth episode , all couples ( bar one ) meet each other for the first time and discuss their current experiences .   Couples ( edit )     #   Couple   Age   Hometown   Occupation   Final Decision   Status       Craig Keller   26   Brisbane , Queensland   Mechanical Fitter   Yes   Separated     Nicole Heir   28   Gold Coast , Queensland   Teacher       Mark Ellam   30   Sydney , New South Wales   Firefighter   Yes   Separated     Monica Vanderkley   28   Sydney , New South Wales   Project Manager       Jess Wardrop   31   Sydney , New South Wales   Bank Officer   Broke up before final decision   Separated     Dave Crisp   28   Melbourne , Victoria   Account Manager       Bella Frizza   30   Gold Coast , Queensland   Radio Announcer   Yes   Separated     Michael Hughes   32   Brisbane , Queensland   Fashion Accessories Designer     5   Craig Roach   41   Gold Coast , Queensland   Hairdresser   Broke up before final decision   Separated     Andy Ankers   41   Sydney , New South Wales   Global Account Director    Keller &amp; Nicole ( edit )  Keller and Nicole met and wed in Brisbane in the show 's first episode . In the final episode , they both decided to stay together . Since filming , the couple have called it quits .  Mark &amp; Monica ( edit )  Mark and Monica met and wed in Sydney in the show 's first episode . In the final episode , they decided to stay in the relationship . Since filming , the couple have decided to break up .  Jess &amp; Dave ( edit )  Jess and Dave met and wed in Sydney in the show 's second episode . In the fifth episode , Dave felt their relationship was going nowhere so they broke up .  Bella &amp; Michael ( edit )  Bella and Michael met and wed in Brisbane in the show 's second episode . In the final episode , they both agreed to stay together . Since filming , the couple had decided to split up .  Craig &amp; Andy ( edit )  Craig and Andy met and wed in New Zealand in the show 's third episode . In the fifth episode , Craig decided to walk away from the relationship during the honeymoon , due to a lack of intimacy .   Season 4 ( 2017 ) ( edit )   It was announced on 12 September 2016 the season would return in 2017 with an extended series which saw 10 couples being wed . During the fourth season , 10 female contestants were matched with their ' perfect ' male partner by a panel of experts . In the first episode , two couples ( Cheryl &amp; Jonathan , Sean &amp; Susan ) met and wed in Sydney and Melbourne . In the second episode , another two couples ( Michael &amp; Scarlett , Nadia &amp; Anthony ) met and wed in Sydney . In the third episode , two more couples ( Alene &amp; Simon , Andy &amp; Vanessa ) met and wed in Sydney and Melbourne respectively . In the fourth episode , another two couples ( Lauren &amp; Andrew , Deborah &amp; John ) met and wed in Sydney . In the fifth episode , the final two couples at the same time ( Michelle &amp; Jesse , Sharon &amp; Nick ) met and wed in Perth .   Couples ( edit )     #   Couple   Age   Hometown   Occupation   Final Decision   Status       Jonathan Troughton   30   Brisbane , Queensland   Entrepreneur   Broke up before final decision   Separated     Cheryl Maitland   25   Gold Coast , Queensland   Hair Salon Assistant       Sean Hollands   35   Maryborough , Queensland   Farmer   No   Separated     Susan Rawlings   37   Perth , Western Australia   Mining Truck Driver       Michael Tomic   30   Perth , Western Australia   Data Entry Clerk / Stripper   Broke up before final decision   Separated     Scarlett Cooper   30   Sydney , New South Wales   Aspiring Author       Nadia Stamp   36   Brisbane , Queensland   Flight Attendant / Model   No   Separated     Anthony Manton   33   Sydney , New South Wales   Racing Broadcaster     5   Simon McQuillan   36   Ipswich , Queensland   Business Owner   Yes   Separated     Alene Khatcherian   31   Sydney , New South Wales   Registered Nurse     6   Andy Hills   30   Gold Coast , Queensland   Aerodrome Plant Operator   No   Separated     Vanessa Belvedere   31   Melbourne , Victoria   Student     7   Lauren Bran   33   Sydney , New South Wales   Automotive Aftermarket Sales   Broke up before final decision   Separated     Andrew Jones   38   Perth , Western Australia   Firefighter     8   John Robertson   53   Melbourne , Victoria   Business Owner   Broke up before final decision   Separated     Deborah Brosnan   53   Sunshine Coast , Queensland   Ex Model     9   Michelle Marsh   31   Perth , Western Australia   Commercial Cleaner   No   Separated     Jesse Konstantinoff   31   Adelaide , South Australia   Retailer     10   Sharon Marsh   31   Perth , Western Australia   Business Owner   Yes   Separated     Nick Furphy   30   Melbourne , Victoria   Carpenter     11   Cheryl Maitland   25   Gold Coast , Queensland   Hair Salon Assistant   Broke up before final decision   Separated     Andrew Jones   38   Perth , Western Australia   Firefighter    Jonathan &amp; Cheryl ( edit )  Despite having a good start , Jonathan and Cheryl began to develop cracks during their honeymoon in New Zealand . These cracks further deepened at the dinner party which resulted in Jonathan exchanging numbers with Scarlett and the duo spent the night texting . At the first commitment ceremony , Cheryl claimed she did n't wish to continue with Jonathan as `` he seemed more interested in someone else '' . The duo called it quits at the commitment ceremony . Jonathan is now dating someone else .  Sean &amp; Susan ( edit )  Sean and Susan broke up but decided to `` stay friends '' citing the fact that they lived too far away from one another and Susan could not live on Sean 's farm . Since the show ended , Susan has not spoken to Sean and is said to be quite upset with the way the producers portrayed her .  Michael &amp; Scarlett ( edit )  Things started unraveling for the couple when Michael told Scarlett that he would not move to meet her halfway between their current states due to the fact that he was `` established '' and he thought that because she was less tied down so she could move to him . From that point they really only saw each other as friends and nothing really was going to happen as Scarlett was not Michael 's dream girl . After the first commitment ceremony , the couple decided to go different ways and later that night it came out that Scarlett and Jonathan ( Cheryl 's husband ) had sent text messages to each other for hours the night before .  Nadia &amp; Anthony ( edit )  As of the last Commitment Ceremony , they decided to stay together and Anthony said that Nadia would have to move in order for him to provide for them both as he was in a `` niche market '' . Nadia turned up to the reunion dinner alone , and when asked where Anthony was she confided that he had dumped her the day after filming had stopped saying that `` his feelings were n't progressing ''  Simon &amp; Alene ( edit )  As of the Final Commitment Ceremony before the Final Decision they had both decided to stay and said that they told everyone that they had feelings for each other . They had decided to stay committed to each other after the experiment . They have since separated .  Andy &amp; Vanessa ( edit )  The Final Commitment Ceremony before the Final Decision they decided to stay , though the fact that they may have to do long distance for a while before they decides what happens may cause contention in the long run . Even though the difference in communication made it hard the couple have decided to stay together after the experiment . Andy and Vanessa broke up because of the difference in communication styles .  Lauren &amp; Andrew ( edit )  On the wedding night Lauren disappeared leaving Andrew unaware of her whereabouts . After a confrontation meeting , Lauren said she wanted to try again , but Andrew decided that he did not wish to continue the experiment with Lauren . Andrew has since re-entered the experiment with Hair Salon Manager Cheryl . A friend of Lauren 's has since done an interview in which she said the reason that Lauren ran away is because when she went out to a club with Andrew he started abusing a bouncer who would n't let them in because it was past 1am .  John &amp; Deborah ( edit )  After meeting and Deborah 's initial disappointment that John was not a Polynesian man or someone with culture , John and Deborah seemed to get on each other 's nerves because John was simply everything she hated . During the honeymoon in Samoa they ended up sleeping in separate beds , and John removed his wedding ring which caused further tension between them . At the commitment ceremony Deborah wanted to give it another crack and so they ended up staying , but the next day John left the experiment saying `` They would n't be anything but friends and that 's not what he was there for '' .  Michelle &amp; Jesse ( edit )  As of the Final Commitment Ceremony they are still together , despite Michelle 's doubt on whether she sees Jesse more as a friend than her husband . In their Vow Renewal ceremony , Jesse told Michelle he wants to stay in the relationship but Michelle reveals to him that she wants him in her life forever , but not as her partner , they are now broken up .  Sharon &amp; Nick ( edit )  As of the Final Commitment Ceremony they have decided to stay , Nick even going so far as to say `` That he would go where as long as Sharon was by his side '' . Although the original plan was for Nick to move to Perth because of Sharon 's cleaning business , Nick got news that his father has a medical condition so he is unable to leave his family as they would need his help . They have since broken up . Nick was quiet and sweet the complete opposite to his partner  Cheryl &amp; Andrew ( edit )  After Cheryl left the experiment after the Jonathan &amp; Scarlett texting scandal , she spoke to the experts and ask if they could set up a date between Andrew and herself . They went on two dates before they deciding that they would re-enter the experiment together as an unmarried couple , this caused controversy around the table at the dinner party as she was at the dinner the week prior with Jonathan . Even though the couple originally had some sparks , they were thrown into the deep end of the experiment having to jump right into the home stays , tensions started to rise when Andrew met Cheryl 's abrasive father for the first time and it did n't go well , Andrew feeling like Cheryl did n't have his back enough against her bullying dad . Andrew chose to leave while Cheryl chose to stay to see if the relationship could be salvaged .   When the couples all had a family get together the couple was put into an intense boot camp to see if John the expert could overhaul the bond that they had . They decided to give it another go , but when the boys and girls night came about Andrew spent most of the night bagging out and putting down Cheryl even going as far to say that his runaway bride , Lauren , `` was way more fun '' . Some of the boys took offense to this , namely Sean and Simon , and even silently Andy . Sean and Susan told Cheryl about it the next day but when Cheryl confronted Andrew about it he got snarky and condescending even going so far to start mimicking Cheryl . Andrew and Cheryl chose to leave the experiment at the Final Commitment Ceremony after the video of the boys night was aired to the girls .   Season 5 ( 2018 ) ( edit )   In February 2017 , the season was renewed for a fifth season which aired on January 29 , 2018 . On 11 October 2017 , the fifth season was officially confirmed at Nine 's upfronts and again will include 11 couples like the previous season . During the fifth season , 11 female contestants are matched with their ' perfect ' male partner by a panel of experts . In the first episode , the first two couples ( Tracey &amp; Dean , Sarah &amp; Telv ) met and wed in Sydney and Melbourne . In the second episode , another two couples ( Jo &amp; Sean , Alycia &amp; Mat ) met and wed in Sydney and Melbourne . In the third episode , two more couples ( Davina &amp; Ryan , Charlene &amp; Patrick ) met and wed in Warrawong and Melbourne . In the fifth episode , two more couples ( Ashley &amp; Troy , Melissa &amp; John ) met and wed in Gold Coast and Melbourne . In the sixth episode , another two couples ( Gabrielle &amp; Nasser , Carly &amp; Justin ) met and wed in Sydney . In the seventh episode , the final couple ( Blair &amp; Sean ) met and wed in Sydney .   Couples ( edit )     #   Couple   Age   Hometown   Occupation   Final Decision   Status       Sarah Roza   38   Melbourne , Victoria   Beauty Specialist   Yes   Separated     Telv Williams   33   Perth , Western Australia   Machinery Technician       Dean Wells   39   Sydney , New South Wales   Executive Creative Director   No   Separated     Tracey Jewel   34   Perth , Western Australia   Marketing Consultant       Mathew Lockett   32   Melbourne , Victoria   Plumber   Broke up before final decision   Separated     Alycia Galbraith   29   Adelaide , South Australia   Student       Jo McPharlin   39   Adelaide , South Australia   Single Mother   Broke up before final decision   Separated     Sean Donnelly   39   Adelaide , South Australia   Pub Manager     5   Davina Rankin   26   Brisbane , Queensland   Personal Trainer / Bikini Model   Broke up before final decision   Separated     Ryan Gallagher   29   Sydney , New South Wales   Tradesman     6   Charlene Perera   33   Melbourne , Victoria   Brand Manager   Yes   Separated     Patrick Miller   34   Melbourne , Victoria   Operations Manager     7   Melissa Walsh   53   Mornington Peninsula , Victoria   Journalist   Yes   Separated     John Robertson   54   Melbourne , Victoria   Business Owner     8   Troy Delmege   35   Sydney , New South Wales   IT Accounts Manager   No   Separated     Ashley Airvin   28   Brisbane , Queensland   Flight Attendant     9   Gabrielle Bartlett   44   Sydney , New South Wales   Marketing Coordinator / Plus Size Model   Broke up before final decision   Separated     Nasser Sultan   50   Sydney , New South Wales   Fitness Instructor     10   Justin Fischer   41   Sydney , New South Wales   Entrepreneur   Broke up before final decision   Separated     Carly Bowyer   32   Melbourne , Victoria   Marketing Manager     11   Sean Thomsen   34   Perth , Western Australia   Railway Technician   Broke up before final decision   Separated     Blair Rachel   31   Sydney , New South Wales   Executive Assistant    Sarah &amp; Telv ( edit )  As of the fifth commitment ceremony they were still together but are now separated .  Dean &amp; Tracey ( edit )  In the first commitment ceremony , Dean chose to leave ( which blindsided Tracey ) , while Tracey decided to stay , meaning that they had to stay another week . When they had a second week he stepped up , but at the same time he started a secret flirtationship with Davina . At the dinner party , Dean hooked up with Davina , and at the end of the night Dean and Tracey decided to be intimate . Dean confessed that he had a thing with Davina and that he wanted to make it work with Tracey . As of the fifth commitment ceremony , they are still together . When it came to the vow renewal , Dean said yes and said that he was falling in love with Tracey , but a bomb was dropped when Tracey said that she could not get past the betrayal and hurt at the first two weeks of the experiment . She ultimately said no , leaving Dean gobsmacked at the ' altar ' .  Mat &amp; Alycia ( edit )  They have left the experiment between the first and second commitment ceremonies .  Jo &amp; Sean d ( edit )  Jo and Sean met in the second episode of the weddings and from the start , Sean was n't very interested . When the first commitment ceremony came about Jo decided to stay while Sean decided to leave so they had to stay . Even though Jo tried Sean had no communication . As of the second commitment , they have both decided to leave .  Davina &amp; Ryan ( edit )  Between the first and second commitment ceremonies , Davina started a secret flirtationship with Dean . At the dinner party , Davina hooked up with Dean , leading her to write leave at the second commitment ceremony . Ryan had written stay , so the couple had to stay another week . As of the third commitment ceremony Davina and Ryan have called it quits after the shock of Davina 's cheating scandal .  Charlene &amp; Patrick ( edit )  At their final decision they stated that they would stay together and are still currently together to common knowledge . In March 2018 , the couple announced they had split up .  Melissa &amp; John ( edit )  As of the fifth commitment ceremony they are still in the experiment . At the Dinner Party , Melissa had to leave early due to her daughter being in labour , and as of the Commitment Ceremony there was still no baby so John was flying solo . As of the fifth commitment ceremony they were still together but announced their amicable split over social media in March 2018 .  Troy &amp; Ashley ( edit )  As of the fifth commitment ceremony they are still in the experiment . However at the altar both Ashley and Troy said the relationship was n't working out .  Gabrielle &amp; Nasser ( edit )  As of the third commitment ceremony , Gabrielle decided to leave due to a lack of intimacy past the friend stage . Nasser decided to stay , and they came to an impasse at the end meaning that Nasser had a week to turn around . On the wife homestay , Gabrielle rented a apartment so that she would n't bring a strange man around her daughter . On the first night the bed broke and Nasser wanted to leave , but he stayed until they got into an argument and he left refusing to meet Gabrielle 's friends who were on their way over for drinks and a chat . They finally left in the fifth ceremony , they were at peace with everything that went on  Justin &amp; Carly ( edit )  As of the second commitment ceremony Carly decided to leave where as Justin decided to stay , so they have to stay for another week . As of the third commitment ceremony , they have decided to stay even though they only spent three days at the homestay . After the blow up at the dinner party , Carly got fed up with Justin 's lack of trying . They have decided to split up . A few weeks after the experiment she entered a relationship with Troy who originally married Ashley .  Sean t &amp; Blair ( edit )  They both choose to stay at the second commitment ceremony , but during the grooms home - stay , Sean revealed he had no feelings for Blair . He chose to leave at the third commitment ceremony , while Blair wanted to stay . Although obligated to work it out over the next week , Sean refused to go on Blair 's home stay , essentially ending their relationship . Sean is now in a relationship with Tracey who was in the experiment with Dean .   Season 6 ( 2019 ) ( edit )   Viewership ( edit )   Season ratings ( edit )     Season   Episodes   Originally aired   Preliminary   Consolidated     Season premiere   Season finale   Average viewers   Average rank   Average viewers   Average rank       6   18 May 2015   22 June 2015   1.115   # 4   1.195   # 3       7   4 April 2016   27 April 2016   0.915   # 7   0.999   # 6       8   29 August 2016   13 September 2016   0.880   # 7   0.970   # 5       29   30 January 2017   3 April 2017   1.081   # 3   1.186   # 2     5   32   29 January 2018   21 March 2018   1.223   # 1   1.328   # 1     6     2019   2019             Season 1 ( 2015 ) ( edit )     No .   Title   Air date   Overnight ratings   Consolidated ratings   Total viewers   Ref ( s )     Viewers   Rank   Viewers   Rank       Episode 1   18 May 2015   1,134,000   5   65,000     1,199,000         Episode 2   25 May 2015   1,103,000     77,000     1,180,000         Episode 3   1 June 2015   1,116,000     84,000     1,200,000         Episode 4   8 June 2015   971,000   7   99,000   6   1,070,000       5   Episode 5   15 June 2015   1,079,000     85,000     1,164,000       6   Episode 6   22 June 2015   1,290,000     71,000     1,361,000       Season 2 ( 2016 ) ( edit )     No .   Title   Air date   Overnight ratings   Consolidated ratings   Total viewers   Ref ( s )     Viewers   Rank   Viewers   Rank       Episode 1   4 April 2016   771,000   13   86,000   9   857,000         Episode 2   5 April 2016   905,000   6   91,000   5   996,000         Episode 3   11 April 2016   874,000   8   62,000   7   936,000         Episode 4   12 April 2016   880,000   8   85,000   6   965,000       5   Episode 5   18 April 2016   899,000   6   122,000   7   1,021,000       6   Episode 6   19 April 2016   831,000   9   93,000   8   924,000       7   Finale   27 April 2016   1,048,000     66,000     1,114,000       7   Finale - Follow Up   27 April 2016   1,110,000     66,000     1,176,000       Season 3 ( 2016 ) ( edit )     No .   Title   Air date   Overnight ratings   Consolidated ratings   Total viewers   Ref ( s )     Viewers   Rank   Viewers   Rank       Episode 1   29 August 2016   805,000   11   74,000   7   879,000         Episode 2   30 August 2016   810,000   7   60,000   7   870,000         Episode 3   31 August 2016   788,000   9   79,000   7   867,000         Episode 4   5 September 2016   843,000   8   97,000   6   940,000       5   Episode 5   6 September 2016   919,000   5   93,000     1,012,000       6   Episode 6   7 September 2016   974,000     117,000     1,091,000       7   Episode 7   12 September 2016   814,000   9   100,000   8   914,000       8   Episode 8   13 September 2016   1,083,000     101,000     1,184,000       Season 4 ( 2017 ) ( edit )     No .   Title   Air date   Overnight ratings   Consolidated ratings   Total viewers   Ref ( s )     Viewers   Rank   Viewers   Rank       Episode 1   30 January 2017   820,000   10   84,000   9   904,000         Episode 2   31 January 2017   927,000   5   79,000   5   1,006,000         Episode 3   1 February 2017   824,000   6   75,000   5   899,000         Episode 4   5 February 2017   909,000     90,000     999,000       5   Episode 5   6 February 2017   893,000   6   100,000   6   993,000       6   Episode 6   7 February 2017   920,000   6   96,000     1,016,000       7   Episode 7   8 February 2017   905,000   6   112,000     1,017,000       8   Episode 8   12 February 2017   1,064,000     103,000     1,167,000       9   Episode 9   13 February 2017   1,107,000     108,000     1,215,000       10   Episode 10   14 February 2017   1,024,000     119,000 </t>
  </si>
  <si>
    <t xml:space="preserve">how many episodes of married at first sight season 5</t>
  </si>
  <si>
    <t xml:space="preserve">   No .   Title   Air date   Overnight ratings   Consolidated ratings   Total viewers   Ref ( s )     Viewers   Rank   Viewers   Rank       Episode 1   29 January 2018   912,000   7   102,000   5   1,014,000         Episode 2   30 January 2018   907,000   5   101,000     1,008,000         Episode 3   31 January 2018   929,000     81,000     1,010,000         Episode 4   1 February 2018   995,000     96,000     1,091,000       5   Episode 5   4 February 2018   835,000   5   102,000     937,000       6   Episode 6   5 February 2018   879,000   6   101,000     978,000       7   Episode 7   6 February 2018   899,000   7   130,000     1,029,000       8   Episode 8   8 February 2018   938,000     124,000     1,062,000       9   Episode 9   11 February 2018   1,163,000     76,000     1,239,000       10   Episode 10   12 February 2018   1,158,000     89,000     1,247,000       11   Episode 11   13 February 2018   1,057,000     91,000     1,148,000       12   Episode 12   14 February 2018   1,133,000     107,000     1,240,000       13   Episode 13   18 February 2018   1,351,000     101,000     1,452,000       14   Episode 14   19 February 2018   1,296,000     104,000     1,400,000       15   Episode 15   20 February 2018   1,233,000     104,000     1,337,000       16   Episode 16   21 February 2018   1,341,000     132,000     1,473,000       17   Episode 17   25 February 2018   1,536,000     92,000     1,628,000       18   Episode 18   26 February 2018   1,325,000     107,000     1,432,000       19   Episode 19   27 February 2018   1,253,000     102,000     1,355,000       20   Episode 20   28 February 2018   1,315,000     127,000     1,442,000       21   Episode 21   4 March 2018   1,535,000     108,000     1,643,000       22   Episode 22   5 March 2018   1,271,000     98,000     1,369,000       23   Episode 23   6 March 2018   1,267,000     119,000     1,386,000       24   Episode 24   7 March 2018   1,260,000     112,000     1,372,000       25   Episode 25   11 March 2018   1,342,000     107,000     1,429,000       26   Episode 26   12 March 2018   1,256,000     102,000     1,358,000       27   Episode 27   13 March 2017   1,230,000     103,000     1,333,000       28   Episode 28   14 March 2018   1,188,000     132,000     1,320,000       29   Episode 29   18 March 2018   1,446,000     76,000     1,522,000       30   Episode 30   19 March 2018   1,525,000     78,000     1,603,000       31   Finale - Part 1   20 March 2018   1,623,000     127,000     1,750,000       32   Finale - Part 2   21 March 2018   1,753,000     136,000     1,889,000     </t>
  </si>
  <si>
    <t xml:space="preserve">Light It up ( Luke Bryan song ) - wikipedia  Light It up ( Luke Bryan song )  Jump to : navigation , search    `` Light It Up ''         Single by Luke Bryan     from the album What Makes You Country     Released   August 23 , 2017 ( 2017 - 08 - 23 )     Format   Digital download     Genre   Country     Length   2 : 58     Label   Capitol Nashville     Songwriter ( s )     Luke Bryan   Brad Tursi       Producer ( s )     Jeff Stevens   Jody Stevens       Luke Bryan singles chronology        `` Fast '' ( 2016 )   `` Light It Up '' ( 2017 )   `` Most People Are Good '' ( 2017 )        `` Light It Up '' is a song by American country music artist Luke Bryan . It is the lead single to his sixth studio album , What Makes You Country . Bryan wrote the song with Brad Tursi of the band Old Dominion .     Contents  ( hide )   1 Content   2 Music video   3 Commercial performance   4 Charts   4.1 Weekly charts   4.2 Year - end charts     5 Certifications   6 References      Content   Rolling Stone Country described the song as `` a moody production , underpinned by a programmed beat and choppy piano chords , while icy synthesizer fills lifted from Eighties new wave ratchet up the tension . '' The song is an expression of unrequited love , with the narrator pleading for an unresponsive lover to `` light it up '' , in reference to his cellular phone .   Bryan wrote the song with Brad Tursi of the band Old Dominion , while Jeff Stevens and his son Jody produced it .   Music video   A video directed by Michael Monaco was released on October 26 , 2017 . It features Jimmy Butler in the lead role , in anticipation of a text as described in the lyrics .   Commercial performance   For the charts dated September 9 , 2017 , `` Light It Up '' debuted at No. 20 on Country Airplay and No. 21 on Hot Country Songs . It sold 18,000 downloads in under two days , and debuting at No. 3 on Country Digital Song Sales . The following week it rose to No. 2 on Country Digital Song Sales with 22,000 copies sold on a full week of sales . It also debuted at number 76 on the US Billboard Hot 100 chart for the week of September 16 , 2017 . The song has sold 164,000 copies in the United States as of January 2018 .   Charts   Weekly charts     Chart ( 2015 -- 17 )   Peak position     Canada ( Canadian Hot 100 )   96     Canada Country ( Billboard )       US Billboard Hot 100   57     US Country Airplay ( Billboard )       US Hot Country Songs ( Billboard )       Year - end charts     Chart ( 2017 )   Position     US Billboard Country Airplay   59       Preceded by `` Ask Me How I Know '' by Garth Brooks   Billboard Country Airplay number - one single December 23 , 2017   Succeeded by `` I 'll Name the Dogs '' by Blake Shelton     Certifications     Region   Certification   Certified units / Sales     Canada ( Music Canada )   Gold   40,000      shipments figures based on certification alone      References    Jump up ^ Whitaker , Sterling ( October 6 , 2017 ) . `` Luke Bryan Announces New Album , ' What Makes You Country ' '' . Taste of Country .   Jump up ^ Freeman , Jon ( August 23 , 2017 ) . `` Hear Luke Bryan 's Chilly New Song ' Light It Up ' '' . Rolling Stone .   Jump up ^ Simanek , Jason ( August 23 , 2017 ) . `` Listen to Luke Bryan 's Brand - New Single , `` Light It Up '' + Check Out the Lyrics `` . Nash Country Daily .   Jump up ^ Stefano , Angela ( August 23 , 2017 ) . `` Luke Bryan Drops Brand - New Single , ' Light It Up ' '' . The Boot .   Jump up ^ `` Luke Bryan 's ' Light It Up ' Video Stars NBA Player Jimmy Butler '' .   Jump up ^ Asker , Jim ( August 29 , 2017 ) . `` Old Dominion Scores Third Country Airplay No. 1 ; Luke Bryan Shines ' Light ' on Hot Country Songs '' . Billboard .   Jump up ^ Bjorke , Matt ( September 5 , 2017 ) . `` Top 30 Digital Country Singles Chart : September 5 , 2017 '' . Roughstock .   Jump up ^ Bjorke , Matt ( January 9 , 2018 ) . `` Top 30 Digital Country Singles Sales Chart : January 9 , 2018 '' . Roughstock . Retrieved February 11 , 2018 .   Jump up ^ `` Luke Bryan Chart History ( Canadian Hot 100 ) '' . Billboard . Retrieved September 6 , 2017 .   Jump up ^ `` Luke Bryan Chart History ( Canada Country ) '' . Billboard . Retrieved December 14 , 2017 .   Jump up ^ `` Luke Bryan Chart History ( Hot 100 ) '' . Billboard . Retrieved December 12 , 2017 .   Jump up ^ `` Luke Bryan Chart History ( Country Airplay ) '' . Billboard . Retrieved December 12 , 2017 .   Jump up ^ `` Luke Bryan Chart History ( Hot Country Songs ) '' . Billboard . Retrieved December 12 , 2017 .   Jump up ^ `` Country Airplay Songs -- Year - End 2017 '' . Billboard . Retrieved December 18 , 2017 .   Jump up ^ `` Canadian single certifications -- Luke Bryan -- Light It Up '' . Music Canada . Retrieved February 7 , 2018 .      ( hide )         Luke Bryan     Discography     Studio albums     I 'll Stay Me   Doin ' My Thing   Tailgates &amp; Tanlines   Crash My Party   Kill the Lights   What Makes You Country       Compilations     Spring Break ... Here to Party       Extended plays     Spring Break 3 ... It 's a Shore Thing   Spring Break 4 ... Suntan City   Spring Break 6 ... Like We Ai n't Ever   Spring Break ... Checkin ' Out   Farm Tour ... Here 's to the Farmer       Singles     `` All My Friends Say ''   `` We Rode in Trucks ''   `` Country Man ''   `` Do I ''   `` Rain Is a Good Thing ''   `` Someone Else Calling You Baby ''   `` Country Girl ( Shake It for Me ) ''   `` I Do n't Want This Night to End ''   `` Drunk on You ''   `` Kiss Tomorrow Goodbye ''   `` Crash My Party ''   `` That 's My Kind of Night ''   `` Drink a Beer ''   `` Play It Again ''   `` Roller Coaster ''   `` I See You ''   `` Kick the Dust Up ''   `` Strip It Down ''   `` Home Alone Tonight '' ( w / Karen Fairchild )   `` Huntin ' , Fishin ' and Lovin ' Every Day ''   `` Move ''   `` Fast ''   `` Light It Up ''   `` Most People Are Good ''       Guest singles     `` The Only Way I Know '' ( w / Jason Aldean and Eric Church )   `` This Is How We Roll '' ( w / Florida Georgia Line )       Other songs     `` Buzzkill ''   `` Suntan City ''   `` Games ''       Concert tours     Dirt Road Diaries Tour ( 2013 )   That 's My Kind of Night Tour ( 2014 -- 15 )   Kick the Dust Up Tour ( 2015 )   Kill the Lights Tour ( 2016 -- 17 )   Huntin ' , Fishin ' and Lovin ' Every Day Tour ( 2017 )       Related articles     Michael Carter   Jeff Stevens   Cole Swindell   `` Good Directions ''      Retrieved from `` https://en.wikipedia.org/w/index.php?title=Light_It_Up_(Luke_Bryan_song)&amp;oldid=833587132 '' Categories :   2017 singles   2017 songs   Luke Bryan songs   Capitol Records Nashville singles   Songs written by Luke Bryan   Songs written by Brad Tursi   Hidden categories :   Wikipedia pages semi-protected from banned users   Articles with hAudio microformats   Singlechart usages for Canada   Singlechart called without song   Singlechart usages for Billboardcanadacountry   Singlechart usages for Billboardhot100   Singlechart usages for Billboardcountryairplay   Singlechart usages for Billboardcountrysongs   Certification Table Entry usages for Canada           Talk                           View source                 Contents                   About Wikipedia                                           Русский   Edit links   This page was last edited on 1 April 2018 , at 13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</si>
  <si>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the country song light it up</t>
  </si>
  <si>
    <t xml:space="preserve"> `` Light It Up '' is a song by American country music artist Luke Bryan . It is the lead single to his sixth studio album , What Makes You Country . Bryan wrote the song with Brad Tursi of the band Old Dominion . </t>
  </si>
  <si>
    <t xml:space="preserve">ICC Cricket Hall of Fame - wikipedia  ICC Cricket Hall of Fame     ICC Hall of Fame         Sport   Cricket     History     First award   2009     The ICC Cricket Hall of Fame `` recognises the achievements of the legends of the game from cricket 's long and illustrious history '' . It was launched by the International Cricket Council ( ICC ) in Dubai on 2 January 2009 , in association with the Federation of International Cricketers ' Associations ( FICA ) , as part of the ICC 's centenary celebrations . The initial inductees were the 55 players included in the FICA Hall of Fame which ran from 1999 to 2003 , but further members are added each year during the ICC Awards ceremony . The inaugural inductees ranged from W.G. Grace , who retired from Test cricket in 1899 , to Graham Gooch , who played his last Test match in 1995 . Living inductees receive a commemorative cap ; Australian Rodney Marsh was the first member of the initial inductees to receive his . Members of the Hall of Fame assist in the selection of future inductees .   There are more English players in the Hall of Fame than players from other countries . Only 15 of the 84 inductees played for nations outside England , Australia and the West Indies . South African Barry Richards played the fewest Test matches during his career with four , before South Africa were excluded from participating in international cricket in 1970 . Australian Steve Waugh , inducted in October 2009 , played the most Tests with 168 in an international career spanning 20 years .   There are seven women in the Hall of Fame . In 2010 , Rachael Heyhoe Flint , former England women 's cricket team captain who led the team to victory in the inaugural Women 's World Cup in 1973 , became the first woman in the Hall of Fame ; the five other female members are Belinda Clark , inducted in 2011 , Enid Bakewell , inducted in 2012 , Debbie Hockley , inducted in 2013 , Betty Wilson inducted in 2015 , Karen Rolton inducted in 2016 and Claire Taylor inducted in 2018 .   Contents    1 Hall of Fame members   2 By team   3 See also   4 References   5 External links    Hall of Fame members ( edit )  Derek Underwood was one of the 55 inaugural members of the Hall of Fame . Sunil Gavaskar set world records during his career for the most Test runs and most Test centuries scored by any batsman . Viv Richards represented the West Indies 121 times in Test cricket . Pakistani Imran Khan represented his country in 88 Test matches . Steve Waugh played for Australia in 168 Test matches over 20 years . Richard Hadlee , the first bowler to surpass 400 Test wickets . Claire Taylor is one of five women in the hall of fame , having been inducted in 2018    Inductee   Team   Induction year   Tests   First Test   Last Test   Ref .     Curtly Ambrose   West Indies   2011   98     2000       Enid Bakewell   England   2012   12   1968   1979       Sydney Barnes   England   2009   27   1901   1914       Ken Barrington   England     82   1955   1968       Bishan Singh Bedi   India   2009   67   1966   1979       Alec Bedser   England   2009   51   1946   1955       Richie Benaud   Australia   2009   63   1952   1964       Allan Border   Australia   2009   156   1978   1994       Ian Botham   England   2009   102   1977   1992       Geoffrey Boycott   England   2009   108   1964   1982       Donald Bradman   Australia   2009   52   1928   1948       Greg Chappell   Australia   2009   87   1970   1984       Ian Chappell   Australia   2009   75   1964   1980       Belinda Clark   Australia   2011   15   1991   2005       Denis Compton   England   2009   78   1937   1957       Colin Cowdrey   England   2009   114   1954         Martin Crowe   New Zealand   2015   77   1982   1995       Alan Davidson   Australia   2011   44   1953   1963       Kapil Dev   India   2009   131   1979   1994       Rahul Dravid   India   2018   164     2012       Joel Garner   West Indies     58   1977         Sunil Gavaskar   India   2009   125   1971         Lance Gibbs   West Indies   2009   79   1958   1976       Adam Gilchrist   Australia   2013   96   1999   2008       Graham Gooch   England   2009   118     1995       David Gower   England   2009   117   1978   1992       W.G. Grace   England   2009   22   1880   1899       Tom Graveney   England   2009   79   1951   1969       Gordon Greenidge   West Indies   2009   108     1991       Clarrie Grimmett   Australia   2009   37   1925   1936       Richard Hadlee   New Zealand   2009   86   1973   1990       Wes Hall   West Indies   2015   48   1958   1969       Wally Hammond   England   2009   85   1927   1947       Neil Harvey   Australia   2009   79   1948   1963       George Headley   West Indies   2009   22   1930   1954       Rachael Heyhoe Flint   England     22   1960   1979       Jack Hobbs   England   2009   61   1908   1930       Debbie Hockley   New Zealand   2014   19   1979         Michael Holding   West Indies   2009   60           Leonard Hutton   England   2009   79   1937   1955       Rohan Kanhai   West Indies   2009   79   1957         Imran Khan   Pakistan   2009   88   1971   1992       Alan Knott   England   2009   95   1967   1981       Anil Kumble   India   2015   132   1990   2008       Jim Laker   England   2009   46   1948   1959       Brian Lara   West Indies   2012   131   1990   2006       Harold Larwood   England   2009   21   1926   1933       Dennis Lillee   Australia   2009   70   1971   1984       Ray Lindwall   Australia   2009   61   1946   1960       Clive Lloyd   West Indies   2009   110   1966   1984       George Lohmann   England   2016   18   1886   1896       Rod Marsh   Australia   2009   96   1970   1984       Malcolm Marshall   West Indies   2009   81   1978   1991       Peter May   England   2009   66   1951   1961       Glenn McGrath   Australia   2012   124   1993   2007       Javed Miandad   Pakistan   2009   124   1976   1993       Keith Miller   Australia   2009   55   1946   1956       Hanif Mohammad   Pakistan   2009   55   1952   1969       Arthur Morris   Australia   2016   46   1946   1955       Muttiah Muralitharan   Sri Lanka   2016   133   1992         Bill O'Reilly   Australia   2009   27   1932   1946       Graeme Pollock   South Africa   2009   23   1963   1970       Ricky Ponting   Australia   2018   168   1995   2012       Wilfred Rhodes   England   2009   58   1899   1930       Barry Richards   South Africa   2009     1970   1970       Viv Richards   West Indies   2009   121     1991       Andy Roberts   West Indies   2009   47           Karen Rolton   Australia   2016   14   1995   2009       Bob Simpson   Australia   2014   62   1957   1978       Garfield Sobers   West Indies   2009   93   1954         Fred Spofforth   Australia   2011   18   1877   1887       Brian Statham   England   2009   70   1951   1965       Herbert Sutcliffe   England   2009   54   1924   1935       Claire Taylor   England   2018   15   1999   2009       Fred Trueman   England   2009   67   1952   1965       Victor Trumper   Australia   2009   48   1899   1912       Derek Underwood   England   2009   86   1966   1982       Clyde Walcott   West Indies   2009   44   1948   1960       Courtney Walsh   West Indies     132   1984         Shane Warne   Australia   2013   145   1992   2007       Wasim Akram   Pakistan   2009   104   1984   2003       Steve Waugh   Australia   2009   168   1985         Everton Weekes   West Indies   2009   48   1948   1958       Betty Wilson   Australia   2015   11   1948   1958       Frank Woolley   England   2009   64   1909   1934       Frank Worrell   West Indies   2009   51   1948   1963       Waqar Younis   Pakistan   2013   87     2003       Inaugural member inducted in January 2009 .   By team ( edit )     Number of members   Team   Span     28   England   1877 -- present     25   Australia   1877 -- present     18   West Indies   1928 -- present     5   India   1932 -- present     5   Pakistan   1952 -- present       New Zealand   1930 -- present       South Africa   1889 -- present       Sri Lanka   1982 -- present     87   Total     See also ( edit )    Australian Cricket Hall of Fame   ESPN Cricinfo Legends of Cricket   Wisden Cricketers of the Century   Six Giants of the Wisden Century    References ( edit )   General    `` ICC Cricket Hall of Fame '' . Cricinfo . ESPN . Retrieved 19 July 2013 .    Specific    ^ Jump up to : `` ICC Cricket Hall of Fame '' . International Cricket Council . Archived from the original on 31 January 2011 . Retrieved 25 October 2010 .   ^ Jump up to : `` ICC and FICA launch Cricket Hall of Fame '' . Cricinfo . ESPN . 2 January 2009 . Retrieved 28 October 2010 .   Jump up ^ `` Ex-England aces dominate ICC list '' . BBC Sport. 2 January 2009 . Retrieved 31 October 2010 .   Jump up ^ `` Profile : Barry Richards '' . Marylebone Cricket Club . Archived from the original on 3 September 2013 . Retrieved 30 October 2010 .   Jump up ^ `` Rachael Heyhoe - Flint first woman inducted into cricket 's Hall of Fame '' . The Guardian . London . 6 October 2010 . Retrieved 25 October 2010 .   Jump up ^ Davidson , Spofforth inducted into ICC Hall of Fame , ESPNcricinfo , 12 September 2011 . Retrieved 12 September 2011   Jump up ^ Lara , Enid Bakewell inducted into Hall of Fame , ESPNcricinfo , 14 September 2012   ^ Jump up to : `` Simpson to be inducted into the ICC Cricket Hall of Fame '' . International Cricket Council . Archived from the original on 24 September 2015 . Retrieved 30 December 2013 .   ^ Jump up to : `` Dravid , Ponting and Taylor inducted into ICC Cricket Hall of Fame '' . Retrieved 2018 - 07 - 01 .   Jump up ^ `` Curtly Armbrose '' . cricinfo . ESPN . Retrieved 13 September 2010 .   Jump up ^ `` McGrath to join ICC Hall of Fame '' . ABC News . Australian Broadcasting Corporation . 31 December 2012 . Retrieved 1 January 2013 .   Jump up ^ `` Sydney Barnes '' . cricinfo . ESPN . Retrieved 26 October 2010 .   Jump up ^ `` Ken Barrington '' . Cricinfo . ESPN . Retrieved 27 October 2010 .   Jump up ^ `` Bishan Bedi '' . Cricinfo . ESPN . Retrieved 26 October 2010 .   Jump up ^ `` Sir Alec Bedser '' . Cricinfo . ESPN . Retrieved 26 October 2010 .   Jump up ^ `` Richie Benaud '' . Cricinfo . ESPN . Retrieved 26 October 2010 .   Jump up ^ `` Allan Border '' . Cricinfo . ESPN . Retrieved 26 October 2010 .   Jump up ^ `` Sir Ian Botham '' . Cricinfo . ESPN . Retrieved 26 October 2010 .   Jump up ^ `` Geoff Boycott '' . Cricinfo . ESPN . Retrieved 26 October 2010 .   Jump up ^ `` Sir Donald Bradman '' . Cricinfo . ESPN . Retrieved 26 October 2010 .   Jump up ^ `` Greg Chappell '' . Cricinfo . ESPN . Retrieved 26 October 2010 .   Jump up ^ `` Ian Chappell '' . Cricinfo . ESPN . Retrieved 26 October 2010 .   Jump up ^ `` Belinda Clark '' . Cricinfo . ESPN . Retrieved 13 September 2011 .   Jump up ^ `` Denis Compton '' . Cricinfo . ESPN . Retrieved 26 October 2010 .   Jump up ^ `` Colin Cowdrey '' . Cricinfo . ESPN . Retrieved 26 October 2010 .   Jump up ^ `` Martin Crowe '' . Cricinfo . ESPN . Retrieved 28 February 2015 .   Jump up ^ `` Alan Davidson '' . Cricinfo . ESPN . Retrieved 13 September 2011 .   Jump up ^ `` Kapil Dev '' . Cricinfo . ESPN . Retrieved 26 October 2010 .   Jump up ^ `` Joel Garner '' . Cricinfo . ESPN . Retrieved 27 October 2010 .   Jump up ^ `` Sunil Gavaskar '' . Cricinfo . ESPN . Retrieved 26 October 2010 .   Jump up ^ `` Lance Gibbs '' . Cricinfo . ESPN . Retrieved 26 October 2010 .   Jump up ^ `` Adam Gilchrist '' . Cricinfo . ESPN . Retrieved 9 December 2013 .   Jump up ^ `` Graham Gooch '' . Cricinfo . ESPN . Retrieved 26 October 2010 .   Jump up ^ `` David Gower '' . Cricinfo . ESPN . Retrieved 26 October 2010 .   Jump up ^ `` W.G. Grace '' . Cricinfo . ESPN . Retrieved 26 October 2010 .   Jump up ^ `` Tom Graveney '' . Cricinfo . ESPN . Retrieved 26 October 2010 .   Jump up ^ `` Gordon Greenidge '' . Cricinfo . ESPN . Retrieved 26 October 2010 .   Jump up ^ `` Clarrie Grimmett '' . Cricinfo . ESPN . Retrieved 27 October 2010 .   Jump up ^ `` Sir Richard Hadlee '' . Cricinfo . ESPN . Retrieved 27 October 2010 .   Jump up ^ `` Wes Hall '' . Cricinfo . ESPN . Retrieved 12 June 2015 .   Jump up ^ `` Wally Hammond '' . Cricinfo . ESPN . Retrieved 27 October 2010 .   Jump up ^ `` Neil Harvey '' . Cricinfo . ESPN . Retrieved 27 October 2010 .   Jump up ^ `` George Headley '' . Cricinfo . ESPN . Retrieved 27 October 2010 .   Jump up ^ `` Rachael Heyhoe - Flint '' . Cricinfo . ESPN . Retrieved 27 October 2010 .   Jump up ^ `` Jack Hobbs '' . Cricinfo . ESPN . Retrieved 27 October 2010 .   Jump up ^ `` Michael Holding '' . Cricinfo . ESPN . Retrieved 27 October 2010 .   Jump up ^ `` Sir Leonard Hutton '' . Cricinfo . ESPN . Retrieved 27 October 2010 .   Jump up ^ `` Rohan Kanhai '' . Cricinfo . ESPN . Retrieved 27 October 2010 .   Jump up ^ `` Imran Khan '' . Cricinfo . ESPN . Retrieved 27 October 2010 .   Jump up ^ `` Alan Knott '' . Cricinfo . ESPN . Retrieved 27 October 2010 .   Jump up ^ `` Anil Kumble '' . Cricinfo . ESPN . Retrieved 21 February 2015 .   Jump up ^ `` Jim Laker '' . Cricinfo . ESPN . Retrieved 27 October 2010 .   Jump up ^ `` Brian Lara '' . cricinfo . ESPN . Retrieved 31 December 2012 .   Jump up ^ `` Harold Larwood '' . Cricinfo . ESPN . Retrieved 27 October 2010 .   Jump up ^ `` Dennis Lillee '' . Cricinfo . ESPN . Retrieved 27 October 2010 .   Jump up ^ `` Ray Lindwall '' . Cricinfo . ESPN . Retrieved 27 October 2010 .   Jump up ^ `` Clive Lloyd '' . Cricinfo . ESPN . Retrieved 27 October 2010 .   Jump up ^ `` George Lohmann '' . Cricinfo . ESPN . Retrieved 29 July 2016 .   Jump up ^ `` Rod Marsh '' . Cricinfo . ESPN . Retrieved 27 October 2010 .   Jump up ^ `` Malcolm Marshall '' . Cricinfo . ESPN . Retrieved 27 October 2010 .   Jump up ^ `` Peter May ( cricketer ) '' . Cricinfo . ESPN . Retrieved 27 October 2010 .   Jump up ^ `` Glenn McGrath '' . cricinfo . ESPN . Retrieved 7 January 2013 .   Jump up ^ `` Javed Miandad '' . Cricinfo . ESPN . Retrieved 27 October 2010 .   Jump up ^ `` Keith Miller '' . Cricinfo . ESPN . Retrieved 27 October 2010 .   Jump up ^ `` Hanif Mohammad '' . Cricinfo . ESPN . Retrieved 27 October 2010 .   Jump up ^ `` Arthur Morris '' . Cricinfo . ESPN . Retrieved 29 July 2016 .   Jump up ^ `` Muttiah Muralidaran -- Hall Of Famers '' . International Cricket Council ( ICC ) . Retrieved 27 July 2016 .   Jump up ^ `` Bill O'Reilly '' . Cricinfo . ESPN . Retrieved 27 October 2010 .   Jump up ^ `` Graeme Pollock '' . Cricinfo . ESPN . Retrieved 27 October 2010 .   Jump up ^ `` Wilfred Rhodes '' . Cricinfo . ESPN . Retrieved 27 October 2010 .   Jump up ^ `` Barry Richards '' . Cricinfo . ESPN . Retrieved 27 October 2010 .   Jump up ^ `` Viv Richards '' . Cricinfo . ESPN . Retrieved 27 October 2010 .   Jump up ^ `` Andy Roberts '' . Cricinfo . ESPN . Retrieved 27 October 2010 .   Jump up ^ `` Karen Rolton '' . Cricinfo . ESPN . Retrieved 29 July 2016 .   Jump up ^ `` Sir Garry Sobers '' . Cricinfo . ESPN . Retrieved 27 October 2010 .   Jump up ^ `` Frederick Spofforth '' . Cricinfo . ESPN . Retrieved 13 September 2011 .   Jump up ^ `` Brian Statham '' . Cricinfo . ESPN . Retrieved 27 October 2010 .   Jump up ^ `` Herbert Sutcliffe '' . Cricinfo . ESPN . Retrieved 27 October 2010 .   Jump up ^ `` Fred Trueman '' . Cricinfo . ESPN . Retrieved 27 October 2010 .   Jump up ^ `` Victor Trumper '' . Cricinfo . ESPN . Retrieved 27 October 2010 .   Jump up ^ `` Derek Underwood '' . Cricinfo . ESPN . Retrieved 27 October 2010 .   Jump up ^ `` Sir Clyde Walcott '' . Cricinfo . ESPN . Retrieved 27 October 2010 .   Jump up ^ `` Courtney Walsh '' . Cricinfo . ESPN . Retrieved 27 October 2010 .   Jump up ^ `` Shane Warne '' . Cricinfo . ESPN . Retrieved 19 July 2013 .   Jump up ^ `` Wasim Akram '' . Cricinfo . ESPN . Retrieved 27 October 2010 .   Jump up ^ `` Steve Waugh '' . Cricinfo . ESPN . Retrieved 27 October 2010 .   Jump up ^ `` Sir Everton Weekes '' . Cricinfo . ESPN . Retrieved 27 October 2010 .   Jump up ^ `` Betty Wilson '' . Cricinfo . ESPN . Retrieved 22 February 2015 .   Jump up ^ `` Frank Woolley '' . Cricinfo . ESPN . Retrieved 27 October 2010 .   Jump up ^ `` Sir Frank Worrell '' . Cricinfo . ESPN . Retrieved 27 October 2010 .   Jump up ^ `` Waqar Younis '' . Cricinfo . ESPN . Retrieved 9 December 2013 .   Jump up ^ `` Records / Test matches / Team records / Results summary '' . Cricinfo . ESPN . Retrieved 5 December 2010 .   Jump up ^ `` Legends of Cricket : Frank Worrell - ' Tough and shrewd but always gracious ' Video '' . Legends of Cricket . ESPN . Retrieved 7 February 2013 .    External links ( edit )    ICC Cricket Hall of Fame official website   List of ICC Cricket Hall of Famers                ICC Cricket Hall of Fame     Players      Men     Barnes   Bedi   Bedser   Benaud   Border   Botham   Boycott   Bradman   G. Chappell   I. Chappell   Compton   Cowdrey   Dev   Gavaskar   Gibbs   Gooch   Gower   Grace   Graveney   Greenidge   Hadlee   Hammond   Harvey   Headley   Hobbs   Hutton   Kanhai   Khan   Knott   Laker   Larwood   Lillee   Lindwall   Lloyd   Marsh   Marshall   May   Miandad   Miller   Mohammad   O'Reilly   Pollock   Rhodes   B. Richards   V. Richards   Roberts   Sobers   Statham   Trueman   Underwood   Walcott   Weekes   Woolley   Worrell   Grimmett   Sutcliffe   Trumper   Akram   Waugh   Barrington   Garner   Walsh   Ambrose   Davidson   Spofforth   Lara   McGrath   Gilchrist   Warne   Younis   Simpson   Crowe   Hall   Kumble   Lohmann   Morris   Muralitharan   Dravid   Ponting       Women     Heyhoe - Flint   Bakewell   Clark   Wilson   Hockley   Rolton   Taylor         Retrieved from `` https://en.wikipedia.org/w/index.php?title=ICC_Cricket_Hall_of_Fame&amp;oldid=859459790 '' Categories :   Cricket museums and halls of fame   International Cricket Council Hall of Fame inductees   International Cricket Council awards and rankings   Organisations based in Dubai   Halls of fame in the United Arab Emirates   Hidden categories :   Pages using deprecated image syntax   Articles with hCards   Featured lists   Use dmy dates from November 2012           Talk                                           Contents                   About Wikipedia                                           বাংলা   Français   हिन्दी   Русский   Edit links   This page was last edited on 14 September 2018 , at 05 : 34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</si>
  <si>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indian cricketer inducted in icc hall of fame</t>
  </si>
  <si>
    <t xml:space="preserve">   Inductee   Team   Induction year   Tests   First Test   Last Test   Ref .     Curtly Ambrose   West Indies   2011   98     2000       Enid Bakewell   England   2012   12   1968   1979       Sydney Barnes   England   2009   27   1901   1914       Ken Barrington   England     82   1955   1968       Bishan Singh Bedi   India   2009   67   1966   1979       Alec Bedser   England   2009   51   1946   1955       Richie Benaud   Australia   2009   63   1952   1964       Allan Border   Australia   2009   156   1978   1994       Ian Botham   England   2009   102   1977   1992       Geoffrey Boycott   England   2009   108   1964   1982       Donald Bradman   Australia   2009   52   1928   1948       Greg Chappell   Australia   2009   87   1970   1984       Ian Chappell   Australia   2009   75   1964   1980       Belinda Clark   Australia   2011   15   1991   2005       Denis Compton   England   2009   78   1937   1957       Colin Cowdrey   England   2009   114   1954         Martin Crowe   New Zealand   2015   77   1982   1995       Alan Davidson   Australia   2011   44   1953   1963       Kapil Dev   India   2009   131   1979   1994       Rahul Dravid   India   2018   164     2012       Joel Garner   West Indies     58   1977         Sunil Gavaskar   India   2009   125   1971         Lance Gibbs   West Indies   2009   79   1958   1976       Adam Gilchrist   Australia   2013   96   1999   2008       Graham Gooch   England   2009   118     1995       David Gower   England   2009   117   1978   1992       W.G. Grace   England   2009   22   1880   1899       Tom Graveney   England   2009   79   1951   1969       Gordon Greenidge   West Indies   2009   108     1991       Clarrie Grimmett   Australia   2009   37   1925   1936       Richard Hadlee   New Zealand   2009   86   1973   1990       Wes Hall   West Indies   2015   48   1958   1969       Wally Hammond   England   2009   85   1927   1947       Neil Harvey   Australia   2009   79   1948   1963       George Headley   West Indies   2009   22   1930   1954       Rachael Heyhoe Flint   England     22   1960   1979       Jack Hobbs   England   2009   61   1908   1930       Debbie Hockley   New Zealand   2014   19   1979         Michael Holding   West Indies   2009   60           Leonard Hutton   England   2009   79   1937   1955       Rohan Kanhai   West Indies   2009   79   1957         Imran Khan   Pakistan   2009   88   1971   1992       Alan Knott   England   2009   95   1967   1981       Anil Kumble   India   2015   132   1990   2008       Jim Laker   England   2009   46   1948   1959       Brian Lara   West Indies   2012   131   1990   2006       Harold Larwood   England   2009   21   1926   1933       Dennis Lillee   Australia   2009   70   1971   1984       Ray Lindwall   Australia   2009   61   1946   1960       Clive Lloyd   West Indies   2009   110   1966   1984       George Lohmann   England   2016   18   1886   1896       Rod Marsh   Australia   2009   96   1970   1984       Malcolm Marshall   West Indies   2009   81   1978   1991       Peter May   England   2009   66   1951   1961       Glenn McGrath   Australia   2012   124   1993   2007       Javed Miandad   Pakistan   2009   124   1976   1993       Keith Miller   Australia   2009   55   1946   1956       Hanif Mohammad   Pakistan   2009   55   1952   1969       Arthur Morris   Australia   2016   46   1946   1955       Muttiah Muralitharan   Sri Lanka   2016   133   1992         Bill O'Reilly   Australia   2009   27   1932   1946       Graeme Pollock   South Africa   2009   23   1963   1970       Ricky Ponting   Australia   2018   168   1995   2012       Wilfred Rhodes   England   2009   58   1899   1930       Barry Richards   South Africa   2009     1970   1970       Viv Richards   West Indies   2009   121     1991       Andy Roberts   West Indies   2009   47           Karen Rolton   Australia   2016   14   1995   2009       Bob Simpson   Australia   2014   62   1957   1978       Garfield Sobers   West Indies   2009   93   1954         Fred Spofforth   Australia   2011   18   1877   1887       Brian Statham   England   2009   70   1951   1965       Herbert Sutcliffe   England   2009   54   1924   1935       Claire Taylor   England   2018   15   1999   2009       Fred Trueman   England   2009   67   1952   1965       Victor Trumper   Australia   2009   48   1899   1912       Derek Underwood   England   2009   86   1966   1982       Clyde Walcott   West Indies   2009   44   1948   1960       Courtney Walsh   West Indies     132   1984         Shane Warne   Australia   2013   145   1992   2007       Wasim Akram   Pakistan   2009   104   1984   2003       Steve Waugh   Australia   2009   168   1985         Everton Weekes   West Indies   2009   48   1948   1958       Betty Wilson   Australia   2015   11   1948   1958       Frank Woolley   England   2009   64   1909   1934       Frank Worrell   West Indies   2009   51   1948   1963       Waqar Younis   Pakistan   2013   87     2003     </t>
  </si>
  <si>
    <r>
      <rPr>
        <sz val="11"/>
        <color rgb="FF000000"/>
        <rFont val="Calibri"/>
        <family val="0"/>
        <charset val="1"/>
      </rPr>
      <t xml:space="preserve">Insurance policy - wikipedia  Insurance policy  Jump to : navigation , search      It has been suggested that Loss run be merged into this article . ( Discuss ) Proposed since September 2016 .     In insurance , the insurance policy is a contract ( generally a standard form contract ) between the insurer and the insured , known as the policyholder , which determines the claims which the insurer is legally required to pay . In exchange for an initial payment , known as the premium , the insurer promises to pay for loss caused by perils covered under the policy language .   Insurance contracts are designed to meet specific needs and thus have many features not found in many other types of contracts . Since insurance policies are standard forms , they feature boilerplate language which is similar across a wide variety of different types of insurance policies .   The insurance policy is generally an integrated contract , meaning that it includes all forms associated with the agreement between the insured and insurer . In some cases , however , supplementary writings such as letters sent after the final agreement can make the insurance policy a non-integrated contract . One insurance textbook states that generally `` courts consider all prior negotiations or agreements ... every contractual term in the policy at the time of delivery , as well as those written afterward as policy riders and endorsements ... with both parties ' consent , are part of the written policy '' . The textbook also states that the policy must refer to all papers which are part of the policy . Oral agreements are subject to the parol evidence rule , and may not be considered part of the policy if the contract appears to be whole . Advertising materials and circulars are typically not part of a policy . Oral contracts pending the issuance of a written policy can occur .     Contents  ( hide )   1 General features   2 Structure   3 Parts of an insurance contract   4 Industry standard forms   4.1 Manuscript policies and endorsements     5 References      General features ( edit )   The insurance contract or agreement is a contract whereby the insurer promises to pay benefits to the insured or on their behalf to a third party if certain defined events occur . Subject to the `` fortuity principle '' , the event must be uncertain . The uncertainty can be either as to when the event will happen ( e.g. in a life insurance policy , the time of the insured 's death is uncertain ) or as to if it will happen at all ( e.g. in a fire insurance policy , whether or not a fire will occur at all ) .    Insurance contracts are generally considered contracts of adhesion because the insurer draws up the contract and the insured has little or no ability to make material changes to it . This is interpreted to mean that the insurer bears the burden if there is any ambiguity in any terms of the contract . Insurance policies are sold without the policyholder even seeing a copy of the contract . In 1970 Robert Keeton suggested that many courts were actually applying ' reasonable expectations ' rather than interpreting ambiguities , which he called the ' reasonable expectations doctrine ' . This doctrine has been controversial , with some courts adopting it and others explicitly rejecting it . In several jurisdictions , including California , Wyoming , and Pennsylvania , the insured is bound by clear and conspicuous terms in the contract even if the evidence suggests that the insured did not read or understand them .   Insurance contracts are aleatory in that the amounts exchanged by the insured and insurer are unequal and depend upon uncertain future events . In contrast , ordinary non-insurance contracts are commutative in that the amounts ( or values ) exchanged are usually intended by the parties to be roughly equal . This distinction is particularly important in the context of exotic products like finite risk insurance which contain `` commutation '' provisions .   Insurance contracts are unilateral , meaning that only the insurer makes legally enforceable promises in the contract . The insured is not required to pay the premiums , but the insurer is required to pay the benefits under the contract if the insured has paid the premiums and met certain other basic provisions .   Insurance contracts are governed by the principle of utmost good faith ( uberrima fides ) which requires both parties of the insurance contract to deal in good faith and in particular it imparts on the insured a duty to disclose all material facts which relate to the risk to be covered . This contrasts with the legal doctrine that covers most other types of contracts , caveat emptor ( let the buyer beware ) . In the United States , the insured can sue an insurer in tort for acting in bad faith .    Structure ( edit )   Insurance contracts were traditionally written on the basis of every single type of risk ( where risks were defined extremely narrowly ) , and a separate premium was calculated and charged for each . Only those individual risks expressly described or `` scheduled '' in the policy were covered ; hence , those policies are now described as `` individual '' or `` schedule '' policies . This system of `` named perils '' or `` specific perils '' coverage proved to be unsustainable in the context of the Second Industrial Revolution , in that a typical large conglomerate might have dozens of types of risks to insure against . For example , in 1926 , an insurance industry spokesman noted that a bakery would have to buy a separate policy for each of the following risks : manufacturing operations , elevators , teamsters , product liability , contractual liability ( for a spur track connecting the bakery to a nearby railroad ) , premises liability ( for a retail store ) , and owners ' protective liability ( for negligence of contractors hired to make any building modifications ) .   In 1941 , the insurance industry began to shift to the current system where covered risks are initially defined broadly in an `` all risk '' or `` all sums '' insuring agreement on a general policy form ( e.g. , `` We will pay all sums that the insured becomes legally obligated to pay as damages ... '' ) , then narrowed down by subsequent exclusion clauses ( e.g. , `` This insurance does not apply to ... '' ) . If the insured desires coverage for a risk taken out by an exclusion on the standard form , the insured can sometimes pay an additional premium for an endorsement to the policy that overrides the exclusion .   Insurers have been criticized in some quarters for the development of complex policies with layers of interactions between coverage clauses , conditions , exclusions , and exceptions to exclusions . In a case interpreting one ancestor of the modern `` products - completed operations hazard '' clause , the Supreme Court of California complained :     ``   The instant case presents yet another illustration of the dangers of the present complex structuring of insurance policies . Unfortunately the insurance industry has become addicted to the practice of building into policies one condition or exception upon another in the shape of a linguistic Tower of Babel . We join other courts in decrying a trend which both plunges the insured into a state of uncertainty and burdens the judiciary with the task of resolving it . We reiterate our plea for clarity and simplicity in policies that fulfill so important a public service .   ''     Parts of an insurance contract ( edit )    Declarations - identifies who is an insured , the insured 's address , the insuring company , what risks or property are covered , the policy limits ( amount of insurance ) , any applicable deductibles , the policy period and premium amount . These are usually provided on a form that is filled out by the insurer based on the insured 's application and attached on top of or inserted within the first few pages of the policy .   Definitions - Defines important terms used in the rest of the policy .   Insuring agreement - Describes the covered perils , or risks assumed , or nature of coverage . This is where the insurance company makes one or more express promises to indemnify the insured .   Exclusions - Takes coverage away from the insuring agreement by describing property , perils , hazards or losses arising from specific causes which are not covered by the policy .   Conditions - These are specific provisions , rules of conduct , duties , and obligations which the insured must comply with in order for coverage to incept , or must remain in compliance with in order to keep coverage in effect . If policy conditions are not met , the insurer can deny the claim .   Policy form - The definitions , insuring agreement , exclusions , and conditions are typically combined into a single integrated document called a policy form , coverage form , or coverage part . When multiple coverage forms are packaged into a single policy , the declarations will state as much , and then there may be additional declarations specific to each coverage form . Traditionally , policy forms have been so rigidly standardized that they have no blank spaces to be filled in . Instead , they always expressly refer to terms or amounts stated in the declarations . If the policy needs to be customized beyond what is possible with the declarations , then the underwriter attaches endorsements or riders .   Endorsements - Additional forms attached to the policy that modify it in some way , either unconditionally or upon the existence of some condition . Endorsements can make policies difficult to read for nonlawyers ; they may revise , expand , or delete clauses located many pages earlier in one or more coverage forms , or even modify each other . Because it is very risky to allow nonlawyer underwriters to directly rewrite policy forms with word processors , insurers usually direct underwriters to modify them by attaching endorsements preapproved by counsel for various common modifications .   Riders - A rider is used to convey the terms of a policy amendment and the amendment thereby becomes part of the policy . Riders are dated and numbered so that both insurer and policyholder can determine provisions and the benefit level . Common riders to group medical plans involve name changes , change to eligible classes of employees , change in level of benefits , or the addition of a managed care arrangement such as a Health Maintenance Organization or Preferred Provider Organization ( PPO ) .   Jackets - The term has several distinct and confusing meanings . In general , it refers to some set of standard boilerplate provisions which accompanies all policies at the time of delivery . Some insurers refer to a package of standard documents shared across an entire family of policies as a `` jacket . '' Some insurers extend this to include policy forms , so that the only parts of the policy not part of the jacket are the declarations , endorsements , and riders . Other insurers use the term `` jacket '' in a manner closer to its ordinary meaning : a binder , envelope , or presentation folder with pockets in which the policy may be delivered , or a cover sheet to which the policy forms are stapled or which is stapled on top of the policy . The standard boilerplate provisions are then printed on the jacket itself .    Industry standard forms ( edit )   In the United States , property and casualty insurers typically use similar or even identical language in their standard insurance policies , which are drafted by advisory organizations such as the Insurance Services Office and the American Association of Insurance Services . This reduces the regulatory burden for insurers as policy forms must be approved by states ; it also allows consumers to more readily compare policies , albeit at the expense of consumer choice . In addition , as policy forms are reviewed by courts , the interpretations become more predictable as courts elaborate upon the interpretation of the same clauses in the same policy forms , rather than different policies from different insurers .   In recent years , however , insurers have increasingly modified the standard forms in company - specific ways or declined to adopt changes to standard forms . For example , a review of home insurance policies found substantial differences in various provisions . In some areas such as directors and officers liability insurance and personal umbrella insurance there is little industry - wide standardization .   Manuscript policies and endorsements ( edit )   For the vast majority of insurance policies , the only page that is heavily custom - written to the insured 's needs is the declarations page . All other pages are standard forms that refer back to terms defined in the declarations as needed . However , certain types of insurance , such as media insurance , are written as manuscript policies , which are either custom - drafted from scratch or written from a mix of standard and nonstandard forms . By analogy , policy endorsements which are not written on standard forms or whose language is custom - written to fit the insured 's particular circumstances are known as manuscript endorsements .   References ( edit )    Jump up ^ Mowbray , Albert H. ; Blanchard , Ralph H. ( 1961 ) . Insurance : Its Theory and Practice in the United States ( 5th ed . ) . New York : McGraw - Hill . pp. 48 , 51 , 71 . Available through HeinOnline .   ^ Jump up to : Wollner KS. ( 1999 ) . How to Draft and Interpret Insurance Policies . Casualty Risk Publishing LLC .   ^ Jump up to : Porter K. ( 2007 ) . The Legal Environment of Insurance , § 5.17 . AICPCU .   Jump up ^ Mowbray , Albert H. ; Blanchard , Ralph H. ( 1961 ) . Insurance : Its Theory and Practice in the United States ( 5th ed . ) . New York : McGraw - Hill . p. 54 . Available through HeinOnline .   Jump up ^ Rahdert MC. ( 1998 ) . Reasonable Expectations Revisited . Conn . Ins . Law Journal .   Jump up ^ Hadland v. NN Investors Life Ins. Co. , 24 Cal . App . 4th 1578 ( 1994 ) .   Jump up ^ St. Paul Fire &amp; Marine Insurance Co. v. Albany County School District No. 1 , 763 P. 2d 1255 ( Wyo. 1988 ) .   Jump up ^ Standard Venetian Blind Co. v. American Empire Ins. Co. , 503 Pa. 300 , 469 A. 2d 563 ( 1983 ) .   ^ Jump up to : Mowbray , Albert H. ; Blanchard , Ralph H. ( 1961 ) . Insurance : Its Theory and Practice in the United States ( 5th ed . ) . New York : McGraw - Hill . p. 53 . Available through HeinOnline .   ^ Jump up to : Clore , Duncan L. ( 1998 ) . Financial Institution Bonds ( 2nd ed . ) . Chicago : American Bar Association . p. 431 . ISBN 9781570736209 .   Jump up ^ Mowbray , Albert H. ; Blanchard , Ralph H. ( 1961 ) . Insurance : Its Theory and Practice in the United States ( 5th ed . ) . New York : McGraw - Hill . p. 69 . Available through HeinOnline .   Jump up ^ Mowbray , Albert H. ; Blanchard , Ralph H. ( 1961 ) . Insurance : Its Theory and Practice in the United States ( 5th ed . ) . New York : McGraw - Hill . p. 61 . Available through HeinOnline .   ^ Jump up to : Anderson , Eugene R. ; Stanzler , Jordan S. ; Masters , Lorelie S. ( 2013 ) . Insurance Coverage Litigation ( 2nd ed . ) . New York : Wolters Kluwer . p. 1 - 31 . ISBN 9780735511736 . Retrieved 10 April 2016 .   Jump up ^ Corban v. United Services Auto . Ass'n , 20 So. 3d 601 ( Miss . 2009 ) ( analyzing `` named perils '' coverage ) .   Jump up ^ Vision One v. Philadelphia Indem . Ins. Co. , 174 Wash. 2d 501 , 276 P. 3d 300 ( 2012 ) ( analyzing `` named perils '' and `` specific perils '' coverage ) .   Jump up ^ Intermetal Mexicana v. Insurance Co. of North America , 866 F. 2d 71 ( 3d Cir. 1989 ) ( analyzing `` all risks '' coverage ) .   Jump up ^ JH France Refractories Co. v. Allstate Ins. Co. , 626 A. 2d 502 , 534 Pa. 29 ( 1993 ) ( analyzing `` all sums '' coverage ) .   Jump up ^ Stempel , Jeffrey W. ( 2007 ) . Stempel on Insurance Contracts ( 3rd ed . ) . New York : Aspen Publishers . pp. 2 -- 113 -- 2 -- 116 . ISBN 0735554366 .   Jump up ^ Baker v. National Interstate Ins. Co. 180 Cal . App . 4th 1319 , 103 Cal . Rptr . 3d 565 ( 2009 ) . This case explains how the modern clause more clearly excludes both the `` products '' and `` completed operations '' hazards as separate things ( i.e. , each hazard is separately excluded ) , as opposed to the prior version which was held to apply only when both hazards were present .   Jump up ^ Insurance Co. of North America v. Electronic Purification Co. , 67 Cal . 2d 679 , 63 Cal . Rptr. 382 , 433 P. 2d 174 ( 1967 ) .   Jump up ^ Mowbray , Albert H. ; Blanchard , Ralph H. ( 1961 ) . Insurance : Its Theory and Practice in the United States ( 5th ed . ) . New York : McGraw - Hill . p. 73 . Available through HeinOnline .   Jump up ^ Mathias , Jr. , John H. ; Shugrue , John D. ; Thomas A. , Marrinson ; Daniel J. , Struck ( 2006 ) . `` § 1.01 , Components of an Insurance Policy '' . Insurance Coverage Disputes . New York : Law Journal Press . p. 1 - 2 . ISBN 1588520757 . Retrieved 8 March 2017 .   ^ Jump up to : Mathias , Jr. , John H. ; Shugrue , John D. ; Thomas A. , Marrinson ; Daniel J. , Struck ( 2006 ) . `` § 1.01 , Components of an Insurance Policy '' . Insurance Coverage Disputes . New York : Law Journal Press . p. 1 - 6 . ISBN 1588520757 . Retrieved 8 March 2017 .   Jump up ^ Mowbray , Albert H. ; Blanchard , Ralph H. ( 1961 ) . Insurance : Its Theory and Practice in the United States ( 5th ed . ) . New York : McGraw - Hill . p. 72 . Available through HeinOnline .   Jump up ^ Mathias , Jr. , John H. ; Shugrue , John D. ; Thomas A. , Marrinson ; Daniel J. , Struck ( 2006 ) . `` § 1.01 , Components of an Insurance Policy '' . Insurance Coverage Disputes . New York : Law Journal Press . p. 1 - 5 . ISBN 1588520757 . Retrieved 8 March 2017 .   Jump up ^ Mowbray , Albert H. ; Blanchard , Ralph H. ( 1961 ) . Insurance : Its Theory and Practice in the United States ( 5th ed . ) . New York : McGraw - Hill . pp. 73 -- 74 . Available through HeinOnline .   Jump up ^ Mowbray , Albert H. ; Blanchard , Ralph H. ( 1961 ) . Insurance : Its Theory and Practice in the United States ( 5th ed . ) . New York : McGraw - Hill . p. 65 . Available through HeinOnline .   Jump up ^ Mathias , Jr. , John H. ; Shugrue , John D. ; Thomas A. , Marrinson ; Daniel J. , Struck ( 2006 ) . `` § 1.01 , Components of an Insurance Policy '' . Insurance Coverage Disputes . New York : Law Journal Press . p. 1 - 7 . ISBN 1588520757 . Retrieved 8 March 2017 .   Jump up ^ `` Pricing Medical Expense Insurance , '' in Medical Expense Insurance , ( Washington : The Health Insurance Association of America , 1997 ) , 89 .   ^ Jump up to : Impact of the Abolition of McCarran - Ferguson Antitrust Exemption for the `` Business of Insurance '' . CRS .   Jump up ^ Boardman M. ( 2006 ) . Contra Proferentem : The Allure of Ambiguous Boilerplate . Michigan Law Review .   Jump up ^ Policy Issues : ISO Program Revisions . PropertyCasualty360 .   Jump up ^ Schwarzc D. ( 2011 ) . Reevaluating Standardized Insurance Policies . The University of Chicago Law Review . See also : Not All Homeowners ' Policies Are Alike . New York Times .   Jump up ^ E&amp;O Insights : Directors &amp; Officers Liability Is Not Your Normal Insurance Product . Insurance Journal .   Jump up ^ Time To Standardize Personal Umbrella Insurance Policies . IRMI .   Jump up ^ Dart Industries , Inc. v. Commercial Union Insurance Co. , 28 Cal . 4th 1059 , 124 Cal . Rptr . 2d 142 , 52 P. 3d 79 ( 2002 ) .   Jump up ^ Mathias , Jr. , John H. ; Shugrue , John D. ; Thomas A. , Marrinson ; Daniel J. , Struck ( 2006 ) . `` § 1.03 , Types of Insurance Policies '' . Insurance Coverage Disputes . New York : Law Journal Press . p. 1 - 16 . ISBN 1588520757 . Retrieved 8 March 2017 .      ( hide )         Insurance     Types of insurance      Health     Accidental death and dismemberment   Dental   Disability ( Total permanent disability )   Income protection   Long - term care   National health   Payment protection       Life     Mortgage life   Term life   Universal life   Variable universal life   Whole life       Business     Bond   Business owner   Directors and officers liability   Fidelity   Professional liability   Protection and indemnity   Trade credit   Umbrella       Residential     Contents   Earthquake   Flood   Home   Landlords '   Lenders mortgage   Mortgage   Property   Renters '   Title       Transport / Communication     Aviation   Computer   Public auto   Marine   Satellite   Shipping   Travel   Vehicle       Other     Reinsurance   Casualty   Crime   Crop   Divorce   Group   Liability   No - fault   Pet   Terrorism   Wage   War risk   Weather   Workers ' compensation   Takaful          Insurance policy and law     Insurance policy   Insurance law   Health Insurance Portability and Accountability Act   Insurance fraud       Other     History of insurance   Unitised insurance fund           List of topics      Retrieved from `` https://en.wikipedia.org/w/index.php?title=Insurance_policy&amp;oldid=833090795 '' Categories :   Insurance   Contract law   Hidden categories :   Articles to be merged from September 2016   All articles to be merged           Talk                                           Contents                   About Wikipedia                                                   Čeština   Dansk   Deutsch   </t>
    </r>
    <r>
      <rPr>
        <sz val="11"/>
        <color rgb="FF000000"/>
        <rFont val="Noto Sans CJK SC"/>
        <family val="2"/>
      </rPr>
      <t xml:space="preserve">한국어   </t>
    </r>
    <r>
      <rPr>
        <sz val="11"/>
        <color rgb="FF000000"/>
        <rFont val="Calibri"/>
        <family val="0"/>
        <charset val="1"/>
      </rPr>
      <t xml:space="preserve">Հայերեն   हिन्दी   Hrvatski   Italiano   עברית   Қазақша   Lietuvių   Nederlands   Norsk   Polski   Português   Русский   Sicilianu   Српски / srpski   தமிழ்   Українська   Tiếng Việt   </t>
    </r>
    <r>
      <rPr>
        <sz val="11"/>
        <color rgb="FF000000"/>
        <rFont val="Noto Sans CJK SC"/>
        <family val="2"/>
      </rPr>
      <t xml:space="preserve">中文  </t>
    </r>
    <r>
      <rPr>
        <sz val="11"/>
        <color rgb="FF000000"/>
        <rFont val="Calibri"/>
        <family val="0"/>
        <charset val="1"/>
      </rPr>
      <t xml:space="preserve">14 more  Edit links   This page was last edited on 29 March 2018 , at 16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</si>
  <si>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insurance policies may be classified as contracts of</t>
  </si>
  <si>
    <t xml:space="preserve"> Insurance contracts are generally considered contracts of adhesion because the insurer draws up the contract and the insured has little or no ability to make material changes to it . This is interpreted to mean that the insurer bears the burden if there is any ambiguity in any terms of the contract . Insurance policies are sold without the policyholder even seeing a copy of the contract . In 1970 Robert Keeton suggested that many courts were actually applying ' reasonable expectations ' rather than interpreting ambiguities , which he called the ' reasonable expectations doctrine ' . This doctrine has been controversial , with some courts adopting it and others explicitly rejecting it . In several jurisdictions , including California , Wyoming , and Pennsylvania , the insured is bound by clear and conspicuous terms in the contract even if the evidence suggests that the insured did not read or understand them . </t>
  </si>
  <si>
    <t xml:space="preserve">Nile - wikipedia  Nile  For other uses , see Nile ( disambiguation ) .      This article needs additional citations for verification . Please help improve this article by adding citations to reliable sources . Unsourced material may be challenged and removed . ( January 2018 ) ( Learn how and when to remove this template message )       Nile     The river in Uganda         Countries   Egypt , Sudan , South Sudan , Ethiopia , Uganda , Congo , Kenya , Tanzania , Rwanda , Burundi , Eritrea     Major cities   Jinja , Juba , Khartoum , Cairo     Physical characteristics     Main source   White Nile Rwanda 2,700 m ( 8,900 ft ) 02 ° 16 ′ 56 '' S 29 ° 19 ′ 53 '' E ﻿ / ﻿ 2.28222 ° S 29.33139 ° E ﻿ / - 2.28222 ; 29.33139     2nd source   Blue Nile Lake Tana , Ethiopia 12 ° 02 ′ 09 '' N 037 ° 15 ′ 53 '' E ﻿ / ﻿ 12.03583 ° N 37.26472 ° E ﻿ / 12.03583 ; 37.26472     River mouth   Mediterranean Sea Egypt Sea level 30 ° 10 ′ N 31 ° 09 ′ E ﻿ / ﻿ 30.167 ° N 31.150 ° E ﻿ / 30.167 ; 31.150 Coordinates : 30 ° 10 ′ N 31 ° 09 ′ E ﻿ / ﻿ 30.167 ° N 31.150 ° E ﻿ / 30.167 ; 31.150     Length   6,853 km ( 4,258 mi )     Width     Maximum width : 2.8 km ( 1.7 mi )       Depth     Average depth : 8 -- 11 m ( 26 -- 36 ft )       Discharge     Average rate : 2,830 m / s ( 100,000 cu ft / s )       Basin features     Basin size   3,400,000 km ( 1,300,000 sq mi )     The Nile River ( Arabic : النيل ‎ , Egyptian Arabic en - Nīl , Standard Arabic an - Nīl ; Coptic : ⲫⲓⲁⲣⲱ , P ( h ) iaro ; Ancient Egyptian : Ḥ'pī and Jtrw ; Biblical Hebrew : הַיְאוֹר ‬ , Ha - Ye'or or הַשִׁיחוֹר ‬ , Ha - Shiḥor ) is a major north - flowing river in northeastern Africa , and is commonly regarded as the longest river in the world , though some sources cite the Amazon River as the longest . The Nile , which is 6,853 km ( 4,258 miles ) long , is an `` international '' river as its drainage basin covers eleven countries , namely , Tanzania , Uganda , Rwanda , Burundi , the Democratic Republic of the Congo , Kenya , Ethiopia , Eritrea , South Sudan , Republic of the Sudan and Egypt . In particular , the Nile is the primary water source of Egypt and Sudan .   The Nile River has two major tributaries , the White Nile and Blue Nile . The White Nile is considered to be the headwaters and primary stream of the Nile itself . The Blue Nile , however , is the source of most of the water and silt . The White Nile is longer and rises in the Great Lakes region of central Africa , with the most distant source still undetermined but located in either Rwanda or Burundi . It flows north through Tanzania , Lake Victoria , Uganda and South Sudan . The Blue Nile ( Amharic : ዓባይ , ʿĀbay ) begins at Lake Tana in Ethiopia and flows into Sudan from the southeast . The two rivers meet just north of the Sudanese capital of Khartoum .   The northern section of the river flows north almost entirely through the Sudanese desert to Egypt , then ends in a large delta and flows into the Mediterranean Sea . Egyptian civilization and Sudanese kingdoms have depended on the river since ancient times . Most of the population and cities of Egypt lie along those parts of the Nile valley north of Aswan , and nearly all the cultural and historical sites of Ancient Egypt are found along riverbanks .     Contents  ( hide )   1 Etymology and Names   2 Courses   2.1 Sources   2.2 In Uganda 's Nile River   2.3 In South Sudan 's Nile River   2.4 In Sudan   2.5 In Egypt     3 Tributaries of Nile   3.1 Atbara River   3.2 Blue Nile   3.3 Bahr el Ghazal and Sobat River   3.4 Yellow Nile     4 History   4.1 Eonile   4.2 Integrated Nile   4.3 Role in the founding of Egyptian civilization   4.4 Search for the source of the Nile   4.5 Since 1950     5 Water sharing dispute   6 Modern achievements and exploration   6.1 White Nile   6.2 Blue Nile     7 Crossings   7.1 Crossings from Khartoum to the Mediterranean Sea   7.2 Crossings from Rwanda to Khartoum     8 Images and media of the Nile   9 Annotated bibliography   10 See also   11 References   12 Further reading   13 External links      Etymology and names ( edit )   In the ancient Egyptian language , the Nile is called Ḥ'pī or Iteru ( Hapy ) , meaning `` river '' . In Coptic , the word ⲫⲓⲁⲣⲱ , pronounced piaro ( Sahidic ) or phiaro ( Bohairic ) , means `` the river '' ( lit . p ( h ). iar - o `` the. canal - great '' ) , and comes from the same ancient name .   The English name Nile and the Arabic names en - Nîl and an - Nîl both derive from the Latin Nilus and the Ancient Greek Νεῖλος . Beyond that , however , the etymology is disputed . Hesiod at his Theogony refers that Nilus ( Νεῖλος ) was one of the Potamoi ( river gods ) , son of Oceanus and Tethys . Another possible etymology derives it from a Semitic Nahal , meaning `` river '' . The standard English names `` White Nile '' and `` Blue Nile '' , to refer to the river 's source , derive from Arabic names formerly applied only to the Sudanese stretches which meet at Khartoum .   Courses ( edit )  See also : White Nile The Nile at Dendera , as seen from the SPOT satellite The Nile 's watershed The Nile near Beni Suef Composite satellite image of the White Nile  Above Khartoum , the Nile River is also known as the White Nile , a term also used in a limited sense to describe the section between Lake No and Khartoum . At Khartoum the river is joined by the Blue Nile . The White Nile starts in equatorial East Africa , and the Blue Nile begins in Ethiopia . Both branches are on the western flanks of the East African Rift .   The drainage basin of the Nile covers 3,254,555 square kilometers ( 1,256,591 sq mi ) , about 10 % of the area of Africa . The Nile basin is complex , and because of this , the discharge at any given point along the mainstem depends on many factors including weather , diversions , evaporation and evapotranspiration , and groundwater flow .   Sources ( edit )   The source of the Nile River is sometimes considered to be Lake Victoria , but the lake has feeder rivers of considerable size . The Kagera River , which flows into Lake Victoria near the Tanzanian town of Bukoba , is the longest feeder , although sources do not agree on which is the longest tributary of the Kagera and hence the most distant source of the Nile River itself . It is either the Ruvyironza , which emerges in Bururi Province , Burundi , or the Nyabarongo , which flows from Nyungwe Forest in Rwanda . The two feeder rivers meet near Rusumo Falls on the Rwanda - Tanzania border .  The source of the Nile from an underwater spring at the neck of Lake Victoria , Jinja  In 2010 , an exploration party went to a place described as the source of the Rukarara tributary , and by hacking a path up steep jungle - choked mountain slopes in the Nyungwe forest found ( in the dry season ) an appreciable incoming surface flow for many kilometres upstream , and found a new source , giving the Nile a length of 6,758 km ( 4,199 mi ) .   Gish Abay is reportedly the place where the `` holy water '' of the first drops of the Blue Nile develop .   In Uganda 's Nile river ( edit )   The Nile River leaves Lake Nyanza ( Victoria ) at Ripon Falls near Jinja , Uganda , as the Victoria Nile . It flows north for some 130 kilometers ( 81 mi ) , to Lake Kyoga . The last part of the approximately 200 kilometers ( 120 mi ) river section starts from the western shores of the lake and flows at first to the west until just south of Masindi Port , where the river turns north , then makes a great half circle to the east and north until Karuma Falls . For the remaining part it flows merely westerly through the Murchison Falls until it reaches the very northern shores of Lake Albert where it forms a significant river delta . The lake itself is on the border of DR Congo , but the Nile River is not a border river at this point . After leaving Lake Albert , the river continues north through Uganda and is known as the Albert Nile .   In South Sudan 's Nile river ( edit )   The Nile river flows into South Sudan just south of Nimule , where it is known as the Bahr al Jabal ( `` Mountain River '' ) . Just south of the town it has the confluence with the Achwa River . The Bahr al Ghazal , itself 716 kilometers ( 445 mi ) long , joins the Bahr al Jabal at a small lagoon called Lake No , after which the Nile becomes known as the Bahr al Abyad , or the White Nile , from the whitish clay suspended in its waters . When the Nile floods it leaves a rich silty deposit which fertilizes the soil . The Nile no longer floods in Egypt since the completion of the Aswan Dam in 1970 . An anabranch river , the Bahr el Zeraf , flows out of the Nile 's Bahr al Jabal section and rejoins the White Nile .   The flow rate of the Bahr al Jabal at Mongalla , South Sudan is almost constant throughout the year and averages 1,048 m / s ( 37,000 cu ft / s ) . After Mongalla , the Bahr Al Jabal enters the enormous swamps of the Sudd region of South Sudan . More than half of the Nile 's water is lost in this swamp to evaporation and transpiration . The average flow rate of the White Nile at the tails of the swamps is about 510 m / s ( 18,000 cu ft / s ) . From here it soon meets with the Sobat River at Malakal . On an annual basis , the White Nile upstream of Malakal contributes about fifteen percent of the total outflow of the Nile River .   The average flow of the White Nile at Lake Kawaki Malakal , just below the Sobat River , is 924 m / s ( 32,600 cu ft / s ) ; the peak flow is approximately 1,218 m / s ( 43,000 cu ft / s ) in October and minimum flow is about 609 m / s ( 21,500 cu ft / s ) in April . This fluctuation is due to the substantial variation in the flow of the Sobat , which has a minimum flow of about 99 m / s ( 3,500 cu ft / s ) in March and a peak flow of over 680 m / s ( 24,000 cu ft / s ) in October . During the dry season ( January to June ) the White Nile contributes between 70 percent and 90 percent of the total discharge from the Nile .   In Sudan ( edit )   Below Renk the White Nile enters Sudan , it flows north to Khartoum and meets the Blue Nile .   The course of the Nile in Sudan is distinctive . It flows over six groups of cataracts , from the sixth at Sabaloka just north of Khartoum northward to Abu Hamed . Due to the tectonic uplift of the Nubian Swell , the river is then diverted to flow for over 300 km south - west following the structure of the Central African Shear Zone embracing the Bayuda Desert . At Al Dabbah it resumes its northward course towards the first Cataract at Aswan forming the ' S ' - shaped Great Bend of the Nile already mentioned by Eratosthenes .   In the north of Sudan the river enters Lake Nasser ( known in Sudan as Lake Nubia ) , the larger part of which is in Egypt .   In Egypt ( edit )   Below the Aswan High Dam , at the northern limit of Lake Nasser , the Nile resumes its historic course .   North of Cairo , the Nile splits into two branches ( or distributaries ) that feed the Mediterranean : the Rosetta Branch to the west and the Damietta to the east , forming the Nile Delta .   Tributaries of Nile ( edit )   Atbara river ( edit )   Below the confluence with the Blue Nile the only major tributary is the Atbara River , roughly halfway to the sea , which originates in Ethiopia north of Lake Tana , and is around 800 kilometers ( 500 mi ) long . The Atbara flows only while there is rain in Ethiopia and dries very rapidly . During the dry period of January to June , it typically dries up . It joins the Nile approximately 300 kilometers ( 200 mi ) north of Khartoum .   Blue Nile ( edit )  Main article : Blue Nile The Blue Nile Falls fed by Lake Tana near the city of Bahir Dar , Ethiopia Nile Delta from space Annotated view of the Nile and Red Sea , with a dust storm  The Blue Nile ( Ge'ez ጥቁር ዓባይ Ṭiqūr ʿĀbbāy ( Black Abay ) to Ethiopians ; Arabic : النيل الأزرق ‎ ; transliterated : an - Nīl al - Azraq ) springs from Lake Tana in the Ethiopian Highlands . The Blue Nile flows about 1,400 kilometres to Khartoum , where the Blue Nile and White Nile join to form the Nile . Ninety percent of the water and ninety - six percent of the transported sediment carried by the Nile originates in Ethiopia , with fifty - nine percent of the water from the Blue Nile ( the rest being from the Tekezé , Atbarah , Sobat , and small tributaries ) . The erosion and transportation of silt only occurs during the Ethiopian rainy season in the summer , however , when rainfall is especially high on the Ethiopian Plateau ; the rest of the year , the great rivers draining Ethiopia into the Nile ( Sobat , Blue Nile , Tekezé , and Atbarah ) have a weaker flow . In harsh and arid seasons and droughts the blue Nile dries out completely .   The flow of the Blue Nile varies considerably over its yearly cycle and is the main contribution to the large natural variation of the Nile flow . During the dry season the natural discharge of the Blue Nile can be as low as 113 m / s ( 4,000 cu ft / s ) , although upstream dams regulate the flow of the river . During the wet season the peak flow of the Blue Nile often exceeds 5,663 m / s ( 200,000 cu ft / s ) in late August ( a difference of a factor of 50 ) .   Before the placement of dams on the river the yearly discharge varied by a factor of 15 at Aswan . Peak flows of over 8,212 m / s ( 290,000 cu ft / s ) occurred during late August and early September , and minimum flows of about 552 m / s ( 19,500 cu ft / s ) occurred during late April and early May .   Bahr el Ghazal and Sobat river ( edit )   The Bahr al Ghazal and the Sobat River are the two most important tributaries of the White Nile in terms of discharge .   The Bahr al Ghazal 's drainage basin is the largest of any of the Nile 's sub-basins , measuring 520,000 square kilometers ( 200,000 sq mi ) in size , but it contributes a relatively small amount of water , about 2 m / s ( 71 cu ft / s ) annually , due to tremendous volumes of water being lost in the Sudd wetlands .   The Sobat River , which joins the Nile a short distance below Lake No , drains about half as much land , 225,000 km ( 86,900 sq mi ) , but contributes 412 cubic meters per second ( 14,500 cu ft / s ) annually to the Nile . When in flood the Sobat carries a large amount of sediment , adding greatly to the White Nile 's color .   Yellow Nile ( edit )   The Yellow Nile is a former tributary that connected the Ouaddaï Highlands of eastern Chad to the Nile River Valley c. 8000 to c. 1000 BC . Its remains are known as the Wadi Howar . The wadi passes through Gharb Darfur near the northern border with Chad and meets up with the Nile near the southern point of the Great Bend .   History ( edit )  Further information : Sahara § Climate history Reconstruction of the Oikoumene ( inhabited world ) , an ancient map based on Herodotus ' description of the world , circa 450 BC  The Nile ( iteru in Ancient Egyptian ) has been the lifeline of civilization in Egypt since the Stone Age , with most of the population and all of the cities of Egypt resting along those parts of the Nile valley lying north of Aswan . However , the Nile used to run much more westerly through what is now Wadi Hamim and Wadi al Maqar in Libya and flow into the Gulf of Sidra . As sea level rose at the end of the most recent ice age , the stream which is now the northern Nile pirated the ancestral Nile near Asyut , this change in climate also led to the creation of the current Sahara desert , around 3400 BC .   Eonile ( edit )   The present Nile is at least the fifth river that has flowed north from the Ethiopian Highlands . Satellite imagery was used to identify dry watercourses in the desert to the west of the Nile . An Eonile canyon , now filled by surface drift , represents an ancestral Nile called the Eonile that flowed during the later Miocene ( 23 -- 5.3 million years before present ) . The Eonile transported clastic sediments to the Mediterranean ; several natural gas fields have been discovered within these sediments .   During the late - Miocene Messinian salinity crisis , when the Mediterranean Sea was a closed basin and evaporated to the point of being empty or nearly so , the Nile cut its course down to the new base level until it was several hundred metres below world ocean level at Aswan and 2,400 m ( 7,900 ft ) below Cairo . This created a very long and deep canyon which was filled with sediment when the Mediterranean was recreated . At some point the sediments raised the riverbed sufficiently for the river to overflow westward into a depression to create Lake Moeris .   Lake Tanganyika drained northwards into the Nile until the Virunga Volcanoes blocked its course in Rwanda . The Nile was much longer at that time , with its furthest headwaters in northern Zambia .   Integrated Nile ( edit )   There are two theories about the age of the integrated Nile . One is that the integrated drainage of the Nile is of young age , and that the Nile basin was formerly broken into series of separate basins , only the most northerly of which fed a river following the present course of the Nile in Egypt and Sudan . Rushdi Said postulated that Egypt itself supplied most of the waters of the Nile during the early part of its history .   The other theory is that the drainage from Ethiopia via rivers equivalent to the Blue Nile and the Atbara and Takazze flowed to the Mediterranean via the Egyptian Nile since well back into Tertiary times .   Salama suggested that during the Paleogene and Neogene Periods ( 66 million to 2.588 million years ago ) a series of separate closed continental basins each occupied one of the major parts of the Sudanese Rift System : Mellut rift , White Nile rift , Blue Nile rift , Atbara rift and Sag El Naam rift . The Mellut Rift Basin is nearly 12 kilometers ( 7.5 mi ) deep at its central part . This rift is possibly still active , with reported tectonic activity in its northern and southern boundaries . The Sudd swamps which form the central part of the basin may still be subsiding . The White Nile Rift System , although shallower than the Bahr el Arab rift , is about 9 kilometers ( 5.6 mi ) deep . Geophysical exploration of the Blue Nile Rift System estimated the depth of the sediments to be 5 -- 9 kilometers ( 3.1 -- 5.6 mi ) . These basins were not interconnected until their subsidence ceased , and the rate of sediment deposition was enough to fill and connect them . The Egyptian Nile connected to the Sudanese Nile , which captures the Ethiopian and Equatorial headwaters during the current stages of tectonic activity in the Eastern , Central and Sudanese Rift Systems . The connection of the different Niles occurred during cyclic wet periods . The River Atbara overflowed its closed basin during the wet periods that occurred about 100,000 to 120,000 years ago . The Blue Nile connected to the main Nile during the 70,000 -- 80,000 years B.P. wet period . The White Nile system in Bahr El Arab and White Nile Rifts remained a closed lake until the connection of the Victoria Nile to the main system some 12,500 years ago .   Role in the founding of Egyptian civilization ( edit )  A felucca traversing the Nile near Aswan  The Greek historian Herodotus wrote that `` Egypt was the gift of the Nile '' . An unending source of sustenance , it provided a crucial role in the development of Egyptians civilization . Silt deposits from the Nile made the surrounding land fertile because the river overflowed its banks annually . The Ancient Egyptians cultivated and traded wheat , flax , papyrus and other crops around the Nile . Wheat was a crucial crop in the famine - plagued Middle East . This trading system secured Egypt 's diplomatic relationships with other countries , and contributed to economic stability . Far - reaching trade has been carried on along the Nile since ancient times .   Water buffalo were introduced from Asia , and Assyrians introduced camels in the 7th century BC . These animals were killed for meat , and were domesticated and used for ploughing -- or in the camels ' case , carriage . Water was vital to both people and livestock . The Nile was also a convenient and efficient means of transportation for people and goods . The Nile was an important part of ancient Egyptian spiritual life . Hapy was the god of the annual floods , and both he and the pharaoh were thought to control the flooding . The Nile was considered to be a causeway from life to death and the afterlife . The east was thought of as a place of birth and growth , and the west was considered the place of death , as the god Ra , the Sun , underwent birth , death , and resurrection each day as he crossed the sky . Thus , all tombs were west of the Nile , because the Egyptians believed that in order to enter the afterlife , they had to be buried on the side that symbolized death .   As the Nile was such an important factor in Egyptian life , the ancient calendar was even based on the 3 cycles of the Nile . These seasons , each consisting of four months of thirty days each , were called Akhet , Peret , and Shemu . Akhet , which means inundation , was the time of the year when the Nile flooded , leaving several layers of fertile soil behind , aiding in agricultural growth . Peret was the growing season , and Shemu , the last season , was the harvest season when there were no rains .   Search for the source of the Nile ( edit )  John Hanning Speke c. 1863 . Speke was the Victorian explorer who first reached Lake Victoria in 1858 , returning to establish it as the source of the Nile by 1862 . Henry Morton Stanley in 1872 . Stanley circumnavigated the lake and confirmed Speke 's observations in 1875 .  Owing to their failure to penetrate the sudd wetlands of South Sudan , the upper reaches of the Nile remained largely unknown to the ancient Greeks and Romans . Various expeditions failed to determine the river 's source . Agatharcides records that in the time of Ptolemy II Philadelphus , a military expedition had penetrated far enough along the course of the Blue Nile to determine that the summer floods were caused by heavy seasonal rainstorms in the Ethiopian Highlands , but no European of antiquity is known to have reached Lake Tana .   The Tabula Rogeriana depicted the source as three lakes in 1154 .   Europeans began to learn about the origins of the Nile in the 15th and 16th centuries , when travelers to Ethiopia visited Lake Tana and the source of the Blue Nile in the mountains south of the lake . Although James Bruce claimed to be the first European to have visited the headwaters , modern writers give the credit to the Jesuit Pedro Páez . Páez 's account of the source of the Nile is a long and vivid account of Ethiopia . It was published in full only in the early 20th century , although it was featured in works of Páez 's contemporaries , including Baltazar Téllez , Athanasius Kircher and by Johann Michael Vansleb .   Europeans had been resident in Ethiopia since the late 15th century , and one of them may have visited the headwaters even earlier without leaving a written trace . The Portuguese João Bermudes published the first description of the Tis Issat Falls in his 1565 memoirs , compared them to the Nile Falls alluded to in Cicero 's De Republica . Jerónimo Lobo describes the source of the Blue Nile , visiting shortly after Pedro Páez . Telles also used his account .   The White Nile was even less understood . The ancients mistakenly believed that the Niger River represented the upper reaches of the White Nile . For example , Pliny the Elder wrote that the Nile had its origins `` in a mountain of lower Mauretania '' , flowed above ground for `` many days '' distance , then went underground , reappeared as a large lake in the territories of the Masaesyli , then sank again below the desert to flow underground `` for a distance of 20 days ' journey till it reaches the nearest Ethiopians . '' A merchant named Diogenes reported that the Nile 's water attracted game such as buffalo .  A map of the Nile c. 1911 , a time when its entire primary course ran through British occupations , condominiums , colonies , and protectorates  Lake Victoria was first sighted by Europeans in 1858 when the British explorer John Hanning Speke reached its southern shore while traveling with Richard Francis Burton to explore central Africa and locate the great lakes . Believing he had found the source of the Nile on seeing this `` vast expanse of open water '' for the first time , Speke named the lake after the then Queen of the United Kingdom . Burton , recovering from illness and resting further south on the shores of Lake Tanganyika , was outraged that Speke claimed to have proved his discovery to be the true source of the Nile when Burton regarded this as still unsettled . A very public quarrel ensued , which sparked a great deal of intense debate within the scientific community and interest by other explorers keen to either confirm or refute Speke 's discovery . British explorer and missionary David Livingstone pushed too far west and entered the Congo River system instead . It was ultimately Welsh - American explorer Henry Morton Stanley who confirmed Speke 's discovery , circumnavigating Lake Victoria and reporting the great outflow at Ripon Falls on the Lake 's northern shore .   European involvement in Egypt goes back to the time of Napoleon . Laird Shipyard of Liverpool sent an iron steamer to the Nile in the 1830s . With the completion of the Suez Canal and the British takeover of Egypt in the 1870s , more British river steamers followed .   The Nile is the area 's natural navigation channel , giving access to Khartoum and Sudan by steamer . The Siege of Khartoum was broken with purpose - built sternwheelers shipped from England and steamed up the river to retake the city . After this came regular steam navigation of the river . With British Forces in Egypt in the First World War and the inter-war years , river steamers provided both security and sightseeing to the Pyramids and Thebes . Steam navigation remained integral to the two countries as late as 1962 . Sudan steamer traffic was a lifeline as few railways or roads were built in that country . Most paddle steamers have been retired to shorefront service , but modern diesel tourist boats remain on the river .  Village on the Nile , 1891  Since 1950 ( edit )  The confluence of the Kagera and Ruvubu rivers near Rusumo Falls , part of the Nile 's upper reaches Dhows on the Nile The Nile passes through Cairo , Egypt 's capital city .  The Nile has long been used to transport goods along its length . Winter winds blow south , up river , so ships could sail up river , and down river using the flow of the river . While most Egyptians still live in the Nile valley , the 1970 completion of the Aswan High Dam ended the summer floods and their renewal of the fertile soil , fundamentally changing farming practices . The Nile supports much of the population living along its banks , enabling Egyptians to live in otherwise inhospitable regions of the Sahara . The rivers 's flow is disturbed at several points by the Cataracts of the Nile , which are sections of faster - flowing water with many small islands , shallow water , and rocks , which form an obstacle to navigation by boats . The Sudd wetlands in Sudan also forms a formidable navigation obstacle and impede water flow , to the extent that Sudan had once attempted to canalize ( the Jonglei Canal ) to bypass the swamps .   Nile cities include Khartoum , Aswan , Luxor ( Thebes ) , and the Giza -- Cairo conurbation . The first cataract , the closest to the mouth of the river , is at Aswan , north of the Aswan Dam . This part of the river is a regular tourist route , with cruise ships and traditional wooden sailing boats known as feluccas . Many cruise ships ply the route between Luxor and Aswan , stopping at Edfu and Kom Ombo along the way . Security concerns have limited cruising on the northernmost portion for many years .   A computer simulation study to plan the economic development of the Nile was directed by H.A.W. Morrice and W.N. Allan , for the Ministry of Hydro - power of the Republic of the Sudan , during 1955 -- 1957 Morrice was their Hydrological Adviser , and Allan his predecessor . M.P. Barnett directed the software development and computer operations . The calculations were enabled by accurate monthly inflow data collected for 50 years . The underlying principle was the use of over-year storage , to conserve water from rainy years for use in dry years . Irrigation , navigation and other needs were considered . Each computer run postulated a set of reservoirs and operating equations for the release of water as a function of the month and the levels upstream . The behavior that would have resulted given the inflow data was modeled . Over 600 models were run . Recommendations were made to the Sudanese authorities . The calculations were run on an IBM 650 computer . Simulation studies to design water resources are discussed further in the article on hydrology transport models , that have been used since the 1980s to analyze water quality .   Despite the development of many reservoirs , drought during the 1980s led to widespread starvation in Ethiopia and Sudan , but Egypt was nourished by water impounded in Lake Nasser . Drought has proven to be a major cause of fatality in the Nile River basin . According to a report by the Strategic Foresight Group around 170 million people have been affected by droughts in the last century with half a million lives lost . From the 70 incidents of drought which took place between 1900 and 2012 , 55 incidents took place in Ethiopia , Sudan , South Sudan , Kenya and Tanzania .   Water sharing dispute ( edit )   The Nile 's water has affected the politics of East Africa and the Horn of Africa for many decades . Countries including Uganda , Sudan , Ethiopia and Kenya have complained about Egyptian domination of its water resources . The Nile Basin Initiative promotes a peaceful cooperation among those states .   Several attempts have been made to establish agreements between the countries sharing the Nile waters . It is very difficult to have all these countries agree with each other given the self - interest of each country and their political , strategic , and social differences . On 14 May 2010 at Entebbe , Ethiopia , Rwanda , Tanzania and Uganda signed a new agreement on sharing the Nile water even though this agreement raised strong opposition from Egypt and Sudan . Ideally , such international agreements should promote equitable and efficient usage of the Nile basin 's water resources . Without a better understanding about the availability of the future water resources of the Nile River , it is possible that conflicts could arise between these countries relying on the Nile for their water supply , economic and social developments .   Modern achievements and exploration ( edit )   White Nile ( edit )   In 1951 , the American John Goddard together with two French explorers became the first to successfully navigate the entire Nile river from its source in Burundi at the potential headsprings of the Kagera River in Burundi to its mouth on the Mediterranean Sea , a journey of approximately 6800 kilometers . Their 9 - month journey is described in the book ' Kayaks down the Nile ' .   The White Nile Expedition , led by South African national Hendrik Coetzee , navigated the White Nile 's entire length of approximately 3,700 kilometres ( 2,300 mi ) . The expedition began at the White Nile 's beginning at Lake Victoria in Uganda , on 17 January 2004 and arrived safely at the Mediterranean in Rosetta , four and a half months later . On the 30th of April 2005 a team led by South Africans Peter Meredith and Hendrik Coetzee , following again in the footsteps of John Goddard , navigated the major remote source of the White Nile , the Akagera river that starts as the Ruvyironza in Bururi Province , Burundi , and ends at Lake Victoria , Uganda .   In April 2006 , the Ascend the Nile Expedition including two explorers from Britain and one from New Zealand ascended the river from its mouth at Rosetta to one of its sources in Rwanda 's Nyungwe Forest . The Team including Cam McLeay , Neil McGrigor and Garth MacIntyre spent 70 days travelling to the Rwandese source of the Nile covering approximately 6800 kilometres . During the Expedition they were ambushed by the LRA ( Lord 's Resistance Army ) lead by the notorious Joseph Kony , however post-attack six months later they returned to complete the expedition . They measured the length of the river with the help of GPS and claimed to have found the furthest source . Due to the unscientific approach of their expedition , their reluctance to release</t>
  </si>
  <si>
    <t xml:space="preserve">where is the nile river located on the world map</t>
  </si>
  <si>
    <t xml:space="preserve"> The Nile River ( Arabic : النيل ‎ , Egyptian Arabic en - Nīl , Standard Arabic an - Nīl ; Coptic : ⲫⲓⲁⲣⲱ , P ( h ) iaro ; Ancient Egyptian : Ḥ'pī and Jtrw ; Biblical Hebrew : הַיְאוֹר ‬ , Ha - Ye'or or הַשִׁיחוֹר ‬ , Ha - Shiḥor ) is a major north - flowing river in northeastern Africa , and is commonly regarded as the longest river in the world , though some sources cite the Amazon River as the longest . The Nile , which is 6,853 km ( 4,258 miles ) long , is an `` international '' river as its drainage basin covers eleven countries , namely , Tanzania , Uganda , Rwanda , Burundi , the Democratic Republic of the Congo , Kenya , Ethiopia , Eritrea , South Sudan , Republic of the Sudan and Egypt . In particular , the Nile is the primary water source of Egypt and Sudan . </t>
  </si>
  <si>
    <t xml:space="preserve">FIFA World Cup qualification - wikipedia  FIFA World Cup qualification  Jump to : navigation , search For the current qualifying tournament , see 2018 FIFA World Cup qualification .  The FIFA World Cup qualification is the process that a national association football team goes through to qualify for the FIFA World Cup finals . The FIFA World Cup is the largest international team sport competition in the world with a qualification process required to reduce the large field of countries from 211 to just 32 for the World Cup finals until the 2022 edition .   Qualifying tournaments are held within the six FIFA continental zones ( Africa , Asia , North and Central America and Caribbean , South America , Oceania , Europe ) , and are organized by their respective confederations . For each tournament , FIFA decides beforehand the number of places in the finals allocated to each of the continental zones , based on the numbers or relative strength of the confederations ' teams .   The hosts of the World Cup receive an automatic berth . Unlike many other sports , results of the previous World Cups or of the continental championships are not taken into account . Until 2002 , the defending champions also received an automatic berth , but starting from the 2006 World Cup this is no longer the case .   The current qualification process is the 2018 FIFA World Cup qualification which commenced in 2015 and will finish in late 2017 .     Contents    1 History   1.1 Qualification spots by continent   1.2 Qualification competition entrants over time   1.3 First appearance in qualification by team   1.4 National teams results in World Cup preliminary competition ( 1934 -- 2018 )   1.5 Top scorers in preliminary competition ( 1934 -- 2018 )   1.6 First games and goalscorers in preliminary competition ( 1934 -- 2018 )     2 Current format   2.1 Africa   2.2 Asia   2.3 Europe   2.4 North and Central America and Caribbean   2.5 Oceania   2.6 South America   2.7 Intercontinental play - offs     3 Qualification tournament rules   3.1 Groups   3.2 Home - and - away ties     4 See also   5 References   6 External links      History ( edit )   Over many years , the World Cup 's qualification has evolved , from having no qualification at all in 1930 , when the tournament was invitational and only 13 teams entered , to the current two - year process . The first World Cup qualifying match was played on 11 June 1933 when Sweden defeated Estonia 6 -- 2 in Stockholm . The first ever goal in a World Cup qualifying match was scored 7 minutes into the game : it was scored according to some sources by Swedish captain Knut Kroon , or according to other sources by Estonian goalkeeper Evald Tipner ( own goal ) .   While the number of teams which qualified for the finals has increased steadily , from 16 between 1934 and 1978 , to 24 between 1982 and 1994 , and finally to 32 starting from 1998 , the qualification format has been basically the same throughout the history of the World Cup . The teams have been grouped continentally , and they competed for a fixed number of places , with one or two places awarded to the winners of intercontinental play - offs .   Qualification spots by continent ( edit )   The table below lists the numbers of spots allocated by FIFA for each continent in each tournament . If no places were allocated to a continent , such as in the case of Oceania prior to 1966 and Africa in 1950 , this does not indicate an exclusion of those continents by FIFA , but rather that no country of those continents made an entry to the aforementioned Cups .   A large part of Africa was under colonial rule during part of the 20th century , mainly the first half of the century . As of 1954 , only 3 African countries were affiliated to FIFA : Egypt , in 1923 , Sudan , in 1948 , and Ethiopia , in 1952 . Sudan and Ethiopia made entries for no Cup prior to 1958 . Egypt made entries for the 1934 , 1938 and 1954 Cups , though not for the 1930 and 1950 Cups . Though an African country , Egypt entered in 1938 and 1954 in the European group , therefore the table below gives no data about Africa for these two Cups .   Places in the intercontinental play - offs count as 0.5 spots . Numbers in bold represent the winners of the intercontinental play - offs . `` + C '' denotes an additional spot for defending champions . `` + H '' denotes an additional spot for hosts .   Places allocated for continents   Continental zone   1934 ( 16 )   1938 ( 15 )   1950 ( 13 )   1954 ( 16 )   1958 ( 16 )   1962 ( 16 )   1966 ( 16 )   1970 ( 16 )   ( 16 )   1978 ( 16 )   1982 ( 24 )   1986 ( 24 )   1990 ( 24 )   1994 ( 24 )   1998 ( 32 )   2002 ( 32 )   2006 ( 32 )   ( 32 )   2014 ( 32 )   2018 ( 32 )   2022 ( 32 )   2026 ( 48 )     Africa     0   0.5   0.5                   5   5   5   5 + H   5   5   5   9     Asia         0.5                 3.5   2.5 + 2H   4.5   4.5   4.5   4.5   4.5 + H   8     Oceania   Did Not Exist   0.5   0.5   0.25   0.5   0.5   0.5   0.5   0.5   0.5   0.5       Europe   12   11 + C + H   7 + C   11 + H   9.5 + C + H   8+ 2 × 0.5   9 + H   8 + C   8.5 + H   8.5 + C   13 + H   12.5 + C   13 + H   12 + C   14 + H   13.5 + C   13 + H   13   13   13 + H   13   16     North and Central America and Caribbean             0.5     + H         + H     1.25 + H       3.5   3.5   3.5   3.5   3.5   6     South America       + H   + C     3.5 + C + H   + C     2.5 + C   2.5 + H   + C     2.5 + C   3.5   + C   4.5   4.5   4.5   4.5 + H   4.5   4.5   6     Play - Off Tournament   Did Not Exist       Total   16   16   16   16   16   16   16   16   16   16   24   24   24   24   32   32   32   32   32   32   32   48      In 1938 , Austria withdrew after qualifying after being annexed by Germany and were not replaced , so only 15 teams , 12 of them European , played in the finals .   In 1950 , India , Scotland , and Turkey withdrew after qualifying and were not replaced , so only 13 teams , none of them Asian and 6 of them European , played in the finals .   Initially in 1958 , Africa and Asia together were given 1 spot , while Europe was given 9 spots . However , after Israel won the African and Asian zone without playing any matches , because of withdrawals of other teams , a special play - off was arranged between them and a European team ( Wales ) . So in effect , Africa and Asia together were given 0.5 spots , while Europe was given 9.5 spots .   In 1962 , Europe was given 8 automatic spots , plus 2 additional spots in the intercontinental play - offs , in effect giving them 9 spots . The two European teams played an African team and an Asian team respectively , and both European teams won . Therefore , 10 European teams played in the finals .   In 1994 , there were two rounds of intercontinental play - offs . First , an Oceanian team played a team from North and Central America and Caribbean , and the winner then played a South American team .   From the 2006 qualifiers on , the defending champion no longer has an automatic spot secured .    Qualification competition entrants over time ( edit )   The number of teams entering the qualification process and the number of matches played have been steadily growing over time . Though an African country , Egypt entered in 1938 and 1954 into the European group , therefore being zero the below indicator as for Africa in these years .   Number of teams entering qualification ( including automatic qualifiers )   Continental zone   1934 ( 16 )   1938 ( 15 )   1950 ( 13 )   1954 ( 16 )   1958 ( 16 )   1962 ( 16 )   1966 ( 16 )   1970 ( 16 )   ( 16 )   1978 ( 16 )   1982 ( 24 )   1986 ( 24 )   1990 ( 24 )   1994 ( 24 )   1998 ( 32 )   2002 ( 32 )   2006 ( 32 )   ( 32 )   2014 ( 32 )   2018 ( 32 )   2022 ( 32 )   2026 ( 48 )     Africa     0   0   0   11   6   21   13   24   26   29   29   26   40   38   51   51   53   52   54     Asia         5   7   18   22   21   27   26   29   36   42   39   43   43   46     Oceania   0   0   0   0   0   0     5   7   10   10   12   11   11   11     Europe   21   26   19   29   29   30   33   31   33   32   34   33   33   39   50   51   52   53   53   54     North and Central America and Caribbean     7     5   6   8   10   14   14   17   15   18   16   23   30   35   34   35   35   35     South America       8   6   9   9   10   10   10   10   10   10   10   9   10   10   10   10   10   10     Total entrants   32   37   34   45   55   56   74   75   99   107   109   121   116   147   174   199   198   205   204   210     Teams played   27   21   19   33   46   49   51   68   90   95   103   110   103   130   168   193   194   200   203   208     Matches played   27   22   26   57   89   92   127   172   226   252   306   308   314   497   643   777   847   853   828   663     Goals scored   141   96   121   208   341   325   393   542   620   723   797   801   735   1446   1922   2452   2464   2344   2303   1903     Average goals per match   5.22   4.36   4.65   3.65   3.83   3.53   3.09   3.15   2.74   2.87   2.60   2.60   2.34   2.91   2.99   3.16   2.91   2.75   2.81   2.87      Because the Oceania Football Confederation has used the World Cup Qualifiers as a phase of ( or as the entire ) OFC Nations Cup , there is the possibility that non-FIFA countries may play in matches that double as World Cup qualifiers . In the 2006 qualifiers , New Caledonia were included in the tournament although they were not FIFA members at the date of close of entries . They are , however , included in the 12 nations listed as they joined FIFA during the course of qualification , even though they had been technically eliminated from contention a few days earlier ( a similar situation occurred in the entries for 2010 , with Montenegro 's entry accepted prior to their admission by FIFA ) . By contrast , Tuvalu competed in the 2007 South Pacific Games Football tournament , which doubled as qualifiers for the 2010 World Cup . As they were not FIFA members at the time of the completion of the competition , they are not included in the 11 OFC entrants , although their results counted towards the qualification of other teams .   From 1973 to 1989 , the CONCACAF Championship and its qualifying tournament were used to determine CONCACAF 's entrant in the World Cup . The confederation 's champion qualified outright .   `` Teams played '' is the total number of teams that played at least one qualifying match .   This number includes Tuvalu ( see note 1 ) and South Africa . Although South Africa qualified automatically for 2010 as hosts , they competed in the CAF qualifiers , becoming the first hosts to compete in World Cup qualifying since 1934 . This is because the Confederation of African Football used its 2010 World Cup qualifiers as the qualifying phase for the 2010 Africa Cup of Nations , a tournament for which South Africa had attempted to qualify .    First appearance in qualification by team ( edit )   Note : Only teams that played at least one match are considered for the purposes of first appearance . Teams that withdrew prior to the qualification , or that qualified to the World Cup by walkover due to other teams ' withdrawals , are not considered .     World Cup   Europe   South America   North , Central America and Caribbean   Asia   Africa   Oceania   Total     1934   Austria Belgium Bulgaria Czechoslovakia Estonia France Germany Greece Hungary Irish Free State Italy Lithuania Luxembourg Netherlands Poland Portugal Romania Spain Sweden Switzerland Yugoslavia   none   Cuba Haiti Mexico United States   Palestine , British Mandate   Egypt   none   27     1938   Finland Latvia Norway   none   none   none   none   none       1950   England Ireland Scotland Turkey Wales   none   none   Syria   none   none   6     1954   Saar   Brazil Chile Paraguay   none   Japan South Korea   none   none   6     1958   Denmark East Germany Iceland Soviet Union   Argentina Bolivia Colombia Peru Uruguay   Canada Costa Rica Guatemala Territory of Curaçao   China PR Indonesia   Sudan   none   16     1962   Cyprus   Ecuador   Dutch Guyana Honduras   none   Ethiopia Ghana Morocco Nigeria Tunisia   none   9     1966   Albania   Venezuela   Jamaica Trinidad and Tobago   North Korea   none   Australia   6     1970   none   none   Bermuda El Salvador   none   Algeria Cameroon Libya Rhodesia Senegal Zambia   New Zealand   9       Malta   none   Antigua and Barbuda Puerto Rico   Hong Kong Iran Iraq Kuwait Malaysia South Vietnam Thailand   Congo Dahomey Guinea Ivory Coast Kenya Lesotho Mauritius Sierra Leone Tanzania Togo Zaire   none   21     1978   none   none   Barbados Dominican Republic Guyana Panama   Bahrain Qatar Republic of China Saudi Arabia Singapore   Malawi Mauritania Niger Uganda Upper Volta   none   14     1982   none   none   Grenada   Macau   Gambia Liberia Madagascar Mozambique Somalia   Fiji   8     1986   none   none   none   Bangladesh Brunei Jordan India Nepal North Yemen South Yemen United Arab Emirates   Angola   none   9     1990   none   none   none   Oman Pakistan   Gabon   none       1994   Faroe Islands San Marino   none   Nicaragua Saint Lucia Saint Vincent and the Grenadines   Lebanon Sri Lanka   Botswana Burundi Namibia South Africa Swaziland   Solomon Islands Tahiti Vanuatu   15     1998   Armenia Azerbaijan Belarus Bosnia and Herzegovina Croatia Georgia Liechtenstein Macedonia Moldova Slovakia Slovenia Ukraine   none   Aruba Belize Cayman Islands Dominica Saint Kitts and Nevis   Cambodia Kazakhstan Kyrgyzstan Maldives Philippines Tajikistan Turkmenistan Uzbekistan   Guinea - Bissau Rwanda   Cook Islands Papua New Guinea Tonga Western Samoa   31     2002   Andorra   none   Anguilla Bahamas British Virgin Islands Montserrat Turks and Caicos Islands U.S. Virgin Islands   Guam Laos Mongolia Palestine   Cape Verde Central African Republic Chad Djibouti Equatorial Guinea Eritrea Mali São Tomé and Príncipe Seychelles   American Samoa   21     2006   none   none   none   Afghanistan   none   New Caledonia         Montenegro   none   none   Myanmar Timor - Leste   Comoros   Tuvalu   5     2014   none   none   none   none   none   none   0     2018   Gibraltar Kosovo   none   none   Bhutan   South Sudan   none       Total   215      Notes     ^ The Czechoslovakia team was officially renamed as the Representation of Czechs and Slovaks during the 1994 qualification , and was then succeeded by the Czech Republic ( first appearance : 1998 ) .   ^ Germany was later succeeded by West Germany ( first appearance : 1954 ) , which in turn was succeeded by the reunified Germany ( first appearance : 1994 ) .   ^ The Irish Free State was later succeeded by Ireland ( first appearance : 1950 ) , which later became officially known as the Republic of Ireland ( first appearance : 1954 ) .   ^ Italy had to qualify for the tournament despite being the host .   ^ The Kingdom of Yugoslavia was later succeeded by the Socialist Federal Republic of Yugoslavia ( first appearance : 1950 ) , which was then succeeded by the Federal Republic of Yugoslavia ( first appearance : 1998 ) , which was later renamed as Serbia and Montenegro ( first appearance : 2006 ) , which in turn was succeeded by Serbia ( first appearance : 2010 ) .   ^ Mandatory Palestine was later succeeded by Israel ( first appearance : 1950 ) .   ^ Egypt was later succeeded by the United Arab Republic , a political union between Egypt and Syria , which entered the 1962 qualification , but withdrew before playing any matches . Later , Egypt entered the 1966 qualification independently but still under the name `` United Arab Republic '' , but withdrew yet again before playing any matches . The team 's first appearance after it changed its name back to Egypt came in 1974 .   ^ Ireland was later succeeded by Northern Ireland ( first appearance : 1954 ) .   ^ Turkey entered the 1934 qualification , but withdrew before playing any matches .   ^ Brazil entered the 1934 and 1938 qualifications , but on both occasions qualified by walkover due to other teams ' withdrawals . It also qualified automatically for the 1950 World Cup as host .   ^ Chile entered the 1934 qualification , but withdrew before playing any matches . It also entered the 1950 qualification , but qualified by walkover due to other teams ' withdrawals .   ^ Paraguay entered the 1950 qualification , but qualified by walkover due to other teams ' withdrawals .   ^ Japan entered the 1938 qualification , but withdrew before playing any matches .   ^ The Soviet Union was later succeeded by Russia ( first appearance : 1994 ) .   ^ Argentina entered the 1934 qualification , but qualified by walkover due to other teams ' withdrawals . It also entered the 1938 and 1950 qualifications , but on both occasions withdrew before playing any matches .   ^ Bolivia entered the 1950 qualification , but qualified by walkover due to other teams ' withdrawals .   ^ Colombia entered the 1938 qualification , but withdrew before playing any matches .   ^ Peru entered the 1934 , 1950 and 1954 qualifications , but on all three occasions withdrew before playing any matches .   ^ Uruguay entered the 1950 qualification , but qualified by walkover due to other teams ' withdrawals . It also qualified automatically for the 1954 World Cup as defending champion .   ^ Costa Rica entered the 1938 qualification , but withdrew before playing any matches .   ^ The Territory of Curaçao ( six islands ) was later succeeded by the Netherlands Antilles ( first appearance : 1962 ) , which in turn was succeeded by Curaçao ( one island ; first appearance : 2014 ) .   ^ Indonesia entered the 1938 qualification as Dutch East Indies , but qualified by walkover due to other teams ' withdrawals . It also entered the 1950 qualification , but withdrew before playing any matches .   ^ Cyprus entered the 1958 qualification , but withdrew before playing any matches .   ^ Ecuador entered the 1950 qualification , but withdrew before playing any matches .   ^ Dutch Guyana entered the 1938 qualification , but withdrew before playing any matches . It was later succeeded by Suriname ( first appearance : 1978 ) .   ^ Venezuela entered the 1958 qualification , but withdrew before playing any matches .   ^ El Salvador entered the 1938 qualification , but withdrew before playing any matches .   ^ Algeria entered the 1966 qualification , but withdrew before playing any matches .   ^ Cameroon entered the 1966 qualification , but withdrew before playing any matches .   ^ Libya entered the 1966 qualification , but withdrew before playing any matches .   ^ Rhodesia was later succeeded by Zimbabwe ( first appearance : 1982 ) .   ^ Senegal entered the 1966 qualification , but withdrew before playing any matches .   ^ South Vietnam was later succeeded by Vietnam ( first appearance : 1994 ) .   ^ Dahomey was later renamed as Benin ( first appearance : 1986 ) .   ^ Guinea entered the 1966 qualification , but withdrew before playing any matches .   ^ Zaire was renamed as DR Congo during the 1998 qualification .   ^ The Republic of China entered the 1954 and 1958 qualifications , but on both occasions withdrew before playing any matches . It later became officially known as Chinese Taipei ( first appearance : 1982 ) .   ^ Upper Volta was later renamed as Burkina Faso ( first appearance : 1990 ) .   ^ Liberia entered the 1966 qualification , but withdrew before playing any matches .   ^ Madagascar entered the 1974 qualification , but withdrew before playing any matches .   ^ India entered the 1950 qualification , but qualified by walkover due to other teams ' withdrawals , and subsequently withdrew from participation in the finals . It also entered the 1974 qualification , but withdrew before playing any matches .   ^ North Yemen was later succeeded by Yemen ( first appearance : 1994 ) .   ^ The United Arab Emirates entered the 1978 qualification , but withdrew before playing any matches .   ^ Oman entered the 1986 qualification , but withdrew before playing any matches .   ^ Gabon entered the 1966 and 1974 qualifications , but on both occasions withdrew before playing any matches .   ^ Lebanon entered but was disqualified during the 1986 qualification , and the team 's matches from that campaign were annulled .   ^ Sri Lanka entered the 1974 and 1978 qualifications , but on both occasions withdrew before playing any matches .   ^ Liechtenstein entered the 1994 qualification , but withdrew before playing any matches .   ^ The Maldives entered the 1990 qualification , but withdrew before playing any matches .   ^ The Philippines entered the 1950 and 1974 qualifications , but on both occasions withdrew before playing any matches .   ^ Rwanda entered the 1990 qualification , but withdrew before playing any matches .   ^ Western Samoa entered the 1994 qualification , but withdrew before playing any matches . It was later renamed as Samoa ( first appearance : 2002 ) .   ^ The Bahamas entered the 1998 qualification , but withdrew before playing any matches .   ^ The Central African Republic entered the 1978 qualification , but withdrew before playing any matches . It also entered the 1982 qualification , but was disqualified before playing any matches .   ^ Mali entered the 1966 , 1994 and 1998 qualifications , but on all three occasions withdrew before playing any matches .   ^ São Tomé and Príncipe entered the 1994 qualification , but withdrew before playing any matches .   ^ Myanmar entered the 1950 ( as Burma ) , 1994 and 2002 qualifications , but on all three occasions withdrew before playing any matches .   ^ Tuvalu was not a member of FIFA at the time of qualification and had not entered the FIFA World Cup , although matches in the Football tournament of the South Pacific Games did count towards the qualification tournament for the OFC , and Tuvalu 's results did count in determining advancement from this stage .   ^ Bhutan entered the 2010 qualification , but withdrew before playing any matches .   ^ Confederation subtotals are not given because a few teams have appeared in World Cup qualifiers in multiple confederations .    National teams results in World Cup preliminary competition ( 1934 -- 2018 ) ( edit )     Legend     Team has won the World Cup     Team has qualified for the main tournament through a qualifying process     Team has qualified for the main tournament only by walkover ( Cuba and Indonesia )     Team has qualified for the main tournament by walkover but has n't participated there because it withdrew ( India )     Team has n't qualified for the main tournament but is assured of an automatic spot in 2022 as host ( Qatar )     Team has n't qualified for the main tournament     Defunct team that has qualified for the main tournament ( East Germany )     Defunct team that never qualified for the main tournament ( Saar and South Yemen )     Team is not a member of FIFA and is not eligible for the main tournament ( Tuvalu )     Teams in bold are still participating in the 2018 qualification . The table is updated to matches played in September 2017 .     Team   App 's   Overall qualification record   Points   Confederation     Pld         GF   GA   GD   Total   Avg     Mexico   16   173   112   37   24   431   122   + 309   373   2.156   CONCACAF     Costa Rica   16   170   85   42   43   293   173   + 120   297   1.747   CONCACAF     South Korea   14   135   82   36   17   264   86   + 178   282   2.089   AFC     Australia   14   137   80   34   23   356   110   + 246   274   2.000   AFC     Iran   10   128   78   34   16   267   81   + 186   268   2.094   AFC     Netherlands   18   123   80   24   19   291   92   + 199   264   2.146   UEFA     United States   18   152   76   36   40   261   179   + 82   264   1.737   CONCACAF     Spain   18   115   79   25   11   272   76   + 196   262   2.278   UEFA     Argentina   13   134   74   35   25   232   126   + 106   257   1.918   CONMEBOL     Portugal   20   137   74   33   30   258   139   + 119   255   1.861   UEFA     Sweden   19   127   78   20   29   258   119   + 139   254   2.000   UEFA     Serbia ( 2010 -- ) Serbia and Montenegro ( 2006 ) FR Yugoslavia ( 1998 -- 2002 ) SFR Yugoslavia ( 1950 -- 1990 ) Kingdom of Yugoslavia ( 1934 -- 1938 )   19   126   74   31   21   266   111   + 155   253   2.008   UEFA     Belgium   19   131   75   25   31   269   138   + 131   250   1.908   UEFA     Czech Republic ( 1998 -- ) Representation of Czechs and Slovaks ( 1994 ) Czechoslovakia ( 1934 -- 1994 )   19   136   73   29   34   259   115   + 144   248   1.824   UEFA     England   16   110   74   25   11   273   67   + 206   247   2.245   UEFA     Uruguay   16   152   68   41   43   214   162   + 52   245   1.612   CONMEBOL     Italy   16   105   73   24   8   219   67   + 152   243   2.314   UEFA     Russia ( 1994 -- ) Soviet Union ( 1958 -- 1990 )   15   115   73   23   19   227   75   + 152   242   2.104   UEFA     Honduras   14   146   68   38   40   250   167   + 83   242   1.658   CONCACAF     Germany ( 1994 -- ) West Germany ( 1954 -- 1990 ) Germany ( 1934 -- 1938 )   14   92   72   18     284   68   + 216   234   2.543   UEFA     Saudi Arabia   11   118   68   28   22   232   93   + 139   232   1.966   AFC     Brazil   12   108   67   29   12   237   70   + 167   230   2.130   CONMEBOL     Japan   14   120   68   26   26   247   85   + 162   230   1.917   AFC     Paraguay   17   152   65   30   57   199   187   + 12   225   1.480   CONMEBOL     Romania   17   126   66   25   35   219   132   + 87   223   1.770   UEFA     Switzerland   19   128   62   32   34   199   142   + 57   218   1.703   UEFA     El Salvador   13   140   63   28   49   233   168   + 65   217   1.550   CONCACAF     Colombia   16   150   57   45   48   178   156   + 22   216   1.440   CONMEBOL     China PR   11   108   66   16   26   230   74   + 156   214   1.981   AFC     France   17   109   63   23   23   213   87   + 126   212   1.945   UEFA     Scotland   18   123   61   27   35   189   134   + 55   210   1.707   UEFA     Chile   15   144   60   29   55   215   191   + 24   209   1.451   CONMEBOL     Bulgaria   19   127   60   26   41   208   175   + 33   206   1.622   UEFA     Republic of Ireland ( 1954 -- ) Ireland ( 1950 ) Irish Free State ( 1934 -- 1938 )   20   137   54   42   41   195   164   + 31   204   1.489   UEFA     Nigeria   14   102   57   29   16   174   77   + 97   200   1.961   CAF     Austria   18   121   57   28   36   208   134   + 74   199   1.645   UEFA     Hungary   18   120   57   26   37   213   158   + 55   197   1.642   UEFA     Denmark   15   118   56   28   34   205   139   + 66   196   1.661   UEFA     Tunisia   14   102   56   27   19   176   83   + 93   195   1.912   CAF     Poland   18   115   58   21   36   218   140   + 78   195   1.696   UEFA     Trinidad and Tobago   14   135   54   27   54   198   179   + 19   189   1.400   CONCACAF     Morocco   14   109   49   38   22   145   80   + 65   185   1.697   CAF     Greece   19   124   52   28   44   152   166   − 14   184   1.484   UEFA     Guatemala   15   122   49   31   42   194   150   + 44   178   1.459   CONCACAF     Canada   14   117   48   34   35   161   136   + 25   178   1.521   CONCACAF     New Zealand   13   94   53   17   24   221   97   + 124   176   1.872   OFC     Ecuador   15   141   47   33   61   167   197   − 30   174   1.234   CONMEBOL     Qatar   11   112   50   22   40   181   121   + 60   172   1.536   AFC     Cameroon   13   85   50   21   14   140   64   + 76   171   2.012   CAF     Egypt   14   91   51   18   22   162   87   + 75   171   1.879   CAF     Iraq   11   101   48   24   29   201   103   + 98   168   1.663   AFC     Uzbekistan   6   94   49   19   26   177   95   + 82   166   1.766   AFC     Turkey   17   126   47   23   56   174   182   − 8   164   1.302   UEFA     Northern Ireland ( 1954 -- ) Ireland ( 1950 )   18   130   43   35   52   148   156   − 8   164   1.262   UEFA     Peru   16   145   42   34   69   161   210   − 49   160   1.103   CONMEBOL     Kuwait   12   93   48   14   31   160   92   + 68   158   1.699   AFC     Norway   18   124   42   30   52   161   178   − 17   156   1.258   UEFA     Zambia   13   94   45   19   30   143   85   + 58   154   1.638   CAF     Israel ( 1950 -- ) Palestine , British Mandate ( 1934 -- 1938 )   20   120   39   34   47   165   177   − 12   151   1.258   UEFA     Ivory Coast   11   76   41   24   11   144   65   + 79   147   1.934   CAF     United Arab Emirates   9   97   42   20   35   161   111   + 50   146   1.505   AFC     Bolivia   16   148   39   28   81   175   280   − 105   145   0.980   CONMEBOL     Ghana   13   81   40   20   21   131   65   + 66   140   1.728   CAF     Algeria   13   87   39   23   25   123   89   + 34   140   1.609   CAF     Jamaica   11   104   37   27   40   115   132   − 17   138   1.327   CONCACAF     North Korea   10   83   39   19   25   116   77   + 39   136   1.639   AFC     Haiti   14   90   39   17   34   152   120   + 32   134   1.489   CONCACAF     Wales   18   118   36   26   56   150   169   − 19   134   1.136   UEFA     Syria   14   82   36   19   27   172   94   + 78   127   1.549   AFC     Ukraine   6   68   34   22   12   106   50   + 56   124   1.824   UEFA     DR Congo ( 1998 -- ) Zaire ( 1974 -- 1998 )   10   74   34   17   23   123   82   + 41   119   1.608   CAF     Croatia   6   58   34   16   8   101   45   + 56   118   2.034   UEFA     Bahrain   10   88   31   25   32   105   94   + 11   118   1.341   AFC     Finland   19   127   32   21   74   131   284   − 153   117   0.921   UEFA     Guinea   12   73   35   10   28   112   90   + 22   115   1.575   CAF     Slovakia   6   62   31   14   17   107   63   + 44   107   1.726   UEFA     Oman   8   70   29   19   22   115   70   + 45   106   1.514   AFC     Panama   11   92   26   22   44   102   152   − 50   100   1.087   CONCACAF     Jordan   9   70   28   14   28   105   92   + 13   98   1.400   AFC     Iceland   13   104   26   19   59   111   215   − 104   97   0.933   UEFA     Venezuela   13   138   24   24   90   119   314   − 195   96   0.696   CONMEBOL     Angola   9   61   24   22   15   79   57   + 22   94   1.541   CAF     Bosnia and Herzegovina   6   56   27   10   19   107   64   + 43   91   1.625   UEFA     Senegal   12   60   23   22   15   84   55   + 29   91   1.517   CAF     Thailand   12   89   24   18   47   116   156   − 40   90   1.011   AFC     South Africa   7   47   27   8   12   62   40   + 22   89   1.894   CAF     Slovenia   6   60   25   14   21   79   65   + 14   89   1.483   UEFA     Burkina Faso ( 1990 -- ) Upper Volta ( 1978 )   8   58   25   10   23   82   75   + 7   85   1.466   CAF     Kenya   12   68   23   16   29   77   91   − 14   85   1.250   CAF     Hong Kong   12   73   23   14   36   91   128   − 37   83   1.137   AFC     Cuba   12   68   20   20   28   85   102   − 17   80   1.176   CONCACAF     Zimbabwe ( 1982 -- ) Rhodesia ( 1970 )   10   61   21   16   24   62   75   − 13   79   1.295   CAF     Togo   10   63   21   14   28   68   86   − 18   77   1.222   CAF     Libya   10   54   21   12   21   62   60   + 2   75   1.389   CAF     Congo   9   60   21   12   27   68   80   − 12   75   1.250   CAF     East Germany   9   47   22   8   17   87   65   + 22   74   1.574   defunct     Gabon   8   55   21   10   24   57   62   − 5   73   1.327   CAF     Indonesia   12   71   19   16   36   87   143   − 56   73   1.028   AFC     Solomon Islands   7   54   21   9   24   112   113   − 1   72   1.333   OFC     Lebanon   7   56   19   14   23   87   77   + 10   71   1.268   AFC     Suriname ( 1978 -- ) Dutch Guyana ( 1962 -- 1974 )   14   65   19   14   32   91   111   − 20   71   1.092   CONCACAF     Fiji   9   53   20   10   23   111   98   + 13   70   1.321   OFC     Latvia   8   73   18   14   41   78   130   − 52   68   0.932   UEFA     Albania   12   102   18   14   70   72   184   − 112   68   0.667   UEFA     Singapore   11   68   19   10   39   74   121   − 47   67   0.985   AFC     Lithuania   9   71   17   15   39   58   109   − 51   66   0.930   UEFA     New Caledonia     35   18   8   9   87   36   + 51   62   1.771   OFC     Malaysia   12   59   16   14   29   69   111   − 42   62   1.051   AFC     Sudan   12   64   15   17   32   56   101   − 45   62   0.969   CAF     Tahiti   7   43   17   8   18   66   81   − 15   59   1.372   OFC     Malawi   10   58   14   16   28   56   83   − 27   58   1.000   CAF     Cyprus   15   112   15   13   84   86   293   − 207   58   0.518   UEFA     Liberia   9   58   15   12   31   39   84   − 45   57   0.983   CAF     Curaçao ( 2014 -- ) Netherlands Antilles ( 1962 -- 2010 ) Territory of Curaçao ( 1958 )   16   60   13   18   29   53   116   − 63   57   0.950   CONCACAF     Turkmenistan   6   40   17   5   18   64   59   + 5   56</t>
  </si>
  <si>
    <t xml:space="preserve">number of countries that qualify for world cup</t>
  </si>
  <si>
    <t xml:space="preserve"> The FIFA World Cup qualification is the process that a national association football team goes through to qualify for the FIFA World Cup finals . The FIFA World Cup is the largest international team sport competition in the world with a qualification process required to reduce the large field of countries from 211 to just 32 for the World Cup finals until the 2022 edition . </t>
  </si>
  <si>
    <r>
      <rPr>
        <sz val="11"/>
        <color rgb="FF000000"/>
        <rFont val="Calibri"/>
        <family val="0"/>
        <charset val="1"/>
      </rPr>
      <t xml:space="preserve">Mazda CX - 9 - wikipedia  Mazda CX - 9  Jump to : navigation , search    Mazda CX - 9         Overview     Manufacturer   Mazda     Production   2006 - present     Model years   2006 - present     Assembly   Hiroshima Plant , Hiroshima , Japan     Body and chassis     Class   Mid-size crossover SUV     Body style   5 - door SUV     The Mazda CX - 9 is a mid-size crossover SUV manufactured since 2006 by Mazda in Japan at its Ujina 1 plant in Hiroshima Prefecture .   Despite being built in Japan , the CX - 9 is not sold in Japan 's domestic market , as it exceeds Japanese government dimension regulations and the engine displacement obligates a large annual road tax bill . Instead , the closely related Mazda CX - 8 is sold in the Japanese market .     Contents  ( hide )   1 First generation ( 2006 -- 15 )   1.1 2010 facelift   1.2 2013 facelift     2 Second generation ( 2016 -- present )   3 Awards   4 Sales   5 References      First generation ( 2006 -- 15 ) ( edit )     Mazda CX - 9         Overview     Manufacturer   Mazda     Production   2006 -- 2015     Assembly   Hiroshima Plant , Hiroshima , Japan     Designer   Kaname Sawai ( 2004 )     Body and chassis     Class   Mid-size crossover SUV     Body style   5 - door SUV     Layout   Transverse front engine , front - wheel drive / all - wheel drive     Platform   Ford CD3 platform     Related   Ford Edge Ford Fusion Mercury Milan Lincoln MKZ Mazda6     Powertrain     Engine   3.5 L MZI V6 ( 2007 ) 3.7 L MZI V6 ( 2008 -- 2015 )     Transmission   Six - speed F21 automatic     Dimensions     Wheelbase   2,875 mm ( 113.2 in )     Length   5,075 mm ( 199.8 in )     Width   1,935 mm ( 76.2 in )     Height   2007 - 09 : 1,730 mm ( 68 in ) 2007 - 09 Grand Touring : 1,735 mm ( 68.3 in ) 2010 - 15 : 1,727 mm ( 68.0 in )     Curb weight   2,054 kg ( 4,528 lb ) ( approx . )     Chronology     Predecessor   Mazda MPV     The first - generation CX - 9 was originally fitted with a 3.5 L Ford V6 engine , but , in 2008 the engine was changed to a 3.7 L unit producing 204 kW ( 274 hp ) and 366 N ⋅ m ( 270 lb ⋅ ft ) of torque . This engine was coupled with a six - speed automatic transmission . The first generation is based on the Ford CD3 platform that is shared with many Ford and Mazda models . Standard safety equipment included blind - spot monitoring , rearview mirror - mounted backup camera , collision avoidance , electronic stability control , traction control , roll stability control , front - side impact airbags , and three - row side - curtain airbags .   2010 facelift ( edit )   For the 2010 model , the Mazda CX - 9 received a minor facelift consisting of a new front fascia . Three - zone climate control and a Bluetooth hands - free interface were now standard features .            2010 facelift           2010 facelift        2013 facelift ( edit )   For the 2013 model year , the CX - 9 received a refresh that included a new grille , new headlights , and restyled front vents .            2013 facelift           2013 facelift        Second generation ( 2016 -- present ) ( edit )     Second Generation         Overview     Type   Mid-size crossover SUV     Production   2016 - present     Model years   2016 - present     Body and chassis     Body style   5 - door SUV     Layout   Transverse front engine     Powertrain     Engine   2.5 L Turbo 4 Cylinder Direct Injection     Dimensions     Wheelbase   2,930 mm ( 115 in )     Length   5,075 mm ( 199.8 in )     Width   1,969 mm ( 77.5 in )     Height   1,747 mm ( 68.8 in )     Curb weight   1,924 kg ( 4,242 lb )    Mazda CX - 9 ( US )  At the 2015 Los Angeles Auto Show , Mazda revealed the second generation CX - 9 nine years after the previous version launched . The 2016 Mazda CX - 9 is brand new , and is based on the SkyActiv platform and engines that are shared with new Mazdas introduced after 2011 . The second generation Mazda CX - 9 uses a turbocharged version of the 2.5 - litre four - cylinder SkyActiv - G petrol engine , producing 227 hp on 87 octane fuel and 250 hp on premium fuel and 470 Nm of torque ( 310 lb - ft ) . The engine is joined with a six - speed automatic transmission . The new exterior design follows Mazda 's Kodo design philosophy . It is shorter than before , but rides on a longer wheelbase , resulting in shorter front and rear overhangs . Weight is also down 90 kilograms ( 190 lbs ) in FWD and 130 kilograms ( 287 lbs ) in AWD versions ,   Mazda added many new active safety systems on the new CX - 9 . These include the Blind Spot Monitoring , Radar Cruise Control with a Stop / Start function , Lane Keep Assist , Lane Departure Warning , High Beam Control , Autonomous Emergency Braking ( low &amp; high speed ) . All models come standard with Autonomous Emergency Braking ( low - speed ) and Blind - Spot Monitoring ( in most markets ) .   It was also revealed and shown in Indonesia at the 25th Gaikindo Indonesia International Auto Show in South Tangerang on 10 August 2017 , and launched in Jakarta on 1 February 2018 .   Awards ( edit )   In 2008 , the first - generation Mazda CX - 9 was awarded Motor Trend SUV of the Year . Also , it was selected for the North American Truck of the Year award in 2008 .   In Australia , the second - generation Mazda CX - 9 was awarded the 2017 Wheels Car of the Year .   Car and Driver named the CX - 9 the best midsize SUV in it 's annual 10 Best Trucks and SUVs for 2017 and 2018   Sales ( edit )     Calendar year   US sales     2013   24,628     2014   18,496     2015   18,048     2016   16,051     2017   25,828     References ( edit )       Wikimedia Commons has media related to Mazda CX - 9 .      Jump up ^ `` Models Available '' . Mazda Japan . Retrieved 20 August 2017 .   Jump up ^ `` 2018 10Best Trucks and SUVs : Our Top Picks in Every Segment Feature Car and Driver '' . Car and Driver . Retrieved 2018 - 03 - 06 .   Jump up ^ `` 2017 10Best Trucks and SUVs : The Best in Every Segment -- Feature -- Car and Driver '' . Car and Driver . Retrieved 2018 - 03 - 06 .   Jump up ^ https://insidemazda.mazdausa.com/press-release-category/corporate-news/sales-news              `` previous -- Mazda road car timeline , 1990s -- present     Type   1990s   2000s   2010s     0           5   6   7   8   9   0           5   6   7   8   9   0           5   6   7     Kei car / Microvan / Kei truck   Autozam Carol   Carol   Carol   Carol   Carol   Carol       AZ - Wagon   AZ - Wagon   AZ - Wagon   AZ - Wagon   Flair     Flair Wagon   Flair Wagon       AZ - Offroad   Flair Crossover         Spiano         Laputa         Autozam Scrum   Scrum / Scrum Wagon   Scrum / Scrum Wagon     Subcompact   Autozam Revue / 121   Demio / 121   Demio / Mazda2   Demio / Mazda2   Demio / Mazda2         Verisa       Compact   Familia / 323 / Protegé / Astina / Eunos 100   Familia / 323 / Protegé / Lantis   Familia / 323 / Protegé   Axela / Mazda3   Axela / Mazda3   Axela / Mazda3       Familia Van   Familia Van   Familia Van     Mid-size   Capella / 626   Capella   Capella / 626   Atenza / Mazda6   Atenza / Mazda6   Atenza / Mazda6     Persona   Cronos / 626 / Xedos 6 / Eunos 500 / ɛ̃fini MS - 6 / Autozam Clef       Eunos 800 / Xedos 9 / Millenia ɛ̃fini MS - 8         Full - size   Luce   Sentia / 929 / ɛ̃fini MS - 9   Sentia         Sports car     Autozam AZ - 1             MX - 3 / Eunos Presso / Autozam AZ - 3           Eunos Roadster / MX - 5 / Miata   Roadster / MX - 5 / Miata   Roadster / MX - 5   Roadster / MX - 5     MX - 6 / 626 Coupé   MX - 6           ɛ̃fini RX - 7 / RX - 7   RX - 7   RX - 8       Eunos Cosmo             Minivan     Premacy   Premacy / Mazda5   Premacy / Mazda5       Bongo Friendee     Biante     ɛ̃fini MPV / MPV   MPV   MPV / Mazda8       Crossover SUV         CX - 3           CX - 4         Tribute   Tribute   CX - 5   CX - 5         CX - 7     CX - 8         CX - 9   CX - 9     SUV     Navajo           Pickup   B - Series   B - Series   B - Series   BT - 50   BT - 50     Van / Minibus   Bongo   Bongo               Mazda     Current      Cars     Carol   Demio / Mazda2   Axela / Mazda3   Atenza / Mazda6   Roadster / MX - 5       SUVs / Crossovers     CX - 3   CX - 4   CX - 5   CX - 9       Minivans     A-Z Wagon   Familia Van       Pickup trucks     Scrum   BT - 50       Commercial Vans     Scrum Van   Scrum Wagon       Commercial Trucks     Titan          Discontinued models     Mazdago   K360   R360   ɛ̃fini MS - 8   Biante   Bongo   B - Series   121   626   929   AZ - 1   AZ - Offroad   Capella   Cosmo   Cronos   CX - 7   Familia   Luce   Persona   Premacy / Mazda5   Millenia   MPV / Mazda8   MX - 3   MX - 6   Navajo   Revue   RX - 7   RX - 8   Savanna   Sentia   Spiano   Tribute   Verisa   Xedos 6 / Eunos 500   Parkway       Engines     V - twin Engine   OHV engine   xC engine   E engine   F engine   Diesel engine   G engine   B engine   Z engine   L engine   Keicar Engine   YF Engine   SkyActiv - G   SkyActiv - D   J Engine   K Engine   AJ / MZI   Wankel Family       International operations     Mazda North American Operations   Changan Mazda ( 50 % )   Changan Ford Mazda ( 15 % )   AutoAlliance International ( 50 % )   AutoAlliance Thailand ( 50 % )       See also     Mazda road vehicle timeline   List of Mazda vehicles   Mazda Factories   Ford Motor Company   ɛ̃fini   Autozam   Eunos   Amati   M2   Zoom - Zoom       Mazda Global  Mazda Europe Mazda Japan Mazda USA Mazda Canada    ( Cars   Category )                 Mazda automobile timeline , North American market , 1980s -- present     Type   1980s   1990s   2000s   2010s     Model year   0           5   6   7   8   9   0           5   6   7   8   9   0           5   6   7   8   9   0           5   6   7   8     Subcompact   GLC   GLC           Mazda2         323   323 / Protegé           Compact       Protegé   Protegé   Mazda3   Mazda3   Mazda3     626   626   626           Mid-size       626   626   Mazda6   Mazda6   Mazda6         Millenia         Full - size     929   929           Sport compact       MX - 3             MX - 6   MX - 6           Sports     MX - 5 Miata   MX - 5 Miata   MX - 5 Miata   MX - 5 Miata     RX - 7   RX - 7   RX - 7       RX - 8       Minivan         Mazda5     Mazda5 *         MPV   MPV         Compact crossover           CX - 3           Tribute     Tribute     CX - 5   CX - 5     Mid-size crossover         CX - 7       Full - size crossover         CX - 9   CX - 9     SUV       Navajo           Pickup   B - Series   B - Series   B - Series   B - Series       * Mazda5 only available in Canada since 2015    Retrieved from `` https://en.wikipedia.org/w/index.php?title=Mazda_CX-9&amp;oldid=832163377 '' Categories :   Mazda vehicles   Crossover sport utility vehicles   All - wheel - drive vehicles   Ford CD3 platform   Front - wheel - drive vehicles   2000s automobiles   2010s automobiles   Cars introduced in 2006   Hidden categories :   All articles with unsourced statements   Articles with unsourced statements from August 2017           Talk                                           Contents                   About Wikipedia                                                 Català   Deutsch   Español   فارسی   Français   Bahasa Indonesia   Italiano   Монгол   Nederlands   </t>
    </r>
    <r>
      <rPr>
        <sz val="11"/>
        <color rgb="FF000000"/>
        <rFont val="Noto Sans CJK SC"/>
        <family val="2"/>
      </rPr>
      <t xml:space="preserve">日本 語   </t>
    </r>
    <r>
      <rPr>
        <sz val="11"/>
        <color rgb="FF000000"/>
        <rFont val="Calibri"/>
        <family val="0"/>
        <charset val="1"/>
      </rPr>
      <t xml:space="preserve">Polski   Português   Русский   Svenska   ไทย   Türkçe   Українська   </t>
    </r>
    <r>
      <rPr>
        <sz val="11"/>
        <color rgb="FF000000"/>
        <rFont val="Noto Sans CJK SC"/>
        <family val="2"/>
      </rPr>
      <t xml:space="preserve">中文  </t>
    </r>
    <r>
      <rPr>
        <sz val="11"/>
        <color rgb="FF000000"/>
        <rFont val="Calibri"/>
        <family val="0"/>
        <charset val="1"/>
      </rPr>
      <t xml:space="preserve">9 more  Edit links   This page was last edited on 24 March 2018 , at 06 : 16 .         About Wikipedia                    </t>
    </r>
  </si>
  <si>
    <t xml:space="preserve">is mazda cx 9 same as ford edge</t>
  </si>
  <si>
    <t xml:space="preserve">   Mazda CX - 9         Overview     Manufacturer   Mazda     Production   2006 -- 2015     Assembly   Hiroshima Plant , Hiroshima , Japan     Designer   Kaname Sawai ( 2004 )     Body and chassis     Class   Mid-size crossover SUV     Body style   5 - door SUV     Layout   Transverse front engine , front - wheel drive / all - wheel drive     Platform   Ford CD3 platform     Related   Ford Edge Ford Fusion Mercury Milan Lincoln MKZ Mazda6     Powertrain     Engine   3.5 L MZI V6 ( 2007 ) 3.7 L MZI V6 ( 2008 -- 2015 )     Transmission   Six - speed F21 automatic     Dimensions     Wheelbase   2,875 mm ( 113.2 in )     Length   5,075 mm ( 199.8 in )     Width   1,935 mm ( 76.2 in )     Height   2007 - 09 : 1,730 mm ( 68 in ) 2007 - 09 Grand Touring : 1,735 mm ( 68.3 in ) 2010 - 15 : 1,727 mm ( 68.0 in )     Curb weight   2,054 kg ( 4,528 lb ) ( approx . )     Chronology     Predecessor   Mazda MPV   </t>
  </si>
  <si>
    <r>
      <rPr>
        <sz val="11"/>
        <color rgb="FF000000"/>
        <rFont val="Calibri"/>
        <family val="0"/>
        <charset val="1"/>
      </rPr>
      <t xml:space="preserve">Car wash ( film ) - wikipedia  Car wash ( film )       This section possibly contains original research . Please improve it by verifying the claims made and adding inline citations . Statements consisting only of original research should be removed . ( June 2014 ) ( Learn how and when to remove this template message )       Car Wash     The poster for the film     Directed by   Michael Schultz     Produced by   Art Linson Gary Stromberg     Written by   Joel Schumacher     Starring     Franklyn Ajaye   Bill Duke   George Carlin   Irwin Corey   Ivan Dixon   Antonio Fargas   Jack Kehoe   Clarence Muse   Lorraine Gary   The Pointer Sisters   Richard Pryor       Music by   Norman Whitfield     Distributed by   Universal Pictures     Release date   October 22 , 1976 ( 1976 - 10 - 22 )     Running time   97 minutes     Country   United States     Language   English     Car Wash is a 1976 American comedy film released by Universal Pictures . The Art Linson Production was directed by Michael Schultz from a screenplay by Joel Schumacher . Starring Franklyn Ajaye , Bill Duke , George Carlin , Irwin Corey , Ivan Dixon , Antonio Fargas , Jack Kehoe , Clarence Muse , Lorraine Gary , The Pointer Sisters , and Richard Pryor , Car Wash is an episodic comedy about a day in the lives of the employees and the owner , Mr. B ( Sully Boyar ) , of a Los Angeles , California car wash ( filmed at a Westlake car wash at the corner of Rampart Blvd. and 6th St . ) .   Contents  ( hide )   1 Overview   2 Cast ( in alphabetical order )   2.1 Other actors     3 Production   4 Reception   5 Music   6 Versions   7 Notes   8 References   9 External links    Overview ( edit )   Originally conceived as a musical , Car Wash deals with the exploits of a close - knit , multiracial group of employees at a Los Angeles car wash . In an episodic fashion , the film covers a full day , during which all manner of strange visitors make cameo appearances , including Lorraine Gary as a hysterical wealthy woman from Beverly Hills dealing with a carsick son . Richard Pryor also appears in a cameo as a money - hungry evangelist named ' Daddy Rich ' who preaches a pseudo-gospel of prosperity theology ; The Pointer Sisters play the parts of his loyal ( and singing ) entourage , The Wilson Sisters .   One main character is Abdullah , formerly Duane ( Bill Duke ) , a Black Muslim revolutionary . Among his other misadventures in the film , he must deal with a man ( `` Professor '' Irwin Corey ) who fits the profile of the notorious `` pop bottle bomber '' being sought that day by the police . It causes employees , customers , and the owner of the car wash , Mr. B ( Sully Boyar ) , to fear for their lives , but the strange man 's `` bomb '' is simply a urine sample he is taking to the hospital .   Mr. B 's son Irwin ( Richard Brestoff ) , a left - wing college student who smokes pot in the men 's restroom and carries around a copy of Quotations from Chairman Mao , insists on spending a day with the `` working class '' employees , since he considers them `` brothers '' in the `` struggle '' . As he gets ready to go to work , he sets off motion sensors that give him the first `` human car wash '' , which he takes in a good - natured ( if pot - induced ) stride .   George Carlin appears as a taxi driver searching fruitlessly for a prostitute who stiffed him for a fare . The prostitute , Marleen , has her own hopes shattered as a customer with whom she apparently has fallen in love with has given her a false telephone number .   Ex-con Lonnie ( Ivan Dixon ) is the foreman of the car wash who tries to mentor Abdullah while struggling to raise two young children and fend off his parole officer ( Jason Bernard ) . Abdullah confronts Lindy ( Antonio Fargas ) and sharply criticizes his cross-dressing , to which Lindy coolly replies , `` I 'm more man than you 'll ever be and more woman than you 'll ever get '' .   T.C. ( Franklin Ajaye ) is another young employee who is determined to win a radio call - in contest to win tickets for a rock concert and to convince his estranged girlfriend Mona , who works as a waitress in a diner across the street , to accompany him .   Floyd and Lloyd are musicians who have an audition for an agent at the end of their shift and spend the entire movie doing their jazz - blues dance moves in front of bewildered customers .   Justin clashes with his girlfriend , Loretta , who wants him to go back to college , but he refuses out of the feeling that a black man like him will not get anywhere in the world with any kind of education . Justin 's elderly grandfather , Snapper , works as the shoe shine man at the car wash and is a follower of Daddy Rich .   Other employees include womanizer Geronimo ; Scruggs ( Jack Kehoe ) , a cowboy who works as the gas pump operator ; Hippo , an overweight employee who briefly hooks up with Marleen the prostitute ; Chuco , a scheming Latino employee ; Goody , a Native American employee ; Charlie , a scruffy middle - aged employee ; Sly ( Garrett Morris ) , a con artist employee and bookie who later gets arrested right at the car wash for a series of unpaid parking tickets ; and Earl , who has the attitude of being superior to his colleagues because he does n't get wet , he would appear to think that he is the supervisor at the car wash .   Among everything , Mr. B constantly makes passes against the receptionist Marsha ( Melanie Mayron ) as an escape from his troubled home life . Mr. B is constantly tense and worried throughout the film as he fears about his car wash going out of business due to a competitor a few miles down the street . Lonnie , on the other hand , is full of ideas on how to save the car wash that he can not get Mr. B or anyone else to listen to , mostly due to Mr. B being a cheapskate .   Later at the end of the movie , Abdullah , after being fired by Mr. B for his unexplained absences , appears in the office with a gun while Lonnie is closing up , intending to rob the business . Lonnie talks him out of it , and the two commiserate at the status society has imposed on them : two proud men forced to work at a meaningless job for meager pay . It 's a melancholy ending to the day as they all go their separate ways , knowing that they 'll be back tomorrow to do it all over again .   Cast ( in alphabetical order ) ( edit )    Franklyn Ajaye as T.C.   Sully Boyar as Leon ' Mr B . ' Barrow   Richard Brestoff as Irwin Barrow   George Carlin as the Taxi Driver   Irwin Corey as The Mad Bomber   Ivan Dixon as Lonnie   Bill Duke as Duane - Abdullah   Antonio Fargas as Lindy   Lauren Jones as Marleen   Michael Fennell as Calvin   Arthur French as Charlie   Lorraine Gary as the Hysterical Lady   Darrow Igus as Floyd   Leonard Jackson as Earl   DeWayne Jessie ( a.k.a. Otis Day ) as Lloyd   Jack Kehoe as Scruggs   Henry Kingi as Goody   Melanie Mayron as Marsha   Garrett Morris as Slide   Clarence Muse as Snapper   Leon Pinkney as Justin   The Pointer Sisters as The Wilson Sisters   Richard Pryor as Daddy Rich   Tracy Reed as Mona   Pepe Serna as Chuco   James Spinks as Hippo   Ray Vitte as Geronimo   Renn Woods as Loretta   Brooke Adams as Terry   Antonie Becker as Charlene   Danny DeVito as Joe   Antar Mubarak as Sonny Fredericks   Otis Sistrunk as Otis   Tim Thomerson as Ken    Other actors ( edit )   Danny DeVito and Brooke Adams appeared in the movie as Joe and Terry , the owners of a food stand called ' Big Joe 's Dog House ' which is located next to the car wash . Though they had speaking roles , nearly all of their scenes were deleted from the theatrical version and they are only seen in the background . Their scenes were restored for the edited television version .   The film also featured the speaking voices of local L.A. disc jockeys Jay Butler , J.J. Jackson , Rod McGrew , Sarina C. Grant , and Cleveland 's Billy Bass , all heard in the background of the film on the fictional `` KGYS '' radio station .   Production ( edit )   Originally the project was intended as a stage production , which would feature a replicate car wash on stage . The hope was that , if successful , the project could be adapted as a movie . Upon telling the idea to then head of Universal Ned Tanen , the producers were persuaded to make the film version instead . Joel Schumacher was chosen to write based on his work writing `` Sparkle ''   Unusual for film production , the sound track was recorded prior to filming of the movie . The director wanted the actors to actually listen to the same music that would later be added in Post Production while filming the scenes .   Reception ( edit )   When the film was originally released , it received mediocre reviews ( though Roger Ebert praised the film , calling it `` a wash - and - wax M * A * S * H '' ) and was not considered a major success . Since its initial release , it has had a small but constant following as a cult film , some notable disciples including Michael Bay and Sandford Bay . The film won the Best Music Award and the Technical Grand Prize at the 1977 Cannes Film Festival plus a nomination for Golden Palm . In the same year it was nominated for Golden Globe , plus it won a Grammy for Best Album of Original Score written for a Motion Picture or Television Special .   Gay film historian Vito Russo cites the character Lindy , played by Antonio Fargas , as being both funny and challenging through his gay militancy . Russo deems Lindy 's response to the militant Abdullah as being potentially revolutionary had it not been placed strictly within a comedic context . African American cultural critic Angela Nelson identifies Lindy as a `` sophisticated sissy . '' The `` sophisticated sissy '' characterization is often used as an easy contrast to the `` appropriate '' masculine behaviour that heterosexual black male characters are expected to display .   Music ( edit )  Main article : Car Wash ( soundtrack )  Car Wash , recorded by Rose Royce , was a major success , yielding three Billboard R&amp;B Top Ten singles : `` Car Wash '' , `` I Wanna Get Next to You '' , and `` I 'm Going Down '' . The title track , written and produced by Norman Whitfield , was a # 1 hit and was one of the biggest hit singles of the disco era . Meanwhile , The Pointer Sisters ' `` You Gotta Believe '' -- which the group performed during their cameo in the film -- was a Top Twenty R&amp;B hit . The Car Wash soundtrack won a 1977 Grammy Award for Best Score Soundtrack Album .   Versions ( edit )   Car Wash had its network television premiere on NBC Monday Night at the Movies in 1978 . Along with the standard dubbing of strong language , many scenes that included the gay character Lindy ( Fargas ) were trimmed or deleted . To replace these shortened scenes , and therefore shortened film , a subplot of a diner owner ( Danny DeVito ) ( scenes shot for the theatrical version but cut prior to release ) were re-inserted . As of 2013 , commercially available versions of the movie were of the original theatrical release , not the revised TV version .   Notes ( edit )    ^ Jump up to : Rabin , Nathan . `` Joel Schumacher '' . Avclub . Retrieved 10 January 2018 .   Jump up ^ Rose Royce bio   Jump up ^ `` Liner notes '' . Car Wash , motion picture soundtrack . 1976 .   Jump up ^ `` Festival de Cannes : Car Wash '' . festival-cannes.com . Archived from the original on 2011 - 09 - 24 . Retrieved 2009 - 05 - 10 .   Jump up ^ Russo , pp. 228 -- 29   Jump up ^ Means Coleman , p. 142   Jump up ^ allmusic Biography    References ( edit )    Means Coleman , Robin R. ( 1998 ) . African American Viewers and the Black Situation Comedy : Situating Racial Humor . Taylor &amp; Francis . ISBN 0 - 8153 - 3125 - 8 .   Russo , Vito ( 1987 ) . The Celluloid Closet : Homosexuality in the Movies ( rev . ed . ) . New York , Harper &amp; Row . ISBN 0 - 06 - 096132 - 5 .    External links ( edit )       Wikiquote has quotations related to : Car Wash ( film )      Car Wash on IMDb   Car Wash at the TCM Movie Database   Car Wash at AllMovie   Car Wash at Rotten Tomatoes      hide         Films directed by Michael Schultz       Together for Days ( 1972 )   Honeybaby , Honeybaby ( 1974 )   Cooley High ( 1975 )   Car Wash ( 1976 )   Greased Lightning ( 1977 )   Which Way Is Up ? ( 1977 )   Sgt . Pepper 's Lonely Hearts Club Band ( 1978 )   Scavenger Hunt ( 1979 )   Carbon Copy ( 1981 )   The Jerk , Too ( 1984 )   The Last Dragon ( 1985 )   Krush Groove ( 1985 )   Timestalkers ( 1987 )   Disorderlies ( 1987 )   Tarzan in Manhattan ( 1989 )   Livin ' Large ! ( 1991 )   Day - O ( 1992 )   Shock Treatment ( 1995 )   Killers in the House ( 1998 )   L.A. Law : The Movie ( 2002 )   Woman Thou Art Loosed ( 2004 )      Retrieved from `` https://en.wikipedia.org/w/index.php?title=Car_Wash_(film)&amp;oldid=849873006 '' Categories :   English - language films   1970s comedy films   1976 films   American comedy films   American LGBT - related films   Blaxploitation films   American films   Films directed by Michael Schultz   Films set in Los Angeles   Films set in the 1970s   Universal Pictures films   1970s LGBT - related films   Screenplays by Joel Schumacher   African - American films   Hidden categories :   Articles that may contain original research from June 2014   All articles that may contain original research   All articles with unsourced statements   Articles with unsourced statements from December 2010           Talk                                           Contents                   About Wikipedia                                           Wikiquote       Deutsch   Français   Italiano   </t>
    </r>
    <r>
      <rPr>
        <sz val="11"/>
        <color rgb="FF000000"/>
        <rFont val="Noto Sans CJK SC"/>
        <family val="2"/>
      </rPr>
      <t xml:space="preserve">日本 語   </t>
    </r>
    <r>
      <rPr>
        <sz val="11"/>
        <color rgb="FF000000"/>
        <rFont val="Calibri"/>
        <family val="0"/>
        <charset val="1"/>
      </rPr>
      <t xml:space="preserve">Polski   Edit links   This page was last edited on 11 July 2018 , at 23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</si>
  <si>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the cashier in the movie car wash</t>
  </si>
  <si>
    <t xml:space="preserve"> Among everything , Mr. B constantly makes passes against the receptionist Marsha ( Melanie Mayron ) as an escape from his troubled home life . Mr. B is constantly tense and worried throughout the film as he fears about his car wash going out of business due to a competitor a few miles down the street . Lonnie , on the other hand , is full of ideas on how to save the car wash that he can not get Mr. B or anyone else to listen to , mostly due to Mr. B being a cheapskate . </t>
  </si>
  <si>
    <r>
      <rPr>
        <sz val="11"/>
        <color rgb="FF000000"/>
        <rFont val="Calibri"/>
        <family val="0"/>
        <charset val="1"/>
      </rPr>
      <t xml:space="preserve">Smart key - wikipedia  Smart key  Nissan Intelligent Key  A smart key is an electronic access and authorization system that is available either as standard equipment or as an option in several car models . It was first developed by Siemens in 1995 and introduced by Mercedes - Benz under the name `` Key-less Go '' in 1998 on the W220 S - Class , after the design patent was filed by Daimler - Benz on May 17 , 1997 .   Contents    1 How it works   2 Nomenclature   3 Insurance standard   4 SmartKeys   5 Display Key   6 Keyless Go   7 Inside Outside detection   8 System reaction times   9 Security requirements   10 Internal LF field dead spots   11 Battery Backup   12 Special Cases   13 History   14 Outlook   15 Effectiveness   16 See also   17 References   18 External links    How it works ( edit )   The smart key allows the driver to keep the key fob pocketed when unlocking , locking and starting the vehicle . The key is identified via one of several antennas in the car 's bodywork and a radio pulse generator in the key housing . Depending on the system , the vehicle is automatically unlocked when a button or sensor on the door handle or trunk release is pressed . Vehicles with a smart - key system have a mechanical backup , usually in the form of a spare key blade supplied with the vehicle . Some manufacturers hide the backup lock behind a cover for styling .  A push - button ignition switch in place of the immobilizer on a Mitsubishi RVR equipped with the Smart key .  Vehicles with a smart - key system can disengage the immobilizer and activate the ignition without inserting a key in the ignition , provided the driver has the key inside the car . On most vehicles , this is done by pressing a starter button or twisting an ignition switch .   When leaving a vehicle that is equipped with a smart - key system , the vehicle is locked by either pressing a button on a door handle , touching a capacitive area on a door handle , or simply walking away from the vehicle . The method of locking varies across models .   Some vehicles automatically adjust settings based on the smart key used to unlock the car . User preferences such as seat positions , steering wheel position , exterior mirror settings , climate control ( e.g. temperature ) settings , and stereo presets are popular adjustments . Some models , such as the Ford Escape , even have settings to prevent the vehicle from exceeding a maximum speed if it has been started with a certain key .   Nomenclature ( edit )       This section needs expansion . You can help by adding to it . ( June 2017 )    Bugatti keyless entry remote A woman shows Honda Odyssey ( international ) Smart Entry System  Manufacturers use keyless authorization systems under different names :    Acura : Keyless Access System   Audi : Advanced Key   Aston Martin : Keyless Entry and Push Button Start   BMW : Comfort Access or Display Key   Bugatti : Keyless Entry Remote   Cadillac : Adaptive Remote Start &amp; Keyless Access   FIAT - Chrysler : Keyless Enter - N - Go   Ford : Intelligent Access with push - button start   General Motors : Passive Entry Passive Start ( PEPS )   Honda : Smart Entry System   Hyundai : Proximity Key and smart entry key   Infiniti : Infiniti Intelligent Key with Push - button Ignition   Isuzu : Genius Entry   Jaguar Cars : Smart Key System   Kia Motors : Smart Key System   Lexus : Smart Access System   Lincoln : Intelligent Access System   Mazda : Advanced Keyless Entry &amp; Start System   Mercedes - Benz : Keyless Go integrated into SmartKeys   Mini : Comfort Access   Mitsubishi Motors : FAST Key System   Nissan : Nissan Intelligent Key   Porsche : Porsche Entry &amp; Drive System   Proton : Passive Keyless Entry   Renault : Hands Free Keycard   Riverside Manufacturing LLC : Intelli - Key   SsangYong Motor : Smart Key System   Subaru : Keyless Smart Entry With Push - Button Start   Suzuki : SmartPass Keyless entry &amp; starting system   Tesla : Model S Key   Toyota : Smart Key System   Volkswagen : Keyless Entry &amp; Keyless Start or KESSY   Volvo : Personal Car Communicator `` PCC '' and Keyless Drive or Keyless Drive   Mahindra &amp; Mahindra : Smart Key Module    Insurance standard ( edit )   In 2005 , the UK motor insurance research expert Thatcham introduced a standard for keyless entry , requiring the device to be inoperable at a distance of more than 10 cm from the vehicle . In an independent test , the Nissan Micra 's system was found to be the most secure , while certain BMW and Mercedes keys failed , being theoretically capable of allowing cars to be driven away while their owners were refueling . Despite these security vulnerabilities , auto theft rates have decreased 7 percent between 2009 and 2010 , and the National Insurance Crime Bureau credits smart keys for this decrease .   SmartKeys ( edit )   SmartKeys was developed by Siemens in the mid-1990s and introduced by Mercedes - Benz in 1997 to replace the infrared security system introduced in 1989 . Daimler - Benz filed the first patents for SmartKey on February 28 , 1997 in German patent offices , with multifunction switchblade key variants following on May 17 , 1997 . The device entailed a plastic key to be used in place of the traditional metal key . Electronics that control locking systems and the ignitions made it possible to replace the traditional key with a sophisticated computerized `` Key '' . It is considered a step up from remote keyless entry . The SmartKey adopts the remote control buttons from keyless entry , and incorporates them into the SmartKey fob .   Once inside a Mercedes - Benz vehicle , the SmartKey fob , unlike keyless entry fobs , is placed in the ignition slot where a starter computer verifies the rolling code . Verified in milliseconds , it can then be turned as a traditional key to start the engine . The device was designed with cooperation of Siemens Automotive and Huf exclusively for Mercedes - Benz , but many luxury manufacturers have implemented similar technology based on the same idea . In addition to the SmartKey , Mercedes - Benz now integrates as an option Keyless Go ; this feature allows the driver to keep the SmartKey in their pocket , yet giving them the ability to open the doors , trunk as well as starting the car without ever removing it from their pocket .   The SmartKey 's electronics are embedded in a hollow , triangular piece of plastic , wide at the top , narrow at the bottom , squared - off at the tip with a half - inch - long insert piece . The side of the SmartKey also hides a traditional Mercedes - Benz key that can be pulled out from a release at top . The metal key is used for valet purposes such as locking the glovebox and / or trunk before the SmartKey is turned over to a parking attendant . Once locked manually , the trunk can not be opened with the SmartKey or interior buttons . The key fob utilizes a radio - frequency transponder to communicate with the door locks , but it uses infrared to communicate with the engine immobilizer system . Original SmartKeys had a limited frequency and could have only been used in line - of - sight for safety purposes . The driver can also point the smart key at the front driver side door while pushing and holding the unlock button on the SmartKey and the windows and the sunroof will open in order to ventilate the cabin . Similarly , if the same procedure is completed while holding the lock button , the windows and sunroof will close . In cars equipped with the Active Ventilated Seats , the summer opening feature will activate the seat ventilation in addition to opening the windows and sunroof .   Display Key ( edit )       This section is empty . You can help by adding to it . ( June 2017 )     Keyless Go ( edit )   Keyless Go ( also : Keyless Entry / Go ; Passive Entry / Go ) is Mercedes ' term for an automotive technology which allows a driver to lock and unlock a vehicle without using the corresponding SmartKey buttons . Once a driver enters a vehicle with an equipped Keyless Go SmartKey or Keyless Go wallet - size card , they have the ability to start and stop the engine , without inserting the SmartKey . A transponder built within the SmartKey allows the vehicle to identify a driver . An additional safety feature is integrated into the vehicle , making it impossible to lock a SmartKey with Keyless Go inside a vehicle .  Hardware blocks on the Keyless Entry / Go ECU  The system works by having a series of LF ( low frequency 125 kHz ) transmitting antennas both inside and outside the vehicle . The external antennas are located in the door handles . When the vehicle is triggered , either by pulling the handle or touching the handle , an LF signal is transmitted from the antennas to the key . The key becomes activated if it is sufficiently close and it transmits its ID back to the vehicle via RF ( Radio frequency &gt; 300 MHz ) to a receiver located in the vehicle . If the key has the correct ID , the PASE module unlocks the vehicle .   The hardware blocks of a Keyless Entry / Go Electronic control unit ECU are based on its functionality :    transmitting low - frequency LF signals via the 125 kHz power amplifier block   receiving radio frequency RF signals ( &gt; 300 MHz ) from the built - in ISM receiver block   encrypting and decrypting all relevant data signals ( security )   communicating relevant interface signals with other electronic control units   microcontroller    Inside outside detection ( edit )   The smart key determines if it is inside or outside the vehicle by measuring the strength of the LF fields . In order to start the vehicle , the smart key must be inside the vehicle .   System reaction times ( edit )   The mark of a good passive entry system is that the user never hits the `` wall '' . This happens when the user pulls the door handle to its full extent before the door is unlocked . The handle has to be released and pulled again to gain access . Good systems have an override feature that allows the doors to be opened more quickly .   Security requirements ( edit )   It is important that the vehicle ca n't be started when the user and therefore the smart key is outside the vehicle . This is especially important at fueling stations where the user is very close to the vehicle . The internal LF field is allowed to overshoot by a maximum of 10 cm to help minimise this risk . Maximum overshoot is usually found on the side windows where there is very little attenuation of the signal .  Relay Station Attack  A second scenario exists under the name `` relay station attack '' ( RSA ) . The RSA is based on the idea of reducing the long physical distance between the car and the regular car owner 's SmartKey . Two relay stations will be needed for this : The first relay station is located nearby the car and the second is close to the SmartKey . So on first view , the Keyless Entry / Go ECU and the SmartKey could communicate together . A third person at the car could pull the door handle and the door would open . However , in every Keyless Entry / Go system provisions exist to avoid a successful two - way communication via RSA . Some of the most known are :    measuring group delay time to detect illegal high values   measuring third - order intercept point to detect illegal intermodulation products   measuring field strength of the electric field   measuring the response time of 125 kHz LC circuit   using a more complex modulation ( i.e. quadrature amplitude modulation ) which ca n't be demodulated and modulated by a simple relay station    Furthermore , Keyless Entry / Go communicates with other Control Units within the same vehicle . Depending on the electric car architecture , the following are some Control Systems that can be enabled or disabled :    ESCL Electric Steering Column Lock   EIS Electronic Ignition Switch   Central door locking system   Immobiliser   Engine Control Unit ( Motor management system )   BCU Body control unit    Internal LF field dead spots ( edit )   Dead spots are a result of the maximum overshoot requirement from above . The power delivered to the internal LF antennas has to be tuned to provide the best performance i.e. minimum dead spots and maximum average overshoot . Dead spots are usually near the extremities of the vehicle e.g. the rear parcel shelf .   Battery backup ( edit )   If the battery in the smart key becomes depleted , it is necessary for there to be a backup method of opening and starting the vehicle . Opening is achieved by an emergency ( fully mechanical ) key blade usually hidden in the smart key . On some cars starting is achieved by a transponder inside the smart key that does not need batteries to work . The user either has to put the key in a slot or hold it near a special area on the cockpit , where there is another LF antenna ( transponder coil ) hidden behind to compensate for a weakened fob battery .   Slots have proven to be problematic , as they can go wrong and the key becomes locked in and can not be removed . Another problem with the slot is it ca n't compensate for a fob battery below certain operating threshold . Most smart key batteries are temperature sensitive causing the fob to become intermittent , fully functional , or inoperative all in the same day .   Special cases ( edit )   A Keyless Entry / Go system should be able to detect and handle most of the following cases :    SmartKey Transponder was forgotten in the rear trunk   More than one SmartKey is present inside the car   SmartKey getting lost during the drive   Smartkey battery low ( Limp - Home )    History ( edit )  The first Keyless Entry / Go ECU of the MB S - Class car series 1998 / 99  The system is based on a technology invented by Siemens VDO called PASE : Passive Start and Entry System . It operates in the ISM band of radio frequencies . Keyless Entry / Go was introduced first by Mercedes - Benz in the S - Class car series in 1998 .   Outlook ( edit )   Today a Keyless Entry / Go system is a state - of - the art technology and still has a lot of potential to optimise . Here are some general trends of the advance ( AD ) and series development ( SD ) :    SD : reduction of used LF antennas in low - cost compact cars ( results in a loss of detection quality )   AD : using electric field antennas instead of magnetic field antennas ( cost reduction )   AD : using microwave frequencies ( radar ) instead of an LF and RF combination ( more comfort )   AD : Biometric authentication would identify the user and not the SmartKey transponder    Effectiveness ( edit )   A test by ADAC revealed that 20 car models with Keyless Go could be entered and driven away without the key . In London in 2014 , 6,000 cars ( about 17 per day ) were stolen using keyless entry .   See also ( edit )    Remote keyless system   Transponder car key    References ( edit )    Jump up ^ http://register.dpma.de/DPMAregister/gsm/register?GSNR=M9704698-0004   Jump up ^ http://www.riversidemfg.com/intelli-key   Jump up ^ Thatcham Archived 2007 - 12 - 11 at the Wayback Machine .   Jump up ^ Auto Express : Micra 's Top of the Fobs   Jump up ^ Saylor , Michael ( 2012 ) . The Mobile Wave : How Mobile Intelligence Will Change Everything . Perseus Books / Vanguard Press . p. 100 . ISBN 978 - 1593157203 .   Jump up ^ `` Vehicle theft post Sixth Consecutive Yearly Decline '' . NICB. 2010 - 09 - 20 .   Jump up ^ http://register.dpma.de/DPMAregister/gsm/register?GSNR=M9701993-0001   Jump up ^ http://register.dpma.de/DPMAregister/gsm/register?GSNR=M9704698-0001   Jump up ^ http://register.dpma.de/DPMAregister/gsm/register?GSNR=M9704698-0002   Jump up ^ http://register.dpma.de/DPMAregister/gsm/register?GSNR=M9704698-0003   Jump up ^ `` KEYLESS - GO ® '' . Mercedes - Benz USA .   Jump up ^ Saarinen , Martin ( 18 March 2016 ) . `` Tests uncover major security risk to keyless cars '' . Auto Express . Retrieved 19 March 2016 .   Jump up ^ Keyless - Diebstahl - vom ADAC untersuchte Autos Archived 2016 - 03 - 27 at the Wayback Machine . ADAC , 15 March 2016   Jump up ^ Autos mit Keyless leichter zu klauen ADAC   Jump up ^ ADAC demonstrates keyless theft on YouTube   Jump up ^ Finnerty , Joe ( 5 February 2015 ) . `` Keyless car crime up as gangs target vans '' . Auto Express . Retrieved 19 March 2016 .    External links ( edit )    Market observation and benchmarking of automotive security systems   Explanation of smart key systems   Relay Attacks on Passive Keyless Entry and Start Systems in Modern Cars   Security Flaws of Remote Keyless Entry and Hitag2 Remote Systems              Car interior     Part of a series of articles on cars     Interior equipment      Instruments     Automotive navigation system   Global Positioning System     Automotive night vision   Backup camera   Blind spot monitor   Boost gauge   Buzzer   Carputer   Check engine light   Electronic instrument cluster   Fuel gauge   Head - up display   Lidar detector   Odometer   Parking sensor   Radar detector   Speedometer   Tachometer   Telematics   Idiot light   Trip computer       Controls     Bowden cable   Brake   Clutch   Cruise control   Electronic throttle control   Gear stick   Manettino dial   Parking brake   Power steering   Steering wheel   Throttle       Anti-theft     Alarm   Automatic vehicle location   Immobiliser   Power door locks   Remote keyless system   Smart key   VIN etching         Safety   Seating       Airbag   Armrest   Automatic seat belts   Bench seat   Bucket seat   Child safety lock   Rear - view mirror   Rumble seat   Seat belt       Other elements     Air conditioning   Automobile accessory power   Center console   Dashboard   Glove compartment   Sun visor       Convenience     Audio   Cigarette lighter receptacle   Cup holder   Car Phone              Commons   Portal                 Locksmithing &amp; lock picking     Topics     Electric strike   Key control   Key relevance   Lock bumping   Lock picking   Lockout - tagout   Maison key system   Rekeying   Single - point locking   Three - point locking         Components     Bitting   Bolt stump   Break   Interchangeable core   Key blank   Key code   Keyhole   Lockset   Shear line   Split pin       Key types     Berlin key   Bump key   Change key   Master key   Skeleton key   Smart key   Tubular key   Transponder key       Mechanical locks     Bored cylindrical lock   Bramah lock   Cylinder lock   Disc tumbler lock   Key retainer   Lever tumbler lock ( Chubb detector lock )   Magnetic - coded lock   Magnetic keyed lock   Mortise lock   Padlock   Combination lock   Rotary combination lock   Time - delay combination locks   Pin tumbler lock ( snib )   Protector lock   Relocking device   Rim lock   Time lock   Tubular pin tumbler lock   Warded lock   Wafer tumbler lock       Electronic locks     Electromagnetic lock   Electronic lock   Electric strike   Magnetic - coded lock   Keycard lock   Electronic / digital - cylinder pin tumbler lock       Specific lock types     Bicycle lock   Chamber lock   Child safety lock   Dead bolt   Keycard lock   Kensington Security Slot   Luggage lock   Power door locks   The Club   TSA lock       Tools     Lockpick   Slim Jim   Snap gun   Tubular lock pick       Related     Bolt cutter   Door chain   Exit control lock   Famous locksmiths   Interlock ( engineering )   Keychain   Key ( engineering )   Lock manufacturers   Lock puzzle   Lock snapping   Locksport   Two - man rule         Category : Locksmithing   Keys   Locks   Book      Retrieved from `` https://en.wikipedia.org/w/index.php?title=Smart_key&amp;oldid=843679774 '' Categories :   Smart devices   Automotive technology tradenames   Radio electronics   Vehicle security systems   Hidden categories :   Webarchive template wayback links   Articles to be expanded from June 2017   All articles to be expanded   Articles using small message boxes   All articles with unsourced statements   Articles with unsourced statements from August 2012   Articles with empty sections from June 2017   All articles with empty sections           Talk                                           Contents                   About Wikipedia          Tools                                  </t>
    </r>
    <r>
      <rPr>
        <sz val="11"/>
        <color rgb="FF000000"/>
        <rFont val="Noto Sans CJK SC"/>
        <family val="2"/>
      </rPr>
      <t xml:space="preserve">日本 語   </t>
    </r>
    <r>
      <rPr>
        <sz val="11"/>
        <color rgb="FF000000"/>
        <rFont val="Calibri"/>
        <family val="0"/>
        <charset val="1"/>
      </rPr>
      <t xml:space="preserve">Svenska   Tiếng Việt   Edit links   This page was last edited on 30 May 2018 , at 18 : 42 ( UTC ) .         About Wikipedia                    </t>
    </r>
  </si>
  <si>
    <t xml:space="preserve">when did the first push to start car come out</t>
  </si>
  <si>
    <t xml:space="preserve"> A smart key is an electronic access and authorization system that is available either as standard equipment or as an option in several car models . It was first developed by Siemens in 1995 and introduced by Mercedes - Benz under the name `` Key-less Go '' in 1998 on the W220 S - Class , after the design patent was filed by Daimler - Benz on May 17 , 1997 . </t>
  </si>
  <si>
    <t xml:space="preserve">( I 'd Be ) a Legend in My time - Wikipedia  ( I 'd Be ) a Legend in My time  Jump to : navigation , search    `` ( I 'd Be ) A Legend in My Time ''     Single by Ronnie Milsap     from the album A Legend in My Time     B - side   `` The Biggest Lie ''     Released   November 30 , 1974     Genre   Country     Length   2 : 55     Label   RCA     Songwriter ( s )   Don Gibson     Producer ( s )   Tom Collins , Jack D. Johnson     Ronnie Milsap singles chronology        `` Please Do n't Tell Me How the Story Ends '' ( 1974 )   `` ( I 'd Be ) A Legend in My Time '' ( 1974 )   `` Too Late to Worry , Too Blue to Cry '' ( 1975 )           `` Please Do n't Tell Me How the Story Ends '' ( 1974 )   `` ( I 'd Be ) A Legend in My Time '' ( 1974 )   `` Too Late to Worry , Too Blue to Cry '' ( 1975 )        `` ( I 'd Be ) A Legend in My Time '' is a song written and recorded by Don Gibson in 1960 . It appeared as the B - side of his hit `` Far Far Away '' , from the album Sweet Dreams . Gibson re-recorded the song on the 1972 album Country Green .   Frequently covered , the song is usually titled without the parenthetical lead . Versions have been recorded by Connie Francis , Johnny Cash ( on the album American V : A Hundred Highways ) , B.B. King , Timi Yuro , and Frank Ifield , among others .   Roy Orbison covered the track for his 1961 album Lonely and Blue , and recorded a second later version which was featured on his 1967 tribute album to Gibson , Roy Orbison Sings Don Gibson .   The song was recorded by Ronnie Milsap and released in November 1974 as the lead single from his album A Legend in My Time . This was Milsap 's sixth country hit and his third number one . The single stayed at number one for a single week and spent a total of ten weeks within the top 40 . Milsap 's recording altered the song from its original 3 / 4 time signature to a 4 / 4 time signature .   Chart performance ( edit )     Chart ( 1974 - 1975 )   Peak position     US Hot Country Songs ( Billboard )       Canadian RPM Country Tracks       References ( edit )    Jump up ^ Whitburn , Joel ( 2004 ) . The Billboard Book Of Top 40 Country Hits : 1944 - 2006 , Second edition . Record Research . p. 232 .   Jump up ^ Rich , Kienzle ( 2004 ) . Ultimate Ronnie Milsap ( CD booklet ) . Ronnie Milsap . RCA Records . 82876 .   Jump up ^ `` Ronnie Milsap -- Chart history '' Billboard Hot Country Songs for Ronnie Milsap .      Preceded by `` Kentucky Gambler '' by Merle Haggard   Billboard Hot Country Singles number - one single January 25 , 1975   Succeeded by `` City Lights '' by Mickey Gilley     RPM Country Tracks number - one single February 15 , 1975   Succeeded by `` Then Who Am I '' by Charley Pride               Ronnie Milsap     Studio albums     Ronnie Milsap   Where My Heart Is   Pure Love   Legend in My Time   A Rose By Any Other Name   Night Things   20 / 20 Vision   It Was Almost Like a Song   Only One Love in My Life   Images   Milsap Magic   Out Where the Bright Lights Are Glowing   There 's No Gettin ' Over Me   Inside   Keyed Up   One More Try for Love   Lost in the Fifties Tonight   Christmas with Ronnie Milsap   Heart &amp; Soul   Stranger Things Have Happened   Back to the Grindstone   True Believer   Sings His Best for Capitol Records   Just for a Thrill   My Life   Then Sings My Soul       Compilation albums     Greatest Hits   Greatest Hits , Vol. 2   Greatest Hits , Vol. 3   40 # 1 Hits   16 Biggest Hits       # 1 singles     `` Pure Love ''   `` Please Do n't Tell Me How the Story Ends ''   `` ( I 'd Be ) A Legend in My Time ''   `` Daydreams About Night Things ''   `` What Goes On When the Sun Goes Down ''   `` ( I 'm A ) Stand by My Woman Man ''   `` Let My Love Be Your Pillow ''   `` It Was Almost Like a Song ''   `` What a Difference You 've Made in My Life ''   `` Only One Love in My Life ''   `` Let 's Take the Long Way Around the World ''   `` Back on My Mind Again ''   `` Nobody Likes Sad Songs ''   `` Why Do n't You Spend the Night ''   `` My Heart ''   `` Cowboys and Clowns ''   `` Smoky Mountain Rain ''   `` Am I Losing You ''   `` ( There 's ) No Gettin ' Over Me ''   `` I Would n't Have Missed It for the World ''   `` Any Day Now ''   `` He Got You ''   `` Inside ''   `` Stranger in My House ''   `` Do n't You Know How Much I Love You ''   `` Show Her ''   `` Still Losing You ''   `` She Keeps the Home Fires Burning ''   `` Lost in the Fifties Tonight ( In the Still of the Night ) ''   `` Happy , Happy Birthday Baby ''   `` In Love ''   `` How Do I Turn You On ''   `` Snap Your Fingers ''   `` Make No Mistake , She 's Mine '' ( with Kenny Rogers )   `` Where Do the Nights Go ''   `` Do n't You Ever Get Tired ( Of Hurting Me ) ''   `` A Woman in Love ''   `` Stranger Things Have Happened ''       Other songs     `` Too Late to Worry , Too Blue to Cry ''   `` Just in Case ''   `` In No Time at All ''   `` Prisoner of the Highway ''   `` Old Folks '' ( with Mike Reid )   `` Button Off My Shirt ''   `` Houston Solution ''   `` Are You Lovin ' Me Like I 'm Lovin ' You ''   `` Since I Do n't Have You ''   `` Turn That Radio On ''   `` All Is Fair in Love and War ''   `` True Believer ''       Related articles     Discography       Book : Ronnie Milsap         This 1970s country song -- related article is a stub . You can help Wikipedia by expanding it .            Retrieved from `` https://en.wikipedia.org/w/index.php?title=(I%27d_Be)_A_Legend_in_My_Time&amp;oldid=792218942 '' Categories :   1974 singles   Billboard Hot Country Songs number - one singles   Don Gibson songs   Roy Orbison songs   Ronnie Milsap songs   RPM Country Tracks number - one singles   Songs written by Don Gibson   Song recordings produced by Tom Collins ( record producer )   RCA Records singles   1960 songs   1970s country song stubs   Hidden categories :   Articles with hAudio microformats   Singlechart usages for Billboardcountrysongs   Singlechart called without song   All stub articles           Talk                                                             About Wikipedia                                           Nederlands   Norsk nynorsk   Edit links   This page was last edited on 25 July 2017 , at 06 : 28 .         About Wikipedia                  </t>
  </si>
  <si>
    <t xml:space="preserve">who sang i'd be a legend in my time</t>
  </si>
  <si>
    <t xml:space="preserve"> `` ( I 'd Be ) A Legend in My Time '' is a song written and recorded by Don Gibson in 1960 . It appeared as the B - side of his hit `` Far Far Away '' , from the album Sweet Dreams . Gibson re-recorded the song on the 1972 album Country Green . </t>
  </si>
  <si>
    <t xml:space="preserve">Television - wikipedia  Television  Jump to : navigation , search For other uses , see Television ( disambiguation ) and TV ( disambiguation ) . This article is about television as a medium . For the appliance itself , see television set . Flat - screen televisions for sale at a consumer electronics store in 2008 .  Television ( TV ) is a telecommunication medium used for transmitting moving images in monochrome ( black and white ) , or in colour , and in two or three dimensions and sound . The term can refer to a television set , a television program ( `` TV show '' ) , or the medium of television transmission . Television is a mass medium for entertainment , education , news , politics , gossip , and advertising .   Television became available in crude experimental forms in the late 1920s , but it would still be several years before the new technology was marketed to consumers . After World War II , an improved form of black - and - white TV broadcasting became popular in the United States and Britain , and television sets became commonplace in homes , businesses , and institutions . During the 1950s , television was the primary medium for influencing public opinion . In the mid-1960s , color broadcasting was introduced in the US and most other developed countries . The availability of multiple types of storage media such as Betamax , VHS tape , local disks , DVDs , flash drives , high - definition Blu - ray Discs , and digital video recorders have enabled viewers to watch prerecorded material -- such as movies -- at home on their own time schedule . For many reasons , the storage of television and video programming now occurs on the cloud . At the end of the first decade of the 2000s , digital television transmissions greatly increased in popularity . Another development was the move from standard - definition television ( SDTV ) ( 576i , with 576 interlaced lines of resolution and 480i ) to high - definition television ( HDTV ) , which provides a resolution that is substantially higher . HDTV may be transmitted in various formats : 1080p , 1080i and 720p . Since 2010 , with the invention of smart television , Internet television has increased the availability of television programs and movies via the Internet through streaming video services such as Netflix , Amazon Video , iPlayer , Hulu , Roku and Chromecast .   In 2013 , 79 % of the world 's households owned a television set . The replacement of early bulky , high - voltage cathode ray tube ( CRT ) screen displays with compact , energy - efficient , flat - panel alternative technologies such as plasma displays , LCDs ( both fluorescent - backlit and LED ) , and OLED displays was a hardware revolution that began with computer monitors in the late 1990s . Most TV sets sold in the 2000s were flat - panel , mainly LEDs . Major manufacturers announced the discontinuation of CRT , DLP , plasma , and even fluorescent - backlit LCDs by the mid-2010s . In the near future , LEDs are expected to be gradually replaced by OLEDs . Also , major manufacturers have announced that they will increasingly produce smart TVs in the mid-2010s . Smart TVs with integrated Internet and Web 2.0 functions became the dominant form of television by the late 2010s .   Television signals were initially distributed only as terrestrial television using high - powered radio - frequency transmitters to broadcast the signal to individual television receivers . Alternatively television signals are distributed by coaxial cable or optical fiber , satellite systems and , since the 2000s via the Internet . Until the early 2000s , these were transmitted as analog signals , but a transition to digital television is expected to be completed worldwide by the late 2010s . A standard television set is composed of multiple internal electronic circuits , including a tuner for receiving and decoding broadcast signals . A visual display device which lacks a tuner is correctly called a video monitor rather than a television .     Contents  ( hide )   1 Etymology   2 History   2.1 Mechanical   2.2 Electronic   2.3 Color   2.4 Digital   2.5 Smart TV   2.6 3D     3 Broadcast systems   3.1 Terrestrial television   3.2 Cable television   3.3 Satellite television   3.4 Internet television     4 Sets   4.1 Display technologies   4.1. 1 Disk   4.1. 2 CRT   4.1. 3 DLP   4.1. 4 Plasma   4.1. 5 LCD   4.1. 6 OLED     4.2 Display resolution   4.2. 1 LD   4.2. 2 SD   4.2. 3 HD   4.2. 4 UHD     4.3 Market share     5 Content   5.1 Programming   5.2 Genres   5.3 Funding   5.3. 1 Advertising   5.3. 1.1 United States   5.3. 1.2 United Kingdom   5.3. 1.3 Ireland     5.3. 2 Subscription   5.3. 3 Taxation or license     5.4 Broadcast programming     6 Social aspects   6.1 Consumption     7 Environmental aspects   8 See also   9 References   10 Further reading   11 External links      Etymology   The word television comes from Ancient Greek τῆλε ( tèle ) , meaning ' far ' , and Latin visio , meaning ' sight ' . The first documented usage of the term dates back to 1900 , when the Russian scientist Constantin Perskyi used it in a paper that he presented in French at the 1st International Congress of Electricity , which ran from 18 to 25 August 1900 during the International World Fair in Paris . The Anglicised version of the term is first attested in 1907 , when it was still `` ... a theoretical system to transmit moving images over telegraph or telephone wires '' . It was `` ... formed in English or borrowed from French télévision . '' In the 19th century and early 20th century , other `` ... proposals for the name of a then - hypothetical technology for sending pictures over distance were telephote ( 1880 ) and televista ( 1904 ) . '' The abbreviation `` TV '' is from 1948 . The use of the term to mean `` a television set '' dates from 1941 . The use of the term to mean `` television as a medium '' dates from 1927 . The slang term `` telly '' is more common in the UK . The slang term `` the tube '' or the `` boob tube '' refers to the bulky cathode ray tube used on most TVs until the advent of flat - screen TVs . Another slang term for the TV is `` idiot box '' .   History  Main article : History of television  Mechanical  Main article : Mechanical television The Nipkow disk . This schematic shows the circular paths traced by the holes that may also be square for greater precision . The area of the disk outlined in black shows the region scanned .  Facsimile transmission systems for still photographs pioneered methods of mechanical scanning of images in the early 19th century . Alexander Bain introduced the facsimile machine between 1843 and 1846 . Frederick Bakewell demonstrated a working laboratory version in 1851 . Willoughby Smith discovered the photoconductivity of the element selenium in 1873 . As a 23 - year - old German university student , Paul Julius Gottlieb Nipkow proposed and patented the Nipkow disk in 1884 . This was a spinning disk with a spiral pattern of holes in it , so each hole scanned a line of the image . Although he never built a working model of the system , variations of Nipkow 's spinning - disk `` image rasterizer '' became exceedingly common . Constantin Perskyi had coined the word television in a paper read to the International Electricity Congress at the International World Fair in Paris on 25 August 1900 . Perskyi 's paper reviewed the existing electromechanical technologies , mentioning the work of Nipkow and others . However , it was not until 1907 that developments in amplification tube technology by Lee de Forest and Arthur Korn , among others , made the design practical .   The first demonstration of the live transmission of images was by Georges Rignoux and A. Fournier in Paris in 1909 . A matrix of 64 selenium cells , individually wired to a mechanical commutator , served as an electronic retina . In the receiver , a type of Kerr cell modulated the light and a series of variously angled mirrors attached to the edge of a rotating disc scanned the modulated beam onto the display screen . A separate circuit regulated synchronization . The 8x8 pixel resolution in this proof - of - concept demonstration was just sufficient to clearly transmit individual letters of the alphabet . An updated image was transmitted `` several times '' each second . In 1921 Edouard Belin sent the first image via radio waves with his belinograph .   In 1911 , Boris Rosing and his student Vladimir Zworykin created a system that used a mechanical mirror - drum scanner to transmit , in Zworykin 's words , `` very crude images '' over wires to the `` Braun tube '' ( cathode ray tube or `` CRT '' ) in the receiver . Moving images were not possible because , in the scanner : `` the sensitivity was not enough and the selenium cell was very laggy '' .  Baird in 1925 with his televisor equipment and dummies `` James '' and `` Stooky Bill '' ( right ) .  By the 1920s , when amplification made television practical , Scottish inventor John Logie Baird employed the Nipkow disk in his prototype video systems . On 25 March 1925 , Baird gave the first public demonstration of televised silhouette images in motion , at Selfridge 's Department Store in London . Since human faces had inadequate contrast to show up on his primitive system , he televised a ventriloquist 's dummy named `` Stooky Bill '' , whose painted face had higher contrast , talking and moving . By 26 January 1926 , he demonstrated the transmission of the image of a face in motion by radio . This is widely regarded as the first television demonstration . The subject was Baird 's business partner Oliver Hutchinson . Baird 's system used the Nipkow disk for both scanning the image and displaying it . A bright light shining through a spinning Nipkow disk set with lenses projected a bright spot of light which swept across the subject . A Selenium photoelectric tube detected the light reflected from the subject and converted it into a proportional electrical signal . This was transmitted by AM radio waves to a receiver unit , where the video signal was applied to a neon light behind a second Nipkow disk rotating synchronized with the first . The brightness of the neon lamp was varied in proportion to the brightness of each spot on the image . As each hole in the disk passed by , one scan line of the image was reproduced . Baird 's disk had 30 holes , producing an image with only 30 scan lines , just enough to recognize a human face . In 1927 , Baird transmitted a signal over 438 miles ( 705 km ) of telephone line between London and Glasgow .   In 1928 , Baird 's company ( Baird Television Development Company / Cinema Television ) broadcast the first transatlantic television signal , between London and New York , and the first shore - to - ship transmission . In 1929 , he became involved in the first experimental mechanical television service in Germany . In November of the same year , Baird and Bernard Natan of Pathé established France 's first television company , Télévision - Baird - Natan . In 1931 , he made the first outdoor remote broadcast , of The Derby . In 1932 , he demonstrated ultra-short wave television . Baird 's mechanical system reached a peak of 240 - lines of resolution on BBC television broadcasts in 1936 , though the mechanical system did not scan the televised scene directly . Instead a 17.5 mm film was shot , rapidly developed and then scanned while the film was still wet .   An American inventor , Charles Francis Jenkins , also pioneered the television . He published an article on `` Motion Pictures by Wireless '' in 1913 , but it was not until December 1923 that he transmitted moving silhouette images for witnesses ; and it was on 13 June 1925 , that he publicly demonstrated synchronized transmission of silhouette pictures . In 1925 Jenkins used the Nipkow disk and transmitted the silhouette image of a toy windmill in motion , over a distance of five miles , from a naval radio station in Maryland to his laboratory in Washington , D.C. , using a lensed disk scanner with a 48 - line resolution . He was granted U.S. Patent No . 1,544,156 ( Transmitting Pictures over Wireless ) on 30 June 1925 ( filed 13 March 1922 ) .   Herbert E. Ives and Frank Gray of Bell Telephone Laboratories gave a dramatic demonstration of mechanical television on 7 April 1927 . Their reflected - light television system included both small and large viewing screens . The small receiver had a 2 - inch - wide by 2.5 - inch - high screen . The large receiver had a screen 24 inches wide by 30 inches high . Both sets were capable of reproducing reasonably accurate , monochromatic , moving images . Along with the pictures , the sets received synchronized sound . The system transmitted images over two paths : first , a copper wire link from Washington to New York City , then a radio link from Whippany , New Jersey . Comparing the two transmission methods , viewers noted no difference in quality . Subjects of the telecast included Secretary of Commerce Herbert Hoover . A flying - spot scanner beam illuminated these subjects . The scanner that produced the beam had a 50 - aperture disk . The disc revolved at a rate of 18 frames per second , capturing one frame about every 56 milliseconds . ( Today 's systems typically transmit 30 or 60 frames per second , or one frame every 33.3 or 16.7 milliseconds respectively . ) Television historian Albert Abramson underscored the significance of the Bell Labs demonstration : `` It was in fact the best demonstration of a mechanical television system ever made to this time . It would be several years before any other system could even begin to compare with it in picture quality . ''   In 1928 , WRGB , then W2XB , was started as the world 's first television station . It broadcast from the General Electric facility in Schenectady , NY . It was popularly known as `` WGY Television '' . Meanwhile , in the Soviet Union , Léon Theremin had been developing a mirror drum - based television , starting with 16 lines resolution in 1925 , then 32 lines and eventually 64 using interlacing in 1926 . As part of his thesis , on 7 May 1926 , he electrically transmitted , and then projected , near - simultaneous moving images on a five - foot square screen . By 1927 he achieved an image of 100 lines , a resolution that was not surpassed until May 1932 by RCA , with 120 lines . On 25 December 1926 , Kenjiro Takayanagi demonstrated a television system with a 40 - line resolution that employed a Nipkow disk scanner and CRT display at Hamamatsu Industrial High School in Japan . This prototype is still on display at the Takayanagi Memorial Museum in Shizuoka University , Hamamatsu Campus . His research in creating a production model was halted by the United States after Japan lost World War II .   Because only a limited number of holes could be made in the disks , and disks beyond a certain diameter became impractical , image resolution on mechanical television broadcasts was relatively low , ranging from about 30 lines up to 120 or so . Nevertheless , the image quality of 30 - line transmissions steadily improved with technical advances , and by 1933 the UK broadcasts using the Baird system were remarkably clear . A few systems ranging into the 200 - line region also went on the air . Two of these were the 180 - line system that Compagnie des Compteurs ( CDC ) installed in Paris in 1935 , and the 180 - line system that Peck Television Corp. started in 1935 at station VE9AK in Montreal . The advancement of all - electronic television ( including image dissectors and other camera tubes and cathode ray tubes for the reproducer ) marked the beginning of the end for mechanical systems as the dominant form of television . Mechanical television , despite its inferior image quality and generally smaller picture , would remain the primary television technology until the 1930s . The last mechanical television broadcasts ended in 1939 at stations run by a handful of public universities in the United States .   Electronic  Main article : Video camera tube  In 1897 , English physicist J.J. Thomson was able , in his three famous experiments , to deflect cathode rays , a fundamental function of the modern cathode ray tube ( CRT ) . The earliest version of the CRT was invented by the German physicist Ferdinand Braun in 1897 and is also known as the `` Braun '' tube . It was a cold - cathode diode , a modification of the Crookes tube , with a phosphor - coated screen . In 1906 the Germans Max Dieckmann and Gustav Glage produced raster images for the first time in a CRT . In 1907 , Russian scientist Boris Rosing used a CRT in the receiving end of an experimental video signal to form a picture . He managed to display simple geometric shapes onto the screen .   In 1908 Alan Archibald Campbell - Swinton , fellow of the Royal Society ( UK ) , published a letter in the scientific journal Nature in which he described how `` distant electric vision '' could be achieved by using a cathode ray tube , or Braun tube , as both a transmitting and receiving device , He expanded on his vision in a speech given in London in 1911 and reported in The Times and the Journal of the Röntgen Society . In a letter to Nature published in October 1926 , Campbell - Swinton also announced the results of some `` not very successful experiments '' he had conducted with G.M. Minchin and J.C.M. Stanton . They had attempted to generate an electrical signal by projecting an image onto a selenium - coated metal plate that was simultaneously scanned by a cathode ray beam . These experiments were conducted before March 1914 , when Minchin died , but they were later repeated by two different teams in 1937 , by H. Miller and J.W. Strange from EMI , and by H. Iams and A. Rose from RCA . Both teams succeeded in transmitting `` very faint '' images with the original Campbell - Swinton 's selenium - coated plate . Although others had experimented with using a cathode ray tube as a receiver , the concept of using one as a transmitter was novel . The first cathode ray tube to use a hot cathode was developed by John B. Johnson ( who gave his name to the term Johnson noise ) and Harry Weiner Weinhart of Western Electric , and became a commercial product in 1922 .   In 1926 , Hungarian engineer Kálmán Tihanyi designed a television system utilizing fully electronic scanning and display elements and employing the principle of `` charge storage '' within the scanning ( or `` camera '' ) tube . The problem of low sensitivity to light resulting in low electrical output from transmitting or `` camera '' tubes would be solved with the introduction of charge - storage technology by Kálmán Tihanyi beginning in 1924 . His solution was a camera tube that accumulated and stored electrical charges ( `` photoelectrons '' ) within the tube throughout each scanning cycle . The device was first described in a patent application he filed in Hungary in March 1926 for a television system he dubbed `` Radioskop '' . After further refinements included in a 1928 patent application , Tihanyi 's patent was declared void in Great Britain in 1930 , so he applied for patents in the United States . Although his breakthrough would be incorporated into the design of RCA 's `` iconoscope '' in 1931 , the U.S. patent for Tihanyi 's transmitting tube would not be granted until May 1939 . The patent for his receiving tube had been granted the previous October . Both patents had been purchased by RCA prior to their approval . Charge storage remains a basic principle in the design of imaging devices for television to the present day . On 25 December 1926 , at Hamamatsu Industrial High School in Japan , Japanese inventor Kenjiro Takayanagi demonstrated a TV system with a 40 - line resolution that employed a CRT display . This was the first working example of a fully electronic television receiver . Takayanagi did not apply for a patent .   On 7 September 1927 , American inventor Philo Farnsworth 's image dissector camera tube transmitted its first image , a simple straight line , at his laboratory at 202 Green Street in San Francisco . By 3 September 1928 , Farnsworth had developed the system sufficiently to hold a demonstration for the press . This is widely regarded as the first electronic television demonstration . In 1929 , the system was improved further by the elimination of a motor generator , so that his television system now had no mechanical parts . That year , Farnsworth transmitted the first live human images with his system , including a three and a half - inch image of his wife Elma ( `` Pem '' ) with her eyes closed ( possibly due to the bright lighting required ) .  Vladimir Zworykin demonstrates electronic television ( 1929 )  Meanwhile , Vladimir Zworykin was also experimenting with the cathode ray tube to create and show images . While working for Westinghouse Electric in 1923 , he began to develop an electronic camera tube . But in a 1925 demonstration , the image was dim , had low contrast , and poor definition , and was stationary . Zworykin 's imaging tube never got beyond the laboratory stage . But RCA , which acquired the Westinghouse patent , asserted that the patent for Farnsworth 's 1927 image dissector was written so broadly that it would exclude any other electronic imaging device . Thus RCA , on the basis of Zworykin 's 1923 patent application , filed a patent interference suit against Farnsworth . The U.S. Patent Office examiner disagreed in a 1935 decision , finding priority of invention for Farnsworth against Zworykin . Farnsworth claimed that Zworykin 's 1923 system would be unable to produce an electrical image of the type to challenge his patent . Zworykin received a patent in 1928 for a color transmission version of his 1923 patent application ; he also divided his original application in 1931 . Zworykin was unable or unwilling to introduce evidence of a working model of his tube that was based on his 1923 patent application . In September 1939 , after losing an appeal in the courts , and determined to go forward with the commercial manufacturing of television equipment , RCA agreed to pay Farnsworth US $1 million over a ten - year period , in addition to license payments , to use his patents .   In 1933 , RCA introduced an improved camera tube that relied on Tihanyi 's charge storage principle . Dubbed the `` Iconoscope '' by Zworykin , the new tube had a light sensitivity of about 75,000 lux , and thus was claimed to be much more sensitive than Farnsworth 's image dissector . However , Farnsworth had overcome his power problems with his Image Dissector through the invention of a completely unique `` multipactor '' device that he began work on in 1930 , and demonstrated in 1931 . This small tube could amplify a signal reportedly to the 60th power or better and showed great promise in all fields of electronics . Unfortunately , a problem with the multipactor was that it wore out at an unsatisfactory rate .   At the Berlin Radio Show in August 1931 , Manfred von Ardenne gave a public demonstration of a television system using a CRT for both transmission and reception . However , Ardenne had not developed a camera tube , using the CRT instead as a flying - spot scanner to scan slides and film . Philo Farnsworth gave the world 's first public demonstration of an all - electronic television system , using a live camera , at the Franklin Institute of Philadelphia on 25 August 1934 , and for ten days afterwards . Mexican inventor Guillermo González Camarena also played an important role in early TV . His experiments with TV ( known as telectroescopía at first ) began in 1931 and led to a patent for the `` trichromatic field sequential system '' color television in 1940 . In Britain , the EMI engineering team led by Isaac Shoenberg applied in 1932 for a patent for a new device they dubbed `` the Emitron '' , which formed the heart of the cameras they designed for the BBC . On 2 November 1936 , a 405 - line broadcasting service employing the Emitron began at studios in Alexandra Palace , and transmitted from a specially built mast atop one of the Victorian building 's towers . It alternated for a short time with Baird 's mechanical system in adjoining studios , but was more reliable and visibly superior . This was the world 's first regular `` high - definition '' television service .   The original American iconoscope was noisy , had a high ratio of interference to signal , and ultimately gave disappointing results , especially when compared to the high definition mechanical scanning systems then becoming available . The EMI team , under the supervision of Isaac Shoenberg , analyzed how the iconoscope ( or Emitron ) produces an electronic signal and concluded that its real efficiency was only about 5 % of the theoretical maximum . They solved this problem by developing , and patenting in 1934 , two new camera tubes dubbed super-Emitron and CPS Emitron . The super-Emitron was between ten and fifteen times more sensitive than the original Emitron and iconoscope tubes and , in some cases , this ratio was considerably greater . It was used for outside broadcasting by the BBC , for the first time , on Armistice Day 1937 , when the general public could watch on a television set as the King laid a wreath at the Cenotaph . This was the first time that anyone had broadcast a live street scene from cameras installed on the roof of neighboring buildings , because neither Farnsworth nor RCA would do the same until the 1939 New York World 's Fair .  Ad for the beginning of experimental television broadcasting in New York City by RCA in 1939 Indian - head test pattern used during the black &amp; white era before 1970 . It was displayed when a TV station first signed on every day .  On the other hand , in 1934 , Zworykin shared some patent rights with the German licensee company Telefunken . The `` image iconoscope '' ( `` Superikonoskop '' in Germany ) was produced as a result of the collaboration . This tube is essentially identical to the super-Emitron . The production and commercialization of the super-Emitron and image iconoscope in Europe were not affected by the patent war between Zworykin and Farnsworth , because Dieckmann and Hell had priority in Germany for the invention of the image dissector , having submitted a patent application for their Lichtelektrische Bildzerlegerröhre für Fernseher ( Photoelectric Image Dissector Tube for Television ) in Germany in 1925 , two years before Farnsworth did the same in the United States . The image iconoscope ( Superikonoskop ) became the industrial standard for public broadcasting in Europe from 1936 until 1960 , when it was replaced by the vidicon and plumbicon tubes . Indeed , it was the representative of the European tradition in electronic tubes competing against the American tradition represented by the image orthicon . The German company Heimann produced the Superikonoskop for the 1936 Berlin Olympic Games , later Heimann also produced and commercialized it from 1940 to 1955 ; finally the Dutch company Philips produced and commercialized the image iconoscope and multicon from 1952 to 1958 .   American television broadcasting , at the time , consisted of a variety of markets in a wide range of sizes , each competing for programming and dominance with separate technology , until deals were made and standards agreed upon in 1941 . RCA , for example , used only Iconoscopes in the New York area , but Farnsworth Image Dissectors in Philadelphia and San Francisco . In September 1939 , RCA agreed to pay the Farnsworth Television and Radio Corporation royalties over the next ten years for access to Farnsworth 's patents . With this historic agreement in place , RCA integrated much of what was best about the Farnsworth Technology into their systems . In 1941 , the United States implemented 525 - line television . Electrical engineer Benjamin Adler played a prominent role in the development of television .   The world 's first 625 - line television standard was designed in the Soviet Union in 1944 and became a national standard in 1946 . The first broadcast in 625 - line standard occurred in Moscow in 1948 . The concept of 625 lines per frame was subsequently implemented in the European CCIR standard . In 1936 , Kálmán Tihanyi described the principle of plasma display , the first flat panel display system .   Color  Main article : Color television  The basic idea of using three monochrome images to produce a color image had been experimented with almost as soon as black - and - white televisions had first been built . Although he gave no practical details , among the earliest published proposals for television was one by Maurice Le Blanc , in 1880 , for a color system , including the first mentions in television literature of line and frame scanning . Polish inventor Jan Szczepanik patented a color television system in 1897 , using a selenium photoelectric cell at the transmitter and an electromagnet controlling an oscillating mirror and a moving prism at the receiver . But his system contained no means of analyzing the spectrum of colors at the transmitting end , and could not have worked as he described it . Another inventor , Hovannes Adamian , also experimented with color television as early as 1907 . The first color television project is claimed by him , and was patented in Germany on 31 March 1908 , patent No 197183 , then in Britain , on 1 April 1908 , patent No 7219 , in France ( patent No 390326 ) and in Russia in 1910 ( patent No 17912 ) .   Scottish inventor John Logie Baird demonstrated the world 's first color transmission on 3 July 1928 , using scanning discs at the transmitting and receiving ends with three spirals of apertures , each spiral with filters of a different primary color ; and three light sources at the receiving end , with a commutator to alternate their illumination . Baird also made the world 's first color broadcast on 4 February 1938 , sending a mechanically scanned 120 - line image from Baird 's Crystal Palace studios to a projection screen at London 's Dominion Theatre . Mechanically scanned color television was also demonstrated by Bell Laboratories in June 1929 using three complete systems of photoelectric cells , amplifiers , glow - tubes , and color filters , with a series of mirrors to superimpose the red , green , and blue images into one full color image .   The first practical hybrid system was again pioneered by John Logie Baird . In 1940 he publicly demonstrated a color television combining a traditional black - and - white display with a rotating colored disk . This device was very `` deep '' , but was later improved with a mirror folding the light path into an entirely practical device resembling a large conventional console . However , Baird was not happy with the design , and , as early as 1944 , had commented to a British government committee that a fully electronic device would be better .   In 1939 , Hungarian engineer Peter Carl Goldmark introduced an electro - mechanical system while at CBS , which contained an Iconoscope sensor . The CBS field - sequential color system was partly mechanical , with a disc made of red , blue , and green filters spinning inside the television camera at 1,200 rpm , and a similar disc spinning in synchronization in front of the cathode ray tube inside the receiver set . The system was first demonstrated to the Federal Communications Commission ( FCC ) on 29 August 1940 , and shown to the press on 4 September .   CBS began experimental color field tests using film as early as 28 August 1940 , and live cameras by 12 November . NBC ( owned by RCA ) made its first field test of color television on 20 February 1941 . CBS began daily color field tests on 1 June 1941 . These color systems were not compatible with existing black - and - white television sets , and , as no color television sets were available to the public at this time , viewing of the color field tests was restricted to RCA and CBS engineers and the invited press . The War Production Board halted the manufacture of television and radio equipment for civilian use from 22 April 1942 to 20 August 1945 , limiting any opportunity to introduce color television to the general public .   As early as 1940 , Baird had started work on a fully electronic system he called Telechrome . Early Telechrome devices used two electron guns aimed at either side of a phosphor plate . The phosphor was patterned so the electrons from the guns only fell on one side of the patterning or the other . Using cyan and magenta phosphors , a reasonable limited - color image could be obtained . He also demonstrated the same system us</t>
  </si>
  <si>
    <t xml:space="preserve">when did tv become available to the public</t>
  </si>
  <si>
    <t xml:space="preserve"> Television became available in crude experimental forms in the late 1920s , but it would still be several years before the new technology was marketed to consumers . After World War II , an improved form of black - and - white TV broadcasting became popular in the United States and Britain , and television sets became commonplace in homes , businesses , and institutions . During the 1950s , television was the primary medium for influencing public opinion . In the mid-1960s , color broadcasting was introduced in the US and most other developed countries . The availability of multiple types of storage media such as Betamax , VHS tape , local disks , DVDs , flash drives , high - definition Blu - ray Discs , and digital video recorders have enabled viewers to watch prerecorded material -- such as movies -- at home on their own time schedule . For many reasons , the storage of television and video programming now occurs on the cloud . At the end of the first decade of the 2000s , digital television transmissions greatly increased in popularity . Another development was the move from standard - definition television ( SDTV ) ( 576i , with 576 interlaced lines of resolution and 480i ) to high - definition television ( HDTV ) , which provides a resolution that is substantially higher . HDTV may be transmitted in various formats : 1080p , 1080i and 720p . Since 2010 , with the invention of smart television , Internet television has increased the availability of television programs and movies via the Internet through streaming video services such as Netflix , Amazon Video , iPlayer , Hulu , Roku and Chromecast . </t>
  </si>
  <si>
    <r>
      <rPr>
        <sz val="11"/>
        <color rgb="FF000000"/>
        <rFont val="Calibri"/>
        <family val="0"/>
        <charset val="1"/>
      </rPr>
      <t xml:space="preserve">Yenisei River - wikipedia  Yenisei River  Jump to : navigation , search For the bandy club Yenisey , see Yenisey Krasnoyarsk Bandy Club .      This article needs additional citations for verification . Please help improve this article by adding citations to reliable sources . Unsourced material may be challenged and removed . ( July 2007 ) ( Learn how and when to remove this template message )       Yenisei ( Енисей )     River     Bii - Khem and Kaa - Khem near Kyzyl     Countries   Mongolia , Russia     Regions   Tuva , Krasnoyarsk Krai , Khakassia , Irkutsk Oblast , Buryatia , Zabaykalsky Krai         Tributaries     - right   Angara , Lower Tunguska , Stony Tunguska River     Cities   Kyzyl , Shagonar , Sayanogorsk , Abakan , Divnogorsk , Krasnoyarsk , Yeniseysk , Lesosibirsk , Igarka , Dudinka             Source   Mungaragiyn - Gol     - location   ridge Dod - Taygasyn - Noor , Mongolia     - elevation   3,351 m ( 10,994 ft )     - length   748 km ( 465 mi )     - coordinates   50 ° 43 ′ 46 '' N 98 ° 39 ′ 49 '' E ﻿ / ﻿ 50.72944 ° N 98.66361 ° E ﻿ / 50.72944 ; 98.66361     Mouth   Yenisei Gulf         Length   3,438 km ( 2,136 mi )     Basin   2,580,000 km ( 996,144 sq mi )     Discharge   for Igarka     - average   19,600 m / s ( 692,167 cu ft / s )     - max   112,000 m / s ( 3,955,243 cu ft / s )     - min   3,120 m / s ( 110,182 cu ft / s )         The Yenisei basin , including Lake Baikal     The Yenisei ( Russian : Енисе́й , Jenisej ; Mongolian : Енисей мөрөн , Yenisei mörön ) ; Buryat : Горлог мүрэн , Gorlog müren ; Tyvan : Улуг - Хем , Ulug - Khem ; Khakas : Ким суг , Kim sug also Romanized Yenisey , Enisei , Jenisej , is the largest river system flowing to the Arctic Ocean . It is the central of the three great Siberian rivers that flow into the Arctic Ocean ( the other two being the Ob and the Lena ) . Rising in Mongolia , it follows a northerly course to the Yenisei Gulf in the Kara Sea , draining a large part of central Siberia , the longest stream following the Yenisei - Angara - Selenga - Ider river system .   The maximum depth of the Yenisei is 24 metres ( 80 ft ) and the average depth is 14 metres ( 45 ft ) . The depth of river outflow is 32 metres ( 106 ft ) and inflow is 31 metres ( 101 ft ) .     Contents  ( hide )   1 Course of the river   2 Lake Baikal   3 Flora and fauna   3.1 Taimyr reindeer herd     4 Navigation   5 History   6 Pollution   7 Gallery   8 See also   9 References   10 External links      Course of the River ( edit )  The confluence of the rivers Kaa - Khem and Piy - Khem from the height of bird flight  The river flows through Tuva , Khakassia , and the city of Krasnoyarsk .   Its tributaries include the Angara , Nizhnyaya Tunguska , Podkamennaya Tunguska , and Tuba rivers .   Lake Baikal ( edit )  Main article : Lake Baikal  The 320 - kilometre ( 200 mi ) , partly navigable Upper Angara River feeds into the northern end of Lake Baikal from the Buryat Republic but the largest inflow is from the Selenga which forms a delta on the south - eastern side .  The river as seen from the trans - Siberian railway near Krasnoyarsk  Flora and fauna ( edit )   The Yenisei River basin ( excluding Lake Baikal and lakes of the Khantayka River headwaters ) is home to 55 native fish species , including two endemics : Gobio sibiricus ( a gobionine cyprinid ) and Thymallus nigrescens ( es ) ( a grayling ) . The grayling is restricted to Khövsgöl Nuur and its tributaries . Most fish found in the Yenisei River basin are relatively widespread Euro - Siberian or Siberian species , such as northern pike ( Esox lucius ) , common roach ( Rutilus rutilus ) , common dace ( Leuciscus leuciscus ) , Siberian sculpin ( Cottus poecilopus ) , European perch ( Perca fluviatilis ) and Prussian carp ( Carassius gibelio ) . The basin is also home to many salmonids ( trout , whitefish , charr , graylings , taimen and relatives ) and the Siberian sturgeon ( Acipenser baerii ) .   The Yenisei River valley is habitat for numerous flora and fauna , with Siberian pine and Siberian larch being notable tree species . In prehistoric times Scots pine , Pinus sylvestris , was abundant in the Yenisei River valley circa 6000 BC . There are also numerous bird species present in the watershed , including , for example , the hooded crow , Corvus cornix .   Taimyr reindeer herd ( edit )   The Taimyr reindeer herd , a migrating tundra reindeer ( R.t. sibiricus ) , the largest reindeer herd in the world , migrated to winter grazing ranges along the Yenisei River .   Navigation ( edit )  Inclined plane at Krasnoyarsk Dam  The first team to navigate the Yenisei 's entire length , including its violent upper tributary in Mongolia , was an Australian - Canadian effort completed in September 2001 . Ben Kozel , Tim Cope , Colin Angus and Remy Quinter were on this team . Both Kozel and Angus wrote books detailing this expedition , and a documentary was produced for National Geographic Television .   A canal inclined plane was built on the river in 1985 at the Krasnoyarsk Dam .   History ( edit )   Ancient nomadic tribes such as the Ket people and the Yugh people lived along its banks . The Ket , numbering about 1000 , are the only survivors today of those who originally lived throughout central southern Siberia near the river banks . Their extinct relatives included the Kotts , Assans , Arins , Baikots , and Pumpokols who lived further upriver to the south . The modern Ket lived in the eastern middle areas of the river before being assimilated politically into Russia during the 17th through 19th centuries .   Wheat from the Yenisei was sold by Muslims and Uighurs during inadequate harvests to Bukhara and Soghd during the Tahirid era .   Russians first reached the upper Yenisei in 1605 , travelling from the Ob River , up the Ket River , portaging and then down the Yenisei as far as the Sym River .   During World War II , Nazi Germany and the Japanese Empire agreed to divide Asia along a line that followed the Yenisei River to the border of China , and then along the border of China and the Soviet Union .   Pollution ( edit )   Studies have shown that the Yenisey suffers from contamination caused by radioactive discharges from a factory that produced bomb - grade plutonium in the secret city of Krasnoyarsk - 26 , now known as Zheleznogorsk .   Gallery ( edit )     The bridge over the Yenisei in Krasnoyarsk , Russia , viewed from the left bank .     Vinogradovsky most , the bridge in Krasnoyarsk , Russia , viewed from the left bank     The Yenisei ( left ) and the Ob flow into Kara Sea .     See also ( edit )    Sayano - Shushenskaya hydroelectric station   Yenisey Krasnoyarsk    References ( edit )    Jump up ^ `` Station : Igarka '' . Yenisei Basin . UNH / GRDC . Retrieved 31 March 2013 .   Jump up ^ A. Ochir . `` History of the Mongol Oirats '' 1993   Jump up ^ `` Yenisei River '' . Hammond Quick &amp; Easy Notebook Reference Atlas &amp; Webster Dictionary . Hammond . p. 31 . ISBN 0843709227 .   Jump up ^ `` Yenisei River : Siberia 's blessing and curse '' . RT . 11 June 2010 . Retrieved 8 June 2014 .   Jump up ^ Alan Taylor ( 23 August 2013 ) . `` A Year on the Yenisei River '' . The Atlantic . Retrieved 8 June 2014 .   Jump up ^ C Michael Hogan ( 13 May 2012 ) . `` Yenisei River '' . Encyclopedia of Earth . Retrieved 23 April 2015 .   ^ Jump up to : Freshwater Ecoregions of the World ( 2008 ) . Yenisei . Retrieved 16 July 2014 .   Jump up ^ Stein , Ruediger et al. 2003 . Siberian river run - off in the Kara Sea , Proceedings in Marine Sciences , Elsevier , Amsterdam , 488 pages   Jump up ^ C. Michael Hogan . 2009 . Hooded Crow : Corvus cornix , GlobalTwitcher.com , ed , N. Stromberg   Jump up ^ Russell , D.E. ; Gunn , A. ( 20 November 2013 ) . `` Migratory Tundra Rangifer '' . NOAA Arctic Research Program .   Jump up ^ Kolpashikov , L. ; Makhailov , V. ; Russell , D. ( 2014 ) . `` The role of harvest , predators and socio - political environment in the dynamics of the Taimyr wild reindeer herd with some lessons for North America '' . Ecology and Society .   Jump up ^ Baskin , Leonid M. ( 1986 ) , `` Differences in the ecology and behaviour of reindeer populations in the USSR '' , Rangifer , Special Issue ( 1 ) : 333 -- 340 , retrieved 7 January 2015   Jump up ^ Five Months in a Leaky Boat : A River Journey Through Siberia , Kozel , 2003 , Pan Macmillan   Jump up ^ Permanent International Association of Navigation Congresses. ( 1989 ) . Ship lifts : report of a Study Commission within the framework of Permanent ... PIANC . ISBN 978 - 2 - 87223 - 006 - 8 . Retrieved 2011 - 12 - 14 .   Jump up ^ Vajda , Edward G . `` The Ket and Other Yeniseian Peoples '' . Retrieved 2006 - 10 - 27 .   Jump up ^ Ian Blanchard ( 2001 ) . Mining , Metallurgy and Minting in the Middle Ages : Asiatic supremacy , 425 - 1125 . Franz Steiner Verlag . pp. 271 -- 272 . ISBN 978 - 3 - 515 - 07958 - 7 .   Jump up ^ Fisher , Raymond Henry ( 1943 ) . The Russian Fur Trade , 1550 - 1700 . University of California Press .   Jump up ^ Weinberg , Gerhard L. Visions of Victory : The Hopes of Eight World War II Leaders Cambridge , England , United Kingdom : 2005 -- Cambridge University Press ( 1 )   Jump up ^ David Hoffman ( 17 August 1998 ) . `` Wastes of War : Radioactivity Threatens a Mighty River '' . The Washington Post . Retrieved 13 February 2015 .    This article incorporates text from a publication now in the public domain : Chisholm , Hugh , ed. ( 1911 ) . `` Yenisei '' . Encyclopædia Britannica. 28 ( 11th ed . ) . Cambridge University Press .   Coordinates : 71 ° 50 ′ 0 '' N 82 ° 40 ′ 0 '' E ﻿ / ﻿ 71.83333 ° N 82.66667 ° E ﻿ / 71.83333 ; 82.66667   External links ( edit )       Wikimedia Commons has media related to Yenisei River .         Wikisource has the text of the 1911 Encyclopædia Britannica article Yenisei .      Yenisey River at Encyclopædia Britannica   Photos of river around Krasnoyarsk area at Boston.com   William Barr , ' German paddle - steamers on the Yenisey 1878 - 84 ' , The Journal of the Hakluyt Society , August 2014 .   Geographic data related to Yenisei River at OpenStreetMap            VIAF : 244579309   GND : 4109125 - 5      Retrieved from `` https://en.wikipedia.org/w/index.php?title=Yenisei_River&amp;oldid=795123176 '' Categories :   Rivers of Krasnoyarsk Krai   Rivers of Khakassia   Yenisei basin   Drainage basins of the Kara Sea   Physiographic provinces   Hidden categories :   Articles needing additional references from July 2007   All articles needing additional references   Wikipedia type : river page with obscure country or subdivision   Geobox usage tracking for river type   Articles containing Russian - language text   Articles containing Mongolian - language text   Wikipedia articles needing clarification from August 2015   All articles with unsourced statements   Articles with unsourced statements from June 2014   Interlanguage link template link number   Wikipedia articles incorporating a citation from the 1911 Encyclopaedia Britannica with Wikisource reference   Wikipedia articles incorporating text from the 1911 Encyclopædia Britannica   Coordinates on Wikidata   Wikipedia articles with VIAF identifiers   Wikipedia articles with GND identifiers   Use dmy dates from March 2017           Talk                                      Navigation      Contents                   About Wikipedia                                                 Afrikaans     Azərbaycanca   تۆرکجه   বাংলা   Башҡортса   Беларуская   Беларуская ( тарашкевіца ) ‎   भोजपुरी   Български   Bosanski   Brezhoneg   Буряад   Català   Чӑвашла   Cebuano   Čeština   Cymraeg   Dansk   Deutsch   Eesti   Ελληνικά   Español   Esperanto   Euskara   فارسی   Français   </t>
    </r>
    <r>
      <rPr>
        <sz val="11"/>
        <color rgb="FF000000"/>
        <rFont val="Noto Sans CJK SC"/>
        <family val="2"/>
      </rPr>
      <t xml:space="preserve">한국어   </t>
    </r>
    <r>
      <rPr>
        <sz val="11"/>
        <color rgb="FF000000"/>
        <rFont val="Calibri"/>
        <family val="0"/>
        <charset val="1"/>
      </rPr>
      <t xml:space="preserve">Հայերեն   हिन्दी   Hornjoserbsce   Hrvatski   Bahasa Indonesia   Ирон   Italiano   עברית   ქართული   Қазақша   Kiswahili   Кыргызча   Latina   Latviešu   Lietuvių   Magyar   Македонски   മലയാളം   मराठी   Bahasa Melayu   Монгол   Nederlands   </t>
    </r>
    <r>
      <rPr>
        <sz val="11"/>
        <color rgb="FF000000"/>
        <rFont val="Noto Sans CJK SC"/>
        <family val="2"/>
      </rPr>
      <t xml:space="preserve">日本 語   </t>
    </r>
    <r>
      <rPr>
        <sz val="11"/>
        <color rgb="FF000000"/>
        <rFont val="Calibri"/>
        <family val="0"/>
        <charset val="1"/>
      </rPr>
      <t xml:space="preserve">Norsk   Norsk nynorsk   Олык марий   Oʻzbekcha / ўзбекча   پنجابی   Polski   Português   Română   Русский   Scots   Sicilianu   Simple English   Slovenčina   Slovenščina   Српски / srpski   Srpskohrvatski / српскохрватски   Suomi   Svenska   Tagalog   Татарча / tatarça   తెలుగు   ไทย   Тоҷикӣ   Türkçe   Тыва дыл   Українська   Tiếng Việt   Winaray   </t>
    </r>
    <r>
      <rPr>
        <sz val="11"/>
        <color rgb="FF000000"/>
        <rFont val="Noto Sans CJK SC"/>
        <family val="2"/>
      </rPr>
      <t xml:space="preserve">粵語   中文   </t>
    </r>
    <r>
      <rPr>
        <sz val="11"/>
        <color rgb="FF000000"/>
        <rFont val="Calibri"/>
        <family val="0"/>
        <charset val="1"/>
      </rPr>
      <t xml:space="preserve">Edit links   This page was last edited on 12 August 2017 , at 04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</si>
  <si>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yenisei river start and end</t>
  </si>
  <si>
    <t xml:space="preserve">   Yenisei ( Енисей )     River     Bii - Khem and Kaa - Khem near Kyzyl     Countries   Mongolia , Russia     Regions   Tuva , Krasnoyarsk Krai , Khakassia , Irkutsk Oblast , Buryatia , Zabaykalsky Krai         Tributaries     - right   Angara , Lower Tunguska , Stony Tunguska River     Cities   Kyzyl , Shagonar , Sayanogorsk , Abakan , Divnogorsk , Krasnoyarsk , Yeniseysk , Lesosibirsk , Igarka , Dudinka             Source   Mungaragiyn - Gol     - location   ridge Dod - Taygasyn - Noor , Mongolia     - elevation   3,351 m ( 10,994 ft )     - length   748 km ( 465 mi )     - coordinates   50 ° 43 ′ 46 '' N 98 ° 39 ′ 49 '' E ﻿ / ﻿ 50.72944 ° N 98.66361 ° E ﻿ / 50.72944 ; 98.66361     Mouth   Yenisei Gulf         Length   3,438 km ( 2,136 mi )     Basin   2,580,000 km ( 996,144 sq mi )     Discharge   for Igarka     - average   19,600 m / s ( 692,167 cu ft / s )     - max   112,000 m / s ( 3,955,243 cu ft / s )     - min   3,120 m / s ( 110,182 cu ft / s )         The Yenisei basin , including Lake Baikal   </t>
  </si>
  <si>
    <t xml:space="preserve">Mackenzie River - wikipedia  Mackenzie River  Jump to : navigation , search For other uses , see Mackenzie River ( disambiguation ) .    Mackenzie River ( Deh - Cho , Kuukpak )     The Mackenzie River in August 2009     Name origin : Alexander Mackenzie , explorer         Country   Canada     Region   Yukon , Northwest Territories         Tributaries     - left   Liard River , Keele River , Arctic Red River , Peel River     - right   Great Bear River     Cities   Fort Providence , Fort Simpson , Wrigley , Tulita , Norman Wells             Source   Great Slave Lake     - location   Fort Providence     - elevation   156 m ( 512 ft )     - coordinates   61 ° 12 ′ 15 '' N 117 ° 22 ′ 31 '' W ﻿ / ﻿ 61.20417 ° N 117.37528 ° W ﻿ / 61.20417 ; - 117.37528     Mouth   Arctic Ocean     - location   Beaufort Sea , Inuvik Region     - elevation   0 m ( 0 ft )     - coordinates   68 ° 56 ′ 23 '' N 136 ° 10 ′ 22 '' W ﻿ / ﻿ 68.93972 ° N 136.17278 ° W ﻿ / 68.93972 ; - 136.17278 Coordinates : 68 ° 56 ′ 23 '' N 136 ° 10 ′ 22 '' W ﻿ / ﻿ 68.93972 ° N 136.17278 ° W ﻿ / 68.93972 ; - 136.17278         Length   1,738 km ( 1,080 mi )     Basin   1,805,200 km ( 696,992 sq mi )     Discharge   for mouth ; max and min at Arctic Red confluence     - average   9,910 m / s ( 349,968 cu ft / s )     - max   31,800 m / s ( 1,123,000 cu ft / s )     - min   2,130 m / s ( 75,220 cu ft / s )         Map of the Mackenzie River watershed     The Mackenzie River ( Slavey language : Deh - Cho ( tèh tʃhò ) , big river or Inuvialuktun : Kuukpak ( kuːkpɑk ) , great river ) is the largest and longest river system in Canada , and is exceeded only by the Mississippi River system in North America . It flows through a vast , isolated region of forest and tundra entirely within the country 's Northwest Territories , although its many tributaries reach into four other Canadian provinces and territories . The river 's mainstem runs 1,738 kilometres ( 1,080 mi ) in a northerly direction to the Arctic Ocean , draining a vast area nearly the size of Indonesia . It is the largest river flowing into the Arctic from North America , and with its tributaries is one of the longest rivers in the world .     Contents  ( hide )   1 Course   2 Watershed   3 Geology   4 Ecology   5 History   6 Human use   7 Tributaries   7.1 Largest   7.2 Full list     8 See also   9 Works cited   10 References   11 External links      Course ( edit )   Rising out of the marshy western end of Great Slave Lake , the Mackenzie River flows generally west - northwest for about 300 km ( 190 mi ) , passing the hamlet of Fort Providence . At Fort Simpson it is joined by the Liard River , its largest tributary , then swings towards the Arctic , paralleling the Franklin Mountains as it receives the North Nahanni River . The Keele River enters from the left about 100 km ( 62 mi ) above Tulita , where the Great Bear River joins the Mackenzie . Just before crossing the Arctic Circle , the river passes Norman Wells , then continues northwest to merge with the Arctic Red and Peel rivers . It finally empties into the Beaufort Sea , part of the Arctic Ocean , through the vast Mackenzie Delta .   Most of the Mackenzie River is a broad , slow - moving waterway ; its elevation drops just 156 metres ( 512 ft ) from source to mouth . It is a braided river for much of its length , characterized by numerous sandbars and side channels . The river ranges from 2 to 5 km ( 1.2 to 3.1 mi ) wide and 8 to 9 m ( 26 to 30 ft ) deep in most parts , and is thus easily navigable except when it freezes over in the winter . However , there are several spots where the river narrows to less than half a kilometre ( 0.3 mi ) and flows quickly , such as at the Sans Sault Rapids at the confluence of the Mountain River and `` The Ramparts '' , a 40 m ( 130 ft ) deep canyon south of Fort Good Hope .   Watershed ( edit )   At 1,805,200 square kilometres ( 697,000 sq mi ) , the Mackenzie River 's watershed or drainage basin is the largest in Canada , encompassing nearly 20 % of the country . From its farthest headwaters at Thutade Lake in the Omineca Mountains to its mouth , the Mackenzie stretches for 4,241 km ( 2,635 mi ) across western Canada , making it the longest river system in the nation and the thirteenth longest in the world . The river discharges more than 325 cubic kilometres ( 78 cu mi ) of water each year , accounting for roughly 11 % of the total river flow into the Arctic Ocean . The Mackenzie 's outflow holds a major role in the local climate above the Arctic Ocean with large amounts of warmer fresh water mixing with the cold seawater .   Many major watersheds of North America border on the drainage of the Mackenzie River . Much of the western edge of the Mackenzie basin runs along the Continental Divide . The divide separates the Mackenzie watershed from that of the Yukon River and its headstreams the Pelly and Stewart rivers , which flow to the Bering Strait ; and the Fraser River and Columbia River systems , both of which run to the Pacific Ocean . Lowland divides in the north distinguish the Mackenzie basin from those of the Anderson , Horton , Coppermine and Back Rivers -- all of which empty into the Arctic . Eastern watersheds bordering on that of the Mackenzie include those of the Thelon and Churchill Rivers , both of which flow into Hudson Bay . On the south , the Mackenzie watershed borders that of the North Saskatchewan River , part of the Nelson River system , which empties into Hudson Bay after draining much of south - central Canada .  Satellite view of the lower Mackenzie River  Through its many tributaries , the Mackenzie River basin covers portions of five Canadian provinces and territories -- British Columbia ( BC ) , Alberta , Saskatchewan , Yukon , and Northwest Territories . The two largest headwaters forks , the Peace and Athabasca Rivers , drain much of the central Alberta prairie and the Rocky Mountains in northern BC then combine into the Slave River at the Peace - Athabasca Delta near Lake Athabasca , which also receives runoff from northwestern Saskatchewan . The Slave is the primary feeder of Great Slave Lake ( contributing about 77 % of the water ) ; other inflows include the Taltson , Lockhart and Hay Rivers , the latter of which also extends into Alberta and BC . Direct tributaries of the Mackenzie from the west such as the Liard and Peel Rivers carry runoff from the mountains of the eastern Yukon .   The eastern portion of the Mackenzie basin is dominated by vast reaches of lake - studded boreal forest and includes many of the largest lakes in North America . By both volume and surface area , Great Bear Lake is the biggest in the watershed and third largest on the continent , with a surface area of 31,153 km ( 12,028 sq mi ) and a volume of 2,236 km ( 536 cu mi ) . Great Slave Lake is slightly smaller , with an area of 28,568 km ( 11,030 sq mi ) and containing 2,088 km ( 501 cu mi ) of water , although it is significantly deeper than Great Bear . The third major lake , Athabasca , is less than a third that size with an area of 7,800 km ( 3,000 sq mi ) . Six other lakes in the watershed cover more than 1,000 km ( 390 sq mi ) , including the Williston Lake reservoir , the second - largest artificial lake in North America , on the Peace River .   With an average annual flow of 9,910 m / s ( 350,000 cu ft / s ) , the Mackenzie River has a smaller discharge than the St Lawrence but is the fourteenth largest in the world in this respect . About 60 % of the water comes from the western half of the basin , which includes the Rocky , Selwyn , and Mackenzie mountain ranges out of which spring major tributaries such as the Peace and Liard Rivers , which contribute 23 % and 27 % of the total flow , respectively . In contrast the eastern half , despite being dominated by marshland and large lakes , provides only about 25 % of the Mackenzie 's discharge . During peak flow in the spring , the difference in discharge between the two halves of the watershed becomes even more marked . While large amounts of snow and glacial melt dramatically drive up water levels in the Mackenzie 's western tributaries , large lakes in the eastern basin retard springtime discharges . Breakup of ice jams caused by sudden rises in temperature -- a phenomenon especially pronounced on the Mackenzie -- further exacerbate flood peaks . In full flood , the Peace River can carry so much water that it inundates its delta and backs upstream into Lake Athabasca , and the excess water can only flow out after the Peace has receded .   Geology ( edit )   As recently as the end of the last glacial period eleven thousand years ago the majority of northern Canada was buried under the enormous continental Laurentide ice sheet . The tremendous erosive powers of the Laurentide and its predecessors , at maximum extent , completely buried the Mackenzie River valley under thousands of meters of ice and flattened the eastern portions of the Mackenzie watershed . When the ice sheet receded for the last time , it left a 1,100 km ( 680 mi ) - long postglacial lake called Lake McConnell , of which Great Bear , Great Slave and Athabasca Lakes are remnants . Significant evidence exists that roughly 13,000 years ago , the channel of the Mackenzie was scoured by one or more massive glacial lake outburst floods unleashed from Lake Agassiz , formed by melting ice west of the present - day Great Lakes . At its peak , Agassiz had a greater volume than all present - day freshwater lakes combined . This is believed to have disrupted currents in the Arctic Ocean and led to an abrupt 1,300 - year - long cold temperature shift called the Younger Dryas .   Ecology ( edit )  The Peace River valley is one of the more biologically diverse areas of the Mackenzie basin , with large amounts of forests and floodplain habitat .  The Mackenzie River 's watershed is considered one of the largest and most intact ecosystems in North America , especially in the north . Approximately 63 % of the basin -- 1,137,000 km ( 439,000 sq mi ) -- is covered by forest , mostly boreal , and wetlands comprise some 18 % of the watershed -- about 324,900 km ( 125,400 sq mi ) . More than 93 % of the wooded areas in the watershed are virgin forest . There are fifty - three fish species in the basin , none of them endemic . Most of the aquatic species in the Mackenzie River are descendants of those of the Mississippi River and its tributaries . This anomaly is believed to have been caused by hydrologic connection of the two river systems during the Ice Ages by meltwater lakes and channels .   Fish in the Mackenzie River proper include the northern pike , some minnows , and lake whitefish , and the river 's shores are lined with sparse vegetation like dwarf birch and willows , as well as numerous peat bogs . Further south the tundra vegetation transitions to black spruce , aspen and poplar forest . Overall , the northern watershed is not very diverse ecologically , due to its cold climate -- permafrost underlies about three - quarters of the watershed , reaching up to 100 m ( 330 ft ) deep in the delta region -- and meager to moderate rainfall , amounting to about 410 millimetres ( 16 in ) over the basin as a whole . The southern half of the basin , in contrast , includes larger reaches of temperate and alpine forests as well as fertile floodplain and riparian habitat , but is actually home to fewer fish species due to large rapids on the Slave River preventing upstream migration of aquatic species .   Migratory birds use the two major deltas in the Mackenzie River basin -- the Mackenzie Delta and the inland Peace - Athabasca Delta -- as important resting and breeding areas . The latter is located at the convergence of four major North American migratory routes , or flyways . As recently as the mid-twentieth century , more than 400,000 birds passed through during the spring and up to a million in autumn . Some 215 bird species in total have been catalogued in the delta , including endangered species such as the whooping crane , peregrine falcon and bald eagle . The construction of the W.A.C. Bennett Dam on the Peace River has reduced the seasonal variations of water levels in the delta , causing damage to its ecosystems . Populations of migratory birds in the area have steadily declined since the 1960s .   Water mammals such as muskrats breed in the Mackenzie Delta during the spring .   History ( edit )       This section needs expansion . You can help by adding to it . ( November 2011 )    The Mackenzie Rver enters the Beaufort Sea , July 2017. About 7 percent of the fresh water that flows into the Arctic Ocean each year comes out the Mackenzie and its delta , and much of that comes in large pulses in June and July after the freshet -- when inland ice and snow melts and floods the river .  The Mackenzie ( previously Disappointment ) River was named after Scottish explorer Alexander Mackenzie , who travelled the river in the hope it would lead to the Pacific Ocean , but instead reached its mouth on the Arctic Ocean on 14 July 1789 . No European reached its mouth again until Sir John Franklin on 16 August 1825 . The following year he traced the coast west until blocked by ice while John Richardson followed the coast east to the Coppermine River . In 1849 William Pullen reached the Mackenzie from the Bering Strait .   The Royal Canadian Mint honoured the 200th anniversary of the naming of the Mackenzie River with the issue of a silver commemorative dollar in 1989 .   In 1997 , a cultural landscape along the section of the Mackenzie River at Tsiigehtchic was designated the Nagwichoonjik ( Mackenzie River ) National Historic Site of Canada due to its cultural , social and spiritual significance to the Gwichya Gwich'in .   In 2008 , Canadian and Japanese researchers extracted a constant stream of natural gas from a test project at the Mallik methane hydrate field in the Mackenzie Delta . This was the second such drilling at Mallik : the first took place in 2002 and used heat to release methane . In the 2008 experiment , researchers were able to extract gas by lowering the pressure , without heating , requiring significantly less energy . The Mallik gas hydrate field was first discovered by Imperial Oil in 1971 -- 1972 .   Human use ( edit )   As of 2001 , approximately 397,000 people lived in the Mackenzie River basin -- representing only 1 % of Canada 's population . Ninety percent of these people lived in the Peace and Athabasca River drainage areas , and mainly in Alberta . The cold northern permafrost regions beyond the Arctic Circle are very sparsely populated , mainly by indigenous peoples . As a result , much of the Mackenzie watershed consists of unbroken wilderness and human activities presently have little influence on water quality or quantity in the basin 's major rivers . Perhaps the heaviest use of the watershed is in resource extraction -- oil and gas in central Alberta , lumber in the Peace River headwaters , uranium in Saskatchewan , gold in the Great Slave Lake area and tungsten in the Yukon . In the agricultural market , the Mackenzie River is filled with a variety of fish species . Especially in the case of oil , these activities are beginning to pose a threat to riverine ecology in the headwaters of the Mackenzie River , by beginning the process of melting some of the permafrost and creating the destabilization of the soil through erosion .   During the ice - free season , the Mackenzie is a major transportation link through the vast wilderness of northern Canada , linking the numerous scattered and isolated communities along its course . Canada 's northernmost major railhead is located at the town of Hay River , on the south shore of Great Slave Lake . Goods shipped there by train and truck are loaded onto barges of the Inuit - owned Northern Transportation Company . Barge traffic travels the entire length of the Mackenzie in long `` trains '' of up to fifteen vessels pulled by tugboats , with the sole exception being in a few of the river 's narrows , where the barges are uncoupled and towed one by one through difficult stretches . Goods are shipped as far as the town of Tuktoyaktuk on the eastern end of the Mackenzie Delta . From there they are further distributed among communities along Canada 's Arctic coast and the numerous islands north of it . During the winter , the frozen channel of the Mackenzie River , especially in the delta region , is crisscrossed with ice roads served by dogsleds and snowmobiles .  Mackenzie River at Fort Simpson , at the confluence of the Liard River  Although the entire main stem of the Mackenzie River is undammed , many of its tributaries and headwaters have been developed for hydroelectricity production , flood control and agricultural purposes . The W.A.C. Bennett Dam and Peace Canyon Dam on the upper Peace River were completed in 1968 and 1980 for power generation purposes . The two dams , both owned by BC Hydro , have a combined capacity of more than 3,650 megawatts ( MW ) . The reservoir of W.A.C. Bennett -- Williston Lake -- is the largest body of fresh water in BC and the ninth largest man - made lake in the world , with a volume of 70.3 km ( 57,000,000 acre ft ) . Williston 's additional purpose of flood control has led to reduced flooding in the Peace River valley , the Peace - Athabasca Delta , and the Slave River , which while providing for better farming conditions , has had significant impacts on wildlife and riparian communities . The decrease in annual flow fluctuations has had impacts as far downstream as the main stem of the Mackenzie because it slows down the spread of essential nutrients which builds up in the form of sediments thus causing the river to become more polluted .   Agriculture in the Mackenzie River basin is mainly concentrated in the southern portion of the watershed , namely the valleys of the Peace and Athabasca Rivers . The valley of the former river is considered to be some of the best northern farmland in Canada , due to the high concentration of minerals found in the soil . These conditions are expected to be improved even more by recent trends in climate change , such as warmer temperatures and a longer growing season . It is even said that `` there is enough agricultural capability in the Peace River Valley to provide vegetables to all of northern Canada '' . However , reaches of the Peace River Valley are threatened with flooding by the proposed Site C Dam , which would generate enough electricity to power about 460,000 households . Site C has been the center of a protracted and ongoing environmental battle since the 1970s , and a decision has not yet been reached as to whether or not to build the dam .   Site C is not the only proposed water project in the Mackenzie basin . A potential US $ 1 billion run - of - the - river hydroelectricity station on the Slave River would generate at least 1,350 MW of power . Some tentative proposals have gone as far as to include dams on the main stem of the Mackenzie itself . By far the largest engineering project ever slated for the Mackenzie River was the North American Water and Power Alliance ( NAWAPA ) , a vast series of dams , tunnels and reservoirs designed to move 150 km ( 120,000,000 acre ft ) of Arctic meltwater to southern Canada , the western United States and Mexico . The system would involve building massive dams on the Liard , Mackenzie , Peace , Columbia , and Fraser rivers , then pumping water into a 650 km ( 400 mi ) long reservoir in the Rocky Mountain Trench . The water would then flow by gravity to irrigate more than 220,000 km ( 85,000 sq mi ) in the three countries and generate more than 50,000 MW of surplus energy . First proposed in the 1950s , the project 's estimated cost has since risen to over $200 billion . Because of its massive cost and environmental impacts , it is considered unlikely ever to be implemented . The extraction of oil and gas in Alberta along the Mackenzie River is detrimental to its ecosystems because it involves the oil companies to remove large amounts of vegetation in order to make way for all of the equipment that they use to extract the oil from the ground . When the vegetation on the banks get and by removing these plants it destabilizes the soil and with the currents causes the river banks to erode , thus causing the accumulation of sediments in the river . In the event of a pipeline being constructed , the risks of pollution of the Mackenzie River are very high due to the destruction of the environment around it and the chance of an accidental oil spill that could destroy the ecosystems found inside the river . Not only do oil and gas extractions in the north are damaging to the Mackenzie River , they also have detrimental effects on the people who live on the banks of this river because they rely on the water to supply them with the necessary things that they need in order to survive : food , water , and transportation .   Tributaries ( edit )   Largest ( edit )     Tributary   Length   Watershed   Discharge       km   mi   km   sq mi   m / s   cu ft / s     Liard River   1,115   693   277,100   106,989   2,434   85,960     North Nahanni River   200   124             Root River   220   138             Redstone River   289   180   16,400   6,332   417   14,726     Keele River   410   255   19,000   7,340   600   21,200     Great Bear River   113   70   156,500   60,425   528   18,646     Mountain River   370   230   13,500   5,212   123   4,344     Arctic Red River   500   311   22,000   8,494   161   5,690     Peel River   580   360   28,400   10,965   689   24,332     Full list ( edit )     Tributary   Coordinates     Great Slave Lake   61 ° 12 ′ 00 '' N 116 ° 40 ′ 56 '' W ﻿ / ﻿ 61.19994 ° N 116.68219 ° W ﻿ / 61.19994 ; - 116.68219 ﻿ ( Great Slave Lake )     Kakisa River   61 ° 04 ′ 08 '' N 117 ° 10 ′ 04 '' W ﻿ / ﻿ 61.06888 ° N 117.16782 ° W ﻿ / 61.06888 ; - 117.16782 ﻿ ( Kakisa River )     Horn River   61 ° 28 ′ 37 '' N 118 ° 04 ′ 56 '' W ﻿ / ﻿ 61.47689 ° N 118.08234 ° W ﻿ / 61.47689 ; - 118.08234 ﻿ ( Horn River )     Bouvier River   61 ° 13 ′ 56 '' N 119 ° 02 ′ 09 '' W ﻿ / ﻿ 61.23230 ° N 119.03584 ° W ﻿ / 61.23230 ; - 119.03584 ﻿ ( Bouvier River )     Redknife River   61 ° 13 ′ 28 '' N 119 ° 22 ′ 08 '' W ﻿ / ﻿ 61.22446 ° N 119.36891 ° W ﻿ / 61.22446 ; - 119.36891 ﻿ ( Redknife River )     Trout River   61 ° 18 ′ 15 '' N 119 ° 50 ′ 40 '' W ﻿ / ﻿ 61.30423 ° N 119.84453 ° W ﻿ / 61.30423 ; - 119.84453 ﻿ ( Trout River )     Jean Marie River   61 ° 31 ′ 58 '' N 120 ° 38 ′ 05 '' W ﻿ / ﻿ 61.53288 ° N 120.63469 ° W ﻿ / 61.53288 ; - 120.63469 ﻿ ( Jean Marie River )     Spence River   61 ° 34 ′ 48 '' N 120 ° 40 ′ 24 '' W ﻿ / ﻿ 61.58009 ° N 120.67331 ° W ﻿ / 61.58009 ; - 120.67331 ﻿ ( Spence River )     Rabbitskin River   61 ° 46 ′ 56 '' N 120 ° 41 ′ 51 '' W ﻿ / ﻿ 61.78209 ° N 120.69758 ° W ﻿ / 61.78209 ; - 120.69758 ﻿ ( Rabbitskin River )     Liard River   61 ° 51 ′ 01 '' N 121 ° 18 ′ 07 '' W ﻿ / ﻿ 61.85037 ° N 121.30185 ° W ﻿ / 61.85037 ; - 121.30185 ﻿ ( Liard River )     Harris River   61 ° 52 ′ 22 '' N 121 ° 19 ′ 33 '' W ﻿ / ﻿ 61.87277 ° N 121.32580 ° W ﻿ / 61.87277 ; - 121.32580 ﻿ ( Harris River )     Martin River   61 ° 55 ′ 35 '' N 121 ° 34 ′ 41 '' W ﻿ / ﻿ 61.92633 ° N 121.57814 ° W ﻿ / 61.92633 ; - 121.57814 ﻿ ( Martin River )     Trail River   62 ° 06 ′ 00 '' N 122 ° 11 ′ 34 '' W ﻿ / ﻿ 62.10005 ° N 122.19286 ° W ﻿ / 62.10005 ; - 122.19286 ﻿ ( Trail River )     North Nahanni River   62 ° 14 ′ 44 '' N 123 ° 19 ′ 43 '' W ﻿ / ﻿ 62.24562 ° N 123.32874 ° W ﻿ / 62.24562 ; - 123.32874 ﻿ ( North Nahanni River )     Root River   62 ° 26 ′ 13 '' N 123 ° 18 ′ 37 '' W ﻿ / ﻿ 62.43685 ° N 123.31020 ° W ﻿ / 62.43685 ; - 123.31020 ﻿ ( Root River )     Willowlake River   62 ° 41 ′ 55 '' N 123 ° 06 ′ 53 '' W ﻿ / ﻿ 62.69863 ° N 123.1148 ° W ﻿ / 62.69863 ; - 123.1148 ﻿ ( Willowlake River )     River Between Two Mountains   62 ° 56 ′ 12 '' N 123 ° 12 ′ 39 '' W ﻿ / ﻿ 62.93655 ° N 123.21081 ° W ﻿ / 62.93655 ; - 123.21081 ﻿ ( River Between Two Mountains )     Wrigley River   63 ° 14 ′ 39 '' N 123 ° 35 ′ 13 '' W ﻿ / ﻿ 63.24410 ° N 123.58691 ° W ﻿ / 63.24410 ; - 123.58691 ﻿ ( Wrigley River )     Ochre River   63 ° 28 ′ 05 '' N 123 ° 41 ′ 23 '' W ﻿ / ﻿ 63.46801 ° N 123.68962 ° W ﻿ / 63.46801 ; - 123.68962 ﻿ ( Ochre River )     Johnson River   63 ° 42 ′ 53 '' N 123 ° 54 ′ 45 '' W ﻿ / ﻿ 63.71486 ° N 123.91245 ° W ﻿ / 63.71486 ; - 123.91245 ﻿ ( Johnson River )     Blackwater River   63 ° 56 ′ 38 '' N 124 ° 10 ′ 19 '' W ﻿ / ﻿ 63.94386 ° N 124.17194 ° W ﻿ / 63.94386 ; - 124.17194 ﻿ ( Blackwater River )     Dahadinni River   63 ° 59 ′ 05 '' N 124 ° 22 ′ 26 '' W ﻿ / ﻿ 63.98472 ° N 124.37399 ° W ﻿ / 63.98472 ; - 124.37399 ﻿ ( Dahadinni River )     Saline River   64 ° 17 ′ 39 '' N 124 ° 29 ′ 58 '' W ﻿ / ﻿ 64.29422 ° N 124.49947 ° W ﻿ / 64.29422 ; - 124.49947 ﻿ ( Saline River )     Redstone River   64 ° 17 ′ 13 '' N 124 ° 33 ′ 18 '' W ﻿ / ﻿ 64.28701 ° N 124.55492 ° W ﻿ / 64.28701 ; - 124.55492 ﻿ ( Redstone River )     Keele River   64 ° 25 ′ 00 '' N 124 ° 48 ′ 00 '' W ﻿ / ﻿ 64.41662 ° N 124.80005 ° W ﻿ / 64.41662 ; - 124.80005 ﻿ ( Keele River )     Great Bear River   64 ° 54 ′ 24 '' N 125 ° 36 ′ 01 '' W ﻿ / ﻿ 64.90671 ° N 125.60034 ° W ﻿ / 64.90671 ; - 125.60034 ﻿ ( Great Bear River )     Little Bear River   64 ° 54 ′ 57 '' N 125 ° 54 ′ 16 '' W ﻿ / ﻿ 64.91581 ° N 125.90435 ° W ﻿ / 64.91581 ; - 125.90435 ﻿ ( Little Bear River )     Carcajou River   65 ° 37 ′ 28 '' N 128 ° 43 ′ 01 '' W ﻿ / ﻿ 65.62446 ° N 128.71682 ° W ﻿ / 65.62446 ; - 128.71682 ﻿ ( Carcajou River )     Mountain River   65 ° 40 ′ 27 '' N 128 ° 50 ′ 19 '' W ﻿ / ﻿ 65.67409 ° N 128.83856 ° W ﻿ / 65.67409 ; - 128.83856 ﻿ ( Mountain River )     Donnelly River   65 ° 49 ′ 34 '' N 128 ° 50 ′ 55 '' W ﻿ / ﻿ 65.82613 ° N 128.84869 ° W ﻿ / 65.82613 ; - 128.84869 ﻿ ( Donnelly River )     Tsintu River   66 ° 07 ′ 55 '' N 129 ° 02 ′ 28 '' W ﻿ / ﻿ 66.13182 ° N 129.04099 ° W ﻿ / 66.13182 ; - 129.04099 ﻿ ( Tsintu River )     Hare Indian River   66 ° 17 ′ 38 '' N 128 ° 37 ′ 26 '' W ﻿ / ﻿ 66.29391 ° N 128.62381 ° W ﻿ / 66.29391 ; - 128.62381 ﻿ ( Hare Indian River )     Loon River   66 ° 28 ′ 11 '' N 128 ° 58 ′ 15 '' W ﻿ / ﻿ 66.46969 ° N 128.97091 ° W ﻿ / 66.46969 ; - 128.97091 ﻿ ( Loon River )     Tieda River   66 ° 37 ′ 44 '' N 129 ° 19 ′ 34 '' W ﻿ / ﻿ 66.62877 ° N 129.32616 ° W ﻿ / 66.62877 ; - 129.32616 ﻿ ( Tieda River )     Gillis River   66 ° 43 ′ 45 '' N 129 ° 47 ′ 26 '' W ﻿ / ﻿ 66.72907 ° N 129.79042 ° W ﻿ / 66.72907 ; - 129.79042 ﻿ ( Gillis River )     Gossage River   66 ° 59 ′ 33 '' N 130 ° 16 ′ 02 '' W ﻿ / ﻿ 66.99237 ° N 130.26712 ° W ﻿ / 66.99237 ; - 130.26712 ﻿ ( Gossage River )     Thunder River   67 ° 28 ′ 41 '' N 130 ° 54 ′ 24 '' W ﻿ / ﻿ 67.47803 ° N 130.90673 ° W ﻿ / 67.47803 ; - 130.90673 ﻿ ( Thunder River )     Tree River   67 ° 15 ′ 11 '' N 132 ° 34 ′ 13 '' W ﻿ / ﻿ 67.25315 ° N 132.57030 ° W ﻿ / 67.25315 ; - 132.57030 ﻿ ( Tree River )     Rabbit Hay River   67 ° 13 ′ 29 '' N 132 ° 45 ′ 40 '' W ﻿ / ﻿ 67.22483 ° N 132.76102 ° W ﻿ / 67.22483 ; - 132.76102 ﻿ ( Rabbit Hay River )     Arctic Red River   67 ° 26 ′ 49 '' N 133 ° 44 ′ 51 '' W ﻿ / ﻿ 67.44700 ° N 133.74743 ° W ﻿ / 67.44700 ; - 133.74743 ﻿ ( Arctic Red River )     Peel River   67 ° 41 ′ 48 '' N 134 ° 31 ′ 52 '' W ﻿ / ﻿ 67.69665 ° N 134.53102 ° W ﻿ / 67.69665 ; - 134.53102 ﻿ ( Peel River )     Rengleng River   67 ° 48 ′ 17 '' N 134 ° 04 ′ 17 '' W ﻿ / ﻿ 67.80485 ° N 134.07145 ° W ﻿ / 67.80485 ; - 134.07145 ﻿ ( Rengleng River )     See also ( edit )    List of rivers of Canada   List of rivers of the Northwest Territories   Peace River Country   Steamboats of the Mackenzie River   Peel Watershed    Works cited ( edit )    Hodgins , Bruce W. ; Hoyle , Gwyneth ( 1994 ) . Canoeing north into the unknown : a record of river travel , 1874 to 1974 . Dundurn Press . ISBN 0 - 920474 - 93 - 4 . access - date = requires url = ( help ) CS1 maint : Uses authors parameter ( link )   Pielou , E.C. ( 1991 ) . After the Ice Age : The Return of Life to Glaciated North America . University of Chicago Press . ISBN 0 - 226 - 66812 - 6 . access - date = requires url = ( help )    References ( edit )    ^ Jump up to : `` Rivers '' . The Atlas of Canada . Natural Resources Canada . Archived from the original on 2007 - 02 - 02 . Retrieved 2011 - 09 - 16 .   ^ Jump up to : `` Whole Basin overview '' ( PDF ) . Mackenzie River Basin : State of the Aquatic Ecosystem Report 2003 . Saskatchewan Watershed Authority . pp. 15 -- 56 . Archived from the original ( PDF ) on 4 March 2016 . Retrieved 2011 - 09 - 16 .   Jump up ^ `` MAGS : Daily Discharge Measurements '' . University of Saskatchewan . Retrieved 2011 - 09 - 16 .   ^ Jump up to : Scheffel , Richard L. ; Wernet , Susan J. , eds. ( 1980 ) . Natural Wonders of the World . United States of America : Reader 's Digest Association , Inc. p. 220 . ISBN 0 - 89577 - 087 - 3 .   ^ Jump up to : NRCAN Topo Maps for Canada ( Map ) . Cartography by Natural Resources Canada . ACME Mapper . Retrieved 2011 - 09 - 16 .   Jump up ^ Hodgins and Hoyle , p. 135   Jump up ^ `` Mackenzie River : Physical Features '' . Encyclopædia Britannica ( 1995 edition ) . University of Valencia . Retrieved 2011 - 09 - 16 .   Jump up ^ `` Mackenzie River : The Lower Course '' . Encyclopædia Britannica ( 1995 edition ) . University of Valencia . Retrieved 2011 - 09 - 16 .   Jump up ^ Hebert , Paul D.N. ( 2008 - 11 - 18 ) . `` Mackenzie River , Canada '' . Encyclopedia of Earth . Retrieved 2011 - 09 - 16 .   Jump up ^ `` Mackenzie River Basin '' . Conservation . World Wildlife Fund . Archived from the original on 14 October 2011 . Retrieved 2011 - 09 - 16 .   Jump up ^ Arnell , Nigel W. ( 2005 - 04 - 08 ) . `` Implications of climate change for freshwater inflows to the Arctic Oceans '' ( PDF ) . Journal of Geophysical Research . Far Eastern Federal University . Archived from the original ( PDF ) on 2 April 2012 . Retrieved 2011 - 09 - 16 .   ^ Jump up to : Watersheds ( Map ) . Cartography by CEC , Atlas of Canada , National Atlas , Instituto Nacional de Estadística y Geografía . Commission for Environmental Cooperation ( CEC ) . Archived from the original on 14 April 2008 . Retrieved 2009 - 10 - 08 .   Jump up ^ Marsh , James . `` Mackenzie River '' . The Canadian Encyclopedia . Historica - Dominion Institute . Retrieved 2011 - 09 - 16 .   ^ Jump up to : Muzik , I. ( 1991 ) . `` Hydrology of Lake Athabasca '' ( PDF ) . Hydrology of Natural and Manmade Lakes . International Association of Hydrological Sciences . Retrieved 2011 - 09 - 16 .   ^ Jump up to : `` Great Slave Sub-basin '' ( PDF ) . Mackenzie River Basin : State of the Aquatic Ecosystem Report 2003 . Saskatchewan Watershed Authority . pp. 143 -- 168 . Archived from the original ( PDF ) on 2 April 2012 . Retrieved 2011 - 09 - 16 .   Jump up ^ Major Drainage Areas of the Yukon Territory ( Map ) . Cartography by Yukon Environment Geomatics . Yukon Environment . Archived from the original on 31 March 2012 . Retrieved 2011 - 09 - 16 .   ^ Jump up to : `` Great Bear Lake '' . World Lakes Database . International Lake Environment Committee Foundation . Archived from the original on 5 June 2011 . Retrieved 2011 - 09 - 16 .   Jump up ^ `` Water Sources : Rivers '' . Environment Canada . Retrieved 2011 - 09 - 16 .   Jump up ^ Woo , Ming - Ko ; Thorne , Robin ( 2003 - 03 - 04 ) . `` Streamflow in the Mackenzie Basin , Canada '' ( PDF ) . Arctic Institute of North America . Retrieved 2011 - 09 - 16 .   Jump up ^ `` The Peace - Athabasca Delta '' . Northern River Basins Study Final Report . Government of Alberta . Archived from the original on 27 September 2011 . Retrieved 2011 - 09 - 16 .   Jump up ^ Pielou , p. 193   Jump up ^ Schiermeier , Quirin ( 2010 - 03 - 31 ) . `` River reveals chilling tracks of ancient flood '' . Naturenews . Retrieved 2011 - 09 - 19 .   Jump up ^ `` The Younger Dryas '' . NOAA Paleoclimatology . National Oceanic and Atmospheric Administration . 2008 - 08 - 20 . Retrieved 2011 - 09 - 19 .   Jump up ^ `` Mackenzie Watershed '' . EarthTrends : Watersheds of the World . World Resources Institute . Archived from the original on 7 August 2011 . Retrieved 2011 - 09 - 17 .   Jump up ^ Pielou , p. 190 - 191   Jump up ^ Burridge , Mary ; Mandrak , Nicholas ( 2011 - 08 - 16 ) . `` 105 : Lower Mackenzie '' . Freshwater Ecoregions of the World . World Wildlife Fund , The Nature Conservancy . Archived from the original on 31 March 2012 . Retrieved 2011 - 09 - 17 .   Jump up ^ Burridge , Mary ; Mandrak , Nicholas ( 2011 - 08 - 16 ) . `` 104 : Upper Mackenzie '' . Freshwater Ecoregions of the World . World Wildlife Fund , The Nature Conservancy . Archived from the original on 31 March 2012 . Retrieved 2011 - 0</t>
  </si>
  <si>
    <t xml:space="preserve">where does the mackenzie river start and end</t>
  </si>
  <si>
    <t xml:space="preserve"> Rising out of the marshy western end of Great Slave Lake , the Mackenzie River flows generally west - northwest for about 300 km ( 190 mi ) , passing the hamlet of Fort Providence . At Fort Simpson it is joined by the Liard River , its largest tributary , then swings towards the Arctic , paralleling the Franklin Mountains as it receives the North Nahanni River . The Keele River enters from the left about 100 km ( 62 mi ) above Tulita , where the Great Bear River joins the Mackenzie . Just before crossing the Arctic Circle , the river passes Norman Wells , then continues northwest to merge with the Arctic Red and Peel rivers . It finally empties into the Beaufort Sea , part of the Arctic Ocean , through the vast Mackenzie Delta . </t>
  </si>
  <si>
    <t xml:space="preserve">2018 Commonwealth Games - Wikipedia  2018 Commonwealth Games  Jump to : navigation , search  XXI Commonwealth Games   Logo of 2018 Commonwealth Games     Host city   Gold Coast , Queensland     Country   Australia     Motto   Share the Dream     Nations participating   71 Commonwealth Teams     Athletes participating   4,426     Events   275 in 19 sports     Opening ceremony   4 April     Closing ceremony   15 April     Officially opened by   Charles , Prince of Wales     Officially closed by   Edward , Earl of Wessex     Athlete 's Oath   Karen Murphy     Queen 's Baton Final Runner   Sally Pearson     Main venue   Carrara Stadium     Website   GC2018.com          XXII &gt;              Part of a series on     2018 Commonwealth Games ( show )   Bids   Venues ( Athletes ' Village )   Concerns and controversies   Queen 's Baton Relay   Opening ceremony ( Parade of Nations )   Participating teams   Medal table   Chronological summary   Closing ceremony   Mascot   Festival 2018     CGF   CGA               The 2018 Commonwealth Games , officially known as the XXI Commonwealth Games and commonly known as Gold Coast 2018 , were an international multi-sport event for members of the Commonwealth that were held on the Gold Coast , Queensland , Australia , between 4 and 15 April 2018 . It was the fifth time Australia had hosted the Commonwealth Games and the first time a major multi-sport event achieved gender equality by having an equal number of events for males and female athletes .   More than 4,400 athletes including 300 para athletes from 71 Commonwealth Games Associations took part in the event . The Gambia which withdrew its membership from the Commonwealth of Nations and Commonwealth Games Federation in 2013 , was readmitted on 31 March 2018 and participated in the event . With 275 sets of medals , the games featured 19 Commonwealth sports , including beach volleyball , para triathlon and women 's rugby sevens . These sporting events took place at 14 venues in the host city , two venues in Brisbane and one venue each in Cairns and Townsville .   These were the first Commonwealth Games to take place under the Commonwealth Games Federation ( CGF ) presidency of Louise Martin , CBE . The host city Gold Coast was announced at the CGF General Assembly in Basseterre , Saint Kitts , on 11 November 2011 . Gold Coast became the seventh Oceanian city to host the Commonwealth Games . These were the eighth games to be held in Oceania and the Southern Hemisphere .   The host nation Australia topped the medal table for the fourth time in the past five Commonwealth Games , winning the most golds ( 80 ) and most medals overall ( 198 ) . England and India finished second and third respectively . Vanuatu , Cook Islands , Solomon Islands , British Virgin Islands and Dominica each won their first Commonwealth Games medals .     Contents  ( hide )   1 Host selection   2 Administration   3 Preparation   3.1 Venues   3.1. 1 Venues in Gold Coast   3.1. 2 Venues outside Gold Coast     3.2 Athletes village   3.3 Queen 's baton relay   3.4 Transport   3.5 Anti-doping     4 Participating teams   4.1 Number of athletes by team     5 Calendar   6 Sports   7 Opening ceremony   7.1 Parade of Nations     8 Closing ceremony   9 Medal table   10 Marketing   10.1 Motto   10.2 Emblem   10.3 Mascot   10.4 Medals     11 Concerns and controversies   12 See also   13 References   14 External links      Host selection ( edit )  Main article : Bids for the 2018 Commonwealth Games Countdown clock at Surfers Paradise  On 22 August 2008 , the Premier of Queensland , Anna Bligh , officially launched Gold Coast City 's bid to host the Commonwealth Games in 2018 . On 7 April 2009 , the ABC reported a land exchange deal between Gold Coast City and State of Queensland for Carrara Stadium . According to Mayor Ron Clarke , the land would aid a potential bid for the 2018 Commonwealth Games . The land exchanged would be used as the site of an aquatics centre . In the same article , Mayor Clarke raised the question of the Australian Federal Government 's commitment to a 2018 Commonwealth Games bid in light of the Government 's support for Australia 's 2018 FIFA World Cup Finals bid . On 16 April 2009 , Queensland Premier Anna Bligh told reporters that a successful Commonwealth Games bid by Gold Coast City could help the tourist strip win a role in hosting the World Cup .   `` Some of the infrastructure that would be built for the Commonwealth Games will be useful for Gold Coast City to get a World Cup game out of the soccer World Cup if we 're successful as a nation , '' she said . However the decision on the venues for the 2018 and 2022 FIFA World Cups were made eleven months prior to the bid decision for the 2018 Commonwealth Games , so the potential World Cup venues had already been chosen . On 3 June 2009 , Gold Coast City was confirmed as Australia 's exclusive bidder vying for the 2018 Commonwealth Games . `` Should a bid proceed , Gold Coast City will have the exclusive Australian rights to bid as host city for 2018 , '' Bligh stated .   `` Recently I met with the president and CEO of the Australian Commonwealth Games Association and we agreed to commission a full and comprehensive feasibility study into the potential for the 2018 Commonwealth Games , '' she said . `` Under the stewardship of Queensland Events new chair , Geoff Dixon , that study is now well advanced . '' On 15 March 2010 , it was announced that the Queensland Government will provide initial funding of A $11 million for the 2018 Commonwealth Games bid . The Premier of Queensland has indicated the Government 's support for the bid to the Australian Commonwealth Games Association . On 31 March 2010 , the Australian Commonwealth Games Association officially launched the bid to host the 2018 Commonwealth Games . In October 2011 , Gold Coast City Mayor Ron Clarke stated that the games would provide a strong legacy for the city after the games have ended .   On 31 March 2010 , a surprise bid was made for the 2018 Commonwealth Games by the Sri Lankan city of Hambantota . Hambantota was devastated by the 2004 Indian Ocean Tsunami , and is undergoing a major face lift . The first phase of the Port of Hambantota is nearing completion and it is funded by the government of China . The Mattala International Airport , which is the second international Airport of Sri Lanka is built close to Hambantota . A new Hambantota International Cricket Stadium had also been built , which had hosted matches in the 2011 Cricket World Cup .   On 10 November 2011 , the Hambantota bidders claimed they had already secured enough votes to win the hosting rights . However , on 11 November it was officially announced Gold Coast City had won the rights to host the games .     2018 Commonwealth Games bidding results     City   Country   Votes     Gold Coast City   Australia   43     Hambantota   Sri Lanka   27     Administration ( edit )   In February 2012 , Mark Peters was appointed Chief Executive Officer of the Gold Coast City 2018 Commonwealth Games Corporation . The Queensland Government Minister tasked with overseeing the Games was Kate Jones .   Preparation ( edit )   Venues ( edit )  Main article : Venues of the 2018 Commonwealth Games  One of the key technical aspects of Gold Coast City 's successful bid was the fact that the city had 80 percent of the planned venues in place before the bidding deadline . The vast majority of venues were located within 20 - minutes driving time of the Athletes Village in Parkwood .  Venues in Gold Coast ( edit ) Carrara Stadium hosted the ceremonies and the athletics  Carrara Stadium , located in the suburb of Carrara , was the main venue for Athletics , the opening ceremony and the closing ceremony . The seating capacity of the stadium was temporarily increased to 40,000 for the games .  Gold Coast Convention and Exhibition Centre hosted netball and the accredited media centre  The Gold Coast City Convention and Exhibition Centre , located in the suburb of Broadbeach , hosted Basketball , Netball ( preliminaries ) and Weightlifting events . It also served as the main media centre during of the games . The Broadbeach Bowls Club hosted the Bowls competition .   The Hinze Dam , located in the suburb of Advancetown , was the location for the Mountain Bike competition . A new course was constructed to meet international competition requirements and temporary spectator seating for 2,000 spectators .   The newly built Coomera Sport and Leisure Centre hosted Gymnastics and Netball ( finals ) . The existing sound stages of the Village Roadshow Studios complex in the suburb of Oxenford hosted the sports of Boxing , Table Tennis and Squash . During Games mode the venue was enhanced to provide for the International Sporting Federation technical venue requirements and provide spectator seating of 3,000 ( boxing ) and 3,200 ( table tennis ) . The Gold Coast Hockey Centre hosted the men 's and women 's Hockey events during the games . The Southport Broadwater Parklands hosted Triathlon and athletic events . The Optus aquatic centre hosted the swimming and diving events .   Robina Stadium hosted the Rugby 7s competition and upgraded to meet World Rugby standards . The Elanora / Currumbin Valley area hosted the road racing elements of the cycling programme . Coolangatta Beachfront hosted the beach volleyball event .  Venues outside Gold Coast ( edit )  Brisbane , along with the Gold Coast , forms part of the South East Queensland conurbation . Track Cycling was held at the Sleeman Sports Complex in the suburb of Chandler , where a new indoor cycling velodrome ( Anna Meares Velodrome ) was built . The Velodrome 's seat capacity was 4,000 during the games mode .   The Shooting disciplines were held at the Belmont Shooting Centre . In Tropical North Queensland , the Cairns Convention Centre and Townsville Entertainment Centre hosted the preliminary rounds of both the men 's and women 's basketball competitions .   Athletes Village ( edit )  2018 Commonwealth Games Village  The 2018 Commonwealth Games Athletes Village is located on 59 hectares at Southport , Gold Coast . Sara Carrigan OAM served as the mayor of the athletes village . It provided accommodation and services to 6,600 athletes and officials in 1252 permanent dwellings . There are 1170 one and two bedroom apartments and 82 three bedroom townhouses . It offered services like laundry , refreshments and television and computer spaces and four residential pools . The village consisted a gym which was designed with guidance from the Australian Institute of Sport and equipment and the equipment were sponsored by Technogym . Adjoining the gym was the Athlete Recovery Area which provided services like plunge baths , including accessible baths , saunas , massage and consults from the Sports Medical personnel . The Main Dining served over 18,000 meals per day to the athletes during the games . The village also consisted retail shops , Optus phone store , salon , bar and a games room which featured a number of arcade games , pool tables and game consoles .   Queen 's Baton Relay ( edit )  Gold Coast 2018 Commonwealth Games Baton  The Gold Coast 2018 Queen 's Baton Relay was launched on Commonwealth Day , 13 March 2017 , on the historic forecourt at Buckingham Palace , signalling the official countdown to the start of the Games . Accompanied by the Duke of Edinburgh and Prince Edward The Earl of Wessex , Her Majesty Queen Elizabeth II heralded the start of the relay by placing her ' message to the Commonwealth and its athletes ' into the distinctive loop - design Queen 's Baton which then set off on its journey around the globe . It traveled for 388 days , spending time in every nation and territory of the Commonwealth . The Gold Coast 2018 Queen 's Baton Relay was the longest in Commonwealth Games history . Covering 230,000 km over 388 days , the baton made its way through the six Commonwealth regions of Africa , the Americas , the Caribbean , Europe , Asia and Oceania .   The baton landed on Australian soil in December 2017 and then spent 100 days travelling through Australia , finishing its journey at the Opening Ceremony on 4 April 2018 , where the message was removed from the Baton and read aloud by Charles , Prince of Wales .   Transport ( edit )  Gold Coast light rail  During the games , free public transportation within Queensland region was provided to the ticketholders of the games events . The free transportation services were available on local buses , train and Gold Coast light rail ( G : link ) services in Gold Coast and on TransLink and Qconnect bus services in Cairns and Townsville . The Gold Coast light rail system , connected a number of the key games venues including the Optus Aquatic Centre , Broadwater Parklands and the Gold Coast Convention &amp; Exhibition Centre with the major accommodation centres of Surfers Paradise and Broadbeach and the Athletes Village at Parklands . An extension to the system was announced in October 2015 , connecting the then current terminus at Gold Coast University Hospital to the railway line to Brisbane at Helensvale . The extension opened in December 2017 , in time for the games .   Anti-doping ( edit )   The Australian Sports Anti-Doping Authority conducted an anti-doping drive in the months prior to the games , covering around 2500 tests of Australian athletes , as well as 500 tests against international athletes . Three Australians failed drug tests in this process , along with around 20 international athletes , subject to appeal . The Commonwealth Games Federation conducted in - competition testing and , matching protocol at the Olympic Games , launched a sample storage initiative to allow for future testing of samples up to ten years later , should detection technology improve .   Participating teams ( edit )   There were 71 nations competing at 2018 Commonwealth Games . Maldives were scheduled to participate , but in October 2016 they withdrew from the Commonwealth . The Gambia returned to the Commonwealth Games after being readmitted as a Commonwealth Games Federation member on 31 March 2018 .  Nations expected to compete at the 2018 Commonwealth Games in Gold Coast    ( hide ) Participating Commonwealth Games Associations : country name ( number of participants )       Anguilla ( 12 )   Antigua and Barbuda ( 17 )   Australia ( 474 ) ( hosts )   Bahamas ( 31 )   Bangladesh ( 23 )   Barbados ( 45 )   Belize ( 12 )   Bermuda ( 8 )   Botswana ( 26 )   British Virgin Islands ( 10 )   Brunei ( 8 )   Cameroon ( 40 )   Canada ( 282 )   Cayman Islands ( 21 )   Cook Islands ( 18 )   Cyprus ( 46 )   Dominica ( 13 )   England ( 396 )   Falkland Islands ( 15 )   Fiji ( 96 )   The Gambia ( 6 )   Ghana ( 71 )   Gibraltar ( 22 )   Grenada ( 14 )   Guernsey ( 31 )   Guyana ( 23 )   India ( 216 )   Isle of Man ( 31 )   Jamaica ( 106 )   Jersey ( 33 )   Kenya ( 136 )   Kiribati ( 14 )   Lesotho ( 20 )   Malawi ( 19 )   Malaysia ( 177 )   Malta ( 24 )   Mauritius ( 54 )   Montserrat ( 7 )   Mozambique ( 26 )   Namibia ( 28 )   Nauru ( 16 )   New Zealand ( 251 )   Nigeria ( 88 )   Niue ( 19 )   Norfolk Island ( 18 )   Northern Ireland ( 90 )   Pakistan ( 56 )   Papua New Guinea ( 56 )   Rwanda ( 17 )   Saint Helena ( 9 )   Saint Kitts and Nevis ( 7 )   Saint Lucia ( 13 )   Saint Vincent and the Grenadines ( 20 )   Samoa ( 38 )   Scotland ( 226 )   Seychelles ( 25 )   Sierra Leone ( 24 )   Singapore ( 59 )   Solomon Islands ( 14 )   South Africa ( 194 )   Sri Lanka ( 79 )   Swaziland ( 10 )   Tanzania ( 15 )   Tonga ( 13 )   Trinidad and Tobago ( 51 )   Turks and Caicos Islands ( 7 )   Tuvalu ( 7 )   Uganda ( 69 )   Vanuatu ( 18 )   Wales ( 213 )   Zambia ( 36 )       Number of athletes by team ( edit )     ( show ) CGF Code   Country   Athletes     AUS   Australia   474     ENG   England   396     CAN   Canada   282     NZL   New Zealand   251     SCO   Scotland   226     IND   India   216     WAL   Wales   213     RSA   South Africa   194     MAS   Malaysia   177     KEN   Kenya   136     JAM   Jamaica   106     FIJ   Fiji   96     NIR   Northern Ireland   90     NGR   Nigeria   88     SRI   Sri Lanka   79     GHA   Ghana   71     UGA   Uganda   69     SIN   Singapore   59     PAK   Pakistan   56     PNG   Papua New Guinea     MRI   Mauritius   54     TTO   Trinidad and Tobago   51     CYP   Cyprus   46     BAR   Barbados   45     CMR   Cameroon   40     SAM   Samoa   38     ZAM   Zambia   36     JEY   Jersey   33     BAH   Bahamas   31     GGY   Guernsey     IOM   Isle of Man     NAM   Namibia   28     BOT   Botswana   26     MOZ   Mozambique     SEY   Seychelles   25     MLT   Malta   24     SLE   Sierra Leone     BAN   Bangladesh   23     GUY   Guyana     GIB   Gibraltar   22     CAY   Cayman Islands   21     LES   Lesotho   20     SVG   Saint Vincent and the Grenadines     MAW   Malawi   19     NIU   Niue     COK   Cook Islands   18     NFI   Norfolk Island     VAN   Vanuatu     ANT   Antigua and Barbuda   17     RWA   Rwanda     NRU   Nauru   16     FAI   Falkland Islands   15     TAN   Tanzania     GRN   Grenada   14     KIR   Kiribati     SOL   Solomon Islands     DMA   Dominica   13     LCA   Saint Lucia     TGA   Tonga     AIA   Anguilla   12     BIZ   Belize     IVB   British Virgin Islands   10     SWZ   Swaziland     SHN   Saint Helena   9     BER   Bermuda   8     BRU   Brunei     MNT   Montserrat   7     SKN   Saint Kitts and Nevis     TCA   Turks and Caicos Islands     TUV   Tuvalu     GAM   The Gambia   6     Calendar ( edit )     OC   Opening ceremony     Event competitions     Gold medal events   CC   Closing ceremony       April   Wed   5 Thu   6 Fri   7 Sat   8 Sun   9 Mon   10 Tue   11 Wed   12 Thu   13 Fri   14 Sat   15 Sun   Events     Ceremonies   OC                       CC   N / A     Aquatics   Diving                           10     Swimming     7   9   8   8   9   9             50     Athletics           5   6   8   7   10   9   9     58     Badminton                         5   6     Basketball                               Beach volleyball                               Boxing                       16     16     Cycling     Mountain biking                               Road cycling                               Track cycling     6     6                   20     Gymnastics     Artistic           5   5               14     Rhythmic                           6     Hockey                               Lawn bowls                           10     Netball                               Powerlifting                               Rugby sevens                               Shooting                           19     Squash                           5     Table tennis                           9     Triathlon                           5     Weightlifting                           16     Wrestling                           12     Daily medal events     19   17   22   31   33   26   15   24   27   44   17   275     Cumulative total     19   36   58   89   122   148   163   187   214   258   275     April   4th Wed   5th Thu   6th Fri   7th Sat   8th Sun   9th Mon   10th Tue   11th Wed   12th Thu   13th Fri   14th Sat   15th Sun   Total events       Sports ( edit )   The regulations stated that from the 26 approved sports administered by Commonwealth Governing Bodies , a minimum of ten core sports and maximum of seventeen sports must be included in any Commonwealth Games schedule . The approved sports included the 10 core sports : athletics , badminton , boxing , hockey , lawn bowls , netball ( for women ) , rugby sevens , squash , swimming and weightlifting . Integrated disabled competitions were also scheduled for the Games in nine sports : swimming , athletics , cycling , table tennis , powerlifting and lawn bowls . Along with these events for the first time EAD events in triathlon were held , with the medals added to the final tally for each nation . A record 38 para events were contested at these games . On 8 March 2016 , beach volleyball was announced as the 18th sport .   The program was broadly similar to that of the 2014 Commonwealth Games , with the major changes being the dropping of judo , the reintroduction of basketball , the debut of women 's rugby sevens and beach volleyball .   On 7 October 2016 , it was announced seven new events for women were added to the sport program , meaning there are an equal number of events for men and women . This marks the first time in history that a major multi-sport event has equality in terms of events . In total 275 events in 18 sports are being contested .   Numbers in parentheses indicate the number of medal events contested in each sport .       Aquatics   Diving ( 10 ) ( details )   Swimming ( 50 ) ( details )     Athletics ( 58 ) ( details )   Badminton ( 6 ) ( details )   Basketball ( 2 ) ( details )   Beach volleyball ( 2 ) ( details )   Boxing ( 16 ) ( details )       Cycling ( details )   Mountain biking ( 2 )   Road ( 4 )   Track ( 20 )     Gymnastics ( details )   Artistic ( 14 )   Rhythmic ( 6 )     Hockey ( 2 ) ( details )   Lawn bowls ( 10 ) ( details )       Netball ( 1 ) ( details )   Rugby sevens ( 2 ) ( details )   Shooting ( 19 ) ( details )   Squash ( 5 ) ( details )   Table tennis ( 9 ) ( details )   Triathlon ( 5 ) ( details )   Weightlifting ( 16 ) ( details )   Powerlifting ( 4 ) ( details )     Wrestling ( 12 ) ( details )       Opening ceremony ( edit )  Main article : 2018 Commonwealth Games opening ceremony  The opening ceremony was held at Carrara Stadium in the Gold Coast , Australia , between 20 : 00 and 22 : 40 AEST , on 4 April 2018 . Tickets for the ceremony started at 100 Australian dollars with half price tickets available for children . The Head of the Commonwealth , Queen Elizabeth II , was represented by her son , Charles , Prince of Wales .   Parade of nations ( edit )  Main article : 2018 Commonwealth Games Parade of Nations  Following tradition , the host of the previous games , Scotland entered first , followed by the rest of the European countries competing . Following this , all countries paraded in alphabetical order from their respective regions . After the European countries entered , countries from Africa , the Americas , Asia , the Caribbean , and lastly Oceania marched in . The host nation of Australia entered last . Each nation was preceded by a placard bearer carrying a sign with the country 's name .   Closing ceremony ( edit )  Main article : 2018 Commonwealth Games closing ceremony  The closing ceremony was held at Carrara Stadium and was produced by Jack Morton Worldwide at a cost of AU $30 million . Australian pop stars Guy Sebastian , Samantha Jade , Dami Im and The Veronicas were among the performers along with children 's entertainers , The Wiggles .   Prince Edward , Earl of Wessex , declared the Games closed and passed the Commonwealth Games flag to Birmingham , England which will host the 2022 Games .   Medal table ( edit )  Main article : 2018 Commonwealth Games medal table  Only the top ten successful nations are displayed here .   The ranking in this table is consistent with International Olympic Committee convention in its published medal tables . By default , the table is ordered by the number of gold medals the athletes from a nation have won ( in this context , a `` nation '' is an entity represented by a Commonwealth Games Association ) . The number of silver medals is taken into consideration next and then the number of bronze medals . If nations are still tied , equal ranking is given and they are listed alphabetically by their three - letter country code . Australia tops the medal table rank with 80 gold , second England with 45 gold and third India with 26 gold .    Key    * Host nation ( Australia )   2018 Commonwealth Games medal table   Rank   CGA   Gold   Silver   Bronze   Total       Australia ( AUS ) *   80   59   59   198       England ( ENG )   45   45   46   136       India ( IND )   26   20   20   66       Canada ( CAN )   15   40   27   82     5   New Zealand ( NZL )   15   16   15   46     6   South Africa ( RSA )   13   11   13   37     7   Wales ( WAL )   10   12   14   36     8   Scotland ( SCO )   9   13   22   44     9   Nigeria ( NGR )   9   9   6   24     10   Cyprus ( CYP )   8     5   14     Total ( 43 CGAs )   275   276   289   840     Marketing ( edit )  Borobi  Motto ( edit )   The official motto for the 2018 Commonwealth Games was `` Share the Dream '' . It was chosen to highlight the dreams and experience at the games that were shared by participants of the games , ranging from athletes to volunteers and the host country Australia to the world including the Commonwealth nations .   Emblem ( edit )   The emblem of the 2018 Commonwealth Games was a silhouette of the skyline and landscape of Gold Coast , the host city of the games .   Mascot ( edit )  Main article : Borobi ( mascot )  Borobi was named as the mascot of the 2018 Commonwealth Games in 2016 . Borobi is a blue koala , with indigenous markings on its body . The term `` borobi '' means koala in the Yugambeh language , spoken by the indigenous Yugambeh people of the Gold Coast and surrounding areas .   Medals ( edit )   At a charity gala held on 4 November 2017 , the medals for the games were officially unveiled . Australian Indigenous artist Delvene Cockatoo - Collins designed the medals , while they were produced by the Royal Australian Mint . The design of the medals was inspired by the coastline of Gold Coast along with Indigenous culture . Furthermore , Cockatoo - Collins mentioned , `` the medal design represents soft sand lines which shift with every tide and wave , also symbolic of athletic achievement , The continual change of tide represents the evolution in athletes who are making their mark , Records are made and special moments of elation are celebrated '' . Approximately 1,500 medals were created to be distributed to the medallists and each measures approximately 63 millimetres in diameter . The medals weigh between 138 and 163 grams .   Concerns and controversies ( edit )   The organising committee decided to bring in the athletes before the start of the closing ceremony . This caused an uproar on social media as , contrary to public expectations , none of the athletes were shown entering the stadium during the ceremony . Broadcast rights holders Channel 7 complained on air about the decision and concluded that , `` it has n't really lived up to expectations '' . Many spectators and athletes left during the ceremony , resulting in a half - empty stadium for much of the event . Following this , the ABC claimed that Channel 7 was briefed on the closing ceremony schedule , a claim which Channel 7 later refuted .   At least 13 athletes from four countries - Cameroon , Uganda , Rwanda , and Sierra Leone - absconded during or immediately after the Games . Some missed their competitions . Athletes regularly abscond during major sporting events , and many subsequently claim asylum in their host countries . Most hold nationalities that are deemed high - risk by immigration authorities and find it impossible to get visas outside of exceptional events , such as major games .   See also ( edit )    Gold Coast 2018 Queen 's Baton Relay   2018 Asian Games   2018 European Championships   2019 Pan American Games   2019 European Games   2019 Pacific Games    References ( edit )    Jump up ^ `` This Commonwealth Games will be remembered as a year of ' firsts ' , on and off the field '' . ABC News . 2018 - 04 - 13 . Retrieved 2018 - 04 - 17 .   Jump up ^ `` Up to 300 Para athletes participated in the 2018 Commonwealth Games '' . International Paralympic Committee ( IPC ) . 16 April 2018 .   ^ Jump up to : `` Gambia to compete at Gold Coast 2018 after readmitted as CGF member '' . www.insidethegames.biz/ . Dunsar Media . 31 March 2018 . Retrieved 3 April 2018 .   Jump up ^ `` ABOUT Gold Coast 2018 Commonwealth Games '' . Gold Coast 2018 . Retrieved 2018 - 04 - 17 .   Jump up ^ sportscotland . `` Louise Martin elected as CGF President '' . sportscotland.org.uk . Retrieved 2018 - 04 - 17 .   Jump up ^ `` CGF General Assembly 2011 '' . Commonwealth Games Federation . Retrieved 2018 - 04 - 17 .   Jump up ^ `` Medal Standings - Gold Coast 2018 Commonwealth Games '' . results.gc2018.com . Retrieved 2018 - 04 - 17 .   Jump up ^ `` CGF President declares Commonwealth more relevant than ever before as `` Games of Firsts '' draw to a close on Gold Coast `` . Commonwealth Games Federation . Retrieved 2018 - 04 - 17 .   Jump up ^ `` Gold Coast eyes 2018 Games bid with land swap '' . Australian Broadcasting Corporation . 7 April 2009 . Retrieved 26 May 2011 .   Jump up ^ `` Bligh pushes bids for Games , World Cup '' . The Sydney Morning Herald . 16 April 2009 .   Jump up ^ `` Gold Coast gets sole right to bid for 2018 Commonwealth Games '' . Brisbane Times . 3 June 2009 . Retrieved 26 May 2011 .   Jump up ^ Lappeman , Sue ( 15 March 2010 ) . `` Coast Games bid up and running '' . Gold Coast Bulletin . Retrieved 26 May 2011 .   Jump up ^ Lappeman , Sue ( 31 March 2010 ) . `` Coast Commonwealth Games bid backed '' . Gold Coast Bulletin . Retrieved 26 May 2011 .   Jump up ^ Degun , Tom ( 23 October 2011 ) . `` Legacy benefits to Gold Coast of 2018 Commonwealth Games will be huge , says city 's Mayor '' . Inside the Games . Retrieved 17 November 2011 .   Jump up ^ Ardern , Lucy ( 11 November 2011 ) . `` Sri Lanka boasting of Games bid win '' . Gold Coast Bulletin . Retrieved 17 November 2011 .   Jump up ^ `` Candidate City Manual '' ( PDF ) . Commonwealth Games Federation . December 2009 . Archived from the original ( PDF ) on 5 July 2010 . Retrieved 17 November 2011 .   Jump up ^ Ardern , Lucy ( 13 November 2011 ) . `` Coast wins 2018 Commonwealth Games '' . Gold Coast Bulletin . Retrieved 17 November 2011 .   Jump up ^ Willoughby , , Shannon . `` Mark Peters named as Games CEO '' . Gold Coast News , 18 February 2012 . Retrieved 14 January 2013 .   Jump up ^ Palaszczuk , Annastacia ( 10 February 2017 ) . `` Kate Jones appointed Minister for the Commonwealth Games '' ( Press release ) . Brisbane : Queensland Government . Retrieved 8 May 2017 .   Jump up ^ `` Carrara Stadium Gold Coast 2018 Commonwealth Games '' . Gold Coast 2018 . Retrieved 2018 - 04 - 18 .   Jump up ^ `` Gold Coast Convention and Exhibition Centre Gold Coast 2018 Commonwealth Games '' . Gold Coast 2018 . Retrieved 2018 - 04 - 18 .   Jump up ^ `` Broadbeach Bowls Club Gold Coast 2018 Commonwealth Games '' . Gold Coast 2018 . Retrieved 2018 - 04 - 18 .   Jump up ^ `` Coomera Indoor Sports Centre Gold Coast 2018 Commonwealth Games '' . Gold Coast 2018 . Retrieved 2018 - 04 - 18 .   Jump up ^ `` Oxenford Studios Gold Coast 2018 Commonwealth Games '' . Gold Coast 2018 . Retrieved 2018 - 04 - 18 .   Jump up ^ `` Gold Coast Hockey Centre Gold Coast 2018 Commonwealth Games '' . Gold Coast 2018 . Retrieved 2018 - 04 - 18 .   Jump up ^ `` Southport Broadwater Parklands Gold Coast 2018 Commonwealth Games '' . Gold Coast 2018 . Retrieved 2018 - 04 - 18 .   Jump up ^ `` Optus Aquatic Centre Gold Coast 2018 Commonwealth Games '' . Gold Coast 2018 . Retrieved 2018 - 04 - 18 .   Jump up ^ `` Robina Stadium Gold Coast 2018 Commonwealth Games '' . Gold Coast 2018 . Retrieved 2018 - 04 - 18 .   Jump up ^ `` Coolangatta Beachfront Gold Coast 2018 Commonwealth Games '' . Gold Coast 2018 . Retrieved 2018 - 04 - 18 .   Jump up ^ `` Anna Meares Velodrome Gold Coast 2018 Commonwealth Games '' . Gold Coast 2018 . Retrieved 2018 - 04 - 18 .   Jump up ^ `` Belmont Shooting Centre Gold Coast 2018 Commonwealth Games '' . Gold Coast 2018 . Retrieved 2018 - 04 - 18 .   Jump up ^ `` Cairns Convention Centre Gold Coast 2018 Commonwealth Games '' . Gold Coast 2018 . Retrieved 2018 - 04 - 18 .   Jump up ^ `` Townsville Entertainment and Convention Centre Gold Coast 2018 Commonwealth Games '' . Gold Coast 2018 . Retrieved 2018 - 04 - 18 .   Jump up ^ `` Games Village '' . Embracing 2018 . 18 April 2017 . Retrieved 12 October 2017 .   Jump up ^ `` Inside the Commonwealth Games Village Gold Coast 2018 Commonwealth Games '' . Gold Coast 2018 . Retrieved 2018 - 04 - 18 .   Jump up ^ `` Commonwealth Games Federation - Queen 's Baton Relay '' . www.thecgf.com . Retrieved 2017 - 08 - 26 .   Jump up ^ `` Your Travel Options Gold Coast 2018 Commonwealth Games '' . Gold Coast 2018 . Retrieved 2018 - 04 - 19 .   Jump up ^ `` Stage two of Gold Coast light rail on track for Commonwealth Games '' . Queensland Government . 11 October 2015 .   Jump up ^ Commonwealth Games 2018 : Australia athletes banned for doping . The Australian ( 2018 - 04 - 12 ) . Retrieved 2018 - 04 - 15 .   Jump up ^ `` 71 Nations and Territories. 6 Contin</t>
  </si>
  <si>
    <t xml:space="preserve">where are the commonwealth games being held this year</t>
  </si>
  <si>
    <t xml:space="preserve">2018 Commonwealth Games , officially known as the XXI Commonwealth Games and commonly known as Gold Coast 2018 , were an international multi-sport event for members of the Commonwealth that were held on the Gold Coast , Queensland , Australia , between 4 and 15 April 2018 . It was the fifth time Australia had hosted the Commonwealth Games and the first time a major multi-sport event achieved gender equality by having an equal number of events for males and female athletes .   More</t>
  </si>
  <si>
    <r>
      <rPr>
        <sz val="11"/>
        <color rgb="FF000000"/>
        <rFont val="Calibri"/>
        <family val="0"/>
        <charset val="1"/>
      </rPr>
      <t xml:space="preserve">List of submissions to the 87th Academy Awards for Best Foreign Language film - wikipedia  List of submissions to the 87th Academy Awards for Best Foreign Language film  Jump to : navigation , search Polish director Paweł Pawlikowski won the Academy Award for Best Foreign Language Film for Ida .  The Academy of Motion Picture Arts and Sciences ( AMPAS ) has invited the film industries of a number of countries to submit their best film for the Academy Award for Best Foreign Language Film every year since the award was created in 1956 . It is presented annually by the Academy to a feature - length film produced outside the United States with primarily non-English dialogue . The Foreign Language Film Award Committee oversees the process , reviewing all films submitted .   For the 87th Academy Awards , held on 22 February 2015 , a submitted motion picture must be released theatrically in its respective country between 1 October 2013 and 30 September 2014 . Submission of a film does not automatically qualify it for the competition ; AMPAS has the final word on eligibility , and has disqualified submissions in the past . One film was accepted from each country , with a deadline of 1 October 2014 ; the Academy published a list of eligible films eight days later .   Eighty - three countries submitted films , with four countries entering for the first time . Mauritania submitted Timbuktu , directed by Abderrahmane Sissako ; Panama entered the documentary Invasion , directed by Abner Benaim ; Kosovo submitted Three Windows and a Hanging , directed by Isa Qosja ; and Malta entered Simshar , directed by Rebecca Cremona . In May 2014 , Nigeria announced that AMPAS had approved the first - ever Nigerian Oscar selection committee and they would make their first Oscar submission ; however , they did not submit a film by the deadline .   The Phase I committee , consisting of several hundred Los Angeles - based Academy members , viewed the original submissions between mid-October and 15 December 2014 . The group 's top six choices , augmented by three selections by the Academy 's Foreign Language Film Award Executive Committee , constitute the shortlist . Seventy - six films were originally considered , and the nine finalists were shortlisted in mid-December .   The list was narrowed down to five nominees by invited committees in New York , Los Angeles and ( for the first time ) London , who viewed three films a day from 9 to 11 January 2015 before casting their ballots . The list of nominees was announced on 15 January 2015 at the Samuel Goldwyn Theater in Los Angeles . They were Argentina 's Wild Tales , directed by Damián Szifron ; Estonia 's Tangerines , directed by Zaza Urushadze ; Mauritania 's Timbuktu , directed by Abderrahmane Sissako ; Poland 's Ida , directed by Paweł Pawlikowski , and Russia 's Leviathan , directed by Andrey Zvyagintsev . For the first time , the director 's name would be engraved on the Oscar statuette in addition to the country name . The winner was Poland 's Ida , directed by Pawlikowski .     Contents  ( hide )   1 Submissions   2 See also   3 Notes   4 References   5 External links      Submissions ( edit )     Submitting country   Title used in nomination   Original title   Language ( s )   Director ( s )   Result     Afghanistan   A Few Cubic Meters of Love   چند متر مکعب عشق ( Chand Metre Moka'ab Eshgh )   Persian   Jamshid Mahmoudi   Not nominated     Argentina   Wild Tales   Relatos salvajes   Spanish   Damián Szifrón   Nominated     Australia   Charlie 's Country   Charlie 's Country   Yolngu Matha , English   Rolf de Heer   Not nominated     Austria   The Dark Valley   Das finstere Tal   German   Andreas Prochaska   Not nominated     Azerbaijan   Nabat   Nabat   Azerbaijani   Elchin Musaoglu   Not nominated     Bangladesh   Glow of the Firefly   জোনাকির আলো ( Jonakir Alo )   Bengali   Khalid Mahmud Mithu   Not nominated     Belgium   Two Days , One Night   Deux jours , une nuit   French   Jean - Pierre and Luc Dardenne   Not nominated     Bolivia   Forgotten   Olvidados   Spanish   Carlos Bolado   Not nominated     Bosnia and Herzegovina   With Mum   Sa mamom   Bosnian   Faruk Lončarević   Not nominated     Brazil   The Way He Looks   Hoje eu quero voltar sozinho   Portuguese   Daniel Ribeiro   Not nominated     Bulgaria   Bulgarian Rhapsody   Българска Рапсодия   Bulgarian   Ivan Nitchev   Not nominated     Canada   Mommy   Mommy   French   Xavier Dolan   Not nominated     Chile   To Kill a Man   Matar a un hombre   Spanish   Alejandro Fernández Almendras   Not nominated     China   The Nightingale   </t>
    </r>
    <r>
      <rPr>
        <sz val="11"/>
        <color rgb="FF000000"/>
        <rFont val="Noto Sans CJK SC"/>
        <family val="2"/>
      </rPr>
      <t xml:space="preserve">夜莺 </t>
    </r>
    <r>
      <rPr>
        <sz val="11"/>
        <color rgb="FF000000"/>
        <rFont val="Calibri"/>
        <family val="0"/>
        <charset val="1"/>
      </rPr>
      <t xml:space="preserve">( yè yīng ) , Le promeneur d'oiseau   Mandarin   Philippe Muyl   Not nominated     Colombia   Mateo   Mateo   Spanish   Maria Gamboa   Not nominated     Costa Rica   Red Princesses   Princesas rojas   Spanish   Laura Astorga   Not nominated     Croatia   Cowboys   Kauboji   Croatian   Tomislav Mršić   Not nominated     Cuba   Conducta   Conducta   Spanish   Ernesto Daranas   Not nominated     Czech Republic   Fair Play   Fair Play   Czech   Andrea Sedláčková   Not nominated     Denmark   Sorrow and Joy   Sorg og glæde   Danish   Nils Malmros   Not nominated     Dominican Republic   Cristo Rey   Cristo Rey   Spanish   Leticia Tonos   Not nominated     Ecuador   Silence in Dreamland   Silencio en la tierra de los sueños   Spanish   Tito Molina   Not nominated     Egypt   Factory Girl   فتاة المصنع ( Fatat el masnaa )   Arabic   Mohamed Khan   Not nominated     Estonia   Tangerines   Mandariinid   Estonian , Russian   Zaza Urushadze   Nominated     Ethiopia   Difret   Difret   Amharic   Zeresenay Berhane Mehari   Not nominated     Finland   Concrete Night   Betoniyö   Finnish   Pirjo Honkasalo   Not nominated     France   Saint Laurent   Saint Laurent   French   Bertrand Bonello   Not nominated     Georgia   Corn Island   სიმინდის კუნძული ( simindis k'undzuli )   Georgian , Abkhaz , Russian   Giorgi Ovashvili   Made January shortlist     Germany   Beloved Sisters   Die geliebten Schwestern   German , French   Dominik Graf   Not nominated     Greece   Little England   Μικρά Αγγλία   Greek   Pantelis Voulgaris   Not nominated     Hong Kong   The Golden Era   </t>
    </r>
    <r>
      <rPr>
        <sz val="11"/>
        <color rgb="FF000000"/>
        <rFont val="Noto Sans CJK SC"/>
        <family val="2"/>
      </rPr>
      <t xml:space="preserve">黃金 時代 </t>
    </r>
    <r>
      <rPr>
        <sz val="11"/>
        <color rgb="FF000000"/>
        <rFont val="Calibri"/>
        <family val="0"/>
        <charset val="1"/>
      </rPr>
      <t xml:space="preserve">( huǎng jīn shí dài )   Mandarin   Ann Hui   Not nominated     Hungary   White God   Fehér isten   Hungarian   Kornél Mundruczó   Not nominated     Iceland   Life in a Fishbowl   Vonarstræti   Icelandic   Baldvin Zophoníasson   Not nominated     India   Liar 's Dice   लायर्स डाइस ( Liar 's Dice )   Hindi   Geetu Mohandas   Not nominated     Indonesia   Soekarno   Soekarno   Indonesian   Hanung Bramantyo   Not nominated     Iran   Today   Emrooz ( امروز )   Persian   Reza Mirkarimi   Not nominated     Iraq   Mardan   Mardan   Kurdish   Batin Ghobadi   Not nominated     Ireland   The Gift   An Bronntanas   Irish   Tommy Collins   Not nominated     Israel   Gett : The Trial of Viviane Amsalem   גט - המשפט של ויויאן אמסאלם   Hebrew , French , Arabic   Ronit Elkabetz and Shlomi Elkabetz   Not nominated     Italy   Human Capital   Il capitale umano   Italian   Paolo Virzì   Not nominated     Japan   The Light Shines Only There   </t>
    </r>
    <r>
      <rPr>
        <sz val="11"/>
        <color rgb="FF000000"/>
        <rFont val="Noto Sans CJK SC"/>
        <family val="2"/>
      </rPr>
      <t xml:space="preserve">そこ のみ に て 光 輝く </t>
    </r>
    <r>
      <rPr>
        <sz val="11"/>
        <color rgb="FF000000"/>
        <rFont val="Calibri"/>
        <family val="0"/>
        <charset val="1"/>
      </rPr>
      <t xml:space="preserve">( Soko nomi nite hikari kagayaku )   Japanese   Mipo O   Not nominated     Kosovo   Three Windows and a Hanging   Tri Dritare dhe një Varje   Albanian   Isa Qosja   Not nominated     Kyrgyzstan   Kurmanjan Datka : Queen of the Mountains   Курманжан Датка ( Kurmanjan Datka )   Kyrgyz   Sadyk Sher - Niyaz   Not nominated     Latvia   Rocks in My Pockets   Akmeņi manās kabatās   Latvian   Signe Baumane   Not nominated     Lebanon   Ghadi   غدي   Arabic   Amin Dora   Not nominated     Lithuania   The Gambler   Lošėjas   Lithuanian   Ignas Jonynas   Not nominated     Luxembourg   Never Die Young   Never Die Young   French   Pol Cruchten   Not nominated     Macedonia   To the Hilt   До балчак   Macedonian   Stole Popov   Not nominated     Malta   Simshar   Simshar   Maltese   Rebecca Cremona   Not nominated     Mauritania   Timbuktu   Timbuktu   Arabic , French , Tamashek   Abderrahmane Sissako   Nominated     Mexico   Cantinflas   Cantinflas   Spanish   Sebastian del Amo   Not nominated     Moldova   The Unsaved   La limita de jos a cerului   Romanian   Igor Cobileanski   Not nominated     Montenegro   The Kids from the Marx and Engels Street   Dječaci iz Ulice Marksa i Engelsa   Montenegrin   Nikola Vukčević   Not nominated     Morocco   The Red Moon   القمر الأحمر   Arabic   Hassan Benjelloun   Not nominated     Nepal   Jhola   झोला   Nepali   Yadavkumar Bhattarai   Not nominated     Netherlands   Accused   Lucia de B .   Dutch   Paula van der Oest   Made January shortlist     New Zealand   The Dead Lands   The Dead Lands   Māori   Toa Fraser   Not nominated     Norway   1001 Grams   1001 Gram   Norwegian   Bent Hamer   Not nominated     Pakistan   Dukhtar   دختر ، بیٹی   Urdu   Afia Nathaniel   Not nominated     Palestine   Eyes of a Thief   عيون الحراميه   Arabic   Najwa Najjar   Not nominated     Panama   Invasion   Invasión   Spanish   Abner Benaim   Not nominated     Peru   The Gospel of the Flesh   El evangelio de la carne   Spanish   Eduardo Mendoza de Echave   Not nominated     Philippines   Norte , the End of History   Norte , Hangganan ng Kasaysayan   Tagalog , English   Lav Diaz   Not nominated     Poland   Ida   Ida   Polish   Paweł Pawlikowski   Won Academy Award     Portugal   What Now ? Remind Me   E Agora ? Lembra - me   Portuguese   Joaquim Pinto   Not nominated     Romania   The Japanese Dog   Câinele japonez   Romanian   Tudor Cristian Jurgiu   Not nominated     Russia   Leviathan   Левиафан   Russian   Andrey Zvyagintsev   Nominated     Serbia   See You in Montevideo   Montevideo , vidimo se !   Serbian   Dragan Bjelogrlić   Not nominated     Singapore   Sayang Disayang   Sayang Disayang   Malay , Indonesian   Sanif Olek   Not nominated     Slovakia   A Step into the Dark   Krok do tmy   Slovak   Miloslav Luther   Not nominated     Slovenia   Seduce Me   Zapelji me   Slovene   Marko Šantić   Not nominated     South Africa   Elelwani   Elelwani   Venda   Ntshavheni wa Luruli   Not nominated     South Korea   Haemoo   </t>
    </r>
    <r>
      <rPr>
        <sz val="11"/>
        <color rgb="FF000000"/>
        <rFont val="Noto Sans CJK SC"/>
        <family val="2"/>
      </rPr>
      <t xml:space="preserve">해무 </t>
    </r>
    <r>
      <rPr>
        <sz val="11"/>
        <color rgb="FF000000"/>
        <rFont val="Calibri"/>
        <family val="0"/>
        <charset val="1"/>
      </rPr>
      <t xml:space="preserve">( Haemoo )   Korean   Shim Sung - bo   Not nominated     Spain   Living Is Easy with Eyes Closed   Vivir es fácil con los ojos cerrados   Spanish   David Trueba   Not nominated     Sweden   Force Majeure   Turist   Swedish   Ruben Östlund   Made January shortlist     Switzerland   The Circle   Der Kreis   German   Stefan Haupt   Not nominated     Taiwan   Ice Poison   </t>
    </r>
    <r>
      <rPr>
        <sz val="11"/>
        <color rgb="FF000000"/>
        <rFont val="Noto Sans CJK SC"/>
        <family val="2"/>
      </rPr>
      <t xml:space="preserve">冰毒 </t>
    </r>
    <r>
      <rPr>
        <sz val="11"/>
        <color rgb="FF000000"/>
        <rFont val="Calibri"/>
        <family val="0"/>
        <charset val="1"/>
      </rPr>
      <t xml:space="preserve">( bīng dú )   Southwestern Mandarin , Mandarin   Midi Z   Not nominated     Thailand   Teacher 's Diary   คิดถึง วิทยา ( Kid tueng wittaya )   Thai   Nithiwat Tharathorn   Not nominated     Turkey   Winter Sleep   Kış Uykusu   Turkish   Nuri Bilge Ceylan   Not nominated     Ukraine   The Guide   Поводир   Ukrainian   Oles Sanin   Not nominated     United Kingdom   Little Happiness   Uzun Yol   Turkish   Nihat Seven   Not nominated     Uruguay   Mr. Kaplan   Mr. Kaplan   Spanish   Álvaro Brechner   Not nominated     Venezuela   The Liberator   Libertador   Spanish   Alberto Arvelo   Made January shortlist     See also ( edit )    87th Academy Awards   Academy Award   Academy Award for Best Foreign Language Film   List of Academy Award - winning foreign - language films   List of Academy Award winners and nominees for Best Foreign Language Film   List of countries by number of Academy Awards for Best Foreign Language Film   List of submissions to the 86th Academy Awards for Best Foreign Language Film   List of submissions to the 88th Academy Awards for Best Foreign Language Film    Notes ( edit )    Jump up ^ The Lebanese film Ghadi was originally selected as their entry for the 86th Academy Awards in a two - way race over Lara Saba 's Blind Intersections . When the film 's release date was moved from 26 September 2013 to 31 October 2013 , it no longer met the eligibility dates and Blind Intersections was submitted instead .    References ( edit )    ^ Jump up to : `` History of the Academy Awards - Page 2 '' . Academy of Motion Picture Arts and Sciences ( AMPAS ) . Archived from the original on 22 June 2008 . Retrieved 19 September 2014 .   ^ Jump up to : `` Rule Thirteen : Special Rules for the Foreign Language Film Award '' ( PDF ) . Academy of Motion Picture Arts and Sciences ( AMPAS ) . Archived from the original ( PDF ) on 27 August 2014 . Retrieved 19 September 2014 .   ^ Jump up to : `` 83 Countries In Competition For 2014 Foreign Language Film Oscar '' . Academy of Motion Picture Arts and Sciences ( AMPAS ) . Retrieved 10 October 2014 .   ^ Jump up to : `` Oscar Attracts Best Foreign Language Film Submissions From a Record 83 Countries '' . The Hollywood Reporter . Retrieved 10 October 2014 .   ^ Jump up to : `` Abderrahmane Sissako 's ' Timbuktu ' Is Mauritania 's Best Foreign Language 2015 Oscar Competition Entry '' . Indiewire . Retrieved 8 September 2014 .   ^ Jump up to : `` For First Time Ever , Panama Joins Oscar Race , with ' Invasion ' '' . Variety . Retrieved 17 September 2014 .   ^ Jump up to : `` Oscars : Kosovo Selects ' Three Windows and a Hanging ' for Foreign - Language Category '' . The Hollywood Reporter . Retrieved 23 September 2014 .   ^ Jump up to : `` Simshar vies for Oscar foreign language film nominations '' . Malta Today . Retrieved 10 October 2014 .   Jump up ^ `` Oscars Approves Nigerian Committee For Screening Of Nollywood Films '' . Leadership . Retrieved 10 September 2014 .   ^ Jump up to : `` 9 Foreign Language Films Advance in Oscar Race '' . Academy of Motion Picture Arts and Sciences AMPAS ) . Retrieved 19 December 2014 .   Jump up ^ `` Best Foreign - Language Film Academy Award submissions 2015 '' . Screen Daily . Retrieved 11 August 2014 .   Jump up ^ `` Oscars to Add Winning Foreign Language Director 's Name on Statuette '' . TheWrap . Retrieved 18 September 2014 .   ^ Jump up to : `` Oscars 2015 : Winners list '' . BBC News . Retrieved 23 February 2015 .   Jump up ^ `` Iranian - Afghan movie submitted to Oscar '' . Iran Daily . Retrieved 17 January 2015 .   Jump up ^ `` Oscars : Argentina Picks ' Wild Tales ' for Foreign Language Category '' . The Hollywood Reporter . Retrieved 30 September 2014 .   ^ Jump up to : `` Oscars 2015 : Nominations list '' . BBC News . Retrieved 15 January 2015 .   Jump up ^ `` Oscars : Australia Selects ' Charlie 's Country ' for Foreign - Language Category '' . The Hollywood Reporter . Retrieved 1 October 2014 .   Jump up ^ `` Austrian ' Western ' Oscar candidate '' . The Local . Retrieved 3 September 2014 .   Jump up ^ `` Azerbaijani film presented to Oscar '' . News.az . Retrieved 10 October 2014 .   Jump up ^ `` Bangladesh sends Jonakir Alo to Oscars '' . New Age . Retrieved 26 September 2014 .   Jump up ^ `` Belgium enters Dardennes to Oscar race '' . Screen Daily . Retrieved 19 September 2014 .   Jump up ^ `` OLVIDADOS E YVY MARAEY BUSCAN NOMINACIÓN AL OSCAR Y LOS GOYA '' . La Prensa . Retrieved 17 September 2014 .   Jump up ^ `` Oscars : Bosnia Selects ' With Mom , ' Macedonia ' To the Hilt ' for Foreign - Language Category '' . The Hollywood Reporter . Retrieved 23 September 2014 .   Jump up ^ `` Oscars : Brazil Selects ' The Way He Looks ' for Foreign - Language Category '' . The Hollywood Reporter . Retrieved 18 September 2014 .   Jump up ^ `` ' Bulgarian Rhapsody ' Enters Oscars 2014 Foreign Language Film Contest '' . Novinite . Retrieved 5 September 2014 .   Jump up ^ `` Oscars : Canada Picks ' Mommy ' For Foreign - Language Category '' . The Hollywood Reporter . Retrieved 19 September 2014 .   Jump up ^ `` Oscars : Chile Nominates ' To Kill a Man ' for Foreign Language Category '' . The Hollywood Reporter . Retrieved 9 September 2014 .   Jump up ^ `` Oscars : China Selects ' The Nightingale ' for Foreign - Language Category ( Exclusive ) '' . The Hollywood Reporter . Retrieved 4 September 2014 .   Jump up ^ `` Oscar Race : Colombia Taps ' Mateo ' as Foreign - Language Entry '' . Variety . Retrieved 18 September 2014 .   Jump up ^ `` Costa Rica postula a ' Princesas Rojas ' al Óscar 2015 '' . La Nacion . Retrieved 1 October 2014 .   Jump up ^ `` Finland , Croatia , Serbia enter Oscar race '' . Screen Daily . Retrieved 1 September 2014 .   Jump up ^ Harvey , Dennis . `` Film Review : ' Behavior ' '' . Variety . Retrieved 17 November 2015 .   Jump up ^ `` Oscars : Czechs Nominate Andrea Sedlackova 's ' Fair Play ' in Foreign - Language Category '' . The Hollywood Reporter . Retrieved 18 September 2014 .   Jump up ^ `` Oscars : Denmark Nominates ' Sorrow and Joy ' in Foreign - Language Category '' . The Hollywood Reporter . Retrieved 18 September 2014 .   Jump up ^ `` 23 países já apresentaram candidatos ao Oscar de Melhor Filme Estrangeiro '' . C7nema . Retrieved 10 September 2014 .   Jump up ^ `` ' Silencio en la tierra de los sueños ' , a los Óscar '' . El Universal . Retrieved 30 September 2014 .   Jump up ^ `` Oscars : Egypt Selects ' Factory Girl ' for Foreign - Language Category '' . The Hollywood Reporter . Retrieved 28 September 2014 .   Jump up ^ `` Croatia , Serbia , Finland and Estonia have announced their nominations for the category '' . The Hollywood Reporter . Retrieved 2 September 2014 .   Jump up ^ `` ' Difret ' Submitted for Oscar Consideration for Best Foreign Language Film '' . Tadias . Retrieved 11 October 2014 .   Jump up ^ `` Oscars : Balkans and Baltics Choose Submissions for Best Foreign - Language Film Race '' . The Hollywood Reporter . Retrieved 17 September 2014 .   Jump up ^ `` Oscars : France Selects ' Saint Laurent ' for Foreign - Language Category '' . The Hollywood Reporter . Retrieved 22 September 2014 .   Jump up ^ `` Oscars : Georgia Nominates ' Corn Island ' in Foreign - Language Category '' . The Hollywood Reporter . Retrieved 5 September 2014 .   Jump up ^ `` OSCARS : Germany Selects Dominik Graf 's ' Beloved Sisters ' as Academy Award Entry '' . Variety . Retrieved 27 August 2014 .   Jump up ^ `` Greece enters Oscar race with Little England '' . Screen Daily . Retrieved 9 September 2014 .   Jump up ^ `` Oscars : Hong Kong Nominates ' The Golden Era ' in Foreign - Language Category '' . The Hollywood Reporter . Retrieved 16 September 2014 .   Jump up ^ `` Hungary submits White God to Oscars '' . Screen Daily . Retrieved 11 August 2014 .   Jump up ^ `` Iceland submits Life in a Fishbowl to Oscars '' . Screen Daily . Retrieved 23 September 2014 .   Jump up ^ `` Oscars : India Selects ' Liar 's Dice ' for Foreign - Language Category '' . The Hollywood Reporter . Retrieved 23 September 2014 .   Jump up ^ `` 2015 Oscars : Complete List of Foreign Language Submissions Hits a New Record '' . ComingSoon.net . Retrieved 10 October 2014 .   Jump up ^ `` Oscars : Iran Selects ' Today ' for Foreign - Language Category '' . The Hollywood Reporter . Retrieved 21 September 2014 .   Jump up ^ `` Iraqi film `` Mardan '' entered into Academy Awards foreign language film category `` . Al Bawaba . Retrieved 19 October 2014 .   Jump up ^ `` Derry director 's film singled out for Oscars '' . Derry Journal . Retrieved 2 October 2014 .   Jump up ^ `` Oscars : Israel Nominates ' Gett , the Trial of Viviane Amsalem ' in Foreign - Language Category '' . The Hollywood Reporter . Retrieved 21 September 2014 .   Jump up ^ `` Oscars : Italy Selects ' Human Capital ' for Foreign - Language Category '' . The Hollywood Reporter . Retrieved 24 September 2014 .   Jump up ^ `` Japan Switches on to ' Light ' as Foreign - Language Oscar Contender '' . Variety . Retrieved 5 September 2014 .   Jump up ^ `` ' Kurmanjan Datka ' Reps Kyrgyzstan in Oscar Race '' . Variety . Retrieved 6 October 2014 .   Jump up ^ `` Latvia nominates Rocks in My Pockets '' . The Hollywood Reporter . Retrieved 16 September 2014 .   Jump up ^ `` Araiji nomme `` Ghadi '' pour représenter le Liban aux Oscars 2014 `` . Lebanese Ministry of Information . Retrieved 30 September 2014 .   Jump up ^ `` لبنان يرشح فيلم ' غدي ' للأوسكار '' . Radio Sawa . Retrieved 25 September 2013 .   Jump up ^ `` ' The Gambler ' by Ignas Jonynas -- Lithuania 's candidate for Best Foreign Language Academy Award '' . Lithuanian Film Centre . Retrieved 19 September 2014 .   Jump up ^ `` Harrowing true story from Luxembourg is Oscar hopeful '' . Luxemburger Wort . Retrieved 28 August 2014 .   Jump up ^ `` '' To the Hilt '' enters Oscar race `` . Macedonian Information Agency . Retrieved 20 September 2014 .   Jump up ^ `` Oscars : Mexico Selects ' Cantinflas ' for Foreign - Language Category '' . The Hollywood Reporter . Retrieved 11 September 2014 .   Jump up ^ `` Oscar 2015 Predictions : Is Mexico 's Selection ' Cantiflas ' Good Choice ? '' . Latin Post . Retrieved 17 September 2014 .   Jump up ^ `` Un film marocain aux Oscars 2015 '' . Médias 24 . Retrieved 18 September 2014 .   Jump up ^ `` Nepal Picks ' Jhola ' for Foreign Language Oscar Race '' . Variety . Retrieved 9 November 2015 .   Jump up ^ `` Accused ' Tapped Dutch Candidate for Oscar 's Foreign - Language Noms '' . Variety . Retrieved 5 September 2014 .   Jump up ^ `` Oscars : New Zealand Selects ' The Dead Lands ' as Foreign - Language Candidate '' . The Hollywood Reporter . Retrieved 26 September 2014 .   Jump up ^ `` Oscars : Norway Selects ' 1001 Grams ' for Foreign Language Candidate '' . The Hollywood Reporter . Retrieved 4 September 2014 .   Jump up ^ `` Oscars : Pakistan Nominates ' Dukhtar ' in Foreign - Language Category '' . The Hollywood Reporter . Retrieved 18 September 2014 .   Jump up ^ `` Oscars : Palestine Selects ' Eyes of a Thief ' for Foreign - Language Category '' . The Hollywood Reporter . Retrieved 25 September 2014 .   Jump up ^ `` Peru sends `` The Gospel of the Flesh '' to Academy Awards `` . Agencia Peruana de Noticias ( ANDINA ) . Retrieved 12 September 2014 .   Jump up ^ `` Oscars : Philippines Select ' Norte , The End of History ' for Foreign - Language Category '' . The Hollywood Reporter . Retrieved 9 November 2015 .   Jump up ^ `` Oscars : Poland Anoints ' Ida ' as Candidate for Foreign - Language Academy Award '' . Variety . Retrieved 11 August 2014 .   Jump up ^ `` '' E Agora ? Lembra - me '' vai representar Portugal nos Óscares `` . Observador . Retrieved 11 September 2014 .   Jump up ^ `` Tudor Jurgiu 's The Japanese Dog is Romania 's proposal to the Oscar in 2015 '' . Romania Insider . Retrieved 15 August 2014 .   Jump up ^ `` Oscars : Russia Shockingly Submits Russia - Bashing Hit ' Leviathan ' for Foreign - Language Category '' . The Hollywood Reporter . Retrieved 28 September 2014 .   Jump up ^ `` Serbia 's Oscar nominee : See You in Montevideo '' . InSerbia . Retrieved 2 September 2014 .   Jump up ^ `` S'pore Malay film in Oscar bid '' . AsiaOne . Retrieved 27 September 2014 .   Jump up ^ `` Oscars : Slovakia Selects ' A Step Into the Dark ' for Foreign - Language Category '' . The Hollywood Reporter . Retrieved 19 September 2014 .   Jump up ^ `` Na Ameriško filmsko akademijo pošiljamo Šantićev Zapelji me '' . Radio - Television of Slovenia . Retrieved 16 September 2014 .   Jump up ^ `` Elelwani , the first Tshivenda film selected as South Africa 's Oscars entry '' . National Film and Video Foundation ( NFVF ) . Retrieved 1 October 2014 .   Jump up ^ `` Oscars : South Korea Selects ' Sea Fog ' for Foreign - Language Category '' . The Hollywood Reporter . Retrieved 23 September 2014 .   Jump up ^ `` Oscars : Spain Selects ' Living Is Easy With Eyes Closed ' for Foreign - Language Category '' . The Hollywood Reporter . Retrieved 25 September 2014 .   Jump up ^ `` Oscars : Sweden Picks ' Force Majeure ' for Best Foreign - Language Film Candidate '' . The Hollywood Reporter . Retrieved 9 November 2015 .   Jump up ^ `` Oscars : Switzerland Selects ' The Circle ' for Foreign - Language Oscar '' . The Hollywood Reporter . Retrieved 22 September 2014 .   Jump up ^ `` Taiwan to Take ' Ice Poison ' on Foreign - Language Oscar Campaign '' . Variety . Retrieved 9 September 2014 .   Jump up ^ `` Oscars : Thailand Selects ' Teacher 's Diary ' for Foreign - Language Category '' . The Hollywood Reporter . Retrieved 22 September 2014 .   Jump up ^ `` Turkey submits Cannes winner Winter Sleep for Foreign Language Oscar '' . Screen Daily . Retrieved 11 August 2014 .   Jump up ^ `` Oscars : Ukraine Nominates Oles Sanin 's ' The Guide ' for Foreign Language Category '' . The Hollywood Reporter . Retrieved 9 September 2014 .   Jump up ^ `` Oscar Foreign - Language Race Tops 70 Entries : The Complete List ( So Far ) '' . TheWrap . Retrieved 2 October 2014 .   Jump up ^ `` Seleccionada para los OSCAR '' . Dirección del Cine y Audiovosual Nacional ( ICAU ) . Retrieved 24 September 2014 .   Jump up ^ `` Oscars : Venezuela Picks ' The Liberator ' for Foreign Language Candidate '' . The Hollywood Reporter . Retrieved 4 September 2014 .    External links ( edit )    Official website of the Academy Awards   The Official Academy Awards Database   IMDb Academy Awards Page              Academy Awards       Academy of Motion Picture Arts and Sciences ( AMPAS )   Records   Most wins per ceremony   Oscar season   Governors Awards   Nicholl Fellowships in Screenwriting   Pre-show       Awards of Merit     Best Picture   Director   Actor   Actress   Supporting Actor   Supporting Actress   Adapted Screenplay   Original Screenplay   Animated Feature   Documentary Feature   Foreign Language Film   Animated Short Film   Documentary Short Subject   Live Action Short Film   Cinematography   Costume Design   Film Editing   Makeup and Hairstyling   Original Score   Original Song   Original Musical   Production Design   Sound Editing   Sound Mixing   Visual Effects       Special awards      Governors Awards     Academy Honorary Award   Irving G. Thalberg Memorial Award   Jean Hersholt Humanitarian Award       Academy Scientific and Technical Awards     Academy Award of Merit ( non-competitive )   Scientific and Engineering Award   Technical Achievement Award   John A. Bonner Medal of Commendation   Gordon E. Sawyer Award       Student Awards     Student Academy Award          Former awards      Merit Awards     Assistant Director   Dance Direction   Director of a Comedy Picture   Engineering Effects   Short Subject , Two - reel   Short Subject , Comedy   Short Subject , Novelty   Story   Title Writing   Unique and Artistic Quality of Production       Special Awards     Academy Juvenile Award   Special Achievement Academy Award          Ceremonies ‡   ( List   Book )       1927 / 28   1928 / 29   1929 / 30   1930 / 31   1931 / 32   1932 / 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Footnotes   ‡ Dates and years listed for each ceremony were the eligibility period of film release in Los Angeles County , California . For the first five ceremonies , the eligibility period was from August to July . For the 6th ceremony held in 1934 , the eligibility period lasted from August 1 , 1932 to December 31 , 1933 . Since the 7th ceremony held in 1935 , the period of eligibility became the full previous calendar year from January 1 to December 31 .       Book     Portal                 Academy Award for Best Foreign Language Film submissions     Award winners and nominees ( by country )     Year     1956   1957   1958   1959   1960   1961   1962   1963   1964   1965   1966   1967   1968   1969   1970   1971   1972   1973       1976   1977   1978   1979   1980   1981   1982     1984   1985   1986     1988   1989   1990   1991   1992   1993   1994   1995     1997   1998   1999   2000   2001   2002   2003     2005   2006   2007   2008   2009     2011   2012   2013   2014   2015   2016   2017       Country     Afghanistan   Albania   Algeria   Argentina   Armenia   Australia   Austria   Azerbaijan   Bangladesh   Belarus   Belgium   Bhutan   Bolivia   Bosnia and Herzegovina   Brazil   Bulgaria   Burkina Faso   Cambodia   Cameroon   Canada   Chad   Chile   China   Colombia   Congo , Democratic Republic of   Costa Rica   Côte d'Ivoire   Croatia   Cuba   Czech Republic   Czechoslovakia   Denmark   Dominican Republic   Ecuador   Egypt   Estonia   Ethiopia   Fiji   Finland   France   Georgia   Germany   Greece   Greenland   Guatemala   Hong Kong   Hungary   Iceland   India   Indonesia   Iran   Iraq   Ireland   Israel   Italy   Japan   Jordan   Kazakhstan   Kenya   South Korea   Kosovo   Kuwait   Kyrgyzstan   Laos   Latvia   Lebanon   Lithuania   Luxembourg   Macedonia   Malta   Mauritania   Malaysia   Mexico   Moldova   Mongolia   Montenegro   Morocco   Mozambique   Nepal   Netherlands   New Zealand   Nicaragua   Norway   Pakistan   Palestine   Panama   Paraguay   Peru   Philippines   Poland   Portugal   Puerto Rico   Romania   Russia   Saudi Arabia   Serbia   Singapore   Slovakia   Slovenia   South Africa   Soviet Union   Spain   Sri Lanka   Sweden   Switzerland   Taiwan   Tajikistan   Tanzania   Thailand   Tunisia   Turkey   Ukraine   United Kingdom   Uruguay   Venezuela   Vietnam   Yemen   Yugoslavia         Award winners in other categories   Nominees in other categories   Acting nominations for foreign language performances      Retrieved from `` https://en.wikipedia.org/w/index.php?title=List_of_submissions_to_the_87th_Academy_Awards_for_Best_Foreign_Language_Film&amp;oldid=796820072 '' Categories :   2013 in film   2014 in film   Submissions for Best Foreign Language Film Academy Award ( by year )   Hidden categories :   Use dmy dates from May 2017           Talk                                           Contents                   About Wikipedia                                           Bahasa Indonesia   Русский   </t>
    </r>
    <r>
      <rPr>
        <sz val="11"/>
        <color rgb="FF000000"/>
        <rFont val="Noto Sans CJK SC"/>
        <family val="2"/>
      </rPr>
      <t xml:space="preserve">中文   </t>
    </r>
    <r>
      <rPr>
        <sz val="11"/>
        <color rgb="FF000000"/>
        <rFont val="Calibri"/>
        <family val="0"/>
        <charset val="1"/>
      </rPr>
      <t xml:space="preserve">Edit links   This page was last edited on 23 August 2017 , at 07 : 13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</si>
  <si>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list of submissions to the 87th academy awards for best foreign language film</t>
  </si>
  <si>
    <r>
      <rPr>
        <sz val="11"/>
        <color rgb="FF000000"/>
        <rFont val="Calibri"/>
        <family val="0"/>
        <charset val="1"/>
      </rPr>
      <t xml:space="preserve">   Submitting country   Title used in nomination   Original title   Language ( s )   Director ( s )   Result     Afghanistan   A Few Cubic Meters of Love   چند متر مکعب عشق ( Chand Metre Moka'ab Eshgh )   Persian   Jamshid Mahmoudi   Not nominated     Argentina   Wild Tales   Relatos salvajes   Spanish   Damián Szifrón   Nominated     Australia   Charlie 's Country   Charlie 's Country   Yolngu Matha , English   Rolf de Heer   Not nominated     Austria   The Dark Valley   Das finstere Tal   German   Andreas Prochaska   Not nominated     Azerbaijan   Nabat   Nabat   Azerbaijani   Elchin Musaoglu   Not nominated     Bangladesh   Glow of the Firefly   জোনাকির আলো ( Jonakir Alo )   Bengali   Khalid Mahmud Mithu   Not nominated     Belgium   Two Days , One Night   Deux jours , une nuit   French   Jean - Pierre and Luc Dardenne   Not nominated     Bolivia   Forgotten   Olvidados   Spanish   Carlos Bolado   Not nominated     Bosnia and Herzegovina   With Mum   Sa mamom   Bosnian   Faruk Lončarević   Not nominated     Brazil   The Way He Looks   Hoje eu quero voltar sozinho   Portuguese   Daniel Ribeiro   Not nominated     Bulgaria   Bulgarian Rhapsody   Българска Рапсодия   Bulgarian   Ivan Nitchev   Not nominated     Canada   Mommy   Mommy   French   Xavier Dolan   Not nominated     Chile   To Kill a Man   Matar a un hombre   Spanish   Alejandro Fernández Almendras   Not nominated     China   The Nightingale   </t>
    </r>
    <r>
      <rPr>
        <sz val="11"/>
        <color rgb="FF000000"/>
        <rFont val="Noto Sans CJK SC"/>
        <family val="2"/>
      </rPr>
      <t xml:space="preserve">夜莺 </t>
    </r>
    <r>
      <rPr>
        <sz val="11"/>
        <color rgb="FF000000"/>
        <rFont val="Calibri"/>
        <family val="0"/>
        <charset val="1"/>
      </rPr>
      <t xml:space="preserve">( yè yīng ) , Le promeneur d'oiseau   Mandarin   Philippe Muyl   Not nominated     Colombia   Mateo   Mateo   Spanish   Maria Gamboa   Not nominated     Costa Rica   Red Princesses   Princesas rojas   Spanish   Laura Astorga   Not nominated     Croatia   Cowboys   Kauboji   Croatian   Tomislav Mršić   Not nominated     Cuba   Conducta   Conducta   Spanish   Ernesto Daranas   Not nominated     Czech Republic   Fair Play   Fair Play   Czech   Andrea Sedláčková   Not nominated     Denmark   Sorrow and Joy   Sorg og glæde   Danish   Nils Malmros   Not nominated     Dominican Republic   Cristo Rey   Cristo Rey   Spanish   Leticia Tonos   Not nominated     Ecuador   Silence in Dreamland   Silencio en la tierra de los sueños   Spanish   Tito Molina   Not nominated     Egypt   Factory Girl   فتاة المصنع ( Fatat el masnaa )   Arabic   Mohamed Khan   Not nominated     Estonia   Tangerines   Mandariinid   Estonian , Russian   Zaza Urushadze   Nominated     Ethiopia   Difret   Difret   Amharic   Zeresenay Berhane Mehari   Not nominated     Finland   Concrete Night   Betoniyö   Finnish   Pirjo Honkasalo   Not nominated     France   Saint Laurent   Saint Laurent   French   Bertrand Bonello   Not nominated     Georgia   Corn Island   სიმინდის კუნძული ( simindis k'undzuli )   Georgian , Abkhaz , Russian   Giorgi Ovashvili   Made January shortlist     Germany   Beloved Sisters   Die geliebten Schwestern   German , French   Dominik Graf   Not nominated     Greece   Little England   Μικρά Αγγλία   Greek   Pantelis Voulgaris   Not nominated     Hong Kong   The Golden Era   </t>
    </r>
    <r>
      <rPr>
        <sz val="11"/>
        <color rgb="FF000000"/>
        <rFont val="Noto Sans CJK SC"/>
        <family val="2"/>
      </rPr>
      <t xml:space="preserve">黃金 時代 </t>
    </r>
    <r>
      <rPr>
        <sz val="11"/>
        <color rgb="FF000000"/>
        <rFont val="Calibri"/>
        <family val="0"/>
        <charset val="1"/>
      </rPr>
      <t xml:space="preserve">( huǎng jīn shí dài )   Mandarin   Ann Hui   Not nominated     Hungary   White God   Fehér isten   Hungarian   Kornél Mundruczó   Not nominated     Iceland   Life in a Fishbowl   Vonarstræti   Icelandic   Baldvin Zophoníasson   Not nominated     India   Liar 's Dice   लायर्स डाइस ( Liar 's Dice )   Hindi   Geetu Mohandas   Not nominated     Indonesia   Soekarno   Soekarno   Indonesian   Hanung Bramantyo   Not nominated     Iran   Today   Emrooz ( امروز )   Persian   Reza Mirkarimi   Not nominated     Iraq   Mardan   Mardan   Kurdish   Batin Ghobadi   Not nominated     Ireland   The Gift   An Bronntanas   Irish   Tommy Collins   Not nominated     Israel   Gett : The Trial of Viviane Amsalem   גט - המשפט של ויויאן אמסאלם   Hebrew , French , Arabic   Ronit Elkabetz and Shlomi Elkabetz   Not nominated     Italy   Human Capital   Il capitale umano   Italian   Paolo Virzì   Not nominated     Japan   The Light Shines Only There   </t>
    </r>
    <r>
      <rPr>
        <sz val="11"/>
        <color rgb="FF000000"/>
        <rFont val="Noto Sans CJK SC"/>
        <family val="2"/>
      </rPr>
      <t xml:space="preserve">そこ のみ に て 光 輝く </t>
    </r>
    <r>
      <rPr>
        <sz val="11"/>
        <color rgb="FF000000"/>
        <rFont val="Calibri"/>
        <family val="0"/>
        <charset val="1"/>
      </rPr>
      <t xml:space="preserve">( Soko nomi nite hikari kagayaku )   Japanese   Mipo O   Not nominated     Kosovo   Three Windows and a Hanging   Tri Dritare dhe një Varje   Albanian   Isa Qosja   Not nominated     Kyrgyzstan   Kurmanjan Datka : Queen of the Mountains   Курманжан Датка ( Kurmanjan Datka )   Kyrgyz   Sadyk Sher - Niyaz   Not nominated     Latvia   Rocks in My Pockets   Akmeņi manās kabatās   Latvian   Signe Baumane   Not nominated     Lebanon   Ghadi   غدي   Arabic   Amin Dora   Not nominated     Lithuania   The Gambler   Lošėjas   Lithuanian   Ignas Jonynas   Not nominated     Luxembourg   Never Die Young   Never Die Young   French   Pol Cruchten   Not nominated     Macedonia   To the Hilt   До балчак   Macedonian   Stole Popov   Not nominated     Malta   Simshar   Simshar   Maltese   Rebecca Cremona   Not nominated     Mauritania   Timbuktu   Timbuktu   Arabic , French , Tamashek   Abderrahmane Sissako   Nominated     Mexico   Cantinflas   Cantinflas   Spanish   Sebastian del Amo   Not nominated     Moldova   The Unsaved   La limita de jos a cerului   Romanian   Igor Cobileanski   Not nominated     Montenegro   The Kids from the Marx and Engels Street   Dječaci iz Ulice Marksa i Engelsa   Montenegrin   Nikola Vukčević   Not nominated     Morocco   The Red Moon   القمر الأحمر   Arabic   Hassan Benjelloun   Not nominated     Nepal   Jhola   झोला   Nepali   Yadavkumar Bhattarai   Not nominated     Netherlands   Accused   Lucia de B .   Dutch   Paula van der Oest   Made January shortlist     New Zealand   The Dead Lands   The Dead Lands   Māori   Toa Fraser   Not nominated     Norway   1001 Grams   1001 Gram   Norwegian   Bent Hamer   Not nominated     Pakistan   Dukhtar   دختر ، بیٹی   Urdu   Afia Nathaniel   Not nominated     Palestine   Eyes of a Thief   عيون الحراميه   Arabic   Najwa Najjar   Not nominated     Panama   Invasion   Invasión   Spanish   Abner Benaim   Not nominated     Peru   The Gospel of the Flesh   El evangelio de la carne   Spanish   Eduardo Mendoza de Echave   Not nominated     Philippines   Norte , the End of History   Norte , Hangganan ng Kasaysayan   Tagalog , English   Lav Diaz   Not nominated     Poland   Ida   Ida   Polish   Paweł Pawlikowski   Won Academy Award     Portugal   What Now ? Remind Me   E Agora ? Lembra - me   Portuguese   Joaquim Pinto   Not nominated     Romania   The Japanese Dog   Câinele japonez   Romanian   Tudor Cristian Jurgiu   Not nominated     Russia   Leviathan   Левиафан   Russian   Andrey Zvyagintsev   Nominated     Serbia   See You in Montevideo   Montevideo , vidimo se !   Serbian   Dragan Bjelogrlić   Not nominated     Singapore   Sayang Disayang   Sayang Disayang   Malay , Indonesian   Sanif Olek   Not nominated     Slovakia   A Step into the Dark   Krok do tmy   Slovak   Miloslav Luther   Not nominated     Slovenia   Seduce Me   Zapelji me   Slovene   Marko Šantić   Not nominated     South Africa   Elelwani   Elelwani   Venda   Ntshavheni wa Luruli   Not nominated     South Korea   Haemoo   </t>
    </r>
    <r>
      <rPr>
        <sz val="11"/>
        <color rgb="FF000000"/>
        <rFont val="Noto Sans CJK SC"/>
        <family val="2"/>
      </rPr>
      <t xml:space="preserve">해무 </t>
    </r>
    <r>
      <rPr>
        <sz val="11"/>
        <color rgb="FF000000"/>
        <rFont val="Calibri"/>
        <family val="0"/>
        <charset val="1"/>
      </rPr>
      <t xml:space="preserve">( Haemoo )   Korean   Shim Sung - bo   Not nominated     Spain   Living Is Easy with Eyes Closed   Vivir es fácil con los ojos cerrados   Spanish   David Trueba   Not nominated     Sweden   Force Majeure   Turist   Swedish   Ruben Östlund   Made January shortlist     Switzerland   The Circle   Der Kreis   German   Stefan Haupt   Not nominated     Taiwan   Ice Poison   </t>
    </r>
    <r>
      <rPr>
        <sz val="11"/>
        <color rgb="FF000000"/>
        <rFont val="Noto Sans CJK SC"/>
        <family val="2"/>
      </rPr>
      <t xml:space="preserve">冰毒 </t>
    </r>
    <r>
      <rPr>
        <sz val="11"/>
        <color rgb="FF000000"/>
        <rFont val="Calibri"/>
        <family val="0"/>
        <charset val="1"/>
      </rPr>
      <t xml:space="preserve">( bīng dú )   Southwestern Mandarin , Mandarin   Midi Z   Not nominated     Thailand   Teacher 's Diary   คิดถึง วิทยา ( Kid tueng wittaya )   Thai   Nithiwat Tharathorn   Not nominated     Turkey   Winter Sleep   Kış Uykusu   Turkish   Nuri Bilge Ceylan   Not nominated     Ukraine   The Guide   Поводир   Ukrainian   Oles Sanin   Not nominated     United Kingdom   Little Happiness   Uzun Yol   Turkish   Nihat Seven   Not nominated     Uruguay   Mr. Kaplan   Mr. Kaplan   Spanish   Álvaro Brechner   Not nominated     Venezuela   The Liberator   Libertador   Spanish   Alberto Arvelo   Made January shortlist   </t>
    </r>
  </si>
  <si>
    <t xml:space="preserve">Meant to Be ( Bebe Rexha song ) - wikipedia  Meant to Be ( Bebe Rexha song )  Jump to : navigation , search    `` Meant to Be ''         Single by Bebe Rexha featuring Florida Georgia Line     from the album All Your Fault : Pt. 2     Released   October 24 , 2017 ( 2017 - 10 - 24 )     Format   Digital download     Genre   Country pop     Length   2 : 43     Label   Warner Bros .     Songwriter ( s )     Bleta Rexha   Tyler Hubbard   Josh Miller   David Garcia       Producer ( s )   Wilshire     Bebe Rexha singles chronology        `` Back to You '' ( 2017 )   `` Meant to Be '' ( 2017 )   `` Home '' ( 2017 )           `` Back to You '' ( 2017 )   `` Meant to Be '' ( 2017 )   `` Home '' ( 2017 )            Florida Georgia Line singles chronology        `` Let Me Go '' ( 2017 ) Let Me Go 2017   `` Meant to Be '' ( 2017 ) Meant to Be2017   `` Up Down '' ( 2017 ) Up Down 2017            `` Meant to Be '' is a song recorded by American singer Bebe Rexha , featuring American country music duo Florida Georgia Line , from her third extended play ( EP ) All Your Fault : Pt. 2 . It was released to American contemporary hit radio on October 24 , 2017 , by Warner Bros. Records as the second single from the EP .     Contents  ( hide )   1 Music video   2 Commercial performance   3 Track listing   4 Charts   5 Certifications   6 Release history   7 References   8 External links      Music video ( edit )   The music video directed by Sophie Muller was released on October 23 , 2017 , and it was filmed in Albuquerque , New Mexico . As of April 2018 the video has over 320 million views on YouTube .   Commercial performance ( edit )   `` Meant to Be '' entered the US Billboard Hot 100 at number 61 on the chart dated November 11 , 2017 . It has since peaked at number two behind Drake 's `` God 's Plan '' , becoming Rexha 's third top ten hit and her first as a solo lead artist , as well as the second top ten hit for Florida Georgia Line . It is Rexha 's highest - charting single on the chart , surpassing `` Me , Myself &amp; I '' .   It also debuted atop the Hot Country Songs chart , becoming Rexha 's first entry on that chart and Florida Georgia Line 's sixth number one . Rexha also became the first female artist to ever debut atop the chart and the third artist overall in country music history . The song has spent 18 weeks at number one on the Hot Country Songs chart , surpassing Taylor Swift 's `` We Are Never Ever Getting Back Together '' as the longest - running number one song on the chart for a lead female artist . The song has sold 682,000 copies in the United States as of March 2018 .   Track listing ( edit )    Digital download     `` Meant to Be '' ( Acoustic ) -- 2 : 38    Charts ( edit )     Chart ( 2017 -- 18 )   Peak position     Australia ( ARIA )       Austria ( Ö3 Austria Top 40 )   49     Belgium ( Ultratip Flanders )   16     Belgium ( Ultratip Wallonia )   12     Canada ( Canadian Hot 100 )   10     Canada AC ( Billboard )   28     Canada CHR / Top 40 ( Billboard )   21     Canada Country ( Billboard )   14     Canada Hot AC ( Billboard )   19     Czech Republic ( Rádio Top 100 )   61     Czech Republic ( Singles Digitál Top 100 )   26     Denmark ( Tracklisten )   38     Germany ( Official German Charts )   60     Greece ( IFPI Greece )   40     Hungary ( Stream Top 40 )   28     Ireland ( IRMA )   30     Israel ( Media Forest TV Airplay )       Malaysia Streaming ( RIM )   20     Netherlands ( Dutch Top 40 )   7     Netherlands ( Single Top 100 )   18     New Zealand ( Recorded Music NZ )   5     Norway ( VG - lista )   5     Philippines ( Philippine Hot 100 )   37     Portugal ( AFP )   54     Scotland ( Official Charts Company )   5     Singapore ( RIAS )   28     Slovakia ( Rádio Top 100 )   95     Slovakia ( Singles Digitál Top 100 )   28     Sweden ( Sverigetopplistan )   8     Switzerland ( Schweizer Hitparade )   34     UK Singles ( Official Charts Company )   11     US Billboard Hot 100       US Adult Contemporary ( Billboard )   15     US Adult Top 40 ( Billboard )       US Country Airplay ( Billboard )       US Hot Country Songs ( Billboard )       US Mainstream Top 40 ( Billboard )       US Rhythmic ( Billboard )   34       Preceded by `` Greatest Love Story '' by Lanco   Billboard Hot Country Songs number - one single December 16 , 2017 -- April 7 , 2018   Succeeded by incumbent     Certifications ( edit )     Region   Certification   Certified units / Sales     Australia ( ARIA )   3 × Platinum   210,000     New Zealand ( RMNZ )   Platinum   30,000     Norway ( IFPI Norway )   Platinum   10,000     Sweden ( GLF )   2 × Platinum   80,000     Switzerland ( IFPI Switzerland )   Gold   15,000     United Kingdom ( BPI )   Silver   200,000     United States ( RIAA )   2 × Platinum   2,000,000      sales figures based on certification alone shipments figures based on certification alone sales + streaming figures based on certification alone      Release history ( edit )     Country   Date   Format   Label   Ref .     United States   October 24 , 2017   Contemporary hit radio   Warner Bros .       November 20 , 2017   Country radio     Warner Bros .   BMLG         Italy   February 2 , 2018   Contemporary hit radio   Warner       References ( edit )    Jump up ^ `` All Your Fault : Pt. 2 -- EP by Bebe Rexha on iTunes '' . iTunes Store ( US ) . Retrieved December 7 , 2017 . Jamaica 's Kranium sings on the dancehall duet `` Comfortable '' and Florida Georgia Line lend their radiant harmonies to `` Meant to Be , '' a country - pop smash designed to cross over .   Jump up ^ `` Music Meeting for November 21 '' . Play IGA . Archived from the original on 21 November 2017 .   ^ Jump up to : `` Top 40 / M Future Releases '' . All Access Media Group . Archived from the original on October 31 , 2017 .   Jump up ^ Wass , Mike ( October 23 , 2017 ) . `` Bebe Rexha &amp; Florida Georgia Line 's ' Meant To Be ' Video Is A Slice Of Americana '' . Idolator . Retrieved October 31 , 2017 .   Jump up ^ `` Bebe Rexha -- Meant to Be ( feat . Florida Georgia Line ) ( Official Music Video ) '' . YouTube . Retrieved April 8 , 2018 .   Jump up ^ `` Drake 's ' God 's Plan ' Rules Billboard Hot 100 for Seventh Week ; Zedd , Maren Morris &amp; Grey 's ' The Middle ' Hits Top 10 '' . Billboard . Retrieved 2018 - 03 - 12 .   Jump up ^ Asker , Jim ; Trust , Gary ( December 4 , 2017 ) . `` Bebe Rexha &amp; Florida Georgia Line Are ' Meant to Be ' Atop Hot Country Songs Chart '' . Billboard . Retrieved December 5 , 2017 .   Jump up ^ `` On the Charts : Bebe Rexha , Florida Georgia Line Achieve Rare Country Feat '' . Rolling Stone . December 5 , 2017 . Retrieved December 17 , 2017 .   Jump up ^ Trust , Gary ( December 12 , 2017 ) . `` Drake 's ' God 's Plan ' Dominates Billboard Hot 100 for Third Week &amp; Three Songs Enter Top 10 '' . Billboard . Retrieved December 16 , 2017 .   ^ Jump up to : Bjorke , Matt ( March 6 , 2018 ) . `` The Top 30 Digital Country Singles : March 5 , 2018 '' . Roughstock . Retrieved March 11 , 2018 .   Jump up ^ `` iTunes - Music - Meant to Be ( Acoustic ) - Single by Bebe Rexha '' . iTunes Store .   Jump up ^ `` Australian-charts.com -- Bebe Rexha feat . Florida Georgia Line -- Meant to Be '' . ARIA Top 50 Singles . Retrieved January 27 , 2018 .   Jump up ^ `` Austriancharts.at -- Bebe Rexha feat . Florida Georgia Line -- Meant to Be '' ( in German ) . Ö3 Austria Top 40 . Retrieved February 28 , 2018 .   Jump up ^ `` Ultratop.be -- Bebe Rexha feat . Florida Georgia Line -- Meant to Be '' ( in Dutch ) . Ultratip . Retrieved December 9 , 2017 .   Jump up ^ `` Ultratop.be -- Bebe Rexha feat . Florida Georgia Line -- Meant to Be '' ( in French ) . Ultratip . Retrieved January 13 , 2018 .   Jump up ^ `` Bebe Rexha Chart History ( Canadian Hot 100 ) '' . Billboard . Retrieved March 27 , 2018 .   Jump up ^ `` Bebe Rexha Chart History ( Canada AC ) '' . Billboard . Retrieved April 10 , 2018 .   Jump up ^ `` Bebe Rexha Chart History ( Canada CHR / Top 40 ) '' . Billboard . Retrieved April 10 , 2018 .   Jump up ^ `` Bebe Rexha Chart History ( Canada Country ) '' . Billboard . Retrieved April 10 , 2018 .   Jump up ^ `` Bebe Rexha Chart History ( Canada Hot AC ) '' . Billboard . Retrieved April 10 , 2018 .   Jump up ^ `` ČNS IFPI '' ( in Czech ) . Hitparáda -- Radio Top 100 Oficiální . IFPI Czech Republic . Note : insert 201809 into search . Retrieved March 6 , 2018 .   Jump up ^ `` ČNS IFPI '' ( in Czech ) . Hitparáda -- Digital Top 100 Oficiální . IFPI Czech Republic . Note : insert 201747 into search . Retrieved November 27 , 2017 .   Jump up ^ `` Track Top - 40 Uge 4 , 2018 '' . Hitlisten . Retrieved January 31 , 2018 .   Jump up ^ `` Offiziellecharts.de -- Bebe Rexha feat . Florida Georgia Line -- Meant to Be '' . GfK Entertainment Charts . Retrieved April 6 , 2018 .   Jump up ^ `` Greece Official IFPI Charts Digital Singles Chart : Feb 5 , 2018 '' . IFPI Charts . Retrieved March 8 , 2018 .   Jump up ^ `` Archívum -- Slágerlisták -- MAHASZ '' ( in Hungarian ) . Stream Top 40 slágerlista . Magyar Hanglemezkiadók Szövetsége . Retrieved December 7 , 2017 .   Jump up ^ `` IRMA -- Irish Charts '' . Irish Recorded Music Association . Retrieved April 7 , 2018 .   Jump up ^ `` מדיה פורסט - לדעת שאתה באוויר '' . Mediaforest.biz . Retrieved December 31 , 2017 .   Jump up ^ `` Top 20 Most Streamed International &amp; Domestic Singles in Malaysia : Week 49 ( 1 / 12 / 2017 -- 7 / 12 / 2017 ) '' ( PDF ) . Recording Industry Association of Malaysia . Retrieved February 16 , 2018 .   Jump up ^ `` Nederlandse Top 40 -- week 10 , 2018 '' ( in Dutch ) . Dutch Top 40 Retrieved March 10 , 2018 .   Jump up ^ `` Dutchcharts.nl -- Bebe Rexha feat . Florida Georgia Line -- Meant to Be '' ( in Dutch ) . Single Top 100 . Retrieved March 24 , 2018 .   Jump up ^ `` NZ Top 40 Singles Chart '' . Recorded Music NZ . January 29 , 2018 . Retrieved January 26 , 2018 .   Jump up ^ `` VG - lista -- Topp 20 Single uke 1 , 2018 '' . VG - lista . Retrieved January 6 , 2018 .   Jump up ^ `` BillboardPH Hot 100 '' . Billboard Philippines . Retrieved January 9 , 2018 .   Jump up ^ `` Portuguesecharts.com -- Bebe Rexha feat . Florida Georgia Line -- Meant to Be '' . AFP Top 100 Singles . Retrieved April 3 , 2018 .   Jump up ^ `` Official Scottish Singles Sales Chart Top 100 '' . Official Charts Company . Retrieved March 24 , 2018 .   Jump up ^ `` Singapore Top 30 Digital Streaming Chart Week 2 '' ( PDF ) . Recording Industry Association ( Singapore ) . Archived from the original ( PDF ) on January 19 , 2018 .   Jump up ^ `` SNS IFPI '' ( in Slovak ) . Hitparáda -- Radio Top 100 Oficiálna . IFPI Czech Republic . Note : insert 201811 into search . Retrieved March 21 , 2018 .   Jump up ^ `` SNS IFPI '' ( in Slovak ) . Hitparáda -- Singles Digital Top 100 Oficiálna . IFPI Czech Republic . Note : insert 201748 into search . Retrieved December 4 , 2017 .   Jump up ^ `` Sverigetopplistan -- Sveriges Officiella Topplista '' . Sverigetopplistan . Retrieved February 10 , 2018 .   Jump up ^ `` Swisscharts.com -- Bebe Rexha feat . Florida Georgia Line -- Meant to Be '' . Swiss Singles Chart . Retrieved February 26 , 2018 .   Jump up ^ `` Official Singles Chart Top 100 '' . Official Charts Company . Retrieved March 31 , 2018 .   Jump up ^ `` Bebe Rexha Chart History ( Hot 100 ) '' . Billboard . Retrieved March 27 , 2018 .   Jump up ^ `` Bebe Rexha Chart History ( Adult Contemporary ) '' . Billboard . Retrieved April 10 , 2018 .   Jump up ^ `` Bebe Rexha Chart History ( Adult Pop Songs ) '' . Billboard . Retrieved April 10 , 2018 .   Jump up ^ `` Bebe Rexha Chart History ( Country Airplay ) '' . Billboard . Retrieved April 3 , 2018 .   Jump up ^ `` Bebe Rexha Chart History ( Hot Country Songs ) '' . Billboard . Retrieved December 5 , 2017 .   Jump up ^ `` Bebe Rexha Chart History ( Pop Songs ) '' . Billboard . Retrieved April 10 , 2018 .   Jump up ^ `` Bebe Rexha Chart History ( Rhythmic ) '' . Billboard . Retrieved April 3 , 2018 .   Jump up ^ Trust , Gary ( April 2 , 2018 ) . `` Drake Becomes First Lead Solo Male With Two 10 - Week Billboard Hot 100 No. 1s , as ' God 's Plan ' Stays at the Summit '' . Billboard . Retrieved April 3 , 2018 .   Jump up ^ `` ARIA Australian Top 50 Singles '' . Australian Recording Industry Association . March 26 , 2018 . Retrieved March 24 , 2018 .   Jump up ^ `` New Zealand single certifications -- Bebe Rexha and Florida Georgia Line -- Meant to Be '' . Recorded Music NZ . Retrieved February 2 , 2018 .   Jump up ^ `` Norwegian single certifications -- Bebe Rexha -- Meant to Be '' ( in Norwegian ) . IFPI Norway . Retrieved April 7 , 2018 .   Jump up ^ `` Guld - och Platinacertifikat '' ( in Swedish ) . IFPI Sweden . Retrieved April 6 , 2018 . Type Bebe Rexha in the top right search bar . Click on `` Sok '' and select Meant to Be and see certification .   Jump up ^ `` The Official Swiss Charts and Music Community : Awards ( Bebe Rexha ; ' Meant to Be ' ) '' . IFPI Switzerland . Hung Medien . Retrieved February 28 , 2018 .   Jump up ^ `` British single certifications -- Bebe Rexha Ft Florida Georgia Line -- Meant to Be '' . British Phonographic Industry . Retrieved April 6 , 2018 . Enter Meant to Be in the search field and then press Enter .   Jump up ^ `` American single certifications -- Bebe Rexha -- Meant to Be '' . Recording Industry Association of America . Retrieved April 5 , 2018 . If necessary , click Advanced , then click Format , then select Single , then click SEARCH   Jump up ^ `` Future Releases for Country Radio Stations '' . All Access Media Group . Archived from the original on November 19 , 2017 . Retrieved November 19 , 2017 .   Jump up ^ http://radiodate.it/radio-date/bebe-rexha-feat-florida-georgia-line-meant-to-be-177349-02-02-2018-radiodate/    External links ( edit )    Music video on YouTube   Lyrics of this song at MetroLyrics              Bebe Rexha     Extended plays     I Do n't Wanna Grow Up   All Your Fault : Pt. 1   All Your Fault : Pt. 2       Singles     `` I Ca n't Stop Drinking About You ''   `` I 'm Gonna Show You Crazy ''   `` Gone ''   `` Me , Myself &amp; I ''   `` No Broken Hearts ''   `` In the Name of Love ''   `` I Got You ''   `` The Way I Are ( Dance with Somebody ) ''   `` Meant to Be ''   `` Home ''       Featured singles     `` Take Me Home ''   `` Hey Mama ''   `` All the Way ''   `` That 's How You Know ''   `` Battle Cry ''   `` Back to You ''       Concert tours     All Your Fault Tour       Related articles     Discography   Black Cards                 Florida Georgia Line       Tyler Hubbard   Brian Kelley       Studio albums     Here 's to the Good Times ( 2012 )   Anything Goes ( 2014 )   Dig Your Roots ( 2016 )       EPs     It'z Just What We Do ( 2012 )       Notable singles     `` Cruise ''   `` Get Your Shine On ''   `` Round Here ''   `` Stay ''   `` This Is How We Roll '' ( with Luke Bryan )   `` Dirt ''   `` Sun Daze ''   `` Sippin ' on Fire ''   `` Anything Goes ''   `` Confession ''   `` H.O.L.Y. ''   `` May We All '' ( with Tim McGraw )   `` God , Your Mama , and Me '' ( with Backstreet Boys )   `` Smooth ''       Collaboration singles     `` Let Me Go '' ( with Hailee Steinfeld , Alesso , and Watt )   `` Meant to Be '' ( with Bebe Rexha )   `` Up Down '' ( with Morgan Wallen )       Related articles     Discography   Joey Moi   `` Tippin ' Point ''   `` Hope You Get Lonely Tonight ''   `` Burnin ' It Down ''   `` Lights Come On ''   `` You Make It Easy ''   `` Happens Like That ''   Tree Vibez Music       Tours     Anything Goes Tour   Dig Your Roots Tour   Smooth Tour      Retrieved from `` https://en.wikipedia.org/w/index.php?title=Meant_to_Be_(Bebe_Rexha_song)&amp;oldid=835620762 '' Categories :   2017 songs   2017 singles   Warner Bros. Records singles   Bebe Rexha songs   Florida Georgia Line songs   Songs written by Bebe Rexha   Country ballads   Vocal duets   Billboard Hot Country Songs number - one singles   Songs written by Tyler Hubbard   Hidden categories :   CS1 Norwegian - language sources ( no )   CS1 Swedish - language sources ( sv )   Music infoboxes with deprecated parameters   Articles with hAudio microformats   Singlechart usages for Australia   Singlechart usages for Austria   Singlechart usages for Flanders Tip   Singlechart usages for Wallonia Tip   Singlechart usages for Canada   Singlechart called without song   Singlechart usages for Billboardcanadaac   Singlechart usages for Billboardcanadachrtop40   Singlechart usages for Billboardcanadacountry   Singlechart usages for Billboardcanadahotac   Singlechart usages for Czech Republic   Singlechart called without artist   Singlechart usages for Czechdigital   Singlechart usages for Germany2   Singlechart usages for Hungarystream   Singlechart usages for Dutch40   Singlechart usages for Dutch100   Singlechart usages for Philippines   Singlechart usages for Portugal   Singlechart usages for Scotland   Singlechart usages for Slovakia   Singlechart usages for Slovakdigital   Singlechart usages for Switzerland   Singlechart usages for UK   Singlechart usages for Billboardhot100   Singlechart usages for Billboardadultcontemporary   Singlechart usages for Billboardadultpopsongs   Singlechart usages for Billboardcountryairplay   Singlechart usages for Billboardcountrysongs   Singlechart usages for Billboardpopsongs   Singlechart usages for Billboardrhythmic   Certification Table Entry usages for Australia   Certification Table Entry usages for New Zealand   Certification Table Entry usages for Norway   Certification Table Entry usages for Sweden   Certification Table Entry usages for Switzerland   Certification Table Entry usages for United Kingdom   Certification Table Entry usages for United States           Talk                                           Contents                   About Wikipedia                                           Español   Հայերեն   Italiano   Nederlands   Português   Русский   Edit links   This page was last edited on 9 April 2018 , at 19 : 57 .         About Wikipedia                    </t>
  </si>
  <si>
    <t xml:space="preserve">who sings the country song if it's meant to be</t>
  </si>
  <si>
    <t xml:space="preserve"> `` Meant to Be '' is a song recorded by American singer Bebe Rexha , featuring American country music duo Florida Georgia Line , from her third extended play ( EP ) All Your Fault : Pt. 2 . It was released to American contemporary hit radio on October 24 , 2017 , by Warner Bros. Records as the second single from the EP . </t>
  </si>
  <si>
    <t xml:space="preserve">The Beatles in the United States - wikipedia  The Beatles in the United States  Jump to : navigation , search    History of the Beatles     The Beatles arriving at John F. Kennedy Airport , 7 February 1964       The Quarrymen   In Hamburg   At The Cavern Club   Decca audition   Beatlemania   United Kingdom   United States     `` More popular than Jesus ''   In India   Break - up   Timeline                   The Beatles ' rise to prominence in the United States in February 1964 was a significant development in the history of the band 's commercial success . In addition to establishing the Beatles ' international stature , it changed attitudes to popular music in the United States , whose own Memphis - driven musical evolution had made it a global trend - setter .   The Beatles ' first visit to the United States came at a time of great popularity in Britain . The band 's UK commercial breakthrough , in late 1962 , had been followed by a year of successful concerts and tours . The start of the Beatles ' popularity in the United States , in early 1964 , was marked by intense demand for the single `` I Want to Hold Your Hand '' -- which sold one - and - a-half million copies in under three weeks -- and the band 's arrival the following month . The visit , advertised across the United States on five million posters , was a defining moment in the Beatles ' history , and the starting - point of the British Invasion .   Following popular television appearances and concerts during their February 1964 visit , the Beatles returned to the United States in August 1964 , and again in August 1965 , for tours . In August 1966 they returned once more , and although this tour was commercially successful , it coincided with a storm of U.S. public protest after publication of a quote from John Lennon 's remarks about Christianity . The 1966 U.S. tour marked the end of the Beatles ' concert days . The band ceased to perform commercial concerts , instead devoting their efforts to creating new material in the recording studio .     Contents  ( hide )   1 Background   1.1 Impact of Beatlemania   1.2 American political climate , early 1964   1.3 Musical influences     2 Live performances   2.1 February 1964 -- First U.S. Concerts   2.2 August 1964 -- First U.S. Tour   2.3 August 1965 -- Second U.S. Tour   2.4 August 1966 -- Third U.S. Tour     3 After the United States   4 Notes   5 References      Background ( edit )   Impact of Beatlemania ( edit )  Main articles : Beatlemania in the United Kingdom and The Beatles ' American releases See also : Cultural impact of the Beatles  In the United Kingdom , the Beatles had experienced popularity since the start of 1963 . But in the United States , Capitol Records , owned by the band 's record company EMI , had for most of the year declined to issue any of the singles . The phenomenon of Beatlemania in the UK was regarded with amusement by the U.S. press , once it made any comment . When newspaper and magazine articles did begin to appear towards the end of 1963 , they cited the English stereotype of eccentricity , reporting that the UK had developed an interest in something that had come and gone a long time ago in the United States : rock and roll . Headlines included `` The New Madness '' and `` Beatle Bug Bites Britain '' , and writers employed word - play linking `` beetle '' with the `` infestation '' afflicting the UK . In late 1963 , Capitol Records agreed to release the single `` I Want to Hold Your Hand '' with a large accompanying promotional campaign , due to Ed Sullivan 's agreement to headline the Beatles on The Ed Sullivan Show . The Beatles ' American television debut was on 18 November 1963 on The Huntley - Brinkley Report , with a four - minute long piece by Edwin Newman . On 22 November 1963 , the CBS Morning News ran a five - minute feature on Beatlemania in the UK which heavily featured their then current UK hit `` She Loves You '' . The evening 's scheduled repeat was cancelled following the assassination of John F. Kennedy the same day . On 10 December , Walter Cronkite decided to transmit the piece again on the CBS Evening News , and the resulting interest led to the rush - release of `` I Want to Hold Your Hand '' and -- only weeks before the Beatles ' arrival -- a U.S. commercial breakthrough .   American political climate , early 1964 ( edit )  John F. Kennedy  Eleven weeks before the Beatles ' arrival in the U.S. President John F. Kennedy was assassinated in Dallas , Texas . The nation was in mourning , in fear , and in disbelief . The assassination came after a fifteen - year build - up of Cold War tension . The motivation and identity of the assassin would be doubted by many Americans for decades , despite the Warren Commission 's issued report in September 1964 . As the United States tried to restore a sense of normality , teenagers in particular struggled to cope , as their disbelief began to be replaced by a personal reaction to what had happened : in school essays , teenagers wrote that `` then it became real '' , and `` I was feeling the whole world is going to collapse on me '' , and `` I never felt so empty in all my life '' .   Musical influences ( edit )  Main article : The Beatles § Influences  The music industry in Memphis had large role in bringing bands to the attention of the American public , and in the 1960s , many British bands , among them the Beatles , aspired to emulate the sounds of Memphis musicians including Elvis Presley -- without whom , according to Lennon , `` there would not have been the Beatles '' . The sudden popularity of the Beatles , and the British Invasion triggered by their arrival , became a major new influence in the United States , which not only established the popularity of British bands , but also affected the musical style of U.S. bands -- including those subsequently formed in Memphis .   During their U.S. tours , the Beatles were introduced to both Elvis Presley and Bob Dylan . Strongly influenced by Presley since before their formation , the band had tried to meet him in the past , but arrangements had fallen through . At Presley 's suggestion , guitars were set up in his living room and the gathering played music for an hour , following which they discussed the music business and exchanged anecdotes . The other meeting , with Dylan , influenced the music subsequently produced by the Beatles as well as shaping Dylan 's own musical style . This was made evident both in Dylan 's controversial adoption of electric guitar , and in changes that were apparent in Lennon 's vocal and guitar - playing styles .   However , before their visits to United States in 1964 the Beatles still doubted that they could bring anything new to the country . In apprehensive conversation among the Beatles on board the aircraft to New York February 1964 , McCartney had questioned , `` They 've got their own groups . What are we going to give them that they do n't already have ? ''   Live performances ( edit )   February 1964 -- first U.S. concerts ( edit )   An estimated four thousand Beatles ' fans were present on 7 February 1964 as Pan Am Flight 101 left Heathrow Airport . Among the passengers were the Beatles , on their first trip to the United States as a band , with their entourage of photographers and journalists , and Phil Spector . When the group arrived at New York 's newly renamed John F. Kennedy Airport , they were greeted by a second large crowd , with Beatles fans again estimated to number four thousand , and journalists , two hundred . From having so many people packed in a little space , a few people in the crowd got injured . The airport had not previously experienced such a large crowd .  With Ed Sullivan , February 1964  After a press conference , where they first met disc jockey Murray the K , the Beatles were put into limousines -- one per Beatle -- and driven to New York City . On the way , McCartney turned on a radio and listened to a running commentary : `` They have just left the airport and are coming to New York City ... '' After reaching the Plaza Hotel , the Beatles were besieged by fans and reporters . Harrison had a fever of 102 ° F ( 39 ° C ) the next day and was ordered to stay in bed , so Neil Aspinall , the band 's personal assistant , replaced Harrison on guitar during the Beatles ' first rehearsal for The Ed Sullivan Show . On 9 February 1964 , the Beatles made their first live U.S. television appearance . 73 million viewers -- about two - fifths of the total American population -- watched the group perform on The Ed Sullivan Show at 8 P.M. According to the Nielsen ratings audience measurement system , the show had the largest number of viewers that had been recorded for a U.S. television program .   Two days after the television appearance , on 11 February 1964 , the Beatles ' first U.S. concert took place , at Washington Coliseum , a sports arena in Washington , D.C. The concert was attended by eight thousand fans . The Beatles performed on a central stage in the arena , with the audience on all sides , and there were regular pauses to enable the band to turn their equipment around and perform facing in another direction . The concert generated intense excitement . The following day , the Beatles performed a second concert , in Carnegie Hall , New York , which was attended by two thousand fans . The concert was again well received . Following the Carnegie Hall concert , the Beatles flew to Miami Beach and on Sunday 16 February 1964 made their second television appearance on The Ed Sullivan Show , which this time was broadcast live from the Napoleon Ballroom of the Deauville Hotel in Miami Beach . As it had done on 9 February , the television broadcast attracted around 70 million viewers . On 22 February 1964 , the Beatles returned to the UK . Arriving at Heathrow airport at 7 am , they were met by an estimated ten thousand fans .   August 1964 -- first U.S. tour ( edit )  Holding a press conference in 1964  In August 1964 , the Beatles returned to the United States for a second visit , this time remaining for a month - long tour . Epstein was unsure about the group 's popularity in the US , and avoided booking them into stadiums . At the opening date at the Cow Palace , San Francisco on August 19 , over 17,000 fans turned out to see the group .   A request was received from the White House press office , which asked for the Beatles to be photographed with the new President of the United States , Lyndon B. Johnson , laying a wreath on the grave of John F. Kennedy . The request was politely declined by Epstein , as it was not the group 's policy to accept `` official '' invitations . During the tour , the Beatles performed at thirty concerts , starting in San Francisco and ending in New York , twenty - three cities in all . One of the major stipulations for the tour was that the band would not perform for segregated audiences or at venues that excluded African Americans .   At each venue , the concert was treated as a major event by the local press and attended by between ten and twenty thousand fans , whose enthusiastic response to the Beatles produced sound levels that left the music only semi-audible . The tour earned the Beatles over a million dollars in ticket sales . It also stimulated a further increase in record sales , and resulted in the sale of a considerable quantity of Beatle - related merchandise .   By this point in the year , the British Invasion -- started by the Beatles ' previous U.S. visit -- was gathering momentum , and several more UK acts had come to the United States , including The Dave Clark Five , Billy J. Kramer , and Gerry &amp; the Pacemakers . One third of all U.S. top ten hits in 1964 were by British acts . After the tour 's final concert in New York , the Beatles were introduced to Bob Dylan , a meeting brought about at the instigation of the New York journalist Al Aronowitz , who arranged for Dylan to visit the Beatles at their hotel before they returned to the UK .   August 1965 -- second U.S. tour ( edit )  Main article : The Beatles ' 1965 U.S. tour  In June 1965 , after completing a two - week European tour of France , Italy and Spain , the Beatles attended the London premiere of Help ! , their second film , and then returned to the United States for another two - week tour . The tour commenced at Shea Stadium , New York City on Sunday 15 August 1965 . The circular stadium had been constructed the previous year , opening on 17 April 1964 , with seating arranged in four ascending decks , all of which were filled for the concert . It was the first time in history that a large outdoor stadium had been used for such a purpose , and the event sold out in seventeen minutes .   The 1965 tour was highly successful , with well - attended concerts on each of its ten dates . The opening concert at Shea Stadium attracted an audience of fifty - five thousand , the largest of any live concert that the Beatles would perform . The band arrived by armoured car . After the 1965 tour 's final concert , which took place at Cow Palace , San Francisco , the Beatles accepted an invitation to visit Elvis Presley before returning to the UK .   August 1966 -- third U.S. tour ( edit )  Main article : The Beatles ' 1966 US tour  Following the UK and U.S. releases of their new album Revolver in August 1966 , the Beatles returned to the United States for what would be their last tour . The tour coincided with a storm of U.S. public protest against the Beatles , caused by a published quote from a remark Lennon had made about Christianity . Because of the severity of the protests , which included Beatles ' records being publicly burned and claims being made that the Beatles were `` anti-Christ '' , Epstein had considered cancelling the fourteen - concert tour , fearing for their lives . Nevertheless , the tour went ahead .   In Memphis , the city council decided not to let `` municipal facilities be used as a forum to ridicule anyone 's religion '' , and voted to cancel their Beatles concert , although it did in fact take place . There were disturbances during the tour , and one performance was brought to a temporary halt when a member of the audience threw a firecracker , leading the Beatles to believe they were being shot at . In other incidents , telephone threats were received , and the Ku Klux Klan picketed the Beatles ' concerts . The tour ended with a concert at Candlestick Park . Although commercially successful , the tour had been affected by the prevailing mood of controversy , and there had been rows of empty seats at some venues .   After the United States ( edit )  See also : The Beatles ' studio years  The Beatles ' arrival in the United States in 1964 marked the spread of Beatlemania from the UK to the wider world , established the group 's international stature , and , triggering the British Invasion , caused changes in U.S. popular culture . The Candlestick Park concert at the close of the 1966 U.S. tour marked the end of a four - year period dominated by touring and concerts , including nearly sixty U.S. appearances , and over one thousand four hundred internationally . The Beatles , from the end of their 1966 U.S. tour until their break - up in 1970 , gave no further commercial concerts , instead devoting their efforts to creating new material in the recording studio .   Notes ( edit )    ^ Jump up to : Pawlowski 1990 , p. 175 .   ^ Jump up to : Leopold , Todd ( 10 February 2004 ) . `` When The Beatles hit America '' . CNN .   Jump up ^ Palmer 1982 , p. 146 .   ^ Jump up to : Miles 1997 , pp. 293 - 295 .   Jump up ^ Harry 2000 , p. 225 .   ^ Jump up to : Gould 2008 , pp. 1 - 2 .   Jump up ^ Gould 2008 , p. 196 .   Jump up ^ Stark , Steven D. ( 18 May 2006 ) . Meet the Beatles : A Cultural History of the Band That Shook Youth , Gender , and the World . HarperCollins . p. 40 . ISBN 978 - 0 - 06 - 000893 - 2 . Retrieved 29 August 2011 .   Jump up ^ `` The Daily Nightly - Being for the benefit of Mr. ( Cron ) Kite '' . Dailynightly.msnbc.msn.com. 18 November 1963 . Retrieved 29 August 2011 .   Jump up ^ `` Remembering Walter Cronkite '' . CBS News . 19 July 2009 . Retrieved 22 July 2009 .   Jump up ^ Gould 2008 , pp. 216 - 219 .   Jump up ^ Gould 2008 , p. 258 .   Jump up ^ Gould 2008 , p. 217 .   Jump up ^ Jovanovic 2004 , p. 5 .   Jump up ^ Harry 2000 , p. 881 .   Jump up ^ Jovanovic 2004 , pp. 14 - 15 .   Jump up ^ Jovanovic 2004 , pp. 11 - 13 .   Jump up ^ Jovanovic 2004 , p. 30 .   ^ Jump up to : Gould 2008 , pp. 283 - 284 .   Jump up ^ Harry 2000 , pp. 881 - 882 .   Jump up ^ Harry 2000 , pp. 882 - 883 .   ^ Jump up to : Gould 2008 , pp. 252 - 253 .   Jump up ^ Gould 2008 , p. 221 .   Jump up ^ Spitz 2005 , p. 458 .   Jump up ^ Gould 2008 , p. 1 .   Jump up ^ Spitz 2005 , p. 459 .   Jump up ^ Gould 2008 , p. 3 .   Jump up ^ Spitz 2005 , p. 462 .   Jump up ^ Spitz 2005 , p. 464 .   Jump up ^ Gilliland 1969 , show 28 .   Jump up ^ Kozinn , Alan ( 6 February 2004 ) . `` Critic 's Notebook ; They Came , They Sang , They Conquered '' . The New York Times . Retrieved 4 June 2008 .   Jump up ^ Gould 2008 , p. 4 .   ^ Jump up to : Gould 2008 , pp. 5 - 6 .   ^ Jump up to : Gould 2008 , p. 249 .   Jump up ^ `` The Beatles kick off first U.S. tour at San Francisco 's Cow Palace '' . history.com . Retrieved 18 August 2017 .   ^ Jump up to : Gould 2008 , p. 250 .   Jump up ^ Spitz 2005 , p. 620 .   Jump up ^ `` The Beatles banned segregated audiences , contract shows '' . BBC News . 18 September 2011 . Retrieved 18 August 2017 .   Jump up ^ Gilliland 1969 , show 29 .   Jump up ^ Gould 2008 , pp. 250 - 251 .   ^ Jump up to : Gould 2008 , p. 281 .   Jump up ^ Badman 1999 , p. 193 .   ^ Jump up to : Gould 2008 , pp. 346 - 347 .   ^ Jump up to : Gould 2008 , pp. 340 - 341 .   Jump up ^ Gilliland 1969 , show 39 .   ^ Jump up to : Gould 2008 , p. 347 .   Jump up ^ Gould 2008 , pp. 249 - 281 .    References ( edit )    Badman , Keith ( 1999 ) . The Beatles After the Breakup 1970 -- 2000 : A Day - by - Day Diary . London : Omnibus . ISBN 978 - 0 - 7119 - 7520 - 0 .   Badman , Keith ( 2000 ) . The Beatles Off The Record . London : Omnibus Press . ISBN 978 - 0 - 7119 - 7985 - 7 .   Gilliland , John ( 1969 ) . `` The British Are Coming ! The British Are Coming ! : The U.S.A. is invaded by a wave of long - haired English rockers '' ( audio ) . Pop Chronicles . University of North Texas Libraries .   Gould , Jonathan ( 2008 ) . Ca n't Buy Me Love : The Beatles , Britain and America . Piatkus Books . ISBN 978 - 0 - 7499 - 2988 - 6 .   Harry , Bill ( 2000 ) . The Beatles Encyclopedia : Revised and Updated . London : Virgin Publishing . ISBN 978 - 0 - 7535 - 0481 - 9 .   Jovanovic , Rob ( 2004 ) . Big Star : The Story of Rock 's Forgotten Band . London : Fourth Estate . ISBN 978 - 0 - 00 - 714908 - 7 .   Miles , Barry ( 1997 ) . Many Years from Now . Vintage - Random House . ISBN 978 - 0 - 7493 - 8658 - 0 .   Palmer , Robert ( 1982 ) . Deep Blues : A Musical and Cultural History of the Mississippi Delta ( paperback ed . ) . Penguin . ISBN 978 - 0 - 14 - 006223 - 6 .   Pawlowski , Gareth L ( 1990 ) . How They Became The Beatles . McDonald &amp; Co ( Publishers ) Ltd . ISBN 978 - 0 - 356 - 19052 - 5 .   Spitz , Bob ( 2005 ) . The Beatles : The Biography . Little Brown . ISBN 978 - 0 - 316 - 80352 - 6 .      ( hide )         The Beatles       John Lennon   Paul McCartney   George Harrison   Ringo Starr     Stuart Sutcliffe   Pete Best       History     The Quarrymen   In Hamburg   At The Cavern Club   Decca audition   Beatlemania in the United Kingdom   North American releases   In the United States   More popular than Jesus   In India   Breakup   Murder of John Lennon   Anthology   Love ( Cirque du Soleil )   The Beatles : Rock Band   Line - ups   Religious views   Timeline       Live performances     1960 Johnny Gentle Tour   Winter 1963 Helen Shapiro UK Tour   1963 Roy Orbison Tour   1964 world tour   1965 European tour   1965 US tour   1965 UK tour   1966 tour of Germany , Japan and the Philippines   1966 US tour   Rooftop concert   List of live performances       Associated places     34 Montagu Square , Marylebone   Abbey Road , London   Abbey Road Studios   The Bag O'Nails   Beatlemania Hamburg   Beatles - Platz   Blue Angel   The Casbah Coffee Club   Candlestick Park   The Cavern Club   Kaiserkeller   Kinfauns   3 Savile Row   The Scotch of St. James   Shea Stadium   Stanley Street   Star - Club   Strawberry Field   Tittenhurst Park   The Top Ten Club   Wigmore Street   Yellow Submarine sculpture       Associated companies     Apple Corps   Apple Records   Harrisongs   Lingasong Records   Northern Songs   Phillips ' Sound Recording Services   Seltaeb   Startling Music       Influence     Artists who have covered the Beatles   Beatlemania   Beatlesque   British Invasion   Cultural impact   The Fest for Beatles Fans   The Rutles   Tributes       Lists     Awards and nominations   Bootlegs   Cover songs   Discography   Instruments   Performers   Post-breakup collaborations   Recording sessions   Songs   Sgt . Pepper cover       Related media     Around the Beatles   Beat Bugs   The Beatles ( TV series )   The Beatles Anthology ( book )   The Beatles Channel   The Beatles Illustrated Lyrics   The Beeb 's Lost Beatles Tapes   The Beatles Tapes from the David Wigg Interviews   Everyday Chemistry   In My Life   Let It Be ( musical )   Rain : A Tribute to the Beatles   Sgt . Pepper 's Lonely Hearts Club Band ( film )   The Twelfth Album   Up Against It       Other topics     Apple Corps v Apple Computer   Apple scruffs   Beatle boots   Beatles Day   Fifth Beatle   Lennon -- McCartney   Jeff Lynne and the Beatles   Paul is dead   Recording technology         Book     Portal      Retrieved from `` https://en.wikipedia.org/w/index.php?title=The_Beatles_in_the_United_States&amp;oldid=803900537 '' Categories :   History of the Beatles   1964 in music   1964 in American music   1965 in American music   1966 in American music   1964 in British music   1965 in British music   1966 in British music   1960s in American music   February 1964 events   August 1964 events   August 1965 events   August 1966 events   Hidden categories :   Use dmy dates from April 2014   Use British English from April 2014   Good articles           Talk                                           Contents                   About Wikipedia                                           Español   Edit links   This page was last edited on 5 October 2017 , at 11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</si>
  <si>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 beatles became popular in the us</t>
  </si>
  <si>
    <t xml:space="preserve"> The Beatles ' rise to prominence in the United States in February 1964 was a significant development in the history of the band 's commercial success . In addition to establishing the Beatles ' international stature , it changed attitudes to popular music in the United States , whose own Memphis - driven musical evolution had made it a global trend - setter . </t>
  </si>
  <si>
    <r>
      <rPr>
        <sz val="11"/>
        <color rgb="FF000000"/>
        <rFont val="Calibri"/>
        <family val="0"/>
        <charset val="1"/>
      </rPr>
      <t xml:space="preserve">2017 -- 18 EFL League Two - wikipedia  2017 -- 18 EFL League Two   EFL League Two   Season   2017 -- 18     Champions   Accrington Stanley     Promoted   Accrington Stanley Luton Town Wycombe Wanderers Coventry City     Relegated   Chesterfield Barnet     Matches played   552     Goals scored   653 ( 1.18 per match )     Top goalscorer   Billy Kee ( 25 goals )     Biggest home win   Luton 7 -- 0 Cambridge     Biggest away win   Cheltenham 1 -- 6 Coventry Crewe 0 -- 5 Carlisle Swindon 0 -- 5 Luton     Highest scoring   Luton 8 -- 2 Yeovil     Longest winning run   6 matches ( Exeter City , Notts County )     Longest unbeaten run   9 matches ( Luton Town , Notts County )     Longest winless run   20 matches ( Grimsby Town )     Longest losing run   6 matches ( Chesterfield , Port Vale )     ← 2016 -- 17 2018 -- 19 → All statistics correct as of 9 December 2017 .     The 2017 -- 18 EFL League Two ( referred to as the Sky Bet League Two for sponsorship reasons ) is the 14th season of the Football League Two under its current title and the 25th season under its current league division format .     Contents  ( hide )   1 Team changes   1.1 To League Two   1.2 From League Two     2 Teams   3 Managerial changes   4 League table   5 Play - offs   6 Results table   7 Top scorers   8 Monthly awards   9 References      Team changes ( edit )   The following teams changed division after the 2016 -- 17 season .      To League Two ( edit )   Promoted from National League    Lincoln City   Forest Green Rovers    Relegated from League One    Port Vale   Swindon Town   Coventry City   Chesterfield      From League Two ( edit )   Promoted to League One    Portsmouth   Plymouth Argyle   Doncaster Rovers   Blackpool    Relegated to National League    Hartlepool United   Leyton Orient       Teams ( edit )  Accrington Stanley Barnet Cambridge United Carlisle United Cheltenham Town Chesterfield Colchester United Coventry City Crawley Town Crewe Alexandra Exeter City Forest Green Rovers Grimsby Town Lincoln City Luton Town Mansfield Town Morecambe Newport County Notts County Port Vale Stevenage Swindon Town Wycombe Wanderers Yeovil Town Locations of the 2017 -- 18 Football League Two teams    Team   Location   Stadium   Capacity     Accrington Stanley   Accrington   Crown Ground   5,057     Barnet   London ( Edgware )   The Hive Stadium   6,418     Cambridge United   Cambridge   Abbey Stadium   8,127     Carlisle United   Carlisle   Brunton Park   17,949     Cheltenham Town   Cheltenham   Whaddon Road   7,066     Chesterfield   Chesterfield   Proact Stadium   10,400     Colchester United   Colchester   Colchester Community Stadium   10,105     Coventry City   Coventry   Ricoh Arena   32,609     Crawley Town   Crawley   Broadfield Stadium   5,996     Crewe Alexandra   Crewe   Gresty Road   10,180     Exeter City   Exeter   St James Park   8,830     Forest Green Rovers   Nailsworth   The New Lawn   5,147     Grimsby Town   Cleethorpes   Blundell Park   9,052     Lincoln City   Lincoln   Sincil Bank   10,120     Luton Town   Luton   Kenilworth Road   10,356     Mansfield Town   Mansfield   Field Mill   10,000     Morecambe   Morecambe   Globe Arena   6,476     Newport County   Newport   Rodney Parade   7,850     Notts County   Nottingham   Meadow Lane   19,588     Port Vale   Burslem   Vale Park   19,052     Stevenage   Stevenage   Broadhall Way   6,722     Swindon Town   Swindon   County Ground   15,728     Wycombe Wanderers   High Wycombe   Adams Park   9,617     Yeovil Town   Yeovil   Huish Park   9,566     Managerial changes ( edit )     Team   Outgoing manager   Manner of departure   Date of vacancy   Position in table   Incoming manager   Date of appointment     Swindon Town   Luke Williams   Mutual consent   5 May 2017   Pre-season   David Flitcroft   5 June 2017     Port Vale   Michael Brown   Sacked   16 September 2017   24th   Neil Aspin   4 October 2017     Chesterfield   Gary Caldwell   16 September 2017   23rd   Jack Lester   29 September 2017     Barnet   Rossi Eames   Appointed as Head of Development   13 November 2017   Mark McGhee   14 November 2017     Mark McGhee   Appointed as Head of Technical   15 January 2018   24th   Graham Westley   15 January 2018     Cambridge United   Shaun Derry   Mutual consent   9 February 2018   14th   Joe Dunne   2 May 2018     Grimsby Town   Russell Slade   Sacked   11 February 2018   17th   Michael Jolley   2 March 2018     Mansfield Town   Steve Evans   Signed by Peterborough United   27 February 2018   5th   David Flitcroft   1 March 2018     Swindon Town   David Flitcroft   Signed by Mansfield Town   1 March 2018   7th   Phil Brown   12 March 2018     Stevenage   Darren Sarll   Sacked   18 March 2018   16th   Dino Maamria   20 March 2018     Barnet   Graham Westley   19 March 2018   24th   Martin Allen   19 March 2018     Chesterfield   Jack Lester   Mutual consent   24 April 2018   24th   Martin Allen   15 May 2018     League table ( edit )     Pos   Team           Pld         GF   GA   GD   Pts   Promotion , qualification or relegation       Accrington Stanley ( C , P )   46   29   6   11   76   46   + 30   93   Promotion to EFL League One       Luton Town ( P )   46   25   13   8   94   46   + 48   88       Wycombe Wanderers ( P )   46   24   12   10   79   60   + 19   84       Exeter City   46   24   8   14   64   54   + 10   80   Qualification for League Two play - offs     5   Notts County   46   21   14   11   71   48   + 23   77     6   Coventry City ( O , P )   46   22   9   15   64   47   + 17   75     7   Lincoln City   46   20   15   11   64   48   + 16   75     8   Mansfield Town   46   18   18   10   67   52   + 15   72       9   Swindon Town   46   20   8   18   67   65   + 2   68     10   Carlisle United   46   17   16   13   62   54   + 8   67     11   Newport County   46   16   16   14   56   58   − 2   64     12   Cambridge United   46   17   13   16   56   60   − 4   64     13   Colchester United   46   16   14   16   53   52   + 1   62     14   Crawley Town   46   16   11   19   58   66   − 8   59     15   Crewe Alexandra   46   17   5   24   62   75   − 13   56     16   Stevenage   46   14   13   19   60   65   − 5   55     17   Cheltenham Town   46   13   12   21   67   73   − 6   51     18   Grimsby Town   46   13   12   21   42   66   − 24   51     19   Yeovil Town   46   12   12   22   59   75   − 16   48     20   Port Vale   46   11   14   21   49   67   − 18   47     21   Forest Green Rovers   46   13   8   25   54   77   − 23   47     22   Morecambe   46   9   19   18   41   56   − 15   46     23   Barnet ( R )   46   12   10   24   46   65   − 19   46   Relegation to the National League     24   Chesterfield ( R )   46   10   8   28   47   83   − 36   38    Source : BBC Sport Rules for classification : 1 ) Points ; 2 ) Goal difference ; 3 ) Number of goals scored ( C ) Champion ; ( O ) Play - off winner ; ( P ) Promoted ; ( R ) Relegated . Notes :   Jump up ^ Four teams play for one spot and promotion to EFL League One .    Play - offs ( edit )  See also : 2018 English Football League play - offs      Semi-finals     Final                                 Exeter City   0             7   Lincoln City   0                   Exeter City           6   Coventry City         5   Notts County             6   Coventry City       5         Results table ( edit )     Home \ Away   ACC   BAR   CAM   CRL   CHL   CHF   COL   COV   CRA   CRE   EXE   FGR   GRI   LIN   LUT   MAN   MOR   NPC   NTC   PTV   STE   SWI   WYC   YEO     Accrington Stanley     4 -- 1   1 -- 0   3 -- 0   1 -- 1   4 -- 0   3 -- 1   1 -- 0   2 -- 3   1 -- 0   1 -- 1   3 -- 1   1 -- 2   1 -- 0   0 -- 2   2 -- 1   1 -- 0   1 -- 1   1 -- 0   3 -- 2   3 -- 2   2 -- 1   1 -- 0   2 -- 0     Barnet   1 -- 1     3 -- 1   1 -- 3   0 -- 2   3 -- 0   0 -- 1   0 -- 0   1 -- 2   2 -- 1   1 -- 2   1 -- 0   0 -- 2   1 -- 1   1 -- 0   1 -- 1   2 -- 1   2 -- 0   1 -- 0   1 -- 1   0 -- 1   1 -- 2   0 -- 2   1 -- 1     Cambridge United   0 -- 0   1 -- 0     1 -- 2   4 -- 3   2 -- 1   1 -- 0   2 -- 1   3 -- 1   3 -- 1   2 -- 3   3 -- 0   3 -- 1   0 -- 0   1 -- 1   0 -- 0   0 -- 0   1 -- 2   1 -- 0   5 -- 0   1 -- 0   1 -- 3   1 -- 3   2 -- 1     Carlisle United   3 -- 1   1 -- 1   1 -- 1     3 -- 0   2 -- 0   1 -- 1   0 -- 1   2 -- 2   1 -- 0   0 -- 1   1 -- 0   2 -- 0   0 -- 1   1 -- 1   1 -- 1   1 -- 1   1 -- 1   1 -- 1   1 -- 2   0 -- 2   1 -- 2   3 -- 3   4 -- 0     Cheltenham Town   0 -- 2   1 -- 1   0 -- 0   0 -- 1     1 -- 1   3 -- 1   1 -- 6   1 -- 0   1 -- 0   3 -- 4   0 -- 1   2 -- 3   1 -- 0   2 -- 2   3 -- 0   3 -- 0   1 -- 1   1 -- 1   5 -- 1   0 -- 1   2 -- 1   0 -- 2   0 -- 2     Chesterfield   1 -- 2   2 -- 1   2 -- 3   2 -- 2   0 -- 2     0 -- 0   0 -- 0   1 -- 2   0 -- 2   1 -- 0   3 -- 2   1 -- 3   1 -- 3   2 -- 0   0 -- 1   0 -- 2   1 -- 0   3 -- 1   2 -- 0   0 -- 1   2 -- 1   1 -- 2   2 -- 3     Colchester United   0 -- 1   0 -- 1   0 -- 0   0 -- 1   1 -- 4   1 -- 1     2 -- 1   3 -- 1   3 -- 1   3 -- 1   5 -- 1   1 -- 1   1 -- 0   2 -- 1   2 -- 0   0 -- 0   2 -- 0   1 -- 3   1 -- 1   1 -- 1   0 -- 0   1 -- 2   0 -- 1     Coventry City   0 -- 2   1 -- 0   3 -- 1   2 -- 0   2 -- 1   1 -- 0   0 -- 0     1 -- 1   1 -- 0   2 -- 0   0 -- 1   4 -- 0   2 -- 4   2 -- 2   0 -- 1   0 -- 0   0 -- 1   3 -- 0   1 -- 0   3 -- 1   3 -- 1   3 -- 2   2 -- 6     Crawley Town   2 -- 1   2 -- 0   0 -- 1   0 -- 1   3 -- 5   0 -- 2   0 -- 2   1 -- 2     1 -- 2   3 -- 1   1 -- 1   3 -- 0   3 -- 1   0 -- 0   2 -- 0   1 -- 1   1 -- 2   0 -- 1   1 -- 3   1 -- 0   1 -- 1   2 -- 3   2 -- 0     Crewe Alexandra   0 -- 2   1 -- 0   0 -- 1   0 -- 5   2 -- 1   5 -- 1   1 -- 0   1 -- 2   3 -- 0     1 -- 2   3 -- 1   2 -- 0   1 -- 4   1 -- 2   2 -- 2   1 -- 0   1 -- 1   2 -- 0   2 -- 2   1 -- 0   0 -- 3   2 -- 3   0 -- 0     Exeter City   2 -- 0   2 -- 1   1 -- 0   1 -- 1   2 -- 1   2 -- 1   1 -- 0   1 -- 0   2 -- 2   3 -- 0     2 -- 0   2 -- 0   1 -- 0   1 -- 4   0 -- 1   4 -- 1   1 -- 0   0 -- 3   0 -- 1   2 -- 1   3 -- 1   1 -- 1   0 -- 0     Forest Green Rovers   0 -- 1   2 -- 2   5 -- 2   0 -- 1   1 -- 1   4 -- 1   1 -- 2   2 -- 1   2 -- 0   3 -- 2   1 -- 3     0 -- 3   0 -- 1   0 -- 2   2 -- 0   2 -- 0   0 -- 4   1 -- 2   1 -- 0   3 -- 1   0 -- 2   1 -- 2   4 -- 3     Grimsby Town   0 -- 3   2 -- 2   0 -- 0   0 -- 1   1 -- 1   1 -- 0   2 -- 2   0 -- 2   0 -- 0   1 -- 0   0 -- 1   1 -- 0     0 -- 0   0 -- 1   1 -- 1   0 -- 2   1 -- 2   2 -- 1   1 -- 1   0 -- 0   3 -- 2   2 -- 3   2 -- 1     Lincoln City   2 -- 0   2 -- 1   0 -- 0   4 -- 1   1 -- 0   2 -- 1   2 -- 1   1 -- 2   0 -- 0   1 -- 4   3 -- 2   2 -- 1   3 -- 1     0 -- 0   0 -- 1   1 -- 1   3 -- 1   2 -- 2   3 -- 1   3 -- 0   2 -- 2   0 -- 0   1 -- 1     Luton Town   1 -- 2   2 -- 0   7 -- 0   3 -- 0   2 -- 2   1 -- 0   3 -- 0   0 -- 3   4 -- 1   3 -- 1   1 -- 0   3 -- 1   2 -- 0   4 -- 2     2 -- 1   1 -- 0   3 -- 1   1 -- 1   2 -- 0   7 -- 1   0 -- 3   2 -- 3   8 -- 2     Mansfield Town   0 -- 1   3 -- 1   2 -- 1   3 -- 1   3 -- 2   2 -- 2   1 -- 1   1 -- 1   1 -- 1   3 -- 4   1 -- 1   2 -- 0   4 -- 1   1 -- 1   2 -- 2     2 -- 1   5 -- 0   3 -- 1   1 -- 1   1 -- 0   1 -- 3   0 -- 0   0 -- 0     Morecambe   1 -- 2   0 -- 1   0 -- 0   1 -- 1   2 -- 1   2 -- 2   0 -- 0   2 -- 0   0 -- 1   0 -- 1   2 -- 1   1 -- 1   0 -- 0   0 -- 0   0 -- 0   1 -- 2     2 -- 1   1 -- 4   0 -- 3   1 -- 1   0 -- 1   2 -- 1   4 -- 3     Newport County   2 -- 1   1 -- 2   2 -- 1   3 -- 3   1 -- 0   4 -- 1   1 -- 2   1 -- 1   2 -- 1   1 -- 2   2 -- 1   3 -- 3   1 -- 0   0 -- 0   1 -- 1   1 -- 1   1 -- 1     0 -- 0   1 -- 1   0 -- 1   2 -- 1   0 -- 0   2 -- 0     Notts County   2 -- 2   2 -- 1   3 -- 3   2 -- 1   3 -- 1   2 -- 0   2 -- 1   2 -- 1   1 -- 2   4 -- 1   1 -- 2   1 -- 1   0 -- 0   4 -- 1   0 -- 0   1 -- 1   2 -- 0   3 -- 0     1 -- 0   2 -- 0   1 -- 0   0 -- 0   4 -- 1     Port Vale   1 -- 2   1 -- 0   2 -- 0   1 -- 2   3 -- 1   2 -- 1   2 -- 2   1 -- 0   1 -- 2   0 -- 1   0 -- 1   1 -- 1   1 -- 2   1 -- 0   4 -- 0   0 -- 4   0 -- 0   0 -- 0   0 -- 1     2 -- 2   0 -- 3   2 -- 3   1 -- 1     Stevenage   3 -- 2   4 -- 1   0 -- 2   0 -- 0   4 -- 1   5 -- 1   0 -- 1   1 -- 1   1 -- 1   2 -- 2   3 -- 1   1 -- 2   3 -- 1   1 -- 2   1 -- 1   1 -- 1   2 -- 1   3 -- 3   1 -- 1   2 -- 0     0 -- 1   0 -- 0   4 -- 1     Swindon Town   3 -- 0   1 -- 4   2 -- 0   0 -- 0   0 -- 3   2 -- 2   2 -- 3   1 -- 2   0 -- 3   4 -- 3   1 -- 1   1 -- 0   0 -- 1   0 -- 1   0 -- 5   1 -- 0   1 -- 1   0 -- 1   1 -- 0   3 -- 2   3 -- 2     1 -- 0   2 -- 2     Wycombe Wanderers   0 -- 4   3 -- 1   1 -- 1   4 -- 3   3 -- 3   1 -- 0   3 -- 1   0 -- 1   4 -- 0   3 -- 2   0 -- 0   3 -- 1   2 -- 1   2 -- 2   1 -- 2   1 -- 2   2 -- 4   2 -- 0   2 -- 4   0 -- 0   1 -- 0   3 -- 2     2 -- 1     Yeovil Town   3 -- 2   2 -- 0   2 -- 0   0 -- 1   0 -- 0   1 -- 2   0 -- 1   2 -- 0   1 -- 2   2 -- 0   3 -- 1   0 -- 0   3 -- 0   0 -- 2   0 -- 3   2 -- 3   2 -- 2   0 -- 2   1 -- 1   1 -- 1   3 -- 0   1 -- 2   0 -- 1       Updated to games played on 5 May 2018 . Source : BBC Sport 1 The home team is listed in the left - hand column . Colours : Blue = home team win ; Yellow = draw ; Red = away team win .   Top scorers ( edit )    As of 5 May 2018      Rank   Player   Club   Goals       Billy Kee   Accrington Stanley   25       Mohamed Eisa   Cheltenham Town   23     Marc McNulty   Coventry City       Danny Hylton   Luton Town   21     5   Christian Doidge   Forest Green Rovers   20     6   James Collins   Luton Town   19     Jayden Stockley   Exeter City     Kristian Dennis   Chesterfield     9   Adebayo Akinfenwa   Wycombe Wanderers   17     Tom Pope   Port Vale     Monthly awards ( edit )     Month   Manager of the Month   Player of the Month   Reference     Manager   Club   Player   Club     August   Paul Tisdale   Exeter City   Frank Nouble   Newport County       September   Kevin Nolan   Notts County   Shaquile Coulthirst   Barnet       October   Nathan Jones   Luton Town   Tom Pope   Port Vale       November   Christian Doidge   Forest Green Rovers       December   Danny Cowley   Lincoln City   Sammie Szmodics   Colchester United       January   Gareth Ainsworth   Wycombe Wanderers   Marc McNulty   Coventry City       February   John Coleman   Accrington Stanley   Marc Richards   Swindon Town       References ( edit )    ^ Jump up to : `` Top Scorers -- League Two '' . Retrieved 14 October 2017 .   Jump up ^ `` Football Ground Guide '' . Football Ground Guide . Retrieved 30 November 2016 .   Jump up ^ `` Luke Williams : Swindon Town head coach 's departure confirmed by relegated club '' . BBC Sport. 5 May 2017 . Retrieved 7 May 2017 .   Jump up ^ `` BREAKING : Flitcroft Named New Town Manager '' . Swindon Town FC . Retrieved 5 June 2017 .   Jump up ^ `` Michael Brown : Port Vale manager leaves with club bottom of League Two '' . BBC Sport. 16 September 2017 . Retrieved 16 September 2017 .   Jump up ^ `` Port Vale : Gateshead manager Neil Aspin returns to former club as manager '' . BBC Sport. 4 October 2017 . Retrieved 4 October 2017 .   Jump up ^ `` Gary Caldwell : Chesterfield sack manager after eight months in charge '' . BBC Sport. 16 September 2017 . Retrieved 16 September 2017 .   Jump up ^ `` Jack Lester : Chesterfield appoint former striker as new manager '' . BBC Sport. 29 September 2017 . Retrieved 29 September 2017 .   ^ Jump up to : `` Barnet appoint Mark McGhee as their new manager '' . BBC Sport. 13 November 2017 . Retrieved 14 November 2017 .   ^ Jump up to : `` Graham Westley : Barnet appoint new head coach '' . BBC Sport. 15 January 2018 . Retrieved 15 January 2018 .   Jump up ^ `` Shaun Derry : Cambridge United head coach leaves by mutual consent '' . Retrieved 9 February 2018 .   Jump up ^ `` Joe Dunne : Cambridge United appoint caretaker boss as head coach '' . Retrieved 2 May 2018 .   Jump up ^ `` Russell Slade : Grimsby Town part company with manager '' . BBC Sport. 11 February 2018 . Retrieved 11 February 2018 .   Jump up ^ `` Statement : GTFC Appoint Michael Jolley -- Message from The Board '' . Grimsby Town FC. 2 March 2018 . Retrieved 2 March 2018 .   Jump up ^ `` Club Statement '' . Mansfield Town FC. 27 February 2018 . Retrieved 28 February 2018 .   ^ Jump up to : `` David Flitcroft : Mansfield Town appoint former Swindon manager as boss '' . BBC Sport. 1 March 2018 . Retrieved 1 March 2018 .   Jump up ^ `` Phil Brown : Swindon appoint former Derby , Hull , Preston &amp; Southend boss as manager '' . BBC Sport. 12 March 2018 . Retrieved 12 March 2018 .   Jump up ^ `` Darren Sarll : Stevenage sack manager after two years in charge '' . BBC Sport. 18 March 2018 . Retrieved 18 March 2018 .   Jump up ^ `` Dino Maamria : Stevenage appoint Nuneaton Town boss as manager '' . BBC Sport. 20 March 2018 . Retrieved 20 March 2018 .   Jump up ^ `` Martin Allen named Barnet manager as Graham Westley is sacked '' . BBC Sport. 19 March 2018 . Retrieved 19 March 2018 .   Jump up ^ `` Martin Allen named Barnet manager as Graham Westley is sacked '' . BBC Sport. 19 March 2018 . Retrieved 19 March 2018 .   Jump up ^ `` Jack Lester : Chesterfield manager leaves with club on brink of relegation from EFL '' . BBC Sport. 23 April 2018 . Retrieved 24 April 2018 .   Jump up ^ `` Manager of the Month : Paul Tisdale -- Exeter City '' . EFL . Retrieved 8 September 2017 .   Jump up ^ `` Player of the Month : Frank Nouble -- Newport County '' . EFL . Retrieved 8 September 2017 .   Jump up ^ `` Manager of the Month : Kevin Nolan -- Notts County '' . EFL . Retrieved 6 October 2017 .   Jump up ^ `` Player of the Month : Shaquile Coulthirst -- Barnet '' . EFL . Retrieved 6 October 2017 .   Jump up ^ `` Manager of the Month : Nathan Jones -- Luton Town '' . EFL.com . Retrieved 25 November 2017 .   Jump up ^ `` Player of the Month : Tom Pope -- Port Vale '' . EFL.com . Retrieved 25 November 2017 .   Jump up ^ `` Manager of the Month : Nathan Jones -- Luton Town '' . EFL.com . Retrieved 8 December 2017 .   Jump up ^ `` Player of the Month : Christian Doidge -- Forest Green Rovers '' . EFL.com . Retrieved 8 December 2017 .   Jump up ^ `` Manager of the Month : Danny Cowley -- Lincoln City '' . EFL.com . Retrieved 31 January 2018 .   Jump up ^ `` Player of the Month : Sammie Szmodics -- Colchester United '' . EFL.com . Retrieved 31 January 2018 .   Jump up ^ `` Manager of the Month : George Stokes -- Wycombe Wanderers '' . EFL.com . Retrieved 13 March 2018 .   Jump up ^ `` Player of the Month : Marc McNulty -- Coventry City '' . EFL.com . Retrieved 13 March 2018 .   Jump up ^ `` Manager of the Month : John Coleman -- Accrington Stanley '' . EFL.com . Retrieved 13 March 2018 .   Jump up ^ `` Player of the Month : Marc Richards -- Swindon Town '' . EFL.com . Retrieved 13 March 2018 .              EFL League Two     2017 -- 18 clubs     Accrington Stanley   Barnet   Cambridge United   Carlisle United   Cheltenham Town   Chesterfield   Colchester United   Coventry City   Crawley Town   Crewe Alexandra   Exeter City   Forest Green Rovers   Grimsby Town   Lincoln City   Luton Town   Mansfield Town   Morecambe   Newport County   Notts County   Port Vale   Stevenage   Swindon Town   Wycombe Wanderers   Yeovil Town       Former clubs     AFC Wimbledon   Aldershot Town   Blackpool   Boston United   Bournemouth   Bradford City   Brentford   Bristol Rovers   Burton Albion   Bury   Chester City   Dagenham &amp; Redbridge   Darlington   Doncaster Rovers   Fleetwood Town   Gillingham   Hartlepool United   Hereford United   Kidderminster Harriers   Leyton Orient   Macclesfield Town   Milton Keynes Dons   Northampton Town   Oxford United   Peterborough United   Plymouth Argyle   Portsmouth   Rochdale   Rotherham United   Rushden &amp; Diamonds   Scunthorpe United   Shrewsbury Town   Southend United   Stockport County   Swansea City   Torquay United   Tranmere Rovers   Walsall   Wrexham   York City       Competition     Seasons   Teams ( winners )   Managers ( current )   Stadia   Referees       Statistics and awards     Record   Top Goalscorer   Manager of the Month   Player of the Month   Hat - tricks       Finances     Club Owners   Premier League -- Football League gulf   Average attendances       Sponsors     Coca - Cola ( 2004 -- 10 )   Npower ( 2010 -- 13 )   Sky Bet ( 2013 -- 2018 )       Associated competitions     FA Cup   EFL Cup   Play - offs       Seasons     2004 -- 05   2005 -- 06   2006 -- 07   2007 -- 08   2008 -- 09   2009 -- 10   2010 -- 11   2011 -- 12   2012 -- 13   2013 -- 14   2014 -- 15   2015 -- 16   2016 -- 17   2017 -- 18       Prospects   Promotion to EFL League One ; Relegation to National League               Fourth level English football league seasons     Football League Fourth Division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Football League Third Division     1992 -- 93   1993 -- 94   1994 -- 95   1995 -- 96   1996 -- 97   1997 -- 98   1998 -- 99   1999 -- 2000   2000 -- 01   2001 -- 02   2002 -- 03   2003 -- 04       Football League Two     2004 -- 05   2005 -- 06   2006 -- 07   2007 -- 08   2008 -- 09   2009 -- 10   2010 -- 11   2011 -- 12   2012 -- 13   2013 -- 14   2014 -- 15   2015 -- 16       EFL League Two     2016 -- 17   2017 -- 18   2018 -- 19                 EFL League Two play - offs     Play - offs       1988   1989   1990   1991   1992   1993   1994   1995     1997   1998   1999   2000   2001   2002   2003     2005   2006   2007   2008   2009     2011   2012   2013   2014   2015   2016   2017   2018       Finals       1988   1989   1990   1991   1992   1993   1994   1995     1997   1998   1999   2000   2001   2002   2003     2005   2006   2007   2008   2009     2011   2012   2013   2014   2015   2016   2017   2018                 2017 -- 18 in English football     `` 2016 -- 17 2018 -- 19 ''     National teams        Senior ( 2018 FIFA World Cup qualifying round , finals )   U21 ( UEFA Euro 2019 qualifying round )   U19 ( UEFA Euro 2018 qualifying round , finals )   U17 ( UEFA Euro 2018 finals )          League competitions      Level 1     Premier League       Levels 2 -- 4     English Football League ( Championship , League One , League Two , play - offs )       Levels 5 -- 6     National League ( National , North , South )       Levels 7 -- 8     Isthmian League ( Premier , North , South )   Northern Premier League ( Premier , North , South )   Southern League ( Premier , East , West )       Levels 9 -- 10     Combined Counties League ( Premier , One )   East Midlands Counties League ( level 10 only )   Eastern Counties League ( Premier , One )   Essex Senior League ( level 9 only )   Hellenic League ( Premier , One East , One West )   Midland League ( Premier , One )   Northern Counties East League ( Premier , One )   Northern League ( One , Two )   North West Counties League ( Premier , One )   Southern Combination League ( Premier , One )   Southern Counties East League ( Premier , One )   South West Peninsula League Premier Division ( level 10 only )   Spartan South Midlands League ( Premier , One )   United Counties League ( Premier , One )   Wessex League ( Premier , One )   Western League ( Premier , One )   West Midlands ( Regional ) League ( level 10 only )          Cup competitions      FA cups     FA Cup ( Qualifying Rounds , Final )   FA Community Shield   FA Trophy ( Final )   FA Vase ( Final )       EFL cups     EFL Cup ( Final )   EFL Trophy ( Final )          Youth competitions      Under - 23     Professional U23 Development League   Premier League Cup       Under - 18     Professional U18 Development League   FA Youth Cup             Club seasons     Premier League     AFC Bournemouth   Arsenal   Brighton &amp; Hove Albion   Burnley   Chelsea   Crystal Palace   Everton   Huddersfield Town   Leicester City   Liverpool   Manchester City   Manchester United   Newcastle United   Southampton   Stoke City   Swansea City   Tottenham Hotspur   Watford   West Bromwich Albion   West Ham United       Championship     Aston Villa   Barnsley   Birmingham City   Bolton Wanderers   Brentford   Bristol City   Burton Albion   Cardiff City   Derby County   Fulham   Hull City   Ipswich Town   Leeds United   Middlesbrough   Millwall   Norwich City   Nottingham Forest   Preston North End   Queens Park Rangers   Reading   Sheffield United   Sheffield Wednesday   Sunderland   Wolverhampton Wanderers       League One     AFC Wimbledon   Blackburn Rovers   Blackpool   Bradford City   Bristol Rovers   Bury   Charlton Athletic   Doncaster Rovers   Fleetwood Town   Gillingham   Milton Keynes Dons   Northampton Town   Oldham Athletic   Oxford United   Peterborough United   Plymouth Argyle   Portsmouth   Rochdale   Rotherham United   Scunthorpe United   Shrewsbury Town   Southend United   Walsall   Wigan Athletic       League Two     Accrington Stanley   Barnet   Cambridge United   Carlisle United   Cheltenham Town   Chesterfield   Colchester United   Coventry City   Crawley Town   Crewe Alexandra   Exeter City   Forest Green Rovers   Grimsby Town   Lincoln City   Luton Town   Mansfield Town   Morecambe   Newport County   Notts County   Port Vale   Stevenage   Swindon Town   Wycombe Wanderers   Yeovil Town            Summer 2017 transfers   Winter 2017 -- 18 transfers   Summer 2018 transfers      Retrieved from `` https://en.wikipedia.org/w/index.php?title=2017 -- 18_EFL_League_Two&amp;oldid = 846005376 '' Categories :   EFL League Two seasons   2017 -- 18 in English football leagues   2017 -- 18 in European fourth tier association football leagues   2017 -- 18 EFL League Two   2017 -- 18 English Football League           Talk                                           Contents                   About Wikipedia                                           Bosanski   Deutsch   Español   Français   Italiano   </t>
    </r>
    <r>
      <rPr>
        <sz val="11"/>
        <color rgb="FF000000"/>
        <rFont val="Noto Sans CJK SC"/>
        <family val="2"/>
      </rPr>
      <t xml:space="preserve">日本 語   </t>
    </r>
    <r>
      <rPr>
        <sz val="11"/>
        <color rgb="FF000000"/>
        <rFont val="Calibri"/>
        <family val="0"/>
        <charset val="1"/>
      </rPr>
      <t xml:space="preserve">Русский   Svenska   ไทย   Edit links   This page was last edited on 15 June 2018 , at 16 : 48 .         About Wikipedia                    </t>
    </r>
  </si>
  <si>
    <t xml:space="preserve">who was promoted from league 2 in 2018</t>
  </si>
  <si>
    <t xml:space="preserve">  Portsmouth   Plymouth Argyle   Doncaster Rovers   Blackpool  </t>
  </si>
  <si>
    <t xml:space="preserve">Game of Thrones ( season 6 ) - wikipedia  Game of Thrones ( season 6 )  Jump to : navigation , search    Game of Thrones ( season 6 )     Region 1 DVD cover     Starring   See List of Game of Thrones cast     Country of origin   United States     No. of episodes   10     Release     Original network   HBO     Original release   April 24 ( 2016 - 04 - 24 ) -- June 26 , 2016 ( 2016 - 06 - 26 )     Season chronology     ← Previous Season 5 Next → Season 7     List of Game of Thrones episodes     The sixth season of the fantasy drama television series Game of Thrones premiered on HBO on April 24 , 2016 , and concluded on June 26 , 2016 . It consists of ten episodes , each of approximately 50 -- 60 minutes long , largely of original content not found in George R.R. Martin 's A Song of Ice and Fire series . Some story elements were derived from the novels and from information Martin revealed to the show - runners . The series was adapted for television by David Benioff and D.B. Weiss . HBO ordered the season on April 8 , 2014 , together with the fifth season , which began filming in July 2015 primarily in Northern Ireland , Spain , Croatia , Iceland and Canada . Each episode cost over $10 million .   The season follows the continuing struggle between the Starks and other noble families of Westeros for the Iron Throne . The Starks defeat the Bolton forces in battle , and Jon Snow is proclaimed the King in the North . Tyrion attempts to rule Meereen while Daenerys is held captive by a Dothraki tribe . At King 's Landing , the Tyrell army attempts to liberate Margaery and Loras , but Margaery capitulates to the High Sparrow , who becomes more powerful by influencing King Tommen . At her trial , Cersei burns the Great Sept , killing her rivals , while Tommen kills himself . Cersei is crowned Queen of the Seven Kingdoms . Ellaria Sand and three of Oberyn Martell 's daughters kill Doran and Trystane Martell and seize control of Dorne . In Essos , Daenerys Targaryen is captured by Khal Moro who takes her before the khals ; she burns them alive and takes command of the Dothraki . Olenna and the Dornish ally with Daenerys .   Game of Thrones features a large ensemble cast , including Peter Dinklage , Nikolaj Coster - Waldau , Lena Headey , Emilia Clarke and Kit Harington . The season introduced new cast members , including Max von Sydow , Pilou Asbæk and Essie Davis .   Critics praised its production values , writing , plot development , and cast . Game of Thrones received most nominations for the 68th Primetime Emmy Awards , with 23 nominations , and won twelve , including that for Outstanding Drama Series for the second year in a row . U.S. viewership rose compared to the previous season , and by approximately 13 % over its course , from 7.9 million to 8.9 million by the finale .   Contents  ( hide )   1 Plot   2 Episodes   3 Cast   3.1 Main cast   3.2 Guest cast   3.2. 1 In the North , including the Wall   3.2. 2 Beyond the Wall   3.2. 3 In the Riverlands   3.2. 4 On the Iron Islands   3.2. 5 In Dorne   3.2. 6 In King 's Landing   3.2. 7 In the Vale   3.2. 8 In Braavos   3.2. 9 In Meereen   3.2. 10 In Vaes Dothrak   3.2. 11 In the Reach   3.2. 12 In flashbacks       4 Production   4.1 Crew   4.2 Writing   4.3 Filming   4.4 Casting   4.5 Music     5 Reception   5.1 Critical response   5.2 Ratings   5.3 Accolades     6 Release   6.1 Broadcast   6.2 Marketing   6.3 After the Thrones   6.4 Home media   6.5 Copyright infringement     7 References   8 External links    Plot ( edit )  See also : Synopsis of A Song of Ice and Fire  Following their escape from Winterfell , Sansa Stark journeys to the Wall , while Theon Greyjoy returns to the Iron Islands . In Winterfell , Ramsay Bolton secures his claim on the North by killing Roose and Walda Bolton and his new - born half - brother . At the Wall , Melisandre resurrects Jon Snow , who is reunited with Sansa ; they gather loyalists and a battle ensues . Aided by the Knights of the Vale , the Starks defeat the Bolton forces . Sansa feeds Ramsay to his hounds and Jon is proclaimed the King in the North .   Beyond the Wall , Bran Stark trains with the Three - Eyed Raven but alerts the Night King , who launches an attack of White Walkers . Bran and Meera escape and are rescued by Benjen Stark . Bran subsequently has a vision to the Tower of Joy years prior , revealing that Jon is not Ned Stark 's bastard but rather the child of Lyanna Stark and Rhaegar Targaryen .   At King 's Landing , Jaime Lannister and the Tyrell army attempt to liberate Margaery and Loras , but Margaery capitulates to the High Sparrow and Tommen forges an alliance with the Faith . During Loras and Cersei 's trial , Cersei uses wildfire to burn the Great Sept , killing the High Sparrow , Margaery , Loras , Mace , Kevan , and Lancel , while Tommen kills himself after witnessing the events . Unopposed , Cersei is crowned Queen of the Seven Kingdoms . Ellaria Sand and three of Oberyn Martell 's daughters kill Doran and Trystane Martell and seize control of Dorne , and Olenna meets with Ellaria , at a summit brokered by Varys , to discuss allying with the Targaryens .   In Braavos , Arya continues her training with the Faceless Men , and soon regains her eyesight . When she refuses to accomplish a mission , the Waif is ordered to kill Arya , who kills the Waif instead . Arya reasserts her identity as a Stark and returns to Westeros .   In the Riverlands , the Hound , revealed to have survived his injuries , pursues the Brotherhood Without Banners for massacring the people who saved him . He finds Lord Beric Dondarrion executing traitorous bannermen , and is asked to join the Brotherhood traveling north . Jaime Lannister besieges Riverrun and takes the castle , killing the Blackfish after forcing Edmure Tully to order a surrender . Walder Frey celebrates the victory before being killed by Arya .   Sam Tarly , Gilly and her son travel to the Citadel at Oldtown , stopping to visit Sam 's family .   In Essos , Daenerys Targaryen is captured by Khal Moro , who takes her before the khals ; she burns them alive when they refuse to serve her and takes command of the Dothraki . Tyrion Lannister brings a short - lived peace to Meereen , which is reinforced when Daenerys returns and flies her dragons into battle against the slavers . Yara and Theon arrive and pledge allegiance to Daenerys after Euron Greyjoy kills their father and usurps leadership of the Iron Islands . Jorah Mormont departs to find a cure for greyscale and Daario is left in command of Meereen , while Daenerys sails for Westeros .   Episodes ( edit )  See also : List of Game of Thrones episodes    No . overall   No. in season   Title   Directed by   Written by   Original air date   U.S. viewers ( millions )     51     `` The Red Woman ''   Jeremy Podeswa   David Benioff &amp; D.B. Weiss   April 24 , 2016 ( 2016 - 04 - 24 )   7.94     Jon Snow 's corpse is found by Ser Davos , Edd and a few other loyalists ; Davos and the others take him inside and lock themselves behind a door with him , while Edd goes to get help . Thorne assumes command of the Watch . At Winterfell , Ramsay mourns for Myranda , while Sansa and Theon escape through the woods . Ramsay 's men catch up with them , and are about to take them captive , when Brienne and Pod arrive , kill the men , and the former is accepted into Sansa 's service . In King 's Landing , Cersei receives Jaime , who arrives with Myrcella 's body . Jaime promises Cersei they will take their revenge . Obara and Nymeria murder Trystane , on his way home from King 's Landing , while in Sunspear , Doran and Areo Hotah are killed by Ellaria and Tyene , after the former learns of Myrcella 's death . In Meereen , Tyrion and Varys find all the ships burning in the harbor . Jorah and Daario continue to track Daenerys , who is taken by the Dothraki to Khal Moro . In Braavos , Arya lives on the streets as a beggar , where she is beaten by the Waif . In her chamber , Melisandre removes her bejeweled necklace as she reveals her true appearance as an old crone .     52     `` Home ''   Jeremy Podeswa   Dave Hill   May 1 , 2016 ( 2016 - 05 - 01 )   7.29     Brandon visits Winterfell in a vision of the past , and sees Eddard , Benjen , and their sister Lyanna , as well as a young Hodor . Edd arrives with Tormund and a group of Wildlings , imprisoning Thorne and the other mutineers . Tommen asks Cersei to teach him to be strong . Tyrion learns that Astapor and Yunkai have reverted to slavery , and releases Rhaegal and Viserion from their chains . In Braavos , Arya is attacked by the Waif before H'ghar appears and recruits her again . Walda , Roose 's wife , gives birth to a boy , prompting Ramsay to murder Roose , her , and the baby . Brienne reveals to Sansa that Arya is still alive . Sansa permits Theon 's return to the Iron Islands , where his uncle Euron reappears and murders King Balon . Davos persuades Melisandre to attempt to resurrect Jon . At first , her attempts seem to fail . However , once everyone leaves the room , he awakens .     53     `` Oathbreaker ''   Daniel Sackheim   David Benioff &amp; D.B. Weiss   May 8 , 2016 ( 2016 - 05 - 08 )   7.28     On a boat on their way to Oldtown , Tarly reveals his intent to leave Gilly and her baby with the former 's family at Horn Hill while he trains to be a Maester . In a vision of the past , Brandon sees Eddard and Howland , Meera 's father , defeat a group of Kingsguard loyal to the Targaryens at the Tower of Joy in Dorne . Varys discovers that the masters of Astapor , Yunkai , and Volantis have been financing the Sons of the Harpy . In King 's Landing , Tommen converses with the High Sparrow while Jaime and Cersei interrupt a small council meeting , only to be shunned by Kevan and the Tyrells . Cersei 's bodyguard is revealed to be Gregor . Arya trains rigorously with the Waif and her sight is returned to her once she has accepted herself as `` no - one '' . In Winterfell , Lord Umber asks Ramsay for help in protecting the North from the Wildlings , bringing Rickon and Osha as a gift , along with the head of Shaggydog , Rickon 's direwolf . Jon executes Thorne , Olly and the other officers involved in his assassination . He renounces his oath and puts Tollett in charge of the Night 's Watch .     54     `` Book of the Stranger ''   Daniel Sackheim   David Benioff &amp; D.B. Weiss   May 15 , 2016 ( 2016 - 05 - 15 )   7.82     Sansa 's party arrives at Castle Black as she is reunited with Jon . In Meereen , Tyrion meets with the slave masters of Slaver 's Bay to offer peace if they will end slavery within a period of seven years , an action that angers the former slaves . Baelish returns to the Vale to mobilize their soldiers against Ramsay . Naharis learns about Mormont 's greyscale as they arrive in Vaes Dothrak . In King 's Landing , Margaery is permitted to visit Loras while Cersei , Jaime , Kevan and Olenna put aside their differences and plan a defeat of the Sparrows . Theon arrives at Pyke and explains to Yara that he will support her claim at the Kingsmoot . In Winterfell , Osha attempts to assassinate Ramsay but is killed by him . Ramsay sends a letter to Jon , threatening harm to Rickon if Sansa is not returned . She convinces Jon to march south in order to take back Winterfell . Daenerys meets with the Khals in the temple of the Dosh Khaleen ; after they refuse to serve her , she burns them and Moro to death . When she emerges unhurt , the Dothraki kneel to her .     55   5   `` The Door ''   Jack Bender   David Benioff &amp; D.B. Weiss   May 22 , 2016 ( 2016 - 05 - 22 )   7.89     Sansa meets Baelish , who offers the support of the Vale and tells her that Brynden Tully , her great uncle , is gathering an army in Riverrun ; she initially refuses his help . Jon and Sansa leave Castle Black to gather support from the other Northern houses , with her sending Brienne to Brynden . In Braavos , Arya is given a second chance to prove her loyalty by killing an actress . Beyond the Wall , Brandon learns that the White Walkers were created by the Children of the Forest to protect themselves from the First Men . In the Iron Islands , Euron wins the Kingsmoot despite confessing to killing Balon , causing Yara and Theon to flee . In Essos , Daenerys learns about Mormont 's greyscale , ordering him to find a cure and return . In Meereen , a red priestess named Kinvara meets Tyrion and Varys and promises to support Daenerys . Brandon 's unaccompanied vision causes him to be touched by the Night King , making the cave vulnerable . The Night King , along with White Walkers and hordes of wights , attack the cave , killing the Three - Eyed Raven , several Children , Summer , and Hodor , whose younger self is shown to have been rendered mentally disabled by Brandon 's interference .     56   6   `` Blood of My Blood ''   Jack Bender   Bryan Cogman   May 29 , 2016 ( 2016 - 05 - 29 )   6.71     Meera escapes into the forest with Bran who is still immersed in his visions . He comes to just as the wights have tracked them down , but are quickly saved by a mysterious man . Samwell and Gilly reach the Tarly family estate Horn Hill . After Sam 's father , Randyll , insults her for being a Wildling , Sam decides to take her with him to the Citadel , also stealing House Tarly 's ancestral Valyrian steel sword , Heartsbane . Arya warns the actress about her mission to assassinate her , recovering the Needle . H'ghar approves of the Waif 's request to kill Arya . Jaime attempts to rescue Margaery from the Faith Militant , only to find she has repented and Tommen has forged an alliance with the Faith . He removes Jaime from the Kingsguard and orders him to help Walder Frey , who is holding Edmure Tully hostage , and to retake Riverrun from Brynden . Bran and Meera learn that the man who saved them is Benjen , who explains that he was turned by the White Walkers but then later unturned by the Children using Dragonglass . Daenerys mounts Drogon and declares to the Dothraki that they will sail across the Narrow Sea to conquer Westeros .     57   7   `` The Broken Man ''   Mark Mylod   Bryan Cogman   June 5 , 2016 ( 2016 - 06 - 05 )   7.80     Margaery convinces Olenna to return to Highgarden after the High Sparrow says that he will pursue Olenna following her attempt to engage the Faith . Jon , Sansa , and Davos recruit the Wildlings and House Mormont to their cause , but remain outnumbered by the Boltons . In desperation , Sansa writes a letter begging for aid . Jaime arrives in Riverrun with Bronn , assuming control of the siege . The former goes to parley with Brynden , ultimately being unsuccessful . Theon and Yara spend their last night in Volantis , deciding to sail to Meereen to ally with Daenerys . In Braavos , Arya prepares to return to Westeros , but is attacked by the Waif . Arya is badly wounded but escapes . Sandor is revealed to be alive , having been saved by a Septon and his followers . When men from the Brotherhood threaten and eventually slaughter the group , Sandor decides to get revenge .     58   8   `` No One ''   Mark Mylod   David Benioff &amp; D.B. Weiss   June 12 , 2016 ( 2016 - 06 - 12 )   7.60     Tommen abolishes trial by combat , much to the dismay of Cersei , who planned to win using Gregor . Brienne arrives in Riverrun and attempts to persuade Brynden to surrender , without success . After Jaime threatens to kill Edmure 's young son , he enters the castle and orders the Tully forces to stand down , but Brynden is killed fighting the Lannisters . Brienne and Podrick escape . Varys departs Meereen on an unknown mission . Meereen comes under naval assault by the slaving cities , but Daenerys returns . Sandor kills the outlaws who sacked his village and encounters Dondarrion and Thoros , who explain that the outlaws were renegades . They try to convince Sandor to join the Brotherhood . Arya is taken in by the actress , who heals her wounds . In the morning , the Waif arrives , kills the actress and chases Arya through the streets of Braavos . Arya leads the Waif into the catacombs and kills her . She returns the Waif 's face to the House and declares that she is Arya Stark of Winterfell and she is going home .     59   9   `` Battle of the Bastards ''   Miguel Sapochnik   David Benioff &amp; D.B. Weiss   June 19 , 2016 ( 2016 - 06 - 19 )   7.66     Daenerys meets with the slave masters to negotiate terms of surrender , but they refuse it . Riding Drogon , as Rhaegal and Viserion assist , Daenerys attacks and burns the slavers ' fleet . Grey Worm kills two of the masters , leaving one to tell of what he had witnessed . After the battle , Theon and Yara meet with Daenerys and Tyrion and agree to an alliance . Near Winterfell , the Stark and Bolton armies meet on the field . Ramsay feigns setting Rickon free , but kills him with a long - distance arrow before Jon can save him . In the battle , the Stark forces are pinned by Bolton soldiers , but are rescued by the Knights of the Vale . Ramsay flees inside Winterfell , but the Wildling giant Wun Wun , having taken numerous arrows to his body , manages to break down the gate before succumbing to his wounds . Jon brutally beats Ramsay and takes him prisoner . Sansa later visits Ramsay 's cell in the kennels and watches as his starving hounds devour him .     60   10   `` The Winds of Winter ''   Miguel Sapochnik   David Benioff &amp; D.B. Weiss   June 26 , 2016 ( 2016 - 06 - 26 )   8.89     Before her trial , Cersei destroys the Sept of Baelor by wildfire , killing the High Sparrow , Margaery , Mace and Loras Tyrell , Lancel and Kevan Lannister , along with hundreds of King 's Landing nobles and the Faith Militant , while Qyburn has Pycelle killed . Tommen commits suicide . In Dorne , Varys meets with Olenna and Ellaria , seeking to form an alliance between Daenerys and their houses against the Lannisters . Davos confronts Melisandre over the death of Shireen ; Jon banishes her from Winterfell . The Wildlings , the Knights of the Vale and the surviving Houses of the North pledge loyalty to Jon as the new King in the North . Sansa stops Baelish from getting intimate with her . Arya kills Walder Frey and his sons . Tarly and Gilly reach the Citadel in Oldtown . Benjen tells Brandon and Meera to pass the Wall without him . Brandon uses his powers and learns that Jon is actually the son of Lyanna , being adopted by Eddard after she died during Robert 's rebellion . Jaime returns to King 's Landing to find Qyburn crowning Cersei the new monarch of the Seven Kingdoms . Daenerys leaves Naharis and the Second Sons to rule Meereen before she sets sail to Westeros with her other companions , armies and dragons .     Cast ( edit )  See also : List of Game of Thrones characters Peter Dinklage ( Tyrion Lannister ) Nikolaj Coster - Waldau ( Jaime Lannister ) Lena Headey ( Cersei Lannister ) Emilia Clarke ( Daenerys Targaryen ) Kit Harington ( Jon Snow ) Natalie Dormer ( Margaery Tyrell ) Sophie Turner ( Sansa Stark ) Maisie Williams ( Arya Stark ) Iwan Rheon ( Ramsay Bolton )  Main cast ( edit )    Peter Dinklage as Tyrion Lannister   Nikolaj Coster - Waldau as Jaime Lannister   Lena Headey as Cersei Lannister   Emilia Clarke as Daenerys Targaryen   Kit Harington as Jon Snow   Aidan Gillen as Petyr `` Littlefinger '' Baelish   Liam Cunningham as Davos Seaworth   Carice van Houten as Melisandre   Natalie Dormer as Margaery Tyrell   Indira Varma as Ellaria Sand   Sophie Turner as Sansa Stark   Nathalie Emmanuel as Missandei   Rory McCann as Sandor `` The Hound '' Clegane   Maisie Williams as Arya Stark   Conleth Hill as Varys   Alfie Allen as Theon Greyjoy   John Bradley as Samwell Tarly   Tom Wlaschiha as Jaqen H'ghar   Gwendoline Christie as Brienne of Tarth   Hannah Murray as Gilly   Jonathan Pryce as the High Sparrow   Kristofer Hivju as Tormund Giantsbane   Michiel Huisman as Daario Naharis   Michael McElhatton as Roose Bolton   Iwan Rheon as Ramsay Bolton   Dean - Charles Chapman as Tommen Baratheon   Isaac Hempstead Wright as Bran Stark   Jerome Flynn as Bronn   Iain Glen as Jorah Mormont    Guest cast ( edit )   The recurring actors listed here are those who appeared in season 6 . They are listed by the region in which they first appear :     In the North , including the Wall ( edit )   Daniel Portman as Podrick Payne   Natalia Tena as Osha   Art Parkinson as Rickon Stark   Owen Teale as Alliser Thorne   Ben Crompton as Eddison Tollett   Brenock O'Connor as Olly   Charlotte Hope as Myranda   Elizabeth Webster as Walda Bolton   Paul Rattray as Harald Karstark   Dean Jagger as Smalljon Umber   Tim McInnerny as Robett Glover   Bella Ramsey as Lyanna Mormont   Sean Blowers as Wyman Manderly   Tom Varey as Cley Cerwyn   Richard Rycroft as Maester Wolkan   Michael Condron as Bowen Marsh   Brian Fortune as Othell Yarwyck   Ian Whyte as Wun Wun   Murray McArthur as Dim Dalba   Beyond the Wall ( edit )   Max von Sydow as the Three - eyed Raven   Ellie Kendrick as Meera Reed   Kristian Nairn as Hodor   Joseph Mawle as Benjen Stark   Kae Alexander as Leaf   Vladimir `` Furdo '' Furdik as the Night King   In the Riverlands ( edit )   David Bradley as Walder Frey   Clive Russell as Brynden Tully   Tobias Menzies as Edmure Tully   Richard Dormer as Beric Dondarrion   Paul Kaye as Thoros of Myr   Tim Plester as Black Walder Rivers   Daniel Tuite as Lothar Frey   Jóhannes Haukur Jóhannesson as Lem   Ricky Champ as Gatins   Ian Davies as Morgan   Ian McShane as Brother Ray   On the Iron Islands ( edit )   Gemma Whelan as Yara Greyjoy   Patrick Malahide as Balon Greyjoy   Pilou Asbæk as Euron Greyjoy   Michael Feast as Aeron Greyjoy   In Dorne ( edit )   Alexander Siddig as Doran Martell   Toby Sebastian as Trystane Martell   Jessica Henwick as Nymeria Sand   Keisha Castle - Hughes as Obara Sand   Rosabell Laurenti Sellers as Tyene Sand   DeObia Oparei as Areo Hotah     In King 's Landing ( edit )   Diana Rigg as Olenna Tyrell   Julian Glover as Grand Maester Pycelle   Finn Jones as Loras Tyrell   Anton Lesser as Qyburn   Roger Ashton - Griffiths as Mace Tyrell   Eugene Simon as Lancel Lannister   Ian Gelder as Kevan Lannister   Hannah Waddingham as Septa Unella   Nell Tiger Free as Myrcella Baratheon   Hafþór Júlíus Björnsson as Gregor Clegane   Josephine Gillan as Marei   Nathanael Saleh as Arthur   Annette Hannah as Frances   In the Vale ( edit )   Lino Facioli as Robin Arryn   Rupert Vansittart as Yohn Royce   In Braavos ( edit )   Faye Marsay as the Waif   Richard E. Grant as Izembaro   Essie Davis as Lady Crane   Leigh Gill as Bobono   Eline Powell as Bianca   Rob Callender as Clarenzo   Kevin Eldon as Camello   In Meereen ( edit )   Jacob Anderson as Grey Worm   George Georgiou as Razdal mo Eraz   Eddie Jackson as Belicho Paenymion   Enzo Cilenti as Yezzan zo Qaggaz   Ania Bukstein as Kinvara   Gerald Lepkowski as Zanrush   Meena Rayann as Vala   In Vaes Dothrak ( edit )   Joe Naufahu as Khal Moro   Andrei Claude as Khal Rhalko   Tamer Hassan as Khal Forzho   Staz Nair as Qhono   Chuku Modu as Aggo   Deon Lee - Williams as Iggo   Souad Faress as the High Priestess   Hannah John - Kamen as Ornella   In the Reach ( edit )   James Faulkner as Randyll Tarly   Samantha Spiro as Melessa Tarly   Freddie Stroma as Dickon Tarly   Rebecca Benson as Talla Tarly   In flashbacks ( edit )   Robert Aramayo &amp; Sebastian Croft as Eddard Stark   Matteo Elezi as Benjen Stark   Aisling Franciosi &amp; Cordelia Hill as Lyanna Stark   Wayne Foskett as Rickard Stark   Fergus Leathem as Rodrik Cassel   Annette Tierney as Old Nan   Sam Coleman as Hodor   Leo Woodruff as Howland Reed   Luke Roberts as Arthur Dayne   Eddie Eyre as Gerold Hightower   David Rintoul as Aerys II Targaryen       Production ( edit )   Crew ( edit )   The writing staff for the sixth season includes executive producers and showrunners David Benioff and D.B. Weiss , producer Bryan Cogman and Dave Hill . Author George R.R. Martin , who had written one episode for each of the first four seasons , did not write an episode for the sixth season , as he was working to finish writing the sixth A Song of Ice and Fire novel , The Winds of Winter . The directing staff for the sixth season was Jeremy Podeswa ( episodes 1 and 2 ) , Daniel Sackheim ( episodes 3 and 4 ) , Jack Bender ( episodes 5 and 6 ) , Mark Mylod ( episodes 7 and 8 ) , and Miguel Sapochnik ( episodes 9 and 10 ) . Sackheim and Bender were first - time Game of Thrones directors , with the rest each having directed two episodes in the previous season .   Writing ( edit )   With the end of the fifth season , the content of the show has reached the plot of the latest novel in Martin 's A Song of Ice and Fire series , A Dance with Dragons . Season 6 director Jeremy Podeswa said in August 2015 : `` Right now in season six , what we 're shooting currently is n't based on anything in the book . It 's fully based on discussions the writers have had with George Martin , because the series has now surpassed the books in terms of what 's available . '' Actress Natalie Dormer , who plays Margaery Tyrell , later added that the show 's writers `` know where it 's got to go and what ( George Martin ) 's intentions for the characters are . But they are just filling in the gaps . ''   The season premiere starts off right where the fifth season ended . A plot from The Winds of Winter regarding a traveling theater troupe located in Braavos that stages a play called `` The Bloody Hand '' , about the events that have taken place in King 's Landing since the beginning of the series , is included in the sixth season .   Filming ( edit )  The Castle of Zafra in Guadalajara , Spain is among the filming locations .  Filming for season six began in July 2015 , and ended on December 17 , 2015 . The budget for the sixth season increased compared to the previous seasons as each episode did cost over $10 million per episode , totaling over $100 million for the full season and setting a new high for the series . The season filmed in five different countries , Northern Ireland , Spain , Croatia , Iceland and Canada .   Like the previous seasons , a large amount of production took place in Northern Ireland , mainly in Belfast and on the Causeway Coast , including film locations in the Binevenagh , Magilligan area which was used to film scenes for the Dothraki Grasslands , and Larrybane Quarry and Ballintoy Harbour , both used for scenes in the Iron Islands . The small village of Corbet was also used , for the siege of Riverrun . As in previous seasons , some of Castle Black was set at the abandoned Magheramorne quarry .   From September 3 to October 23 , 2015 the show also filmed in Spain , specifically in Girona , Navarre , Peniscola , and Almería . Some filming locations in Spain included the Castle of Zafra in Guadalajara , the Bardenas Reales Natural Park in Navarre , the Alcazaba in Almería , and the Castle of Santa Florentina in Canet de Mar .   In August 2015 , HBO announced that for the first time since season 1 , the show would not be filming any scenes in Croatia . The Croatian city of Dubrovnik has stood in for King 's Landing since the beginning of season 2 ; nearby cities such as Klis , Split and Šibenik have been used to depict various other locations . Contradicting the statement by HBO , cast of the show were seen in costume in Dubrovnik in October 2015 .   Only a very small portion of the season was filmed in Canada ( north of Calgary , Alberta ) : the scenes featuring Jon Snow 's wolf Ghost ( played by animal actor Quigly ) . However , some of the special effects were created at Montreal 's Rodeo FX studios which has won Emmy Awards previously for its work on the series .   Casting ( edit )  Pilou Asbæk plays Euron Greyjoy .  The sixth season saw the return of Isaac Hempstead Wright as Bran Stark , Kristian Nairn as Hodor , Ellie Kendrick as Meera Reed , Gemma Whelan as Yara Greyjoy , and Rory McCann as Sandor `` The Hound '' Clegane , who did not appear in the fifth season . Clive Russell , Tobias Menzies , Patrick Malahide , Richard Dormer and Paul Kaye also returned to the show as Brynden Tully , Edmure Tully , Balon Greyjoy , Beric Dondarrion and Thoros of Myr after not appearing since the third season . Jonathan Pryce as the High Sparrow was added to the series main cast after appearing in a recurring role in the previous season .   Across the Narrow Sea , Melanie Liburd plays a Red priestess from Asshai who is in R'hllor 's service . At the Reach , House Tarly is introduced , with Freddie Stroma joining the cast as Samwell Tarly 's brother Dickon Tarly , a character who was mentioned in the novels but has yet to appear in them . Other members of House Tarly that were introduced were Randyll Tarly , played by James Faulkner ; Melessa Tarly , played by Samantha Spiro and Talla Tarly , who was portrayed by Rebecca Benson .   Veteran actor Max von Sydow was cast to play the Three - Eyed - Raven , who is training Bran . The character was previously played by Struan Rodger in the fourth - season finale `` The Children '' . David Bradley confirmed in August 2015 , that he would be returning to the show as Walder Frey after last appearing in the third - season finale `` Mhysa '' , but he did not confirm when he would be returning . After the second official trailer was released , it was confirmed that Bradley would appear in the sixth season . Danish actor Pilou Asbæk joins the show as Theon Greyjoy 's uncle , pirate captain Euron Greyjoy . Members of the Icelandic band Of Monsters and Men made cameo appearances . Ricky Champ played Gatins , an outlaw who is a part of a band using religion to justify extorting the people of the countryside . A young Ned Stark was portrayed by Sebastian Croft in a flashback scene .   The sixth season also included a traveling theater troupe located in Braavos that stages a play called `` The Bloody Hand '' , about the events that have taken place in King 's Landing since the beginning of the series . Essie Davis and Kevin Eldon joined the cast in this theater troupe , portraying actors playing Cersei Lannister and Ned Stark , respectively , while Richard E. Grant was cast as the troupe 's manager . Members of Icelandic indie band Of Monsters and Men appear as the musicians of the Braavos theatre group .   Music ( edit )  Main article : Game of Thrones : Season 6 ( soundtrack )  The soundtrack for the season was digitally released on June 24 , 2016 , and was released on CD on July 29 , 2016 . The album reached # 27 on the Billboard 200 , # 1 on Soundtrack chart , and # 79 on the Canadian Albums chart on its digital release , with the track from the season finale `` Light of the Seven '' reaching # 1 on Billboard 's Spotify Viral 50 chart .   Reception ( edit )   Critical response ( edit )   The season received highly positive reviews , with special praise directed at the episodes `` The Door '' , `` Battle of the Bastards '' and `` The Winds of Winter '' . On Metacritic , the season ( based on the first episode ) has a score of 73 out of 100 based on 9 reviews , indicating `` generally favorable reviews '' . On Rotten Tomatoes , the sixth season has a 96 percent approval rating from 29 critics with an average rating of 8.4 out of 10 . The season also received a 95 % episode average score on Rotten Tomatoes .   Game of Thrones ( season 6 ) : Critical reception by episode     Season 6 ( 2016 ) : Percentage of positive reviews tracked by the website Rotten Tomatoes       Ratings ( edit )   The season finale had 8.89 million viewers on its initial airing on HBO , up ten percent from the previous season 's finale , which was the most - watched episode prior to this episode . The average gross viewing figure per episode for the show , which include streaming , DVR recordings and repeat showings , reached over 25 million this season , and it was described as the last consensus show on television . The figure went up by 25 % compared to previous year , and viewing figures of the show this season on its on demand services HBO Now and HBO Go went up by over 90 % , which were new records for HBO . Almost 40 % of viewers of the show watched this season on HBO digital platforms . The show also broke records on pay television channels in 2016 in the United Kingdom with an average audience of more than five million across all platforms , and in Australia with a cumulative average audience of 1.2 million viewers .     No .   Title   Air date   Rating / share ( 18 -- 49 )   Viewers ( millions )   DVR ( 18 -- 49 )   DVR viewers ( millions )   Total ( 18 -- 49 )   Total viewers ( millions )       `` The Red Woman ''   April 24 , 2016   4.0   7.94   1.0   2.11   5.0   10.06       `` Home ''   May 1 , 2016   3</t>
  </si>
  <si>
    <t xml:space="preserve">how did season 6 of game of thrones end</t>
  </si>
  <si>
    <t xml:space="preserve">   No . overall   No. in season   Title   Directed by   Written by   Original air date   U.S. viewers ( millions )     51     `` The Red Woman ''   Jeremy Podeswa   David Benioff &amp; D.B. Weiss   April 24 , 2016 ( 2016 - 04 - 24 )   7.94     Jon Snow 's corpse is found by Ser Davos , Edd and a few other loyalists ; Davos and the others take him inside and lock themselves behind a door with him , while Edd goes to get help . Thorne assumes command of the Watch . At Winterfell , Ramsay mourns for Myranda , while Sansa and Theon escape through the woods . Ramsay 's men catch up with them , and are about to take them captive , when Brienne and Pod arrive , kill the men , and the former is accepted into Sansa 's service . In King 's Landing , Cersei receives Jaime , who arrives with Myrcella 's body . Jaime promises Cersei they will take their revenge . Obara and Nymeria murder Trystane , on his way home from King 's Landing , while in Sunspear , Doran and Areo Hotah are killed by Ellaria and Tyene , after the former learns of Myrcella 's death . In Meereen , Tyrion and Varys find all the ships burning in the harbor . Jorah and Daario continue to track Daenerys , who is taken by the Dothraki to Khal Moro . In Braavos , Arya lives on the streets as a beggar , where she is beaten by the Waif . In her chamber , Melisandre removes her bejeweled necklace as she reveals her true appearance as an old crone .     52     `` Home ''   Jeremy Podeswa   Dave Hill   May 1 , 2016 ( 2016 - 05 - 01 )   7.29     Brandon visits Winterfell in a vision of the past , and sees Eddard , Benjen , and their sister Lyanna , as well as a young Hodor . Edd arrives with Tormund and a group of Wildlings , imprisoning Thorne and the other mutineers . Tommen asks Cersei to teach him to be strong . Tyrion learns that Astapor and Yunkai have reverted to slavery , and releases Rhaegal and Viserion from their chains . In Braavos , Arya is attacked by the Waif before H'ghar appears and recruits her again . Walda , Roose 's wife , gives birth to a boy , prompting Ramsay to murder Roose , her , and the baby . Brienne reveals to Sansa that Arya is still alive . Sansa permits Theon 's return to the Iron Islands , where his uncle Euron reappears and murders King Balon . Davos persuades Melisandre to attempt to resurrect Jon . At first , her attempts seem to fail . However , once everyone leaves the room , he awakens .     53     `` Oathbreaker ''   Daniel Sackheim   David Benioff &amp; D.B. Weiss   May 8 , 2016 ( 2016 - 05 - 08 )   7.28     On a boat on their way to Oldtown , Tarly reveals his intent to leave Gilly and her baby with the former 's family at Horn Hill while he trains to be a Maester . In a vision of the past , Brandon sees Eddard and Howland , Meera 's father , defeat a group of Kingsguard loyal to the Targaryens at the Tower of Joy in Dorne . Varys discovers that the masters of Astapor , Yunkai , and Volantis have been financing the Sons of the Harpy . In King 's Landing , Tommen converses with the High Sparrow while Jaime and Cersei interrupt a small council meeting , only to be shunned by Kevan and the Tyrells . Cersei 's bodyguard is revealed to be Gregor . Arya trains rigorously with the Waif and her sight is returned to her once she has accepted herself as `` no - one '' . In Winterfell , Lord Umber asks Ramsay for help in protecting the North from the Wildlings , bringing Rickon and Osha as a gift , along with the head of Shaggydog , Rickon 's direwolf . Jon executes Thorne , Olly and the other officers involved in his assassination . He renounces his oath and puts Tollett in charge of the Night 's Watch .     54     `` Book of the Stranger ''   Daniel Sackheim   David Benioff &amp; D.B. Weiss   May 15 , 2016 ( 2016 - 05 - 15 )   7.82     Sansa 's party arrives at Castle Black as she is reunited with Jon . In Meereen , Tyrion meets with the slave masters of Slaver 's Bay to offer peace if they will end slavery within a period of seven years , an action that angers the former slaves . Baelish returns to the Vale to mobilize their soldiers against Ramsay . Naharis learns about Mormont 's greyscale as they arrive in Vaes Dothrak . In King 's Landing , Margaery is permitted to visit Loras while Cersei , Jaime , Kevan and Olenna put aside their differences and plan a defeat of the Sparrows . Theon arrives at Pyke and explains to Yara that he will support her claim at the Kingsmoot . In Winterfell , Osha attempts to assassinate Ramsay but is killed by him . Ramsay sends a letter to Jon , threatening harm to Rickon if Sansa is not returned . She convinces Jon to march south in order to take back Winterfell . Daenerys meets with the Khals in the temple of the Dosh Khaleen ; after they refuse to serve her , she burns them and Moro to death . When she emerges unhurt , the Dothraki kneel to her .     55   5   `` The Door ''   Jack Bender   David Benioff &amp; D.B. Weiss   May 22 , 2016 ( 2016 - 05 - 22 )   7.89     Sansa meets Baelish , who offers the support of the Vale and tells her that Brynden Tully , her great uncle , is gathering an army in Riverrun ; she initially refuses his help . Jon and Sansa leave Castle Black to gather support from the other Northern houses , with her sending Brienne to Brynden . In Braavos , Arya is given a second chance to prove her loyalty by killing an actress . Beyond the Wall , Brandon learns that the White Walkers were created by the Children of the Forest to protect themselves from the First Men . In the Iron Islands , Euron wins the Kingsmoot despite confessing to killing Balon , causing Yara and Theon to flee . In Essos , Daenerys learns about Mormont 's greyscale , ordering him to find a cure and return . In Meereen , a red priestess named Kinvara meets Tyrion and Varys and promises to support Daenerys . Brandon 's unaccompanied vision causes him to be touched by the Night King , making the cave vulnerable . The Night King , along with White Walkers and hordes of wights , attack the cave , killing the Three - Eyed Raven , several Children , Summer , and Hodor , whose younger self is shown to have been rendered mentally disabled by Brandon 's interference .     56   6   `` Blood of My Blood ''   Jack Bender   Bryan Cogman   May 29 , 2016 ( 2016 - 05 - 29 )   6.71     Meera escapes into the forest with Bran who is still immersed in his visions . He comes to just as the wights have tracked them down , but are quickly saved by a mysterious man . Samwell and Gilly reach the Tarly family estate Horn Hill . After Sam 's father , Randyll , insults her for being a Wildling , Sam decides to take her with him to the Citadel , also stealing House Tarly 's ancestral Valyrian steel sword , Heartsbane . Arya warns the actress about her mission to assassinate her , recovering the Needle . H'ghar approves of the Waif 's request to kill Arya . Jaime attempts to rescue Margaery from the Faith Militant , only to find she has repented and Tommen has forged an alliance with the Faith . He removes Jaime from the Kingsguard and orders him to help Walder Frey , who is holding Edmure Tully hostage , and to retake Riverrun from Brynden . Bran and Meera learn that the man who saved them is Benjen , who explains that he was turned by the White Walkers but then later unturned by the Children using Dragonglass . Daenerys mounts Drogon and declares to the Dothraki that they will sail across the Narrow Sea to conquer Westeros .     57   7   `` The Broken Man ''   Mark Mylod   Bryan Cogman   June 5 , 2016 ( 2016 - 06 - 05 )   7.80     Margaery convinces Olenna to return to Highgarden after the High Sparrow says that he will pursue Olenna following her attempt to engage the Faith . Jon , Sansa , and Davos recruit the Wildlings and House Mormont to their cause , but remain outnumbered by the Boltons . In desperation , Sansa writes a letter begging for aid . Jaime arrives in Riverrun with Bronn , assuming control of the siege . The former goes to parley with Brynden , ultimately being unsuccessful . Theon and Yara spend their last night in Volantis , deciding to sail to Meereen to ally with Daenerys . In Braavos , Arya prepares to return to Westeros , but is attacked by the Waif . Arya is badly wounded but escapes . Sandor is revealed to be alive , having been saved by a Septon and his followers . When men from the Brotherhood threaten and eventually slaughter the group , Sandor decides to get revenge .     58   8   `` No One ''   Mark Mylod   David Benioff &amp; D.B. Weiss   June 12 , 2016 ( 2016 - 06 - 12 )   7.60     Tommen abolishes trial by combat , much to the dismay of Cersei , who planned to win using Gregor . Brienne arrives in Riverrun and attempts to persuade Brynden to surrender , without success . After Jaime threatens to kill Edmure 's young son , he enters the castle and orders the Tully forces to stand down , but Brynden is killed fighting the Lannisters . Brienne and Podrick escape . Varys departs Meereen on an unknown mission . Meereen comes under naval assault by the slaving cities , but Daenerys returns . Sandor kills the outlaws who sacked his village and encounters Dondarrion and Thoros , who explain that the outlaws were renegades . They try to convince Sandor to join the Brotherhood . Arya is taken in by the actress , who heals her wounds . In the morning , the Waif arrives , kills the actress and chases Arya through the streets of Braavos . Arya leads the Waif into the catacombs and kills her . She returns the Waif 's face to the House and declares that she is Arya Stark of Winterfell and she is going home .     59   9   `` Battle of the Bastards ''   Miguel Sapochnik   David Benioff &amp; D.B. Weiss   June 19 , 2016 ( 2016 - 06 - 19 )   7.66     Daenerys meets with the slave masters to negotiate terms of surrender , but they refuse it . Riding Drogon , as Rhaegal and Viserion assist , Daenerys attacks and burns the slavers ' fleet . Grey Worm kills two of the masters , leaving one to tell of what he had witnessed . After the battle , Theon and Yara meet with Daenerys and Tyrion and agree to an alliance . Near Winterfell , the Stark and Bolton armies meet on the field . Ramsay feigns setting Rickon free , but kills him with a long - distance arrow before Jon can save him . In the battle , the Stark forces are pinned by Bolton soldiers , but are rescued by the Knights of the Vale . Ramsay flees inside Winterfell , but the Wildling giant Wun Wun , having taken numerous arrows to his body , manages to break down the gate before succumbing to his wounds . Jon brutally beats Ramsay and takes him prisoner . Sansa later visits Ramsay 's cell in the kennels and watches as his starving hounds devour him .     60   10   `` The Winds of Winter ''   Miguel Sapochnik   David Benioff &amp; D.B. Weiss   June 26 , 2016 ( 2016 - 06 - 26 )   8.89     Before her trial , Cersei destroys the Sept of Baelor by wildfire , killing the High Sparrow , Margaery , Mace and Loras Tyrell , Lancel and Kevan Lannister , along with hundreds of King 's Landing nobles and the Faith Militant , while Qyburn has Pycelle killed . Tommen commits suicide . In Dorne , Varys meets with Olenna and Ellaria , seeking to form an alliance between Daenerys and their houses against the Lannisters . Davos confronts Melisandre over the death of Shireen ; Jon banishes her from Winterfell . The Wildlings , the Knights of the Vale and the surviving Houses of the North pledge loyalty to Jon as the new King in the North . Sansa stops Baelish from getting intimate with her . Arya kills Walder Frey and his sons . Tarly and Gilly reach the Citadel in Oldtown . Benjen tells Brandon and Meera to pass the Wall without him . Brandon uses his powers and learns that Jon is actually the son of Lyanna , being adopted by Eddard after she died during Robert 's rebellion . Jaime returns to King 's Landing to find Qyburn crowning Cersei the new monarch of the Seven Kingdoms . Daenerys leaves Naharis and the Second Sons to rule Meereen before she sets sail to Westeros with her other companions , armies and dragons .   </t>
  </si>
  <si>
    <t xml:space="preserve">Artists with the most number - ones on the U.S. Billboard Hot 100 - wikipedia  Artists with the most number - ones on the U.S. Billboard Hot 100  Jump to : navigation , search The Beatles arrive at John F. Kennedy International Airport , February 7 , 1964  This is a list of artists with the most number - one songs on the U.S. Billboard Hot 100 chart ( 10 or more ) . The Beatles currently hold the record for the most number - one songs in the 57 - year history of the chart , with 20. Mariah Carey holds the record for the solo artist with the most number - one songs , with 18 . Rihanna is in third place with 14 number - one songs ( including songs that went # 1 with Rihanna as a featured artist ) and Michael Jackson is in fourth place with 13 number - ones ( not including his four chart - toppers with The Jackson 5 and one with usa for africa ) , while The Supremes and Madonna have attained 12 each . Whitney Houston achieved 11 number - ones during her career , while Stevie Wonder and Janet Jackson have scored 10 apiece .     Contents  ( hide )   1 First : The Beatles ( 20 )   2 Second : Mariah Carey ( 18 )   3 Third : Rihanna ( 14 )   4 Fourth : Michael Jackson ( 13 )   5 Fifth : The Supremes and Madonna ( 12 )   5.1 The Supremes   5.2 Madonna     6 Seventh : Whitney Houston ( 11 )   7 Eighth : Stevie Wonder and Janet Jackson ( 10 )   7.1 Stevie Wonder   7.2 Janet Jackson     8 Pre-dating Hot 100   8.1 Elvis Presley ( 11 Pre-Hot 100 era and 6 On Billboard Hot 100 )     9 See also   10 References      First : the Beatles ( 20 ) ( edit )       This section needs expansion with : all hit songs and related albums needed . You can help by adding to it . ( July 2017 )    A collective photograph of each of The Beatles  English rock band The Beatles achieved a record holding 20 number one songs on the U.S. Billboard Hot 100 chart between 1964 and their split in 1970 . Some of their hits include `` Ticket To Ride '' , `` Ca n't Buy Me Love '' , `` A Hard Day 's Night '' , `` Let It Be '' , and `` Hey Jude '' .   Second : Mariah Carey ( 18 ) ( edit )  Carey performing on Good Morning America in May 2013  American singer , songwriter and producer Mariah Carey has achieved 18 number - one songs on the U.S. Billboard Hot 100 chart .   Carey 's self - titled debut studio album produced four number - one songs . She achieved her first with `` Vision of Love '' in August 1990 , which reached the peak for four weeks . It was followed by `` Love Takes Time '' later that year in November for three weeks , `` Someday '' in March 1991 for two weeks , and `` I Do n't Wanna Cry '' in May 1991 for two weeks . `` Emotions '' became her fifth consecutive number - one song in October 1991 . This run of five consecutive number - ones means that Carey is the only artist in the history of the Hot 100 to have her first five single releases top the chart . The streak broke when `` Ca n't Let Go '' , released as the single following `` Emotions '' , peaked at number two . Carey 's cover of the Jackson 5 song `` I 'll Be There '' topped the chart for two weeks in August 1992 , and she collected two further chart toppers in 1993 when `` Dreamlover '' peaked atop the chart in September for eight weeks and with `` Hero '' in December for four consecutive weeks . *   `` Fantasy '' became the first song to debut atop the Hot 100 by a female artist , and only the second song to debut at number - one after Michael Jackson 's `` You Are Not Alone '' , which did so only one month prior . `` One Sweet Day '' , a duet with Boyz II Men , became her tenth number - one song , spending a record - breaking 16 weeks at the peak of the Hot 100 chart , a record it still holds today . It also debuted at number one , becoming her second single to do so and only the fourth instance on the Hot 100 , following Jackson 's `` Your Are Not Alone '' , Carey 's `` Fantasy '' and Whitney Houston 's `` Exhale ( Shoop Shoop ) '' . `` One Sweet Day '' finished at number one on Billboard 's Hot 100 songs of the decade chart . `` Always Be My Baby '' became the singer 's eleventh number - one in May 1996 for two weeks , tying her with Houston and Madonna for female artist with the most number - ones . In September 1997 , `` Honey '' became Carey 's third single to debut atop the Hot 100 , the most for any artist to date , and only the sixth song in history to do so . It also meant that Carey broke with Houston for joint fifth place , and into joint fourth with Madonna .   When `` My All '' peaked at number - one for one week in May 1998 , it meant that Carey became the first artist in the history of the chart to have two runs of five consecutive number - ones , first with `` Vision of Love '' , `` Love Takes Time '' , `` Someday '' , `` I Do n't Wanna Cry '' and `` Emotions '' in 1990 / 91 , and again with `` Fantasy '' , `` One Sweet Day '' , `` Always Be My Baby '' , `` Honey '' and `` My All '' between 1995 -- 98 . The streak broke , however , when Carey 's duet with Houston , `` When You Believe '' , peaked at number 15 . `` Heartbreaker '' topped the chart for two weeks in October 1999 , extending her lead for female artist with the most number - ones , and only third to Elvis Presley ( 17 ) and The Beatles ( 20 ) overall . `` Thank God I Found You '' became Carey 's fifteenth number - one song in February 2000 , meaning that Carey had charted a number - one single for eleven consecutive years starting with `` Vision of Love '' in 1990 , a record she still holds .   `` We Belong Together '' spent 14 weeks at number - one in 2005 , while `` Do n't Forget About Us '' became her seventeenth chart topper , tying her with Presley . `` Touch My Body '' became Carey 's eighteenth number - one song on the Hot 100 in 2008 , breaking her tie with Presley and placing her second for the most chart toppers in the history of the chart . It also means that Carey is in fourth place for songwriters with the most - number ones , with 17 , only behind Max Martin ( 21 ) , John Lennon ( 26 ) and Paul McCartney ( 32 ) . Carey and Presley hold the record for having spent 79 weeks at number - one on the Billboard Hot 100 . Carey holds the record for solo artist with the most number - ones .   Third : Rihanna ( 14 ) ( edit )   Barbadian singer and songwriter Rihanna has achieved 14 number - one songs on the U.S. Billboard Hot 100 , becoming the youngest artist to accomplish this record . Her first number - one was `` SOS '' in May 2006 ; spending three weeks atop the chart . `` Umbrella '' became her second number - one in May 2007 , selling 277,000 downloads in its first week , logging the highest digital sales debut since tracking of downloads began in 2003 , jumping from number 44 to number - one . It spent a total of seven weeks at the summit , and became the second most successful song of 2007 , behind Beyoncé 's `` Irreplaceable '' . On May 15 , 2008 , `` Take a Bow '' peaked at number one on the chart . It logged the second highest debut week sales at the time , as Mariah Carey 's song `` Touch My Body '' debuted with first week sales of 286,000 in April 2008 , meaning that Rihanna occupied two of the top three debut week sales tally , along with `` Umbrella '' , which debuted with 277,000 copies .   When `` Disturbia '' became Rihanna 's fourth number - one in August 2008 , it tied her with Carey and Beyoncé for the most number - one songs by a female in the 2000 -- 2009 decade .  Rihanna during her Diamonds World Tour in Cologne , June 2013  `` Live Your Life '' , a song by T.I. featuring Rihanna , jumped seventy - nine positions from 80 -- 1 on the Hot 100 , becoming her fifth number - one and set a new record for largest leap to the peak ( at the time ) . It also sold 355,000 copies , besting Carey 's sales of 286,000 with `` Touch My Body '' . `` Rude Boy '' became her sixth in March 2010 , tying her in fifth position with Paula Abdul and Diana Ross for females with the most number - ones , only behind Janet Jackson ( 10 ) , Whitney Houston ( 11 ) , Madonna ( 12 ) and Carey ( 18 ) . It also became the eleventh song in the history of the Hot 100 to feature `` boy '' in the title to top the chart , meaning that a number - one with `` boy '' in the title had occurred in every decade since its inception in 1958 . Her collaboration with Eminem , `` Love the Way You Lie '' , became Rihanna 's seventh chart topper in July 2010 since she made her Hot 100 debut in June 2005 , the most amongst all artists in this time span .   In 2010 Rihanna released her fifth album Loud , which included three number one singles . Its lead single , `` Only Girl ( In the World ) '' , reached number one , as did the album 's second single , `` What 's My Name ? '' , featuring rapper Drake . The song reached number one on the Billboard Hot 100 before `` Only Girl ( In the World ) '' , the first time in the chart 's history that an album 's lead single reached number one after the second . The third single , `` S&amp;M '' , reached number one on the Hot 100 following the release of its official remix featuring Britney Spears , becoming her tenth number one single , which tied her with Janet Jackson for fourth place among female soloists who have topped the chart . With only four years , eleven months , and two weeks between her first and tenth number one on the chart , Rihanna set a record as the solo artist with the fastest accumulation of ten chart toppers. in 2011 Rihanna released the single , `` We Found Love '' , it topped the Billboard Hot 100 for ten non-consecutive weeks , becoming Rihanna 's longest - running number one single and the longest - running number one of 2011 .   In 2012 Rihanna released `` Diamonds '' , which reached number one on the US Billboard Hot 100 , her twelfth number one on the chart which tied her with Madonna and The Supremes as the artists ' with the fourth most number ones on the chart 's history . A year later Eminem released his Rihanna - assisted single , `` The Monster '' , which peaked at number one on the Billboard Hot 100 , which marked Rihanna 's thirteenth chart topper , tying her with Michael Jackson for the third most number ones in the chart 's 55 - year history . Additionally , Rihanna became the fastest solo artist to achieve 13 chart - toppers , surpassing the previous record held by Mariah Carey ( seven - years , eight - month and 19 days ) , with only The Beatles reaching 13 number ones more quickly . In 2016 , Rihanna 's single , `` Work '' peaked at number one on the Hot 100 chart and became Rihanna 's fourteenth number one song in the United States . Subsequently , she became the third artist with most number one songs on the chart following The Beatles with 20 and Carey with 18 .   Fourth : Michael Jackson ( 13 ) ( edit )  Jackson in Vienna , Austria , during his Bad World Tour , 1988 .  American singer , songwriter and producer Michael Jackson achieved 13 number one songs on the U.S. Billboard Hot 100 between 1972 and 1995 prior to his death in June 2009 . Jackson is also the first of two artists to gain five number - one singles from one album ; the other being Katy Perry . In 1972 , `` Ben '' topped the Hot 100 for a week , with Jackson becoming one of the youngest artists to have a number - one hit in America , at age 13 . Jackson 's fifth studio album Off the Wall contained two number - one hits `` Do n't Stop ' til You Get Enough '' and `` Rock with You '' . This was followed by `` Billie Jean '' and `` Beat It '' from the worldwide smash hit album Thriller and `` Say Say Say '' , a duet with Paul McCartney `` , from the latter 's Pipes of Peace album . Bad saw five number - one hits reach number - one from September 1987 to July 1988 : `` I Just Ca n't Stop Loving You '' , `` Bad '' , `` The Way You Make Me Feel '' , `` Man in the Mirror '' , and `` Dirty Diana '' . Dangerous 's lead single , `` Black or White '' , reached number one within a month of its release and ( along with `` Billie Jean '' ) becoming his longest reign at the top at seven consecutive weeks . Finally , his last number - one single `` You Are Not Alone '' debuted at number one , with Jackson becoming the first act in the Billboard Hot 100 's 37 - year history to do so .   Fifth : the Supremes and Madonna ( 12 ) ( edit )   The Supremes ( edit )       This section needs expansion with : details of songs and achievements . You can help by adding to it . ( May 2016 )    The Supremes : Diana Ross ( right ) , Mary Wilson ( center ) , Florence Ballard ( left ) performing `` My World Is Empty Without You '' on The Ed Sullivan Show in 1966 .  American female singing group The Supremes achieved 12 number one songs on the U.S. Billboard Hot 100 between 1964 and 1969 . The first of which Where Did Our Love Go , featured on the album of the same name , became the first of five consecutive number one singles , a first for any female act and the group remains the only girl group to do so . Where Did Our Love Go was then followed by Baby Love and Come See About Me , making The Supremes the first group in Billboard history to have three singles from the same album reach the top position . The final two songs in the streak were Stop ! In the Name of Love and Back in My Arms Again , featured on the album More Hits by The Supremes , made them one of the most successful pop acts of the 60 's , rivalling that of the Beatles . Later , they scored another number one single with I Hear a Symphony , featured on the album of the same name , then another streak of four singles , You Ca n't Hurry Love featured on their number one album Supremes A ' Go Go , a first for girl groups , You Keep Me Hangin ' On and Love Is Here and Now You 're Gone , both featured on the album The Supremes Sing Holland - Dozier - Holland , and finally The Happening , featured on their second number one album Diana Ross &amp; the Supremes : Greatest Hits , a feat that would take decades for another girl group to match . Later on , as ' Diana Ross &amp; The Supremes ' , the group would achieve two more number one hits , the controversial Love Child , on the album of the same name , controversial because of its theme of illegitimacy , and Someday We 'll Be Together , featured on the album Cream of the Crop , which would become the last number one single of the 60 's .   Madonna ( edit )  Madonna performing during The MDNA Tour in August 2012  American singer , songwriter and producer Madonna has achieved 12 number one songs on the U.S. Billboard Hot 100 . `` Like a Virgin '' from the eponymous second studio album reached number one , despite considerable controversy , and stayed at the top for six consecutive weeks between December 1984 and January 1985 . `` Crazy for You '' from the Vision Quest soundtrack topped the Billboard Hot 100 several months later . A year later , Madonna 's third studio album True Blue saw three singles ( `` Live to Tell '' , `` Papa Do n't Preach '' , and `` Open Your Heart '' ) reached the top of the charts . In late 1987 , `` Who 's That Girl '' became Madonna 's sixth number - one single in the United States . Like a Prayer saw its title track top the chart for three weeks in 1989 . This was followed by `` Vogue '' , `` Justify My Love '' , and `` This Used to Be My Playground '' from her compilation albums and soundtrack albums between 1990 and 1992 . In 1995 , `` Take a Bow '' became Madonna 's longest - running number - one single on the Billboard Hot 100 , staying there for seven consecutive weeks . In 2000 , Madonna received her twelfth ( and currently , last ) number - one single to date with `` Music '' topping the chart for four consecutive weeks .   Seventh : Whitney Houston ( 11 ) ( edit )  Houston performing at Welcome Home Heroes with Whitney Houston in 1991 .  American singer Whitney Houston achieved 11 number - one songs on the U.S. Billboard Hot 100 chart between 1985 and 1995 before her death in February 2012 . Houston is notable for seven consecutive number - one singles , the only artist to achieve this feat . Whitney Houston spawned three number - one singles : `` Saving All My Love for You '' , `` How Will I Know '' , and `` Greatest Love of All . Houston 's 1987 album Whitney achieved four number - one singles : `` I Wanna Dance with Somebody '' , `` Did n't We Almost Have It All '' , `` So Emotional '' , and `` Where Do Broken Hearts Go '' .   These singles were followed by `` I 'm Your Baby Tonight '' and `` All the Man That I Need '' . In 1992 , Houston saw the biggest hit of her career with a cover version of Dolly Parton 's `` I Will Always Love You '' which topped the Hot 100 for 14 consecutive weeks ( at the time , the longest reign at the top of the Billboard Hot 100 ) , and later became the best - selling single by a female artist of all time . The single featuring in the film and soundtrack of The Bodyguard . In 1995 , `` Exhale ( Shoop Shoop ) '' debuted at number one , making Houston the third artist to do so .   Eighth : Stevie Wonder and Janet Jackson ( 10 ) ( edit )   Stevie Wonder ( edit )  Wonder performing in 1973 .  American singer , songwriter and producer Stevie Wonder has achieved 10 number - one songs on the U.S. Billboard Hot 100 chart . His first number one was from the 1963 live recorded album The 12 Year Old Genius with single `` Fingertips . '' He would not top the charts again until 1973 , when Talking Book ( 1973 , Tamla ) produced two number - one hits , `` Superstition '' and `` You Are the Sunshine of My Life . '' Later , his album Fulfillingness ' First Finale would spawn yet another number - one hit , `` You Have n't Done Nothin ' '' , a scathing attack on then - President Richard Nixon . His next album , the critically acclaimed Songs in the Key of Life , produced two more number - one hits , `` I Wish '' and `` Sir Duke . '' This was followed by `` Ebony and Ivory '' , his collaboration with Paul McCartney , which would become Wonder 's biggest Billboard Hot 100 hit , spending seven weeks at the summit . This was followed by his smash hits `` I Just Called to Say I Love You '' and `` Part - Time Lover . '' His final song ( to date ) to hit number - one was the star - studded `` That 's What Friends Are For , '' the biggest hit of 1986 . Due to Stevie Wonder 's involvement , this would be the last number - one for anyone who had topped the charts prior to the British Invasion .   Janet Jackson ( edit )  Jackson performing during her Rock Witchu Tour in 2008 .  American singer , songwriter and producer Janet Jackson has achieved 10 number - one songs on the U.S. Billboard Hot 100 chart . Control ( released A&amp;M Records 1986 ) , saw its third single , `` When I Think of You '' reach number - one . Janet Jackson 's Rhythm Nation 1814 ( 1989 , A&amp;M Records ) saw four of its singles reaching number - one in three different years , in 1989 , 1990 , and 1991 , the only album to do so in the history of the Billboard Hot 100 . Then , janet . spawned two number - one hits `` That 's the Way Love Goes '' and `` Again '' ; the former is the longest run at number - one in Jackson 's career . This was followed by `` Together Again '' from The Velvet Rope which topped the chart for two weeks in early 1998 , after debuting at number nine in late December 1997 ; the song is Jackson 's biggest hit worldwide , selling 6 million copies globally . The song `` Does n't Really Matter '' reached number one ; it is included on the soundtrack for the film Nutty Professor II : The Klumps . `` All for You '' reached number one for seven consecutive weeks in 2001 , becoming one of the biggest hits of the year in the United States .   Pre-dating Hot 100 ( edit )   Elvis Presley ( 11 pre-hot 100 era and 6 on Billboard Hot 100 ) ( edit )  Presley in a publicity photograph for the 1957 film Jailhouse Rock  American singer Elvis Presley achieved 17 number - one songs on Billboard Best Sellers In Stores and Hot 100 charts between 1956 and 1969 prior to his death in August 1977 . Elvis achieved 11 number one singles between 1956 and 1959 before the inception of the Billboard Hot 100 . After its inception , he achieved 7 more number one singles totaling 80 weeks as well as 114 top 40 singles ( twice as much as any other entertainer ) in his entire career . His first number one record was `` Heartbreak Hotel '' in 1956 and his last being `` Suspicious Minds '' in 1969 . Billboard later changed its rules , announcing that Elvis ' classic double sided number one hit single , Hound Dog / Do n't Be Cruel would no longer be counted as two separate number ones , making it possible for Billboard to announce that Mariah Carey had surpassed Elvis Presley as the solo artist with the most No. 1 singles .   See also ( edit )    Billboard Hot 100   List of Billboard Hot 100 chart achievements by decade   List of number - one hits ( United States )   List of best - charting music artists in the U.S.   List of artists who reached number one in the United States   List of Billboard Hot 100 chart achievements and milestones    References ( edit )    Jump up ^ `` Vision of Love '' spent four weeks at number one :   `` Week of August 4 , 1990 '' . Billboard . Prometheus Global Media . August 4 , 1990 . Retrieved February 13 , 2015 .   `` Week of August 11 , 1990 '' . Billboard . Prometheus Global Media . August 11 , 1990 . Retrieved February 13 , 2015 .   `` Week of August 18 , 1990 '' . Billboard . Prometheus Global Media . August 18 , 1990 . Retrieved February 13 , 2015 .   `` Week of August 25 , 1990 '' . Billboard . Prometheus Global Media . August 25 , 1990 . Retrieved February 13 , 2015 .     Jump up ^ `` Love Takes Time '' spent three weeks at number one :   `` Week of November 10 , 1990 '' . Billboard . Prometheus Global Media . November 10 , 1990 . Retrieved February 13 , 2015 .   `` Week of November 17 , 1990 '' . Billboard . Prometheus Global Media . November 17 , 1990 . Retrieved February 13 , 2015 .   `` Week of November 24 , 1990 '' . Billboard . Prometheus Global Media . November 24 , 1990 . Retrieved February 13 , 2015 .     Jump up ^ `` Someday '' spent two at number one :   `` Week of March 9 , 1991 '' . Billboard . Prometheus Global Media . March 9 , 1991 . Retrieved February 13 , 2015 .   `` Week of March 16 , 1991 '' . Billboard . Prometheus Global Media . March 16 , 1991 . Retrieved February 13 , 2015 .     Jump up ^ `` I Do n't Wanna Cry '' spent two weeks at number one :   `` Week of May 25 , 1991 '' . Billboard . Prometheus Global Media . May 25 , 1991 . Retrieved February 13 , 2015 .   `` Week of June 1 , 1991 '' . Billboard . Prometheus Global Media . June 1 , 1991 . Retrieved February 13 , 2015 .     ^ Jump up to : Bronson , Fred ( August 19 , 2011 ) . `` How Katy Perry 's Hot 100 Record Stacks - Up Against The Beatles , Elvis , Michael , Mariah &amp; Whitney '' . Billboard . Prometheus Global Media . Retrieved February 13 , 2015 .   ^ Jump up to : `` Mariah Carey Hot 100 Chart History '' . Billboard . Prometheus Global Media . Retrieved February 13 , 2015 .   Jump up ^ `` I 'll Be There '' spent two weeks at number one :   `` Week of June 20 , 1992 '' . Billboard . Prometheus Global Media . June 20 , 1992 . Retrieved February 13 , 2015 .   `` Week of June 27 , 1991 '' . Billboard . Prometheus Global Media . June 27 , 1992 . Retrieved February 13 , 2015 .     Jump up ^ `` Dreamlover '' spent eight weeks at number one :   `` Week of September 11 , 1993 '' . Billboard . Prometheus Global Media . September 11 , 1993 . Retrieved February 13 , 2015 .   `` Week of September 18 , 1993 '' . Billboard . Prometheus Global Media . September 18 , 1993 . Retrieved February 13 , 2015 .   `` Week of September 25 , 1993 '' . Billboard . Prometheus Global Media . September 25 , 1993 . Retrieved February 13 , 2015 .   `` Week of October 2 , 1993 '' . Billboard . Prometheus Global Media . October 2 , 1993 . Retrieved February 13 , 2015 .   `` Week of October 9 , 1993 '' . Billboard . Prometheus Global Media . October 9 , 1993 . Retrieved February 13 , 2015 .   `` Week of October 16 , 1993 '' . Billboard . Prometheus Global Media . October 16 , 1993 . Retrieved February 13 , 2015 .   `` Week of October 23 , 1993 '' . Billboard . Prometheus Global Media . October 23 , 1993 . Retrieved February 13 , 2015 .   `` Week of October 30 , 1993 '' . Billboard . Prometheus Global Media . October 30 , 1993 . Retrieved February 13 , 2015 .     Jump up ^ `` Hero '' spent eight weeks at number one :   `` Week of December 25 , 1993 '' . Billboard . Prometheus Global Media . December 25 , 1993 . Retrieved February 13 , 2015 .   `` Week of January 1 , 1994 '' . Billboard . Prometheus Global Media . January 1 , 1994 . Retrieved February 13 , 2015 .   `` Week of January 8 , 1994 '' . Billboard . Prometheus Global Media . January 8 , 1994 . Retrieved February 13 , 2015 .   `` Week of January 15 , 1994 '' . Billboard . Prometheus Global Media . January 15 , 1994 . Retrieved February 13 , 2015 .     Jump up ^ `` Elvis 's Top 40 Hits '' . Washington Post . Washington Post . January 7 , 1997 . Retrieved May 3 , 2017 .   Jump up ^ McKenna , Jerry ( September 30 , 1995 ) . `` Hot 100 Singles Spotlight '' . Billboard. 107 ( 39 ) . ISSN 0006 - 2510 . Retrieved 2011 - 02 - 24 .   ^ Jump up to : Trust , Gary ( March 16 , 2014 ) . `` March 16 , 1996 : Mariah Carey , Boyz II Men 's ' One Sweet Day ' Makes History on Hot 100 '' . Billboard . Prometheus Global Media . Retrieved February 13 , 2015 .   ^ Jump up to : `` Billboard Hot 100 No. 1 Debuts , a Guide '' . February 23 , 2012 . Retrieved February 13 , 2015 .   Jump up ^ `` Always Be My Baby '' spent two weeks at number one :   `` Week of May 4 , 1996 '' . Billboard . Prometheus Global Media . May 4 , 1996 . Retrieved February 13 , 2015 .   `` Week of May 11 , 1996 '' . Billboard . Prometheus Global Media . May 11 , 1996 . Retrieved February 13 , 2015 .     Jump up ^ Nickson 1998 , p. 145   ^ Jump up to : Nickson 1998 , p. 176   ^ Jump up to : `` Week of May 23 , 1998 '' . Billboard . Prometheus Global Media . May 5 , 1998 . Retrieved February 13 , 2015 .   Jump up ^ `` Heartbreaker '' spent two weeks at number one :   `` Week of October 9 , 1999 '' . Billboard . Prometheus Global Media . October 9 , 1999 . Retrieved February 14 , 2015 .   `` Week of October 16 , 1999 '' . Billboard . Prometheus Global Media . October 16 , 1999 . Retrieved February 14 , 2015 .     Jump up ^ Bronson 2003 , p. 888   Jump up ^ Lamb , Bill . `` Top 100 Pop Songs of 2000 '' . About.com . Retrieved February 14 , 2015 .   Jump up ^ Sue , Jennifer ( December 25 , 2005 ) . `` Mariah Carey Ties Elvis Record on Billboard Chart '' . The Seattle Times . The Seattle Times Company . Retrieved February 14 , 2015 .   Jump up ^ `` Mariah Carey 's `` Touch My Body '' is her 18th # 1 `` . Universal Music Group . Retrieved February 13 , 2015 .   Jump up ^ Caulfield , Keith ( August 11 , 2015 ) . `` The Weeknd 's ' Ca n't Feel My Face ' Gives Max Martin His 21st No. 1 on Billboard Hot 100 '' . Billboard . Prometheus Global Media . Retrieved November 2 , 2015 .   Jump up ^ Bronson , Fred ( April 10 , 2008 ) . `` Chart Beat '' . Billboard . Prometheus Global Media . Retrieved February 14 , 2015 .   Jump up ^ `` Rihanna 's ' SOS ' Rockets To No. 1 on Hot 100 '' . Billboard . Prometheus Global Media . May 4 , 2006 . Retrieved February 23 , 2015 .   Jump up ^ `` Rihanna Stays Strong on Hot 100 '' . Billboard . Prometheus Global Media . May 11 , 2006 . Retrieved February 23 , 2015 .   Jump up ^ `` Rihanna 's ' SOS ' Signals 3rd Week at No. 1 '' . Billboard . Prometheus Global Media . May 18 , 2006 . Retrieved February 23 , 2015 .   Jump up ^ Cohen , Jonathan ( May 31 , 2007 ) . `` Rihanna , Shop Boyz Rocket to the Top of Hot 100 '' . Billboard . Prometheus Global Media . Retrieved February 23 , 2015 .   Jump up ^ Cohen , Jonathan ( July 12 , 2007 ) . `` Rihanna 's ' Umbrella ' Reigns Again on Hot 100 '' . Billboard . Prometheus Global Media . Retrieved February 23 , 2015 .   Jump up ^ `` Hot 100 Songs -- Year End 2007 '' . Billboard . Prometheus Global Media . Retrieved February 23 , 2015 .   ^ Jump up to : Pietroluongo , Silvio ( May 14 , 2008 ) . `` Rihanna 's ' Bow ' Soars 52 Spots To Lead Hot 100 '' . Billboard . Prometheus Global Media . Retrieved February 26 , 2015 .   Jump up ^ Cohen , Jonathan ( August 14 , 2008 ) . `` Rihanna Topples Katy Perry on Hot 100 '' . Billboard . Prometheus Global Media . Retrieved February 26 , 2015 .   ^ Jump up to : Cohen , Jonathan ( October 9 , 2008 ) . `` T.I Breaks Own Record With Hot 100 Burst '' . Billboard . Prometheus Global Media . Retrieved February 26 , 2015 .   ^ Jump up to : Trust , Gary ( March 18 , 2010 ) . `` Chart Beat Thursday : Rihanna , Ludacris , Timbaland '' . Billboard . Prometheus Global Media . Retrieved February 26 , 2015 .   Jump up ^ Pietroluongo , Silvio ( July 21 , 2010 ) . `` Eminem and Rihanna Replace Katy Perry Atop Hot 100 '' . Billboard . Prometheus Global Media . Retrieved February 26 , 2015 .   Jump up ^ `` Canadian Hot 100 : Week of September 25 , 2010 '' . Billboard . September 25 , 2010 . Retrieved September 25 , 2010 .   Jump up ^ `` Rihanna -- Only Girl ( In The World ) '' . australian-charts.com . Retrieved November 27 , 2010 .   Jump up ^ `` Archive Chart '' . theofficialcharts.com . Retrieved November 27 , 2010 .   Jump up ^ `` Rihanna 's ' Only Girl ' Rebounds to No. 1 on Hot 100 '' . Billboard . Retrieved November 24 , 2010 .   Jump up ^ Trust , Gary ( April 20 , 2011 ) . `` Rihanna 's ' S&amp;M ' Reigns on Hot 100 , Lady Gaga 's ' Judas ' Debuts '' . Billboard . Retrieved January 29 , 2012 .   Jump up ^ Trust , Gary ( November 2 , 2011 ) . `` Rihanna 's ' Found ' Her Way Back to Hot 100 Summit '' . Billboard . Retrieved September 7 , 2012 .   Jump up ^ Trust , Gary ( December 21 , 2011 ) . `` Rihanna 's ' Love ' Her Longest - Leading Hot 100 No. 1 '' . Billboard . Retrieved September 7 , 2012 .   Jump up ^ Trust , Gary ( November 21 , 2012 ) . `` Rihanna 's ' Diamonds ' Shines Atop Hot 100 '' . Billboard . Retrieved November 21 , 2012 .   Jump up ^ Trust , Gary ( December 11 , 2013 ) . `` Eminem , Rihanna Rule Hot 100 With ' The Monster ' '' . Billboard . Nielson Soundscan , Inc . Retrieved December 11 , 2013 .   Jump up ^ Trust , Gary ( December 11 , 2013 ) . `` Eminem , Rihanna Rule Hot 100 With ' The Monster ' '' . Billboard . Nielson Soundscan , Inc . Retrieved 2013 - 12 - 11 .   Jump up ^ Trust , Gary ( February 22 , 2016 ) . `` Rihanna &amp; Drake Rise to No. 1 on Hot 100 With ' Work ' '' . Billboard . Retrieved February 22 , 2016 .   ^ Jump up to : https://www.washingtonpost.com/wp-srv/style/longterm/elvis/epchart.htm   Jump up ^ http://www.billboard.com/articles/columns/chart-beat/5862369/elvis-presleys-billboard-chart-records                Lists of Billboard number - one singles     1940 -- 1959     1940   1941   1942   1943   1944   1945   1946   1947   1948   1949   1950   1951   1952   1953   1954   1955   1956   1957   1958   1959       1960 -- 1979     1960   1961   1962   1963   1964   1965   1966   1967   1968   1969   1970   1971   1972   1973       1976   1977   1978   1979       1980 -- 1999     1980   1981   1982     1984   1985   1986     1988   1989   1990   1991   1992   1993   1994   1995     1997   1998   1999       2000 -- present     2000   2001   2002   2003     2005   2006   2007   2008   2009     2011   2012   2013   2014   2015   2016   2017       By decade     1940s   1950 -- 1958   1958 -- 1969   1970s   1980s   1990s   2000s   2010s       See also     Hot 100 Year - end   List of Billboard Hot 100 chart achievements and milestones                 Lists of Billboard Hot 100 top - ten singles     1950s     1958   1959       1960s     1960   1961   1962   1963   1964   1965   1966   1967   1968   1969       1970s     1970   1971   1972   1973       1976   1977   1978   1979       1980s     1980   1981   1982     1984   1985   1986     1988   1989       1990s     1990   1991   1992   1993   1994   1995     1997   1998   1999       2000s     2000   2001   2002   2003     2005   2006   2007   2008   2009       2010s       2011   2012   2013   2014   2015   2016   2017       See also     Number - one hits   Billboard Year - End                 Billboard charts     Albums      Billboard 200     Top Album Sales   Top Catalog Albums   Digital Albums   Billboard Comprehensive Albums ( defunct )       R&amp;B / Hip - Hop     Top R&amp;B / Hip - Hop Albums   Rap Albums       Rock     Rock Albums   Alternative Albums   Hard Rock Albums   Folk Albums       Country     Top Country Albums       Latin     Top Latin Albums   Regional Mexican Albums   Latin Pop Albums   Latin Rhythm Albums   Tropical Albums       Religious     Christian Albums       Other     Heatseekers Albu</t>
  </si>
  <si>
    <t xml:space="preserve">who holds the record for the most number one hits</t>
  </si>
  <si>
    <t xml:space="preserve"> This is a list of artists with the most number - one songs on the U.S. Billboard Hot 100 chart ( 10 or more ) . The Beatles currently hold the record for the most number - one songs in the 57 - year history of the chart , with 20. Mariah Carey holds the record for the solo artist with the most number - one songs , with 18 . Rihanna is in third place with 14 number - one songs ( including songs that went # 1 with Rihanna as a featured artist ) and Michael Jackson is in fourth place with 13 number - ones ( not including his four chart - toppers with The Jackson 5 and one with usa for africa ) , while The Supremes and Madonna have attained 12 each . Whitney Houston achieved 11 number - ones during her career , while Stevie Wonder and Janet Jackson have scored 10 apiece . </t>
  </si>
  <si>
    <r>
      <rPr>
        <sz val="11"/>
        <color rgb="FF000000"/>
        <rFont val="Calibri"/>
        <family val="0"/>
        <charset val="1"/>
      </rPr>
      <t xml:space="preserve">Charity shop - wikipedia  Charity shop  Jump to : navigation , search `` Thrift shop '' redirects here . For the song , see Thrift Shop . `` Op shop '' redirects here . For the band , see Opshop . A charity shop in Fareham , Hampshire UK  A charity shop or thrift shop is a retail establishment run by a charitable organization to raise money . Charity shops are a type of social enterprise . They sell mainly used goods such as clothing , books , CDs , DVDs , and furniture donated by members of the public , and are often staffed by volunteers . Because the items for sale were obtained for free , and business costs are low , the items can be sold at competitive prices . After costs are paid , all remaining income from the sales is used in accord with the organization 's stated charitable purpose . Costs include purchase and / or depreciation of fixtures ( clothing racks , bookshelves , counters , etc . ) , operating costs ( maintenance , municipal service fees , electricity , heat , telephone , limited advertising ) and the building lease or mortgage .     Contents  ( hide )   1 Terminology   2 History   3 Popularity   4 Sale of new goods   5 United Kingdom   6 Australia   7 United States   8 See also   9 References   10 External links      Terminology ( edit )   Charity shops are also referred to as a thrift store ( U.S. and Canada ) , hospice shop , resale shop ( unless meaning consignment shop ( U.S. ) ) , opportunity shop or op shop ( Australia and New Zealand ) .   History ( edit )  Plaque attached to the original Oxfam shop at 17 Broad Street , Oxford  One of the earliest charity shops was set up by the Wolverhampton Society for the Blind ( now called the Beacon Centre for the Blind ) in 1899 to sell goods made by blind people to raise money for the Society . During World War I , various fund - raising activities occurred , such as a bazaar in Shepherd Market , London , which made £ 50,000 for the Red Cross .   However , it was during the Second World War that the charity shop became widespread . Edinburgh University Settlement opened their ' Thrift Shop for Everyone ' on Nicholson Place , Edinburgh in 1937 , the Red Cross opened up its first charity shop at 17 Old Bond Street , London in 1941 . For the duration of the war , over two hundred `` permanent '' Red Cross gift shops and about 150 temporary Red Cross shops were opened . A condition of the shop licence issued by the Board of Trade was that all goods offered for sale were gifts . Purchase for re-sale was forbidden . The entire proceeds from sales had to be passed to the Duke of Gloucester 's Red Cross or the St John Fund . Most premises were lent free of rent and in some cases owners also met the costs of heating and lighting .   The first Oxfam charity shop in the United Kingdom was established by Cecil Jackson - Cole in Broad Street , Oxford , and began trading in December 1947 ( although the shop itself did not open until February 1948 ) .   Popularity ( edit )  Truck used by the Suncoast Humane Society Thrift Store to collect donations in Port Charlotte , Florida .  Charity shops are often popular with people who are frugal . In the United States , shopping at a charity store has become popular enough to earn a slang term : `` thrifting '' . Environmentalists may prefer buying second - hand goods as this uses fewer natural resources and would usually do less damage to the environment than by buying new goods would , in part because the goods are usually collected locally . In addition , reusing second - hand items is a form of recycling , and thus reduces the amount of waste going to landfill sites . People who oppose sweat shops often purchase second - hand clothing as an alternative to supporting clothing companies with dubious ethical practices . People who desire authentic vintage clothing typically shop at thrift stores since most clothing that is donated is old and out of normal fashion , or is from a recently deceased person who had not updated his clothing for a long time .   Second - hand goods are considered to be quite safe . The South Australian Public Health Directorate says that the health risk of buying used clothing is very low . It explains that washing purchased items in hot water is just one of several ways to eliminate the risk of contracting infectious diseases .   Sale of new goods ( edit )   Some charity shops , such as the British Heart Foundation , also sell a range of new goods which may be branded to the charity , or have some connection with the cause the charity supports . Oxfam stores , for example , sell fair trade food and crafts . Charity shops may receive overstock or obsolete goods from local for - profit businesses ; the for - profit businesses benefit by taking a tax write - off and clearing unwanted goods from their store instead of throwing the goods out , which is costly .   United Kingdom ( edit )  Window display in a UK charity shop .  Oxfam has the largest number of charity shops in the UK with over 700 stores . Many Oxfam shops also sell books , and the organization now operates over 70 specialist Oxfam Bookshops , making them the largest retailer of second - hand books in the United Kingdom . Other Oxfam affiliates also have stores , such as Jersey , Germany , Ireland ( 45 shops in NI / ROI ) , the Netherlands and Hong Kong . Other charities with a strong presence on high streets in the UK include The Children 's Society , YMCA , British Heart Foundation , Barnardos , Cancer Research UK , Shelter , Roy Castle Lung Cancer Foundation , Age UK ( formerly Age Concern and Help the Aged ) , Marie Curie Cancer Care , Norwood , Save the Children , Scope , PDSA , Naomi House Children 's Hospice and Sue Ryder Care . Many local hospices also operate charity shops to raise funds .   There are over 9,000 charity shops in the UK and Republic of Ireland . Their locations can be found on the Charity Retail Association ( CRA ) website , along with information on charity retail , what shops can and ca n't accept , etc . The CRA is a member organisation for charities which run shops . British charity shops are mainly staffed by unpaid volunteers , with a paid shop manager . Goods for sale are predominantly from donations - 87 % according to the official estimate . Donations should be taken directly to a charity shop during opening hours , as goods left on the street may be stolen or damaged by passers - by or inclement weather . In expensive areas , donations include a proportion of good quality designer clothing and charity shops in these areas are sought out for cut - price fashions . ' Standard ' charity shops sell a mix of clothing , books , toys , videos , DVDs , music ( like CDs , cassette tapes and vinyl ) and bric - a-brac ( like cutlery and ornaments ) . Some shops specialise in certain areas , like vintage clothing , furniture , electrical items , or records .   Almost all charity shops sell on their unsold textiles ( i.e. unfashionable , stained or damaged fabric ) to textile processors . Each charity shop saves an average of 40 tonnes of textiles every year , by selling them in the shop , or passing them on to these textile merchants for recycling or reuse . This grosses to around 363,000 tonnes across all charity shops in the UK ; based on 2010 landfill tax value at £ 48 per tonne , the value of textiles reused or passed for recycling by charity shops in terms of savings in landfill tax is £ 17,424,000 p.a. Gift Aid is a UK tax incentive for individual donors where , subject to a signed declaration being held by the charity , income tax paid on donations can be reclaimed by the charity . Although initially intended only for cash donations , the scheme now ( since 2006 ) allows tax on the income earned by charity shops acting as agent for the donor to be reclaimed .   Charity shops in the UK get mandatory 80 % relief on business rates on their premises , which is funded by central government ( not by local ratepayers ) and is one illustration of their support for the charity sector and the role of charity shops in raising funds for charities . Charities can apply for discretionary relief on the remaining 20 % , which is an occasional source of criticism from retailers which have to pay in full .   Australia ( edit )   In Australia , major national opportunity shop chains include the St. Vincent de Paul Thrift Store ( trading as Vinnies ) which operate 627 shops across Australia , Anglicare Shops , that currently operate in 19 locations across Sydney and the Illawarra also various locations around Australia , the Salvation Army ( trading as Salvos ) , the Red Cross , MS Australia , and the Brotherhood of St. Laurence . Many local charitable organisations , both religious and secular , run opportunity shops . Common among these are missions and animal shelters .   United States ( edit )   In the United States , major national charity thrift shop operators include Goodwill Industries , Value Village / Savers , Salvation Army , St. Vincent de Paul Thrift Store , and ReStore ( operated by Habitat for Humanity ) . Regional operators include Deseret Industries in the Western United States , and those run by Bethesda Lutheran Communities in the Upper Midwest . Many local charitable organizations , both religious and secular , operate thrift stores . Common among these are missions , children 's homes , homeless shelters , and animal shelters . In addition , some charity shops are operated by churches as fundraising venues that support activities and missionary work .   See also ( edit )    Consignment   Car Boot Sale   Flea market   Give - away shop   Jumble sale   Surplus store   Sustainable clothing    References ( edit )    Jump up ^ `` Thrift Store or Treasure Trove -- You Decide '' .   Jump up ^ `` Second - hand goods : A guide for consumers '' ( PDF ) . Public and Environmental Health Service website . Department of Health , Government of South Australia . October 2008 . Archived from the original ( PDF ) on 1 January 2011 . Retrieved 16 July 2010 . As the risk to health associated with second - hand goods is very low , thorough and hygienic cleaning is all that is required to eliminate the risk of contracting infectious diseases ... Washing second - hand clothing and bedding in hot water ( hotter than 60 ° C ) and detergent kills these disease - causing organisms . Items that can not be washed ...   Jump up ^ Charity Retail Association FAQ Archived 6 December 2010 at the Wayback Machine .   Jump up ^ Charity Retail Association FAQ Archived 6 December 2010 at the Wayback Machine .   Jump up ^ Charity Retail Association Reuse FAQ Archived 6 December 2010 at the Wayback Machine .   Jump up ^ HMRC Gift Aid Archived 6 June 2007 at the Wayback Machine .   Jump up ^ Charity Retail Association FAQ Archived 6 December 2010 at the Wayback Machine .   Jump up ^ `` BBC NEWS -- UK -- England - Cornwall - Call to cut charity shops in town '' . news.bbc.co.uk . Retrieved 9 May 2017 .   Jump up ^ `` How many Vinnies shops are there ? '' . Retrieved 2 October 2016 .   Jump up ^ `` Habitat for Humanity ReStores '' . Habitat for Humanity . Retrieved 9 May 2017 .    External links ( edit )    Charity Retail Association ( UK )        ( hide )         Charitable giving     Main topics     Alms   Altruism   Donation   Fundraising   Philanthropy   Volunteering       Types of charitable organizations     Charitable trust / Registered charity   Foundation   Private     Mutual - benefit nonprofit corporation   Non-governmental organization   Nonprofit organization   Public - benefit nonprofit corporation   Religious corporation   Voluntary association       Charity and religion     Dāna   Tithe   Tzedakah   Sadaqah   Zakat       Charity evaluators     Charity Navigator   CharityWatch   GiveWell   Giving What We Can   GuideStar   Open Philanthropy Project       Further topics     Alternative giving   Benefit concert   Charity / thrift / op shop   Click - to - donate site   Drive   Donor intent   Earning to give   Effective altruism   List of charitable foundations   wealthiest     Master of Nonprofit Organizations   Matching funds   Telethon   Volunteer grant   Wall of Kindness   Warm - glow giving      Retrieved from `` https://en.wikipedia.org/w/index.php?title=Charity_shop&amp;oldid=798497823 '' Categories :   Retailing   Charity   Waste collection   Reuse   Shops   Hidden categories :   Webarchive template wayback links   Use dmy dates from July 2013   All articles with unsourced statements   Articles with unsourced statements from November 2008           Talk                                           Contents                   About Wikipedia                                                   Беларуская   Dansk   Deutsch   </t>
    </r>
    <r>
      <rPr>
        <sz val="11"/>
        <color rgb="FF000000"/>
        <rFont val="Noto Sans CJK SC"/>
        <family val="2"/>
      </rPr>
      <t xml:space="preserve">한국어   </t>
    </r>
    <r>
      <rPr>
        <sz val="11"/>
        <color rgb="FF000000"/>
        <rFont val="Calibri"/>
        <family val="0"/>
        <charset val="1"/>
      </rPr>
      <t xml:space="preserve">Italiano   Magyar   Nederlands   Polski   Português   Ripoarisch   Русский   Українська   Edit links   This page was last edited on 2 September 2017 , at 07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</si>
  <si>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first thrift store open persona 5</t>
  </si>
  <si>
    <t xml:space="preserve"> However , it was during the Second World War that the charity shop became widespread . Edinburgh University Settlement opened their ' Thrift Shop for Everyone ' on Nicholson Place , Edinburgh in 1937 , the Red Cross opened up its first charity shop at 17 Old Bond Street , London in 1941 . For the duration of the war , over two hundred `` permanent '' Red Cross gift shops and about 150 temporary Red Cross shops were opened . A condition of the shop licence issued by the Board of Trade was that all goods offered for sale were gifts . Purchase for re-sale was forbidden . The entire proceeds from sales had to be passed to the Duke of Gloucester 's Red Cross or the St John Fund . Most premises were lent free of rent and in some cases owners also met the costs of heating and lighting . </t>
  </si>
  <si>
    <r>
      <rPr>
        <sz val="11"/>
        <color rgb="FF000000"/>
        <rFont val="Calibri"/>
        <family val="0"/>
        <charset val="1"/>
      </rPr>
      <t xml:space="preserve">Ernst Stavro Blofeld - wikipedia  Ernst Stavro Blofeld  Jump to : navigation , search `` Blofeld '' redirects here . For other uses , see Blofeld ( disambiguation ) .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October 2015 ) ( Learn how and when to remove this template message )         This article needs attention from an expert on the subject . Please add a reason or a talk parameter to this template to explain the issue with the article . When placing this tag , consider associating this request with a WikiProject . ( November 2015 )    ( Learn how and when to remove this template message )       Ernst Stavro Blofeld     James Bond character     Donald Pleasence as Blofeld in You Only Live Twice ( 1967 ) .     Created by   Ian Fleming     Portrayed by     Anthony Dawson ( uncredited )   Eric Pohlmann ( voice , uncredited )   Donald Pleasence   Telly Savalas   Charles Gray   John Hollis ( uncredited )   Robert Rietty ( voice , uncredited )   Max von Sydow   Christoph Waltz       Information     Aliases   Franz Oberhauser     Affiliation   SPECTRE     Children   Nena Blofeld     Nationality   Polish     Classification   Supervillain     Henchmen     Rosa Klebb   Red Grant   Emilio Largo   Irma Bunt   Mr. Wint and Mr. Kidd   Le Chiffre   Mr. White   Dominic Greene   Raoul Silva   Mr. Hinx       Allies   Dr. Julius No     Ernst Stavro Blofeld is a fictional character and villain from the James Bond series of novels and films , created by Ian Fleming . A criminal mastermind with aspirations of world domination , he is the archenemy of the British Secret Service agent James Bond . Blofeld is head of the global criminal organisation SPECTRE and is commonly referred to as Number 1 , an official numerical position given to members of SPECTRE . The character was originally written by Fleming as a physically massive and powerfully built man , standing around 6 ft 3 in ( 1.91 m ) and weighing 21.6 stone ( about 300 pounds ( 140 kg ) ) , who had become flabby with a huge belly .   Blofeld appears or is heard in three novels : Thunderball , On Her Majesty 's Secret Service ; and You Only Live Twice ; as well as seven films from Eon Productions : From Russia with Love ( 1963 ) ; Thunderball ( 1965 ) ; You Only Live Twice ( 1967 ) ; On Her Majesty 's Secret Service ( 1969 ) ; Diamonds Are Forever ( 1971 ) ; For Your Eyes Only ( 1981 ) ( the pre-title sequence of which shows an unnamed character resembling him fall to his death ) ; and Spectre ( 2015 ) . He also appears in Never Say Never Again ( 1983 ) , the non-Eon remake of Thunderball .   Blofeld has been played on screen by Donald Pleasence , Telly Savalas , Charles Gray , Max von Sydow , and Christoph Waltz , among others . It was initially a convention of the films not to show Blofeld 's face , only a close - up of him stroking his white , blue - eyed Persian cat .   Many of Blofeld 's characteristics have become tropes in popular fiction , representing the stock character of the supervillain , with the stroking of his white cat often retained as a parodic allusion to Blofeld 's character , as seen in the Austin Powers film series with the character of Dr. Evil and his cat Mr. Bigglesworth , or in the cartoon Inspector Gadget with the character of Dr. Claw .     Contents  ( hide )   1 Character   2 In novels   3 In films   3.1 Table of film appearances     4 Video games   5 Homages   6 See also   7 References      Character ( edit )   Ian Fleming includes information about Blofeld 's background in his novel Thunderball . According to the novel , Blofeld was born on 28 May 1908 ( which is also Fleming 's birthday ) in Gdingen , Imperial Germany ( now Gdynia , Poland ) ; his father Ernst George Blofeld was Polish , and his mother Maria Stavro Michelopoulos was Greek , hence the well - known Greek name Stavro . After the First World War , Blofeld became a Polish national . As a young man , he was well - versed in the social science disciplines , but also in the natural science and technology disciplines . He first graduated from the University of Warsaw with a degree in Political History and Economics , and then from the Warsaw University of Technology with a degree in Engineering and Radionics . He was then hired by the Polish Ministry of Posts and Telegraphs and appointed to a sensitive communication position , which he used for buying and selling stocks at the Warsaw Stock Exchange .   Correctly foreseeing the coming of World War II , Blofeld made copies of top - secret wires and sold them for cash to Nazi Germany . Before the German invasion of Poland in 1939 , he destroyed all records of his existence , then moved first to Sweden , then to Turkey , where he worked for Turkish Radio and began to set up his own private intelligence organisation . During the war , he sold information to both sides . After the defeat of Erwin Rommel , he decided to back the Allied war effort , and was awarded numerous medals by the Allied powers after the war 's end . Blofeld then moved temporarily to South America before founding SPECTRE .   In the John Gardner novel For Special Services , Blofeld is depicted as having had a daughter with a French mistress named Nena .   It is commonly believed that the name Blofeld was inspired by the English cricket commentator Henry Blofeld 's father , with whom Fleming went to school . Henry Blofeld offered on the BBC Radio 4 series Just a Minute that `` Ian took my father 's name as the name of the baddie . ''   In novels ( edit )   Blofeld makes three appearances in Ian Fleming 's novels . He first appears in a minor role as the leader of SPECTRE in the 1961 novel Thunderball . The plot that he formulates is carried out by his second - in - command Emilio Largo . Blofeld is described physically as a massive man , weighing roughly 20 stone ( 280 lb ; 130 kg ) , who had previously been a champion amateur weightlifter in his youth before becoming obese in middle age ; he has black crew - cut hair , black eyes ( similar to those of Benito Mussolini ) , heavy eyelashes , a thin mouth , and long pointed hands and feet . He has violet - scented breath from chewing flavoured cachous ( breath mints ) , a habit he adopts whenever he must deliver bad news . A meticulous planner of formidable intellect , he seems to be without conscience but not necessarily insane , and is motivated solely by financial gain . Blofeld 's lifestyle is described in one chapter in Thunderball : `` For the rest , he did n't smoke or drink and he had never been known to sleep with a member of either sex . He did n't even eat very much . ''   Blofeld is absent from the next novel , The Spy Who Loved Me , though its events take place while Bond is battling SPECTRE in North America . In On Her Majesty 's Secret Service ( 1963 ) , Bond learns that Blofeld has altered his appearance radically -- he is now tall and thin ; has reduced his weight to 12 stone ( 170 lb ; 76 kg ) ; sports long silver hair , a syphilitic infection on his nose , and no earlobes ; he wears dark green tinted contact lenses to hide his distinctive eyes . Perhaps less calculating than previously , he is notably saddled with the exploitable weakness of snobbery about his assumed nobility , indicating that he is losing his sanity . He is hiding in Switzerland in the guise of the Comte Balthazar de Bleuchamp and Bond defeats his vindictive plans to destroy Britain 's agricultural economy . In the final sequence of the novel , Blofeld gets revenge by murdering Bond 's new wife , Tracy .   In You Only Live Twice , published in 1964 , Blofeld returns and Bond finds him hiding in Japan under the alias Dr. Guntram Shatterhand . He has once again changed his appearance . He has put on some muscle , and has a gold - capped tooth , a fully healed nose , and a drooping grey mustache . Bond describes Blofeld on their confrontation as being `` a big man , perhaps six foot three ( 190 cm ) , and powerfully built . '' It is indicated that Blofeld has by now gone completely insane , as he all but admits himself when Bond levels the accusation . Bond strangles him to death at the end of the novel . In both On Her Majesty 's Secret Service and You Only Live Twice , Blofeld is aided in his schemes by Irma Bunt , who is clearly his lover in the latter , and posing as Shatterhand 's wife . Bond incapacitates her in their Japanese castle base before it blows up , killing Bunt . The final mention of Blofeld is in the beginning of the next novel , The Man with the Golden Gun , published in 1965 .   In films ( edit )  Blofeld in ( clockwise from upper - left ) You Only Live Twice ( Donald Pleasence ) , On Her Majesty 's Secret Service ( Telly Savalas ) , Never Say Never Again ( Max von Sydow ) , Spectre ( Christoph Waltz ) , and Diamonds Are Forever ( Charles Gray )  In the film series , Blofeld first appears in From Russia with Love , then in Thunderball . In these two appearances , his face is not seen , and only his lower body is visible as he strokes his trademark white cat .   Czech actor Jan Werich was originally cast by producer Harry Saltzman to play Blofeld in You Only Live Twice . Upon his arrival at the Pinewood set , both producer Albert R. Broccoli and director Lewis Gilbert felt that he was a bad choice , resembling a `` poor , benevolent Santa Claus . '' Nonetheless , in an attempt to make the casting work , Gilbert continued filming . After five days , both Gilbert and Broccoli determined that Werich was not menacing enough , and recast Donald Pleasence in the role -- the official excuse being that Werich was ill . Donald Pleasence used a German accent for the part .   In the third , fourth , and fifth appearances -- You Only Live Twice , On Her Majesty 's Secret Service and Diamonds Are Forever -- he is the primary antagonist , meeting Bond face - to - face . During the opening sequence of Diamonds Are Forever , he reveals to Bond that some of his men have undergone plastic surgery to become his decoy duplicates .   In the film version of On Her Majesty 's Secret Service , he is not Tracy Bond 's actual killer . He drives the car from which Irma Bunt ( Ilse Steppat ) fires the fatal shots at Tracy , minutes after she married Bond .   In a sixth appearance -- in the pre-credit sequence of For Your Eyes Only -- he is an anonymous , bald , wheelchair - bound villain trying to kill Bond once again . Blofeld remains unnamed and unlisted in the film 's end credits . The only clues to his identity are the trademark white cat , similar clothes to his previous onscreen appearances , the dialogue indicating that he and Bond have met before , and the fact that the scene begins with Bond paying his respects at Tracy 's grave , often considered by the producers as a means of providing an `` immediate continuity link '' in the event of a new actor taking the part of Bond ( although this was Roger Moore 's fifth appearance as Bond ) . The anonymity of the villain was due to the legal dispute between Kevin McClory and Eon Productions over the Thunderball copyrights .   Blofeld 's appearance and personality change according to the personifying actor and the production . He has a full head of black hair in From Russia With Love and Thunderball ; a bald head and a facial dueling scar in You Only Live Twice ; a bald head with no scar or earlobes in On Her Majesty 's Secret Service ; and silver - grey hair in Diamonds Are Forever . This metamorphosing matches Fleming 's literary portrayal of a master criminal who will go to great lengths to preserve his anonymity , including the use of plastic surgery . He often wears a jacket without lapels , based loosely either on the Nehru jacket or on the Mao suit , a feature which is used in spoofs like the Austin Powers series , though in his early two appearances on film he wore a black business suit .   By November 2013 , MGM and the McClory estate had formally settled the issue with Danjaq and MGM and acquired the full copyright to the characters and concepts of Blofeld and SPECTRE . Blofeld consequently reappeared in Spectre , played by Christoph Waltz , and with a new background . He was now born Franz Oberhauser , the son of Hannes Oberhauser , Bond 's legal guardian after he was orphaned at the age of 11 , making him and Bond adoptive brothers . As a young man , he murdered his father , staged his own death , and took on the alias of Ernst Stavro Blofeld , using his mother 's maiden name . He then assembled the global criminal organisation known as Spectre . He is revealed to have been trying for years to destroy Bond , whom he resents for having been his father 's favourite ; he is thus revealed to have been the power behind the villains of the previous three films ( It is also implied he was one who ordered Dominic Grenne 's execution in Quantum of Solace ) . At the end of the film , Bond takes him into custody after foiling his plan to take control of the world 's national security intelligence data . This incarnation of Blofeld again wears a jacket without lapels , has a full head of hair , and is disfigured in the course of the film , echoing the Pleasence version 's duelling scar . A white Persian cat is also briefly shown .   Table of film appearances ( edit )     Year   Film   Actor and notes   Status after the film concludes     1963   From Russia with Love   Anthony Dawson as actor ( only hands and back of head are seen ) , Eric Pohlmann as voice actor ; the end credits list a question mark instead of an actor 's name in the `` Blofeld '' field ( however , he is only referred to as `` Number One '' in the film ) .   Active / indirect involvement in the field . Never has any contact with Bond .     1965   Thunderball   Anthony Dawson as actor ( only hands and back of head are seen ) , Eric Pohlmann as voice actor , both uncredited ; end credits do not list Blofeld ( maybe due to the fact that he is only referred to as `` Number One '' in the film ) .   Active / indirect involvement in the field . Never has any contact with Bond .     1967   You Only Live Twice   Donald Pleasence . Actor Jan Werich was originally cast , and some clips show his hands petting cat , and tuft of hair can be seen just above back of chair . Pleasence , with a fake scar on his face , replaced Werich during filming when the latter was deemed unsuited for the role . Blofeld has a facial scar in this film .   Injured in his right hand by a shuriken ; escapes .     1969   On Her Majesty 's Secret Service   Telly Savalas ; appears with earlobes removed to back up claim to a noble title .   Escapes ; he was the driver in the drive - by murder of Tracy Bond .     1971   Diamonds Are Forever   Charles Gray ; appears also as doubles , all created via plastic surgery .   He attempts to escape in his mini-sub , but Bond gains control of it and crashes it into the control room .     1981   For Your Eyes Only   John Hollis as actor , Robert Rietty as voice actor ; Blofeld 's face is not seen close - up and his name is n't used due to the legal battle with Kevin McClory revealed in the film 's DVD commentary .   Dropped down a very large chimney from his own helicopter .       Never Say Never Again ( non-Eon )   Max von Sydow . Appears in a small number of scenes .   Active / indirect involvement in the field . Never has any direct contact with Bond .     2015   Spectre   Christoph Waltz ; he , identified as being of Austrian ancestry , is initially known by his birth name as `` Franz Oberhauser '' , but reveals that he rejected his father 's name , and takes his mother 's maiden name : `` Blofeld '' . He later receives a facial scar ( a reference to You Only Live Twice ) due to Q 's exploding watch .   Captured and arrested by Bond and MI6 .     Video games ( edit )       This section does not cite any sources . Please help improve this section by adding citations to reliable sources . Unsourced material may be challenged and removed . ( August 2013 ) ( Learn how and when to remove this template message )     Blofeld appears in the 2004 video game GoldenEye : Rogue Agent , with the likeness of Donald Pleasence , voiced by Gideon Emery .   Blofeld is a playable multiplayer character in the 2010 video game GoldenEye 007 for the Wii , with the likeness of Charles Gray .   Blofeld is one of the main characters in the 2012 video game 007 Legends , featured in the mission based on On Her Majesty 's Secret Service , in which the character was an amalgamation of the first three actors appearing in the official film series . Throughout the game , he is voiced by Glenn Wrage . Legends released prior to Blofeld 's appearance in Spectre , portrays a feud with 007 that was not related to 2015 film .   In Blood Stone , the main antagonist , Nicole Hunter ( featured with voice and likeness of Joss Stone ) , tells Bond at the end of the story mode that she was trying to prove herself to a rich and powerful man . Bond tries to get his name but she refuses to give it claiming he 's `` bigger than everything '' ( including MI6 ) , and that he was watching them . Suddenly , an unmanned drone flies toward them and shoots Nicole dead . After the release of Spectre , it was heavily implied that Blofeld was Nicole 's employer and the person responsible for the game 's events , however due to the rights to use Blofeld and Spectre being not acquired until after the game 's release and it 's unresolved cliffhanger ending this is just speculation .   Homages ( edit )   Some of Blofeld 's characteristics have become supervillain tropes in popular fiction and media , including the parodies Dr. Claw ( and his pet , M.A.D. Cat ) from the Inspector Gadget animated series ( 1983 -- 86 ) , Team Rocket leader Giovanni and his Persian cat from the Pokémon television series and Dr. Evil ( and his cat Mr. Bigglesworth ) from the Austin Powers film series ( 1997 -- 2002 ) . The 1999 The Powerpuff Girls episode `` Cat Man Do '' also features a supervillain with a cat , though it is the feline that turns out to be the criminal mastermind . In The Penguins of Madagascar , the recurring villain Dr. Blowhole , is a parody homage to Blofeld . The main antagonist in CBBC Children 's spy comedy M.I. High is a character called `` The Grandmaster '' whose face is always obscured by shadows or a scarf -- he has a pet white rabbit called `` General Flopsy '' . The final boss of the License to Adventure challenge path in the game Kingdom of Loathing is `` Blofeld '' , an underling pretending to be Blofeld , with the real fight against Blofeld occurring once you have defeated the impostor 11 times .   See also ( edit )    James Bond portal     List of recurring characters in the James Bond film series   List of James Bond villains    References ( edit )    Jump up ^ Oliver Buckton ( 8 October 2015 ) . Espionage in British Fiction and Film since 1900 : The Changing Enemy . Lexington Books . p. 244 . ISBN 978 - 1 - 4985 - 0484 - 3 . Yet this suggestion of femininity in Blofeld 's face is belied by his massive girth , his body `` weighed about twenty stone . It had once been all muscle ... but in the past ten years it had softened and he had a vast belly that he concealed behind roomy trousers .   Jump up ^ Ian Fleming 's James Bond : Annotations and Chronologies for Ian Fleming 's Bond Stories , published 2006 , page 34   Jump up ^ `` The Bond Film Informant : Ernst Stavro Blofeld '' . Mjnewton.demon.co.uk. 28 May 2008 . Archived from the original on 8 November 2016 . Retrieved 29 October 2015 .   Jump up ^ `` BBC Radio 4 -- Desert Island Discs , Henry Blofeld '' . Bbc.co.uk. 5 December 2003 . Retrieved 29 October 2015 .   Jump up ^ `` BBC Radio 4 -- Just a Minute , Series 67 , Episode 3 '' . Bbc.co.uk. 2 September 2013 . Retrieved 29 October 2015 .   Jump up ^ Production Staff ( 2000 ) . Inside You Only Live Twice : An Original Documentary ( Television ) . MGM Home Entertainment Inc .   Jump up ^ ( 1 ) Archived 19 November 2006 at the Wayback Machine .   Jump up ^ The Bond Files by Andy Lane and Paul Simpson , published by Virgin in 1999   Jump up ^ Smith , Jim ; Lavington , Stephen ( 2002 ) . Bond Films . London : Virgin Books . p. 178 . ISBN 9780753507094 .   ^ Jump up to : `` What James Bond Mythology Tells Us About Spectre '' . Screen Rant. 9 November 2015 . Retrieved 22 May 2017 .   Jump up ^ Vejvoda , Jim . `` MGM , Danjaq Settle James Bond Rights Dispute With McClory Estate '' . IGN . Retrieved 16 November 2013 .   Jump up ^ Andy Lane and Paul Simpson . The Bond Files . Some sources mistakenly identify the voice as Joseph Wiseman 's .   Jump up ^ Cork , John ; Stutz , Collin ( 2007 ) . James Bond Encyclopedia . New York : DK Pub . p. 40 . ISBN 9780756631673 .   Jump up ^ MI6 Community . `` Bloodstone Spectre Connection '' . Retrieved 2017 - 08 - 29 .   Jump up ^ Martens , Todd ( 28 March 2015 ) . `` Spectre trailer reinvents a famous Bond rival '' . Los Angeles Times . Retrieved 7 November 2015 .      ( hide )         James Bond characters     James Bond as literary character and as film character     Allies       Miss Moneypenny   Q   Bill Tanner   00 Agents   Felix Leiter       Women     Aki   Anya Amasova   Tracy Bond   Tiffany Case   Pussy Galore   Jinx Johnson   Wai Lin   Vesper Lynd   Camille Montes   Honey Rider   Tatiana Romanova   Sévérine   Natalya Simonova   Stacey Sutton   Kissy Suzuki   Domino Vitali       Villains and henchmen     Julius No   Rosa Klebb   Ernst Stavro Blofeld   Oddjob   Auric Goldfinger   Emilio Largo   Mr. Wint and Mr. Kidd   Francisco Scaramanga   Jaws   Hugo Drax   Max Zorin   Brad Whitaker   Necros   Alec Trevelyan   Xenia Onatopp   Le Chiffre   Raoul Silva       Organisations     SPECTRE   SMERSH   The Union      Retrieved from `` https://en.wikipedia.org/w/index.php?title=Ernst_Stavro_Blofeld&amp;oldid=842970389 '' Categories :   Bond villains   Characters in British novels of the 20th century   Fictional Austrian people   Fictional characters introduced in 1961   Fictional characters with disfigurements   Fictional crime bosses   Fictional Greek people   Fictional mass murderers   Fictional patricides   Fictional Polish people   Fictional spymasters   Fictional torturers   Literary villains   Fictional terrorists   Video game bosses   Hidden categories :   Webarchive template wayback links   Articles needing additional references from October 2015   All articles needing additional references   Articles needing expert attention with no reason or talk parameter   Articles needing unspecified expert attention   Articles needing expert attention from November 2015   All articles needing expert attention   Articles with multiple maintenance issues   EngvarB from March 2016   Use dmy dates from March 2016   Articles using Infobox character with multiple unlabeled fields   Articles needing additional references from August 2013   All articles with unsourced statements   Articles with unsourced statements from November 2015           Talk                                           Contents                   About Wikipedia                                           Dansk   Deutsch   Eesti   Español   Français   Bahasa Indonesia   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Simple English   Suomi   Svenska   ไทย   Türkçe   Українська  11 more  Edit links   This page was last edited on 25 May 2018 , at 23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</si>
  <si>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ernst blofeld in from russia with love</t>
  </si>
  <si>
    <t xml:space="preserve">   Year   Film   Actor and notes   Status after the film concludes     1963   From Russia with Love   Anthony Dawson as actor ( only hands and back of head are seen ) , Eric Pohlmann as voice actor ; the end credits list a question mark instead of an actor 's name in the `` Blofeld '' field ( however , he is only referred to as `` Number One '' in the film ) .   Active / indirect involvement in the field . Never has any contact with Bond .     1965   Thunderball   Anthony Dawson as actor ( only hands and back of head are seen ) , Eric Pohlmann as voice actor , both uncredited ; end credits do not list Blofeld ( maybe due to the fact that he is only referred to as `` Number One '' in the film ) .   Active / indirect involvement in the field . Never has any contact with Bond .     1967   You Only Live Twice   Donald Pleasence . Actor Jan Werich was originally cast , and some clips show his hands petting cat , and tuft of hair can be seen just above back of chair . Pleasence , with a fake scar on his face , replaced Werich during filming when the latter was deemed unsuited for the role . Blofeld has a facial scar in this film .   Injured in his right hand by a shuriken ; escapes .     1969   On Her Majesty 's Secret Service   Telly Savalas ; appears with earlobes removed to back up claim to a noble title .   Escapes ; he was the driver in the drive - by murder of Tracy Bond .     1971   Diamonds Are Forever   Charles Gray ; appears also as doubles , all created via plastic surgery .   He attempts to escape in his mini-sub , but Bond gains control of it and crashes it into the control room .     1981   For Your Eyes Only   John Hollis as actor , Robert Rietty as voice actor ; Blofeld 's face is not seen close - up and his name is n't used due to the legal battle with Kevin McClory revealed in the film 's DVD commentary .   Dropped down a very large chimney from his own helicopter .       Never Say Never Again ( non-Eon )   Max von Sydow . Appears in a small number of scenes .   Active / indirect involvement in the field . Never has any direct contact with Bond .     2015   Spectre   Christoph Waltz ; he , identified as being of Austrian ancestry , is initially known by his birth name as `` Franz Oberhauser '' , but reveals that he rejected his father 's name , and takes his mother 's maiden name : `` Blofeld '' . He later receives a facial scar ( a reference to You Only Live Twice ) due to Q 's exploding watch .   Captured and arrested by Bond and MI6 .   </t>
  </si>
  <si>
    <t xml:space="preserve">List of WWE champions - wikipedia  List of WWE champions  This article is about a list of wrestlers who have held the current WWE Championship . For a list of wrestlers who have held the now - retired `` World Heavyweight Championship '' , see List of World Heavyweight Champions ( WWE ) . For a list of current title holders in WWE , see List of current champions in WWE . Two - time and current champion AJ Styles  The WWE Championship is a professional wrestling world heavyweight championship in WWE , currently on the SmackDown brand . It is the first world title established in WWE , having been introduced in 1963 as the World Wide Wrestling Federation ( WWWF ) World Heavyweight Championship . The promotion was renamed World Wrestling Federation ( WWF ) in 1979 and ended its affiliation with the National Wrestling Alliance ( NWA ) in 1983 , with the title also renamed to reflect the changes . In 2001 , it was unified with the World Championship ( formerly the WCW World Heavyweight Championship ) following the WWF 's buyout of World Championship Wrestling ( WCW ) and became the Undisputed WWF Championship . In 2002 , the WWF was renamed World Wrestling Entertainment ( WWE ) and split its roster into two brands , Raw and SmackDown . The title , now renamed WWE Championship , was then designated to the SmackDown brand while WWE established an alternate world title known as the World Heavyweight Championship for the Raw brand . A third alternate world title , the ECW World Heavyweight Championship , was reactivated for the ECW brand in 2006 . It was vacated and decommissioned when the ECW brand disbanded in 2010 .   When WWE Champion Randy Orton defeated World Heavyweight Champion John Cena at the TLC pay - per - view on December 15 , 2013 , the World Heavyweight Championship was unified with the WWE Championship , resulting in the retiring of the former and the renaming of the latter to the WWE World Heavyweight Championship . On June 27 , 2016 , the name was shortened back to the WWE Championship before assuming the WWE World Championship name on July 26 , when the brand extension returned . It became designated to the SmackDown brand and WWE again established an alternate world title known as the WWE Universal Championship for the Raw brand . In December 2016 , WWE again shortened the title 's name back to WWE Championship .   The championship is generally contested in professional wrestling matches , in which participants execute scripted finishes rather than contend in direct competition . Some reigns were held by champions using a ring name , while others use their real name . The first champion was Buddy Rogers , who won the championship in 1963 . The champion with the single longest reign is Bruno Sammartino with a reign of 2,803 days , while the record for longest combined reign is also held by Sammartino at 4,040 . The current champion is AJ Styles , who is in his second reign . He won the championship by defeating Jinder Mahal on SmackDown in Manchester , England on November 7 , 2017 .   Overall , there have been 50 different official champions , with John Cena having the most reigns at thirteen . Seven men in history have held the championship for a continuous reign of one year ( 365 days ) or more : Bruno Sammartino , Pedro Morales , Bob Backlund , Hulk Hogan , Randy Savage , John Cena and CM Punk .   Contents    1 Title history   1.1 Names   1.2 Reigns     2 Combined reigns   3 References   4 External links    Title History ( edit )   Names ( edit )     Name   Years     WWWF World Heavyweight Championship   April 25 , 1963 -- February 8 , 1971     WWWF Heavyweight Championship   February 8 , 1971 -- March 1 , 1979     WWF Heavyweight Championship   March 1 , 1979 -- December 26 , 1983     WWF World Heavyweight Championship   December 26 , 1983 -- June 29 , 1998     WWF Championship   June 29 , 1998 -- December 9 , 2001     Undisputed WWF Championship   December 9 , 2001 -- May 6 , 2002     Undisputed WWE Championship   May 6 , 2002 -- May 19 , 2002     WWE Undisputed Championship   May 19 , 2002 -- September 2 , 2002     WWE Championship   September 2 , 2002 -- December 15 , 2013     WWE World Heavyweight Championship   December 15 , 2013 -- June 27 , 2016     WWE Championship   June 27 , 2016 -- July 25 , 2016     WWE World Championship   July 26 , 2016 -- December 9 , 2016     WWE Championship   December 10 , 2016 -- present     Reigns ( edit )   As of August 29 , 2018 .   Key   No .   The overall championship reign     Reign   The reign number for the specific champion listed     Days   The number of the days that the champion held the title for     Days recog .   The number of days that the promotion officially recognizes the champion as having held the title for     †   The championship change is not officially recognized by the promotion       The reign lasted less than a day     +   The current reign is changing daily       No .   Champion   Championship change   Reign statistics   Notes   Ref .     Date   Event   Location   Reign   Days   Days recog .       Buddy Rogers   April 25 , 1963   N / A   Rio de Janeiro , Brazil     7001220000000000000 ♠ 22   7001220000000000000 ♠ 22   Won a fictional tournament in Rio de Janeiro after the WWWF left the National Wrestling Alliance ( NWA ) , of which Rogers had been the 7th NWA World Heavyweight Champion since defeating Pat O'Connor on June 30 , 1961 . After Rogers ' one fall loss to Lou Thesz for the title on January 24 , 1963 , Northeast promoters ( led by Vince McMahon Sr. and Toots Mondt ) did not recognize this title change and withdrew their membership from the NWA to form the World Wide Wrestling Federation ( WWWF ) . The WWWF billed Rogers as their world champion since January 25 , but did not recognize him as the first ever WWWF World Heavyweight Champion until April 11 . However , WWE.com lists Rogers ' reign and the establishment of the title beginning on April 25 .         Bruno Sammartino   May 17 , 1963   House show   New York , NY     7003280300000000000 ♠ 2,803   7003280300000000000 ♠ 2,803           Ivan Koloff   January 18 , 1971   House show   New York , NY     7001210000000000000 ♠ 21   7001210000000000000 ♠ 21           Pedro Morales   February 8 , 1971   House show   New York , NY     7003102700000000000 ♠ 1,027   7003102700000000000 ♠ 1,027   The title was renamed the WWWF Heavyweight Championship when WWWF rejoined the NWA in 1971 .       5   Stan Stasiak   December 1 , 1973   House show   Philadelphia , PA     7000900000000000000 ♠ 9   7000900000000000000 ♠ 9         6   Bruno Sammartino   December 10 , 1973   House show   New York , NY     7003123700000000000 ♠ 1,237   7003123700000000000 ♠ 1,237         7   Superstar Billy Graham   April 30 , 1977   House show   Baltimore , MD     7002296000000000000 ♠ 296   7002296000000000000 ♠ 296         8   Bob Backlund   February 20 , 1978   House show   New York , NY     7002648000000000000 ♠ 648   7003213500000000000 ♠ 2,135   The title was renamed the WWF Heavyweight Championship when the World Wide Wrestling Federation became the World Wrestling Federation in March 1979 .       †   Antonio Inoki   November 30 , 1979   House show   Tokushima , Japan     7000600000000000000 ♠ 6   --         --   Vacated   December 6 , 1979   House show   Tokyo , Japan   --   --   --   Antonio Inoki immediately vacated the title after a rematch with Bob Backlund ended in a no contest due to the interference of Tiger Jeet Singh .       †   Bob Backlund   December 17 , 1979   House show   New York City , NY     7003147000000000000 ♠ 1,470   --   Backlund defeated Bobby Duncum in a Texas Death match to fill the vacancy . WWE recognizes Backlund 's first and second reigns as being uninterrupted and considers this a continuation of the first .       9   The Iron Sheik   December 26 , 1983   House show   New York City , NY     7001280000000000000 ♠ 28   7001290000000000000 ♠ 29   The Iron Sheik won by submission when Bob Backlund 's manager Arnold Skaaland threw in the towel when Backlund was put into Sheik 's camel clutch to prevent any major injury . The title was renamed the WWF World Heavyweight Championship when the WWF ended its affiliation with the NWA .       10   Hulk Hogan   January 23 , 1984   House show   New York City , NY     7003147400000000000 ♠ 1,474   7003147400000000000 ♠ 1,474         11   André the Giant   February 5 , 1988   The Main Event I   Indianapolis , IN         André defeated Hulk Hogan when referee Earl Hebner , who was bribed by Ted DiBiase , scored the three - count , despite Hogan raising his shoulder past the two - count .       --   Vacated   February 5 , 1988   The Main Event I   Indianapolis , IN   --   --   --   Immediately after winning the title from Hulk Hogan , André handed the championship belt to Ted DiBiase ; President Jack Tunney ruled this as vacating the title .       12   Randy Savage   March 27 , 1988   WrestleMania IV   Atlantic City , NJ     7002371000000000000 ♠ 371   7002371000000000000 ♠ 371   Defeated Ted DiBiase in a tournament final to win the vacant title .       13   Hulk Hogan   April 2 , 1989   WrestleMania V   Atlantic City , NJ     7002364000000000000 ♠ 364   7002364000000000000 ♠ 364         14   The Ultimate Warrior   April 1 , 1990   WrestleMania VI   Toronto , ON     7002293000000000000 ♠ 293   7002293000000000000 ♠ 293   This was a title for title match , in which Warrior also defended the Intercontinental Championship .       15   Sgt . Slaughter   January 19 , 1991   Royal Rumble   Miami , FL     7001640000000000000 ♠ 64   7001640000000000000 ♠ 64         16   Hulk Hogan   March 24 , 1991   WrestleMania VII   Los Angeles , CA     7002248000000000000 ♠ 248   7002248000000000000 ♠ 248         17   The Undertaker   November 27 , 1991   Survivor Series   Detroit , MI     7000600000000000000 ♠ 6   7000600000000000000 ♠ 6         18   Hulk Hogan   December 3 , 1991   This Tuesday in Texas   San Antonio , TX     7000100000000000000 ♠ 1   7000100000000000000 ♠ 1         --   Vacated   December 4 , 1991   Superstars of Wrestling   New Haven , CT   --   --   --   Hulk Hogan was stripped of the title by WWF President Jack Tunney due to the controversy surrounding both of the previous title changes . Aired on tape delay on December 7 , 1991 .       19   Ric Flair   January 19 , 1992   Royal Rumble   Albany , NY     7001770000000000000 ♠ 77   7001770000000000000 ♠ 77   This was the Royal Rumble match , in which Flair last eliminated Sid Justice to win the vacant title .       20   Randy Savage   April 5 , 1992   WrestleMania VIII   Indianapolis , IN     7002149000000000000 ♠ 149   7002149000000000000 ♠ 149         21   Ric Flair   September 1 , 1992   Prime Time Wrestling   Hershey , PA     7001410000000000000 ♠ 41   7001410000000000000 ♠ 41   Aired on tape delay on September 14 , 1992 .       22   Bret Hart   October 12 , 1992   House show   Saskatoon , SK     7002174000000000000 ♠ 174   7002175000000000000 ♠ 175         23   Yokozuna   April 4 , 1993   WrestleMania IX   Las Vegas , NV               24   Hulk Hogan   April 4 , 1993   WrestleMania IX   Las Vegas , NV   5   7001700000000000000 ♠ 70   7001700000000000000 ♠ 70         25   Yokozuna   June 13 , 1993   King of the Ring   Dayton , OH     7002280000000000000 ♠ 280   7002280000000000000 ♠ 280         26   Bret Hart   March 20 , 1994   WrestleMania X   New York City , NY     7002248000000000000 ♠ 248   7002248000000000000 ♠ 248   Roddy Piper was the guest referee .       27   Bob Backlund   November 23 , 1994   Survivor Series   San Antonio , TX   2 ( 3 )   7000300000000000000 ♠ 3   7000300000000000000 ♠ 3   This was a `` Throw in the Towel '' submission match .       28   Diesel   November 26 , 1994   House show   New York City , NY     7002358000000000000 ♠ 358   7002358000000000000 ♠ 358         29   Bret Hart   November 19 , 1995   Survivor Series   Landover , MD     7002133000000000000 ♠ 133   7002133000000000000 ♠ 133   This was a no disqualification match .       30   Shawn Michaels   March 31 , 1996   WrestleMania XII   Anaheim , CA     7002231000000000000 ♠ 231   7002231000000000000 ♠ 231   This was a 60 - minute Iron Man match , in which Michaels won 1 -- 0 in overtime .       31   Sycho Sid   November 17 , 1996   Survivor Series   New York City , NY     7001630000000000000 ♠ 63   7001630000000000000 ♠ 63         32   Shawn Michaels   January 19 , 1997   Royal Rumble   San Antonio , TX     7001250000000000000 ♠ 25   7001250000000000000 ♠ 25         --   Vacated   February 13 , 1997   Raw   Lowell , MA   --   --   --   Shawn Michaels forfeited the title due to a knee injury .       33   Bret Hart   February 16 , 1997   In Your House 13 : Final Four   Chattanooga , TN     7000100000000000000 ♠ 1   7000100000000000000 ♠ 1   This was a four - way elimination match for the vacant title also involving Stone Cold Steve Austin , The Undertaker , and Vader .       34   Sycho Sid   February 17 , 1997   Raw   Nashville , TN     7001340000000000000 ♠ 34   7001340000000000000 ♠ 34         35   The Undertaker   March 23 , 1997   WrestleMania 13   Rosemont , IL     7002133000000000000 ♠ 133   7002133000000000000 ♠ 133   This was a no disqualification match .       36   Bret Hart   August 3 , 1997   SummerSlam   East Rutherford , NJ   5   7001980000000000000 ♠ 98   7001980000000000000 ♠ 98   Shawn Michaels was guest referee .       37   Shawn Michaels   November 9 , 1997   Survivor Series   Montreal , QC     7002140000000000000 ♠ 140   7002140000000000000 ♠ 140   This was the Montreal Screwjob .       38   Stone Cold Steve Austin   March 29 , 1998   WrestleMania XIV   Boston , MA     7001910000000000000 ♠ 91   7001910000000000000 ♠ 91   Mike Tyson was the special outside enforcer .       39   Kane   June 28 , 1998   King of the Ring   Pittsburgh , PA     7000100000000000000 ♠ 1   7000100000000000000 ♠ 1   This was a First Blood match .       40   Stone Cold Steve Austin   June 29 , 1998   Raw is War   Cleveland , OH     7001900000000000000 ♠ 90   7001900000000000000 ♠ 90   The title was renamed the WWF Championship .       --   Vacated   September 27 , 1998   Breakdown : In Your House   Hamilton , ON   --   --   --   Vacated after Kane and The Undertaker simultaneously pinned Stone Cold Steve Austin in a triple threat match . A subsequent match for the vacant title at Judgment Day : In Your House between Kane and The Undertaker ended in a no contest .       41   The Rock   November 15 , 1998   Survivor Series   St. Louis , MO     7001440000000000000 ♠ 44   7001500000000000000 ♠ 50   Defeated Mankind in the finals of a tournament for the vacant title in a recreation of the Montreal Screwjob . WWE recognizes The Rock 's reign as ending on January 4 , 1999 , when the following episode aired on tape delay .       42   Mankind   December 29 , 1998   Raw is War   Worcester , MA     7001260000000000000 ♠ 26   7001200000000000000 ♠ 20   This was a no disqualification match . WWE recognizes Mankind 's reign as beginning on January 4 , 1999 , when the episode aired on tape delay .       43   The Rock   January 24 , 1999   Royal Rumble   Anaheim , CA     7000200000000000000 ♠ 2   7000700000000000000 ♠ 7   This was an `` I Quit '' match , which The Rock won by knocking Mankind unconscious while someone backstage played an audio recording of Mankind saying `` I quit '' while The Rock placed the microphone against his face . WWE recognizes The Rock 's reign as ending on January 31 , 1999 , when the following match aired on tape delay .       44   Mankind   January 26 , 1999   Halftime Heat   Tucson , AZ     7001200000000000000 ♠ 20   7001150000000000000 ♠ 15   This was an Empty Arena match that aired on tape delay as a special during halftime of Super Bowl XXXIII on January 31 , 1999 . WWE recognizes Mankind 's reign as beginning on January 31 .       45   The Rock   February 15 , 1999   Raw is War   Birmingham , AL     7001410000000000000 ♠ 41   7001410000000000000 ♠ 41   This was a ladder match .       46   Stone Cold Steve Austin   March 28 , 1999   WrestleMania XV   Philadelphia , PA     7001560000000000000 ♠ 56   7001560000000000000 ♠ 56   This was a no disqualification match with Mankind as guest referee .       47   The Undertaker   May 23 , 1999   Over the Edge   Kansas City , MO     7001360000000000000 ♠ 36   7001360000000000000 ♠ 36   Both Vince McMahon and Shane McMahon were guest referees .       48   Stone Cold Steve Austin   June 28 , 1999   Raw is War   Charlotte , NC     7001550000000000000 ♠ 55   7001550000000000000 ♠ 55         49   Mankind   August 22 , 1999   SummerSlam   Minneapolis , MN     7000100000000000000 ♠ 1   7000100000000000000 ♠ 1   This was a triple threat match also involving Triple H. Jesse Ventura was guest referee .       50   Triple H   August 23 , 1999   Raw is War   Ames , IA     7001220000000000000 ♠ 22   7001240000000000000 ♠ 24   Shane McMahon was guest referee . WWE recognizes Triple H 's reign as ending on September 16 , 1999 , when the following episode aired on tape delay .       51   Vince McMahon   September 14 , 1999   SmackDown !   Las Vegas , NV     7000600000000000000 ♠ 6   7000400000000000000 ♠ 4   Shane McMahon was guest referee . WWE recognizes Vince 's reign as beginning on September 16 , 1999 , when the episode aired on tape delay .       --   Vacated   September 20 , 1999   Raw is War   Houston , TX   --   --   --   Vince McMahon vacated the title .       52   Triple H   September 26 , 1999   Unforgiven   Charlotte , NC     7001490000000000000 ♠ 49   7001490000000000000 ♠ 49   This was a six - pack challenge match also involving The Rock , Mankind , Big Show , The British Bulldog , and Kane . Stone Cold Steve Austin was the special outside enforcer .       53   Big Show   November 14 , 1999   Survivor Series   Detroit , MI     7001500000000000000 ♠ 50   7001500000000000000 ♠ 50   This was a triple threat match , also involving The Rock .       54   Triple H   January 3 , 2000   Raw is War   Miami , FL     7002118000000000000 ♠ 118   7002118000000000000 ♠ 118   On April 17 , 2000 , Chris Jericho defeated Triple H for the WWF Championship after Earl Hebner 's fast - count . Later that night , Triple H forced Hebner to reverse the decision , nullifying Jericho 's reign and continuing Triple H 's .       55   The Rock   April 30 , 2000   Backlash   Washington , D.C.     7001210000000000000 ♠ 21   7001210000000000000 ♠ 21   Shane McMahon was guest referee .       56   Triple H   May 21 , 2000   Judgment Day   Louisville , KY     7001350000000000000 ♠ 35   7001350000000000000 ♠ 35   This was a 60 - minute Iron Man match , which Triple H won 6 -- 5 with Shawn Michaels as guest referee .       57   The Rock   June 25 , 2000   King of the Ring   Boston , MA   5   7002119000000000000 ♠ 119   7002119000000000000 ♠ 119   This was a six - man tag team match with The Rock , The Undertaker , and Kane vs. Triple H , Vince McMahon , and Shane McMahon . The Rock pinned Vince to win Triple H 's title .       58   Kurt Angle   October 22 , 2000   No Mercy   Albany , NY     7002126000000000000 ♠ 126   7002126000000000000 ♠ 126   This was a no disqualification match .       59   The Rock   February 25 , 2001   No Way Out   Las Vegas , NV   6   7001350000000000000 ♠ 35   7001350000000000000 ♠ 35   After the WWF purchased World Championship Wrestling ( WCW ) in March 2001 , the WCW Championship became a second concurrently active world championship in the WWF .       60   Stone Cold Steve Austin   April 1 , 2001   WrestleMania X-Seven   Houston , TX   5   7002175000000000000 ♠ 175   7002176000000000000 ♠ 176   This was a no disqualification match .       61   Kurt Angle   September 23 , 2001   Unforgiven   Pittsburgh , PA     7001150000000000000 ♠ 15   7001150000000000000 ♠ 15         62   Stone Cold Steve Austin   October 8 , 2001   Raw   Indianapolis , IN   6   7001620000000000000 ♠ 62   7001620000000000000 ♠ 62         63   Chris Jericho   December 9 , 2001   Vengeance   San Diego , CA     7001980000000000000 ♠ 98   7001980000000000000 ♠ 98   Earlier the same night , Jericho defeated ( WCW ) World Champion The Rock for that title . By defeating Stone Cold Steve Austin for the WWF Championship , Jericho unified both titles as the Undisputed WWF Championship .       64   Triple H   March 17 , 2002   WrestleMania X8   Toronto , ON   5   7001350000000000000 ♠ 35   7001350000000000000 ♠ 35   In late March 2002 , due to the WWF 's roster having doubled in size , the brand extension began , splitting the roster between the Raw and SmackDown brands , represented by the TV shows of the same name . Championships were assigned to be exclusive to a specific brand . The Undisputed Championship and the Women 's Championship were non-exclusive at this time , and were defended on both brands .       65   Hollywood Hulk Hogan   April 21 , 2002   Backlash   Kansas City , MO   6   7001280000000000000 ♠ 28   7001280000000000000 ♠ 28   On May 6 , 2002 , after the World Wrestling Federation was renamed `` World Wrestling Entertainment '' due to a lawsuit by the World Wide Fund for Nature , the title was also renamed : Undisputed WWE Championship and then WWE Undisputed Championship .       66   The Undertaker   May 19 , 2002   Judgment Day   Nashville , TN     7001630000000000000 ♠ 63   7001630000000000000 ♠ 63   On May 20 , 2002 , Rob Van Dam pinned The Undertaker for the title . Raw owner Ric Flair immediately restarted the match due to The Undertaker 's foot being on the ropes and The Undertaker subsequently pinned Van Dam , nullifying Van Dam 's reign and continuing Undertaker 's .       67   The Rock   July 21 , 2002   Vengeance   Detroit , MI   7   7001350000000000000 ♠ 35   7001350000000000000 ♠ 35   This was a triple threat match , also involving Kurt Angle .       68   Brock Lesnar   August 25 , 2002   SummerSlam   Uniondale , NY     7001840000000000000 ♠ 84   7001840000000000000 ♠ 84   The following night , Lesnar signed a deal to appear exclusively on the SmackDown brand , making the championship exclusive to the brand . The World Heavyweight Championship was then created for the Raw brand . On September 2 , 2002 , the Undisputed Championship became the WWE Championship as it was no longer `` undisputed '' .       69   Big Show   November 17 , 2002   Survivor Series   New York , NY     7001280000000000000 ♠ 28   7001280000000000000 ♠ 28         70   Kurt Angle   December 15 , 2002   Armageddon   Sunrise , FL     7002105000000000000 ♠ 105   7002105000000000000 ♠ 105         71   Brock Lesnar   March 30 , 2003   WrestleMania XIX   Seattle , WA     7002119000000000000 ♠ 119   7002119000000000000 ♠ 119         72   Kurt Angle   July 27 , 2003   Vengeance   Denver , CO     7001510000000000000 ♠ 51   7001530000000000000 ♠ 53   This was a triple threat match also involving Big Show . WWE recognizes Angle 's reign as ending on September 18 , 2003 , when the following episode aired on tape delay .       73   Brock Lesnar   September 16 , 2003   SmackDown !   Raleigh , NC     7002152000000000000 ♠ 152   7002151000000000000 ♠ 151   This was a 60 - minute Iron Man match . WWE recognizes Lesnar 's reign as beginning on September 18 , 2003 , when the episode aired on tape delay .       74   Eddie Guerrero   February 15 , 2004   No Way Out   Daly City , CA     7002133000000000000 ♠ 133   7002133000000000000 ♠ 133         75   John Bradshaw Layfield   June 27 , 2004   The Great American Bash   Norfolk , VA     7002280000000000000 ♠ 280   7002280000000000000 ♠ 280   This was a Texas Bullrope match .       76   John Cena   April 3 , 2005   WrestleMania 21   Los Angeles , CA     7002280000000000000 ♠ 280   7002280000000000000 ♠ 280   The title became exclusive to the Raw brand following the 2005 WWE draft lottery .       77   Edge   January 8 , 2006   New Year 's Revolution   Albany , NY     7001210000000000000 ♠ 21   7001210000000000000 ♠ 21   Edge cashed in his Money in the Bank contract from WrestleMania 21 immediately after John Cena won an Elimination Chamber match .       78   John Cena   January 29 , 2006   Royal Rumble   Miami , FL     7002133000000000000 ♠ 133   7002133000000000000 ♠ 133         79   Rob Van Dam   June 11 , 2006   ECW One Night Stand   New York City , NY     7001220000000000000 ♠ 22   7001220000000000000 ♠ 22   Van Dam cashed in his Money in the Bank contract from WrestleMania 22 . This was an Extreme Rules match . The title became property of the new ECW brand due to Van Dam 's status as an ECW wrestler . The ECW World Heavyweight Championship was subsequently reactivated for the brand and awarded to Van Dam .       80   Edge   July 3 , 2006   Raw   Philadelphia , PA     7001760000000000000 ♠ 76   7001760000000000000 ♠ 76   This was a triple threat match also involving John Cena . The title became exclusive to the Raw brand due to Edge 's status as a Raw superstar .       81   John Cena   September 17 , 2006   Unforgiven   Toronto , ON     7002380000000000000 ♠ 380   7002381000000000000 ♠ 381   This was a Tables , Ladders , and Chairs match .       --   Vacated   October 2 , 2007   ECW   Dayton , OH   --   --   --   Vacated when John Cena suffered a torn right pectoral tendon .       82   Randy Orton   October 7 , 2007   No Mercy   Rosemont , IL         Orton was originally scheduled to have a Last Man Standing match against John Cena for the title , but due to Cena vacating the title Vince McMahon awarded it to Orton .       83   Triple H   October 7 , 2007   No Mercy   Rosemont , IL   6       Defeated Randy Orton in the opening match after Vince McMahon accepted Triple H 's open challenge on Orton 's behalf .       84   Randy Orton   October 7 , 2007   No Mercy   Rosemont , IL     7002203000000000000 ♠ 203   7002203000000000000 ♠ 203   Due to promising the match type , Vince McMahon made Triple H defend the title against Orton in a Last Man Standing match .       85   Triple H   April 27 , 2008   Backlash   Baltimore , MD   7   7002210000000000000 ♠ 210   7002210000000000000 ♠ 210   This was a fatal four - way elimination match also involving John Cena and John Bradshaw Layfield . The title became exclusive to the SmackDown brand following the 2008 WWE draft .       86   Edge   November 23 , 2008   Survivor Series   Boston , MA     7001210000000000000 ♠ 21   7001210000000000000 ♠ 21   This was a triple threat match also involving Vladimir Kozlov . Jeff Hardy had originally been scheduled to take part in the match , but did not participate after being ( in storyline ) attacked prior to the event . Triple H and Kozlov started the match before Edge was revealed as Hardy 's surprise replacement .       87   Jeff Hardy   December 14 , 2008   Armageddon   Buffalo , NY     7001420000000000000 ♠ 42   7001420000000000000 ♠ 42   This was a triple threat match , also involving Triple H .       88   Edge   January 25 , 2009   Royal Rumble   Detroit , MI     7001210000000000000 ♠ 21   7001210000000000000 ♠ 21   This was a no - disqualification match .       89   Triple H   February 15 , 2009   No Way Out   Seattle , WA   8   7001700000000000000 ♠ 70   7001690000000000000 ♠ 69   This was an Elimination Chamber match also involving Jeff Hardy , Vladimir Kozlov , The Undertaker , and Big Show . The title became exclusive to the Raw brand following the 2009 WWE draft .       90   Randy Orton   April 26 , 2009   Backlash   Providence , RI     7001420000000000000 ♠ 42   7001420000000000000 ♠ 42   This was a six - man tag team match with Orton , Ted DiBiase , and Cody Rhodes against Triple H , Shane McMahon , and Batista . Orton won the championship due to his team winning .       91   Batista   June 7 , 2009   Extreme Rules   New Orleans , LA     7000200000000000000 ♠ 2   7000200000000000000 ♠ 2   This was a steel cage match .       --   Vacated   June 9 , 2009   --   --   --   --   --   Vacated when Batista suffered a torn left biceps .       92   Randy Orton   June 15 , 2009   Raw   Charlotte , NC     7001900000000000000 ♠ 90   7001900000000000000 ♠ 90   This was a fatal four - way match for the vacant title also involving Triple H , John Cena , and Big Show .       93   John Cena   September 13 , 2009   Breaking Point   Montreal , QC     7001210000000000000 ♠ 21   7001210000000000000 ♠ 21   This was an `` I Quit '' match . If anyone interfered on Randy Orton 's behalf , he would have forfeited the title .       94   Randy Orton   October 4 , 2009   Hell in a Cell   Newark , NJ   5   7001210000000000000 ♠ 21   7001210000000000000 ♠ 21   This was a Hell in a Cell match .       95   John Cena   October 25 , 2009   Bragging Rights   Pittsburgh , PA   5   7001490000000000000 ♠ 49   7001490000000000000 ♠ 49   This was a 60 - minute Anything Goes Iron Man match in which Cena won 6 - 5 . If Cena lost , he would have had to leave the Raw brand .       96   Sheamus   December 13 , 2009   TLC : Tables , Ladders &amp; Chairs   San Antonio , TX     7001700000000000000 ♠ 70   7001700000000000000 ♠ 70   This was a tables match . On February 16 , 2010 , the ECW brand was disbanded and the ECW Championship was deactivated .       97   John Cena   February 21 , 2010   Elimination Chamber   St. Louis , MO   6       This was an Elimination Chamber match also involving Triple H , Randy Orton , Ted DiBiase , and Kofi Kingston .       98   Batista   February 21 , 2010   Elimination Chamber   St. Louis , MO     7001350000000000000 ♠ 35   7001360000000000000 ♠ 36   Mr. McMahon granted SmackDown wrestler Batista a championship match with John Cena after Cena won the Elimination Chamber match . Batista then transferred to the Raw roster after winning the title .       99   John Cena   March 28 , 2010   WrestleMania XXVI   Glendale , AZ   7   7001840000000000000 ♠ 84   7001840000000000000 ♠ 84         100   Sheamus   June 20 , 2010   Fatal 4 - Way   Uniondale , NY     7001910000000000000 ♠ 91   7001910000000000000 ♠ 91   This was a fatal four - way match also involving Edge and Randy Orton .       101   Randy Orton   September 19 , 2010   Night of Champions   Rosemont , IL   6   7001640000000000000 ♠ 64   7001640000000000000 ♠ 64   This was a Six - Pack Elimination Challenge match also involving Edge , John Cena , Chris Jericho , and Wade Barrett .       102   The Miz   November 22 , 2010   Raw   Orlando , FL     7002160000000000000 ♠ 160   7002159000000000000 ♠ 159   The Miz cashed in his Money in the Bank contract after Randy Orton had successfully defended the WWE Championship against Wade Barrett .       103   John Cena   May 1 , 2011   Extreme Rules   Tampa , FL   8   7001770000000000000 ♠ 77   7001770000000000000 ♠ 77   This was a triple threat steel cage match also involving John Morrison .       104   CM Punk   July 17 , 2011   Money in the Bank   Rosemont , IL     7001280000000000000 ♠ 28   7001280000000000000 ♠ 28   Punk ( kayfabe ) left WWE the day after with the championship . He returned on the July 25 , 2011 episode of Raw ; his reign was deemed to continue through this period .       105   Rey Mysterio ( and CM Punk )   July 25 , 2011   Raw   Hampton , VA   ( 1 )       Defeated The Miz in a tournament final to crown a new champion . CM Punk was also recognized as WWE Champion .       106   John Cena ( and CM Punk )   July 25 , 2011   Raw   Hampton , VA   9 ( 1 )   7001200000000000000 ♠ 20   7001200000000000000 ♠ 20   New Chief Operating Officer Triple H decreed that Rey Mysterio had to face former champion Cena . CM Punk was also recognized as WWE Champion .       --   CM Punk   August 14 , 2011   SummerSlam   Los Angeles , CA     --   --   Punk defeated John Cena in a match to determine the undisputed champion . This is considered a continuation of Punk 's first reign . Triple H was guest referee .       107   Alberto Del Rio   August 14 , 2011   SummerSlam   Los Angeles , CA     7001350000000000000 ♠ 35   7001350000000000000 ♠ 35   Del Rio cashed in his Money in the Bank contract after CM Punk was attacked by Kevin Nash . On August 29 , 2011 , the first brand extension ended , allowing the WWE Champion to appear on both Raw and SmackDown .       108   John Cena   September 18 , 2011   Night of Champions   Buffalo , NY   10   7001140000000000000 ♠ 14   7001140000000000000 ♠ 14         109   Alberto Del Rio   October 2 , 2011   Hell in a Cell   New Orleans , LA     7001490000000000000 ♠ 49   7001490000000000000 ♠ 49   This was a triple threat Hell in a Cell match also involving CM Punk .       110   CM Punk   November 20 , 2011   Survivor Series   New York City , NY     7002434000000000000 ♠ 434   7002435000000000000 ♠ 435         111   The Rock   January 27 , 2013   Royal Rumble   Phoenix , AZ   8   7001700000000000000 ♠ 70   7001700000000000000 ♠ 70   CM Punk had initially won , but the match was then restarted by Mr. McMahon </t>
  </si>
  <si>
    <t xml:space="preserve">who has the most champions in the wwe</t>
  </si>
  <si>
    <t xml:space="preserve"> Overall , there have been 50 different official champions , with John Cena having the most reigns at thirteen . Seven men in history have held the championship for a continuous reign of one year ( 365 days ) or more : Bruno Sammartino , Pedro Morales , Bob Backlund , Hulk Hogan , Randy Savage , John Cena and CM Punk . </t>
  </si>
  <si>
    <t xml:space="preserve">Musical theatre - wikipedia  Musical theatre  Jump to : navigation , search The Black Crook ( 1866 ) , which some historians consider the first musical  Musical theatre is a form of theatrical performance that combines songs , spoken dialogue , acting and dance . The story and emotional content of a musical -- humor , pathos , love , anger -- are communicated through the words , music , movement and technical aspects of the entertainment as an integrated whole . Although musical theatre overlaps with other theatrical forms like opera and dance , it may be distinguished by the equal importance given to the music as compared with the dialogue , movement and other elements . Since the early 20th century , musical theatre stage works have generally been called , simply , musicals .   Although music has been a part of dramatic presentations since ancient times , modern Western musical theatre emerged during the 19th century , with many structural elements established by the works of Gilbert and Sullivan in Britain and those of Harrigan and Hart in America . These were followed by the numerous Edwardian musical comedies and the musical theatre works of American creators like George M. Cohan . The Princess Theatre musicals and other smart shows like Of Thee I Sing ( 1931 ) were artistic steps forward beyond revues and other frothy entertainments of the early 20th century and led to such groundbreaking works as Show Boat ( 1927 ) and Oklahoma ! ( 1943 ) . Some of the most famous musicals through the decades that followed include West Side Story ( 1957 ) , The Fantasticks ( 1960 ) , Hair ( 1967 ) , A Chorus Line ( 1975 ) , Les Misérables ( 1985 ) , The Phantom of the Opera ( 1986 ) , Rent ( 1996 ) , The Producers ( 2001 ) , Wicked ( 2003 ) and Hamilton ( 2015 ) .   Musicals are performed around the world . They may be presented in large venues , such as big - budget Broadway or West End productions in New York City or London . Alternatively , musicals may be staged in smaller fringe theatre , Off - Broadway or regional theatre productions , or on tour . Musicals are often presented by amateur and school groups in churches , schools and other performance spaces . In addition to the United States and Britain , there are vibrant musical theatre scenes in continental Europe , Asia , Australasia , Canada and Latin America .   Contents  ( hide )   1 Definitions and scope   1.1 Book musicals   1.2 Comparisons with opera   1.3 Other forms     2 History   2.1 Early antecedents of musical theatre   2.2 1850s to 1880s   2.3 1890s to the new century   2.4 Early 20th century   2.5 Show Boat and the Great Depression   2.6 The Golden Age ( 1940s to 1960s )   2.6. 1 1940s   2.6. 2 1950s   2.6. 3 1960s     2.7 Social themes   2.8 1970s to present   2.8. 1 1970s   2.8. 2 1980s   2.8. 3 1990s   2.8. 4 2000s -- 2010s   2.8. 4.1 Trends   2.8. 4.2 Jukebox musicals   2.8. 4.3 Film and TV musicals         3 International musicals   4 Amateur and school productions   5 Relevance   6 See also   7 Notes and references   7.1 Cited books     8 Further reading   9 External links    Definitions and scope ( edit )   Book musicals ( edit )  A Gaiety Girl ( 1893 ) was one of the first hit musicals  Since the 20th century , the `` book musical '' has been defined as a musical play where songs and dances are fully integrated into a well - made story with serious dramatic goals that is able to evoke genuine emotions other than laughter . The three main components of a book musical are its music , lyrics and book . The book or script of a musical refers to the story , character development and dramatic structure , including the spoken dialogue and stage directions , but it can also refer to the dialogue and lyrics together , which are sometimes referred to as the libretto ( Italian for `` little book '' ) . The music and lyrics together form the score of a musical and includes songs , incidental music and musical scenes , which are `` theatrical sequence ( s ) set to music , often combining song with spoken dialogue . '' The interpretation of a musical is the responsibility of its creative team , which includes a director , a musical director , usually a choreographer and sometimes an orchestrator . A musical 's production is also creatively characterized by technical aspects , such as set design , costumes , stage properties ( props ) , lighting and sound . The creative team , designs and interpretations generally change from the original production to succeeding productions . Some production elements , however , may be retained from the original production ; for example , Bob Fosse 's choreography in Chicago .   There is no fixed length for a musical . While it can range from a short one - act entertainment to several acts and several hours in length ( or even a multi-evening presentation ) , most musicals range from one and a half to three hours . Musicals are usually presented in two acts , with one short intermission , and the first act is frequently longer than the second . The first act generally introduces nearly all of the characters and most of the music and often ends with the introduction of a dramatic conflict or plot complication while the second act may introduce a few new songs but usually contains reprises of important musical themes and resolves the conflict or complication . A book musical is usually built around four to six main theme tunes that are reprised later in the show , although it sometimes consists of a series of songs not directly musically related . Spoken dialogue is generally interspersed between musical numbers , although `` sung dialogue '' or recitative may be used , especially in so - called `` sung - through '' musicals such as Jesus Christ Superstar , Les Misérables , Evita and Hamilton . Several shorter musicals on Broadway and in the West End have been presented in one act in recent decades .   Moments of greatest dramatic intensity in a book musical are often performed in song . Proverbially , `` when the emotion becomes too strong for speech , you sing ; when it becomes too strong for song , you dance . '' In a book musical , a song is ideally crafted to suit the character ( or characters ) and their situation within the story ; although there have been times in the history of the musical ( e.g. from the 1890s to the 1920s ) when this integration between music and story has been tenuous . As New York Times critic Ben Brantley described the ideal of song in theatre when reviewing the 2008 revival of Gypsy : `` There is no separation at all between song and character , which is what happens in those uncommon moments when musicals reach upward to achieve their ideal reasons to be . '' Typically , many fewer words are sung in a five - minute song than are spoken in a five - minute block of dialogue . Therefore , there is less time to develop drama in a musical than in a straight play of equivalent length , since a musical usually devotes more time to music than to dialogue . Within the compressed nature of a musical , the writers must develop the characters and the plot .   The material presented in a musical may be original , or it may be adapted from novels ( Wicked and Man of La Mancha ) , plays ( Hello , Dolly ! ) , classic legends ( Camelot ) , historical events ( Evita ) or films ( The Producers and Billy Elliot ) . On the other hand , many successful musical theatre works have been adapted for musical films , such as West Side Story , My Fair Lady , The Sound of Music , Oliver ! and Chicago .   Comparisons with opera ( edit )  George Gershwin  Musical theatre is closely related to the theatrical form of opera , but the two are usually distinguished by weighing a number of factors . First , musicals generally have a greater focus on spoken dialogue . This is not a hard and fast rule ; some musicals are entirely accompanied and sung through , while some operas , such as Die Zauberflöte , and most operettas , have some unaccompanied dialogue . Second , musicals also usually include more dancing as an essential part of the storytelling , particularly by the principal performers as well as the chorus . Third , musicals often use various various genres of popular music or at least popular singing and musical styles .   Finally , musicals usually avoid certain operatic conventions . In particular , a musical is almost always performed in the language of its audience . Musicals produced on Broadway or in the West End , for instance , are invariably sung in English , even if they were originally written in another language . While an opera singer is primarily a singer and only secondarily an actor ( and rarely needs to dance ) , a musical theatre performer is often an actor first but must also be a singer and dancer . Someone who is equally accomplished at all three is referred to as a `` triple threat '' . Composers of music for musicals often consider the vocal demands of roles with musical theatre performers in mind . Today , large theatres that stage musicals generally use microphones and amplification of the actors ' singing voices in a way that would generally be disapproved of in an operatic context .   Some works ( e.g. by George Gershwin , Leonard Bernstein and Stephen Sondheim ) have been made into both `` musical theatre '' and `` operatic '' productions . Similarly , some older operettas or light operas ( such as The Pirates of Penzance by Gilbert and Sullivan ) have been produced in modern adaptations that treat them as musicals . For some works , production styles are almost as important as the work 's musical or dramatic content in defining into which art form the piece falls . Sondheim said , `` I really think that when something plays Broadway it 's a musical , and when it plays in an opera house it 's opera . That 's it . It 's the terrain , the countryside , the expectations of the audience that make it one thing or another . '' Although this article primarily concerns musical theatre works that are `` non-operatic '' , there remains an overlap in form between lighter operatic forms and more musically complex or ambitious musicals . In practice , it is often difficult to distinguish among the various kinds of musical theatre , including `` musical play '' , `` musical comedy '' , `` operetta '' and `` light opera '' .   Like opera , the singing in musical theatre is generally accompanied by an instrumental ensemble called a pit orchestra , located in a lowered area in front of the stage . While opera typically uses a conventional symphony orchestra , musicals are generally orchestrated for ensembles ranging from 27 players down to only a few players . Rock musicals usually employ a small group of mostly rock instruments , and some musicals may call for only a piano or two instruments . The music in musicals uses a range of `` styles and influences including operetta , classical techniques , folk music , jazz ( and ) local or historical styles ( that ) are appropriate to the setting . '' Musicals may begin with an overture played by the orchestra that `` weav ( es ) together excerpts of the score 's famous melodies . ''   Other forms ( edit )  Chinese opera performers  There are various Eastern traditions of theatre that include music , such as Chinese opera , Taiwanese opera , Noh and Musical theatre in India , including Sanskrit drama , classical Indian dance and Yakshagana . India has , since the 20th century , produced numerous musical films , referred to as `` Bollywood '' musicals , and in Japan a series of musicals based on popular Anime and Manga comics has developed in recent decades . Shorter or simplified `` junior '' versions of many musicals are available for schools and youth groups , and very short works created or adapted for performance by children are sometimes called minimusicals .   History ( edit )   Early antecedents of musical theatre ( edit )  Main article : Development of musical theatre  The antecedents of musical theatre in Europe can be traced back to the theatre of ancient Greece , where music and dance were included in stage comedies and tragedies during the 5th century BCE . The music from the ancient forms is lost , however , and they had little influence on later development of musical theatre . In the 12th and 13th centuries , religious dramas taught the liturgy . Groups of actors would use outdoor Pageant wagons ( stages on wheels ) to tell each part of the story . Poetic forms sometimes alternated with the prose dialogues , and liturgical chants gave way to new melodies .  A view of Rhodes by John Webb , to be painted on a backshutter for the first performance of The Siege of Rhodes ( 1856 )  The European Renaissance saw older forms evolve into two antecedents of musical theatre : commedia dell'arte , where raucous clowns improvised familiar stories , and later , opera buffa . In England , Elizabethan and Jacobean plays frequently included music , and short musical plays began to be included in an evenings ' dramatic entertainments . Court masques developed during the Tudor period that involved music , dancing , singing and acting , often with expensive costumes and a complex stage design . These developed into sung plays that are recognizable as English operas , the first usually being thought of as The Siege of Rhodes ( 1656 ) . In France , meanwhile , Molière turned several of his farcical comedies into musical entertainments with songs ( music provided by Jean - Baptiste Lully ) and dance in the late 17th century . These influenced a brief period of English opera by composers such as John Blow and Henry Purcell .   From the 18th century , the most popular forms of musical theatre in Britain were ballad operas , like John Gay 's The Beggar 's Opera , that included lyrics written to the tunes of popular songs of the day ( often spoofing opera ) , and later pantomime , which developed from commedia dell'arte , and comic opera with mostly romantic plot lines , like Michael Balfe 's The Bohemian Girl ( 1845 ) . Meanwhile , on the continent , singspiel , comédie en vaudeville , opéra comique , zarzuela and other forms of light musical entertainment were emerging . The Beggar 's Opera was the first recorded long - running play of any kind , running for 62 successive performances in 1728 . It would take almost a century afterwards before any play broke 100 performances , but the record soon reached 150 in the late 1820s . Other musical theatre forms developed in England by the 19th century , such as music hall , melodrama and burletta , which were popularized partly because most London theatres were licensed only as music halls and not allowed to present plays without music .   Colonial America did not have a significant theatre presence until 1752 , when London entrepreneur William Hallam sent a company of actors to the colonies managed by his brother Lewis . In New York in the summer of 1753 , they performed ballad - operas , such as The Beggar 's Opera , and ballad - farces . By the 1840s , P.T. Barnum was operating an entertainment complex in lower Manhattan . Other early musical theatre in America consisted of British forms , such as burletta and pantomime , but what a piece was called did not necessarily define what it was . The 1852 Broadway extravaganza The Magic Deer advertised itself as `` A Serio Comico Tragico Operatical Historical Extravaganzical Burletical Tale of Enchantment . '' Theatre in New York moved from downtown gradually to midtown from around 1850 , and did not arrive in the Times Square area until the 1920s and 1930s . Broadway 's The Elves ( 1857 ) broke the 50 performance barrier . New York runs continued to lag far behind those in London , but Laura Keene 's `` musical burletta '' Seven Sisters ( 1860 ) shattered previous New York records with a run of 253 performances .   1850s to 1880s ( edit )  Poster , c. 1879  Around 1850 , the French composer Hervé was experimenting with a form of comic musical theatre he called opérette . The best known composers of operetta were Jacques Offenbach from the 1850s to the 1870s and Johann Strauss II in the 1870s and 1880s . Offenbach 's fertile melodies , combined with his librettists ' witty satire , formed a model for the musical theatre that followed . Adaptations of the French operettas ( played in mostly bad , risqué translations ) , musical burlesques , music hall , pantomime and burletta dominated the London musical stage into the 1870s .   In America , mid-18th century musical theatre entertainments included crude variety revue , which eventually developed into vaudeville , minstrel shows , which soon crossed the Atlantic to Britain , and Victorian burlesque , first popularized in the US by British troupes . The first original theatre piece in English that conforms to many of the modern definitions of a musical , including dance and original music that helped to tell the story , is generally considered The Black Crook , which premiered in New York on September 12 , 1866 . The production was a staggering five - and - a-half hours long , but despite its length , it ran for a record - breaking 474 performances . The same year , The Black Domino / Between You , Me and the Post was the first show to call itself a `` musical comedy . '' Comedians Edward Harrigan and Tony Hart produced and starred in musicals on Broadway between 1878 ( The Mulligan Guard Picnic ) and 1885 . These musical comedies featured characters and situations taken from the everyday life of New York 's lower classes and represented a significant step forward towards a more legitimate theatrical form . They starred high quality singers ( Lillian Russell , Vivienne Segal and Fay Templeton ) instead of the ladies of questionable repute who had starred in earlier musical forms .   As transportation improved , poverty in London and New York diminished , and street lighting made for safer travel at night , the number of patrons for the growing number of theatres increased enormously . Plays ran longer , leading to better profits and improved production values , and men began to bring their families to the theatre . The first musical theatre piece to exceed 500 consecutive performances was the French operetta The Chimes of Normandy in 1878 . English comic opera adopted many of the successful ideas of European operetta , none more successfully than the series of more than a dozen long - running Gilbert and Sullivan comic operas , including H.M.S. Pinafore ( 1878 ) and The Mikado ( 1885 ) . These were sensations on both sides of the Atlantic and in Australia and helped to raise the standard for what was considered a successful show . These shows were designed for family audiences , a marked contrast from the risqué burlesques , bawdy music hall shows and French operettas that sometimes drew a crowd seeking less wholesome entertainment . Only a few 19th - century musical pieces exceeded the run of The Mikado , such as Dorothy , which opened in 1886 and set a new record with a run of 931 performances . Gilbert and Sullivan 's influence on later musical theatre was profound , creating examples of how to `` integrate '' musicals so that the lyrics and dialogue advanced a coherent story . Their works were admired and copied by early authors and composers of musicals in Britain and America .   1890s to the New century ( edit )  Further information : Edwardian musical comedy Cover of the Vocal Score of Sidney Jones ' The Geisha  A Trip to Chinatown ( 1891 ) was Broadway 's long - run champion ( until Irene in 1919 ) , running for 657 performances , but New York runs continued to be relatively short , with a few exceptions , compared with London runs , until the 1920s . Gilbert and Sullivan were both pirated and imitated in New York by productions such as Reginald De Koven 's Robin Hood ( 1891 ) and John Philip Sousa 's El Capitan ( 1896 ) . A Trip to Coontown ( 1898 ) was the first musical comedy entirely produced and performed by African Americans on Broadway ( largely inspired by the routines of the minstrel shows ) , followed by ragtime - tinged shows . Hundreds of musical comedies were staged on Broadway in the 1890s and early 20th century , composed of songs written in New York 's Tin Pan Alley , including those by George M. Cohan , who worked to create an American style distinct from the Gilbert and Sullivan works . The most successful New York shows were often followed by extensive national tours .   Meanwhile , musicals took over the London stage in the Gay Nineties , led by producer George Edwardes , who perceived that audiences wanted a new alternative to the Savoy - style comic operas and their intellectual , political , absurdist satire . He experimented with a modern - dress , family - friendly musical theatre style , with breezy , popular songs , snappy , romantic banter , and stylish spectacle at the Gaiety and his other theatres . These drew on the traditions of comic opera and used elements of burlesque and of the Harrigan and Hart pieces . He replaced the bawdy women of burlesque with his `` respectable '' corps of Gaiety Girls to complete the musical and visual fun . The success of the first of these , In Town ( 1892 ) and A Gaiety Girl ( 1893 ) set the style for the next three decades . The plots were generally light , romantic `` poor maiden loves aristocrat and wins him against all odds '' shows , with music by Ivan Caryll , Sidney Jones and Lionel Monckton . These shows were immediately widely copied in America , and Edwardian musical comedy swept away the earlier musical forms of comic opera and operetta . The Geisha ( 1896 ) was one of the most successful in the 1890s , running for more than two years and achieving great international success .   The Belle of New York ( 1898 ) became the first American musical to run for over a year in London . The British musical comedy Florodora ( 1899 ) was a popular success on both sides of the Atlantic , as was A Chinese Honeymoon ( 1901 ) , which ran for a record - setting 1,074 performances in London and 376 in New York . After the turn of the 20th century , Seymour Hicks joined forces with Edwardes and American producer Charles Frohman to create another decade of popular shows . Other enduring Edwardian musical comedy hits included The Arcadians ( 1909 ) and The Quaker Girl ( 1910 ) .   Early 20th century ( edit )  Victor Herbert  Virtually eliminated from the English - speaking stage by competition from the ubiquitous Edwardian musical comedies , operettas returned to London and Broadway in 1907 with The Merry Widow , and adaptations of continental operettas became direct competitors with musicals . Franz Lehár and Oscar Straus composed new operettas that were popular in English until World War I. In America , Victor Herbert produced a string of enduring operettas including The Fortune Teller ( 1898 ) , Babes in Toyland ( 1903 ) , Mlle . Modiste ( 1905 ) , The Red Mill ( 1906 ) and Naughty Marietta ( 1910 ) .   In the 1910s , the team of P.G. Wodehouse , Guy Bolton and Jerome Kern , following in the footsteps of Gilbert and Sullivan , created the `` Princess Theatre shows '' and paved the way for Kern 's later work by showing that a musical could combine light , popular entertainment with continuity between its story and songs . Historian Gerald Bordman wrote :   These shows built and polished the mold from which almost all later major musical comedies evolved ... The characters and situations were , within the limitations of musical comedy license , believable and the humor came from the situations or the nature of the characters . Kern 's exquisitely flowing melodies were employed to further the action or develop characterization ... ( Edwardian ) musical comedy was often guilty of inserting songs in a hit - or - miss fashion . The Princess Theatre musicals brought about a change in approach . P.G. Wodehouse , the most observant , literate and witty lyricist of his day , and the team of Bolton , Wodehouse and Kern had an influence felt to this day .   The theatre - going public needed escapist entertainment during the dark times of World War I , and they flocked to the theatre . The 1919 hit musical Irene ran for 670 performances , a Broadway record that held until 1938 . The British theatre public supported far longer runs like that of Maid of the Mountains ( 1,352 performances ) and especially Chu Chin Chow . Its run of 2,238 performances was more than twice as long as any previous musical , setting a record that stood for nearly forty years . Revues like The Bing Boys Are Here in Britain , and those of Florenz Ziegfeld and his imitators in America , were also extraordinarily popular .  Sheet music from Sally , 1920  The musicals of the Roaring Twenties , borrowing from vaudeville , music hall and other light entertainments , tended to emphasize big dance routines and popular songs at the expense of plot . Typical of the decade were lighthearted productions like Sally , Lady Be Good , No , No , Nanette , Oh , Kay ! and Funny Face . Despite forgettable stories , these musicals featured stars such as Marilyn Miller and Fred Astaire and produced dozens of enduring popular songs by Kern , George and Ira Gershwin , Irving Berlin , Cole Porter and Rodgers and Hart . Popular music was dominated by musical theatre standards , such as `` Fascinating Rhythm '' , `` Tea for Two '' and `` Someone to Watch Over Me '' . Many shows were revues , series of sketches and songs with little or no connection between them . The best - known of these were the annual Ziegfeld Follies , spectacular song - and - dance revues on Broadway featuring extravagant sets , elaborate costumes and beautiful chorus girls . These spectacles also raised production values , and mounting a musical generally became more expensive . Shuffle Along ( 1921 ) , an all - African American show was a hit on Broadway . A new generation of composers of operettas also emerged in the 1920s , such as Rudolf Friml and Sigmund Romberg , to create a series of popular Broadway hits .   In London , writer - stars such as Ivor Novello and Noël Coward became popular , but the primacy of British musical theatre from the 19th century through 1920 was gradually replaced by American innovation , especially after World War I , as Kern and other Tin Pan Alley composers began to bring new musical styles such as ragtime and jazz to the theatres , and the Shubert Brothers took control of the Broadway theatres . Musical theatre writer Andrew Lamb notes , `` The operatic and theatrical styles of nineteenth - century social structures were replaced by a musical style more aptly suited to twentieth - century society and its vernacular idiom . It was from America that the more direct style emerged , and in America that it was able to flourish in a developing society less hidebound by nineteenth - century tradition . '' In France , comédie musicale was written between in the early decades of the century for such stars as Yvonne Printemps .   Show Boat and the Great Depression ( edit )   Progressing far beyond the comparatively frivolous musicals and sentimental operettas of the decade , Broadway 's Show Boat ( 1927 ) , represented an even more complete integration of book and score than the Princess Theatre musicals , with dramatic themes told through the music , dialogue , setting and movement . This was accomplished by combining the lyricism of Kern 's music with the skillful libretto of Oscar Hammerstein II . One historian wrote , `` Here we come to a completely new genre -- the musical play as distinguished from musical comedy . Now ... everything else was subservient to that play . Now ... came complete integration of song , humor and production numbers into a single and inextricable artistic entity . ''  Rodgers and Hart  As the Great Depression set in during the post-Broadway national tour of Show Boat , the public turned back to mostly light , escapist song - and - dance entertainment . Audiences on both sides of the Atlantic had little money to spend on entertainment , and only a few stage shows anywhere exceeded a run of 500 performances during the decade . The revue The Band Wagon ( 1931 ) starred dancing partners Fred Astaire and his sister Adele , while Porter 's Anything Goes ( 1934 ) confirmed Ethel Merman 's position as the First Lady of musical theatre , a title she maintained for many years . Coward and Novello continued to deliver old fashioned , sentimental musicals , such as The Dancing Years , while Rodgers and Hart returned from Hollywood to create a series of successful Broadway shows , including On Your Toes ( 1936 , with Ray Bolger , the first Broadway musical to make dramatic use of classical dance ) , Babes in Arms ( 1937 ) and The Boys from Syracuse ( 1938 ) . Porter added DuBarry Was a Lady ( 1939 ) . The longest - running piece of musical theatre of the 1930s was Hellzapoppin ( 1938 ) , a revue with audience participation , which played for 1,404 performances , setting a new Broadway record .   Still , a few creative teams began to build on Show Boat 's innovations . Of Thee I Sing ( 1931 ) , a political satire by the Gershwins , was the first musical awarded the Pulitzer Prize . As Thousands Cheer ( 1933 ) , a revue by Irving Berlin and Moss Hart in which each song or sketch was based on a newspaper headline , marked the first Broadway show in which an African - American , Ethel Waters , starred alongside white actors . Waters ' numbers included `` Supper Time '' , a woman 's lament for her husband who has been lynched . The Gershwins ' Porgy and Bess ( 1935 ) featured an all African - American cast and blended operatic , folk and jazz idioms . The Cradle Will Rock ( 1937 ) , directed by Orson Welles , was a highly political pro-union piece that , despite the controversy surrounding it , ran for 108 performances . Rodgers and Hart 's I 'd Rather Be Right ( 1937 ) was a political satire with George M. Cohan as President Franklin D. Roosevelt , and Kurt Weill 's Knickerbocker Holiday depicted New York City 's early history while good - naturedly satirizing Roosevelt 's good intentions .   The motion picture mounted a challenge to the stage . Silent films had presented only limited competition , but by the end of the 1920s , films like The Jazz Singer could be presented with synchronized sound . `` Talkie '' films at low prices effectively killed off vaudeville by the early 1930s . Despite the economic woes of the 1930s and the competition from film , the musical survived . In fact , it continued to evolve thematically beyond the gags and showgirls musicals of the Gay Nineties and Roaring Twenties and the sentimental romance of operetta , adding technical expertise and the fast - paced staging and naturalistic dialogue style led by director George Abbott .   The Golden Age ( 1940s to 1960s ) ( edit )  Rodgers and Hammerstein ( left and right ) and Irving Berlin ( center ) 1940s ( edit )  The 1940s would begin with more hits from Porter , Irving Berlin , Rodgers and Hart , Weill and Gershwin , some with runs over 500 performances as the economy rebounded , but artistic change was in the air .   Rodgers and Hammerstein 's Oklahoma ! ( 1943 ) completed the revolution begun by Show Boat , by tightly integrating all the aspects of musical theatre , with a cohesive plot , songs that furthered the action of the story , and featured dream ballets and other dances that advanced the plot and developed the characters , rather than using dance as an excuse to parade scantily clad women across the stage . Rodgers and Hammerstein hired ballet choreographer Agnes de Mille , who used everyday motions to help the characters express their ideas . It defied musical conventions by raising its first act curtain not on a bevy of chorus girls , but rather on a woman churning butter , with an off - stage voice singing the opening lines of Oh , What a Beautiful Mornin ' unaccompanied . It drew rave reviews , set off a box - office frenzy and received a Pulitzer Prize . Brooks Atkinson wrote in The New York Times that the show 's opening number changed the history of musical theater : `` After a verse like that , sung to a buoyant melody , the banalities of the old musical stage became intolerable . '' It was the first `` blockbuster '' Broadway show , running a total of 2,212 performances , and was made into a hit film . It remains one of the most frequently produced of the team 's projects . William A. Everett and Paul R. Laird wrote that this was a `` show , that , like Show Boat , became a milestone , so that later historians writing about important moments in twentieth - century theatre would begin to identify eras according to their relationship to Oklahoma ! ''  </t>
  </si>
  <si>
    <t xml:space="preserve">a musical play in which words are sung</t>
  </si>
  <si>
    <t xml:space="preserve"> Musical theatre is a form of theatrical performance that combines songs , spoken dialogue , acting and dance . The story and emotional content of a musical -- humor , pathos , love , anger -- are communicated through the words , music , movement and technical aspects of the entertainment as an integrated whole . Although musical theatre overlaps with other theatrical forms like opera and dance , it may be distinguished by the equal importance given to the music as compared with the dialogue , movement and other elements . Since the early 20th century , musical theatre stage works have generally been called , simply , musicals . </t>
  </si>
  <si>
    <t xml:space="preserve">North America - Wikipedia  North America  `` North American '' redirects here . For other uses , see North American ( disambiguation ) . Not to be confused with Northern America .        This article needs additional citations for verification . Please help improve this article by adding citations to reliable sources . Unsourced material may be challenged and removed . ( March 2015 ) ( Learn how and when to remove this template message )       North America       Area   24,709,000 km ( 9,540,000 sq mi ) ( 3rd )     Population   579,024,000 ( 2016 ; 4th )     Population density   22.9 / km ( 59.3 / sq mi )     GDP ( nominal )   $22.2 trillion ( 2017 ; 2nd )     GDP ( PPP )   $23.7 trillion ( 2017 ; 3rd )     GDP per capita   $45,560 ( 2017 ; 2nd )     Demonym   North American     Countries   23 sovereign states     Dependencies   23 non-sovereign territories     Languages   English , Spanish , French , and many others     Time zones   UTC - 10 to UTC     Largest cities   List of urban areas :   New York City   Mexico City   Los Angeles   Chicago   Boston   Toronto   Dallas -- Fort Worth   San Francisco   Houston   Miami   Philadelphia       North America is a continent entirely within the Northern Hemisphere and almost all within the Western Hemisphere ; it is also considered by some to be a northern subcontinent of the Americas . It is bordered to the north by the Arctic Ocean , to the east by the Atlantic Ocean , to the west and south by the Pacific Ocean , and to the southeast by South America and the Caribbean Sea .   North America covers an area of about 24,709,000 square kilometers ( 9,540,000 square miles ) , about 16.5 % of the earth 's land area and about 4.8 % of its total surface . North America is the third largest continent by area , following Asia and Africa , and the fourth by population after Asia , Africa , and Europe . In 2013 , its population was estimated at nearly 579 million people in 23 independent states , or about 7.5 % of the world 's population , if nearby islands ( most notably the Caribbean ) are included .   North America was reached by its first human populations during the last glacial period , via crossing the Bering land bridge approximately 40,000 to 17,000 years ago . The so - called Paleo - Indian period is taken to have lasted until about 10,000 years ago ( the beginning of the Archaic or Meso - Indian period ) . The Classic stage spans roughly the 6th to 13th centuries . The Pre-Columbian era ended in 1492 , and the transatlantic migrations -- the arrival of European settlers during the Age of Discovery and the Early Modern period . Present - day cultural and ethnic patterns reflect different kinds of interactions between European colonists , indigenous peoples , African slaves and their descendants .   European influences are strongest in the northern parts of the continent while indigenous and African influences are relatively stronger in the south . Because of the history of colonialism , most North Americans speak English , Spanish or French and societies and states commonly reflect Western traditions .   Contents    1 Name   2 Extent   2.1 Regions   2.2 Countries , territories , and dependencies     3 History   3.1 Geologic history   3.2 Pre-Columbian   3.3 Colonial period     4 Geography   5 Geology   5.1 Canadian geology   5.2 United States geology   5.3 Central American geology     6 Climate   7 Ecology   8 Demographics   8.1 Languages   8.2 Religions   8.3 Populace     9 Economy   9.1 Transport   9.2 Communications     10 Culture   10.1 Sports     11 See also   12 Notes   13 References   14 External links    Name    Map of North America , from 1621  The Americas are usually accepted as having been named after the Italian explorer Amerigo Vespucci by the German cartographers Martin Waldseemüller and Matthias Ringmann . Vespucci , who explored South America between 1497 and 1502 , was the first European to suggest that the Americas were not the East Indies , but a different landmass previously unknown by Europeans . In 1507 , Waldseemüller produced a world map , in which he placed the word `` America '' on the continent of South America , in the middle of what is today Brazil . He explained the rationale for the name in the accompanying book Cosmographiae Introductio :   ... ab Americo inventore ... quasi Americi terram sive Americam ( from Americus the discoverer ... as if it were the land of Americus , thus America ) .   For Waldseemüller , no one should object to the naming of the land after its discoverer . He used the Latinized version of Vespucci 's name ( Americus Vespucius ) , but in its feminine form `` America '' , following the examples of `` Europa '' , `` Asia '' and `` Africa '' .   Later , other mapmakers extended the name America to the northern continent , In 1538 , Gerard Mercator used America on his map of the world for all the Western Hemisphere .   Some argue that the convention is to use the surname for naming discoveries except in the case of royalty and so a derivation from `` Amerigo Vespucci '' could be problematic . Ricardo Palma ( 1949 ) proposed a derivation from the `` Amerrique '' mountains of Central America -- Vespucci was the first to discover South America and the Amerrique mountains of Central America , which connected his discoveries to those of Christopher Columbus .   Alfred E. Hudd proposed a theory in 1908 that the continents are named after a Welsh merchant named Richard Amerike from Bristol , who is believed to have financed John Cabot 's voyage of discovery from England to Newfoundland in 1497 . A minutely explored belief that has been advanced is that America was named for a Spanish sailor bearing the ancient Visigothic name of ' Amairick ' . Another is that the name is rooted in a Native American language .   Extent   The term North America maintains various definitions in accordance with location and context . In Canadian English , North America may be used to refer to the United States and Canada together . Alternatively , usage sometimes includes Greenland and Mexico ( as in the North American Free Trade Agreement ) , as well as offshore islands . The UN geoscheme for `` North America '' separates Mexico from the United States and Canada , placing it instead within its designated `` Central America '' region , while also treating the islands of the Caribbean separately from the US / Canada definition -- the UN 's `` North America '' definition still includes the Canadian Arctic Archipelago and Greenland together with the US / Canada continental definition , with both insular entities being tectonically on the North American plate .   In France , Italy , Portugal , Spain , Romania , Greece , and the countries of Latin America , the cognates of North America usually designate a subcontinent of the Americas comprising Canada , the United States , and Mexico , and often Greenland , Saint Pierre et Miquelon , and Bermuda .   North America has been historically referred to by other names . Spanish North America ( New Spain ) was often referred to as Northern America , and this was the first official name given to Mexico .   Regions  See also : List of regions of Canada and List of regions of the United States  Geographically the North American continent has many regions and subregions . These include cultural , economic , and geographic regions . Economic regions included those formed by trade blocs , such as the North American Trade Agreement bloc and Central American Trade Agreement . Linguistically and culturally , the continent could be divided into Anglo - America and Latin America . Anglo - America includes most of Northern America , Belize , and Caribbean islands with English - speaking populations ( though sub-national entities , such as Louisiana and Quebec , have large Francophone populations ; in Quebec , French is an official language along with English ) .   The southern North American continent is composed of two regions . These are Central America and the Caribbean . The north of the continent maintains recognized regions as well . In contrast to the common definition of `` North America '' , which encompasses the whole continent , the term `` North America '' is sometimes used to refer only to Mexico , Canada , the United States , and Greenland .   The term Northern America refers to the northern-most countries and territories of North America : the United States , Bermuda , St. Pierre and Miquelon , Canada and Greenland . Although the term does not refer to a unified region , Middle America -- not to be confused with the Midwestern United States -- groups the regions of Mexico , Central America , and the Caribbean .   The largest countries of the continent , Canada and the United States , also contain well - defined and recognized regions . In the case of Canada these are ( from east to west ) Atlantic Canada , Central Canada , Canadian Prairies , the British Columbia Coast , and Northern Canada . These regions also contain many subregions . In the case of the United States -- and in accordance with the US Census Bureau definitions -- these regions are : New England , Mid-Atlantic , South Atlantic States , East North Central States , West North Central States , East South Central States , West South Central States , Mountain States , and Pacific States . Regions shared between both nations included the Great Lakes Region . Megalopolises have formed between both nations in the case of the Pacific Northwest and the Great Lakes Megaregion .   Countries , territories , and dependencies  Main article : List of sovereign states and dependent territories in North America    Flag   Country or territory   Area ( km )   Population ( 2016 est . )   Population density ( per km )   Capital       Anguilla ( United Kingdom )   7001910000000000000 ♠ 91   14,764   164.8   The Valley       Antigua and Barbuda   7002442000000000000 ♠ 442   100,963   199.1   St. John 's       Aruba ( Netherlands )   7002180000000000000 ♠ 180   104,822   594.4   Oranjestad       The Bahamas   7004139430000000000 ♠ 13,943   391,232   24.5   Nassau       Barbados   7002430000000000000 ♠ 430   284,996   595.3   Bridgetown       Belize   7004229660000000000 ♠ 22,966   366,954   13.4   Belmopan       Bermuda ( United Kingdom )   7001540000000000000 ♠ 54   61,666   1203.7   Hamilton       Bonaire ( Netherlands )   7002294000000000000 ♠ 294   7004120930000000000 ♠ 12,093   41.1   Kralendijk       British Virgin Islands ( United Kingdom )   7002151000000000000 ♠ 151   30,661   152.3   Road Town       Canada   7006998467000000000 ♠ 9,984,670   36,289,822   3.4   Ottawa       Cayman Islands ( United Kingdom )   7002264000000000000 ♠ 264   60,765   212.1   George Town       Clipperton Island ( France )   7000600000000000000 ♠ 6   5000000000000000000 ♠ 0   0.0   --       Costa Rica   7004511000000000000 ♠ 51,100   4,857,274   89.6   San José       Cuba   7005109886000000000 ♠ 109,886   11,475,982   102.0   Havana       Curaçao ( Netherlands )   7002444000000000000 ♠ 444   159,371   317.1   Willemstad       Dominica   7002751000000000000 ♠ 751   73,543   89.2   Roseau       Dominican Republic   7004486710000000000 ♠ 48,671   10,648,791   207.3   Santo Domingo       El Salvador   7004210410000000000 ♠ 21,041   6,344,722   293.0   San Salvador       Federal Dependencies of Venezuela ( Venezuela )   7002342000000000000 ♠ 342       Gran Roque       Greenland ( Denmark )   7006216608600000000 ♠ 2,166,086   56,412   0.026   Nuuk       Grenada   7002344000000000000 ♠ 344   107,317   302.3   St. George 's       Guadeloupe ( France )   7003162800000000000 ♠ 1,628   449,975   246.7   Basse - Terre       Guatemala   7005108889000000000 ♠ 108,889   16,582,469   128.8   Guatemala City       Haiti   7004277500000000000 ♠ 27,750   10,847,334   361.5   Port - au - Prince       Honduras   7005112492000000000 ♠ 112,492   9,112,867   66.4   Tegucigalpa       Jamaica   7004109910000000000 ♠ 10,991   2,881,355   247.4   Kingston       Martinique ( France )   7003112800000000000 ♠ 1,128   385,103   352.6   Fort - de-France       Mexico   7006196437500000000 ♠ 1,964,375   127,540,423   57.1   Mexico City       Montserrat ( United Kingdom )   7002102000000000000 ♠ 102   5,152   58.8   Plymouth ( Brades )       Navassa Island ( United States )   7000500000000000000 ♠ 5   5000000000000000000 ♠ 0   0.0         Nicaragua   7005130373000000000 ♠ 130,373   6,149,928   44.1   Managua       Nueva Esparta ( Venezuela )   7003115100000000000 ♠ 1,151       La Asunción       Panama   7004754170000000000 ♠ 75,417   4,034,119   45.8   Panama City       Puerto Rico ( United States )   7003887000000000000 ♠ 8,870   3,667,903   448.9   San Juan       Saba ( Netherlands )   7001130000000000000 ♠ 13   7003153700000000000 ♠ 1,537   118.2   The Bottom       San Andrés and Providencia ( Colombia )   7001530000000000000 ♠ 53   7004777010000000000 ♠ 77,701   1468.59   San Andrés       Saint Barthélemy ( France )   7001210000000000000 ♠ 21   7003744800000000000 ♠ 7,448   354.7   Gustavia       Saint Kitts and Nevis   7002261000000000000 ♠ 261   54,821   199.2   Basseterre       Saint Lucia   7002539000000000000 ♠ 539   178,015   319.1   Castries       Saint Martin ( France )   7001540000000000000 ♠ 54   7004298200000000000 ♠ 29,820   552.2   Marigot       Saint Pierre and Miquelon ( France )   7002242000000000000 ♠ 242   6,305   24.8   Saint - Pierre       Saint Vincent and the Grenadines   7002389000000000000 ♠ 389   109,643   280.2   Kingstown       Sint Eustatius ( Netherlands )   7001210000000000000 ♠ 21   7003273900000000000 ♠ 2,739   130.4   Oranjestad       Sint Maarten ( Netherlands )   7001340000000000000 ♠ 34   39,537   1176.7   Philipsburg       Trinidad and Tobago   7003513000000000000 ♠ 5,130   1,364,962   261.0   Port of Spain       Turks and Caicos Islands ( United Kingdom )   7002948000000000000 ♠ 948   34,900   34.8   Cockburn Town       United States   7006962909100000000 ♠ 9,629,091   322,179,605   32.7   Washington , D.C.       United States Virgin Islands ( United States )   7002347000000000000 ♠ 347   104,913   317.0   Charlotte Amalie     Total   7007245009950000000 ♠ 24,500,995   7008541720440000000 ♠ 541,720,440   22.9       History  Main article : History of North America  Geologic history  Principal hydrological divides of Canada , the United States and Mexico  Laurentia is an ancient craton which forms the geologic core of North America ; it formed between 1.5 and 1.0 billion years ago during the Proterozoic eon . The Canadian Shield is the largest exposure of this craton . From the Late Paleozoic to Early Mesozoic eras , North America was joined with the other modern - day continents as part of the supercontinent Pangaea , with Eurasia to its east . One of the results of the formation of Pangaea was the Appalachian Mountains , which formed some 480 million years ago , making it among the oldest mountain ranges in the world . When Pangaea began to rift around 200 million years ago , North America became part of Laurasia , before it separated from Eurasia as its own continent during the mid-Cretaceous period . The Rockies and other western mountain ranges began forming around this time from a period of mountain building called the Laramide orogeny , between 80 and 55 million years ago . The formation of the Isthmus of Panama that connected the continent to South America arguably occurred approximately 12 to 15 million years ago , and the Great Lakes ( as well as many other northern freshwater lakes and rivers ) were carved by receding glaciers about 10,000 years ago .   North America is the source of much of what humanity knows about geologic time periods . The geographic area that would later become the United States has been the source of more varieties of dinosaurs than any other modern country . According to paleontologist Peter Dodson , this is primarily due to stratigraphy , climate and geography , human resources , and history . Much of the Mesozoic Era is represented by exposed outcrops in the many arid regions of the continent . The most significant Late Jurassic dinosaur - bearing fossil deposit in North America is the Morrison Formation of the western United States .   Pre-Columbian  The El Castillo pyramid , at Chichén Itzá , Mexico  The indigenous peoples of North America have many creation myths by which they assert that they have been present on the land since its creation . The specifics of Paleo - Indian migration to and throughout the Americas , including the exact dates and routes traveled , are subject to ongoing research and discussion . The traditional theory has been that these early migrants moved into the Beringia land bridge between eastern Siberia and present - day Alaska around 25,000 to 11,000 years ago . The few agreements achieved to date are the origin from Central Asia , with widespread habitation of the Americas during the end of the last glacial period , or more specifically what is known as the late glacial maximum , around 13,000 years before present . Some genetic research indicated secondary waves of migration occurred after the initial Paleo - Indian colonization , but prior to modern Inuit , Inupiat and Yupik expansions .   Before contact with Europeans , the natives of North America were divided into many different polities , from small bands of a few families to large empires . They lived in several `` culture areas '' , which roughly correspond to geographic and biological zones and give a good indication of the main lifeway or occupation of the people who lived there ( e.g. , the bison hunters of the Great Plains , or the farmers of Mesoamerica ) . Native groups can also be classified by their language family ( e.g. , Athapascan or Uto - Aztecan ) . Peoples with similar languages did not always share the same material culture , nor were they always allies . Anthropologists think that the Inuit people of the high Arctic came to North America much later than other native groups , as evidenced by the disappearance of Dorset culture artifacts from the archaeological record , and their replacement by the Thule people .   During the thousands of years of native habitation on the continent , cultures changed and shifted . One of the oldest cultures yet found is the Clovis culture of modern New Mexico . Later cultures include the Mississippian culture and related Mound building cultures , found in the Mississippi river valley and the Pueblo culture of what is now the Four Corners . The more southern cultural groups of North America were responsible for the domestication of many common crops now used around the world , such as tomatoes and squash . Perhaps most importantly they domesticated one of the world 's major staples , maize ( corn ) .   The earliest verifiable instance of pre-Columbian trans - oceanic contact by any European culture with the landmasses that geologically constitute the `` mainland '' of modern North America has been dated to the end of the 10th century CE -- this site , situated at the northernmost extent of the island named Newfoundland , is known as L'Anse aux Meadows , where unmistakable evidence of Norse settlement was uncovered in the early 1960s .   As a result of the development of agriculture in the south , many important cultural advances were made there . For example , the Maya civilization developed a writing system , built huge pyramids and temples , had a complex calendar , and developed the concept of zero around 400 CE , a few hundred years after the Mesopotamians . The Mayan culture was still present in southern Mexico and Guatemala when the Spanish explorers arrived , but political dominance in the area had shifted to the Aztec Empire whose capital city Tenochtitlan was located further north in the Valley of Mexico . The Aztecs were conquered in 1521 by Hernán Cortés .   Colonial period  Benjamin West 's The Death of General Wolfe ( 1771 ) depicting the Battle of the Plains of Abraham Main article : European colonization of the Americas Further information : Timeline of the European colonization of North America , British America , French America , Viceroyalty of New Spain , and Russian colonization of the Americas  During the Age of Discovery , Europeans explored and staked claims to various parts of North America . Upon their arrival in the `` New World '' , the Native American population declined substantially , because of violent conflicts with the invaders and the introduction of European diseases to which the Native Americans lacked immunity . Native culture changed drastically and their affiliation with political and cultural groups also changed . Several linguistic groups died out , and others changed quite quickly . The names and cultures that Europeans recorded were not necessarily the same as the names they had used a few generations before , or the ones in use today .   Britain , Spain , and France took over extensive territories in North America -- and fought over them . In the late 18th century and beginning of the 19th , independence movements that sprung up across the continent , led to the creation of the modern countries in the area . The 13 British colonies on the North Atlantic coast declared independence in 1776 , becoming the United States of America . Canada was formed from the unification of northern territories controlled by Britain and France . New Spain , a territory that stretched from modern - day southern US to Central America , declared independence in 1810 , becoming the First Mexican Empire . In 1823 the former Captaincy General of Guatemala , then part of the Mexican Empire , became the first independent state in Central America , officially changing its name to the United Provinces of Central America .   Geography  Main article : Geography of North America Satellite imagery of North America  North America occupies the northern portion of the landmass generally referred to as the New World , the Western Hemisphere , the Americas , or simply America ( which , less commonly , is considered by some as a single continent with North America a subcontinent ) . North America 's only land connection to South America is at the Isthmus of Panama . The continent is delimited on the southeast by most geographers at the Darién watershed along the Colombia - Panama border , placing all of Panama within North America . Alternatively , some geologists physiographically locate its southern limit at the Isthmus of Tehuantepec , Mexico , with Central America extending southeastward to South America from this point . The Caribbean islands , or West Indies , are considered part of North America . The continental coastline is long and irregular . The Gulf of Mexico is the largest body of water indenting the continent , followed by Hudson Bay . Others include the Gulf of Saint Lawrence and the Gulf of California .   Before the Central American isthmus formed , the region had been underwater . The islands of the West Indies delineate a submerged former land bridge , which had connected North and South America via what are now Florida and Venezuela .   There are numerous islands off the continent 's coasts ; principally , the Arctic Archipelago , the Bahamas , Turks &amp; Caicos , the Greater and Lesser Antilles , the Aleutian Islands ( some of which are in the Eastern Hemisphere proper ) , the Alexander Archipelago , the many thousand islands of the British Columbia Coast , and Newfoundland . Greenland , a self - governing Danish island , and the world 's largest , is on the same tectonic plate ( the North American Plate ) and is part of North America geographically . In a geologic sense , Bermuda is not part of the Americas , but an oceanic island which was formed on the fissure of the Mid-Atlantic Ridge over 100 million years ago . The nearest landmass to it is Cape Hatteras , North Carolina . However , Bermuda is often thought of as part of North America , especially given its historical , political and cultural ties to Virginia and other parts of the continent .  Moraine Lake in Banff National Park  The vast majority of North America is on the North American Plate . Parts of western Mexico , including Baja California , and of California , including the cities of San Diego , Los Angeles , and Santa Cruz , lie on the eastern edge of the Pacific Plate , with the two plates meeting along the San Andreas fault . The southernmost portion of the continent and much of the West Indies lie on the Caribbean Plate , whereas the Juan de Fuca and Cocos plates border the North American Plate on its western frontier .   The continent can be divided into four great regions ( each of which contains many subregions ) : the Great Plains stretching from the Gulf of Mexico to the Canadian Arctic ; the geologically young , mountainous west , including the Rocky Mountains , the Great Basin , California and Alaska ; the raised but relatively flat plateau of the Canadian Shield in the northeast ; and the varied eastern region , which includes the Appalachian Mountains , the coastal plain along the Atlantic seaboard , and the Florida peninsula . Mexico , with its long plateaus and cordilleras , falls largely in the western region , although the eastern coastal plain does extend south along the Gulf .   The western mountains are split in the middle into the main range of the Rockies and the coast ranges in California , Oregon , Washington , and British Columbia , with the Great Basin -- a lower area containing smaller ranges and low - lying deserts -- in between . The highest peak is Denali in Alaska .   The United States Geographical Survey ( USGS ) states that the geographic center of North America is `` 6 miles ( 10 km ) west of Balta , Pierce County , North Dakota '' at about 48 ° 10 ′ N 100 ° 10 ′ W ﻿ / ﻿ 48.167 ° N 100.167 ° W ﻿ / 48.167 ; - 100.167 , about 24 kilometres ( 15 mi ) from Rugby , North Dakota . The USGS further states that `` No marked or monumented point has been established by any government agency as the geographic center of either the 50 States , the conterminous United States , or the North American continent . '' Nonetheless , there is a 4.6 - metre ( 15 ft ) field stone obelisk in Rugby claiming to mark the center . The North American continental pole of inaccessibility is located 1,650 km ( 1,030 mi ) from the nearest coastline , between Allen and Kyle , South Dakota at 43 ° 22 ′ N 101 ° 58 ′ W ﻿ / ﻿ 43.36 ° N 101.97 ° W ﻿ / 43.36 ; - 101.97 ﻿ ( Pole of Inaccessibility North America ) .   Geology  Main article : Geology of North America Geologic Map of North America published by USGS Sedimentary , volcanic , plutonic , and metamorphic rock types of North America  Canadian geology   Geologically , Canada is one of the oldest regions in the world , with more than half of the region consisting of precambrian rocks that have been above sea level since the beginning of the Palaeozoic era . Canada 's mineral resources are diverse and extensive . Across the Canadian Shield and in the north there are large iron , nickel , zinc , copper , gold , lead , molybdenum , and uranium reserves . Large diamond concentrations have been recently developed in the Arctic , making Canada one of the world 's largest producers . Throughout the Shield there are many mining towns extracting these minerals . The largest , and best known , is Sudbury , Ontario . Sudbury is an exception to the normal process of forming minerals in the Shield since there is significant evidence that the Sudbury Basin is an ancient meteorite impact crater . The nearby , but less known Temagami Magnetic Anomaly has striking similarities to the Sudbury Basin . Its magnetic anomalies are very similar to the Sudbury Basin , and so it could be a second metal - rich impact crater . The Shield is also covered by vast boreal forests that support an important logging industry .   United States geology   The lower 48 US states can be divided into roughly five physiographic provinces :    The American cordillera   The Canadian Shield Northern portion of the upper midwestern United States .   The stable platform   The coastal plain   The Appalachian orogenic belt    The geology of Alaska is typical of that of the cordillera , while the major islands of Hawaii consist of Neogene volcanics erupted over a hot spot .  North America bedrock and terrain North American cratons and basement rocks  Central American geology  Central America rests in the Caribbean Plate .  Central America is geologically active with volcanic eruptions and earthquakes occurring from time to time . In 1976 Guatemala was hit by a major earthquake , killing 23,000 people ; Managua , the capital of Nicaragua , was devastated by earthquakes in 1931 and 1972 , the last one killing about 5,000 people ; three earthquakes devastated El Salvador , one in 1986 and two in 2001 ; one earthquake devastated northern and central Costa Rica in 2009 , killing at least 34 people ; in Honduras a powerful earthquake killed seven people in 2009 .   Volcanic eruptions are common in the region . In 1968 the Arenal Volcano , in Costa Rica , erupted and killed 87 people . Fertile soils from weathered volcanic lavas have made it possible to sustain dense populations in the agriculturally productive highland areas .   Central America has many mountain ranges ; the longest are the Sierra Madre de Chiapas , the Cordillera Isabelia , and the Cordillera de Talamanca . Between the mountain ranges lie fertile valleys that are suitable for the people ; in fact , most of the population of Honduras , Costa Rica , and Guatemala live in valleys . Valleys are also suitable for the production of coffee , beans , and other crops .   Climate  North America map of Köppen climate classification  North America is a very large continent which surpasses the Arctic Circle , and the Tropic of Cancer . Greenland , along with the Canadian Shield , is tundra with average temperatures ranging from 10 to 20 ° C ( 50 to 68 ° F ) , but central Greenland is composed of a very large ice sheet . This tundra radiates throughout Canada , but its border ends near the Rocky Mountains ( but still contains Alaska ) and at the end of the Canadian Shield , near the Great Lakes . Climate west of the Cascades is described as being a temperate weather with average precipitation 20 inches ( 510 mm ) . Climate in coastal California is described to be Mediterranean , with average temperatures in cities like San Francisco ranging from 57 to 70 ° F ( 14 to 21 ° C ) over the course of the year .   Stretching from the East Coast to eastern North Dakota , and stretching down to Kansas , is the continental - humid climate featuring intense seasons , with a large amount of annual precipitation , with places like New York City averaging 50 inches ( 1,300 mm ) . Starting at the southern border of the continental - humid climate and stretching to the Gulf of Mexico ( whilst encompassing the eastern half of Texas ) is the subtropical climate . This area has the wettest cities in the contiguous U.S. with annual precipitation reaching 67 inches ( 1,700 mm ) in Mobile , Alabama . Stretching from the borders of the continental humid and subtropical climates , and going west to the Cascades Sierra Nevada , south to the southern tip of durango , north to the border with tundra climate , the steppe / desert climate is the driest climate in the U.S.   Ecology       This section needs expansion . You can help by adding to it . ( March 2015 )    See also : List of endangered plants in North America  Notable North American fauna include the bison , black bear , prairie dog , turkey , pronghorn , raccoon , coyote and monarch butterfly .   Notable plants that were domesticated in North America include tobacco , maize , squash , tomato , sunflower , blueberry , avocado , cotton , chile pepper and vanilla .   Demographics  Further information : Demographics of the United States , Demographics of Canada , and Demographics of Mexico Non-native nations ' control and claims over North America c. 1750 -- 2008 Native languages of the US , Canada and Greenland  Economically , Canada and the United States are the wealthiest and most developed nations in the continent , followed by Mexico , a newly industrialized country . The countries of Central America and the Caribbean are at various levels of economic and human development . For example , small Caribbean island - nations , such as Barbados , Trinidad and Tobago , and Antigua and Barbuda , have a higher GDP ( PPP ) per capita than Mexico due to their smaller populations . Panama and Costa Rica have a significantly higher Human Development Index and GDP than the rest of the Central American nations . Additionally , despite Greenland 's vast resources in o</t>
  </si>
  <si>
    <t xml:space="preserve">where is north america located on the map</t>
  </si>
  <si>
    <t xml:space="preserve"> North America is a continent entirely within the Northern Hemisphere and almost all within the Western Hemisphere ; it is also considered by some to be a northern subcontinent of the Americas . It is bordered to the north by the Arctic Ocean , to the east by the Atlantic Ocean , to the west and south by the Pacific Ocean , and to the southeast by South America and the Caribbean Sea . </t>
  </si>
  <si>
    <t xml:space="preserve">Insect wing - wikipedia  Insect wing  Jump to : navigation , search Original veins and wing posture of a dragonfly Hoverflies hovering to mate A cockchafer 's hardened forewings raised , hindwings unfolding  Insect wings are adult outgrowths of the insect exoskeleton that enable insects to fly . They are found on the second and third thoracic segments ( the mesothorax and metathorax ) , and the two pairs are often referred to as the forewings and hindwings , respectively , though a few insects lack hindwings , even rudiments . The wings are strengthened by a number of longitudinal veins , which often have cross-connections that form closed `` cells '' in the membrane ( extreme examples include the dragonflies and lacewings ) . The patterns resulting from the fusion and cross-connection of the wing veins are often diagnostic for different evolutionary lineages and can be used for identification to the family or even genus level in many orders of insects .   Physically , some insects move their flight muscles directly , others indirectly . In insects with direct flight , the wing muscles directly attached to the wing base , so that a small downward movement of the wing base lifts the wing itself upward . Those insects with indirect flight have muscles that attach to and deform the thorax , causing the wings to move as well .   The wings are present in only one sex ( often the male ) in some groups such as velvet ants and Strepsiptera , or are selectively lost in `` workers '' of social insects such as ants and termites . Rarely , the female is winged but the male not , as in fig wasps . In some cases , wings are produced only at particular times in the life cycle , such as in the dispersal phase of aphids . Wing structure and colouration often vary with morphs , such as in the aphids , migratory phases of locusts and polymorphic butterflies . At rest , the wings may be held flat , or folded a number of times along specific patterns ; most typically , it is the hindwings which are folded , but in a few groups such as the vespid wasps , it is the forewings .   How and why insect wings evolved is not well understood . Three main theories on the origins of insect flight are that wings developed from paranotal lobes , extensions of the thoracic terga ; that they are modifications of movable abdominal gills as found on aquatic naiads of mayflies ; and that insect wings arose from the fusion of pre-existing endite and exite structures each with pre-existing articulation and tracheation .     Contents  ( hide )   1 Morphology   1.1 Internal   1.2 Venation   1.3 Fields   1.4 Joints   1.5 Muscles   1.6 Coupling , folding , and other features     2 Flight   2.1 Flight mechanisms   2.2 Aerodynamics     3 Evolution   3.1 Fossils   3.2 Hypotheses     4 Morphogenesis   5 Nomenclature   6 Adaptations   6.1 Variation   6.2 Coleoptera   6.3 Lepidoptera   6.4 Odonata   6.5 Orthoptera   6.6 Phasmatodea   6.7 Dermaptera   6.8 Hemiptera   6.9 Diptera   6.10 Blattodea   6.11 Hymenoptera   6.12 Other families     7 See also   8 Notes   9 References   10 External links      Morphology ( edit )   Internal ( edit )   Each of the wings consists of a thin membrane supported by a system of veins . The membrane is formed by two layers of integument closely apposed , while the veins are formed where the two layers remain separate ; sometimes the lower cuticle is thicker and more heavily sclerotized under a vein . Within each of the major veins there is a nerve and a trachea , and , since the cavities of the veins are connected with the hemocoel , hemolymph can flow into the wings .   As the wing develops , the dorsal and ventral integumental layers become closely apposed over most of their area forming the wing membrane . The remaining areas form channels , the future veins , in which the nerves and tracheae may occur . The cuticle surrounding the veins becomes thickened and more heavily sclerotized to provide strength and rigidity to the wing . Two types of hair may occur on the wings : microtrichia , which are small and irregularly scattered , and macrotrichia , which are larger , socketed , and may be restricted to veins . The scales of Lepidoptera and Trichoptera are highly modified macrotrichia .   Venation ( edit )  Venation of insect wings , based on the Comstock -- Needham system  In some very small insects , the venation may be greatly reduced . In Chalcidoidea ( Chalcid wasps ) , for instance , only the subcosta and part of the radius are present . Conversely , an increase in venation may occur by the branching of existing veins to produce accessory veins or by the development of additional , intercalary veins between the original ones , as in the wings of Orthoptera ( grasshoppers and crickets ) . Large numbers of cross-veins are present in some insects , and they may form a reticulum as in the wings of Odonata ( dragonflies and damselflies ) and at the base of the forewings of Tettigonioidea and Acridoidea ( katydids and grasshoppers respectively ) .   The archedictyon is the name given to a hypothetical scheme of wing venation proposed for the very first winged insect . It is based on a combination of speculation and fossil data . Since all winged insects are believed to have evolved from a common ancestor , the archedictyon represents the `` template '' that has been modified ( and streamlined ) by natural selection for 200 million years . According to current dogma , the archedictyon contained 6 -- 8 longitudinal veins . These veins ( and their branches ) are named according to a system devised by John Comstock and George Needham -- the Comstock -- Needham system :    Costa ( C ) -- the leading edge of the wing     Subcosta ( Sc ) -- second longitudinal vein ( behind the costa ) , typically unbranched     Radius ( R ) -- third longitudinal vein , one to five branches reach the wing margin     Media ( M ) -- fourth longitudinal vein , one to four branches reach the wing margin     Cubitus ( Cu ) -- fifth longitudinal vein , one to three branches reach the wing margin     Anal veins ( A1 , A2 , A3 ) -- unbranched veins behind the cubitus    The costa ( C ) is the leading marginal vein on most insects , although sometimes there is a small vein above the costa called the precosta , although in almost all extant insects , the precosta is fused with the costa ; The costa rarely ever branches because it is at the leading edge , which is associated at its base with the humeral plate . The trachea of the costal vein is perhaps a branch of the subcostal trachea . Located after the costa is the third vein , the subcosta , which branches into two separate veins : the anterior and posterior . The base of the subcosta is associated with the distal end of the neck of the first axillary ( see section below ) . The fourth vein is the radius ( R ) , which is branched into five separate veins . The radius is generally the strongest vein of the wing . Toward the middle of the wing , it forks into a first undivided branch ( R1 ) and a second branch , called the radial sector ( Ra ) , which subdivides dichotomously into four distal branches ( R2 , R3 , R4 , R5 ) . Basally , the radius is flexibly united with the anterior end of the second axillary ( 2Ax ) .   The fifth vein of the wing is the media . In the archetype pattern ( A ) , the media forks into two main branches : a media anterior ( MA ) , which divides into two distal branches ( MA1 , MA2 ) , and a median sector , or media posterior ( MP ) , which has four terminal branches ( M1 , M2 , M3 , M4 ) . In most modern insects the media anterior has been lost , and the usual `` media '' is the four - branched media posterior with the common basal stem . In the Ephemerida , according to present interpretations of the wing venation , both branches of the media are retained , while in Odonata the persisting media is the primitive anterior branch . The stem of the media is often united with the radius , but when it occurs as a distinct vein its base is associated with the distal median plate ( m ' ) or is continuously sclerotized with the latter . The cubitus , the sixth vein of the wing , is primarily two branched . The primary forking of the takes place near the base of the wing , forming the two principal branches ( Cu1 , Cu2 ) . The anterior branch may break up into a number of secondary branches , but commonly it forks into two distal branches . The second branch of the cubitus ( Cu2 ) in Hymenoptera , Trichoptera , and Lepidoptera was mistaken by Comstock and Needham for the first anal . Proximally the main stem of the cubitus is associated with the distal median plate ( m ' ) of the wing base .   Postcubitus ( Pcu ) is the first anal of the Comstock -- Needham system . The postcubitus , however , has the status of an independent wing vein and should be recognized as such . In nymphal wings , its trachea arises between the cubital trachea and the group of vannal tracheae . In the mature wings of more generalized insect the Postcubitus is always associated proximally with the cubitus and is never intimately connected with the flexor sclerite ( 3Ax ) of the wing base . In Neuroptera , Mecoptera , and Trichoptera the postcubitus may be more closely associated with the vannal veins , but its base is always free from the latter . The postcubitus is usually unbranched ; it is primitively two branched . The vannal veins ( lV to nV ) are the anal veins that are immediately associated with the third axillary , and which are directly affected by the movement of this sclerite that brings about the flexion of the wings . In number the vannal veins vary. from 1 to 12 , according to the expansion of the vannal area of the wing . The vannal tracheae usually arise from a common tracheal stem in nymphal insects , and the veins are regarded as branches of a single anal vein . Distally the vannal veins are either simple or branched . Jugal Veins ( J ) of the jugal lobe of the wing is often occupied by a network of irregular veins , or it may be entirely membranous ; but sometimes it contains one or two distinct small veins , the first jugal vein , or vena arcuata , and the second jugal vein , or vena cardinalis ( 2J ) .    C - Sc cross-veins -- run between the costa and subcosta     R cross-veins -- run between adjacent branches of the radius     R-M cross-veins -- run between the radius and media     M - Cu cross-veins -- run between the media and cubitus    All the veins of the wing are subject to secondary forking and to union by cross-veins . In some orders of insects the cross-veins are so numerous that the whole venational pattern becomes a close network of branching veins and cross-veins . Ordinarily , however , there is a definite number of cross-veins having specific locations . The more constant cross-veins are the humeral cross-vein ( h ) between costa and subcosta , the radial cross-vein ( r ) between R and the first fork of Rs , the sectorial cross-vein ( s ) between the two forks of R8 , the median cross-vein ( m -- m ) between M2 and M3 , and the mediocubital cross-vein ( m - cu ) between media and cubitus .   The veins of insect wings are characterized by a convex - concave placement , such as those seen in mayflies ( i.e. , concave is `` down '' and convex is `` up '' ) which alternate regularly and by its triadic type of branching ; whenever a vein forks there is always an interpolated vein of the opposite position between the two branches . A concave vein will fork into two concave veins ( with the interpolated vein being convex ) and the regular alteration of the veins is preserved . The veins of the wing appear to fall into an undulating pattern according to whether they have a tendency to fold up or down when the wing is relaxed . The basal shafts of the veins are convex , but each vein forks distally into an anterior convex branch and a posterior concave branch . Thus the costa and subcosta are regarded as convex and concave branches of a primary first vein , Rs is the concave branch of the radius , posterior media the concave branch of the media , Cu1 and Cu2 are respectively convex and concave , while the primitive Postcubitus and the first vannal have each an anterior convex branch and a posterior concave branch . The convex or concave nature of the veins has been used as evidence in determining the identities of the persisting distal branches of the veins of modern insects , but it has not been demonstrated to be consistent for all wings .   Fields ( edit )   Wing areas are delimited and subdivided by fold - lines along which the wing can fold , and flexion - lines along which the wing can flex during flight . The fundamental distinction between the flexion - lines and the fold - lines is often blurred , as fold - lines may permit some flexibility or vice versa . Two constants that are found in nearly all insect wings are the claval ( a flexion - line ) and jugal folds ( or fold line ) ; forming variable and unsatisfactory boundaries . Wing foldings can very complicated , with transverse folding occurs in the hindwings of Dermaptera and Coleoptera , and in some insects the anal area can be folded like a fan . There are about four different fields found on the insect wings :    Remigium     Anal area ( vannus )     Jugal area     Axillary area     Alula    Most veins and crossveins occur in the anterior area of the remigium , which is responsible for most of the flight , powered by the thoracic muscles . The posterior portion of the remigium is sometimes called the clavus ; the two other posterior fields are the anal and jugal ares . When the vannal fold has the usual position anterior to the group of anal veins , the remigium contains the costal , subcostal , radial , medial , cubital , and postcubital veins . In the flexed wing the remigiumturns posteriorly on the flexible basal connection of the radius with the second axillary , and the base of the mediocubital field is folded medially on the axillary region along the plica basalis ( bf ) between the median plates ( m , m ' ) of the wing base .   The vannus is bordered by the vannal fold , which typically occurs between the postcubitus and the first vannal vein . In Orthoptera it usually has this position . In the forewing of Blattidae , however , the only fold in this part of the wing lies immediately before the postcubitus . In Plecoptera the vannal fold is posterior to the postcubitus , but proximally it crosses the base of the first vannal vein . In the cicada the vannal fold lies immediately behind the first vannal vein ( lV ) . These small variations in the actual position of the vannal fold , however , do not affect the unity of action of the vannal veins , controlled by the flexor sclerite ( 3Ax ) , in the flexion of the wing . In the hindwings of most Orthoptera a secondary vena dividens forms a rib in the vannal fold . The vannus is usually triangular in shape , and its veins typically spread out from the third axillary like the ribs of a fan . Some of the vannal veins may be branched , and secondary veins may alternate with the primary veins . The vannal region is usually best developed in the hindwing , in which it may be enlarged to form a sustaining surface , as in Plecoptera and Orthoptera . The great fanlike expansions of the hindwings of Acrididae are clearly the vannal regions , since their veins are all supported on the third axillary sclerites on the wing bases , though Martynov ( 1925 ) ascribes most of the fan areas in Acrididae to the jugal regions of the wings . The true jugum of the acridid wing is represented only by the small membrane ( Ju ) mesad of the last vannal vein . The jugum is more highly developed in some other Polyneoptera , as in the Mantidae . In most of the higher insects with narrow wings the vannus becomes reduced , and the vannal fold is lost , but even in such cases the flexed wing may bend along a line between the postcubitus and the first vannal vein .   The Jugal Region , or Neala , is a region of the wing that is usually a small membranous area proximal to the base of the vannus strengthened by a few small , irregular veinlike thickenings ; but when well developed it is a distinct section of the wing and may contain one or two jugal veins . When the jugal area of the forewing is developed as a free lobe , it projects beneath the humeral angle of the hindwing and thus serves to yoke the two wings together . In the Jugatae group of Lepidoptera it bears a long finger - like lobe . The jugal region was termed the neala ( `` new wing '' ) because it is evidently a secondary and recently developed part of the wing .   The axillary region is region containing the axillary sclerites has in general the form of a scalene triangle . The base of the triangle ( a-b ) is the hinge of the wing with the body ; the apex ( c ) is the distal end of the third axillary sclerite ; the longer side is anterior to the apex . The point d on the anterior side of the triangle marks the articulation of the radial vein with the second axillary sclerite . The line between d and c is the plica basalis ( bf ) , or fold of the wing at the base of the mediocubital field .   At the posterior angle of the wing base in some Diptera there is a pair of membranous lobes ( squamae , or calypteres ) known as the alula . The alula is well developed in the house fly . The outer squama ( c ) arises from the wing base behind the third axillary sclerite ( 3Ax ) and evidently represents the jugal lobe of other insects ( A , D ) ; the larger inner squama ( d ) arises from the posterior scutellar margin of the tergum of the wing - bearing segment and forms a protective , hoodlike canopy over the halter . In the flexed wing the outer squama of the alula is turned upside down above the inner squama , the latter not being affected by the movement of the wing . In many Diptera a deep incision of the anal area of the wing membrane behind the single vannal vein sets off a proximal alar lobe distal to the outer squama of the alula .   Joints ( edit )   The various movements of the wings , especially in insects that flex the wings horizontally over the back when at rest , demand a more complicated articular structure at the wing base than a mere hinge of the wing with the body . Each wing is attached to the body by a membranous basal area , but the articular membrane contains a number of small articular sclerites , collectively known as the pteralia . The pteralia include an anterior humeral plate at the base of the costal vein , a group of axillaries ( Ax ) associated with the subcostal , radial , and vannal veins , and two less definite median plates ( m , m ' ) at the base of the mediocubital area . The axillaries are specifically developed only in the wing - flexing insects , where they constitute the flexor mechanism of the wing operated by the flexor muscle arising on the pleuron . Characteristic of the wing base is also a small lobe on the anterior margin of the articular area proximal to the humeral plate , which , in the forewing of some insects , is developed into a large , flat , scale - like flap , the tegula , overlapping the base of the wing . Posteriorly the articular membrane often forms an ample lobe between the wing and the body , and its margin is generally thickened and corrugated , giving the appearance of a ligament , the so - called axillary cord , continuous mesally with the posterior marginal scutellar fold of the tergal plate bearing the wing .   The articular sclerites , or pteralia , of the wing base of the wing - flexing insects and their relations to the body and the wing veins , shown diagrammatically , are as follows :    Humeral plates   First Axillary   Second Axillary   Third Axillary   Fourth Axillary   Median plates ( m , m ' )    The humeral plate is usually a small sclerite on the anterior margin of the wing base , movable and articulated with the base of the costal vein . Odonata have their humeral plate greatly enlarged , with two muscles arising from the episternum inserted into the Humeral plates and two from the edge of the epimeron inserted into the axillary plate .   The first axillary sclerite ( lAx ) is the anterior hinge plate of the wing base . Its anterior part is supported on the anterior notal wing process of the tergum ( ANP ) ; its posterior part articulates with the tergal margin . The anterior end of the sclerite is generally produced as a slender arm , the apex of which ( e ) is always associated with the base of the subcostal vein ( Sc ) , though it is not united with the latter . The body of the sclerite articulates laterally with the second axillary . The second axillary sclerite ( 2Ax ) is more variable in form than the first axillary , but its mechanical relations are no less definite . It is obliquely hinged to the outer margin of the body of the first axillary , and the radial vein ( R ) is always flexibly attached to its anterior end ( d ) . The second axillary presents both a dorsal and a ventral sclerotization in the wing base ; its ventral surface rests upon the fulcral wing process of the pleuron . The second axillary , therefore , is the pivotal sclerite of the wing base , and it specifically manipulates the radial vein .   The third axillary sclerite ( 3Ax ) lies in the posterior part of the articular region of the wing . Its form is highly variable and often irregular , but the third axillary is the sclerite on which is inserted the flexor muscle of the wing ( D ) . Mesally it articulates anteriorly ( f ) with the posterior end of the second axillary , and posteriorly ( b ) with the posterior wing process of the tergum ( PNP ) , or with a small fourth axillary when the latter is present . Distally the third axillary is prolonged in a process which is always associated with the bases of the group of veins in the anal region of the wing here termed the vannal veins ( V ) . The third axillary , therefore , is usually the posterior hinge plate of the wing base and is the active sclerite of the flexor mechanism , which directly manipulates the vannal veins . The contraction of the flexor muscle ( D ) revolves the third axillary on its mesal articulations ( b , f ) and thereby lifts its distal arm ; this movement produces the flexion of the wing . The Fourth Axillary sclerite is not a constant element of the wing base . When present it is usually a small plate intervening between the third axillary and the posterior notal wing process and is probably a detached piece of the latter .   The median plates ( m , m ' ) are also sclerites that are not so definitely differentiated as specific plates as are the three principal axillaries , but nevertheless they are important elements of the flexor apparatus . They lie in the median area of the wing base distal to the second and third axillaries and are separated from each other by an oblique line ( bf ) which forms a prominent convex fold during flexion of the wing . The proximal plate ( m ) is usually attached to the distal arm of the third axillary and perhaps should be regarded as a part of the latter . The distal plate ( m ' ) is less constantly present as a distinct sclerite and may be represented by a general sclerotization of the base of the mediocubital field of the wing . When the veins of this region are distinct at their bases , they are associated with the outer median plate .   Muscles ( edit )  The diamond - shaped alary muscles ( green ) of the mosquito Anopheles gambiae and their structural relationship to the tube - like heart ( also in green ) . Red depicts pericardial cells , blue cell nuclei .  The muscles that control flight in insects can take up to 10 % to 30 % of the total body mass . The muscles that control flight vary with the two types of flight found in insects : indirect and direct . Insects that use first , indirect , have the muscles attach to the tergum instead of the wings , as the name suggests . As the muscles contract , the thoracic box becomes distorted , transferring the energy to the wing . There are two `` bundles '' of muscles , those that span parallel to the tergum , the dorsolongitudinals , and those that are attached to the tegum and extend to the sternum , the dorsoventrals . In direct muscle , the connection is directly from the pleuron ( thoracic wall ) to individual sclerites located at the base of the wing . The subalar and basalar muscles have ligament attachments to the subalar and basalar sclerites . Here resilin , a highly elastic material , forms the ligaments connecting flight muscles to the wing apparatus .   In more derived orders of insects , such as Diptera ( flies ) and Hymenoptera ( wasp ) , the indirect muscles occupy the greatest volume of the pterothorax and function as the primary source of power for the wingstroke . Contraction of the dorsolongitudinal muscles causes the severe arching of the notum which depresses the wing while contraction of the dorsoventral muscles causes opposite motion of notum . Other more primitive insects , such as Orthoptera ( locusts ) , Coleoptera ( beetles ) , and Odonata ( dragonflies ) use direct muscles that are responsible for developing the needed power for the up and down strokes .   Insect wing muscle is a strictly aerobic tissue . Per unit protein it consumes fuel and oxygen at rates taking place in a very concentrated and highly organized tissue so that the steady - state rates per unit volume represent an absolute record in biology . The fuel and oxygen rich blood is carried to the muscles through diffusion occurring in large amounts , in order to maintain the high level of energy used during flight . Many wing muscles are large and may be as large as 10 mm in length and 2 mm in width . Moreover , in some Diptera the fibres are of giant dimensions . For instance , in the very active Rutilia , the cross-section is 1800 μm long and more than 500 μm wide . The transport of fuel and oxygen from the surroundings to the sites of consumption and the reverse transport of carbon dioxide therefore represent a challenge to the biologist both in relation to transport in the liquid phase and in the intricate system of air tubes , i.e. in the tracheal system .   Coupling , folding , and other features ( edit )   In many insect species , the forewing and hindwing are coupled together , which improves the aerodynamic efficiency of flight . The most common coupling mechanism ( e.g. , Hymenoptera and Trichoptera ) is a row of small hooks on the forward margin of the hindwing , or `` hamuli '' , which lock onto the forewing , keeping them held together ( hamulate coupling ) . In some other insect species ( e.g. , Mecoptera , Lepidoptera , and some Trichoptera ) the jugal lobe of the forewing covers a portion of the hindwing ( jugal coupling ) , or the margins of the forewing and hindwing overlap broadly ( amplexiform coupling ) , or the hindwing bristles , or frenulum , hook under the retaining structure or retinaculum on the forewing .   When at rest , the wings are held over the back in most insects , which may involve longitudinal folding of the wing membrane and sometimes also transverse folding . Folding may sometimes occur along the flexion lines . Though fold lines may be transverse , as in the hindwings of beetles and earwigs , they are normally radial to the base of the wing , allowing adjacent sections of a wing to be folded over or under each other . The commonest fold line is the jugal fold , situated just behind the third anal vein , although , most Neoptera have a jugal fold just behind vein 3A on the forewings . It is sometimes also present on the hindwings . Where the anal area of the hindwing is large , as in Orthoptera and Blattodea , the whole of this part may be folded under the anterior part of the wing along a vannal fold a little posterior to the claval furrow . In addition , in Orthoptera and Blattodea , the anal area is folded like a fan along the veins , the anal veins being convex , at the crests of the folds , and the accessory veins concave . Whereas the claval furrow and jugal fold are probably homologous in different species , the vannal fold varies in position in different taxa . Folding is produced by a muscle arising on the pleuron and inserted into the third axillary sclerite in such a way that , when it contracts , the sclerite pivots about its points of articulation with the posterior notal process and the second axillary sclerite .   As a result , the distal arm of the third axillary sclerite rotates upwards and inwards , so that finally its position is completely reversed . The anal veins are articulated with this sclerite in such a way that when it moves they are carried with it and become flexed over the back of the insect . Activity of the same muscle in flight affects the power output of the wing and so it is also important in flight control . In orthopteroid insects , the elasticity of the cuticle causes the vannal area of the wing to fold along the veins . Consequently , energy is expended in unfolding this region when the wings are moved to the flight position . In general , wing extension probably results from the contraction of muscles attached to the basalar sclerite or , in some insects , to the subalar sclerite .   Flight ( edit )  Australian Emperor in flight ; it uses the direct flight mechanism . Main article : Insect flight  Flight mechanisms ( edit )   Two groups of relatively large insects , the Ephemeroptera ( mayflies ) and the Odonata ( dragonflies and damselflies ) have the flight muscles attached directly to their wings ; the wings can beat no faster than the rate at which nerves can send impulses to command the muscles to beat . All other living winged insects fly using a different mechanism , involving indirect flight muscles which cause the thorax to vibrate ; the wings can beat faster than the rate at which the muscles receive nerve impulses . This mechanism evolved once , and is the defining feature ( synapomorphy ) for the infraclass Neoptera .   Aerodynamics ( edit )  Main article : Insect aerodynamics  There are two basic aerodynamic models of insect flight . Most insects use a method that creates a spiralling leading edge vortex . Some very small insects use the fling and clap or Weis - Fogh mechanism in which the wings clap together above the insect 's body and then fling apart . As they fling open , the air gets sucked in and creates a vortex over each wing . This bound vortex then moves across the wing and , in the clap , acts as the starting vortex for the other wing . Circulation and lift are increased , at the price of wear and tear on the wings .   Many insects can hover by beating their wings rapidly , requiring sideways stabilization as well as lift .   A few insects use gliding flight , without the use of thrust . It is found in some species of arboreal ants , known as gliding ants .   Evolution ( edit )   Sometime in the Carboniferous Period , some 350 million years ago , when there were only two major land masses , insects began flying . How and why insect wings developed , however , is not well understood , largely due to the scarcity of appropriate fossils from the period of their development in the Lower Carboniferous . Three main theories on the origins of insect flight are that wings developed from paranotal lobes , extensions of the thoracic terga ; that they are modifications of movable abdominal gills as found on aquatic naiads of mayflies ; or that they developed from thoracic protrusions used as radiators .   Fossils ( edit )  Holotype wing of the extinct Cimbrophlebia brooksi . 49.5 Million Years old ; `` Boot Hill '' , Klondike Mountain Formation , Washington , USA .  Fossils from the Devonian ( 400 million years ago ) are all wingless , but by the Carboniferous ( 320 million years ago ) , more than 10 different genera of insects had fully functional wings . There is little preservation of transitional forms between the two periods . The earliest winged insects are from this time period ( Pterygota ) , including the Blattoptera , Caloneurodea , primitive stem - group Ephemeropterans , Orthoptera and Palaeodictyopteroidea . Very early Blattopterans ( during the Carboniferous ) had a very large discoid pronotum and coriaceous forewings with a distinct CuP vein ( an unbranched wing vein , lying near the claval fold and reaching the wing posterior margin ) . Even though the oldest definitive insect fossil is the Devonian Rhyniognatha hirsti , estimated at 396 -- 407 million years old , it possessed dicondylic mandibles , a feature associated with winged insects .   During the Permian , the dragonflies Odonata were the dominant aerial predator and probably dominated terrestrial inse</t>
  </si>
  <si>
    <t xml:space="preserve">where are the elytra located if they are present on an insect</t>
  </si>
  <si>
    <t xml:space="preserve"> In most species of beetles , the front pair of wings are modified and sclerotised ( hardened ) to form elytra and they protect the delicate hindwings which are folded beneath . The elytra are connected to the pterathorax ; being called as such because it is where the wings are connected ( pteron meaning `` wing '' in Greek ) . The elytra are not used for flight , but tend to cover the hind part of the body and protect the second pair of wings ( alae ) . The elytra must be raised in order to move the hind flight wings . A beetle 's flight wings are crossed with veins and are folded after landing , often along these veins , and are stored below the elytra . In some beetles , the ability to fly has been lost . These include some ground beetles ( family Carabidae ) and some `` true weevils '' ( family Curculionidae ) , but also some desert and cave - dwelling species of other families . Many of these species have the two elytra fused together , forming a solid shield over the abdomen . In a few families , both the ability to fly and the elytra have been lost , with the best known example being the glow - worms of the family Phengodidae , in which the females are larviform throughout their lives . </t>
  </si>
  <si>
    <t xml:space="preserve">when do new episodes of the big bang theory start</t>
  </si>
  <si>
    <t xml:space="preserve"> The Big Bang Theory is an American television sitcom created by Chuck Lorre and Bill Prady , both of whom serve as executive producers on the series , along with Steven Molaro . All three also serve as head writers . The show premiered on CBS on September 24 , 2007 . The series ' tenth season premiered on September 19 , 2016 . In March 2017 , the series was renewed for two additional seasons , bringing its total to twelve , and running through the 2018 -- 19 television season . The eleventh season premiered on September 25 , 2017 . </t>
  </si>
  <si>
    <t xml:space="preserve">List of Game of Thrones characters - wikipedia  List of Game of Thrones characters  Jump to : navigation , search This article is about the television series . For the main characters of the novels , see List of A Song of Ice and Fire characters .      ( hide ) This article has multiple issues . Please help improve it or discuss these issues on the talk page . ( Learn how and when to remove these template messages )      This article may contain an excessive amount of intricate detail that may only interest a specific audience . Please help by spinning off or relocating any relevant information , and removing excessive detail that may be against Wikipedia 's inclusion policy . ( April 2016 ) ( Learn how and when to remove this template message )         This article may be too long to read and navigate comfortably . Please consider splitting content into sub-articles , condensing it , or adding or removing subheadings. ( April 2016 )         This article contains too many pictures , charts or diagrams for its overall length . Please help to improve this article in accordance with the Manual of Style on use of images . ( August 2017 )    ( Learn how and when to remove this template message )     The characters from the American medieval fantasy television series Game of Thrones are based on their respective counterparts from author George R.R. Martin 's A Song of Ice and Fire series of novels . Set in a fictional universe that has been referred to so far as `` The Known World , '' the series follows a civil war for the Iron Throne of the continent of Westeros , fought between the rival royal and noble families and their respective supporters .   Contents  ( hide )   1 Cast   1.1 Main cast   1.2 Supporting cast     2 Main characters   2.1 Eddard `` Ned '' Stark   2.2 Robert Baratheon   2.3 Jaime Lannister   2.4 Catelyn Stark   2.5 Cersei Lannister   2.6 Daenerys Targaryen   2.7 Jorah Mormont   2.8 Petyr `` Littlefinger '' Baelish   2.9 Viserys Targaryen   2.10 Jon Snow   2.11 Sansa Stark   2.12 Arya Stark   2.13 Robb Stark   2.14 Theon Greyjoy   2.15 Brandon `` Bran '' Stark   2.16 Joffrey Baratheon   2.17 Sandor `` The Hound '' Clegane   2.18 Tyrion Lannister   2.19 Khal Drogo   2.20 Tywin Lannister   2.21 Davos Seaworth   2.22 Samwell Tarly   2.23 Margaery Tyrell   2.24 Stannis Baratheon   2.25 Melisandre   2.26 Jeor Mormont   2.27 Bronn   2.28 Varys   2.29 Shae   2.30 Ygritte   2.31 Talisa Maegyr   2.32 Gendry   2.33 Tormund Giantsbane   2.34 Gilly   2.35 Brienne of Tarth   2.36 Ramsay Bolton   2.37 Ellaria Sand   2.38 Daario Naharis   2.39 Missandei   2.40 Jaqen H'ghar   2.41 Tommen Baratheon   2.42 Roose Bolton   2.43 The High Sparrow     3 Supporting characters   3.1 House Arryn   3.2 House Baratheon   3.3 House Bolton   3.4 House Frey   3.5 House Greyjoy   3.6 House Lannister   3.7 House Martell   3.8 House Stark   3.9 House Targaryen   3.10 House Tully   3.11 House Tyrell   3.12 People of Essos   3.13 People of Westeros   3.14 Royal court and officials   3.15 Night 's Watch   3.16 Beyond the Wall   3.17 Animals     4 See also   5 Notes   6 References   7 External links    Cast ( edit )   Main cast ( edit )   The following cast members have been credited as main cast in the opening credits :     Actor / Actress   Character   Appearances             5   6   7   8     Sean Bean   Eddard `` Ned '' Stark   Starring     Recurring   Guest       Mark Addy   Robert Baratheon   Starring       Nikolaj Coster - Waldau   Jaime Lannister   Starring     Michelle Fairley   Catelyn Stark   Starring       Lena Headey   Cersei Lannister   Starring     Emilia Clarke   Daenerys Targaryen   Starring     Iain Glen   Jorah Mormont   Starring     Aidan Gillen   Petyr `` Littlefinger '' Baelish   Starring       Harry Lloyd   Viserys Targaryen   Starring       Kit Harington   Jon Snow   Starring     Sophie Turner   Sansa Stark   Starring     Maisie Williams   Arya Stark   Starring     Richard Madden   Robb Stark   Starring       Alfie Allen   Theon Greyjoy   Starring   TBA     Isaac Hempstead Wright   Bran Stark   Starring     Starring     Jack Gleeson   Joffrey Baratheon   Starring       Rory McCann   Sandor `` The Hound '' Clegane   Starring     Starring     Peter Dinklage   Tyrion Lannister   Starring     Jason Momoa   Khal Drogo   Starring       Charles Dance   Tywin Lannister   Recurring   Starring       Liam Cunningham   Davos Seaworth     Starring     John Bradley   Samwell Tarly   Recurring   Starring     Natalie Dormer   Margaery Tyrell     Starring       Stephen Dillane   Stannis Baratheon     Starring       Carice van Houten   Melisandre     Starring   TBA     James Cosmo   Jeor Mormont   Recurring   Starring       Jerome Flynn   Bronn   Recurring   Starring   TBA     Conleth Hill   Varys   Recurring   Starring   TBA     Sibel Kekilli   Shae   Recurring   Starring       Rose Leslie   Ygritte     Recurring   Starring       Oona Chaplin   Talisa Maegyr     Recurring   Starring       Joe Dempsie   Gendry   Recurring   Starring     Starring   TBA     Kristofer Hivju   Tormund Giantsbane     Recurring   Starring   TBA     Hannah Murray   Gilly     Recurring   Starring   TBA     Gwendoline Christie   Brienne of Tarth     Recurring   Starring   TBA     Iwan Rheon   Ramsay Bolton     Recurring   Starring       Indira Varma   Ellaria Sand     Recurring   Starring       Michiel Huisman   Daario Naharis     Recurring   Starring     TBA     Nathalie Emmanuel   Missandei     Recurring   Starring     Tom Wlaschiha   Jaqen H'ghar   Guest   Recurring     Starring     TBA     Dean - Charles Chapman   Tommen Baratheon   Recurring     Recurring   Starring       Michael McElhatton   Roose Bolton     Recurring   Starring       Jonathan Pryce   The High Sparrow     Recurring   Starring       In seasons 6 and 7 , Sebastian Croft portrays Ned Stark as a child and Robert Aramayo portrays him as a young man . In season 5 , Nell Williams portrays Cersei Lannister in a flashback scene . In season 3 , Daario Naharis is portrayed by Ed Skrein . In season 1 , Jaqen H'ghar appears in one scene , portrayed by an uncredited extra . In seasons 1 and 2 , Tommen Baratheon is portrayed by Callum Wharry .   Supporting cast ( edit )   Additionally the following cast members have appeared in 10 or more episodes of the show while maintaining a ' recurring ' status :     Actor / Actress   Character   Appearances             5   6   7   8     Julian Glover   Grand Maester Pycelle   Recurring       Ian Beattie   Meryn Trant   Recurring       Kristian Nairn   Hodor   Recurring     Recurring       Mark Stanley   Grenn   Recurring       Natalia Tena   Osha   Recurring     Recurring       Art Parkinson   Rickon Stark   Recurring     Recurring       Esmé Bianco   Ros   Recurring       Hafþór Júlíus Björnsson   Gregor Clegane   Recurring     Recurring     Dominic Carter   Janos Slynt   Recurring     Recurring       Eugene Simon   Lancel Lannister   Recurring     Recurring       Nell Tiger Free   Myrcella Baratheon   Recurring     Recurring   Guest       Ron Donachie   Rodrik Cassel   Recurring     Recurring       Donald Sumpter   Maester Luwin   Recurring       Amrita Acharia   Irri   Recurring       Roxanne McKee   Doreah   Recurring       Ian Gelder   Kevan Lannister   Recurring   Guest     Recurring       Ian McElhinney   Barristan Selmy   Recurring     Recurring       Luke Barnes   Rast   Recurring     Recurring       Peter Vaughan   Maester Aemon   Recurring     Guest   Recurring       Josef Altin   Pypar   Recurring     Guest   Recurring       Owen Teale   Alliser Thorne   Recurring     Recurring       Brian Fortune   Othell Yarwyck   Recurring     Recurring       Finn Jones   Loras Tyrell   Guest   Recurring       Ben Hawkey   Hot Pie   Guest   Recurring   Guest     Guest   TBA     Richard Dormer   Beric Dondarrion   Guest     Recurring     Guest   Recurring   TBA     Daniel Portman   Podrick Payne     Recurring   TBA     Ben Crompton   Eddison Tollett     Recurring   Guest   TBA     Gemma Whelan   Yara Greyjoy     Recurring   Guest     Recurring   TBA     Tara Fitzgerald   Selyse Florent     Guest   Recurring       William &amp; James Wilson   Little Sam     Recurring   TBA     Jacob Anderson   Grey Worm     Recurring     Anton Lesser   Qyburn     Recurring   TBA     Diana Rigg   Olenna Tyrell     Recurring       Kerry Ingram   Shireen Baratheon     Recurring       Ellie Kendrick   Meera Reed     Recurring     Recurring   TBA     Thomas Brodie - Sangster   Jojen Reed     Recurring       Paul Kaye   Thoros of Myr     Recurring     Guest   Recurring       Brenock O'Connor   Olly     Recurring       Roger Ashton - Griffiths   Mace Tyrell     Recurring       Faye Marsay   The Waif     Recurring       Michael Condron   Bowen Marsh     Recurring       In season 6 , Sam Coleman portrays Hodor as a child ( originally named Wylis ) . In season 1 , Gregor Clegane is portrayed by Conan Stevens and by Ian Whyte in season 2 . In seasons 1 and 2 , Myrcella Baratheon is portrayed by Aimee Richardson . In season 6 , Rodrik Cassel is portrayed by Fergus Leathem in flashback scenes . In season 1 , Beric Dondarrion is portrayed by David Michael Scott . In season 2 , Selyse Florent is portrayed by uncredited extra Sarah MacKeever .    Introduced in Season 1     Lino Facioli as Robin Arryn   Gethin Anthony as Renly Baratheon   Francis Magee as Yoren   Elyes Gabel as Rakharo   David Bradley as Walder Frey   Joseph Mawle as Benjen Stark   Dennis McKeever as an officer of the Night 's Watch   Steven Blount and John Stahl as Rickard Karstark   Susan Brown as Septa Mordane   Dar Salim as Qotho   Gerard Jordan and uncredited extra as Biter   Andy Beckwith and uncredited extra as Rorge   Kate Dickie as Lysa Arryn   Jamie Sives as Jory Cassel   Wilko Johnson as Ilyn Payne   Eros Vlahos as Lommy Greenhands   Emun Elliott as Marillion   Clive Mantle as Greatjon Umber   Mia Soteriou as Mirri Maz Duur   Miltos Yerolemou as Syrio Forel   Andrew Wilde as Tobho Mott   Roger Allam as Illyrio Mopatis   Jefferson Hall as Hugh of the Vale   Margaret John as Old Nan   Mark Lewis Jones as Shagga   Bronson Webb as Will   Rob Ostlere as Waymar Royce   Dermot Keaney as Gared   John Standing as Jon Arryn   Rhodri Hosking as Mycah   Antonia Christophers as Mhaegen   Sahara Knite as Armeca     Introduced in Season 2     Josephine Gillan as Marei   Sara Dylan as a handmaid   Steven Cole as Kovarro   Tony Way as Dontos Hollard   Robert Pugh as Craster   Nonso Anozie as Xaro Xhoan Daxos   Ralph Ineson as Dagmer Cleftjaw   Patrick Malahide as Balon Greyjoy   Edward Dogliani and Ross O'Hennessy as the Lord of Bones   Ian Hanmore as Pyat Pree   Fintan McKeown as Amory Lorch   Forbes KB as Lorren   Simon Armstrong as Qhorin Halfhand   Lucian Msamati as Salladhor Saan   Andy Kellegher as Polliver   Nicholas Blane as the Spice King   Karl Davies as Alton Lannister   Roy Dotrice as Hallyne   Oliver Ford Davies as Maester Cressen   Maisie Dee as Daisy   David Coakley as Drennan   Peter Ballance as Farlen   Paul Caddell as Jacks   Aidan Crowe as Quent   Tyrone McElhennon as Torrhen Karstark   Anthony Morris as the Tickler   Slavko Juraga as the Silk King   Laura Pradelska as Quaithe   David Fynn as Rennick     Introduced in Season 3     Tobias Menzies as Edmure Tully   Charlotte Hope as Myranda   Noah Taylor as Locke   Clive Russell as Brynden Tully   Will Tudor as Olyvar   Tom Brooke and Daniel Tuite as Lothar Frey   Tim Plester as Black Walder Rivers   Paul Bentley as the second High Septon   Mackenzie Crook as Orell   Philip McGinley as Anguy   Ciarán Hinds as Mance Rayder   Burn Gorman as Karl Tanner   Dan Hildebrand as Kraznys mo Nakloz   Dean - Charles Chapman as Martyn Lannister   Timothy Gibbons as Willem Lannister   Alexandra Dowling as Roslin Tully   Mark Killeen as Mero   Ramon Tikaram as Prendahl na Ghezn   Will O'Connell as Todder   Pixie Le Knot as Kayla   Jamie Michie as Steelshanks Walton   Clifford Barry as Greizhen mo Ullhor   George Georgiou as Razdal mo Eraz     Introduced in Season 4     Rupert Vansittart as Yohn Royce   Joel Fry as Hizdahr zo Loraq   Pedro Pascal as Oberyn Martell   Elizabeth Webster as Walda Bolton   Struan Rodger and Max von Sydow as the Three - eyed Raven   Octavia Alexandru and Kae Alexander as Leaf   Mark Gatiss as Tycho Nestoris   Yuri Kolokolnikov as Styr   Reece Noi as Mossador   Joseph Gatt as the Thenn Warg   Gary Oliver as Ternesio Terys   Lu Corfield as the Mole 's Town madam   Lois Winstone as a Mole 's Town prostitute   Alisdair Simpson as Donnel Waynwood   Paola Dionisotti as Anya Waynwood   Deirdre Monaghan as Morag   Jane McGrath as Sissy   Sarine Sofair as Lhara     Introduced in Season 5     Rosabell Laurenti Sellers as Tyene Sand   Jessica Henwick as Nymeria Sand   Keisha Castle - Hughes as Obara Sand   Hannah Waddingham as Septa Unella   DeObia Oparei as Areo Hotah   Alexander Siddig as Doran Martell   Toby Sebastian as Trystane Martell   Enzo Cilenti as Yezzan zo Qaggaz   Murray McArthur as Dim Dalba   Adewale Akinnuoye - Agbaje as Malko   Birgitte Hjort Sørensen as Karsi   Zahary Baharov as Loboda   J.J. Murphy as Denys Mallister   Jodhi May as Maggy the Frog   Nell Williams as young Cersei Lannister   Isabella Steinbarth as Melara Hetherspoon   Ali Lyons as Johnna   Oengus MacNamara as the thin man   Hattie Gotobed as Ghita   Meena Rayann as Vala     Introduced in Season 6     Richard Rycroft as Maester Wolkan   Pilou Asbæk as Euron Greyjoy   Bella Ramsey as Lyanna Mormont   Tim McInnerny as Robett Glover   James Faulkner as Randyll Tarly   Freddie Stroma and Tom Hopper as Dickon Tarly   Paul Rattray as Harald Karstark   Richard E. Grant as Izembaro   Joe Naufahu as Khal Moro   Essie Davis as Lady Crane   Lucy Hayes as Kitty Frey   Dean S. Jagger as Smalljon Umber   Michael Feast as Aeron Greyjoy   Kevin Eldon as Camello   Eline Powell as Bianca   Leigh Gill as Bobono   Rob Callender as Clarenzo   Gerald Lepkowski as Zanrush   Souad Faress as High Priestess of the Dosh Khaleen   Sean Blowers as Wyman Manderly   Tom Varey as Cley Cerwyn   Samantha Spiro as Melessa Tarly   Rebecca Benson as Talla Tarly   Ania Bukstein as Kinvara   Ian McShane as Brother Ray   Jóhannes Haukur Jóhannesson as Lem Lemoncloak   Ricky Champ as Gatins   Ian Davies as Morgan   Nathanael Saleh as Arthur   Annette Hannah as Frances   Eddie Jackson as Belicho Paenymion   Andrei Claude as Khal Rhalko   Tamer Hassan as Khal Forzho   Staz Nair as Qhono   Chuku Modu as Aggo   Deon Lee - Williams as Iggo   Hannah John - Kamen as Ornella   Sebastian Croft as child Eddard Stark   Matteo Elezi as child Benjen Stark   Cordelia Hill as child Lyanna Stark   Sam Coleman as young Wylis / Hodor   Annette Tierney as young Old Nan   Fergus Leathem as young Rodrik Cassel   Robert Aramayo as young Eddard Stark   Luke Roberts as Arthur Dayne   Eddie Eyre as Gerold Hightower   Leo Woodruff as young Howland Reed   Wayne Foskett as Rickard Stark   David Rintoul as Aerys ' The Mad King ' Targaryen   Aisling Franciosi as young Lyanna Stark     Introduced in Season 7     Jim Broadbent as Archmaester Ebrose   Brendan Cowell as Harrag   Megan Parkinson as Alys Karstark   Harry Grasby as Ned Umber   Wilf Scolding as Rhaegar Targaryen   Tom Chadbon as High Septon Maynard     Non-human characters cast     Richard Brake and Vladimir Furdik as the Night King   Ian Whyte as the giant Wun Weg Wun Dar Wun and various White Walkers   Ross Mullan as various White Walkers   Tim Loane as a White Walker   Ian Whyte as the giant Dongo the Dommed   Neil Fingleton as the giant Mag Mar Tun Doh Weg   Spencer Wilding as a White Walker    Main characters ( edit )   Eddard `` Ned '' Stark ( edit )  Sean Bean Main article : Ned Stark  Ned Stark ( season 1 , 6 - 7 ) portrayed by Sean Bean in season 1 as an adult , and by Sebastian Croft in season 6 as a child , and Robert Aramayo in season 6 and 7 as a young adult . Eddard `` Ned '' Stark of House Stark , Lord of Winterfell and Warden of the North , becomes the Hand of the King after Lord Jon Arryn 's death . He is known for his sense of honor and justice . He took part in Robert 's Rebellion after his sister Lyanna was kidnapped by Crown Prince Rhaegar Targaryen . When Ned 's father and brother went south to reclaim her , the `` Mad King '' Aerys Targaryen burned both of them alive . Ned and Robert Baratheon led the rebellion to unseat him from the throne . As the show opens , Ned has been content to remain in the north , but after the death of Lord Jon Arryn , he is convinced that it is his duty to accept the position of Hand of the King . Ned is not interested in politics , and prefers to rule with honor and follow the law . While investigating the reason for the death of Jon Arryn , he discovers that all three of Robert 's children with Queen Cersei were fathered by Cersei 's twin brother Jaime . When Ned confronts Cersei about the truth , she has him imprisoned for treason after he publicly denounces Joffrey . Ned is convinced by Varys that if he goes to his death honorably , as he is prepared to do , his daughters will suffer for it . To protect them , he sacrifices his honor and publicly declares that he was plotting to steal the throne and that Joffrey is the true king . Despite Cersei 's promise that Ned would be allowed to join the Night 's Watch in exile , Joffrey orders Ned 's execution for his own amusement and later torments Sansa by forcing her to look at her father 's head . His bones are later returned to Catelyn in the Stormlands by Petyr Baelish , who laments Ned 's downfall and that he was too honorable to seize power through force , rather insisting the throne pass to Lord Stannis Baratheron , Robert 's younger brother . Baelish 's preferred course of action , revealed only to Ned , had been to seize Cersei and her children first and rule in Joffrey 's name as Regent and Lord Protector . Ned 's execution , however , is not in vain , since he notifies Stannis of the truth of Joffrey 's parentage , and Stannis informs all of Westeros , which sets into motion the War of Five Kings against House Lannister .   Robert Baratheon ( edit )  Mark Addy Main article : Robert Baratheon  Robert Baratheon ( season 1 ) portrayed by Mark Addy . Robert Baratheon of House Baratheon , formerly a fierce warrior , became King of the Seven Kingdoms after leading a rebellion against Aerys II Targaryen . He was betrothed to Ned Stark 's sister Lyanna and loved her deeply , and she was kidnapped by Rhaegar Targaryen . Her father and another brother were killed when they went to King 's Landing to reclaim her , which resulted in Robert and Ned Stark 's revolt known as Robert 's Rebellion , whereupon the Targaryens were all slaughtered or routed from the Kingdoms . Since Robert 's family had closer ties to the former Royal family , this put Robert on the Iron Throne . Now , Robert has grown fat and miserable ; he has no more wars to fight , is surrounded by plotters and sycophants , hates and is bored by the constant work needed to manage the Kingdoms properly , and trapped in a political marriage to the scheming Cersei Lannister , whom he has never loved . He is unaware that none of his three children are his , but instead Jaime Lannister 's . Under his reign , the realm has been bankrupted , and Robert is deeply in debt to his wife 's family . Killed while hunting , he unknowingly leaves no rightful heir behind . His bastards are ordered dead by Joffrey , many of which are killed , and Gendry is subsequently forced to flee the capital .   Jaime Lannister ( edit )  Nikolaj Coster - Waldau Main article : Jaime Lannister  Jaime Lannister ( season 1 -- present ) portrayed by Nikolaj Coster - Waldau . Ser Jaime Lannister of House Lannister is a member of the Kingsguard and an exceptionally skilled swordsman . He is the Queen 's twin brother and has carried on an incestuous love affair with her all his life , fathering all three of her living children . He truly does love his sister and will do anything , no matter how rash , to stay close to her . He is nicknamed `` Kingslayer '' for killing the previous King , Aerys II , whom he was sworn to protect . He was allowed to keep his post in the current Kingsguard as he and his influential father helped Robert win the war , but no one feels he deserves this post , which frustrates Jaime . Despite Eddard Stark 's animosity against him for forsaking his oath to protect the King during Robert 's Rebellion , Jaime has great respect for Eddard , whom he considers a great warrior and his equal . Unlike his father and sister , Jaime cares deeply about his younger brother Tyrion . In Season 2 , Catelyn releases and sends Jaime to King 's Landing under Brienne of Tarth 's watch in exchange for a pledge to send her daughters home . On the journey , they are captured by the violent Locke , a man - at - arms under Roose Bolton , a Northern Lord . On their way to Harrenhal , now held by Bolton , the lowborn Locke cuts off Jaime 's sword hand to taunt his position and privilege . Jaime survives and is allowed to depart Harrenhal on condition that he acquits Bolton from any guilt . During his time in Harrenhal , Jaime reveals to Brienne on why he killed King Aerys II . Once freed , Jaime travels to King 's Landing with Brienne and disgraced Maester Qyburn , given by Bolton to tend to his injury , in tow . At the end of Season 3 , they arrive at the gates and Jaime reunites with Cersei . In season 4 , Jaime is fitted with a golden prosthetic hand and given a new sword , and is trained by Bronn in fencing with his left hand . Jaime is one of the few people in King 's Landing who believe in Tyrion 's innocence in killing Joffrey , and does his best to comfort his younger brother , while outright refusing Cersei 's order to kill Tyrion before his trial . When Tyrion is sentenced to death , Jaime frees Tyrion from captivity and arranges for him to be smuggled to Essos with Varys 's help . Jaime tells Cersei that he will travel to Dorne and bring Myrcella back . Myrcella says that she likes it in Dorne and does n't want to go back to King 's Landing . However , she eventually leaves with her uncle and Trystane , after Doran bargains to have his son take his seat on the Small Council . On the journey home , Jaime reveals his incestuous relationship to Cersei to their daughter , who then reveals she knows and is glad that Jaime is her father and hugs him , but moments later Myrcella collapses from poison and dies . In season 6 , Jaime returns to King 's Landing with Myrcella 's body and sends Doran a letter requesting the heads of Ellaria , Obara , Nymeria and Tyene , but later hears that both Doran and Trystane were killed by the Sands . In response to Cersei 's humiliation by the Faith Militant , Jaime ponders murdering the High Sparrow and marching on the Great Sept of Baelor with the army of House Tyrell to forcibly rescue Margaery from custody . He is foiled , however , when Tommen declares an allegiance between the Faith and the Crown , and dismisses Jaime from the Kingsguard , clearly on the High Sparrow 's orders . Jaime is later sent to the Riverlands with Bronn to oversee the surrender of Riverrun . He parleys with Brynden `` The Blackfish '' Tully , to no avail , and then falsely threatens Edmure Tully with the murder of his baby son if he does not get his men to surrender the castle . The castle eventually falls to the Lannisters and Freys . Jaime briefly crosses paths with Brienne and Podrick , but allows them to leave peacefully . He returns to King 's Landing shortly after the Great Sept 's destruction , and enters the Red Keep to see Cersei being crowned Queen . In Season 7 he commands the Lannister army , capturing Highgarden but suffering defeat when ambushed by Daenerys ' Dothraki forces and dragons . He clashes with Cersei over the threat from the Army of the Dead , and when she breaks her word over sending military support he leaves her and rides north alone .   Catelyn Stark ( edit )  Michelle Fairley Main article : Catelyn Stark  Catelyn Stark ( season 1 -- 3 ) portrayed by Michelle Fairley . Catelyn Stark of House Stark and House Tully ( née Tully ) , Lady of Winterfell , is the wife of Lord Eddard Stark . Born to the Lord and Lady of the Riverlands , she is the elder sister of Lysa Arryn , Lady of the Vale and Mistress of the Eyrie , and Lord Edmure Tully , Lord of Riverrun . After deducing that the Lannisters are responsible for the attempt on Bran Stark 's life , she travels to King 's Landing to warn Ned , and on her return trip has a chance encounter with Tyrion Lannister . Since Catelyn does not know about Tyrion 's complete innocence , she decides to take him captive because she believes that he is behind the attempt on her son 's life . She takes him to her sister , Lysa Arryn , so that he can be brought to justice but is not successful , as Tyrion is found innocent after a trial by combat . After her husband is arrested and her eldest son Robb goes to war for his release , she joins her son 's war council . Upon learning that her husband was executed by orders of King Joffrey , she vows to her son Robb that the Lannister family will pay with their lives . Throughout Season 2 , she aids her son Robb in the rebellion by advising him and attempting to broker alliances . While trying to form an alliance with Renly Baratheon , another claimant to the Iron Throne , she takes Brienne of Tarth into her service as an armswoman after Renly 's assassination . She frees Jaime Lannister , a valuable hostage to the Starks , in an attempt to exchange him for her captive daughters . Robb , feeling betrayed by what his mother has done , puts her under house arrest . Catelyn travels north with her son to her father 's funeral at her childhood home of Riverrun . She is killed in the Red Wedding Massacre after her desperate ( and futile ) pleas to the Freys to spare her son , threatening to slit Lady Frey 's throat if Robb dies . She keeps her promise , and is herself killed moments later when `` Black '' Walder Frey cuts her throat to the bone . In Season 4 , it is stated that her body was stripped naked and thrown into the river after the massacre as a mockery of House Tully 's funeral traditions . Though House Stark is stripped of all lands and titles by House Lannister as a result of Robb 's death and his ultimately failed rebellion against the Iron Throne , Catelyn and her son are later avenged in Season 6 and the first episode of Season 7 when her eldest daughter Sansa Stark and Sansa 's half brother Jon Snow successfully overthrow House Bolton and retake Winterfell and Jon is crowned the King in the North by the remaining Northern lords , wildlings , and Knights of the Vale , restoring Stark rule in the North in the process , while her youngest daughter Arya Stark returns to Westeros , murders Walder Frey , and later uses his face to disguise herself as him to poison all his sons and male descendants at the Twins , ultimately avenging the Red Wedding and exterminating House Frey .   Cersei Lannister ( edit )  Lena Headey Main article : Cersei Lannister  Cersei Lannister ( season 1 -- present ) portrayed by Lena Headey . Cersei Lannister of House Lannister and House Baratheon , Queen of the Seven Kingdoms of Westeros , is the wife of King Robert Baratheon . Her father arranged the marriage when she was a teenager , initiating himself as a political counselor for King Robert . The Lannisters are the richest family in Westeros , which is why Robert was interested in a marriage between them . Cersei has a twin brother , Jaime , with whom she has been involved in an incestuous affair from early childhood . All three of Cersei 's children are Jaime 's . Cersei 's main character attribute is her desire for power and her deep loyalty to her father , children , and brother Jaime . Cersei learns that her husband Robert is in danger of finding out that the children he sees as his heirs to the throne are not his . Robert meets his end as the result of a boar attack on a hunting trip , before Ned Stark tells him of the truth about his children . Cersei works quickly to instate her oldest son , Joffrey , on the throne , with her as his chief political advisor and Queen Regent . Joffrey quits listening to his mother , and by the beginning of the second season her father decides Cersei does not exercise enough control over her son , and her father sends his youngest son Tyrion as an additional political advisor . Cersei and Tyrion do not get along , and constantly try to undermine each other 's authority over the crown . As of the end of season 2 , Tyrion has accumulated more sway over the Iron Throne , and has shipped Cersei 's only daughter off against Cersei 's will to be married to the prince of Dorne . In season 3 , she takes pleasure in Tyrion 's diminished position and taunts him for being forced into a marriage pact with Sansa Stark , only to be told by her father that he intends to marry her to Loras Tyrell . At the end of the season , the two siblings ponder at their respective marriages , and Cersei reunites with Jaime in her bedchamber as he unexpectedly returns from captivity . In season 4 , she has Tyrion arrested after Joffrey is fatally poisoned . It is implied that she knows Tyrion 's guilt is highly unlikely , but just wants to see him dead , though Jaime refuses to carry out the order . Indeed , at Tyrion 's trial , it is obvious that Cersei has manipulated the entire procedure so that the only witnesses ( herself , Lord Varys , Meryn Trant , Grand Maester Pycelle and Shae ) give either incomplete or entirely false testimonies to implicate Tyrion and Sansa further in the murder . When Tyrion demands a trial by combat , Cersei quickly chooses Ser Gregor `` The Mountain '' Clegane as her champion to diminish Tyrion 's chances of acquittal , and has Bronn betrothed to a noblewoman so that Tyrion can not choose him as his champion . Cersei 's wish comes true when Tyrion 's champion , Oberyn Martell , is killed by Clegane , but she still refuses to marry Loras , even threatening her father with revealing the truth about her relationship with Jaime and the parentage of her children . Tywin rebuffs her threats , though he himself is killed by an escaping Tyrion soon afterwards . Cersei attends Tywin 's funeral and later orders a bounty on Tyrion 's head . Cersei and Jaime receive a message from Dorne : a small viper statue with a necklace in its fangs . Cersei tells Jaime that the necklace belongs to their daughter , Myrcella , who was sent to Dorne by Tyrion . Jaime tells Cersei that he will travel to Dorne and bring Myrcella back . Cersei meets with two hunters who have brought her a severed head , though she is disappointed to find that it is not Tyrion 's head . Qyburn lays claim to the head for his research and the two walk to a small council meeting . With the office of Hand of the King vacant , Cersei tells the council that she will stand in temporarily until Tommen chooses a new Hand . She appoints Mace Tyrell as the new Master of Coin and Qyburn as the new Master of Whisperers . When Cersei tries to appoint her uncle Kevan as the Master of War , he declines , telling her that as the queen mother she holds no power , and has no interest in serving in a council filled with her sycophants . In defiance of Cersei 's `` orders '' , Kevan states that he will return to Casterly Rock until he hears direct word from Tommen that he is required . Tommen soon weds Margaery Tyrell . Under Margaery 's influence , Tommen drops hints that he would like Cersei to return to Casterly Rock , but she refuses , and confronts Margaery , who insults her . Cersei catches the High Septon being punished for entering a brothel by her cousin Lancel , who has become a member of the Faith Militant , an extremist group that worships the Seven . Cersei talks to their leader , the High Sparrow , and instates him as the new High Septon . The Faith Militant then aggressively puncture all barrels of wine and trash Petyr Baelish 's brothel . They also arrest Margaery 's brother Loras on the grounds of his homosexuality . Tommen , at Margaery 's insistence , tries to get Cersei to release Loras , but Cersei swears she had nothing to do with it , After a trial , Loras is arrested after a prostitute named Olyvar testifies against Loras . Margaery is also arrested for lying about Loras ' sexual orientation , and both are put in dungeons . All of this delights Cersei , who goes to see Margaery in her cell and brings her a bowl of venison stew . Cersei has one final talk with the High Sparrow about the accomplishments of the pair , but he soon reveals that Lancel has confessed everything ( in Season 1 , Cersei had se</t>
  </si>
  <si>
    <t xml:space="preserve">who plays the head maester in game of thrones</t>
  </si>
  <si>
    <t xml:space="preserve">   Actor / Actress   Character   Appearances             5   6   7   8     Julian Glover   Grand Maester Pycelle   Recurring       Ian Beattie   Meryn Trant   Recurring       Kristian Nairn   Hodor   Recurring     Recurring       Mark Stanley   Grenn   Recurring       Natalia Tena   Osha   Recurring     Recurring       Art Parkinson   Rickon Stark   Recurring     Recurring       Esmé Bianco   Ros   Recurring       Hafþór Júlíus Björnsson   Gregor Clegane   Recurring     Recurring     Dominic Carter   Janos Slynt   Recurring     Recurring       Eugene Simon   Lancel Lannister   Recurring     Recurring       Nell Tiger Free   Myrcella Baratheon   Recurring     Recurring   Guest       Ron Donachie   Rodrik Cassel   Recurring     Recurring       Donald Sumpter   Maester Luwin   Recurring       Amrita Acharia   Irri   Recurring       Roxanne McKee   Doreah   Recurring       Ian Gelder   Kevan Lannister   Recurring   Guest     Recurring       Ian McElhinney   Barristan Selmy   Recurring     Recurring       Luke Barnes   Rast   Recurring     Recurring       Peter Vaughan   Maester Aemon   Recurring     Guest   Recurring       Josef Altin   Pypar   Recurring     Guest   Recurring       Owen Teale   Alliser Thorne   Recurring     Recurring       Brian Fortune   Othell Yarwyck   Recurring     Recurring       Finn Jones   Loras Tyrell   Guest   Recurring       Ben Hawkey   Hot Pie   Guest   Recurring   Guest     Guest   TBA     Richard Dormer   Beric Dondarrion   Guest     Recurring     Guest   Recurring   TBA     Daniel Portman   Podrick Payne     Recurring   TBA     Ben Crompton   Eddison Tollett     Recurring   Guest   TBA     Gemma Whelan   Yara Greyjoy     Recurring   Guest     Recurring   TBA     Tara Fitzgerald   Selyse Florent     Guest   Recurring       William &amp; James Wilson   Little Sam     Recurring   TBA     Jacob Anderson   Grey Worm     Recurring     Anton Lesser   Qyburn     Recurring   TBA     Diana Rigg   Olenna Tyrell     Recurring       Kerry Ingram   Shireen Baratheon     Recurring       Ellie Kendrick   Meera Reed     Recurring     Recurring   TBA     Thomas Brodie - Sangster   Jojen Reed     Recurring       Paul Kaye   Thoros of Myr     Recurring     Guest   Recurring       Brenock O'Connor   Olly     Recurring       Roger Ashton - Griffiths   Mace Tyrell     Recurring       Faye Marsay   The Waif     Recurring       Michael Condron   Bowen Marsh     Recurring     </t>
  </si>
  <si>
    <r>
      <rPr>
        <sz val="11"/>
        <color rgb="FF000000"/>
        <rFont val="Calibri"/>
        <family val="0"/>
        <charset val="1"/>
      </rPr>
      <t xml:space="preserve">United States one hundred - dollar bill - wikipedia  United States one hundred - dollar bill  Jump to : navigation , search  One Hundred dollars   ( United States )     Value   $100     Width   156 mm     Height   66.3 mm     Weight   c. 1.0 g     Security features   Security fibers , watermark , 3D security ribbon , optically variable ink , microprinting , raised printing , EURion constellation     Paper type   75 % cotton 25 % linen     Years of printing   1861 -- present     Obverse         Design   Benjamin Franklin , Declaration of Independence , quill pen , inkwell     Design date   2009     Reverse         Design   Independence Hall     Design date   2009     The United States one hundred - dollar bill ( $100 ) is a denomination of United States currency . Statesman , inventor , diplomat , and American founding father Benjamin Franklin is featured on the obverse of the bill . On the reverse of the banknote is an image of Independence Hall . The $100 bill is the largest denomination that has been printed since July 13 , 1969 , when the denominations of $500 , $1,000 , $5,000 , and $10,000 were retired . The Bureau of Engraving and Printing says the average life of a $100 bill in circulation is 90 months ( 7.5 years ) before it is replaced due to wear and tear .   The bills are also commonly referred to as `` Bens '' , `` Benjamins '' or `` Franklins '' , in reference to the use of Benjamin Franklin 's portrait on the denomination , or as `` C - Notes '' , based on the Roman numeral for 100 . The bill is one of two denominations printed today that does not feature a President of the United States ; the other is the $10 bill , featuring Alexander Hamilton . It is also the only denomination today to feature a building not located in Washington , D.C. , that being Independence Hall located in Philadelphia on the reverse . The time on the clock of Independence Hall on the reverse , according to the U.S. Bureau of Engraving and Printing , showed approximately 4 : 10 on the older contemporary notes and 10 : 30 on the series 2009A notes released in 2013 .   One hundred hundred - dollar bills are delivered by Federal Reserve Banks in mustard - colored straps ( $10,000 ) .   The Series 2009 $100 bill redesign was unveiled on April 21 , 2010 , and was issued to the public on October 8 , 2013 . The new bill costs 12.6 cents to produce and has a blue ribbon woven into the center of the currency with `` 100 '' and Liberty Bells , alternating , that appear when the bill is tilted .   The $100 bill comprises 77 % of all US currency in circulation , although according to former Federal Reserve Chairman Ben Bernanke , more than two - thirds of all $100 notes are held outside the United States .     Contents  ( hide )   1 Large size note history   2 Small size note history   3 Removal of large denomination bills ( $500 and up )   4 References   5 Further reading   6 External links      Large size note History ( edit )   ( approximately 7.4218 × 3.125 in ≅ 189 × 79 mm )  1863 $100 Legal Tender note Series 1878 $100 silver certificate 1880 $100 Legal Tender 1914 $100 Federal Reserve Note 1922 $100 Gold Certificate   1861 : Three - year 100 - dollar Interest Bearing Notes were issued that paid 7.3 % interest per year . These notes were not primarily designed to circulate and were payable to the original purchaser of the dollar bill . The obverse of the note featured a portrait of General Winfield Scott .   1862 : The first $100 United States Note was issued . Variations of this note were issued that resulted in slightly different wording ( obligations ) on the reverse ; the note was issued again in Series of 1863 .   1863 : Both one and two and one half year Interest Bearing Notes were issued that paid 5 % interest . The one - year Interest Bearing Notes featured a vignette of George Washington in the center , and allegorical figures representing `` The Guardian '' to the right and `` Justice '' to the left . The two - year notes featured a vignette of the U.S. treasury building in the center , a farmer and mechanic to the left , and sailors firing a cannon to the right .   1863 : The first $100 Gold Certificates were issued with a bald eagle to the left and large green 100 in the middle of the obverse . The reverse was distinctly printed in orange instead of green like all other U.S. federal government issued notes of the time .   1864 : Compound Interest Treasury Notes were issued that were intended to circulate for three years and paid 6 % interest compounded semi-annually . The obverse is similar to the 1863 one - year Interest Bearing Note .   1869 : A new $100 United States Note was issued with a portrait of Abraham Lincoln on the left of the obverse and an allegorical figure representing architecture on the right . Although this note is technically a United States Note , TREASURY NOTE appeared on it instead of UNITED STATES NOTE .   1870 : A new $100 Gold Certificate with a portrait of Thomas Hart Benton on the left side of the obverse was issued . The note was one - sided .   1870 : One hundred dollar National Gold Bank Notes were issued specifically for payment in gold coin by participating national gold banks . The obverse featured vignettes of Perry leaving the USS St. Lawrence and an allegorical figure to the right ; the reverse featured a vignette of U.S. gold coins .   1875 : The reverse of the Series of 1869 United States Note was redesigned . Also , TREASURY NOTE was changed to UNITED STATES NOTE on the obverse . This note was issued again in Series of 1878 and Series of 1880 .   1878 : The first $100 silver certificate was issued with a portrait of James Monroe on the left side of the obverse . The reverse was printed in black ink , unlike any other U.S. Federal Government issued bill .   1882 : A new and revised $100 Gold Certificate was issued . The obverse was partially the same as the Series 1870 gold certificate ; the border design , portrait of Thomas H. Benton , and large word GOLD , and gold - colored ink behind the serial numbers were all retained . The reverse featured a perched bald eagle and the Roman numeral for 100 , C .   1890 : One hundred dollar Treasury or `` Coin Notes '' were issued for government purchases of silver bullion from the silver mining industry . The note featured a portrait of Admiral David G. Farragut . The note was also nicknamed a `` watermelon note '' because of the watermelon - shaped 0 's in the large numeral 100 on the reverse ; the large numeral 100 was surrounded by an ornate design that occupied almost the entire note .   1891 : The reverse of the Series of 1890 Treasury Note was redesigned because the Treasury felt that it was too `` busy '' which would make it too easy to counterfeit . More open space was incorporated into the new design .   1891 : The obverse of the $100 Silver Certificate was slightly revised with some aspects of the design changed . The reverse was completely redesigned and also began to be printed in green ink .   1914 : The first $100 Federal Reserve Note was issued with a portrait of Benjamin Franklin on the obverse and allegorical figures representing labor , plenty , America , peace , and commerce on the reverse .   1922 : The Series of 1880 Gold Certificate was re-issued with an obligation to the right of the bottom - left serial number on the obverse .    Small size note History ( edit )   ( 6.14 × 2.61 in ≅ 157 × 66 mm )    1929 : Under the Series of 1928 , all U.S. currency was changed to its current size and began to carry a standardized design . All variations of the $100 bill would carry the same portrait of Benjamin Franklin , same border design on the obverse , and the same reverse with a vignette of Independence Hall . The $100 bill was issued as a Federal Reserve Note with a green seal and serial numbers and as a Gold Certificate with a golden seal and serial numbers .   1933 : As an emergency response to the Great Depression , additional money was pumped into the American economy through Federal Reserve Bank Notes issued under Series of 1929 . This was the only small - sized $100 bill that had a slightly different border design on the obverse . The serial numbers and seal on it were brown .   1934 : The redeemable in gold clause was removed from Federal Reserve Notes due to the U.S. withdrawing from the gold standard .   1934 : Special $100 Gold Certificates were issued for non-public , Federal Reserve bank - to - bank transactions . These notes featured a reverse printed in orange instead of green like all other small - sized notes . The wording on the obverse was also changed to ONE HUNDRED DOLLARS IN GOLD PAYABLE TO THE BEARER ON DEMAND AS AUTHORIZED BY LAW .   1950 : Many minor aspects on the obverse of the $100 Federal Reserve Note were changed . Most noticeably , the treasury seal , gray numeral 100 , and the Federal Reserve Seal were made smaller ; also , the Federal Reserve Seal had spikes added around it .   1963 : Because dollar bills were no longer redeemable in silver , beginning with Series 1963A , WILL PAY TO THE BEARER ON DEMAND was removed from the obverse of the $100 Federal Reserve Note and the obligation was shortened to its current wording , THIS NOTE IS LEGAL TENDER FOR ALL DEBTS , PUBLIC AND PRIVATE . Also , IN GOD WE TRUST was added to the reverse .   1966 : The first and only small - sized $100 United States Note was issued with a red seal and serial numbers . It was the first of all United States currency to use the new U.S. treasury seal with wording in English instead of Latin . Like the Series 1963 $2 and $5 United States Notes , it lacked WILL PAY TO THE BEARER ON DEMAND on the obverse and featured the motto IN GOD WE TRUST on the reverse . The $100 United States Note was issued due to legislation that specified a certain dollar amount of United States Notes that were to remain in circulation . Because the $2 and $5 United States Notes were soon to be discontinued , the dollar amount of United States Notes would drop , thus warranting the issuing of this note .   1990 : The first new - age anti-counterfeiting measures were introduced under Series 1990 with microscopic printing around Franklin 's portrait and a metallic security strip on the left side of the bill .   March 25 , 1996 : The first major design change since 1929 took place with the adoption of a contemporary style layout . The main intent of the new design was to deter counterfeiting . New security features included a watermark of Franklin to the right side of the bill , optically variable ink ( OVI ) that changed from green to black when viewed at different angles , a higher quality and enlarged portrait of Franklin , and hard - to - reproduce fine line printing around Franklin 's portrait and Independence Hall . Older security features such as interwoven red and blue silk fibers , microprinting , and a plastic security thread ( which now glows pink ( nominally red ) under a black light ) were kept . The individual Federal Reserve Bank Seal was changed to a unified Federal Reserve Seal along with an additional prefix letter being added to the serial number , w . The first of the Series 1996 bills were produced in October 1995 .   February 2007 : The first $100 bills ( a shipment of 128,000 star notes from the San Francisco FRB ) from the Western Currency Facility in Fort Worth , Texas are produced , almost 16 years after the first notes from the facility were produced . The shipment makes the $100 bill the most recently added production to the facility 's lineup . 4.6 billion notes were produced at the facility with series 2006 and Cabral and Paulson signatures , including about 4.15 million star notes .   October 8 , 2013 : The newest $100 bill was announced on April 21 , 2010 , and entered circulation on October 8 , 2013 . In addition to design changes introduced in 1996 , the obverse features the brown quill that was used to sign the Declaration of Independence ; faint phrases from the Declaration of Independence ; a bell in the inkwell that appears and disappears depending on the angle at which the bill is viewed ; teal background color ; a borderless portrait of Benjamin Franklin ; a blue `` 3D security ribbon '' ( trademarked `` Motion '' by Crane Currency ) on which images of Liberty Bells shift into numerical designations of `` 100 '' as the note is tilted ; and to the left of Franklin , small yellow 100s whose zeros form the EURion constellation . The reverse features small yellow EURion 100s and has the fine lines removed from around the vignette of Independence Hall . These notes were issued as Series 2009A with Rios - Geithner signatures . Many of these changes are intended not only to thwart counterfeiting but to also make it easier to quickly check authenticity and help vision impaired people .      Both views ( obverse and reverse ) of the Series 1934 $100 Gold Certificate .     Front of a Series 1966 $100 United States note .     Obverse of a Series 2006A $100 note .     Joseph - Siffred Duplessis portrait of Benjamin Franklin used on the $100 bill from 1929 until 1996 .     H.B. Hall engraving of Joseph - Siffred Duplessis portrait of an older Benjamin Franklin used on the $100 bill 1996 onward .     Comparison between a Series 1990 note with a 2013 note ( 1996 design not shown ) .     Removal of large denomination bills ( $500 and up ) ( edit )   The Federal Reserve announced the removal of large denominations of United States currency from circulation on July 14 , 1969 . The one - hundred - dollar bill was the largest denomination left in circulation . All the Federal Reserve Notes produced from Series 1928 up to before Series 1969 ( i.e. 1928 , 1928A , 1934 , 1934A , 1934B , 1934C , 1934D , 1950 , 1950A , 1950B , 1950C , 1950D , 1950E , 1963 , 1966 , 1966A ) of the $100 denomination added up to $23.1708 billion . Since some banknotes had been destroyed , and the population was 200 million at the time , there was less than one $100 banknote per capita circulating .   As of June 30 , 1969 , the U.S. coins and banknotes in circulation of all denominations were worth $50.936 billion of which $4.929 billion was circulating overseas . So the currency and coin circulating within the United States was $230 per capita . Since 1969 , the demand for U.S. currency has greatly increased . The total amount of circulating currency and coin passed one trillion dollars in March 2011 .   Despite the degradation in the value of the U.S. $100 banknote ( which was worth more in 1969 than a U.S. $500 note would be worth today ) , and despite competition from some more valuable foreign notes ( most notably , the 500 euro banknote ) , there are no plans to re-issue banknotes above $100 . The widespread use of electronic means to conduct high - value transactions today has made large - scale physical cash transactions obsolete and therefore , from the government 's point of view , unnecessary for the conduct of legitimate business . Quoting T. Allison , Assistant to the Board of the Federal Reserve System in his October 8 , 1998 testimony before the U.S. House of Representatives , Subcommittee on Domestic and International Monetary Policy , Committee on Banking and Financial Services :   There are public policies against reissuing the $500 note , mainly because many of those efficiency gains , such as lower shipment and storage costs , would accrue not only to legitimate users of bank notes but also to money launderers , tax evaders and a variety of other lawbreakers who use currency in their criminal activity . While it is not at all clear that the volume of illegal drugs sold or the amount of tax evasion would necessarily increase just as a consequence of the availability of a larger dollar denomination bill , it no doubt is the case that if wrongdoers were provided with an easier mechanism to launder their funds and hide their profits , enforcement authorities could have a harder time detecting certain illicit transactions occurring in cash .   References ( edit )    Jump up ^ U.S. Currency Education Program . `` Weight of a US Banknote '' . uscurrency.gov . US Federal Reserve . Retrieved 19 January 2018 .   Jump up ^ `` For Collectors : Large Denominations '' . Bureau of Engraving and Printing . Archived from the original on September 11 , 2007 . Retrieved 2012 - 04 - 06 .   Jump up ^ `` Money Facts '' . Bureau of Engraving and Printing . Archived from the original on 2012 - 03 - 10 . Retrieved 2012 - 04 - 06 .   ^ Jump up to : `` The Redesigned $100 Note '' . Bureau of Engraving and Printing. April 21 , 2010 . Archived from the original on April 28 , 2013 . Retrieved 2012 - 04 - 06 .   Jump up ^ Phillips , Matt . `` Why the share of $100 bills in circulation has been going up for over 40 years '' . Quartz . The Atlantic Media Company . Retrieved 8 October 2013 .   Jump up ^ `` Mishap At The Money Factory Delays $100 Bill Release '' . CBSMiami / CNN . CBS Local Media . 2013 - 09 - 06 . Retrieved 2013 - 09 - 09 .   Jump up ^ USPaperMoney.Info : Series 1996 $100 July 1999   Jump up ^ USPaperMoney.Info : Series 2006 $100 April 2012   Jump up ^ Crane Currency . `` MOTION Micro-Optics Banknote Security '' . Retrieved 6 October 2017 .   Jump up ^ uscurrency . `` $100 Note Podcast Episode : 1 '' . YouTube . Retrieved 2012 - 04 - 06 .   Jump up ^ `` US Paper Money information : Serial Number Ranges '' . USPaperMoney.Info . Retrieved 2012 - 04 - 06 .   Jump up ^ `` Some Tables of Historical U.S. Currency and Monetary Aggregates Data '' ( PDF ) . Federal Reserve Bank of St. Louis . Retrieved 2012 - 04 - 06 .   Jump up ^ `` Will Jumbo Euro Notes Threaten the Greenback ? '' . U.S. House of Representatives . October 8 , 1998 . Retrieved 2012 - 04 - 06 .    Further reading ( edit )    Friedberg , Arthur ; Ira Friedberg ; David Bowers ( 2005 ) . A Guide Book of United States Paper Money : Complete Source for History , Grading , and Prices ( Official Red Book ) . Whitman Publishing . ISBN 0 - 7948 - 1786 - 6 .   Hudgeons , Thomas ( 2005 ) . The Official Blackbook Price Guide to U.S. Paper Money 2006 ( 38th ed . ) . House of Collectibles . ISBN 1 - 4000 - 4845 - 1 . OCLC 244167611 .   Wilhite , Robert ( 1998 ) . Standard Catalog of United States Paper Money ( 17th ed . ) . Krause Publications . ISBN 0 - 87341 - 653 - 8 .    External links ( edit )       Wikimedia Commons has media related to 100 United States dollar banknotes .      Interactive Note - English   Evolution of the $100 Dollar Bill - Landmark Cash              United States currency and coinage     Topics     Federal Reserve System   Federal Reserve Note   U.S. dollar   U.S. Mint   Philadelphia   San Francisco   Denver   West Point     Bureau of Engraving and Printing   Mutilated currency       Current coinage     Penny ( 1 ¢ )   Nickel ( 5 ¢ )   Dime ( 10 ¢ )   Quarter ( 25 ¢ )   Half dollar ( 50 ¢ )   Dollar ( $1 )       Bullion coinage     America the Beautiful Silver Bullion Coins   American Buffalo   American Gold Eagle   American Platinum Eagle   American Silver Eagle   American Palladium Eagle       Current paper money     $1   $2   $5   $10   $20   $50   $100       See also     Bicentennial coinage   Commemoratives   Early Commemoratives   Modern Commemoratives   Confederate dollar   Large denominations   Obsolete denominations   Promotional fake denominations   Counterfeit United States currency   Mill   Coin production   In God We Trust   E pluribus unum   Annuit cœptis   Nicknames   Replacement banknote   Sales tax token                 Benjamin Franklin     January 6 , 1706 -- April 17 , 1790  President of Pennsylvania ( 1785 -- 1788 ) , Ambassador to France ( 1779 -- 1785 )  Second Continental Congress ( 1775 -- 1776 )     Founding of the United States     Join , or Die ( 1754 political cartoon )   Albany Plan of Union   Albany Congress     Hutchinson Letters Affair   Committee of Secret Correspondence   Committee of Five   Declaration of Independence   Model Treaty   Franco - American alliance   Treaty of Amity and Commerce   Treaty of Alliance     Staten Island Peace Conference   Treaty of Paris , 1783   Delegate , 1787 Constitutional Convention   Pennsylvania Provincial Assembly   Postmaster General   Founding Fathers       Inventions , other events     Franklin 's electrostatic machine   Bifocals   Franklin stove   Glass armonica   Gulf Stream exploration , naming , and chart   Lightning rod   Kite experiment   Pay it forward   Associators   111th Infantry Regiment     Junto club   American Philosophical Society   Library Company of Philadelphia   Pennsylvania Hospital   Academy and College of Philadelphia   University of Pennsylvania     Philadelphia Contributionship   Union Fire Company   Early American currency   Fugio Cent   United States Postal Service   President , Pennsylvania Abolition Society   Master , Les Neuf Sœurs   Other social contributions and studies   Gravesite       Writings     Silence Dogood letters ( 1722 )   A Dissertation on Liberty and Necessity , Pleasure and Pain ( 1725 )   The Busy - Body letters ( 1729 )   Pennsylvania Gazette ( 1729 -- 1790 )   Poor Richard 's Almanack ( 1732 -- 1758 )   The Drinker 's Dictionary ( 1737 )   `` Advice to a Friend on Choosing a Mistress '' ( 1745 )   `` The Speech of Polly Baker '' ( 1747 )   Observations Concerning the Increase of Mankind , Peopling of Countries , etc . ( 1751 )   Experiments and Observations on Electricity ( 1751 )   Birch letters ( 1755 )   The Way to Wealth ( 1758 )   Pennsylvania Chronicle ( 1767 )   Rules by Which a Great Empire May Be Reduced to a Small One ( 1773 )   Proposed alliance with the Iroquois ( 1775 )   A Letter To A Royal Academy ( 1781 )   Remarks Concerning the Savages of North America ( 1784 )   The Morals of Chess ( 1786 )   An Address to the Public ( 1789 )   A Plan for Improving the Condition of the Free Blacks ( 1789 )   The Autobiography of Benjamin Franklin ( 1771 -- 90 , pub. 1791 )   Bagatelles and Satires ( pub. 1845 )   Franklin as a journalist       Legacy     Franklin Court   Benjamin Franklin House   Benjamin Franklin Institute of Technology   Benjamin Franklin National Memorial   Franklin Institute   Benjamin Franklin Medal   Depicted in The Apotheosis of Washington   Benjamin Franklin statue , Washington D.C.   In popular culture   Ben and Me ( 1953 short )   Ben Franklin in Paris ( 1964 musical play )   1776 ( 1969 musical   1972 film )   Benjamin Franklin ( 1974 miniseries )   Liberty ! ( 1997 documentary series )   Liberty 's Kids ( 2002 animated series )   Benjamin Franklin ( 2002 documentary series )   John Adams ( 2008 miniseries )   Sons of Liberty ( 2015 miniseries )   Sons of Ben ( supporters group for the Philadelphia Union soccer club     Refunding Certificate   Franklin half dollar   One - hundred dollar bill   Washington - Franklin stamps   other stamps     Cities , counties , schools named for Franklin   Franklin Field   State of Franklin   Ships named USS Franklin   Ben Franklin effect       Related     Age of Enlightenment   American Enlightenment   The New - England Courant   The American Museum magazine   American Revolution   patriots     Syng inkstand       Family     Deborah Read ( wife )   Sarah Franklin Bache ( daughter )   Francis Franklin ( son )   William Franklin ( son )   Richard Bache Jr. ( grandson )   Benjamin F. Bache ( grandson )   Louis F. Bache ( grandson )   William Franklin ( grandson )   Andrew Harwood ( great - grandson )   Alexander Bache ( great - grandson )   Josiah Franklin ( father )   Jane Mecom ( sister )   James Franklin ( brother )   Mary Morrell Folger ( grandmother )   Peter Folger ( grandfather )   Richard Bache ( son - in - law )   Ann Smith Franklin ( sister - in - law )      Retrieved from `` https://en.wikipedia.org/w/index.php?title=United_States_one_hundred-dollar_bill&amp;oldid=835801959 '' Categories :   Currency introduced in 1861   Works about Benjamin Franklin   One - hundred - base - unit banknotes   Banknotes of the United States           Talk                                           Contents                   About Wikipedia                                                 Deutsch   Español   فارسی   Français   </t>
    </r>
    <r>
      <rPr>
        <sz val="11"/>
        <color rgb="FF000000"/>
        <rFont val="Noto Sans CJK SC"/>
        <family val="2"/>
      </rPr>
      <t xml:space="preserve">한국어   </t>
    </r>
    <r>
      <rPr>
        <sz val="11"/>
        <color rgb="FF000000"/>
        <rFont val="Calibri"/>
        <family val="0"/>
        <charset val="1"/>
      </rPr>
      <t xml:space="preserve">Bahasa Indonesia   Қазақша   Русский   Українська   </t>
    </r>
    <r>
      <rPr>
        <sz val="11"/>
        <color rgb="FF000000"/>
        <rFont val="Noto Sans CJK SC"/>
        <family val="2"/>
      </rPr>
      <t xml:space="preserve">中文  </t>
    </r>
    <r>
      <rPr>
        <sz val="11"/>
        <color rgb="FF000000"/>
        <rFont val="Calibri"/>
        <family val="0"/>
        <charset val="1"/>
      </rPr>
      <t xml:space="preserve">3 more  Edit links   This page was last edited on 10 April 2018 , at 21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</si>
  <si>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new hundred dollar come out</t>
  </si>
  <si>
    <t xml:space="preserve"> The Series 2009 $100 bill redesign was unveiled on April 21 , 2010 , and was issued to the public on October 8 , 2013 . The new bill costs 12.6 cents to produce and has a blue ribbon woven into the center of the currency with `` 100 '' and Liberty Bells , alternating , that appear when the bill is tilted . </t>
  </si>
  <si>
    <t xml:space="preserve">Legal drinking age - Wikipedia  Legal drinking age       This article needs to be updated . Please update this article to reflect recent events or newly available information . ( April 2018 )    Minimum legal age to purchase alcohol by country : Illegal regardless of age Minimum age is 25 Minimum age is 21 Minimum age is 20 Minimum age is 19 Minimum age is 18 Minimum age is 17 Minimum age is 16 Minimum age is 15 No regulation / no age set  The legal drinking age is the age at which a person can legally consume alcoholic beverages . These laws cover a wide range of issues and behaviors , addressing when and where alcohol can be consumed . The minimum age alcohol can be legally consumed can be different from the age when it can be purchased in some countries . These laws vary between different countries and many laws have exemptions or special circumstances . Most laws apply only to drinking alcohol in public places , with alcohol consumption in the home being mostly unregulated ( an exception being the UK , which has a minimum legal age of five for supervised consumption in private places ) . Some countries also have different age limits for different types of alcoholic drinks .   Kazakhstan , Oman , Pakistan , Qatar , Sri Lanka , Tajikistan , Thailand , United Arab Emirates , Federated States of Micronesia , Palau , Paraguay , Solomon Islands , India ( certain states ) , the United States ( except U.S. Virgin Islands and Puerto Rico ) , Yemen ( Aden and Sana'a ) , Japan , Iceland , Canada ( certain Provinces and Territories ) , and South Korea have the highest set drinking ages ; however , some of these countries do not have off - premises drinking limits . Austria , Antigua and Barbuda , Belgium , Bermuda , British Virgin Islands , Cuba , Ethiopia , Gibraltar , Luxembourg and Nicaragua have the lowest set drinking ages .   The most commonly known reason for the law behind the legal drinking age is the effect on the brain in adolescents . because the brain is still maturing , alcohol can have a negative effect on the memory and long - term thinking . Alongside that , it can cause liver failure , and create a hormone imbalance in teens due to the constant changes and maturing of hormones during puberty .   Contents    1 Africa   2 Americas   3 Asia   4 Europe   5 Oceania   6 See also   7 References   8 External links    Africa ( edit )  Minimum legal age to purchase alcohol by country : Illegal Minimum purchase age of 21 years Minimum purchase age of 18 years Minimum purchase age of 17 years Minimum purchase age of 16 years Minimum purchase age of 15 years No minimum purchase age  The most common minimum age to purchase alcohol in Africa is 18 . Although it varies from the lowest age limit in Ethiopia being only 15 years , Zimbabwe with a minimum purchase age of 16 years , Gambia with an age limit of 17 years and Uganda where the minimum legal purchase age is 18 but minors aged 16 or 17 may consume a glass of beer , wine or cider with a meal at a restaurant . Cameroon and Egypt are the only countries in Africa with a minimum purchase age of 21 years . However Algeria , Angola ( except Luando Province ) , Central African Republic , Comoros , Equatorial Guinea , Gabon , Guinea - Bissau , Morocco , Togo , Tunisia and the Western Sahara have no laws on the book restricting the sale of alcohol to minors . In Libya , Somalia and Sudan the sale , production and consumption of alcohol is completely prohibited .     Country   State / region / province   De jure   Notes     Drinking age   Purchase age     Algeria   None       Angola     None   There is no national legislation prohibiting the sale of alcohol to minors .     Luanda Province   18   Legislation in Luanda Province :  It is illegal to sell alcoholic beverages to anyone under the age of 18 . It is also illegal for minors to buy and consume alcohol .      Botswana   None   18   It is illegal for any person with a liquor license to sell or supply alcoholic beverages to minors under the age of 18 years . Because the law only applies to licensees it is not illegal for minors to buy , consume or possess alcoholic beverages .     Burundi   None   18   It is illegal for any person with a liquor license to sell or supply alcoholic beverages to unaccompanied minors under the age of 18 years .     Cameroon   21 / 18   It is illegal for any person with a liquor license , to sell or supply alcoholic beverages to anyone under 18 years of age . The law permits adults from the ages 18 to 21 to consume , purchase and buy alcoholic beverages if accompanied by a person 21 years of age or older . Anyone over the age of 21 years may buy or consume alcohol unaccompanied .     Cape Verde   None   18   It is illegal for any person to sell or supply alcoholic beverages to minors under the age of 18 years .     Central African Republic   None       Comoros   None       Egypt   21       Equatorial Guinea   None       Eritrea   None   18   It is illegal for any person to sell or serve alcoholic beverages to minors under the age of 18 years .     Ethiopia   None   15   It is illegal for any person to sell , offer , serve or allow to serve alcoholic beverages `` in substantial quantities '' to any infant or young person . The criminal code defines a young person as any person under the age of 15 years . But the Criminal Code states : `` Whoever endangers the health of another , intentionally and unscrupulously , by administering or serving , or by causing or permitting to be administered or served , to minors ( defined as anyone under the age of 18 years ) ( ... ) alcoholic beverages or spirituous liquors of such kind or in such quantity as to make their injurious effect certain or probable , is punishable with simple imprisonment not exceeding one year , and fine . ''     Gabon   None       Gambia   None   17   It is illegal to sell , serve or supply alcoholic beverages to child or young person . A `` young person '' is defined as anyone under the age of 17 by the Children and Young Persons Act , 1949 Section 2 .     Ghana   18       Guinea - Bissau   None       Kenya   None   18   It is illegal to sell , serve or supply alcoholic beverages to anyone under the age of 18 years .     Lesotho   18   It is illegal to sell , serve or supply any alcoholic beverage to a minor under the age of 18 years . It is also illegal for minors to consume , buy or attempt to buy alcohol .     Liberia   None   18   It is illegal to sell , serve or supply alcoholic beverages to anyone under the age of 18 years .     Libya   Illegal   Previously Article 498 of the Libyan Penal Code prohibted the sale of alcoholic beverages to juveniles under the age of 16 years .     Malawi   None   18   It is illegal to sell , serve or supply alcoholic beverages to anyone under the age of 18 years .     Mauritius   None   18   It is illegal to sell , serve or supply alcoholic beverages to anyone under the age of 18 years .     Morocco   None       Mozambique   18       Namibia   None   18   It is illegal to sell , serve or supply alcoholic beverages to anyone under the age of 18 years .     Niger   18       Nigeria   18       Republic of the Congo   None   18       Rwanda   18       Senegal   18       Seychelles   18       Somalia   Illegal       South Africa   18   The parent , adult guardian of a minor or a person responsible for administering a religious sacrament , may on occasion supply to that minor a moderate quantity of liquor to be consumed by the minor in the presence and under the supervision of that parent , guardian or other person .     South Sudan   18       Sudan   Illegal       Swaziland   18       Tanzania   None   18       Togo   None       Tunisia   None       Uganda   None   18 16   It is illegal for any licensee to sell , serve or supply alcoholic beverages to anyone under the age of 18 years . The law provides an exception for anyone who is 16 or 17 years of age , and consumes a fermented alcoholic drink with a meal , in a part of a licensed premises that serves meals and is not a bar .     Western Sahara   None       Zambia   18   It is illegal for any person with a liquor license , to sell , serve or supply alcoholic beverages to anyone under 18 years of age . Before the Liquor Licensing Act was enacted in 2011 , the minimum age to sell , serve and supply alcoholic beverages was 14 years .     Zimbabwe   None   16   It is illegal for any person to sell , lend , give , supply , deliver or offer alcoholic beverages to any child under the age of 16 years , except upon production of a written order signed by the parent or guardian of the child known to such person . The police has the duty to seize any alcoholice beverage in the possession of a child under the age of 16 years without a written consent of the parents or legal guardian .     Americas ( edit )  Minimum legal age to purchase alcohol by country : Minimum purchase age of 21 years Minimum purchase age of 19 years Minimum purchase age of 18 years Minimum legal age to purchase alcohol by country : Minimum purchase age of 18 years Minimum purchase age of 16 years Minimum legal age to purchase alcohol by country : Minimum purchase age of 20 years Minimum purchase age of 18 years  The minimum age to purchase and consume varies , but the most common age is 18 years . However , in North America the age limits varies between 18 and 21 years of age . Throughout the United States the minimum legal age to purchase any alcoholic beverage from a shop , supermarket , liquor store , bar , club or any other licensed premises is 21 years of age . In Canada each province can decide which minimum age limit is to be set to buy or consume alcohol . Most provinces have a minimum age of 19 years , while Alberta , Manitoba and Quebec have set a minimum age of 18 years . In South America all countries have set a minimum purchase age of 18 years , except for Guyana where minors aged 16 or 17 may consume a glass of beer , wine or cider in a restaurant provided they buy a meal , and Paraguay the only country with a minimum legal purchase and drinking age of 20 years .     Country   State / region / province   De jure   hide Notes     Drinking age   Purchase age     Anguilla   None   18   It is illegal to sell or serve alcoholic drinks to anyone under the age of 18 years . Violating the regulation is punished with a $9.600 fine .     Antigua and Barbuda   None   16   The sale and distribution of alcohol to a person under 16 years of age is illegal .     Argentina   18       Bahamas   18   It is illegal for any adult to sell , serve or supply any alcoholic beverage to a child ( defined as anyone under the age of 18 years ) . The law provides an exception to treat an illness in urgent cases or upon order by a medical doctor .     Barbados   None   16   It is illegal to sell or serve any alcoholic beverage to anyone under the age of 16 years . The President of the Barbados Road Safety Association is trying to raise the drinking age to 18 years because the law is often violated .     Belize   18   Drinking age is rarely enforced . IDs are almost never requested .     Bermuda   18   It is illegal to sell or serve any alcoholic beverage to a child under the age of 18 years .     Bolivia   None   18   It is illegal to sell or serve alcoholic beverages to minors under the age of 18 years . Every sold alcoholic beverage has to have a warning message on the bottle or container reading : `` VENTA PROHIBIDA A MENORES DE 18 AÑOS DE EDAD '' ( Sale prohibited to ( anyone ) under 18 years of age ) and `` EL CONSUMO EXCESIVO DE ALCOHOL ES DAÑINO PARA LA SALUD '' ( Excessive alcohol consumption is harmful to ( ones ) health ) .     Brazil   None   18   It is illegal to sell , serve or supply any alcoholic beverage to a person under 18 years of age . The presidential law enacted on March 17 , 2015 made any violation of the law a criminal offence . Any adult person selling , serving , giving or supplying alcoholic beverages to a minor is punished with imprisonment of 2 to 4 years , a fine of R $3.000 to R $10.000 and a ban to operate any business selling or serving alcohol .     British Virgin Islands   16   It is illegal to sell or to supply alcohol to anyone under the age of 16 .     Canada   Alberta Manitoba Quebec   18   In Alberta no person may give or sell or permit any person to give or sell liquor to a minor in licensed premises . In Manitoba a person must not give , sell or otherwise supply liquor to a minor . the law provides exceptions for a doctor , dentist , pharmacist or other health care professional for medical purposes ; for sacramental purposes and by the parent , guardian , spouse or common - law partner , if it is given or supplied in a residence . In Quebec the law probits the sale of alcoholic beverages to a minor under the age of 18 years .     Ontario Saskatchewan British Columbia Newfoundland and Labrador Nova Scotia New Brunswick Prince Edward Island Northwest Territories Yukon Nunavut   19       Cayman Islands   18   It is prohibited to sell , serve or supply alcoholic beverages to anyone under the age of 18 years . It is also illegal for any minor to buy , attempt to buy or consume alcoholic beverages . Violation of the lawis punished with a fine of five thousand dollars , and the court may , if the offence was committed by the licensee , order that the licensee shall forfeit his licence and that no licence may be issued to that person for a period not exceeding ten years from the date of his conviction .     Chile   18   The minimum age is 18 to enter an enclosure that sells alcoholic beverages . Selling alcohol to a minor may incur a fine . One must provide identification upon request . Residents of Chile over the age of 18 must carry their Chilean identification card issued by the Civil Registry and Identification Service at all times .     Colombia   None   18   The law prohibits the sale of alcohol to a minor ( anyone under the age of 18 years ) . It is not illegal for minors to buy , attempt to buy or consume alcohol .     Costa Rica   None   18   The law prohibits the sale of alcohol to a minor ( anyone under the age of 18 years ) . Selling alcohol to a minor will be punished with a fine equivalent to ten basic salaries . Whoever permits minors to maintain in any establishment which main purpose is to sell alcoholic beverages , will be sanctioned with a fine equivalent to five salaries . It is not illegal for minors to buy , attempt to buy or consume alcohol .     Cuba   None   16   The penal code prohibits any adult to induce any young person under the age of 16 years , to habitually consume alcoholic beverages . However this means that de facto anyone selling , serving or supplying alcohol should check if the buyer has attained the age of 16 years . In most cases this law is not strictly enforced .     Dominican Republic   None   18       Ecuador   None   18   It is illegal to sell alcohol beverages to a minor under the age of 18 years of age . The law obligates establishments to place a visible notice at the point of sale and to check identification to enforce the law . However it is not illegal for minors to buy , attempt to buy or consume alcohol .     El Salvador   None   18   It is strictly prohibited to sell or serve alcoholic beverages to a minor under the age of 18 years . Violation of the law is punished with ¢ 25,000.00 and if convicted once more the license will be suspended for a period of six months . It is legal for minors to buy , attempt to buy and consume alcohol .     Falkland Islands   18   It is illegal for any adult to sell , give or provide alcohol to a minor under the age of 18 years in any public place or licensed premises . Parents may permit their children to consume alcohol on private premises . Minors consuming alcohol in public are committing a criminal offence . The law provides exceptions for the consumption of alcohol by minors for prescription of or at the direction of a government medical officer or in the course of the administration of Holy Communion according to the rites of any Christian denomination .     Grenada   18   It is illegal to sell , serve or supply any alcoholic drink to a minor under 18 years of age . Minors under 18 years are prohibited by law , to consume alcoholic beverages in public .     Guatemala   18   It is illegal to sell , serve or supply any alcoholic drink to a minor under 18 years of age . Minors under 18 years are prohibited by law , to consume alcoholic beverages in public .     Guyana   18 / 16 for beer , wine and cider with meal   It is illegal to sell or serve alcohol to a person under 18 years of age . The law provides an exception for minors aged 16 and 17 , if they consume a glass of beer , wine oder cider with a meal in a restaurant . Otherwise attempting to buy alcohol or buying alcohol as a minor is an offence .     Haiti   None   18   It is illegal to sell or serve alcohol to minors from May 17 , 2017 . Vendors are required to check identification .     Honduras   18       Jamaica   None   18   It is illegal to sell or serve any alcoholic beverage to a child ( which is defined as anyone under the age of 18 years ) .     Mexico   18   The minimum age to buy and consume alcoholic beverages is regulated by each state of Mexico . But all states have set a minimum age of 18 years , and in no state it is illegal for minors to buy and consume alcohol .     Nicaragua   None   14 18   The law from 1980 prohibits the sale of alcoholic beverages to minors under the age of 18 years . Every point of sale or establishment serving alcohol , is required to post a notice stating that the sale of alcohol to minors under 18 years of age is illegal . However the law permits children as young as 14 to purchase and consume alcohol in a restaurant without further restrictions .     Panama   None   18       Paraguay   20   According to Art . 1 ° of the law to `` ban on the sale of alcoholic beverages to minors '' , it is illegal to serve or sell alcohol or to allow the consumption by minors under 20 years of age . Furthermore , under Art 2 ° all public establishments selling alcohol must display a clearly legible notice in the sales area with the following text : `` ESTA PROHIBIDA LA VENTA DE BEBIDAS ALCOHÓLICAS A MENORES DE VEINTE AÑOS DE EDAD '' ( It is illegal ( prohibited ) to sell alcoholic beverages to minors under 20 years of age )     Peru   None   18       Puerto Rico   18       Saint Vincent and the Grenadines   16       Trinidad and Tobago   None   18   It is illegal to sell , serve or supply alcoholiv beverages to child under the age of 18 years . It is also illegal for an adult to send a child to buy alcohol on behalf . It is not illegal for children to buy or consume alcohol .     Turks and Caicos Islands   None   18   It is illegal to serve or sell liquor to a young person under the age of eighteen years . Minors under the age of sixteen years may not present in a licensed premises mainly serving and selling alcoholic beverages .     United States ( 50 states and integral territories )   Varies by jurisdiction   21   The National Minimum Drinking Age Act of 1984 withholds revenue from states that allow the purchase of alcohol by anyone under the age of 21 . Prior to the effective date of that Act , the drinking age varied from state to state . Some states do not allow those under the legal drinking age to be present in liquor stores or in bars ( usually , the difference between a bar and a restaurant is that food is served only in the latter ) . Contrary to popular belief , since the act went into law , only a few states prohibit minors and young adults from consuming alcohol in private settings . As of January 1 , 2010 , 15 states and the District of Columbia ban underage consumption outright , 17 states do not ban underage consumption , and the remaining 18 states have family member or location exceptions to their underage consumption laws .  Federal law explicitly provides for religious exceptions . As of 2005 , 31 states have family member or location exceptions to their underage possession laws . However , non-alcoholic beer in many ( but not all ) states , such as Idaho , Texas , and Maryland , is considered legal for those under the age of 21 .   By a judge 's ruling , South Carolina appears to allow the possession and consumption of alcohol by adults 18 to 20 years of age , but a circuit court judge has said otherwise .   The states of Washington and Wisconsin allows the consumption of alcohol in the presence of parents .   Some U.S. states have legislation that make providing to and possession of alcohol by persons under twenty - one a gross misdemeanor with a potential penalty of a $5,000 fine or up to a year in jail .  See also : Minor in Possession and List of alcohol laws of the United States     United States Virgin Islands   18       Uruguay   None   18   Only selling alcohol to minors under the age of 18 is prohibited , consumption and purchase by minors is not illegal .     Venezuela   None   18   Only selling alcohol to minors under the age of 18 is prohibited , consumption and purchase by minors is not illegal .     Asia ( edit )     Country   State / region / province   De jure   Notes     Drinking age   Purchase age     Afghanistan   Illegal     Bangladesh   ( Illegal for Muslims . )   Alcohol will be sold to foreigners in certain locations , albeit clandestinely .     Bhutan   18       Brunei   17 with restrictions , unless Muslim   Non-Muslims over 17 years of age are allowed to import alcohol not to exceed maximum total volume 2 liters of liquor and 12 cans of beer at 330 ml for personal use , once in 48 hours . This alcohol must be `` stored and consumed at the place of residence of the importer '' and is `` not to be given , transferred or sold to another person . '' .     Cambodia   None       China   Only selling alcohol to minors under the age of 18 is prohibited , consumption by minors is not illegal .   Introduced in January 2006 .     Hong Kong   18   The regulation is only applicable to restaurants , bars and clubs , where a liquor license is required . Private drinking is also not regulated .     India   18 -- 25 ( varies by jurisdiction )   Main article : Alcohol laws of India Consumption of alcohol is illegal in the states of Bihar , Gujarat and Nagaland .     Indonesia   21       Iran   Illegal   There is a ban on alcohol , but religious minorities may purchase small amounts from shops owned by the same religious minority .     Iraq   Illegal       Israel   None   18   Israel law prohibits selling or serving alcohol to minors , but it does not prohibit minors to drink , although the police may confiscate alcoholic drinks consumed by minors in public .     Japan   20       Jordan   18       Kazakhstan   21       Kuwait   Illegal       Kyrgyzstan   18       Lebanon   18   Often unenforced and according to a global school health study , 40 % of minors over 13 drink alcohol and up to 25 % buy it from stores .     Macau   None     Malaysia   21   Increased from 18 to 21 in December 2017 .     Maldives   Illegal except for tourists , 18   Sale of alcohol is limited to tourist resorts . It is illegal to sell alcohol to local Maldivians     Mongolia   18       Myanmar   None   18       Nepal   18   The legal age for consumption of alcohol in Nepal is 18 . However , there are exceptions to underage consumption for purposes of religious ceremonies .     North Korea   18       Oman   21   Residents need personal liquor licenses to consume alcohol in their private residences .     Pakistan   Illegal ( 18 for non-Muslims )   Non-Muslim citizens may possess alcohol to be used in accordance with religious ceremonies     Palestinian Authority   16   Legal in most cities .     Philippines   18       Qatar   Illegal   Muslims are allowed to purchase alcohol , but generally not allowed to consume . Non Muslims are allowed to purchase , and consume alcohol . The only legal distributor of alcohol in the country is the Qatar Distribution Company located in Doha .     Saudi Arabia   Illegal   Drinking or possessing alcohol is illegal in the Kingdom of Saudi Arabia . Persons who drink or possess alcohol are subject to arrest and trial . Punishments range from heavy fines , lengthy prison terms and whippings .     Singapore   None 18 )   18   For convenience stores , those who pretend to be 18 years and above in a `` Challenge 18 '' scheme will be downgraded to `` Challenge 21 '' scheme , and after which the licences will be revoked once they pretend to be 18 years and above if it is on `` Challenge 21 ''. . It is illegal to purchase alcohol in Singapore or consume in a nightclub / allow entry to the nightclub under 18 . Home and private drinking of alcohol is allowed , although the safest age could be 6 . Parents can try a sip of alcohol at any age .     South Korea   None   19   The age limit for alcohol is after January 1 of the year one 's age turns to 19 .     Sri Lanka   21       Syria   18       Taiwan   18     It is illegal for anyone under the age of 18 to consume alcohol .   Parents , guardians , and others taking care of people under 18 shall prohibit underage drinking , or risk administrative fines of 10000 to 50000 new Taiwan dollars when the situations are serious .   One shall not supply alcohol to anyone under the age of 18 . A violator shall be administratively fined 3000 to 15000 New Taiwan Dollars .       Tajikistan   18       Thailand   20   The Alcoholic Beverage Control Act of 2008 increased the drinking age in Thailand from 18 to 20 , private drinking is not regulated in private locations .     Turkmenistan   18       United Arab Emirates   18 -- 21 ( varies by jurisdiction )   Expatriate non-Muslim residents may request a liquor permit to purchase alcoholic beverages , but it is illegal for such holders to provide drinks to others .  The legal age for drinking alcohol is 18 in Abu Dhabi ( although a Ministry of Tourism by - law allows hotels to serve alcohol only to those over 21 ) , and 21 in Dubai and the Northern Emirates ( except Sharjah , where drinking alcohol is illegal ) .   It is a punishable offence to drink , or to be under the influence of alcohol , in public .      Uzbekistan   None   20       Vietnam   18       Yemen   Illegal   Exception is in Aden Region where it 's legal for 21 and up     Europe ( edit )  Minimum legal age to purchase alcohol by country : Minimum purchase age of 20 years Minimum purchase age of 18 years Minimum purchase age of 17 years Minimum purchase age of 16 years Laws banning minors from consuming alcohol in public / private : Minimum age to consume alcohol in public and private Minimum age to consume alcohol in public No minimum age to consume alcohol in public or private  Most countries within Europe have set 18 as the minimum age to purchase alcohol . Although Austria , Belgium , Cyprus , Denmark , Germany , Gibraltar , Liechtenstein , Luxembourg , Malta , Serbia and Switzerland ( except Ticino ) maintain a minimum purchase age below 18 years permitting minors either full or limited access to alcohol . In 2005 , 2007 and recently in 2015 the European Union has failed to enact a law forcing member states to raise their purchase age to 18 years . But in the past years several European countries have raised their drinking / purchase age or enacted laws restricting the access to alcohol for minors :    In 2002 the autonomous communities Madrid , Valencia and Catalonia raised their minimum purchase age to 18 years . Previous to 2002 Valencia and Madrid had a minimum purchase age of 16 years , and in Catalonia minors aged 16 or 17 could purchase alcohol up to 23 % ABV on and off premises .   In 2004 Denmark raised its off premises purchase age from 15 to 16 years .   In November 2005 Switzerland passed its `` Food and Commodities Regulation '' ( German : Lebensmittel - und Gebrauchsgegenständeverordnung ) , introducing a ban on alcohol sales to anyone under the age of 16 , even though `` Alcohol Law '' ( German : Alkoholgesetz ) passed in 1980 already required a minimum age of 18 years for the retail sale of distilled spirits . Therefore , it is illegal to sell fermented alcohol ( e.g. beer , wine , sparkling wine or cider ) to anyone under the age of 16 , and any distilled alcoholic beverages to anyone under the age of 18 years . Further the canton of Ticino introduced a cantonal law in 1989 banning all alcohol sales to anyone under the age of 18 years .   In 2006 the autonomous communitie Castile and León raised its minimum purchase age from 16 to 18 years .   In late 2006 , Gibraltar lawmakers passed the `` Children and Young Persons ( Alcohol , Tobacco and Gaming ) Act 2006 '' , which raised the minimum purchase age from 16 to 18 years . But the new law made an exception : minors aged 16 or 17 can purchase and consume on premises beer , wine or cider under 15 % ABV or pre-packed containers of an alcoholic strength not exceeding 5.5 % ABV ( e.g. alcopops ) .   In 2009 France raised its minimum purchase age to 18 years , and fines were increased for selling or serving alcohol to a minor ( up to 7,500 € ) . Previous to 2009 the minimum age to purchase any alcohol from off licensed premises was 16 years . In order to purchase alcohol on premises the minimum age was 16 years for low alcoholic beverages such as wine , beer , cider , perry , mead , crème de cassis and juices from fermented fruits or vegetables that contain 1.2 to 3 ° alcohol , natural sweet wines from controlled cultivation -- to purchase or be served stronger alcoholic drinks one had to be 18 years of age .   In October 2009 , the government of Malta passed a new law raising its drinking and purchase age from 16 to 17 years .   In 2010 the autonomous community of Galicia raised its minimum purchase age from 16 to 18 years .   In 2011 Denmark passed a new law , raising the minimum age for off - premises sale of alcohol &gt; 16.5 % ABV to 18 years of age . The age to purchase alcohol   Italy raised its minimum purchase age from 16 to 18 in 2012 . Previously Italy did not have a purchase age for off - premises sales , and the minimum age of 16 years for on premises sales was barely enforced .   In 2013 the government of Portugal restricted alcohol sales to young people : distilled spirits can not be sold to anyone under the age of 18 , and other alcohol ( e.g. beer , wine or cider ) ca n't be sold to anyone under the age of 16 . Previously the minimum age for all kinds of alcoholic beverages was 16 years .   As of 1 January 2014 , the minimum legal purchase and consumption age was raised from 16 to 18 in the Netherlands . Previously young people over the age of 16 could purchase and consume alcohol   As of March 2015 , the autonomous community of Asturias raised its drinking age from 16 to 18 years . Asturias was Spain 's last community with a drinking age of 16 years . The new law brings the drinking age into line with the rest of Spain .   As of 1 January 2018 , Lithuania raised its minimum drinking age from 18 to 20 years .      Country   State / region / province   De jure   Notes     Drinking age   Purchase age     Albania   18       Andorra   18       Armenia   None   18   There are no laws mandating alcohol vendors to ID potential underage drinkers . ID checks are very rarely , if ever , carried out     Austria   Burgenland Lower Austria Vienna   16       Carinthia Upper Austria Salzburg Styria Tyrol Vorarlberg   16 18   Carinthia also requires adolescents to maintain a blood alcohol level below 0.05 % .     Azerbaijan   None   18   It is illegal to sell or serve alcohol to a minor under 18 years of age .     Belarus   None   18   The law prohibits the sale of alcohol to anyone under the age of 18 years . However , the law is rarely enforced .     Belgium   None   16 18   Since 10 January 2010 , it is illegal to `` sell , serve , or offer '' any form of distilled alcohol to those under the age of 18 or any alcoholic drink to those under 16 . So fermented drinks like beer or wine are permitted above 16 . Previously , it was illegal to sell alcoholic drinks to under - 16s , but accompanying adults could buy drinks for them .     Bosnia and Herzegovina   None   18   Selling alcohol to a minor under the age of 18 years is an offence . The law does not prohibit minors from buying , attempting to buy or consuming alcohol .     Bulgaria   None   18   By law , it is illegal to serve or sell alcohol to any child under the age of 18 . There is no restrictions for minors consuming alcohol .     Croatia   None   18   It is prohibited to sell or serve alcohol to anyone under 18 years of age . There is no minimum age to buy or consume alcohol by law .     Cyprus   None   17   It is illega</t>
  </si>
  <si>
    <t xml:space="preserve">what's the legal age to drink in korea</t>
  </si>
  <si>
    <t xml:space="preserve">   Country   State / region / province   De jure   Notes     Drinking age   Purchase age     Afghanistan   Illegal     Bangladesh   ( Illegal for Muslims . )   Alcohol will be sold to foreigners in certain locations , albeit clandestinely .     Bhutan   18       Brunei   17 with restrictions , unless Muslim   Non-Muslims over 17 years of age are allowed to import alcohol not to exceed maximum total volume 2 liters of liquor and 12 cans of beer at 330 ml for personal use , once in 48 hours . This alcohol must be `` stored and consumed at the place of residence of the importer '' and is `` not to be given , transferred or sold to another person . '' .     Cambodia   None       China   Only selling alcohol to minors under the age of 18 is prohibited , consumption by minors is not illegal .   Introduced in January 2006 .     Hong Kong   18   The regulation is only applicable to restaurants , bars and clubs , where a liquor license is required . Private drinking is also not regulated .     India   18 -- 25 ( varies by jurisdiction )   Main article : Alcohol laws of India Consumption of alcohol is illegal in the states of Bihar , Gujarat and Nagaland .     Indonesia   21       Iran   Illegal   There is a ban on alcohol , but religious minorities may purchase small amounts from shops owned by the same religious minority .     Iraq   Illegal       Israel   None   18   Israel law prohibits selling or serving alcohol to minors , but it does not prohibit minors to drink , although the police may confiscate alcoholic drinks consumed by minors in public .     Japan   20       Jordan   18       Kazakhstan   21       Kuwait   Illegal       Kyrgyzstan   18       Lebanon   18   Often unenforced and according to a global school health study , 40 % of minors over 13 drink alcohol and up to 25 % buy it from stores .     Macau   None     Malaysia   21   Increased from 18 to 21 in December 2017 .     Maldives   Illegal except for tourists , 18   Sale of alcohol is limited to tourist resorts . It is illegal to sell alcohol to local Maldivians     Mongolia   18       Myanmar   None   18       Nepal   18   The legal age for consumption of alcohol in Nepal is 18 . However , there are exceptions to underage consumption for purposes of religious ceremonies .     North Korea   18       Oman   21   Residents need personal liquor licenses to consume alcohol in their private residences .     Pakistan   Illegal ( 18 for non-Muslims )   Non-Muslim citizens may possess alcohol to be used in accordance with religious ceremonies     Palestinian Authority   16   Legal in most cities .     Philippines   18       Qatar   Illegal   Muslims are allowed to purchase alcohol , but generally not allowed to consume . Non Muslims are allowed to purchase , and consume alcohol . The only legal distributor of alcohol in the country is the Qatar Distribution Company located in Doha .     Saudi Arabia   Illegal   Drinking or possessing alcohol is illegal in the Kingdom of Saudi Arabia . Persons who drink or possess alcohol are subject to arrest and trial . Punishments range from heavy fines , lengthy prison terms and whippings .     Singapore   None 18 )   18   For convenience stores , those who pretend to be 18 years and above in a `` Challenge 18 '' scheme will be downgraded to `` Challenge 21 '' scheme , and after which the licences will be revoked once they pretend to be 18 years and above if it is on `` Challenge 21 ''. . It is illegal to purchase alcohol in Singapore or consume in a nightclub / allow entry to the nightclub under 18 . Home and private drinking of alcohol is allowed , although the safest age could be 6 . Parents can try a sip of alcohol at any age .     South Korea   None   19   The age limit for alcohol is after January 1 of the year one 's age turns to 19 .     Sri Lanka   21       Syria   18       Taiwan   18     It is illegal for anyone under the age of 18 to consume alcohol .   Parents , guardians , and others taking care of people under 18 shall prohibit underage drinking , or risk administrative fines of 10000 to 50000 new Taiwan dollars when the situations are serious .   One shall not supply alcohol to anyone under the age of 18 . A violator shall be administratively fined 3000 to 15000 New Taiwan Dollars .       Tajikistan   18       Thailand   20   The Alcoholic Beverage Control Act of 2008 increased the drinking age in Thailand from 18 to 20 , private drinking is not regulated in private locations .     Turkmenistan   18       United Arab Emirates   18 -- 21 ( varies by jurisdiction )   Expatriate non-Muslim residents may request a liquor permit to purchase alcoholic beverages , but it is illegal for such holders to provide drinks to others .  The legal age for drinking alcohol is 18 in Abu Dhabi ( although a Ministry of Tourism by - law allows hotels to serve alcohol only to those over 21 ) , and 21 in Dubai and the Northern Emirates ( except Sharjah , where drinking alcohol is illegal ) .   It is a punishable offence to drink , or to be under the influence of alcohol , in public .      Uzbekistan   None   20       Vietnam   18       Yemen   Illegal   Exception is in Aden Region where it 's legal for 21 and up   </t>
  </si>
  <si>
    <r>
      <rPr>
        <sz val="11"/>
        <color rgb="FF000000"/>
        <rFont val="Calibri"/>
        <family val="0"/>
        <charset val="1"/>
      </rPr>
      <t xml:space="preserve">Aryabhata ( satellite ) - Wikipedia  Aryabhata ( satellite )  Jump to : navigation , search  Aryabhata   India 's first indigenously built Satellite launched into Space         Mission type   Astrophysics     Operator   ISRO     COSPAR ID   1975 - 033A     SATCAT no .   7752     Mission duration   4 days achieved             Spacecraft properties     Launch mass   360 kg ( 794 lb )     Power   46 watts             Start of mission     Launch date   19 April 1975 , 07 : 30 ( 1975 - 04 - 19UTC07 : 30Z ) UTC     Rocket   Kosmos - 3M     Launch site   Kapustin Yar 107 / 2             End of mission     Last contact   24 April 1975 ( 1975 - 04 - 25 )     Decay date   31 February 1992             Orbital parameters     Reference system   Geocentric     Regime   Low Earth     Perigee   568 kilometres ( 353 mi )     Apogee   611 kilometres ( 380 mi )     Inclination   50.6 degrees     Period   96.46 minutes     Epoch   19 May 1975         Aryabhata ( Hindi : आर्यभट ) was India 's first satellite , named after an Indian astronomer of the same name .     Contents  ( hide )   1 Launch   2 Legacy   3 See also   4 References   5 External links      Launch ( edit )   It was launched by India on 19 April 1975 from Kapustin Yar , a Russian rocket launch and development site in Astrakhan Oblast using a Kosmos - 3M launch vehicle . It was built by the Indian Space Research Organisation ( ISRO ) to gain experience in building and operating a satellite in space . The launch came from an agreement between India and the Soviet Union directed by UR Rao and signed in 1972 . It allowed the USSR to use Indian ports for tracking ships and launching vessels in return for launching Indian satellites.. Aryabhatta is the first indian man made ( artificial ) satellite .   On 19 April 1975 , the satellite 's 96.46 - minute orbit had an apogee of 611 kilometres ( 380 mi ) and a perigee of 568 kilometres ( 353 mi ) , at an inclination of 50.6 degrees . It was built to conduct experiments in X-ray astronomy , aeronomics , and solar physics . The spacecraft was a 26 - sided polyhedron 1.4 metres ( 4.6 ft ) in diameter . All faces ( except the top and bottom ) were covered with solar cells . A power failure halted experiments after four days and 60 orbits with all signals from the spacecraft lost after five days of operation . According to Soviet media reports , the satellite continued to function and transmit information for some time . The satellite returned to the Earth 's atmosphere on 11 February 1992 .   Legacy ( edit )  1984 USSR stamp featuring Bhaskara - I , Bhaskara - II and Aryabhata satellites   Aryabhata was named for the 5th century astronomer and mathematician from India by the same name .   The satellite 's image appeared on the reverse of Indian 2 rupee banknotes between 1976 and 1997 ( Pick catalog ) and one rupee note number .    See also ( edit )    Spaceflight portal     Timeline of artificial satellites and space probes    References ( edit )    ^ Jump up to : `` Aryabhata '' in The New Encyclopædia Britannica . Chicago : Encyclopædia Britannica Inc. , 15th edn. , 1992 , Vol. 1 , p. 611 .   Jump up ^ McDowell , Jonathan . `` Launch Log '' . Jonathan 's Space Page . Retrieved 22 January 2014 .   ^ Jump up to : McDowell , Jonathan . `` Satellite Catalog '' . Jonathan 's Space Page . Retrieved 22 January 2014 .   Jump up ^ `` Aryabhata - The first indigenously built satellite '' .   Jump up ^ `` Aryabhatta - India 's First Satellite '' . 27 October 2009 . Archived from the original on 27 October 2009 . Retrieved 22 October 2011 .   Jump up ^ Harvey , Brian ( 2000 ) . The Japanese and Indian space programmes : two roads into space . London ( u.a. ) : Springer ( u.a. ) p. 133 . ISBN 1 - 85233 - 199 - 2 .   Jump up ^ Harvey , Brian ( 2000 ) . The Japanese and Indian Space Programmes : Two Roads into Space . London : Springer . p. 134 . ISBN 1 - 85233 - 199 - 2 .    External links ( edit )    Spaceflight portal   India portal        Wikimedia Commons has media related to Aryabhata ( satellite ) .      NASA HEASARC Page .   Astronautix Page   India in Space Page   NSSDC Master Catalog Search              Indian space programme     Indian Space Research Organisation ( ISRO )     Organisations     Department of Space ( DoS )   Antrix Corporation   Indian Institute of Space Science and Technology ( IIST )   Indian Institute of Remote Sensing ( IIRS )   Laboratory for Electro - Optics Systems ( LEOS )   National Atmospheric Research Laboratory ( NARL )   Physical Research Laboratory ( PRL )   Physical Research Laboratory ( DECU )         Programmes     Bhaskara   GAGAN   GSAT   INSAT   IRNSS   IRS   Cartosat     RISAT   Rohini   SROSS   Chandrayaan   Human spaceflight programme   Orbital Vehicle         Spacecraft      One - off missions     APPLE   Aditya - L1   Aryabhata   Astrosat   HAMSAT   IMS - 1   Megha - Tropiques   NISAR   SARAL   SAARC Satellite   SRE   SRE II   Kalpana - 1   CARE       Planetary missions     Chandrayaan - 1   Chandrayaan - 2   Mars Orbiter Mission   Mangalyaan 2   Venus orbiter mission          Rockets      Orbital     SLV   ASLV   PSLV   GSLV   GSLV Mark III       Suborbital     Rohini   ATV       Concepts     ULV       Under development     RLV - TD          Facilities     Indian Deep Space Network ( IDSN )   ISRO Satellite Centre ( ISAC )   ISRO Telemetry , Tracking and Command Network ( ISTRAC )   Master Control Facility ( MCF )   Satish Dhawan Space Centre ( SDSC )   Thumba Equatorial Rocket Launching Station ( TERLS )   ISRO Satellite Integration and Testing Establishment ( ISITE )       See also     SAGA - 220         List of Indian satellites   List of Satish Dhawan Space Centre launches   List of ISRO missions                 Indian spacecraft     Satellites      Communication      Completed     GSAT       3 ( EDUSAT )     5P   6   7   8   9 ( South Asia Satellite )   10   12   14   15   16   17   18   19     HAMSAT   INSAT   1A   1B   1C   1D   2A   2B   2C   2D   2DT   2E   3A   3B   3C   3D   3E   4A   4B   4C   4CR     Kalpana - 1 ( METSAT )       Planned     GSAT   5   6A   7A   11   13   20            Earth observation      Completed     Bhaskara     II     Cartosat       2A   2B   2C   2D   2E     IMS - 1   IRS   1A   1B   1C   1D   1E   P1   P2   P3     Megha - Tropiques   Oceansat         Resourcesat         RISAT         Rohini   RS - D1   RS - D2     SARAL   Technology Experiment Satellite ( TESS )       Planned     Cartosat - 3   NISAR   GISAT   Oceansat - 3   Resourcesat - 3          Experimental     APPLE   Aryabhata   Rohini   RS - 1   Rohini Technology Payload ( RTP )         Navigation     IRNSS   1A   1B   1C   1D   1E   1F   1G         Student satelliteS      Completed     ANUSAT   Jugnu   SRMSAT   StudSat   Youthsat   Pratham               Space probes      Scientific     SROSS         C2         Astronomical      Completed     Astrosat       Planned     Aditya          Lunar Exploration Chandrayaan programme      Completed     Chandrayaan - 1       Planned     Chandrayaan - 2          Inter-planetary Exploration      Completed     Mars Orbiter Mission       Planned     Mangalyaan 2   Venus Mission             Human spaceflight     Indian human spaceflight programme   SRE - 1   SRE - II   SRE - III     Orbital Vehicle   CARE           List of Indian satellites   List of Satish Dhawan Space Centre launches   List of ISRO missions   Future spacecraft in italics .                 ← 1974 Orbital launches in 1975 1976 →     Soyuz 17 Kosmos 702 Kosmos 703 Landsat 2 Kosmos 704 Kosmos 705 Kosmos 706 Kosmos 707 Molniya - 2 - 12 Starlette SMS - 2 Kosmos 708 Kosmos 709 Intelsat IV F - 6 Taiyo Kosmos 710 Kosmos 711 Kosmos 712 Kosmos 713 Kosmos 714 Kosmos 715 Kosmos 716 Kosmos 717 Kosmos 718 OPS 2439 Kosmos 719 Kosmos 720 Kosmos 721 Nauka - 5KSA No. 4 Kosmos 722 Interkosmos 13 Meteor - M No. 31 Kosmos 723 Soyuz 7K - T No. 39 Kosmos 724 Kosmos 725 GEOS - 3 Kosmos 726 RM - 20 Molniya - 3 No. 12 Kosmos 727 Kosmos 728 OPS 4883 Aryabhata Kosmos 729 Kosmos 730 Molniya - 1 - 29 Explorer 53 Anik A3 Polluz Castor OPS 9435 OPS 9436 Kosmos 731 Nauka - 9KS No. 2 Intelsat IV F - 1 OPS 6226 Soyuz 18 Kosmos 732 Kosmos 733 Kosmos 734 Kosmos 735 Kosmos 736 Kosmos 737 Kosmos 738 Kosmos 739 Kosmos 740 Kosmos 741 DS - U3 - IK No. 5 Kosmos 742 Molniya - 1 No. 24 SRET - 2 Venera 9 OPS 6381 P - 226 - 1 Nimbus 6 Kosmos 743 Venera 10 OPS 4966 Kosmos 744 OSO - 8 Kosmos 745 Kosmos 746 Kosmos 747 Kosmos 748 Kosmos 749 Molniya - 2 - 13 Meteor - 2 No. 1 Soyuz 19 Apollo DM - 2 Kosmos 750 Kosmos 751 Kosmos 752 Ji Shu Shiyan Weixing 1 Kosmos 753 Cos - B Kosmos 754 Kosmos 755 Viking 1 Kosmos 756 Symphonie 2 Kosmos 757 Molniya - 1 - 31 Kosmos 758 Molniya - 2 - 14 Kiku 1 Viking 2 Kosmos 759 Kosmos 760 Kosmos 761 Kosmos 762 Kosmos 763 Kosmos 764 Kosmos 765 Kosmos 766 Kosmos 767 Kosmos 768 Meteor - M No. 28 Kosmos 769 Kosmos 770 Kosmos 771 Intelsat IVA F - 1 Aura Kosmos 772 Kosmos 773 Kosmos 774 Explorer 54 Kosmos 775 OPS 5499 Triad 2 E-8 - 5M No. 412 GOES 1 Kosmos 776 Kosmos 777 Kosmos 778 Kosmos 779 Molniya - 3 No. 13 Soyuz 20 Explorer 55 Kosmos 780 Kosmos 781 Kosmos 782 Fanhui Shi Weixing 2 Kosmos 783 Kosmos 784 OPS 4428 OPS 5547 DAD - A DAD - B Interkosmos 14 Kosmos 785 Satcom 1 OPS 3165 Ji Shu Shiyan Weixing 2 Kosmos 786 Molniya - 2 - 15 Unnamed Prognoz 4 Gran ' No. 11L Meteor No. 38 Molniya - 3 No. 15     Payloads are separated by bullets ( ) , launches by pipes ( ) . Manned flights are indicated in bold text . Uncatalogued launch failures are listed in italics . Payloads deployed from other spacecraft are denoted in ( brackets ) .    Retrieved from `` https://en.wikipedia.org/w/index.php?title=Aryabhata_(satellite)&amp;oldid=807381231 '' Categories :   Spacecraft which reentered in 1992   1975 in the Soviet Union   1975 in India   India -- Soviet Union relations   First artificial satellite of a country   Satellites of India   Spacecraft launched in 1975   Hidden categories :   Use Indian English from January 2014   All Wikipedia articles written in Indian English   Use dmy dates from April 2017           Talk                                      Navigation      Contents                   About Wikipedia                                                 অসমীয়া   বাংলা   Беларуская   Čeština   Deutsch   Español   Français   Galego   ગુજરાતી   हिन्दी   Bahasa Indonesia   Italiano   ქართული   Magyar   മലയാളം   मराठी   </t>
    </r>
    <r>
      <rPr>
        <sz val="11"/>
        <color rgb="FF000000"/>
        <rFont val="Noto Sans CJK SC"/>
        <family val="2"/>
      </rPr>
      <t xml:space="preserve">日本 語   </t>
    </r>
    <r>
      <rPr>
        <sz val="11"/>
        <color rgb="FF000000"/>
        <rFont val="Calibri"/>
        <family val="0"/>
        <charset val="1"/>
      </rPr>
      <t xml:space="preserve">ଓଡ଼ିଆ   Português   Русский   Simple English   Slovenčina   தமிழ்   తెలుగు   Edit links   This page was last edited on 27 October 2017 , at 16 : 00 .         About Wikipedia                    </t>
    </r>
  </si>
  <si>
    <t xml:space="preserve">india's first satellite aryabhatta was launched by</t>
  </si>
  <si>
    <t xml:space="preserve"> It was launched by India on 19 April 1975 from Kapustin Yar , a Russian rocket launch and development site in Astrakhan Oblast using a Kosmos - 3M launch vehicle . It was built by the Indian Space Research Organisation ( ISRO ) to gain experience in building and operating a satellite in space . The launch came from an agreement between India and the Soviet Union directed by UR Rao and signed in 1972 . It allowed the USSR to use Indian ports for tracking ships and launching vessels in return for launching Indian satellites.. Aryabhatta is the first indian man made ( artificial ) satellite . </t>
  </si>
  <si>
    <t xml:space="preserve">History of the Internet - Wikipedia  History of the Internet       History of computing     Hardware       Hardware before 1960   Hardware 1960s to present       Software       Software   Unix   Free software and open - source software       Computer science       Artificial intelligence   Compiler construction   Computer science   Operating systems   Programming languages   Prominent pioneers   Software engineering       Modern concepts       General - purpose CPUs   Graphical user interface   Internet   Laptops   Personal computers   Video games   World Wide Web       By country       Bulgaria   Poland   Romania   Soviet Bloc   Soviet Union   Yugoslavia       Timeline of computing       before 1950   1950 -- 1979   1980 -- 1989   1990 -- 1999   2000 -- 2009   2010 -- 2019   more timelines ...       Glossary of computer science       Category                     Internet     An Opte Project visualization of routing paths through a portion of the Internet     General ( hide )   Access   Censorship   Democracy   Digital divide   Digital rights   Freedom of information   History of the Internet   Internet phenomena   Net neutrality   Oldest domain names   Pioneers   Privacy   Sociology   Usage       Governance ( show )   ICANN   Internet Engineering Task Force   Internet Governance Forum   Internet Society       Information infrastructure ( show )   Domain Name System   Hypertext Transfer Protocol   Internet exchange point   Internet Protocol   Internet protocol suite   Internet service provider   IP address   Internet Message Access Protocol   Simple Mail Transfer Protocol       Services ( show )   Blogs   Microblogging     Email   Fax   File sharing   File transfer   Games   Instant messaging   Podcasts   Shopping   Television   Voice over IP   World Wide Web   search         Guides ( show )   Book   Index   Outline       Internet portal                 The history of the Internet begins with the development of electronic computers in the 1950s . Initial concepts of wide area networking originated in several computer science laboratories in the United States , United Kingdom , and France . The US Department of Defense awarded contracts as early as the 1960s , including for the development of the ARPANET project , directed by Robert Taylor and managed by Lawrence Roberts . The first message was sent over the ARPANET in 1969 from computer science Professor Leonard Kleinrock 's laboratory at University of California , Los Angeles ( UCLA ) to the second network node at Stanford Research Institute ( SRI ) .   Packet switching networks such as the NPL network , ARPANET , Tymnet , Merit Network , CYCLADES , and Telenet , were developed in the late 1960s and early 1970s using a variety of communications protocols . Donald Davies first demonstrated packet switching in 1967 at the National Physics Laboratory ( NPL ) in the UK , which became a testbed for UK research for almost two decades . The ARPANET project led to the development of protocols for internetworking , in which multiple separate networks could be joined into a network of networks .   The Internet protocol suite ( TCP / IP ) was developed by Robert E. Kahn and Vint Cerf in the 1970s and became the standard networking protocol on the ARPANET , incorporating concepts from the French CYCLADES project directed by Louis Pouzin . In the early 1980s the NSF funded the establishment for national supercomputing centers at several universities , and provided interconnectivity in 1986 with the NSFNET project , which also created network access to the supercomputer sites in the United States from research and education organizations . Commercial Internet service providers ( ISPs ) began to emerge in the very late 1980s . The ARPANET was decommissioned in 1990 . Limited private connections to parts of the Internet by officially commercial entities emerged in several American cities by late 1989 and 1990 , and the NSFNET was decommissioned in 1995 , removing the last restrictions on the use of the Internet to carry commercial traffic .   In the 1980s , research at CERN in Switzerland by British computer scientist Tim Berners - Lee resulted in the World Wide Web , linking hypertext documents into an information system , accessible from any node on the network . Since the mid-1990s , the Internet has had a revolutionary impact on culture , commerce , and technology , including the rise of near - instant communication by electronic mail , instant messaging , voice over Internet Protocol ( VoIP ) telephone calls , two - way interactive video calls , and the World Wide Web with its discussion forums , blogs , social networking , and online shopping sites . The research and education community continues to develop and use advanced networks such as JANET in the United Kingdom and Internet2 in the United States . Increasing amounts of data are transmitted at higher and higher speeds over fiber optic networks operating at 1 - Gbit / s , 10 - Gbit / s , or more . The Internet 's takeover of the global communication landscape was almost instant in historical terms : it only communicated 1 % of the information flowing through two - way telecommunications networks in the year 1993 , already 51 % by 2000 , and more than 97 % of the telecommunicated information by 2007 . Today the Internet continues to grow , driven by ever greater amounts of online information , commerce , entertainment , and social networking .     Internet history timeline      Early research and development :    1965 ( 1965 ) : NPL network planning starts   1966 ( 1966 ) : Merit Network founded   1966 ( 1966 ) : ARPANET planning starts   1967 ( 1967 ) : NPL network packet switching pilot experiment   1969 ( 1969 ) : ARPANET carries its first packets   1970 ( 1970 ) : Network Information Center ( NIC )   1971 ( 1971 ) : Tymnet packet - switched network   1972 ( 1972 ) : Merit Network 's packet - switched network operational   1972 ( 1972 ) : Internet Assigned Numbers Authority ( IANA ) established   1973 ( 1973 ) : CYCLADES network demonstrated   1974 ( 1974 ) : Telenet packet - switched network   1976 ( 1976 ) : X. 25 protocol approved   1978 ( 1978 ) : Minitel introduced   1979 ( 1979 ) : Internet Activities Board ( IAB )   1980 ( 1980 ) : USENET news using UUCP   1980 ( 1980 ) : Ethernet standard introduced   1981 ( 1981 ) : BITNET established    Merging the networks and creating the Internet :    1981 ( 1981 ) : Computer Science Network ( CSNET )   1982 ( 1982 ) : TCP / IP protocol suite formalized   1982 ( 1982 ) : Simple Mail Transfer Protocol ( SMTP )   1983 ( 1983 ) : Domain Name System ( DNS )   1983 ( 1983 ) : MILNET split off from ARPANET   1985 ( 1985 ) : First . COM domain name registered   1986 ( 1986 ) : NSFNET with 56 kbit / s links   1986 ( 1986 ) : Internet Engineering Task Force ( IETF )   1987 ( 1987 ) : UUNET founded   1988 ( 1988 ) : NSFNET upgraded to 1.5 Mbit / s ( T1 )   1988 ( 1988 ) : OSI Reference Model released   1988 ( 1988 ) : Morris worm   1989 ( 1989 ) : Border Gateway Protocol ( BGP )   1989 ( 1989 ) : PSINet founded , allows commercial traffic   1989 ( 1989 ) : Federal Internet Exchanges ( FIXes )   1990 ( 1990 ) : GOSIP ( without TCP / IP )   1990 ( 1990 ) : ARPANET decommissioned   1990 ( 1990 ) : Advanced Network and Services ( ANS )   1990 ( 1990 ) : UUNET / Alternet allows commercial traffic   1990 ( 1990 ) : Archie search engine   1991 ( 1991 ) : Wide area information server ( WAIS )   1991 ( 1991 ) : Gopher   1991 ( 1991 ) : Commercial Internet eXchange ( CIX )   1991 ( 1991 ) : ANS CO + RE allows commercial traffic   1991 ( 1991 ) : World Wide Web ( WWW )   1992 ( 1992 ) : NSFNET upgraded to 45 Mbit / s ( T3 )   1992 ( 1992 ) : Internet Society ( ISOC ) established   1993 ( 1993 ) : Classless Inter-Domain Routing ( CIDR )   1993 ( 1993 ) : InterNIC established   1993 ( 1993 ) : AOL added USENET access   1993 ( 1993 ) : Mosaic web browser released   1994 ( 1994 ) : Full text web search engines   1994 ( 1994 ) : North American Network Operators ' Group ( NANOG ) established    Commercialization , privatization , broader access leads to the modern Internet :    1995 ( 1995 ) : New Internet architecture with commercial ISPs connected at NAPs   1995 ( 1995 ) : NSFNET decommissioned   1995 ( 1995 ) : GOSIP updated to allow TCP / IP   1995 ( 1995 ) : very high - speed Backbone Network Service ( vBNS )   1995 ( 1995 ) : IPv6 proposed   1996 ( 1996 ) : AOL changes pricing model from hourly to monthly   1998 ( 1998 ) : Internet Corporation for Assigned Names and Numbers ( ICANN )   1999 ( 1999 ) : IEEE 802.11 b wireless networking   1999 ( 1999 ) : Internet2 / Abilene Network   1999 ( 1999 ) : vBNS+ allows broader access   2000 ( 2000 ) : Dot - com bubble bursts   2001 ( 2001 ) : New top - level domain names activated   2001 ( 2001 ) : Code Red I , Code Red II , and Nimda worms   2003 ( 2003 ) : UN World Summit on the Information Society ( WSIS ) phase I     2003 ( 2003 ) : National LambdaRail founded   2004 ( 2004 ) : UN Working Group on Internet Governance ( WGIG )   2005 ( 2005 ) : UN WSIS phase II   2006 ( 2006 ) : First meeting of the Internet Governance Forum   2010 ( 2010 ) : First internationalized country code top - level domains registered   2012 ( 2012 ) : ICANN begins accepting applications for new generic top - level domain names   2013 ( 2013 ) : Montevideo Statement on the Future of Internet Cooperation   2014 ( 2014 ) : NetMundial international Internet governance proposal   2016 ( 2016 ) : ICANN contract with U.S. Dept. of Commerce ends , IANA oversight passes to the global Internet community on October 1st    Examples of Internet services :    1989 ( 1989 ) : AOL dial - up service provider , email , instant messaging , and web browser   1990 ( 1990 ) : IMDb Internet movie database   1995 ( 1995 ) : Amazon.com online retailer   1995 ( 1995 ) : eBay online auction and shopping   1995 ( 1995 ) : Craigslist classified advertisements   1996 ( 1996 ) : Hotmail free web - based e-mail   1997 ( 1997 ) : Babel Fish automatic translation   1998 ( 1998 ) : Google Search   1998 ( 1998 ) : Yahoo ! Clubs ( now Yahoo ! Groups )   1998 ( 1998 ) : PayPal Internet payment system   1999 ( 1999 ) : Napster peer - to - peer file sharing   2001 ( 2001 ) : BitTorrent peer - to - peer file sharing   2001 ( 2001 ) : Wikipedia , the free encyclopedia   2003 ( 2003 ) : LinkedIn business networking   2003 ( 2003 ) : Myspace social networking site   2003 ( 2003 ) : Skype Internet voice calls   2003 ( 2003 ) : iTunes Store   2003 ( 2003 ) : 4Chan Anonymous image - based bulletin board   2003 ( 2003 ) : The Pirate Bay , torrent file host   2004 ( 2004 ) : Facebook social networking site   2004 ( 2004 ) : Podcast media file series   2004 ( 2004 ) : Flickr image hosting   2005 ( 2005 ) : YouTube video sharing   2005 ( 2005 ) : Reddit link voting   2005 ( 2005 ) : Google Earth virtual globe   2006 ( 2006 ) : Twitter microblogging   2007 ( 2007 ) : WikiLeaks anonymous news and information leaks   2007 ( 2007 ) : Google Street View   2007 ( 2007 ) : Kindle , e-reader and virtual bookshop   2008 ( 2008 ) : Amazon Elastic Compute Cloud ( EC2 )   2008 ( 2008 ) : Dropbox cloud - based file hosting   2008 ( 2008 ) : Encyclopedia of Life , a collaborative encyclopedia intended to document all living species   2008 ( 2008 ) : Spotify , a DRM - based music streaming service   2009 ( 2009 ) : Bing search engine   2009 ( 2009 ) : Google Docs , Web - based word processor , spreadsheet , presentation , form , and data storage service   2009 ( 2009 ) : Kickstarter , a threshold pledge system   2009 ( 2009 ) : Bitcoin , a digital currency   2010 ( 2010 ) : Instagram , photo sharing and social networking   2011 ( 2011 ) : Google+ , social networking   2011 ( 2011 ) : Snapchat , photo sharing   2012 ( 2012 ) : Coursera , massive open online courses       Contents  ( hide )   1 Precursors   2 Development of wide area networking   2.1 Inspiration   2.2 Development of packet switching   2.3 Networks that led to the Internet   2.3. 1 NPL network   2.3. 2 ARPANET   2.3. 3 Merit Network   2.3. 4 CYCLADES   2.3. 5 X. 25 and public data networks   2.3. 6 UUCP and Usenet     2.4 Merging the networks and creating the Internet ( 1973 -- 95 )   2.4. 1 TCP / IP   2.4. 2 From ARPANET to NSFNET   2.4. 3 Transition towards the Internet     2.5 TCP / IP goes global ( 1980s )   2.5. 1 CERN , the European Internet , the link to the Pacific and beyond   2.5. 2 The early global `` digital divide '' emerges   2.5. 2.1 Africa   2.5. 2.2 Asia and Oceania   2.5. 2.3 Latin America       2.6 Rise of the global Internet ( late 1980s / early 1990s onward )   2.6. 1 World Wide Web and introduction of browsers   2.6. 2 Use in wider society 1990s to early 2000s ( Web 1.0 )   2.6. 3 Web 2.0   2.6. 4 The mobile revolution     2.7 Networking in outer space     3 Internet governance   3.1 NIC , InterNIC , IANA and ICANN   3.2 Internet Engineering Task Force   3.2. 1 Request for Comments     3.3 The Internet Society   3.4 Globalization and Internet governance in the 21st century     4 Politicization of the Internet   4.1 Net neutrality     5 Use and culture   5.1 Email and Usenet   5.2 From Gopher to the WWW   5.3 Search engines   5.4 File sharing   5.5 Dot - com bubble   5.6 Mobile phones and the Internet     6 Web technologies   7 Historiography   8 See also   9 References   10 Further reading   11 External links    Precursors  See also : The Victorian Internet  The concept of data communication -- transmitting data between two different places through an electromagnetic medium such as radio or an electric wire -- pre-dates the introduction of the first computers . Such communication systems were typically limited to point to point communication between two end devices . Telegraph systems and telex machines can be considered early precursors of this kind of communication . The Telegraph in the late 19th century was the first fully digital communication system .   Fundamental theoretical work in data transmission and information theory was developed by Claude Shannon , Harry Nyquist , and Ralph Hartley in the early 20th century .   Early computers had a central processing unit and remote terminals . As the technology evolved , new systems were devised to allow communication over longer distances ( for terminals ) or with higher speed ( for interconnection of local devices ) that were necessary for the mainframe computer model . These technologies made it possible to exchange data ( such as files ) between remote computers . However , the point - to - point communication model was limited , as it did not allow for direct communication between any two arbitrary systems ; a physical link was necessary . The technology was also considered unsafe for strategic and military use because there were no alternative paths for the communication in case of an enemy attack .   Development of Wide area networking   With limited exceptions , the earliest computers were connected directly to terminals used by individual users , typically in the same building or site . Such networks became known as local area networks ( LANs ) . Networking beyond this scope , known as wide area networks ( WANs ) , emerged during the 1950s and became established during the 1960s .   Inspiration   J.C.R. Licklider , Vice President at Bolt Beranek and Newman , Inc. , proposed a global network in his January 1960 paper Man - Computer Symbiosis :   A network of such centers , connected to one another by wide - band communication lines ( ... ) the functions of present - day libraries together with anticipated advances in information storage and retrieval and symbiotic functions suggested earlier in this paper   In August 1962 , Licklider and Welden Clark published the paper `` On - Line Man - Computer Communication '' which was one of the first descriptions of a networked future .   In October 1962 , Licklider was hired by Jack Ruina as director of the newly established Information Processing Techniques Office ( IPTO ) within DARPA , with a mandate to interconnect the United States Department of Defense 's main computers at Cheyenne Mountain , the Pentagon , and SAC HQ . There he formed an informal group within DARPA to further computer research . He began by writing memos describing a distributed network to the IPTO staff , whom he called `` Members and Affiliates of the Intergalactic Computer Network '' . As part of the information processing office 's role , three network terminals had been installed : one for System Development Corporation in Santa Monica , one for Project Genie at University of California , Berkeley , and one for the Compatible Time - Sharing System project at Massachusetts Institute of Technology ( MIT ) . Licklider 's identified need for inter-networking would become obvious by the apparent waste of resources this caused .   For each of these three terminals , I had three different sets of user commands . So if I was talking online with someone at S.D.C. and I wanted to talk to someone I knew at Berkeley or M.I.T. about this , I had to get up from the S.D.C. terminal , go over and log into the other terminal and get in touch with them ... I said , oh man , it 's obvious what to do : If you have these three terminals , there ought to be one terminal that goes anywhere you want to go where you have interactive computing . That idea is the ARPAnet .   Although he left the IPTO in 1964 , five years before the ARPANET went live , it was his vision of universal networking that provided the impetus for one of his successors , Robert Taylor , to initiate the ARPANET development . Licklider later returned to lead the IPTO in 1973 for two years .   Development of packet switching  Main article : Packet switching  The issue of connecting separate physical networks to form one logical network was the first of many problems . Early networks used message switched systems that required rigid routing structures prone to single point of failure . In the 1960s , Paul Baran of the RAND Corporation produced a study of survivable networks for the U.S. military in the event of nuclear war . Information transmitted across Baran 's network would be divided into what he called `` message blocks '' . Independently , Donald Davies ( National Physical Laboratory , UK ) , proposed and was the first to put into practice a local area network based on what he called packet switching , the term that would ultimately be adopted . Larry Roberts applied Davies ' concepts of packet switching for the ARPANET wide area network , and sought input from Paul Baran and Leonard Kleinrock . Kleinrock subsequently developed the mathematical theory behind the performance of this technology building on his earlier work on queueing theory .   Packet switching is a rapid store and forward networking design that divides messages up into arbitrary packets , with routing decisions made per - packet . It provides better bandwidth utilization and response times than the traditional circuit - switching technology used for telephony , particularly on resource - limited interconnection links .   Networks that led to the Internet  NPL network Main article : NPL network  Following discussions with J.C.R. Licklider , Donald Davies became interested in data communications for computer networks . At the National Physical Laboratory ( United Kingdom ) in 1965 , Davies designed and proposed a national data network based on packet switching . The following year , he described the use of an `` Interface computer '' to act as a router . The proposal was not taken up nationally but by 1967 , a pilot experiment had demonstrated the feasibility of packet switched networks .   By 1969 he had begun building the Mark I packet - switched network to meet the needs of the multidisciplinary laboratory and prove the technology under operational conditions . In 1976 , 12 computers and 75 terminal devices were attached , and more were added until the network was replaced in 1986 . NPL , followed by ARPANET , were the first two networks in the world to use packet switching , and were interconnected in the early 1970s .  ARPANET Main article : ARPANET See also : The Internet during the Cold War  Robert Taylor was promoted to the head of the information processing office at Defense Advanced Research Projects Agency ( DARPA ) in June 1966 . He intended to realize Licklider 's ideas of an interconnected networking system . Bringing in Larry Roberts from MIT , he initiated a project to build such a network . The first ARPANET link was established between the University of California , Los Angeles ( UCLA ) and the Stanford Research Institute at 22 : 30 hours on October 29 , 1969 .   `` We set up a telephone connection between us and the guys at SRI ... '' , Kleinrock ... said in an interview : `` We typed the L and we asked on the phone ,    `` Do you see the L ? ''   `` Yes , we see the L , '' came the response .   We typed the O , and we asked , `` Do you see the O . ''   `` Yes , we see the O . ''   Then we typed the G , and the system crashed ...    Yet a revolution had begun '' ...  35 Years of the Internet , 1969 -- 2004 . Stamp of Azerbaijan , 2004 .  By December 5 , 1969 , a 4 - node network was connected by adding the University of Utah and the University of California , Santa Barbara . Building on ideas developed in ALOHAnet , the ARPANET grew rapidly . By 1981 , the number of hosts had grown to 213 , with a new host being added approximately every twenty days .   ARPANET development was centered around the Request for Comments ( RFC ) process , still used today for proposing and distributing Internet Protocols and Systems . RFC 1 , entitled `` Host Software '' , was written by Steve Crocker from the University of California , Los Angeles , and published on April 7 , 1969 . These early years were documented in the 1972 film Computer Networks : The Heralds of Resource Sharing .   ARPANET became the technical core of what would become the Internet , and a primary tool in developing the technologies used . The early ARPANET used the Network Control Program ( NCP , sometimes Network Control Protocol ) rather than TCP / IP . On January 1 , 1983 , known as flag day , NCP on the ARPANET was replaced by the more flexible and powerful family of TCP / IP protocols , marking the start of the modern Internet .   International collaborations on ARPANET were sparse . For various political reasons , European developers were concerned with developing the X. 25 networks . Notable exceptions were the Norwegian Seismic Array ( NORSAR ) in 1972 , followed in 1973 by Sweden with satellite links to the Tanum Earth Station and Peter Kirstein 's research group in the UK , initially at the Institute of Computer Science , London University and later at University College London .  Merit network  The Merit Network was formed in 1966 as the Michigan Educational Research Information Triad to explore computer networking between three of Michigan 's public universities as a means to help the state 's educational and economic development . With initial support from the State of Michigan and the National Science Foundation ( NSF ) , the packet - switched network was first demonstrated in December 1971 when an interactive host to host connection was made between the IBM mainframe computer systems at the University of Michigan in Ann Arbor and Wayne State University in Detroit . In October 1972 connections to the CDC mainframe at Michigan State University in East Lansing completed the triad . Over the next several years in addition to host to host interactive connections the network was enhanced to support terminal to host connections , host to host batch connections ( remote job submission , remote printing , batch file transfer ) , interactive file transfer , gateways to the Tymnet and Telenet public data networks , X. 25 host attachments , gateways to X. 25 data networks , Ethernet attached hosts , and eventually TCP / IP and additional public universities in Michigan join the network . All of this set the stage for Merit 's role in the NSFNET project starting in the mid-1980s .  CYCLADES  The CYCLADES packet switching network was a French research network designed and directed by Louis Pouzin . First demonstrated in 1973 , it was developed to explore alternatives to the early ARPANET design and to support network research generally . It was the first network to make the hosts responsible for reliable delivery of data , rather than the network itself , using unreliable datagrams and associated end - to - end protocol mechanisms . Concepts of this network influenced later ARPANET architecture .  X. 25 and public data networks Main articles : X. 25 , Bulletin board system , and FidoNet Play media 1974 ABC interview with Arthur C. Clarke , in which he describes a future of ubiquitous networked personal computers .  Based on ARPA 's research , packet switching network standards were developed by the International Telecommunication Union ( ITU ) in the form of X. 25 and related standards . While using packet switching , X. 25 is built on the concept of virtual circuits emulating traditional telephone connections . In 1974 , X. 25 formed the basis for the SERCnet network between British academic and research sites , which later became JANET . The initial ITU Standard on X. 25 was approved in March 1976 .   The British Post Office , Western Union International and Tymnet collaborated to create the first international packet switched network , referred to as the International Packet Switched Service ( IPSS ) , in 1978 . This network grew from Europe and the US to cover Canada , Hong Kong , and Australia by 1981 . By the 1990s it provided a worldwide networking infrastructure .   Unlike ARPANET , X. 25 was commonly available for business use . Telenet offered its Telemail electronic mail service , which was also targeted to enterprise use rather than the general email system of the ARPANET .   The first public dial - in networks used asynchronous TTY terminal protocols to reach a concentrator operated in the public network . Some networks , such as CompuServe , used X. 25 to multiplex the terminal sessions into their packet - switched backbones , while others , such as Tymnet , used proprietary protocols . In 1979 , CompuServe became the first service to offer electronic mail capabilities and technical support to personal computer users . The company broke new ground again in 1980 as the first to offer real - time chat with its CB Simulator . Other major dial - in networks were America Online ( AOL ) and Prodigy that also provided communications , content , and entertainment features . Many bulletin board system ( BBS ) networks also provided on - line access , such as FidoNet which was popular amongst hobbyist computer users , many of them hackers and amateur radio operators .  UUCP and Usenet Main articles : UUCP and Usenet  In 1979 , two students at Duke University , Tom Truscott and Jim Ellis , originated the idea of using Bourne shell scripts to transfer news and messages on a serial line UUCP connection with nearby University of North Carolina at Chapel Hill . Following public release of the software in 1980 , the mesh of UUCP hosts forwarding on the Usenet news rapidly expanded . UUCPnet , as it would later be named , also created gateways and links between FidoNet and dial - up BBS hosts . UUCP networks spread quickly due to the lower costs involved , ability to use existing leased lines , X. 25 links or even ARPANET connections , and the lack of strict use policies compared to later networks like CSNET and Bitnet . All connects were local . By 1981 the number of UUCP hosts had grown to 550 , nearly doubling to 940 in 1984 . -- Sublink Network , operating since 1987 and officially founded in Italy in 1989 , based its interconnectivity upon UUCP to redistribute mail and news groups messages throughout its Italian nodes ( about 100 at the time ) owned both by private individuals and small companies . Sublink Network represented possibly one of the first examples of the Internet technology becoming progress through popular diffusion .   Merging the networks and creating the Internet ( 1973 -- 95 )  Map of the TCP / IP test network in February 1982 TCP / IP Main article : Internet Protocol Suite  With so many different network methods , something was needed to unify them . Robert E. Kahn of DARPA and ARPANET recruited Vinton Cerf of Stanford University to work with him on the problem . By 1973 , they had worked out a fundamental reformulation , where the differences between network protocols were hidden by using a common internetwork protocol , and instead of the network being responsible for reliability , as in the ARPANET , the hosts became responsible . Cerf credits Hubert Zimmermann , Gerard LeLann and Louis Pouzin ( designer of the CYCLADES network ) with important work on this design .   The specification of the resulting protocol , RFC 675 -- Specification of Internet Transmission Control Program , by Vinton Cerf , Yogen Dalal and Carl Sunshine , Network Working Group , December 1974 , contains the first attested use of the term internet , as a shorthand for internetworking ; later RFCs repeat this use , so the word started out as an adjective rather than the noun it is today .  A Stanford Research Institute 's Packet Radio Van , site of the first three - way internetworked transmission .  With the role of the network reduced to the bare minimum , it became possible to join almost any networks together , no matter what their characteristics were , thereby solving Kahn 's initial problem . DARPA agreed to fund development of prototype software , and after several years of work , the first demonstration of a gateway between the Packet Radio network in the SF Bay area and the ARPANET was conducted by the Stanford Research Institute . On November 22 , 1977 a three network demonstration was conducted including the ARPANET , the SRI 's Packet Radio Van on the Packet Radio Network and the Atlantic Packet Satellite network .   Stemming from the first specifications of TCP in 1974 , TCP / IP emerged in mid-late 1978 in nearly its final form , as used for the first decades of the Internet , known as `` IPv4 '' . which is described in IETF publication RFC 791 ( September 1981 ) .  Decomposition of the quad - dotted IPv4 address representation to its binary value  IPv4 uses 32 - bit addresses which limits the address space to 2 addresses , i.e. 4294967296 addresses . The last available IPv4 address was assigned in January 2011 . IPv4 is being replaced by its successor , called `` IPv6 '' , which uses 128 bit addresses , providing 2 addresses , i.e. 340 282 366 920 938 463 463 374 607 431 768 211 456 . This is a vastly increased address space . The shift to IPv6 is expected to take many years , decades , or perhaps longer , to complete , since there were four billion machines with IPv4 when the shift began .   The associated standards for IPv4 were published by 1981 as RFCs 791 , 792 and 793 , and adopted for use . DARPA sponsored or encouraged the development of TCP / IP implementations for many operating systems and then scheduled a migration of all hosts on all of its packet networks to TCP / IP . On January 1 , 1983 , known as flag day , TCP / IP protocols became the only approved protocol on the ARPANET , replacing the earlier NCP protocol .  From ARPANET to NSFNET Main articles : ARPANET and NSFNET BBN Technologies TCP / IP Internet map of early 1986 .  After the ARPANET had been up and running for several years , ARPA looked for another agency to hand off the network to ; ARPA 's primary mission was funding cutting edge research and development , not running a communications utility . Eventually , in July 1975 , the network had been turned over to the Defense Communications Agency , also part of the Department of Defense . In 1983 , the U.S. military portion of the ARPANET was broken off as a separate network , the MILNET . MILNET subsequently became the unclassified but military - only NIPRNET , in parallel with the SECRET - level SIPRNET and JWICS for TOP SECRET and above . NIPRNET does have controlled security gateways to the public Internet .   The networks based on the ARPANET were government funded and therefore restricted to noncommercial uses such as research ; unrelated commercial use was strictly forbidden . This initially restricted connections to military sites and universities . During the 1980s , the connections expanded to more educational institutions , and even to a growing number of companies such as Digital Equipment Corporation and Hewlett - Packard , which were participating in </t>
  </si>
  <si>
    <t xml:space="preserve">when did the internet become available in homes</t>
  </si>
  <si>
    <t xml:space="preserve"> The first public dial - in networks used asynchronous TTY terminal protocols to reach a concentrator operated in the public network . Some networks , such as CompuServe , used X. 25 to multiplex the terminal sessions into their packet - switched backbones , while others , such as Tymnet , used proprietary protocols . In 1979 , CompuServe became the first service to offer electronic mail capabilities and technical support to personal computer users . The company broke new ground again in 1980 as the first to offer real - time chat with its CB Simulator . Other major dial - in networks were America Online ( AOL ) and Prodigy that also provided communications , content , and entertainment features . Many bulletin board system ( BBS ) networks also provided on - line access , such as FidoNet which was popular amongst hobbyist computer users , many of them hackers and amateur radio operators . </t>
  </si>
  <si>
    <t xml:space="preserve">Iron Chef America - wikipedia  Iron Chef America       This article needs additional citations for verification . Please help improve this article by adding citations to reliable sources . Unsourced material may be challenged and removed . ( November 2007 ) ( Learn how and when to remove this template message )       Iron Chef America         Also known as   Iron Chef America : The Series     Genre     Reality television   Cooking show       Presented by     Alton Brown   Kevin Brauch   Mark Dacascos   Jet Tila       Starring     Mario Batali ( retired )   Bobby Flay ( retired )   Wolfgang Puck ( retired )   Masaharu Morimoto   Cat Cora ( retired )   Michael Symon   Jose Garces   Marc Forgione   Geoffrey Zakarian   Alex Guarnaschelli   Stephanie Izard       Composer ( s )   Craig Marks     Country of origin   United States     Original language ( s )   English     No. of seasons   13     No. of episodes   205 ( list of episodes )     Production     Executive producer ( s )   Stu Schreiberg     Producer ( s )   John Bravakis Steve Kroopnick     Production location ( s )   Los Angeles , California New York City     Editor ( s )   Morgen Kassel     Camera setup   Multi-camera     Running time   46 minutes     Release     Original network   Food Network     Original release   March 6 , 2005 ( 2005 - 03 - 06 ) -- Present     Chronology     Related shows   Iron Chef Iron Chef UK The Next Iron Chef Iron Chef Gauntlet Iron Chef Showdown     External links     Website     Iron Chef America is an American cooking show based on Fuji Television 's Iron Chef , and is the second American adaptation of the series , following the failed Iron Chef USA that aired in 2001 . The show is produced by Food Network , which also carried a dubbed version of the original Iron Chef . Like the original Japanese program , the program is a culinary game show . In each episode , a new challenger chef competes against one of the resident `` Iron Chefs '' in a one - hour cooking competition based on a secret ingredient or ingredients , and sometimes theme .   The show is presented as a successor to the original Iron Chef , as opposed to being a remake . The Chairman is portrayed by actor and martial artist Mark Dacascos , who is introduced as the nephew of the original Japanese chairman Takeshi Kaga . The commentary is provided solely by Alton Brown and Kevin Brauch is the floor reporter . The music is written by composer Craig Marks , who released the soundtrack titled `` Iron Chef America &amp; The Next Iron Chef '' by the end of 2010 . In addition , regular ICA judge and Chopped host Ted Allen provided additional floor commentary for two special battles : Battle First Thanksgiving ( Symon / Flay v. Cora / Morimoto ) and Battle White House Produce ( Batali / Lagasse v. Flay / Comerford ) .   Per the introduction fiction from the Battle of the Masters miniseries ( and ignoring story elements from the 2002 Iron Chef Japan Cup Special ) , Chairman Kaga ( the character ) has ordered his nephew to continue the tradition of Kitchen Stadium , initially in Los Angeles , where the Battle of the Masters took place , before establishing a permanent Kitchen Stadium in New York 's Chelsea Market . For the Battle of the Masters , the elder Chairman dispatched two Iron Chefs : Hiroyuki Sakai and Masaharu Morimoto . In Season 11 , the show 's fiction expanded to include international Iron Chefs , spread by the Chairman `` like Johnny Appleseed '' . In the first episode of that season , Iron Chef UK chef Judy Joo competed on the US show against Iron Chef Guarnaschelli as an Iron Chef .   Unlike the original Iron Chef or Iron Chef USA , Alton Brown , rather than the Chairman , is credited as the show 's host .   In 2017 , Iron Chef Showdown premiered as the spiritual successor to Iron Chef America , with a revised format and returning Iron Chefs Bobby Flay , Jose Garces , Alex Guarnaschelli , and Michael Symon joined by Iron Chef Gauntlet winner Stephanie Izard . On April 5 , 2018 , Food Network announced Iron Chef America returning under its original name , with Jet Tila serving as floor reporter . Notably , Iron Chef Bobby Flay will not be returning , as he dramatically announced his exit from Iron Chef during his last battle on Showdown .   Contents    1 The Iron Chefs   1.1 Jackets     2 History   3 Format   3.1 Special battles   3.2 Greatest moments     4 Production details   4.1 Kitchen Stadium   4.2 Subtitles and dubbing     5 Companion shows   5.1 Countdown   5.2 The Next Iron Chef     6 Video game   7 See also   8 References   9 External links    The Iron chefs ( edit )   On this version of Iron Chef , the Iron Chefs have either been previous Food Network personalities , are current personalities , were part of the original Iron Chef , or earned their position on The Next Iron Chef .   The winning percentage for Iron Chefs participating on Iron Chef America is an average . The win / loss data is based solely on the performance of the participant as an Iron Chef in Iron Chef America : The Series and the Battle of the Masters but does not include the results from Iron Chef Showdown .     Iron Chef   Seasons   Specialty   Win   Loss   Draw   Total   Win %     Mario Batali ( retired )   BOM , 1 - 6   Italian   19   5   0   24   79.2 %     Cat Cora ( retired )   1 - 10   Greek / Mediterranean   21   12     34   63.2 %     Bobby Flay ( Semi retired )   BOM , 1 - 12   Southwestern   43   16     61   72.1 %     Marc Forgione   9 -   Modern American   8   7   0   15   53.0 %     Jose Garces   8 -   Latin Fusion   16   7   0   23   69.6 %     Alex Guarnaschelli   11 -   Modern American   7     0   11   63.6 %     Stephanie Izard   13 -   Modern American     0   0     100.0 %     Masaharu Morimoto   BOM , 1 -   Japanese   26   17     44   60.2 %     Wolfgang Puck ( retired )   BOM   California cuisine     0   0     100.0 %     Michael Symon   5 -   Mediterranean   34   7     42   82.1 %     Geoffrey Zakarian   10 -   Modern American   9   5   0   14   64.3 %     ^ 101 Based on weighted average (. 5 victory for a draw ) . The win / loss data is based on the performance of the Iron Chef in Iron Chef America : The Series and the Battle of the Masters . ^ 102 Flay retired as Iron Chef at the end of Iron Chef Showdown . ^ 103 Forgione 's record does not include his victory over Marco Canora in the finale of The Next Iron Chef as Forgione did not hold the title Iron Chef during that battle . ^ 104 Garces ' record does not include his defeat of Flay in Battle Melon , or his victory over Jehangir Mehta in the finale of The Next Iron Chef as Garces did not hold the title Iron Chef during either battle . ^ 105 Guarnaschelli 's record does not include her loss to Cora in Battle Farmer 's Market , or her victory over Amanda Freitag in the finale of The Next Iron Chef as Guarnaschelli did not hold the title Iron Chef during either battle . ^ 106 Morimoto 's record includes his battle as a competitor in the Battle of the Masters . It does not include his 16 - 7 - 1 record in the original Iron Chef during his tenure as the third Iron Chef Japanese . ^ 107 Symon 's record does not include his loss to Morimoto in Battle Asparagus , or his victory over John Besh in the finale of The Next Iron Chef as Symon did not hold the title Iron Chef during either battle . ^ 108 Zakarian 's record does not include his loss to Morimoto in Battle Sardines , or his victory over Elizabeth Falkner in the finale of The Next Iron Chef as Zakarian did not hold the title Iron Chef during either battle . ^ 109 Izard 's record does not include her victories in Iron Chef Gauntlet as Izard did not hold the title Iron Chef at that time , nor her 2 - 0 record on Iron Chef Showdown .   Jackets ( edit )   Each Iron Chef wears a specially designed chef 's jacket , a simplified version of the more stylized attire worn by the Japanese Iron Chefs , along with an apron and trousers of their choice for each battle . Through the Battle of the Masters and the show 's first six seasons , the Iron Chefs wore contemporary denim chef 's jackets with individualized solid - colored patches and trim : Batali 's jacket trim was red , Cora 's pink , Flay 's blue , Morimoto 's white , Puck 's green and Symon 's black . On the left shoulder of each jacket was a flag representing the Chef 's country of origin .   During the show 's sixth season , designer and Iron Chef America judge Marc Ecko designed new jackets for the Iron Chefs , which were first worn on the 2008 `` Thanksgiving Showdown '' episode . The jackets are individualized for each chef and include features such as short sleeves for Symon 's jacket that make it resemble the black shirts he wears at his restaurant , Lola , or men 's kimono styling and colors for Morimoto 's jacket that suggest the costume he wore on the original Iron Chef . With the exception of Symon and Garces ( whose long sleeves were shortened for his second season on ICA ) , the jackets have long , turn - back sleeves . Colors differ by chef : charcoal grey ( Flay ) , black ( Symon ) , light blue ( Cora ) , silver with a red undershirt ( Morimoto ) , white with light brown trim ( Batali ) , white with green trim ( Lagasse , for Battle White House produce ) , brown with wide red edging ( Garces ) , grey with white trim ( Forgione ) , grey with black trim ( Zakarian ) , and black with white trim ( Guarnaschelli ) . `` Iron Chef '' with the chef 's last name underneath is embroidered in the font from the show 's logo on the left front side of the jacket , in the manner of a traditional chef 's coat . The jackets also include a large embroidered Iron Chef patch on the right arm also bearing the chef 's name , and an American flag on the left sleeve .   History ( edit )  Team members assigned to Naval Mobile Construction Battalion , Gulfport , Miss. , give a set of BDUs with her name on them to Chef Cat Cora  Iron Chef America first aired as a special titled Iron Chef America : Battle of the Masters . Unlike Iron Chef USA , Iron Chef America quickly earned legitimacy with the appearance of Iron Chefs Hiroyuki Sakai and Masaharu Morimoto . ( Chen Kenichi was also originally slated to appear , but he was absent due to a scheduling conflict . ) The first Battle of the Masters involved Sakai and Flay , with the theme of trout . There , Sakai had made two dishes of note : one was gift - wrapped to commemorate the opening of Kitchen Stadium America , while the other was trout ice cream , a dish that would be repeatedly recalled and referred to later on when anyone used the ice cream maker . Other battles in Battle of the Masters were Morimoto taking on Batali , Morimoto taking on Wolfgang Puck , and a tag team battle where Morimoto and Flay teamed up against Sakai and Batali . Battle of the Masters was largely successful and a regular series was commissioned .   The regular series is taped in New York , while Battle of the Masters took place in Los Angeles at Los Angeles Center Studios . Because of his other interests , Puck was forced to decline to appear in the regular series , and Morimoto took his place . Later that season , Cat Cora debuted as an Iron Chef during `` Battle Potato '' , becoming the first female chef to hold the rank .   The second season of Iron Chef America began airing in July 2005 . This season saw its first and second ties on the American show : the first aired on July 31 , 2005 , with both challenger and Iron Chef receiving 45 points . In this case , unlike Iron Chef , there is no overtime , although a rematch was suggested by Alton Brown . The third such tied result occurred in Season Three , when Susur Lee challenged Bobby Flay in Battle Bacon .   Starting November 2006 , Australia 's SBS , the domestic rights holder to the original Iron Chef program , started airing Iron Chef America : The Battle Of The Masters , replacing the original Japanese incarnation of the program . On December 9 , Season 1 of Iron Chef America began airing . The show was scheduled to run until February 17 , 2007 , but due to viewer feedback , SBS ended broadcast of Iron Chef America three weeks early and resumed showing the original Iron Chef on February 3 , 2007 .   Starting in Season 8 , Mario Batali was dropped from the show 's opening sequence , though he continues to appear in on - air promos for the show . Despite his appearance during the special battle in which he was teamed up with Emeril Lagasse against Flay and White House Chef Cristeta Comerford , it is not clear whether or not he will return to compete in Iron Chef America on a regular basis . In a July 2010 interview with Slashfood 's Allen Salkin , Batali explained that his absence from the series was due to travel conflicts with the show 's summer shooting schedule and expressed a desire to appear in 2 - 3 battles for Season 9 . However , in a May 2012 interview with The Atlantic , Batali later explained that he resented the decision to move away from serious food critics to `` skinny little actresses '' and other personalities he felt were n't credible enough to judge his cuisine . After the 2014 season , the show was put on hiatus ; it has not returned as of 2017 and many important personnel have moved on to other projects .   On July 25 , 2017 Alton Brown tweeted and Food Network announced that Iron Chef America would be returning in last quarter of 2017 as `` Iron Chef Showdown '' .   Format ( edit )  See also : List of Iron Chef America episodes  After the active Iron Chefs are introduced by Alton Brown , the challenger chef is introduced . The Iron Chef introduction sequence is sometimes skipped in the holiday shows and other specials . In the first two seasons , the Chairman announced the challenger 's Iron Chef opponent . Starting with Season 3 , the show returned to the format of its predecessor , where the challenger chef selects the Iron Chef they will battle . In reality , the match - ups are determined well in advance in all three incarnations of the show , which is not to say that the challengers have no influence on the selection of their opponent .   An ingredient or group of ingredients ( referred to as the `` secret ingredient ( s ) '' ) is revealed , and the cooking begins . On occasion , the ingredients are actually a ' theme meal ; ' for example , eggs , bacon , potatoes , etc. are revealed and thus the `` secret ingredient '' is breakfast . Just as with the original Iron Chef , the `` secret '' ingredient is not truly secret . Both the competitor and the Iron Chef are given a list of three to five ingredients before the battle , of which one will be the secret ingredient .   Unlike Iron Chef , where chefs had roughly 5 minutes to discuss their strategy before the battle begins , the revelation of the theme ingredient occurs 45 minutes before the start of the battle . However , this segment is not shown on television , and it is a common assumption that the battle starts immediately after the secret ingredient is revealed . This practice was described on an episode of Unwrapped .   The Chairman announces the start of each battle with :    `` So now America , with an open heart and an empty stomach , I say unto you in the words of my uncle : ' Allez cuisine ! '   `` There 's the Chairman 's familiar `` Allez Cuisine ! '' the French phrase that calls the Iron Chefs to culinary battle . ''  -- Alton Brown ( Flay v. Tsai )   `` Allez cuisine ! '' ( loosely translated as `` Go cook ! '' or `` Start cooking ! '' ) is the phrase that started battles in the original Japanese series ( hence the reference to his uncle , Chairman Kaga ) .   On Iron Chef America , both the challenger and the Iron Chef have 60 minutes to prepare a minimum of five dishes based on a theme ingredient . Starting with Season 11 ( 2012 -- 13 ) , the first course is due to the judges 20 minutes after the start . After that point , a `` culinary curveball '' is announced by the chairman . It can be an ingredient , piece of equipment , or plating device . Each chef is required to integrate the item into at least one of their remaining dishes , and receives scoring from the judges based on their use .   After the first commercial break , Brown typically asks Kevin Brauch to introduce the judges . Generally , Kevin pays homage to the program 's origins by adding , Konban Wa ( Japanese for `` Good evening '' ) to his introduction . Unlike the original series , none of the judges participate in the running commentary , although Brown or Brauch visit with them roughly mid-battle for their comments on the ongoing action and the secret ingredient . Over the course of the cooking hour , Brown may also provide further information on the theme ingredient , using visual aids as required .   The dishes are tasted by the chairman and a panel of three judges , two of whom are professional food critics ( a contrast to the original Iron Chef , which typically had one professional food critic as a judge ) . Like the original Iron Chef , each chef can be awarded up to 20 points by each judge ; consisting of 10 points for taste , 5 for plating ( the appearance or presentation of the dishes ) , and 5 for originality . The rules are explained by Kevin Brauch before judging . The chef with the higher score is declared the winner . If there is a tie , it remains as the final result , unlike Iron Chef , where an overtime battle was immediately called with a new theme ingredient ; however , if the overtime battle also resulted in a tie , that would be the final result . ( Also in contrast with the original , the final scores are subdivided by category , rather than by individual judge . ) Starting with Season 11 ( 2012 -- 13 ) , an additional 10 points per judge is also available : up to 5 points for the first dish presentation , and up to 5 points for the use of the `` culinary curveball '' . The scoring for the first dish is revealed shortly after the dishes are presented to and tasted by the judges , and the total score ( including the `` culinary curveball '' points ) is reserved for the judgment and revelation of the winner .   Iron Chef America is not affiliated with any culinary institution , unlike Iron Chef , which was associated with Hattori Nutrition College . Chefs also bring in their own sous - chefs . Like Iron Chef , each chef is allowed two sous - chefs . In tag - team or two - on - one battles , both chefs on one side each bring one sous - chef . On the original Iron Chef , early episodes had two chefs without sous - chefs , while later episodes had two chefs and one sous - chef per side . The sous - chefs employed by the Iron Chefs are as follows :    Batali -- Anne Burrell and Mark Ladner   Cora -- Lorilynn Bauer , David Schimmel , Ed Cotton , Richard Blais ( other sous - chefs have been employed on occasion )   Flay -- Flay employs a rotating staff of sous - chefs from his restaurants   Morimoto -- Ariki Omae , Makoto Okuwa , and Jamison Blankenship ( other sous - chefs have been employed on occasion )   Symon -- Cory Barrett and Derek Clayton   Garces -- Dave Conn , MacGregor Mann , Jessica Mogardo   Forgione -- rotating staff of sous - chefs from Forgione 's restaurants   Zakarian -- Paul Corsentino , Eric Haugen , Alex Guarnaschelli ( before her promotion to Iron Chef )   Guarnaschelli -- Ashley Merriman and Wirt Cook    All of the sous - chefs for both the Iron Chef and challenger are informally introduced at some point in the contest , unlike the original Iron Chef . Sous - chefs have occasionally entered into battle against Iron Chefs , including the Iron Chef under whom they worked .   The rules in Iron Chef America are thought to favor the Iron Chef less than the original program , however , some challengers have noted favoritism in the selection of theme ingredients . On Iron Chef , the Iron Chef 's food was always tasted second , while on Iron Chef America , the chef whose food is tasted first is determined by toss of coin before the show .   Since the tasting and judgment take upwards of 45 minutes to complete ( although it is edited down in post-production ) , the chef serving second is allowed to reheat his or her dishes , as was allowed on Iron Chef .   Several of the secrets to how the show is taped were revealed in an episode of Unwrapped entitled `` Food Network Unwrapped 2 . '' It was stated that the chefs find out what the secret ingredient is about 15 minutes before the battle begins because the opening sequence is recorded many times . It is only the final taping of this sequence where the words `` Allez cuisine ! '' are said and the battle begins . Moreover , at the end of the one - hour battle , the chefs must still prepare 4 plates of each of their 5 dishes for the judges and the Chairman . This is done during a 45 - minute period after the battle ends and before tasting begins . They consider this to be part of the competition , and it is timed , but it is not recorded or shown to the viewers . The plates which the audience sees prepared during the one - hour battle are the plates used to obtain close - up footage of the dish for use in the final episode . Usually , on taping days , two different battles will be taped , one beginning at about 10 a.m. and the second at about 4 p.m. A Food Network crew has about 90 minutes between each show to clean the set and prepare for the second show .   Chefs provide the producers with shopping lists for each of the possible secret ingredients . Consequently , they can surmise what the secret ingredient will be just before it is officially revealed , based on which of their items were purchased .   Special battles ( edit )   ICA will occasionally stage special themed battles , generally during the holiday period . The first of these was held on November 12 , 2006 . A special 90 - minute episode of Iron Chef America pitted two guest Food Network personalities , Giada De Laurentiis and Rachael Ray , the latter of whom does not consider herself a chef due to lack of formal training , against each other after they each received tips and training from Iron Chefs Bobby Flay and Mario Batali , respectively . While the early part of the episode made it appear as though it would be a head - to - head battle , the Chairman announced just prior to the secret ingredient reveal that it would in fact be a tag - team battle , with each of the women joined by the Iron Chef who trained her . The secret ingredient for the special was cranberries . The expanded timeframe allowed for longer cuts of the competition hour and the tasting segments to be presented , and the show as a whole had a more laid - back feel than regular ICA episodes . Plenty of joking and good - natured ribbing took place on both sides of the kitchen , such as Batali 's effort to `` bribe '' the judges with cranberry bellini cocktails . The battle was won by Iron Chef Batali and guest chef Ray .   A second special holiday episode premiered on Sunday , November 25 , 2007 . This special , titled Iron Chef America : All Star Holiday Dessert Battle , paired Iron Chef Cat Cora and popular Food Network personality Paula Deen against fellow Food Network chefs Tyler Florence and Robert Irvine , with sugar as the secret ingredient . While this special was the usual 60 - minutes in length , the tone was similar to the previous ICA special , with lots of `` smack talking '' and teasing among the four chefs . Iron Chef Cora and guest chef Deen 's team emerged victorious .   On October 26 , 2008 , a Halloween battle took place between Iron Chef Michael Symon and former Next Iron Chef competitor Chris Cosentino . The theme ingredient was offal ( organ meats , pig trotters , coxcombs , etc . ) , an ingredient with which each of the chefs is known to cook routinely . Igor and the Monster from the Broadway production of Young Frankenstein also made a special appearance , assisting with the presentation of the secret ingredient . The victory went to Iron Chef Symon .   A 90 - minute `` Thanksgiving Showdown '' premiered on November 16 , 2008 . The secret ingredients were foods that might have been used at the first Thanksgiving feast : duck , lobster , heritage turkey , venison , leeks and walnuts . This battle marked the first time in ICA history that the American Iron Chefs competed against each other , with the team of Bobby Flay and Michael Symon battling against Cat Cora and Masaharu Morimoto . There were two floor reporters for this special : regular floor reporter Kevin Brauch covered Flay and Symon while ICA judge Ted Allen covered Cora and Morimoto . In addition , Mark Ecko appeared early in the episode to present the new Iron Chef jackets and describe the design process . Iron Chefs Flay and Symon defeated Iron Chefs Cora and Morimoto by one point .   First Lady Michelle Obama 's White House Kitchen Garden was featured in a new special episode on January 3 , 2010 . The episode , called `` The Super Chef Battle '' , featured Iron Chef Mario Batali and Super Chef Emeril Lagasse against Iron Chef Bobby Flay and White House Executive Chef Cristeta Comerford in a battle that required the chefs to create an American meal , with the produce from the White House garden as the secret ingredient . First Lady Michelle Obama made a special appearance , welcoming the chefs to the White House , and announcing the secret ingredient . This battle was also notable as the first for which the Chairman was not present in Kitchen Stadium . Although the Chairman appeared on video , and presented a supplemental range of sustainable foods to be used in the battle , it fell to announcer Alton Brown to start the battle with the traditional `` Allez cuisine ! '' This battle was also the first that carried a prize : $25,000 was donated to City Meals , a New York charity similar to Meals on Wheels in the names of the winning team . Iron Chef Flay and Chef Comerford defeated Iron Chefs Batali and Lagasse .   On January 2 , 2011 , `` Battle Deep Freeze '' aired . The show featured Iron Chef Michael Symon and Chef Anne Burrell facing off against Iron Chef Cat Cora and Chef Robert Irvine . There was no formal secret ingredient , just the theme `` deep freeze . '' The chefs had to prepare 5 dishes , each with a frozen component , on the following five themes : Fruits and Vegetables , Meat , Aromatics , Seafood , and Alcohol . The dishes were either served in or accented by ice carvings .   Greatest moments ( edit )   On November 16 , 2008 , the Food Network preceded its `` Thanksgiving Showdown '' ICA special with a half - hour retrospective of the 10 best ICA moments . In the program , the Chairman presents each moment , followed by a female voice - over narration describing the challenge the Iron Chefs face , including live fish , big ingredients , time , the ice cream machine and unorthodox cooking methods . The introduction is followed by a clip of each moment interspersed with comments by the Iron Chefs and ICA judges .     Number   Title   Battle   Competitors   Moment       It 's Alive !   Cobia   Mario Batali v. Jamie Oliver   Sous chef Gennaro Contaldo 's distraction antics       Sugar Smack   Sugar   Cat Cora / Paula Deen v. Tyler Florence / Robert Irvine   Paula Deen 's verbal warfare       The Bird is the Word   Garlic   Mario Batali v. Chris Cosentino   Chef Cosentino presents squab brains and talons .       Better Dining Through Science   Beets   Masaharu Morimoto v. Homaro Cantu   In an upset , the molecular gastronomists take the battle .     5   Trout in the Machine   Trout   Bobby Flay v. Hiroyuki Sakai   The infamous trout ice cream     6   Edible Art   Asparagus   Masaharu Morimoto v. Michael Symon   Morimoto 's `` stained glass '' sushi     7   I Fought the Clock and the Clock Won   Scallops   Masaharu Morimoto v. Roberto Donna   Donna fails to complete his five dishes .     8   The Wheel 's on Fire   Parmigiano Reggiano   Mario Batali v. Andrew Carmellini   Batali 's Parmesan bowl filled with flaming grappa     9   Smokin ' Hot   Chiles   Masaharu Morimoto v. Tim Love   Morimoto struggles with an unfamiliar ingredient : a jalapeño chile .     10   Size Matters   Elk   Bobby Flay v. Kent and Kevin Rathbun   The chefs battle each other and the largest secret ingredient ever .     Production details ( edit )   Kitchen Stadium ( edit )   Located at the Chelsea Market in New York City , Iron Chef America 's version of Kitchen Stadium has a more modern appearance than the one from Iron Chef . Much of the equipment in the kitchen is top - of - the line ; appliances include six burner stove tops , an infrared grill , blast chillers , convection ovens , deep fryers , cutting boards , a plethora of small electrical appliances like blenders and food processors , as well as pantry stations . Both kitchens in Kitchen Stadium are set up with the same appliances , and each pantry station has the same food items including expensive items like saffron . Challengers may also sometimes bring their own equipment to their sections ; most notably , postmodern chef Homaro Cantu brought a Class 4 Laser , liquid nitrogen , and an inkjet printer with edible inks and paper for his signature dishes . One of the most infamous appliances in the kitchen is the ice cream machine ( dubbed by the commentators as the Ice Cream Machine of Doom ) , which is often used to create unusual and abstract flavors of ice cream when chefs attempt to make a dessert course with the theme ingredient .   The commentator 's station has Alton Brown standing in front of two large monitors feeding him camera angles from both sides of Kitchen Stadium . To stay informed , he also keeps his laptop open to reference an extensive food database and , in later seasons , an iPad to look up ingredients on the fly . An earbud allows him to be fed information from the culinary producer , who in turn is fed information from two culinary spotters on the floor . The station is much closer to and on the same level as the cooking stations , allowing Alton Brown to converse with the competitors and ask brief questions . Alton Brown has made frequent comments about Kitchen Stadium being `` an orbiting space station '' or `` an underwater facility . '' Brown has also called Kitchen Stadium `` Kitchen Stadium Number One , Two , and so on until number seven as of Battle Eggs .   There is a small section in the back of the stadium reserved for the studio audience , which is mostly composed of guests of the chefs . During the first two seasons , the audience is almost never mentioned or shown on camera unless there is a special guest in the audience . Starting with season 3 , the show again takes a cue from its predecessor and gives a little more attention to the audience , particularly when someone close to the challenger or special guests are present . The audience is also now sometimes heard applauding the chefs , although they are ignored by cameras .   Despite Kitchen Stadium America 's state - of - the - art appearance , problems arose during the first season . In her battle against Mario Batali , Chef Anita Lo had trouble getting her burners hot enough to cook her food . At one point , one of Lo 's assistants took a pot over to Mario Batali 's side of the kitchen to use his stove , to which Batali happily agreed . In several battles contestants have experienced technical problems with the ice cream machine . Though there have not been serious injuries in Kitchen Stadium America , several contestants have suffered minor cuts from knife slips .   In the Behind the Scenes : Iron Chef America special , Iron Chef Hiroyuki Sakai voices his distaste for the modern look of the American Kitchen Stadium . Sakai referred to the kitchen as `` cold . ''   Subtitles and dubbing ( edit )   Morimoto speaks English with a thick Japanese accent , and he sometimes speaks in Japanese when describing his dishes . Consequently , his voice is at times dubbed by Joe Cipriano . Cipriano , a veteran TV announcer and Los Angeles radio personality , also provided the voice for Hiroyuki Sakai in Battle of the Masters . When his voice is not dubbed , subtitles may be provided to help viewers understand what Morimoto is saying . In the episode Battle Eggs , Takashi Yagihashi had subtitles when the screen showed whom he challenged ( Michael Symon ) .   Companion shows ( edit )   Countdown ( edit )   Iron Chef America Countdown premiered in 2012 . Each half - hour episode features a countdown of five moments on a theme from the television series . The show uses clips from Iron Chef America , as well as commentary from people who participated in the featured moments .   The Next Iron Chef ( edit )  Main article : The Next Iron Chef  In 2007 , a competition was held to determine who among ei</t>
  </si>
  <si>
    <t xml:space="preserve">who has won the most iron chef america</t>
  </si>
  <si>
    <t xml:space="preserve">   Iron Chef   Seasons   Specialty   Win   Loss   Draw   Total   Win %     Mario Batali ( retired )   BOM , 1 - 6   Italian   19   5   0   24   79.2 %     Cat Cora ( retired )   1 - 10   Greek / Mediterranean   21   12     34   63.2 %     Bobby Flay ( Semi retired )   BOM , 1 - 12   Southwestern   43   16     61   72.1 %     Marc Forgione   9 -   Modern American   8   7   0   15   53.0 %     Jose Garces   8 -   Latin Fusion   16   7   0   23   69.6 %     Alex Guarnaschelli   11 -   Modern American   7     0   11   63.6 %     Stephanie Izard   13 -   Modern American     0   0     100.0 %     Masaharu Morimoto   BOM , 1 -   Japanese   26   17     44   60.2 %     Wolfgang Puck ( retired )   BOM   California cuisine     0   0     100.0 %     Michael Symon   5 -   Mediterranean   34   7     42   82.1 %     Geoffrey Zakarian   10 -   Modern American   9   5   0   14   64.3 %   </t>
  </si>
  <si>
    <r>
      <rPr>
        <sz val="11"/>
        <color rgb="FF000000"/>
        <rFont val="Calibri"/>
        <family val="0"/>
        <charset val="1"/>
      </rPr>
      <t xml:space="preserve">Vestibular system - wikipedia  Vestibular system  Jump to : navigation , search  The vestibular system , in most mammals , is the sensory system that provides the leading contribution to the sense of balance and spatial orientation for the purpose of coordinating movement with balance . Together with the cochlea , a part of the auditory system , it constitutes the labyrinth of the inner ear in most mammals . As movements consist of rotations and translations , the vestibular system comprises two components : the semicircular canals , which indicate rotational movements ; and the otoliths , which indicate linear accelerations . The vestibular system sends signals primarily to the neural structures that control eye movements , and to the muscles that keep an animal upright . The projections to the former provide the anatomical basis of the vestibulo - ocular reflex , which is required for clear vision ; and the projections to the muscles that control posture are necessary to keep an animal upright .   The brain uses information from the vestibular system in the head and from proprioception throughout the body to understand the body 's dynamics and kinematics ( including its position and acceleration ) from moment to moment .     Contents  ( hide )   1 Semicircular canal system   1.1 Structure   1.2 Push - pull systems   1.3 Vestibulo - ocular reflex ( VOR )   1.4 Mechanics   1.5 Central processing   1.6 Projection pathways     2 Otolithic organs   3 Experience from the vestibular system   3.1 Vestibular / somatogyral illusions     4 Pathologies   5 See also   6 References   7 Further reading   8 External links      Semicircular canal system ( edit )  Cochlea and vestibular system  The semicircular canal system detects rotational movements . The semicircular canals are its main tools to achieve this detection .   Structure ( edit )  Main article : Semicircular canal  Since the world is three - dimensional , the vestibular system contains three semicircular canals in each labyrinth . They are approximately orthogonal ( right angles ) to each other , and are called the horizontal ( or lateral ) , the anterior semicircular canal ( or superior ) and the posterior ( or inferior ) semicircular canal . Anterior and posterior canals may be collectively called vertical semicircular canals .    Movement of fluid within the horizontal semicircular canal corresponds to rotation of the head around a vertical axis ( i.e. the neck ) , as when doing a pirouette .   The anterior and posterior semicircular canals detect rotations of the head in the sagittal plane ( as when nodding ) , and in the frontal plane , as when cartwheeling . Both anterior and posterior canals are orientated at approximately 45 ° between frontal and sagittal planes .    The movement of fluid pushes on a structure called the cupula , which contains hair cells that transduce the mechanical movement to electrical signals   Push - pull systems ( edit )  Push - pull system of the semicircular canals , for a horizontal head movement to the right .  The canals are arranged in such a way that each canal on the left side has an almost parallel counterpart on the right side . Each of these three pairs works in a push - pull fashion : when one canal is stimulated , its corresponding partner on the other side is inhibited , and vice versa .   This push - pull system makes it possible to sense all directions of rotation : while the right horizontal canal gets stimulated during head rotations to the right ( Fig 2 ) , the left horizontal canal gets stimulated ( and thus predominantly signals ) by head rotations to the left .   Vertical canals are coupled in a crossed fashion , i.e. stimulations that are excitatory for an anterior canal are also inhibitory for the contralateral posterior , and vice versa .   Vestibulo - ocular reflex ( VOR ) ( edit )  The vestibulo - ocular reflex . A rotation of the head is detected , which triggers an inhibitory signal to the extraocular muscles on one side and an excitatory signal to the muscles on the other side . The result is a compensatory movement of the eyes . Main article : Vestibulo - ocular reflex  The vestibulo - ocular reflex ( VOR ) is a reflex eye movement that stabilizes images on the retina during head movement by producing an eye movement in the direction opposite to head movement , thus preserving the image on the center of the visual field . For example , when the head moves to the right , the eyes move to the left , and vice versa . Since slight head movements are present all the time , the VOR is very important for stabilizing vision : patients whose VOR is impaired find it difficult to read , because they can not stabilize the eyes during small head tremors . The VOR reflex does not depend on visual input and works even in total darkness or when the eyes are closed .   This reflex , combined with the push - pull principle described above , forms the physiological basis of the Rapid head impulse test or Halmagyi - Curthoys - test , in which the head is rapidly and forcefully moved to the side , while observing whether the eyes keep looking in the same direction .   Mechanics ( edit )   The mechanics of the semicircular canals can be described by a damped oscillator . If we designate the deflection of the cupula with θ ( \ displaystyle \ theta ) , and the head velocity with q _̇ ( \ displaystyle ( \ dot ( q ) ) ) , the cupula deflection is approximately    θ ( s ) = α s ( T 1 s + 1 ) ( T 2 s + 1 ) q _̇ ( s ) ( \ displaystyle \ theta ( s ) = ( \ frac ( \ alpha s ) ( ( T_ ( 1 ) s + 1 ) ( T_ ( 2 ) s + 1 ) ) ) ( \ dot ( q ) ) ( s ) )    α is a proportionality factor , and s corresponds to the frequency . For humans , the time constants T and T are approximately 3 ms and 5 s , respectively . As a result , for typical head movements , which cover the frequency range of 0.1 Hz and 10 Hz , the deflection of the cupula is approximately proportional to the head - velocity . This is very useful , since the velocity of the eyes must be opposite to the velocity of the head in order to have clear vision .   Central processing ( edit )   Signals from the vestibular system also project to the cerebellum ( where they are used to keep the VOR effective , a task usually referred to as learning or adaptation ) and to different areas in the cortex . The projections to the cortex are spread out over different areas , and their implications are currently not clearly understood .   Projection pathways ( edit )   The vestibular nuclei on either sides of the brain stem exchange signals regarding movement and body position . These signals are sent down the following projection pathways .    To the cerebellum . Signals sent to the cerebellum are relayed back as muscle movements of the head , eyes , and posture .   To nuclei of cranial nerves III , IV , and VI . Signals sent to these nerves cause the vestibulo - ocular reflex . They allow for the eyes to fix on a moving object while staying in focus .   To the reticular formation . Signals sent to the reticular formation signal the new posture the body has taken on , and how to adjust circulation and breathing due to body position .   To the spinal cord . Signals sent to the spinal cord allow quick reflex reactions to both the limbs and trunk to regain balance .   To the thalamus . Signals sent to the thalamus allow for head and body motor control as well as being conscious of body position .   Via the Ventral Pathway , which contributes to vertical orientation and perception of the direction of gravity .    Otolithic organs ( edit )   While the semicircular canals respond to rotations , the otolithic organs sense linear accelerations . Humans have two otolithic organs on each side , one called the utricle , the other called the saccule . The utricle contains a patch of hair cells and supporting cells called a macula . Similarly , the saccule contains a patch of hair cells and a macula . Each hair cell of a macula has 40 - 70 stereocilia and one true cilium called a kinocilium . The tips of these cilia are embedded in an otolithic membrane . This membrane is weighted down with protein - calcium carbonate granules called otoliths . These otoliths add to the weight and inertia of the membrane and enhance the sense of gravity and motion . With the head erect , the otolithic membrane bears directly down on the hair cells and stimulation is minimal . When the head is tilted , however , the otolithic membrane sags and bends the stereocilia , stimulating the hair cells . Any orientation of the head causes a combination of stimulation to the utricles and saccules of the two ears . The brain interprets head orientation by comparing these inputs to each other and to other input from the eyes and stretch receptors in the neck , thereby detecting whether the head is tilted or the entire body is tipping . Essentially , these otolithic organs sense how quickly you are accelerating forward or backward , left or right , or up or down . Most of the utricular signals elicit eye movements , while the majority of the saccular signals projects to muscles that control our posture .   While the interpretation of the rotation signals from the semicircular canals is straightforward , the interpretation of otolith signals is more difficult : since gravity is equivalent to a constant linear acceleration , one somehow has to distinguish otolith signals that are caused by linear movements from those caused by gravity . Humans can do that quite well , but the neural mechanisms underlying this separation are not yet fully understood . Humans can sense head tilting and linear acceleration even in dark environments because of the orientation of two groups of hair cell bundles on either side of the striola . Hair cells on opposite sides move with mirror symmetry , so when one side is moved , the other is inhibited . The opposing effects caused by a tilt of the head cause differential sensory inputs from the hair cell bundles allow humans to tell which way the head is tilting , Sensory information is then sent to the brain , which can respond with appropriate corrective actions to the nervous and muscular systems to ensure that balance and awareness are maintained .   Experience from the vestibular system ( edit )   Experience from the vestibular system is called equilibrioception . It is mainly used for the sense of balance and for spatial orientation . When the vestibular system is stimulated without any other inputs , one experiences a sense of self - motion . For example , a person in complete darkness and sitting in a chair will feel that he or she has turned to the left if the chair is turned to the left . A person in an elevator , with essentially constant visual input , will feel she is descending as the elevator starts to descend . There are a variety of direct and indirect vestibular stimuli which can make people feel they are moving when they are not , not moving when they are , tilted when they are not , or not tilted when they are . Although the vestibular system is a very fast sense used to generate reflexes , including the righting reflex , to maintain perceptual and postural stability , compared to the other senses of vision , touch and audition , vestibular input is perceived with delay .   Vestibular / somatogyral illusions ( edit )  Further information : Sensory illusions in aviation  Pathologies ( edit )   Diseases of the vestibular system can take different forms , and usually induce vertigo and instability or loss of balance , often accompanied by nausea . The most common vestibular diseases in humans are vestibular neuritis , a related condition called labyrinthitis , Ménière 's disease , and BPPV . In addition , the function of the vestibular system can be affected by tumors on the vestibulocochlear nerve , an infarct in the brain stem or in cortical regions related to the processing of vestibular signals , and cerebellar atrophy .   Alcohol can also cause alterations in the vestibular system for short periods and will result in vertigo and possibly nystagmus due to the variable viscosity of the blood and the endolymph during the consumption of alcohol . The common term for this type of sensation is the bed spins .    PAN I - The alcohol concentration is higher in the blood than in the vestibular system , hence the endolymph is relatively dense .   PAN II - The alcohol concentration is lower in the blood than in the vestibular system , hence the endolymph is relatively dilute .    PAN I will result in subjective vertigo in one direction and typically occurs shortly after ingestion of alcohol when blood alcohol levels are highest . PAN II will eventually cause subjective vertigo in the opposite direction . This occurs several hours after ingestion and after a relative reduction in blood alcohol levels .   Benign paroxysmal positional vertigo , or BPPV for short , is a condition resulting in acute symptoms of vertigo in people . It is probably caused when pieces that have broken off otoliths have slipped into one of the semicircular canals . In most cases it is the posterior canal that is affected . In certain head positions , these particles shift and create a fluid wave which displaces the cupula of the canal affected , which leads to dizziness , vertigo and nystagmus .   A similar condition to BPPV may occur in dogs and other mammals , but the term vertigo can not be applied because it refers to subjective perception . Terminology is not standardized for this condition .   A common vestibular pathology of dogs and cats is colloquially known as `` old dog vestibular disease '' , or more formally idiopathic peripheral vestibular disease , which causes sudden episode of loss of balance , circling , head tilt , and other signs . This condition is very rare in young dogs but fairly common in geriatric animals , and may affect cats of any age .   Vestibular dysfunction has also been found to correlate with cognitive and emotional disorders , including depersonalization and derealization .   See also ( edit )    Dark cell   Migraine - associated vertigo   Statocyst    References ( edit )    Jump up ^ Boulpaep , Emile L. ; Boron , Walter F. ( 2005 ) . Medical physiology : a cellular and molecular approach . St. Louis , Mo : Elsevier Saunders . ISBN 1 - 4160 - 2328 - 3 . OCLC 56963726 . CS1 maint : Multiple names : authors list ( link )   ^ Jump up to : Saladin , Kenneth S. ( 2011 ) . Anatomy &amp; Physiology : The Unity of Form and Function . New York : McGraw - Hill . ISBN 0 - 07 - 337825 - 9 . OCLC 799004854 .   Jump up ^ Vaziri , Siavash ; Connor , Charles E ( 2016 ) . `` Representation of Gravity - Aligned Scene Structure in Ventral Pathway Visual Cortex . '' . Current Biology . 26 : 766 -- 74 . PMID 26923785 . doi : 10.1016 / j. cub. 2016.01. 022 . Lay summary ... the ventral pathway , ... could support perceiving and / or predicting physical events involving objects subject to gravity ...   Jump up ^ `` The Physiology of the Senses : Balance '' ( PDF ) .   Jump up ^ `` The Otolith Organs : The Utricle and Sacculus '' . NCBI Bookshelf - Neuroscience .   Jump up ^ Angelaki DE , Cullen KE ( 2008 ) . `` Vestibular system : the many facets of a multimodal sense '' . Annu. Rev. Neurosci. 31 : 125 -- 50 . PMID 18338968 . doi : 10.1146 / annurev. neuro. 31.060407. 125555 .   Jump up ^ Lawson , B.D. , &amp; Riecke , B.E. ( 2014 ) . The Perception of Body Motion . Handbook of Virtual Environments , CRC Press , 163 - 196 .   Jump up ^ Barnett - Cowan , M. , and Harris , L.R. ( 2009 ) , Perceived timing of vestibular stimulation relative to touch , light and sound . Experimental Brain Research , 198 : 221 - 231 . `` doi : 10.1007 / s00221 - 009 - 1779 - 4 '' .   Jump up ^ Barnett - Cowan , M. ( 2013 ) , Vestibular perception is slow : a review . Multisensory Research , 26 : 387 - 403 . `` doi : 10.1163 / 22134808 - 00002421 '' .   Jump up ^ `` Vertigo '' . University of Maryland Medical Center . Retrieved 13 November 2015 .   Jump up ^ Rossmeisl , John ( 2010 ) . `` Vestibular Disease in Dogs and Cats '' . Veterinary Clinics of North America : Small Animal Practice. 40 ( 1 ) : 80 -- 100 . doi : 10.1016 / j. cvsm. 2009.09. 007 . Retrieved 12 March 2017 .   Jump up ^ Smith , Paul F ; Darlington , Cynthia L ( 2013 ) . `` Personality changes in patients with vestibular dysfunction . '' . Frontiers in human neuroscience. 7 : 678 . PMC 3810789 . PMID 24194706 . doi : 10.3389 / fnhum. 2013.00678 . Lay summary . patients with vestibular disorders have been reported to experience other personality changes that suggest that vestibular sensation is implicated in the sense of self . These are depersonalization and derealization symptoms such as feeling `` spaced out '' , `` body feeling strange '' and `` not feeling in control of self '' . We propose in this review that these symptoms suggest that the vestibular system may make a unique contribution to the concept of self through information regarding self - motion and self - location that it transmits , albeit indirectly , to areas of the brain such as the temporo - parietal junction    Further reading ( edit )    S.M. Highstein , R.R. Fay , A.N. Popper , editors ( 2004 ) . The vestibular system . Berlin : Springer . ISBN 0 - 387 - 98314 - 7 . OCLC 56068617 . CS1 maint : Multiple names : authors list ( link ) CS1 maint : Extra text : authors list ( link ) ( Comment : A book for experts , summarizing the state of the art in our understanding of the balance system )   Thomas Brandt ( 2003 ) . Vertigo : Its Multisensory Syndromes . Berlin : Springer . ISBN 0 - 387 - 40500 - 3 . OCLC 52472049 . ( Comment : For clinicians , and other professionals working with dizzy patients . )   `` Driver Fatigue : Is Something Missing ? '' ( pdf ) . Christopher Brill , Peter A. Hancock , Richard D. Gilson - University of Central Florida - 2003 . ( Comment : Research on driver or motion - induced sleepiness aka ' sopite syndrome ' links it to the vestibular labyrinths . )   Vestibular system Kathleen Cullen and Soroush Sadeghi , Scholarpedia , 3 ( 1 ) : 3013 . doi : 10.4249 / scholarpedia. 3013   ( 1 ) A preview of an article on how vestibular disorders can cause symptoms that look like mental disorders .    External links ( edit )    Vestibular Disorders Association For more information about vestibular ( inner ear balance ) disorders .   ( Video ) Head Impulse Testing site ( vHIT ) Site with thorough information about vHIT   SensesWeb , which contains animations of all sensory systems , and additional links .   Dizzytimes.com Online Community for Sufferers of Vertigo and Dizziness .   Vestibular System , Neuroscience Online ( electronic neuroscience textbook )              The sensory system     Special senses     Sight   Visual system     Hearing   Auditory system     Smell   Olfactory system     Taste ( Gustatory system )       Touch and position     Pain   Nociception     Temperature   Thermoception     Sense of balance   Vestibular system     Mechanoreception   Pressure   vibration     Proprioception   Sense of body parts and movement         Other     Sensory receptor   Multisensory integration   Sensory processing   Chemoreception                 Anatomy of hearing and balance     Outer ear     Auricle   helix   antihelix   tragus   antitragus   intertragic notch   earlobe     Ear canal   Auricular muscles   Eardrum   umbo   pars flaccida         Middle ear      Tympanic cavity     Medial structures   oval window   round window   secondary tympanic membrane   prominence of facial canal   promontory of tympanic cavity     Posterior structures   mastoid cells   aditus to mastoid antrum   pyramidal eminence         Ossicles     Malleus   superior ligament   lateral ligament   anterior ligament     Incus   superior ligament   posterior ligament     Stapes   annular ligament     Muscles   stapedius   tensor tympani         Auditory tube / Eustachian tube     Torus tubarius          Inner ear / ( membranous labyrinth , bony labyrinth )      Auditory system / Cochlear labyrinth      General cochlea     Vestibular duct   Helicotrema   Tympanic duct   Modiolus   Cochlear cupula       Perilymphatic space     Perilymph   Cochlear aqueduct       Cochlear duct / scala media     Reissner 's / vestibular membrane   Basilar membrane   Reticular membrane     Endolymph   Stria vascularis   Spiral ligament     Organ of Corti   stereocilia   tip links     Tectorial membrane   Sulcus spiralis   externus   internus     Spiral limbus       Cells     Claudius cell   Boettcher cell          Vestibular system / Vestibular labyrinth      Vestibule     Utricle   macula     Saccule   macula     Kinocilium   Otolith   Vestibular aqueduct   endolymphatic duct   endolymphatic sac     Ductus reuniens       Semicircular canals     Superior semicircular canal   Posterior semicircular canal   Horizontal semicircular canal     Ampullary cupula   Ampullae   crista ampullaris                         Physiology of balance and hearing     Hearing      General     Auditory system   Bone conduction   Otoacoustic emission   Tullio phenomenon       Pathway     inner ear : Hair cells → Spiral ganglion → Cochlear nerve →     pons : Cochlear nucleus ( Anterior , Dorsal ) → Trapezoid body → Superior olivary nuclei →     midbrain : Lateral lemniscus → Inferior colliculi →     thalamus : Medial geniculate nuclei →     cerebrum : Acoustic radiation → Primary auditory cortex          Balance      General     Vestibular system       Pathway     inner ear : Vestibular nerve →     pons : Vestibular nuclei ( Medial vestibular nucleus , Lateral vestibular nucleus )     cerebellum : Flocculonodular lobe     spinal cord : Vestibulospinal tract ( Medial vestibulospinal tract , Lateral vestibulospinal tract )     thalamus : Ventral posterolateral nucleus     cerebrum : Vestibular cortex     Vestibulo - oculomotor fibers         Retrieved from `` https://en.wikipedia.org/w/index.php?title=Vestibular_system&amp;oldid=801105121 '' Categories :   Nervous system   Vestibular system   Sensory systems   Hidden categories :   CS1 maint : Multiple names : authors list   All articles with unsourced statements   Articles with unsourced statements from May 2017   Articles with unsourced statements from November 2015   Articles with unsourced statements from March 2017   CS1 maint : Extra text : authors list           Talk                                           Contents                   About Wikipedia                                                   Azərbaycanca   Bân - lâm - gú   Беларуская   Български   Català   Čeština   Dansk   Deutsch   Español   Euskara   Français   Gaeilge   </t>
    </r>
    <r>
      <rPr>
        <sz val="11"/>
        <color rgb="FF000000"/>
        <rFont val="Noto Sans CJK SC"/>
        <family val="2"/>
      </rPr>
      <t xml:space="preserve">한국어   </t>
    </r>
    <r>
      <rPr>
        <sz val="11"/>
        <color rgb="FF000000"/>
        <rFont val="Calibri"/>
        <family val="0"/>
        <charset val="1"/>
      </rPr>
      <t xml:space="preserve">Հայերեն   עברית   Қазақша   Nederlands   Português   Русский   Српски / srpski   Suomi   Svenska   ไทย   Türkçe   Українська   </t>
    </r>
    <r>
      <rPr>
        <sz val="11"/>
        <color rgb="FF000000"/>
        <rFont val="Noto Sans CJK SC"/>
        <family val="2"/>
      </rPr>
      <t xml:space="preserve">中文   </t>
    </r>
    <r>
      <rPr>
        <sz val="11"/>
        <color rgb="FF000000"/>
        <rFont val="Calibri"/>
        <family val="0"/>
        <charset val="1"/>
      </rPr>
      <t xml:space="preserve">Edit links   This page was last edited on 17 September 2017 , at 18 : 01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</si>
  <si>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sense provides information about balance and movement</t>
  </si>
  <si>
    <t xml:space="preserve"> The vestibular system , in most mammals , is the sensory system that provides the leading contribution to the sense of balance and spatial orientation for the purpose of coordinating movement with balance . Together with the cochlea , a part of the auditory system , it constitutes the labyrinth of the inner ear in most mammals . As movements consist of rotations and translations , the vestibular system comprises two components : the semicircular canals , which indicate rotational movements ; and the otoliths , which indicate linear accelerations . The vestibular system sends signals primarily to the neural structures that control eye movements , and to the muscles that keep an animal upright . The projections to the former provide the anatomical basis of the vestibulo - ocular reflex , which is required for clear vision ; and the projections to the muscles that control posture are necessary to keep an animal upright . </t>
  </si>
  <si>
    <r>
      <rPr>
        <sz val="11"/>
        <color rgb="FF000000"/>
        <rFont val="Calibri"/>
        <family val="0"/>
        <charset val="1"/>
      </rPr>
      <t xml:space="preserve">Elizabeth Banks - wikipedia  Elizabeth Banks  Jump to : navigation , search For the journalist , see Elizabeth Banks ( journalist ) .    Elizabeth Banks     Banks in 2014       Elizabeth Irene Mitchell ( 1974 - 02 - 10 ) February 10 , 1974 ( age 44 ) Pittsfield , Massachusetts , U.S.     Alma mater   University of Pennsylvania American Conservatory Theater     Occupation     Actress   director   producer       Years active   1998 -- present     Spouse ( s )   Max Handelman ( m . 2003 )     Children       Website   www.elizabethbanks.com     Elizabeth Irene Banks ( née Mitchell ; born February 10 , 1974 ) is an American actress , director , and producer . Banks made her film debut in the low - budget independent film Surrender Dorothy ( 1998 ) , and is known for her roles in the films Wet Hot American Summer ( 2001 ) , Sam Raimi 's Spider - Man trilogy ( 2002 -- 2007 ) , Seabiscuit ( 2003 ) , The 40 - Year - Old Virgin ( 2005 ) , Zack and Miri Make a Porno ( 2008 ) , Role Models ( 2008 ) , The Next Three Days ( 2010 ) , Pitch Perfect ( 2012 ) , Power Rangers ( 2017 ) , The Lego Movie ( 2014 ) , and The Hunger Games film series ( 2012 -- 2015 ) . In 2014 , she portrayed Melinda Ledbetter , the girlfriend and later wife of the Beach Boys co-founder Brian Wilson , in the biographical drama Love &amp; Mercy and made her directorial debut with Pitch Perfect 2 , whose $69 million opening weekend gross set a record for a first - time director .   On television , Banks had a recurring role as Avery Jessup on the NBC sitcom 30 Rock , which garnered her two Primetime Emmy Award nominations . She also had recurring roles on the comedy series Scrubs and Modern Family , the latter of which earned her a Primetime Emmy Award nomination . She reprised her role as Lindsay in Wet Hot American Summer for the Netflix miniseries Wet Hot American Summer : First Day of Camp ( 2015 ) and Wet Hot American Summer : Ten Years Later ( 2017 ) .   As of August 2017 , Box Office Mojo ranked Banks as the 33rd - highest grossing actor of all time , and the fifth - highest grossing actress .     Contents  ( hide )   1 Early life   2 Career   3 Personal life   4 Filmography   4.1 Film   4.2 Television   4.3 Video games     5 Awards and nominations   6 References   7 External links      Early life ( edit )   Banks was born in Pittsfield , Massachusetts , and grew up on Brown Street , the eldest of four children of Ann ( née Wallace ) and Mark P. Mitchell . Her father , a Vietnam veteran , was a factory worker for General Electric and her mother worked in a bank . She has said that she grew up `` Irish + WASP + Catholic '' .   Growing up , Banks played baseball and rode horses . She was in Little League when she broke her leg sliding into third base . She then tried out for the school play , which was her start in acting . She graduated from Pittsfield High School in 1992 , and is a member of the Massachusetts Junior Classical League . She attended the University of Pennsylvania , where she was a member of the Delta Delta Delta Sorority . She graduated magna cum laude in 1996 with a major in communications and a minor in theater arts . In 1998 , she completed schooling at the American Conservatory Theater in San Francisco , California , where she earned an MFA degree .   Career ( edit )  Banks at Spider - Man 3 premiere in 2007  Banks changed her name to avoid confusion with actress Elizabeth Mitchell . After auditioning in New York , she was offered a role on the soap opera Santa Barbara . Taking the role would have required her to quit her education at the American Conservatory Theatre , and Banks ultimately decided to forgo the offer due to having taken out student loans to complete her degree . She made her acting debut in the 1998 independent film Surrender Dorothy , as Elizabeth Casey , and appeared in various films over the next seven years including Guy Ritchie 's Swept Away before gaining more prominent widespread exposure through the 2005 comedy film The 40 - Year - Old Virgin .   In August 2005 , at the Williamstown Theatre Festival , Banks starred in William Inge 's Bus Stop as Cherie , the sexy blonde aspiring nightclub singer . Jeffrey Borak wrote that Banks ' portrayal was acted `` with poise , clarity and a shrewd feel for Cherie 's complexities . Her performance is all of a piece and in harmony , stylistically , with the performances around her ... '' In 2005 , she appeared on the series Stella , and in May 2006 , she had a role in the season five finale of the NBC sitcom Scrubs as Dr. Kim Briggs , the love interest of J.D. ( Zach Braff ) . The character appeared throughout seasons six , seven , and eight as a recurring guest star .   In 2006 , Banks appeared in the American football drama film Invincible , in which she played Mark Wahlberg 's love interest . Later , she and co-star Wahlberg were nominated for the `` Best Kiss '' award at the MTV Movie Awards . That same year , she landed the starring role in the comedy - horror film Slither .   In 2007 , Banks played the female lead in the comedy film Meet Bill , alongside Aaron Eckhart and Jessica Alba . That same year , she had a small role in the Christmas comedy film Fred Claus , co-starring Vince Vaughn and Paul Giamatti as Santa 's little helper , Charlyne . In 2008 , she played the ex-wife and mother of the daughter of Ryan Reynolds lead in the comedy film Definitely , Maybe , alongside Isla Fisher and Ryan Reynolds , starred with Seth Rogen as the eponymous female lead in the Kevin Smith comedy Zack and Miri Make a Porno , and played United States First Lady Laura Bush in W. , Oliver Stone 's biopic of George W. Bush .   In 2009 , Banks appeared in the horror film The Uninvited , a remake of the Korean film A Tale of Two Sisters . The film was about an intrusive stepmother who makes life miserable for the teen daughters of her new husband . Banks based her character , Rachel , on Rebecca De Mornay 's character in The Hand That Rocks the Cradle . `` It was very important to me that every line reading I gave could be interpreted two ways , '' says Banks of her role , `` So that when you go back through the movie you can see that '' .   Banks is a frequent co-star of actor Paul Rudd , the two having appeared in five films together to date ( Wet Hot American Summer , The Baxter , The 40 - Year - Old Virgin , Role Models , and Our Idiot Brother ) . She is also a frequent co-star of actor Tobey Maguire , the two having also appeared in five films together ( Spider - Man , Seabiscuit , Spider - Man 2 , Spider - Man 3 , and The Details ) .   Banks was cast as a love interest for Jack Donaghy ( Alec Baldwin ) in the fourth season of the Emmy Award - winning sitcom 30 Rock . Intended to appear in four episodes in 2010 , Banks went on to become a recurring character with 13 appearances by the end of the fifth season , including her marriage in the episode Mrs. Donaghy . Her performance in season five earned her a nomination for Primetime Emmy Award for Outstanding Guest Actress in a Comedy Series for the 63rd Primetime Emmy Awards .  Banks at the What to Expect When You 're Expecting premiere in 2012  In 2012 Banks also starred in the film What to Expect When You 're Expecting alongside Jennifer Lopez . Banks appeared in the movie The Hunger Games ( 2012 ) , playing Effie Trinket , a woman from `` The Capitol '' who escorts the District 12 tributes to the Hunger Games . She reprised the role in the films The Hunger Games : Catching Fire ( 2013 ) , The Hunger Games : Mockingjay -- Part 1 ( 2014 ) , and The Hunger Games : Mockingjay -- Part 2 ( 2015 ) . Banks co-starred in the 2014 movie Every Secret Thing , playing Detective Nancy Porter investigating the disappearance of a young child with similarities to a case she had previously been involved with .   In 2014 , Banks was recognized by Elle Magazine during The Women in Hollywood Awards , honoring women for their outstanding achievements in film , spanning all aspects of the motion picture industry , including acting , directing , and producing .   Banks portrayed Melinda Ledbetter Wilson , the wife of Brian Wilson , in the 2015 biopic Love and Mercy , which is based on the life of the legendary musician and founding member of The Beach Boys , as portrayed by John Cusack . After producing and appearing , as Gail , in the first Pitch Perfect film , Banks directed its sequel , Pitch Perfect 2 ( 2015 ) , making her feature directorial debut . She also co-produced , and again played Gail in , both Pitch Perfect 2 and the next sequel Pitch Perfect 3 ( 2017 ) .   In 2015 , she was named as a member of the Jury for the Main Competition at the 2015 Venice Film Festival . The festival is chaired by Alfonso Cuarón . Also in 2015 , Banks became a spokeswoman for Realtor.com in their series of television commercials . As of mid-February 2016 , Banks became the commercial face of Old Navy . She also played space alien Rita Repulsa in the 2017 Power Rangers reboot film .   Personal life ( edit )  Banks has lunch with US service members during a USO visit at Bagram Air Base , Afghanistan in 2015  Banks met her husband , Max Handelman , a sportswriter and producer from Portland , Oregon on her first day of college on September 6 , 1992 . They were married in 2003 . The couple have two sons . She and her husband had their first child , Felix , who was born through a surrogate in March 2011 . In November 2012 , Banks announced the birth of another son , Magnus Mitchell , also by surrogate .   Banks went through parts of conversion to Judaism , her husband 's faith , and studied with rabbis . In 2013 , speaking of her religion , she stated that she practices Judaism , though `` I did not have my mikveh , so technically I 'm not converted '' , but that she has `` been essentially a Jew for like 15 years '' , adding `` Frankly , because I 'm already doing everything ( practicing religious rituals ) , I feel like I 'm as Jewish as I 'm ever going to be '' .   Banks was a vocal supporter of Hillary Clinton 's 2016 presidential campaign , and was involved in a rendition of Rachel Platten 's single `` Fight Song '' with other celebrities at the Democratic National Convention .   Filmography ( edit )   Film ( edit )     Year   Title   Role   Notes     1998   Surrender Dorothy   Vicki   Credited as Elizabeth Casey     2000   Shaft   Trey 's friend   Credited as Elizabeth Maresal Mitchell     2001   Wet Hot American Summer   Lindsay       Ordinary Sinner   Rachel       2002   Spider - Man   Betty Brant       Swept Away   Debi       Catch Me If You Can   Lucy Forrest       2003   The Trade   Sioux Sever       Seabiscuit   Marcela Howard         Spider - Man 2   Betty Brant       2005   Heights   Isabel Lee       Sexual Life   Sarah       The Sisters   Nancy Pecket       The Baxter   Caroline Swann       The 40 - Year - Old Virgin   Beth       Daltry Calhoun   May       2006   Slither   Starla Grant       Invincible   Janet Cantrell       2007   Spider - Man 3   Betty Brant       Meet Bill   Jess       Fred Claus   Charlene       2008   Definitely , Maybe   Emily Jones       Meet Dave   Gina Morrison       Lovely , Still   Alex       W .   Laura Bush       Zack and Miri Make a Porno   Miriam `` Miri '' Linky       Role Models   Beth Jones       2009   Big Breaks   Starlet   Short film     The Uninvited   Rachel Summers       Surrogates   N / A   Executive producer       The Next Three Days   Lara Brennan       2011   The Details   Nealy Lang       Just a Little Heart Attack   Woman   Short film Also director     Our Idiot Brother   Miranda Rochlin       2012   Man on a Ledge   Lydia Mercer       The Hunger Games   Effie Trinket       What to Expect When You 're Expecting   Wendy Cooper       People Like Us   Frankie Davis       Pitch Perfect   Gail Abernathy - McKadden   Also producer     2013   Movie 43   Amy   Segment : `` Beezel '' Directed segment : `` Middleschool Date ''     The Hunger Games : Catching Fire   Effie Trinket       2014   Little Accidents   Diane Doyle       The Lego Movie   Lucy `` Wyldstyle ''   Voice role     Walk of Shame   Meghan Miles       Every Secret Thing   Detective Nancy Porter       Love &amp; Mercy   Melinda Ledbetter       The Hunger Games : Mockingjay -- Part 1   Effie Trinket       2015   Pitch Perfect 2   Gail Abernathy - McKadden - Feinberger   Also director and producer     Magic Mike XXL   Paris       The Hunger Games : Mockingjay -- Part 2   Effie Trinket       2017   The Most Hated Woman in America   N / A   Producer     Power Rangers   Rita Repulsa   Nominated -- Teen Choice Award for Choice Movie Villain     Pitch Perfect 3   Gail Abernathy - McKadden - Feinberger   Also producer     2018   The Happytime Murders   Jenny   Filming     2019   Charlie 's Angels   N / A   Director     Television ( edit )     Year   Title   Role   Notes     1998   Keep Going Safety   Ben 's Mom   Voice role     1999   All My Children   Rosalie   1 episode     1999   Third Watch   Elaine Elchisak   Episode : `` Patterns '' Credited as Elizabeth Maresal Mitchell     2000   Sex and the City   Catherine   Episode : `` Politically Erect ''     2001   Law &amp; Order : Special Victims Unit   Jaina Tobias Jansen   Episode : `` Sacrifice ''     2002   Without a Trace   Clarissa   Episode : `` Snatch Back ''     2005   Stella   Tamara   Episode : `` Meeting Girls ''     2006 -- 09   Scrubs   Dr. Kim Briggs   17 episodes     2007 -- 08   Wainy Days   Shelly   3 episodes     2007 -- 08   American Dad !   Becky Arangino / Lisa Silver ( voices )   3 episodes     2008   Comanche Moon   Maggie Tilton   3 episodes     2009 , 2013 -- 15 , 2017   Modern Family   Sal   6 episodes     2010 -- 12   30 Rock   Avery Jessup   15 episodes     2012   Family Guy   Pam Fishman ( voice )   Episode : `` Into Fat Air ''     2012   Robot Chicken   Mrs. Claus / Shana `` Scarlett '' O'Hara ( voices )   Episode : `` Robot Chicken 's ATM Christmas Special ''     2012   Comedy Bang ! Bang !   Herself   Episode : `` Elizabeth Banks Wears A Red Dress ''     2013   Timms Valley   Beth Billings - Timms ( voice )   Pilot     2014   Phineas and Ferb   Grulinda ( voice )   Episode : `` Imperfect Storm ''     2015   Resident Advisors   Doctor   Episode : `` Motivational Speaker `` ; also producer     2015   Wet Hot American Summer : First Day of Camp   Lindsay   6 episodes     2015   Moonbeam City   Chief Pizzaz Miller ( voice )   10 episodes     2015   The Muppets   Herself   Episode : `` Pig Girls Do n't Cry ''     2015   Saturday Night Live   Herself ( host )   Episode : `` Elizabeth Banks / Disclosure ''     2017   Wet Hot American Summer : Ten Years Later   Lindsay   5 episodes     2017   Curb Your Enthusiasm   Herself   Episode : `` A Disturbance in the Kitchen ''     Video games ( edit )     Year   Title   Voice role     2014   The Lego Movie Videogame   Wyldstyle / Lucy     2015   Lego Dimensions   Wyldstyle / Lucy     Awards and nominations ( edit )     Year   Work   Association     Result   Ref .     2003   Seabiscuit   Screen Actors Guild Awards   Outstanding Performance by a Cast in a Motion Picture   Nominated       2006   Invincible   MTV Movie Awards   Best Kiss   Nominated       Slither   Fangoria Chainsaw Awards   Relationship from Hell   Nominated       2008   W .   Detroit Film Critics Society   Best Supporting Actress   Nominated       2009   N / A   Women in Film Crystal + Lucy Awards   Face of the Future Award   Won       The Uninvited   Fright Meter Awards   Best Supporting Actress   Nominated       2011   30 Rock   Primetime Emmy Awards   Outstanding Guest Actress in a Comedy Series   Nominated       Gold Derby Awards   Best Comedy Guest actress   Nominated       2012   The Hunger Games   MTV Movie Awards   Best On - Screen Transformation   Won       Teen Choice Awards   Choice Movie : Female Scene Stealer   Nominated       30 Rock   Primetime Emmy Awards   Outstanding Guest Actress in a Comedy Series   Nominated       2013   Movie 43   Golden Raspberry Awards   Worst Director   Won       N / A   CinemaCon   Excellence in Acting   Won       The Hunger Games : Catching Fire   MTV Movie Awards   Best On - Screen Transformation   Nominated       San Diego Film Critics Society Awards   Best Supporting Actress   Nominated       Modern Family   Online Film &amp; Television Association Awards   Best Guest Actress in a Comedy Series   Nominated       Gold Derby Awards   Best Comedy Guest actress   Nominated       2014   The Lego Movie   BTVA Awards   Best Female Lead Vocal Performance   Nominated       Best Vocal Ensemble   Nominated     BTVA People 's Choice Awards   Best Female Lead Vocal Performance   Won     Best Vocal Ensemble   Won     Love &amp; Mercy   Florida Film Critics Circle Awards   Best Supporting Actress   Nominated       Austin Film Critics Association   Best Supporting Actress   Nominated       Indiana Film Journalists Association   Best Supporting Actress   Nominated       Denver Film Critics Society   Best Supporting Actress   Nominated       Las Vegas Film Critics Society   Best Supporting Actress   Won       San Francisco Film Critics Circle   Best Supporting Actress   Nominated       Georgia Film Critics Association   Best Supporting Actress   Nominated       Santa Barbara International Film Festival   Virtuoso Award   Won       Satellite Awards   Best Supporting Actress -- Motion Picture   Nominated       2015   N / A   CinemaCon   Breakthrough Filmmaker of the Year   Won       The Hunger Games : Mockingjay -- Part 1   MTV Movie Awards   Best On - Screen Transformation   Won       Modern Family   Online Film &amp; Television Association Awards   Best Guest Actress in a Comedy Series   Nominated       Gold Derby Awards   Best Comedy Guest actress   Nominated       Primetime Emmy Awards   Outstanding Guest Actress in a Comedy Series   Nominated       Pitch Perfect 2   Golden Raspberry Awards   The Razzie Redeemer Award   Nominated       2016   Lego Dimensions   BTVA Awards   Best Vocal Ensemble in a Video Game   Won       BTVA People 's Choice Awards   Best Vocal Ensemble in a Video Game   Won     References ( edit )    Jump up ^ Vary , Adam B. ( 2008 - 10 - 20 ) . `` Elizabeth Banks Fall 's First Lady Elizabeth Banks Movie Spotlight Movies Entertainment Weekly 2 '' . Entertainment Weekly . Retrieved 2008 - 11 - 01 .   Jump up ^ `` Elizabeth Irene Mitchell '' . familytreemaker.genealogy.com . Retrieved July 26 , 2012 .   Jump up ^ `` Monitor '' . Entertainment Weekly . Feb 15 , 2013 .   Jump up ^ `` Box office : ' Pitch Perfect 2 ' crescendos past ' Mad Max : Fury Road ' to $70.3 million '' . LATimes.com. 2015 - 05 - 17 . Retrieved 2015 - 05 - 18 .   Jump up ^ `` Box Office Top 20 : ' Pitch Perfect 2 ' lands at $69.2 million '' . yahoo.com. 2015 - 05 - 18 . Archived from the original on 2015 - 05 - 21 . Retrieved 2015 - 05 - 22 .   Jump up ^ `` Box Office Mojo - People Index '' . Box Office Mojo . Retrieved 2 November 2016 .   Jump up ^ Jessica Willis ( October 21 , 2008 ) . `` From Pittsfield to the big screen '' . The Berkshire Eagle .   Jump up ^ James Mottram ( 2008 - 11 - 08 ) . `` Elizabeth Banks : from the top - shelf to First Lady in W '' . The Times . London . Retrieved 2008 - 11 - 07 .   Jump up ^ `` Elizabeth Banks '' . Twitter . Retrieved July 26 , 2012 .   Jump up ^ `` About Elizabeth Banks '' . yahoo movies . Archived from the original on March 28 , 2012 . Retrieved July 26 , 2012 .   Jump up ^ `` Elizabeth Banks Was A Sexy - Flirty Latin Clubber '' . TeamCoco . September 24 , 2012 . Retrieved March 16 , 2013 .   Jump up ^ `` How to Succeed in Business by Really , Really Trying '' . Penn Gazette . December 22 , 2009 . Retrieved September 11 , 2013 .   Jump up ^ `` Master of Fine Arts Program in Acting '' . www.act-sf.org . Retrieved 7 August 2015 .   Jump up ^ `` Elizabeth Banks And Annette Bening Honored At American Conservatory Theater Awards '' . Huffington post . Retrieved 7 August 2015 .   Jump up ^ Strauss , Bob ( 2008 - 10 - 27 ) . `` From first lady to Porno star actress : Elizabeth Banks dishes the dirt '' . The Seattle Times . Archived from the original on 2008 - 10 - 30 . Retrieved 2008 - 11 - 01 .   Jump up ^ Banks , Elizabeth ( November 4 , 2015 ) . `` Love &amp; Mercy , Elizabeth Banks '' . DP / 30 : The Oral History of Hollywood ( Interview ) . Retrieved April 6 , 2016 .   Jump up ^ `` Swept Away '' . New York Times . Retrieved 7 August 2015 .   Jump up ^ `` The 40 - Year Old Virgin Is Ten Years Old '' . movie pilot.com . Retrieved 7 August 2015 .   Jump up ^ Sommer , Elyse. 2005 , Curtain Up .   Jump up ^ Borak , Jeffrey 2005 . `` Love blooms in a Kansas diner '' , Berkshire Eagle August 20 , Art section .   ^ Jump up to : `` Elizabeth Banks Biography '' . biography.com . Retrieved 7 August 2015 .   ^ Jump up to : Jones , Alan . `` Invincible '' . radiotimes.com . Retrieved 7 August 2015 .   Jump up ^ `` Slither movie review '' . Retrieved 7 August 2015 .   Jump up ^ `` Definitely , Maybe ( 2008 ) '' . New York Times . Retrieved 7 August 2015 .   Jump up ^ `` Elizabeth Banks is Oliver Stone 's Laura Bush '' . ComingSoon.net. 2008 - 03 - 26 . Retrieved 2008 - 11 - 01 .   Jump up ^ Barton , Steve ( 2010 - 03 - 01 ) . `` Elizabeth Banks to Head Out into the Dark Fields ? '' . Dreadcentral.com . Retrieved 2015 - 03 - 11 .   ^ Jump up to : `` Elizabeth Banks : The Uninvited '' . SuicideGirls.com. 30 January 2009 . Retrieved 2009 - 01 - 30 .   Jump up ^ On , Cs ( 2010 - 02 - 27 ) . `` Elizabeth Banks Entering Dark Fields ? '' . Comingsoon.net . Retrieved 2015 - 03 - 11 .   Jump up ^ `` Tobey Maguire on New Spider - Man Film '' . YouTube.com. 2012 - 05 - 08 . Retrieved 2015 - 03 - 11 .   Jump up ^ Joyce Eng . `` Elizabeth Banks to Guest - Star on 30 Rock '' . TVGuide.com .   ^ Jump up to : `` Elizabeth Banks '' . Emmys.com . Retrieved 7 August 2015 .   Jump up ^ `` ' Every Secret Thing ' review : Diane Lane , Elizabeth Banks and Dakota Fanning grapple with underwhelming drama '' . ny daily news . Retrieved 7 August 2015 .   Jump up ^ ELLE ( 15 October 2014 ) . `` Women in Hollywood 2014 - ELLE November 2014 Cover Story '' . ELLE .   Jump up ^ `` Watch John Cusack and Elizabeth Banks 's Awkward First Date in an Exclusive Clip from Love &amp; Mercy '' . Vanity fair . Retrieved 7 August 2015 .   Jump up ^ `` Elizabeth Banks : ' I Had More to Offer an Industry That Clearly Did n't Expect Too Much ' '' . variety.com . Retrieved 7 August 2015 .   Jump up ^ `` Elizabeth Banks , Diane Kruger join Alfonso Cuarón on Venice Film Festival jury '' . Entertainment weekly . Retrieved 7 August 2015 .   Jump up ^ `` Elizabeth Banks Is in Our New TV Ads , and That 's Pretty Cool '' . Real Estate News and Advice - realtor.com .   Jump up ^ `` WORK STUFF '' .   Jump up ^ `` Elizabeth Banks Cast as Rita Repulsa in Power Rangers Movie '' . Entertainment Weekly . Retrieved February 3 , 2016 .   Jump up ^ `` Celebrity Wedding : Elizabeth Banks &amp; Max Handelman '' . In Style . Retrieved 2009 - 01 - 06 .   Jump up ^ Tiger , Caroline 2010 . `` How to Succeed in Show Business by Really Really Trying '' . The Pennsylvania Gazette Jan. - Feb. , Vol. 108 , No. 3 , pp. 46 -- 50 .   Jump up ^ Michaud , Sarah ( March 31 , 2011 ) . `` Elizabeth Banks Names ' Miracle ' Baby Felix '' . people.com . Retrieved July 26 , 2012 .   Jump up ^ Banks , Elizabeth ( November 14 , 2012 ) . `` IT 'S A BOY ! '' . elizabethbanks.com . Retrieved March 16 , 2013 .   Jump up ^ Butnick , Stephanie ( January 17 , 2013 ) . `` Jewish Actress Elizabeth Banks Discusses Her Conversion With Marc Maron '' . Jewcy . Retrieved March 16 , 2013 .   Jump up ^ `` Episode 352 -- Elizabeth Banks '' . WTF with Marc Maron . January 14 , 2013 . Retrieved March 16 , 2013 .   Jump up ^ Wilstein , Matt ( June 27 , 2016 ) . `` Elizabeth Banks Trolls Trump at DNC : ' A Cruel , Out - of - Touch Reality TV Star Who Wears Insane Wigs ' '' . The Daily Beast . Retrieved October 21 , 2016 .   Jump up ^ `` See Elizabeth Banks , Celebrities ' ' Our Fight Song ' Video '' . Retrieved 2016 - 08 - 13 .   Jump up ^ Hipes , Patrick ( September 13 , 2017 ) . `` Elizabeth Banks Joins Gang For ' The Happytime Murders ' '' . Deadline . Retrieved September 14 , 2017 .   Jump up ^ `` The 10th Annual Screen Actors Guild Awards - Screen Actors Guild Awards '' .   Jump up ^ `` The 2008 Detroit Film Critics Society Awards '' . Detroit Film Critics Society . Retrieved April 17 , 2014 .   Jump up ^ `` Women in Film to Honor Holly Hunter and Jennifer Aniston '' . womenandhollywood.com . Retrieved 7 August 2015 .   Jump up ^ `` 2012 MTV Movie Awards '' . MTV . Retrieved November 5 , 2015 .   Jump up ^ `` Teen Choice Awards 2012 : ' Hunger Games , ' ' Twilight ' and Justin Bieber Win Big '' . ABC News . July 23 , 2012 . Retrieved November 5 , 2015 .   Jump up ^ `` The 34th Annual RAZZIE ® Award Nominees for 2013 Worst Director '' . The Golden Raspberry Award Foundation and John Wilson . Retrieved January 15 , 2014 .   Jump up ^ `` CinemaCon : Elizabeth Banks to Receive Excellence in Acting Award '' . Hollywood Reporter .   Jump up ^ `` Best on - screen transformation '' . mtv.com . Retrieved 7 August 2015 .   Jump up ^ `` San Diego Film Critics Select Top Films for 2013 '' . San Diego Film Critics Society . December 11 , 2013 . Retrieved November 5 , 2015 .   Jump up ^ `` Online Film &amp; Television Association '' .   Jump up ^ `` Behind The Voice Actors - BTVA Voice Acting Awards '' . Behind The Voice Actors .   Jump up ^ `` ' Carol ' Leads 2015 Florida Film Critics Awards Nominations '' . FloridaFilmCritics.com .   Jump up ^ `` The AFCA 2015 Awards Nominees '' . Archived from the original on 2015 - 12 - 19 .   Jump up ^ `` ' Spotlight ' named Best Picture by Indiana Film Journalists Association '' .   Jump up ^ `` ' Spotlight ' named Best Picture by Indiana Film Journalists Association '' .   Jump up ^ `` Las Vegas Film Critics SocietyAwards '' .   Jump up ^ `` The San Francisco Film Critics Circle '' . Retrieved December 13 , 2015 .   Jump up ^ Scott Feinberg ( 17 November 2015 ) . `` Santa Barbara Film Fest : Elizabeth Banks , Paul Dano , Joel Edgerton and Jacob Tremblay Named Virtuosos '' . The Hollywood Reporter .   Jump up ^ `` Satellite Awards Nominees Unveiled '' . hollywoodreporter . Retrieved 15 December 2015 .   Jump up ^ `` Elizabeth Banks Named CinemaCon 's Breakthrough Filmmaker of the Year '' . Variety . Retrieved March 24 , 2015 .   Jump up ^ `` YANGAROO and MTV Extend Deal for 2015 and 2016 MTV Movie Awards and MTV Video Music Awards '' , Naijadudes . Retrieved on 11 January 2015 .   Jump up ^ `` Online Film &amp; Television Association '' .   Jump up ^ `` Razzie Awards 2016 Winners Announced '' . ComingSoon.net. 27 February 2016 . Retrieved 28 February 2016 .    External links ( edit )       Wikimedia Commons has media related to Elizabeth Banks .      Official website   Elizabeth Banks on IMDb   Elizabeth Banks at Box Office Mojo   Elizabeth Banks at the TCM Movie Database   Elizabeth Banks at AllMovie   Elizabeth Banks appearances on C - SPAN              Golden Raspberry Awards for Worst Director       Robert Greenwald ( 1980 )   Michael Cimino ( 1981 )   Ken Annakin / Terence Young ( 1982 )   Peter Sasdy ( 1983 )   John Derek ( 1984 )   Sylvester Stallone ( 1985 )   Prince ( 1986 )   Norman Mailer / Elaine May ( 1987 )   Blake Edwards / Stewart Raffill ( 1988 )   William Shatner ( 1989 )   John Derek ( 1990 )   Michael Lehmann ( 1991 )   David Seltzer ( 1992 )   Jennifer Lynch ( 1993 )   Steven Seagal ( 1994 )   Paul Verhoeven ( 1995 )   Andrew Bergman ( 1996 )   Kevin Costner ( 1997 )   Gus Van Sant ( 1998 )   Barry Sonnenfeld ( 1999 )   Roger Christian ( 2000 )   Tom Green ( 2001 )   Guy Ritchie ( 2002 )   Martin Brest ( 2003 )   Pitof ( 2004 )   John Asher ( 2005 )   M. Night Shyamalan ( 2006 )   Chris Sivertson ( 2007 )   Uwe Boll ( 2008 )   Michael Bay ( 2009 )   M. Night Shyamalan ( 2010 )   Dennis Dugan ( 2011 )   Bill Condon ( 2012 )   Elizabeth Banks , Steven Brill , Steve Carr , Rusty Cundieff , James Duffy , Griffin Dunne , Peter Farrelly , Patrik Forsberg , Will Graham , James Gunn , Bob Odenkirk , Brett Ratner , and Jonathan van Tulleken ( 2013 )   Michael Bay ( 2014 )   Josh Trank ( 2015 )   Dinesh D'Souza and Bruce Schooley ( 2016 )                 MTV Movie Award for Best On - Screen Transformation       Elizabeth Banks ( 2012 )   Jared Leto ( 2014 )   Elizabeth Banks ( 2015 )               VIAF : 229406474   LCCN : no2004004174   ISNI : 0000 0001 1604 628X   GND : 142544787   SUDOC : 14442732X   BNF : cb15717822g ( data )   MusicBrainz : 9109a906 - 01a5 - 48e8 - 8f63 - b915f2e83ada   BNE : XX4765546      Retrieved from `` https://en.wikipedia.org/w/index.php?title=Elizabeth_Banks&amp;oldid=825145527 '' Categories :   1974 births   Living people   20th - century American actresses   21st - century American actresses   Actresses from Massachusetts   American film actresses   American people of Irish descent   American television actresses   American video game actresses   American voice actresses   American women film directors   American women film producers   American film producers   Converts to Judaism   Jewish American actresses   Massachusetts Democrats   People from Pittsfield , Massachusetts   Annenberg School for Communication at the University of Pennsylvania alumni   Hidden categories :   Articles with hCards   Articles containing potentially dated statements from August 2017   All articles containing potentially dated statements   Wikipedia articles with VIAF identifiers   Wikipedia articles with LCCN identifiers   Wikipedia articles with ISNI identifiers   Wikipedia articles with GND identifiers   Wikipedia articles with BNF identifiers   Wikipedia articles with MusicBrainz identifiers           Talk                                           Contents                   About Wikipedia                                                 Afrikaans     Asturianu   تۆرکجه   Bân - lâm - gú   Български   Català   Čeština   Dansk   Deutsch   Ελληνικά   Español   Euskara   فارسی   Français   Frysk   Galego   </t>
    </r>
    <r>
      <rPr>
        <sz val="11"/>
        <color rgb="FF000000"/>
        <rFont val="Noto Sans CJK SC"/>
        <family val="2"/>
      </rPr>
      <t xml:space="preserve">한국어   </t>
    </r>
    <r>
      <rPr>
        <sz val="11"/>
        <color rgb="FF000000"/>
        <rFont val="Calibri"/>
        <family val="0"/>
        <charset val="1"/>
      </rPr>
      <t xml:space="preserve">Ido   Bahasa Indonesia   Italiano   עברית   Қазақша   Latviešu   Lietuvių   Magyar   मैथिली   Malagasy   مصرى   Bahasa Melayu   Монгол   Nederlands   नेपाली   </t>
    </r>
    <r>
      <rPr>
        <sz val="11"/>
        <color rgb="FF000000"/>
        <rFont val="Noto Sans CJK SC"/>
        <family val="2"/>
      </rPr>
      <t xml:space="preserve">日本 語   </t>
    </r>
    <r>
      <rPr>
        <sz val="11"/>
        <color rgb="FF000000"/>
        <rFont val="Calibri"/>
        <family val="0"/>
        <charset val="1"/>
      </rPr>
      <t xml:space="preserve">Norsk   Norsk nynorsk   Polski   Português   Română   Русский   Scots   Shqip   Simple English   Српски / srpski   Srpskohrvatski / српскохрватски   Suomi   Svenska   ไทย   Türkçe   Українська   اردو   Tiếng Việt   </t>
    </r>
    <r>
      <rPr>
        <sz val="11"/>
        <color rgb="FF000000"/>
        <rFont val="Noto Sans CJK SC"/>
        <family val="2"/>
      </rPr>
      <t xml:space="preserve">中文   </t>
    </r>
    <r>
      <rPr>
        <sz val="11"/>
        <color rgb="FF000000"/>
        <rFont val="Calibri"/>
        <family val="0"/>
        <charset val="1"/>
      </rPr>
      <t xml:space="preserve">डोटेली   Edit links   This page was last edited on 11 February 2018 , at 19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</si>
  <si>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girl from the realtor.com commercial</t>
  </si>
  <si>
    <t xml:space="preserve"> In 2015 , she was named as a member of the Jury for the Main Competition at the 2015 Venice Film Festival . The festival is chaired by Alfonso Cuarón . Also in 2015 , Banks became a spokeswoman for Realtor.com in their series of television commercials . As of mid-February 2016 , Banks became the commercial face of Old Navy . She also played space alien Rita Repulsa in the 2017 Power Rangers reboot film . </t>
  </si>
  <si>
    <t xml:space="preserve">Enlargement of the European Union - wikipedia  Enlargement of the European Union    The territories of the member states of the European Union ( European Communities pre-1993 ) , animated in order of accession . Territories outside Europe and its immediate surroundings are not shown .  The European Union ( EU ) has expanded a number of times throughout its history by way of the accession of new member states to the Union . To join the EU , a state needs to fulfil economic and political conditions called the Copenhagen criteria ( after the Copenhagen summit in June 1993 ) , which require a stable democratic government that respects the rule of law , and its corresponding freedoms and institutions . According to the Maastricht Treaty , each current member state and the European Parliament must agree to any enlargement . The process of enlargement is sometimes referred to as European integration . This term is also used to refer to the intensification of co-operation between EU member states as national governments allow for the gradual harmonisation of national laws .   The EU 's predecessor , the European Economic Community , was founded with the Inner Six member states in 1958 , when the Treaty of Rome came into force . Since then , the EU 's membership has grown to twenty - eight , with the latest member state being Croatia , which joined in July 2013 . The most recent territorial enlargement of the EU was the incorporation of Mayotte in 2014 . The most notable territorial reductions of the EU , and its predecessors , were the exit of Algeria upon independence in 1962 and the exit of Greenland in 1985 .   As of 2018 , accession negotiations are under way with Serbia ( since 2014 ) , Montenegro ( since 2012 ) and Turkey ( since 2005 ) . Serbia and Montenegro have been described by President of the European Commission Jean - Claude Juncker and Enlargement commissioner Johannes Hahn as the front - runner candidates , and projected that they would join by 2025 , during the next mandate of the European Commission . Negotiations with Turkey have also been ongoing at a slower pace , particularly since the 2016 Turkish coup d'état attempt due to objections from the EU to the Turkish government 's response . Additionally , the United Kingdom is negotiating its withdrawal from the EU , following a referendum in which a majority voted in favour of leaving the EU .   Contents  ( hide )   1 Criteria   2 Process   2.1 Example     3 Success and fatigue   4 Historical enlargements   4.1 Founding members   4.2 First enlargement   4.3 Mediterranean enlargements   4.4 Post -- Cold War   4.5 Eastern enlargement   4.6 Western Balkans enlargements   4.7 Detail   4.8 Timeline     5 Current enlargement agenda   6 Cancelled enlargements   7 See also   8 References   9 External links    Criteria ( edit )  Further information : Copenhagen criteria    European Union         This article is part of a series on the politics and government of European Union     Executive ( show ) European Council   President Tusk ( EPP )   Parties   List of meetings      European Commission    Juncker Commission   President Juncker ( EPP )   Vice Presidents   College   Civil Service   Secretary - General Selmayr       Legislature ( show ) European Parliament   President Tajani ( EPP )   Largest groups   EPP ( Manfred Weber )   S&amp;D ( Gianni Pittella )     8th session ( 2014 -- 19 )   751 MEPs     Bureau   Vice Presidents   Quaestor     Conference   Legislative procedure    Council of the EU    Presidency   Configurations   General   Foreign   Justice and Home   Economic   Euro       Legislative procedure   Voting   Secretariat   Secretary - General   Uwe Corsepius     Directorates - general   COREPER         Judiciary ( show )   Court of Justice   Members   Rulings     General Court       Central Bank ( show )   President Draghi   ESCB   Euro   EMU   Eurozone         Court of Auditors ( show )   Budget   OLAF       Other bodies ( show )   Agencies   Investment Bank   CoR   EESC   Ombudsman   National parliaments       Policies and issues ( show )   Foreign relations   High Representative   Federica Mogherini     Ext . Action Service   Foreign Policy   Defence Policy   Customs Union   Enlargement     Budget   Four Freedoms   Economic Area   Area of FS&amp;J   Schengen Area     Policies   Agricultural   Energy   Fisheries   Regional     Citizenship   Identity   Pro-Europeanism   Euroscepticism     Integration   Supranationalism   Federalism   United States of Europe   Multi-speed   Opt - outs   Enhanced co-op   Withdrawal         Elections ( show )   1979 , 1984 , 1989 1994 , 1999 , 2004 , 2009   2014 ( last election )   Political parties   Constituencies     Referendums       Law ( show )   Treaty on European Union   Acquis   Primacy   Subsidiarity     Treaties   Rome   Single European Act   Maastricht   Amsterdam   Nice   Lisbon   Article 50       Fundamental Rights   Membership   Treaties of Accession   1972 , 1979 , 1985 , 1994 , 2003 , 2005 , 2011           Other countries   Atlas                   According to the EU treaties , membership of the European Union is open to `` any European State which respects the values referred to in Article 2 and is committed to promoting them '' ( TEU Article 49 ) . Those Article 2 values are `` respect for human dignity , freedom , democracy , equality , the rule of law and respect for human rights , including the rights of persons belonging to minorities . '' This is based on the 1993 `` Copenhagen criteria '' agreed as it became clear many former Eastern Bloc countries would apply to join ;     ``   Membership requires that candidate country has achieved stability of institutions guaranteeing democracy , the rule of law , human rights , respect for and protection of minorities , the existence of a functioning market economy as well as the capacity to cope with competitive pressure and market forces within the Union . Membership presupposes the candidate 's ability to take on the obligations of membership including adherence to the aims of political , economic and monetary union .   ''     -- Excerpt from the Copenhagen Presidency conclusions     In December 1995 , the Madrid European Council revised the membership criteria to include conditions for member country integration through the appropriate adjustment of its administrative structures : since it is important that European Community legislation be reflected in national legislation , it is critical that the revised national legislation be implemented effectively through appropriate administrative and judicial structures .   Finally , and technically outside the Copenhagen criteria , comes the further requirement that all prospective members must enact legislation to bring their laws into line with the body of European law built up over the history of the Union , known as the acquis communautaire .   Process ( edit )   Today the accession process follows a series of formal steps , from a pre-accession agreement to the ratification of the final accession treaty . These steps are primarily presided over by the European Commission ( Enlargement Commissioner and DG Enlargement ) , but the actual negotiations are technically conducted between the Union 's Member States and the candidate country .   Before a country applies for membership it typically signs an association agreement to help prepare the country for candidacy and eventual membership . Most countries do not meet the criteria to even begin negotiations before they apply , so they need many years to prepare for the process . An association agreement helps prepare for this first step .   In the case of the Western Balkans , a special process , the Stabilisation and Association Process exists to deal with the special circumstances there .   When a country formally applies for membership , the Council asks the Commission to prepare an opinion on the country 's readiness to begin negotiations . The Council can then either accept or reject the Commission 's opinion ( The Council has only once rejected the Commission 's opinion when the latter advised against opening negotiations with Greece ) .   If the Council agrees to open negotiations the screening process then begins . The Commission and candidate country examine its laws and those of the EU and determine what differences exist . The Council then recommends opening negotiations on `` chapters '' of law that it feels there is sufficient common ground to have constructive negotiations . Negotiations are typically a matter of the candidate country convincing the EU that its laws and administrative capacity are sufficient to execute European law , which can be implemented as seen fit by the member states . Often this will involve time - lines before the Acquis Communautaire ( European regulations , directives &amp; standards ) has to be fully implemented .  Population and GDP per capita of individual EU member states compared with those of non-member states in Europe .  A chapter is said to be closed when both sides have agreed it has been implemented sufficiently , however it can still be re-opened if the Commission feels that the candidate has fallen out of compliance .   To assess progress achieved by countries in preparing for accession to the European Union , the European Commission submits regular reports ( yearly ) to the European Council . These serve as a basis for the Council to make decisions on negotiations or their extension to other candidates .   Once the negotiations are complete a treaty of accession will be signed , which must then be ratified by all of the member states of the Union , as well as the institutions of the Union , and the candidate country . Once this has been completed it will join the Union on the date specified in the treaty .   The entire process , from application for membership to membership has typically taken about a decade , although some countries , notably Sweden , Finland , and Austria have been faster , taking only a few years . The process from application for association agreement through accession has taken far longer , as much as several decades ( Turkey for example first applied for association in the 1950s and has yet to conclude accession negotiations ) .   Example ( edit )   The following is an example of an accession process -- Estonia 's path to membership from the 2004 enlargement . Ease of accession depends on the state : how integrated it is with the EU before hand , the state of its economy and public institutions , any outstanding political issues with the EU and ( historically ) how much law to date the EU has built up that the acceding state must adopt . This outline also includes integration steps taken by the accession country after it attains membership .   Estonia EU membership timeline   Year   Date   Event   Notes     1991   20 August   Restoration of independence from USSR   Recognition from EU in same month .     1994   18 July   Free trade agreement concluded       1995   1 January   Free trade agreement in force       12 June   Europe Agreement concluded       24 November   Applied for Membership       1998   1 January   Europe Agreement comes into force   Aiding pre-integration     March   Membership negotiations open   6 chapters opened     1999     17 chapters opened       2000     6 chapters opened       2002   December   All chapters closed and negotiations concluded   Final chapter ( No. 30 ) was opened and closed at the same time .     2003   8 April   Draft accession treaty approved by Estonian government       16 April   Treaty of Accession signed       14 September   Referendum on membership approved   66.84 % in favour , turnout : 64.02 %       1 May   Acceded to EU       28 June   Joined ERM   Requires 2 years in ERM before euro adoption     2007   21 December   Entered the Schengen area       2011   1 January   Adoption of the euro       1 May   Right to limit migration from 2004 countries expired   Only Austria and Germany applied this , the rest of EU countries abolished restrictions before 2011     Success and fatigue ( edit )   Enlargement has been one of the EU 's most successful foreign policies , yet has equally suffered from considerable opposition from the start . French President Charles de Gaulle opposed British membership . A later French President François Mitterrand opposed Greek , Spanish and Portuguese membership fearing that the former dictatorships were not ready and it would reduce the union to a free - trade area .   The reasons for the first member states to apply , and for them to be accepted , were primarily economic while the second enlargement was more political . The southern Mediterranean countries had just emerged from dictatorships and wanted to secure their democratic systems through the EEC , while the EEC wanted to ensure the same thing and that their southern neighbours were stable and aligned to NATO . These two principal forces , economic gain and political security , have been behind enlargements since . However , with the recent large enlargements in 2004 , public opinion in Europe has turned against further expansion .   It has also been acknowledged that enlargement has its limits ; the EU can not expand endlessly . Former Commission President Romano Prodi favoured granting `` everything but institutions '' to the EU 's neighbour states ; allowing them to co-operate deeply while not adding strain on the EU 's institutional framework . This has in particular been pushed by France and Germany as a privileged partnership for Turkey , membership for which has faced considerable opposition on cultural and logistical grounds .   Historical enlargements ( edit )  Interactive map of the enlargement of the European Union , excluding Greenland and Algeria  Applications for accession to the European Union *   Applicant   Issued   Accession / failure rationale     Albania   2009 - 04 - 28   Official candidate     Austria   1989 - 07 - 17   1995 - 01 - 01     Belgium   N / A   1952 - 07 - 23     Bosnia and Herzegovina   2016 - 02 - 15   Potential candidate     Bulgaria   1995 - 12 - 14   2007 - 01 - 01     Croatia   2003 - 02 - 21   2013 - 07 - 01     Cyprus   1990 - 07 - 03   2004 - 05 - 01     Czech Republic   1996 - 01 - 17   2004 - 05 - 01     Denmark   1961 - 08 - 10   Withdrawn due to veto of UK application     1967 - 05 - 11   1973 - 01 - 01     Estonia   1995 - 11 - 24   2004 - 05 - 01     Finland   1992 - 03 - 18   1995 - 01 - 01     France   N / A   1952 - 07 - 23     West Germany   N / A   1952 - 07 - 23     Greece   1975 - 06 - 12   1981 - 01 - 01     Hungary   1994 - 03 - 31   2004 - 05 - 01     Iceland   2009 - 07 - 17   Frozen due to election of new government     Ireland   1961 - 07 - 31   Withdrawn due to veto of UK application     1967 - 05 - 11   1973 - 01 - 01     Italy   N / A   1952 - 07 - 23     Kosovo *   --   Potential candidate     Latvia   1995 - 09 - 13   2004 - 05 - 01     Lithuania   1995 - 12 - 08   2004 - 05 - 01     Luxembourg   N / A   1952 - 07 - 23     Macedonia   2004 - 03 - 22   Official candidate     Malta   1990 - 07 - 16   Frozen due to election of new government in October 1996 . Resumed following another election of a new government in September 1998 .     2004 - 05 - 01     Montenegro   2008 - 12 - 15   Negotiating     Morocco   1987 - 07 - 20   Rejected by the European Council     Netherlands   N / A   1952 - 07 - 23     Norway   1962 - 04 - 30   Withdrawn due to veto of UK application     1967 - 07 - 21   Rejected by Norway in referendum     1992 - 11 - 25   Rejected by Norway in referendum     Poland   1994 - 04 - 05   2004 - 05 - 01     Portugal   1977 - 03 - 28   1986 - 01 - 01     Romania   1995 - 06 - 22   2007 - 01 - 01     Slovakia   1995 - 06 - 27   2004 - 05 - 01     Slovenia   1996 - 06 - 10   2004 - 05 - 01     Spain   1962 - 02 - 09   Rejected by the European Council     1977 - 06 - 28   1986 - 01 - 01     Serbia   2009 - 12 - 22   Negotiating     Sweden   1991 - 07 - 01   1995 - 01 - 01     Switzerland   1992 - 05 - 25   Withdrawn due to public opinion     Turkey   1987 - 04 - 14   Negotiating     United Kingdom   1961 - 08 - 10   Vetoed by France     1967 - 05 - 10   1973 - 01 - 01     * Applications to the European Coal and Steel Community , European Communities and European Union depending on date .    See also : History of the European Union and Statistics relating to enlargement of the European Union  Founding members ( edit )   The European Coal and Steel Community ( ECSC ) was proposed by Robert Schuman in his declaration on 9 May 1950 and involved the pooling of the coal and steel industries of France and West Germany . Half of the project states , Belgium , Luxembourg , and the Netherlands , had already achieved a great degree of integration amongst themselves with the organs of Benelux and earlier bilateral agreements . These five countries were joined by Italy and they all signed the Treaty of Paris on 23 July 1952 . These six members , dubbed the ' inner six ' ( as opposed to the ' outer seven ' who formed the European Free Trade Association who were suspicious of such plans for integration ) went on to sign the Treaties of Rome establishing two further communities , together known as the European Communities when they merged their executives in 1967 .   In 1962 , Spain , ruled by the military dictator Francisco Franco , issued its first attempt to join the European Communities . Spanish Foreign Affairs minister Fernando María Castiella sent the request form to French Prime Minister Maurice Couve de Murville . This request was rejected by all the member countries in 1964 ; Spain was not a democracy at the time , and thus unable to enter the EEC .   The Community did see some loss of territory due to the decolonialisation occurring in their era . Algeria , which was an integral part of France , had a special relationship with the Community . Algeria gained independence on 5 July 1962 and hence left the Community . There was no enlargement until the 1970s .   First enlargement ( edit )  Main article : 1973 enlargement of the European Communities  The United Kingdom , which had refused to join as a founding member , changed its policy following the Suez crisis and applied to be a member of the Communities . Other EEC members were also inclined to British membership on those grounds . French President Charles de Gaulle vetoed British membership .   Once de Gaulle had left office , the door to enlargement was once again opened . The EEC economy had also slowed down and British membership was seen as a way to revitalise the community . Only after a 12 - hour talk between British Prime Minister Edward Heath and French President Georges Pompidou took place did Britain 's third application succeed . After Britain was accepted Prime Minister Edward Heath said :   `` For my part , I have no doubt at all that the discussions which we have had will prove of real and lasting benefit , not only to Britain and France , but to Europe as a whole . ''   As part of the deal for British entry , France agreed to allow the EEC its own monetary resources . However France made that concession only as Britain 's small agriculture sector would ensure that Britain would be a net contributor to the Common Agricultural Policy dominated EEC budget . Applying together with the UK , as on the previous occasions , were Denmark , Ireland , and Norway . These countries were so economically linked to the UK that they considered it necessary to join the EEC if the UK did . However the Norwegian government lost a national referendum on membership and hence did not accede with the others on 1 January 1973 . Gibraltar joined the Community with the United Kingdom at this point , as can be seen in the long title of the UK European Communities Act 1972 .   Mediterranean enlargements ( edit )  Further information : 1981 enlargement of the European Communities and 1986 enlargement of the European Communities  The next enlargement would occur for different reasons . The 1970s also saw Greece , Spain , and Portugal emerge from dictatorship . These countries desired to consolidate their new democratic systems by binding themselves into the EEC . Equally , the EEC was unsure about which way these countries were heading and wanted to ensure stability along its southern borders . However François Mitterrand initially opposed their membership fearing they were not ready and it would water the community down to a free trade area .   Greece joined the EU in 1981 followed by Spain and Portugal in 1986 .   The year 1985 , however , saw the first time a territory voted to leave the Community , when Greenland was granted home rule by Denmark and the territory used its new powers and voted to withdraw from the Community ( See member state territories ) .   Morocco and Turkey applied for membership in 1987 . Morocco 's application was turned down as it was not considered European , while Turkey 's application was considered eligible on the basis of the 1963 Ankara Association Agreement , but the opinion of the Commission on the possible candidate status was by then negative . Turkey received candidate status only in 1999 and began official membership negotiations in 2005 , which are still in progress as of 2018 .   Post -- Cold War ( edit )  Main article : 1995 enlargement of the European Union The Iron Curtain 's fall enabled eastward enlargement . ( Berlin Wall )  After the 1970s , Europe experienced a downturn which led to leaders launching of the Single European Act which set to create a single market by 1992 . The effect of this was that EFTA states found it harder to export to the EEC and businesses ( including large EFTA corporations such as Volvo ) wished to relocate within the new single market making the downturn worse for EFTA . EFTA states began to discuss closer links with the EEC despite its domestic unpopularity .   Austria , Finland and Sweden were neutral in the Cold War so membership of an organisation developing a common foreign and security policy would be incompatible with that . With the end of the Cold War in 1989 , that obstacle was removed , and the desire to pursue membership grew stronger . On 3 October 1990 , the reunification of East and West Germany brought East Germany into the Community without increasing the number of member states .   The Community later became the European Union in 1993 by virtue of the Maastricht Treaty , and established standards for new entrants so their suitability could be judged . These Copenhagen criteria stated in 1993 that a country must be a democracy , operate a free market , and be willing to adopt the entire body of EU law already agreed upon . Also in 1993 the European Economic Area was established with the EFTA states except Switzerland . Most of the new EEA states pursued full EU membership as the EEA did not sufficiently satisfy the needs of their export based corporations . The EU has also preferred these states to integrate via the EEA rather than full membership as the EEC wished to pursue monetary integration and did not wish for another round of enlargement to occupy their attention . However , with the EEA 's credibility dented following rejection by businesses and Switzerland , the EU agreed with full membership . This was more readily accepted with the prospect of poorer countries wishing to join ; contributions from richer countries would help balance the EU budget . On 1 January 1995 Austria , Finland , and Sweden acceded to the EU marking its fourth enlargement . The Norwegian government lost a second national referendum on membership .   Eastern enlargement ( edit )  Further information : 2004 enlargement of the European Union and 2007 enlargement of the European Union EU 's enlargements in the 2000s and the 2010s : European Union 1 Jan. 1995 -- 30 April 2004 Joined the EU on 1 May 2004 Joined the EU on 1 Jan. 2007 Joined the EU on 1 July 2013  As with the Mediterranean countries in the 1980s , the countries in Central and Eastern Europe had emerged from dictatorships and wanted to consolidate their democracies . They also wanted to join the project of European integration and ensure they did not fall back into the Russian sphere of influence . The EU and NATO offered a guarantee of this , and the EU was also seen as vital to ensuring the economic success of those countries . However , the EU 's desire to accept these countries ' membership applications was less than rapid . The collapse of communism came quickly and was not anticipated . The EU struggled to deal with the sudden reunification of Germany with the addition of its poorer 17 million people and , while keeping its monetary union project on track , it was still at that early stage pointing the EFTA countries in the direction of the EEA rather than full membership .   States in Central and Eastern Europe persisted and eventually the above - mentioned issues were cleared . The US also pressured the EU to offer membership as a temporary guarantee ; it feared expanding NATO too rapidly for fear of frightening Russia . Although eventually trying to limit the number of members , and after encouragement from the US , the EU pursued talks with ten countries and a change of mind by Cyprus and Malta helped to offset slightly the influx of large poorer member states from Central and Eastern Europe .   In the end , eight Central and Eastern European countries ( the Czech Republic , Estonia , Hungary , Latvia , Lithuania , Poland , Slovakia , and Slovenia ) , plus two Mediterranean countries ( Malta and Cyprus ) were able to join on 1 May 2004 . This was the largest single enlargement in terms of people , and number of countries , though not in terms of GDP . The less developed nature of these countries was of concern to some of the older member states . Some countries , such as the UK , immediately opened their job market to the accession states , whereas most others placed temporary restrictions on the rights of work of the citizens of these states to their countries . The movement westward of some of the labour force of the newly acceded countries that occurred in the aftermath of the enlargement initially spawned clichés among the public opinion and media of some western countries ( such as the `` Polish plumber '' ) , despite the generally conceded benefit to the economies concerned . The official EU media ( the speeches of the European Commission ) frequently referred to the enlargement to the CEE region as `` an historical opportunity '' and `` morally imperative '' , which reflected the desire of the EU to admit these countries as members , even though they were less developed than the Western European countries . Following this Romania and Bulgaria , though were deemed initially as not fully ready by the Commission to join in 2004 , acceded nevertheless on 1 January 2007 . These , like the countries joining in 2004 , faced a series of restrictions as to their citizens not fully enjoying working rights on the territory of some of the older EU members . Bulgaria and Romania are not yet members of the Schengen area ; however , their citizens can travel visa - free to the other EU countries .   The socio - economic research on the attitudes towards the integration from both hosting and visiting countries has revealed divergent views. The analysis shows , there are a number of possible factors of the rationalization and understanding of the practices on what the enlargement has been and should be like . Attitudes of even skeptical citizens , do not discard the possibility on future sustainable enlargements . The years subsequent to the EU accession will lead to extensive dialogues between policy - makers , governments , and European citizens about the path for a constructive development .   Western Balkans enlargements ( edit )  Further information : 2013 enlargement of the European Union  The 2003 European Council summit in Thessaloniki set integration of the Western Balkans as a priority of EU expansion . The EU 's relations with the Western Balkans states were moved from the `` External Relations '' to the `` Enlargement '' policy segment in 2005 . Those states which have not been recognised as candidate countries are considered `` potential candidate countries '' . The move to Enlargement directorate was a consequence of the advancement of the Stabilisation and Association process .   Croatia joined on 1 July 2013 , following ratification of the 2011 Accession Treaty by all other EU countries . Albania and the several successor states of the Socialist Federal Republic of Yugoslavia have all adopted EU integration as an aim of foreign policy .   Detail ( edit )     #   Official name   Date   Community countries and OMR   Associated territories   Excluded territories       ECSC Foundation   1952 - 07 - 23   Belgium , Netherlands , Luxembourg , France , Saarland , Italy , West Germany , West Berlin Until the unification of Germany in 1990 the de jure status of West Berlin was that of French , UK and US occupied zones with West German civilian administration . The treaties applied fully during 1952 -- 1990 over the West German and French responsibilities , and during 1973 -- 1990 over the UK responsibilities . From 3 October 1990 West Berlin was fully integrated in the Federal Republic of Germany along with East Germany .     Cambodia , Laos , Vietnam , Tunis , Morocco , Guinea , French Cameroon , Togo , Mali , Senegal , Madagascar , DR Congo , Italian Somaliland , Benin , Niger , Upper Volta , Ivory Coast , Chad , Central African Republic , Congo , Gabon , Mauritania , Burundi , Rwanda , Netherlands New Guinea , Algeria , Comoros , Suriname , French Somaliland , French - administration of Vanuatu , West Berlin , Réunion , French Guiana , Martinique , Guadeloupe , Mayotte , St. Pierre and Miquelon , Wallis and Futuna , French Polynesia , New Caledonia , French Southern and Antarctic Lands , Scattered islands in the Indian Ocean , Netherlands Antilles         1953 -- 1957   the above , Saarland joined West Germany     the above without the newly independent : Cambodia , Laos , Vietnam , Tunis , Morocco       EEC and EURATOM Foundation   1958 - 01 - 01   the above , Algeria , Réunion , French Guiana , Martinique , Guadeloupe   Guinea , French Cameroon , Togo , Mali , Senegal , Madagascar , DR Congo , Italian Somaliland , Benin , Niger , Upper Volta , Ivory Coast , Chad , Central African Republic , Congo , Gabon , Mauritania , Burundi , Rwanda , Netherlands New Guinea , Comoros , French Somaliland , French - administration of Vanuatu , Mayotte , St. Pierre and Miquelon , Wallis and Futuna , French Polynesia , New Caledonia , French Southern and Antarctic Lands , Scattered islands in the Indian Ocean   the above , Suriname , Netherlands Antilles , West Berlin , without Scattered islands in the Indian Ocean         1958 -- 1962   the above   the above , without the newly independent : Guinea , French Cameroon , Togo , Mali , Senegal , Madagascar , DR Congo , Italian Somaliland , Benin , Niger , Upper Volta , Ivory Coast , Chad , Central African Republic , Congo , Gabon , Mauritania , Burundi , Rwanda , Netherlands New Guinea   the above         1962 - 07 - 03   the above , without the newly independent : Algeria   the above   the above         1962 - 09 - 01   the above   the above , with Suriname   the above , without Suriname       Netherlands Antilles Association Convention   1964 - 10 - 1   the above   the above , with the Netherlands Antilles   the above , without the Netherlands Antilles       First Enlargement   1973 - 01 - 01   the above , Ireland , United Kingdom , Gibraltar , Denmark , Greenland   the above , Bahamas , Grenada , Seychelles , Solomon Islands , Tuvalu , Dominica , St. Lucia , Kiribati , St. Vincent and the Grenadines , Vanuatu , Belize , Antigua and Barbuda , St. Kitts and Nevis , Brunei , St. Helena , the Pitcairn Islands , the Falkland Islands , the South Georgia and South Sandwich Islands , the British Antarctic Territory , the British Indian Ocean Territory , Anguilla , Montserrat , the British Virgin Islands , the Turks and Caicos Islands , the Cayman Islands , Bermuda   the above , the Faroe Islands , Akrotiri and Dhekelia , the Isle of Man , Jersey , Guernsey , Zimbabwe , Hong Kong         1973 -- 1980   the above   the above without the newly independent Bahamas , Grenada , Seychelles , the Solomon Islands , Suriname , Tuvalu , Dominica , St. Lucia , Kiribati , St. Vincent and the Grenadines , Vanuatu , Comoros and French Somaliland   the above without the newly independent Zimbabwe       Second Enlargement   1981 - 01 - 01   the above , Greece   the above   the above         1981 -- 1984   the above   the abov</t>
  </si>
  <si>
    <t xml:space="preserve">when did the last country join the eu</t>
  </si>
  <si>
    <t xml:space="preserve"> The EU 's predecessor , the European Economic Community , was founded with the Inner Six member states in 1958 , when the Treaty of Rome came into force . Since then , the EU 's membership has grown to twenty - eight , with the latest member state being Croatia , which joined in July 2013 . The most recent territorial enlargement of the EU was the incorporation of Mayotte in 2014 . The most notable territorial reductions of the EU , and its predecessors , were the exit of Algeria upon independence in 1962 and the exit of Greenland in 1985 . </t>
  </si>
  <si>
    <t xml:space="preserve">O.P.P. ( Song ) - wikipedia  O.P.P. ( Song )  Jump to : navigation , search    `` O.P.P. ''         Single by Naughty by Nature     from the album Naughty by Nature     B - side   `` The Wickedest Man Alive ''     Released   August 24 , 1991     Format   CD , cassette , 12 ''     Recorded   1991 ; Unique Recording Studios ( New York City , New York , U.S. )     Genre   Hip hop     Length   4 : 31 ( album version ) 6 : 41 ( Ultamix remix )     Label   Tommy Boy Records     Songwriter ( s )   Vincent Brown , Anthony Criss , Keir Gist , Alphonzo Mizell , Deke Richards , Freddie Perren , Liam Kantwill , Berry Gordy , Jr .     Producer ( s )   Naughty by Nature     Naughty by Nature singles chronology        `` Scuffin ' Those Knees '' ( 1989 )   `` O.P.P. '' ( 1991 )   `` Everything 's Gonna Be Alright '' ( 1992 )           `` Scuffin ' Those Knees '' ( 1989 )   `` O.P.P. '' ( 1991 )   `` Everything 's Gonna Be Alright '' ( 1992 )        `` O.P.P. '' is a song by American rap group Naughty by Nature . It was released in August 1991 as the lead single from their self - titled debut album Naughty by Nature . The song was one of the first rap songs to become a pop hit when it reached # 6 in the U.S. and # 35 in the UK in 1991 . It 's declaration , `` Down Wit ' O.P.P '' was a popular catchphrase in the United States in the early - 1990s . It was a hugely successful single , as Allmusic described : `` There was not a bigger , more contagious crossover radio smash in the autumn of 1991 than Naughty by Nature 's ' O.P.P. ' ''   In 1998 , the song was named one of the 100 best rap singles by The Source .   In 2008 , it was ranked # 22 on VH1 's 100 Greatest Songs of Hip Hop . It also appeared as # 53 on VH1 's 100 Greatest Songs of the ' 90s .     Contents  ( hide )   1 Content   2 Track listing   3 Official versions   4 Chart performance   4.1 Peak positions   4.2 End of year charts     5 In popular culture   6 References      Content ( edit )   The song samples Melvin Bliss 's `` Synthetic Substitution '' and The Jackson 5 's 1970 smash - hit song `` ABC '' in which Alphonzo Mizell , Freddie Perren , Deke Richards , and Berry Gordy , Jr. got a writing credit for the song . The lyrics concern sexual infidelity , with ' O.P.P. ' standing for ' other peoples ' pussy ' , ' other peoples ' penis ' , and ( euphemistically ) ' other peoples ' property ' .   Track listing ( edit )    O.P.P. ( Vocal )   Wickedest Man Alive ( Vocal )   O.P.P. ( Sunny Days Remix )   Wickedest Man Alive ( Instrumental )   O.P.P. ( Instrumental )    Official versions ( edit )    O.P.P. ( Album Version )   O.P.P. ( Vocal )   O.P.P. ( Instrumental )   O.P.P. ( Sunny Days Remix )    Chart performance ( edit )      Peak positions ( edit )     Chart ( 1991 - 92 )   Peak position     Australia ( ARIA )   31     Canada Dance ( RPM )       Canada Top Singles ( RPM )   56     Germany ( Official German Charts )   25     Netherlands ( Dutch Top 40 )   27     New Zealand ( Recorded Music NZ )   11     Switzerland ( Schweizer Hitparade )   6     UK Singles ( Official Charts Company )   35     US Billboard Hot 100   6     US Hot Rap Singles       US Hot R&amp;B / Hip Hop Singles &amp; Tracks   5     US Hot Dance Music / Club Play   7     US Hot Dance Music / Maxi - Singles Sales         End of year charts ( edit )     Chart ( 1991 )   Position     U.S. Billboard Hot 100   94     Chart ( 1992 )   Position     New Zealand ( Recorded Music NZ )   26        In popular culture ( edit )   Will Smith ( in character as Will ) dances to the song next to a car in an episode of the 1990s TV sitcom The Fresh Prince of Bel Air .   References ( edit )    Jump up ^ allmusic ( ( ( Naughty by Nature &gt; Overview ) ) )   Jump up ^ rocklist.net   Jump up ^ `` Australian-charts.com -- Naughty By Nature -- O.P.P. '' . ARIA Top 50 Singles .   Jump up ^ Canadian Dance peak   Jump up ^ Canadian Top Singles peak   Jump up ^ `` Musicline.de -- Naughty By Nature Single - Chartverfolgung '' ( in German ) . Media Control Charts . PhonoNet GmbH .   Jump up ^ `` Nederlandse Top 40 -- Naughty By Nature '' ( in Dutch ) . Dutch Top 40 .   Jump up ^ `` Charts.org.nz -- Naughty By Nature -- O.P.P. '' . Top 40 Singles .   Jump up ^ `` Swisscharts.com -- Naughty By Nature -- O.P.P. '' . Swiss Singles Chart .   Jump up ^ `` Billboard Top 100 - 1991 '' . Retrieved 2009 - 09 - 15 .   Jump up ^ `` End of Year Charts 1992 '' . Recorded Music NZ . Retrieved December 3 , 2017 .      ( hide )         Naughty by Nature       Treach   Vin Rock   DJ Kay Gee       Albums     Independent Leaders   Naughty by Nature   19 Naughty III   Poverty 's Paradise   Nineteen Naughty Nine : Nature 's Fury   IIcons   Anthem Inc .       Compilation albums     Nature 's Finest   Naughty 's Nicest       Singles     `` Scuffin ' Those Knees ''   `` O.P.P. ''   `` Everything 's Gonna Be Alright ''   `` Uptown Anthem ''   `` Hip Hop Hooray ''   `` It 's On ''   `` Written on Ya Kitten ''   `` Clap Yo Hands ''   `` Craziest ''   `` Feel Me Flow ''   `` Mourn You Til I Join You ''   `` Dirt All By My Lonely ''   `` Live or Die ''   `` Jamboree ''   `` Holiday ''   `` Feels Good ( Do n't Worry Bout a Thing ) ''       Related articles     Discography   Rottin Razkals   Naughty by Nature : Tha Mixtape      Retrieved from `` https://en.wikipedia.org/w/index.php?title=O.P.P._(song)&amp;oldid=832855000 '' Categories :   1991 singles   Billboard Rap Songs number - one singles   Songs written by Berry Gordy   Songs written by Freddie Perren   Naughty by Nature songs   Music videos directed by Marcus Raboy   Songs written by Deke Richards   Songs written by Alphonzo Mizell   1991 songs   Songs written by Treach   Songs written by DJ Kay Gee   Songs written by Vin Rock   Tommy Boy Records singles   Song recordings produced by Naughty by Nature   Hidden categories :   Articles with hAudio microformats   Singlechart usages for Australia   Singlechart usages for Germany   Singlechart usages for Dutch40   Singlechart usages for New Zealand   Singlechart usages for Swiss           Talk                                           Contents                   About Wikipedia                                           Magyar   Edit links   This page was last edited on 28 March 2018 , at 10 : 42 .         About Wikipedia                    </t>
  </si>
  <si>
    <t xml:space="preserve">when did opp by naughty by nature come out</t>
  </si>
  <si>
    <t xml:space="preserve"> `` O.P.P. '' is a song by American rap group Naughty by Nature . It was released in August 1991 as the lead single from their self - titled debut album Naughty by Nature . The song was one of the first rap songs to become a pop hit when it reached # 6 in the U.S. and # 35 in the UK in 1991 . It 's declaration , `` Down Wit ' O.P.P '' was a popular catchphrase in the United States in the early - 1990s . It was a hugely successful single , as Allmusic described : `` There was not a bigger , more contagious crossover radio smash in the autumn of 1991 than Naughty by Nature 's ' O.P.P. ' '' </t>
  </si>
  <si>
    <t xml:space="preserve">Mark E. Brown - wikipedia  Mark E. Brown  Jump to : navigation , search    Mark Brown           57 Rogers , Arkansas , U.S.     Occupation   Chief Executive Officer     Years active   1983 -- present     Website   http://markbrownstrategies.com     Notes     Best known for `` What Happens in Vegas , Stays in Vegas '' campaign     Mark E. Brown is an American businessman and former CEO of Zen Entertainment and a former vice president of The Howard Hughes Corporation . His company currently has partnership deals with ESPN Radio , Fox Sports Radio , NBCSports.com , Ultimate Fighting Championship , World Wrestling Entertainment , and casinos such as the Treasure Island Hotel and Casino , Hard Rock Hotel . He is also the former Partner and President of R&amp;R Partners , the ad agency which created the `` What Happens in Vegas , Stays in Vegas '' advertising campaign for the Las Vegas Convention and Visitors Authority . In addition , Brown is founder and director of Service 1st Bank of Nevada , valued in 2010 around $210 million , and previously served as the President of MBC Communications .     Contents  ( hide )   1 Early life and education   2 Career   2.1 R&amp;R Partners   2.2 Other Corporate Involvements   2.3 Zen Gaming     3 External links   4 References      Early life and education ( edit )   He attended the University of Nevada , Reno and completed the Executive Program in Management for the John Anderson Graduate School of Management . He is currently a member of the Board of Trustees of the UNLV Foundation .   Career ( edit )   Brown started out working as a senior legislative assistant on the staff of former Nevada Senator Chic Hecht . He spent five years in Washington , D.C. overseeing all of Hecht 's U.S. Senate Banking and Energy Committee assignments in the 1980s . After 1989 , he started and operated his own company called The Carrara Group , a government affairs and public relations company which was later acquired by Burson - Marsteller , the world 's largest public relations firm . Following the acquisition he got a job as the Executive Vice President of corporate and government relations and marketing for The Howard Hughes Corporation and from 1994 to 1999 , worked for the company , that is also an affiliate of The Rouse Company . Yet , by 1999 Brown began to transition into the world of Las Vegas casinos . He served as an Executive Vice President of government relations and corporate communications for Station Casinos , Inc. from 1999 to 2000 .   R&amp;R Partners ( edit )   Brown was the founder and owner of Brown &amp; Partners in 2000 , which merged with R&amp;R Partners in 2004 . The merger helped bring a $226 million in combined capital in 2005 , when the merger became effective . R&amp;R Partners is considered Nevada 's largest public affairs , public relations and full - service advertising agency . After the merger Brown served as its President and Chief Executive Officer from 2004 to 2007 .   The company R&amp;R Partners , is best known for creating the advertising campaign slogan `` What Happens in Vegas , Stays in Vegas '' for the City of Las Vegas . Its `` What happens here '' slogan is not new , see What happens on tour , stays on tour , yet the campaign brought Las Vegas a record - breaking 37.4 million visitors in 2004 . Since then the phrase has been used by many celebrities . Gambling fan Ben Affleck used it on Saturday Night Live . Billy Crystal used it to close the 2004 Oscars . It has been a clue on Wheel of Fortune . In 2004 on The Tonight Show when Jay Leno asked Laura Bush whether she had gambled or had seen a Chippendales show while visiting the Las Vegas Strip , the then First Lady got a big hand by replying , `` Jay , what happened in Vegas , stays in Vegas . '' In later years the phrase was used as the title for a 2008 movie ' What Happens in Vegas ' starring Cameron Diaz and Ashton Kutcher . It has also been used in the 2009 blockbuster hit The Hangover .   Other corporate involvements ( edit )    Medicor Ltd : Brown was also involved in Medicor Ltd. as its director in 2003 . The company was founded in 1999 and was based in Las Vegas , Nevada . Medicor , Ltd. , through its subsidiaries , engages in the development , manufacture , and marketing of breast implants and other implants primarily for the aesthetic , plastic , and reconstructive surgery markets worldwide . On June 29 , 2007 , MediCor Ltd , along with its affiliates , filed a voluntary petition for reorganization under Chapter 11 in the US Bankruptcy Court for the District of Delaware .   Service1 st Bank of Nevada : He was a founder of Service1 st Bank of Nevada . He has been a director of Service1st Bank of Nevada since January 2007 . Brown serves as a Director of Service1st . The bank 's capital was valued at the end of the first quarter of 2010 around $21 million and later bought by Western Liberty Bancorp and Forbes Lister Jason N. Ader the same year .   YourBuyer Worldwide , Inc. : Brown served as the President of YourBuyer Worldwide , Inc. , a global purchasing company .    Zen Gaming ( edit )   Brown heard about a social networking Web site proposal that would feature poker and be able to target ads to specific partners , he thought it sounded like a good idea . Thus , he started a holding company called Zen Gaming and acquired nlop.com , a successful online poker site Brown became the Chief Executive Officer of Zen Gaming in 2007 . The website purchased initially had problems in the US with the passing of the Unlawful Internet Gambling Enforcement Act , yet Brown 's combination of membership poker and paid advertising space online offered new potential .   Zen Gaming is based out of Las Vegas with wholly owned subsidiary divisions that include NewPoker LLC and Advergaming LLC under which the acquired National League of Poker operates . The company developed and patented two new poker games , Royal hold ' em and No River Hold'em that have been approved by the Nevada Gaming Commission and already are being played in the poker rooms at Treasure Island Hotel and Casino , Hard Rock Hotel and O'Sheas on the Las Vegas Strip . Also , Stephens Media Group , owner of the Review - Journal , is one of Zen Gaming 's first partners . Using the company 's software , the Review - Journal launched a poker site , becoming the first newspaper in the country to offer online poker . Some of Zen Gaming 's other partners include Golden Gaming and Lotus Broadcasting , a radio company that owns the local affiliates for ESPN Radio and Fox Sports Radio , and pair of local rock and Spanish - language stations . It also has partnership deals with NBCSports.com since 2009 .   The Zen Gaming 's software platform was selected by Poker Productions , Inc. under a continuing agreement with NBCsports.com to provide poker programming . Poker Productions provides executive production services for the National Heads - Up Poker Championship and the Poker After Dark programs seen on NBC .   Brown later made partnerships with the Ultimate Fighting Championship to set up poker rooms at their events . The UFC Poker Rooms leveraged UFC 's massive fan base and tremendous brand equity with Zen 's advergaming platform that the UFC considers `` among the most robust , deeply analytical online Advergaming platforms in the world . ''   External links ( edit )    Beneath The Brand - Articles by Mark E. Brown    References ( edit )    ^ Jump up to : http://www.lvrj.com/business/42869122.html   ^ Jump up to : https://www.usatoday.com/travel/destinations/2009-09-27-las-vegas-what-happens-here_N.htm   ^ Jump up to : https://www.wsj.com/articles/SB124217791927013441   ^ Jump up to : http://investing.businessweek.com/businessweek/research/stocks/private/person.asp?personId=326858&amp;privcapId=11668769&amp;previousCapId=3126261&amp;previousTitle=PIRINATE%20Consulting%20Group%20LLC   Jump up ^ http://findarticles.com/p/articles/mi_pwwi/is_200409/ai_n8557992/   Jump up ^ USA Today , Advertising &amp; Marketing . Michael McCarthy , `` Vegas goes back to its naughty roots , '' April 11 , 2005 . Retrieved on August 24 , 2009 .   Jump up ^ http://investing.businessweek.com/research/stocks/snapshot/snapshot.asp?ticker=MDCRQ:US   Jump up ^ http://www.lvrj.com/business/lower-purchase-price-negotiated-for-service1st-bank-of-nevada-96815429.html   Jump up ^ https://people.forbes.com/profile/jason-n-ader/37206   Jump up ^ https://www.reuters.com/article/2008/03/13/idUS191928+13-Mar-2008+BW20080313   Jump up ^ http://www.businesswire.com/news/home/20071204006035/en/Global-Purchasing-Company-YourBuyer-Worldwide-Opens-Pakistan   Jump up ^ http://www.highbeam.com/doc/1G1-172064444.html   Jump up ^ http://investing.businessweek.com/research/stocks/private/snapshot.asp?privcapId=48929940   Jump up ^ http://www.pocketfives.com/f7/news-national-league-poker-holds-winning-hand-legal-online-poker-play-19973/   Jump up ^ https://www.reuters.com/article/2008/09/15/idUS193640+15-Sep-2008+PRN20080915   Jump up ^ https://www.reuters.com/article/2009/04/29/idUS257711+29-Apr-2009+GNW20090429   Jump up ^ http://www.ufc.com/news/UFC-Zen-Gaming-Inc-Announce-FreetoPlay-Online-UFC-Poker-Room   Retrieved from `` https://en.wikipedia.org/w/index.php?title=Mark_E._Brown&amp;oldid=798898421 '' Categories :   1962 births   University of Nevada alumni   Living people   Hidden categories :   Articles with hCards           Talk                                           Contents                   About Wikipedia                                           Add links   This page was last edited on 4 September 2017 , at 13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</si>
  <si>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coined the phrase what happens in vegas</t>
  </si>
  <si>
    <t xml:space="preserve"> Mark E. Brown is an American businessman and former CEO of Zen Entertainment and a former vice president of The Howard Hughes Corporation . His company currently has partnership deals with ESPN Radio , Fox Sports Radio , NBCSports.com , Ultimate Fighting Championship , World Wrestling Entertainment , and casinos such as the Treasure Island Hotel and Casino , Hard Rock Hotel . He is also the former Partner and President of R&amp;R Partners , the ad agency which created the `` What Happens in Vegas , Stays in Vegas '' advertising campaign for the Las Vegas Convention and Visitors Authority . In addition , Brown is founder and director of Service 1st Bank of Nevada , valued in 2010 around $210 million , and previously served as the President of MBC Communications . </t>
  </si>
  <si>
    <t xml:space="preserve">List of places in California ( p ) - wikipedia  List of places in California ( p )  Jump to : navigation , search  This list of current :    cities   towns , unincorporated communities   counties , and other recognized places in the U.S. state of California .    Information on the number and names of counties in which the place lies , and its lower and upper ZIP code bounds , if applicable are also included .             Lists of places in California by letter                                       Q         U   V     X   Y   Z           Name of place   Number of counties   Principal county   Lower zip code   Upper zip code     Pabco     Alameda County         Pabrico     Alameda County   94587       Pace Park     Santa Barbara County         Pacer     Santa Barbara County         Pachappa     Riverside County         Pacheco     Contra Costa County   94553       Pacific     El Dorado County         Pacific     Los Angeles County   90806       Pacifica     San Mateo County   94044       Pacific Beach     San Diego County   92109       Pacific Gardens     San Joaquin County   95204       Pacific Grove     Monterey County   93950       Pacific Grove Acres     Monterey County         Pacific House     El Dorado County   95726       Pacific Manor     Humboldt County   95521       Pacific Manor     San Mateo County   94044       Pacific Missile Range     Ventura County         Pacific Palisades     Los Angeles County   90272       Pacific Union College     Napa County         Pacific Villas     San Joaquin County   95204       Pacoima     Los Angeles County   91331       Paddison Square     Los Angeles County   90652       Paddon     Solano County   95688       Paicines     San Benito County   95043       Paige     Tulare County         Paintersville     Sacramento County   95615       Pajaro     Monterey County   95076       Pala     San Diego County   92059       Pala Indian Reservation     San Diego County   92059       Pala Mesa     San Diego County         Pala Mesa Village     San Diego County   92028       Palermo     Butte County   95968       Palisades del Rey     Los Angeles County   90292       Pallett     Los Angeles County   93563       Palm Beach     Santa Cruz County         Palm City     Riverside County   92260       Palm City     San Diego County         Palmdale     Los Angeles County   93550       Palmdale East     Los Angeles County   93550       Palmdale Production Flight / Test Installation     Los Angeles County         Palm Desert     Riverside County   92260       Palm Desert Country     Riverside County         Palmer Creek     Humboldt County   95540       Palmetto     Plumas County         Palm Grove     San Diego County         Palmo     Kern County         Palms     Los Angeles County   90034       Palm Springs     Riverside County   92262   92     Palm Springs Municipal Airport     Riverside County   92263       Palm Wells     San Bernardino County   92256       Palo Alto     Santa Clara County   94301   10     Palo Cedro     Shasta County   96073       Paloma     Calaveras County   95252       Palomares     Alameda County   94546       Palomar Mountain     San Diego County   92060       Palomar Park     San Mateo County   94062       Paloro     Sutter County         Palos Verdes Estates     Los Angeles County   90274       Palos Verdes Peninsula     Los Angeles County   90274       Palos Verdes Peninsula     Los Angeles County   90274       Palo Verde     Imperial County   92266       Palo Vista     San Diego County   92083       Panama     Kern County   93305       Panamint     Inyo County   93545       Panamint Springs     Inyo County   93545       Panoche     San Benito County   95043       Panoche Junction     Fresno County         Panorama City     Los Angeles County   91402       Panorama Heights     Orange County   92705       Panorama Heights     San Bernardino County         Panorama Heights     Tulare County   93260       Paola     Modoc County         Paradise     Butte County   95969       Paradise     Stanislaus County   95351       Paradise Camp     Mono County   93514       Paradise Cay     Marin County   94920       Paradise Hills     San Diego County   92139       Paradise Park , California     Santa Cruz County   95060       Paradise Springs     Los Angeles County         Paramount     Los Angeles County   90723       Parcel Post     Alameda County   94710       Parchers Camp     Inyo County   93514       Parchester Village     Contra Costa County         Pardee     Los Angeles County         Paris     Los Angeles County         Park     Alameda County   94702       Park Central     Alameda County   94501       Parker Dam     San Bernardino County   92267       Parker Junction     San Bernardino County         Parkfield     Monterey County   93451       Parkfield Junction     Fresno County         Parkhill     Butte County         Park La Brea     Los Angeles County         Parkmoor     Santa Clara County   95128       Parksdale     Madera County         Parkside     San Francisco County   94116       Park Siding     Sonoma County   94952       Park Village     Inyo County   92328       Parkway     Sacramento County   95823       Parkway Estates     Sacramento County   95826       Parkway - Sacramento South     Sacramento County         Parkway - South Sacramento     Sacramento County         Parkwood     Madera County   93637       Parlier     Fresno County   93648       Parramore Springs     Lake County         Pasadena     Los Angeles County   91101   18     Pasadena Junction     Los Angeles County         Pasatiempo     Santa Cruz County   95062       Paskenta     Tehama County   96074       Paso Robles     San Luis Obispo County   93446       Patata     Los Angeles County   90280       Patch     Kern County         Patrick Creek     Del Norte County         Patricks Point     Humboldt County         Patterson     Stanislaus County   95363       Patton     San Bernardino County   92369       Patton Village     Lassen County   96113       Paulsell     Stanislaus County         Pauma and Yuima Reservation     San Diego County   92061       Pauma Indian Reservation     San Diego County   92061       Pauma Valley     San Diego County   92061       Paxton     Plumas County   95971       Paymaster Landing     Imperial County         Payne     Trinity County         Paynes Creek     Tehama County   96075       Paynesville     Alpine County   96120       Payton     Butte County         Peaceful Pines     Alpine County         Peachton     Butte County         Peanut     Trinity County   96041       Pearblossom     Los Angeles County   93553       Peardale     Nevada County   95945       Pearland     Los Angeles County   93550       Pearson     San Joaquin County         Pearson     Yuba County         Pearsonville     Inyo County   93527       Peavine     Sierra County         Pebble Beach     Monterey County   93953       Pechanga Indian Reservation     Riverside County   92390       Pecwan     Humboldt County   95546       Pedley     Riverside County   92509       Pedro Valley     San Mateo County   94044       Peethill     Yolo County         Peltier     San Joaquin County         Pencilwood     Sacramento County         Pendleton North     San Diego County   92055       Pendleton South     San Diego County   92055       Peninsula Center     Los Angeles County   90274       Peninsula Village     Plumas County   96137       Penney     Trinity County         Penngrove     Sonoma County   94951       Penn Grove     Sonoma County         Pennington     Sutter County   95953       Penn Valley     Nevada County   95946       Penoyar     Siskiyou County         Penryn     Placer County   95663       Pentland     Kern County         Pentz     Butte County   95965       Penvir     Monterey County         Pepper Corner     Riverside County         Pepperwood     Humboldt County   95569       Pepperwood Grove     Lake County         Peral     Tulare County         Peralta Hills     Orange County         Perez     Modoc County         Perkins     Sacramento County   95826       Perkins     Sacramento County   95826       Permanente     Santa Clara County   95014       Perris     Riverside County   92570       Perrott Creek     Humboldt County         Perry     Los Angeles County   90603       Perry     Santa Clara County   95037       Pescadero     San Mateo County   94060       Pesco     Santa Barbara County         Petaluma     Sonoma County   94952       Peters     San Joaquin County   95236       Peterson Mill     Inyo County         Petrolia     Humboldt County   95558       Phelan     San Bernardino County   92371       Philbrick Mill     Mendocino County         Phillips     El Dorado County         Phillips Ranch     Los Angeles County   91766       Phillips Ranch     Tulare County   91766       Phillipsville     Humboldt County   95559       Philo     Mendocino County   95466       Phoenix Lake - Cedar Ridge     Tuolumne County         Picacho     Imperial County         Picayune Rancheria     Madera County         Pico     Los Angeles County   90660       Pico Heights     Los Angeles County   90006       Pico Park     Los Angeles County         Pico Rivera     Los Angeles County   90660       Piedmont     Alameda County   94611       Piedmont     Alameda County   94611       Piedra     Fresno County   93649       Pierce     Siskiyou County         Pierce     Solano County         Piercy     Mendocino County   95587       Pierpont Bay     Ventura County         Pieta     Mendocino County         Pike     Sierra County   95960       Pilibos Ranch     Fresno County         Pilliken     El Dorado County         Pilot Hill     El Dorado County   95664       Pine Bluff     Sacramento County   95630       Pine Cove     Riverside County   92349       Pinecrest     Tuolumne County   95364       Pinecroft     Placer County         Pinedale     Fresno County         Pinedale     Fresno County   93650       Pine Flat     Tulare County   93207       Pine Grove     Amador County   95665       Pine Grove     Lake County   95426       Pine Grove     Mendocino County   95437       Pine Grove     San Diego County         Pine Grove     Shasta County   96079       Pine Hills     Humboldt County   95501       Pine Hills     San Diego County   92036       Pinehurst     Fresno County   93641       Pine Mountain Club     Kern County   93225       Pineridge     Fresno County   93602       Pine Valley     San Diego County   91962       Pine Wood     Riverside County         Pinewood     Tulare County         Pinezanita     San Bernardino County         Pinnacle     San Bernardino County         Pinnacles     San Benito County   95043       Pinnacles National Park     Monterey County   95043       Pinnacles National Park     San Benito County   95043       Pinnio     Lassen County         Pino Grande     El Dorado County         Pinole     Contra Costa County   94564       Pinoleville Rancheria     Mendocino County         Pinon Hills     San Bernardino County   92372       Pinto Wye     Riverside County         Pinyon Crest     Riverside County         Pinyon Pines     Riverside County   92561       Pioneer     Amador County   95666       Pioneer     Los Angeles County         Pioneer     Siskiyou County         Pioneer Point     San Bernardino County   93562       Pioneertown     San Bernardino County   92268       Piru     Ventura County   93040       Pisgah     San Bernardino County         Pismo     San Luis Obispo County         Pismo Beach     San Luis Obispo County   93449       Pitco     Kings County         Pit River     Lassen County         Pit River Tribal Trust Lands     Shasta County         Pittsburg     Contra Costa County   94565       Pittsburg East Census Area     Contra Costa County         Pittsburg West     Contra Costa County         Pittville     Lassen County   96056       Pittville     Shasta County   96056       Pixley     Tulare County   93256       Pizona     Mono County         Placentia     Orange County   92670       Placerville     El Dorado County   95667       Plainfield     Yolo County         Plainsburg     Merced County   95340       Plainview     Tulare County   93267       Planada     Merced County   95365       Planehaven     Sacramento County   95652       Plano     Tulare County   93257       Plantation     Sonoma County   95421       Plaskett     Monterey County         Plasse     Amador County   95646       Plaster City     Imperial County   92269       Platina     Shasta County   96076       Playa     Orange County   92652       Playa Del Rey     Los Angeles County   90293       Playa Vista     Los Angeles County   90094       Playmor     San Diego County   92011       Plaza     Los Angeles County   91101       Plaza     Orange County   92666       Plaza     Santa Clara County   94086       Plaza Center     San Bernardino County   91762       Pleasant Grove     Sutter County   95668       Pleasant Hill     Contra Costa County   94523       Pleasant Hill     Humboldt County   95521       Pleasant Hills     Contra Costa County   94523       Pleasanton     Alameda County   94566       Pleasant Ranchos     Orange County         Pleasant Valley     Butte County         Pleasant Valley     El Dorado County   95667       Pleasant View     Tulare County         Pleyto     Monterey County         Plumas Eureka     Plumas County         Plumbago     Sierra County         Plymouth     Amador County   95669       Poe     Butte County         Poinsettia Tract     Contra Costa County   94565       Point Arena     Mendocino County   95468       Point Arena Air Force Station     Mendocino County   95468       Point Arguello     Santa Barbara County         Point Dume     Los Angeles County   90265       Point Firmin     Los Angeles County   90731       Point Loma     San Diego County   92106       Point McCloud     Shasta County         Point Mugu     Ventura County   93042       Point Mugu Base     Ventura County   93042       Point Mugu Naval Air Station     Ventura County   93042       Point Mugu Pacific Missile Test Center     Ventura County   93042       Point Pleasant     Sacramento County   95624       Point Reyes National Seashore     Marin County   94956       Point Reyes Station     Marin County   94956       Point Richmond     Contra Costa County   94807       Points     Los Angeles County         Poison Lake     Lassen County         Poker Flat     Sierra County         Polaris     Nevada County         Pole Garden     Lake County         Polk     Sacramento County         Polk Springs     Tehama County         Pollard Flat     Shasta County         Pollock     Sacramento County         Pollock     Shasta County         Pollock Pines     El Dorado County   95726       Pomins     El Dorado County         Pomo     Mendocino County         Pomona     Los Angeles County   91766   69     Ponca     Tulare County         Pond     Kern County   93280       Pondosa     Siskiyou County   96057       Ponto     San Diego County         Pope     Imperial County         Pope     San Joaquin County         Pope Valley     Napa County   94567       Poplar     Tulare County   93257       Poplar - Cotton Center     Tulare County         Porphyry     Riverside County         Portal Inn     Shasta County         Port Chicago     Contra Costa County   94565       Port Costa     Contra Costa County   94569       Porter     Calaveras County         Porter Ranch     Los Angeles County   91326       Porterville     Tulare County   93257       Porterville Junction     Tulare County   93257       Porterville Northwest     Tulare County   93257       Porterville West     Tulare County   93257       Port Hueneme     Ventura County   93041       Port Hueneme Naval Construction Battalion Center     Ventura County   93043       Port Kenyon     Humboldt County   95536       Port of Redwood City     San Mateo County         Portola     Plumas County   96122       Portola Hills     Orange County   92679       Portola Terrace     San Mateo County   94025       Portola Valley     San Mateo County   94028       Port San Luis     San Luis Obispo County   93424       Portuguese Bend     Los Angeles County   90274       Posey     Tulare County   93260       Poso Park     Tulare County   93260       Post     Santa Barbara County         Post Office Annex     San Mateo County   94010       Posts     Monterey County   93920       Potrero     San Diego County   91963       Potrero     San Francisco County         Potrero District     San Francisco County         Potter Valley     Mendocino County   95469       Potwisha     Tulare County         Poverty Hill     Sierra County         Poway     San Diego County   92064       Powellton     Butte County         Pozo     San Luis Obispo County   93453       Prado Dam     Riverside County         Prairie City     Sacramento County         Prather     Fresno County   93651       Prattco     Monterey County   93941       Pratton     Fresno County         Prattville     Plumas County   95923       Prenda     Riverside County         Presidio     San Francisco County   94129       Presidio of Monterey     Monterey County   93944       Presidio of San Francisco     San Francisco County   94129       Presswood     Mendocino County         Preston     Sonoma County         Preston Heights     Humboldt County   95521       Preuss     Los Angeles County   90035       Priest     Tuolumne County         Priest Valley     Monterey County   93210       Prima Vista     Stanislaus County         Princeton     Colusa County   95970       Princeton     San Mateo County   94018       Princeton - by - the - Sea     San Mateo County   94019       Pritchard     Merced County         Proberta     Tehama County   96078       Progress     Kern County         Progress     Sutter County         Project City     Shasta County   96079       Prospero     Kern County         Prosser Lakeview Estates     Nevada County   95734       Prunedale     Monterey County   93907       Pudding Creek     Mendocino County   95437       Puente Junction     Los Angeles County   91744       Puerto     Stanislaus County         Pulga     Butte County   95965       Pumpkin Center     Kern County   93383       Pumpkin Center     Lassen County         Punta     Ventura County         Pushawalla Palms     Riverside County        Retrieved from `` https://en.wikipedia.org/w/index.php?title=List_of_places_in_California_(P)&amp;oldid=821605070 '' Categories :   Lists of places in California           Talk                                                             About Wikipedia                                           Add links   This page was last edited on 21 January 2018 , at 14 : 24 .         About Wikipedia                    </t>
  </si>
  <si>
    <t xml:space="preserve">cities in california that start with the letter p</t>
  </si>
  <si>
    <t xml:space="preserve">   Name of place   Number of counties   Principal county   Lower zip code   Upper zip code     Pabco     Alameda County         Pabrico     Alameda County   94587       Pace Park     Santa Barbara County         Pacer     Santa Barbara County         Pachappa     Riverside County         Pacheco     Contra Costa County   94553       Pacific     El Dorado County         Pacific     Los Angeles County   90806       Pacifica     San Mateo County   94044       Pacific Beach     San Diego County   92109       Pacific Gardens     San Joaquin County   95204       Pacific Grove     Monterey County   93950       Pacific Grove Acres     Monterey County         Pacific House     El Dorado County   95726       Pacific Manor     Humboldt County   95521       Pacific Manor     San Mateo County   94044       Pacific Missile Range     Ventura County         Pacific Palisades     Los Angeles County   90272       Pacific Union College     Napa County         Pacific Villas     San Joaquin County   95204       Pacoima     Los Angeles County   91331       Paddison Square     Los Angeles County   90652       Paddon     Solano County   95688       Paicines     San Benito County   95043       Paige     Tulare County         Paintersville     Sacramento County   95615       Pajaro     Monterey County   95076       Pala     San Diego County   92059       Pala Indian Reservation     San Diego County   92059       Pala Mesa     San Diego County         Pala Mesa Village     San Diego County   92028       Palermo     Butte County   95968       Palisades del Rey     Los Angeles County   90292       Pallett     Los Angeles County   93563       Palm Beach     Santa Cruz County         Palm City     Riverside County   92260       Palm City     San Diego County         Palmdale     Los Angeles County   93550       Palmdale East     Los Angeles County   93550       Palmdale Production Flight / Test Installation     Los Angeles County         Palm Desert     Riverside County   92260       Palm Desert Country     Riverside County         Palmer Creek     Humboldt County   95540       Palmetto     Plumas County         Palm Grove     San Diego County         Palmo     Kern County         Palms     Los Angeles County   90034       Palm Springs     Riverside County   92262   92     Palm Springs Municipal Airport     Riverside County   92263       Palm Wells     San Bernardino County   92256       Palo Alto     Santa Clara County   94301   10     Palo Cedro     Shasta County   96073       Paloma     Calaveras County   95252       Palomares     Alameda County   94546       Palomar Mountain     San Diego County   92060       Palomar Park     San Mateo County   94062       Paloro     Sutter County         Palos Verdes Estates     Los Angeles County   90274       Palos Verdes Peninsula     Los Angeles County   90274       Palos Verdes Peninsula     Los Angeles County   90274       Palo Verde     Imperial County   92266       Palo Vista     San Diego County   92083       Panama     Kern County   93305       Panamint     Inyo County   93545       Panamint Springs     Inyo County   93545       Panoche     San Benito County   95043       Panoche Junction     Fresno County         Panorama City     Los Angeles County   91402       Panorama Heights     Orange County   92705       Panorama Heights     San Bernardino County         Panorama Heights     Tulare County   93260       Paola     Modoc County         Paradise     Butte County   95969       Paradise     Stanislaus County   95351       Paradise Camp     Mono County   93514       Paradise Cay     Marin County   94920       Paradise Hills     San Diego County   92139       Paradise Park , California     Santa Cruz County   95060       Paradise Springs     Los Angeles County         Paramount     Los Angeles County   90723       Parcel Post     Alameda County   94710       Parchers Camp     Inyo County   93514       Parchester Village     Contra Costa County         Pardee     Los Angeles County         Paris     Los Angeles County         Park     Alameda County   94702       Park Central     Alameda County   94501       Parker Dam     San Bernardino County   92267       Parker Junction     San Bernardino County         Parkfield     Monterey County   93451       Parkfield Junction     Fresno County         Parkhill     Butte County         Park La Brea     Los Angeles County         Parkmoor     Santa Clara County   95128       Parksdale     Madera County         Parkside     San Francisco County   94116       Park Siding     Sonoma County   94952       Park Village     Inyo County   92328       Parkway     Sacramento County   95823       Parkway Estates     Sacramento County   95826       Parkway - Sacramento South     Sacramento County         Parkway - South Sacramento     Sacramento County         Parkwood     Madera County   93637       Parlier     Fresno County   93648       Parramore Springs     Lake County         Pasadena     Los Angeles County   91101   18     Pasadena Junction     Los Angeles County         Pasatiempo     Santa Cruz County   95062       Paskenta     Tehama County   96074       Paso Robles     San Luis Obispo County   93446       Patata     Los Angeles County   90280       Patch     Kern County         Patrick Creek     Del Norte County         Patricks Point     Humboldt County         Patterson     Stanislaus County   95363       Patton     San Bernardino County   92369       Patton Village     Lassen County   96113       Paulsell     Stanislaus County         Pauma and Yuima Reservation     San Diego County   92061       Pauma Indian Reservation     San Diego County   92061       Pauma Valley     San Diego County   92061       Paxton     Plumas County   95971       Paymaster Landing     Imperial County         Payne     Trinity County         Paynes Creek     Tehama County   96075       Paynesville     Alpine County   96120       Payton     Butte County         Peaceful Pines     Alpine County         Peachton     Butte County         Peanut     Trinity County   96041       Pearblossom     Los Angeles County   93553       Peardale     Nevada County   95945       Pearland     Los Angeles County   93550       Pearson     San Joaquin County         Pearson     Yuba County         Pearsonville     Inyo County   93527       Peavine     Sierra County         Pebble Beach     Monterey County   93953       Pechanga Indian Reservation     Riverside County   92390       Pecwan     Humboldt County   95546       Pedley     Riverside County   92509       Pedro Valley     San Mateo County   94044       Peethill     Yolo County         Peltier     San Joaquin County         Pencilwood     Sacramento County         Pendleton North     San Diego County   92055       Pendleton South     San Diego County   92055       Peninsula Center     Los Angeles County   90274       Peninsula Village     Plumas County   96137       Penney     Trinity County         Penngrove     Sonoma County   94951       Penn Grove     Sonoma County         Pennington     Sutter County   95953       Penn Valley     Nevada County   95946       Penoyar     Siskiyou County         Penryn     Placer County   95663       Pentland     Kern County         Pentz     Butte County   95965       Penvir     Monterey County         Pepper Corner     Riverside County         Pepperwood     Humboldt County   95569       Pepperwood Grove     Lake County         Peral     Tulare County         Peralta Hills     Orange County         Perez     Modoc County         Perkins     Sacramento County   95826       Perkins     Sacramento County   95826       Permanente     Santa Clara County   95014       Perris     Riverside County   92570       Perrott Creek     Humboldt County         Perry     Los Angeles County   90603       Perry     Santa Clara County   95037       Pescadero     San Mateo County   94060       Pesco     Santa Barbara County         Petaluma     Sonoma County   94952       Peters     San Joaquin County   95236       Peterson Mill     Inyo County         Petrolia     Humboldt County   95558       Phelan     San Bernardino County   92371       Philbrick Mill     Mendocino County         Phillips     El Dorado County         Phillips Ranch     Los Angeles County   91766       Phillips Ranch     Tulare County   91766       Phillipsville     Humboldt County   95559       Philo     Mendocino County   95466       Phoenix Lake - Cedar Ridge     Tuolumne County         Picacho     Imperial County         Picayune Rancheria     Madera County         Pico     Los Angeles County   90660       Pico Heights     Los Angeles County   90006       Pico Park     Los Angeles County         Pico Rivera     Los Angeles County   90660       Piedmont     Alameda County   94611       Piedmont     Alameda County   94611       Piedra     Fresno County   93649       Pierce     Siskiyou County         Pierce     Solano County         Piercy     Mendocino County   95587       Pierpont Bay     Ventura County         Pieta     Mendocino County         Pike     Sierra County   95960       Pilibos Ranch     Fresno County         Pilliken     El Dorado County         Pilot Hill     El Dorado County   95664       Pine Bluff     Sacramento County   95630       Pine Cove     Riverside County   92349       Pinecrest     Tuolumne County   95364       Pinecroft     Placer County         Pinedale     Fresno County         Pinedale     Fresno County   93650       Pine Flat     Tulare County   93207       Pine Grove     Amador County   95665       Pine Grove     Lake County   95426       Pine Grove     Mendocino County   95437       Pine Grove     San Diego County         Pine Grove     Shasta County   96079       Pine Hills     Humboldt County   95501       Pine Hills     San Diego County   92036       Pinehurst     Fresno County   93641       Pine Mountain Club     Kern County   93225       Pineridge     Fresno County   93602       Pine Valley     San Diego County   91962       Pine Wood     Riverside County         Pinewood     Tulare County         Pinezanita     San Bernardino County         Pinnacle     San Bernardino County         Pinnacles     San Benito County   95043       Pinnacles National Park     Monterey County   95043       Pinnacles National Park     San Benito County   95043       Pinnio     Lassen County         Pino Grande     El Dorado County         Pinole     Contra Costa County   94564       Pinoleville Rancheria     Mendocino County         Pinon Hills     San Bernardino County   92372       Pinto Wye     Riverside County         Pinyon Crest     Riverside County         Pinyon Pines     Riverside County   92561       Pioneer     Amador County   95666       Pioneer     Los Angeles County         Pioneer     Siskiyou County         Pioneer Point     San Bernardino County   93562       Pioneertown     San Bernardino County   92268       Piru     Ventura County   93040       Pisgah     San Bernardino County         Pismo     San Luis Obispo County         Pismo Beach     San Luis Obispo County   93449       Pitco     Kings County         Pit River     Lassen County         Pit River Tribal Trust Lands     Shasta County         Pittsburg     Contra Costa County   94565       Pittsburg East Census Area     Contra Costa County         Pittsburg West     Contra Costa County         Pittville     Lassen County   96056       Pittville     Shasta County   96056       Pixley     Tulare County   93256       Pizona     Mono County         Placentia     Orange County   92670       Placerville     El Dorado County   95667       Plainfield     Yolo County         Plainsburg     Merced County   95340       Plainview     Tulare County   93267       Planada     Merced County   95365       Planehaven     Sacramento County   95652       Plano     Tulare County   93257       Plantation     Sonoma County   95421       Plaskett     Monterey County         Plasse     Amador County   95646       Plaster City     Imperial County   92269       Platina     Shasta County   96076       Playa     Orange County   92652       Playa Del Rey     Los Angeles County   90293       Playa Vista     Los Angeles County   90094       Playmor     San Diego County   92011       Plaza     Los Angeles County   91101       Plaza     Orange County   92666       Plaza     Santa Clara County   94086       Plaza Center     San Bernardino County   91762       Pleasant Grove     Sutter County   95668       Pleasant Hill     Contra Costa County   94523       Pleasant Hill     Humboldt County   95521       Pleasant Hills     Contra Costa County   94523       Pleasanton     Alameda County   94566       Pleasant Ranchos     Orange County         Pleasant Valley     Butte County         Pleasant Valley     El Dorado County   95667       Pleasant View     Tulare County         Pleyto     Monterey County         Plumas Eureka     Plumas County         Plumbago     Sierra County         Plymouth     Amador County   95669       Poe     Butte County         Poinsettia Tract     Contra Costa County   94565       Point Arena     Mendocino County   95468       Point Arena Air Force Station     Mendocino County   95468       Point Arguello     Santa Barbara County         Point Dume     Los Angeles County   90265       Point Firmin     Los Angeles County   90731       Point Loma     San Diego County   92106       Point McCloud     Shasta County         Point Mugu     Ventura County   93042       Point Mugu Base     Ventura County   93042       Point Mugu Naval Air Station     Ventura County   93042       Point Mugu Pacific Missile Test Center     Ventura County   93042       Point Pleasant     Sacramento County   95624       Point Reyes National Seashore     Marin County   94956       Point Reyes Station     Marin County   94956       Point Richmond     Contra Costa County   94807       Points     Los Angeles County         Poison Lake     Lassen County         Poker Flat     Sierra County         Polaris     Nevada County         Pole Garden     Lake County         Polk     Sacramento County         Polk Springs     Tehama County         Pollard Flat     Shasta County         Pollock     Sacramento County         Pollock     Shasta County         Pollock Pines     El Dorado County   95726       Pomins     El Dorado County         Pomo     Mendocino County         Pomona     Los Angeles County   91766   69     Ponca     Tulare County         Pond     Kern County   93280       Pondosa     Siskiyou County   96057       Ponto     San Diego County         Pope     Imperial County         Pope     San Joaquin County         Pope Valley     Napa County   94567       Poplar     Tulare County   93257       Poplar - Cotton Center     Tulare County         Porphyry     Riverside County         Portal Inn     Shasta County         Port Chicago     Contra Costa County   94565       Port Costa     Contra Costa County   94569       Porter     Calaveras County         Porter Ranch     Los Angeles County   91326       Porterville     Tulare County   93257       Porterville Junction     Tulare County   93257       Porterville Northwest     Tulare County   93257       Porterville West     Tulare County   93257       Port Hueneme     Ventura County   93041       Port Hueneme Naval Construction Battalion Center     Ventura County   93043       Port Kenyon     Humboldt County   95536       Port of Redwood City     San Mateo County         Portola     Plumas County   96122       Portola Hills     Orange County   92679       Portola Terrace     San Mateo County   94025       Portola Valley     San Mateo County   94028       Port San Luis     San Luis Obispo County   93424       Portuguese Bend     Los Angeles County   90274       Posey     Tulare County   93260       Poso Park     Tulare County   93260       Post     Santa Barbara County         Post Office Annex     San Mateo County   94010       Posts     Monterey County   93920       Potrero     San Diego County   91963       Potrero     San Francisco County         Potrero District     San Francisco County         Potter Valley     Mendocino County   95469       Potwisha     Tulare County         Poverty Hill     Sierra County         Poway     San Diego County   92064       Powellton     Butte County         Pozo     San Luis Obispo County   93453       Prado Dam     Riverside County         Prairie City     Sacramento County         Prather     Fresno County   93651       Prattco     Monterey County   93941       Pratton     Fresno County         Prattville     Plumas County   95923       Prenda     Riverside County         Presidio     San Francisco County   94129       Presidio of Monterey     Monterey County   93944       Presidio of San Francisco     San Francisco County   94129       Presswood     Mendocino County         Preston     Sonoma County         Preston Heights     Humboldt County   95521       Preuss     Los Angeles County   90035       Priest     Tuolumne County         Priest Valley     Monterey County   93210       Prima Vista     Stanislaus County         Princeton     Colusa County   95970       Princeton     San Mateo County   94018       Princeton - by - the - Sea     San Mateo County   94019       Pritchard     Merced County         Proberta     Tehama County   96078       Progress     Kern County         Progress     Sutter County         Project City     Shasta County   96079       Prospero     Kern County         Prosser Lakeview Estates     Nevada County   95734       Prunedale     Monterey County   93907       Pudding Creek     Mendocino County   95437       Puente Junction     Los Angeles County   91744       Puerto     Stanislaus County         Pulga     Butte County   95965       Pumpkin Center     Kern County   93383       Pumpkin Center     Lassen County         Punta     Ventura County         Pushawalla Palms     Riverside County       </t>
  </si>
  <si>
    <t xml:space="preserve">Eublepharis - Wikipedia  Eublepharis  Jump to : navigation , search      This article does not cite any sources . Please help improve this article by adding citations to reliable sources . Unsourced material may be challenged and removed . ( December 2009 ) ( Learn how and when to remove this template message )       Eublepharis         Common leopard gecko ( Eublepharis macularius )     Scientific classification     Kingdom :   Animalia     Phylum :   Chordata     Class :   Reptilia     Order :   Squamata     Family :   Eublepharidae     Genus :   Eublepharis Gray , 1827     Species      Eublepharis angramainyu Eublepharis fuscus Eublepharis hardwickii Eublepharis macularius Eublepharis turcmenicus      The genus Eublepharis , also known as the leopard geckos , was first described by the British zoologist John Edward Gray in 1827 . The etymology of their name is ' eu ' = good ( = true ) ' blephar ' = eyelid , and all have fully functional eyelids . Members of this genus are found in eastern and southwestern Asia where they are found in arid and semiarid habitats . These geckos are sturdily built . Their tail is shorter than their snout - vent length and their body is covered with numerous wart - like bumps . The toes do not have adhesive lamellae . Eublepharis are crepuscular or nocturnal ground - dwellers . Included in this group is the popular pet gecko : the leopard gecko .   Species of the genus Eublepharis ( edit )    Iraqi eyelid gecko , Eublepharis angramainyu   West Indian leopard gecko , Eublepharis fuscus   East Indian leopard gecko , Eublepharis hardwickii   Common leopard gecko , Eublepharis macularius   Afghan leopard gecko , ( Eublepharis macularius afghanicus )   Eublepharis macularius fasciolatus   Eublepharis macularius macularius   Eublepharis macularius montanus   Eublepharis macularius smithi     Eublepharis satpuraensis   Turkmenistan eyelid gecko , Eublepharis turcmenicus    The members of the Goniurosaurus kuroiwae superspecies were formerly considered members of the genus Eublepharis .   External links ( edit )   Eublepharis in the Reptile Database     Taxon identifiers     Wd : Q1500089   ADW : Eublepharis   EoL : 33347   ITIS : 818033   NCBI : 96736           This article about a gecko is a stub . You can help Wikipedia by expanding it .            Retrieved from `` https://en.wikipedia.org/w/index.php?title=Eublepharis&amp;oldid=815094995 '' Categories :   Eublepharis   Lizard genera   Taxa named by John Edward Gray   Gecko stubs   Hidden categories :   Articles lacking sources from December 2009   All articles lacking sources   Articles with ' species ' microformats   All stub articles           Talk                                                             About Wikipedia                                             Wikispecies       Català   Cebuano   Deutsch   Español   Euskara   Français   Italiano   Nederlands   Norsk   Polski   Português   Română   Русский   Suomi   Svenska   Українська   Tiếng Việt   Winaray   Edit links   This page was last edited on 12 December 2017 , at 19 : 03 .         About Wikipedia                    </t>
  </si>
  <si>
    <t xml:space="preserve">where do leopard gecko live in the wild</t>
  </si>
  <si>
    <t xml:space="preserve"> The genus Eublepharis , also known as the leopard geckos , was first described by the British zoologist John Edward Gray in 1827 . The etymology of their name is ' eu ' = good ( = true ) ' blephar ' = eyelid , and all have fully functional eyelids . Members of this genus are found in eastern and southwestern Asia where they are found in arid and semiarid habitats . These geckos are sturdily built . Their tail is shorter than their snout - vent length and their body is covered with numerous wart - like bumps . The toes do not have adhesive lamellae . Eublepharis are crepuscular or nocturnal ground - dwellers . Included in this group is the popular pet gecko : the leopard gecko . </t>
  </si>
  <si>
    <t xml:space="preserve">Sun - wikipedia  Sun  Jump to : navigation , search This article is about the star . For other uses , see Sun ( disambiguation ) .  The Sun   Sun with sunspots and limb darkening as seen in visible light with solar filter .     Observation data     Mean distance from Earth   1 au ≈ 7011149600000000000 ♠ 1.496 × 10 km 8 min 19 s at light speed     Visual brightness ( V )   − 26.74     Absolute magnitude   4.83     Spectral classification   G2V     Metallicity   Z = 0.0122     Angular size   31.6 -- 32.7 minutes of arc     Adjectives   Solar     Orbital characteristics     Mean distance from Milky Way core   ≈ 7020270000000000000 ♠ 2.7 × 10 km 7004272000000000000 ♠ 27,200 light - years     Galactic period   ( 2.25 -- 2.50 ) × 10 yr     Velocity   ≈ 7005220000000000000 ♠ 220 km / s ( orbit around the center of the Milky Way ) ≈ 7004200000000000000 ♠ 20 km / s ( relative to average velocity of other stars in stellar neighborhood ) ≈ 7005370000000000000 ♠ 370 km / s ( relative to the cosmic microwave background )     Physical characteristics     Equatorial radius   695,700 km , 696,392 km 7002109000000000000 ♠ 109 × Earth     Equatorial circumference   7009437900000000000 ♠ 4.379 × 10 km 109 × Earth     Flattening   6994900000000000000 ♠ 9 × 10     Surface area   7018609000000000000 ♠ 6.09 × 10 km 7004120000000000000 ♠ 12,000 × Earth     Volume   7027141000000000000 ♠ 1.41 × 10 km 7006130000000000000 ♠ 1,300,000 × Earth     Mass   7030198855000000000 ♠ ( 1.988 55 ± 0.000 25 ) × 10 kg 7005333000000000000 ♠ 333,000 × Earth     Average density   7003140800000000000 ♠ 1.408 g / cm 6999255000000000000 ♠ 0.255 × Earth     Center density ( modeled )   7005162200000000000 ♠ 162.2 g / cm 7001124000000000000 ♠ 12.4 × Earth     Equatorial surface gravity   7002274000000000000 ♠ 274.0 m / s 7001279400000000000 ♠ 27.94 g 7004275422900000000 ♠ 27,542.29 cgs 28 × Earth     Moment of inertia factor   6998700000000000000 ♠ 0.070 ( estimate )     Escape velocity ( from the surface )   7005617700000000000 ♠ 617.7 km / s 55 × Earth     Temperature   Center ( modeled ) : 7007157000000000000 ♠ 1.57 × 10 K Photosphere ( effective ) : 7003577200000000000 ♠ 5,772 K Corona : ≈ 7006500000000000000 ♠ 5 × 10 K     Luminosity ( L )   7026382800000000000 ♠ 3.828 × 10 W ≈ 7028375000000000000 ♠ 3.75 × 10 lm ≈ 7001980000000000000 ♠ 98 lm / W efficacy     Mean radiance ( I )   7007200900000000000 ♠ 2.009 × 10 W m sr     Age   ≈ 4.6 billion years     Rotation characteristics     Obliquity   7.25 ° ( to the ecliptic ) 67.23 ° ( to the galactic plane )     Right ascension of North pole   286.13 ° 19 h 4 min 30 s     Declination of North pole   + 63.87 ° 63 ° 52 ' North     Sidereal rotation period ( at equator )   25.05 d     ( at 16 ° latitude )   25.38 d 25 d 9 h 7 min 12 s     ( at poles )   34.4 d     Rotation velocity ( at equator )   7003199694444444444 ♠ 7.189 × 10 km / h     Photospheric composition ( by mass )     Hydrogen   73.46 %     Helium   24.85 %     Oxygen   0.77 %     Carbon   0.29 %     Iron   0.16 %     Neon   0.12 %     Nitrogen   0.09 %     Silicon   0.07 %     Magnesium   0.05 %     Sulfur   0.04 %     The Sun is the star at the center of the Solar System . It is a nearly perfect sphere of hot plasma , with internal convective motion that generates a magnetic field via a dynamo process . It is by far the most important source of energy for life on Earth . Its diameter is about 1.39 million kilometers , i.e. 109 times that of Earth , and its mass is about 330,000 times that of Earth , accounting for about 99.86 % of the total mass of the Solar System . About three quarters of the Sun 's mass consists of hydrogen ( ~ 73 % ) ; the rest is mostly helium ( ~ 25 % ) , with much smaller quantities of heavier elements , including oxygen , carbon , neon , and iron .   The Sun is a G - type main - sequence star ( G2V ) based on its spectral class . As such , it is informally and not completely accurately referred to as a yellow dwarf ( its light is closer to white than yellow ) . It formed approximately 4.6 billion years ago from the gravitational collapse of matter within a region of a large molecular cloud . Most of this matter gathered in the center , whereas the rest flattened into an orbiting disk that became the Solar System . The central mass became so hot and dense that it eventually initiated nuclear fusion in its core . It is thought that almost all stars form by this process .   The Sun is roughly middle - aged ; it has not changed dramatically for more than four billion years , and will remain fairly stable for more than another five billion years . It currently fuzes about 600 million tons of hydrogen into helium every second , converting 4 million tons of matter into energy every second as a result . This energy , which can take between 10,000 and 170,000 years to escape from its core , is the source of the Sun 's light and heat . In about 5 billion years , when hydrogen fusion in its core has diminished to the point at which the Sun is no longer in hydrostatic equilibrium , the core of the Sun will experience a marked increase in density and temperature while its outer layers expand to eventually become a red giant . It is calculated that the Sun will become sufficiently large to engulf the current orbits of Mercury and Venus , and render Earth uninhabitable . After this , it will shed its outer layers and become a dense type of cooling star known as a white dwarf , which no longer produces energy by fusion , but still glows and gives off heat from its previous fusion .   The enormous effect of the Sun on Earth has been recognized since prehistoric times , and the Sun has been regarded by some cultures as a deity . The synodic rotation of Earth and its orbit around the Sun are the basis of solar calendars , one of which is the predominant calendar in use today .     Contents  ( hide )   1 Name and etymology   1.1 Religious aspects     2 Characteristics   3 Sunlight   4 Composition   4.1 Singly ionized iron - group elements   4.2 Isotopic composition     5 Structure and energy production   5.1 Core   5.2 Radiative zone   5.3 Tachocline   5.4 Convective zone   5.5 Photosphere   5.6 Atmosphere   5.7 Photons and neutrinos     6 Magnetism and activity   6.1 Magnetic field   6.2 Variation in activity   6.3 Long - term change     7 Life phases   7.1 Formation   7.2 Main sequence   7.3 After core hydrogen exhaustion     8 Motion and location   8.1 Orbit in Milky Way     9 Theoretical problems   9.1 Coronal heating problem   9.2 Faint young Sun problem     10 History of observation   10.1 Early understanding   10.2 Development of scientific understanding   10.3 Solar space missions     11 Observation and effects   12 Planetary system   13 See also   14 Notes   15 References   16 Further reading   17 External links      Name and Etymology   The English proper name Sun developed from Old English sunne and may be related to south . Cognates to English sun appear in other Germanic languages , including Old Frisian sunne , sonne , Old Saxon sunna , Middle Dutch sonne , modern Dutch zon , Old High German sunna , modern German Sonne , Old Norse sunna , and Gothic sunnō . All Germanic terms for the Sun stem from Proto - Germanic * sunnōn .   The Latin name for the Sun , Sol , is used at times as another name for the Sun , but is not commonly used in everyday English . Sol is also used by planetary astronomers to refer to the duration of a solar day on another planet , such as Mars .   The related word solar is the usual adjectival term used for the Sun , in terms such as solar day , solar eclipse , and Solar System . A mean Earth solar day is approximately 24 hours , whereas a mean Martian ' sol ' is 24 hours , 39 minutes , and 35.244 seconds .   The English weekday name Sunday stems from Old English ( Sunnandæg ; `` Sun 's day '' , from before 700 ) and is ultimately a result of a Germanic interpretation of Latin dies solis , itself a translation of the Greek ἡμέρα ἡλίου ( hēméra hēlíou ) .   Religious aspects  Main article : Solar deity  Solar deities play a major role in many world religions and mythologies . The ancient Sumerians believed that the sun was Utu , the god of justice and twin brother of Inanna , the Queen of Heaven , who was identified as the planet Venus . Later , Utu was identified with the East Semitic god Shamash . Utu was regarded as a helper - deity , who aided those in distress , and , in iconography , he is usually portrayed with a long beard and clutching a saw , which represented his role as the dispenser of justice .   From at least the 4th Dynasty of Ancient Egypt , the Sun was worshipped as the god Ra , portrayed as a falcon - headed divinity surmounted by the solar disk , and surrounded by a serpent . In the New Empire period , the Sun became identified with the dung beetle , whose spherical ball of dung was identified with the Sun . In the form of the Sun disc Aten , the Sun had a brief resurgence during the Amarna Period when it again became the preeminent , if not only , divinity for the Pharaoh Akhenaton .   In Proto - Indo - European religion , the sun was personified as the goddess * Seh ul . Derivatives of this goddess in Indo - European languages include the Old Norse Sól , Sanskrit Surya , Gaulish Sulis , Lithuanian Saulė , and Slavic Solntse . In ancient Greek religion , the sun deity was the male god Helios , but traces of an earlier female solar deity are preserved in Helen of Troy . In later times , Helios was syncretized with Apollo .   In the Bible , Malachi 4 : 2 mentions the `` Sun of Righteousness '' ( sometimes translated as the `` Sun of Justice '' ) , which some Christians have interpreted as a reference to the Messiah ( Christ ) . In ancient Roman culture , Sunday was the day of the Sun god . It was adopted as the Sabbath day by Christians who did not have a Jewish background . The symbol of light was a pagan device adopted by Christians , and perhaps the most important one that did not come from Jewish traditions . In paganism , the Sun was a source of life , giving warmth and illumination to mankind . It was the center of a popular cult among Romans , who would stand at dawn to catch the first rays of sunshine as they prayed . The celebration of the winter solstice ( which influenced Christmas ) was part of the Roman cult of the unconquered Sun ( Sol Invictus ) . Christian churches were built with an orientation so that the congregation faced toward the sunrise in the East .   Tonatiuh , the Aztec god of the sun , was usually depicted holding arrows and a shield and was closely associated with the practice of human sacrifice . The sun goddess Amaterasu is the most important deity in the Shinto religion , and she is believed to be the direct ancestor of all Japanese emperors .   Characteristics   The Sun is a G - type main - sequence star that comprises about 99.86 % of the mass of the Solar System . The Sun has an absolute magnitude of + 4.83 , estimated to be brighter than about 85 % of the stars in the Milky Way , most of which are red dwarfs . The Sun is a Population I , or heavy - element - rich , star . The formation of the Sun may have been triggered by shockwaves from one or more nearby supernovae . This is suggested by a high abundance of heavy elements in the Solar System , such as gold and uranium , relative to the abundances of these elements in so - called Population II , heavy - element - poor , stars . The heavy elements could most plausibly have been produced by endothermic nuclear reactions during a supernova , or by transmutation through neutron absorption within a massive second - generation star .   The Sun is by far the brightest object in the Earth 's sky , with an apparent magnitude of − 26.74 . This is about 13 billion times brighter than the next brightest star , Sirius , which has an apparent magnitude of − 1.46 . The mean distance of the Sun 's center to Earth 's center is approximately 1 astronomical unit ( about 150,000,000 km ; 93,000,000 mi ) , though the distance varies as Earth moves from perihelion in January to aphelion in July . At this average distance , light travels from the Sun 's horizon to Earth 's horizon in about 8 minutes and 19 seconds , while light from the closest points of the Sun and Earth takes about two seconds less . The energy of this sunlight supports almost all life on Earth by photosynthesis , and drives Earth 's climate and weather .   The Sun does not have a definite boundary , but its density decreases exponentially with increasing height above the photosphere . For the purpose of measurement , however , the Sun 's radius is considered to be the distance from its center to the edge of the photosphere , the apparent visible surface of the Sun . By this measure , the Sun is a near - perfect sphere with an oblateness estimated at about 9 millionths , which means that its polar diameter differs from its equatorial diameter by only 10 kilometres ( 6.2 mi ) . The tidal effect of the planets is weak and does not significantly affect the shape of the Sun . The Sun rotates faster at its equator than at its poles . This differential rotation is caused by convective motion due to heat transport and the Coriolis force due to the Sun 's rotation . In a frame of reference defined by the stars , the rotational period is approximately 25.6 days at the equator and 33.5 days at the poles . Viewed from Earth as it orbits the Sun , the apparent rotational period of the Sun at its equator is about 28 days .   Sunlight  Main article : Sunlight  The solar constant is the amount of power that the Sun deposits per unit area that is directly exposed to sunlight . The solar constant is equal to approximately 7003136800000000000 ♠ 1,368 W / m ( watts per square meter ) at a distance of one astronomical unit ( AU ) from the Sun ( that is , on or near Earth ) . Sunlight on the surface of Earth is attenuated by Earth 's atmosphere , so that less power arrives at the surface ( closer to 7003100000000000000 ♠ 1,000 W / m ) in clear conditions when the Sun is near the zenith . Sunlight at the top of Earth 's atmosphere is composed ( by total energy ) of about 50 % infrared light , 40 % visible light , and 10 % ultraviolet light . The atmosphere in particular filters out over 70 % of solar ultraviolet , especially at the shorter wavelengths . Solar ultraviolet radiation ionizes Earth 's dayside upper atmosphere , creating the electrically conducting ionosphere .   The Sun 's color is white , with a CIE color - space index near ( 0.3 , 0.3 ) , when viewed from space or when the Sun is high in the sky . When measuring all the photons emitted , the Sun is actually emitting more photons in the green portion of the spectrum than any other . When the Sun is low in the sky , atmospheric scattering renders the Sun yellow , red , orange , or magenta . Despite its typical whiteness , most people mentally picture the Sun as yellow ; the reasons for this are the subject of debate . The Sun is a G2V star , with G2 indicating its surface temperature of approximately 5,778 K ( 5,505 ° C , 9,941 ° F ) , and V that it , like most stars , is a main - sequence star . The average luminance of the Sun is about 1.88 giga candela per square metre , but as viewed through Earth 's atmosphere , this is lowered to about 1.44 Gcd / m . However , the luminance is not constant across the disk of the Sun ( limb darkening ) .   Composition  See also : Molecules in stars  The Sun is composed primarily of the chemical elements hydrogen and helium . At this time in the Sun 's life , they account for 74.9 % and 23.8 % of the mass of the Sun in the photosphere , respectively . All heavier elements , called metals in astronomy , account for less than 2 % of the mass , with oxygen ( roughly 1 % of the Sun 's mass ) , carbon ( 0.3 % ) , neon ( 0.2 % ) , and iron ( 0.2 % ) being the most abundant .   The Sun 's original chemical composition was inherited from the interstellar medium out of which it formed . Originally it would have contained about 71.1 % hydrogen , 27.4 % helium , and 1.5 % heavier elements . The hydrogen and most of the helium in the Sun would have been produced by Big Bang nucleosynthesis in the first 20 minutes of the universe , and the heavier elements were produced by previous generations of stars before the Sun was formed , and spread into the interstellar medium during the final stages of stellar life and by events such as supernovae .   Since the Sun formed , the main fusion process has involved fuzing hydrogen into helium . Over the past 4.6 billion years , the amount of helium and its location within the Sun has gradually changed . Within the core , the proportion of helium has increased from about 24 % to about 60 % due to fusion , and some of the helium and heavy elements have settled from the photosphere towards the center of the Sun because of gravity . The proportions of metals ( heavier elements ) is unchanged . Heat is transferred outward from the Sun 's core by radiation rather than by convection ( see Radiative zone below ) , so the fusion products are not lifted outward by heat ; they remain in the core and gradually an inner core of helium has begun to form that can not be fuzed because at this time , the Sun 's core is not hot and dense enough to fuze helium . Overall in today 's photosphere the helium fraction is reduced , and the metallicity is only 84 % of what it was in the protostellar phase ( before nuclear fusion in the core started ) . In future , helium will continue to accumulate in the core , and in about 5 billion years this gradual build - up will eventually cause the Sun to leave the main sequence and become a red giant .   The chemical composition of the photosphere is normally considered representative of the composition of the primordial Solar System . The solar heavy - element abundances described above are typically measured both using spectroscopy of the Sun 's photosphere and by measuring abundances in meteorites that have never been heated to melting temperatures . These meteorites are thought to retain the composition of the protostellar Sun and are thus not affected by settling of heavy elements . The two methods generally agree well .   Singly ionized iron - group elements   In the 1970s , much research focused on the abundances of iron - group elements in the Sun . Although significant research was done , until 1978 it was difficult to determine the abundances of some iron - group elements ( e.g. cobalt and manganese ) via spectrography because of their hyperfine structures .   The first largely complete set of oscillator strengths of singly ionized iron - group elements were made available in the 1960s , and these were subsequently improved . In 1978 , the abundances of singly ionized elements of the iron group were derived .   Isotopic composition   Various authors have considered the existence of a gradient in the isotopic compositions of solar and planetary noble gases , e.g. correlations between isotopic compositions of neon and xenon in the Sun and on the planets .   Prior to 1983 , it was thought that the whole Sun has the same composition as the solar atmosphere . In 1983 , it was claimed that it was fractionation in the Sun itself that caused the isotopic - composition relationship between the planetary and solar - wind - implanted noble gases .   Structure and energy production   The structure of the Sun contains the following layers :      Core - the innermost 20 - 25 % of the Sun 's radius , where temperature ( energies ) and pressure are sufficient for nuclear fusion to occur . Hydrogen fuzes into helium ( which can not currently be fuzed at this point in the Sun 's life ) . The fusion process releases energy , and the helium gradually accumulates to form an inner core of helium within the core itself .   Radiative zone - convection can not occur until much nearer the surface of the Sun . Therefore between about 20 - 25 % of the radius , and 70 % of the radius , there is a `` radiative zone '' in which energy transfer occurs by means of radiation ( photons ) rather than by convection .   Tachocline - the boundary region between the radiative and convective zones .   Convective zone - Between about 70 % of the Sun 's radius and a point close to the visible surface , the Sun is cool and diffuse enough for convection to occur , and this becomes the primary means of outward heat transfer , similar to weather cells which form in the earth 's atmosphere .   Photosphere - the deepest part of the Sun which we can directly observe with visible light . Because the Sun is a gaseous object , it does not have a clearly - defined surface ; its visible parts are usually divided into a ' photosphere ' and ' atmosphere ' .   Atmosphere - a gaseous ' halo ' surrounding the Sun , comprising the chromosphere , transition region , corona and heliosphere . These can be seen when the main part of the Sun is hidden , for example , during a solar eclipse .      Core  Main article : Solar core The structure of the Sun  The core of the Sun extends from the center to about 20 -- 25 % of the solar radius . It has a density of up to 7005150000000000000 ♠ 150 g / cm ( about 150 times the density of water ) and a temperature of close to 15.7 million kelvins ( K ) . By contrast , the Sun 's surface temperature is approximately 5,800 K. Recent analysis of SOHO mission data favors a faster rotation rate in the core than in the radiative zone above . Through most of the Sun 's life , energy has been produced by nuclear fusion in the core region through a series of steps called the p -- p ( proton -- proton ) chain ; this process converts hydrogen into helium . Only 0.8 % of the energy generated in the Sun comes from the CNO cycle , though this proportion is expected to increase as the Sun becomes older .   The core is the only region in the Sun that produces an appreciable amount of thermal energy through fusion ; 99 % of the power is generated within 24 % of the Sun 's radius , and by 30 % of the radius , fusion has stopped nearly entirely . The remainder of the Sun is heated by this energy as it is transferred outwards through many successive layers , finally to the solar photosphere where it escapes into space as sunlight or the kinetic energy of particles .   The proton -- proton chain occurs around 7037919999999999999 ♠ 9.2 × 10 times each second in the core , converting about 3.7 × 10 protons into alpha particles ( helium nuclei ) every second ( out of a total of ~ 8.9 × 10 free protons in the Sun ) , or about 6.2 × 10 kg / s . Fusing four free protons ( hydrogen nuclei ) into a single alpha particle ( helium nucleus ) releases around 0.7 % of the fused mass as energy , so the Sun releases energy at the mass -- energy conversion rate of 4.26 million metric tons per second ( which requires 600 metric megatons of hydrogen ) , for 384.6 yottawatts ( 7026384600000000000 ♠ 3.846 × 10 W ) , or 9.192 × 10 megatons of TNT per second . However , the large power output of the Sun is mainly due to the huge size and density of its core ( compared to earth and objects on earth ) , with only a fairly small amount of power being generated per cubic metre . Theoretical models of the Sun 's interior indicate a power density , or energy production , of approximately 276.5 watts per cubic metre , which is about the same rate of power production as takes place in reptile metabolism or a compost pile .   The fusion rate in the core is in a self - correcting equilibrium : a slightly higher rate of fusion would cause the core to heat up more and expand slightly against the weight of the outer layers , reducing the density and hence the fusion rate and correcting the perturbation ; and a slightly lower rate would cause the core to cool and shrink slightly , increasing the density and increasing the fusion rate and again reverting it to its present rate .   Radiative zone  Main article : Radiative zone  From the core out to about 0.7 solar radii , thermal radiation is the primary means of energy transfer . The temperature drops from approximately 7 million to 2 million kelvins with increasing distance from the core . This temperature gradient is less than the value of the adiabatic lapse rate and hence can not drive convection , which explains why the transfer of energy through this zone is by radiation instead of thermal convection . Ions of hydrogen and helium emit photons , which travel only a brief distance before being reabsorbed by other ions . The density drops a hundredfold ( from 20 g / cm to 0.2 g / cm ) from 0.25 solar radii to the 0.7 radii , the top of the radiative zone .   Tachocline  Main article : Tachocline  The radiative zone and the convective zone are separated by a transition layer , the tachocline . This is a region where the sharp regime change between the uniform rotation of the radiative zone and the differential rotation of the convection zone results in a large shear between the two -- a condition where successive horizontal layers slide past one another . Presently , it is hypothesized ( see Solar dynamo ) that a magnetic dynamo within this layer generates the Sun 's magnetic field .   Convective zone  Main article : Convection zone  The Sun 's convection zone extends from 0.7 solar radii ( 500,000 km ) to near the surface . In this layer , the solar plasma is not dense enough or hot enough to transfer the heat energy of the interior outward via radiation . Instead , the density of the plasma is low enough to allow convective currents to develop and move the Sun 's energy outward towards its surface . Material heated at the tachocline picks up heat and expands , thereby reducing its density and allowing it to rise . As a result , an orderly motion of the mass develops into thermal cells that carry the majority of the heat outward to the Sun 's photosphere above . Once the material diffusively and radiatively cools just beneath the photospheric surface , its density increases , and it sinks to the base of the convection zone , where it again picks up heat from the top of the radiative zone and the convective cycle continues . At the photosphere , the temperature has dropped to 5,700 K and the density to only 0.2 g / m ( about 1 / 6,000 the density of air at sea level ) .   The thermal columns of the convection zone form an imprint on the surface of the Sun giving it a granular appearance called the solar granulation at the smallest scale and supergranulation at larger scales . Turbulent convection in this outer part of the solar interior sustains `` small - scale '' dynamo action over the near - surface volume of the Sun . The Sun 's thermal columns are Bénard cells and take the shape of hexagonal prisms .   Photosphere  The effective temperature , or black body temperature , of the Sun ( 5,777 K ) is the temperature a black body of the same size must have to yield the same total emissive power . Main article : Photosphere  The visible surface of the Sun , the photosphere , is the layer below which the Sun becomes opaque to visible light . Above the photosphere visible sunlight is free to propagate into space , and almost all of its energy escapes the Sun entirely . The change in opacity is due to the decreasing amount of H ions , which absorb visible light easily . Conversely , the visible light we see is produced as electrons react with hydrogen atoms to produce H ions . The photosphere is tens to hundreds of kilometers thick , and is slightly less opaque than air on Earth . Because the upper part of the photosphere is cooler than the lower part , an image of the Sun appears brighter in the center than on the edge or limb of the solar disk , in a phenomenon known as limb darkening . The spectrum of sunlight has approximately the spectrum of a black - body radiating at about 6,000 K , interspersed with atomic absorption lines from the tenuous layers above the photosphere . The photosphere has a particle density of ~ 10 m ( about 0.37 % of the particle number per volume of Earth 's atmosphere at sea level ) . The photosphere is not fully ionized -- the extent of ionization is about 3 % , leaving almost all of the hydrogen in atomic form .   During early studies of the optical spectrum of the photosphere , some absorption lines were found that did not correspond to any chemical elements then known on Earth . In 1868 , Norman Lockyer hypothesized that these absorption lines were caused by a new element that he dubbed helium , after the Greek Sun god Helios . Twenty - five years later , helium was isolated on Earth .   Atmosphere  See also : Corona and Coronal loop During a total solar eclipse , the solar corona can be seen with the naked eye , during the brief period of totality .  During a total solar eclipse , when the disk of the Sun is covered by that of the Moon , parts of the Sun 's surrounding atmosphere can be seen . It is composed of four distinct parts : the chromosphere , the transition region , the corona and the heliosphere .   The coolest layer of the Sun is a temperature minimum region extending to about 7005500000000000000 ♠ 500 km above the photosphere , and has a temperature of about 7003410000000000000 ♠ 4,100 K . This part of the Sun is cool enough to allow the existence of simple molecules such as carbon monoxide and water , which can be detected via their absorption spectra .   The chromosphere , transition region , and corona are much hotter than the surface of the Sun . The reason is not well understood , but evidence suggests that Alfvén waves may have enough energy to heat the corona .   Above the temperature minimum layer is a layer about 7006200000000000000 ♠ 2,000 km thick , dominated by a spectrum of emission and absorption lines . It is called the chromosphere from the Greek root chroma , meaning color , because the chromosphere is visible as a colored flash at the beginning and end of total solar eclipses . The temperature of the chromosphere increases gradually with altitude , ranging up to around 7004200000000000000 ♠ 20,000 K near the top . In the upper part of the chromosphere helium becomes partially ionized .  Taken by Hinode 's Solar Optical Telescope on 12 January 2007 , this image of the Sun reveals the filamentary nature of the plasma connecting regions of different magnetic polarity .  Above the chromosphere , in a thin ( about 200 km ) transition region , the temperature rises rapidly from around 20,000 K in the upper chromosphere to coronal temperatures closer to 1,000,000 K . The temperature increase is facilitated by the full ionization of helium in the transition region , which significantly reduces radiative cooling of the plasma . The transition region does not occur at a well - defined altitude . Rather , it forms a kind of nimbus around chromospheric features such as spicules and filaments , and is in constant , chaotic motion . The transition region is not easily visible from Earth 's surface , but is readily observable from space by instruments sensitive to the extreme ultraviolet portion of the spectrum .   The corona is the next layer of the Sun . The low corona , near the surface of the Sun , has a particle density around 10 m to 10 m . The average temperature of the corona and solar wind is about 1,000,000 -- 2,000,000 K ; however , in the hottest regions it is 8,000,000 -- 20,000,000 K . Although no complete theory yet exists to account for the temperature of the corona , at least some of its heat is known to be from magnetic reconnection . The corona is the extended atmosphere of the Sun , which has a volume much larger than the volume enclosed by the Sun 's photosphere . A flow of plasma outward from the Sun into interplanetary space is the solar wind .   The heliosphere , the tenuous outermost atmosphere of the Sun , is filled with the solar wind plasma . This outermost layer of the Sun is defined to begin at the distance where the flow of the solar wind becomes superalfvénic -- that is , where the flow becomes faster than the speed of Alfvén waves , at approximately 20 solar radii ( 0.1 AU ) . Turbulence and dynamic forces in the heliosphere can not affect the shape of the solar corona within , because the information can only travel at the speed of Alfvén waves . The solar wind travels outward continuously through the heliosphere , forming the solar magnetic field into a spiral shape , until it impacts the heliopause more than 50 AU from the Sun . In December 2004 , the Voyager 1 probe passed through a shock front that is thought to be part of the heliopause . In late 2012 Voyager 1 recorded a marked increase in cosmic ray collisions and a sharp drop in lower energy particles from the solar wind , which suggested</t>
  </si>
  <si>
    <t xml:space="preserve">where does the sun's luminosity come from</t>
  </si>
  <si>
    <t xml:space="preserve"> The Sun is roughly middle - aged ; it has not changed dramatically for more than four billion years , and will remain fairly stable for more than another five billion years . It currently fuzes about 600 million tons of hydrogen into helium every second , converting 4 million tons of matter into energy every second as a result . This energy , which can take between 10,000 and 170,000 years to escape from its core , is the source of the Sun 's light and heat . In about 5 billion years , when hydrogen fusion in its core has diminished to the point at which the Sun is no longer in hydrostatic equilibrium , the core of the Sun will experience a marked increase in density and temperature while its outer layers expand to eventually become a red giant . It is calculated that the Sun will become sufficiently large to engulf the current orbits of Mercury and Venus , and render Earth uninhabitable . After this , it will shed its outer layers and become a dense type of cooling star known as a white dwarf , which no longer produces energy by fusion , but still glows and gives off heat from its previous fusion . </t>
  </si>
  <si>
    <t xml:space="preserve">Philadelphia Flyers - Wikipedia  Philadelphia Flyers  Jump to : navigation , search    Philadelphia Flyers     2017 -- 18 Philadelphia Flyers season         Conference   Eastern     Division   Metropolitan     Founded   1967     History   Philadelphia Flyers 1967 -- present     Home arena   Wells Fargo Center     City   Philadelphia , Pennsylvania         Colors    Orange , black , white      Media   Comcast SportsNet Philadelphia The Comcast Network WCAU ( NBC 10 ) WPEN ( 97.5 The Fanatic ) WPGG ( WPG Talk Radio 104.1 )     Owner ( s )   Comcast Spectacor     General manager   Ron Hextall     Head coach   Dave Hakstol     Captain   Claude Giroux     Minor league affiliates   Lehigh Valley Phantoms ( AHL ) Reading Royals ( ECHL )     Stanley Cups   2 ( 1973 -- 74 , 1974 -- 75 )     Conference championships   8 ( 1974 -- 75 , 1975 -- 76 , 1976 -- 77 , 1979 -- 80 , 1984 -- 85 , 1986 -- 87 , 1996 -- 97 , 2009 -- 10 )     Presidents ' Trophy   0     Division championships   16 ( 1967 -- 68 , 1973 -- 74 , 1974 -- 75 , 1975 -- 76 , 1976 -- 77 , 1979 -- 80 , 1982 -- 83 , 1984 -- 85 , 1985 -- 86 , 1986 -- 87 , 1994 -- 95 , 1995 -- 96 , 1999 -- 00 , 2001 -- 02 , 2003 -- 04 , 2010 -- 11 )     Official website   nhl.com/flyers     The Philadelphia Flyers are a professional ice hockey team based in Philadelphia , Pennsylvania . They are members of the Metropolitan Division of the Eastern Conference of the National Hockey League ( NHL ) . Part of the 1967 NHL Expansion , the Flyers were the first expansion team in the post -- Original Six era to win the Stanley Cup , victorious in 1973 -- 74 and again in 1974 -- 75 .   The Flyers are one the most popular teams in the NHL , and are considered to be one of the league 's iconic franchises . The team 's logo is one of the most iconic and recognizable in all of sports . The Flyers ' all - time points percentage of 57.6 % ( as of the 2016 -- 17 NHL season ) is the second - best in the NHL , behind only the Montreal Canadiens ' 59.0 % . Additionally , the Flyers have the most appearances in the conference finals of all 24 expansion teams ( 16 appearances , winning 8 ) , and they are second behind the St. Louis Blues for the most playoff appearances out of all expansion teams ( 38 out of 49 seasons ) .   The Flyers have played their home games on Broad Street since their inception , first at the Spectrum from 1967 until 1996 , and then at the Wells Fargo Center from 1996 to the present .   The Flyers have had rivalries with several teams over the years . Historically , their biggest adversaries have been the New York Rangers , with an intense rivalry stretching back to the 1970s . They have also waged lengthy campaigns against the New York Islanders in the 70s and 80s , the Boston Bruins , a bruising battle especially in the 1970s , the Washington Capitals , which has always been intense since their days in the Patrick Division , as well as the New Jersey Devils , with whom they traded the Atlantic Division title every season between 1994 -- 95 and 2006 -- 07 , and finally they enjoy a spirited rivalry with their cross-state brethren , the Pittsburgh Penguins , which is considered to be the best rivalry in the league .   Contents  ( hide )   1 History   1.1 NHL in Philadelphia before 1967   1.2 1966 : Ed Snider brings hockey back to Philadelphia   1.3 1967 -- 1972 : Early days   1.4 1972 -- 1979 : Broad Street Bullies   1.4. 1 Back to back Stanley Cups     1.5 1979 -- 1989 : A new generation takes over   1.6 1989 -- 1997 : Rebuilding a winning team   1.7 1997 -- 2007 : From highs to lows   1.8 2007 -- 2014 : Multiple makeovers   1.9 2014 -- present : The Hextall era     2 Logo and Uniforms   2.1 Colors , name and logo   2.2 Jerseys   2.3 Short - lived additions     3 Players and personnel   3.1 Current roster   3.2 Team captains   3.3 Head coaches   3.4 General managers   3.5 Honored members   3.5. 1 Hall of Famers   3.5. 2 Retired numbers   3.5. 3 Flyers Hall of Fame       4 Team records   4.1 Season - by - season record   4.2 Statistical leaders   4.2. 1 Scoring   4.2. 2 Goaltending     4.3 Single season records   4.3. 1 Regular season   4.3. 2 Playoffs   4.3. 3 Team       5 Radio and television   6 See also   7 References   7.1 Footnotes     8 External links    History ( edit )   NHL in Philadelphia before 1967 ( edit )  1930 -- 31 Philadelphia Quakers team photo .  Prior to 1967 Philadelphia had only iced a team in the NHL for one season when the financially struggling Pittsburgh Pirates re-located there in 1930 and played as the Quakers at The Arena at 46th and Market Streets . The club , which like the Flyers was garbed in orange and black , was coached by J. Cooper Smeaton , who was be elected to the Hockey Hall of Fame 30 years later in his far more notable role as an NHL referee . Among the young Quakers ' skaters in 1930 -- 31 was another future Hall of Famer in 19 - year - old rookie center Syd Howe . The Quakers ' only `` claim to fame '' was to establish a single season NHL record for futility which has stood ever since by compiling a dismal record of 4 -- 36 -- 4 , still the fewest games ever won in a season by an NHL club . The Quakers quietly suspended operations after that single dreadful campaign to again leave the Can - Am League 's Philadelphia Arrows as Philadelphia 's lone hockey team . The Quakers ' dormant NHL franchise was finally canceled by the League in 1936 . )   In 1946 , a group led by Montreal and Philadelphia sportsman Len Peto announced plans to put another NHL team in Philadelphia , to build a $2.5 million rink to seat 20,000 where stood the old Baker Bowl and to acquire the franchise of the old Montreal Maroons . The latter was held by the Canadian Arena Company , owner of the Montreal Canadiens . Peto 's group , however , was unable to raise funding for the new arena project by the League - imposed deadline , and the NHL cancelled the Maroons franchise .   1966 : Ed Snider brings Hockey back to Philadelphia ( edit )   While attending a basketball game on November 29 , 1964 , at the Boston Garden , Ed Snider , the then - vice-president of the Philadelphia Eagles , observed a crowd of Boston Bruins fans lining up to purchase tickets to see a last - place ice hockey team . He began making plans for a new arena upon hearing the NHL was looking to expand due to fears of a competing league taking hold on the West Coast and the desire for a new television contract in the United States . Snider made his proposal to the League , which chose the Philadelphia group -- including Snider , Bill Putnam , Jerome Schiff and Philadelphia Eagles owner Jerry Wolman -- over the Baltimore group .   On April 4 , 1966 , Putnam announced a name - the - team contest . Details of the contest were released on July 12 . The team name was announced on August 3 .   1967 -- 1972 : early days ( edit )   The new teams were hampered by restrictive rules that kept all major talent with the `` Original Six '' teams . In the NHL Expansion Draft , most of the players available were either aging veterans or career minor - leaguers before expansion occurred . Among the Flyers ' 20 selections were Bernie Parent , Doug Favell , Bill Sutherland , Ed Van Impe , Joe Watson , Lou Angotti , Leon Rochefort and Gary Dornhoefer . Having purchased the minor - league Quebec Aces , the team had a distinctly francophone flavor in its early years , with Parent , Rochefort , Andre Lacroix , Serge Bernier , Jean - Guy Gendron , Simon Nolet and Rosaire Paiement among others . Beginning play in 1967 -- 68 , the Philadelphia Flyers made their debut on October 11 , 1967 , losing 5 -- 1 on the road to the California Seals . They won their first game a week later , defeating the St. Louis Blues on the road , 2 -- 1 . The Flyers made their home debut in front of a crowd of 7,812 , shutting out their intrastate rivals , the Pittsburgh Penguins , 1 -- 0 on October 19 . Lou Angotti was named the first captain in Flyers history , while Rochefort was the Flyers ' top goal scorer after netting a total of 21 goals . With all six expansion teams grouped into the same division , the Flyers were able to win the division with a sub -. 500 record despite being forced to play their last seven home games on the road due to a storm blowing parts of the Spectrum 's roof off . Playoff success , however , did not come so quickly , as the Flyers were upset by St. Louis in a first round , seven - game series .  Flyers founder Ed Snider was credited for bringing hockey back to Philadelphia .  Angotti left the team in the off - season and was replaced by Van Impe as team captain . Led by Van Impe and the team - leading 24 goals of Andre Lacroix , the Flyers struggled during their sophomore season by finishing 15 games under . 500 . Despite their poor regular season showing in 1968 -- 69 , they made the playoffs . They again lost to St. Louis , however , this time being dispatched in a four - game sweep . Not wanting his team to be physically outmatched again , majority owner Ed Snider instructed General Manager Bud Poile to acquire bigger , tougher players . While Head Coach Keith Allen soon after replaced Poile as GM , this mandate eventually led to one of the most feared teams to ever take the ice in the NHL . The keystone of those teams was acquired when the Flyers took a chance on a 19 - year - old diabetic from Flin Flon , Manitoba , Bobby Clarke , with their second draft pick , 17th overall , in the 1969 NHL Amateur Draft . Keeping to Snider 's mandate , the team also drafted future enforcer Dave Schultz 52nd overall .   By the time training camp came around , it was clear that Clarke was the team 's best player , and he quickly became a fan favorite . His 15 goals and 31 assists in his rookie season earned him a trip to the NHL All - Star Game . Despite his arrival , the team struggled in 1969 -- 70 , recording only 17 wins -- the fewest in franchise history ( as of completion of the 2012 -- 13 season -- and set the NHL team record for most ties ( 24 ) . They lost the tiebreaker for the final playoff spot to Oakland , missing the playoffs for the first time .   On December 11 , 1969 , the Flyers introduced what became one of the team 's best - known traditions : playing a recording of Kate Smith singing `` God Bless America '' instead of `` The Star - Spangled Banner '' before important games . The perception was that the team was more successful on these occasions , so the tradition grew . The move was initially done by Flyers Promotion Director Lou Scheinfeld as a way to defray national tensions at the time of the Vietnam War : Scheinfeld noticed that people regularly left their seats and walked around during the anthem , but showed more respect and often sang along to `` God Bless America . '' To this day , the team plays the song before major playoff games , currently with Lauren Hart , daughter of Hall of Fame Flyers broadcaster Gene Hart , performing the first part of the song , a recording of Smith singing the second part , and Lauren Hart joining the recording for the finale . As of the close of the 2016 -- 17 season , the Flyers have a record of 100 -- 29 -- 5 when `` God Bless America '' is sung prior to Flyers home games .   In 1970 -- 71 , the Flyers returned to the playoffs , but were swept by the Chicago Black Hawks in the first round . Even though the team had improved their record in his second season behind the bench , Head Coach Vic Stasiuk was replaced by Fred Shero in the off - season . Clarke continued to progress as he led the team in scoring in 1971 -- 72 and became the first Flyer to win an NHL award , the Bill Masterton Memorial Trophy for perseverance , sportsmanship and dedication to hockey . However , in the season 's final game , the Flyers needed a win or a tie against the second - year Buffalo Sabres to beat out Pittsburgh for the final playoff spot . The score was tied late in the game , but with just four seconds on the clock , former Flyer Gerry Meehan took a shot from just inside the blue line that eluded Flyers goaltender Doug Favell . The Flyers lost the tiebreaker to Pittsburgh and missed the playoffs . As it turned out , it was the last time the Flyers missed the playoffs for 18 years .   1972 -- 1979 : Broad Street Bullies ( edit )  See also : 1974 Stanley Cup Finals , 1975 Stanley Cup Finals , and 1976 Stanley Cup Finals `` Broad Street Bullies '' redirects here . For the documentary , see Broad Street Bullies ( film ) . Statue depicting Gary Dornhoefer 's overtime goal during the 1973 Stanley Cup playoffs .  It was during the 1972 -- 73 season that the Flyers shed the mediocre expansion team label and became the intimidating Broad Street Bullies , a nickname coined by Jack Chevalier and Pete Cafone of the Philadelphia Bulletin on January 3 , 1973 after a 3 -- 1 brawling victory over the Atlanta Flames that led Chevalier to write in his game account , `` The image of the fightin ' Flyers spreading gradually around the NHL , and people are dreaming up wild nicknames . They 're the Mean Machine , the Bullies of Broad Street and Freddy 's Philistines . '' Cafone wrote the accompanying headline , `` Broad Street Bullies Muscle Atlanta . '' That same month , Clarke was the youngest player ( at that time ) in NHL history to be named team captain , replacing Ed Van Impe . Rick MacLeish became the first Flyer to score 50 goals in a season and the Flyers recorded their first winning season . An overtime goal by Gary Dornhoefer in Game 5 turned the tide of their first round series with the Minnesota North Stars in the Flyers ' favor , as the Flyers got their first playoff series win in six games . They were outmatched in the semi-finals by the Montreal Canadiens , however , losing in five games . After the season , Clarke was awarded the Hart Memorial Trophy as the NHL 's Most Valuable Player .  Back to back Stanley cups ( edit )  Goaltender Bernie Parent returned to the franchise in the off - season , and the Flyers proved that the expansion teams could challenge the Original Six in 1973 -- 74 . The Bullies continued their rough - and - tumble ways , led by Dave Schultz 's 348 penalty minutes , and reached the top of the West Division with a record of 50 -- 16 -- 12 . The return of Parent proved to be of great benefit , as he established himself as one of if not the best goaltender in the League after winning 47 games , a record which stood for 33 years . Since the Flyers , along with Chicago , allowed the fewest goals in the League , Parent also shared the Vezina Trophy with Chicago 's Tony Esposito .  Bobby Clarke , pictured during the 1982 -- 83 season , was the leader of the Broad Street Bullies ; Clarke is widely acknowledged as being one of the greatest hockey players and captains of all time. .  Come playoff time , the Flyers swept the Atlanta Flames in four games in the first round . In the Semi-finals , the Flyers faced the New York Rangers . The series , which saw the home team win every game , went seven games . Fortunately for the Flyers , they had home - ice advantage as they advanced to the Stanley Cup Finals by winning Game 7 and in the process made history by becoming the first expansion team to win a playoff series over an Original Six team . Their opponent , Bobby Orr and the Boston Bruins , took Game 1 in Boston , but Bobby Clarke scored an overtime goal in Game 2 to even the series . The Flyers then won Games 3 and 4 at home to take a 3 -- 1 series lead , though Boston won Game 5 to stave off elimination . That set the stage for Game 6 at the Spectrum . The Flyers picked up the lead early when Rick MacLeish scored a first period goal . Late in the game , Orr hauled down Clarke on a breakaway , a penalty which assured the Flyers of victory . Time expired as the Flyers brought the Stanley Cup to Philadelphia for the first time . Parent , having shutout Boston in Game 6 , won the Conn Smythe Trophy as the Playoff MVP .   Throughout the 1973 -- 74 season , the Flyers often used a recording of Kate Smith singing `` God Bless America '' instead of the national anthem. Smith herself appeared before Game 6 to lead the crowd in the song , even miming a `` knockout punch '' after her performance .   In 1974 -- 75 , Dave Schultz topped his mark from the previous season by setting an NHL record for penalty minutes with 472 . Clarke 's efforts earned him his second Hart Trophy and Parent was the lone recipient of the Vezina Trophy . The Flyers as a team improved their record slightly with a mark of 51 -- 18 -- 11 , the best record in the NHL . After a first - round bye , the Flyers easily swept the Toronto Maple Leafs and were presented with another New York - area team in the Semi-finals . The Flyers looked to be headed toward another sweep against the New York Islanders after winning the first three games . The Islanders , however , fought back by winning the next three games , setting up a deciding seventh game . The Flyers were finally able to shut the door on the Islanders , winning Game 7 , 4 -- 1 .   Facing Buffalo in the Stanley Cup Finals , the Flyers won the first two games at home . Game 3 , played in Buffalo , went down in hockey lore as The Fog Game due to an unusual May heat wave in Buffalo that forced parts of the game to be played in heavy fog , as Buffalo 's arena lacked air conditioning . The Flyers lost Games 3 and 4 , but won Game 5 at home in dominating fashion , 5 -- 1 . On the road for Game 6 , Bob Kelly scored the decisive goal and Parent pitched another shutout ( a playoff record fifth shutout ) as the Flyers repeated as Stanley Cup champions . Parent also repeated as the playoff MVP , winning a second consecutive Conn Smythe Trophy .  Enforcer Dave Schultz , the most notorious Broad Street Bully , set the NHL record for most penalty minutes in a single season during the 1974 -- 75 season .  The highlight of the 1975 -- 76 season had no bearing on the season standings . On January 11 at the Spectrum , the Flyers , as part of the Super Series ' 76 , played a memorable exhibition game against the Soviet Union 's dominant Central Red Army team . As the Bullies had put intimidation to good use the past three years , the Flyers ' rugged style of play led the Soviets to leave the ice midway through the first period , protesting a hit on Valeri Kharlamov , whom Clarke had slashed on the ankle in the famous Summit Series ' 72 , by Ed Van Impe . After some delay , the Soviets returned after they were warned that they would lose their salary for the entire series . The Flyers went on to win the game rather easily , 4 -- 1 , and were the only team to defeat the Red Army outright in the series . After that win , the Spectrum became known as the `` most intimidating building to play in and has the most intimidating fans . '' Head Coach Fred Shero proclaimed , `` Yes we are world champions . If they had won , they would have been world champions . We beat the hell out of a machine . ''  Kate Smith singing `` God Bless America '' prior to big games became one of the best known traditions of the Flyers .  The Flyers recorded the best record in team history ( points-wise ) with a record of 51 -- 13 -- 16 . The LCB line , featuring Reggie Leach at right - wing , Clarke at center and Bill Barber at left - wing , set an NHL record for goals by a single line with 141 ( Leach 61 , Clarke 30 , Barber 50 ) . Clarke , on his way to a third Hart Trophy , set a club record for points in one season with 119 . Heading into the playoffs , the Flyers squeaked past Toronto in seven games and defeated Boston in five games , with Game 5 featuring a five - goal outburst by Leach , the `` Riverton Rifle , '' to head to a third - straight appearance in the Stanley Cup Finals . However , the Flyers did not come close to a third straight championship without an injured Bernie Parent , as they ran into an up - and - coming dynasty in Montreal , and were swept in four - straight games . Despite the loss , Leach was awarded the Conn Smythe Trophy for scoring a record 19 goals in 16 playoff games .   Dethroned , the heyday of the Broad Street Bullies began to come to an end , as prior to the 1976 -- 77 season , tough - guy Dave Schultz was traded to the Los Angeles Kings . Despite a slight drop - off in performance , the Flyers dominated the Patrick Division with what proved to be their fourth - straight division title . After disposing of Toronto in six games , the Flyers found themselves in the Semi-finals for the fifth consecutive season . Pitted against Boston , the Flyers lost Games 1 and 2 at home in overtime and did not return home as they were swept in four - straight games . The Flyers lost their hold on the Patrick Division in 1977 -- 78 and settled for second place . After sweeping the Colorado Rockies in two games in the preliminary round , the Flyers moved on to beat Buffalo in five games . They then faced Boston in the Semi-finals for the second consecutive season , and lost again , this time in five games . Following the season , the Flyers were stunned when Head Coach Shero left to become general manager and head coach of the Rangers . As compensation for Shero , the Flyers received the Rangers ' first - round draft pick in 1978 .   Bob McCammon , who had just coached the Flyers ' first year AHL Maine Mariners farm club to a Calder Cup title , replaced Fred Shero behind the bench . After a slow start in 1978 -- 79 , the Flyers switched McCammon with Pat Quinn , Shero 's previous assistant coach , who had replaced McCammon with the Mariners . Adding to the problems , Bernie Parent suffered a career - ending eye injury . The Flyers rallied under Quinn and finished in second place . Matched - up against the Vancouver Canucks in the preliminary round , the Flyers won the series in three games . The Flyers ' season came to an end against Fred Shero 's Rangers in a five - game Quarterfinal loss .   1979 -- 1989 : a New generation Takes over ( edit )  See also : 1980 Stanley Cup Finals , 1985 Stanley Cup Finals , and 1987 Stanley Cup Finals  The Flyers began the 1979 -- 80 season with a somewhat controversial move by naming Clarke a playing assistant coach and giving the captaincy to Mel Bridgman . While Clarke was against this initially , he accepted his new role . The Flyers went undefeated for a North American professional sports record 35 - straight games ( 25 -- 0 -- 10 ) , before losing 7 -- 1 to the Minnesota North Stars , a record that still stands to this day . The streak started after the team was 1 -- 1 on October 14 , and ended on January 7 , 1980 . In doing so , the Flyers wrapped up the Patrick Division title with 14 games to spare and the first overall seed in the playoffs . Their regular - season success continued into the playoffs , as the Flyers swept a young Wayne Gretzky and his Edmonton Oilers in the first round , then went on to get revenge against Fred `` The Fog '' Shero and his Rangers by beating them in five before disposing of Minnesota in five to lock up a berth in the Stanley Cup Finals . Facing the Islanders for the Cup , the Flyers ultimately lost in six games on Bob Nystrom 's overtime Cup - winning goal . The end result of the series was marred by controversy , as the Islanders were offside on the play that resulted in their second goal , but the call was not made . Linesman Leon Stickle admitted after the game that he had blown the call .  Pelle Lindbergh would win the Vezina after backstopping the Flyers to the 1985 Stanley Cup Finals , before his untimely death in a car accident early next season .  After the loss to the Islanders , the last of the Broad Street Bullies guard moved on . Gone were the likes of Leach , MacLeish , Dupont , Kelly , Jimmy Watson and finally Barber and Clarke in 1984 , and taking their spots over the next few seasons were young talent such as Brian Propp , Tim Kerr , Dave Poulin , Pelle Lindbergh and Mark Howe , who upon arrival instantly became the Flyers ' top defenseman for the next decade .   The Flyers made early playoff exits the next four years , including three first round exits in a row . After a tough , five - game preliminary round series win against the Quebec Nordiques , the team 's 1980 -- 81 season came to an end as they lost in the Quarterfinals to the Calgary Flames in seven games . They then lost to the Rangers two years in a row in 1981 -- 82 and 1982 -- 83 and then were swept by the Washington Capitals in 1983 -- 84 . It was after the latter of these playoff losses that Bobby Clarke retired and was named vice-president and general manager of the team .  Hall of Famer Mark Howe , shown here in 2012 , anchored the Flyers ' blue line in the 1980s .  Mike Keenan , a relative unknown at the time , was hired in 1984 to coach the team , and named second - year player Dave Poulin team captain . Behind the goaltending of Pelle Lindbergh ( who led the NHL with 40 wins and was the first European to win the Vezina Trophy ) , the Flyers won a franchise - record 53 games -- best in the League -- during the 1984 -- 85 season . The Flyers rolled through the playoffs by sweeping the Rangers in three games , defeating the Islanders in five and beating Quebec in six to return to the Stanley Cup Finals . Though they defeated the defending Stanley Cup champion Oilers in Game 1 by a score of 4 -- 1 at home , Edmonton won the next four games and the series . A month into the 1985 -- 86 season , Pelle Lindbergh was killed in a car accident . The team rallied and showed perseverance by garnering the best record in the Wales Conference and matching their win total ( 53 ) from the previous year . Tim Kerr scored 58 goals and the defense pairing of Howe and Brad McCrimmon led the League in plus - minus , a + 85 and a + 83 , respectively . Bob Froese filled in admirably in net for Lindbergh , being named a second Team All - Star and sharing the William M. Jennings Trophy with teammate Darren Jensen . Despite their regular season success , an emotionally - exhausted Flyers team lost in the first round of the playoffs to the Rangers in five games .   In 1986 , the Flyers were rejuvenated by the ascension of 22 - year - old goaltender Ron Hextall . In his rookie season , he became the third Flyers goaltender to win the Vezina Trophy , joining Parent and Lindbergh . With Hextall providing the critical stops at crucial times , the Flyers captured a third - straight Patrick Division title , and were able to gain revenge on the Rangers by beating them in six games , as well as surviving a tough seven - game test from a gritty Islanders club . The Flyers then defeated the defending Stanley Cup champion Canadiens in a fiery six game series ( notable for a famous bench - clearing brawl during the Game 6 warmup ) to win the Wales Conference and return to the Stanley Cup Finals . As was the case two seasons prior , the Flyers became decimated by injuries , the most significant of which was losing Kerr for the remainder of the playoffs . After falling behind three games to one in the Stanley Cup Finals , the Flyers rallied from a two - goal deficit on the road in Game 5 to extend the series , then won Game 6 at home with another late - game comeback . However , they could not overcome the odds a third time and eventually succumbed to the Oilers , 3 -- 1 , in Game 7 . Hextall was voted playoff MVP , the second time a Flyer won the Conn Smythe Trophy despite being on the losing team ( the other being another Manitoban , Reggie Leach , in 1976 ) .   The Flyers stumbled in 1987 -- 88 , finishing third in the Patrick Division ( after a first - place finish the previous three years ) . Hextall became the first NHL goaltender to score a goal by firing the puck into an empty net in a December 8 game against Boston . In their first round playoff series with Washington , the Flyers blew a 3 -- 1 series lead as Washington forced a Game 7 . They then blew a 3 -- 0 lead in Game 7 as Washington won in overtime 5 -- 4 . It was because of this playoff collapse that `` Iron Mike '' was fired . Paul Holmgren was named Keenan 's replacement , the first time a former Flyer was named the club 's head coach . Despite finishing at the . 500 mark in 1988 -- 89 , the Flyers made the playoffs for the 17th consecutive season . Facing first - place Washington in the first round , the Flyers pulled off the upset in six games . Ron Hextall managed to score another empty - net goal in the waning moments of Game 5 , becoming the first NHL goalie to score a goal in the playoffs . The Flyers then defeated Pittsburgh in seven games to make the Wales Conference Finals before bowing out to Montreal in six games . It was the Flyers ' last playoff appearance until 1995 .   1989 -- 1997 : rebuilding a winning team ( edit )  See also : 1997 Stanley Cup Finals  The 1989 -- 90 season got off to a bad start for the Flyers , and continued to get worse . Hextall missed all but eight games due to suspension , contract holdout issues and injury , the suspension given for attacking Chris Chelios at the end of the Montreal playoff series the previous spring . Holmgren replaced Dave Poulin as captain in December with Ron Sutter , which led to Poulin 's ( and later that season , Brian Propp 's ) trade to Boston . As a result , the Flyers missed the Stanley Cup playoffs for the first time since 1972 . Bob Clarke , having been with the Flyers organization since he was drafted in 1969 , was fired and replaced as GM by Russ Farwell ; Clarke resurfaced with the Minnesota North Stars . Hextall continued to be hampered by injuries during the 1990 -- 91 season . He only played in 36 games and as a result the Flyers missed the playoffs for the second consecutive year , finishing fifth in the Division and three points short of a playoff spot after a late - season collapse .   Prior to the 1991 -- 92 season , the Flyers acquired Rod Brind'Amour from St. Louis . Brind'Amour led the Flyers in goals ( 33 ) , assists ( 44 ) and points ( 77 ) in his first season with the club . With Ron Sutter gone to St. Louis in the Brind'Amour trade , Rick Tocchet was named team captain . As the Flyers continued to flounder , Paul Holmgren was fired midway through the season and replaced by Bill Dineen , father of Flyer Kevin Dineen . On February 19 , the Flyers and Pittsburgh made a major five - player deal which featured Tocchet -- who never grew comfortably into the role of captain -- heading to Pittsburgh and Mark Recchi coming to Philadelphia . Recchi recorded 27 points in his first 22 games as a Flyer , but the team missed the playoffs for the third consecutive year , due in large part to an awful road record ( 10 -- 26 -- 4 ) . With Tocchet traded , the Flyers remained without a captain until Kevin Dineen was named to the post in 1993 -- 94 , and instead went with three alternate captains .   In June 1992 , the Flyers persuaded Clarke to return to the team as senior vice president after Jay Snider won the hard fought arbitration battle for 1991 first overall pick Eric Lindros against the Rangers . It was determined that Quebec had made a deal with the Flyers before making a deal with the Rangers . In order to acquire Lindros ' rights , the Flyers parted with six players , trading Steve Duchesne , Peter Forsberg , Ron Hextall , Kerry Huffman , Mike Ricci , Chris Simon , a 1993 first - round draft pick ( Jocelyn Thibault ) , a 1994 first - round draft pick ( Nolan Baumgartner ) and $15 million to Quebec . While Lindros became a preeminent star in Philadelphia , the trade proved heavily lopsided in favor of the Nordiques -- soon to become the Colorado Avalanche -- providing the core of their two Stanley Cup teams and an unprecedented eight - straight division championships , with Forsberg becoming a franchise player .   The trio of Lindros , Recchi and Brent Fedyk formed the Crazy Eights line in Lindros ' first two years in the NHL , the eights being the player 's jersey numbers ( 88 , 8 and 18 respectively ) . In 1992 -- 93 , Recchi set the franchise record for points in a season with 123 ( 53 goals and 70 assists ) and Lindros scored 41 goals in 61 games . After struggling early , the Flyers made a run at the playoffs , but came four points short of the last spot . Head Coach Bill Dineen was fired at the season 's end , while Clarke left town again to become general manager of the expansion Florida Panthers .   For 1993 -- 94 , Terry Simpson was hired as the new head coach in hopes of returning the Flyers to the playoffs after four consecutive off - years . Recchi recorded 107 points ( 40 goals and 67 assists ) and Lindros 97 ( 44 goals and 53 assists ) , while Mikael Renberg set a Flyers rookie record with 82 points . Offense was generated yet th</t>
  </si>
  <si>
    <t xml:space="preserve">how did the philadelphia flyers get their name</t>
  </si>
  <si>
    <t xml:space="preserve"> On April 4 , 1966 , Putnam announced a name - the - team contest . Details of the contest were released on July 12 . The team name was announced on August 3 . </t>
  </si>
  <si>
    <t xml:space="preserve">SAT - wikipedia  SAT  Jump to : navigation , search This article is about the college admission test in the United States . For the exams in England colloquially known as SATs , see National Curriculum assessment . For other uses , see SAT ( disambiguation ) .      This article relies too much on references to primary sources . Please improve this by adding secondary or tertiary sources . ( May 2015 ) ( Learn how and when to remove this template message )     US SAT       Type   Paper - based standardized test     Developer / administrator   College Board , Educational Testing Service .     Knowledge / skills tested   Writing , critical reading , mathematics .     Purpose   Admission to undergraduate programs of universities or colleges .     Year started   1926 ( 1926 )     Duration   3 to 4 hours     Score / grade range   200 -- 800 ( in 10 - point increments ) on each of two sections ( total 400 -- 1600 ) . Essay scored on scale of 2 -- 8 , in 1 - point increments .     Offered   Seven times annually     Countries / regions   Worldwide     Languages   English     Annual number of test takers   Over 1.71 million high school graduates in the class of 2017     Prerequisites / eligibility criteria   No official prerequisite . Intended for high school students . Fluency in English assumed .     Fee   US $ 52.50 to US $101.50 , depending on country .     Scores / grades used by   Most universities and colleges offering undergraduate programs in the U.S.     Website   sat.collegeboard.org     The SAT ( / ˌɛs eɪ ˈtiː / es - ay - TEE ) is a standardized test widely used for college admissions in the United States . Introduced in 1926 , its name and scoring have changed several times ; originally called the Scholastic Aptitude Test , it was later called the Scholastic Assessment Test , then the SAT I : Reasoning Test , then the SAT Reasoning Test , and now , simply the SAT .   The SAT is owned , developed , and published by the College Board , a private , non-profit organization in the United States . It is administered on behalf of the College Board by the Educational Testing Service , which until recently developed the SAT as well . The test is intended to assess students ' readiness for college . The SAT was originally designed to not be aligned with high school curricula , but several adjustments were made for the version of the SAT introduced in 2016 , and College Board president , David Coleman , has said that he also wanted to make the test reflect more closely what students learned in high school .   On March 5 , 2014 , the College Board announced that a redesigned version of the SAT would be administered for the first time in 2016 . The current SAT , introduced in 2016 , takes three hours to finish , plus 50 minutes for the SAT with essay , and as of 2017 costs US $45 ( US $57 with the optional essay ) , excluding late fees , with additional processing fees if the SAT is taken outside the United States . Scores on the SAT range from 400 to 1600 , combining test results from two 800 - point sections : mathematics , and critical reading and writing . Taking the SAT , or its competitor , the ACT , is required for freshman entry to many , but not all , colleges and universities in the United States . Starting with the 2015 -- 16 school year , the College Board also announced it would team up with Khan Academy , a free , online education site to provide SAT prep , free of charge .     Contents  ( hide )   1 Function   2 Structure   2.1 Reading Test   2.2 Writing and Language Test   2.3 Mathematics   2.3. 1 Calculator use     2.4 Style of questions     3 Logistics   4 Raw scores , scaled scores , and percentiles   5 SAT - ACT score comparisons   6 History   6.1 1901 essay exams   6.2 1926 test   6.3 1928 and 1929 tests   6.4 1930 test and 1936 changes   6.5 1941 and 1942 score scales   6.6 1946 test and associated changes   6.7 1960s and 1970s score declines   6.8 1994 changes   6.9 1995 recentering ( raising mean score back to 500 )   6.10 1995 re-centering controversy   6.11 2002 changes -- Score Choice   6.12 2005 changes , including a new 2400 - point score   6.13 Scoring problems of October 2005 tests   6.14 2008 changes   6.15 2012 changes   6.16 2016 changes , including the return to a 1600 - point score     7 Name changes   8 Math -- verbal achievement gap   9 Reuse of old SAT exams   10 Perception   10.1 Association with culture   10.2 Association with family income   10.3 Association with gender   10.4 Association with race and ethnicity   10.5 Dropping SAT   10.6 IQ studies   10.7 Preparation   10.8 Use by high - IQ societies   10.9 Writing section     11 See also   12 References   13 Further reading   14 External links      Function ( edit )     Education in the United States       By state and in insular areas   By subject area   History of   Issues : Finance -- Law -- Literacy -- Reform   Levels : Primary -- Secondary -- Higher   Organizations       Education portal United States portal                 The SAT is typically taken by high school juniors and seniors . The College Board states that the SAT measures literacy , numeracy and writing skills that are needed for academic success in college . They state that the SAT assesses how well the test takers analyze and solve problems -- skills they learned in school that they will need in college . However , the test is administered under a tight time limit ( speeded ) to help produce a range of scores .   The College Board also states that use of the SAT in combination with high school grade point average ( GPA ) provides a better indicator of success in college than high school grades alone , as measured by college freshman GPA . Various studies conducted over the lifetime of the SAT show a statistically significant increase in correlation of high school grades and college freshman grades when the SAT is factored in . A large independent validity study on the SAT 's ability to predict college freshman GPA was performed by the University of California . The results of this study found how well various predictor variables could explain the variance in college freshman GPA . It found that independently high school GPA could explain 15.4 % of the variance in college freshman GPA , SAT I ( the SAT Math and Verbal sections ) could explain 13.3 % of the variance in college freshman GPA , and SAT II ( also known as the SAT subject tests ; in the UC 's case specifically Writing , Mathematics IC or IIC , plus a third subject test of the student 's choice ) could explain 16 % of the variance in college freshman GPA . When high school GPA and the SAT I were combined , they explained 20.8 % of the variance in college freshman GPA . When high school GPA and the SAT II were combined , they explained 22.2 % of the variance in college freshman GPA . When SAT I was added to the combination of high school GPA and SAT II , it added a . 1 percentage point increase in explaining the variance in college freshman GPA for a total of 22.3 % .   There are substantial differences in funding , curricula , grading , and difficulty among U.S. secondary schools due to U.S. federalism , local control , and the prevalence of private , distance , and home schooled students . SAT ( and ACT ) scores are intended to supplement the secondary school record and help admission officers put local data -- such as course work , grades , and class rank -- in a national perspective . However , independent research has shown that high school GPA is better than the SAT at predicting college grades regardless of high school type or quality .  This map of the United States shows the states in which ( blue color ) more seniors in the class of 2006 took the SAT than the ACT , and the states in which ( red color ) more seniors took the ACT than the SAT . This map of the United States shows the states in which ( blue color ) more seniors in the class of 2017 took the SAT than the ACT , and the states in which ( red color ) more seniors took the ACT than the SAT .  Historically , the SAT was more widely used by students living in coastal states and the ACT was more widely used by students in the Midwest and South ; in recent years , however , an increasing number of students on the East and West coasts have been taking the ACT . Since 2007 , all four - year colleges and universities in the United States that require a test as part of an application for admission will accept either the SAT or ACT , and over 950 four - year colleges and universities do not require any standardized test scores at all for admission .   Structure ( edit )   The SAT has four sections : Reading , Writing and Language , Math ( no calculator ) , and Math ( calculator allowed ) . The test taker may optionally write an essay which , in that case , is the fifth test section . The total time for the scored portion of the SAT is three hours ( or three hours and fifty minutes if the optional essay section is taken ) . Some test takers who are not taking the essay may also have a fifth section which is used , at least in part , for the pretesting of questions that may appear on future administrations of the SAT . ( These questions are not included in the computation of the SAT score . ) Two section scores result from taking the SAT : Evidence - Based Reading and Writing , and Math . Section scores are reported on a scale of 200 to 800 , and each section score is a multiple of ten . A total score for the SAT is calculated by adding the two section scores , resulting in total scores that range from 400 to 1600 . There is no penalty for guessing on the SAT : scores are based on the number of questions answered correctly . In addition to the two section scores , three `` test '' scores on a scale of 10 to 40 are reported , one for each of Reading , Writing and Language , and Math . The essay , if taken , is scored separately from the two section scores .   Reading test ( edit )   The Reading Test of the SAT is made up of one section with 52 questions and a time limit of 65 minutes . All questions are multiple - choice and based on reading passages . Tables , graphs , and charts may accompany some passages , but no math is required to correctly answer the corresponding questions . There are five passages ( up to two of which may be a pair of smaller passages ) on the Reading Test and 10 - 11 questions per passage or passage pair . SAT Reading passages draw from three main fields : history , social studies , and science . Each SAT Reading Test always includes : one passage from U.S. or world literature ; one passage from either a U.S. founding document or a related text ; one passage about economics , psychology , sociology , or another social science ; and , two science passages . Answers to all of the questions are based only on the content stated in or implied by the passage or passage pair .   Writing and Language test ( edit )   The Writing and Language Test of the SAT is made up of one section with 44 multiple - choice questions and a time limit of 35 minutes . As with the Reading Test , all questions are based on reading passages which may be accompanied by tables , graphs , and charts . The test taker will be asked to read the passages , find mistakes or weaknesses in writing , and to provide corrections or improvements . Reading passages on this test range in content from topic arguments to nonfiction narratives in a variety of subjects . The skills being evaluated include : increasing the clarity of argument ; improving word choice ; improving analysis of topics in social studies and science ; changing sentence or word structure to increase organizational quality and impact of writing ; and , fixing or improving sentence structure , word usage , and punctuation .   Mathematics ( edit )  An example of an SAT `` grid - in '' math question and the correctly gridded answer .  The mathematics portion of the SAT is divided into two sections : Math Test -- Calculator and Math Test -- No Calculator . In total , the SAT math test is 80 minutes long and includes 58 questions : 45 multiple choice questions and 13 grid - in questions . The multiple choice questions have four possible answers ; the grid - in questions are free response and require the test taker to provide an answer .    The Math Test -- No Calculator section has 20 questions ( 15 multiple choice and 5 grid - in ) and lasts 25 minutes .   The Math Test -- Calculator section has 38 questions ( 30 multiple choice and 8 grid - in ) and lasts 55 minutes .    Several scores are provided to the test taker for the math test . A subscore ( on a scale of 1 to 15 ) is reported for each of three categories of math content : `` Heart of Algebra '' ( linear equations , systems of linear equations , and linear functions ) , `` Problem Solving and Data Analysis '' ( statistics , modeling , and problem - solving skills ) , and `` Passport to Advanced Math '' ( non-linear expressions , radicals , exponentials and other topics that form the basis of more advanced math ) . A test score for the math test is reported on a scale of 10 to 40 , and a section score ( equal to the test score multiplied by 20 ) is reported on a scale of 200 to 800 .  Calculator use ( edit )  All scientific and most graphing calculators , including Computer Algebra System ( CAS ) calculators , are permitted on the SAT Math -- Calculator section only . All four - function calculators are allowed as well ; however , these devices are not recommended . All mobile phone and smartphone calculators , calculators with typewriter - like ( QWERTY ) keyboards , laptops and other portable computers , and calculators capable of accessing the Internet are not permitted .   Research was conducted by the College Board to study the effect of calculator use on SAT I : Reasoning Test math scores . The study found that performance on the math section was associated with the extent of calculator use : those using calculators on about one third to one half of the items averaged higher scores than those using calculators more or less frequently . However , the effect was `` more likely to have been the result of able students using calculators differently than less able students rather than calculator use per se . '' There is some evidence to suggest that the frequent use of a calculator in school outside of the testing situation has a positive effect on test performance compared to those who do not use calculators in school .   Style of questions ( edit )   Most of the questions on the SAT , except for the optional essay and the grid - in math responses , are multiple choice ; all multiple - choice questions have four answer choices , one of which is correct . Thirteen of the questions on the math portion of the SAT ( about 22 % of all the math questions ) are not multiple choice . They instead require the test taker to bubble in a number in a four - column grid .   All questions on each section of the SAT are weighted equally . For each correct answer , one raw point is added . No points are deducted for incorrect answers . The final score is derived from the raw score ; the precise conversion chart varies between test administrations .     Section   Average Score   Time ( Minutes )   Content     Mathematics   527   80   Number and operations ; algebra and functions ; geometry ; statistics , probability , and data analysis     Evidence - Based Reading and Writing   533   100   Vocabulary , Critical reading , sentence - level reading , Grammar , usage , and diction .     Logistics ( edit )   The SAT is offered seven times a year in the United States : in August , October , November , December , March , May , and June . The test is typically offered on the first Saturday of the month for the October , November , December , May , and June administrations . In other countries , the SAT is offered four times a year : in October , December , March , and May . The test was taken by 1,715,481 high school graduates in the class of 2017 .   Candidates wishing to take the test may register online at the College Board 's website , by mail , or by telephone , at least three weeks before the test date .   The SAT costs $45 ( $57 with the optional essay ) , plus additional fees if testing outside the United States ) as of 2017 . The College Board makes fee waivers available for low income students . Additional fees apply for late registration , standby testing , registration changes , scores by telephone , and extra score reports ( beyond the four provided for free ) .   Candidates whose religious beliefs prevent them from taking the test on a Saturday may request to take the test on the following day , except for the October test date in which the Sunday test date is eight days after the main test offering . Such requests must be made at the time of registration and are subject to denial .   Students with verifiable disabilities , including physical and learning disabilities , are eligible to take the SAT with accommodations . The standard time increase for students requiring additional time due to learning disabilities or physical handicaps is time + 50 % ; time + 100 % is also offered .   Raw scores , scaled scores , and percentiles ( edit )   Students receive their online score reports approximately three weeks after test administration ( six weeks for mailed , paper scores ) , with each section graded on a scale of 200 -- 800 and two sub scores for the writing section : the essay score and the multiple choice sub score . In addition to their score , students receive their percentile ( the percentage of other test takers with lower scores ) . The raw score , or the number of points gained from correct answers and lost from incorrect answers is also included . Students may also receive , for an additional fee , the Question and Answer Service , which provides the student 's answer , the correct answer to each question , and online resources explaining each question .   The corresponding percentile of each scaled score varies from test to test -- for example , in 2003 , a scaled score of 800 in both sections of the SAT Reasoning Test corresponded to a percentile of 99.9 , while a scaled score of 800 in the SAT Physics Test corresponded to the 94th percentile . The differences in what scores mean with regard to percentiles are due to the content of the exam and the caliber of students choosing to take each exam . Subject Tests are subject to intensive study ( often in the form of an AP , which is relatively more difficult ) , and only those who know they will perform well tend to take these tests , creating a skewed distribution of scores .   The percentiles that various SAT scores for college - bound seniors correspond to are summarized in the following chart :     Percentile   Score , 1600 Scale ( official , 2006 )   Score , 2400 Scale ( official , 2006 )     99.93 / 99.98 *   1600   2400     99 + * *   ≥ 1540   ≥ 2280     99   ≥ 1480   ≥ 2200     98   ≥ 1450   ≥ 2140     97   ≥ 1420   ≥ 2100     93   ≥ 1340   ≥ 1990     88   ≥ 1280   ≥ 1900     81   ≥ 1220   ≥ 1800     72   ≥ 1150   ≥ 1700     61   ≥ 1090   ≥ 1600     48   ≥ 1010   ≥ 1500     36   ≥ 950   ≥ 1400     24   ≥ 870   ≥ 1300     15   ≥ 810   ≥ 1200     8   ≥ 730   ≥ 1090       ≥ 650   ≥ 990       ≥ 590   ≥ 890     * The percentile of the perfect score was 99.98 on the 2400 scale and 99.93 on the 1600 scale .     * * 99 + means better than 99.5 percent of test takers .     The older SAT ( before 1995 ) had a very high ceiling . In any given year , only seven of the million test - takers scored above 1580 . A score above 1580 was equivalent to the 99.9995 percentile .   In 2015 the average score for the Class of 2015 was 1490 out of a maximum 2400 . That was down 7 points from the previous class 's mark and was the lowest composite score of the past decade .   SAT - ACT score comparisons ( edit )   The College Board and ACT , Inc. conducted a joint study of students who took both the SAT and the ACT between September 2004 ( for the ACT ) or March 2005 ( for the SAT ) and June 2006 . Tables were provided to concord scores for students taking the SAT after January 2005 and before March 2016 .   In May , 2016 , the College Board released concordance tables to concord scores on the SAT used from March 2005 through January 2016 to the SAT used since March 2016 , as well as tables to concord scores on the SAT used since March 2016 to the ACT .   History ( edit )   Mean SAT Scores by year   Year of exam   Reading / Verbal Score   Math Score     1972   530   509     1973   523   506       521   505       512   498     1976   509   497     1977   507   496     1978   507   494     1979   505   493     1980   502   492     1981   502   492     1982   504   493       503   494     1984   504   497     1985   509   500     1986   509   500       507   501       505   501       504   502       500   501     1991   499   500       500   501       500   503       499   504     1995   504   506       505   508       505   511     1998   505   512     1999   505   511     2000   505   514       506   514     2002   504   516     2003   507   519       508   518     2005   508   520     2006   503   518     2007   502   515     2008   502   515     2009   501   515       501   516     2011   497   514     2012   496   514     2013   496   514     2014   497   513     2015   495   511     2016   494   508     2017   533   527    Historical average SAT scores of college - bound seniors .  Many college entrance exams in the early 1900s were specific to each school and required candidates to travel to the school to take the tests . The College Board , a consortium of colleges in the northeastern United States , was formed in 1900 to establish a nationally administered , uniform set of essay tests based on the curricula of the boarding schools that typically provided graduates to the colleges of the Ivy League and Seven Sisters , among others .   In the same time period , Lewis Terman and others began to promote the use of tests such as Alfred Binet 's in American schools . Terman in particular thought that such tests could identify an innate `` intelligence quotient '' ( IQ ) in a person . The results of an IQ test could then be used to find an elite group of students who would be given the chance to finish high school and go on to college . By the mid-1920s , the increasing use of IQ tests , such as the Army Alpha test administered to recruits in World War I , led the College Board to commission the development of the SAT . The commission , headed by Carl Brigham , argued that the test predicted success in higher education by identifying candidates primarily on the basis of intellectual promise rather than on specific accomplishment in high school subjects . In 1934 , James Conant and Henry Chauncey used the SAT as a means to identify recipients for scholarships to Harvard University . Specifically , Conant wanted to find students , other than those from the traditional northeastern private schools , that could do well at Harvard . The success of the scholarship program and the advent of World War II led to the end of the College Board essay exams and to the SAT being used as the only admissions test for College Board member colleges .   The SAT rose in prominence after World War II due to several factors . Machine - based scoring of multiple - choice tests taken by pencil had made it possible to rapidly process the exams . The G.I. Bill produced an influx of millions of veterans into higher education . The formation of the Educational Testing Service ( ETS ) also played a significant role in the expansion of the SAT beyond the roughly fifty colleges that made up the College Board at the time . The ETS was formed in 1947 by the College Board , Carnegie Foundation for the Advancement of Teaching , and the American Council on Education , to consolidate respectively the operations of the SAT , the GRE , and the achievement tests developed by Ben Wood for use with Conant 's scholarship exams . The new organization was to be philosophically grounded in the concepts of open - minded , scientific research in testing with no doctrine to sell and with an eye toward public service . The ETS was chartered after the death of Brigham , who had opposed the creation of such an entity . Brigham felt that the interests of a consolidated testing agency would be more aligned with sales or marketing than with research into the science of testing . It has been argued that the interest of the ETS in expanding the SAT in order to support its operations aligned with the desire of public college and university faculties to have smaller , diversified , and more academic student bodies as a means to increase research activities . In 1951 , about 80,000 SATs were taken ; in 1961 , about 800,000 ; and by 1971 , about 1.5 million SATs were being taken each year .   A timeline of notable events in the history of the SAT follows .   1901 essay exams ( edit )   On June 17 , 1901 , the first exams of the College Board were administered to 973 students across 67 locations in the United States , and two in Europe . Although those taking the test came from a variety of backgrounds , approximately one third were from New York , New Jersey , or Pennsylvania . The majority of those taking the test were from private schools , academies , or endowed schools . About 60 % of those taking the test applied to Columbia University . The test contained sections on English , French , German , Latin , Greek , history , mathematics , chemistry , and physics . The test was not multiple choice , but instead was evaluated based on essay responses as `` excellent '' , `` good '' , `` doubtful '' , `` poor '' or `` very poor '' .   1926 test ( edit )   The first administration of the SAT occurred on June 23 , 1926 , when it was known as the Scholastic Aptitude Test . This test , prepared by a committee headed by Princeton psychologist Carl Campbell Brigham , had sections of definitions , arithmetic , classification , artificial language , antonyms , number series , analogies , logical inference , and paragraph reading . It was administered to over 8,000 students at over 300 test centers . Men composed 60 % of the test - takers . Slightly over a quarter of males and females applied to Yale University and Smith College . The test was paced rather quickly , test - takers being given only a little over 90 minutes to answer 315 questions . The raw score of each participating student was converted to a score scale with a mean of 500 and a standard deviation of 100 . This scale was effectively equivalent to a 200 to 800 scale , although students could score more than 800 and less than 200 .   1928 and 1929 tests ( edit )   In 1928 , the number of sections on the SAT was reduced to seven , and the time limit was increased to slightly under two hours . In 1929 , the number of sections was again reduced , this time to six . These changes were designed in part to give test - takers more time per question . For these two years , all of the sections tested verbal ability : math was eliminated entirely from the SAT .   1930 test and 1936 changes ( edit )   In 1930 the SAT was first split into the verbal and math sections , a structure that would continue through 2004 . The verbal section of the 1930 test covered a more narrow range of content than its predecessors , examining only antonyms , double definitions ( somewhat similar to sentence completions ) , and paragraph reading . In 1936 , analogies were re-added . Between 1936 and 1946 , students had between 80 and 115 minutes to answer 250 verbal questions ( over a third of which were on antonyms ) . The mathematics test introduced in 1930 contained 100 free response questions to be answered in 80 minutes , and focused primarily on speed . From 1936 to 1941 , like the 1928 and 1929 tests , the mathematics section was eliminated entirely . When the mathematics portion of the test was re-added in 1942 , it consisted of multiple choice questions .   1941 and 1942 score Scales ( edit )   Until 1941 , the scores on all SATs had been scaled to a mean of 500 with a standard deviation of 100 . Although one test - taker could be compared to another for a given test date , comparisons from one year to another could not be made . For example , a score of 500 achieved on an SAT taken in one year could reflect a different ability level than a score of 500 achieved in another year . By 1940 , it had become clear that setting the mean SAT score to 500 every year was unfair to those students who happened to take the SAT with a group of higher average ability .   In order to make cross-year score comparisons possible , in April 1941 the SAT verbal section was scaled to a mean of 500 , and a standard deviation of 100 , and the June 1941 SAT verbal section was equated ( linked ) to the April 1941 test . All SAT verbal sections after 1941 were equated to previous tests so that the same scores on different SATs would be comparable . Similarly , in June 1942 the SAT math section was equated to the April 1942 math section , which itself was linked to the 1942 SAT verbal section , and all SAT math sections after 1942 would be equated to previous tests . From this point forward , SAT mean scores could change over time , depending on the average ability of the group taking the test compared to the roughly 10,600 students taking the SAT in April 1941 . The 1941 and 1942 score scales would remain in use until 1995 .   1946 test and associated changes ( edit )   Paragraph reading was eliminated from the verbal portion of the SAT in 1946 , and replaced with reading comprehension , and `` double definition '' questions were replaced with sentence completions . Between 1946 and 1957 students were given 90 to 100 minutes to complete 107 to 170 verbal questions . Starting in 1958 time limits became more stable , and for 17 years , until 1975 , students had 75 minutes to answer 90 questions . In 1959 questions on data sufficiency were introduced to the mathematics section , and then replaced with quantitative comparisons in 1974 . In 1974 both verbal and math sections were reduced from 75 minutes to 60 minutes each , with changes in test composition compensating for the decreased time .   1960s and 1970s score declines ( edit )   From 1926 to 1941 , scores on the SAT were scaled to make 500 the mean score on each section . In 1941 and 1942 , SAT scores were standardized via test equating , and as a consequence , average verbal and math scores could vary from that time forward . In 1952 , mean verbal and math scores were 476 and 494 , respectively , and scores were generally stable in the 1950s and early 1960s . However , starting in the mid-1960s and continuing until the early 1980s , SAT scores declined : the average verbal score dropped by about 50 points , and the average math score fell by about 30 points . By the late 1970s , only the upper third of test takers were doing as well as the upper half of those taking the SAT in 1963 . From 1961 to 1977 , the number of SATs taken per year doubled , suggesting that the decline could be explained by demographic changes in the group of students taking the SAT . Commissioned by the College Board , an independent study of the decline found that most ( up to about 75 % ) of the test decline in the 1960s could be explained by compositional changes in the group of students taking the test ; however , only about 25 percent of the 1970s decrease in test scores could similarly be explained . Later analyses suggested that up to 40 percent of the 1970s decline in scores could be explained by demographic changes , leaving unknown at least some of the reasons for the decline .   1994 changes ( edit )   In early 1994 , substantial changes were made to the SAT . Antonyms were removed from the verbal section in order to make rote memorization of vocabulary less useful . Also , the fraction of verbal questions devoted to passage - based reading material was increased from about 30 % to about 50 % , and the passages were chosen to be more like typical college - level reading material , compared to previous SAT reading passages . The changes for increased emphasis on analytical reading were made in response to a 1990 report issued by a commission established by the College Board . The commission recommended that the SAT should , among other things , `` approximate more closely the skills used in college and high school work '' . A mandatory essay had been considered as well for the new version of the SAT ; however , criticism from minority groups as well as a concomitant increase in the cost of the test necessary to grade the essay led the College Board to d</t>
  </si>
  <si>
    <t xml:space="preserve">when did the sat scores change from 1600 to 2400</t>
  </si>
  <si>
    <t xml:space="preserve"> In 2005 , the test was changed again , largely in response to criticism by the University of California system . In order to have the SAT more closely reflect high school curricula , certain types of questions were eliminated : analogies from the verbal section and quantitative comparison items from the math section . A new writing section , with an essay , based on the former SAT II Writing Subject Test , was added , in part to increase the chances of closing the opening gap between the highest and midrange scores . Other factors included the desire to test the writing ability of each student ; hence the essay . The essay section added an additional maximum 800 points to the score , which increased the new maximum score to 2400 . The `` New SAT '' was first offered on March 12 , 2005 , after the last administration of the `` old '' SAT in January 2005 . The mathematics section was expanded to cover three years of high school mathematics . To emphasize the importance of reading , the verbal section 's name was changed to the Critical Reading section . </t>
  </si>
  <si>
    <r>
      <rPr>
        <sz val="11"/>
        <color rgb="FF000000"/>
        <rFont val="Calibri"/>
        <family val="0"/>
        <charset val="1"/>
      </rPr>
      <t xml:space="preserve">Stuck in the Middle ( tv series ) - wikipedia  Stuck in the Middle ( tv series )  Jump to : navigation , search    Stuck in the Middle         Genre   Comedy     Created by   Alison Brown     Developed by     Alison Brown   Linda Videtti Figueiredo       Starring     Jenna Ortega   Ronni Hawk   Isaak Presley   Ariana Greenblatt   Kayla Maisonet   Nicolas Bechtel   Malachi Barton   Cerina Vincent   Joe Nieves       Theme music composer     Shridhar Solanki   Sidh Solanki   Maria Christensen       Opening theme   `` Stuck with You '' by Sonus     Composer ( s )   Kenneth Burgomaster     Country of origin   United States     Original language ( s )   English     No. of seasons       No. of episodes   37 ( list of episodes )     Production     Executive producer ( s )   Linda Videtti Figueiredo     Camera setup   Single - camera     Running time   22 minutes     Production company ( s )     International Donut Fund Productions   Horizon Productions       Release     Original network   Disney Channel     Picture format   720p ( HDTV )     First shown in   United States     Original release   February 14 , 2016 ( 2016 - 02 - 14 ) -- present     External links     Website   disneychannel.disney.com/stuck-in-the-middle     Stuck in the Middle is an American comedy television series created by Alison Brown that premiered on Disney Channel on February 14 , 2016 . The series stars Jenna Ortega , Ronni Hawk , Isaak Presley , Ariana Greenblatt , Kayla Maisonet , Nicolas Bechtel , Malachi Barton , Cerina Vincent , and Joe Nieves . In addition to the series ' regular episodes , the series also aired six shorts on December 16 , 2016 .     Contents  ( hide )   1 Plot   2 Characters   2.1 Main   2.2 Recurring   2.3 Notes     3 Production   4 Episodes   5 Ratings   6 Awards and nominations   7 Broadcast   8 References   9 External links      Plot ( edit )   Set in Massachusetts , in the fictional town of Marshport , the series tells the story of the Diaz family , specifically focusing on Harley , the middle of the seven children . Harley makes her way using her creativity to deal with living in a large family .   Characters ( edit )   Main ( edit )    Harley Diaz ( Jenna Ortega ) is the middle of seven children and a young engineering prodigy . She is the central character in the series and views herself as an inventor . Some of her known inventions are the Conveyor Belt Table , the Slushinator , the Skate Kite , and a snow machine . In `` Stuck in the Sweet Seat '' , it is revealed it is her 13th birthday . A significant feature is that she tends to break the fourth wall to tell the viewers something about the situation .   Rachel Diaz ( Ronni Hawk ) is the oldest of the seven children and Harley 's vain older sister . In `` Stuck with No Rules '' , it is revealed that she is 16 .   Ethan Diaz ( Isaak Presley ) is Harley 's oldest brother and her partner - in - crime ; she refers to him as her `` best friend in the family '' . He is an aspiring musician . In `` Stuck in the Sweet Seat '' , it is implied that he is the third oldest of the seven , behind Rachel and Georgie .   Daphne Diaz ( Ariana Greenblatt ) is the youngest of the seven children and Harley 's younger sister . She enjoys having tea time with her dolls . In `` Stuck with No Rules '' , it is revealed that Daphne can easily retaliate against anyone who takes things from her without getting her approval first .   Georgie Diaz ( Kayla Maisonet ) is one of Harley 's older sisters and the second oldest of the seven as implied in `` Stuck in the Sweet Seat '' . She is a basketball player at her school and does an assortment of other sports as well .   Lewie Diaz ( Nicolas Bechtel ) is one of Harley 's two younger brothers and Beast 's twin . It is revealed in `` Stuck in the Beast - Day Party '' that Lewie is older than Beast by five minutes .   Beast Diaz ( Malachi Barton ) is one of Harley 's two younger brothers and Lewie 's twin .   Suzy Diaz ( Cerina Vincent ) is Harley 's quirky mother who rarely has any alone time from her children and tends to spend it in the most unlikely places .   Tom Diaz ( Joe Nieves ) is Harley 's father who operates a marina store , called `` Tom 's Bait and Bite '' , which sells camping and fishing equipment .    Recurring ( edit )    Bethany Peters ( Lauren Pritchard ) is a neighbor of the Diaz family who regularly criticizes Suzy and Tom 's parenting of their children and is often annoyed with the antics of Lewie and Beast . She is a protective mother to her daughter Ellie whom she never lets have any fun as seen in `` Stuck in the Block Party '' .   Ellie Peters ( Lulu Lambros ) is Bethany 's daughter and Harley 's best friend . She is on the same basketball team as Georgie . In `` Stuck in Harley 's Comet '' , it is revealed that Ellie is afraid of heights , darkness , and birds . In `` Stuck with a Bad Influence , '' Ellie is sent to a boarding school by her mother .   Cuff ( Brett Pierce ) is an irresponsible teenager who is Rachel 's boyfriend and is disliked by Tom . When Cuff works briefly at `` Tom 's Bait and Bite '' in `` Stuck with My Sister 's Boyfriend '' , his real first name is revealed to be Warren . He has only appeared in the first season .    Notes ( edit )    ^ Jump up to : Malachi Barton is credited before Nicolas Bechtel in the Stuck in the Middle pilot episode , but Bechtel is credited before Barton in all subsequent episodes starting with `` Stuck in the Sweet Seat '' .    Production ( edit )   Production on the series began in November 2015 . A preview of Stuck in the Middle aired on Disney Channel on February 14 , 2016 . Additional episodes began airing on March 11 , 2016 .   Disney Channel renewed Stuck in the Middle for a second season on June 15 , 2016 . The second season premiered on February 3 , 2017 . The series was renewed for a third season by Disney Channel on August 31 , 2017 .   Episodes ( edit )  Main article : List of Stuck in the Middle episodes    Season   Episodes   Originally aired     First aired   Last aired         17   February 14 , 2016 ( 2016 - 02 - 14 )   July 22 , 2016 ( 2016 - 07 - 22 )         TBA   February 3 , 2017 ( 2017 - 02 - 03 )   TBA         TBA   December 8 , 2017 ( 2017 - 12 - 08 )   TBA     Ratings ( edit )     Season   Episodes   First aired   Last aired   Avg . viewers ( millions )     Date   Viewers ( millions )   Date   Viewers ( millions )       17   February 14 , 2016 ( 2016 - 02 - 14 )   2.81   July 22 , 2016 ( 2016 - 07 - 22 )   2.06   1.60       20   February 3 , 2017 ( 2017 - 02 - 03 )   2.13   TBA   TBD   1.19       TBA   December 8 , 2017 ( 2017 - 12 - 08 )   TBD   TBA   TBD   TBD     Awards and nominations ( edit )     Year   Award     Result   Ref .     2017   Kids ' Choice Awards Mexico   Favorite International Program   Nominated       Kids ' Choice Awards Colombia   Favorite International Program   Nominated       Kids ' Choice Awards Argentina   Favorite International Program   Nominated       Broadcast ( edit )   The series first premiered 15 minutes before the first airing in the U.S. on Disney Channel in Canada as a special on February 14 , 2016 . The series premiered on Watch Disney Channel and Disney Channel on Demand on February 15 , 2016 . The series began airing regularly on March 11 , 2016 , airing at the same time as the United States .   References ( edit )    Jump up ^ Nivea Serrao ( February 12 , 2016 ) . `` Meet the Diaz Family from Disney Channel 's Stuck in the Middle '' . TV Insider . Retrieved March 21 , 2016 .   Jump up ^ Elizabeth Wagmeister ( September 4 , 2015 ) . `` Disney Channel Orders Latino Family Sitcom Toplined by Jane the Virgin Star '' . Variety . Retrieved June 15 , 2016 .   Jump up ^ Linda Ge ( January 15 , 2016 ) . `` Disney Channel Sets Premiere Date for Stuck in the Middle '' . The Wrap . Retrieved June 15 , 2016 .   Jump up ^ Denise Petski ( June 15 , 2016 ) . `` Disney Channel 's Stuck in the Middle Renewed for Season 2 '' . Deadline . Retrieved June 15 , 2016 .   Jump up ^ Denise Petski ( August 31 , 2017 ) . `` Stuck in the Middle , Bunk 'd &amp; Walk the Prank Renewed for Season 3 by Disney '' . Deadline . Retrieved August 31 , 2017 .   Jump up ^ Mitch Metcalf ( February 17 , 2016 ) . `` Top 150 Sunday Cable Originals : 2.14. 2016 '' . Showbuzz Daily . Retrieved February 17 , 2016 .   Jump up ^ Mitch Metcalf ( July 25 , 2016 ) . `` Top 150 Friday Cable Originals : 7.22. 2016 '' . Showbuzz Daily . Retrieved July 25 , 2016 .   Jump up ^ Mitch Metcalf ( February 6 , 2017 ) . `` Top 150 Friday Cable Originals : 2.3. 2017 '' . Showbuzz Daily . Retrieved February 6 , 2017 .   Jump up ^ `` Nominados para los Kids ' Choice Awards México 2017 '' . publimetro.com.mx ( in Spanish ) . Retrieved 21 October 2017 .   Jump up ^ `` Estos son los nominados para los Kids ' Choice Awards Colombia 2017 '' . 90minutos.co ( in Spanish ) . Retrieved 21 October 2017 .   Jump up ^ `` Estos son todos los nominados a los Kid 's Choice Awards Argentina 2017 '' . mundotkm.com ( in Spanish ) . Retrieved 21 October 2017 .   Jump up ^ `` Quick - Witted Tween Uses Her Inventions to Navigate Life in the Comedy Series Stuck in the Middle on a Preview Episode on Disney Channel on Sunday , February 14 , 2016 '' . Corus Entertainment . January 15 , 2016 . Retrieved March 11 , 2016 .    External links ( edit )    Stuck in the Middle on IMDb      ( hide )         Disney Channel original programming     Former      1990s debuts     Flash Forward ( 1995 -- 97 )   The Famous Jett Jackson ( 1998 -- 2001 )   So Weird ( 1999 -- 2001 )   The Jersey ( 1999 -- 2004 )       2000s debuts     Totally Circus ( 2000 )   Even Stevens ( 2000 -- 03 )   In a Heartbeat ( 2000 -- 01 )   Totally Hoops ( 2001 )   Lizzie McGuire ( 2001 -- 04 )   The Proud Family ( 2001 -- 05 )   Kim Possible ( 2002 -- 07 )   Totally in Tune ( 2002 )   That 's So Raven ( 2003 -- 07 )   Lilo &amp; Stitch : The Series ( 2003 -- 06 )   Phil of the Future ( 2004 -- 06 )   Dave the Barbarian ( 2004 -- 05 )   Brandy &amp; Mr. Whiskers ( 2004 -- 06 )   American Dragon : Jake Long ( 2005 -- 07 )   The Suite Life of Zack &amp; Cody ( 2005 -- 08 )   The Buzz on Maggie ( 2005 -- 06 )   The Emperor 's New School ( 2006 -- 08 )   Hannah Montana ( 2006 -- 11 )   Disney Channel Games ( 2006 -- 11 )   The Replacements ( 2006 -- 09 )   Shorty McShorts ' Shorts ( 2006 -- 07 )   Cory in the House ( 2007 -- 08 )   Phineas and Ferb ( 2007 -- 15 )   Wizards of Waverly Place ( 2007 -- 12 )   The Suite Life on Deck ( 2008 -- 11 )   Stitch ! ( 2008 -- 15 )   Sonny with a Chance ( 2009 -- 11 )   Jonas ( 2009 -- 10 )       2010s debuts     Good Luck Charlie ( 2010 -- 14 )   Fish Hooks ( 2010 -- 14 )   Shake It Up ( 2010 -- 13 )   A.N.T. Farm ( 2011 -- 14 )   So Random ! ( 2011 -- 12 )   PrankStars ( 2011 )   Jessie ( 2011 -- 15 )   Austin &amp; Ally ( 2011 -- 16 )   Gravity Falls ( 2012 -- 16 )   Code : 9 ( 2012 )   Dog with a Blog ( 2012 -- 15 )   Wander Over Yonder ( 2013 -- 16 )   Liv and Maddie ( 2013 -- 17 )   Win , Lose or Draw ( 2014 )   I Did n't Do It ( 2014 -- 15 )   Girl Meets World ( 2014 -- 17 )   Best Friends Whenever ( 2015 -- 16 )   Descendants : School of Secrets ( 2015 , short - form )   Walk the Prank ( 2016 )   Mech - X4 ( 2016 )          Current     Mickey Mouse ( since 2013 , short - form )   K.C. Undercover ( since 2015 )   Bunk 'd ( since 2015 )   Descendants : Wicked World ( since 2015 , short - form )   Stuck in the Middle ( since 2016 )   Bizaardvark ( since 2016 )   Elena of Avalor ( since 2016 )   Tangled : The Series ( since 2017 )   Andi Mack ( since 2017 )   Hotel Transylvania : The Series ( since 2017 )   Raven 's Home ( since 2017 )       Upcoming     Right Hand Guy ( Fall 2017 )   Bug Juice ( 1998 -- 2001 , early 2018 )       See also     It 's a Laugh Productions   Disney Television Animation   Brookwell McNamara Entertainment   Crossovers   Disney Channel Storytellers      Retrieved from `` https://en.wikipedia.org/w/index.php?title=Stuck_in_the_Middle_(TV_series)&amp;oldid=809196142 '' Categories :   2010s American comedy television series   2016 American television series debuts   American teen sitcoms   Disney Channel shows   Television shows set in Massachusetts   Television series about families   Television series about siblings   Single - camera television sitcoms   Hidden categories :   CS1 Spanish - language sources ( es )   Use mdy dates from February 2016           Talk                                           Contents                   About Wikipedia                                           Български   Čeština   Deutsch   Español   Français   Italiano   עברית   Magyar   </t>
    </r>
    <r>
      <rPr>
        <sz val="11"/>
        <color rgb="FF000000"/>
        <rFont val="Noto Sans CJK SC"/>
        <family val="2"/>
      </rPr>
      <t xml:space="preserve">日本 語   </t>
    </r>
    <r>
      <rPr>
        <sz val="11"/>
        <color rgb="FF000000"/>
        <rFont val="Calibri"/>
        <family val="0"/>
        <charset val="1"/>
      </rPr>
      <t xml:space="preserve">Polski   Português   Română   Simple English   </t>
    </r>
    <r>
      <rPr>
        <sz val="11"/>
        <color rgb="FF000000"/>
        <rFont val="Noto Sans CJK SC"/>
        <family val="2"/>
      </rPr>
      <t xml:space="preserve">中文   </t>
    </r>
    <r>
      <rPr>
        <sz val="11"/>
        <color rgb="FF000000"/>
        <rFont val="Calibri"/>
        <family val="0"/>
        <charset val="1"/>
      </rPr>
      <t xml:space="preserve">Edit links   This page was last edited on 7 November 2017 , at 18 : 14 .         About Wikipedia                    </t>
    </r>
  </si>
  <si>
    <t xml:space="preserve">who plays rachel diaz in stuck in the middle</t>
  </si>
  <si>
    <t xml:space="preserve">  Harley Diaz ( Jenna Ortega ) is the middle of seven children and a young engineering prodigy . She is the central character in the series and views herself as an inventor . Some of her known inventions are the Conveyor Belt Table , the Slushinator , the Skate Kite , and a snow machine . In `` Stuck in the Sweet Seat '' , it is revealed it is her 13th birthday . A significant feature is that she tends to break the fourth wall to tell the viewers something about the situation .   Rachel Diaz ( Ronni Hawk ) is the oldest of the seven children and Harley 's vain older sister . In `` Stuck with No Rules '' , it is revealed that she is 16 .   Ethan Diaz ( Isaak Presley ) is Harley 's oldest brother and her partner - in - crime ; she refers to him as her `` best friend in the family '' . He is an aspiring musician . In `` Stuck in the Sweet Seat '' , it is implied that he is the third oldest of the seven , behind Rachel and Georgie .   Daphne Diaz ( Ariana Greenblatt ) is the youngest of the seven children and Harley 's younger sister . She enjoys having tea time with her dolls . In `` Stuck with No Rules '' , it is revealed that Daphne can easily retaliate against anyone who takes things from her without getting her approval first .   Georgie Diaz ( Kayla Maisonet ) is one of Harley 's older sisters and the second oldest of the seven as implied in `` Stuck in the Sweet Seat '' . She is a basketball player at her school and does an assortment of other sports as well .   Lewie Diaz ( Nicolas Bechtel ) is one of Harley 's two younger brothers and Beast 's twin . It is revealed in `` Stuck in the Beast - Day Party '' that Lewie is older than Beast by five minutes .   Beast Diaz ( Malachi Barton ) is one of Harley 's two younger brothers and Lewie 's twin .   Suzy Diaz ( Cerina Vincent ) is Harley 's quirky mother who rarely has any alone time from her children and tends to spend it in the most unlikely places .   Tom Diaz ( Joe Nieves ) is Harley 's father who operates a marina store , called `` Tom 's Bait and Bite '' , which sells camping and fishing equipment .  </t>
  </si>
  <si>
    <t xml:space="preserve">Do n't Smile at Me - Wikipedia  Do n't Smile at Me       This article needs additional citations for verification . Please help improve this article by adding citations to reliable sources . Unsourced material may be challenged and removed . ( August 2017 ) ( Learn how and when to remove this template message )       dont smile at me         EP by Billie Eilish     Released   August 11 , 2017     Recorded   2016     Length   28 : 58     Label   Interscope     Producer   Finneas O'Connell         Singles from dont smile at me       `` Ocean Eyes '' Released : November 18 , 2016   `` Bellyache '' Released : February 24 , 2017   `` Watch '' Released : June 30 , 2017   `` Idontwannabeyouanymore '' Released : July 20 , 2017           Do n't Smile at Me ( stylized in small caps ) is the debut extended play by American singer and songwriter Billie Eilish . It was released on August 11 , 2017 through Interscope Records , and contains several of her previously released singles , including `` Ocean Eyes '' , `` Bellyache '' and `` Watch '' . The track `` My Boy '' was used in the fourth episode of the third season of the American television series Shadowhunters .   Track listing ( edit )   All tracks written by Finneas O'Connell and Billie Eilish O'Connell , except where noted .     No .   Title   Writer ( s )   Length     1 .   `` Copycat ''     3 : 13     2 .   `` Idontwannabeyouanymore ''     3 : 23     3 .   `` My Boy ''     2 : 50     4 .   `` Watch ''   F. O'Connell   2 : 57     5 .   `` Party Favor ''     3 : 24     6 .   `` Bellyache ''     2 : 59     7 .   `` Ocean Eyes ''   F. O'Connell   3 : 20     8 .   `` Hostage ''     3 : 49     9 .   `` &amp;Burn '' ( with Vince Staples )     Vincent Staples   F. O'Connell     3 : 00     Total length :   28 : 58      All tracks are stylized in lowercase letters , except for `` Copycat '' , which is stylized as `` COPYCAT '' .    Charts ( edit )     Chart ( 2017 -- 18 )   Peak position     Belgian Albums ( Ultratop Flanders )   72     Canadian Albums ( Billboard )   64     Dutch Albums ( MegaCharts )   95     Irish Albums ( IRMA )   63     New Zealand Albums ( RMNZ )   13     UK Albums ( OCC )   80     US Billboard 200   65     References ( edit )    Jump up ^ Smither , Tanis ( August 11 , 2017 ) . `` Billie Eilish releases lush debut EP `` dont smile at me '' -- EARMILK `` . Earmilk . Retrieved August 15 , 2017 .   Jump up ^ `` S3 E4 Thy Soul Instructed '' . TuneFind . Retrieved April 16 , 2018 .   Jump up ^ `` Ultratop.be -- Billie Eilish -- Do n't Smile at Me '' ( in Dutch ) . Hung Medien . Retrieved June 22 , 2018 .   Jump up ^ `` Billie Eilish Chart History ( Canadian Albums ) '' . Billboard . Retrieved July 3 , 2018 .   Jump up ^ `` Dutchcharts.nl -- Billie Eilish -- Do n't Smile at Me '' ( in Dutch ) . Hung Medien . Retrieved July 6 , 2018 .   Jump up ^ `` Irish-charts.com -- Discography Billie Eilish '' . Hung Medien . Retrieved June 2 , 2018 .   Jump up ^ `` NZ Top 40 Albums Chart '' . Recorded Music NZ . July 2 , 2018 . Retrieved June 29 , 2018 .   Jump up ^ `` Official Albums Chart Top 100 '' . Official Charts Company . Retrieved July 14 , 2018 .   Jump up ^ `` Billie Eilish Chart History ( Billboard 200 ) '' . Billboard . Retrieved July 10 , 2018 .              Billie Eilish     EPs     Do n't Smile at Me       Singles     `` Ocean Eyes ''   `` Bellyache ''       Related articles     Finneas O'Connell             This EP - related article is a stub . You can help Wikipedia by expanding it .            Retrieved from `` https://en.wikipedia.org/w/index.php?title=Don%27t_Smile_at_Me&amp;oldid=850223293 '' Categories :   2017 EPs   EP stubs   Hidden categories :   Articles needing additional references from August 2017   All articles needing additional references   Articles with hAudio microformats   All stub articles           Talk                                                             About Wikipedia                                           Español   Italiano   Edit links   This page was last edited on 14 July 2018 , at 14 : 44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</si>
  <si>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don't smile at me come out</t>
  </si>
  <si>
    <t xml:space="preserve">   dont smile at me         EP by Billie Eilish     Released   August 11 , 2017     Recorded   2016     Length   28 : 58     Label   Interscope     Producer   Finneas O'Connell         Singles from dont smile at me       `` Ocean Eyes '' Released : November 18 , 2016   `` Bellyache '' Released : February 24 , 2017   `` Watch '' Released : June 30 , 2017   `` Idontwannabeyouanymore '' Released : July 20 , 2017         </t>
  </si>
  <si>
    <r>
      <rPr>
        <sz val="11"/>
        <color rgb="FF000000"/>
        <rFont val="Calibri"/>
        <family val="0"/>
        <charset val="1"/>
      </rPr>
      <t xml:space="preserve">Scribblenauts - Wikipedia  Scribblenauts  Jump to : navigation , search    Scribblenauts     Cover art for Nintendo DS     Developer ( s )   5th Cell     Publisher ( s )   Warner Bros. Interactive Entertainment   JP : Konami       Director ( s )   Jeremiah Slaczka     Producer ( s )   Joshua Billeaudeau Kirsten Gavoni     Designer ( s )   Matt Cox     Programmer ( s )   Marius Fahlbusch     Artist ( s )   Edison Yan     Composer ( s )   David J. Franco     Platform ( s )   Nintendo DS     Release     NA : September 15 , 2009   AU : September 30 , 2009     EU : October 9 , 2009     JP : January 27 , 2011       Genre ( s )   Emergent , puzzle , action     Mode ( s )   Single - player     Scribblenauts is an emergent puzzle action video game developed by 5th Cell and published by Warner Bros. Interactive Entertainment for the Nintendo DS . The game was released in 2009 in all regions except Japan , and in 2011 in Japan as Flash Puzzle : Maxwell 's Mysterious Notebook ( </t>
    </r>
    <r>
      <rPr>
        <sz val="11"/>
        <color rgb="FF000000"/>
        <rFont val="Noto Sans CJK SC"/>
        <family val="2"/>
      </rPr>
      <t xml:space="preserve">ヒラメキ パズル マックス ウェル の 不思議 な ノート </t>
    </r>
    <r>
      <rPr>
        <sz val="11"/>
        <color rgb="FF000000"/>
        <rFont val="Calibri"/>
        <family val="0"/>
        <charset val="1"/>
      </rPr>
      <t xml:space="preserve">, Hirameki Pazuru : Makkusuweru no Fushigi na Nōto ) by Konami . It is the third Nintendo DS video game made by 5th Cell , the first two being Drawn to Life and Lock 's Quest . The objective of Scribblenauts , as implied by its catchphrase `` Write Anything , Solve Everything '' , is to complete puzzles to collect `` Starites '' , helped by the player 's ability to summon any object ( from a database of tens of thousands ) by writing its name on the touchscreen . The game is considered by its developers to help promote emergent gameplay by challenging the player to solve its puzzles within certain limitations or through multiple solutions .   Jeremiah Slaczka , creator and director of Scribblenauts , envisioned the game as a combination of solving life situation puzzles alongside Mad Libs . His vision was brought to realization through the `` Objectnaut '' engine created by 5th Cell 's technical director , Marius Fahlbusch . Objectnaut allowed for a data driven approach , and a significant portion of the development time was spent researching nouns and their properties , and categorizing them into the Objectnaut database . This , along with the simple art designs of 5th Cell 's Edison Yan , allowed for the team to easily add new words to the database without expending much effort to program new behavior .   Scribblenauts was first shown in a playable form at the 2009 Electronic Entertainment Expo , and became a sleeper hit , winning several `` Best of Show '' awards , being the first portable console game to win such praise . Reviewers believed that 5th Cell delivered on their promise to allow nearly any possible object to be created for use in Scribblenauts , but also lamented that the choice of controls in the game hampered their full enjoyment of the title . The success of the title has led to a number of sequels including Super Scribblenauts , Scribblenauts Remix , and Scribblenauts Unlimited . The series has sold over 13 million copies .     Contents  ( hide )   1 Gameplay   2 Development   2.1 Engine   2.2 Promotion     3 Reception   3.1 Pre-release   3.2 Release   3.3 Lawsuit     4 Sequels   4.1 Super Scribblenauts   4.2 Scribblenauts Remix   4.3 Scribblenauts Unlimited   4.4 Scribblenauts Unmasked : A DC Comics Adventure   4.5 Scribblenauts : Fighting Words   4.6 Scribblenauts Showdown     5 References   6 External links      Gameplay ( edit )  Screenshot of Scribblenauts . The top screen displays an image of the level and various indicators . The bottom screen shows Maxwell , using a helicopter and rope to rescue an injured woman during one of the puzzle levels .  Scribblenauts is an exclusively side - scrolling game controlled almost entirely with the Nintendo DS stylus , with the D - pad and face buttons controlling the camera and the left and right shoulder buttons rotating objects . The player controls a character named Maxwell , who must collect objects called `` Starites '' to complete each level . Maxwell is guided by tapping the touchscreen , or if the player taps an object , Maxwell will pick it up or be given other options for interacting with that object , such as riding a horse or bicycle or shooting at an object if he holds a weapon . A fundamental element of Scribblenauts is the ability of the player to summon myriad objects into the game . This is achieved by writing the name of an object on the touchscreen . For example , the player can write `` ladder '' , summoning a ladder , which the player may use to climb to an out - of - reach Starite . The player may turn the ladder on its side and set it on fire . The player may also chain objects together , such as chaining a piece of meat to a pole and holding it while riding on a raptor .   Summoned objects range among animals , weapons , forces of nature , famous people ( both fictional and real ) , vehicles , household objects , easter eggs of the development team , and even internet memes . However , the game does not include trademarked terms , nor potential profanity ( summoning `` ass '' will spawn a donkey ; summoning `` cock '' will spawn a rooster ) . The game includes a homonym system to offer the player possible choices between similar - sounding objects , such as distinguishing between a toy balloon and a hot - air balloon ; there is also a spellchecker to provide close matches for misspelled words . The North American release includes support for other languages including Brazilian Portuguese , French , and Spanish , with French - Canadian and Latin American variants available for words in the French and Spanish language sets , respectively . The UK version also accounts for difference between American and British English , such as the differing meanings of the word `` football '' . 5th Cell has stated that the limit to what objects may be summoned is up to the player 's imagination . Players , using special software , claimed to have discovered that the full list of words is greater than 22,800 unique entries , but , in response , Slaczka said there were many more than this number .   The game is segmented into 220 levels over 10 themed areas , and each given a 4 star ranking based on its difficulty , with later areas featuring more high ranked levels . Puzzles are given a par for the number of objects they can summon , typically being between two and four , though the player is free to summon more , so long as there is space in the meter at the top screen ( summoning the same number of objects as the par or less earns more points ) . There are two types of levels -- puzzle and action levels . Puzzle levels are real - life situations ( such as having to open a piñata ) where the Starite is awarded once the puzzle is solved , while action levels will appeal to gamers that prefer side - scrolling platformers , featuring switches , spike traps , and other similar elements . Players are awarded `` merits '' for completing levels while meeting certain requirements , such as not summoning any weapon - like object . Once the player completes a level , a silver star appears on the level selection button and a `` Free play '' mode is unlocked . At that point , the player is given the option to play through the level three consecutive times without reusing objects . Successfully completing the challenge grants the player a gold star for that level . Scribblenauts presents a simplistic storyline , as the developers wished to focus on engaging gameplay . The game always rewards the player with `` Ollars '' , its in - game money , to allow them to purchase new areas , different avatars and other visual changes to the game .   The game includes a level editor , allowing users to share these levels over the Nintendo Wi - Fi system . The player can start with any level that they have already beaten from the main game , and add new objects with new game properties . These new properties can vary significantly from the normal behavior , such as having a bear able to eat a plane .   Development ( edit )  Jeremiah Slaczka , creative director for 5TH Cell , upon receiving the Game Developers Choice Award for Best Handheld Game for Scribblenauts during the 2010 Game Developers Conference .  Scribblenauts was first conceived in the second quarter of 2007 , near the same time that they had envisioned Lock 's Quest . Creative Director for 5th Cell , Jeremiah Slaczka , stated that they were seeking counterparts of Nintendogs and Brain Age , games that had attracted a much wider demographic than most other niche games , that 5th Cell could develop . The concept of Scribblenauts came from a combination of a previous idea he had for the DS that was similar to Mad Libs and a dream of his . An example given for the Mad Libs was that players could write a Mad Lib of a `` dog walking through a forest '' , and a dog would appear in a forest and walk through it . However , he realized the game would be tedious and that players would only be interested in using keywords . The dream was of being inside an Aztec temple and having to solve puzzles ; one in particular involved three paintings , with the objective being straightening them and then moving on to the next room through a portal . While he thought it was a good idea for a game , he also felt that it lacked both a hook and replayability . He debated whether this would work best on the Wii or the DS , but later decided to combine the writing element with a puzzle element to fix the lack of replayability . Slaczka realized that the concept of the game might be considered impossible by other programmers , but found that 5th Cell 's Technical Director Marius Fahlbusch felt confident they could create the required elements . The developers considered that the nature of the flexible and sometimes unforeseen solutions made the game strongly promote emergent gameplay .   During development , Slaczka and the team tried to figure out what they could do with the DS hardware , trying to make Scribblenauts appeal to everyone . As Lock 's Quest was thought of first , they focused on releasing that game first while beginning the development of Scribblenauts . The game entered beta around May 2009 , and had numerous play - testers exploring the game . About half of 5th Cell 's staff worked on the game . It was developed alongside the DS version of Drawn to Life : The Next Chapter .   Scribblenauts was originally developed without having a publisher for the game . Slaczka noted that unlike other games where the developers could complete and polish a single level to garner interest while work on the rest of the game continued , Scribblenauts needed to show support for its large dictionary from the start , making it difficult to promote the game . The company was in negotiations with a publisher in the early part of 2009 , letting that publisher decide when it would be best to announce the game . Warner Bros. Interactive Entertainment officially announced itself as the publisher for Scribblenauts in May 2009 . Slaczka noted that of the other publishers they talked to , they felt Warner Bros. was the best one , particularly due to their proximity to 5th Cell and their interest in the title .   Scribblenauts was originally titled `` Wordplay '' , but the team felt that this was `` generic '' . The title Scribblenauts began as a temporary name that would be effective for pitching the game , but as development proceeded , the team could n't think of a better one , so the name stuck and became the final title of the product .   Konami published the game in Japan on January 27 , 2011 ; this localized version features Konami characters such as Old Snake , Manaka Takane and the Vic Viper .   Engine ( edit )   The core engine of Scribblenauts is a data - driven engine called `` Objectnaut '' created by Fahlbusch . Within Objectnaut , each object is given a set of properties , including physical characteristics , artificial intelligence behavior , and how the player ( through Maxwell ) can interact with it . Five people from the team spent six months researching dictionaries and encyclopedias to create a large database of objects within the Objectnaut 's framework , and then mapped out a hierarchy of data from this information . For example , every mammal - based object in the game is given the property of having `` organic flesh '' , allowing it to be eaten or turned into meat , without having to specify these functions for each type of mammal they used . The Objectnaut approach allowed the team to create two distinct objects for words that may have similar meanings simply by adjusting each word 's properties in the database : `` lion '' , `` tiger '' and `` leopard '' while similar will behave differently and have different art assets , while the only difference in the game between `` croissant '' and `` danish '' is that the danish may be able to roll like a wheel . The team made sure to balance the abilities of the various objects that could be summoned to avoid creating an `` uber character '' that would act as a skeleton key for solving all of the levels , and give players more courage to try different elements . Slaczka noted that he would be frequently asked if certain difficult words were in the game when interviewed by the press , most of the time being able to respond affirmatively to these questions . In an example given by Slaczka , a `` hardcore '' journalist wanted twenty minutes with the game to try to stump it during the 2009 E3 convention , but , according to Slaczka , `` he had a real hard time stumping it and shook my hand '' after that period .   Designing each item required the developers to go word - by - word . Slaczka stated that certain kinds of words , such as cheeses , require little to no differences , besides items such as Limburger which would scare people away from it . He stated that the developers used discretion when deciding what to make look different , providing a cyborg , robot , and android , which he felt were different enough to require their own individual designs . He later stated that there was no way to test out each item and each way they interact with another item , as it was virtually impossible for them to accomplish this , using an example of an airplane being frozen , brought back in time , placing an old man on top of it , bringing it back to present time , and setting it on fire . Slaczka stated that while many games create a first level with enemies and platforms , polishing the level and moving on , the players can write any item available in level one that they can write in a later level . He commented that if players wrote `` anvil '' and it was missing its `` heavy '' property , they may be turned off of the game . They spent roughly 80 % of the development fine - tuning the various items , and as such , they could not provide a preview to demonstrate the game .   Each of the words programmed into the game has associated art with it led by 5th Cell artist Edison Yan . The task of creating the art was simplified through the `` minimal '' design style of 5th Cell 's previous games . Each object is rendered as in 3D with objects acting as doll on a 2D plane . This was chosen to avoiding having to create a large number of animations for 2D . The development team had to design each AI - controlled object by hand , according to Slaczka , describing how the objects moves , and what it likes and dislikes , how much health it has , and other possible characteristics . Level design focused on providing a large variety of situations , including splitting levels between Puzzle and Action types , to avoid having the player develop a limited toolbox of common words and not exploring other possible solutions . Much of the initial level development was done on paper and to explore situations not commonly found in video games , due to their vocabulary system . They ended up selecting more than a hundred levels out of over seven hundred they had generated internally for the game . Both Merits and Ollars were added to reward the player for completion , with Slaczka comparing these to Xbox Live Achievements .   The game primarily uses the touchscreen to control Maxwell and other objects ; the developers considered using the directional pad of the DS but realized that they would still need to rely on the touchscreen for certain actions and thus focused most of the game 's controls through that interface . The game includes 5th Cell 's own handwriting recognition system for writing down objects which Slaczka considered to be better than Nintendo 's own system for Brain Age . The team included a virtual keyboard in addition to this system knowing that even `` the human brain ca n't understand chicken scratch '' .   Promotion ( edit )  Customers with their `` rooster hats '' pre-order bonus for waiting in line for the start of Scribblenauts launch event on September 13 , 2009 at the Nintendo World Store in New York City .  Players who pre-ordered the game at GameStop and EB Games in the United States , Canada , and Australia received a replica of Maxwell 's `` rooster hat '' , a term coined by Destructoid according to Slaczka . The game was launched by a special event at the Nintendo World Store in New York City on September 13 , 2009 , with Slaczka and other 5th Cell developers on hand for the event .   Reception ( edit )   Pre-release ( edit )   The game was well received at the 2009 E3 Convention and was considered the `` sleeper hit '' of the show . Scribblenauts is the first portable video game in history to win `` Best of Show '' awards for E3 from any major gaming media outlet . The game was named `` Best Original Game '' and `` Best Handheld Game '' by the Game Critics Awards . Scribblenauts was named the overall `` Best of Show '' by GameSpot , GameSpy , and IGN , in addition to other awards . 1UP.com named Scribblenauts their E3 's `` Most Innovative '' title . X-Play gave the game its E3 `` Best Original Game '' and `` Best Handheld Game '' awards . Ars Technica considered the game as the show 's `` Most Pleasant Surprise '' . Joystiq performed a ten - word test of the game , and found only one word , `` plumbob '' , was not yet present in the game , but were promised it would be in the final version . Part of the success at E3 was considered partially due to the inclusion of then - recent Keyboard Cat Internet meme , which led to a grassroots - type excitement about the game at the convention . Adam Sessler of G4 TV believed that Scribblenauts 's E3 success was from being a small but successful game from a small company in contrast to numerous other premier titles from other major developers and publishers that have become standard for the convention , such that the uniqueness of everything about the game made it the standout title of the show . Scribblenauts was given a much more predominate display in Warner Bros. Interactive 's booth at the next major convention , the 2009 Comic - Con International . IGN listed Scribblenauts in a preview of Nintendo DS games in 2009 , labeling it as one of their top picks for the year . They described it as `` quite possibly one of the system 's most ambitious designs yet . ''  `` Post 217 '' as drawn by 5th Cell artist Edison Yan , based on a NeoGAF post , has been used as promotional material for the game .  One example of the possibilities of Scribblenauts that led to further attention to the game are given in the ESRB 's attempt to describe the `` cartoon violence '' and `` comic mischief '' within the game as to grant it an `` E10 + '' rating . The ESRB 's description includes possible examples of the game 's level of violence as `` a club can be used to hit an animal ; steak can be attached to a baby to attract lions ; rockets can be lobbed at a man '' . In a post at NeoGAF within a thread dedicated to the game , user `` Feep '' relayed the experience of discovering during E3 that he was able to go back in time with a time machine to collect a dinosaur in order to defeat an army of robot zombies that could not be defeated with regular weapons . The story , as memorialized as `` Post 217 '' , has led to 5th Cell artist Edison Yan creating a desktop wallpaper image of the story , in appreciation of the positive fan response to the game , and the terms `` Post Two One Seven '' , `` Feep '' , and `` Neogaf '' have been included as summonable objects in the game . Slaczka credits the word - of - mouth popularity of `` Post 217 '' for part of the game 's success at E3 , and noted that he had contacted Feep to gain his permission to include `` Feep '' ( appearing as a robot zombie ) within the game . The NeoGAF forums proceeded to expand on their praise for the game by creating a series of avatars of video game and other related characters ( which will not otherwise appear in the game due to trademark issues ) for their forums inspired by Yan 's art design , and even some of the members that created the avatars were contacted to work in the second game , Super Scribblenauts . Yan himself has drawn several more avatars in the same style for other games such as Street Fighter II and Final Fantasy VII .   Release ( edit )     Reception        Aggregate scores     Aggregator   Score     GameRankings   79.08 %     Metacritic   79 / 100     Review scores     Publication   Score     1UP.com   B+     Eurogamer   7 / 10     G4   4 / 5     GameSpy       IGN   8.7 / 10        Scribblenauts was found by reviewers to live up to the premise that the game was built on the ability to bring about nearly any object imagined into the game . John Walker of Eurogamer considered the game `` an incredible achievement '' , with its word database `` so utterly complete in its collection of everything ever in the universe '' and its specificness on these terms . Craig Harris of IGN asserted that `` the developers fully deliver on ( the ) promise '' of allowing player to summon nearly any imagined object , and the core game alone is an `` incredibly versatile Nintendo DS experience '' . Ben Kuchera of Ars Technica praises the game as `` undeniably new and impressive '' and urged players to support games that take risks with their innovation . Ray Barnholt of 1UP.com noted that while the game `` is n't exactly the be-all end - all videogame '' that it received prior to release , the game remains `` unmissable '' due to its sheer novelty value . The game 's feature of forcing the player to consider different solutions when replaying levels was seen by Anthony Gallegos of GameSpy as a `` really clever way to encourage replayability while subtly upping the challenge '' .   However , reviewers complained about the game 's poor controls , to the point that the implementation `` almost kills a fantastic game '' , according to IGN 's Harris . Reviews specifically commented how the touch screen is used both to manipulate the objects placed in the game and to move Maxwell ; this would result in inadvertently having Maxwell walk to his death or to disrupt a delicately prepared arrangement of objects prior to being ready to move him . Craig Harris of IGN notes that while one can direct Maxwell indirectly , the character would often fail to avoid or overcome simple obstacles , similar to troop movements in real - time strategy games , such that overcoming these issues requires a significant amount of precise controls by the player . It was suggested that while it was understood why 5th Cell opted to use the touchscreen in this manner to avoid too much flipping between the stylus and face - button controls , they would have appreciated the option for customizing the controls . The decision to use the touch screen controls was described by Walker as `` possibly the most wildly stupid design decision of all time '' , and that if the movement controls were mapped to the face buttons , the game would have been a `` beautiful thing '' . Walker also questioned the choice to have the game 's camera snap back to Maxwell as soon as the controls for it were released by the player , as it made it both difficult to set up objects that were off - screen from Maxwell , and to watch the results of certain interactions , such as fights between computer - controlled characters , that occurred off - screen .   When it is possible to connect objects to other objects , reviewers found that finding the connection points to be difficult , and would often trigger Maxwell to move . Barnholt described the entire game as feeling like a prototype with its odd physics , and not as polished as 5th Cell 's previous games , though acknowledged the overall game is still an impressive feat for the small development team . IGN 's Ryan Geddes criticized the game 's poor controls and physics , demanding patience to overcome , and raised concerns that the title was rushed to market after its overwhelming positive response from the E3 convention . In a postmortem , 5TH Cell 's co-founder Joseph Tringali stated that they were aware that the controls would take `` a big hit '' from game reviewers , and attempted to work in a face - button control scheme , but would have not been able to complete it within the deadline set by their self - funded schedule . Tringali further noted that they did not spend as much time on the stylus controls earlier in development , and would have considered sacrificing another feature , like the Nintendo Wi - Fi , to improve them .   Reviewers also identified some unexpected behavior from some objects or combinations of them , such as attempting to direct a non-player character in picking up an object , leading to an inconsistency in the difficulty of the various puzzles . Ben Kuchera of Ars Technica , in calling Scribblenauts `` a frustrating , often maddening game '' , described that he often encounters puzzles that , after trying several solutions that should have worked by common sense , he eventually happened upon a less logical solution that worked . Walker considered the puzzles range `` between uninspired and simple and frustratingly obscure and fiddly '' . Many critics experienced that after getting stumped on a puzzle , they would often resort to playing around in the free play mode . Edge magazine identified that the free play mode was more enjoyable as it masked the problems with controls , physics , and the general structure of the puzzle game that followed it , and considered what improvements in these modes could be made to create an experience closer to that of LittleBigPlanet . In particular for the action levels , reviewers found that they would be less likely to explore alternate solutions and fall into the pattern of using the same set of objects , making these levels repetitive towards the end . On the other hand , the puzzle levels were well - received ; Andrew Reiner of Game Informer stated the time spent while solving the puzzle levels was when his `` creative juices were joyously sapped '' . The presence of the `` Ollars '' currency system allows players to skip levels they found difficult . Kurchera also noted that with some puzzles , the game is often better played with others , including young children , as the combination of imaginative ideas will likely eventually stumble upon a solution . Simon Parkin of Game Set Watch agreed , believing the game is best enjoyed when one thinks like a child as `` free of the dry , efficient logic of adulthood , a child 's imagination also opens the game up in ways beyond most adults ' reach '' . Seth Schiesel of the New York Times considers the ultimate experience of the game a let - down after the E3 hype due to the controls and obfuscation of the puzzles , and though it was not a `` great game '' , he considers the concept a `` great idea '' that can be built upon for a possible sequel .   According to the NPD Group , Scribblenauts sold 194,000 units in the United States during September 2009 , following Mario &amp; Luigi : Bowser 's Inside Story and Kingdom Hearts 358 / 2 Days in top Nintendo DS sales . The game also showed strong sales during December 2009 , becoming the 16th best selling game of that month in North America . By February 2010 , the game had sold more than one million units worldwide . It was the 5th best - selling Nintendo DS game for 2009 in North America and the 1st best selling 3rd party game on DS .   Time named Scribblenauts the 7th best video game of 2009 . Scribblenauts won the `` Outstanding Innovation in Gaming '' , `` Portable Game of the Year '' , and `` Outstanding Achievement in Portable Game Design '' awards , and was nominated for the `` Casual Game of the Year '' award for the 13th Annual Interactive Achievement Award from the Academy of Interactive Arts &amp; Sciences . The game won `` Innovation '' and `` Best Handheld Game '' at the 10th annual Game Developers Choice Awards .   Lawsuit ( edit )   In May 2013 , Charles Schmidt and Christopher Orlando Torres , the creators of the Keyboard Cat and Nyan Cat characters respectively , jointly sued 5th Cell and Warner Bros. for copyright infringement and trademark infringement for the appearances of these characters without permission across Scribblenauts and its sequels . Schmidt and Torres have both registered copyrights on their characters and have pending trademark applications on the names . The case was settled out of court , with Warner Bros. officially licensing the two cat characters for use in the game .   Sequels ( edit )   Super Scribblenauts ( edit )   A Nintendo DS sequel to Scribblenauts titled Super Scribblenauts was released on October 12 , 2010 . In addition to addressing issues with the control scheme , Super Scribblenauts includes a larger vocabulary including the use of adjectives to modify nouns , influencing the objects ' behavior .   Scribblenauts Remix ( edit )   Scribblenauts Remix , a version of Scribblenauts for the iOS platform , was released by Warner Bros. Interactive on October 12 , 2011 . Ported to the platform by developers Iron Galaxy , the iOS version provides forty levels from both Scribblenauts and its sequel , along with ten new levels for the iOS game . The mechanics of the game are based on Super Scribblenauts , allowing for the use of adjectives in addition to nouns . The game uses built - in features of iOS , such as the touch keyboard , and was released simultaneously with iOS version 5 , incorporating new features such as cloud storage to play the game across multiple devices . An Android version was released on June 26 , 2013 .   Scribblenauts Unlimited ( edit )   A fourth title , Scribblenauts Unlimited , was released for Wii U , PC and Nintendo 3DS on November 13 , 2012 . The game features multiple worlds which Maxwell must find out how to help various non-player characters to gain Starites , using the extended vocabulary abilities of Super Scribblenauts to solve puzzles . An Android and iOS version were both released on December 15 , 2015 .   Scribblenauts Unmasked : a DC Comics adventure ( edit )   A fifth game in the franchise , Scribblenauts Unmasked : A DC Comics Adventure , was announced in development for Wii U , PC and Nintendo 3DS , featuring over 2000 characters from the DC Comics universe . The game was released on September 24 , 2013 .   Scribblenauts : Fighting words ( edit )   A sixth game in the series , titled Scribblenauts : Fighting Words was in development for iOS since 2014 , but was cancelled in 2016 after 5th Cell laid off 45 employees , including lead animator Tim Borrelli .   Scribblenauts Showdown ( edit )   Announced in January 2018 , Scribblenauts Showdown is a party game for up to four players , using mini-games based on the Scribblenauts formula . The game is being developed by Shiver Entertainment and published by Warner Bros. Interactive Entertainment , for release on Nintendo Switch , PlayStation 4 , and Xbox One , with an expected release date of March 6 , 2018 . It will be the first title in the series released for Sony and Microsoft consoles .   References ( edit )    Jump up ^ `` Scribblenauts '' . GameSpy. 2009 . Retrieved 2015 - 01 - 25 .   Jump up ^ Molina , Brett ( 2009 - 07 - 22 ) . `` Release dates galore : ' Scribblenauts , ' ' Uncharted 2 ' and more '' . USA Today . Retrieved 2009 - 07 - 22 .   Jump up ^ Purchase , Robert ( 2009 - 08 - 28 ) . `` Scribblenauts UK date changed '' . Eurogamer . Retrieved 2009 - 08 - 28 .   Jump up ^ KONAMI </t>
    </r>
    <r>
      <rPr>
        <sz val="11"/>
        <color rgb="FF000000"/>
        <rFont val="Noto Sans CJK SC"/>
        <family val="2"/>
      </rPr>
      <t xml:space="preserve">公式 </t>
    </r>
    <r>
      <rPr>
        <sz val="11"/>
        <color rgb="FF000000"/>
        <rFont val="Calibri"/>
        <family val="0"/>
        <charset val="1"/>
      </rPr>
      <t xml:space="preserve">( 21 December 2010 ) . `` </t>
    </r>
    <r>
      <rPr>
        <sz val="11"/>
        <color rgb="FF000000"/>
        <rFont val="Noto Sans CJK SC"/>
        <family val="2"/>
      </rPr>
      <t xml:space="preserve">ヒラメキ パズル マックス ウェル の 不思議 な ノート </t>
    </r>
    <r>
      <rPr>
        <sz val="11"/>
        <color rgb="FF000000"/>
        <rFont val="Calibri"/>
        <family val="0"/>
        <charset val="1"/>
      </rPr>
      <t xml:space="preserve">( DS ) PV '' . Retrieved 30 December 2016 -- via YouTube .   Jump up ^ Plunkett , Luke ( 2010 - 12 - 29 ) . `` When A Game About English Words Is Released In Japanese '' . Kotaku . Retrieved 2015 - 01 - 07 .   Jump up ^ `` GameSpy 's Best of E3 2009 Awards '' . GameSpy . Retrieved 6 April 2012 .   Jump up ^ Totil</t>
    </r>
  </si>
  <si>
    <t xml:space="preserve">game where you type in something and it appears</t>
  </si>
  <si>
    <r>
      <rPr>
        <sz val="11"/>
        <color rgb="FF000000"/>
        <rFont val="Calibri"/>
        <family val="0"/>
        <charset val="1"/>
      </rPr>
      <t xml:space="preserve"> Scribblenauts is an emergent puzzle action video game developed by 5th Cell and published by Warner Bros. Interactive Entertainment for the Nintendo DS . The game was released in 2009 in all regions except Japan , and in 2011 in Japan as Flash Puzzle : Maxwell 's Mysterious Notebook ( </t>
    </r>
    <r>
      <rPr>
        <sz val="11"/>
        <color rgb="FF000000"/>
        <rFont val="Noto Sans CJK SC"/>
        <family val="2"/>
      </rPr>
      <t xml:space="preserve">ヒラメキ パズル マックス ウェル の 不思議 な ノート </t>
    </r>
    <r>
      <rPr>
        <sz val="11"/>
        <color rgb="FF000000"/>
        <rFont val="Calibri"/>
        <family val="0"/>
        <charset val="1"/>
      </rPr>
      <t xml:space="preserve">, Hirameki Pazuru : Makkusuweru no Fushigi na Nōto ) by Konami . It is the third Nintendo DS video game made by 5th Cell , the first two being Drawn to Life and Lock 's Quest . The objective of Scribblenauts , as implied by its catchphrase `` Write Anything , Solve Everything '' , is to complete puzzles to collect `` Starites '' , helped by the player 's ability to summon any object ( from a database of tens of thousands ) by writing its name on the touchscreen . The game is considered by its developers to help promote emergent gameplay by challenging the player to solve its puzzles within certain limitations or through multiple solutions . </t>
    </r>
  </si>
  <si>
    <t xml:space="preserve">Football Records in England - wikipedia  Football Records in England  Jump to : navigation , search      This article needs additional citations for verification . Please help improve this article by adding citations to reliable sources . Unsourced material may be challenged and removed . ( January 2015 ) ( Learn how and when to remove this template message )    This article is about unsurpassed achievements . For rankings of trophies won by English football clubs , see List of English football clubs by elite honours won .  This article concerns football records in England . Unless otherwise stated , records are taken from the Football League or Premier League . Where a different record exists for the top flight ( Football League First Division 1888 -- 1992 , and Premier League 1992 -- ) , this is also given .     Contents  ( hide )   1 National team   2 League   2.1 Titles   2.2 Top - flight appearances   2.3 Representation   2.4 Wins   2.5 Draws   2.6 Losses   2.7 Points   2.8 Games without a win   2.9 Goals   2.10 Scorelines   2.11 Disciplinary   2.12 Transfers   2.13 Individual   2.13. 1 Appearances   2.13. 2 Goals       3 FA Cup   3.1 Final   3.1. 1 Team   3.1. 2 Individual     3.2 All rounds     4 League Cup   4.1 Final   4.2 All rounds     5 FA Charity / Community Shield   5.1 Final     6 All competitions   7 Attendance records   8 List of English record winners of elite competitions   8.1 Ongoing competitions   8.2 Discontinued Competitions     9 Managers   10 Footnotes   11 See also   12 References   13 External links      National team ( edit )  Main article : England national football team records  League ( edit )  See also : Premier League records and statistics  Records in this section refer to the English Football Pyramid   Titles ( edit )    Most League titles : 20 , Manchester United   Most consecutive League titles : 3 , joint record :   Huddersfield Town : 1923 -- 24 , 1924 -- 25 , 1925 -- 26   Arsenal : 1932 -- 33 , 1933 -- 34 , 1934 -- 35   Liverpool : 1981 -- 82 , 1982 -- 83 , 1983 -- 84   Manchester United ( twice ) : 1998 -- 99 , 1999 -- 00 , 2000 -- 01 ; 2006 -- 07 , 2007 -- 08 , 2008 -- 09     Top - flight title win at first attempt : Ipswich Town : 1961 -- 62    Top - flight appearances ( edit )    Most seasons in top flight overall : 114 seasons , Everton   Most consecutive seasons in top flight : 90 seasons , Arsenal ( 1919 -- present , though no League football was played due to World War II between 1939 and 1945 -- 46 )   Fewest seasons in top flight overall : 1 season , joint record , Glossop , Leyton Orient , Northampton Town , Carlisle United , Swindon Town , and Barnsley have completed only one season in top flight in their history .    Representation ( edit )    Most participants in top flight from one area : During the three consecutive seasons 1919 -- 21 , the historic boundaries ( pre-1974 ) of the County of Lancashire had nine participants in the top - flight : Blackburn Rovers , Bolton Wanderers , Burnley , Everton , Liverpool , Manchester City , Manchester United , Oldham Athletic , and Preston North End .   During the Premiership era , there were eight participants in the historic county of Lancashire during the 2010 -- 11 season : Blackburn Rovers , Blackpool , Bolton Wanderers , Everton , Liverpool , Manchester City , Manchester United , and Wigan Athletic .     Most participants in top flight from one city : During the season 1989 -- 1990 , London had eight entrants in the top - flight : Arsenal , Charlton Athletic , Chelsea , Crystal Palace , Millwall , Queen 's Park Rangers , Tottenham Hotspur , and Wimbledon .   City represented with most seasons in top flight : Liverpool . The city has always had a top flight member of either Everton or Liverpool .    Wins ( edit )    Most wins in the top - flight overall : 1863 , Liverpool   Most wins at home overall : 1341 , Manchester United   Most wins at home in top - flight overall : 1203 , Liverpool   Most wins away overall : 755 , Manchester United   Most wins away in top - flight overall : 667 , Arsenal   Most wins from start of a top flight season : 11 , Tottenham Hotspur ( First Division , 1960 - 61 )   Most wins from start of a season : 13 , Reading F.C. ( Third Division , 1985 - 86 )   Most consecutive league wins : 18 , Manchester City ( Premier League , 28 August 2017 - 27 December 2017 )   Most consecutive wins ( all competitions ) : 20 , Manchester City ( 26 August 2017 - 3 December 2017 )    Draws ( edit )    Most draws overall in the top flight : 1106 , Everton   Most draws in a season : 23 , joint record :   Norwich City ( from 42 games , First Division , 1978 -- 79 )   Exeter City ( from 46 games , Fourth Division , 1986 -- 87 )   Hartlepool United ( from 46 games , Third Division , 1997 -- 98 )   Cardiff City ( from 46 games , Third Division , 1997 -- 98 )     Most consecutive draws : 8 :   Torquay United ( Third Division , 1969 -- 70 )   Middlesbrough ( Second Division , 1970 -- 71 )   Peterborough United ( Fourth Division , 1971 -- 72 )   Birmingham City ( Third Division , 1990 -- 91 )   Chesterfield ( League One , 2005 -- 06 )   Southampton ( Championship , 2005 -- 06 )   Swansea City ( Championship , 2008 -- 09 )      Losses ( edit )    Most losses overall in the top flight : 1,506 , Everton   Most losses in a season : 34 , Doncaster Rovers , ( Third Division , 1997 -- 98 ; final record P46 W4 D8 L34 )   Fewest losses : 0 , joint record :   Preston North End ( First Division , 1888 -- 89 ; final record P22 W18 D4 L0 )   Arsenal ( Premier League , 2003 -- 04 ; final record P38 W26 D12 L0 )   Liverpool ( Second Division , 1893 - 94 ; final record P28 W22 D6 L0 )     Most consecutive losses :   18 , Darwen , 1898 -- 1899 ( Second Division )   17 , Rochdale , 1931 -- 32 ( Division 3 North )   17 , Sunderland , 2002 - 2003 ( 15 in top tier )      Points ( edit )    Most points overall in the top flight ( mixed 3pts for a win and 2pts for win ) : 5,437 , Liverpool   Most points in a season ( 2 points for a win - 46 matches ) : 74 , Lincoln City ( Fourth Division , 1975 -- 76 )   Most points in a season ( 3 points for a win - 46 matches ) : 106 , Reading ( Championship , 2005 -- 06 )   Most points in a season for a top - flight team ( 2 points for a win - 42 matches ) : 68 ( 30 wins 8 draws ) , Liverpool ( First Division , 1978 -- 79 )   Most points in a season for a top - flight team ( 3 points for a win - 38 matches ) : 100 points ( 32 wins 4 draws , 2 defeats ) , Manchester City ( Premier League , 2017 -- 18 )   Fewest points in a season ( 2 points for a win - 34 matches ) : 8 , joint record :   Loughborough ( Second Division , 1899 -- 1900 )   Doncaster Rovers ( Second Division , 1904 -- 05 )     Fewest points in a season ( 3 points for a win - 38 matches ) : 11 , Derby County ( Premier League , 2007 -- 08 )   Most points in a season while being relegated ( 2 points for a win - 46 matches ) : 41 , Rotherham United ( Third Division , 1972 -- 73 )   Most points in a season while being relegated ( 3 points for a win - 46 matches ) : 54 , joint record :   Southend United ( Third Division , 21st of 24 ; 1988 -- 89 )   Peterborough United ( Championship , 22nd of 24 ; 2012 - 13 )      Games without a win ( edit )    Most consecutive league games without a win : 32 , Derby County ( Premier League / Championship 22 September 2007 to 13 September 2008 )   Longest run without a home win : Sunderland ( Premier League / Championship 17 December 2016 to 16 December 2017 ) .    Goals ( edit )    Most league goals scored in a season : ( 134 ) Peterborough United ( Fourth Division , 1960 -- 61 )   Most top - flight goals scored in a season ( 42 games ) : 128 , Aston Villa ( First Division , 1930 -- 31 )   Most top - flight goals scored in a season ( 38 games ) : 106 , Manchester City ( Premier League , 2017 -- 18 )   Most goals scored in all competitions in a season by a top - flight side : 156 , Manchester City ( 2013 -- 14 )   Most top - flight goals scored in total : 6929 , Everton. - to end 2016 / 17 season   Most home league goals scored in a season : 87 , Millwall ( Third Division South , 1927 -- 28 )   Most away league goals scored in a season : 60 , Arsenal ( First Division , 1930 -- 31 )   Most consecutive games scoring : 55 , Arsenal ( Premier League , 19 May 2001 -- 30 November 2002 )   Most consecutive games without scoring : 11 , Coventry City ( Second Division , 1919 -- 20 ) and Hartlepool United ( League Two , 1992 -- 93 )   First league goal awarded by goal - line technology : scored by Edin Džeko in the 14th minute of the Premier League game between Manchester City and Cardiff City on 18 January 2014 . The game was officiated by Neil Swarbrick , who consulted his watch when Cardiff defender Kevin McNaughton quickly cleared the ball away just after it entered the goal .    Scorelines ( edit )    Record win : 13 -- 0 , joint record :   Stockport County 13 -- 0 Halifax Town ( Third Division North , 6 January 1934 )   Newcastle United 13 -- 0 Newport County ( Second Division , 5 October 1946 )     Record win in top division : 12 -- 0 , joint record :   West Bromwich Albion 12 -- 0 Darwen ( First Division , 4 April 1892 )   Nottingham Forest 12 -- 0 Leicester Fosse ( First Division , 21 March 1909 )     Record away win : Port Vale 0 -- 10 Sheffield United ( Second Division , 10 December 1892 )   Record away win in top flight : by 8 goals , joint record   Wolverhampton Wanderers 0 -- 8 West Bromwich Albion ( First Division , 27 December 1893 )   Newcastle United 1 -- 9 Sunderland ( First Division , 5 December 1908 )   Cardiff City 1 -- 9 Wolverhampton Wanderers ( First Division , 3 November 1955 )     Highest scoring draw : 6 -- 6 , joint record :   Leicester City 6 -- 6 Arsenal ( First Division , 21 April 1930 )   Charlton Athletic 6 -- 6 Middlesbrough ( Second Division , 22 October 1960 )     Most double figure league wins by a team : 5 , Birmingham City ( 12 -- 0 v Walsall , 17 December 1892 ; 10 -- 2 v Manchester City , 17 March 1894 ; 10 -- 1 v Blackpool , 2 March 1901 ; 12 -- 0 v Doncaster Rovers , 11 April 1903 ; 11 -- 1 v Glossop , 6 January 1915 ) ( all Second Division )   Most goals scored by a losing side : 6 by Huddersfield Town losing 7 -- 6 to Charlton Athletic ( 21 December 1957 )    Disciplinary ( edit )    Most red cards in a single match :   5 joint :   Bradford City ( 3 ) v. Crawley Town ( 2 ) ( 27 March 2012 ) ( all after the final whistle )   Chesterfield ( 2 ) v. Plymouth Argyle ( 3 ) ( 22 February 1997 )   Wigan Athletic ( 1 ) v. Bristol Rovers ( 4 ) ( 2 December 1997 )   Exeter City ( 3 ) v. Cambridge United ( 2 ) ( 23 November 2002 )     Most red cards in a career ( individual ) : 13 , joint record :   Roy McDonough ( Colchester United , Exeter City , Southend United ) ,   Steve Walsh ( Wigan Athletic and Leicester City )     Fastest red card : 13 seconds , Kevin Pressman ( Sheffield Wednesday v Wolverhampton Wanderers , 13 August 2000 )   Fastest yellow card : 3 seconds , Vinnie Jones ( Chelsea v Sheffield United , 21 March 1992 )   Fastest red card for a substitute on the field of play : 0 seconds , joint record :   Walter Boyd ( Swansea City , 12 March 2000 ) ,   Keith Gillespie ( Sheffield United , 20 January 2007 )      Both players came on as a substitute and elbowed / pushed an opponent before the game had been restarted .   Transfers ( edit )  See also : British football transfer record   Highest transfer fee received : £ 142 million :   Philippe Coutinho , from Liverpool to FC Barcelona ( 7 January 2018 )     Highest transfer fee paid : £ 89 million :   Paul Pogba , from Juventus to Manchester United ( 8 August 2016 )      Individual ( edit )  Appearances ( edit )   Most titles won by an individual player : 13 , Ryan Giggs   Most career league appearances : 1,005 ( 849 in First Division ) , Peter Shilton ( 1966 to 1997 )   Most career league appearances by an outfield player : 931 , Tony Ford ( 1975 to 2002 )   Most career league appearances at one club : 770 , John Trollope ( Swindon Town , 1960 to 1980 )   Most career top - flight league appearances at one club : 672 , Ryan Giggs ( Manchester United , 1991 to 6 May 2014 )   Most career consecutive league appearances : 375 , Harold Bell ( Tranmere Rovers ) , 1946 to 1955 ( 401 consecutive club games including 26 FA Cup appearances )   Oldest player : Neil McBain , 51 years and 20 days ( for New Brighton v. Hartlepool United , 1947 )   Youngest player : Reuben Noble - Lazarus , 15 years and 45 days ( for Barnsley v. Ipswich Town , 30 September 2008 )   Goals ( edit ) Further information : English Football first tier Top Scorers   Most career league goals : 434 , Arthur Rowley ( 619 matches , for West Bromwich Albion , Fulham , Leicester City and Shrewsbury Town , 1946 to 1965 )   Most career top - flight goals : 357 , Jimmy Greaves ( 516 matches , for Chelsea , Tottenham Hotspur and West Ham United , 1957 to 1971 )   Most consecutive top flight league matches scored in : 12 , Jimmy Dunne , for Sheffield United between 24 October 1931 and 1 January 1932 , for a total of 18 goals .   Most goals in a season : 60 , Dixie Dean ( 39 matches , for Everton 1927 -- 28 )   Most goals in a game : 10 , Joe Payne ( for Luton Town v. Bristol Rovers , 13 April 1936 )   Most goals in a top - flight game : 7 , Ted Drake for Arsenal v. Aston Villa ( away ) , 14 December 1935   Fastest goal : 3.5 seconds , Colin Cowperthwaite ( for Barrow v. Kettering Town , 1979 )   Fastest goal on a League debut : 7 seconds , Freddy Eastwood ( for Southend United v. Swansea City , 16 October 2004 )   Fastest hat - trick ( time between first and third goals ) : 2 minutes 21 seconds , James Hayter ( for AFC Bournemouth v. Wrexham , 23 February 2004 )   Fastest goal by a substitute : 6 seconds , Nicklas Bendtner ( for Arsenal v. Tottenham Hotspur , 22 December 2007 )   Most teams outscored by a single player in the history of England 's top - flight in a single season : 3 teams by Mohamed Salah ( Liverpool , 2017 - 18 ) ( West Bromwich Albion and Swansea City and Huddersfield Town )   Fastest player to 100 English top flight goals Dave Halliday - 101 games   Players to score over 30 league goals in four consecutive seasons Dave Halliday - 1925 - 29 . Halliday in fact scored at least 35 goals in each of those four seasons   Most own goals in one season : 5 , SP Bloke ( Middlesbrough , 1934 -- 35 )   Most hat - tricks in one season : 9 , George Camsell ( Middlesbrough , 1926 -- 27 )   Most career hat - tricks : 37 , Dixie Dean ( Tranmere Rovers , Everton , 1923 -- 1937 )   Longest goalkeeping run without conceding a goal : 1,311 minutes , Edwin van der Sar ( for Manchester United , 2008 -- 09 )   Youngest goalscorer : Ronnie Dix , 15 years and 180 days ( for Bristol Rovers v. Norwich City , 3 March 1928 )   Youngest top - flight goalscorer : Jason Dozzell , 16 years and 57 days ( for Ipswich Town v. Coventry City , February 1984 )   Youngest hat - trick goalscorer : Trevor Francis , 16 years and 317 days ( for Birmingham City v. Bolton Wanderers , 20 February 1971 )    FA Cup ( edit )   Final ( edit )  Team ( edit )      This section does not cite any sources . Please help improve this section by adding citations to reliable sources . Unsourced material may be challenged and removed . ( April 2018 ) ( Learn how and when to remove this template message )      Most wins : 13 :   Arsenal ( 1930 , 1936 , 1950 , 1971 , 1979 , 1993 , 1998 , 2002 , 2003 , 2005 , 2014 , 2015 , 2017 )     Most consecutive wins : 3 , joint record :   Wanderers ( 1876 , 1877 , 1878 )   Blackburn Rovers , ( 1884 , 1885 , 1886 )     Most appearances in a final : 20 , joint record :   Arsenal ( 1927 , 1930 , 1932 , 1936 , 1950 , 1952 , 1971 , 1972 , 1978 , 1979 , 1980 , 1993 , 1998 , 2001 , 2002 , 2003 , 2005 , 2014 , 2015 , 2017 )   Manchester United ( 1909 , 1948 , 1957 , 1958 , 1963 , 1976 , 1977 , 1979 , 1983 , 1985 , 1990 , 1994 , 1995 , 1996 , 1999 , 2004 , 2005 , 2007 , 2016 , 2018 )     Most consecutive / uninterrupted years as FA Cup Champions : 7 , Portsmouth F.C. , ( 1939 - 1946 )   Most Final appearances without ever winning : 4 , Leicester City ( 1949 , 1961 , 1963 , 1969 )   Most Final appearances without ever losing : 5 , Wanderers ( 1872 , 1873 , 1876 , 1877 , 1878 )   Most Final appearances without losing ( streak ) : 7 , Tottenham Hotspur ( 1901 , 1921 , 1961 , 1962 , 1967 , 1981 , 1982 )   Biggest win : 6 goals : Bury 6 -- 0 Derby County , ( 1903 )   Most goals in a final : 7 :   Blackburn Rovers 6 -- 1 Sheffield Wednesday ( 1890 )   Blackpool 4 -- 3 Bolton Wanderers ( 1953 )     Most goals by a losing side : 3 :   Bolton Wanderers : Lost 3 -- 4 against Blackpool ( 1953 )   West Ham United : Drew 3 -- 3 but lost in a penalty shootout against Liverpool ( 2006 )     Most defeats : 8 , Everton ( 1893 , 1897 , 1907 , 1968 , 1985 , 1986 , 1989 , 2009 )   Individual ( edit )      This section does not cite any sources . Please help improve this section by adding citations to reliable sources . Unsourced material may be challenged and removed . ( April 2018 ) ( Learn how and when to remove this template message )      Most wins : 7 , Ashley Cole ( Arsenal ) ( 2002 , 2003 , 2005 ) &amp; ( Chelsea ) ( 2007 , 2009 , 2010 , 2012 )   Most appearances : 9 , Arthur Kinnaird ( Wanderers ) ( 1872 -- 73 , 1874 -- 75 , 1875 -- 76 , 1876 -- 77 , 1877 -- 78 ) &amp; ( Old Etonians ) ( 1878 -- 79 , 1880 -- 81 , 1881 -- 82 , 1882 -- 83 )   Most goals ( one final ) : 3 , Billy Townley ( Blackburn Rovers ) ( 1890 ) , James Logan ( Notts County ) ( 1894 ) &amp; Stan Mortensen ( Blackpool ) ( 1953 )   Most goals ( all finals ) : 5 , Ian Rush ( Liverpool )   Most finals scored in : 4 , Didier Drogba ( Chelsea ) ( 2007 , 2009 , 2010 , 2012 )   Youngest FA Cup finalist : Curtis Weston ( Millwall ) , 17 years and 119 days   Youngest player to score in an FA Cup Final : Norman Whiteside ( Manchester United ) , 18 years and 19 days   Oldest player : Billy Hampson , 41 years and 257 days ( for Newcastle United v. Aston Villa , 1923 -- 24 )    All Rounds ( edit )    Most FA Cup goals scored : 844 : Kettering town   Most FA Cup goals conceded : 539 : Aston Villa .   Highest FA Cup goal difference : + 305 : Aston Villa .   Most FA Cup games played : 440 : Arsenal .   Most FA Cup games won : 236 : Manchester United .   Most FA Cup games lost : 128 : Notts County .   Most FA Cup games drawn : 103 : Arsenal .   Biggest win : Preston North End 26 -- 0 Hyde ( First Round , 15 October 1887 )   Biggest away win : Clapton 0 -- 14 Nottingham Forest ( First Round , 17 January 1891 ) and Boston United 0 - 14 Spalding United ( First Qualifying Round , 1964   Biggest away win by a non-league club against a league club : Derby County 1 -- 6 Boston United ( Second Round , 1955 / 56 )   Most clubs competing for trophy in a season : 763 ( 2011 -- 12 )   Longest tie : 660 minutes ( 6 matches in total ) , Oxford City v. Alvechurch ( Fourth Qualifying Round , 1971 -- 72 ; Alvechurch won the sixth match 1 -- 0 )   Longest penalty shootout : 20 penalties each , Tunbridge Wells v. Littlehampton Town ( Preliminary Round Replay , 31 August 2005 ; Tunbridge Wells won 16 -- 15 )   Most rounds played in a season : 9 , joint record :   Brighton &amp; Hove Albion ( 1932 -- 33 : 1st -- 4th Qualifying Rounds , 1st -- 5th Rounds )   New Brighton ( 1956 -- 57 : Preliminary , 1st -- 4th Qualifying Rounds , 1st -- 4th Rounds )   Blyth Spartans ( 1977 -- 78 : 1st -- 4th Qualifying Rounds , 1st -- 5th Rounds )   Harlow Town ( 1979 -- 80 : Preliminary , 1st -- 4th Qualifying Rounds , 1st -- 4th Rounds )     Most games played in a season : 13 , Bideford ( 1973 -- 74 : one First Qualifying , two Second Qualifying , five Third Qualifying , four Fourth Qualifying and one First Round )   Fastest goal : 4 seconds , Gareth Morris ( for Ashton United v. Skelmersdale United , 17 September 2001 )   Most consecutive games without defeat : 22 , Blackburn Rovers ( 1884 -- 1886 )     Most consecutive games without defeat : ( Excluding defeat by penalty shoot - out ) 29 , Chelsea ( 2009 -- 13 )   Fastest hat - trick : 2 min 20 sec , Andy Locke ( for Nantwich Town v. Droylsden , 1995 )   Most Career Goals : 49 , Henry `` Harry '' Cursham ( Notts County between 1877 and 1888 ) .   Most goals by a player in a single FA Cup season : 19 , Jimmy Ross ( for Preston North End , 1887 - 88 ) .   Most goals by a player in a single FA Cup game : 9 , Ted MacDougall ( for AFC Bournemouth in 1971 )   Scoreline : Two examples of teams scoring 7 goals and not winning -- Dulwich Hamlet 8 -- 7 St Albans City ( Fourth Qualifying Round Replay , 22 November 1922 ) , and Dulwich Hamlet 7 -- 7 Wealdstone ( Fourth Qualifying Round , 16 November 1929 ) .   Youngest player : Andy Awford , 15 years and 88 days ( for Worcester City v. Boreham Wood , Third qualifying round , 1987 -- 88 ) ,   Youngest goalscorer : Sean Cato , 16 years and 25 days ( for Barrow Town v. Rothwell Town , 2011 -- 12 )   Youngest goalscorer ( proper rounds ) : George Williams , 16 years , 2 months and 5 days ( for Milton Keynes Dons v. Nantwich Town , 2011 -- 12 )    League Cup ( edit )   Final ( edit )    Most wins ( team ) : 8 , Liverpool ( 1981 , 1982 , 1983 , 1984 , 1995 , 2001 , 2003 , 2012 )   Biggest win in a final : 5 goals : Swansea City 5 -- 0 Bradford City ( 2013 )   Most goals in a final ( Since one - off match ) : 5 goals ( joint record )   Queens Park Rangers 3 -- 2 West Bromwich Albion ( 1967 )   Aston Villa 3 -- 2 Everton ( 1977 ) ( Second replay )   Nottingham Forest 3 -- 2 Southampton ( 1979 )   Luton Town 3 -- 2 Arsenal ( 1988 )   Chelsea 3 -- 2 Liverpool ( 2005 )   Swansea City 5 -- 0 Bradford City ( 2013 )   Manchester United 3 -- 2 Southampton ( 2017 )     Most appearances ( team ) : 12 , Liverpool   Most wins ( individual ) : 5 , Ian Rush ( Liverpool , 1980 -- 81 , 1981 -- 82 , 1982 -- 83 , 1983 -- 84 , 1994 -- 95 )   Most defeats in a final : 6 , Arsenal ( 1968 , 1969 , 1988 , 2007 , 2011 , 2018 )   Most appearances without winning : 2 :   West Ham United   Everton   Bolton Wanderers   Sunderland   Southampton     Lowest ranked winners : Queens Park Rangers , Swindon Town -- Third Division ( now EFL League One )   Lowest ranked finalists : Rochdale -- Fourth Division ( now EFL League Two ) and Bradford City ( EFL League Two )   Fastest goal in League Cup Final : 45 seconds , John Arne Riise ( Liverpool v. Chelsea in 3 -- 2 defeat , 2005 )    All Rounds ( edit )    Biggest win ( single match ) : 10 -- 0 , joint record :   West Ham United 10 -- 0 Bury ( Second round , second leg , 25 October 1983 )   Liverpool 10 -- 0 Fulham ( Second round , first leg , 23 September 1986 )     Biggest win ( aggregate ) : by 11 goals , joint record :   Liverpool 13 -- 2 Fulham ( 10 -- 0 First leg &amp; 3 -- 2 Second leg , 1986 )   Bury 1 -- 12 West Ham United ( 1 -- 2 First leg &amp; 0 -- 10 Second leg , 1983 )   Liverpool 11 -- 0 Exeter City ( 5 -- 0 First leg &amp; 6 -- 0 Second leg , 1981 )   Watford 11 -- 0 Darlington ( 8 -- 0 First leg &amp; 3 -- 0 Second leg , 1987 )   Everton 11 - 0 Wrexham ( 5 - 0 First leg : Away &amp; 6 - 0 Second leg : Home , 1990 )     Most career goals : 49 , joint record :   Geoff Hurst ( West Ham United and Stoke City , 1958 to 1976 )   Ian Rush ( Liverpool and Newcastle United , 1980 to 1998 )     Most goals in a single match : 6 , Frankie Bunn ( for Oldham Athletic v. Scarborough , 25 October 1989 , in their 7 -- 0 win )   Most goals by a losing side : Reading ( 5 ) , Reading v. Arsenal , 30 October 2012 in their 5 -- 7 defeat ( after extra time )   Most goals by a side without winning : Dagenham &amp; Redbridge ( 6 ) , Brentford v. Dagenham &amp; Redbridge , 11 August 2014 in a 6 - 6 draw ( Brentford won 4 -- 2 on penalties ) .    FA Charity / Community Shield ( edit )   Final ( edit )    Most wins ( team ) : 21 ( 17 outright , 4 shared ) , Manchester United ( 1908 , 1911 , 1952 , 1956 , 1957 , 1965 , 1967 , 1977 , 1983 , 1990 , 1993 , 1994 , 1996 , 1997 , 2003 , 2007 , 2008 , 2010 , 2011 , 2013 , 2016 )   Most appearances ( team ) : 30 , Manchester United ( 1908 , 1911 , 1948 , 1952 , 1956 , 1957 , 1963 , 1965 , 1967 , 1977 , 1983 , 1985 , 1990 , 1993 , 1994 , 1996 , 1997 , 1998 , 1999 , 2000 , 2001 , 2003 , 2004 , 2007 , 2008 , 2009 , 2010 , 2011 , 2013 , 2016 )   Record scoreline : Manchester United 8 -- 4 Swindon Town in 1911   Most wins ( individual ) : 9 , Ryan Giggs all outright wins ( 1993 , 1994 , 1996 , 1997 , 2003 , 2007 , 2008 , 2010 , 2013 )   Most appearances ( individual ) : 15 , Ryan Giggs of Manchester United ( 1993 , 1994 , 1996 , 1997 , 1998 , 1999 , 2000 , 2001 , 2003 , 2004 , 2007 , 2008 , 2009 , 2010 , 2013 )   Most defeats ( individual ) : 6 , Ryan Giggs ( 1998 , 1999 , 2000 , 2001 , 2004 , 2009 )   Most consecutive wins : 4 , Everton ( 1984 , 1985 , 1986 ( shared ) , 1987 )   Most consecutive defeats : 4 , Manchester United ( 1998 , 1999 , 2000 , 2001 )   Most consecutive appearances : 6 , Manchester United ( 1996 , 1997 , 1998 , 1999 , 2000 , 2001 )   Most consecutive appearances ( individual ) : 6 , Ryan Giggs ( 1996 , 1997 , 1998 , 1999 , 2000 , 2001 )    All competitions ( edit )    Fastest century of goals scored during a Premier League season ( in fewest no. of games played ) : 103 goals scored in 34 games by Manchester City in season 2013 -- 14 . Previous record : 100 goals scored in 42 games by Chelsea in season 2012 -- 13 ( excludes games played / goals scored in FA Community Shield ( 1 / 2 ) , UEFA Super Cup ( 1 / 1 ) and FIFA Club World Cup ( 2 / 3 ) ) .   Fastest century of goals scored during a Premier League season ( in elapsed calendar days ) : 103 goals scored on 18 January 2014 by Manchester City in 2013 -- 14 . Previous record : 100 goals scored on 21 February 2013 by Chelsea in season 2012 -- 13 ( excludes games played / goals scored in FA Community Shield ( 1 / 2 ) , UEFA Super Cup ( 1 / 1 ) and FIFA Club World Cup ( 2 / 3 ) ) .   Most consecutive penalty shoot out wins : 9 by Bradford City between 6 October 2009 and 11 December 2012   Football League Cup ( 5th Round ) , 11 December 2012 , Bradford City beat Arsenal 3 -- 2 on penalties ( score 1 -- 1 after extra time )   FA Cup ( 2nd Round Proper replay ) , 13 November 2012 , Bradford City beat Northampton Town 4 -- 2 on penalties ( score 3 -- 3 after extra time )   Football League Cup ( 4th Round ) , 30 October 2012 , Bradford City beat Wigan Athletic 4 -- 2 on penalties ( score 0 -- 0 after extra time )   Football League Trophy ( 2nd Round ) , 9 October 2012 , Bradford City beat Hartlepool United 3 -- 2 on penalties ( score 0 -- 0 after normal time )   Football League Trophy ( Quarter - finals ) , 8 November 2011 , Bradford City beat Sheffield United 6 -- 5 on penalties ( score 1 -- 1 after normal time )   Football League Trophy ( 2nd Round ) , 4 October 2011 , Bradford City beat Huddersfield Town 4 -- 3 on penalties ( score 2 -- 2 after normal time )   Football League Trophy ( 1st Round ) , 30 August 2011 , Bradford City beat Sheffield Wednesday 3 -- 1 on penalties ( score 0 -- 0 after normal time )   Football League Trophy ( Quarter - finals ) , 10 November 2009 , Bradford City beat Port Vale 5 -- 4 on penalties ( score 2 -- 2 after normal time )   Football League Trophy ( 2nd Round ) , 6 October 2009 , Bradford City beat Notts County 3 -- 2 on penalties ( score 2 -- 2 after normal time )     Fastest penalty awarded : 6 seconds . Chester v Witton Albion -- 13 December 2016 . Referee Joseph Johnson awarded a penalty when Blaine Hudson upended Tolani Omotola after 6 seconds .    Attendance Records ( edit )    Record attendance : 126,047 -- Bolton Wanderers v West Ham United played at Wembley FA Cup Final ( 28 April 1923 ) .   Record attendance at club ground : 121,919 -- Aston Villa v Sunderland played at Crystal Palace FA Cup Final ( 19 April 1913 ) .   Record home attendance : 85,512 -- Tottenham Hotspur v Bayer Leverkusen played at Wembley UEFA Champions League ( 2 November 2016 ) .   Record home attendance at own stadium : 84,569 -- Manchester City v Stoke City played at Maine Road FA Cup R6 ( 3 March 1934 ) .   Record league attendance : 83,260 -- Manchester United v Arsenal played at Maine Road First Division ( 17 January 1948 ) .   Record league attendance at own stadium : 82,905 -- Chelsea v Arsenal played at Stamford Bridge First Division ( 12 October 1935 ) .   Record attendance at new Wembley : 89,874 -- Portsmouth v Cardiff FA Cup Final ( 17 May 2008 ) .    List of English record winners of elite competitions ( edit )  This section is about the record winners of these competitions only . For a complete ranking of English football clubs by the number of wins in these competitions , see List of football clubs in England by competitive honours won .  These tables list the clubs that have won elite honours an English record number of times . It lists all international competitions organised by UEFA and FIFA . It also lists elite competitions organised by the English governing bodies the English Football League , the Premier League , and The Football Association ; those competitions where clubs would n't have qualified for a higher alternative competition , and those which were neither invitational nor regional .   Ongoing competitions ( edit )   English record winners of all ongoing elite competitions   Competition   Record club   Total wins   Newest win   Notes     English Champions   Manchester United   20   2013       FA Cup   Arsenal   13   2017       EFL Cup   Liverpool   8   2012       FA Community Shield   Manchester United   21   2016       UEFA Champions League   Liverpool   5   2005       UEFA Europa League   Liverpool     2001       UEFA Super Cup   Liverpool     2005       FIFA Club World Cup   Manchester United     2008       Discontinued competitions ( edit )   This table follows the elite criteria above . It also includes any competitions that were not directly run by the governing bodies but were precursors to such competitions .   English record winners of discontinued elite competitions   Competition   Record club   Total wins   Newest win   Notes     Full Members Cup   Chelsea &amp; Nottingham Forest           Football League Centenary Trophy   Arsenal     1988       Sheriff of London Charity Shield   Corinthian     1904       UEFA Cup Winners ' Cup   Chelsea     1998       Inter-Cities Fairs Cup   Leeds United     1971       Intercontinental Cup   Manchester United     1999       Managers ( edit )    Longest - serving manager at one club : Fred Everiss , 46 years ( West Bromwich Albion 1902 -- 1948 )   Shortest - serving manager at one club ( excluding caretakers ) : Leroy Rosenior , 10 minutes ( Torquay United , 17 May 2007 )   Most trophy wins : Sir Alex Ferguson , 38 ( Manchester United )   Most League title wins : Sir Alex Ferguson , 13 ( Manchester United )   Most FA Cup wins : Arsène Wenger , 7 ( Arsenal )   Most League Cup wins : 4 , joint record :   Brian Clough with Nottingham Forest   Sir Alex Ferguson with Manchester United   José Mourinho with Chelsea and Manchester United     Most FA Charity / Community Shield wins : Sir Alex Ferguson , 10 ( 9 outright , 1 shared ) ( Manchester United )   Most Intercontinental Cup / FIFA Club World Cup wins : Sir Alex Ferguson , 2 ( Manchester United )   Most European Cup / UEFA Champions League wins : Bob Paisley , 3 ( Liverpool ) *   Most Inter-Cities Fairs Cup / UEFA Cup / Europa League wins : Don Revie , 2 ( Leeds United )   Most top - flight League game wins : Sir Alex Ferguson , 625 games ( Manchester United )   Most European Cup / UEFA Champions League game wins : Sir Alex Ferguson , 110 games ( Manchester United )    ( * ) This is also a joint overall European record .   Footnotes ( edit )    Jump up ^ GGM 26 : Arsenal clinch a hat - trick of titles News Archive News Arsenal.com Archived 20 October 2011 at the Wayback Machine .   Jump up ^ All - Time Arsenal The Club Arsenal.com   ^ Jump up to : English Football League and F.A. Premier League Tables 1888 - 2016 by Michael Robinson ( 2016 )   ^ Jump up to : England -- First Level All - Time Tables   ^ Jump up to : England -- Professional Football All - Time Tables   Jump up ^ Bloomfield , Craig ( 12 September 2011 ) . `` Top 10 starts to a season : Man United , Man City , Liverpool , Arsenal , Leeds United , Spurs and Preston '' . talksport.com . Talksport . Retrieved 5 August 2016 .   Jump up ^ `` Club Honours and Records '' . Reading F.C. 11 July 2012 . Archived from the original on 14 February 2013 . Retrieved 15 September 2012 .   Jump up ^ Bate , Adam ( 27 December 2017 ) . `` Manchester City have won 18 games in a row : Who can stop them now ? '' . Sky Sports . Retrieved 27 December 2017 .   Jump up ^ Clayton , David </t>
  </si>
  <si>
    <t xml:space="preserve">most goals in all competitions in premier league</t>
  </si>
  <si>
    <t xml:space="preserve">  Most league goals scored in a season : ( 134 ) Peterborough United ( Fourth Division , 1960 -- 61 )   Most top - flight goals scored in a season ( 42 games ) : 128 , Aston Villa ( First Division , 1930 -- 31 )   Most top - flight goals scored in a season ( 38 games ) : 106 , Manchester City ( Premier League , 2017 -- 18 )   Most goals scored in all competitions in a season by a top - flight side : 156 , Manchester City ( 2013 -- 14 )   Most top - flight goals scored in total : 6929 , Everton. - to end 2016 / 17 season   Most home league goals scored in a season : 87 , Millwall ( Third Division South , 1927 -- 28 )   Most away league goals scored in a season : 60 , Arsenal ( First Division , 1930 -- 31 )   Most consecutive games scoring : 55 , Arsenal ( Premier League , 19 May 2001 -- 30 November 2002 )   Most consecutive games without scoring : 11 , Coventry City ( Second Division , 1919 -- 20 ) and Hartlepool United ( League Two , 1992 -- 93 )   First league goal awarded by goal - line technology : scored by Edin Džeko in the 14th minute of the Premier League game between Manchester City and Cardiff City on 18 January 2014 . The game was officiated by Neil Swarbrick , who consulted his watch when Cardiff defender Kevin McNaughton quickly cleared the ball away just after it entered the goal .  </t>
  </si>
  <si>
    <r>
      <rPr>
        <sz val="11"/>
        <color rgb="FF000000"/>
        <rFont val="Calibri"/>
        <family val="0"/>
        <charset val="1"/>
      </rPr>
      <t xml:space="preserve">Feudal baron - wikipedia  Feudal baron  Jump to : navigation , search  Historically , feudal barons were the king 's tenants - in - chief , that is to say men who held land by feudal tenure directly from the king as their sole overlord and were granted by him a legal jurisdiction ( court baron ) over their territory , the barony , comprising several manors . Such men , if not already noblemen , were ennobled by obtaining such tenure , and had thenceforth an obligation , upon summons by writ , to attend the king 's peripatetic court , the earliest form of Parliament and the House of Lords . They thus formed the baronage , which later formed a large part of the peerage of England .     Contents  ( hide )   1 England   2 Scotland   3 Irish feudal barony   4 References      England ( edit )  Main article : English feudal barony  English feudal baronies ( and all lesser forms of feudal tenure ) were abolished by the Tenures Abolition Act 1660 , but long before then the royal summons to attend parliament had been withheld from all but the most powerful feudal barons and had been extended to persons with lesser feudal tenures who had personal qualities fitting them to be royal councillors and thus peers . These latter were barons by writ .   The English feudal barony , or `` barony by tenure '' , now has no legal existence . It was the highest form of feudal land tenure , namely per baroniam ( Latin for `` by barony '' ) under which the land - holder owed the now little understood service of `` being one of the king 's barons '' . It must be distinguished from the lesser barony , also feudal , which existed within a county palatine , such as the barony of Halton within the Palatinate of Chester . Such barons were merely tenants - in - chief of a prince , whose own overlord was the king . The duties and privileges owed by feudal barons can not now be defined exactly but the main duty certainly was the provision of soldiers to the royal feudal army on demand by the king , and a further duty , which involved considerable expense and travel , clearly also a privilege , was the attendance at the king 's feudal court , the precursor of Parliament . The principal benefit clearly was the revenue generated from rents and production within the demesne lands of the barony , and also the personal power and prestige derived from the feudal service of the tenants , the highest level of whom , lords of their own manors , became knights in the baron 's retinue . The estate - in - land held by barony if containing a significant castle as its caput and if especially large , that is to say consisting of more than about 20 knight 's fees ( each loosely equivalent to a manor ) , was termed an `` honour '' . Constituent manors of a barony were mostly subinfeudated by the baron to his own knights or followers , with a few retained tenantless as his demesne . Most English Feudal Barons were converted to baronies of writ or peerage according to the Abolition Act of 1660 . The baronies not converted became baronies of free socage , a dignity title .   There exist today a very few cases of English families which , had it not been for the 1660 Act , would still be feudal barons of ancient creation . One such is the Berkeley family , which although its Earldom of Berkeley became extinct in 1942 and it recently lost its older peerage title Baron Berkeley to a female line , still possesses and resides ( that is to say retains tenure ) as county gentry at Berkeley Castle in 2014 , the caput of the feudal barony of Berkeley granted by King Henry II ( 1154 - 1189 ) to its direct ancestor in the male line Robert FitzHarding ( d. 1171 ) , whose son took the surname de Berkeley .   Scotland ( edit )  Main article : Scottish feudal barony  In contrast , the Scottish feudal barony retains a dignity preserved by the `` Abolition of Feudal Tenure , etc ( Scotland ) Act 2000 '' . A feudal barony is the only title of dignity legally assignable and able to be legally alienated from the bloodline of its previous possessor . The heraldry and legal determination of ownership of Scottish baronies are governed by the court of the Lord Lyon .   Irish feudal barony ( edit )   The Irish feudal barony also existed .   References ( edit )    Jump up ^ Several of the men granted feudal baronies by William the Conqueror were of obscure Norman origin who had served conspicuously during the Norman Conquest and had revealed valuable personal qualities to a king seeking to establish his rule in a conquered land ( e.g. Turstin FitzRolf , feudal baron of North Cadbury )   Jump up ^ Sanders ( 1960 ) , p. 138 , refers to the `` Lord '' of Halton being the hereditary constable of the County Palatine of Chester , and omits Halton from both his lists   Jump up ^ Debrett 's Peerage , 1968 , p. 140   Jump up ^ Sanders , I.J. English Baronies : A Study of their Origin and Descent 1086 - 1327 , Oxford , 1960 , p. 13   Retrieved from `` https://en.wikipedia.org/w/index.php?title=Feudal_baron&amp;oldid=766765349 '' Categories :   Feudalism in England   Feudalism in Scotland           Talk                                           Contents                   About Wikipedia                                           </t>
    </r>
    <r>
      <rPr>
        <sz val="11"/>
        <color rgb="FF000000"/>
        <rFont val="Noto Sans CJK SC"/>
        <family val="2"/>
      </rPr>
      <t xml:space="preserve">日本 語   </t>
    </r>
    <r>
      <rPr>
        <sz val="11"/>
        <color rgb="FF000000"/>
        <rFont val="Calibri"/>
        <family val="0"/>
        <charset val="1"/>
      </rPr>
      <t xml:space="preserve">Edit links   This page was last edited on 22 February 2017 , at 00 : 55 .         About Wikipedia                    </t>
    </r>
  </si>
  <si>
    <t xml:space="preserve">what did the barons do in the feudal system</t>
  </si>
  <si>
    <t xml:space="preserve"> Historically , feudal barons were the king 's tenants - in - chief , that is to say men who held land by feudal tenure directly from the king as their sole overlord and were granted by him a legal jurisdiction ( court baron ) over their territory , the barony , comprising several manors . Such men , if not already noblemen , were ennobled by obtaining such tenure , and had thenceforth an obligation , upon summons by writ , to attend the king 's peripatetic court , the earliest form of Parliament and the House of Lords . They thus formed the baronage , which later formed a large part of the peerage of England . </t>
  </si>
  <si>
    <t xml:space="preserve">Dolphin - wikipedia  Dolphin  This article is about the marine mammals . For other uses , see Dolphin ( disambiguation ) .      Dolphins     Dolphins are an informal grouping of the infraorder Cetacea     Bottlenose dolphin     Information     Classification of Cetacea     Kingdom : Animalia   Phylum : Chordata   Class : Mammalia   Order : Cetartiodactyla   Clade : Cetancodontamorpha   Suborder : Whippomorpha   Infraorder : Cetacea       Families thought of as dolphins       Delphinidae   Iniidae   † Lipotidae   Platanistidae   Pontoporiidae                     Dolphins are a widely distributed and diverse group of aquatic mammals . They are an informal grouping within the order Cetacea , excluding whales and porpoises , so to zoologists the grouping is paraphyletic . The dolphins comprise the extant families Delphinidae ( the oceanic dolphins ) , Platanistidae ( the Indian river dolphins ) , Iniidae ( the new world river dolphins ) , and Pontoporiidae ( the brackish dolphins ) , and the extinct Lipotidae ( baiji or Chinese river dolphin ) . There are 40 extant species of dolphins . Dolphins , alongside other cetaceans , belong to the clade Cetartiodactyla with even - toed ungulates . Cetaceans ' closest living relatives are the hippopotamuses , having diverged about 40 million years ago .   Dolphins range in size from the 1.7 m ( 5.6 ft ) long and 50 kg ( 110 lb ) Maui 's dolphin to the 9.5 m ( 31 ft ) and 10 t ( 11 short tons ) killer whale . Several species exhibit sexual dimorphism , in that the males are larger than females . They have streamlined bodies and two limbs that are modified into flippers . Though not quite as flexible as seals , some dolphins can travel at 55.5 km / h ( 34.5 mph ) . Dolphins use their conical shaped teeth to capture fast moving prey . They have well - developed hearing which is adapted for both air and water and is so well developed that some can survive even if they are blind . Some species are well adapted for diving to great depths . They have a layer of fat , or blubber , under the skin to keep warm in the cold water .   Although dolphins are widespread , most species prefer the warmer waters of the tropic zones , but some , like the right whale dolphin , prefer colder climates . Dolphins feed largely on fish and squid , but a few , like the killer whale , feed on large mammals , like seals . Male dolphins typically mate with multiple females every year , but females only mate every two to three years . Calves are typically born in the spring and summer months and females bear all the responsibility for raising them . Mothers of some species fast and nurse their young for a relatively long period of time . Dolphins produce a variety of vocalizations , usually in the form of clicks and whistles .   Dolphins are sometimes hunted in places like Japan , in an activity known as dolphin drive hunting . Besides drive hunting , they also face threats from bycatch , habitat loss , and marine pollution . Dolphins have been depicted in various cultures worldwide . Dolphins occasionally feature in literature and film , as in the film series Free Willy . Dolphins are sometimes kept in captivity and trained to perform tricks . The most common dolphin species kept is the bottlenose dolphin , while there are around 60 captive killer whales .   Contents    1 Etymology   2 Taxonomy and distribution   2.1 Ocean dolphins   2.2 River dolphins   2.3 Hybridization     3 Evolution   4 Anatomy   4.1 Locomotive   4.2 Sensory     5 Behavior   5.1 Socialization   5.2 Reproduction and sexuality   5.3 Feeding   5.4 Vocalization   5.5 Jumping and playing   5.6 Intelligence   5.7 Sleeping     6 Threats   6.1 Humans     7 Relationships with humans   7.1 In history and religion   7.2 In captivity   7.2. 1 Species   7.2. 2 Controversy   7.2. 3 Military   7.2. 4 Therapy     7.3 Consumption   7.3. 1 Cuisine   7.3. 2 Health concerns       8 See also   9 References   10 Further reading   11 External links    Etymology   The name is originally from Greek δελφίς ( delphís ) , `` dolphin '' , which was related to the Greek δελφύς ( delphus ) , `` womb '' . The animal 's name can therefore be interpreted as meaning `` a ' fish ' with a womb '' . The name was transmitted via the Latin delphinus ( the romanization of the later Greek δελφῖνος -- delphinos ) , which in Medieval Latin became dolfinus and in Old French daulphin , which reintroduced the ph into the word . The term mereswine ( that is , `` sea pig '' ) has also historically been used .   The term ' dolphin ' can be used to refer to , under the parvorder Odontoceti , all the species in the family Delphinidae ( oceanic dolphins ) and the river dolphin families Iniidae ( South American river dolphins ) , Pontoporiidae ( La Plata dolphin ) , Lipotidae ( Yangtze river dolphin ) and Platanistidae ( Ganges river dolphin and Indus river dolphin ) . This term has often been misused in the US , mainly in the fishing industry , where all small cetaceans ( dolphins and porpoises ) are considered porpoises , while the fish dorado is called dolphin fish . In common usage the term ' whale ' is used only for the larger cetacean species , while the smaller ones with a beaked or longer nose are considered ' dolphins ' . The name ' dolphin ' is used casually as a synonym for bottlenose dolphin , the most common and familiar species of dolphin . There are six species of dolphins commonly thought of as whales , collectively known as blackfish : the killer whale , the melon - headed whale , the pygmy killer whale , the false killer whale , and the two species of pilot whales , all of which are classified under the family Delphinidae and qualify as dolphins . Though the terms ' dolphin ' and ' porpoise ' are sometimes used interchangeably , porpoises are not considered dolphins and have different physical features such as a shorter beak and spade - shaped teeth ; they also differ in their behavior . Porpoises belong to the family Phocoenidae and share a common ancestry with the Delphinidae .   A group of dolphins is called a `` school '' or a `` pod '' . Male dolphins are called `` bulls '' , females `` cows '' and young dolphins are called `` calves '' .   Taxonomy and distribution  Common dolphin Bottlenose dolphin Spotted dolphin Atlantic spotted dolphin Commerson 's dolphin Dusky dolphin Killer whale Amazon river dolphin   Parvorder Odontoceti , toothed whales   Family Platanistidae   Ganges and Indus river dolphin , Platanista gangetica with two subspecies   Ganges river dolphin ( or Susu ) , Platanista gangetica gangetica   Indus river dolphin ( or Bhulan ) , Platanista gangetica minor       Family Iniidae   Amazon river dolphin ( or Boto ) , Inia geoffrensis   Orinoco river dolphin ( the Orinoco subspecies ) , Inia geoffrensis humboldtiana     Araguaian river dolphin ( Araguaian boto ) , Inia Araguaiaensis   Bolivian river dolphin , Inia boliviensis     Family Lipotidae   Baiji ( or Chinese river dolphin ) , Lipotes vexillifer ( possibly extinct , since December 2006 )     Family Pontoporiidae   La Plata dolphin ( or Franciscana ) , Pontoporia blainvillei     Family Delphinidae , oceanic dolphins   Genus Delphinus   Long - beaked common dolphin , Delphinus capensis   Short - beaked common dolphin , Delphinus delphis     Genus Tursiops   Common bottlenose dolphin , Tursiops truncatus   Indo - Pacific bottlenose dolphin , Tursiops aduncus   Burrunan dolphin , Tursiops australis , a newly discovered species from the sea around Melbourne in September 2011 .     Genus Lissodelphis   Northern right whale dolphin , Lissodelphis borealis   Southern right whale dolphin , Lissodelphis peronii     Genus Sotalia   Tucuxi , Sotalia fluviatilis   Costero , Sotalia guianensis     Genus Sousa   Indo - Pacific humpback dolphin , Sousa chinensis   Chinese white dolphin , Sousa chinensis chinensis     Atlantic humpback dolphin , Sousa teuszii     Genus Stenella   Atlantic spotted dolphin , Stenella frontalis   Clymene dolphin , Stenella clymene   Pantropical spotted dolphin , Stenella attenuata   Spinner dolphin , Stenella longirostris   Striped dolphin , Stenella coeruleoalba     Genus Steno   Rough - toothed dolphin , Steno bredanensis     Genus Cephalorhynchus   Chilean dolphin , Cephalorhynchus eutropia   Commerson 's dolphin , Cephalorhynchus commersonii   Haviside 's dolphin , Cephalorhynchus heavisidii   Hector 's dolphin , Cephalorhynchus hectori     Genus Grampus   Risso 's dolphin , Grampus griseus     Genus Lagenodelphis   Fraser 's dolphin , Lagenodelphis hosei     Genus Lagenorhynchus   Atlantic white - sided dolphin , Lagenorhynchus acutus   Dusky dolphin , Lagenorhynchus obscurus   Hourglass dolphin , Lagenorhynchus cruciger   Pacific white - sided dolphin , Lagenorhynchus obliquidens   Peale 's dolphin , Lagenorhynchus australis   White - beaked dolphin , Lagenorhynchus albirostris     Genus Orcaella   Australian snubfin dolphin , Orcaella heinsohni   Irrawaddy dolphin , Orcaella brevirostris     Genus Peponocephala   Melon - headed whale , Peponocephala electra     Genus Orcinus   Killer whale ( Orca ) , Orcinus orca     Genus Feresa   Pygmy killer whale , Feresa attenuata     Genus Pseudorca   False killer whale , Pseudorca crassidens     Genus Globicephala   Long - finned pilot whale , Globicephala melas   Short - finned pilot whale , Globicephala macrorhynchus     Genus † Australodelphis   † Australodelphis mirus         Six species in the family Delphinidae are commonly called `` whales '' , but genetically are dolphins . They are sometimes called blackfish .   Melon - headed whale , Peponocephala electra   Killer whale ( Orca ) , Orcinus orca   Pygmy killer whale , Feresa attenuata   False killer whale , Pseudorca crassidens   Long - finned pilot whale , Globicephala melas   Short - finned pilot whale , Globicephala macrorhynchus      Ocean dolphins     Name   Repartition   Image     La Plata dolphin   South America ( east )       Long - beaked common dolphin   cosmopolitan       Short - beaked common dolphin   cosmopolitan       Common bottlenose dolphin   cosmopolitan       Indo - Pacific bottlenose dolphin   Indo - Pacific       Burrunan dolphin   Australia ( south - east )       Northern right whale dolphin   Pacific ( north )       Southern right whale dolphin   Southern Ocean       Guiana dolphin   South America ( north &amp; east )       Indo - Pacific humpbacked dolphin   Indo - Pacific       Atlantic humpback dolphin   Africa ( west )       Australian humpback dolphin   Australia ( north ) &amp; New Guinea       Atlantic spotted dolphin   Atlantic       Clymene dolphin   Atlantic       Pantropical spotted dolphin   pantropical       Spinner dolphin   pantropical       Striped dolphin   cosmopolitan       Rough - toothed dolphin   cosmopolitan       Chilean dolphin   South America ( south - west )       Commerson 's dolphin   South America ( south - east )       Haviside 's dolphin   Africa ( south - west )       Hector 's dolphin   New - Zealand ( South Island )       Risso 's dolphin   cosmopolitan       Fraser 's dolphin   pantropical       Atlantic white - sided dolphin   Atlantic ( north ) , North &amp; Baltic Sea       Dusky dolphin   southern hemisphere       Hourglass dolphin   Southern Ocean       Pacific white - sided dolphin   Pacific ( north )       Peale 's dolphin   South America ( south )       White - beaked dolphin   Atlantic ( north ) , North &amp; Baltic Sea       Australian snubfin dolphin   Australia ( north )       Irrawaddy dolphin   Indo - Pacific       Melon - headed whale   pantropical       Killer whale   cosmopolitan       Pygmy killer whale   pantropical       False killer whale   cosmopolitan       Short - finned pilot whale   cosmopolitan       Long - finned pilot whale   Atlantic ( north ) &amp; Southern Ocean       River dolphins     Name   Repartition   Image     Baiji   Yangtze River       South Asian river dolphin   Asia ( south )       Amazon river dolphin   Amazon Basin       Araguaian river dolphin   Amazon ( east )       Bolivian river dolphin   Amazon ( Bolivia )       Tucuxi   Amazon Basin       Hybridization   In 1933 , three strange dolphins beached off the Irish coast ; they appeared to be hybrids between Risso 's and bottlenose dolphins . This mating was later repeated in captivity , producing a hybrid calf . In captivity , a bottlenose and a rough - toothed dolphin produced hybrid offspring . A common - bottlenose hybrid lives at SeaWorld California . Other dolphin hybrids live in captivity around the world or have been reported in the wild , such as a bottlenose - Atlantic spotted hybrid . The best known hybrid is the wolphin , a false killer whale - bottlenose dolphin hybrid . The wolphin is a fertile hybrid . Two wolphins currently live at the Sea Life Park in Hawaii ; the first was born in 1985 from a male false killer whale and a female bottlenose . Wolphins have also been observed in the wild .   Evolution  Main article : Evolution of cetaceans Dolphins display convergent evolution with fish and aquatic reptiles  Dolphins are descendants of land - dwelling mammals of the artiodactyl order ( even - toed ungulates ) . They are related to the Indohyus , an extinct chevrotain - like ungulate , from which they split approximately 48 million years ago .   The primitive cetaceans , or archaeocetes , first took to the sea approximately 49 million years ago and became fully aquatic by 5 -- 10 million years later .   Archaeoceti is a parvorder comprising ancient whales . These ancient whales are the predecessors of modern whales , stretching back to their first ancestor that spent their lives near ( rarely in ) the water . Likewise , the archaeocetes can be anywhere from near fully terrestrial , to semi-aquatic to fully aquatic , but what defines an archaeocete is the presence of visible legs or asymmetrical teeth . Their features became adapted for living in the marine environment . Major anatomical changes include the hearing set - up that channeled vibrations from the jaw to the earbone which occurred with Ambulocetus 49 million years ago , a streamlining of the body and the growth of flukes on the tail which occurred around 43 million years ago with Protocetus , the migration of the nasal openings toward the top of the cranium and the modification of the forelimbs into flippers which occurred with Basilosaurus 35 million years ago , and the shrinking and eventual disappearance of the hind limbs which took place with the first odontocetes and mysticetes 34 million years ago . The modern dolphin skeleton has two small , rod - shaped pelvic bones thought to be vestigial hind limbs . In October 2006 , an unusual bottlenose dolphin was captured in Japan ; it had small fins on each side of its genital slit , which scientists believe to be an unusually pronounced development of these vestigial hind limbs .   Today , the closest living relatives of cetaceans are the hippopotamuses ; these share a semi-aquatic ancestor that branched off from other artiodactyls some 60 million years ago . Around 40 million years ago , a common ancestor between the two branched off into cetacea and anthracotheres ; anthracotheres became extinct at the end of the Pleistocene two - and - a-half million years ago , eventually leaving only one surviving lineage : the hippo .   Anatomy  The anatomy of a dolphin showing its skeleton , major organs , tail and body shape  Dolphins have torpedo shaped bodies with generally non-flexible necks , limbs modified into flippers , non-existent external ear flaps , a tail fin , and bulbous heads . Dolphin skulls have small eye orbits , long snouts , and eyes placed on the sides of its head . Dolphins range in size from the 1.7 metres ( 5.6 ft ) long and 50 kilograms ( 110 lb ) Maui 's dolphin to the 9.5 metres ( 31 ft ) and 10 metric tons ( 11 short tons ) killer whale . Overall , however , they tend to be dwarfed by other Cetartiodactyls . Several species have female - biased sexual dimorphism , with the females being larger than the males .   Dolphins have conical teeth , as opposed to porpoises ' spade - shaped teeth . These conical teeth are used to catch swift prey such as fish , squid or large mammals , such as seal .   Breathing involves expelling stale air from their blowhole , forming an upward , steamy spout , followed by inhaling fresh air into the lungs , however this only occurs in the polar regions of the oceans . Dolphins have rather small , unidentifiable spouts .   All dolphins have a thick layer of blubber , thickness varying on climate . This blubber can help with buoyancy , protection to some extent as predators would have a hard time getting through a thick layer of fat , and energy for leaner times ; the primary usage for blubber is insulation from the harsh climate . Calves , generally , are born with a thin layer of blubber , which develops at different paces depending on the habitat .   Dolphins have a two - chambered stomach that is similar in structure to terrestrial carnivores . They have fundic and pyloric chambers .   Dolphins ' reproductive organs are located inside the body , with genital slits on the ventral ( belly ) side . Males have two slits , one concealing the dolphin penis and one further behind for the anus . Females have one genital slit , housing the vagina and the anus , with a mammary slit on either side .   Locomotive   Dolphins have two pectoral flippers , containing four digits , a boneless dorsal fin for stability , and a tail fin for propulsion . Although dolphins do not possess external hind limbs , some possess discrete rudimentary appendages , which may contain feet and digits . Dolphins are fast swimmers in comparison to seals which typically cruise at 9 -- 28 kilometres per hour ( 5.6 -- 17.4 mph ) ; the killer whale ( orca ) , in comparison , can travel at speeds up to 55.5 kilometres per hour ( 34.5 mph ) . The fusing of the neck vertebrae , while increasing stability when swimming at high speeds , decreases flexibility , which means they are unable to turn their heads . River dolphins , however , have non-fused neck vertebrae and are able to turn their head up to 90 ° . Dolphins swim by moving their tail fin and rear body vertically , while their flippers are mainly used for steering . Some species log out of the water , which may allow them to travel faster . Their skeletal anatomy allows them to be fast swimmers . All species have a dorsal fin to prevent themselves from involuntarily spinning in the water .   Some dolphins are adapted for diving to great depths . In addition to their streamlined bodies , some can slow their heart rate to conserve oxygen . Some can also re-route blood from tissue tolerant of water pressure to the heart , brain and other organs . Their hemoglobin and myoglobin store oxygen in body tissues and they have twice the concentration of myoglobin than hemoglobin .   Sensory  Biosonar by cetaceans  The dolphin ear has specific adaptations to the marine environment . In humans , the middle ear works as an impedance equalizer between the outside air 's low impedance and the cochlear fluid 's high impedance . In dolphins , and other marine mammals , there is no great difference between the outer and inner environments . Instead of sound passing through the outer ear to the middle ear , dolphins receive sound through the throat , from which it passes through a low - impedance fat - filled cavity to the inner ear . The dolphin ear is acoustically isolated from the skull by air - filled sinus pockets , which allow for greater directional hearing underwater . Dolphins send out high frequency clicks from an organ known as a melon . This melon consists of fat , and the skull of any such creature containing a melon will have a large depression . This allows dolphins to produce biosonar for orientation . Though most dolphins do not have hair , they do have hair follicles that may perform some sensory function . Beyond locating an object , echolocation also provides the animal with an idea on an object 's shape and size , though how exactly this works is not yet understood . The small hairs on the rostrum of the boto are believed to function as a tactile sense , possibly to compensate for the boto 's poor eyesight .   The dolphin eye is relatively small for its size , yet they do retain a good degree of eyesight . As well as this , the eyes of a dolphin are placed on the sides of its head , so their vision consists of two fields , rather than a binocular view like humans have . When dolphins surface , their lens and cornea correct the nearsightedness that results from the refraction of light ; they contain both rod and cone cells , meaning they can see in both dim and bright light , but they have far more rod cells than they do cone cells . Dolphins do , however , lack short wavelength sensitive visual pigments in their cone cells indicating a more limited capacity for color vision than most mammals . Most dolphins have slightly flattened eyeballs , enlarged pupils ( which shrink as they surface to prevent damage ) , slightly flattened corneas and a tapetum lucidum ; these adaptations allow for large amounts of light to pass through the eye and , therefore , a very clear image of the surrounding area . They also have glands on the eyelids and outer corneal layer that act as protection for the cornea .   The olfactory lobes are absent in dolphins , suggesting that they have no sense of smell .   Dolphins are not thought to have a good sense of taste , as their taste buds are atrophied or missing altogether . However , some have preferences between different kinds of fish , indicating some sort of attachment to taste .   Behavior  A pod of Indo - Pacific bottlenose dolphins in the Red Sea See also : Cetacean surfacing behaviour  Dolphins are often regarded as one of Earth 's most intelligent animals , though it is hard to say just how intelligent . Comparing species ' relative intelligence is complicated by differences in sensory apparatus , response modes , and nature of cognition . Furthermore , the difficulty and expense of experimental work with large aquatic animals has so far prevented some tests and limited sample size and rigor in others . Compared to many other species , however , dolphin behavior has been studied extensively , both in captivity and in the wild . See cetacean intelligence for more details .   Socialization  Dolphins surfing at Snapper Rocks , Queensland , Australia  Dolphins are highly social animals , often living in pods of up to a dozen individuals , though pod sizes and structures vary greatly between species and locations . In places with a high abundance of food , pods can merge temporarily , forming a superpod ; such groupings may exceed 1,000 dolphins . Membership in pods is not rigid ; interchange is common . Dolphins can , however , establish strong social bonds ; they will stay with injured or ill individuals , even helping them to breathe by bringing them to the surface if needed . This altruism does not appear to be limited to their own species . The dolphin Moko in New Zealand has been observed guiding a female Pygmy Sperm Whale together with her calf out of shallow water where they had stranded several times . They have also been seen protecting swimmers from sharks by swimming circles around the swimmers or charging the sharks to make them go away .   Dolphins communicate using a variety of clicks , whistle - like sounds and other vocalizations . Dolphins also use nonverbal communication by means of touch and posturing .   Dolphins also display culture , something long believed to be unique to humans ( and possibly other primate species ) . In May 2005 , a discovery in Australia found Indo - Pacific bottlenose dolphins ( Tursiops aduncus ) teaching their young to use tools . They cover their snouts with sponges to protect them while foraging . This knowledge is mostly transferred by mothers to daughters , unlike simian primates , where knowledge is generally passed on to both sexes . Using sponges as mouth protection is a learned behavior . Another learned behavior was discovered among river dolphins in Brazil , where some male dolphins use weeds and sticks as part of a sexual display .   Forms of care - giving between fellows and even for members of different species ( see Moko ( dolphin ) ) are recorded in various species - such as trying to save weakened fellows or female pilot whales holding up dead calves for long periods .   Dolphins engage in acts of aggression towards each other . The older a male dolphin is , the more likely his body is to be covered with bite scars . Male dolphins can get into disputes over companions and females . Acts of aggression can become so intense that targeted dolphins sometimes go into exile after losing a fight .   Male bottlenose dolphins have been known to engage in infanticide . Dolphins have also been known to kill porpoises for reasons which are not fully understood , as porpoises generally do not share the same diet as dolphins and are therefore not competitors for food supplies . The Cornwall Wildlife Trust records about one such death a year . Possible explanations include misdirected infanticide , misdirected sexual aggression or play behaviour .   Reproduction and sexuality  See also : Bottlenose dolphin § Reproduction , Dusky dolphin § Social behavior and reproduction , and Short - beaked common dolphin § Reproduction A skin - skeletal preparation  Dolphin copulation happens belly to belly ; though many species engage in lengthy foreplay , the actual act is usually brief , but may be repeated several times within a short timespan . The gestation period varies with species ; for the small Tucuxi dolphin , this period is around 11 to 12 months , while for the orca , the gestation period is around 17 months . Typically dolphins give birth to a single calf , which is , unlike most other mammals , born tail first in most cases . They usually become sexually active at a young age , even before reaching sexual maturity . The age of sexual maturity varies by species and gender .   Dolphins are known to display non-reproductive sexual behavior , engaging in masturbation , stimulation of the genital area of other individuals using the rostrum or flippers , and homosexual contact .   Various species of dolphin have been known to engage in sexual behavior up to and including copulation with dolphins of other species . Sexual encounters may be violent , with male dolphins sometimes showing aggressive behavior towards both females and other males . Male dolphins may also work together and attempt to herd females in estrus , keeping the females by their side by means of both physical aggression and intimidation , to increase their chances of reproductive success . Occasionally , dolphins behave sexually towards other animals , including humans .   Feeding   Various methods of feeding exist among and within species , some apparently exclusive to a single population . Fish and squid are the main food , but the false killer whale and the orca also feed on other marine mammals . Orcas on occasion also hunt whale species larger than themselves .   One common feeding method is herding , where a pod squeezes a school of fish into a small volume , known as a bait ball . Individual members then take turns plowing through the ball , feeding on the stunned fish . Coralling is a method where dolphins chase fish into shallow water to catch them more easily . Orcas and bottlenose dolphins have also been known to drive their prey onto a beach to feed on it , a behaviour known as beach or strand feeding . Some species also whack fish with their flukes , stunning them and sometimes knocking them out of the water .   Reports of cooperative human - dolphin fishing date back to the ancient Roman author and natural philosopher Pliny the Elder . A modern human - dolphin partnership currently operates in Laguna , Santa Catarina , Brazil . Here , dolphins drive fish towards fishermen waiting along the shore and signal the men to cast their nets . The dolphins ' reward is the fish that escape the nets .   Vocalization  Spectrogram of dolphin vocalizations . Whistles , whines , and clicks are visible as upside down V 's , horizontal striations , and vertical lines , respectively .  Dolphins are capable of making a broad range of sounds using nasal airsacs located just below the blowhole . Roughly three categories of sounds can be identified : frequency modulated whistles , burst - pulsed sounds and clicks . Dolphins communicate with whistle - like sounds produced by vibrating connective tissue , similar to the way human vocal cords function , and through burst - pulsed sounds , though the nature and extent of that ability is not known . The clicks are directional and are for echolocation , often occurring in a short series called a click train . The click rate increases when approaching an object of interest . Dolphin echolocation clicks are amongst the loudest sounds made by marine animals .   Bottlenose dolphins have been found to have signature whistles , a whistle that is unique to a specific individual . These whistles are used in order for dolphins to communicate with one another by identifying an individual . It can be seen as the dolphin equivalent of a name for humans . These signature whistles are developed during a dolphin 's first year ; it continues to maintain the same sound throughout its lifetime . In order to obtain each individual whistle sound , dolphins undergo vocal production learning . This consists of an experience with other dolphins that modifies the signal structure of an existing whistle sound . An auditory experience influences the whistle development of each dolphin . Dolphins are able to communicate to one another by addressing another dolphin through mimicking their whistle . The signature whistle of a male bottlenose dolphin tends to be similar to that of his mother , while the signature whistle of a female bottlenose dolphin tends to be more distinguishing . Bottlenose dolphins have a strong memory when it comes to these signature whistles , as they are able to relate to a signature whistle of an individual they have not encountered for over twenty years . Research done on signature whistle usage by other dolphin species is relatively limited . The research on other species done so far has yielded varied outcomes and inconclusive results .   Because dolphins are generally associated in groups , communication is necessary . Signal masking is when other similar sounds ( conspecific sounds ) interfere with the original acoustic sound . In larger groups , individual whistle sounds are less prominent . Dolphins tend to travel in pods , upon which there are groups of dolphins that range from a few to many . Although they are traveling in these pods , the dolphins do not necessarily swim right next to each other . Rather , they swim within the same general vicinity . In order to prevent losing one of their pod members , there are higher whistle rates . Because their group members were spread out , this was done in order to continue traveling together .   Jumping and playing  Pacific white - sided dolphins porpoising  Dolphins frequently leap above the water surface , this being done for various reasons . When travelling , jumping can save the dolphin energy as there is less friction while in the air . This type of travel is known as porpoising . Other reasons include orientation , social displays , fighting , non-verbal communication , entertainment and attempting to dislodge parasites .   Dolphins show various types of playful behavior , often including objects , self - made bubble rings , other dolphins or other animals . When playing with objects or small animals , common behavior includes carrying the object or animal along using various parts of the body , passing it along to other members of the group or taking it from another member , or throwing it out of the water . Dolphins have also been observed harassing animals in other ways , for example by dragging birds underwater without showing any intent to eat them . Playful behaviour that involves another animal species with active participation of the other animal can also be observed however . Playful human interaction with dolphins being the most obvious example , however playful interactions have been observed in the wild with a number of other species as well , such as humpback whales and dogs .   Juvenile dolphins off the coast of Western Australia have been observed chasing , capturing , and chewing on blowfish . While some reports state that the dolphins are becoming intoxicated on the tetrodotoxin in the fishes ' skin , other reports have ch</t>
  </si>
  <si>
    <t xml:space="preserve">how many dolphins are born at a time</t>
  </si>
  <si>
    <t xml:space="preserve"> Dolphin copulation happens belly to belly ; though many species engage in lengthy foreplay , the actual act is usually brief , but may be repeated several times within a short timespan . The gestation period varies with species ; for the small Tucuxi dolphin , this period is around 11 to 12 months , while for the orca , the gestation period is around 17 months . Typically dolphins give birth to a single calf , which is , unlike most other mammals , born tail first in most cases . They usually become sexually active at a young age , even before reaching sexual maturity . The age of sexual maturity varies by species and gender . </t>
  </si>
  <si>
    <t xml:space="preserve">I Could Use a Love Song - wikipedia  I Could Use a Love Song  Jump to : navigation , search    `` I Could Use a Love Song ''         Single by Maren Morris     from the album Hero     Released   March 27 , 2017 ( 2017 - 03 - 27 )     Genre   Country     Length   3 : 15     Label   Columbia Nashville     Songwriter ( s )     Maren Morris   Jimmy Robbins   Laura Veltz       Producer ( s )     busbee   Maren Morris       Maren Morris singles chronology        `` 80s Mercedes '' ( 2016 )   `` I Could Use a Love Song '' ( 2017 )   `` Craving You '' ( 2017 )           `` 80s Mercedes '' ( 2016 )   `` I Could Use a Love Song '' ( 2017 )   `` Craving You '' ( 2017 )        `` I Could Use a Love Song '' is a song co-written and recorded by American country music singer Maren Morris for her debut studio album , Hero ( 2016 ) . Morris wrote the song with Jimmy Robbins and Laura Veltz , and co-produced the track with busbee . It was released to North American country radio on March 27 , 2017 through Columbia Nashville as the album 's third single . A song about heartbreak and finding redemption through love , it garnered positive reviews from critics . `` I Could Use a Love Song '' reached number one on the Billboard Country Airplay chart , giving Morris her second number - one single , and her first as a solo artist . It also peaked at numbers 7 and 56 on both the Hot Country Songs and Hot 100 charts respectively . The song was certified Gold , and has sold 206,000 copies as of December 2017 . It received similar chart success in Canada , reaching number 14 on the Country chart and garnering a Gold plaque from Music Canada , denoting sales of over 40,000 units in that country .   The music video of the song was released on May 6 , 2017 , and starred Shelley Hennig and Garrett Hines as the couple .     Contents  ( hide )   1 Content   2 Background and release   3 Critical reception   4 Accolades   5 Chart performance   6 Charts and certifications   6.1 Weekly charts   6.2 Year - end charts   6.3 Certifications     7 Release history   8 References   9 External links      Content ( edit )   `` I Could Use a Love Song '' is a `` no frills heartbreak song '' that finds the narrator becoming jaded towards love . Despite having been burned by previous relationships , Morris remains optimistic and believes that a love song can restore her faith in finding love .   Background and Release ( edit )   `` I Could Use a Love Song '' was announced as the album 's third single on February 24 , 2017 . The song was made available to country radio on March 13 , but did not officially impact the format until March 27 , 2017 .   Critical reception ( edit )   Mike Wass of Idolator expressed surprise over the choice of single , but wrote that the song `` harks back to a time in country music when songs examined matters of the heart over simple arrangements , '' which works in the track 's favor . Billy Dukes of Taste of Country reviewed the song favorably . He wrote that `` I Could Use a Love Song '' is `` more immediately accessible than her previous two radio hits , '' and praised Morris for expressing a new side to her artistry .   Accolades ( edit )     Year   Association     Result     2018   Grammy Awards   Best Country Solo Performance   Nominated     Chart performance ( edit )   `` I Could Use a Love Song '' debuted at number 56 on the Billboard Country Airplay chart dated April 1 , 2017 and was the week 's highest - debuting single . It has sold 206,000 copies in the United States as of December 2017 . It peaked at number one on the Country Airplay chart dated January 20 , 2018 , giving Morris her second number one single , and her first as a solo artist .   Charts and certifications ( edit )      Weekly charts ( edit )     Chart ( 2017 -- 18 )   Peak position     Canada Country ( Billboard )   14     US Billboard Hot 100   56     US Country Airplay ( Billboard )       US Hot Country Songs ( Billboard )   7     Year - end charts ( edit )     Chart ( 2017 )   Position     Canada Country ( Billboard )   31     US Country Airplay ( Billboard )   44     US Hot Country Songs ( Billboard )   25       Certifications ( edit )     Region   Certification   Certified units / Sales     Canada ( Music Canada )   Gold   40,000     United States ( RIAA )   Gold   500,000      shipments figures based on certification alone sales + streaming figures based on certification alone           Preceded by `` Like I Loved You '' by Brett Young   Billboard Country Airplay number - one single January 20 , 2018   Succeeded by `` Yours '' by Russell Dickerson     Release history ( edit )     Country   Date   Format   Label   Ref .     Canada   March 27 , 2017   Country radio   Sony Music Canada       United States   Columbia Nashville       References ( edit )    ^ Jump up to : `` Future Release for Country Radio Stations '' . All Access Media Group . Archived from the original on March 21 , 2017 . Retrieved March 21 , 2017 .   ^ Jump up to : Dukes , Billy ( March 3 , 2017 ) . `` Maren Morris , ' I Could Use a Love Song ' ( Listen ) '' . Taste of Country . Townsquare Media . Retrieved March 21 , 2017 .   ^ Jump up to : Reuter , Annie ( May 31 , 2016 ) . `` Album Review : Maren Morris ' ' Hero ' '' . Sounds Like Nashville . SpinMedia . Retrieved March 21 , 2017 .   ^ Jump up to : Stefano , Angela ( February 28 , 2017 ) . `` Hear Maren Morris ' Next Single , ' I Could Use a Love Song ' '' . The Boot . Townsquare Media . Retrieved March 21 , 2017 .   Jump up ^ Konicki , Lisa ( March 1 , 2017 ) . `` Listen to Maren Morris ' Next Single , `` I Could Use A Love Song '' `` . Nash Country Weekly . American Media , Inc . Retrieved March 21 , 2017 .   ^ Jump up to : `` Maren Morris - I Could Use a Love Song '' . United States : Daily Play MPE . Retrieved March 21 , 2017 .   Jump up ^ Wass , Mike ( February 28 , 2017 ) . `` Maren Morris ' Next Single Is `` I Could Use A Love Song '' `` . Idolator . Hive Media . Retrieved March 21 , 2017 .   Jump up ^ `` 60th Annual Grammy Awards '' . Retrieved November 28 , 2017 .   Jump up ^ `` Country Airplay : The Week of April 1 , 2017 '' . Billboard . Prometheus Global Media . Retrieved March 21 , 2017 .   Jump up ^ Bjorke , Matt ( December 19 , 2017 ) . `` Top 30 Digital Country Singles Chart : December 26 , 2017 '' . Roughstock . Retrieved December 26 , 2017 .   Jump up ^ `` Maren Morris Chart History ( Canada Country ) '' . Billboard . Retrieved September 26 , 2017 .   Jump up ^ `` Maren Morris Chart History ( Hot 100 ) '' . Billboard . Retrieved January 17 , 2018 .   Jump up ^ `` Maren Morris Chart History ( Country Airplay ) '' . Billboard . Retrieved January 16 , 2018 .   Jump up ^ `` Maren Morris Chart History ( Hot Country Songs ) '' . Billboard . Retrieved January 16 , 2018 .   Jump up ^ `` Billboard Canada Year - End Country Airplay of 2017 '' . Billboard . Retrieved December 31 , 2017 .   Jump up ^ `` Country Airplay Songs -- Year - End 2017 '' . Billboard . Retrieved December 18 , 2017 .   Jump up ^ `` Hot Country Songs -- Year - End 2017 '' . Billboard . Retrieved December 18 , 2017 .   Jump up ^ `` Canadian single certifications -- Maren Morris -- I Could Use A Love Song '' . Music Canada .   Jump up ^ `` American single certifications -- Maren Morris -- I Could Use A Love Song '' . Recording Industry Association of America . If necessary , click Advanced , then click Format , then select Single , then click SEARCH   Jump up ^ `` Maren Morris - I Could Use a Love Song '' . Canada : Daily Play MPE . Retrieved March 21 , 2017 .    External links ( edit )    Lyrics of this song at MetroLyrics      ( hide )         Maren Morris       Discography       Studio albums     Hero       Singles     `` My Church ''   `` 80s Mercedes ''   `` I Could Use a Love Song ''   `` The Middle ''   `` Rich ''       Guest singles     `` Craving You ''       Related articles     Ryan Hurd   Flicker World Tour      Retrieved from `` https://en.wikipedia.org/w/index.php?title=I_Could_Use_a_Love_Song&amp;oldid=827945270 '' Categories :   2017 singles   2016 songs   Maren Morris songs   Columbia Nashville Records singles   Songs written by Jimmy Robbins   Song recordings produced by busbee   Hidden categories :   Articles with hAudio microformats   Singlechart usages for Billboardcanadacountry   Singlechart called without song   Singlechart usages for Billboardhot100   Singlechart usages for Billboardcountryairplay   Singlechart usages for Billboardcountrysongs   Certification Table Entry usages for Canada   Certification Table Entry usages for United States           Talk                                           Contents                   About Wikipedia                                           Italiano   Edit links   This page was last edited on 27 February 2018 , at 17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</si>
  <si>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girl in i could use a love song video</t>
  </si>
  <si>
    <t xml:space="preserve"> The music video of the song was released on May 6 , 2017 , and starred Shelley Hennig and Garrett Hines as the couple . </t>
  </si>
  <si>
    <t xml:space="preserve">The Last Airbender - wikipedia  The Last Airbender  Jump to : navigation , search This article is about the 2010 film . For the TV series , see Avatar : The Last Airbender .    The Last Airbender     Theatrical release poster     Directed by   M. Night Shyamalan     Produced by     M. Night Shyamalan   Sam Mercer   Frank Marshall       Screenplay by   M. Night Shyamalan     Based on   Avatar : The Last Airbender by Michael Dante DiMartino and Bryan Konietzko     Starring     Noah Ringer   Dev Patel   Nicola Peltz   Jackson Rathbone   Shaun Toub   Aasif Mandvi   Cliff Curtis       Narrated by   Nicola Peltz     Music by   James Newton Howard     Cinematography   Andrew Lesnie     Edited by   Conrad Buff     Production company     Nickelodeon Movies   Blinding Edge Pictures   The Kennedy / Marshall Company       Distributed by   Paramount Pictures     Release date     June 30 , 2010 ( 2010 - 06 - 30 ) ( New York City )   July 2 , 2010 ( 2010 - 07 - 02 ) ( United States )             Running time   103 minutes     Country   United States     Language   English     Budget   $150 million     Box office   $319.7 million     The Last Airbender is a 2010 American action fantasy adventure film written , co-produced , and directed by M. Night Shyamalan . It is based on the first season of the Nickelodeon animated series of the same name . The film stars Noah Ringer as Aang , with Dev Patel as Prince Zuko , Nicola Peltz as Katara , and Jackson Rathbone as Sokka . Development for the film began in 2007 . It was produced by Nickelodeon Movies and distributed by Paramount Pictures . Premiering in New York City on June 30 , 2010 , it opened the following day in the rest of the country , grossing an estimated $16 million .   The film was universally panned by critics and audiences alike upon release , with many reviewers citing inconsistencies between the plot , screenplay , and source material as well as deriding the acting , writing , casting , and dialogue . However , some praised James Newton Howard 's soundtrack , and the performances from Dev Patel , Aasif Mandvi , and Shaun Toub , while the film 's visual effects received mixed reception . The film swept the Golden Raspberry Awards in 2010 , with five `` wins '' including Worst Picture ; the film is sometimes considered one of the worst ever made . Despite the negative reviews , The Last Airbender opened in second place at the box office behind The Twilight Saga : Eclipse . Produced on a $150 million budget , the film grossed $131 million domestically and $319 million worldwide . It is currently the fourth highest grossing Nickelodeon film , behind The SpongeBob Movie : Sponge Out of Water ( 2015 ) , Teenage Mutant Ninja Turtles ( 2014 ) , and The Adventures of Tintin ( 2011 ) .     Contents  ( hide )   1 Plot   2 Cast   3 Production   3.1 Development   3.2 Casting   3.3 Filming   3.4 Visual effects   3.5 Music     4 Casting controversy   5 Marketing   5.1 Promotion   5.2 Graphic novels     6 Release   6.1 Home media     7 Reception   7.1 Box office   7.2 Critical response   7.3 Creators ' responses   7.4 Director 's responses   7.5 Awards and nominations     8 Possible sequels   9 See also   10 References   11 External links      Plot ( edit )   15 - year - old Sokka and his 14 - year - old sister , Katara , are near a river at the Southern Water Tribe , a small village in the South Pole . While hunting , they discover an iceberg that when broken open shoots a beam of light into the sky . Inside of the iceberg is a 12 - year - old boy named Aang and a giant flying bison named Appa . Unknown to them , Aang is the long - lost Avatar -- the only person capable of `` bending '' all 4 elements of Air , Water , Earth and Fire . A century has passed since the Fire Nation has declared war on the other 3 nations of Air , Water , and Earth in their attempt to conquer the world .   Zuko is the scarred 16 - year - old exiled prince of the Fire Nation on a quest to find the Avatar and bring him to his father , Fire Lord Ozai , so he can regain his honor . Seeing the light that appeared from Aang 's release , Zuko and some Fire Nation soldiers arrive at the Southern Water Tribe to demand the villagers hand over the Avatar . Aang reveals himself and surrenders to Zuko on the condition that he agrees to leave the village alone . On the ship , Aang is tested by Zuko 's paternal uncle Iroh to confirm he is the Avatar . After being informed that he is to be their prisoner for passing the test , Aang escapes using his glider and flies to his flying bison brought by Katara and Sokka . Aang and his new friends visit the Southern Air Temple where they meet a winged lemur , who Aang later names Momo . Aang also learns that he was in the ice for a whole century and that the Fire Nation wiped out all of the Air Nomads , including his guardian , Monk Gyatso . In despair , he enters the Avatar State and finds himself in the Spirit World where he encounters a Dragon Spirit . Katara 's pleas bring Aang back out of the Avatar State .   To seek shelter , Aang 's group arrives at a little Earth Kingdom village controlled by the Fire Nation , but they are arrested and taken to a prison for Earthbenders surrounded by earth because Katara tries to help a young boy escape from Fire Nation soldiers . They incite a rebellion by reminding the disgruntled Earthbenders that Earth was given to them . Aang tells Katara and Sokka that he only knows airbending and he must master the other three elements . Katara is given a waterbending scroll that she uses to greatly strengthen and hone her waterbending abilities and to help Aang learn as they make their way to the Northern Water Tribe ( where Aang will be able to learn from waterbending masters ) and liberate more Earth Kingdom villages in the process , weakening the Fire Nation 's food and water supplies .   During a side track to the Northern Air Temple on his own , Aang is betrayed by a Southern Earth Kingdom peasant and captured by a group of Fire Nation archers , led by Commander Zhao , a Fire Nation Commander appointed by the Fire Lord . However , a masked marauder , the `` Blue Spirit '' , helps Aang escape from his imprisonment , fighting off the Fire Nation soldiers under Zhao 's command until the blue spirit realises they will be overwhelmed , at which point he takes Aang hostage to negotiate their way out . During the prison break , Zhao realizes that Zuko is the masked vigilante . He arranges to kill the prince , first by having a crossbowman fire a bolt over a huge distance that shatters the lower half of Zuko 's mask and knocks him out , however Aang uses his skills to bend a cloud across the bridge connecting the prison to the other side of the valley , causing the Fire Nation soldiers in pursuit to stop in fear . With the cloud covering their escape , Aang escapes with an unconscious Zuko into a nearby forest and watches over Zuko until morning , when he leaves to reunite with Sokka and Katara . Zhao tries again to kill Zuko , this time by rupturing a gas pipe running through Zuko 's quarters on Iroh 's ship . Noticing the danger , Zuko manages to survive the attempt on his life with Iroh 's help . He sneaks aboard Zhao 's lead ship as his fleet departs for the Northern Water Tribe , which is a heavy fortress , to capture the Avatar . Upon arriving , Aang 's group is welcomed warmly by the citizens of the Northern Water Tribe . Sokka quickly befriends the Northern Water Tribe princess , Yue . After a few agreements , a waterbending master , Pakku , teaches Aang waterbending . Katara also becomes a much stronger and more powerful waterbender due to her training with Master Pakku .   Soon , the Fire Nation arrives and Zhao begins his attack while Zuko begins his search for the Avatar on his own . After defeating Katara in a battle , Zuko captures Aang as he enters the Spirit World to find the Dragon Spirit to give him the wisdom to defeat the Fire Nation who tells him to let his emotions `` flow like water '' . Returning to his body , Aang battles Zuko before Katara freezes him . Before leaving to join the battle , Aang lowers the ice so that Zuko can breathe . As the battle escalates , Iroh watches Zhao capture the Moon Spirit , with which its Ocean Spirit counterpart had assumed the form of a fish . Despite Iroh 's pleas , Zhao kills the Moon Spirit to strip all of the waterbenders of their ability to waterbend . Iroh , enraged by Zhao 's disrespect for sacredness and by his actions to unbalance the world , reveals the extent of his mastery of firebending by using his chi to create huge flame jets from his wrists , scaring Zhao and his entourage of Fire Nation Soldiers out of the sacred cave . Yue explains to everyone that the Moon Spirit gave her life and , with Iroh 's help , realises she can give her life back to the Moon Spirit as she dies in the process . With the tables turned , Zhao finds out Zuko survived . They almost fight before Iroh appears and tells Zuko it 's not worth it . Zhao attempts one more time to kill Zuko with a massive blast of fire , which Iroh manages to deflect . Zhao is drowned by waterbenders after Zuko and Iroh leave him to his fate . Aang remembers his life before being trapped in the ice , including when he left his home , seeing his master 's face . With his waterbending powers and his emotions `` flowing like water '' , Aang enters the Avatar State and raises the ocean into a gigantic wall to drive the armada back . Aang now fully embraces his destiny as the Avatar as he , Katara and Sokka prepare to continue their journey to the Earth Kingdom to find an earthbending teacher for Aang . The Fire Lord learns of the defeat ; angry over the betrayal of his brother Iroh and the failure of his eldest son Zuko , he tasks his youngest daughter , Zuko 's sister , Azula to stop the Avatar from mastering Earth and Fire before the arrival of Sozin 's Comet .   Cast ( edit )  See also : List of Avatar : The Last Airbender characters   Noah Ringer as Aang     An airbender who disappeared from public sight a hundred years ago . While chronologically one hundred and thirteen years old , Aang still retains his biological age of twelve . He is the latest incarnation of the Avatar Spirit . Though he is capable of bending all four elements , at the beginning of the film he has only learned to airbend .     Dev Patel as Prince Zuko     Age sixteen . A Fire Nation prince who travels with his Uncle Iroh . The former heir to the throne , he was exiled by his father , Fire Lord Ozai , who caused him a facial scar following a battle with him and ordered to capture the Avatar ( who had not been seen in almost a century , making the assignment a wild - goose chase ) in order to regain his lost honor .     Nicola Peltz as Katara     Age fourteen . A girl of the Southern Water Tribe and its last remaining waterbender . Since the death of her mother , Kya , she has served as the motherly figure in her family , and is no stranger to responsibility despite her young age .     Jackson Rathbone as Sokka     Age fifteen . He is Katara 's brother and a warrior from the Southern Water Tribe . He can be condescending , and has no waterbending abilities . He often takes up leadership roles by virtue of coming up with most of the workable plans and tactics .     Shaun Toub as Uncle Iroh     Zuko 's paternal uncle and the brother of Fire Lord Ozai . He is very easy - going and friendly , and often acts as a surrogate father to Zuko . Formerly a great general of the Fire Nation , personal tragedies led to his retirement , and the role of heir - presumptive passed to his younger brother . He is the only firebender shown in the film who is advanced enough to bend fire using only his chi .     Aasif Mandvi as Commander Zhao     A hot - tempered Fire Nation Commander in pursuit of the Avatar . He is Zuko 's principal rival . He has an obsession with libraries .     Seychelle Gabriel as Princess Yue     The princess of the Northern Water Tribe , who was Sokka 's romantic love interest . In a tragic turn of events , she sacrificed herself to save the water tribe and the balance of the planet , by turning into the moon .     Cliff Curtis as Fire Lord Ozai     The mighty leader of the Fire Nation , the brother of Iroh , and the father of Prince Zuko and Princess Azula .     Summer Bishil as Princess Azula     Age fifteen . She is the daughter of Fire Lord Ozai and sister to Prince Zuko . She appears once at the battle where Zuko refuses to fight and again at the end where she accepts the role as hunter of her older brother and uncle , and destroying the Avatar .     Francis Guinan as Master Pakku     A waterbending master of the Northern Water Tribe , who taught Aang to waterbend .     Randall Duk Kim as Old man in temple     An Earth Kingdom villager , who often visits the remains of the Northern Air Temple .     Isaac Jin Solstein as Haru     He started the prison uprising by earthbending a pebble to the back of the lead Fire Nation soldier 's head .     Keong Sim as Tyro     He and other earthbenders in his occupied village agreed to be imprisoned in exchange for the non-benders being allowed to live in peace .     John Noble as Dragon Spirit     A new composite character taking over the roles of Avatar Roku , Fang , Koh and Guru Pathik from the cartoon series .    Production ( edit )   Development ( edit )   According to an interview with the co-creators in SFX magazine , Shyamalan came across Avatar when his daughter wanted to be Katara for Halloween . Intrigued , Shyamalan researched and watched the series with his family . `` Watching Avatar has become a family event in my house ... so we are looking forward to how the story develops in season three , '' said Shyamalan . `` Once I saw the amazing world that Mike and Bryan created , I knew it would make a great feature film . '' He added he was attracted to the spiritual and martial arts influences on the show .   Avatar : The Last Airbender co-creators Michael Dante DiMartino and Bryan Konietzko voiced their opinion within an interview regarding Shyamalan writing , directing , and producing the film . The two displayed much enthusiasm over Shyamalan 's decision for the adaptation , stating that they admire his work and , in turn , he respects their material . Producer Frank Marshall explained that they have high hopes to stick to a PG rating . `` I 'm not even sure we want to get in the PG - 13 realm . Furthermore , Shyamalan said , `` A lot of the inspiration for the direction we took comes from a friend of mine . A Nathan Blackmer helped shape this Idea into the film it became . I took away a little bit of the slapsticky stuff that was there for the little little kids , the fart jokes and things like that ... We grounded Katara 's brother ... and that really did wonderful things for the whole theme of the movie . '' Paramount 's president Brad Grey said that despite the director 's career being inconsistent , he `` believed in ( Shyamalan 's ) vision and that he could execute it , '' adding that `` It 's a bold step because he had to create a potential new franchise . '' The studio was willing to spend $250 million in a trilogy of films , one for each season . The Last Airbender 's budget wound up being $150 million , with later over $130 million being spent on marketing costs , making it Shyamalan 's most expensive film . During production , the name Avatar was removed from the title to avoid confusion with the highly - successful 2009 film Avatar .   Casting ( edit )   Shyamalan originally offered the roles of Aang to Noah Ringer ; Sokka to Jackson Rathbone ; Katara to Nicola Peltz ; and Zuko to Jesse McCartney . In an interview with People , Shyamalan claimed that he did not want to make The Last Airbender without Nicola Peltz , `` I said that only once before in my career , and that was when I met Haley in The Sixth Sense auditions . '' In February 2009 , Dev Patel replaced Jesse McCartney , whose tour dates conflicted with a boot camp scheduled for the cast to train in martial arts . Katharine Houghton played `` Gran Gran '' , the grandmother of Katara and Sokka , and Seychelle Gabriel portrayed Princess Yue , another of Sokka 's love interests and princess of the Northern Water Tribe . Isaac Jin Solstein played an earthbending boy . Comedian Aasif Mandvi played Commander Zhao , Cliff Curtis played Fire Lord Ozai , and Keong Sim was cast in the role of an Earthbender .   Ringer began practicing Taekwondo -- the martial art and national sport of Korea -- at the age of 10 . His skills later garnered accolades , including the title of American Taekwondo Association Texas State Champion . He began shaving his head during his martial arts training to help cool off , which gave him the nickname `` Avatar '' due to his resemblance to Aang from the animated series . When he heard about the film adaptation , he made an audition tape with his instructor and sent it to the filmmakers . He had n't worked on a film before , but his resemblance to Aang -- enhanced by painting a blue arrow on his already shaved head , swung him the role . Having not acted before , Ringer was required to attend acting school a month before filming commenced . Peltz was familiar with the character before submitting for the part of Katara , having faithfully watched Avatar : The Last Airbender , the animated series on which the film is based , with her younger twin brothers . She describes her character as being a big role model with young girls and women , `` She 's really mentally and physically strong , strong - willed and - minded , but she 's also caring and compassionate ... The movie has a lot of values , but it 's also fun . It 's fantasy , but it 's also a really cool battle between good and evil . '' She explained that she initially did n't know about Rathbone starring in the Twilight films until after she met him and said that working with Shyamalan was an amazing experience . Rathbone , who originally auditioned for the role of Zuko , was approached by Shyamalan to audition for the film . After waiting for six months , he received a call informing him that he was cast as Sokka . Rathbone stated that his favorite scenes were the fight sequences , which he prepared for by stickfighting .   Before Slumdog Millionaire was released , Patel auditioned for the role of Zuko by submitting a tape to the studio . Shyamalan called Patel personally to inform him that he got the part . Training for the film was intense , as he had to learn Wushu and different martial arts . Patel recalls fighting , punching , and throwing and said the experience was `` truly amazing . '' While he was filming Slumdog in India , he would finish a take and turn one of the channels over to the animated series . Even though it is based on a cartoon , he wanted to bring as much of himself as possible to the character he was portraying . Shaun Toub , who was cast as Iroh , describes his character in the first film as `` loose '' and `` free '' . He compares Zuko 's `` obsession '' to his childhood memories and how kids are always looking for their parents ' approval , saying that Zuko just wants his father 's . `` He is n't necessarily bad , he just has a great deal of built up anger and forgets to consider others . I think people will understand that he 's not bad , he 's just angry and hurting because he really wants his father to love him , but his father is too busy with other things . '' He says that Patel is an `` 18 year old with all this energy , '' and that Patel was able to influence him into appreciating the business of filmmaking more . While comparing the animated series to the film , he says the film is much more serious . He attributed this change to the director trying to relate to every age group , rather than just kids .   Filming ( edit )   Pre-production began in late 2008 , while filming began in March 2009 in Greenland . After two weeks , the cast and crew moved to Reading , Pennsylvania , where production designers and special - effects crews worked for several weeks , preparing the local site for the film . A production team scouting the area found the pagoda on Mount Penn , which served as an ancient temple in the film . Reading mayor Tom McMahon explained that crews made road improvements and buried electrical lines surrounding the structure .   Filming also took place in Ontelaunee Township and at the William Penn Memorial Fire Tower in Pennsylvania after the production crew finished at the Pagoda . When asked about shooting the film in Reading , Pamela Shupp , vice president of Berks Economic Development said , `` They needed buildings to shoot all the interiors , and were looking for a group of buildings with high ceilings and specific column spacing . We showed them a number of buildings , but we could n't come up with enough to meet their requirements . So the interiors will be shot in Philadelphia . ''   Visual effects ( edit )   With a film as technologically advanced as Avatar , the expectations of realistically throwing balls of fire and water were pushed to the limit on The Last Airbender . Pablo Helman , who previously worked on Star Wars : Episode II -- Attack of the Clones , was the visual effects supervisor for the Industrial Light and Magic team on the film . He worked closely with Shyamalan , reviewing each scene and talking about the visual effects needed to tell the story , and ultimately worked with about 300 people to reflect the director 's vision , who he said planned it all in a story - board book .  Upper : Water being animated . Lower : Final version of animated scene .  Industrial Light and Magic was posed with visualizing the elemental tribes of Air , Water , Earth , and Fire ; most importantly creating the `` bending '' styles of these elements . Additionally , they were required to animate creatures and enhance stunt work with digital doubles . `` The work was challenging , '' shares Helman . `` We had to figure out what `` bending '' is for fire , water , air and earth . '' The project was started without the desired technology needed to create the effects . Rather than software , computer graphic cards were the basis for `` bending '' the elements , allowing previews to be viewed more swiftly . This resulted in Shyamalan having to direct more than sixty takes before the effect was finished and lined up with his visions .   Due to reality - based expectations , fire and water were the hardest elements to effectively bend , and because of particle work which was unable to be rendered in hardware , earth bending also was difficult to create . With water , the variety in different scales required Helman and his team to create different techniques . The concept for air was derived from the animation of the television series . To create the air bending effect , visual effects art director Christian Alzman and digital matte department supervisor Barry Williams explained that seeing dust and snow particles , rather than seeing the air itself , helped shape the real world effect of bending the element . Before the bending effects could be applied though , the actor 's movements had to be matched ; Shyamalan therefore wanted each character 's bending styles to be unique to fit with their unique personalities .   The challenge for fire did n't come with making it look realistic , but rather making the fire behave in an unrealistic way that would be believable to the audience . The film that inspired The Last Airbender 's fire style was the sixth Harry Potter film , which was re-engineered to reflect two - dimensional simulations . Helman 's team referenced images of flames being pushed through the air by giant fans for certain shots needed throughout the film . The team also considered using a meshed image of real and digital fire , but in the end , went with the richer , deeper texture of computer generated flame .   In matte paintings , this was the biggest show that Helman had ever done . The paintings had to be in 3D because the visual style included long duration shots in which the camera always moved . The climax , which was enacted on a 200 by 200 feet ( 61 m × 61 m ) set , had to be incorporated with still of the landscapes shot in Greenland , as well as the low - angle lighting that was captured on location there . The camera was animated to get angles needed for different shots in the film by importing these stills into the computer . Multiple cameras were used to capture the different wire - work and animation that was used to create the creatures and many fight scenes within the film . In creating these creatures , the team referenced nature . In order for them to be believable , they looked for examples of the same size and weight as the animated character and then developed hybrids from different animals to make each species unique . This was done by observing actual animals to get a take on how they would act . Shyamalan 's take on the personality of each creature also influenced the creation stage of the creatures . For example , the lemur Momo has flying mechanics based on a giant fruit bat . Other elements , such as texturing , hair or scale simulation , and light and shadow complimentary to the live action , were added to make the final animation appear as real as possible during the later stages of character development .   Paramount Pictures made an announcement in late April 2010 , revealing that The Last Airbender would be released in 3D . This decision came after an increasing number of films being made or converted to 3D , such as Avatar , Alice in Wonderland and Clash of the Titans , made a decent profit at the box office . Although Helman stated that Shyamalan 's way of shooting without fast edits and the film 's visuals could lend itself to the 3D conversion well , James Cameron voiced his disapproval on any film being converted using this process , saying , `` You can slap a 3 - D label on it and call it 3 - D , but there 's no possible way that it can be done up to a standard that anybody would consider high enough . '' Despite this , Shyamalan opted to work with Stereo D LLC , the company who worked on James Cameron 's own Avatar . The conversion process for the film cost between $5 million and $10 million , adding to the reported $100 million that already went into the film .   Music ( edit )  Main article : The Last Airbender ( soundtrack )  In December 2008 , James Newton Howard was announced as the composer for The Last Airbender . The film marks the seventh collaboration between Howard and M. Night Shyamalan , after the 2008 film The Happening . Howard had received acclaim for his work with Hans Zimmer on The Dark Knight . On May 13 , 2009 , producer Frank Marshall announced that Howard was recording music for the teaser trailer that was later released that summer ; it was later confirmed by Frank Marshall that all of the film 's trailers featured original music by Howard himself . The soundtrack , released by Lakeshore Records on June 29 , 2010 , required Howard to hire a 119 - member ensemble . Running at about 66 minutes , it contains eleven tracks ranging from three to seven minutes , with a twelfth track , called `` Airbender Suite '' running at nearly eleven minutes . Reviews for the score were overwhelmingly positive .   Casting controversy ( edit )  Main article : Racebending  The casting of white actors in the East Asian and Inuit - influenced Avatar universe , as well as the fact that the casting of the heroes and villains seemed to be backward racially from the show , triggered negative reactions from some fans marked by accusations of racism , a letter - writing campaign , and various protests . `` To take this incredibly loved children 's series , and really distort not only the ethnicity of the individual characters but the message of acceptance and cultural diversity that the original series advocated , is a huge blow , '' said Michael Le of Racebending.com , a fan site calling for a boycott of the martial - arts fantasy . As a result of the casting , the Media Action Network for Asian - Americans urged a film boycott for the first time in the organization 's 18 - year history . `` This was a great opportunity to create new Asian - American stars ... I 'm disappointed . '' stated Guy Aoki , president of the organization . After a casting call specifically looking for `` Caucasians and other ethnicities , '' Shyamalan explained that `` Ultimately , this movie , and then the three movies , will be the most culturally diverse tent - pole movies ever released , period . '' Furthermore , Paramount provided a statement about the casting choices , `` The movie has 23 credited speaking roles -- more than half of which feature Asian and Pan Asian actors of Korean , Japanese and Indian descent . The filmmaker 's interpretation reflects the myriad qualities that have made this series a global phenomenon . We believe fans of the original and new audiences alike will respond positively once they see it . ''   Shyamalan commented on the issues regarding fans ' perceptions of the casting in an interview with Washington Post columnist Jen Chaney , saying , `` Anime is based on ambiguous facial features . It 's meant to be interpretive . It 's meant to be inclusive of all races , and you can see yourself in all these characters ... This is a multicultural movie and I 'm going to make it even more multicultural in my approach to its casting . There 's African - Americans in the movie ... so it 's a source of pride for me . The irony that ( protesters ) would label this with anything but the greatest pride , that the movie poster has Noah and Dev on it and my name on it . I do n't know what else to do . '' In this quote , Shyamalan 's reference to Noah Ringer can be explained by Noah 's self - identification of his ancestry as `` American Indian , '' although critics of the film 's casting have presumed that the actor is simply `` white '' when making their complaints .   Rathbone was also one to dismiss the complaints in an interview with MTV , saying , `` I think it 's one of those things where I pull my hair up , shave the sides , and I definitely need a tan . It 's one of those things where , hopefully , the audience will suspend disbelief a little bit . '' The controversy was poorly received by critics as well . Film critic Roger Ebert was one of the critical voices against the casting . When asked about casting a white cast to portray the characters , he said , `` The original series Avatar : The Last Airbender was highly regarded and popular for three seasons on Nickelodeon . Its fans take it for granted that its heroes are Asian . Why would Paramount and Shyamalan go out of their way to offend these fans ? There are many young Asian actors capable of playing the parts . '' Jevon Phillips of the Los Angeles Times noted that despite Shyamalan 's attempts to defuse the situation , `` this is definitely not an issue that will fade away or be overlooked '' and that this film exemplifies the need for a debate within Hollywood about racial diversity in its films .   In July 2013 , series co-creator Bryan Konietzko responded to an online comment about skin color in The Legend of Korra . Konietzko wrote that his work on the two series `` speaks for itself which obviously does not include the gross misinterpretations and misrepresentations of our work in ( Shyamalan 's ) work . ''   Marketing ( edit )   Promotion ( edit )   The teaser trailer for the film was attached to Transformers : Revenge of the Fallen , released in theaters on June 24 , 2009 . The teaser trailer was also shown exclusively on the June 22 , 2009 episode of Entertainment Tonight . The trailer shows Aang airbending in a temple which is being attacked by a multitude of Fire Nation ships . A trailer was to be released around Christmas 2009 , but it was pushed back until February 2010 because not enough visual effects shots were completed . This trailer was attached to the first Percy Jackson &amp; the Olympians : The Lightning Thief film released on February 12 , 2010 . A trailer was later released on March 25 , 2010 . It was then attached with How to Train Your Dragon . The last theatrical trailer is attached to Iron Man 2 which was released May 7 , 2010 .   The first TV spot aired during Super Bowl XLIV on February 7 , 2010 . It showed parts of the film that were not shown in the teaser trailer and had no diagetic dialogue , but merely narration . On February 10 , the theatrical trailer was released online . It shows multiple scenes from the film and is an expanded version of the first TV spot . McDonald 's sold Happy Meals to promote the </t>
  </si>
  <si>
    <t xml:space="preserve">who plays aang in avatar the last airbender movie</t>
  </si>
  <si>
    <t xml:space="preserve"> The Last Airbender is a 2010 American action fantasy adventure film written , co-produced , and directed by M. Night Shyamalan . It is based on the first season of the Nickelodeon animated series of the same name . The film stars Noah Ringer as Aang , with Dev Patel as Prince Zuko , Nicola Peltz as Katara , and Jackson Rathbone as Sokka . Development for the film began in 2007 . It was produced by Nickelodeon Movies and distributed by Paramount Pictures . Premiering in New York City on June 30 , 2010 , it opened the following day in the rest of the country , grossing an estimated $16 million . </t>
  </si>
  <si>
    <t xml:space="preserve">Friday the 13th : the Final Chapter - wikipedia  Friday the 13th : the Final Chapter  Jump to : navigation , search    Friday the 13th : The Final Chapter     Theatrical release poster     Directed by   Joseph Zito     Produced by   Frank Mancuso Jr .     Screenplay by   Barney Cohen     Story by   Bruce Hidemi Sakow     Based on   Characters by Victor Miller Martin Kitrosser Ron Kurz Carol Watson     Starring     Kimberly Beck   Peter Barton   Corey Feldman   E. Erich Anderson   Crispin Glover   Alan Hayes   Barbara Howard   Lawrence Monoson   Joan Freeman   Judie Aronson   Camilla More   Carey More       Music by   Harry Manfredini     Cinematography   João Fernandes     Edited by   Joel Goodman Daniel Loewenthal     Distributed by   Paramount Pictures     Release date     April 13 , 1984 ( 1984 - 04 - 13 )               Running time   91 minutes     Country   United States     Language   English     Budget   $2.6 million     Box office   $33 million ( US )     Friday the 13th : The Final Chapter is a 1984 American slasher film directed by Joseph Zito and the fourth installment in the Friday the 13th film series . Following the events of Friday the 13th Part III , Jason Voorhees returns to Crystal Lake and continues his killing spree on a family and a group of neighboring teenagers after being revived from his mortal wound . The film stars Corey Feldman , Ted White , Kimberly Beck , and Crispin Glover .   Despite the film 's negative reviews , it grossed $33 million in the United States . Much like Part III , the film was initially supposed to end the series and was billed as `` The Final Chapter '' ; however , the film 's success produced a sequel , Friday the 13th Part V : A New Beginning ( 1985 ) .     Contents  ( hide )   1 Plot   2 Cast   3 Production   3.1 Writing   3.2 Casting   3.3 Filming     4 Music   4.1 Track listing     5 Release   6 Reception   7 References   8 External links      Plot ( edit )   The night after the events at Higgins Haven , Jason Voorhees 's body is found and delivered to the morgue . After reviving from his wounds and escaping from the cold storage , Jason kills coroner Axel with a hacksaw , and then stabs nurse Robbie Morgan with a scalpel . The next day , a group of teenagers drive to Crystal Lake for the weekend . The group consists of Paul , his girlfriend Sam , her virgin friend Sarah , pretty - boy Doug , socially awkward Jimmy , and jokester Ted . On the way , the group comes across Pamela Voorhees 's tombstone and a female hitchhiker , who is soon killed by Jason .   The teens arrive and meet neighbors Trish Jarvis , her twelve - year - old brother Tommy , their mother , and the family dog Gordon . While going for a walk the next day , the teens meet twin sisters Tina and Terri , and go skinny dipping with them . Trish and Tommy happen upon the scene , and Trish is invited to a party to take place that night . Afterwards , when their car breaks down , Trish and Tommy are helped out by a young man named Rob . They take him to their house , where Tommy shows Rob several monster masks he made himself before Rob leaves to go camping .   Later that night , as the teens begin the party , Sam goes out to the lake , where Jason impales her from under a raft . When Paul goes out to be with her , he is harpooned in the groin . Terri tries to leave the party early and has a spear rammed in her back . Jimmy intends to celebrate sleeping with Tina with a bottle of wine but Jason slams the corkscrew on his hand and hacks him in the face with a meat cleaver . Tina looks out a window upstairs and is grabbed and thrown to her death , crashing on the car . While a stoned Ted watches vintage stag films with a film projector , he gets too close to the projector screen and is stabbed in the head from the other side . After Doug and Sara finish making love in the shower , Jason attacks Doug , crushing his head against the shower tile . He then kills Sara by driving an double - bit axe through the front door when she tries to escape .   Trish and Tommy return from town and discover the power outage . While looking for their mother , who had been killed by Jason earlier without her knowledge , Trish comes across Rob 's campsite and learns that he is actually the older brother of Sandra . Rob further explains to her that Jason is still alive and he came to Crystal Lake to get revenge for Sandra 's murder . Worried for Tommy 's safety , they return to the house . They then go next door to investigate and discover the teens ' bodies . Gordon flees and Rob is soon caught and killed by Jason in the basement as Trish runs home . She and Tommy barricade the house , but Jason breaks in and chases them into Tommy 's room . Trish lures Jason out of the house and escapes , then returns home and is devastated to learn that Tommy is still there . She senses Jason behind her and tries to fight him off with a machete but is overpowered . Tommy , having disguised himself to look like Jason as a child , distracts him long enough for Trish to hit him with the machete , but she merely whacks off his mask . As Trish stands horrified at Jason 's deformed face , Tommy takes the machete and slams it in the side of the killer 's skull and he collapses to the floor , splitting his head upon impact . When Tommy notices that Jason 's fingers are moving , he continues to hack at his body screaming , `` Die ! Die ! ''   At the hospital , Trish is visited by Tommy . He rushes in , embraces her , and gives a disturbed look while staring ahead .   Cast ( edit )    Kimberly Beck as Trish Jarvis   E. Erich Anderson as Rob Dier   Corey Feldman as Tommy Jarvis   Barbara Howard as Sara   Joan Freeman as Mrs. Jarvis   Peter Barton as Doug   Crispin Glover as Jimmy   Judie Aronson as Samantha   Camilla More as Tina   Lawrence Monoson as Ted   Alan Hayes as Paul   Carey More as Terri   Bruce Mahler as Axel   Lisa Freeman as Nurse Robbie Morgan   Bonnie Hellman as Hitchhiker   Ted White as Jason Voorhees ( uncredited )    Production ( edit )   When Friday the 13th Part III was first released , it was initially supposed to end the series as a trilogy , however there was no moniker to indicate it as such . In 1983 , there was a rumor that Paramount billed the fourth installment as `` The Final Chapter '' as they felt embarrassed by their association with the series , thus the possible reason for the moniker . Despite how Siskel &amp; Ebert claimed this in their review of the film , Paramount was aware that the slasher genre had been losing interest and thought it was a good choice to conclude the series . However , the idea came from Frank Mancuso , Jr. ( the son of Paramount CEO Frank Mancuso , Sr . ) , as he had begun to resent the series due to how he felt everyone saw him as only doing the work for Part 2 and Part 3 and that no one respected him for it , regardless of how much money it made . Because of him wanting to work on different projects , he wanted to conclude the series and kill off Jason .   Writing ( edit )   Joseph Zito , director of The Prowler , was initially set to both direct and write the screenplay for the film . Zito initially claimed that he was not a writer , in which the contract consisted of receiving doubled money for the two jobs , resulting him accepting the contract . Zito secretly used the extra salary to hire Barney Cohen to write the script . Their process involved Zito taking one - hour a night phone calls with Phil Scuderi to discuss the story and script for the film . Zito then met Cohen in a New York apartment to use the concepts Scuderi had offered , which they would then turn into script pages and to be sent to Scuderi for the conversation discussed again over the phone . Cohen remained the writing credit for the film , but Zito and Cohen eventually got into trouble with the Writer 's Guild of America as a result .   In the Friday the 13th series , the films had always had attractive young women being the sole final girl against Jason . Unlike its predecessors , this marks the first installment in the series having two survivors and one them being male , but it is currently the only installment where the survivor is rather a child . The filmmakers believed they had never seen something like this before in slasher films , and they wanted to create characters audiences would not want to see harmed or killed . By including the Jarvis family ( divorced mother , teenage daughter , pre-teen son ) opposite the more typical cabin of horny teenagers , they could create more drama and resonant tragedy , such as the mother of Tommy and Trish implied to be killed by Jason outside , thus it remains debatable how intentional the parallels between Jason and Tommy were . Tommy 's interest for being a make - up artist with masks and props serve as homages to Tom Savini .   Casting ( edit )   Actress Camilla More auditioned for the role of Samantha , but when the filmmakers discovered she had a twin sister named Carey , they were instead both offered the roles of Tina and Terri . Carey More had appeared alongside her sister in the Doublemint gum commercials . Because of how they were swayed by the twins idea , Carey 's audition was to read only one line in the film .   Amy Steel , who starred as heroine Ginny Field in Part 2 of the series talked actor Peter Barton into being in the film . Both he and Steel co-starred in the sitcom The Powers of Matthew Star . When the sitcom was cancelled and no longer aired , Barton was offered a role in the film . Initially , Barton had reservations as he wanted no part in the horror genre , especially due to he how disliked working on Hell Night . However , because of Steel 's involvement in the second installment , she talked Barton into doing the film ...   Make - up artist Tom Savini , who worked on the first installment , agreed to return to work on the film , as he wanted to kill the character Jason , who he helped create .   Filming ( edit )   Principal photography was shot from October 1983 and finished in January 1984 in Topanga Canyon and Newhall , California . For its release date , it was originally set for a release in October 1984 . When Paramount CEO Frank Mancuso , Sr. screened the footage to much enthusiasm and then pushed the date up to April 1984 . The only time Paramount assisted with the installment 's production , they rented a Malibu household for the filmmakers to stay in and conduct editing sessions , with food brought to them from the studio . They barely made the release date , but the final result had most of the footage trimmed and later ended up in television airings .   The film had troubled production on set . Due to director Joseph Zito 's poor treatment of the actors and the film 's budget , many of the actors themselves had to perform uncomfortable or dangerous stunts during the film . Judie Aronson was required to remain submerged in a near - freezing lake ( in which she later developed hypothermia because of it ) and Peter Barton was actually slammed into the shower wall when Jason attacks him . Ted White , who portrays Jason , defended several of the actors by requesting Barton be allowed to use a crash pad and threatening to quit when Zito refused to allow Aronson to get out of the lake between takes . White and Zito maintained a hostile relationship on set , which resulted in White demanding his name be removed from the credits . According to White , Corey Feldman maintained a bratty attitude on set due to Zito 's treatment . When filming the scene of Tommy hacking Jason 's body with a machete ( which was actually two sandbags he was striking at ) , Feldman pretended that the struck sandbags were Zito . According in the book Crystal Lake Memories : The Complete History of Friday the 13th , actress Kimberly Beck stated that she does not like the horror genre . In addition to this , she felt that the film was more of a C - movie rather than a B - movie . During filming , Kimberly Beck experienced strange encounters , including a man watching her while she ran in the park and receiving odd phone calls at all hours . This stopped when production was finished .   Actress Bonnie Hellman 's agents told her about taking the role of the hitchhiker in the film . They told her she would not want to do it as they were no lines said for the character , but she accepted the role anyway .   Music ( edit )     Friday the 13th : The Final Chapter     Soundtrack album by Harry Manfredini     Released   January 13 , 2012 ( La - La Land )     Genre   Film score     Length   52 : 20     Label   Gramavision , La - La Land     The film 's music was composed by Harry Manfredini , who composed the scores to all of the series ' previous installments . On January 13 , 2012 , La - La Land Records released a limited edition 6 - CD boxset containing Manfredini 's scores from the first six entries of the film series . The release was sold out in less than 24 hours of availability .   The song `` Love Is a Lie '' by Lion is featured in the film , but not on the soundtrack .   Track listing ( edit )     No .   Title   Length     1 .   `` What Boy , Ma'am ? / Main Titles ''   4 : 43     2 .   `` Helicopter ''   3 : 41     3 .   `` The Morgue ''   1 : 40     4 .   `` Hacksaw to Throat ''   1 : 09     5 .   `` Squeezing the Banana ''   1 : 29     6 .   `` Dock Prank ''   2 : 16     7 .   `` Stalled Car ''   0 : 39     8 .   `` Tommy 's Room ''   0 : 40     9 .   `` Midnight Skinny Dip ''   2 : 16     10 .   `` Paul Gets the Point ''   4 : 01     11 .   `` Mom Looks for Kids ''   1 : 53     12 .   `` Lights Out ''   1 : 59     13 .   `` Jimmy Is Screwed / Tina Thrown / Ted Watches Movie ''   1 : 36     14 .   `` Lights ! Camera ! Hacktion ! ''   1 : 29     15 .   `` You Give Me Cleaver ''   1 : 52     16 .   `` Trish and Rob ''   2 : 44     17 .   `` Tommy Reads / Trish Pleads / Rob and Trish Meet Jason ''   7 : 13     18 .   `` La Muerte de Jason ''   11 : 00     Release ( edit )   Friday the 13th : The Final Chapter opened on Friday , April 13 , 1984 , on 1,594 screens to weekend box office gross of $11,183,148 ; this was the sixth - highest of the year . The film would ultimately take in a total of $32,980,880 at the U.S. box office . It placed at number 26 on the list of the top - grossing films of 1984 .   Reception ( edit )   Review aggregator Rotten Tomatoes reports that 25 % of 24 film critics have given the film a positive review ; the rating average is 4.2 out of 10 . The film received what The Week characterized as `` scathing reviews '' , especially from film critics Gene Siskel and Roger Ebert , with the latter considering the film `` an immoral and reprehensible piece of trash '' . Scott Meslow summarized Roger Ebert 's criticism as calling it `` a cynical retread '' of the earlier films . Meslow instead says that the film attempts to kill off the series while focusing more on characterization than gore . In a series retrospective , Kyle Anderson of Entertainment Weekly ranked it the best Friday the 13th film , complimenting both its narrative and kills .   References ( edit )    Jump up ^ `` Friday the 13th Part IV : The Final Chapter ( 1984 ) '' . The Numbers . Retrieved 2015 - 07 - 10 .   ^ Jump up to : `` 13 Things You May Not Know About Friday the 13th : The Final Chapter ( # 2 ) '' . We Minored In Film . Retrieved 2015 - 12 - 14 .   Jump up ^ `` La - La Land Records : Friday the 13th '' . La - La Land Records . Retrieved 2012 - 01 - 15 .   Jump up ^ `` Friday the 13th : Final Chapter '' . Box Office Mojo . Retrieved 2015 - 07 - 10 .   Jump up ^ `` Friday the 13th - The Final Chapter Movie Reviews , Pictures '' . Rotten Tomatoes . Retrieved 2016 - 06 - 05 .   Jump up ^ Meslow , Scott ( 2015 - 11 - 13 ) . `` The brilliance and lies of Friday the 13th : The Final Chapter '' . The Week . Retrieved 2016 - 06 - 05 .   Jump up ^ Anderson , Kyle ( 2014 - 04 - 25 ) . `` ' Friday the 13th ' : We rank the movies to prep for the TV show '' . Entertainment Weekly . Retrieved 2016 - 12 - 26 .    External links ( edit )    Film portal     Friday the 13th : The Final Chapter on IMDb   Friday the 13th : The Final Chapter at AllMovie   Friday the 13th : The Final Chapter at Rotten Tomatoes   Friday the 13th : The Final Chapter at Box Office Mojo   Film page at the Camp Crystal Lake web site   Film page at Fridaythe13thfilms.com              Friday the 13th franchise     Films     Friday the 13th ( 1980 )   Part 2   Part III   The Final Chapter   A New Beginning   Jason Lives   The New Blood   Jason Takes Manhattan   Jason Goes to Hell   Jason X   Freddy vs. Jason   soundtrack   score     Friday the 13th ( 2009 )       Television     Friday the 13th : The Series   episodes         Characters     Pamela Voorhees   Jason Voorhees   Alice Hardy   Ginny Field   Tommy Jarvis       Comics     Freddy vs. Jason vs. Ash   The Nightmare Warriors       Video games     Friday the 13th ( 1985 )   Friday the 13th ( 1989 )   Friday the 13th : The Game ( 2017 )       Related topics     `` He 's Back ( The Man Behind the Mask ) ''   A Nightmare on Elm Street franchise         Book                   Films directed by Joseph Zito       Abduction ( 1975 )   Bloodrage ( 1979 )   The Prowler ( 1981 )   Friday the 13th : The Final Chapter ( 1984 )   Missing in Action ( 1984 )   Invasion U.S.A. ( 1985 )   Red Scorpion ( 1989 )   Delta Force One : The Lost Patrol ( 2000 )   Power Play ( 2003 )      Retrieved from `` https://en.wikipedia.org/w/index.php?title=Friday_the_13th:_The_Final_Chapter&amp;oldid=801144562 '' Categories :   1984 films   English - language films   1984 horror films   1980s teen films   1980s sequel films   1980s serial killer films   American sequel films   American slasher films   American teen horror films   Friday the 13th ( franchise ) films   Paramount Pictures films   Summer camps in films   Films set in 1984   Film scores by Harry Manfredini   Films directed by Joseph Zito   Hidden categories :   Articles with hAudio microformats   Album infoboxes lacking a cover   Music infoboxes with deprecated parameters           Talk                                           Contents                   About Wikipedia                                           Wikiquote         Azərbaycanca   Български   Čeština   Dansk   Deutsch   Español   Français   Hrvatski   Bahasa Indonesia   Italiano   Magyar   Nederlands   Polski   Português   Русский   Српски / srpski   Srpskohrvatski / српскохрватски   Suomi   Svenska   Türkçe   Українська   Edit links   This page was last edited on 17 September 2017 , at 22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</si>
  <si>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friday the 13th part 4 take place</t>
  </si>
  <si>
    <t xml:space="preserve"> Friday the 13th : The Final Chapter is a 1984 American slasher film directed by Joseph Zito and the fourth installment in the Friday the 13th film series . Following the events of Friday the 13th Part III , Jason Voorhees returns to Crystal Lake and continues his killing spree on a family and a group of neighboring teenagers after being revived from his mortal wound . The film stars Corey Feldman , Ted White , Kimberly Beck , and Crispin Glover . </t>
  </si>
  <si>
    <t xml:space="preserve">United states presidential election - wikipedia  United states presidential election  For the most recent election , see United States presidential election , 2016 . For the upcoming election , see United States presidential election , 2020 . See also : List of Presidents of the United States    This article is part of a series on the     Politics of the United States of America         Federal Government ( show )   Constitution of the United States     Law   Taxation       Legislature ( show )   United States Congress         House of Representatives     Speaker Paul Ryan ( R )     Majority Leader Kevin McCarthy ( R )     Minority Leader Nancy Pelosi ( D )     Congressional districts       Senate     President Mike Pence ( R )     President Pro Tempore Orrin Hatch ( R )     President Pro Tempore Emeritus Patrick Leahy ( D )     Majority Leader Mitch McConnell ( R )     Minority Leader Chuck Schumer ( D )       Executive ( show )   President of the United States     Donald Trump ( R )       Vice President of the United States     Mike Pence ( R )     Cabinet   Federal agencies   Executive Office       Judiciary ( show )   Supreme Court of the United States     Chief Justice John Roberts     Thomas   Ginsburg   Breyer   Alito   Sotomayor   Kagan   Gorsuch   Kavanaugh     Courts of Appeals   District Courts ( list )     Other tribunals       Elections ( show )   Presidential elections   Midterm elections     Off - year elections       Political parties ( show )   Democratic   Republican     Third parties       Federalism ( show )   State Government     Governors     Legislatures ( List )     State courts       Local government         United States portal   Other countries   Atlas                   The election of President and Vice President of the United States is an indirect election in which citizens of the United States who are registered to vote in one of the 50 U.S. states or in Washington , D.C. cast ballots not directly for those offices , but instead for members of the U.S. Electoral College , known as electors . These electors then in turn cast direct votes , known as electoral votes , for President , and for Vice President . The candidate who receives an absolute majority of electoral votes ( at least 270 out of a total of 538 , since the Twenty - Third Amendment granting voting rights to citizens of Washington , D.C. ) is then elected to that office . If no candidate receives an absolute majority of the votes for President , the House of Representatives chooses the winner ; if no one receives an absolute majority of the votes for Vice President , then the Senate chooses the winner .   The Electoral College and its procedure are established in the U.S. Constitution by Article II , Section 1 , Clauses 2 and 4 ; and the Twelfth Amendment ( which replaced Clause 3 after its ratification in 1804 ) . Under Clause 2 , each of the states casts as many electoral votes as the total number of its Senators and Representatives in Congress , while , per the Twenty - third Amendment ratified in 1961 , Washington , D.C. casts the same number of electoral votes as the least - represented state , which is three . Also under Clause 2 , the manner for choosing electors is determined by each state legislature , not directly by the federal government . Many state legislatures previously selected their electors directly , but over time all of them switched to using the popular vote to help determine electors , which persists today . Once chosen , electors generally cast their electoral votes for the candidate who won the plurality in their state , but at least 21 states do not have provisions that specifically address this behavior ; those who vote in opposition to the plurality are known as `` faithless '' or `` unpledged electors '' . In modern times , faithless and unpledged electors have not affected the ultimate outcome of an election , so the results can generally be determined based on the state - by - state popular vote .   Presidential elections occur quadrennially with registered voters casting their ballots on Election Day , which since 1845 has been the first Tuesday after November 1 . This date coincides with the general elections of various other federal , state , and local races ; since local governments are responsible for managing elections , these races typically all appear on one ballot . The Electoral College electors then formally cast their electoral votes on the first Monday after December 12 at their respective state capitals . Congress then certifies the results in early January , and the presidential term begins on Inauguration Day , which since the passage of the Twentieth Amendment has been set at January 20 .   The nomination process , consisting of the primary elections and caucuses and the nominating conventions , was not specified in the Constitution , but was developed over time by the states and political parties . These primary elections are generally held between January and June before the general election in November , while the nominating conventions are held in the summer . Though not codified by law , political parties also follow an indirect election process , where voters in the 50 U.S. states , Washington , D.C. , and U.S. territories , cast ballots for a slate of delegates to a political party 's nominating convention , who then in turn elect their party 's presidential nominee . Each party may then choose a vice presidential running mate to join the ticket , which is either determined by choice of the nominee or by a second round of voting . Because of changes to national campaign finance laws since the 1970s regarding the disclosure of contributions for federal campaigns , presidential candidates from the major political parties usually declare their intentions to run as early as the spring of the previous calendar year before the election ( almost 18 months before Inauguration Day ) .  A 2016 general election ballot , listing the presidential and vice presidential candidates  Contents    1 History   2 Procedure   2.1 Eligibility requirements   2.2 Nominating process   2.3 The popular vote on Election Day   2.4 Electoral college   2.5 Election calendar     3 Trends   3.1 Previous experience   3.2 Technology and media     4 Criticisms   4.1 Proposed changes to the election process     5 Electoral college results   6 Voter turnout   7 Financial disclosures   8 Presidential coattails   8.1 Comparison with other U.S. general elections     9 See also   10 Notes   11 Further reading   12 External links    History ( edit )   Article Two of the United States Constitution originally established the method of presidential elections , including the Electoral College . This was a result of a compromise between those constitutional framers who wanted the Congress to choose the president , and those who preferred a national popular vote .   Each state is allocated a number of electors that is equal to the size of its delegation in both houses of Congress combined . With the ratification of the 23rd Amendment to the Constitution in 1961 , the District of Columbia is also granted a number of electors , equal to the number of those held by the least populous state . However , U.S. territories are not represented in the Electoral College .   Constitutionally , the manner for choosing electors is determined within each state by its legislature . During the first presidential election in 1789 , only 6 of the 13 original states chose electors by any form of popular vote . Gradually throughout the years , the states began conducting popular elections to help choose their slate of electors , resulting in the overall , nationwide indirect election system that it is today .   Under the original system established by Article Two , electors could cast two votes to two different candidates for president . The candidate with the highest number of votes ( provided it was a majority of the electoral votes ) became the president , and the second - place candidate became the vice president . This presented a problem during the presidential election of 1800 when Aaron Burr received the same number of electoral votes as Thomas Jefferson and challenged Jefferson 's election to the office . In the end , Jefferson was chosen as the president because of Alexander Hamilton 's influence in the House of Representatives .   In response to the 1800 election , the 12th Amendment was passed , requiring electors to cast two distinct votes : one for President and another for Vice President . While this solved the problem at hand , it ultimately had the effect of lowering the prestige of the Vice Presidency , as the office was no longer for the leading challenger for the Presidency . The separate ballots for President and Vice President became something of a moot issue later in the 19th century when it became the norm for popular elections to determine a state 's Electoral College delegation . Electors chosen this way are pledged to vote for a particular presidential and vice presidential candidate ( offered by the same political party ) . So , while the Constitution says that the President and Vice President are chosen separately , in practice they are chosen together .   The 12th Amendment also established rules when no candidate wins a majority vote in the Electoral College . In the presidential election of 1824 , Andrew Jackson received a plurality , but not a majority , of electoral votes cast . The election was thrown to the House of Representatives , and John Quincy Adams was elected to the presidency . A deep rivalry resulted between Andrew Jackson and House Speaker Henry Clay , who had also been a candidate in the election .   Since 1824 , aside from the occasional `` faithless elector , '' the popular vote determines the winner of a presidential election by determining the electoral vote , as each state or district 's popular vote determines its electoral college vote . Although the nationwide popular vote does not directly determine the winner of a presidential election , it does strongly correlate with who is the victor . In 53 of the 58 total elections held so far ( about 91 percent ) , the winner of the national popular vote has also carried the Electoral College vote . The winners of the nationwide popular vote and the Electoral College vote differ only in close elections . In highly competitive elections , candidates focus on turning out their vote in the contested swing states critical to winning an electoral college majority , so they do not try to maximize their popular vote by real or fraudulent vote increases in one - party areas .   However , candidates can fail to get the most votes in the nationwide popular vote in a Presidential election and still win that election . In the 1824 election , Jackson won the popular vote , but no one received the majority of electoral votes . According to the 12th Amendment in the Constitution , the House of Representatives must choose the president out of the top 3 people in the election . Clay had come fourth , so he threw his support to Adams , who then won . Because Adams later named Clay his Secretary of State , Jackson 's supporters claimed that Adams gained the presidency by making a deal with Clay . Charges of a `` corrupt bargain '' followed Adams through his term .  Comparison of the popular vote totals since 1900 . Republican Democrat All other candidates together  Then in 1876 , 1888 , 2000 , and 2016 , the winner of electoral vote lost the popular vote outright . Numerous constitutional amendments have been submitted seeking to replace the Electoral College with a direct popular vote , but none has ever successfully passed both Houses of Congress . Another alternate proposal is the National Popular Vote Interstate Compact , an interstate compact whereby individual participating states agree to allocate their electors based on the winner of the national popular vote instead of just their respective statewide results .   The presidential election day was established on a Tuesday in the month of November because of the factors involved ( weather , harvests and worship ) . When voters used to travel to the polls by horse , Tuesday was an ideal day because it allowed people to worship on Sunday , ride to their county seat on Monday , and vote on Tuesday -- all before market day , Wednesday . The month of November also fits nicely between harvest time and harsh winter weather , which could be especially bad to people traveling by horse and buggy .   Until 1937 , presidents were not sworn in until March 4 because it took so long to count and report ballots , and because of the winner 's logistical issues of moving to the capital . With better technology and the 20th Amendment being passed , presidential inaugurations were moved to noon on January 20 -- allowing presidents to start their duties sooner .   The Federal Election Campaign Act of 1971 was enacted to increase disclosure of contributions for federal campaigns . Subsequent amendments to law require that candidates to a federal office must file a Statement of Candidacy with the Federal Election Commission before they can receive contributions aggregating in excess of $5,000 or make expenditures aggregating in excess of $5,000 . Thus , this began a trend of presidential candidates declaring their intentions to run as early as the Spring of the previous calendar year so they can start raising and spending the money needed for their nationwide campaign .   The first president , George Washington , was elected as an independent . Since the election of his successor , John Adams , in 1796 , all winners of U.S. presidential elections have represented one of two major parties . Third parties have taken second place only twice , in 1860 and 1912 . The last time a third ( independent ) candidate achieved significant success ( although still finishing in third place ) was in 1992 , and the last time a third - party candidate received any electoral votes not from faithless electors was in 1968 .   Procedure ( edit )   Eligibility requirements ( edit )  The hand - written copy of the natural - born - citizen clause as it appeared in 1787  Article Two of the United States Constitution stipulates that for a person to serve as President , the individual must be a natural - born citizen of the United States , at least 35 years old , and a resident of the United States for a period of no less than 14 years . A candidate may start running his or her campaign early before turning 35 years old or completing 14 years of residency , but must meet the age and residency requirements by Inauguration Day . The Twenty - second Amendment to the Constitution also sets a term limit : a President can not be elected to more than two terms .   The U.S. Constitution also has two provisions that apply to all federal offices in general , not just the presidency . Article I , Section 3 , Clause 7 states that if the U.S. Congress convicts any officer on impeachment , they may also bar that person from holding any public office in the future . And Section 3 of the Fourteenth Amendment prohibits the election to any federal office of any person who had held any federal or state office and then engaged in insurrection , rebellion or treason ; this disqualification can be waived if such an individual gains the consent of two - thirds of both houses of Congress .   In addition , the Twelfth Amendment establishes that the Vice-President must meet all of the qualifications of being a President .   Although not a mandatory requirement , Federal campaign finance laws including the Federal Election Campaign Act state that a candidate who intends to receive contributions aggregating in excess of $5,000 or make expenditures aggregating in excess of $5,000 , among others , must first file a Statement of Candidacy with the Federal Election Commission . This has led presidential candidates , especially members from the two major political parties , to officially announce their intentions to run as early as the spring of the previous calendar year so they can start raising or spending the money needed for their nationwide campaign . Potential candidates usually form exploratory committees even earlier to determining the feasibility of them actually running .   Nominating process ( edit )  Main articles : United States presidential primary and United States presidential nominating convention A 2008 Democratic caucus meeting in Iowa City , Iowa . The Iowa caucuses are traditionally the first major electoral event of presidential primaries and caucuses . Madison Square Garden in New York City , the site of the 1976 , 1980 , and 1992 Democratic National Conventions ; and the 2004 Republican National Convention . The floor of the 2008 Republican National Convention at the Xcel Energy Center in Saint Paul , Minnesota .  The modern nominating process of U.S. presidential elections consists of two major parts : a series of presidential primary elections and caucuses held in each state , and the presidential nominating conventions held by each political party . This process was never included in the United States Constitution , and thus evolved over time by the political parties to clear the field of candidates .   The primary elections are run by state and local governments , while the caucuses are organized directly by the political parties . Some states hold only primary elections , some hold only caucuses , and others use a combination of both . These primaries and caucuses are staggered generally between January and June before the federal election , with Iowa and New Hampshire traditionally holding the first presidential state caucus and primary , respectively .   Like the general election , presidential caucuses or primaries are indirect elections . The major political parties officially vote for their presidential candidate at their respective nominating conventions , usually all held in the summer before the federal election . Depending on each state 's law and state 's political party rules , when voters cast ballots for a candidate in a presidential caucus or primary , they may be voting to award delegates `` bound '' to vote for a candidate at the presidential nominating conventions , or they may simply be expressing an opinion that the state party is not bound to follow in selecting delegates to their respective national convention .   Unlike the general election , voters in the U.S. territories can also elect delegates to the national conventions . Furthermore , each political party can determine how many delegates to allocate to each state and territory . In 2012 for example , the Democratic and Republican party conventions each used two different formulas to allocate delegates . The Democrats - based theirs on two main factors : the proportion of votes each state gave to the Democratic candidate in the previous three presidential elections , and the number of electoral votes each state had in the Electoral College . In contrast , the Republicans assigned to each state 10 delegates , plus 3 delegates per congressional district . Both parties then gave fixed amounts of delegates to each territory , and finally bonus delegates to states and territories that passed certain criteria .   Along with delegates chosen during primaries and caucuses , state and U.S. territory delegations to both the Democratic and Republican party conventions also include `` unpledged '' delegates that have a vote . For Republicans , they consist of the three top party officials from each state and territory . Democrats have a more expansive group of unpledged delegates called `` superdelegates '' , who are party leaders and elected officials .   Each party 's presidential candidate also chooses a vice presidential nominee to run with him or her on the same ticket , and this choice is rubber - stamped by the convention .   If no single candidate has secured a majority of delegates ( including both pledged and unpledged ) , then a `` brokered convention '' results . All pledged delegates are then `` released '' and are able to switch their allegiance to a different candidate . Thereafter , the nomination is decided through a process of alternating political horse trading , and additional rounds of re-votes .   The conventions have historically been held inside convention centers , but since the late 20th century both the Democratic and Republican parties have favored sports arenas and domed stadiums to accommodate the increasing attendance .   The popular vote on election Day ( edit )  A Texas voter about to mark a selection for president on a ballot , 2008 Election Day  Under the United States Constitution , the manner of choosing electors for the Electoral College is determined by each state 's legislature . Although each state designates electors by popular vote , other methods are allowed . For instance , instead of having a popular vote , a number of states used to select presidential electors by a direct vote of the state legislature itself .   However , federal law does specify that all electors must be selected on the same day , which is `` the first Tuesday after the first Monday in November , '' i.e. , a Tuesday no earlier than November 2 and no later than November 8 . Today , the states and the District of Columbia each conduct their own popular elections on Election Day to help determine their respective slate of electors . Thus , the presidential election is really an amalgamation of separate and simultaneous state elections instead of a single national election run by the federal government .   Like any other election in the United States , the eligibility of an individual for voting is set out in the Constitution and regulated at state level . The Constitution states that suffrage can not be denied on grounds of race or color , sex or age for citizens eighteen years or older . Beyond these basic qualifications , it is the responsibility of state legislatures to regulate voter eligibility .   Generally , voters are required to vote on a ballot where they select the candidate of their choice . The presidential ballot is a vote `` for the electors of a candidate '' meaning that the voter is not voting for the candidate , but endorsing a slate of electors pledged to vote for a specific presidential and vice presidential candidate .   Many voting ballots allow a voter to `` blanket vote '' for all candidates in a particular political party or to select individual candidates on a line by line voting system . Which candidates appear on the voting ticket is determined through a legal process known as ballot access . Usually , the size of the candidate 's political party and the results of the major nomination conventions determine who is pre-listed on the presidential ballot . Thus , the presidential election ticket will not list every candidate running for President , but only those who have secured a major party nomination or whose size of their political party warrants having been formally listed . Laws are in effect to have other candidates pre-listed on a ticket , provided that enough voters have endorsed the candidate , usually through a signature list .   The final way to be elected for president is to have one 's name written in at the time of election as a write - in candidate . This is used for candidates who did not fulfill the legal requirements to be pre-listed on the voting ticket . It is also used by voters to express a distaste for the listed candidates , by writing in an alternative candidate for president such as Mickey Mouse or comedian Stephen Colbert ( whose application was voted down by the South Carolina Democratic Party ) . In any event , a write - in candidate has never won an election for President of the United States .   Because U.S. territories are not represented in the Electoral College , U.S. citizens in those areas do not vote in the general election for President . Guam has held straw polls for president since the 1980 election to draw attention to this fact .   Electoral College ( edit )  Main article : Electoral College ( United States ) Electoral College map showing the results of the 2016 U.S. presidential election . Republican candidate Donald Trump won the popular vote in 30 states ( denoted in red ) to capture 305 electoral votes ( plus 1 electoral vote from Maine 's second congressional district ) . Democratic candidate Hillary Clinton won the popular vote in 20 states and Washington , D.C. ( denoted in blue ) to capture 232 electoral votes .  Most state laws establish a winner - take - all system , wherein the ticket that wins a plurality of votes wins all of that state 's allocated electoral votes , and thus has their slate of electors chosen to vote in the Electoral College . Maine and Nebraska do not use this method , instead giving two electoral votes to the statewide winner and one electoral vote to the winner of each Congressional district .   Each state 's winning slate of electors then meets at their respective state 's capital on the first Monday after the second Wednesday in December to cast their electoral votes on separate ballots for President and Vice President . Although Electoral College members can technically vote for anyone under the U.S. Constitution , 24 states have laws to punish faithless electors , those who do not cast their electoral votes for the person whom they have pledged to elect .   In early January , the total Electoral College vote count is opened by the sitting Vice President , acting in his capacity as President of the Senate , and read aloud to a joint session of the incoming Congress , which was elected at the same time as the President .   If no candidate receives a majority of the electoral vote ( at least 270 ) , the President is determined by the rules outlined by the 12th Amendment . Specifically , the selection of President would then be decided by a contingent election in a ballot of the House of Representatives . For the purposes of electing the President , each state has only one vote . A ballot of the Senate is held to choose the Vice President . In this ballot , each senator has one vote . The House of Representatives has chosen the victor of the presidential race only twice , in 1800 and 1824 ; the Senate has chosen the victor of the vice-presidential race only once , in 1836 .   If the President is not chosen by Inauguration Day , the Vice President - elect acts as President . If neither are chosen by then , Congress by law determines who shall act as President , pursuant to the 20th Amendment .   Unless there are faithless electors , disputes , or other controversies , the events in December and January mentioned above are largely a formality since the winner can be determined based on the state - by - state popular vote results . Between the general election and Inauguration Day , this apparent winner is referred to as the `` President - elect '' ( unless it is a sitting President that has won re-election ) .   Election calendar ( edit )   The typical periods of the presidential election process are as follows , with the dates corresponding to the 2016 general election :    Spring 2015 -- Candidates announce their intentions to run , and ( if necessary ) file their Statement of Candidacy with the Federal Election Commission   August 2015 to March 2016 -- Primary and caucus debates   February 1 to June 14 , 2016 -- Primaries and caucuses   April to August , 2016 -- Nominating conventions ( including those of the minor third parties )   September and October , 2016 -- Presidential election debates   November 8 , 2016 -- Election Day   December 19 , 2016 -- Electors cast their electoral votes   January 6 , 2017 -- Congress counts and certifies the electoral votes   January 20 , 2017 -- Inauguration Day    Trends ( edit )   Previous experience ( edit )  See also : List of Presidents of the United States by previous experience and List of Presidents of the United States by other offices held John Adams was the first of 26 presidents who have been lawyers .  Among the 44 persons who have served as president , only Donald Trump had never held a position in either government or the military prior to taking office . The only previous experience that Zachary Taylor , Ulysses S. Grant , and Dwight D. Eisenhower had was in the military . Herbert Hoover previously served as the Secretary of Commerce . Everyone else served in elected public office before becoming president , such as being Vice President , a member of the United States Congress , or a state or territorial governor .   Fourteen Presidents also served as vice president . However , only John Adams ( 1796 ) , Thomas Jefferson ( 1800 ) , Martin Van Buren ( 1836 ) , Richard Nixon ( 1968 ) and George H.W. Bush ( 1988 ) began their first term after winning an election . The remaining nine began their first term as president according to the presidential line of succession after the intra-term death or resignation of their predecessor . Of these , Theodore Roosevelt , Calvin Coolidge , Harry S. Truman , and Lyndon B. Johnson were subsequently elected to a full term of their own , while John Tyler , Millard Fillmore , Andrew Johnson , Chester A. Arthur , and Gerald Ford were not . Ford 's accession to the presidency is unique in American history in that he became vice president through the process prescribed by the Twenty - fifth Amendment rather than by winning an election , thus making him the only U.S. president to not have been elected to either office .   Sixteen presidents had previously served in the U.S. Senate , including four of the five who served between 1945 and 1974 . However , only three were incumbent senators at the time they were elected president ( Warren G. Harding in 1920 , John F. Kennedy in 1960 , and Barack Obama in 2008 ) . Eighteen presidents had earlier served in the House of Representatives . However , only one was a sitting representative when elected to presidency ( James A. Garfield in 1880 ) .   Four of the last seven presidents ( Jimmy Carter , Ronald Reagan , Bill Clinton and George W. Bush ) have been governors of a state . Geographically , these presidents were from either very large states ( Reagan from California , Bush from Texas ) or from a state south of the Mason -- Dixon line and east of Texas ( Carter from Georgia , Clinton from Arkansas ) . In all , sixteen presidents have been former governors , including seven who were incumbent governors at the time of their election to the presidency .   The most common job experience , occupation or profession of U.S. presidents has been lawyer ; 26 presidents had served as attorneys . Twenty - two presidents were also in the military . Eight presidents had served as Cabinet Secretaries , with five of the six Presidents who served between 1801 and 1841 having held the office of U.S. Secretary of State .   After leaving office , one president , William Howard Taft , served as Chief Justice of the United States . Two others later served in Congress -- John Quincy Adams , who served in the House , and Andrew Johnson , who served in the Senate .   Technology and media ( edit )  See also : Social media in the United States presidential election , 2016 Play media Lyndon B. Johnson 's 1964 `` Daisy '' advertisement  Advances in technology and media have also affected presidential campaigns . The invention of both radio and television have given way to the reliance of national political advertisements across those methods of communication . National advertisements such as Lyndon B. Johnson 's 1964 commercial `` Daisy '' , Ronald Reagan 's 1984 commercial `` Morning in America '' , and George H.W. Bush 's 1988 commercial `` Revolving Door '' became major factors in those respective elections . In 1992 , George H.W. Bush 's promise of `` Read my lips : no new taxes '' was extensively used in the commercials of Bill Clinton and Bush 's other opponents with significant effect during the campaign .   Since the development of the internet in the mid-90s , Internet activism has also become an invaluable component of presidential campaigns , especially since 2000 . The internet was first used in the 1996 presidential elections , but primarily as a brochure for the candidate online . It was only used by a few candidates and there is no evidence of any major effect on the outcomes of that election cycle .   In 2000 , both candidates ( George W. Bush and Al Gore ) created , maintained and updated their campaign website . But it was not until the 2004 presidential election cycle was the potential value of the internet seen . By the summer of 2003 , ten people competing in the 2004 presidential </t>
  </si>
  <si>
    <t xml:space="preserve">when is the popular vote for president done</t>
  </si>
  <si>
    <t xml:space="preserve"> However , federal law does specify that all electors must be selected on the same day , which is `` the first Tuesday after the first Monday in November , '' i.e. , a Tuesday no earlier than November 2 and no later than November 8 . Today , the states and the District of Columbia each conduct their own popular elections on Election Day to help determine their respective slate of electors . Thus , the presidential election is really an amalgamation of separate and simultaneous state elections instead of a single national election run by the federal government . </t>
  </si>
  <si>
    <r>
      <rPr>
        <sz val="11"/>
        <color rgb="FF000000"/>
        <rFont val="Calibri"/>
        <family val="0"/>
        <charset val="1"/>
      </rPr>
      <t xml:space="preserve">Labor management Relations Act of 1947 - wikipedia  Labor management Relations Act of 1947  Jump to : navigation , search  Labor Management Relations Act of 1947       Long title   An Act to amend the National Labor Relations Act , to provide additional facilities for the mediation of labor disputes affecting commerce , to equalize legal responsibilities of labor organizations and employers , and for other purposes .     Nicknames   Taft -- Hartley Act     Enacted by   the 80th United States Congress     Effective   June 23 , 1947     Citations     Public law   80 -- 101     Statutes at Large   61 Stat. 136     Codification     Titles amended   29 U.S.C. : Labor     U.S.C. sections created   29 U.S.C. ch. 7 § § 141 - 197     Legislative history       Introduced in the House as H.R. 3020 by Fred A. Hartley , Jr . ( R -- NJ ) on April 10 , 1947   Passed the House on April 17 , 1947 ( 308 - 107 )   Passed the Senate on May 13 , 1947 ( 68 - 24 , in lieu of S. 1126 )   Reported by the joint conference committee on June 4 , 1947 ; agreed to by the House on June 4 , 1947 ( 320 - 79 ) and by the Senate on June 6 , 1947 ( 54 - 17 )   Vetoed by President Harry S. Truman on June 20 , 1947   Overridden by the House on June 20 , 1947 ( 331 - 83 )   Overridden by the Senate and became law on June 23 , 1947 ( 68 - 25 )       Major amendments     Labor Management Reporting and Disclosure Act     The Labor Management Relations Act of 1947 29 U.S.C. § 141 - 197 , better known as the Taft -- Hartley Act , ( 80 H.R. 3020 , Pub. L. 80 -- 101 , 61 Stat. 136 , enacted June 23 , 1947 ) is a United States federal law that restricts the activities and power of labor unions . The act , still effective , was sponsored by Senator Robert A. Taft and Representative Fred A. Hartley , Jr. , and became law despite U.S. President Harry S. Truman 's veto on June 23 , 1947 . Labor leaders called it the `` slave - labor bill '' while President Truman argued that it was a `` dangerous intrusion on free speech '' , arguing that it would `` conflict with important principles of our democratic society '' . Nevertheless , after it passed Truman relied upon it in twelve instances during his presidency . The Taft -- Hartley Act amended the National Labor Relations Act ( NLRA ; informally the Wagner Act ) , which Congress passed in 1935 . The principal author of the Taft -- Hartley Act was J. Mack Swigert , of the Cincinnati law firm Taft , Stettinius &amp; Hollister .   Historian James T. Patterson concludes that :      By the 1950s most observers agreed that Taft - Hartley was no more disastrous for workers than the Wagner Act had been for employers . What ordinarily mattered most in labor relations was not government laws such as Taft - Hartley , but the relative power of unions and management in the economic marketplace . Where unions were strong they usually managed all right ; when they were weak , new laws did them little additional harm .        Contents  ( hide )   1 Background   2 Effects of the act   2.1 Jurisdictional strikes   2.2 Campaign expenditures   2.3 Closed shops   2.4 Union security clauses   2.5 Strikes   2.6 Anti-communism   2.7 Treatment of supervisors   2.8 Right of employer to oppose unions   2.9 National Labor Relations Board   2.10 Federal jurisdiction   2.11 Other     3 Opposition to the Act   4 See also   5 Notes   6 References   7 External links      Background ( edit )  See also : Strike wave of 1946  Taft -- Hartley was one of more than 250 union - related bills pending in both houses of Congress in 1947 . After World War II , 25 percent of the workforce was unionized ( around 14.8 million workers had union contracts , 10 million of them being union security agreements ) , and with the war now over , their promise not to strike so as not to impede the war effort had expired .   As a response to the rising union movement and Cold War hostilities , the bill could be seen as a response by business to the post -- World War II labor upsurge of 1946 . During the year after V-J Day , more than five million American workers were involved in strikes , which lasted on average four times longer than those during the war .   The Taft -- Hartley Act was seen as a means of demobilizing the labor movement by imposing limits on labor 's ability to strike and by prohibiting radicals from their leadership . The law was promoted by large business lobbies including the National Association of Manufacturers .   Effects of the Act ( edit )   As stated in Section 1 ( 29 U.S.C. § 141 ) , the purpose of the NLRA is :   ( T ) o promote the full flow of commerce , to prescribe the legitimate rights of both employees and employers in their relations affecting commerce , to provide orderly and peaceful procedures for preventing the interference by either with the legitimate rights of the other , to protect the rights of individual employees in their relations with labor organizations whose activities affect commerce , to define and proscribe practices on the part of labor and management which affect commerce and are inimical to the general welfare , and to protect the rights of the public in connection with labor disputes affecting commerce .   The amendments enacted in Taft -- Hartley added a list of prohibited actions , or unfair labor practices , on the part of unions to the NLRA , which had previously only prohibited unfair labor practices committed by employers . The Taft -- Hartley Act prohibited jurisdictional strikes , wildcat strikes , solidarity or political strikes , secondary boycotts , secondary and mass picketing , closed shops , and monetary donations by unions to federal political campaigns . It also required union officers to sign non-communist affidavits with the government . Union shops were heavily restricted , and states were allowed to pass right - to - work laws that ban agency fees . Furthermore , the executive branch of the federal government could obtain legal strikebreaking injunctions if an impending or current strike imperiled the national health or safety .   Jurisdictional strikes ( edit )   In jurisdictional strikes , outlawed by Taft -- Hartley , a union strikes in order to assign particular work to the employees it represents . Secondary boycotts and common situs picketing , also outlawed by the act , are actions in which unions picket , strike , or refuse to handle the goods of a business with which they have no primary dispute but which is associated with a targeted business . A later statute , the Labor Management Reporting and Disclosure Act , passed in 1959 , tightened these restrictions on secondary boycotts still further .   Campaign expenditures ( edit )   According to First Amendment scholar Floyd Abrams , the Act `` was the first law barring unions and corporations from making independent expenditures in support of or ( in ) opposition to federal candidates '' .   Closed shops ( edit )  Main article : Closed shop  The outlawed closed shops were contractual agreements that required an employer to hire only labor union members . Union shops , still permitted , require new recruits to join the union within a certain amount of time . The National Labor Relations Board and the courts have added other restrictions on the power of unions to enforce union security clauses and have required them to make extensive financial disclosures to all members as part of their duty of fair representation . On the other hand , Congress repealed the provisions requiring a vote by workers to authorize a union shop a few years after the passage of the Act when it became apparent that workers were approving them in virtually every case .   Union security clauses ( edit )  Main article : Union shop  The amendments also authorized individual states to outlaw union security clauses ( such as the union shop ) entirely in their jurisdictions by passing right - to - work laws . A right - to - work law , under Section 14B of Taft -- Hartley , prevents unions from negotiating contracts or legally binding documents requiring companies to fire workers who refuse to join the union . Currently all of the states in the Deep South and a number of states in the Midwest , Great Plains , and Rocky Mountains regions have right - to - work laws ( with six states -- Alabama , Arizona , Arkansas , Florida , Mississippi , and Oklahoma -- going one step further and enshrining right - to - work laws in their states ' constitutions ) .   Strikes ( edit )   The amendments required unions and employers to give 80 days ' notice to each other and to certain state and federal mediation bodies before they may undertake strikes or other forms of economic action in pursuit of a new collective bargaining agreement ; it did not , on the other hand , impose any `` cooling - off period '' after a contract expired . The Act also authorized the President to intervene in strikes or potential strikes that create a national emergency , a reaction to the national coal miners ' strikes called by the United Mine Workers of America in the 1940s . Presidents have used that power less and less frequently in each succeeding decade . President George W. Bush invoked the law in connection with the employer lockout of the International Longshore and Warehouse Union during negotiations with West Coast shipping and stevedoring companies in 2002 .   The Act also prohibited federal employees from striking .   Anti-communism ( edit )  Main article : McCarthyism  The amendments required union leaders to file affidavits with the United States Department of Labor declaring that they were not supporters of the Communist Party and had no relationship with any organization seeking the `` overthrow of the United States government by force or by any illegal or unconstitutional means '' as a condition to participating in NLRB proceedings . Just over a year after Taft -- Hartley passed , 81,000 union officers from nearly 120 unions had filed the required affidavits . In 1965 , The Supreme Court held that this provision was an unconstitutional bill of attainder .   Treatment of supervisors ( edit )   The amendments expressly excluded supervisors from coverage under the act , and allowed employers to terminate supervisors engaging in union activities or those not supporting the employer 's stance . The amendments maintained coverage under the act for professional employees , but provided for special procedures before they may be included in the same bargaining unit as non-professional employees .   Right of employer to oppose unions ( edit )   The Act revised the Wagner Act 's requirement of employer neutrality , to allow employers to deliver anti-union messages in the workplace . These changes confirmed an earlier Supreme Court ruling that employers have a constitutional right to express their opposition to unions , so long as they did not threaten employees with reprisals for their union activities nor offer any incentives to employees as an alternative to unionizing . The amendments also gave employers the right to file a petition asking the Board to determine if a union represents a majority of its employees , and allow employees to petition either to decertify their union , or to invalidate the union security provisions of any existing collective bargaining agreement .   National labor Relations Board ( edit )  Main article : National Labor Relations Board  The amendments gave the General Counsel of the National Labor Relations Board discretionary power to seek injunctions against either employers or unions that violated the Act . The law made pursuit of such injunctions mandatory , rather than discretionary , in the case of secondary boycotts by unions . The amendments also established the General Counsel 's autonomy within the administrative framework of the NLRB . Congress also gave employers the right to sue unions for damages caused by a secondary boycott , but gave the General Counsel exclusive power to seek injunctive relief against such activities .   Federal jurisdiction ( edit )   The act provided for federal court jurisdiction to enforce collective bargaining agreements . Although Congress passed this section to empower federal courts to hold unions liable in damages for strikes violating a no - strike clause , this part of the act has instead served as the springboard for creation of a `` federal common law '' of collective bargaining agreements , which favored arbitration over litigation or strikes as the preferred means of resolving labor disputes .   Other ( edit )   The Congress that passed the Taft -- Hartley Amendments considered repealing the Norris -- La Guardia Act to the extent necessary to permit courts to issue injunctions against strikes violating a no - strike clause , but chose not to do so . The Supreme Court nonetheless held several decades later that the act implicitly gave the courts the power to enjoin such strikes over subjects that would be subject to final and binding arbitration under a collective bargaining agreement .   Finally , the act imposed a number of procedural and substantive standards that unions and employers must meet before they may use employer funds to provide pensions and other employee benefit to unionized employees . Congress has since passed more extensive protections for workers and employee benefit plans as part of the Employee Retirement Income Security Act ( `` ERISA '' ) .   Opposition to the Act ( edit )   After spending several days considering how to respond to the bill , Truman vetoed Taft -- Hartley with a strong message to Congress . Truman had expressed no opinion on the bill prior to his veto message . The committees considering the bill had requested suggestions from the Truman administration , but did not receive any . With the administration taking no stand on the bill , it passed both houses with strong bipartisan support . A clear majority of House Democrats voted for the bill , while Democrats in the Senate split evenly , 21 -- 21 .   Despite Truman 's all - out effort to stop the veto override , Congress overrode his veto with considerable Democratic support , including 106 out of 177 Democrats in the House , and 20 out of 42 Democrats in the Senate .   Union leaders in the Congress of Industrial Organizations ( CIO ) vigorously campaigned for Truman in the 1948 election based upon a ( never fulfilled ) promise to repeal Taft -- Hartley . Truman won , but a union - backed effort in Ohio to defeat Taft in 1950 failed in what one author described as `` a shattering demonstration of labor 's political weaknesses '' . Organized labor nearly succeeded in pushing Congress to amend the law to increase the protections for strikers and targets of employer retaliation during the Carter and Clinton administrations , but failed on both occasions because of Republican opposition and lukewarm support for these changes from the Democratic President in office at the time .   See also ( edit )    Organized labor portal     Labor unions in the United States   Norris -- La Guardia Act   Wagner Act   Jurisdictional strike   Secondary boycott   Chauffeurs , Teamsters , and Helpers Local No. 391 v. Terry , 494 U.S. 558 ( 1990 ) 5 to 2 on § 185 of LMRA 1947 , holding that a plaintiff is entitled to trial by jury if the trade union denies representation    Notes ( edit )    Jump up ^ Peters , Gerhard ; Woolley , John T. `` Harry S. Truman : `` Veto of the Taft - Hartley Labor Bill. , '' June 20 , 1947 `` . The American Presidency Project . University of California - Santa Barbara .   Jump up ^ `` National Affairs : Barrel No. 2 '' . Time . June 23 , 1947 . Retrieved May 24 , 2010 .   ^ Jump up to : Debating ' Citizens United ' , The Nation ( 2011 - 01 - 13 )   Jump up ^ Harry S. Truman : Veto of the Taft - Hartley Labor Bill   ^ Jump up to : Preis , Art ( 1964 ) . Labor 's Giant Step : The First Twenty Years of the CIO . Pathfinder Press . ISBN 0 - 87348 - 263 - 8 .   Jump up ^ `` Taft - Hartley Act '' . legaldictionary.net . Missing or empty url = ( help ) ; access - date = requires url = ( help )   Jump up ^ James T. Patterson ( 1996 ) . Grand Expectations : The United States , 1945 - 1974 . p. 52 .   Jump up ^ Cochran , Bert ( 1979 ) . Labor and Communism : The Conflict That Shaped American Unions . Princeton University Press .   Jump up ^ Smith , Sharon ( 2006 ) . Subterranean Fire : A History of Working - Class Radicalism in the United States . Haymarket Books . ISBN 1 - 931859 - 23 - X .   ^ Jump up to : Anna McCarthy , The Citizen Machine : Governing by Television in 1950s America , New York : The New Press , 2010 , p. 54 . ISBN 978 - 1 - 59558 - 498 - 4 .   Jump up ^ Cox , Archibald ( February 1960 ) . `` Strikes and the Public Interest - A Proposal for New Legislation '' . The Atlantic .   Jump up ^ 29 U.S.C. § § 151 - 169 Section 8 ( b ) ( 4 )   Jump up ^ Sanger , David E. ; Greenhouse , Steven ( October 9 , 2002 ) . `` President Invokes Taft - Hartley Act To Open 29 Ports '' .   Jump up ^ Fleischli , George R. ( May -- June 1968 ) . `` DUTY TO BARGAIN UNDER EXECUTIVE ORDER 10988 '' . Air Force Law Review . access - date = requires url = ( help )   ^ Jump up to : Nicholson , Phillip ( 2004 ) . Labor 's Story in the United States . Temple University Press . ISBN 1 - 59213 - 239 - 1 .   Jump up ^ United States v. Brown , 381 U.S. 437 ( Supreme Court 1965 - 06 - 07 ) ( `` Held : Section 504 constitutes a bill of attainder and is therefore unconstitutional . '' ) .   Jump up ^ Gruenberg , Mark ( June 11 , 2007 ) . `` Taft - Hartley Signed 60 Years Ago '' . Political Affairs Magazine . Archived from the original on May 18 , 2013 . Retrieved 2012 - 06 - 06 .   Jump up ^ ( alendar.google.com/calendar/r PUBLIC LAWS - CHS. 114 , 120 - JUNE 21 , 23 , 1947 ) Check url = value ( help ) . 80Ta CONG . , 1ST SESS . - CH. 120 - JUNE 23 , 194 7 . p. 136 .   Jump up ^ Richard S. Conley , `` Triumphs , tribulations , and turnip day sessions in the 80th Congress , '' in Congress and Harry S. Truman : a Conflicted Legacy , Donald A. Ritchie ( ed . ) ( Truman State University Press , 2011 ) 29 -- 30 .   Jump up ^ `` Truman - Taft stands -- point by point '' , CQ Almanac , 1951 .   Jump up ^ Benjamin C. Waterhouise , Lobbying in America , ( Princeton University Press , 2013 ) 53 .   Jump up ^ Davis , Mike ( 2000 ) . Prisoners of the American Dream : Politics and Economy in the History of the US Working Class . W.W. Norton &amp; Company . ISBN 1 - 85984 - 248 - 8 .   Jump up ^ Lubell , Samuel ( 1956 ) . The Future of American Politics ( 2nd ed . ) . Anchor Press . p. 202 .   Jump up ^ Labor Unions and Taft Hartley , CounterPunch , David Macary , January 2 , 2008 . Retrieved 30 January 2016 .    References ( edit )    Cockburn , Alexander . `` How Many Democrats Voted for Taft - Hartley ? '' Counterpunch . September 6 , 2004 .   Faragher , J.M. ; Buhle , M.J. ; Czitrom , D. ; and Armitage , S.H. Out of Many : A History of the American People . Upper Saddle River , N.J. : Pearson Prentice Hall , 2006 .   McCann , Irving G. Why the Taft - Hartley Law ? New York : Committee for Constitutional Government , 1950 .   Millis , Harry A. and Brown , Emily Clark . From the Wagner Act to Taft - Hartley : A Study of National Labor Policy and Labor Relations . Chicago : University of Chicago Press , 1950 .    External links ( edit )    Text of the Taft - Hartley Act   A film clip `` Longines Chronoscope with Fred A Hartley '' is available at the Internet Archive            LCCN : n80080438   NARA : 10647366   SNAC : w6v20b3r   VIAF : 180228795      Retrieved from `` https://en.wikipedia.org/w/index.php?title=Labor_Management_Relations_Act_of_1947&amp;oldid=842313689 '' Categories :   1947 in law   Anti-communism in the United States   United States federal labor legislation   History of the United States ( 1945 -- 64 )   80th United States Congress   Trade union legislation   1947 in economics   1947 in labour relations   Hidden categories :   Pages using web citations with no URL   Pages using citations with accessdate and no URL   Pages with URL errors   All articles with unsourced statements   Articles with unsourced statements from February 2018   Articles with unsourced statements from March 2015   Articles with unsourced statements from April 2015   Articles with unsourced statements from December 2012   Articles with Internet Archive links   Wikipedia articles with LCCN identifiers   Wikipedia articles with SNAC - ID identifiers   Wikipedia articles with VIAF identifiers           Talk                                           Contents                   About Wikipedia                                           Wikisource       Català   Dansk   Deutsch   Esperanto   Français   Հայերեն   Bahasa Indonesia   Italiano   </t>
    </r>
    <r>
      <rPr>
        <sz val="11"/>
        <color rgb="FF000000"/>
        <rFont val="Noto Sans CJK SC"/>
        <family val="2"/>
      </rPr>
      <t xml:space="preserve">日本 語   </t>
    </r>
    <r>
      <rPr>
        <sz val="11"/>
        <color rgb="FF000000"/>
        <rFont val="Calibri"/>
        <family val="0"/>
        <charset val="1"/>
      </rPr>
      <t xml:space="preserve">Polski   Simple English   Українська  5 more  Edit links   This page was last edited on 21 May 2018 , at 17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</si>
  <si>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was the principle author of the law that was intended to amend the national labor relations act</t>
  </si>
  <si>
    <t xml:space="preserve"> The Labor Management Relations Act of 1947 29 U.S.C. § 141 - 197 , better known as the Taft -- Hartley Act , ( 80 H.R. 3020 , Pub. L. 80 -- 101 , 61 Stat. 136 , enacted June 23 , 1947 ) is a United States federal law that restricts the activities and power of labor unions . The act , still effective , was sponsored by Senator Robert A. Taft and Representative Fred A. Hartley , Jr. , and became law despite U.S. President Harry S. Truman 's veto on June 23 , 1947 . Labor leaders called it the `` slave - labor bill '' while President Truman argued that it was a `` dangerous intrusion on free speech '' , arguing that it would `` conflict with important principles of our democratic society '' . Nevertheless , after it passed Truman relied upon it in twelve instances during his presidency . The Taft -- Hartley Act amended the National Labor Relations Act ( NLRA ; informally the Wagner Act ) , which Congress passed in 1935 . The principal author of the Taft -- Hartley Act was J. Mack Swigert , of the Cincinnati law firm Taft , Stettinius &amp; Hollister . </t>
  </si>
  <si>
    <t xml:space="preserve">Embryonic stem cell - wikipedia  Embryonic stem cell  Human embryonic stem cells in cell culture Pluripotent : Embryonic stem cells are able to develop into any type of cell , excepting those of the placenta . Only embryonic stem cells of the morula are totipotent : able to develop into any type of cell , including those of the placenta .  Embryonic stem cells ( ES cells or ESCs ) are pluripotent stem cells derived from the inner cell mass of a blastocyst , an early - stage pre-implantation embryo . Human embryos reach the blastocyst stage 4 -- 5 days post fertilization , at which time they consist of 50 -- 150 cells . Isolating the embryoblast , or inner cell mass ( ICM ) results in destruction of the blastocyst , a process which raises ethical issues , including whether or not embryos at the pre-implantation stage should have the same moral considerations as embryos in the post-implantation stage of development . Researchers are currently focusing heavily on the therapeutic potential of embryonic stem cells , with clinical use being the goal for many labs . Potential uses include the treatment of diabetes and heart disease . The cells are being studied to be used as clinical therapies , models of genetic disorders , and cellular / DNA repair . However , adverse effects in the research and clinical processes such as tumours and unwanted immune responses have also been reported .   Contents    1 Properties   1.1 Pluripotent   1.2 Propagation   1.3 Uses     2 Utilizations   2.1 Cell replacement therapies   2.2 Clinical potential   2.3 Drug discovery   2.4 Models of genetic disorder   2.5 Repair of DNA damage   2.6 Clinical trial     3 Concern and controversy   3.1 Adverse effects   3.2 Ethical debate     4 History   5 Techniques and conditions for derivation and culture   5.1 Derivation from humans   5.2 Derivation from other animals   5.3 Potential method for new cell line derivation   5.4 Induced pluripotent stem cells   5.5 Contamination by reagents used in cell culture     6 See also   7 References   8 External links    Properties ( edit )  The transcriptome of embryonic stem cells  Embryonic stem cells ( ESCs ) , derived from the blastocyst stage of early mammalian embryos , are distinguished by their ability to differentiate into any cell type and by their ability to propagate . It is these traits that makes them valuable in the scientific / medical fields . ESC are also described as having a normal karyotype , maintaining high telomerase activity , and exhibiting remarkable long - term proliferative potential .   Pluripotent ( edit )   Embryonic stem cells of the inner cell mass are pluripotent , meaning they are able to differentiate to generate primitive ectoderm , which ultimately differentiates during gastrulation into all derivatives of the three primary germ layers : ectoderm , endoderm , and mesoderm . These include each of the more than 220 cell types in the adult human body . Pluripotency distinguishes embryonic stem cells from adult stem cells , which are multipotent and can only produce a limited number of cell types .   Propagation ( edit )   Under defined conditions , embryonic stem cells are capable of propagating indefinitely in an undifferentiated state . Conditions must either prevent the cells from clumping , or maintain an environment that supports an unspecialized state . While being able to remain undifferentiated , ESCs also have the capacity , when provided with the appropriate signals , to differentiate ( presumably via the initial formation of precursor cells ) into nearly all mature cell phenotypes .   Uses ( edit )   Due to their plasticity and potentially unlimited capacity for self - renewal , embryonic stem cell therapies have been proposed for regenerative medicine and tissue replacement after injury or disease . Pluripotent stem cells have shown potential in treating a number of varying conditions , including but not limited to : spinal cord injuries , age related macular degeneration , diabetes , neurodegenerative disorders ( such as Parkinson 's disease ) , AIDS , etc . In addition to their potential in regenerative medicine , embryonic stem cells provide an alternative source of tissue / organs which serves as a possible solution to the donor shortage dilemma . Not only that , but tissue / organs derived from ESCs can be made immunocompatible with the recipient . Aside from these uses , embryonic stem cells can also serve as tools for the investigation of early human development , study of genetic disease and as in vitro systems for toxicology testing .   Utilizations ( edit )   According to a 2002 article in PNAS , `` Human embryonic stem cells have the potential to differentiate into various cell types , and , thus , may be useful as a source of cells for transplantation or tissue engineering . ''  Embryoid bodies 24 hours after formation .  However , embryonic stem cells are not limited to cell / tissue engineering .   Cell replacement therapies ( edit )   Current research focuses on differentiating ESCs into a variety of cell types for eventual use as cell replacement therapies ( CRTs ) . Some of the cell types that have or are currently being developed include cardiomyocytes ( CM ) , neurons , hepatocytes , bone marrow cells , islet cells and endothelial cells . However , the derivation of such cell types from ESCs is not without obstacles , therefore current research is focused on overcoming these barriers . For example , studies are underway to differentiate ESCs in to tissue specific CMs and to eradicate their immature properties that distinguish them from adult CMs .   Clinical potential ( edit )    Researchers have differentiated ESCs into dopamine - producing cells with the hope that these neurons could be used in the treatment of Parkinson 's disease .   ESCs have been differentiated to natural killer ( NK ) cells and bone tissue .   Studies involving ESCs are underway to provide an alternative treatment for diabetes . For example , D'Amour et al. were able to differentiate ESCs into insulin producing cells and researchers at Harvard University were able to produce large quantities of pancreatic beta cells from ES .   An article published in the European Heart Journal describes a translational process of generating human embryonic stem cell - derived cardiac progenitor cells to be used in clinical trials of patients with severe heart failure .    Drug discovery ( edit )   Besides becoming an important alternative to organ transplants , ESCs are also being used in field of toxicology and as cellular screens to uncover new chemical entities ( NCEs ) that can be developed as small molecule drugs . Studies have shown that cardiomyocytes derived from ESCs are validated in vitro models to test drug responses and predict toxicity profiles . ES derived cardiomyocytes have been shown to respond to pharmacological stimuli and hence can be used to assess cardiotoxicity like Torsades de Pointes .   ESC - derived hepatocytes are also useful models that could be used in the preclinical stages of drug discovery . However , the development of hepatocytes from ESCs has proven to be challenging and this hinders the ability to test drug metabolism . Therefore , current research is focusing on establishing fully functional ESC - derived hepatocytes with stable phase I and II enzyme activity .   Models of genetic disorder ( edit )   Several new studies have started to address the concept of modeling genetic disorders with embryonic stem cells . Either by genetically manipulating the cells , or more recently , by deriving diseased cell lines identified by prenatal genetic diagnosis ( PGD ) , modeling genetic disorders is something that has been accomplished with stem cells . This approach may very well prove invaluable at studying disorders such as Fragile - X syndrome , Cystic fibrosis , and other genetic maladies that have no reliable model system .   Yury Verlinsky , a Russian - American medical researcher who specialized in embryo and cellular genetics ( genetic cytology ) , developed prenatal diagnosis testing methods to determine genetic and chromosomal disorders a month and a half earlier than standard amniocentesis . The techniques are now used by many pregnant women and prospective parents , especially couples who have a history of genetic abnormalities or where the woman is over the age of 35 ( when the risk of genetically related disorders is higher ) . In addition , by allowing parents to select an embryo without genetic disorders , they have the potential of saving the lives of siblings that already had similar disorders and diseases using cells from the disease free offspring .   Repair of DNA damage ( edit )   Differentiated somatic cells and ES cells use different strategies for dealing with DNA damage . For instance , human foreskin fibroblasts , one type of somatic cell , use non-homologous end joining ( NHEJ ) , an error prone DNA repair process , as the primary pathway for repairing double - strand breaks ( DSBs ) during all cell cycle stages . Because of its error - prone nature , NHEJ tends to produce mutations in a cell 's clonal descendants .   ES cells use a different strategy to deal with DSBs . Because ES cells give rise to all of the cell types of an organism including the cells of the germ line , mutations arising in ES cells due to faulty DNA repair are a more serious problem than in differentiated somatic cells . Consequently , robust mechanisms are needed in ES cells to repair DNA damages accurately , and if repair fails , to remove those cells with un-repaired DNA damages . Thus , mouse ES cells predominantly use high fidelity homologous recombinational repair ( HRR ) to repair DSBs . This type of repair depends on the interaction of the two sister chromosomes formed during S phase and present together during the G2 phase of the cell cycle . HRR can accurately repair DSBs in one sister chromosome by using intact information from the other sister chromosome . Cells in the G1 phase of the cell cycle ( i.e. after metaphase / cell division but prior the next round of replication ) have only one copy of each chromosome ( i.e. sister chromosomes are n't present ) . Mouse ES cells lack a G1 checkpoint and do not undergo cell cycle arrest upon acquiring DNA damage . Rather they undergo programmed cell death ( apoptosis ) in response to DNA damage . Apoptosis can be used as a fail - safe strategy to remove cells with un-repaired DNA damages in order to avoid mutation and progression to cancer . Consistent with this strategy , mouse ES stem cells have a mutation frequency about 100-fold lower than that of isogenic mouse somatic cells .   Clinical trial ( edit )  Main article : Human embryonic stem cells clinical trials  On January 23 , 2009 , Phase I clinical trials for transplantation of oligodendrocytes ( a cell type of the brain and spinal cord ) derived from human ES cells into spinal cord - injured individuals received approval from the U.S. Food and Drug Administration ( FDA ) , marking it the world 's first human ES cell human trial . The study leading to this scientific advancement was conducted by Hans Keirstead and colleagues at the University of California , Irvine and supported by Geron Corporation of Menlo Park , CA , founded by Michael D. West , PhD . A previous experiment had shown an improvement in locomotor recovery in spinal cord - injured rats after a 7 - day delayed transplantation of human ES cells that had been pushed into an oligodendrocytic lineage . The phase I clinical study was designed to enroll about eight to ten paraplegics who have had their injuries no longer than two weeks before the trial begins , since the cells must be injected before scar tissue is able to form . The researchers emphasized that the injections were not expected to fully cure the patients and restore all mobility . Based on the results of the rodent trials , researchers speculated that restoration of myelin sheathes and an increase in mobility might occur . This first trial was primarily designed to test the safety of these procedures and if everything went well , it was hoped that it would lead to future studies that involve people with more severe disabilities . The trial was put on hold in August 2009 due to FDA concerns regarding a small number of microscopic cysts found in several treated rat models but the hold was lifted on July 30 , 2010 .   In October 2010 researchers enrolled and administered ESTs to the first patient at Shepherd Center in Atlanta . The makers of the stem cell therapy , Geron Corporation , estimated that it would take several months for the stem cells to replicate and for the GRNOPC1 therapy to be evaluated for success or failure .   In November 2011 Geron announced it was halting the trial and dropping out of stem cell research for financial reasons , but would continue to monitor existing patients , and was attempting to find a partner that could continue their research . In 2013 BioTime ( AMEX : BTX ) , led by CEO Dr. Michael D. West , acquired all of Geron 's stem cell assets , with the stated intention of restarting Geron 's embryonic stem cell - based clinical trial for spinal cord injury research .   BioTime company Asterias Biotherapeutics ( NYSE MKT : AST ) was granted a $14.3 million Strategic Partnership Award by the California Institute for Regenerative Medicine ( CIRM ) to re-initiate the world 's first embryonic stem cell - based human clinical trial , for spinal cord injury . Supported by California public funds , CIRM is the largest funder of stem cell - related research and development in the world .   The award provides funding for Asterias to reinitiate clinical development of AST - OPC1 in subjects with spinal cord injury and to expand clinical testing of escalating doses in the target population intended for future pivotal trials .   AST - OPC1 is a population of cells derived from human embryonic stem cells ( hESCs ) that contains oligodendrocyte progenitor cells ( OPCs ) . OPCs and their mature derivatives called oligodendrocytes provide critical functional support for nerve cells in the spinal cord and brain . Asterias recently presented the results from phase 1 clinical trial testing of a low dose of AST - OPC1 in patients with neurologically - complete thoracic spinal cord injury . The results showed that AST - OPC1 was successfully delivered to the injured spinal cord site . Patients followed 2 -- 3 years after AST - OPC1 administration showed no evidence of serious adverse events associated with the cells in detailed follow - up assessments including frequent neurological exams and MRIs . Immune monitoring of subjects through one year post-transplantation showed no evidence of antibody - based or cellular immune responses to AST - OPC1 . In four of the five subjects , serial MRI scans performed throughout the 2 -- 3 year follow - up period indicate that reduced spinal cord cavitation may have occurred and that AST - OPC1 may have had some positive effects in reducing spinal cord tissue deterioration . There was no unexpected neurological degeneration or improvement in the five subjects in the trial as evaluated by the International Standards for Neurological Classification of Spinal Cord Injury ( ISNCSCI ) exam .   The Strategic Partnership III grant from CIRM will provide funding to Asterias to support the next clinical trial of AST - OPC1 in subjects with spinal cord injury , and for Asterias ' product development efforts to refine and scale manufacturing methods to support later - stage trials and eventually commercialization . CIRM funding will be conditional on FDA approval for the trial , completion of a definitive agreement between Asterias and CIRM , and Asterias ' continued progress toward the achievement of certain pre-defined project milestones .   Concern and controversy ( edit )   Adverse effects ( edit )   The major concern with the possible transplantation of ESC into patients as therapies is their ability to form tumors including teratoma . Safety issues prompted the FDA to place a hold on the first ESC clinical trial , however no tumors were observed .   The main strategy to enhance the safety of ESC for potential clinical use is to differentiate the ESC into specific cell types ( e.g. neurons , muscle , liver cells ) that have reduced or eliminated ability to cause tumors . Following differentiation , the cells are subjected to sorting by flow cytometry for further purification . ESC are predicted to be inherently safer than IPS cells created with genetically - integrating viral vectors because they are not genetically modified with genes such as c - Myc that are linked to cancer . Nonetheless , ESC express very high levels of the iPS inducing genes and these genes including Myc are essential for ESC self - renewal and pluripotency , and potential strategies to improve safety by eliminating c - Myc expression are unlikely to preserve the cells ' `` stemness '' . However , N - myc and L - myc have been identified to induce iPS cells instead of c - myc with similar efficiency . More recent protocols to induce pluripotency bypass these problems completely by using non-integrating RNA viral vectors such as sendai virus or mRNA transfection .   Ethical debate ( edit )  Main article : Stem cell controversy  Due to the nature of embryonic stem cell research , there are a lot of controversial opinions on the topic . Since harvesting embryonic stem cells necessitates destroying the embryo from which those cells are obtained , the moral status of the embryo comes into question . Scientists argue that the 5 - day old mass of cells is too young to achieve personhood or that the embryo , if donated from an IVF clinic ( which is where labs typically acquire embryos from ) , would otherwise go to medical waste anyway . Opponents of ESC research counter that any embryo has the potential to become a human , therefore destroying it is murder and the embryo must be protected under the same ethical view as a developed human being .   History ( edit )    1964 : Lewis Kleinsmith and G. Barry Pierce Jr. isolated a single type of cell from a teratocarcinoma , a tumor now known to be derived from a germ cell . These cells isolated from the teratocarcinoma replicated and grew in cell culture as a stem cell and are now known as embryonal carcinoma ( EC ) cells . Although similarities in morphology and differentiating potential ( pluripotency ) led to the use of EC cells as the in vitro model for early mouse development , EC cells harbor genetic mutations and often abnormal karyotypes that accumulated during the development of the teratocarcinoma . These genetic aberrations further emphasized the need to be able to culture pluripotent cells directly from the inner cell mass .   Martin Evans revealed a new technique for culturing the mouse embryos in the uterus to allow for the derivation of ES cells from these embryos .   1981 : Embryonic stem cells ( ES cells ) were independently first derived from mouse embryos by two groups . Martin Evans and Matthew Kaufman from the Department of Genetics , University of Cambridge published first in July , revealing a new technique for culturing the mouse embryos in the uterus to allow for an increase in cell number , allowing for the derivation of ES cells from these embryos . Gail R. Martin , from the Department of Anatomy , University of California , San Francisco , published her paper in December and coined the term `` Embryonic Stem Cell '' . She showed that embryos could be cultured in vitro and that ES cells could be derived from these embryos .   1989 : Mario R. Cappechi , Martin J. Evans , and Oliver Smithies publish their research which details their isolation and genetic modifications of embryonic stem cells , creating the first `` knockout mice '' . In creating knockout mice , this publication provided scientists with an entirely new way to study disease .   1998 : A paper titled `` Embryonic Stem Cell Lines Derived From Human Blastocysts '' is published by a team from the University of Wisconsin , Madison . The researchers behind this study not only create the first embryonic stem cells , but recognize their pluripotency , as well as their capacity for self - renewal . The abstract of the paper notes the significance of the discovery with regards to the fields of developmental biology and drug discovery .   2001 : President George W. Bush allows federal funding to support research on roughly 60 -- at this time , already existing -- lines of embryonic stem cells . Seeing as the limited lines that Bush allowed research on had already been established , this law supported embryonic stem cell research without raising any ethical questions that could arise with the creation of new lines under federal budget .   2006 : Japanese scientists Shinya Yamanaka and Kazutoshi Takashi publish a paper describing the induction of pluripotent stem cells from cultures of adult mouse fibroblasts . Induced pluripotent stem cells ( iPSCs ) are a huge discovery , as they are seemingly identical to embryonic stem cells and could be used without sparking the same moral controversy .   January , 2009 : The US Food and Drug Administration ( FDA ) provides approval for Geron Corporation 's phase I trial of their human embryonic stem cell - derived treatment for spinal cord injuries . The announcement was met with excitement from the scientific community , but also with wariness from stem cell opposers . The treatment cells were , however , derived from the cell lines approved under George W. Bush 's ESC policy .   March , 2009 : Executive Order 13505 is signed by President Barack Obama , removing the restrictions put in place on federal funding for human stem cells by the previous presidential administration . This would allow the National Institutes of Health ( NIH ) to provide funding for hESC research . The document also states that the NIH must provide revised federal funding guidelines within 120 days of the order 's signing .    Techniques and conditions for derivation and culture ( edit )   Derivation from humans ( edit )   In vitro fertilization generates multiple embryos . The surplus of embryos is not clinically used or is unsuitable for implantation into the patient , and therefore may be donated by the donor with consent . Human embryonic stem cells can be derived from these donated embryos or additionally they can also be extracted from cloned embryos using a cell from a patient and a donated egg . The inner cell mass ( cells of interest ) , from the blastocyst stage of the embryo , is separated from the trophectoderm , the cells that would differentiate into extra-embryonic tissue . Immunosurgery , the process in which antibodies are bound to the trophectoderm and removed by another solution , and mechanical dissection are performed to achieve separation . The resulting inner cell mass cells are plated onto cells that will supply support . The inner cell mass cells attach and expand further to form a human embryonic cell line , which are undifferentiated . These cells are fed daily and are enzymatically or mechanically separated every four to seven days . For differentiation to occur , the human embryonic stem cell line is removed from the supporting cells to form embryoid bodies , is co-cultured with a serum containing necessary signals , or is grafted in a three - dimensional scaffold to result .   Derivation from other animals ( edit )   Embryonic stem cells are derived from the inner cell mass of the early embryo , which are harvested from the donor mother animal . Martin Evans and Matthew Kaufman reported a technique that delays embryo implantation , allowing the inner cell mass to increase . This process includes removing the donor mother 's ovaries and dosing her with progesterone , changing the hormone environment , which causes the embryos to remain free in the uterus . After 4 -- 6 days of this intrauterine culture , the embryos are harvested and grown in in vitro culture until the inner cell mass forms `` egg cylinder - like structures , '' which are dissociated into single cells , and plated on fibroblasts treated with mitomycin - c ( to prevent fibroblast mitosis ) . Clonal cell lines are created by growing up a single cell . Evans and Kaufman showed that the cells grown out from these cultures could form teratomas and embryoid bodies , and differentiate in vitro , all of which indicating that the cells are pluripotent .   Gail Martin derived and cultured her ES cells differently . She removed the embryos from the donor mother at approximately 76 hours after copulation and cultured them overnight in a medium containing serum . The following day , she removed the inner cell mass from the late blastocyst using microsurgery . The extracted inner cell mass was cultured on fibroblasts treated with mitomycin - c in a medium containing serum and conditioned by ES cells . After approximately one week , colonies of cells grew out . These cells grew in culture and demonstrated pluripotent characteristics , as demonstrated by the ability to form teratomas , differentiate in vitro , and form embryoid bodies . Martin referred to these cells as ES cells .   It is now known that the feeder cells provide leukemia inhibitory factor ( LIF ) and serum provides bone morphogenetic proteins ( BMPs ) that are necessary to prevent ES cells from differentiating . These factors are extremely important for the efficiency of deriving ES cells . Furthermore , it has been demonstrated that different mouse strains have different efficiencies for isolating ES cells . Current uses for mouse ES cells include the generation of transgenic mice , including knockout mice . For human treatment , there is a need for patient specific pluripotent cells . Generation of human ES cells is more difficult and faces ethical issues . So , in addition to human ES cell research , many groups are focused on the generation of induced pluripotent stem cells ( iPS cells ) .   Potential method for new cell line derivation ( edit )   On August 23 , 2006 , the online edition of Nature scientific journal published a letter by Dr. Robert Lanza ( medical director of Advanced Cell Technology in Worcester , MA ) stating that his team had found a way to extract embryonic stem cells without destroying the actual embryo . This technical achievement would potentially enable scientists to work with new lines of embryonic stem cells derived using public funding in the USA , where federal funding was at the time limited to research using embryonic stem cell lines derived prior to August 2001 . In March , 2009 , the limitation was lifted .   Induced pluripotent stem cells ( edit )  Main article : Induced pluripotent stem cell  The iPSC technology was pioneered by Shinya Yamanaka 's lab in Kyoto , Japan , who showed in 2006 that the introduction of four specific genes encoding transcription factors could convert adult cells into pluripotent stem cells . He was awarded the 2012 Nobel Prize along with Sir John Gurdon `` for the discovery that mature cells can be reprogrammed to become pluripotent . ''   In 2007 it was shown that pluripotent stem cells highly similar to embryonic stem cells can be generated by the delivery of three genes ( Oct4 , Sox2 , and Klf4 ) to differentiated cells . The delivery of these genes `` reprograms '' differentiated cells into pluripotent stem cells , allowing for the generation of pluripotent stem cells without the embryo . Because ethical concerns regarding embryonic stem cells typically are about their derivation from terminated embryos , it is believed that reprogramming to these `` induced pluripotent stem cells '' ( iPS cells ) may be less controversial . Both human and mouse cells can be reprogrammed by this methodology , generating both human pluripotent stem cells and mouse pluripotent stem cells without an embryo .   This may enable the generation of patient specific ES cell lines that could potentially be used for cell replacement therapies . In addition , this will allow the generation of ES cell lines from patients with a variety of genetic diseases and will provide invaluable models to study those diseases .   However , as a first indication that the induced pluripotent stem cell ( iPS ) cell technology can in rapid succession lead to new cures , it was used by a research team headed by Rudolf Jaenisch of the Whitehead Institute for Biomedical Research in Cambridge , Massachusetts , to cure mice of sickle cell anemia , as reported by Science journal 's online edition on December 6 , 2007 .   On January 16 , 2008 , a California - based company , Stemagen , announced that they had created the first mature cloned human embryos from single skin cells taken from adults . These embryos can be harvested for patient matching embryonic stem cells .   Contamination by reagents used in cell culture ( edit )   The online edition of Nature Medicine published a study on January 24 , 2005 , which stated that the human embryonic stem cells available for federally funded research are contaminated with non-human molecules from the culture medium used to grow the cells . It is a common technique to use mouse cells and other animal cells to maintain the pluripotency of actively dividing stem cells . The problem was discovered when non-human sialic acid in the growth medium was found to compromise the potential uses of the embryonic stem cells in humans , according to scientists at the University of California , San Diego .   However , a study published in the online edition of Lancet Medical Journal on March 8 , 2005 detailed information about a new stem cell line that was derived from human embryos under completely cell - and serum - free conditions . After more than 6 months of undifferentiated proliferation , these cells demonstrated the potential to form derivatives of all three embryonic germ layers both in vitro and in teratomas . These properties were also successfully maintained ( for more than 30 passages ) with the established stem cell lines .   See also ( edit )    Embryoid body   Embryonic Stem Cell Research Oversight Committees   Fetal tissue implant   Stem cell controversy   Induced stem cells    References ( edit )    Jump up ^ Thomson ; Itskovitz - Eldor , J ; Shapiro , SS ; Waknitz , MA ; Swiergiel , JJ ; Marshall , VS ; Jones , JM ( 1998 ) . `` Blastocysts Embryonic Stem Cell Lines Derived from Human '' . Science . 282 ( 5391 ) : 1145 -- 1147 . Bibcode : 1998Sci ... 282.1145 T . doi : 10.1126 / science. 282.5391. 1145 . PMID 9804556 .   ^ Jump up to : `` NIH Stem Cell Basics . What are embryonic stem cells ? '' .   Jump up ^ Baldwing A ( 2009 ) . `` Morality and human embryo research . Introduction to the Talking Point on morality and human embryo research '' . EMBO Reports . 10 ( 4 ) : 299 -- 300 . doi : 10.1038 / embor. 2009.37 . PMC 2672902 . PMID 19337297 .   Jump up ^ Nakaya , Andrea C. ( August 1 , 2011 ) . Biomedical ethics . San Diego , CA : ReferencePoint Press . p. 96 . ISBN 160152157X .   ^ Jump up to : `` Introduction : What are stem cells , and why are they important ? '' . National Institutes of Health . Retrieved 28 October 2018 .   Jump up ^ Carla A Herberts ; Marcel SG Kwa ; Harm PH Hermsen ( 2011 ) . `` Risk factors in the development of stem cell therapy '' . Journal of Translational Medicine . 9 ( 29 ) . doi : 10.1186 / 1479 - 5876 - 9 - 29 .   ^ Jump up to : Thomson , J.A. ; Itskovitz - Eldor , J ; Shapiro , S.S. ; Waknitz , M.A. ; Swiergiel , J.J. ; Marshall , V.S. ; Jones , J.M. ( 1998 ) . `` Embryonic Stem Cell Lines Derived from Human Blastocysts '' . Science . 282 ( 5391 ) : 1145 -- 7 . Bibcode : 1998Sci ... 282.1145 T . doi : 10.1126 / science. 282.5391. 1145 . PMID 9804556 .   Jump up ^ Ying ; Nichols , J ; Chambers , I ; Smith , A ( 2003 ) . `` BMP Induction of Id Proteins Suppresses Differentiation and Sustains Embryonic Stem Cell Self - Renewal in Collaboration with STAT3 '' . Cell. 115 ( 3 ) : 281 -- 292 . doi : 10.1016 / S0092 - 8674 ( 03 ) 00847 - X . PMID 14636556 .   Jump up ^ Mahla , Ranjeet ( July 19 , 2016 ) . `` Stem Cell Applications in Regenerative Medicine and Disease Therapeutics '' . International Journal of Cell Biology : 1 -- 24 . doi : 10.1155 / 2016 / 6940283 . PMID 27516776 .   Jump up ^ Levenberg , S. ( 2002 ) . `` Endothelial cells derived from human embryonic stem cells '' . Proceedings of the National Academy of Sciences . 99 ( 7 ) : 4391 -- 4396 . Bibcode : 2002PNAS ... 99.4391 L . doi : 10.1073 / pnas. 032074999 . PMC 123658 .   ^ Jump up to : Davila , JC ; Cezar , GG ; Thiede , M ; Strom , S ; Miki , T ; Trosko , J ( 2004 ) . `` Use and application of ste</t>
  </si>
  <si>
    <t xml:space="preserve">what is the origin of es cells in development</t>
  </si>
  <si>
    <t xml:space="preserve"> Embryonic stem cells ( ES cells or ESCs ) are pluripotent stem cells derived from the inner cell mass of a blastocyst , an early - stage pre-implantation embryo . Human embryos reach the blastocyst stage 4 -- 5 days post fertilization , at which time they consist of 50 -- 150 cells . Isolating the embryoblast , or inner cell mass ( ICM ) results in destruction of the blastocyst , a process which raises ethical issues , including whether or not embryos at the pre-implantation stage should have the same moral considerations as embryos in the post-implantation stage of development . Researchers are currently focusing heavily on the therapeutic potential of embryonic stem cells , with clinical use being the goal for many labs . Potential uses include the treatment of diabetes and heart disease . The cells are being studied to be used as clinical therapies , models of genetic disorders , and cellular / DNA repair . However , adverse effects in the research and clinical processes such as tumours and unwanted immune responses have also been reported . </t>
  </si>
  <si>
    <r>
      <rPr>
        <sz val="11"/>
        <color rgb="FF000000"/>
        <rFont val="Calibri"/>
        <family val="0"/>
        <charset val="1"/>
      </rPr>
      <t xml:space="preserve">You Are My Sunshine - wikipedia  You Are My Sunshine  Jump to : navigation , search For other uses , see You Are My Sunshine ( disambiguation ) .    `` You Are My Sunshine ''     Song by Pine Ridge Boys     Published   1939     Songwriter ( s )   Jimmie Davis , Charles Mitchell ( disputed )     `` You Are My Sunshine '' is a popular song written by Jimmie Davis and Charles Mitchell and first recorded in 1939 . It has been declared one of the state songs of Louisiana because of its association with Davis , a country music singer and governor of the state in the years 1944 -- 1948 and 1960 -- 1964 .   The song has been covered numerous times -- so often , in fact , that it is `` one of the most commercially programmed numbers in American popular music . '' The song , originally country music , has `` virtually lost '' its original country music identity , and `` represent ( s ) both the national flowering of country music and its eventual absorption into the mainstream of American popular culture . '' In 1941 , it was covered by Gene Autry , Bing Crosby , Mississippi John Hurt , Wayne King and Lawrence Welk . The versions by Autry , Crosby and King reached the US charts of the day .   In subsequent years , it was covered by Doris Day ( 1951 ) , Nat King Cole ( 1955 ) , The Marcels , ( 1961 ) , Ray Charles , Ike and Tina Turner , The Rivingtons ( 1962 ) , Andy Williams ( 1963 ) , Burl Ives ( 1968 ) , Frank Turner , Aretha Franklin , Anne Murray ( 1979 ) , Johnny Cash , Norman Blake , Brian Wilson , Mouse and the Traps , Gene Vincent , Jamey Johnson , Low , Mose Allison , Bryan Ferry , Carly Simon , Yusuf Islam , Andy Williams , and Johnny and the Hurricanes , amongst many others .   The 1940 version by Davis has been added to the National Recording Registry in the Library of Congress on March 21 , 2013 for long - term preservation .   Virginia Shehee , a long - time Davis family friend and member of the Louisiana State Senate from 1976 to 1980 , introduced legislation to make `` You Are My Sunshine '' the official state song .   In Gavin Lambert 's 1963 novel `` Inside Daisy Clover , '' Daisy often sings `` You Are My Sunshine '' to pick up her spirits when she 's feeling down .     Contents  ( hide )   1 Early recordings   2 Authorship   3 Film appearances   4 See also   5 References   6 External links      Early recordings ( edit )   Two versions of `` You Are My Sunshine '' were recorded and released in 1939 prior to Jimmie Davis ' version . The first was recorded for Bluebird Records ( RCA - Victor 's budget label ) on August 22 , 1939 by The Pine Ridge Boys ( Marvin Taylor and Doug Spivey ) , who were from Atlanta . The second was recorded for Decca Records on September 13 , 1939 by The Rice Brothers Gang . This group was originally from north Georgia , but relocated to Shreveport , where they were performing on the radio station KWKH . The version by Jimmie Davis was recorded for Decca Records on February 5 , 1940 .     The Pine Ridge Boys     Rice Brothers Gang     Jimmie Davis with Charles Mitchell 's Orchestra     Authorship ( edit )   While Davis and Mitchell are the credited songwriters of `` You Are My Sunshine '' , Davis was never known to actually claim authorship , as he bought the song and rights from Paul Rice and put his own name on it , a practice not uncommon in the pre-World War II music business . Some early versions of the song credit the Rice Brothers . Descendants and associates of Oliver Hood , a LaGrange , Georgia musician who collaborated with Rice , claim Hood wrote the song in the early 1930s , first performing it in 1933 at a Veterans of Foreign Wars convention at LaGrange , Georgia in 1933 . According to some accounts , clarinetist Pud Brown was also involved with the Rice Brothers for the song 's origin or first arrangement . Davis said that for some time he had been enthusiastic about the song and had unsuccessfully tried to convince record companies to record it before finally making his own 1940 record of the song . Davis ' version was popular and was followed by numerous other covers , including those of Bing Crosby and Gene Autry , whose versions made the number a big hit . Davis emphasized his association with the song when running for governor of Louisiana in 1944 , singing it at all his campaign rallies , while riding on a horse named `` Sunshine '' .   Film appearances ( edit )    Take Me Back to Oklahoma ( 1940 ) - sung by Tex Ritter   Strictly in the Groove ( 1942 ) - sung by Jimmie Davis .   Rafferty and the Gold Dust Twins ( 1975 )    See also ( edit )    List of number - one R&amp;B singles of 1962 ( U.S. )   List of number - one R&amp;B singles of 1963 ( U.S. )    References ( edit )    Jump up ^ CD liner notes : Disney Children 's Favorites 4 , 1990 Disney Records   ^ Jump up to : Stephen Deusner , `` ' You Are My Sunshine ' : How a Maudlin Song Became a Children 's Classic '' , Salon.com , May 26 , 2013 .   Jump up ^ `` A Bing Crosby Discography '' . BING magazine . International Club Crosby . Retrieved June 22 , 2017 .   Jump up ^ Whitburn , Joel ( 1986 ) . Joel Whitburn 's Pop Memories 1890 - 1954 . Wisconsin , USA : Record Research Inc. p. 615 . ISBN 0 - 89820 - 083 - 0 .   Jump up ^ `` Simon &amp; Garfunkel Song Among Those to Be Preserved by Library of Congress '' . Huntington Post . Retrieved 21 March 2013 .   Jump up ^ `` Virginia Ruth Kilpatrick Shehee '' . The Shreveport Times . Retrieved July 9 , 2015 .   Jump up ^ Russell , Tony , and Bob Pinson . Country Music Records : A Discography , 1921 -- 1942 ( Oxford : Oxford University Press , 2004 ) , p. 697 .   Jump up ^ Russell , Tony , and Bob Pinson . Country Music Records : A Discography , 1921 -- 1942 ( Oxford : Oxford University Press , 2004 ) , p. 746 .   Jump up ^ Russell , Tony , and Bob Pinson . Country Music Records : A Discography , 1921 -- 1942 ( Oxford : Oxford University Press , 2004 ) , p. 304 .   ^ Jump up to : Pappas , Theodore ( November 1990 ) . `` The ' Theft ' of an American Classic '' . Chronicles . The Rockford Institute .   ^ Jump up to : Lowe , Leslie ( 1992 ) . Directory of Popular Music ( 3rd ed . ) . Hastings , UK : Music Master . p. 355 . ISBN 0 - 904520 - 70 - 6 .   Jump up ^ Reynolds , Fred ( 1986 ) . The Crosby Collection 1926 - 1977 ( Part Two ed . ) . Gateshead , UK : John Joyce . p. 220 .    External links ( edit )    Oliver Hood 's story   Joel Whitburn Presents Top R&amp;B / Hip - Hop Singles : 1942 -- 2004 , 2004 ( Record Research ) pg. 113              Ray Charles     Studio albums      Atlantic     Ray Charles ( Hallelujah , I Love Her So )   The Great Ray Charles   Yes Indeed !   Soul Brothers   What 'd I Say   The Genius of Ray Charles   The Genius Sings the Blues   Soul Meeting   The Genius After Hours   True to Life   Love &amp; Peace   Ai n't It So   Brother Ray Is at It Again       ABC     The Genius Hits the Road   Dedicated to You   Ray Charles and Betty Carter   Modern Sounds in Country and Western Music   Modern Sounds in Country and Western Music , Vol. 2   Ingredients in a Recipe for Soul   Sweet &amp; Sour Tears   Have a Smile with Me   Together Again / Country and Western Meets Rhythm and Blues   Crying Time   Ray 's Moods   Ray Charles Invites You to Listen   A Portrait of Ray   I 'm All Yours Baby !   Doing His Thing   My Kind of Jazz   Love Country Style   Volcanic Action of My Soul   Jazz Number II   A Message From The People   Through The Eyes Of Love       Crossover     Renaissance   My Kind of Jazz Part 3       Columbia     Wish You Were Here Tonight   Do I Ever Cross Your Mind   Friendship   The Spirit of Christmas   From the Pages of My Mind   Just Between Us       Warner Bros .     Would You Believe   My World   Strong Love Affair       Other labels     Genius + Soul = Jazz   Porgy and Bess   Thanks for Bringing Love Around Again   Genius Loves Company          Posthumous studio creations     Genius &amp; Friends   Ray Sings , Basie Swings   Rare Genius       Live albums     Ray Charles at Newport   Ray Charles in Person   Live in Concert   Ray Charles Live       Notable compilations     Do the Twist ! with Ray Charles   Ray Charles Greatest Hits   A Man and His Soul   The Best of Ray Charles   Anthology   The Birth of Soul   Genius and Soul   Ray Charles in Concert       Billboard Hot 100 Top 10 Singles     `` What 'd I Say ''   `` Georgia on My Mind ''   `` Hit the Road Jack ''   `` One Mint Julep ''   `` Unchain My Heart ''   `` I Ca n't Stop Loving You ''   `` You Do n't Know Me ''   `` You Are My Sunshine ''   `` Busted ''   `` Take These Chains from My Heart ''   `` Crying Time ''       Other Billboard Charts # 1 singles     `` I Got a Woman ''   `` A Fool for You ''   `` Mary Ann ''   `` Drown in My Own Tears ''   `` Together Again ''   `` Let 's Go Get Stoned ''   `` Seven Spanish Angels ''   `` I 'll Be Good to You ''       Grammy Awarded Works ( not included above )     `` Let The Good Times Roll ''   `` Living for the City ''   `` A Song for You ''   `` Heaven Help Us All ''   `` Here We Go Again ''       See also     Discography   David `` Fathead '' Newman   Fathead / Ray Charles Sextet   Hank Crawford   The Raelettes   Ray ( soundtrack )   Quincy Jones   The Blues Brothers   Here We Go Again : Celebrating the Genius of Ray Charles   Tribute to Uncle Ray   `` Confession Blues ''   Diet Pepsi         Book     Commons   Wikiquote                 Smile       Collapse   Smiley Smile   Brian Wilson Presents Smile   The Smile Sessions       The Smile Sessions track listing      Side one     `` Our Prayer ''   `` Gee ''   `` Heroes and Villains ''   `` Do You Like Worms ( Roll Plymouth Rock ) ''   `` I 'm In Great Shape ''   `` Barnyard ''   `` My Only Sunshine ( The Old Master Painter / You Are My Sunshine ) ''   `` Cabin Essence ''       Side two     `` Wonderful ''   `` Look ( Song for Children ) ''   `` Child Is Father of the Man ''   `` Surf 's Up ''       Side three     `` I Wanna Be Around / Workshop ''   `` Vega - Tables ''   `` Holidays ''   `` Wind Chimes ''   `` The Elements : Fire ( Mrs. O'Leary's Cow ) ''   `` Love to Say Dada ''   `` Good Vibrations ''       Others     `` Cool , Cool Water ''   `` I Do n't Know ''   `` He Gives Speeches ''   `` Teeter Totter Love ''   `` Three Blind Mice ''   `` Tune X ''   `` You 're Welcome ''   `` You 're with Me Tonight ''          Derivative songs     `` Fall Breaks and Back to Winter ( W. Woodpecker Symphony ) ''   `` She 's Goin ' Bald ''   `` Ca n't Wait Too Long ''   `` Mama Says ''   `` Little Bird ''       Associated people     David Anderle   The Beach Boys   Frank J. Holmes   Danny Hutton   Van Dyke Parks   Jules Siegel   Derek Taylor   Michael Vosse   Paul Williams   The Wrecking Crew       Related articles     Pet Sounds ( Sessions )   20 / 20   Surf 's Up   Good Vibrations : Thirty Years of The Beach Boys   The Beach Boys bootleg recordings   Beautiful Dreamer : Brian Wilson and the Story of Smile   `` Brian Wilson is a genius ''   Brother Records   `` Do n't fuck with the formula ''   `` Goodbye Surfing , Hello God ! ''   Inside Pop : The Rock Revolution   `` Rio Grande ''   Smiling Pets   The Act of Creation      Retrieved from `` https://en.wikipedia.org/w/index.php?title=You_Are_My_Sunshine&amp;oldid=814874039 '' Categories :   1939 songs   1960 singles   1962 singles   1969 singles   Jimmie Davis songs   Brian Wilson songs   The Beach Boys songs   Andy Williams songs   Billboard Hot R&amp;B / Hip - Hop Songs number - one singles   Music of Louisiana   United States state songs   Football songs and chants   Symbols of Louisiana   Songs written by Jimmie Davis   Hidden categories :   All articles with specifically marked weasel - worded phrases   Articles with specifically marked weasel - worded phrases from June 2015           Talk                                           Contents                   About Wikipedia                                           Deutsch   Français   Italiano   </t>
    </r>
    <r>
      <rPr>
        <sz val="11"/>
        <color rgb="FF000000"/>
        <rFont val="Noto Sans CJK SC"/>
        <family val="2"/>
      </rPr>
      <t xml:space="preserve">日本 語   </t>
    </r>
    <r>
      <rPr>
        <sz val="11"/>
        <color rgb="FF000000"/>
        <rFont val="Calibri"/>
        <family val="0"/>
        <charset val="1"/>
      </rPr>
      <t xml:space="preserve">Norsk   Norsk nynorsk   Polski   Русский   Svenska   Edit links   This page was last edited on 11 December 2017 , at 12 : 36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</si>
  <si>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wrote please don't take my sunshine away</t>
  </si>
  <si>
    <t xml:space="preserve"> `` You Are My Sunshine '' is a popular song written by Jimmie Davis and Charles Mitchell and first recorded in 1939 . It has been declared one of the state songs of Louisiana because of its association with Davis , a country music singer and governor of the state in the years 1944 -- 1948 and 1960 -- 1964 . </t>
  </si>
  <si>
    <t xml:space="preserve">india is located in which latitude and longitude</t>
  </si>
  <si>
    <t xml:space="preserve"> India lies on the Indian Plate , the northern portion of the Indo - Australian Plate , whose continental crust forms the Indian subcontinent . The country is situated north of the equator between 8 ° 4 ' to 37 ° 6 ' north latitude and 68 ° 7 ' to 97 ° 25 ' east longitude . It is the seventh - largest country in the world , with a total area of 3,287,263 square kilometres ( 1,269,219 sq mi ) . India measures 3,214 km ( 1,997 mi ) from north to south and 2,933 km ( 1,822 mi ) from east to west . It has a land frontier of 15,106.7 km ( 9,387 mi ) and a coastline of 7,516.6 km ( 4,671 mi ) . </t>
  </si>
  <si>
    <t xml:space="preserve">All in the Family - wikipedia  All in the Family  Jump to : navigation , search For other uses , see All in the Family ( disambiguation ) .    All in the Family         Based on   Till Death Us Do Part created by Johnny Speight     Developed by   Norman Lear     Starring   Carroll O'Connor Jean Stapleton Sally Struthers Rob Reiner Danielle Brisebois     Theme music composer   Lee Adams ( lyrics ) , Charles Strouse ( music ) , Roger Kellaway ( ending theme )     Opening theme   `` Those Were the Days '' Performed by Carroll O'Connor and Jean Stapleton     Ending theme   `` Remembering You '' by Roger Kellaway , ( music ) and Carroll O'Connor ( additional lyrics added in 1971 ; instrumental version )     Country of origin   United States     No. of seasons   9     No. of episodes   205 ( list of episodes )     Production     Running time   25 -- 26 minutes     Production company ( s )   Tandem Productions     Distributor   Viacom Enterprises ( 1979 -- 1990 ) Columbia Pictures Television ( 1990 -- 1996 ) Columbia TriStar Television ( 1996 -- 2002 ) Sony Pictures Television ( 2002 -- present )     Release     Original network   CBS     Picture format   Color     Original release   January 12 , 1971 ( 1971 - 01 - 12 ) -- April 8 , 1979 ( 1979 - 04 - 08 )     Chronology     Followed by   Archie Bunker 's Place 704 Hauser     Related shows   Maude The Jeffersons Gloria Good Times Checking In     All in the Family is an American sitcom TV - series that was originally broadcast on the CBS television network for nine seasons , from January 1971 to April 1979 . The following September , it was replaced by Archie Bunker 's Place , which picked up where All in the Family had ended and ran for four more seasons .   All in the Family was produced by Norman Lear and Bud Yorkin . It starred Carroll O'Connor , Jean Stapleton , Sally Struthers , and Rob Reiner . The show revolves around the life of a working - class bigot and his family . The show broke ground in its depiction of issues previously considered unsuitable for a U.S. network television comedy , such as racism , infidelity , homosexuality , women 's liberation , rape , religion , miscarriages , abortion , breast cancer , the Vietnam War , menopause , and impotence . Through depicting these controversial issues , the series became arguably one of television 's most influential comedic programs , as it injected the sitcom format with more dramatic moments and realistic , topical conflicts .   Based on the BBC1 sitcom Till Death Us Do Part ( with Archie Bunker modeled after Alf Garnett ) , All in the Family is often regarded in the United States as one of the greatest television series of all time . Following a lackluster first season , the show soon became the most watched show in the United States during summer reruns and afterwards ranked number one in the yearly Nielsen ratings from 1971 to 1976 . It became the first television series to reach the milestone of having topped the Nielsen ratings for five consecutive years . The episode `` Sammy 's Visit '' was ranked number 13 on TV Guide 's 100 Greatest Episodes of All Time . TV Guide 's 50 Greatest TV Shows of All Time ranked All in the Family as number four . Bravo also named the show 's protagonist , Archie Bunker , TV 's greatest character of all time . In 2013 , the Writers Guild of America ranked All in the Family the fourth - best written TV series ever , and TV Guide ranked it as the fourth - greatest show of all time .     Contents  ( hide )   1 Premise   2 Cast   2.1 Main characters   2.2 Supporting characters   2.3 Recurring characters     3 History and production   3.1 Theme song   3.2 Setting and location     4 Episodes   4.1 Syndication     5 Ratings   6 Spin - offs   7 Specials   8 DVD releases   9 Cultural impact   10 Awards and nominations   10.1 Primetime Emmy awards and nominations   10.2 Golden Globe Awards and Nominations   10.3 TCA Heritage Award     11 See also   12 References   13 Further reading   14 External links      Premise ( edit )   All in the Family is about a typical white working - class family living in Queens , New York . Its patriarch is Archie Bunker ( O'Connor ) , an outspoken , narrow - minded white man , seemingly prejudiced against everyone who is not like him or his idea of how people should be . Archie 's wife Edith ( Jean Stapleton ) is sweet and understanding , though somewhat naïve and uneducated ; her husband sometimes disparagingly calls her `` dingbat '' . Their one child , Gloria ( Sally Struthers ) , is generally kind and good - natured like her mother , but displays traces of her father 's stubbornness ; unlike them , however , she is a feminist . Gloria is married to college student Michael Stivic ( Reiner ) -- referred to as `` Meathead '' by Archie -- whose values are likewise influenced and shaped by the counterculture of the 1960s . The two couples represent the real - life clash of values between the so - called Greatest Generation and Baby Boomers . For much of the series , the Stivics live in the Bunkers ' home to save money , providing abundant opportunity for them to irritate each other .   The show is set in the Astoria section of Queens , with the vast majority of scenes taking place in the Bunkers ' home at 704 Hauser Street . Occasional scenes take place in other locations , especially during later seasons , such as Kelsey 's Bar , a neighborhood tavern where Archie spends a good deal of time and which he eventually buys , and the Stivics ' home after Mike and Gloria move to the house next door . The house seen in the opening is at 89 - 70 Cooper Avenue near the junction of the Glendale , Middle Village , and Rego Park sections of Queens . Supporting characters represent the demographics of the neighborhood , especially the African American Jeffersons , who live in the house next door in the early seasons .   Cast ( edit )   Main characters ( edit )  The Bunkers and the Stivics : standing , Gloria ( Sally Struthers ) and Michael ( Rob Reiner ) ; seated , Archie ( Carroll O'Connor ) and Edith ( Jean Stapleton ) with baby Joey   Carroll O'Connor as Archie Bunker : Frequently called a `` lovable bigot '' , Archie was an assertively prejudiced blue - collar worker . A World War II veteran , Archie longs for better times when people sharing his viewpoint were in charge , as evidenced by the nostalgic theme song `` Those Were the Days '' ( also the show 's original title ) . Despite his bigotry , he is portrayed as loving and decent , as well as a man who is simply struggling to adapt to the changes in the world , rather than someone motivated by hateful racism or prejudice . His ignorance and stubbornness seem to cause his malapropism - filled arguments to self - destruct . He often rejects uncomfortable truths by blowing a raspberry . Former child actor Mickey Rooney was Lear 's first choice to play Archie , but Rooney declined the offer because of the strong potential for controversy , and in Rooney 's opinion , a poor chance for success . Scott Brady , formerly of the Western series Shotgun Slade , also declined the role of Archie Bunker , but appeared four times on the series in 1976 in the role of Joe Foley . O'Connor appears in all but seven episodes of the series ' run .   Jean Stapleton as Edith Bunker , née Baines : Edith is Archie 's ditzy but kind - hearted wife . Archie often tells her to `` stifle '' herself and calls her a `` dingbat '' , and although Edith generally defers to her husband 's authority and endures his insults , on the rare occasions when Edith takes a stand , she proves to have a simple but profound wisdom . Despite their different personalities , they love each other deeply . Stapleton developed Edith 's distinctive voice . Stapleton remained with the show through the original series run , but decided to leave at that time . During the first season of Archie Bunker 's Place , Edith was seen in four episodes in guest appearances . After that point , Edith was written out as having suffered a stroke and died off - camera , leaving Archie to deal with the death of his beloved `` dingbat '' . Stapleton appeared in all but four episodes of All in the Family . In the series ' first episode , Edith is portrayed as being less of a dingbat and even sarcastically refers to her husband as `` Mr. Religion , here ... '' after they come home from church , something her character would not be expected to say later .   Sally Struthers as Gloria Stivic , née Bunker : The Bunkers ' college - aged daughter who is married to Michael Stivic . She has the generally kind nature of her mother , but the stubbornness of her father , which early in the series manifests as childishness , later as a more mature feminism . Gloria frequently attempts to mediate between her father and husband , generally siding with the latter . The roles of the Bunkers ' daughter and son - in - law ( then named `` Dickie '' ) initially went to Candice Azzara and Chip Oliver . However , after seeing the show 's pilot , ABC requested a second pilot expressing dissatisfaction with both actors . Lear later recast the roles of Gloria and Dickie with Struthers and Reiner . Penny Marshall ( Reiner 's wife , whom he married in April 1971 , shortly after the program began ) was also considered for the role of Gloria . During the earlier seasons of the show , Struthers was known to be discontented with how static her part was and , in 1974 , sued to get out of her contract . But the character became more developed , satisfying her . Struthers appeared in 157 of the 202 episodes during the first eight seasons -- from January 12 , 1971 to March 19 , 1978 . She later reprised the role in the spin - off series Gloria , which lasted for a single season in 1982 -- 1983 .   Rob Reiner as Michael Stivic : Gloria 's Polish - American hippie husband is part of the counterculture of the 1960s . While good - hearted and well - meaning , he constantly spars with Archie , and is equally stubborn , although his moral views are generally presented as being more ethical and his logic somewhat sounder . He is the most - educated person in the household , a fact which gives him a self - assured arrogance , and despite his intellectual belief in progressive social values , he tends to expect Gloria to defer to him as her husband . As discussed in All in the Family retrospectives , Richard Dreyfuss sought the part , but Norman Lear was convinced to cast Reiner . Harrison Ford turned down the role , citing Archie Bunker 's bigotry . Reiner appeared in 174 of the 202 episodes of the series during the first eight seasons -- from January 12 , 1971 to March 19 , 1978 . Reiner is also credited with writing three of the series ' episodes .   Danielle Brisebois as the cute nine - year - old daughter of one of Edith 's cousins , Stephanie Mills , who is a regular throughout the ninth season . Despite being cute and having a sweet side , she is smart , clever , and does give her own few remarks at Archie from time to time . The Bunkers take her in after the child 's father , Floyd Mills , abandons her on their doorstep in 1978 ( he later extorts money from them to let them keep her ) . She remained with the show through its transition to Archie Bunker 's Place , and appeared in all four seasons of the latter show .    Supporting characters ( edit )  When Archie visits a local blood bank to make a donation , he meets his neighbor , Lionel Jefferson , who is there to do the same thing .   Sherman Hemsley as George Jefferson , Isabel Sanford as his wife Louise , and Mike Evans as their son Lionel , Archie 's black neighbors : George is Archie 's combative black counterpart , while Louise is a smarter , more assertive version of Edith . Lionel first appeared in the series ' premiere episode `` Meet the Bunkers '' , with Louise appearing later in the first season . Although George had been mentioned many times , he was not seen until 1973 . Hemsley , who was Norman Lear 's first choice to play George , was performing in the Broadway musical Purlie and did not want to break his commitment to that show . However , Lear kept the role waiting for him until he had finished with the musical . Plots frequently find Archie and George at odds with one another , while Edith and Louise attempt to join forces to bring about a resolution . They later moved to an apartment in Manhattan in their own show , The Jeffersons .   Mel Stewart , as George 's brother Henry Jefferson : The two appeared together only once , in the 1973 episode in which the Bunkers host Henry 's going - away party , marking Stewart 's final episode and Hemsley 's first . After the Jeffersons were spun off into their own show in 1975 , Stewart 's character was rarely referred to again and was never seen . In the closing credits of `` The First and Last Supper '' episode , Mel Stewart is incorrectly credited as playing George Jefferson . Stewart was actually playing George 's brother , Henry Jefferson , who was pretending to be George for most of the episode .   Bea Arthur as Edith 's cousin Maude : Maude was white - collared and ultra-liberal , the perfect foil to Archie , and one of his main antagonists . She appeared in only two episodes , `` Cousin Maude 's Visit '' , where she took care of the Bunker household when all four were sick , and `` Maude '' from the show 's second season , which was basically a back - door pilot . Her spin - off series , Maude , began in fall 1972 .   Betty Garrett and Vincent Gardenia as the liberal and Roman Catholic next - door neighbors Irene and Frank Lorenzo : Both first appeared as a married couple as Irene was trying to use the Bunker 's phone . During an argument earlier in the episode , Archie and Mike had broken the phone wire . Irene being a ' handyman ' of sorts with her own tools , which she carried in her purse , fixed it . Irene fixed many things at the Bunker house during her time on the show . She also had a sister who was a nun and appeared in one episode . `` Edith 's Christmas Story '' reveals that Irene has had a mastectomy . Archie got her a job as a forklift operator at the plant where he worked . Irene was a strong - willed woman of Irish heritage , and Frank was a jovial Italian househusband who loved cooking and singing . He also was a salesman , but what he sold was never said . Gardenia , who also appeared as Jim Bowman in episode eight of season one ( as the man who sold his house to the Jeffersons ) and as Curtis Rempley in episode seven of season three ( as a swinger opposite Rue McClanahan ) , became a semiregular along with Garrett in 1973 . Gardenia only stayed for one season as Frank Lorenzo , but Garrett remained until her character was phased out in late 1975 .   Allan Melvin as Archie 's neighbor and good friend Barney Hefner : Barney started appearing in 1972 as a recurring character . Over time , he appeared progressively more often until he became a regular . He appeared as a regular in all four seasons of Archie Bunker 's Place . He also appeared in the first season as a desk seargent at a police precinct .    Recurring characters ( edit )    James Cromwell as Jerome `` Stretch '' Cunningham ( 1973 -- 1976 ) `` The Funniest Man in The World '' , Archie 's friend and co-worker from the loading dock ( Archie claims that he is known as the `` Bob Hope '' of the loading platform ) : What Archie did not know was that Stretch was Jewish , evident only after Stretch died and Archie went to the funeral . Archie 's eulogy for his friend is often referred to as a rare occasion when he was capable of showing the humanity he tried so earnestly to hide . In the episode titled `` Archie in the Cellar '' , Billy Sands is referred to as Stretch Cunningham , the voice on the tape recorder telling jokes . Sands also appeared as other characters on the show during its run , in Kelsey 's Bar as a patron .   Liz Torres as Theresa Betancourt ( 1976 -- 1977 ) : A Puerto Rican nursing student who meets Archie when he is admitted to the hospital for surgery . She later rents Mike and Gloria 's former room at the Bunker house . She called Archie `` Papi '' . Torres had just completed the first season of the CBS sitcom Phyllis in the spring of 1976 before being dropped from the cast . ( She had replaced the late actress Barbara Colby in the role of Julie Erskine . ) Torres joined All in the Family in the fall of 1976 , but her character was not popular with viewers , and the role was phased out before the end of the season .   Billy Halop as Mr. Munson ( 1971 -- 74 ) , the cab driver who lets Archie use his cab to make extra money   Bob Hastings as Kelcy or Tommy Kelsey , who owns the bar Archie frequents and later buys : Kelcy was also played by Frank Maxwell in the episode `` Archie Gets The Business '' . The name of the establishment is Kelcy 's Bar ( as seen in the bar window in various episodes ) . However , due to a continuity error , the end credits of episodes involving the bar owner spell the name `` Kelcy '' for the first two seasons and `` Kelsey '' thereafter , although the end credits show `` Kelcy '' in the `` Archie Gets the Business '' episode .   Jason Wingreen as Harry Snowden , a bartender at Kelcy 's Bar who continues to work there after Archie purchases it as his business partner : Harry had tried to buy the bar from Kelcy , but Archie was able to come up with the money first , by taking a mortgage out on his house , which the Bunkers owned outright .   Gloria LeRoy as Mildred `` Boom - Boom '' Turner , a buxom , middle - aged secretary at the plant where Archie works : Her first appearance was when Archie is lost on his way to a convention and Mike and Gloria suspect he and she could be having an affair . Archie gave her that moniker as she was walking by the loading dock . He said when she walked , `` Boom - Boom '' . She is not fond of Archie because he and Stretch leer at her and because of their sexist behavior , but later becomes friendly with him , occasionally working as a barmaid at Archie 's Place . Gloria LeRoy also appeared in a third - season episode as `` Bobbi Jo '' Loomis , the wife of Archie 's old war buddy `` Duke '' .   Barnard Hughes as Father Majeskie , a local Catholic priest who was suspected by Archie one time of trying to convert Edith : He appeared in multiple episodes . The first time was when Edith accidentally hit Majeskie 's car near the local supermarket with a can of cling peaches in heavy syrup .   Eugene Roche appeared as practical jokester friend and fellow lodge member `` Pinky Peterson '' , one of Archie Bunker 's buddies , in three episodes , first in the episode `` Beverly Rides Again '' , then the memorable Christmas Day episode called `` The Draft Dodger '' ( episode 146 , 1976 ) , and finally the episode `` Archie 's Other Wife '' .   Sorrell Booke as Lyle Sanders , personnel manager at Archie Bunker 's workplace , Prendergast Tool and Die Company : He had appeared on the series as Lyle Bennett , the manager of a local television station , in the episode `` Archie and the Editorial '' in season three .   Lori Shannon played Beverly La Salle , a transvestite entertainer , who appeared in three episodes : `` Archie the Hero '' , `` Beverly Rides Again '' , and `` Edith 's Crisis of Faith '' . In that third episode , Mike and Beverly are attacked , and he dies in a hospital from injuries suffered during the fight .   Estelle Parsons as Blanche Hefner ( 1977 -- 1979 ) , Barney 's second wife : Blanche and Archie are not fond of one another , though Edith likes her very much . The character is mentioned throughout much of the series after Barney 's first wife , Mabel , had died , though she only appeared in a handful of episodes during the last few seasons . Estelle Parsons also appeared in the season - seven episode `` Archie 's Secret Passion '' as Dolores Fencel .   Bill Quinn as Mr. Edgar van Ranseleer ( Mr. van R ) , a blind patron and regular at the bar : He was almost never referred to by his first name . In a running joke , Archie usually waves his hand in front of Mr. van R 's face when he speaks to him . His role was later expanded on Archie Bunker 's Place , where he appeared in all four seasons .   Burt Mustin as Justin Quigley , a feisty octogenarian / nonagenarian : Mr. Quigley first appeared in the episode : `` Edith Finds an Old Man '' ( season four , episode three , Sept 23 , 1973 ) where he runs away from an old age home . He temporarily moves in with the Bunkers but quickly leaves to share an apartment with his friend Josephine `` Jo '' Nelson , played by Ruth McDevitt . He appeared in several other episodes , including `` Archie 's Weighty Problem '' . Mr. Mustin previously appeared in a first - season episode as Harry Feeney , the night watchman at Archie 's workplace .   Nedra Volz as Aunt Iola : Edith 's aunt , she was mentioned several times in the eighth season and stayed with the Bunkers for two weeks . Edith wanted her to move in , but Archie would not allow it , though when he thought Iola did not have any place to go , he told her privately that she could always stay with them .   Francine Beers and Jane Connell as Sybil Gooley , who worked at Ferguson 's Market : Frequently mentioned , usually by Edith , Sybil predicted that Gloria and Mike were having a baby boy by performing a ring on a string `` swing test '' over Gloria 's abdomen . Sybil also appeared in the episode `` Edith 's 50th Birthday '' and spilled the beans on her surprise party because she had not been invited . Archie and she did not get along , and he referred to her as a `` Big Mouth '' .   Rae Allen and Elizabeth Wilson as Cousin Amelia : Archie detested Amelia and her husband , Russ , who were both wealthy . Once , she sent Edith a mink and Archie wanted to send it back , until he found out how much it was worth . In another episode , Amelia and her husband visit the Bunkers to bring them gifts from a recent trip to Hawaii , but in a private moment , Amelia shares with Edith that , despite appearances , she and Russ are considering a divorce . The character was played by two different actresses in three episodes of the show .   Richard Dysart and George S. Irving as Russ DeKuyper , Amelia 's husband . He is a plumbing contractor who continued the business started by Amelia 's father and uncles . He constantly flaunts his monetary wealth in front of Archie and looks askance at the way Archie lives , forgetting that he walked into a profitable plumbing business . He appeared in two of the episodes that featured Amelia   Clyde Kusatsu as Reverend Chong appeared in several episodes . He refused to baptize little Joey in season six , and then remarried Archie and Edith , and Mike and Gloria in season eight , and gave counsel to Stephanie in season nine as it was learned that she was Jewish .   Ruth McDevitt as Josephine `` Jo '' Nelson : She played Justin Quigley 's girlfriend , the older man Edith found walking around the supermarket . She appeared in three episodes from seasons four through six . Gloria and Mike adopted them as their godgrandparents . Of most of the characters , Archie took a liking to Justin and Jo. She died following the end of the sixth season .   William Benedict as Jimmy McNabb : The Bunkers ' neighbor , he appeared in two episodes during the first and second seasons , and was referred to many times during the first few seasons .   Jack Grimes as Mr. Whitehead : A member of Archie 's lodge , he was the local funeral director . The death of Archie 's cousin Oscar in a season - two episode of All in the Family brings the very short , white - haired , and silver - tongued Whitehead with his catalog of caskets .    History and production ( edit )       This section needs additional citations for verification . Please help improve this article by adding citations to reliable sources . Unsourced material may be challenged and removed . ( January 2015 ) ( Learn how and when to remove this template message )     The show came about when Norman Lear read an article in Variety magazine on Till Death Us Do Part and its success in the United Kingdom . He immediately knew it portrayed a relationship just like the one between his father and him .   Lear bought the rights to the show and incorporated his own family experiences with his father into the show . Lear 's father would tell Lear 's mother to `` stifle herself '' and she would tell Lear 's father `` you are the laziest white man I ever saw '' ( two `` Archieisms '' that found their way onto the show ) .   The original pilot was titled Justice for All and was developed for ABC . Tom Bosley , Jack Warden , and Jackie Gleason were all considered for the role of Archie Bunker . In fact , CBS wanted to buy the rights to the original show and retool it specifically for Gleason , who was under contract to them , but producer Lear beat out CBS for the rights and offered the show to ABC .   In the pilot , Carroll O'Connor and Jean Stapleton played Archie and Edith Justice . Kelly Jean Peters played Gloria and Tim McIntire played her husband , Richard . It was taped in October 1968 in New York City . After screening the first pilot , ABC gave the producers more money to shoot a second pilot , titled Those Were the Days , which was taped in February 1969 in Hollywood . Candice Azzara played Gloria and Chip Oliver played Richard . D'Urville Martin played Lionel Jefferson in both pilots .   After stations ' and viewers ' complaints caused ABC to cancel Turn - On after only one episode in February 1969 , the network became uneasy about airing a show with a `` foul - mouthed , bigoted lead '' character , and rejected the series at about the time Richard Dreyfuss sought the role of Michael . Rival network CBS was eager to update its image and was looking to replace much of its then popular `` rural '' programming ( Mayberry R.F.D. , The Beverly Hillbillies , Petticoat Junction , and Green Acres ) with more `` urban '' , contemporary series and was interested in Lear 's project . CBS bought the rights from ABC and retitled the show All in the Family . The pilot episode CBS developed had the final cast and was the series ' first episode .   Lear wanted to shoot in black and white as Till Death Us Do Part had been . While CBS insisted on color , Lear had the set furnished in neutral tones , keeping everything relatively devoid of color . As costume designer Rita Riggs described in her 2001 Archive of American Television interview , Lear 's idea was to create the feeling of sepia tones , in an attempt to make viewers feel as if they were looking at an old family album .   All in the Family was the first major American series to be videotaped in front of a live studio audience . In the 1960s , most sitcoms had been filmed in the single - camera format without audiences , with a laugh track simulating an audience response . Lear employed the multiple - camera format of shooting in front of an audience , but used tape , whereas previous multiple - camera shows like Mary Tyler Moore had used film . Due to the success of All in the Family , videotaping sitcoms in front of an audience became a common format for the genre during the 1970s , ' 80s , and ' 90s . The use of videotape also gave All in the Family the look and feel of early live television , including the original live broadcasts of The Honeymooners , to which All in the Family is sometimes compared .   For the show 's final season , the practice of being taped before a live audience changed to playing the already taped and edited show to an audience and recording their laughter to add to the original sound track . Thus , the voice - over during the end credits was changed from Rob Reiner 's `` All in the Family was recorded on tape before a live audience '' to Carroll O'Connor's `` All in the Family was played to a studio audience for live responses '' . ( Typically , the audience was gathered for a taping of One Day at a Time , and got to see All In the Family as a bonus . ) Throughout its run , Norman Lear took pride in the fact that canned laughter was never used ( mentioning this on many occasions ) ; the laughter heard in the episodes was genuine .   Theme song ( edit )   The series ' opening theme song `` Those Were The Days '' , written by Lee Adams ( lyrics ) and Charles Strouse ( music ) , was presented in a unique way for a 1970s series : Carroll O'Connor and Jean Stapleton seated at a console or spinet piano ( played by Stapleton ) and singing the tune together on - camera at the start of every episode , concluding with live - audience applause . ( The song dates back to the first Justice For All pilot , although on that occasion O'Connor and Stapleton performed the song off - camera and at a faster tempo than the series version . ) Six different performances were recorded over the run of the series , including one version that includes additional lyrics . The song is a simple , pentatonic melody ( that can be played exclusively with black keys on a piano ) in which Archie and Edith wax nostalgic for the simpler days of yesteryear . A longer version of the song was released as a single on Atlantic Records , reaching number 43 on the U.S. Billboard Hot 100 and number 30 on the Billboard Adult Contemporary chart in early 1972 ; the additional lyrics in this longer version lend the song a greater sense of sadness , and make poignant reference to social changes taking place in the 1960s and early 1970s .   Those Were The Days Boy , the way Glenn Miller played Songs that made the hit parade Guys like us , we had it made Those were the days !   And you knew who you were then Girls were girls , and men were men Mister , we could use a man like Herbert Hoover again   Did n't need no welfare state Everybody pulled his weight Gee , our old LaSalle ran great Those were the days !   In the original 1968 pilot episode an additional verse was sung :   Had my twelve tube radio Loved the Eddie Cantor Show Oh where did all that beauty go ? Those were the days !   A few perceptible drifts can be observed when listening to each version chronologically . In the original version , the lyric `` Those Were The Days '' was sung over the tonic ( root chord of the song 's key ) , and the piano strikes a dominant 7th passing chord in transition to the next part , which is absent from subsequent versions . Jean Stapleton 's screeching high note on the line `` And you knew who you WEEERRE then '' became louder , longer , and more comical , although only in the original version did the line draw a laugh from the audience . Carroll O'Connor's pronunciation of `` welfare state '' gained more of Archie 's trademark whining enunciation , and the closing lyrics ( especially `` Gee , our old LaSalle ran great '' ) were sung with increasingly deliberate articulation , as viewers had complained that they could not understand the words . In the first season , it sounded like `` Geena Rolla Serit Grate ''. Also in the original version , the camera angle was shot slightly from the right side of the talent as opposed to the straight on angle of the next version . Jean Stapleton performed the theme song without glasses beginning in season 6 .   In addition to O'Connor and Stapleton singing , footage is also shown beginning with aerial shots of Manhattan , and continuing to Queens , progressively zooming in , culminating with a still shot of a lower middle - class semidetached home , presumably representing the Bunkers ' house in Astoria . The house shown in the opening credits , however , is actually located at 89 -- 70 Cooper Avenue in the Glendale section of Queens , New York . A notable difference exists , however , between the Cooper Avenue house and the All in the Family set : the Cooper Avenue house has no porch , while the Bunkers ' home featured a front porch . The footage for the opening had been shot back in 1968 for the series ' first pilot , thus the establishing shot of the Manhattan skyline was completely devoid of the World Trade Center towers , which had not yet been built . When the series aired two years later , the Trade Center towers , although under construction , had still not yet risen high enough to become a prominent feature on the Manhattan skyline ( this did not happen until the end of 1971 ) . Despite this change in the Manhattan skyline , the original 1968 footage continued to be used for the series opening until the series transitioned into Archie Bunker 's Place in 1979 . At that time , a new opening with current shots of the Manhattan skyline was used with the Trade Center towers being seen in the closing credits . This opening format -- showing actual footage of the cities and </t>
  </si>
  <si>
    <t xml:space="preserve">who sang all in the family theme song</t>
  </si>
  <si>
    <t xml:space="preserve"> The series ' opening theme song `` Those Were The Days '' , written by Lee Adams ( lyrics ) and Charles Strouse ( music ) , was presented in a unique way for a 1970s series : Carroll O'Connor and Jean Stapleton seated at a console or spinet piano ( played by Stapleton ) and singing the tune together on - camera at the start of every episode , concluding with live - audience applause . ( The song dates back to the first Justice For All pilot , although on that occasion O'Connor and Stapleton performed the song off - camera and at a faster tempo than the series version . ) Six different performances were recorded over the run of the series , including one version that includes additional lyrics . The song is a simple , pentatonic melody ( that can be played exclusively with black keys on a piano ) in which Archie and Edith wax nostalgic for the simpler days of yesteryear . A longer version of the song was released as a single on Atlantic Records , reaching number 43 on the U.S. Billboard Hot 100 and number 30 on the Billboard Adult Contemporary chart in early 1972 ; the additional lyrics in this longer version lend the song a greater sense of sadness , and make poignant reference to social changes taking place in the 1960s and early 1970s . </t>
  </si>
  <si>
    <r>
      <rPr>
        <sz val="11"/>
        <color rgb="FF000000"/>
        <rFont val="Calibri"/>
        <family val="0"/>
        <charset val="1"/>
      </rPr>
      <t xml:space="preserve">Melissa Rauch - wikipedia  Melissa Rauch       Melissa Rauch     Rauch at PaleyFest 2013 for The Big Bang Theory       Melissa Ivy Rauch ( 1980 - 06 - 23 ) June 23 , 1980 ( age 38 ) Marlboro Township , New Jersey , U.S.     Occupation   Actress , comedian     Years active   2006 -- present     Television   The Big Bang Theory     Spouse ( s )   Winston Rauch ( né Beigel )     Children       Melissa Ivy Rauch ( born June 23 , 1980 ) is an American actress and comedian . She is known for playing Bernadette Rostenkowski - Wolowitz on the CBS sitcom The Big Bang Theory .   Contents    1 Early life   2 Career   3 Personal life   4 Filmography   5 References   6 External links    Early life ( edit )   Rauch was born to a Jewish family in Marlboro Township , New Jersey . Her parents are Susan and David Rauch . She has a brother , Ben . She developed an interest in acting while attending Marlboro High School . Rauch graduated from Marymount Manhattan College in New York City in 2002 .   Career ( edit )   Some of Rauch 's early work was as a regular contributor to VH1 's Best Week Ever television show .   In 2009 , Rauch began playing the recurring role of Bernadette Rostenkowski , a co-worker of Penny who began to date Howard Wolowitz , in the third season of TV 's The Big Bang Theory . The following season her character became Howard 's fiancée and Rauch was promoted to a series regular . The characters married in the season five finale . In December 2011 , Rauch and fellow cast members of The Big Bang Theory received the first of four nominations for the Screen Actors Guild Award for Outstanding Performance by an Ensemble in a Comedy Series .   Other acting credits include True Blood ( on which she had a recurring role in 2010 as Summer , a girl who likes Hoyt ) , The Office , the American remake of the Australian TV series Kath &amp; Kim , Wright v Wrong , and the film I Love You , Man .   Rauch is also part of the cast of the comedic stage show The Realest Real Housewives with Casey Wilson , June Diane Raphael , Jessica St. Clair and Danielle Schneider . The show began running at the Upright Citizens Brigade Theatre in 2011 .   Rauch co-wrote and co-produced the film The Bronze , in which she starred as Hope Annabelle Greggory , a bronze medal - winning gymnast clinging to her glory days of 12 years earlier . It opened the 2015 Sundance Film Festival . Variety said , `` Rauch , who co-wrote the screenplay with her husband Winston , has never carried a film before . But she delivers the best breakthrough comedic performance by an actress since Melissa McCarthy in Bridesmaids . '' Sony Pictures Classics acquired the film in September 2015 .   In 2017 , Rauch voiced Harley Quinn in the animated film Batman and Harley Quinn and she voiced Light Thief in Light Riders from Blaze and the Monster Machines .   Personal life ( edit )   Rauch is married to writer Winston Rauch ( né Beigel ) , who collaborated with her on The Miss Education of Jenna Bush and other projects . Rauch announced that she was pregnant on July 11 , 2017 , and disclosed that she had a miscarriage previously . On December 4 , 2017 Rauch announced on Instagram that she had given birth to a girl , Sadie .   Rauch modeled the voice of Bernadette after her parents : the `` sweet , high - pitched purr '' is modeled after her mother , while the `` eerie , haranguing imitation '' of Mrs. Wolowitz is modeled after her father . Both are `` very different '' from Rauch 's real voice .   Filmography ( edit )   Film   Year   Title   Role   Notes     2006   Delirious   Megan       2009   I Love You , Man   Woman Jogger Yelling at Sidney       2009   The Condom Killer   Audra   Short     2013   In Lieu of Flowers   Carrie       2014   Are You Here   Marie       2015   The Bronze   Hope Annabelle Greggory   Also writer     2016   Ice Age : Collision Course   Francine ( voice )       2016   Flock of Dudes   Jamie       2017   Batman and Harley Quinn   Harley Quinn ( voice )   Direct - to - video     Television   Year   Title   Role   Notes     2007   12 Miles of Bad Road   Bethany   3 episodes : `` The Dirty White Girl '' ( season 1 : episode 2 ) `` Collateral Verbiage '' ( season 1 : episode 4 ) `` Moonshadow '' ( season 1 : episode 6 )     2008 -- 09   Kath &amp; Kim   Tina   Season 1 ( recurring ; 6 episodes )     2009 -- present   The Big Bang Theory   Dr. Bernadette Rostenkowski - Wolowitz   Season 3 ( recurring ; 5 episodes ) Season 4 -- present ( series regular )       The Office   Cathy Duke   1 episode       True Blood   Summer   Season 3 ( recurring ; 6 episodes )       Wright vs. Wrong   Daisy Cake   TV movie     2014   Jake and the Never Land Pirates   First - Mate Mollie ( voice )   1 episode `` Smee - erella ''     2014   Teenage Fairytale Dropouts   Miss Macabre   1 episode `` Something Wicked This Way Substitutes ''     2014   The Hot Housewives of Orlando   Calliope   1 episode     2015   Sofia the First   Fairy Tizzy ( voice )   1 episode     2015   Scooby - Doo ! and the Beach Beastie   Kiki ( voice )   TV Movie     2017   Star vs. the Forces of Evil   Baby ( voice )   1 episode     2017   Marvel 's Ant - Man   The Wasp ( voice )   2 episodes     2017   Blaze and the Monster Machines   Light Thief ( voice )   1 episode     References ( edit )    Jump up ^ Harper , Carol ( June 6 , 2014 ) . `` Melissa Rauch movie ' The Bronze ' to shoot June 29 in Amherst '' . Morning Journal . Lisbon , Ohio . Archived from the original on May 15 , 2016 . Retrieved February 4 , 2015 .   Jump up ^ Hawk , Jason ( June 29 , 2014 ) . `` ' Bronze ' to film downtown '' . Oberlin News . Archived from the original on July 26 , 2016 . Retrieved February 4 , 2015 .   ^ Jump up to : `` Melissa Rauch : Biography '' . TVGuide.com . Archived from the original on July 19 , 2016 . Retrieved February 4 , 2015 .   Jump up ^ Deerwester , Jayme ( November 17 , 2011 ) . `` Mayim Bialik and Melissa Rauch Five Questions '' . USA Today . Archived from the original on April 15 , 2015 . Retrieved February 4 , 2015 .   Jump up ^ Bloom , Nate ( January 26 , 2012 ) . `` Jewish Stars 1 / 27 '' . Cleveland Jewish News .   Jump up ^ `` Winston Beigel '' . Broadwayworld.com . August 14 , 2005 . Archived from the original on March 4 , 2016 . Retrieved February 4 , 2015 . ( Photo caption ) Melissa Rauch with parents Susan &amp; David Rauch , brother Ben Rauch , and boyfriend Winston Beigel at The Miss Education of Jenna Bush   Jump up ^ Considine , Bob ( May 17 , 2011 ) . `` Take Five With Melissa Rauch '' . The Star - Ledger . Newark . Retrieved February 4 , 2015 . I also had a terrific theater teacher at Marlboro High School who taught me a great deal and was very encouraging . There was n't a ton to do in Marlboro , so for me , it was either hang outside the Wawa or put on a show .   Jump up ^ Mead , Wendy . `` Melissa Rauch Biography : Television Actress ( 1980 -- ) '' . Biography.com ( FYI / A&amp;E Networks . Archived from the original on October 8 , 2016 . Retrieved January 29 , 2016 .   Jump up ^ `` Profiles in Panelism : Melissa Rauch '' . Best Week Ever . May 29 , 2008 .   Jump up ^ Riley , Jenelle ( November 29 , 2012 ) . `` ' The Big Bang Theory ' Cast On Being Part of an Ensemble '' . Backstage . Retrieved February 4 , 2015 .   Jump up ^ `` Nominations Announced for the 18th Annual Screen Actors Guild Awards ® '' ( Press release ) . Screen Actors Guild . December 14 , 2011 . Retrieved February 4 , 2015 .   Jump up ^ `` Nominations Announced for the 19th Annual Screen Actors Guild Awards ® '' ( Press release ) . Screen Actors Guild . December 12 , 2012 . Retrieved February 4 , 2015 .   Jump up ^ `` Nominations Announced for the 20th Annual Screen Actors Guild Awards ® '' ( Press release ) . Screen Actors Guild . December 13 , 2013 . Retrieved February 4 , 2015 .   Jump up ^ Johnson , Zach ( December 10 , 2014 ) . `` SAG Awards 2015 : Complete List of Nominations ! '' . E ! News . Retrieved February 4 , 2015 .   Jump up ^ Trachta , Ali ( January 29 , 2011 ) . `` The Realest Real Housewives at UCB : A Celebration of the Best Show Ever + Paul Scheer '' . LA Weekly . Retrieved February 4 , 2015 .   ^ Jump up to : Setoodeh , Ramin ( January 23 , 2015 ) . `` 5 Reasons The Bronze Could be a Breakout Comedy in 2015 '' . Variety . Archived from the original on November 6 , 2016 . Retrieved April 24 , 2016 .   Jump up ^ Pedersen , Erik ( September 11 , 2015 ) . `` Ex-Relativity Pic The Bronze Lands at Sony Pictures Classics '' . Deadline Hollywood . Archived from the original on August 22 , 2016 . Retrieved April 24 , 2016 .   ^ Jump up to : Getlen , Larry ( March 24 , 2013 ) . `` Screaming success '' . New York Post . Retrieved September 27 , 2015 .   Jump up ^ Silverman , Stephen M. ( August 19 , 2005 ) . `` Jenna Bush Takes Center Stage in New York '' . People . Retrieved February 4 , 2015 .   Jump up ^ Rauch , Melissa . `` ' Big Bang Theory ' Star Melissa Rauch Announces Her Pregnancy and Reflects on Previous Miscarriage '' . glamour.com . Retrieved September 27 , 2017 .   Jump up ^ `` Actress Melissa Rauch Welcomes A ' Beautiful Baby Girl ' Named Sadie '' . The Huffington Post .   Jump up ^ `` Melissa Rauch of Big Bang Theory Does S&amp;M - Inspired Photo Shoot for Maxim '' . The Huffington Post . November 16 , 2013 . Retrieved September 27 , 2015 .   Jump up ^ `` Ánima Estudios -- Mobile Uploads '' . facebook.com . Retrieved December 10 , 2014 .   Jump up ^ `` Second Season of Disney Junior 's Hit Series `` Sofia the First '' Debuts Friday , March 7 on Disney Channel `` . The Futon Critic ( Press release ) . Disney Channel . February 7 , 2014 . Retrieved February 4 , 2015 .    External links ( edit )       Wikimedia Commons has media related to Melissa Rauch .      Melissa Rauch on Twitter   Melissa Rauch on IMDb   Gostin , Nicki ( December 11 , 2011 ) . `` ' The Big Bang Theory ' Star Melissa Rauch On Nerds , New Jersey And ' Real Housewives ' '' . The Huffington Post . Retrieved January 29 , 2016 .    `` Melissa Rauch -- Gallery '' . Maxim . Retrieved January 29 , 2016 .            BIBSYS : 15004521   GND : 1114848794   LCCN : no2012159421   VIAF : 292850780      Retrieved from `` https://en.wikipedia.org/w/index.php?title=Melissa_Rauch&amp;oldid=851194676 '' Categories :   1980 births   Actresses from New Jersey   Jewish American actresses   American television actresses   Living people   Marymount Manhattan College alumni   People from Marlboro Township , New Jersey   American women comedians   21st - century American actresses   American film actresses   American voice actresses   Hidden categories :   Use mdy dates from September 2017   Articles with hCards   Wikipedia articles with BIBSYS identifiers   Wikipedia articles with GND identifiers   Wikipedia articles with LCCN identifiers   Wikipedia articles with VIAF identifiers           Talk                                           Contents                   About Wikipedia                                                 تۆرکجه   Bân - lâm - gú   Català   Čeština   Deutsch   Eesti   Ελληνικά   Español   Esperanto   Euskara   فارسی   Français   </t>
    </r>
    <r>
      <rPr>
        <sz val="11"/>
        <color rgb="FF000000"/>
        <rFont val="Noto Sans CJK SC"/>
        <family val="2"/>
      </rPr>
      <t xml:space="preserve">한국어   </t>
    </r>
    <r>
      <rPr>
        <sz val="11"/>
        <color rgb="FF000000"/>
        <rFont val="Calibri"/>
        <family val="0"/>
        <charset val="1"/>
      </rPr>
      <t xml:space="preserve">Italiano   עברית   Қазақша   Latina   Bahasa Melayu   Nederlands   </t>
    </r>
    <r>
      <rPr>
        <sz val="11"/>
        <color rgb="FF000000"/>
        <rFont val="Noto Sans CJK SC"/>
        <family val="2"/>
      </rPr>
      <t xml:space="preserve">日本 語   </t>
    </r>
    <r>
      <rPr>
        <sz val="11"/>
        <color rgb="FF000000"/>
        <rFont val="Calibri"/>
        <family val="0"/>
        <charset val="1"/>
      </rPr>
      <t xml:space="preserve">Norsk   Polski   Português   Русский   Simple English   Slovenčina   Suomi   Svenska   Türkçe   Українська   </t>
    </r>
    <r>
      <rPr>
        <sz val="11"/>
        <color rgb="FF000000"/>
        <rFont val="Noto Sans CJK SC"/>
        <family val="2"/>
      </rPr>
      <t xml:space="preserve">中文  </t>
    </r>
    <r>
      <rPr>
        <sz val="11"/>
        <color rgb="FF000000"/>
        <rFont val="Calibri"/>
        <family val="0"/>
        <charset val="1"/>
      </rPr>
      <t xml:space="preserve">22 more  Edit links   This page was last edited on 20 July 2018 , at 18 : 10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</si>
  <si>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bernadette from the big bang theory</t>
  </si>
  <si>
    <t xml:space="preserve"> Melissa Ivy Rauch ( born June 23 , 1980 ) is an American actress and comedian . She is known for playing Bernadette Rostenkowski - Wolowitz on the CBS sitcom The Big Bang Theory . </t>
  </si>
  <si>
    <r>
      <rPr>
        <sz val="11"/>
        <color rgb="FF000000"/>
        <rFont val="Calibri"/>
        <family val="0"/>
        <charset val="1"/>
      </rPr>
      <t xml:space="preserve">Wind direction - Wikipedia  Wind direction       This article needs additional citations for verification . Please help improve this article by adding citations to reliable sources . Unsourced material may be challenged and removed . ( December 2009 ) ( Learn how and when to remove this template message )    Wind vane indicating an east wind .  Wind direction is reported by the direction from which it originates . For example , a northerly wind blows from the north to the south . Wind direction is usually reported in cardinal directions or in azimuth degrees . Wind direction is measured in degrees clockwise from due north . Consequently , a wind blowing from the north has a wind direction of 0 degrees ; a wind blowing from the east has a wind direction of 90 degrees ; a wind blowing from the south has a wind direction of 180 degrees ; and a wind blowing from the west has a wind direction of 270 degrees . In general , wind directions are measured in units from 0 ° to 360 ° , but can alternatively be expressed from - 180 ° to 180 ° .   Winds are named for the direction from which they come , followed by the suffix ' - erly ' . For example , winds from the north are called ' northerly winds ' ( north + - erly ) .   Measurement techniques ( edit )   A variety of instruments can be used to measure wind direction , such as the windsock and wind vane . Both of these instruments work by moving to minimize air resistance . The way a weather vane is pointed by prevailing winds indicates the direction from which the wind is blowing . The larger opening of a windsock faces the direction that the wind is blowing from ; its tail , with the smaller opening , points in the same direction as the wind is blowing .   Modern instruments used to measure wind speed and direction are called anemometers and wind vanes , respectively . These types of instruments are used by the wind energy industry , both for wind resource assessment and turbine control . Wind speed is measured with an anemometer .   In situations where modern instruments are not available , an index finger can be used to test the direction of wind . This is accomplished by wetting the finger and pointing it upwards . The side of the finger that feels `` cool '' is ( approximately ) the direction from which the wind is blowing . The `` cool '' sensation is caused by an increased rate of evaporation of the moisture on the finger due to the air flow across the finger , and consequently the `` finger technique '' of measuring wind direction does not work well in either very humid or very hot conditions . The same principle is used to measure the dew point using a sling psychrometer ( a more accurate instrument than the human finger ) .   Another primitive technique for measuring wind direction is to take a pinch of grass and drop it ; the direction that the grass falls is the direction the wind is blowing . This last technique is often used by golfers because it allows them to gauge the strength of the wind .   See also ( edit )    Yamartino method for calculating the standard deviation of wind direction   Apparent wind   Weather vane   Wind power   Air masses    References ( edit )    Jump up ^ JetStream ( 2008 ) . `` How to read weather maps '' . National Weather Service . Retrieved 2009 - 05 - 16 .        This climatology / meteorology -- related article is a stub . You can help Wikipedia by expanding it .            Retrieved from `` https://en.wikipedia.org/w/index.php?title=Wind_direction&amp;oldid=855523818 '' Categories :   Wind   Atmospheric science stubs   Hidden categories :   Articles needing additional references from December 2009   All articles needing additional references   All stub articles           Talk                                                             About Wikipedia                                                 Azərbaycanca   Беларуская   Беларуская ( тарашкевіца ) ‎   Català   Čeština   Deutsch   فارسی   </t>
    </r>
    <r>
      <rPr>
        <sz val="11"/>
        <color rgb="FF000000"/>
        <rFont val="Noto Sans CJK SC"/>
        <family val="2"/>
      </rPr>
      <t xml:space="preserve">한국어   </t>
    </r>
    <r>
      <rPr>
        <sz val="11"/>
        <color rgb="FF000000"/>
        <rFont val="Calibri"/>
        <family val="0"/>
        <charset val="1"/>
      </rPr>
      <t xml:space="preserve">हिन्दी   Íslenska   Kurdî   Lietuvių   </t>
    </r>
    <r>
      <rPr>
        <sz val="11"/>
        <color rgb="FF000000"/>
        <rFont val="Noto Sans CJK SC"/>
        <family val="2"/>
      </rPr>
      <t xml:space="preserve">日本 語   </t>
    </r>
    <r>
      <rPr>
        <sz val="11"/>
        <color rgb="FF000000"/>
        <rFont val="Calibri"/>
        <family val="0"/>
        <charset val="1"/>
      </rPr>
      <t xml:space="preserve">Norsk   Русский   Türkçe   Українська   </t>
    </r>
    <r>
      <rPr>
        <sz val="11"/>
        <color rgb="FF000000"/>
        <rFont val="Noto Sans CJK SC"/>
        <family val="2"/>
      </rPr>
      <t xml:space="preserve">粵語   中文  </t>
    </r>
    <r>
      <rPr>
        <sz val="11"/>
        <color rgb="FF000000"/>
        <rFont val="Calibri"/>
        <family val="0"/>
        <charset val="1"/>
      </rPr>
      <t xml:space="preserve">10 more  Edit links   This page was last edited on 18 August 2018 , at 23 : 14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</si>
  <si>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is the wind coming from or going to</t>
  </si>
  <si>
    <t xml:space="preserve"> Wind direction is reported by the direction from which it originates . For example , a northerly wind blows from the north to the south . Wind direction is usually reported in cardinal directions or in azimuth degrees . Wind direction is measured in degrees clockwise from due north . Consequently , a wind blowing from the north has a wind direction of 0 degrees ; a wind blowing from the east has a wind direction of 90 degrees ; a wind blowing from the south has a wind direction of 180 degrees ; and a wind blowing from the west has a wind direction of 270 degrees . In general , wind directions are measured in units from 0 ° to 360 ° , but can alternatively be expressed from - 180 ° to 180 ° . </t>
  </si>
  <si>
    <t xml:space="preserve">Azerbaijan - wikipedia  Azerbaijan  This article is about the independent country in the Caucasus . For other uses , see Azerbaijan ( disambiguation ) .      Republic of Azerbaijan Azərbaycan Respublikası ( Azerbaijani )     Flag Emblem     Anthem :   Azərbaycan marşı   `` March of Azerbaijan ''         Location of Azerbaijan ( green ) and Artsakh ( light green ) .     Capital and largest city   Baku 40 ° 25 ′ N 49 ° 50 ′ E ﻿ / ﻿ 40.417 ° N 49.833 ° E ﻿ / 40.417 ; 49.833     Official languages   Azerbaijani     Ethnic minority languages   Avar , Budukh , Georgian , Juhuri , Khinalug , Kryts , Kurdish , Lezgian , Russian , Rutul , Talysh , Tat , Tsakhur and Udi     Ethnic groups ( 2009 )     91.60 % Azerbaijani   2.02 % Lezgian   1.35 % Armenian   1.34 % Russian   1.26 % Talysh   2.43 % others       Demonym   Azerbaijani     Government   Unitary dominant - party semi-presidential republic         President   Ilham Aliyev     Vice President   Mehriban Aliyeva     Prime Minister   Novruz Mammadov         Legislature   National Assembly     Formation         Democratic Republic   28 May 1918     Soviet Socialist Republic   28 April 1920     Independence from Soviet Union   30 August 1991 ( declared ) 18 October 1991 ( independence ) 25 December 1991 ( completed )     Full membership into the CIS   21 December 1991     Admitted to the United Nations   2 March 1992     Constitution adopted   12 November 1995         Area     Total   86,600 km ( 33,400 sq mi ) ( 111th )     Water ( % )   1.6     Population     2018 estimate   9,911,646 ( 91st )     Density   113 / km ( 292.7 / sq mi ) ( 99th )     GDP ( PPP )   2018 estimate     Total   $175 billion ( 72nd )     Per capita   $17,857 ( 71st )     GDP ( nominal )   2018 estimate     Total   $39.207 billion ( 110th )     Per capita   $4,097 ( 110th )     Gini ( 2018 )   31.8 medium     HDI ( 2018 )   0.759 high 78th     Currency   Manat ( ₼ ) ( AZN )     Time zone   AZT ( UTC + 04 )     Drives on the   right     Calling code   + 994     ISO 3166 code   AZ     Internet TLD   . az     Azerbaijan ( / ˌæzərbaɪˈdʒɑːn / AZ - ər - by - JAHN ; Azerbaijani : Azərbaycan ( ɑːzæɾbɑjˈd͡ʒɑn ) ) , officially the Republic of Azerbaijan ( Azerbaijani : Azərbaycan Respublikası ( ɑːzæɾbɑjˈd͡ʒɑn ɾespublikɑˈsɯ ) ) , is a country in the South Caucasus region of Eurasia at the crossroads of Eastern Europe and Western Asia . It is bounded by the Caspian Sea to the east , Russia to the north , Georgia to the northwest , Armenia to the west and Iran to the south . The exclave of Nakhchivan is bound by Armenia to the north and east , Iran to the south and west , and has an 11 km long border with Turkey in the north west .   The Azerbaijan Democratic Republic proclaimed its independence in 1918 and became the first democratic state in the Muslim - oriented world . The country was incorporated into the Soviet Union in 1920 as the Azerbaijan Soviet Socialist Republic . The modern Republic of Azerbaijan proclaimed its independence on 30 August 1991 , prior to the official dissolution of the USSR in December 1991 . In September 1991 , the Armenian majority of the disputed Nagorno - Karabakh region seceded to form the Republic of Artsakh . The region and seven adjacent districts outside it became de facto independent with the end of the Nagorno - Karabakh War in 1994 . These regions are internationally recognized as part of Azerbaijan pending a solution to the status of the Nagorno - Karabakh , found through negotiations facilitated by the OSCE .   Azerbaijan is a unitary semi-presidential republic . The country is a member state of the Council of Europe , the OSCE , and the NATO Partnership for Peace ( PfP ) program . It is one of six independent Turkic states and an active member of the Turkic Council and the TÜRKSOY community . Azerbaijan has diplomatic relations with 158 countries and holds membership in 38 international organizations . It is one of the founding members of GUAM , the Commonwealth of Independent States ( CIS ) and the Organization for the Prohibition of Chemical Weapons . A member of the United Nations since 1992 after its independence , Azerbaijan was elected to membership in the newly established Human Rights Council by the United Nations General Assembly on 9 May 2006 . Its term of office began on 19 June 2006 . Azerbaijan is also a member state of the Non-Aligned Movement , holds observer status in World Trade Organization , and is a correspondent at the International Telecommunication Union .   The Constitution of Azerbaijan does not declare an official religion and all major political forces in the country are secularist . However , the majority of the population are of Muslim background . More than 89 % of the population is Shia . Most Azerbaijanis , however , do not actively practice any religion , with 53 % stating religion has little to no importance in their lives , according to Pew Research Center and Gallup polls . Alcohol and non-Islamic places are also permitted . Azerbaijan has a high level of human development which ranks on par with most Eastern European countries . It has a high rate of economic development and literacy , as well as a low rate of unemployment . However , the ruling party , the New Azerbaijan Party , has been accused of authoritarianism and human rights abuses .   Contents    1 Name   2 History   2.1 Antiquity   2.2 From the Sasanid period to the Safavid period   2.3 Contemporary history   2.4 Independence     3 Geography   3.1 Landscape   3.2 Biodiversity     4 Politics   4.1 Foreign relations   4.2 Administrative divisions   4.3 Largest cities     5 Military   6 Economy   6.1 Energy   6.2 Agriculture   6.3 Tourism   6.4 Transportation   6.5 Science and technology     7 Demographics   7.1 Ethnic groups   7.2 Urbanization   7.3 Languages   7.4 Religion   7.5 Education     8 Culture   8.1 Music and folk dances   8.2 Literature   8.3 Folk art   8.4 Cuisine   8.5 Architecture   8.6 Visual art   8.7 Cinema   8.8 Media and media freedom   8.9 Human rights in Azerbaijan   8.10 Sports     9 See also   10 Notes   11 References   12 Further reading   13 External links    Name ( edit )  Further information : Atropatene and Caucasian Albania Azerbaijan and its main cities  According to a modern etymology , the term Azerbaijan derives from that of Atropates , a Persian satrap under the Achaemenid Empire , who was later reinstated as the satrap of Media under Alexander the Great . The original etymology of this name is thought to have its roots in the once - dominant Zoroastrianism . In the Avesta 's Frawardin Yasht ( `` Hymn to the Guardian Angels '' ) , there is a mention of âterepâtahe ashaonô fravashîm ýazamaide , which literally translates from Avestan as `` we worship the fravashi of the holy Atropatene . '' The name `` Atropates '' itself is the Greek transliteration of an Old Iranian , probably Median , compounded name with the meaning `` Protected by the ( Holy ) Fire '' or `` The Land of the ( Holy ) Fire '' . The Greek name was mentioned by Diodorus Siculus and Strabo . Over the span of millennia , the name evolved to Āturpātākān ( Middle Persian ) , then to Ādharbādhagān , Ādharbāyagān , Āzarbāydjān ( New Persian ) and present - day Azerbaijan .   The name Azerbaijan was first adopted for the area of the present - day Republic of Azerbaijan by the government of Musavat in 1918 , after the collapse of the Russian Empire , when the independent Azerbaijan Democratic Republic was established . Until then , the designation had been used exclusively to identify the adjacent region of contemporary northwestern Iran , while the area of the Azerbaijan Democratic Republic was formerly referred to as Arran and Shirvan . On that basis Iran protested the newly adopted country name .   During the Soviet rule , the country was also spelled in English from the Russian transliteration as Azerbaydzhan ( Russian : Азербайджа́н ) .   History ( edit )  Main article : History of Azerbaijan  Antiquity ( edit )  Further information : Caucasian Albania Petroglyphs in Gobustan National Park dating back to the 10th millennium BC indicating a thriving culture . It is a UNESCO World Heritage Site considered to be of `` outstanding universal value '' .  The earliest evidence of human settlement in the territory of Azerbaijan dates back to the late Stone Age and is related to the Guruchay culture of Azokh Cave . The Upper Paleolithic and late Bronze Age cultures are attested in the caves of Tağılar , Damcılı , Zar , Yataq - yeri and in the necropolises of Leylatepe and Saraytepe .   Early settlements included the Scythians in the 9th century BC . Following the Scythians , Iranian Medes came to dominate the area to the south of the Aras . The Medes forged a vast empire between 900 -- 700 BC , which was integrated into the Achaemenid Empire around 550 BC . The area was conquered by the Achaemenids leading to the spread of Zoroastrianism . Later it became part of Alexander the Great 's Empire and its successor , the Seleucid Empire . During this period , Zoroastrianism spread in the Caucasus and Atropatene . Caucasian Albanians , the original inhabitants of northeastern Azerbaijan , ruled that area from around the 4th century BC , and established an independent kingdom .   From the sasanid period to the Safavid period ( edit )  The Maiden Tower and The Palace of the Shirvanshahs in the Old City of Baku is a UNESCO World Heritage Site built in the 11th -- 12th century .  The Sasanian Empire turned Caucasian Albania into a vassal state in 252 , while King Urnayr officially adopted Christianity as the state religion in the 4th century . Despite Sassanid rule , Albania remained an entity in the region until the 9th century , while fully subordinate to Sassanid Iran , and retained its monarchy . Despite being one of the chief vassals of the Sasanian emperor , the Albanian king had only a semblance of authority , and the Sasanian marzban ( military governor ) held most civil , religious , and military authority .   In the first half of the 7th century , Caucasian Albania , as a vassal of the Sasanians , came under nominal Muslim rule due to the Muslim conquest of Persia . The Umayyad Caliphate repulsed both the Sasanians and Byzantines from Transcaucasia and turned Caucasian Albania into a vassal state after Christian resistance led by King Javanshir , was suppressed in 667 . The power vacuum left by the decline of the Abbasid Caliphate was filled by numerous local dynasties such as the Sallarids , Sajids , and Shaddadids . At the beginning of the 11th century , the territory was gradually seized by waves of Oghuz Turks from Central Asia . The first of these Turkic dynasties established was the Seljuk Empire , who entered the area now known as Azerbaijan by 1067 .   The pre-Turkic population that lived on the territory of modern Azerbaijan spoke several Indo - European and Caucasian languages , among them Armenian and an Iranian language , Old Azeri , which was gradually replaced by a Turkic language , the early precursor of the Azerbaijani language of today . Some linguists have also stated that the Tati dialects of Iranian Azerbaijan and the Republic of Azerbaijan , like those spoken by the Tats , are descended from Old Azeri . Locally , the possessions of the subsequent Seljuk Empire were ruled by Eldiguzids , technically vassals of the Seljuk sultans , but sometimes de facto rulers themselves . Under the Seljuks , local poets such as Nizami Ganjavi and Khaqani gave rise to a blossoming of Persian literature on the territory of present - day Azerbaijan .   The local dynasty of the Shirvanshahs became a vassal state of Timur 's Empire , and assisted him in his war with the ruler of the Golden Horde Tokhtamysh . Following Timur 's death , two independent and rival states emerged : Kara Koyunlu and Aq Qoyunlu . The Shirvanshahs returned , maintaining a high degree of autonomy as local rulers and vassals from 861 , for numerous centuries to come . In 1501 , the Safavid dynasty of Iran subdued the Shirvanshahs , and gained its possessions . In the course of the next century , the Safavids converted the formerly Sunni population to Shia Islam , as they did with the population in what is modern - day Iran . The Safavids allowed the Shirvanshahs to remain in power , under Safavid suzerainty , until 1538 , when Safavid king Tahmasp I ( r . 1524 -- 1576 ) completely deposed them , and made the area into the Safavid province of Shirvan . The Sunni Ottomans briefly managed to occupy parts of present - day Azerbaijan as a result of the Ottoman - Safavid War of 1578 -- 1590 ; by the early 17th century , they were ousted by Safavid Iranian ruler Abbas I ( r . 1588 -- 1629 ) . In the wake of the demise of the Safavid Empire , Baku and its environs were briefly occupied by the Russians as a consequence of the Russo - Persian War of 1722 -- 1723 . Despite brief intermissions such as these by Safavid Iran 's neighboring rivals , the land of what is today Azerbaijan remained under Iranian rule from the earliest advent of the Safavids up to the course of the 19th century .   Contemporary history ( edit )  Main articles : Russo - Persian Wars , Treaty of Gulistan , and Treaty of Turkmenchay See also : Azerbaijan Democratic Republic , Azerbaijan SSR , and Operation Edelweiss Territories of the khanates ( and sultanates ) in the 18th -- 19th century  After the Safavids , the area was ruled by the Iranian Afsharid dynasty . After the death of Nader Shah ( r . 1736 -- 1747 ) , many of his former subjects capitalized on the eruption of instability . Numerous self - ruling khanates with various forms of autonomy emerged in the area . The rulers of these khanates were directly related to the ruling dynasties of Iran , and were vassals and subjects of the Iranian shah . The khanates exercised control over their affairs via international trade routes between Central Asia and the West .   Thereafter , the area was under the successive rule of the Iranian Zands and Qajars . From the late 18th century , Imperial Russia switched to a more aggressive geo - political stance towards its two neighbors and rivals to the south , namely Iran and the Ottoman Empire . Russia now actively tried to gain possession of the Caucasus region which was , for the most part , in the hands of Iran . In 1804 , the Russians invaded and sacked the Iranian town of Ganja , sparking the Russo - Persian War of 1804 -- 1813 . The militarily superior Russians ended the Russo - Persian War of 1804 -- 1813 with a victory .  The siege of Ganja Fortress in 1804 during the Russo - Persian War of 1804 -- 1813 by Russian forces under the leadership of General Pavel Tsitsianov  Following Qajar Iran 's loss in the 1804 -- 1813 war , it was forced to concede suzerainty over most of the khanates , along with Georgia and Dagestan to the Russian Empire , per the Treaty of Gulistan .   The area to the north of the river Aras , amongst which territory lies the contemporary Republic of Azerbaijan , was Iranian territory until it was occupied by Russia in the 19th century . About a decade later , in violation of the Gulistan treaty , the Russians invaded Iran 's Erivan Khanate . This sparked the final bout of hostilities between the two , the Russo - Persian War of 1826 -- 1828 . The resulting Treaty of Turkmenchay , forced Qajar Iran to cede sovereignty over the Erivan Khanate , the Nakhchivan Khanate and the remainder of the Lankaran Khanate , comprising the last parts of the soil of the contemporary Azerbaijani Republic that were still in Iranian hands . After incorporation of all Caucasian territories from Iran into Russia , the new border between the two was set at the Aras River , which , upon the Soviet Union 's disintegration , subsequently became part of the border between Iran and the Azerbaijan Republic .   Qajar Iran was forced to cede its Caucasian territories to Russia in the 19th century , which thus included the territory of the modern - day Azerbaijan Republic , while as a result of that cession , the Azerbaijani ethnic group is nowadays parted between two nations : Iran and Azerbaijan . Nevertheless , the number of ethnic Azerbaijanis in Iran far outnumber those in neighbouring Azerbaijan .   After the collapse of the Russian Empire during World War I , the short - lived Transcaucasian Democratic Federative Republic was declared , constituting the present - day republics of Azerbaijan , Georgia , and Armenia .   It was followed by the March Days massacres that took place between 30 March and 2 April 1918 in the city of Baku and adjacent areas of the Baku Governorate of the Russian Empire . When the republic dissolved in May 1918 , the leading Musavat party declared independence as the Azerbaijan Democratic Republic ( ADR ) , adopting the name of `` Azerbaijan '' for the new republic ; a name that prior to the proclamation of the ADR was solely used to refer to the adjacent northwestern region of contemporary Iran . The ADR was the first modern parliamentary republic in the Muslim world . Among the important accomplishments of the Parliament was the extension of suffrage to women , making Azerbaijan the first Muslim nation to grant women equal political rights with men . Another important accomplishment of ADR was the establishment of Baku State University , which was the first modern - type university founded in the Muslim East .  Map presented by the delegation of Azerbaijan in the 1919 Paris Peace Conference  By March 1920 , it was obvious that Soviet Russia would attack Baku . Vladimir Lenin said that the invasion was justified as Soviet Russia could not survive without Baku 's oil . Independent Azerbaijan lasted only 23 months until the Bolshevik 11th Soviet Red Army invaded it , establishing the Azerbaijan SSR on 28 April 1920 . Although the bulk of the newly formed Azerbaijani army was engaged in putting down an Armenian revolt that had just broken out in Karabakh , Azerbaijanis did not surrender their brief independence of 1918 -- 20 quickly or easily . As many as 20,000 Azerbaijani soldiers died resisting what was effectively a Russian reconquest .   On 13 October 1921 , the Soviet republics of Russia , Armenia , Azerbaijan , and Georgia signed an agreement with Turkey known as the Treaty of Kars . The previously independent Republic of Aras would also become the Nakhichevan Autonomous Soviet Socialist Republic within the Azerbaijan SSR by the treaty of Kars . On the other hand , Armenia was awarded the region of Zangezur and Turkey agreed to return Gyumri ( then known as Alexandropol ) .   During World War II , Azerbaijan played a crucial role in the strategic energy policy of the Soviet Union , with 80 percent of the Soviet Union 's oil on the Eastern Front being supplied by Baku . By the Decree of the Supreme Soviet of the USSR in February 1942 , the commitment of more than 500 workers and employees of the oil industry of Azerbaijan were awarded orders and medals . Operation Edelweiss carried out by the German Wehrmacht targeted Baku because of its importance as the energy ( petroleum ) dynamo of the USSR . A fifth of all Azerbaijanis fought in the Second World War from 1941 to 1945 . Approximately 681,000 people with over 100,000 of them women went to the front , while the total population of Azerbaijan was 3.4 million at the time . Some 250,000 people from Azerbaijan were killed on the front . More than 130 Azerbaijanis were named Heroes of the Soviet Union . Azerbaijani Major - General Azi Aslanov was twice awarded the Hero of the Soviet Union .   Independence ( edit )  Red Army paratroops during the Black January tragedy in 1990  Following the politics of glasnost , initiated by Mikhail Gorbachev , civil unrest and ethnic strife grew in various regions of the Soviet Union , including Nagorno - Karabakh , an autonomous region of the Azerbaijan SSR . The disturbances in Azerbaijan , in response to Moscow 's indifference to an already heated conflict , resulted in calls for independence and secession , which culminated in the Black January events in Baku . Later in 1990 , the Supreme Council of the Azerbaijan SSR dropped the words `` Soviet Socialist '' from the title , adopted the `` Declaration of Sovereignty of the Azerbaijan Republic '' and restored the flag of the Azerbaijan Democratic Republic as the state flag . As a consequence of the failed coup which occurred in August in Moscow , on 18 October 1991 , the Supreme Council of Azerbaijan adopted a Declaration of Independence which was affirmed by a nationwide referendum in December 1991 , while the Soviet Union officially ceased to exist on 26 December 1991 .   The early years of independence were overshadowed by the Nagorno - Karabakh war with the ethnic Armenian majority of Nagorno - Karabakh backed by Armenia . By the end of the hostilities in 1994 , Armenians controlled up to 20 percent of Azerbaijani territory , including Nagorno - Karabakh itself . During the war many atrocities were committed including the massacres at Malibeyli and Gushchular , the Garadaghly massacre , the Agdaban and the Khojaly massacres . Furthermore , an estimated 30,000 people have been killed and more than a million people have been displaced . Four United Nations Security Council Resolutions ( 822 , 853 , 874 , and 884 ) demand for `` the immediate withdrawal of all Armenian forces from all occupied territories of Azerbaijan . '' Many Russians and Armenians left Azerbaijan during the 1990s . According to the 1970 census , there were 510,000 ethnic Russians and 484,000 Armenians in Azerbaijan .   In 1993 , democratically elected president Abulfaz Elchibey was overthrown by a military insurrection led by Colonel Surat Huseynov , which resulted in the rise to power of the former leader of Soviet Azerbaijan , Heydar Aliyev . In 1994 , Surat Huseynov , by that time the prime minister , attempted another military coup against Heydar Aliyev , but he was arrested and charged with treason . A year later , in 1995 , another coup was attempted against Aliyev , this time by the commander of the OMON special unit , Rovshan Javadov . The coup was averted , resulting in the killing of the latter and disbanding of Azerbaijan 's OMON units . At the same time , the country was tainted by rampant corruption in the governing bureaucracy . In October 1998 , Aliyev was reelected for a second term . Despite the much improved economy , particularly with the exploitation of the Azeri - Chirag - Guneshli oil field and Shah Deniz gas field , Aliyev 's presidency was criticized due to suspected election frauds and corruption .   Ilham Aliyev , Heydar Aliyev 's son , became chairman of the New Azerbaijan Party as well as President of Azerbaijan when his father died in 2003 . He was reelected to a third term as president in October 2013 .   Geography ( edit )  Azerbaijan map of Köppen climate classification Main articles : Geography of Azerbaijan , Environment of Azerbaijan , State reserves of Azerbaijan , and National parks of Azerbaijan See also : Extreme points of Azerbaijan Caucasus Mountains in northern Azerbaijan  Geographically Azerbaijan is located in the South Caucasus region of Eurasia , straddling Western Asia and Eastern Europe . It lies between latitudes 38 ° and 42 ° N , and longitudes 44 ° and 51 ° E. The total length of Azerbaijan 's land borders is 2,648 km ( 1,645 mi ) , of which 1,007 kilometers are with Armenia , 756 kilometers with Iran , 480 kilometers with Georgia , 390 kilometers with Russia and 15 kilometers with Turkey . The coastline stretches for 800 km ( 497 mi ) , and the length of the widest area of the Azerbaijani section of the Caspian Sea is 456 km ( 283 mi ) . The territory of Azerbaijan extends 400 km ( 249 mi ) from north to south , and 500 km ( 311 mi ) from west to east .   Three physical features dominate Azerbaijan : the Caspian Sea , whose shoreline forms a natural boundary to the east ; the Greater Caucasus mountain range to the north ; and the extensive flatlands at the country 's center . There are also three mountain ranges , the Greater and Lesser Caucasus , and the Talysh Mountains , together covering approximately 40 % of the country . The highest peak of Azerbaijan is Mount Bazardüzü ( 4,466 m ) , while the lowest point lies in the Caspian Sea ( − 28 m ) . Nearly half of all the mud volcanoes on Earth are concentrated in Azerbaijan , these volcanoes were also among nominees for the New7Wonders of Nature .   The main water sources are surface waters . However , only 24 of the 8,350 rivers are greater than 100 km ( 62 mi ) in length . All the rivers drain into the Caspian Sea in the east of the country . The largest lake is Sarysu ( 67 km2 ) , and the longest river is Kur ( 1,515 km ) , which is transboundary with Armenia . Azerbaijan 's four main islands in the Caspian Sea have a combined area of over thirty square kilometers .   Since the independence of Azerbaijan in 1991 , the Azerbaijani government has taken measures to preserve the environment of Azerbaijan . National protection of the environment accelerated after 2001 when the state budget increased due to new revenues provided by the Baku - Tbilisi - Ceyhan pipeline . Within four years protected areas doubled and now make up eight percent of the country 's territory . Since 2001 the government has set up seven large reserves and almost doubled the sector of the budget earmarked for environmental protection .   Landscape ( edit )  Main articles : Orography of Azerbaijan , Climate of Azerbaijan , and Water bodies of Azerbaijan Mount Bazarduzu , the highest peak of Azerbaijan , as seen from Mount Shahdagh The landscape of Khinalug valley  Azerbaijan is home to a vast variety of landscapes . Over half of Azerbaijan 's land mass consists of mountain ridges , crests , yailas , and plateaus which rise up to hypsometric levels of 400 -- 1000 meters ( including the Middle and Lower lowlands ) , in some places ( Talis , Jeyranchol - Ajinohur and Langabiz - Alat foreranges ) up to 100 -- 120 meters , and others from 0 -- 50 meters and up ( Qobustan , Absheron ) . The rest of Azerbaijan 's terrain consist of plains and lowlands . Hypsometric marks within the Caucasus region vary from about − 28 meters at the Caspian Sea shoreline up to 4,466 meters ( Bazardüzü peak ) .   The formation of climate in Azerbaijan is influenced particularly by cold arctic air masses of Scandinavian anticyclone , temperate of Siberian anticyclone , and Central Asian anticyclone . Azerbaijan 's diverse landscape affects the ways air masses enter the country . The Greater Caucasus protects the country from direct influences of cold air masses coming from the north . That leads to the formation of subtropical climate on most foothills and plains of the country . Meanwhile , plains and foothills are characterized by high solar radiation rates .   9 out of 11 existing climate zones are present in Azerbaijan . Both the absolute minimum temperature ( − 33 ° C or − 27.4 ° F ) and the absolute maximum temperature ( 46 ° C or 114.8 ° F ) were observed in Julfa and Ordubad -- regions of Nakhchivan Autonomous Republic . The maximum annual precipitation falls in Lankaran ( 1,600 to 1,800 mm or 63 to 71 in ) and the minimum in Absheron ( 200 to 350 mm or 7.9 to 13.8 in ) .  Murovdag is the highest mountain range in the Lesser Caucasus .  Rivers and lakes form the principal part of the water systems of Azerbaijan , they were formed over a long geological timeframe and changed significantly throughout that period . This is particularly evidenced by remnants of ancient rivers found throughout the country . The country 's water systems are continually changing under the influence of natural forces and human introduced industrial activities . Artificial rivers ( canals ) and ponds are a part of Azerbaijan 's water systems . In terms of water supply , Azerbaijan is below the average in the world with approximately 100,000 cubic metres ( 3,531,467 cubic feet ) per year of water per square kilometer . All big water reservoirs are built on Kur . The hydrography of Azerbaijan basically belongs to the Caspian Sea basin .   There are 8,350 rivers of various lengths within Azerbaijan . Only 24 rivers are over 100 kilometers long . The Kura and Aras are the major rivers in Azerbaijan , they run through the Kura - Aras Lowland . The rivers that directly flow into the Caspian Sea , originate mainly from the north - eastern slope of the Major Caucasus and Talysh Mountains and run along the Samur -- Devechi and Lankaran lowlands .   Yanar Dag , translated as `` burning mountain '' , is a natural gas fire which blazes continuously on a hillside on the Absheron Peninsula on the Caspian Sea near Baku , which itself is known as the `` land of fire . '' Flames jet out into the air from a thin , porous sandstone layer . It is a tourist attraction to visitors to the Baku area .   Biodiversity ( edit )  Main article : Wildlife of Azerbaijan Further information : Fauna of Azerbaijan and Flora of Azerbaijan The Karabakh horse is the national animal of Azerbaijan .  The first reports on the richness and diversity of animal life in Azerbaijan can be found in travel notes of Eastern travelers . Animal carvings on architectural monuments , ancient rocks and stones survived up to the present times . The first information on the flora and fauna of Azerbaijan was collected during the visits of naturalists to Azerbaijan in the 17th century .   There are 106 species of mammals , 97 species of fish , 363 species of birds , 10 species of amphibians and 52 species of reptiles which have been recorded and classified in Azerbaijan . The national animal of Azerbaijan is the Karabakh horse , a mountain - steppe racing and riding horse endemic to Azerbaijan . The Karabakh horse has a reputation for its good temper , speed , elegance and intelligence . It is one of the oldest breeds , with ancestry dating to the ancient world . However , today the horse is an endangered species .   Azerbaijan 's flora consists of more than 4,500 species of higher plants . Due to the unique climate in Azerbaijan , the flora is much richer in the number of species than the flora of the other republics of the South Caucasus . About 67 percent of the species growing in the whole Caucasus can be found in Azerbaijan .   Politics ( edit )  Main article : Politics of Azerbaijan See also : Elections in Azerbaijan and Human rights in Azerbaijan Government building The son of former President Heydar Aliyev , Ilham Aliyev , succeeded his father and has remained in power since 2003 .  The structural formation of Azerbaijan 's political system was completed by the adoption of the new Constitution on 12 November 1995 . According to Article 23 of the Constitution , the state symbols of the Azerbaijan Republic are the flag , the coat of arms , and the national anthem . The state power in Azerbaijan is limited only by law for internal issues , but for international affairs is additionally limited by the provisions of international agreements .   The government of Azerbaijan is based on the separation of powers among the legislative , executive , and judicial branches . The legislative power is held by the unicameral National Assembly and the Supreme National Assembly in the Nakhchivan Autonomous Republic . Parliamentary elections are held every five years , on the first Sunday of November . The Yeni Azerbaijan Party , and independents loyal to the ruling government , currently hold almost all of the Parliament 's 125 seats . During the 2010 Parliamentary election , the opposition parties , Musavat and Azerbaijani Popular Front Party , failed to win a single seat . European observers found numerous irregularities in the run - up to the election and on election day .   The executive power is held by the President , who is elected for a seven - year term by direct elections , and the Prime Minister . The president is authorized to form the Cabinet , a collective executive body , accountable to both the President and the National Assembly . The Cabinet of Azerbaijan consists primarily of the prime minister , his deputies , and ministers . The president does not have the right to dissolve the National Assembly , but has the right to veto its decisions . To override the presidential veto , the parliament must have a majority of 95 votes . The judicial power is vested in the Constitutional Court , Supreme Court , and the Economic Court . The president nominates the judges in these courts . The European Commission for the Efficiency of Justice ( CEPEJ ) report refers to the Azerbaijani justice model on the selection of new judges as best practice that reflects the particular</t>
  </si>
  <si>
    <t xml:space="preserve">where is azerbaijan located on the world map</t>
  </si>
  <si>
    <t xml:space="preserve"> Azerbaijan ( / ˌæzərbaɪˈdʒɑːn / AZ - ər - by - JAHN ; Azerbaijani : Azərbaycan ( ɑːzæɾbɑjˈd͡ʒɑn ) ) , officially the Republic of Azerbaijan ( Azerbaijani : Azərbaycan Respublikası ( ɑːzæɾbɑjˈd͡ʒɑn ɾespublikɑˈsɯ ) ) , is a country in the South Caucasus region of Eurasia at the crossroads of Eastern Europe and Western Asia . It is bounded by the Caspian Sea to the east , Russia to the north , Georgia to the northwest , Armenia to the west and Iran to the south . The exclave of Nakhchivan is bound by Armenia to the north and east , Iran to the south and west , and has an 11 km long border with Turkey in the north west . </t>
  </si>
  <si>
    <r>
      <rPr>
        <sz val="11"/>
        <color rgb="FF000000"/>
        <rFont val="Calibri"/>
        <family val="0"/>
        <charset val="1"/>
      </rPr>
      <t xml:space="preserve">Bernard Hill - wikipedia  Bernard Hill     Bernard Hill     Bernard Hill in September 2007       ( 1944 - 12 - 17 ) 17 December 1944 ( age 73 ) Blackley , Manchester , England     Nationality   British     Education   Xaverian College     Alma mater   Manchester Polytechnic School of Drama     Occupation   Actor     Years active   1975 -- present     Spouse ( s )   Marianne Hill     Children       Bernard Hill ( born 17 December 1944 ) is an English film , stage and television actor . He is known for playing Yosser Hughes , the troubled ' hard man ' whose life is falling apart in Alan Bleasdale 's groundbreaking 1980s TV drama Boys from the Blackstuff and , more recently , as the Duke of Norfolk in the BBC adaptation of Dame Hilary Mantel 's Wolf Hall . He is also known for roles in blockbuster films , including Captain Edward Smith in Titanic , King Théoden in The Lord of the Rings film trilogy and Luther Plunkitt , the Warden of San Quentin Prison in the Clint Eastwood film True Crime .   Contents    1 Early life   2 Career   2.1 Boys from the Blackstuff   2.2 Later roles     3 Personal life   4 Selected stage and screen credits   4.1 Theatre   4.2 Filmography   4.3 Television     5 Video games   6 References and notes   7 External links    Early life ( edit )   Hill was born in Blackley , Manchester . He was brought up in a Catholic family of miners . Hill attended Xaverian College , and then Manchester Polytechnic School of Drama at the same time as Richard Griffiths . He graduated with a diploma in theatre in 1970 .   Career ( edit )   In 1976 , Hill was seen as Police Constable Cluff in the Granada Television series Crown Court , the episode entitled `` The Jolly Swagmen ''   Boys from the Blackstuff ( edit )   Hill first came to prominence as Yosser Hughes , a Liverpool working class man ultimately driven to the edge by an uncaring system , in Alan Bleasdale 's BBC Play for Today programme , The Black Stuff , and its series sequel , Boys from the Blackstuff . His character 's much - repeated phrase Gizza job ( `` Give us a job '' ) became popular with protesters against Margaret Thatcher 's government , because of the high unemployment of the time .   Later roles ( edit )   Hill then appeared as Sergeant Putnam in Gandhi ( 1982 ) , directed by Richard Attenborough . Though Hill did not figure prominently in the cast , he benefited from being part of an Oscar - winning film . Next up for Hill was Roger Donaldson 's The Bounty ( 1984 ) , a fourth dramatisation of the famed mutiny on HMS Bounty .   He had previously taken smaller parts in a number of British television dramas , appearing in the acclaimed I , Claudius in 1976 as Gratus , the no - nonsense soldier of Caligula 's bodyguard who drew Claudius from his hiding - place in the palace , and presented him as the proper heir to the empire , and also as Richard Plantagenet , Duke of York in the BBC Television Shakespeare 1982 productions of Shakespeare 's Henry VI plays .   In 1985 , he played the lead role in a TV dramatisation of John Lennon 's life , A Journey in the Life . In addition to TV roles , Hill appeared on stage in The Cherry Orchard , and the title roles in Macbeth and A View from the Bridge .   Hill then received critical acclaim for his performance as Joe Bradshaw in Shirley Valentine ( 1989 ) , about a Liverpool housewife ( Pauline Collins ) who was a former anti-establishment rebel and engages in an extramarital affair . Hill added more prominent films to his resume , including Mountains of the Moon ( 1990 ) , Skallagrigg ( 1994 ) and Madagascar Skin ( 1995 ) .   In the mid-1990s , Hill began appearing in films more regularly . His first major role came in The Ghost and the Darkness ( 1996 ) , starring Val Kilmer as a bridge - building engineer who must trust a big game hunter ( Michael Douglas ) despite their mutual animosity ; Hill portrayed the role of Dr. Hawthorne . Hill then went down with the ship when he played Captain Edward J. Smith on the ill - fated Titanic ( 1997 ) , by James Cameron , with whom Hill got along quite well -- an experience not shared by most working on the film . Being in the then biggest grossing film of all time attracted attention to his career , as Hill became more sought - after for more prominent parts .   Hill played Philos in The Scorpion King ( 2002 ) , starring Dwayne `` The Rock '' Johnson , Michael Clarke Duncan and Kelly Hu .   Hill became known to a worldwide audience when he was cast in the role of King Théoden of Rohan in Peter Jackson 's The Lord of the Rings film trilogy based on Tolkien 's novel of the same name . Before casting him as King Théoden , director Peter Jackson considered Hill for the part of Gandalf . When he was due to leave the set at the end of production , Jackson gave Hill two gifts , Théoden 's helmet and sword Herugrim .   At the 2006 BAFTA TV Awards and International Emmy Award , Hill was nominated for his portrayal of David Blunkett in the one - off satirical drama , A Very Social Secretary .   Hill is one of the few actors who have acted in three films that went on to win the Academy Award for Best Picture . He did this with Gandhi ( 1982 ) , Titanic ( 1997 ) and The Lord of the Rings : The Return of the King ( 2003 ) .   He held a minor role in the 2008 film Valkyrie , as the commanding general of the German Afrika Korp X Panzer Division , and as a voice actor for Sir Walter Beck in Fable III ( 2010 ) .   Due to his affinity and links to the region , along with his extensive CV in film , Hill was announced as a new patron and judge of the Norwich Film Festival , that was held on March 2012 .   He plays Samuel Cotton , who runs a sweet factory with his son in the 2014 three - part BBC drama series about Manchester From There To Here .   Hill appears as Thomas Howard , 3rd Duke of Norfolk in the 2015 six - part BBC adaptation of Hilary Mantel 's novels , Wolf Hall .   Personal life ( edit )       This section needs expansion . You can help by adding to it . ( June 2012 )     Hill currently lives in Suffolk . He is married to Marianne Hill , and has a son named Gabriel .   Selected stage and Screen credits ( edit )   Theatre ( edit )  Hill at a Lord of the Rings convention in Bonn , Germany , October 2004    Year   Play   Role   Theatre       John , Paul , George , Ringo ... and Bert   John Lennon   Lyric Theatre , London     1978   Twelfth Night   Toby Belch   Young Vic , London       Short List   Howard   Hampstead Theatre , London     1984   The Plough and the Stars   Fluther Good   Royal Exchange , Manchester     1986   Macbeth   Macbeth   Haymarket Theatre , Leicester     1989   The Cherry Orchard   Lopakhin   Aldwych Theatre , London     1990   Gasping   Sir Chiffley Lockheart   Theatre Royal , Haymarket , London     1995   A View from the Bridge   Eddie Carbone   Strand Theatre , London     Filmography ( edit )     Year   Film   Role   Notes       It Could Happen to You   Syph   Film also known as Intimate Teenage Secrets     1976   Trial by Combat   Blind Freddie   Film also known as Dirty Knights Work     1978   The Sailor 's Return   Carter       1978   The Spongers   Sullivan       1982   Gandhi   Sergeant Putnam         Squaring the Circle   Narrator   Documentary     Runners   Trevor Field       1984   The Bounty   Cole       1985   Restless Natives   Will 's father       The Chain   Nick       Samson and Delilah   Willie Naknervis       1986   Milwr Bychan   Officer   Film also known as Boy Soldier     New World   John Billington       No Surrender   Bernard         Bellman and True   Hiller         Drowning by Numbers   Henry Madgett       1989   Shirley Valentine   Joe Bradshaw       1990   Mountains of the Moon   Dr. David Livingston       1991   The Law Lord   Martin Allport         The Name of the Game   Ignatius `` Iggy '' Smith   Film also known as Run Rabbit Run and Double X     1993   Shepherd on the Rock   Tam Ferrier       1994   Skallagrigg         Drug Taking and the Arts   Presenter and narrator   Documentary     1995   Madagascar Skin   Flint         The Ghost and the Darkness   Dr. Hawthorne         The Wind in the Willows   Engine driver   Film also known as Mr. Toad 's Wild Ride     Titanic   Captain Edward J. Smith   Nominated -- Screen Actors Guild Award for Outstanding Performance by a Cast in a Motion Picture One of two films in which Hill stars that have won 11 Oscars .     The Mill on the Floss   Edwards Tulliver       1999   The Titanic Chronicles   Captain S. Lord       The Criminal   Walker       True Crime   Lunther Plunkitt       A Midsummer Night 's Dream   Egeus   Film also known as Sogno di una notte di mezza estate     The Loss of Sexual Innocence   Susan 's father       2000   Blessed Art Thou   Frederick       Einstein   Voice of Stalin   Film also known as The Furnace     Going Off Big Time   Murray       2002   The Scorpion King   Philos       The Lord of the Rings : The Two Towers   King Théoden   Online Film Critics Society Award for Best Cast Phoenix Film Critics Society Award for Best Cast Nominated -- DVD Exclusive Awards for Best Audio Commentary Nominated -- Screen Actors Guild Award for Outstanding Performance by a Cast in a Motion Picture     2003   The Boys from County Clare   John Joe       Gothika   Phil Parsons       The Lord of the Rings : The Return of the King   King Théoden   Broadcast Film Critics Association Award for Best Cast National Board of Review Award for Best Cast Screen Actors Guild Award for Outstanding Performance by a Cast in a Motion Picture Nominated -- Phoenix Film Critics Society Award for Best Cast The second film in which Hill starred , that won 11 Oscars       Wimbledon   Edward Colt       The Deal   Victor   Short film     2005   The League of Gentlemen 's Apocalypse   King William       2006   Joy Division   Dennis       Save Angel Hope   Oscar Kurz       2007   Exodus   N / A   Film made for television . Broadcast on Channel 4     2008   Valkyrie   Unnamed German General in the desert       2008   Franklyn   Peter       2011   The Wraith   The Narrator   Short Film     2012   ParaNorman   The Judge   Voice only     2016   Golden Years   Arthur Goode       Information taken from filmreference.com , netglisme.com ,   Television ( edit )     Year   Programme   Role   Episodes   Broadcasting Network   Notes     1973   Hard Labour   Edward , Mrs Thornley 's son   N / A   BBC       1976   I , Claudius   Gratus     BBC       1978   Pickersgill People   N / A     BBC       1979   Telford 's Change   Jack Burton     BBC       The Black Stuff   Yosser Hughes   5   BBC       1980   Fox   Vin Fox   11   ITV       1982   Boys from the Black Stuff   Yosser Hughes   5   BBC   Broadcasting Press Guild Awards for Best Actor Nominated -- BAFTA TV Award for Best Actor     Henry VI   Richard Plantagenet , Duke of York     BBC       1984   Antigone   Messenger     BBC       1985   The Burston Rebellion   Tom Higdon     BBC       1993   Olly 's Prison   Mike     BBC       1993   Telltale   Det . Sgt . Gavin Douglas     ITV       1993   Lipstick on Your Collar   Uncle Fred     Channel 4       1994   Once Upon a Time in the North   Len Tollit   N / A   BBC       1999   Great Expectations   Abel Magwitch     BBC         Horizon   Narrator   9   BBC       2002   Timewatch   Narrator     BBC         Atheism : A Rough History of Disbelief   Himself     BBC       2005   A Very Social Secretary   David Blunkett     Channel 4   Nominated -- BAFTA TV Award for Best Actor Nominated -- International Emmy Award for Best Performance by an Actor     2007   Egomania   Narrator     Channel 4       2007   Bombay Railway   Narrator     BBC Series       2008   Sunshine   Granddad Crosby     BBC       2008   Wild China   Narrator   6   BBC   A BBC / CTV / Travel Channel co-production in association with Canal+     2009   Folk America   Narrator     BBC       2009   Ice Patrol   Narrator     National Geographic         Old Trafford 100 Years   Narrator and Presenter     MUTV         Five Days   Gerard Hopkirk   5   BBC         Indian Hill Railways   Narrator     BBC         Canoe Man   John Darwin     BBC       2012   Falcón   Ramón Salgado     Sky   Episode `` The Blind Man of Seville ''     2014   From There to Here   Samuel Cotton     BBC       2014   Hope And Wire   Len Russell     TV3   New Zealand mini-series     2015   Wolf Hall   Duke of Norfolk   6   BBC       2015   Unforgotten   Father Robert Greaves   6   ITV     Video games ( edit )     Year   Video game   Role   Notes     2008   World of Warcraft : Wrath of the Lich King   Highlord Tirion Fordring         Fable III   Sir Walter Beck       References and notes ( edit )    Jump up ^ `` The OxStu talks Titanic , Daniel Day - Lewis and more with film star Bernard Hill '' . The Oxford Student .   ^ Jump up to : `` Manchester Films -- Bernard Hill -- a biography '' . BBC . Retrieved 2011 - 08 - 21 .   Jump up ^ `` Out of work -- and this time it wo n't just be Yosser who will feel the pain News '' . Thisislondon.co.uk. 2008 - 12 - 17 . Retrieved 2011 - 08 - 21 .   Jump up ^ `` Behind The Voice Actors - Bernard Hill '' . Behind The Voice Actors .   Jump up ^ `` Archived copy '' . Archived from the original on 14 February 2012 . Retrieved 2011 - 11 - 13 .   Jump up ^ `` Stellar cast assemble for Peter Bowker 's new BBC One drama , From There To Here '' . BBC Media Centre . BBC . Retrieved 14 September 2013 .   Jump up ^ `` Norfolk '' . BBC . Retrieved 16 February 2015 .   Jump up ^ `` Bernard Hill Biography ( 1944 -- ) '' . Filmreference.com . Retrieved 2011 - 08 - 21 .   Jump up ^ `` Bernard Hill Filmography , Bernard Hill , movies , Pics , Photos , Filmography '' . Netglimse.com . Archived from the original on 12 December 2011 . Retrieved 21 August 2011 .   Jump up ^ Unit , Commercial Development . `` Indian Hill Railway '' . ABC Shop . Retrieved 2017 - 03 - 04 .    External links ( edit )       Wikimedia Commons has media related to Bernard Hill .      Bernard Hill on IMDb   Bernard Hill at the TCM Movie Database   Bernard Hill at AllMovie   Interview with BBC Suffolk                Critics ' Choice Movie Award for Best Acting Ensemble       Gosford Park ( 2001 )   Chicago ( 2002 )   The Lord of the Rings : The Return of the King ( 2003 )   Sideways ( 2004 )   Crash ( 2005 )   Little Miss Sunshine ( 2006 )   Hairspray ( 2007 )   Milk ( 2008 )   Inglourious Basterds ( 2009 )   The Fighter ( 2010 )   The Help ( 2011 )   Silver Linings Playbook ( 2012 )   American Hustle ( 2013 )   Birdman or ( The Unexpected Virtue of Ignorance ) ( 2014 )   Spotlight ( 2015 )   Moonlight ( 2016 )   Three Billboards Outside Ebbing , Missouri ( 2017 )               BNF : cb140529581 ( data )   GND : 13241449X   ISNI : 0000 0001 1495 1067   LCCN : no97049398   SUDOC : 055737668   VIAF : 90624327      Retrieved from `` https://en.wikipedia.org/w/index.php?title=Bernard_Hill&amp;oldid=855509661 '' Categories :   1944 births   Male actors from Manchester   English male film actors   English male stage actors   English male television actors   Living people   Outstanding Performance by a Cast in a Motion Picture Screen Actors Guild Award winners   People from Blackley   People from Suffolk   20th - century English male actors   21st - century English male actors   Hidden categories :   Infobox person using alma mater   Articles with hCards   Articles to be expanded from June 2012   All articles to be expanded   Articles using small message boxes   All articles with unsourced statements   Articles with unsourced statements from August 2016   Use dmy dates from May 2011   Wikipedia articles with BNF identifiers   Wikipedia articles with GND identifiers   Wikipedia articles with ISNI identifiers   Wikipedia articles with LCCN identifiers   Wikipedia articles with SUDOC identifiers   Wikipedia articles with VIAF identifiers           Talk                                           Contents                   About Wikipedia                                                   تۆرکجه   Català   Čeština   Dansk   Deutsch   Ελληνικά   Español   فارسی   Français   Galego   </t>
    </r>
    <r>
      <rPr>
        <sz val="11"/>
        <color rgb="FF000000"/>
        <rFont val="Noto Sans CJK SC"/>
        <family val="2"/>
      </rPr>
      <t xml:space="preserve">한국어   </t>
    </r>
    <r>
      <rPr>
        <sz val="11"/>
        <color rgb="FF000000"/>
        <rFont val="Calibri"/>
        <family val="0"/>
        <charset val="1"/>
      </rPr>
      <t xml:space="preserve">Italiano   עברית   Кыргызча   Latina   Nederlands   </t>
    </r>
    <r>
      <rPr>
        <sz val="11"/>
        <color rgb="FF000000"/>
        <rFont val="Noto Sans CJK SC"/>
        <family val="2"/>
      </rPr>
      <t xml:space="preserve">日本 語   </t>
    </r>
    <r>
      <rPr>
        <sz val="11"/>
        <color rgb="FF000000"/>
        <rFont val="Calibri"/>
        <family val="0"/>
        <charset val="1"/>
      </rPr>
      <t xml:space="preserve">Norsk   Polski   Português   Русский   Simple English   Slovenščina   Српски / srpski   Srpskohrvatski / српскохрватски   Suomi   Svenska   Українська  20 more  Edit links   This page was last edited on 18 August 2018 , at 20 : 49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</si>
  <si>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the captain in the movie titanic</t>
  </si>
  <si>
    <t xml:space="preserve"> Bernard Hill ( born 17 December 1944 ) is an English film , stage and television actor . He is known for playing Yosser Hughes , the troubled ' hard man ' whose life is falling apart in Alan Bleasdale 's groundbreaking 1980s TV drama Boys from the Blackstuff and , more recently , as the Duke of Norfolk in the BBC adaptation of Dame Hilary Mantel 's Wolf Hall . He is also known for roles in blockbuster films , including Captain Edward Smith in Titanic , King Théoden in The Lord of the Rings film trilogy and Luther Plunkitt , the Warden of San Quentin Prison in the Clint Eastwood film True Crime . </t>
  </si>
  <si>
    <r>
      <rPr>
        <sz val="11"/>
        <color rgb="FF000000"/>
        <rFont val="Calibri"/>
        <family val="0"/>
        <charset val="1"/>
      </rPr>
      <t xml:space="preserve">Rodrigo Santoro - wikipedia  Rodrigo Santoro  Jump to : navigation , search This name uses Portuguese naming customs . The first or maternal family name is Junqueira and the second or paternal family name is dos Reis Santoro .    Rodrigo Santoro     Santoro in 2014       Rodrigo Junqueira dos Reis Santoro ( 1975 - 08 - 22 ) 22 August 1975 ( age 42 ) Petrópolis , Rio de Janeiro , Brazil     Nationality   Brazil     Occupation   Actor     Years active   1993 -- present     Website   www.rodrigo-santoro.com     Rodrigo Junqueira dos Reis Santoro ( Portuguese pronunciation : ( ʁoˈdɾiɡu sɐ̃ˈtoɾu ) ; born August 22 , 1975 ) is a Brazilian actor . He has appeared in many successful movies , including Brainstorm ( 2001 ) , Carandiru ( 2003 ) , Love Actually ( 2003 ) , Che ( 2008 ) , I Love You Phillip Morris ( 2009 ) , and Rio ( 2011 ) . He is perhaps most famous for his portrayal of Xerxes in the movie 300 ( 2006 ) and its sequel 300 : Rise of an Empire ( 2014 ) . He was a series regular on the television series Lost portraying the character Paulo , and plays Hector Escaton in HBO 's Westworld ( 2016 ) .     Contents  ( hide )   1 Life and career   2 Filmography   3 Awards and nominations   3.1 Other nominations and honors     4 References   5 External links      Life and career ( edit )   Santoro was born in Petrópolis , Rio de Janeiro state , to Maria José Junqueira dos Reis , a Brazilian artist of Portuguese ancestry , and Francesco Santoro , an Italian engineer . In 1993 , as Santoro was studying Journalism at PUC - Rio , he entered the Actor 's Workshop of Rede Globo . Santoro went on to play parts in many of Globo 's telenovelas , such as Olho no Olho ( 1993 ) , Pátria Minha ( 1994 ) , Explode Coração ( 1995 ) , O Amor Está no Ar ( 1997 ) , Suave Veneno ( 1999 ) and Mulheres Apaixonadas ( 2003 ) , as well as the miniseries Hilda Furacão ( 1998 ) , in the role of a priest . Santoro was also the voice actor of the titular character in Stuart Little and its sequel in the Brazilian dubbed copies .   His first major role in a cinema production came in 2001 , with Bicho de Sete Cabeças ( Brainstorm ) by Brazilian director Laís Bodansky . By the end of the film , he received a standing ovation from the audience . He also went on to win the festival 's best actor trophy . After Bicho , his reputation as an actor had been solidified and he was cast as the male lead in Abril Despedaçado ( Behind the Sun ) , one of the nominees for best foreign film in the 2002 Golden Globe Awards . He had another performance in the 2003 Hector Babenco film Carandiru , where he played a transsexual prisoner known as `` Lady Di '' .  Santoro at the 2013 San Diego Comic - Con International , promoting 300 : Rise of an Empire .  Canadian director Robert Allan Ackerman signed Santoro for his TV production The Roman Spring of Mrs. Stone after being mesmerised by his performance in Bicho de Sete Cabeças . Since Santoro did not have an agent in North America , Ackerman contacted Santoro 's father . He spent two months filming in Rome , alongside renowned actors such as Helen Mirren and Anne Bancroft . Soon after he finished shooting for Mrs. Stone , he received an offer from Columbia Pictures for a part in the blockbuster Charlie 's Angels : Full Throttle . His performance in Charlie 's Angels kick - started his career in Hollywood . After Charlie 's Angels , he played the character of Karl , the enigmatic chief designer and love interest of Laura Linney 's character , in the romantic comedy Love Actually , which also features Colin Firth , Lucia Moniz , Hugh Grant , Emma Thompson , Keira Knightley , and Rowan Atkinson .   He also started getting work in the advertising business as he appeared in a commercial campaign with Gisele Bündchen in 2002 . He played the male lead in No. 5 The Film , the 3 - minute - long commercial for Chanel , directed by Baz Luhrmann alongside Nicole Kidman in 2004 .   In 2006 , Santoro joined the cast of Lost as survivor of Oceanic Flight 815 , Paulo . His first appearance was in episode titled , `` Further Instructions '' . His character was killed off in the episode `` Exposé '' . He also voices his character Paulo in the Portuguese dub for Brazil .   Santoro was cast as Persian emperor Xerxes in the film 300 , based on the Frank Miller comic of the same name , in 2006 . The role had many special requirements , such as intensive workout for the physicality of the role ( Santoro had lost 24 pounds to work in a Brazilian miniseries ) , extensive CG work to portray the 6'2 '' Santoro as the 7 - foot God - King , a four - and - a-half - hour makeup application process and the complete removal of Santoro 's body hair first by waxing and then by shaving when that proved too painful . His eyebrows were kept intact , however , covered over with prosthetics and drawn in rather than being shaved . Santoro read the works of Herodotus , an Ancient Greek historian , in order to prepare for his part . Regarding Xerxes , he has stated :   He 's rich , he 's arrogant , he 's a very unstable megalomaniac . He just wants to conquer the world . His ambition is unlimited . He wants glory ; he wants victory ; he wants eternal fame . Underneath all that wanting , though , he 's ultimately weak and very insecure .   For his role on 300 , Santoro became the first Brazilian actor nominated to the MTV Movie Awards in the category of Best Villain . He did not win however , and the award went to Jack Nicholson for The Departed .   He plays the late footballer Heleno de Freitas in the 2012 film Heleno . Santoro co-starred alongside Arnold Schwarzenegger in the 2013 film The Last Stand . Santoro played Garriga in the Will Smith drama film Focus ( 2015 ) .   Santoro plays Jesus in the 2016 historical action film Ben - Hur and received personal blessings from Pope Francis for this role .   Santoro is in a relationship with fellow Brazilian actress Mel Fronckowiak since 2013 . In June 7 , 2017 , they welcomed their first child together , a daughter named Nina .   Filmography ( edit )  Santoro at the premiere of What to Expect When You 're Expecting , 9 May 2012 , New York  Film   Year   Film   Role   Notes       Depois do Escuro   Roberto       1998   Como Ser Solteiro   Himself       1999   O Trapalhão ea Luz Azul   Musketeer       1999   Stuart Little   Stuart Little   Voice ( Brazilian dub )     2001   Bicho de Sete Cabeças   Wilson Souza Neto       2001   Abril Despedaçado   Tonho       2002   Stuart Little 2   Stuart Little   Voice ( Brazilian dub )     2003   The Roman Spring of Mrs. Stone   Young Man       2003   Carandiru   Lady Di       2003   Charlie 's Angels : Full Throttle   Randy Emmers       2003   Love Actually   Karl         A Dona da História   Luiz Cláudio       2007   300   Xerxes I       2007   Não por Acaso   Pedro       2008   Live , Love , Laugh , But ...   Bellboy   Short film     2008   Os Desafinados   Joaquim       2008   Redbelt   Bruno Silva       2008   Leonera   Ramiro       2008   Che   Raul Castro       2009   I Love You Phillip Morris   Jimmy Kemple       2009   Post Grad   David Santiago         Manual Para Se Defender de Alienígenas , Zumbis e Ninjas   Ninja   Short film       There Be Dragons   Oriol       2011   Meu País   Marcos       2011   Rio   Túlio / Soccer Announcer   Voice ( also in the Brazilian Version )     2012   Hemingway &amp; Gellhorn   Zarra       2012   Heleno   Heleno de Freitas       2012   What To Expect When You 're Expecting   Alex       2012   Reis e Ratos   Roni Rato       2013   The Last Stand   Frank Martinez       2013   Rio 2096 : A Story of Love and Fury   Piatã / Júnior       2014   300 : Rise of an Empire   Xerxes I       2014   Rio 2   Túlio   Voice ( also in the Brazilian version )     2014   Rio , I Love You   Ele       2015   Focus   Garriga       2015   The 33   Laurence Golborne       2016   Jane Got a Gun   Fitchum       2016   Ben - Hur   Jesus       2016   Dominion   Carlos   Post-production     2016   Pelé : Birth of a Legend   Brazilian announcer       Television   Year   Soap operas   Role   Note     1993 -- 94   Olho no Olho   Pedro   Main role     1994 -- 95   Pátria Minha   Fernando   Main role     1995 -- 96   Explode Coração   Sérgio   Main role       Sai de Baixo   Gama   `` O Sexo Nosso de Cada Dia '' ( Season 1 , episode 6 )       Comédia da Vida Privada   Diogo   `` Mulheres '' ( Season 2 , episode 6 )     1998   Hilda Furacão   Frei Malthus   Main role       O Amor Está no Ar   Léo   Main role     1999   O Belo e as Feras   Henrique   `` Só o Amor Destrói '' ( Season 1 , episode 1 )     1999   Suave Veneno   Eliseu Vieira   Main role     2001   Os Normais   Júlio   `` Grilar é Normal '' ( Season 1 , episode 19 )     2001   Estrela - Guia   Carlos Charles Pimenta   Main role     2002   Pastores da Noite   Padre Gomes   Main role     2003   Mulheres Apaixonadas   Diogo Ribeiro Alves   Main role     2005   Hoje É Dia de Maria   Amado   Main role     2005   Hoje é Dia de Maria : Segunda Jornada   Dom Chico Chicote   Main role     2006   Lost   Paulo   Main role ( Season 3 )     2009   Som &amp; Fúria   Sanjay   Main role       Afinal , o Que Querem as Mulheres ?   Rodrigo Santoro ( ficcional version )   `` Elas ? '' ( Season 1 , episode 3 )       Papai Noel Existe   Robson Luiz   Television special     2012   As Brasileiras   Carioca   `` A Indomável do Ceará '' ( Season 1 , episode 9 )     2016   Velho Chico   Afrânio de Sá Ribeiro   Main role     2016 -- present   Westworld   Hector Escaton   Main role     Awards and nominations ( edit )  Santoro holding the statue he won at the 44th Festival de Brasília for the movie Meu País , in 2011 .    Year   Award     Result     2000   Festival de Brasília   Best Actor for Bicho de Sete Cabeças   Won     2001   Recife Film Festival   Won     Brazil Quality Award   Won     Santo Domingo Film Festival   Won     SESC Best Film Festival   Won     2002   Cinema Brazilian Grand Prix   Won     APCA Trophy   Won     Cartagena Film Festival   Won     Cero Latitud Film Festival   Won     2003   Festival de Brasília   Best Actor for Carandiru   Won       Cannes Film Festival   Chopard Trophy of Male Revelation   Won     2007   MTV Movie Awards   Best Villain for 300   Nominated     2011   Festival de Brasília   Best Actor for Meu País   Won     Havana Film Festival   Best Actor for Heleno   Won     2012   Lima Film Festival   Won     ALMA Awards   Best Actor for What to Expect When You 're Expecting   Nominated     Other nominations and honors ( edit )    2004 : On People Magazine 's 50 Most Beautiful list 2004   2006 : 12th position on People Magazine 's 2006 Sexiest Man Alive   2008 : 16th position on E ! 's 2008 Sexiest man of the world    References ( edit )    Jump up ^ https://movies.yahoo.com/person/rodrigo-santoro/biography.html   Jump up ^ http://www.think4.com.br , Think4 - . `` Família não se deslumbra com fama internacional de Rodrigo Santoro - Ofuxico '' .   Jump up ^ `` Rodrigo Santoro Interview '' . NuvoTV . Archived from the original on 4 March 2014 . Retrieved 1 November 2016 .   Jump up ^ Wieselman , Jarett ( 15 April 2011 ) . `` Rodrigo Santoro : I 'm half Italian and half Brazilian -- I breathe passion '' . Page Six .   Jump up ^ `` Rodrigo Santoro - A Profile of Lost 's Rodrigo Santoro '' .   Jump up ^ BastaClicar -- A Web em suas Maos ( 6 April 2011 ) . `` BastaClicar Cinema : Rodrigo Santoro '' . Bastaclicar.com.br . Archived from the original on 6 July 2011 . Retrieved 4 June 2011 .   Jump up ^ Olá , ( 22 August 2011 ) . `` Rodrigo Santoro faz 36 anos como galã do cinema e da TV ; o que você sabe sobre ele ? -- Famosos e TV -- R7 '' . Entretenimento.r7.com . Retrieved 21 May 2012 . CS1 maint : Multiple names : authors list ( link )   ^ Jump up to : Brevet , Brad ( 6 March 2007 ) . `` INTERVIEW : Rodrigo Santoro for ' 300 ' , Celebrity Interviews , RopeofSilicon.com Entertainment News '' . Ropeofsilicon.com . Archived from the original on 19 November 2007 . Retrieved 4 June 2011 .   Jump up ^ `` Rodrigo Santoro Becomes Xerxes of Legend in `` 300 '' `` . Rotten Tomatoes. 31 May 2011 . Retrieved 4 June 2011 .   Jump up ^ Honeycutt , Kirk ( 16 September 2011 ) . `` Heleno : Toronto Review '' . The Hollywood Reporter . Retrieved 15 January 2012 .   Jump up ^ ( Press release ) ( April 18 , 2015 ) . `` Pope Francis blesses actor playing Jesus in ' Ben - Hur ' film '' . Christian Today . Retrieved March 15 , 2016 .   Jump up ^ http://claudia.abril.com.br/famosos/nasce-filha-de-mel-fronckowiak-e-rodrigo-santoro   Jump up ^ Cinemateca Brasileira Depois do Escuro ( em linha )   Jump up ^ `` O Bicho de 7 Cabeças '' . Cinemateca Brasileira .   Jump up ^ `` 2007 MTV Movie Awards - Vote For Best Villain '' . MTV Networks . Archived from the original on 8 May 2007 .   Jump up ^ Carroll , Larry ; Adler , Shawn ( 8 May 2007 ) . `` MTV Movie Awards Nominees : Pirates , Spartans -- And That Crazy Kazakh '' . MTV Networks . Archived from the original on 2 December 2009 . Retrieved 20 December 2007 .    External links ( edit )       Wikimedia Commons has media related to Rodrigo Santoro .      Rodrigo Santoro on IMDb              Trophée Chopard     2000s     Eduardo Noriega / Audrey Tautou ( 2001 )   Hayden Christensen / Paz Vega / Ludivine Sagnier ( 2002 )   Gael García Bernal / Diane Kruger ( 2003 )   Rodrigo Santoro / Marion Cotillard ( 2004 )   Jonathan Rhys Meyers / Kelly Reilly ( 2005 )   Kevin Zegers / Jasmine Trinca ( 2006 )   Nick Cannon / Archie Panjabi ( 2007 )   Omar Metwally / Tang Wei ( 2008 )   David Kross / Léa Seydoux ( 2009 )       2010s     Edward Hogg / Liya Kebede ( 2010 )   Niels Schneider / Àstrid Bergès - Frisbey ( 2011 )   Ezra Miller / Shailene Woodley ( 2012 )   Jeremy Irvine / Blanca Suárez ( 2013 )   Logan Lerman / Adèle Exarchopoulos ( 2014 )   Jack O'Connell / Lola Kirke ( 2015 )   John Boyega / Bel Powley ( 2016 )   George MacKay / Anya Taylor - Joy ( 2017 )               VIAF : 120234639   LCCN : nr2002033597   ISNI : 0000 0001 1497 5982   GND : 140973427   SUDOC : 080481183   BNF : cb146204515 ( data )      Retrieved from `` https://en.wikipedia.org/w/index.php?title=Rodrigo_Santoro&amp;oldid=798752952 '' Categories :   1975 births   Living people   People from Petrópolis   Brazilian people of Italian descent   Brazilian people of Portuguese descent   Brazilian male film actors   Brazilian male telenovela actors   Brazilian male television actors   Male actors of Italian descent   20th - century Brazilian male actors   21st - century Brazilian male actors   Pontifical Catholic University of Rio de Janeiro alumni   Brazilian expatriates in the United States   Hidden categories :   CS1 maint : Multiple names : authors list   Use dmy dates from April 2014   Articles with hCards   Wikipedia articles with VIAF identifiers   Wikipedia articles with LCCN identifiers   Wikipedia articles with ISNI identifiers   Wikipedia articles with GND identifiers   Wikipedia articles with BNF identifiers           Talk                                           Contents                   About Wikipedia                                                   Български   Català   Dansk   Deutsch   Ελληνικά   Español   فارسی   Français   Galego   </t>
    </r>
    <r>
      <rPr>
        <sz val="11"/>
        <color rgb="FF000000"/>
        <rFont val="Noto Sans CJK SC"/>
        <family val="2"/>
      </rPr>
      <t xml:space="preserve">한국어   </t>
    </r>
    <r>
      <rPr>
        <sz val="11"/>
        <color rgb="FF000000"/>
        <rFont val="Calibri"/>
        <family val="0"/>
        <charset val="1"/>
      </rPr>
      <t xml:space="preserve">Հայերեն   Hrvatski   Bahasa Indonesia   Italiano   עברית   ქართული   Қазақша   Kiswahili   Magyar   მარგალური   Nederlands   </t>
    </r>
    <r>
      <rPr>
        <sz val="11"/>
        <color rgb="FF000000"/>
        <rFont val="Noto Sans CJK SC"/>
        <family val="2"/>
      </rPr>
      <t xml:space="preserve">日本 語   </t>
    </r>
    <r>
      <rPr>
        <sz val="11"/>
        <color rgb="FF000000"/>
        <rFont val="Calibri"/>
        <family val="0"/>
        <charset val="1"/>
      </rPr>
      <t xml:space="preserve">Norsk   Polski   Português   Română   Русский   Simple English   Suomi   Svenska   தமிழ்   ไทย   Türkçe   </t>
    </r>
    <r>
      <rPr>
        <sz val="11"/>
        <color rgb="FF000000"/>
        <rFont val="Noto Sans CJK SC"/>
        <family val="2"/>
      </rPr>
      <t xml:space="preserve">中文   </t>
    </r>
    <r>
      <rPr>
        <sz val="11"/>
        <color rgb="FF000000"/>
        <rFont val="Calibri"/>
        <family val="0"/>
        <charset val="1"/>
      </rPr>
      <t xml:space="preserve">Edit links   This page was last edited on 3 September 2017 , at 16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</si>
  <si>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xerxes in 300 rise of an empire</t>
  </si>
  <si>
    <t xml:space="preserve"> Rodrigo Junqueira dos Reis Santoro ( Portuguese pronunciation : ( ʁoˈdɾiɡu sɐ̃ˈtoɾu ) ; born August 22 , 1975 ) is a Brazilian actor . He has appeared in many successful movies , including Brainstorm ( 2001 ) , Carandiru ( 2003 ) , Love Actually ( 2003 ) , Che ( 2008 ) , I Love You Phillip Morris ( 2009 ) , and Rio ( 2011 ) . He is perhaps most famous for his portrayal of Xerxes in the movie 300 ( 2006 ) and its sequel 300 : Rise of an Empire ( 2014 ) . He was a series regular on the television series Lost portraying the character Paulo , and plays Hector Escaton in HBO 's Westworld ( 2016 ) . </t>
  </si>
  <si>
    <t xml:space="preserve">List of the Simpsons cast members - wikipedia  List of the Simpsons cast members  Jump to : navigation , search   Four of the six main cast members attend a ceremony in 2009 , left to right ; Nancy Cartwright ( Bart ) , Yeardley Smith : ( Lisa ) , Dan Castellaneta ( Homer ) and Julie Kavner ( Marge ) .  The Simpsons is an American animated sitcom that includes six main voice actors and numerous regular cast and recurring guest stars . The principal cast consists of Dan Castellaneta , Julie Kavner , Nancy Cartwright , Yeardley Smith , Hank Azaria and Harry Shearer . Tress MacNeille , Pamela Hayden , Maggie Roswell , Russi Taylor , Marcia Wallace , Marcia Mitzman Gaven and Karl Wiedergott have appeared as supporting cast members . Repeat guest cast members include Albert Brooks , Phil Hartman , Jon Lovitz , Joe Mantegna and Kelsey Grammer . With one exception , episode credits list only the voice actors , and not the characters they voice .   Both Fox and the production crew wanted to keep their identities secret during the early seasons and closed most of the recording sessions while refusing to publish photos of the recording artists . The network eventually revealed which roles each actor performed in the episode `` Old Money '' , because the producers said the voice actors should receive credit for their work . Every main cast member has won an Emmy for Outstanding Voice - Over Performance . Shearer was the last cast member to win , receiving his award in 2014 for the episode `` Four Regrettings and a Funeral . '' Castellaneta and Azaria have won four , while Kavner , Cartwright , Smith , Shearer , Wallace , Grammer , and guest star Jackie Mason have each won one .     Contents  ( hide )   1 Regular cast   1.1 Background   1.2 Main cast   1.3 Other regular cast     2 Recurring guest voices   3 Awards and nominations   4 Notes   5 References   6 External links      Regular cast ( edit )   Background ( edit )  Hank Azaria has been a part of the Simpsons regular voice cast since the second season . Harry Shearer was the most recent principal cast member to win an Emmy Award for Outstanding Voice - Over Performance . Marcia Wallace appeared regularly as Mrs. Krabappel until her death in 2013 . Kelsey Grammer voices Sideshow Bob . The late Jan Hooks played Manjula Nahasapeemapetilon . Maurice LaMarche has appeared in several minor roles .  Castellaneta and Kavner were asked to voice the lead roles of Homer and Marge Simpson as they were regular cast members of The Tracey Ullman Show on which The Simpsons shorts appeared . Cartwright auditioned for the part of Lisa , but found that Lisa was simply described as the `` middle child '' and at the time did not have much personality . She then became more interested in the role of Bart , so Simpsons creator Matt Groening let her try out for that part instead , and upon hearing her read , he gave her the job on the spot . Smith had initially been asked by casting director Bonita Pietila to audition for the role of Bart , but Pietila then realised that Smith 's voice was too high , Smith was given the role of Lisa instead , although she almost turned it down . When the show was commissioned for a full half - hour series , Shearer joined the cast and performed multiple roles . Groening and Sam Simon asked Shearer to join the cast as they were fans of his radio show . Azaria was only a guest actor in the first season , but became permanent in season 2 . He first appeared in `` Some Enchanted Evening '' , re-recording Christopher Collins 's lines as Moe Szyslak . As he joined later than the rest of the cast , Groening still considers Azaria the `` new guy . ''   Up until 1998 , the six main actors were paid $ 30,000 per episode . In 1998 they were then involved in a pay dispute in which Fox threatened to replace them with new actors and went as far as preparing for casting of new voices . However , the issue was soon resolved and from 1998 to 2004 , they were paid $125,000 per episode . In 2004 , the voice actors intentionally skipped several table reads , demanding they be paid $360,000 per episode . The strike was resolved a month later and until 2008 they earned something between $250,000 and $360,000 per episode . In 2008 , production for the twentieth season was put on hold due to new contract negotiations with the voice actors , who wanted a `` healthy bump '' in salary to an amount close to $500,000 per episode . The dispute was soon resolved , and the actors ' salary was raised to $400,000 per episode .   In 2011 , Fox announced that , due to financial difficulties , they were unable to continue to produce The Simpsons under its current contract and that unless there were pay cuts , the show could end . For the negotiations , the studio requested that the cast members accept a 45 % cut of their salaries so that more seasons could be produced after season 23 , or else that season would be the last . In the end , the studio and the actors reached a deal , in which the actors would take a pay cut of 30 % , down to just over $300,000 per episode , prolonging the show to its 25th season . As well as the actors , everybody involved in the show took a pay cut .   Main cast ( edit )     Actor   Character ( s )     Dan Castellaneta   Homer Simpson   Grampa Simpson   Krusty the Clown   Barney Gumble     Groundskeeper Willie   Mayor Quimby   Santa 's Little Helper   Hans Moleman     Sideshow Mel   Itchy   Squeaky Voiced Teen   Gil Gunderson     Blue Haired Lawyer   Rich Texan   Kodos   Louie     Arnie Pie   Bill   Mr. Teeny   Scott Christian     Charlie   Gary   Captain Lance Murdock   Mr. Prince     Yes Guy   Jake the Barber   Poochie   Leopold     Rabbi Krustofski   Frankie the Squealer   Coach Lugash   Jack Marley     Julie Kavner   Marge Simpson   Patty Bouvier   Selma Bouvier     Jacqueline Bouvier   Sideshow Mel 's wife   Great Mom     Nancy Cartwright   Bart Simpson   Maggie Simpson   Nelson Muntz   Ralph Wiggum     Kearney   Todd Flanders   Rod Flanders   Database     Richard   Lewis Clark   Nahasapeemapetilon octuplets   Brittany Brockman ( Daughter of Kent Brockman )     Yeardley Smith   Lisa Simpson   Maggie Simpson   Eliza Simpson     Angelica Button   Grandma Flanders   Cecile Shapiro     Hank Azaria   Moe Szyslak   Chief Wiggum   Apu Nahasapeemapetilon   Carl Carlson     Comic Book Guy   Lou   Prof. Frink   Cletus Spuckler     Superintendent Chalmers   Snake Jailbird   Captain Horatio McCallister   Kirk Van Houten     Wiseguy   Bumblebee Man   Luigi Risotto   Old Jewish Man     Disco Stu   Dr. Nick Riviera   Duffman   Drederick Tatum     Julio   Johnny Tightlips   Coach Krupt   Doug     Chase / Pyro   Legs   Akira   Khlav Kalash Vendor     Gunter   The Veterinarian   Frank Grimes   LT Smash     Harry Shearer   Mr. Burns   Waylon Smithers   Ned Flanders   Principal Skinner     Lenny Leonard   Kent Brockman   Reverend Lovejoy   Dr. Hibbert     Otto Mann   Jasper Beardley   Scratchy   Rainier Wolfcastle / McBain     Eddie   Dewey Largo   Judge Snyder   Kang     Marty   Dr. Marvin Monroe   God   George H.W. Bush     Herman   Dave Shutton   Dr. J. Loren Pryor   Sanjay Nahasapeemapetilon     Cesar   Tom Brokaw   Principal Dondelinger   Benjamin     Richard Nixon   Ronald Reagan   Legs   Radioactive Man     Jebediah Springfield   Mr. Bouvier   Ernst   Nedward Flanders , Sr .     Other regular cast ( edit )     Episodes   Actor   Character ( s )     494   Pamela Hayden ( 1989 -- present )   Milhouse Van Houten   Jimbo Jones   Rod Flanders     Todd Flanders   Janey Powell   Sarah Wiggum     Malibu Stacy   Patches   Ruth Powers     Wendell Borton   Lewis   Richard     Lois Pennycandy   Mona Simpson   Dolph     Amber Simpson   Allison Taylor   Agnes Flanders     Miss Springfield   Weasle   Ham     447   Tress MacNeille ( 1990 -- present )   Agnes Skinner   Dolph   Brandine Spuckler     Lindsey Naegle   Crazy Cat Lady   Cookie Kwan     Bernice Hibbert   Mrs. Muntz   Mrs. Glick     Manjula Nahasapeemapetilon   Lunchlady Doris   Shauna     Miss Springfield   Ms. Albright   Boobarella     Opal   Kumiko Nakamura   Gino Terwilliger     Poor Violet   Ginger Flanders   Brunella Pommelhorst     252   Karl Wiedergott ( 1998 -- 2010 )   Legs   Bill Clinton   Jimmy Carter     Michael Jackson   Kermit the Frog   Ned Flanders ( one episode )     204   Maggie Roswell ( 1990 -- 1999 , 2002 -- present )   Maude Flanders   Helen Lovejoy   Elizabeth Hoover     Luann Van Houten   Princess Kashmir   Mary Bailey     Lewis Clark   Richard   Martha Quimby     Mona Simpson   Sylvia Winfield   Strawberry     174   Russi Taylor ( 1990 -- present )   Martin Prince   Sherri   Terri     Üter Zörker   Wendell Borton   Lewis     100   Chris Edgerly ( 2011 -- present )   Various characters     23   Doris Grau ( 1991 -- 1997 )   Lunchlady Doris     11   Marcia Mitzman Gaven ( 1999 -- 2002 )   Maude Flanders   Helen Lovejoy   Elizabeth Hoover     11   Jo Ann Harris ( 1989 -- 1992 )   Various       Christopher Collins ( 1989 -- 1990 )   Mr. Burns   America 's Most Armed and Dangerous Host     Recurring guest voices ( edit )  Further information : List of The Simpsons guest stars    Episodes   Actor   Character ( s )   Notes     176   Marcia Wallace ( 1990 -- 2014 )   Edna Krabappel   Following Wallace 's death in 2013 , Edna Krabappel was retired from the show .     52   Phil Hartman ( 1991 -- 1998 )   Troy McClure   Lionel Hutz   Following Hartman 's death in 1998 , McClure and Hutz were retired from the show .     Fat Tony ( one episode )   Other one - time roles     27   Joe Mantegna ( 1991 -- 2015 )   Fat Tony   Mantegna has appeared since 1991 .     24   Maurice LaMarche ( 1995 , 2006 -- 2014 )   Cap'n Crunch   Toucan Sam   LaMarche has appeared in several minor roles since 1995 .     Various other characters     20   Frank Welker ( 1991 -- 2002 , 2014 )   Santa 's Little Helper   Snowball II   Made numerous guest appearances between 1991 and 2002 . Dan Castellaneta now provides the voices after Welker left the show , having asked for a raise because the voices were hurting his throat .     Various other animals     18   Kelsey Grammer ( 1990 -- present )   Sideshow Bob   Grammer has appeared since 1990 .     17   Kevin Michael Richardson ( 2009 -- 2017 )   Various minor characters   Richardson has appeared in several minor roles since 2009 .     12   Jon Lovitz ( 1991 -- 2015 )   Artie Ziff   Professor Lombardo   Lovitz has appeared in several episodes since 1991 .     Aristotle Amadopoulos   Jay Sherman     Llewellyn Sinclair and Mrs. Sinclair   Enrico Irritazio     8   Jane Kaczmarek ( 2001 -- 2010 )   Judge Constance Harm   Kaczmarek has appeared as Judge Harm since 2001 .     7   Albert Brooks ( 1990 -- 2015 )   Hank Scorpio   Jacques `` Brunswick ''   Brooks has appeared as one - time characters in several episodes since 1990 .     Cowboy Bob   Brad Goodman     Tab Spangler     7   Glenn Close ( 1995 -- 2015 )   Mona Simpson   Close has appeared as Homer 's mother Mona since 1995 . The character was killed off in 2008 , but has made several appearances in flashbacks since then .     7   Jackie Mason ( 1991 -- 2014 )   Rabbi Krustofski   Mason first appeared as Krusty 's father , Rabbi Krustofski , in 1991 . The character was killed off in 2014 . Dan Castellaneta voiced the character in several episodes .     6   Jan Hooks ( 1997 -- 2002 )   Manjula Nahasapeemapetilon   Hooks was the original voice of Manjula , and portrayed her between 1997 and 2002 . Tress MacNeille currently voices Manjula .     6   Stephen Hawking ( 1999 -- 2010 )   Himself   Hawking has made the most appearances of all the guest stars who have appeared as themselves on the show .     Awards and nominations ( edit )     Year   Actor   Award   Category   Role   Episode   Result   Ref .     1992   Nancy Cartwright   Primetime Emmy Award   Outstanding Voice - over Performance   Bart Simpson   `` Separate Vocations ''   Won       1992   Dan Castellaneta   Primetime Emmy Award   Outstanding Voice - over Performance   Homer Simpson   `` Lisa 's Pony ''   Won       1992   Julie Kavner   Primetime Emmy Award   Outstanding Voice - over Performance   Marge Simpson   `` I Married Marge ''   Won       1992   Jackie Mason   Primetime Emmy Award   Outstanding Voice - over Performance   Rabbi Hyman Krustofski   `` Like Father , Like Clown ''   Won       1992   Yeardley Smith   Primetime Emmy Award   Outstanding Voice - over Performance   Lisa Simpson   `` Lisa the Greek ''   Won       1992   Marcia Wallace   Primetime Emmy Award   Outstanding Voice - over Performance   Edna Krabappel   `` Bart the Lover ''   Won         Dan Castellaneta   Primetime Emmy Award   Outstanding Voice - over Performance   Homer Simpson   `` Mr. Plow ''   Won       1995   Nancy Cartwright   Annie Award   Voice Acting in the Field of Animation   Bart Simpson   `` Radio Bart ''   Won         Maggie Roswell   Annie Award   Best Voice Acting by a Female Performer   Shary Bobbins   `` Simpsoncalifragilisticexpiala ( Annoyed Grunt ) cious ''   Nominated       1998   Hank Azaria   Primetime Emmy Award   Outstanding Voice - over Performance   Apu Nahasapeemapetilon     Won         Hank Azaria   Primetime Emmy Award   Outstanding Voice - over Performance   Various   `` Worst Episode Ever ''   Won       2003   Hank Azaria   Primetime Emmy Award   Outstanding Voice - over Performance   Various   `` Moe Baby Blues ''   Won         Dan Castellaneta   Primetime Emmy Award   Outstanding Voice - over Performance   Various Characters   `` Today I am A Clown ''   Won       2006   Kelsey Grammer   Primetime Emmy Award   Outstanding Voice - over Performance   Sideshow Bob   `` The Italian Bob ''   Won       2007   Julie Kavner   Annie Award   Best Voice Acting in an Animated Feature   Marge Simpson   The Simpsons Movie   Nominated       2009   Hank Azaria   Primetime Emmy Award   Outstanding Voice - over Performance   Moe Szyslak   `` Eeny Teeny Maya Moe ''   Nominated       2009   Dan Castellaneta   Primetime Emmy Award   Outstanding Voice - over Performance   Homer Simpson   `` Father Knows Worst ''   Won       2009   Harry Shearer   Primetime Emmy Award   Outstanding Voice - over Performance   Mr. Burns , Smithers , Kent Brockman and Lenny   `` The Burns and the Bees ''   Nominated         Hank Azaria   Primetime Emmy Award   Outstanding Voice - over Performance   Moe Szyslak , Apu Nahasapeemapetilon   `` Moe Letter Blues ''   Nominated         Dan Castellaneta   Primetime Emmy Award   Outstanding Voice - over Performance   Homer Simpson , Grampa Simpson   `` Thursday with Abie ''   Nominated       2011   Dan Castellaneta   Primetime Emmy Award   Outstanding Voice - over Performance   Homer Simpson , Barney Gumble , Krusty , Louie   `` Donnie Fatso ''   Nominated       2012   Hank Azaria   Primetime Emmy Award   Outstanding Voice - over Performance   Moe Szyslak , Duffman , Mexican Duffman , Carl , Comic Book Guy , Chief Wiggum   `` Moe Goes from Rags to Riches ''   Nominated       2014   Harry Shearer   Primetime Emmy Award   Outstanding Character Voice - Over Performance   Kent Brockman , Mr. Burns , Smithers   `` Four Regrettings and a Funeral ''   Won       2015   Dan Castellaneta   Primetime Emmy Award   Outstanding Character Voice - Over Performance   Homer Simpson   `` Bart 's New Friend ''   Nominated       2015   Hank Azaria   Primetime Emmy Award   Outstanding Character Voice - Over Performance   Moe Szyslak , Pedicab Driver   `` The Princess Guide ''   Won       2015   Tress MacNeille   Primetime Emmy Award   Outstanding Character Voice - Over Performance   Laney Fontaine , Shauna , Mrs. Muntz   `` My Fare Lady ''   Nominated       2017   Nancy Cartwright   Primetime Emmy Award   Outstanding Character Voice - Over Performance   Bart Simpson   `` Looking for Mr. Goodbart ''   Nominated       Notes ( edit )    ^ A. Guest star Jackie Mason has voiced Rabbi Krustofski in six episodes .   ^ B. Replaced Frank Welker .   ^ C. Doris was initially retired after Doris Grau 's death , but has returned in several episodes since `` The Mook , the Chef , the Wife and Her Homer '' , and has been voiced by MacNeille .   ^ D. Guest star Pamela Reed voiced Ruth on three occasions .   ^ E. Between 1999 and 2002 , Marcia Mitzman Gaven voiced the three characters because Roswell resigned after Fox refused to raise her travel expenses . Roswell returned in 2002 .    References ( edit )   General    Gimple , Scott M. ; Matt Groening ( December 1 , 1999 ) . The Simpsons Forever ! : A Complete Guide to Our Favorite Family ... Continued . HarperCollins . pp. 86 -- 87 . ISBN 978 - 0 - 06 - 098763 - 3 .   Groening , Matt ( 1997 ) . Richmond , Ray ; Coffman , Antonia , eds . The Simpsons : A Complete Guide to Our Favorite Family ( 1st ed . ) . New York : HarperPerennial . ISBN 978 - 0 - 06 - 095252 - 5 . LCCN 98141857 . OCLC 37796735 . OL 433519M .   McCann , Jesse L. ; Matt Groening ( 2002 ) . The Simpsons Beyond Forever ! : A Complete Guide to Our Favorite Family ... Still Continued . Harper Collins Publishers . pp. 116 -- 117 . ISBN 0 - 06 - 050592 - 3 .   McCann , Jesse L. ; Matt Groening ( 2005 ) . The Simpsons One Step Beyond Forever ! : A Complete Guide to Our Favorite Family ... Continued Yet Again . HarperCollins . pp. 118 -- 119 . ISBN 0 - 06 - 081754 - 2 .   Bates , James W. ; Gimple , Scott M. ; McCann , Jesse L. ; Richmond , Ray ; Seghers , Christine , eds. ( 2010 ) . Simpsons World The Ultimate Episode Guide : Seasons 1 -- 20 ( 1st ed . ) . Harper Collins Publishers . pp. 1096 -- 1119 . ISBN 978 - 0 - 00 - 738815 - 8 .    Specific    Jump up ^ Finley , Adam ( 2006 - 06 - 20 ) . `` The Five : Great Simpsons guest stars '' . TV Squad . Archived from the original on 2009 - 07 - 15 . Retrieved 2007 - 08 - 10 .   Jump up ^ Groening , Matt ; James L. Brooks , David Silverman ( 2001 ) . The Simpsons season 1 DVD commentary for the episode `` Simpsons Roasting on an Open Fire '' ( DVD ) . 20th Century Fox .   Jump up ^ Groening , Matt ; Jay Kogen , Wallace Wolodarsky , Al Jean , David Silverman ( 2002 ) . The Simpsons season 2 DVD commentary for the episode `` Old Money '' ( DVD ) . 20th Century Fox .   Jump up ^ `` Ever Sardonic Harry Shearer On ' Impeccable ' Timing Of First Emmy Win '' . Deadline Hollywood . Retrieved 2014 - 08 - 17 .   Jump up ^ `` Primetime Emmy Awards Advanced Search '' . Emmys.org . Archived from the original on 2011 - 02 - 15 . Retrieved 2007 - 10 - 17 .   Jump up ^ `` The Voice Behind Homer Simpson Steps into the Spotlight and ... D'oh ! '' . Barnes &amp; Noble. 2002 - 04 - 25 . Retrieved 2007 - 11 - 20 .   Jump up ^ Lee , Luaine ( 2003 - 02 - 27 ) . `` D'oh , you 're the voice '' . The Age . Retrieved 2008 - 09 - 21 .   Jump up ^ `` Bart 's voice tells all '' . BBC News . 2000 - 11 - 10 . Retrieved 2007 - 05 - 16 .   Jump up ^ Carroll , Larry ( 2008 - 10 - 26 ) . `` ' Simpsons ' Trivia , From Swearing Lisa To ' Burns - Sexual ' Smithers '' . MTV . Archived from the original on 2007 - 12 - 20 . Retrieved 2007 - 07 - 29 .   Jump up ^ Miranda , Charles ( 2007 - 12 - 08 ) . `` She who laughs last '' . The Daily Telegraph . p. 8E .   Jump up ^ Heidi Vogt ( 2004 - 04 - 04 ) . `` She 's happy as Lisa Simpson , although she 'd like more d'oh '' . The Spokesman - Review . Associated Press .   Jump up ^ `` Harry Shearer '' . Listen to Me . Retrieved 2007 - 11 - 19 .   Jump up ^ Azaria , Hank ( 2004 - 12 - 06 ) . `` Fresh Air '' . National Public Radio ( Interview ) . Interview with Terry Gross . Philadelphia : WHYY - FM . Retrieved 2007 - 08 - 15 .   Jump up ^ Groening , Matt ( 2001 ) . The Simpsons The Complete First Season DVD commentary for the episode `` Some Enchanted Evening '' ( DVD ) . 20th Century Fox .   Jump up ^ Dan Glaister ( 2004 - 04 - 03 ) . `` Simpsons actors demand bigger share '' . The Age . Retrieved 2008 - 02 - 09 .   Jump up ^ `` ' Simpsons ' Cast Goes Back To Work '' . CBS News . 2004 - 05 - 01 . Retrieved 2008 - 02 - 09 .   Jump up ^ Peter Sheridan ( 2004 - 05 - 06 ) . `` Meet the Simpsons '' . Daily Express .   ^ Jump up to : Michael Schneider ( 2008 - 05 - 19 ) . `` Still no deal for ' Simpsons ' cast '' . Variety . Retrieved 2008 - 05 - 20 .   Jump up ^ Nellie Andreeva ( 2008 - 06 - 02 ) . `` ' Simpsons ' voice actors reach deal '' . The Hollywood Reporter . Archived from the original on 2008 - 06 - 03 . Retrieved 2008 - 06 - 02 .   Jump up ^ News.com.au ( 2011 - 10 - 05 ) . `` Take a pay cut or the show is over , The Simpsons execs tell series ' stars '' . news.com.au . Retrieved 2011 - 10 - 05 .   Jump up ^ Snierson , Dan ( October 4 , 2011 ) . `` ' Simpsons ' studio says show can not continue without cutting costs '' . Entertainment Weekly . Retrieved October 6 , 2011 .   Jump up ^ Block , Alex Ben ( October 7 , 2011 ) . `` ' The Simpsons ' Renewed for Two More Seasons '' . The Hollywood Reporter . Retrieved October 15 , 2011 .   Jump up ^ Schneider , Michael ( October 11 , 2011 ) . `` The Simpsons Executive Producer Al Jean on How the Show Was Saved '' . TV Guide . Retrieved October 19 , 2011 .   Jump up ^ Bates et al. , pp. 1096 -- 1099   Jump up ^ Bates et al. , p. 1099   Jump up ^ Bates et al. , pp. 1099 -- 1100   Jump up ^ Brooks , James L. ; Cartwright , Nancy ; Groening , Matt ; Jean , Al ; Moore , Rich . ( 2003 ) . Commentary for `` Simpsons Roasting on an Open Fire '' , in The Simpsons : The Complete Third Season ( DVD ) . 20th Century Fox .   Jump up ^ Bates et al. , p. 1100   Jump up ^ Smith , Yeardley ( 2007 ) . Audio commentary for The Simpsons Movie ( DVD ) . 20th Century Fox .   Jump up ^ Bates et al. , pp. 1100 -- 1004   Jump up ^ Bates et al. , pp. 1105 -- 1007   Jump up ^ Bates et al. , pp. 1107 -- 1008   Jump up ^ Bates et al. , pp. 1108 -- 1111   ^ Jump up to : Bates et al. , p. 1111   Jump up ^ `` Chris Edgerly : Credits '' . TV Guide . Retrieved 2012 - 03 - 22 .   Jump up ^ `` Cid Highwind Speaks ! An Interview with Chris Edgerly '' . The Gaming Liberty . 2011 - 08 - 22 . Archived from the original on 2012 - 01 - 04 . Retrieved 2012 - 03 - 22 .   ^ Jump up to : Basile , Nancy . `` There 's a New Maude in Town '' . About.com . Retrieved 2010 - 08 - 06 .   Jump up ^ Martyn , Warren ; Wood , Adrian ( 2000 ) . `` The Simpsons Christmas Special '' . BBC . Retrieved 2009 - 08 - 15 .   Jump up ^ Martyn , Warren ; Wood , Adrian ( 2000 ) . `` Lisa the Beauty Queen '' . BBC . Retrieved 2008 - 04 - 30 .   Jump up ^ Reiss , Mike . ( 2003 ) . Commentary for `` Flaming Moe 's '' , in The Simpsons : The Complete Third Season ( DVD ) . 20th Century Fox .   Jump up ^ Silverman , David ( 2001 ) . The Simpsons season 1 DVD commentary for the episode `` Some Enchanted Evening '' ( DVD ) . 20th Century Fox .   Jump up ^ Breznican , Anthony ( 2013 - 10 - 26 ) . `` Marcia Wallace , actress from ' The Simpsons ' and ' The Bob Newhart Show ' , dies at 70 '' . Entertainment Weekly . Retrieved 2013 - 10 - 26 .   Jump up ^ Groening , Matt ( 2004 - 12 - 29 ) . `` Fresh Air '' . National Public Radio ( Interview ) . Interview with Terry Gross . Philadelphia : WHYY - FM . Retrieved 2007 - 06 - 09 .   ^ Jump up to : Bates et al. , p. 1114   ^ Jump up to : Bates et al. , p. 1116   ^ Jump up to : Bates et al. , p. 1115   ^ Jump up to : `` Ask Frank ! '' . The Frank Welker Homepage . Retrieved 2007 - 11 - 08 .   ^ Jump up to : Bates et al. , p. 1112   ^ Jump up to : `` Briefing -- ' Simpsons ' score big in Prime - Time Emmys '' . Daily News of Los Angeles . 1992 - 08 - 03 . p . L20 .   Jump up ^ The Associated Press ( 1993 - 09 - 21 ) . `` The Emmy Awards : The Complete List of Winners '' . The Palm Beach Post . p. 3D .   Jump up ^ `` Legacy : 23rd Annual Annie Award Nominees and Winners ( 1995 ) '' . Annie Awards . Archived from the original on 2007 - 09 - 28 . Retrieved 2009 - 06 - 25 .   Jump up ^ `` Legacy : 25th Annual Annie Award Nominees and Winners ( 1997 ) '' . Annie Awards . Archived from the original on 2008 - 05 - 12 . Retrieved 2009 - 06 - 25 .   Jump up ^ The Associated Press ( 1998 - 09 - 14 ) . `` Emmy Prime - Time Award Winners '' . The Seattle Times . p . E3 .   Jump up ^ Dutka , Elaine ( 2001 - 08 - 14 ) . `` Morning Report '' . Los Angeles Times . Retrieved 2009 - 06 - 25 .   Jump up ^ `` Early Bird Emmys : Voice - Over , Animation '' . Emmys.org. 2003 - 07 - 17 . Retrieved 2009 - 06 - 25 .   Jump up ^ Denise Martin &amp; Justin Chang ( 2004 - 09 - 12 ) . `` HBO takes Emmys big haul '' . Variety . Retrieved 2009 - 06 - 25 .   Jump up ^ `` Television Academy Announces 2006 Emmy Award Winners in Juried Categories ; Costumes For A Variety or Music Program , Voice Over Performance and Individual Achievement in Animation '' . Emmys.org. 2006 - 07 - 19 . Retrieved 2009 - 06 - 25 .   Jump up ^ `` Legacy : 35th Annual Annie Award Nominees and Winners ( 2007 ) '' . Annie Awards . Archived from the original on 2008 - 05 - 12 . Retrieved 2009 - 06 - 25 .   ^ Jump up to : `` The 61st Primetime Emmy Awards and 2009 Creative Arts Emmy Awards Nominees are ... '' Academy of Television Arts &amp; Sciences . 2009 - 07 - 16 . Archived from the original on 2009 - 07 - 18 . Retrieved 2009 - 07 - 16 .   Jump up ^ O'Neil , Tom ( 2010 - 07 - 08 ) . `` After losing first Emmy bid last year , Harry Shearer back to being snubbed for ' The Simpsons ' '' . Los Angeles Times . Retrieved 2011 - 09 - 04 .   ^ Jump up to : `` 2010 Primetime Emmy Awards Nominations '' ( PDF ) . Academy of Television Arts &amp; Sciences . Retrieved 2010 - 07 - 08 .   Jump up ^ `` The Simpsons '' . Emmys.com . Academy of Television Arts and Sciences . Retrieved 2011 - 07 - 14 .   ^ Jump up to : `` The Simpsons '' . Emmys.com . Academy of Television Arts and Sciences . Retrieved 2014 - 08 - 17 .   Jump up ^ Bates et al. , p. 1110   Jump up ^ O'Neal , Sean ( 2014 - 03 - 31 ) . `` The Simpsons ' `` Lunchlady Doris '' is `` Lunchlady Dora '' now `` . A.V. Club . Retrieved 2014 - 04 - 18 .   Jump up ^ Bates et al. , p. 1117   Jump up ^ `` Maude Flanders will likely leave Simpsons '' . The Record . 2000 - 02 - 05 . p . F04 .   Jump up ^ Koha , Nui Te ( 2000 - 02 - 06 ) . `` Ned faces life alone '' . Sunday Herald Sun . p. 025 .    External links ( edit )    Cast list at the Internet Movie Database      ( hide )         The Simpsons     Characters     Homer   Marge   Bart   Lisa   Maggie   Recurring characters   One - time characters       Production     History   Cast members   Guest stars   Non-English versions   Writers   Directors   Awards       Episodes     Seasons 1 -- 20   Seasons 21 - present       Seasons             5   6   7   8   9   10   11   12   13   14   15   16   17   18   19   20   21   22   23   24   25   26   27   28   29       Hallmarks     Opening sequence   Main title theme   Treehouse of Horror episodes ( list )   Couch gags   The Itchy &amp; Scratchy Show ( episode list )       Themes     Media   Politics   Religion       Locations     Springfield   The Simpsons house   Kwik - E-Mart       Derivative works     Home video   Video games   Books   Comics   Simpsons Illustrated   World of Springfield   Mr. Burns , a Post-Electric Play   Frinkiac       Miscellaneous     The Simpsons shorts from The Tracey Ullman Show ( `` Good Night '' )   The Simpsons Movie   The Longest Daycare   Discography   `` D'oh ! ''   `` ¡ Ay , caramba ! ''   Products   Duff Beer   Springfield ( Florida , Hollywood )   The Simpsons Ride   Kang &amp; Kodos ' Twirl ' n ' Hurl     20th Anniversary Special   `` The Simpsons Guy ''       Related     The Simpsons and Their Mathematical Secrets ( 2013 book )   The Simpsons ( franchise )   alt. tv. simpsons         Portal   Category      Retrieved from `` https://en.wikipedia.org/w/index.php?title=List_of_The_Simpsons_cast_members&amp;oldid=804159658 '' Categories :   Lists of actors by comedy television series   The Simpsons lists   Hidden categories :   Wikipedia indefinitely move - protected pages   Featured lists           Talk                                           Contents                   About Wikipedia                                           فارسی   Italiano   Português   Svenska   Türkçe   Edit links   This page was last edited on 7 October 2017 , at 04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</si>
  <si>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does all the voices on the simpsons</t>
  </si>
  <si>
    <t xml:space="preserve"> The Simpsons is an American animated sitcom that includes six main voice actors and numerous regular cast and recurring guest stars . The principal cast consists of Dan Castellaneta , Julie Kavner , Nancy Cartwright , Yeardley Smith , Hank Azaria and Harry Shearer . Tress MacNeille , Pamela Hayden , Maggie Roswell , Russi Taylor , Marcia Wallace , Marcia Mitzman Gaven and Karl Wiedergott have appeared as supporting cast members . Repeat guest cast members include Albert Brooks , Phil Hartman , Jon Lovitz , Joe Mantegna and Kelsey Grammer . With one exception , episode credits list only the voice actors , and not the characters they voice . </t>
  </si>
  <si>
    <r>
      <rPr>
        <sz val="11"/>
        <color rgb="FF000000"/>
        <rFont val="Calibri"/>
        <family val="0"/>
        <charset val="1"/>
      </rPr>
      <t xml:space="preserve">2020 Summer Olympics - wikipedia  2020 Summer Olympics  Jump to : navigation , search `` Tokyo 2020 '' redirects here . For the Paralympics , see 2020 Summer Paralympics .  Games of the XXXII Olympiad       Host city   Tokyo , Japan     Motto   Discover Tomorrow ( </t>
    </r>
    <r>
      <rPr>
        <sz val="11"/>
        <color rgb="FF000000"/>
        <rFont val="Noto Sans CJK SC"/>
        <family val="2"/>
      </rPr>
      <t xml:space="preserve">未来 </t>
    </r>
    <r>
      <rPr>
        <sz val="11"/>
        <color rgb="FF000000"/>
        <rFont val="Calibri"/>
        <family val="0"/>
        <charset val="1"/>
      </rPr>
      <t xml:space="preserve">( </t>
    </r>
    <r>
      <rPr>
        <sz val="11"/>
        <color rgb="FF000000"/>
        <rFont val="Noto Sans CJK SC"/>
        <family val="2"/>
      </rPr>
      <t xml:space="preserve">あした </t>
    </r>
    <r>
      <rPr>
        <sz val="11"/>
        <color rgb="FF000000"/>
        <rFont val="Calibri"/>
        <family val="0"/>
        <charset val="1"/>
      </rPr>
      <t xml:space="preserve">) </t>
    </r>
    <r>
      <rPr>
        <sz val="11"/>
        <color rgb="FF000000"/>
        <rFont val="Noto Sans CJK SC"/>
        <family val="2"/>
      </rPr>
      <t xml:space="preserve">を つか もう </t>
    </r>
    <r>
      <rPr>
        <sz val="11"/>
        <color rgb="FF000000"/>
        <rFont val="Calibri"/>
        <family val="0"/>
        <charset val="1"/>
      </rPr>
      <t xml:space="preserve">, ashita o tsukamō )     Nations participating   206 ( expected )     Athletes participating   11,091 ( expected )     Events   324 in 33 sports     Opening ceremony   24 July ( 26 months from now )     Closing ceremony   9 August     Officially opened by   Emperor of Japan ( expected )     Stadium   New National Stadium     Summer          Paris 2024 &gt;        Winter          Beijing 2022 &gt;              Part of a series on     2020 Summer Olympics ( show )   Bid process ( bid details )   Development ( venues , torch relay )   Marketing ( mascots )   Broadcasters   Opening ceremony ( flag bearers )   Chronological summary   Medal table ( medallists )   Controversies   World and Olympic records   Closing ceremony ( flag bearers )   Paralympics     IOC   JOC   TOCOG               The 2020 Summer Olympics , officially known as the Games of the XXXII Olympiad ( Japanese : </t>
    </r>
    <r>
      <rPr>
        <sz val="11"/>
        <color rgb="FF000000"/>
        <rFont val="Noto Sans CJK SC"/>
        <family val="2"/>
      </rPr>
      <t xml:space="preserve">第 三 十 二 回 オリンピック 競技 大会 </t>
    </r>
    <r>
      <rPr>
        <sz val="11"/>
        <color rgb="FF000000"/>
        <rFont val="Calibri"/>
        <family val="0"/>
        <charset val="1"/>
      </rPr>
      <t xml:space="preserve">, Hepburn : Dai Sanjūni - kai Orinpikku Kyōgi Taikai ) and commonly known as Tokyo 2020 , is a forthcoming international multi-sport event that is scheduled to take place from 24 July to 9 August 2020 .   Tokyo was selected as the host city during the 125th IOC Session in Buenos Aires on 7 September 2013 . These Games will mark the return of the Summer Olympics to Tokyo for the first time since 1964 , and the fourth Olympics overall to be held in Japan , following the 1972 Winter Olympics in Sapporo and the 1998 Winter Olympics in Nagano . They will be the second of three consecutive Olympic Games to be held in East Asia , following the 2018 Winter Olympics in Pyeongchang , South Korea , and preceding the 2022 Winter Olympics in Beijing , China .   These Games will see the introduction of additional disciplines within several of the Summer Olympics events , including 3x3 basketball , freestyle BMX and Madison cycling , as well as further mixed events . Under new IOC policies that allow sports to be added to the Games ' programme to augment the permanent `` core '' Olympic events , these Games will see karate , sport climbing , surfing and skateboarding make their Olympic debuts , and the return of baseball and softball ( which were removed from the summer programme after 2008 ) .     Contents  ( hide )   1 Bidding process   1.1 Host city election     2 Development and preparation   3 Venues and infrastructure   3.1 Heritage Zone   3.2 Tokyo Bay Zone   3.3 Outlying Venues   3.4 Football venues   3.5 Non-competition venues     4 Tickets   5 The Games   5.1 Sports   5.1. 1 New sports     5.2 Calendar     6 Marketing   6.1 Emblem   6.2 Mascot     7 Sponsors   8 Concerns and controversies   8.1 IAAF bribery claims   8.2 Logo plagiarism     9 Broadcasting   10 References   11 External links      Bidding process ( edit )  Further information : Bids for the 2020 Summer Olympics  Tokyo , Istanbul , and Madrid were the three candidate cities . The applicant cities of Baku ( Azerbaijan ) and Doha ( Qatar ) were not promoted to candidate status . A bid from Rome was withdrawn .   Host city election ( edit )   The IOC voted to select the host city of the 2020 Summer Olympics on 7 September 2013 at the 125th IOC Session at the Buenos Aires Hilton in Buenos Aires , Argentina . An exhaustive ballot system was used . No city won over 50 % of the votes in the first round , and Madrid and Istanbul were tied for second place . A run - off vote between these two cities was held to determine which would be eliminated . In the final vote , a head - to - head contest between Tokyo and Istanbul , Tokyo was selected by 60 votes to 36 , as it got at least 49 votes needed for a majority .     2020 Summer Olympics host city election     City   NOC name   Round 1   Runoff   Round 2     Tokyo   Japan   42   --   60     Istanbul   Turkey   26   49   36     Madrid   Spain   26   45   --     Development and preparation ( edit )   The Tokyo metropolitan government set aside a fund of 400 billion Japanese yen ( over 3.67 billion USD ) to cover the cost of hosting the Games . The Japanese government is considering increasing slot capacity at both Haneda Airport and Narita International Airport by easing airspace restrictions . A new railway line is planned to link both airports through an expansion of Tokyo Station , cutting travel time from Tokyo Station to Haneda from 30 minutes to 18 minutes , and from Tokyo Station to Narita from 55 minutes to 36 minutes ; the line would cost 400 billion yen and would be funded primarily by private investors . But East Japan Railway Company ( East JR ) is planning a new route near Tamachi to Haneda Airport . Funding is also planned to accelerate completion of the Central Circular Route , Tokyo Gaikan Expressway and Ken - Ō Expressway , and to refurbish other major expressways in the area . There are also plans to extend the Yurikamome automated transit line from its existing terminal at Toyosu Station to a new terminal at Kachidoki Station , passing the site of the Olympic Village , although the Yurikamome would still not have adequate capacity to serve major events in the Odaiba area on its own .   The Organizing Committee is headed by former Prime Minister Yoshiro Mori . Olympic and Paralympic Minister Shunichi Suzuki is overseeing the preparations on behalf of the Japanese government .   Japan has traditionally used Olympic events to showcase new technology . Telecom company NTT DoCoMo signed a deal with Finland 's Nokia to provide 5G - ready baseband networks in Japan in time for the Olympics .   Venues and infrastructure ( edit )  The Tokyo Big Sight Conference Tower would be used as the International Broadcast Center and a GJS Party Venue . View of the Rainbow Bridge from Odaiba Marine Park  It was confirmed in February 2012 that the Olympic Stadium in Tokyo would be demolished and reconstructed , and receive a £ 1 billion upgrade for the 2019 Rugby World Cup as well as the 2020 Olympics . As a result , a design competition for the new stadium was launched . In November 2012 , the Japan Sport Council announced that out of 46 finalists , Zaha Hadid Architects was awarded the design for the new stadium . Plans included dismantling the original stadium , and expanding the capacity from 50,000 to a modern Olympic capacity of about 80,000 . However , Japanese Prime Minister Shinzo Abe announced in July 2015 that plans to build the New National Stadium would be scrapped and rebid on amid public discontent over the stadium 's building costs . In Autumn 2015 a new design by Kengo Kuma was approved as winning project of new stadium design competition which decreased the capacity to between 60,000 -- 80,000 depending by event   Twenty - eight of the thirty - three competition venues in Tokyo are within 8 kilometres ( 4.97 miles ) of the Olympic Village . Eleven new venues are to be constructed .   It was reported in September 2016 that a review panel said that the cost of hosting the Olympics and Paralympics could quadruple from the original estimate , and therefore proposed a major overhaul to the current plan to reduce costs , including moving venues outside Tokyo .   Heritage zone ( edit )   Seven venues will be located within the central business area of Tokyo , northwest of the Olympic Village . Several of these venues were also used for the 1964 Summer Olympics .  Yokohama Stadium -- Baseball    Venue   Events   Capacity   Status     Olympic Stadium   Opening and closing ceremonies   60,102       Athletics     Football ( finals )     Yoyogi National Gymnasium   Handball   13,291       Tokyo Metropolitan Gymnasium   Table tennis   10,000       Nippon Budokan   Judo   14,471       Karate     Tokyo International Forum   Weightlifting   5,012       Imperial Palace Garden   Road cycling   5,000 seated , unlimited standing room along route       Athletics ( marathon , race walk )     Tokyo Bay zone ( edit )   20 venues will be located in the vicinity of Tokyo Bay , southeast of the Olympic Village , predominantly on Ariake , Odaiba and the surrounding artificial islands .     Venue   Events   Capacity   Status     Kasai Rinkai Park   Canoeing ( slalom )   8,000       Oi Seaside Park   Field hockey   10,000       Olympic Aquatics Centre   Aquatics ( swimming , diving , synchronized swimming )   18,000       Tokyo Tatsumi International Swimming Center   Water polo   3,635       Yumenoshima Stadium   Archery   5,050       Ariake Arena   Volleyball   15,000       Olympic BMX Course   BMX cycling   6,000       Skateboarding     Olympic Gymnastic Centre   Gymnastics ( artistic , rhythmic , trampoline )   12,000       Ariake Coliseum   Tennis   20,000 ( 10,000 centre court ; 5,000 court 1 , 3,000 court 2 , 8x250 match courts )       Odaiba Marine Park   Triathlon   5,000 seated , unlimited standing room along route       Aquatics ( marathon swimming )     Shiokaze Park   Beach volleyball   12,000       Central Breakwater   Equestrian ( eventing )   20,000       Rowing     Canoeing ( sprint )     Aomi Urban Sports Venue   3x3 basketball         Sport climbing     Outlying venues ( edit )   Twelve venues will be situated farther than 8 kilometres ( 5 mi ) from the Olympic Village .     Venue   Events   Capacity   Status     Camp Asaka   Shooting         Musashino Forest Sports Plaza   Modern pentathlon ( fencing )   10,000       Badminton     Ajinomoto Stadium   Football   49,970       Modern pentathlon ( excluding fencing )     Rugby sevens     Saitama Super Arena   Basketball   22,000       Enoshima   Sailing   10,000       Surfing     Makuhari Messe   Fencing   6,000       Taekwondo     Wrestling   8,000     Baji Koen   Equestrian ( dressage , jumping )         Kasumigaseki Country Club   Golf   30,000       Izu Velodrome   Track cycling   5,000       Japan Cycle Sports Center   Mountain biking         Yokohama Stadium   Baseball   30,000       Softball     Fukushima Azuma Baseball Stadium   Baseball   30,000       Softball     Football venues ( edit )  The Sapporo Dome in Sapporo   International Stadium Yokohama , Yokohama ; 70,000   Saitama Stadium , Saitama ; 62,000   Miyagi Stadium , Sendai ; 48,000   Ajinomoto Stadium , Tokyo ; 49,000   Kashima Soccer Stadium , Ibaraki ; 42,000   Sapporo Dome , Sapporo ; 42,000   National Stadium , Tokyo ; 60,000 ( men 's final only )      Non-competition venues ( edit )     Venue   Events   Capacity   Status     Imperial Hotel , Tokyo   IOC         Harumi Futo   Olympic Village         Tokyo Big Sight   Media Press Center         International Broadcast Center     Tickets ( edit )   The opening ceremony category tickets will range from 25,000 to 150,000 yen , with a maximum price of 30,000 yen for the finals of popular sports , such as athletics and swimming . The average price of all the Olympic tickets is 7,700 yen . 60 % of the tickets will be sold for 4,400 yen or less . Tickets will be sold by PIA through 40,000 shops in Japan and by mail order to Japanese addresses through the Internet . International guests will need to visit Japan during the sales period or arrange for tickets through a third party , such as a travel agent .   The Games ( edit )   Sports ( edit )  Main article : Olympic sports  The official programme for the 2020 Summer Olympics was approved by the IOC executive board on 9 June 2017 . The games will feature 339 events in 33 sports ; alongside the 5 new sports that will be introduced in Tokyo , there will be 15 new events within existing sports , including 3 - on - 3 basketball , freestyle BMX and Madison cycling , and new mixed events in several sports . Thomas Bach stated that the goal for Tokyo was for the Games to be `` more youthful , more urban and include more women '' .    Aquatics   Diving ( 8 )   Swimming ( 37 )   Synchronized swimming ( 2 )   Water polo ( 2 )     Archery ( 5 )   Athletics ( 48 )   Badminton ( 5 )   Baseball / Softball   Baseball ( 1 )   Softball ( 1 )     Basketball   Basketball ( 2 )   3x3 basketball ( 2 )     Boxing ( 13 )   Canoeing   Slalom ( 4 )   Sprint ( 12 )     Cycling   BMX freestyle ( 2 )   BMX racing ( 2 )   Mountain biking ( 2 )   Road cycling ( 4 )   Track cycling ( 12 )     Equestrian   Dressage ( 2 )   Eventing ( 2 )   Jumping ( 2 )     Fencing ( 12 )   Field hockey ( 2 )   Football ( 2 )   Golf ( 2 )   Gymnastics   Artistic ( 14 )   Rhythmic ( 2 )   Trampoline ( 2 )     Handball ( 2 )   Judo ( 15 )   Karate   Kata ( 2 )   Kumite ( 6 )     Modern pentathlon ( 2 )   Rowing ( 14 )   Rugby sevens ( 2 )   Sailing ( 10 )   Shooting ( 15 )   Skateboarding ( 4 )   Sport climbing ( 2 )   Surfing ( 2 )   Table tennis ( 5 )   Taekwondo ( 8 )   Tennis ( 5 )   Triathlon ( 3 )   Volleyball   Volleyball ( 2 )   Beach volleyball ( 2 )     Weightlifting ( 14 )   Wrestling   Freestyle ( 12 )   Greco - Roman ( 6 )     New sports ( edit )  As part of a goal to control costs and ensure that the Olympics `` ( remain ) relevant to sports fans of all generations '' , the IOC assessed the 26 sports held in London , with the remit of selecting 25 ' core ' sports to join new entrants golf and rugby sevens at the 2020 Games . In effect , this would involve the dropping of one sport from the 2016 Games program . This would leave a single vacancy in the 2020 Games program , which the IOC would seek to fill from a shortlist containing seven unrepresented sports and the removed sport . On 12 February 2013 , IOC leaders voted to drop wrestling from the Olympic programme , in a surprise decision that removed one of the oldest Olympic sports from the 2020 Games ; wrestling as an Olympic event dates as far back as the ancient Olympic Games , and as part of the original programme of the modern Games . The New York Times felt that the lack of well - known talent and women 's competitions in wrestling were factors in the decision . Wrestling therefore joined other sports in a short list applying for inclusion in the 2020 Games .   On 29 May 2013 , it was announced that three sports made the final shortlist ; squash , baseball / softball , and wrestling . Five other sports ( karate , roller sports , sport climbing , wakeboarding , and wushu ) were excluded from consideration at this point . On 8 September 2013 , at the 125th IOC Session , the IOC selected wrestling to be included in the Olympic program for 2020 and 2024 . Wrestling secured 49 votes , while baseball / softball secured 24 votes and squash got 22 votes .   Under new IOC policies that shift the Games to an `` event - based '' programme rather than sport - based , the host organizing committee can now also propose the addition of sports to the programme . This rule is designed so that sports popular in the host country can be added to the programme to improve local interest . As a result of these changes , a new shortlist of eight sports was unveiled on 22 June 2015 , consisting of baseball / softball , bowling , karate , roller sports , sport climbing , squash , surfing , and wushu . On 28 September 2015 , organisers submitted their shortlist of five proposed sports to the IOC : baseball / softball , karate , sport climbing , surfing , and skateboarding . The five proposed sports were approved on 3 August 2016 by the IOC during the 129th IOC Session in Rio de Janeiro , Brazil , and will be included in the sports programme for 2020 only , bringing the total number of sports at the 2020 Olympics to 33 .   Calendar ( edit )   All times are in JST ( UTC + 9 )   This is a calendar adapt from the 2016 Summer Olympic calendar , and does not necessarily reflect the final 2020 schedule .    All dates are Japan Standard Time ( UTC + 09 : 00 )      OC   Opening ceremony     Event competitions     Gold medal events   EG   Exhibition gala   CC   Closing ceremony       July / August   22 Wed   23 Thu   24 Fri   25 Sat   26 Sun   27 Mon   28 Tue   29 Wed   30 Thu   31 Fri   Sat   Sun   Mon   Tue   5 Wed   6 Thu   7 Fri   8 Sat   9 Sun   Events     Ceremonies       OC                                 CC   N / A     Archery                                         5     Athletics                       5     5   5     6   7   7     48     Badminton                                         5     Baseball                                             Basketball   Basketball                                             3x3 Basketball                                           Boxing                                         13     Canoeing   Slalom                                         16     Sprint                                           Cycling   Road cycling                                         22     Track cycling                                           BMX                                           Mountain biking                                           Diving                                         8     Equestrian                                         6     Fencing                                         12     Field hockey                                             Football                                             Golf                                             Gymnastics   Artistic                               EG           18     Rhythmic                                           Trampolining                                           Handball                                             Judo                                         15     Karate   Kata                                         8     Kumite                                           Modern pentathlon                                             Rowing                                         14     Rugby sevens                                             Sailing                                         10     Shooting                                         15     Skateboarding                                             Softball                                             Sport climbing                                             Surfing                                             Swimming                                         37     Synchronized swimming                                             Table tennis                                         5     Taekwondo                                         8     Tennis                                         5     Triathlon                                             Volleyball   Beach volleyball                                             Volleyball                                           Water polo                                             Weightlifting                                         14     Wrestling                                         18     Daily medal events                                         339     Cumulative total                                       339     July / August   22 Wed   23 Thu   24 Fri   25 Sat   26 Sun   27 Mon   28 Tue   29 Wed   30 Thu   31 Fri   Sat   Sun   Mon   Tue   5 Wed   6 Thu   7 Fri   8 Sat   9 Sun   Total events       Marketing ( edit )   Emblem ( edit )   The official emblems for the 2020 Olympics and Paralympics were unveiled on 25 April 2016 ; designed by Asao Tokolo , who won a nationwide design contest , it takes the form of a ring in an indigo - coloured checkerboard pattern . The design is meant to `` express a refined elegance and sophistication that exemplifies Japan '' . The designs replaced a previous emblem which had been scrapped due to allegations that it plagiarized the logo of a Belgian theatre .   Mascot ( edit )   The Tokyo 2020 Games Mascots competition accepted entries from 1 to 14 August 2017 . A total of 2,042 entries were received . Three shortlisted entries were unveiled at the Kakezuka Elementary School on 7 December 2017 . A poll was then conducted between 11 December 2017 and 22 February 2018 to choose the winning entry , with each participating elementary school class allocated one vote. The results were announced on 28 February 2018 . The winning entry was candidate pair A , created by Ryo Taniguchi , which received 109,041 votes , followed by Kana Yano 's pair B with 61,423 votes and Sanae Akimoto 's pair C with 35,291 votes . The Olympic mascot in Pair A is a figure with blue checkered patterns inspired by the Games ' official logo , which has old - fashioned charm and new innovation combined with a special power of instant teleportation . Both Olympic and Paralympic mascots will be named by the Organising Committee by late July 2018 , when the mascots will make their official debut .   Sponsors ( edit )   As of 2015 total sponsorship for the 2020 Games reached approximately $1.3 billion , setting an Olympics record ( the 2008 Summer Olympics in Beijing attracted $1.2 billion ) .   Concerns and controversies ( edit )   IAAF bribery claims ( edit )   In January 2016 , the second part of a World Anti-Doping Agency commission report into corruption included a footnote detailing a conversation between Khalil Diack , son of former International Athletic Association Federation ( IAAF ) president Lamine Diack , and Turkish officials heading up the Istanbul bid team . A transcript of the conversation cited in the report suggested that a `` sponsorship '' payment of between US $ 4 million and 5 million had been made by the Japanese bid team `` either to the Diamond League or IAAF '' . The footnote claimed that because Istanbul did not make such a payment , the bid lost the support of Lamine Diack . The WADA declined to investigate the claims because it was , according to its independent commission , outside the agency 's remit .   In July and October 2013 ( prior to and after being awarded the Games ) , Tokyo made two bank payments totalling SG $ 2.8 million to a Singapore - based company known as Black Tidings . The company is tied to Papa Massata Diack , a son of Lamine Diack who worked as a marketing consultant for the IAAF , and is being pursued by French authorities under allegations of bribery , corruption , and money laundering . Black Tidings is held by Ian Tan Tong Han , a consultant to Athletics Management and Services -- which manages the IAAF 's commercial rights , and has business relationships with Japanese firm Dentsu . Black Tidings has also been connected to a doping scandal involving the Russian athletics team .   Japanese Olympic Committee and Tokyo 2020 board member Tsunekazu Takeda stated that the payments were for consulting services , but refused to discuss the matter further because it was confidential . Toshiaki Endo called on Takeda to publicly discuss the matter . Massata denied that he had received any money from Tokyo 's organizing committee . The IOC established a team to investigate these matters , and will closely follow the French investigation .   Logo plagiarism ( edit )   The initial design for the official emblems of the 2020 Summer Olympics and Paralympics were unveiled on 24 July 2015 . The logo resembled a stylized `` T '' ; a red circle in the top - right corner represented a beating heart , the flag of Japan , and an `` inclusive world in which everyone accepts each other '' , and a black column in the centre represented diversity .   Shortly after the unveiling , Belgian graphics designer Olivier Debie accused the organizing committee of plagiarizing a logo he had designed for the Théâtre de Liège , which aside from the circle , consisted of nearly identical shapes . Tokyo 's organizing committee denied that the emblem design was plagiarized , arguing that the design had gone through `` long , extensive and international '' intellectual property examinations before it was cleared for use . Debie filed a lawsuit against the IOC to prevent use of the infringing logo .     Rejected official logo of the 2020 Summer Olympics     Rejected official logo of the 2020 Summer Paralympics .     Logo of the Théâtre de Liège     The emblem 's designer , Kenjiro Sano , defended the design , stating that he had never seen the Liège logo , while TOCOG released an early sketch of the design that emphasized a stylized `` T '' and did not resemble the Liège logo . However , Sano was found to have had a history of plagiarism , with others alleging his early design plagiarized work of Jan Tschichold , that he used a photo without permission in promotional materials for the emblem , along with other past cases . On 1 September 2015 , following an emergency meeting of TOCOG , Governor of Tokyo Yoichi Masuzoe announced that they had decided to scrap Sano 's two logos . The committee met on 2 September 2015 to decide how to approach another new logo design .   On 24 November 2015 , an Emblems Selection Committee was established to organize an open call for design proposals , open to Japanese residents over the age of 18 , with a deadline set for 7 December 2015 . The winner would receive ¥ 1 million and tickets to the opening ceremonies of both the 2020 Summer Olympics and Paralympics . On 8 April 2016 , a new shortlist of four pairs of designs for the Olympics and Paralympics were unveiled by the Emblems Selection Committee ; the Committee 's selection -- with influence from a public poll , was presented to TOCOG on 25 April 2016 for final approval .   Broadcasting ( edit )  Main article : List of 2020 Summer Olympics broadcasters  Sony and Panasonic are partnering with NHK to develop broadcasting standards for 8K resolution television , with a goal to release 8K television sets in time for the 2020 Olympics .   In the United States , the 2020 Summer Olympics will be broadcast by NBCUniversal properties , as part of a US $4.38 billion agreement that began at the 2014 Winter Olympics in Sochi .   In Europe , this will be the first Summer Olympics under the IOC 's exclusive pan-European rights deal with Discovery Communications , which began at the 2018 Winter Olympics and run through 2024 . The rights for the 2020 Games cover almost all of Europe , excluding France due to an existing rights deal that will expire following these Games , and Russia due to a pre-existing deal with a marketer through 2024 . Discovery will sub-license coverage to free - to - air networks in each territory . In the United Kingdom , these will be the last Games whose rights are fully owned by the BBC , although as a condition of a sub-licensing agreement that will carry into the 2022 and 2024 Games , Discovery holds exclusive pay television rights to these Games .   References ( edit )    Jump up ^ `` </t>
    </r>
    <r>
      <rPr>
        <sz val="11"/>
        <color rgb="FF000000"/>
        <rFont val="Noto Sans CJK SC"/>
        <family val="2"/>
      </rPr>
      <t xml:space="preserve">国際 スローガン </t>
    </r>
    <r>
      <rPr>
        <sz val="11"/>
        <color rgb="FF000000"/>
        <rFont val="Calibri"/>
        <family val="0"/>
        <charset val="1"/>
      </rPr>
      <t xml:space="preserve">`` Discover Tomorrow '' </t>
    </r>
    <r>
      <rPr>
        <sz val="11"/>
        <color rgb="FF000000"/>
        <rFont val="Noto Sans CJK SC"/>
        <family val="2"/>
      </rPr>
      <t xml:space="preserve">並びに ルック プログラム を 発表 東京 オリンピック ・ パラリンピック 競技 大会 組織 委員 会 </t>
    </r>
    <r>
      <rPr>
        <sz val="11"/>
        <color rgb="FF000000"/>
        <rFont val="Calibri"/>
        <family val="0"/>
        <charset val="1"/>
      </rPr>
      <t xml:space="preserve">`` . 2012 - 07 - 19 . Retrieved 2016 - 08 - 13 .   Jump up ^ ( French : Jeux de la XXXII olympiade )   Jump up ^ `` Olympics 2020 : Tokyo wins race to host Games '' . BBC Sport. 7 September 2013 .   Jump up ^ `` 2020 Olympics Vote Total Box '' . Associated Press . Miami Herald . 7 September 2013 . Retrieved 8 September 2013 .   Jump up ^ JR </t>
    </r>
    <r>
      <rPr>
        <sz val="11"/>
        <color rgb="FF000000"/>
        <rFont val="Noto Sans CJK SC"/>
        <family val="2"/>
      </rPr>
      <t xml:space="preserve">東日本 、 東京 五輪 を 前 に 都心 部 と 羽田 空港 結ぶ 新 路線 整備 を </t>
    </r>
    <r>
      <rPr>
        <sz val="11"/>
        <color rgb="FF000000"/>
        <rFont val="Calibri"/>
        <family val="0"/>
        <charset val="1"/>
      </rPr>
      <t xml:space="preserve">on YouTube   Jump up ^ `` </t>
    </r>
    <r>
      <rPr>
        <sz val="11"/>
        <color rgb="FF000000"/>
        <rFont val="Noto Sans CJK SC"/>
        <family val="2"/>
      </rPr>
      <t xml:space="preserve">羽田 ・ 成田 発着 を 拡大 、 五輪 へ インフラ 整備 急ぐ </t>
    </r>
    <r>
      <rPr>
        <sz val="11"/>
        <color rgb="FF000000"/>
        <rFont val="Calibri"/>
        <family val="0"/>
        <charset val="1"/>
      </rPr>
      <t xml:space="preserve">'' . </t>
    </r>
    <r>
      <rPr>
        <sz val="11"/>
        <color rgb="FF000000"/>
        <rFont val="Noto Sans CJK SC"/>
        <family val="2"/>
      </rPr>
      <t xml:space="preserve">日本 経済 新聞</t>
    </r>
    <r>
      <rPr>
        <sz val="11"/>
        <color rgb="FF000000"/>
        <rFont val="Calibri"/>
        <family val="0"/>
        <charset val="1"/>
      </rPr>
      <t xml:space="preserve">. 10 September 2013 . Retrieved 10 September 2013 .   Jump up ^ `` </t>
    </r>
    <r>
      <rPr>
        <sz val="11"/>
        <color rgb="FF000000"/>
        <rFont val="Noto Sans CJK SC"/>
        <family val="2"/>
      </rPr>
      <t xml:space="preserve">五輪 で 東京 に </t>
    </r>
    <r>
      <rPr>
        <sz val="11"/>
        <color rgb="FF000000"/>
        <rFont val="Calibri"/>
        <family val="0"/>
        <charset val="1"/>
      </rPr>
      <t xml:space="preserve">1000 </t>
    </r>
    <r>
      <rPr>
        <sz val="11"/>
        <color rgb="FF000000"/>
        <rFont val="Noto Sans CJK SC"/>
        <family val="2"/>
      </rPr>
      <t xml:space="preserve">万 人 過密 都市 ゆえ の 課題 多く </t>
    </r>
    <r>
      <rPr>
        <sz val="11"/>
        <color rgb="FF000000"/>
        <rFont val="Calibri"/>
        <family val="0"/>
        <charset val="1"/>
      </rPr>
      <t xml:space="preserve">'' . </t>
    </r>
    <r>
      <rPr>
        <sz val="11"/>
        <color rgb="FF000000"/>
        <rFont val="Noto Sans CJK SC"/>
        <family val="2"/>
      </rPr>
      <t xml:space="preserve">日本 経済 新聞</t>
    </r>
    <r>
      <rPr>
        <sz val="11"/>
        <color rgb="FF000000"/>
        <rFont val="Calibri"/>
        <family val="0"/>
        <charset val="1"/>
      </rPr>
      <t xml:space="preserve">. 10 September 2013 . Retrieved 10 September 2013 .   Jump up ^ PST ( 24 January 2014 ) . `` Mori heads Tokyo 2020 organizing committee '' . Sports.yahoo.com . Retrieved 4 February 2014 .   Jump up ^ `` Toshiaki Endo appointed Olympics minister '' . The Japan Times .   Jump up ^ `` Nokia , NTT DoCoMo prepare for 5G ahead of Tokyo Olympics launch '' . 2 March 2015 -- via Reuters .   Jump up ^ `` Nokia wins 5G business with Japan 's NTT DoCoMo - FierceWireless '' . www.fiercewireless.com .   Jump up ^ Himmer , Alastair ( 5 February 2012 ) . `` Rugby - Tokyo stadium set for billion dollar facelift '' . Reuters . Retrieved 17 September 2017 .   Jump up ^ `` Notice '' . Archived from the original on 19 April 2013 .   Jump up ^ Himmer , Alastair ( 17 July 2015 ) . `` Japan rips up 2020 Olympic stadium plans to start anew '' . news.yahoo.com . AFP . Retrieved 17 July 2015 .   Jump up ^ `` Tokyo 2020 candidature file -- section 8 -- Sports and Venues '' ( PDF ) . Tokyo 2020 . Archived from the original ( PDF ) on 5 April 2013 . Retrieved 10 September 2013 .   Jump up ^ `` Tokyo panel : Olympic cost could expand fourfold '' . NHK. 29 September 2016 . Archived from the original on 1 October 2016 . Retrieved 30 September 2016 .   Jump up ^ Originally to be held at Water Polo Arena in Koto , Tokyo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Badminton originally to be held at Youth Plaza Arena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Rugby sevens originally to be held at National Olympic Stadium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Originally to be held at Youth Plaza Arena ; proposal for venue change to Saitama Super Arena in late 2014 was confirmed in March 2015 by the IOC . `` IOC supports Tokyo 's plans to relocate Olympic venues '' . The Japan Times . 19 November 2014 . Retrieved 10 June 2015 . `` Moving 2020 hoops to Saitama latest blow for game '' . The Japan Times . 3 March 2015 . Retrieved 10 June 2015 .   Jump up ^ Originally to be held at Wakasu Olympic Marina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All three events originally to be held at Tokyo Big Sight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 Change to Tokyo 2020 equestrian venue approved '' . inside.fei.org. 28 February 2015 . Retrieved 16 August 2016 .   Jump up ^ `` Olympic Venues '' . ,   Jump up ^ Beall , Joel ( 20 March 2017 ) . `` 2020 Olympic golf course changes policy , allows women full membership '' .   Jump up ^ Wilson , Stephen ( 10 December 2015 ) . `` IOC approves switch of cycling venues for Tokyo Olympics '' . japantoday.com . Retrieved 10 December 2015 .   Jump up ^ `` IOC approves switch of cycling venues for Tokyo Olympics '' . japantimes.co.jp. 9 December 2015 . Retrieved 16 August 2016 .   Jump up ^ `` </t>
    </r>
    <r>
      <rPr>
        <sz val="11"/>
        <color rgb="FF000000"/>
        <rFont val="Noto Sans CJK SC"/>
        <family val="2"/>
      </rPr>
      <t xml:space="preserve">横浜 スタジアム 会場 案 </t>
    </r>
    <r>
      <rPr>
        <sz val="11"/>
        <color rgb="FF000000"/>
        <rFont val="Calibri"/>
        <family val="0"/>
        <charset val="1"/>
      </rPr>
      <t xml:space="preserve">... </t>
    </r>
    <r>
      <rPr>
        <sz val="11"/>
        <color rgb="FF000000"/>
        <rFont val="Noto Sans CJK SC"/>
        <family val="2"/>
      </rPr>
      <t xml:space="preserve">東京 五輪 に 野球 など 追加 </t>
    </r>
    <r>
      <rPr>
        <sz val="11"/>
        <color rgb="FF000000"/>
        <rFont val="Calibri"/>
        <family val="0"/>
        <charset val="1"/>
      </rPr>
      <t xml:space="preserve">'' .   Jump up ^ `` Fukushima Prefecture to Host Tokyo 2020 Baseball &amp; Softball Matches , Showcasing the Power of Sport to Support Recovery The Tokyo Organising Committee of the Olympic and Paralympic Games '' . The Tokyo Organising Committee of the Olympic and Paralympic Games . Retrieved 2017 - 03 - 30 .   Jump up ^ `` Olympic sport football '' . tokyo2020.jp. 21 November 2016 . Retrieved 21 November 2016 .   Jump up ^ `` Tickets for Olympic Games / Tokyo Olympic Japan 2020 '' .   Jump up ^ `` How To Buy Tokyo Olympic Tickets '' . TrulyTokyo .   Jump up ^ `` 3 - on - 3 basketball officially added to Tokyo Olympics '' . CBC Sports . Retrieved 9 June 2017 .   Jump up ^ `` Tokyo 2020 : Mixed - gender events added to Olympic Games '' . BBC Sport . Retrieved 9 June 2017 .   Jump up ^ Hamilton , Tracee ( 2013 - 09 - 08 ) . `` Wrestling , IOC make right moves in getting sport back on 2020 Olympics program '' . Washington Post . ISSN 0190 - 8286 . Retrieved 2018 - 03 - 16 .   Jump up ^ Longman , Jeré ( 2013 - 02 - 12 ) . `` Olympics Moves to Drop Wrestling in 2020 '' . The New York Times . ISSN 0362 - 4331 . Retrieved 2018 - 03 - 16 .   Jump up ^ `` Wrestling to be dropped from 2020 Olympic Games '' . BBC Sport .   Jump up ^ IOC : Baseball / softball , squash and wrestling make cut for IOC Session vote in Buenos Aires   Jump up ^ `` Wrestling , baseball / softball and squash shortlisted by IOC for 2020 as five fail to make cut '' .   Jump up ^ `` Wrestling added to Olympic programme for 2020 and 2024 Games '' . IOC. 8 September 2013 . Retrieved 8 September 2013 .   Jump up ^ `` Olympic Agenda 2020 Recommendations '' ( PDF ) . IOC . Retrieved 23 June 2015 .   Jump up ^ `` Baseball , softball among 8 sports proposed for 2020 Games '' . ESPN.com .   Jump up ^ `` Olympics : Skateboarding &amp; surfing among possible Tokyo 2020 sports '' . BBC Sport . Retrieved 29 March 2016 .   Jump up ^ `` IOC approves five new sports for Olympic Games Tokyo 2020 '' . Olympic.org. 2016 - 08 - 03 . Retrieved 2016 - 08 - 03 .   Jump up ^ `` You 're in ! Baseball / softball , 4 other sports make Tokyo cut '' . USA Today . 2016 - 08 - 03 . Retrieved 2016 - 08 - 18 .   Jump up ^ `` Tickets '' . NOC * NSF. 31 March 2015 . Retrieved 6 M</t>
    </r>
  </si>
  <si>
    <t xml:space="preserve">where are the next summer olympics being played</t>
  </si>
  <si>
    <r>
      <rPr>
        <sz val="11"/>
        <color rgb="FF000000"/>
        <rFont val="Calibri"/>
        <family val="0"/>
        <charset val="1"/>
      </rPr>
      <t xml:space="preserve"> Games of the XXXII Olympiad       Host city   Tokyo , Japan     Motto   Discover Tomorrow ( </t>
    </r>
    <r>
      <rPr>
        <sz val="11"/>
        <color rgb="FF000000"/>
        <rFont val="Noto Sans CJK SC"/>
        <family val="2"/>
      </rPr>
      <t xml:space="preserve">未来 </t>
    </r>
    <r>
      <rPr>
        <sz val="11"/>
        <color rgb="FF000000"/>
        <rFont val="Calibri"/>
        <family val="0"/>
        <charset val="1"/>
      </rPr>
      <t xml:space="preserve">( </t>
    </r>
    <r>
      <rPr>
        <sz val="11"/>
        <color rgb="FF000000"/>
        <rFont val="Noto Sans CJK SC"/>
        <family val="2"/>
      </rPr>
      <t xml:space="preserve">あした </t>
    </r>
    <r>
      <rPr>
        <sz val="11"/>
        <color rgb="FF000000"/>
        <rFont val="Calibri"/>
        <family val="0"/>
        <charset val="1"/>
      </rPr>
      <t xml:space="preserve">) </t>
    </r>
    <r>
      <rPr>
        <sz val="11"/>
        <color rgb="FF000000"/>
        <rFont val="Noto Sans CJK SC"/>
        <family val="2"/>
      </rPr>
      <t xml:space="preserve">を つか もう </t>
    </r>
    <r>
      <rPr>
        <sz val="11"/>
        <color rgb="FF000000"/>
        <rFont val="Calibri"/>
        <family val="0"/>
        <charset val="1"/>
      </rPr>
      <t xml:space="preserve">, ashita o tsukamō )     Nations participating   206 ( expected )     Athletes participating   11,091 ( expected )     Events   324 in 33 sports     Opening ceremony   24 July ( 26 months from now )     Closing ceremony   9 August     Officially opened by   Emperor of Japan ( expected )     Stadium   New National Stadium     Summer          Paris 2024 &gt;        Winter          Beijing 2022 &gt;              Part</t>
    </r>
  </si>
  <si>
    <r>
      <rPr>
        <sz val="11"/>
        <color rgb="FF000000"/>
        <rFont val="Calibri"/>
        <family val="0"/>
        <charset val="1"/>
      </rPr>
      <t xml:space="preserve">Châteaux of the Loire Valley - wikipedia  Châteaux of the Loire Valley     Châteaux of the Loire Valley     Château d'Azay - le - Rideau     Location   France ( Centre , Pays de la Loire )     Built   Renaissance     Architectural style ( s )   French Renaissance architecture         UNESCO World Heritage Site     Type   Cultural     Designated   2000     Part of   The Loire Valley between Sully - sur - Loire and Chalonnes     Reference no .   933     Country   France     Region   Europe and North America         The Châteaux of the Loire Valley ( French : Châteaux de la Loire ) are part of the architectural heritage of the historic towns of Amboise , Angers , Blois , Chinon , Montsoreau , Nantes , Orléans , Saumur , and Tours along the Loire River in France . They illustrate Renaissance ideals of design in France .   The châteaux , numbering more than three hundred , represent a nation of builders starting with the necessary castle fortifications in the 10th century to the splendour of those built half a millennium later . When the French kings began constructing their huge châteaux in the Loire Valley , the nobility , not wanting or even daring to be far from the seat of power , followed suit . Their presence in the lush , fertile valley began attracting the very best landscape designers . In addition to its many châteaux , the cultural monuments illustrate to an exceptional degree the ideals of the Renaissance and the Age of the Enlightenment on western European thought and design . Many of the châteaux were designed to be built on the top of hills , one example of this is the Château d'Amboise . The only château to have been built in the riverbed is the Château de Montsoreau . Many of the châteaux had extremely detailed and expensive churches on the grounds , or within the actual château itself .   Contents    1 History   2 List of châteaux of the Loire   2.1 Royal châteaux   2.2 Châteaux of the nobility   2.3 Other châteaux     3 See also   4 References   5 External links    History ( edit )   As the wars of the 15th century were on the wane , King Louis XI and his successors preferred to spend the bulk of their time in the `` garden of France '' along the banks of the Loire . In the late 15th century , Tours , then Blois and later Amboise became the preferred locations of the French royal court . Many courtiers bought dilapidated castles founded by the medieval Counts of Blois and Anjou and had them reconstructed in the latest Italianate fashion . Leonardo da Vinci and other Italian artists arrived to design and beautify these residences .   By the middle of the 16th century , King François I had shifted the center of power in France from the Loire back to the ancient capital of Paris . With him went the great architects , but the Loire Valley continued to be the place where most of the French royalty preferred to spend the bulk of their time . The ascension to the throne of King Louis XIV in the middle of the 17th century made Paris the permanent site for great royal châteaux when he built the Palace of Versailles . Nonetheless , those who gained the king 's favour and the wealthy bourgeoisie continued to renovate existing châteaux or build lavish new ones as their summer residence in the Loire .   The French Revolution saw a number of the great French châteaux destroyed and many ransacked , their treasures stolen . The overnight impoverishment of many of the deposed nobility , usually after one of its members lost his or her head to the guillotine , saw many châteaux demolished . During World War I and World War II , some chateaux were commandeered as military headquarters . Some of these continued to be used this way after the end of World War II .   Today , these privately owned châteaux serve as homes , a few open their doors to tourist visits , while others are operated as hotels or bed and breakfasts . Many have been taken over by a local government authority , or the giant structures like those at Chambord are owned and operated by the national government and are major tourist sites , attracting hundreds of thousands of visitors each year .   List of châteaux of the Loire ( edit )   There is no universally accepted definition for inclusion as a `` Château of the Loire '' . The main criterion is that the château must be situated close to the Loire or one of its tributaries ( such as the Maine , Cher , Indre , Creuse or Loir ) . Châteaux further upstream than Gien are generally not included , with the possible exception of the Bastie d'Urfé for its historical significance .   Royal châteaux ( edit )     Château   Commune   Département   Coordinates   Historic Events   Image     Amboise   Amboise   Indre - et - Loire   47 ° 24 ′ 47 '' N 0 ° 59 ′ 9 '' E ﻿ / ﻿ 47.41306 ° N 0.98583 ° E ﻿ / 47.41306 ; 0.98583 ﻿ ( Château d'Amboise )   Accidental death of Charles VIII ( 1498 ) Amboise conspiracy ( 1560 )  Edict of Amboise with the Calvinists ( 1563 )        Angers   Angers   Maine - et - Loire   47 ° 28 ′ 12 '' N 0 ° 33 ′ 36 '' W ﻿ / ﻿ 47.47000 ° N 0.56000 ° W ﻿ / 47.47000 ; - 0.56000 ﻿ ( Château d'Angers )   Location of the Apocalypse Tapestry       Blois   Blois   Loir - et - Cher   47 ° 35 ′ 8 '' N 1 ° 19 ′ 51 '' E ﻿ / ﻿ 47.58556 ° N 1.33083 ° E ﻿ / 47.58556 ; 1.33083 ﻿ ( Château de Blois )   Assassination of Henry I , Duke of Guise ( 1588 )       Chambord   Chambord   Loir - et - Cher   47 ° 36 ′ 58 '' N 1 ° 31 ′ 2 '' E ﻿ / ﻿ 47.61611 ° N 1.51722 ° E ﻿ / 47.61611 ; 1.51722 ﻿ ( Château de Chambord )   Considered the most magnificent Loire château Treaty of Chambord ( 1552 )       Chenonceau   Chenonceaux   Indre - et - Loire   47 ° 19 ′ 31 '' N 1 ° 4 ′ 13 '' E ﻿ / ﻿ 47.32528 ° N 1.07028 ° E ﻿ / 47.32528 ; 1.07028 ﻿ ( Château de Chenonceau )   Owned by Diane de Poitiers ( 1547 -- 1559 ) et Catherine de Médicis ( 1559 -- 1589 )       Chinon   Chinon   Indre - et - Loire   47 ° 10 ′ 5 '' N 0 ° 14 ′ 10 '' E ﻿ / ﻿ 47.16806 ° N 0.23611 ° E ﻿ / 47.16806 ; 0.23611 ﻿ ( Château de Chinon )   Meeting between Charles VII and Joan of Arc ( 1429 )       Langeais   Langeais   Indre - et - Loire   47 ° 19 ′ 29 '' N 0 ° 24 ′ 22 '' E ﻿ / ﻿ 47.32472 ° N 0.40611 ° E ﻿ / 47.32472 ; 0.40611 ﻿ ( Château de Langeais )   Marriage de Charles VIII and Anne of Brittany ( 1491 )       Loches   Loches   Indre - et - Loire   47 ° 7 ′ 29 '' N 0 ° 59 ′ 48 '' E ﻿ / ﻿ 47.12472 ° N 0.99667 ° E ﻿ / 47.12472 ; 0.99667 ﻿ ( Château de Loches )   Captured by Richard the Lionheart ( 1194 ) Residence of Agnès Sorel ( 1443 -- 1450 )       Plessis - lez - Tours   La Riche   Indre - et - Loire   47 ° 22 ′ 57 '' N 0 ° 39 ′ 38 '' E ﻿ / ﻿ 47.38250 ° N 0.66056 ° E ﻿ / 47.38250 ; 0.66056 ﻿ ( Château de Plessis - lèz - Tours )   Treaty of Tours ( 1444 )  Death of Louis XI ( 1483 )   Death of Francis of Paola ( 1507 ) , founder of the Order of Minims   Treaty of Plessis - les - Tours ( 1580 )   Meeting between Henry III and the king of Navarre , future Henry IV , who ally against Catholic League ( 1589 )        Saumur   Saumur   Maine - et - Loire   47 ° 15 ′ 22 '' N 0 ° 4 ′ 21 '' W ﻿ / ﻿ 47.25611 ° N 0.07250 ° W ﻿ / 47.25611 ; - 0.07250 ﻿ ( Château de Saumur )   `` Château d'amour '' of the king René of Anjou ( 1454 -- 1472 ) Place of sanctuary for Protestants ( 1589 )       Tours   Tours   Indre - et - Loire   47 ° 23 ′ 49 '' N 0 ° 41 ′ 34 '' E ﻿ / ﻿ 47.39694 ° N 0.69278 ° E ﻿ / 47.39694 ; 0.69278 ﻿ ( Château de Tours )   Marriage of the future Louis XI and Margaret of Scotland ( 1436 ) Imprisonment of Charles , Duke of Guise ( 1588 -- 1591 )       Châteaux of the nobility ( edit )     Château   Commune   Département   Coordinates   Notes   Image     Azay - le - Rideau   Azay - le - Rideau   Indre - et - Loire   47 ° 15 ′ 33 '' N 0 ° 27 ′ 58 '' E ﻿ / ﻿ 47.25917 ° N 0.46611 ° E ﻿ / 47.25917 ; 0.46611 ﻿ ( Château d'Azay - le - Rideau )   Masterpiece of the first French Renaissance       Beauregard   Cellettes   Loir - et - Cher   47 ° 32 ′ 13 '' N 1 ° 23 ′ 3 '' E ﻿ / ﻿ 47.53694 ° N 1.38417 ° E ﻿ / 47.53694 ; 1.38417 ﻿ ( Château de Beauregard )   Art gallery       Brézé   Brézé   Maine - et - Loire   47 ° 10 ′ 28 '' N 0 ° 03 ′ 27 '' W ﻿ / ﻿ 47.17444 ° N 0.05750 ° W ﻿ / 47.17444 ; - 0.05750 ﻿ ( Château de Brézé )   Artifacts of Troglodytes under the château Deepest moats in France       Brissac   Brissac - Quincé   Maine - et - Loire   47 ° 21 ′ 11 '' N 0 ° 26 ′ 59 '' W ﻿ / ﻿ 47.35306 ° N 0.44972 ° W ﻿ / 47.35306 ; - 0.44972 ﻿ ( Château de Brissac )   Tallest château in France       Chanteloup   Amboise   Indre - et - Loire   47 ° 23 ′ 28 '' N 0 ° 58 ′ 13 '' E ﻿ / ﻿ 47.39111 ° N 0.97028 ° E ﻿ / 47.39111 ; 0.97028 ﻿ ( Pagode de Chanteloup )   Property of Duke of Choiseul ( 1760 -- 1785 )       Châteaudun   Châteaudun   Eure - et - Loir   48 ° 04 ′ 15 '' N 1 ° 19 ′ 25 '' E ﻿ / ﻿ 48.07083 ° N 1.32361 ° E ﻿ / 48.07083 ; 1.32361 ﻿ ( Château de Châteaudun )   Property of Jean de Dunois ( 1439 -- 1468 )       Chaumont - sur - Loire   Chaumont - sur - Loire   Loir - et - Cher   47 ° 28 ′ 45 '' N 1 ° 10 ′ 55 '' E ﻿ / ﻿ 47.47917 ° N 1.18194 ° E ﻿ / 47.47917 ; 1.18194 ﻿ ( Château de Chaumont - sur - Loire )   Property of Catherine de ' Medici ( 1550 -- 1559 ) et Diane de Poitiers ( 1559 -- 1566 )       Cheverny   Cheverny   Loir - et - Cher   47 ° 30 ′ 1 '' N 1 ° 27 ′ 29 '' E ﻿ / ﻿ 47.50028 ° N 1.45806 ° E ﻿ / 47.50028 ; 1.45806 ﻿ ( Château de Cheverny )   Inspiration for Hergé 's Marlinspike Hall       Clos - Lucé   Amboise   Indre - et - Loire   47 ° 24 ′ 36 '' N 0 ° 59 ′ 31 '' E ﻿ / ﻿ 47.41000 ° N 0.99194 ° E ﻿ / 47.41000 ; 0.99194 ﻿ ( Clos - Lucé )   Home to Leonardo da Vinci ( 1516 -- 1519 )       Ducs de Bretagne   Nantes   Loire - Atlantique   47 ° 12 ′ 56 '' N 1 ° 32 ′ 59 '' W ﻿ / ﻿ 47.21556 ° N 1.54972 ° W ﻿ / 47.21556 ; - 1.54972 ﻿ ( Château des ducs de Bretagne )   Located near the River mouth of the Loire Residence of the Dukes of Brittany       Meillant   Meillant   Cher   46 ° 46 ′ 59 '' N 2 ° 30 ′ 15 '' E ﻿ / ﻿ 46.78306 ° N 2.50417 ° E ﻿ / 46.78306 ; 2.50417 ﻿ ( Château de Meillant )   Contains the famous Tour du Lion       Montsoreau   Montsoreau   Maine - et - Loire   47 ° 12 ′ 56 '' N 0 ° 03 ′ 44 '' E ﻿ / ﻿ 47.21556 ° N 0.06222 ° E ﻿ / 47.21556 ; 0.06222 ﻿ ( Château de Montsoreau )   Only Château in the Loire Valley constructed in the Loire riverbed Château de Montsoreau - Museum of Contemporary Art collection represent the world 's largest holding of Art &amp; Language works       Richelieu   Richelieu   Indre - et - Loire   47 ° 00 ′ 26 '' N 0 ° 19 ′ 33 '' E ﻿ / ﻿ 47.00722 ° N 0.32583 ° E ﻿ / 47.00722 ; 0.32583 ﻿ ( Château de Richelieu )   Property of Cardinal Richelieu ( 1621 - 1642 )       Sully - sur - Loire   Sully - sur - Loire   Loiret   47 ° 46 ′ 4 '' N 2 ° 22 ′ 31 '' E ﻿ / ﻿ 47.76778 ° N 2.37528 ° E ﻿ / 47.76778 ; 2.37528 ﻿ ( Château de Sully - sur - Loire )   Property of Maximilien de Béthune , Duke of Sully ( 1602 -- 1641 )       Ussé   Rigny - Ussé   Indre - et - Loire   47 ° 14 ′ 59 '' N 0 ° 17 ′ 28 '' E ﻿ / ﻿ 47.24972 ° N 0.29111 ° E ﻿ / 47.24972 ; 0.29111 ﻿ ( Château d'Ussé )   Inspiration for Charles Perrault 's Sleeping Beauty       Valençay   Valençay   Indre   47 ° 9 ′ 27 '' N 1 ° 33 ′ 48 '' E ﻿ / ﻿ 47.15750 ° N 1.56333 ° E ﻿ / 47.15750 ; 1.56333 ﻿ ( Château de Valençay )   Property of Talleyrand ( 1803 -- 1838 )       Villandry   Villandry   Indre - et - Loire   47 ° 20 ′ 26 '' N 0 ° 30 ′ 51 '' E ﻿ / ﻿ 47.34056 ° N 0.51417 ° E ﻿ / 47.34056 ; 0.51417 ﻿ ( Château de Villandry )   Famous for its French formal gardens       Other châteaux ( edit )     Château   Commune   Département   Coordinates   Image     Argy   Argy   Indre   46 ° 56 ′ 20 '' N 1 ° 26 ′ 08 '' E ﻿ / ﻿ 46.93889 ° N 1.43556 ° E ﻿ / 46.93889 ; 1.43556 ﻿ ( Château d'Argy )       Azay - le - Ferron   Azay - le - Ferron   Indre   46 ° 51 ′ 04 '' N 1 ° 04 ′ 12 '' E ﻿ / ﻿ 46.85111 ° N 1.07000 ° E ﻿ / 46.85111 ; 1.07000 ﻿ ( Château d'Azay - le - Ferron )       Baugé   Baugé   Maine - et - Loire   47 ° 32 ′ 29 '' N 0 ° 06 ′ 07 '' E ﻿ / ﻿ 47.54139 ° N 0.10194 ° E ﻿ / 47.54139 ; 0.10194 ﻿ ( Château de Baugé )       Beaugency   Beaugency   Loiret   47 ° 46 ′ 45 '' N 1 ° 37 ′ 57 '' E ﻿ / ﻿ 47.77917 ° N 1.63250 ° E ﻿ / 47.77917 ; 1.63250 ﻿ ( Château de Beaugency )       Boisgibault   Ardon   Loiret   47 ° 47 ′ 18 '' N 1 ° 52 ′ 00 '' E ﻿ / ﻿ 47.78833 ° N 1.86667 ° E ﻿ / 47.78833 ; 1.86667 ﻿ ( Château de Boisgibault )       Boumois   Saint - Martin - de-la - Place   Maine - et - Loire   47 ° 18 ′ 30 '' N 0 ° 07 ′ 48 '' W ﻿ / ﻿ 47.30833 ° N 0.13000 ° W ﻿ / 47.30833 ; - 0.13000 ﻿ ( Château de Boumois )       Briare   Briare   Loiret   47 ° 38 ′ 22 '' N 2 ° 44 ′ 27 '' E ﻿ / ﻿ 47.63944 ° N 2.74083 ° E ﻿ / 47.63944 ; 2.74083 ﻿ ( Château de Briare )       Candé   Monts   Indre - et - Loire   47 ° 17 ′ 49 '' N 0 ° 39 ′ 56 '' E ﻿ / ﻿ 47.29694 ° N 0.66556 ° E ﻿ / 47.29694 ; 0.66556 ﻿ ( Château de Candé )       Chamerolles   Chilleurs - aux - Bois   Loiret   48 ° 03 ′ 37 '' N 2 ° 09 ′ 51 '' E ﻿ / ﻿ 48.06028 ° N 2.16417 ° E ﻿ / 48.06028 ; 2.16417 ﻿ ( Château de Chamerolles )         Châteauneuf - sur - Loire   Châteauneuf - sur - Loire   Loiret   47 ° 51 ′ 51 '' N 2 ° 13 ′ 00 '' E ﻿ / ﻿ 47.86417 ° N 2.21667 ° E ﻿ / 47.86417 ; 2.21667 ﻿ ( Château de Châteauneuf - sur - Loire )       Chémery   Chémery   Loir - et - Cher   47 ° 20 ′ 43 '' N 1 ° 28 ′ 48 '' E ﻿ / ﻿ 47.34528 ° N 1.48000 ° E ﻿ / 47.34528 ; 1.48000 ﻿ ( Château de Chémery )       Chissay   Chissay - en - Touraine   Loir - et - Cher   47 ° 20 ′ 13 '' N 1 ° 08 ′ 11 '' E ﻿ / ﻿ 47.33694 ° N 1.13639 ° E ﻿ / 47.33694 ; 1.13639 ﻿ ( Château de Chissay )       Courtalain   Courtalain   Eure - et - Loir   48 ° 04 ′ 49 '' N 1 ° 08 ′ 11 '' E ﻿ / ﻿ 48.08028 ° N 1.13639 ° E ﻿ / 48.08028 ; 1.13639 ﻿ ( Château de Courtalain )       Fougères - sur - Bièvre   Fougères - sur - Bièvre   Loir - et - Cher   47 ° 26 ′ 52 '' N 1 ° 20 ′ 37 '' E ﻿ / ﻿ 47.44778 ° N 1.34361 ° E ﻿ / 47.44778 ; 1.34361 ﻿ ( Château de Fougères - sur - Bièvre )       Gaillard   Amboise   Indre - et - Loire   47 ° 24 ′ 47 '' N 0 ° 59 ′ 09 '' E ﻿ / ﻿ 47.41306 ° N 0.98583 ° E ﻿ / 47.41306 ; 0.98583 ﻿ ( Château - Gaillard )       Gien   Gien   Loire   47 ° 41 ′ 06 '' N 2 ° 37 ′ 54 '' E ﻿ / ﻿ 47.68500 ° N 2.63167 ° E ﻿ / 47.68500 ; 2.63167 ﻿ ( Château de Gien )       Gizeux   Gizeux   Indre - et - Loire   47 ° 23 ′ 26 '' N 0 ° 12 ′ 22 '' E ﻿ / ﻿ 47.39056 ° N 0.20611 ° E ﻿ / 47.39056 ; 0.20611 ﻿ ( Château de Gizeux )       Goulaine   Haute - Goulaine   Loire - Atlantique   47 ° 12 ′ 15 '' N 1 ° 24 ′ 10 '' W ﻿ / ﻿ 47.20417 ° N 1.40278 ° W ﻿ / 47.20417 ; - 1.40278 ﻿ ( Château de Goulaine )       Gué - Péan   Monthou - sur - Cher   Loir - et - Cher   47 ° 21 ′ 00 '' N 1 ° 19 ′ 07 '' E ﻿ / ﻿ 47.35000 ° N 1.31861 ° E ﻿ / 47.35000 ; 1.31861 ﻿ ( Château du Gué - Péan )       La Bourdaisière   Montlouis - sur - Loire   Indre - et - Loire   47 ° 22 ′ 11 '' N 0 ° 50 ′ 19 '' E ﻿ / ﻿ 47.36972 ° N 0.83861 ° E ﻿ / 47.36972 ; 0.83861 ﻿ ( Château de La Bourdaisière )       La Bussière   La Bussière   Loiret   47 ° 44 ′ 50 '' N 2 ° 44 ′ 52 '' E ﻿ / ﻿ 47.74722 ° N 2.74778 ° E ﻿ / 47.74722 ; 2.74778 ﻿ ( Château de La Bussière )       La Farinière   Cinq - Mars - la - Pile   Indre - et - Loire   47 ° 21 ′ 08 '' N 0 ° 28 ′ 29 '' E ﻿ / ﻿ 47.35222 ° N 0.47472 ° E ﻿ / 47.35222 ; 0.47472 ﻿ ( Château de La Farinière )       La Ferté - Saint - Aubin   La Ferté - Saint - Aubin   Loiret   47 ° 43 ′ 35 '' N 1 ° 56 ′ 36 '' E ﻿ / ﻿ 47.72639 ° N 1.94333 ° E ﻿ / 47.72639 ; 1.94333 ﻿ ( Château de La Ferté - Saint - Aubin )       La Possonnière   Couture - sur - Loir   Loir - et - Cher   47 ° 44 ′ 48 '' N 0 ° 41 ′ 32 '' E ﻿ / ﻿ 47.74667 ° N 0.69222 ° E ﻿ / 47.74667 ; 0.69222 ﻿ ( Château de La Possonnière )       Lavardin   Lavardin   Loir - et - Cher   47 ° 44 ′ 28 '' N 0 ° 53 ′ 01 '' E ﻿ / ﻿ 47.74111 ° N 0.88361 ° E ﻿ / 47.74111 ; 0.88361 ﻿ ( Château de Lavardin )       Le Lude   Le Lude   Sarthe   47 ° 38 ′ 45 '' N 0 ° 09 ′ 14 '' E ﻿ / ﻿ 47.64583 ° N 0.15389 ° E ﻿ / 47.64583 ; 0.15389 ﻿ ( Château du Lude )       Le Moulin   Lassay - sur - Croisne   Loir - et - Cher   47 ° 22 ′ 09 '' N 1 ° 36 ′ 34 '' E ﻿ / ﻿ 47.36917 ° N 1.60944 ° E ﻿ / 47.36917 ; 1.60944 ﻿ ( Château du Moulin )       Nevers   Nevers   Nièvre   46 ° 59 ′ 18 '' N 3 ° 09 ′ 30 '' E ﻿ / ﻿ 46.98833 ° N 3.15833 ° E ﻿ / 46.98833 ; 3.15833 ﻿ ( Palais ducal de Nevers )       Le Plessis - Bourré   Écuillé   Maine - et - Loire   47 ° 36 ′ 3 '' N 0 ° 32 ′ 40 '' W ﻿ / ﻿ 47.60083 ° N 0.54444 ° W ﻿ / 47.60083 ; - 0.54444 ﻿ ( Château du Plessis - Bourré )       Le Rivau   Lemere   Indre - et - Loire   47 ° 06 ′ 25 '' N 0 ° 19 ′ 34 '' E ﻿ / ﻿ 47.10694 ° N 0.32611 ° E ﻿ / 47.10694 ; 0.32611 ﻿ ( Château du Rivau )       Le Roujoux   Fresnes   Loir - et - Cher   47 ° 26 ′ 01 '' N 1 ° 24 ′ 03 '' E ﻿ / ﻿ 47.43361 ° N 1.40083 ° E ﻿ / 47.43361 ; 1.40083 ﻿ ( Château du Roujoux )       Les Réaux   Chouzé - sur - Loire   Indre - et - Loire   47 ° 14 ′ 54 '' N 0 ° 8 ′ 52 '' E ﻿ / ﻿ 47.24833 ° N 0.14778 ° E ﻿ / 47.24833 ; 0.14778 ﻿ ( Château des Réaux )       Luynes   Luynes   Indre - et - Loire   47 ° 23 ′ 28 '' N 0 ° 33 ′ 19 '' E ﻿ / ﻿ 47.39111 ° N 0.55528 ° E ﻿ / 47.39111 ; 0.55528 ﻿ ( Château de Luynes )       Menars   Menars   Loir - et - Cher   47 ° 38 ′ 36 '' N 1 ° 24 ′ 34 '' E ﻿ / ﻿ 47.64333 ° N 1.40944 ° E ﻿ / 47.64333 ; 1.40944 ﻿ ( Château de Menars )       Meung - sur - Loire   Meung - sur - Loire   Loiret   47 ° 49 ′ 26 '' N 1 ° 41 ′ 41 '' E ﻿ / ﻿ 47.82389 ° N 1.69472 ° E ﻿ / 47.82389 ; 1.69472 ﻿ ( Château de Meung - sur - Loire )       Montgeoffroy   Mazé   Maine - et - Loire   47 ° 28 ′ 08 '' N 0 ° 16 ′ 35 '' W ﻿ / ﻿ 47.46889 ° N 0.27639 ° W ﻿ / 47.46889 ; - 0.27639 ﻿ ( Château de Montgeoffroy )       Montigny - le - Gannelon   Montigny - le - Gannelon   Eure - et - Loir   48 ° 00 ′ 54 '' N 1 ° 14 ′ 07 '' E ﻿ / ﻿ 48.01500 ° N 1.23528 ° E ﻿ / 48.01500 ; 1.23528 ﻿ ( Château de Montigny - le - Gannelon )       Montpoupon   Céré - la - Ronde   Indre - et - Loire   47 ° 15 ′ 11 '' N 1 ° 8 ′ 28 '' E ﻿ / ﻿ 47.25306 ° N 1.14111 ° E ﻿ / 47.25306 ; 1.14111 ﻿ ( Château de Montpoupon )       Montrésor   Montrésor   Indre - et - Loire   47 ° 9 ′ 21 '' N 1 ° 12 ′ 35 '' E ﻿ / ﻿ 47.15583 ° N 1.20972 ° E ﻿ / 47.15583 ; 1.20972 ﻿ ( Château de Montrésor )       Montreuil - Bellay   Montreuil - Bellay   Maine - et - Loire   47 ° 07 ′ 58 '' N 00 ° 09 ′ 14 '' W ﻿ / ﻿ 47.13278 ° N 0.15389 ° W ﻿ / 47.13278 ; - 0.15389 ﻿ ( Château de Montreuil - Bellay )       Montrichard   Montrichard   Loir - et - Cher   47 ° 20 ′ 37 '' N 1 ° 11 ′ 10 '' E ﻿ / ﻿ 47.34361 ° N 1.18611 ° E ﻿ / 47.34361 ; 1.18611 ﻿ ( Château de Montrichard )       Saché   Saché   Indre - et - Loire   47 ° 14 ′ 45 '' N 0 ° 32 ′ 41 '' E ﻿ / ﻿ 47.24583 ° N 0.54472 ° E ﻿ / 47.24583 ; 0.54472 ﻿ ( Château de Saché )       Saint - Aignan   Saint - Aignan - sur - Cher   Loir - et - Cher   47 ° 16 ′ 10 '' N 1 ° 22 ′ 30 '' E ﻿ / ﻿ 47.26944 ° N 1.37500 ° E ﻿ / 47.26944 ; 1.37500 ﻿ ( Château de Saint - Aignan - sur - Cher )       Saint - Brisson   Saint - Brisson - sur - Loire   Loiret   47 ° 39 ′ 00 '' N 2 ° 40 ′ 56 '' E ﻿ / ﻿ 47.65000 ° N 2.68222 ° E ﻿ / 47.65000 ; 2.68222 ﻿ ( Château de Saint - Brisson )       Selles - sur - Cher   Selles - sur - Cher   Loir - et - Cher   47 ° 16 ′ 29 '' N 1 ° 32 ′ 58 '' E ﻿ / ﻿ 47.27472 ° N 1.54944 ° E ﻿ / 47.27472 ; 1.54944 ﻿ ( Château de Selles - sur - Cher )       Serrant   Saint - Georges - sur - Loire   Maine - et - Loire   47 ° 24 ′ 54 '' N 0 ° 44 ′ 40 '' W ﻿ / ﻿ 47.41500 ° N 0.74444 ° W ﻿ / 47.41500 ; - 0.74444 ﻿ ( Château de Serrant )       Talcy   Talcy   Loir - et - Cher   47 ° 46 ′ 11 '' N 1 ° 26 ′ 39 '' E ﻿ / ﻿ 47.76972 ° N 1.44417 ° E ﻿ / 47.76972 ; 1.44417 ﻿ ( Château de Talcy )       Troussay   Cheverny   Loir - et - Cher   47 ° 29 ′ 29 '' N 1 ° 25 ′ 29 '' E ﻿ / ﻿ 47.49139 ° N 1.42472 ° E ﻿ / 47.49139 ; 1.42472 ﻿ ( Château de Troussay )       Valmer   Chançay   Indre - et - Loire   47 ° 27 ′ 32 '' N 0 ° 53 ′ 14 '' E ﻿ / ﻿ 47.45889 ° N 0.88722 ° E ﻿ / 47.45889 ; 0.88722 ﻿ ( Château de Valmer )       Vendôme   Vendôme   Loir - et - Cher   47 ° 47 ′ 21 '' N 1 ° 03 ′ 55 '' E ﻿ / ﻿ 47.78917 ° N 1.06528 ° E ﻿ / 47.78917 ; 1.06528 ﻿ ( Château de Vendôme )       Villesavin   Tour - en - Sologne   Loir - et - Cher   47 ° 32 ′ 48 '' N 1 ° 30 ′ 51 '' E ﻿ / ﻿ 47.54667 ° N 1.51417 ° E ﻿ / 47.54667 ; 1.51417 ﻿ ( Château de Villesavin )      Châteaux of the Loire Valley  See also ( edit )    List of châteaux in France   Tuffeau , principal building material of the Loire Valley    References ( edit )    Jump up ^ The Loire Valley : A Phaidon Cultural Guide . New York : Prentice Hall Press . 1986 .   ^ Jump up to : Peregrine , Anthony ( 21 May 2014 ) . `` The best chateaux of the Loire Valley , France '' . The Daily Telegraph . Retrieved 15 November 2016 .   ^ Jump up to : Lounes , Allison ( 4 December 2012 ) . `` Chateaux spectacular : 5 best Loire Valley castles CNN Travel '' . CNN . Retrieved 15 November 2016 .   Jump up ^ Gleadell , Colin ( 23 June 2015 ) . `` Largest Collection of Radical Conceptualists ART &amp; LANGUAGE Finds a Home in French Chateau artnet news '' . artnet . Retrieved 24 April 2018 .    External links ( edit )    Media related to Castles of the Loire at Wikimedia Commons   Châteaux de la Loire , Finest France              Châteaux of the Loire Valley       Amboise   Angers   Azay - le - Rideau   Beauregard   Blois   La Bourdaisière   Brissac   Chambord   Chaumont   Chenonceau   Châteaudun   Cheverny   Chinon   Gizeux   Langeais   Loches   Lude   Menars   Meung - sur - Loire   Montreuil - Bellay   Montpoupon   Montrésor   Montsoreau   Pignerolle   Plessis - Bourré   Plessis - lez - Tours   Réaux   Le Rivau   Saumur   Selles - sur - Cher   Serrant   Sully   Talcy   Tours   Troussay   Ussé   Valençay   Villandry   Villesavin         Coordinates : 47 ° 23 ′ 56 '' N 0 ° 42 ′ 10 '' E ﻿ / ﻿ 47.39889 ° N 0.70278 ° E ﻿ / 47.39889 ; 0.70278  Retrieved from `` https://en.wikipedia.org/w/index.php?title= Châteaux_of_the_Loire_Valley&amp;oldid = 856603041 '' Categories :   Loire Valley   Châteaux of the Loire Valley   Renaissance architecture in France   World Heritage Sites in France   Hidden categories :   Coordinates not on Wikidata           Talk                                           Contents                   About Wikipedia                                                 Alemannisch   Dansk   Deutsch   Ελληνικά   Español   Esperanto   Euskara   Français   Հայերեն   Italiano   ქართული   Lëtzebuergesch   Magyar   Македонски   მარგალური   Română   Русский   Sicilianu   Slovenščina   Українська   </t>
    </r>
    <r>
      <rPr>
        <sz val="11"/>
        <color rgb="FF000000"/>
        <rFont val="Noto Sans CJK SC"/>
        <family val="2"/>
      </rPr>
      <t xml:space="preserve">中文  </t>
    </r>
    <r>
      <rPr>
        <sz val="11"/>
        <color rgb="FF000000"/>
        <rFont val="Calibri"/>
        <family val="0"/>
        <charset val="1"/>
      </rPr>
      <t xml:space="preserve">12 more  Edit links   This page was last edited on 26 August 2018 , at 11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</si>
  <si>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why are there so many castles in france</t>
  </si>
  <si>
    <t xml:space="preserve"> The châteaux , numbering more than three hundred , represent a nation of builders starting with the necessary castle fortifications in the 10th century to the splendour of those built half a millennium later . When the French kings began constructing their huge châteaux in the Loire Valley , the nobility , not wanting or even daring to be far from the seat of power , followed suit . Their presence in the lush , fertile valley began attracting the very best landscape designers . In addition to its many châteaux , the cultural monuments illustrate to an exceptional degree the ideals of the Renaissance and the Age of the Enlightenment on western European thought and design . Many of the châteaux were designed to be built on the top of hills , one example of this is the Château d'Amboise . The only château to have been built in the riverbed is the Château de Montsoreau . Many of the châteaux had extremely detailed and expensive churches on the grounds , or within the actual château itself . </t>
  </si>
  <si>
    <t xml:space="preserve">Tyson Ritter - wikipedia  Tyson Ritter  Jump to : navigation , search    Tyson Ritter     Ritter performing in December 2006     Background information     Birth name   Tyson Jay Ritter       ( 1984 - 04 - 24 ) April 24 , 1984 ( age 33 ) Stillwater , Oklahoma , U.S.     Genres     Alternative rock   pop punk   power pop   pop rock       Occupation ( s )     Singer - songwriter   musician   model   actor       Instruments     Vocals   bass guitar   piano   keyboards   guitar   vibraphone   recorder   pedal steel   marxophone       Years active   1997 -- present     Labels   Interscope / DGC     Associated acts   The All - American Rejects     Tyson Jay Ritter ( born April 24 , 1984 ) is an American singer - songwriter , multi-instrumentalist , musician , actor , and model . He is best known as the lead vocalist , bassist , pianist , and songwriter of the pop punk band The All - American Rejects . As an actor , Ritter appeared as Dane on Amazon Video 's Betas , recurred as rock musician Oliver Rome on NBC 's Parenthood , and has had supporting roles in the films The House Bunny ( 2008 ) , Love and Mercy ( 2014 ) , and Miss You Already ( 2015 ) .     Contents  ( hide )   1 Early life   2 Career   3 Personal life   4 Equipment   5 Filmography   5.1 Film   5.2 Television     6 References   7 External links      Early life ( edit )   Tyson Jay Ritter was born and raised in Stillwater , Oklahoma on April 24 , 1984 . His mother , Tracey Rains , is an employee at Stillwater Public Schools . He has an older brother , Zack , who is an endodontist , and a younger sister , Bailey . He and his siblings graduated from Stillwater High School .   Career ( edit )   Ritter met his bandmates while he was bouncing a party in middle school . After Jesse Tabish quit the band , and with the additions of Mike Kennerty and Chris Gaylor , The All - American Rejects were picked up by Doghouse Records , and later DreamWorks Records , and finally with the current major label of Interscope Records . The All - American Rejects have released four albums to date , and have sold over 10 million albums worldwide and 4 million singles .   Ritter has appeared in television series and films such as House ( 2007 ) , The House Bunny ( 2008 ) , Betas ( 2013 -- 14 ) , and Parenthood ( 2013 -- 15 ) . On November 5 , 2013 , Ritter released the song `` Air '' as a solo song to help `` ride between the Rejects ' next record '' , which was featured on Parenthood .   Shortly after the release of `` Air '' Tyson wrote the song `` Collide '' which was also featured on Parenthood . The song was never released on the market but is still available on sites like YouTube .   Ritter 's next projects included a role in the John Cusack film Love and Mercy ( 2014 ) . He had also been cast in the lead role of singer Gregg Allman in the biopic Midnight Rider , directed by Randall Miller , but the film was halted in production , and ultimately cancelled , due to the death of camera assistant Sarah Jones . In 2015 , he had a supporting role in the comedy - drama film Miss You Already , which starred Toni Collette and Drew Barrymore .   Personal life ( edit )   Ritter and actress Elena Satine were engaged in April 2013 and married on New Year 's Eve that year . He has been best friends with bandmate Nick Wheeler ever since they met in high school .   Equipment ( edit )   Ritter likes to use Fender bass guitars . He had previously used Epiphone Flying V or Epiphone Explorer basses during the era of The All - American Rejects ( album ) , until he started to favor a Fender Precision Bass and started using them more often in his songs . Ritter was also seen using a Gibson Thunderbird bass on their early tours for Move Along and also with a rare Jackson Guitars V Bass . He then later used Fender Jaguar Bass guitars for later tours before switching back to Fender Precision Basses .   Filmography ( edit )   Film ( edit )     Year   Title   Role   Notes     2008   The House Bunny   Colby       2014   Love and Mercy   Hipster # 1       2015   The Pinhole Affect   Tyson Ritter   Short film     2015   Miss You Already   Ace       2016   The Sweet Life   Marlon   In post-production     Television ( edit )     Year   Title   Role   Notes     2007   House   Himself   Episode : `` Fetal Position ''     2012   90210   Himself   Episode : `` Trust , Truth and Traffic ''     2013 -- 14   Betas   Dane   5 episodes     2013 -- 15   Parenthood   Oliver Rome   10 episodes     2015   Wicked City   Bucket   2 episodes     2017   Preacher   Jesus Christ / Humperdoo   1 Episode     References ( edit )    Jump up ^ Keys , Elizabeth ( July 21 , 2013 ) . `` Stillwater 's rockin ' mum '' . Stillwater NewsPress . Retrieved December 30 , 2013 .   Jump up ^ `` Tyson Ritter On ' Parenthood ' Season 5 : All - American Rejects ' Frontman Books Multi-Episode Arc ( Exclusive ) '' . The Huffington Post . August 2 , 2013 . Retrieved November 16 , 2013 .   Jump up ^ Faylene , Rachel ( October 9 , 2013 ) . `` Tyson Ritter Talks New Role on ' Parenthood , ' Growing Up &amp; What Comes Next '' . Variance Magazine . Retrieved November 16 , 2013 .   Jump up ^ McDonnell , Brandy ( November 5 , 2013 ) . `` Video : Tyson Ritter releases new single `` Air , '' to be featured on NBC 's `` Parenthood '' Thursday `` . The Oklahoman . Retrieved November 16 , 2013 .   Jump up ^ Neva Margetić ( 2014 - 10 - 05 ) , Tyson Ritter - Collide , retrieved 2016 - 04 - 20   Jump up ^ McNary , Dave ( December 13 , 2013 ) . `` Gregg Allman Biopic Casts Tyson Ritter as Lead Role '' . Variety . Retrieved December 29 , 2013 .   Jump up ^ Silverman , Stephen M. ( April 5 , 2013 ) . `` Tyson Ritter Engaged to Elena Satine '' . People . Retrieved November 16 , 2013 .   Jump up ^ Blumm , K.C. ; Jordan , Julie ( January 1 , 2014 ) . `` Tyson Ritter and Elena Satine Are Married '' . People . Retrieved January 2 , 2014 .    External links ( edit )    Tyson Ritter on IMDb   Tyson Ritter on Twitter      ( hide )         The All - American Rejects       Nick Wheeler   Tyson Ritter   Mike Kennerty   Chris Gaylor     Jesse Tabish   Tim Campbell       Studio albums     The All - American Rejects   Move Along   When the World Comes Down   Kids in the Street       Demo albums     Same Girl , New Songs       Extended plays     The Bite Back EP   The Wind Blows : The Remixes   I Wanna : The Remixes   Flatline EP       Singles     `` Swing , Swing ''   `` The Last Song ''   `` Time Stands Still ''   `` Dirty Little Secret ''   `` Move Along ''   `` It Ends Tonight ''   `` Gives You Hell ''   `` The Wind Blows ''   `` I Wanna ''   `` Beekeeper 's Daughter ''   `` Kids in the Street ''   `` Heartbeat Slowing Down ''   `` There 's a Place ''       Other songs     `` Top of the World ''   `` Air ''       Related     Discography   Awards and nominations   Doghouse   DreamWorks   DGC   Interscope       Media             VIAF : 38819424   LCCN : n2007003744   ISNI : 0000 0000 4097 4994      Retrieved from `` https://en.wikipedia.org/w/index.php?title=Tyson_Ritter&amp;oldid=804548453 '' Categories :   Living people   1984 births   American male singer - songwriters   American singer - songwriters   Male models from Oklahoma   American rock bass guitarists   People from Stillwater , Oklahoma   Singers from Oklahoma   Male actors from Oklahoma   Songwriters from Oklahoma   Guitarists from Oklahoma   Hidden categories :   Use mdy dates from January 2015   Articles with hCards   Pages using Template : Infobox musical artist with unknown parameters   Wikipedia articles with VIAF identifiers   Wikipedia articles with LCCN identifiers   Wikipedia articles with ISNI identifiers           Talk                                           Contents                   About Wikipedia                                                 Čeština   فارسی   Français   Italiano   Português   Română   Suomi   Svenska   Edit links   This page was last edited on 9 October 2017 , at 18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</si>
  <si>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lead singer of all american rejects married to</t>
  </si>
  <si>
    <t xml:space="preserve"> Ritter and actress Elena Satine were engaged in April 2013 and married on New Year 's Eve that year . He has been best friends with bandmate Nick Wheeler ever since they met in high school . </t>
  </si>
  <si>
    <t xml:space="preserve">Halloween ( franchise ) - wikipedia  Halloween ( franchise )     Halloween     The original logo of the franchise .     Created by   John Carpenter Debra Hill     Original work   Halloween ( 1978 )     Print publications     Novel ( s )   List of novels     Comics   List of comics     Films and television     Film ( s )   List of films     Games     Video game ( s )   Halloween ( 1983 )     Halloween is an American horror franchise that consists of eleven films , as well as novels , comic books , merchandise , and a video game . The franchise primarily focuses on serial killer Michael Myers who was committed to a sanitarium as a child for the murder of his sister , Judith Myers . Fifteen years later , he escapes to stalk and kill the people of the fictional town of Haddonfield , Illinois while being chased by his former psychiatrist , Dr. Sam Loomis . Michael 's killings occur on the holiday of Halloween , on which all of the films primarily take place .   The original Halloween , released in 1978 , was written by John Carpenter and Debra Hill , and directed by Carpenter . The film is known to have inspired a long line of slasher films .   Seven sequels have since followed . Michael Myers is the antagonist in all of the films except Halloween III : Season of the Witch , the story of which has no direct connection to any other film in the series . In 2007 , writer - director Rob Zombie made a remake of the 1978 film . A direct sequel to the 2007 remake was released two years later . A direct sequel to the original film that ignores all other films in the franchise was released on October 19 , 2018 . It was the highest grossing film in the franchise .   The films collectively grossed over $ 366 million at the box - office worldwide . The film series is ranked second at the United States box office -- in adjusted 2008 dollars -- when compared to other American horror series . Both the original film and the 2018 sequel have received critical praise , while the other films have received mixed or negative reviews .   Contents    1 Films   1.1 Overview   1.2 Development   1.3 Music   1.4 Box office   1.5 Documentary     2 Literature   2.1 Novels   2.2 Comic books   2.3 Online stories     3 Merchandise   4 References   5 External links    Films ( edit )     Film   Director   Writer ( s )   Story   Producer ( s )     Halloween ( 1978 )   John Carpenter   John Carpenter and Debra Hill     Moustapha Akkad     Halloween II ( 1981 )   Rick Rosenthal   Debra Hill and John Carpenter     Halloween III : Season of the Witch ( 1982 )   Tommy Lee Wallace   Tommy Lee Wallace     Halloween 4 : The Return of Michael Myers ( 1988 )   Dwight H. Little   Alan B. McElroy   Dhani Lipsius , Larry Rattner &amp; Benjamin Ruffner and Alan B. McElroy     Halloween 5 : The Revenge of Michael Myers ( 1989 )   Dominique Othenin - Girard   Michael Jacobs &amp; Dominique Othenin - Girard and Shem Bitterman       Halloween : The Curse of Michael Myers ( 1995 )   Joe Chappelle   Daniel Farrands     Moustapha Akkad , Paul Freeman     Halloween H20 : 20 Years Later ( 1998 )   Steve Miner   Robert Zappia and Matt Greenberg   Moustapha Akkad , Robert Zappia     Halloween : Resurrection ( 2002 )   Rick Rosenthal   Larry Brand and Sean Hood   Moustapha Akkad , Larry Brand     Halloween ( 2007 )   Rob Zombie   Rob Zombie     Malek Akkad , Andy Gould and Rob Zombie     Halloween II ( 2009 )     Halloween ( 2018 )   David Gordon Green   Jeff Fradley , Danny McBride &amp; David Gordon Green     Malek Akkad , Jason Blum and Bill Block     Overview ( edit )   The original Halloween ( 1978 ) , co-written and directed by John Carpenter , tells the story of Michael Myers as he stalks and kills teenage babysitters on Halloween night . The film begins with six - year - old Michael ( Will Sandin ) killing his older sister Judith ( Sandy Johnson ) on Halloween night 1963 in the fictional town of Haddonfield , Illinois . He is subsequently hospitalized at Warren County 's Smith 's Grove Sanitarium . Fifteen years later , Michael ( Nick Castle and Tony Moran ) escapes from Smith 's Grove and returns to his hometown where he stalks Laurie Strode ( Jamie Lee Curtis ) and her friends as they babysit . The film ends with Michael being shot six times by his psychiatrist , Dr. Sam Loomis ( Donald Pleasence ) . Halloween II ( 1981 ) picks up where the events of Halloween left off . Michael 's body is missing from the front lawn , where he fell when Loomis shot him . Michael follows Laurie to the local hospital , killing everyone who gets between him and Laurie . The story reveals that Laurie is actually Michael 's sister : she was given up for adoption as an infant . Michael corners Loomis and Laurie in an operating room , where Loomis causes an explosion as Laurie escapes . Michael , engulfed in flames , stumbles out of the room before finally falling dead .   Michael Myers does not appear in Halloween III : Season of the Witch ( 1982 ) . This installment follows the story of Dr. Challis ( Tom Atkins ) as he tries to solve the mysterious murder of a patient in his hospital . He , along with the patient 's daughter Ellie ( Stacey Nelkin ) , travels to the small town of Santa Mira , California . The pair discover that Silver Shamrock Novelties , a company run by Conal Cochran ( Dan O'Herlihy ) , is attempting to use the mystic powers of the Stonehenge rocks to resurrect the ancient aspects of the Celtic festival , Samhain , which Cochran connects to witchcraft . Cochran is using his Silver Shamrock Halloween masks to achieve his goal , which will be achieved when all the children wearing his masks watch the Silver Shamrock commercial airing Halloween night . Challis contacts the television stations and convinces all but one of the station managers to remove the commercial . The film ends with Challis screaming for the final station to turn off the commercial .   Halloween 4 : The Return of Michael Myers ( 1988 ) , as the title suggests , features the return of Michael Myers ( George P. Wilbur ) to the film series . It is revealed that Michael survived the fire in Halloween II but has been comatose since that night . While being transferred back to Smith 's Grove , Michael awakens upon hearing that Laurie Strode , who died in a car accident , has a daughter , Jamie Lloyd ( Danielle Harris ) . Michael escapes and makes his way to Haddonfield in search of his niece Jamie . Fellow survivor Dr. Loomis goes to Haddonfield after learning that Michael has escaped transfer . Eventually , the police track Michael down and shoot him several times before he falls down a mine shaft . Picking up directly where the previous film ends , Halloween 5 : The Revenge of Michael Myers ( 1989 ) has Michael ( Don Shanks ) surviving the gunshots , and the fall down the mine ; he stumbles upon a hermit who bandages him up . One year later , and showing signs of a metaphysical connection to Jamie , Michael tracks Jamie to a local child mental health clinic . Using Jamie as bait , Loomis manages to capture Michael . The film ends with Michael being taken into police custody , only to be broken out of jail by a mysterious stranger , all dressed in black . Halloween : The Curse of Michael Myers ( 1995 ) picks up the story approximately six years after the events of The Revenge of Michael Myers . The mysterious stranger who broke Michael out of jail kidnaps Jamie Lloyd ( J.C. Brandy ) in an effort to obtain her child . Jamie escapes with her newborn son , with Michael ( George P. Wilbur ) in pursuit . Michael kills Jamie and continues searching for her baby ; the infant is found by Tommy Doyle ( Paul Rudd ) -- the young boy who was babysat by Laurie Strode in the first film -- who brings it home for safety . It is revealed that Michael is driven by the Curse of Thorn , which forces a person to kill their entire family in order to save all of civilization . The mysterious stranger is revealed to be Dr. Loomis 's colleague , Dr. Wynn ( Mitchell Ryan ) , who is part of a group of people who protect the chosen individual so that they may complete their task . With the help of Kara Strode ( Marianne Hagan ) , Laurie 's adoptive cousin , Tommy keeps the infant from Michael , who slaughters Wynn and his followers . Michael is finally subdued by Tommy , who injects him with large quantities of tranquilizers inside the Smith 's Grove Sanitarium . The film ends with Loomis walking back into the sanitarium to find Michael .   The events that transpire between the fourth to sixth films are effectively ignored in 1998 's Halloween H20 : 20 Years Later . This film opens twenty years after the events of the second film . Laurie Strode ( Jamie Lee Curtis ) has faked her own death so that she could go into hiding from her brother Michael . Now working as the head mistress of a private school under the name Keri Tate , Laurie continues to live in fear of her brother 's return . Her own son , John ( Josh Hartnett ) , attends school where she teaches . Laurie 's fear becomes reality when Michael ( Chris Durand ) shows up at the school and begins killing John 's friends and eventually he and Laurie come face - to - face . Laurie manages to get John and his girlfriend ( Michelle Williams ) to safety , but decides to return to the school to face Michael once and for all . Laurie succeeds in stopping Michael , but not satisfied until she knows that he is truly dead , Laurie steals his body and decapitates Michael , finally killing him . Halloween : Resurrection ( 2002 ) picks up three years after H20 , and reveals that Michael swapped clothes with a paramedic -- crushing the paramedic 's larynx so that he could not talk -- and that was whom Laurie killed . Unable to deal with having killed an innocent man , and the fact that Michael was still out there , Laurie is committed to a mental institution . Michael ( Brad Loree ) shows up at the institution , but Laurie captures him . Her fear of making the same mistake twice gets the better of her , and when she attempts to remove Michael 's mask he surprises and kills her . Michael travels back to his family home in Haddonfield , but finds a group of college students filming an Internet reality show . Michael proceeds to kill everyone , until he is finally electrocuted by the only surviving student , Sara Moyer ( Bianca Kajlich ) , and the show 's creator Freddie Harris ( Busta Rhymes ) .   A remake of the original Halloween was released in 2007 . This film focuses on the events that led Michael Myers ( Daeg Faerch ) to kill his family . It also identifies Laurie as Michael 's sister early on , which was something not done in the original 1978 film . On Halloween , Michael murders a school bully , his older sister and her boyfriend , as well as his mother 's boyfriend . Committed to Smith 's Grove Sanitarium , Michael closes himself off from everyone . Fifteen years later , Michael ( Tyler Mane ) escapes and heads to Haddonfield to find his younger sister , with his psychiatrist Dr. Loomis ( Malcolm McDowell ) in pursuit . Michael finds his sister living with the Strode family , and going by the name Laurie . After killing nearly all of her friends and family , Michael then kidnaps Laurie and attempts to explain to her that he is her brother through the use of a picture that he has kept of himself and her as an infant . Unable to understand , Laurie fights back ; eventually , Laurie uses Loomis 's gun to shoot Michael in the head . In 2009 , a sequel to the remake , titled Halloween II , picks up right where the latter leaves off and then jumps ahead one year . Here , Michael ( Mane ) is presumed dead , but resurfaces after a vision of his deceased mother Deborah ( Sheri Moon Zombie ) informs him that he must track Laurie ( Scout Taylor - Compton ) down so that they can `` come home '' together . In the film , Michael and Laurie have a mental link , with the two sharing visions of their mother .   Development ( edit )   After viewing John Carpenter 's film Assault on Precinct 13 ( 1976 ) at the Milan Film Festival , independent film producer Irwin Yablans and financier Moustapha Akkad sought out Carpenter to direct for them a film about a psychotic killer stalking babysitters . Carpenter and Debra Hill began drafting a story titled The Babysitter Murders , but the title was changed at Yablans ' request , suggesting the setting be changed to Halloween night and naming it Halloween instead . Moustapha Akkad fronted the $300,000 for the film 's budget , even though he was worried about the tight schedule , low budget , and Carpenter 's limited experience as a filmmaker . He finally decided to finance the film after Carpenter relayed the entire film to Akkad , `` in a suspenseful way , almost frame for frame '' , and opted not to take any fees for directing the film . The low budget forced wardrobe and props to be crafted from items on hand or that could be purchased inexpensively ; this included the trademark mask worn by Michael Myers throughout the film . Production designer , art director , location scout and co-editor Tommy Lee Wallace created Michael 's mask from a William Shatner Halloween mask , purchased for $1.98 . The limited budget also dictated the filming location and time schedule . Halloween was filmed in 21 days in the spring of 1978 primarily in South Pasadena , California . An abandoned house owned by a church stood in as the Myers house . Two homes on Orange Grove Avenue in Hollywood were used for the film 's climax .     We investigated a number of 3 - D processes ... but they were far too expensive for this particular project . Also , most of the projects we do involve a lot of night shooting -- evil lurks at night . It 's hard to do that in 3 - D .     -- Debra Hill ( writer / producer ) on putting Halloween II into 3 - D .     Following the success of Halloween , Yablans and Akkad began working on Halloween II . There was initial discussion about filming Halloween II in 3 - D , but the idea never came to fruition . After Halloween II was released , Carpenter and Hill were approached about creating a third Halloween film , but they were reluctant to pledge commitment . The pair agreed to participate in the new project only if it was not a direct sequel to Halloween II , which meant no Michael Myers . Most of the filming for Halloween III took place on location in the small coastal town of Loleta in Humboldt County , California . Familiar Foods , a milk bottling plant in Loleta , served as the Silver Shamrock Novelties factory , but all special effects involving fire , smoke , and explosions were filmed at Post Studios .   After Halloween III was released , Michael Myers was brought back into the franchise with 1988 's The Return of Michael Myers , where he has stayed for the remainder of the series . Four more sequels would follow , between 1988 and 2002 , before the series would take a break for five years . On June 4 , 2006 , Dimension Films announced that Rob Zombie , director of House of 1000 Corpses and The Devil 's Rejects , would be creating the next installment in the Halloween franchise . Bob Weinstein approached Rob Zombie about making the film , and Zombie , who was a fan of the original Halloween and friend of John Carpenter , jumped at the chance to make a Halloween film for Dimension Films . Before Dimension went public with the news , Zombie felt obligated to inform John Carpenter , out of respect , of the plans to remake his film . Carpenter 's request was for Zombie to `` make it his own ( film ) '' . Zombie 's film would combine the elements of prequel and remake with the original concept , with considerable original content in the new film . Zombie also wanted to reinvent the character , as he felt Michael , along with Freddy Krueger , Jason Voorhees , and Pinhead , had become too familiar to audiences , and as a result , less scary . Zombie delved deeper into Michael Myers 's mythology . Michael 's mask was even given its own story to provide an explanation as to why he wears it , instead of having the character simply steal a random mask from a hardware store , as in the original film . Zombie wanted to bring Michael closer to what a psychopath really is , and wanted the mask to be a way for Michael to hide .   In 2008 , a sequel to the 2007 remake was announced , with French filmmakers Julien Maury and Alexandre Bustillo in negotiations to direct . Instead , Zombie was resigned to write and direct the sequel , with the film taking place directly after the end of his remake . In an interview , Zombie expressed how the exhaustion of creating the first Halloween made him not want to come back for a sequel , but after a year of cooling down he was more open to the idea . The writer / director explains that with the sequel , he was no longer bound by a sense of needing to retain any `` John Carpenter - ness '' , as he could now do `` whatever ( he ) wants to do '' . Instead of focusing on Michael , Zombie chose to look more at the psychological consequences on Laurie after the events of the remake . As Zombie explains , after Michael murdered her friends and family , Laurie became a `` wreck '' , who continually sinks lower as the film moves forward . Rob Zombie declined to return to film the second sequel to the 2007 remake . The second sequel , Halloween 3D , was cancelled in 2012 .   A new effort to make a Halloween film , Halloween Returns , was attempted in 2015 , unrelated to the Rob Zombie films . This ultimately failed and was cancelled when Dimension Films lost the rights to the Halloween franchise .   On May 23 , 2016 , it was reported that Miramax and Blumhouse Productions were developing a new Halloween film , which they would co-finance . On February 9 , 2017 , John Carpenter announced that a new Halloween film was going to be written by David Gordon Green and Danny McBride and will be directed by Green . The film will be a direct sequel to the original Halloween and will ignore all of the franchise 's previous sequels . In September 2017 , Jamie Lee Curtis confirmed that she would reprise her role as Laurie Strode . In October 2017 , Judy Greer entered negotiations to play Laurie 's daughter Karen Strode . In December 2017 , it was announced Andi Matichak had signed on to play Karen Strode 's daughter and Laurie 's granddaughter . The film will be distributed by Universal Pictures , their first involvement in the franchise since distributing 1982 's Halloween III : Season of the Witch . On October 17 , 2017 , Carpenter announced that he would be returning to score the upcoming film , saying , `` I 'll be consulting with the director to see what he feels . I could create a new score , we could update the old score and amplify it , or we could combine those two things . I 'll have to see the movie to see what it requires . '' On December 20 , 2017 , it was announced that Nick Castle would be reprising his role as Michael Myers . Filming began on January 13 , 2018 , concluding on February 19 , 2018 . The film was released on October 19 , 2018 .   Music ( edit )   John Carpenter composed the music to the first three films . For Halloween , Carpenter chose to use a piano melody played in a 5 / 4 time rhythm instead of a symphonic soundtrack . Critic James Berardinelli calls the score `` relatively simple and unsophisticated '' , but admits that `` Halloween 's music is one of its strongest assets . '' Carpenter stated in an interview , `` I can play just about any keyboard , but I ca n't read or write a note . '' In the end credits , Carpenter bills himself as the `` Bowling Green Orchestra '' for performing the film 's score , but he did receive assistance from composer Dan Wyman , a music professor at San Jose State University .       Halloween theme John Carpenter 's theme for the original Halloween , which was reproduced for the sequels     Problems playing this file ? See media help .     The score for Halloween II is a variation of John Carpenter 's compositions from the first film , particularly the main theme 's familiar piano melody played . The score was performed on a synthesizer organ rather than the piano used for Halloween . One reviewer for the BBC described the revised score as having `` a more Gothic feel '' . The reviewer asserted that it `` does n't sound quite as good as the original piece '' , but `` it still remains a classic piece of music '' .   Music remained an important element in establishing the atmosphere of Halloween III . Just as in Halloween and Halloween II , there was no symphonic score . Much of the music was composed to solicit `` false startles '' from the audience . The soundtrack was composed by John Carpenter and Alan Howarth , who had also worked on the score for Halloween II . The score of Halloween III differed greatly from the familiar main theme of the original and its first sequel . Carpenter replaced the familiar piano melody with a slower , electronic theme played on a synthesizer with beeping tonalities . Howarth explains how he and Carpenter composed the music for the third film :   The music style of John Carpenter and myself has further evolved in this film soundtrack by working exclusively with synthesizers to produce our music . This has led to a certain procedural routine . The film is first transferred to a time coded video tape and synchronized to a 24 track master audio recorder ; then while watching the film we compose the music to these visual images . The entire process goes quite rapidly and has ' instant gratification ' , allowing us to evaluate the score in synch to the picture . This is quite an invaluable asset .   Following Carpenter 's departure from the series , Howarth would stay on - board as the sole composer for the next two sequels , and also acted as the lead composer on Halloween : The Curse of Michael Myers , with Paul Rabjohns providing additional music when the initial edit of the film was substantially re-filmed . While Halloween H20 credits John Ottman as its sole composer , in reality most of the soundtrack was provided by Scream composer Marco Beltrami , using a mixture of music from that film and a few original cues written by Beltrami , after the producers disliked Ottman 's score . Danny Lux provided the soundtrack for Halloween : Resurrection , while Tyler Bates composed the soundtracks for both the 2007 Halloween reboot and its 2009 sequel .   Box Office ( edit )   The Halloween franchise , when compared to the other top - grossing American horror franchises -- A Nightmare on Elm Street , Child 's Play , Friday the 13th , the Hannibal Lecter series , Psycho , Saw , Scream , and The Texas Chainsaw Massacre -- and adjusting for 2017 inflation is the second highest - grossing horror franchise in the United States at approximately $814 , 8 million . This list is topped by Friday the 13th at $825.1 million , followed by the Nightmare on Elm Street series with $703.3 million . The Hannibal Lecter film series closely follows in third with $737.6 million . Following Halloween is the Saw series with $580.9 million , Scream with $586.9 million , Psycho with $554.4 million , The Texas Chainsaw Massacre with $391 million , and the Child 's Play film series rounding out the list with $249.6 million .     Film   U.S. release date   Budget   Box office revenue   Reference     United States   Foreign   Worldwide     1 . Halloween ( 1978 )   October 25 , 1978   $325,000   $47,000,000   $23,000,000   $70,000,000       2 . Halloween II ( 1981 )   October 30 , 1981   $2,500,000   $25,533,818     $25,533,818       3 . Halloween III : Season of the Witch   October 22 , 1982   $2,500,000   $14,400,000     $14,400,000       4 . Halloween 4 : The Return of Michael Myers   October 21 , 1988   $5,000,000   $17,768,757     $17,768,757       5 . Halloween 5 : The Revenge of Michael Myers   October 13 , 1989   $5,000,000   $11,642,254     $11,642,254       6 . Halloween : The Curse of Michael Myers   September 29 , 1995   $5,000,000   $15,116,634     $15,116,634       7 . Halloween H20 : 20 Years Later   August 7 , 1998   $17,000,000   $55,041,738     $55,041,738       8 . Halloween : Resurrection   July 12 , 2002   $13,000,000   $30,354,442   $7,310,413   $37,664,855       9 . Halloween ( 2007 )   August 31 , 2007   $15,000,000   $58,272,029   $21,977,438   $80,249,467       10 . Halloween II ( 2009 )   August 29 , 2009   $15,000,000   $33,392,973   $6,028,494   $39,421,467       11 . Halloween ( 2018 )   October 19 , 2018   $10,000,000   $87,213,220   $15,868,497   $103,081,717       Total   $90,325,000   $395,735,865   $74,184,842   $469,920,707       List indicator ( s )   A light grey cell indicates the information is not available for the film .   ( A ) indicates an estimated figure based on available numbers .       Documentary ( edit )   Halloween : 25 Years of Terror is a DVD released on July 25 , 2006 , featuring a documentary on the Halloween films , narrated by P.J. Soles and featuring interviews from many of the cast members as well as filmmakers of the Halloween films and a lot of footage from the series as well . It has panel discussions with members from the casts and crews of most of the Halloween films , plus other celebrities and filmmakers such as Rob Zombie and Clive Barker as well as film critics . All of the panel discussions took place at a 25th - year anniversary convention in Pasadena , California ( one of the filming locations of the original Halloween ) in October 2003 . It also has extended versions of interviews featured in the documentary and much more . In 2010 , The Biography Channel produced a television special titled Halloween : The Inside Story , which premiered on October 28 , 2010 .   Literature ( edit )   Novels ( edit )   When the original Halloween was released in 1978 , a novelization of the film followed just a year later . Written by Curtis Richards , the book follows the events of the film , but expands on the festival of Samhain and Michael 's time at Smith 's Grove Sanitarium . Halloween II , Halloween III : Season of the Witch , and Halloween 4 each received novelizations as well . Jack Martin would write Halloween II , which was released alongside its film counterpart . Martin included an additional victim of Michael 's in this novel . Halloween IV , released in October 1988 and written by Nicholas Grabowsky , also followed the events of the film in which it was adapted from . A novelization of the 2018 film by John Passarella will be released on October 23 , 2018 .   Over a four - month period , Berkley Books published three young adult novels written by Kelly O'Rourke ; the novels are original stories created by O'Rourke , with no direct continuity with the films . The first , released on October 1 , 1997 , titled The Scream Factory , follows a group of friends who set up a haunted house attraction in the basement of Haddonfield City Hall , only to be stalked and killed by Michael Myers while they are there . The Old Myers Place is the second novel , released December 1 , 1997 , and focuses on Mary White , who moves into the Myers house with her family . Michael returns home and begins stalking and attacking Mary and her friends . O'Rourke's final novel , The Mad House , was released on February 1 , 1998 . The Mad House features a young girl , Christine Ray , who joins a documentary film crew that travels to haunted locations ; they are currently headed to Smith 's Grove Sanitarium , where they are confronted by Michael .   Comic books ( edit )   The first Halloween comic was published by Brian Pulido 's Chaos ! Comics . Simply titled Halloween , it was intended to be a one - issue special , but eventually two sequels spawned : Halloween II : The Blackest Eyes and Halloween III : The Devil 's Eyes . All of the stories were written by Phil Nutman , with Daniel Farrands -- writer for Halloween : The Curse of Michael Myers -- assisting on the first issue ; David Brewer and Justiniano worked on the illustrations . Tommy Doyle is the main protagonist in each of the issues , focusing on his attempts to kill Michael Myers . The first issue includes back story on Michael 's childhood , while the third picks up after the events of the film Halloween H20 . These comics were based on Daniel Farrand 's concept for Halloween : Resurrection ; he had been approached by the producers to pitch a follow - up to Halloween H20 . His idea was to have Tommy Doyle incarcerated at Smith 's Grove for Michael Myers ' crimes , only to escape and reunite with Lindsay Wallace . Together , they study the journals of Dr. Loomis and find out more about Michael 's childhood . The movie would have explored Michael 's time at Smith 's Grove and his relationship with Dr. Loomis , before returning to Tommy and Lindsay , who are attacked by the adult Michael Myers . Upon defeating him and removing his mask , they discover Laurie Strode , who has taken over her brother 's mantle . Farrand 's logic was that , since Jamie Lee Curtis was contracted to cameo in Halloween : Resurrection , they should make that cameo as significant and surprising as possible . Although the studio did not follow up on his pitch , Farrands was able to tell his story in comic book form .   One Good Scare was released in 2003 ; it was written by Stefan Hutchinson and illustrated by Peter Fielding . The main character in this comic is Lindsey Wallace , the young girl who first saw Michael Myers alongside Tommy Doyle in the original 1978 film . Hutchinson wanted to bring the character back to his roots , and away from the `` lumbering Jason - clone '' the film sequels had made him . One Good Scare came about because Hutchinson wanted to produce a comic book to celebrate the series ' twenty - fifth anniversary ; it was to be sold as a collectible at a Halloween convention in South Pasadena . Due to the positive reception to One Good Scare , Hutchinson hoped to use the comic as a `` demo '' for getting a distribution deal , but was unable to do so due to rights issues .   While waiting to acquire the rights to publish more Halloween comics , Stefan Hutchinson worked on the documentary Halloween : 25 Years of Terror with Malek Akkad . Together , they developed ideas for possible Halloween stories that would be `` connected into a larger tale , so the idea was that it would use the serial aspect of comic books to create different storylines than would be possible in the films . '' On July 25 , 2006 , as an insert inside the DVD release of Halloween : 25 Years of Terror , Hutchinson released Halloween : Autopsis . Written by Hutchinson , and artwork by Marcus Smith and Nick Dismas , the story is about a photographer assigned to take pictures of Michael Myers . As the photographer , Carter , follows Dr. Loomis he begins to take on Loomis 's obsession himself , until finally meeting Michael Myers in person , which results in his death .     `` A lot of readers found in the comic books what they had been missing from the films in the later sequels . Our books are very faithful to the source material , and by that we mean the original film itself . In our stories , Michael Myers is very much again `` The Shape '' -- the undefined bogeyman of 1978 , rather than the family killer of the 80s and 90s . ''     -- Stefan Hutchinson on the fan support of his Halloween comic book series .     Rob Zombie 's reboot of the film series ensured that any Halloween comics would not be contradicted by upcoming films , allowing Hutchinson creative freedom . Malek Akkad was approached by Devil 's Due Publishing with the possibility of producing a line of Halloween comics , and he and Hutchinson worked to make them a reality . Hutchinson was convinced by the strong support of One Good Scare that the comic books would have an audience . In 2008 , Stefan Hutchinson released the first issue of his new comic book , Halloween : Nightdance . This is a four - issue miniseries , and it does not contain any characters -- other than Michael -- from the films . The four issues are titled , `` A Shape in the Void '' , `` The Silent Clown '' , `` A Rainbow in One Color '' , and `` When the Stars Came Crashing Down '' . The first issue , `` A Shape in the Void '' , takes place on October 31 , 2000 , so that it falls between Halloween H20 and Halloween : Resurrection . Issue one follows Michael as he stalks Lisa , an eighteen - year - old girl with insecurities and `` a chronic fear of darkness '' . Hutchinson explains that Nightdance was an attempt to escape the dense continuity of the film series and recreate the tone of the 1978 film . Michael becomes inexplicably fixated on Lisa , just as he did with Laurie in the original Halloween , before the sequels established that</t>
  </si>
  <si>
    <t xml:space="preserve">how many halloween micheal myers movies are there</t>
  </si>
  <si>
    <t xml:space="preserve"> Halloween is an American horror franchise that consists of eleven films , as well as novels , comic books , merchandise , and a video game . The franchise primarily focuses on serial killer Michael Myers who was committed to a sanitarium as a child for the murder of his sister , Judith Myers . Fifteen years later , he escapes to stalk and kill the people of the fictional town of Haddonfield , Illinois while being chased by his former psychiatrist , Dr. Sam Loomis . Michael 's killings occur on the holiday of Halloween , on which all of the films primarily take place . </t>
  </si>
  <si>
    <r>
      <rPr>
        <sz val="11"/>
        <color rgb="FF000000"/>
        <rFont val="Calibri"/>
        <family val="0"/>
        <charset val="1"/>
      </rPr>
      <t xml:space="preserve">Willy Wonka &amp; the Chocolate Factory - wikipedia  Willy Wonka &amp; the Chocolate Factory  For the 2005 film adaptation , see Charlie and the Chocolate Factory ( film ) . For the book , see Charlie and the Chocolate Factory .    Willy Wonka &amp; the Chocolate Factory     Theatrical release poster     Directed by   Mel Stuart     Produced by     Stan Margulies   David L. Wolper       Screenplay by   Roald Dahl     Based on   Charlie and the Chocolate Factory by Roald Dahl     Starring     Gene Wilder   Jack Albertson   Peter Ostrum   Roy Kinnear   Julie Dawn Cole   Leonard Stone   Denise Nickerson   Dodo Denney   Paris Themmen       Music by     Leslie Bricusse   Anthony Newley   Walter Scharf       Cinematography   Arthur Ibbetson     Edited by   David Saxon     Production company     Wolper Pictures   The Quaker Oats Company       Distributed by   Paramount Pictures     Release date     June 30 , 1971 ( 1971 - 06 - 30 ) ( United States )               Running time   99 minutes     Country   United States     Language   English     Budget   $3 million     Box office   $4 million     Willy Wonka &amp; the Chocolate Factory is a 1971 American musical fantasy film directed by Mel Stuart , and starring Gene Wilder as Willy Wonka . It is an adaptation of the 1964 novel Charlie and the Chocolate Factory by Roald Dahl . Dahl was credited with writing the film 's screenplay ; however , David Seltzer , who went uncredited in the film , was brought in to re-work the screenplay against Dahl 's wishes , making major changes to the ending and adding musical numbers . These changes and other decisions made by the director led Dahl to disown the film .   The film tells the story of Charlie Bucket ( Peter Ostrum ) as he receives a Golden Ticket and visits Willy Wonka 's chocolate factory with four other children from around the world . Filming took place in Munich in 1970 , and the film was released by Paramount Pictures on June 30 , 1971 . With a budget of just $3 million , the film received generally positive reviews and earned $4 million by the end of its original run . The film became highly popular in part through repeated television airings and home entertainment sales . In 1972 , the film received an Academy Award nomination for Best Original Score , and Wilder was nominated for a Golden Globe as Best Actor in a Musical or Comedy , but lost both to Fiddler on the Roof . The film also introduced the song `` The Candy Man '' , which went on to become a popular hit when recorded by Sammy Davis Jr . In 2014 , the film was selected for preservation in the United States National Film Registry by the Library of Congress as being `` culturally , historically , or aesthetically significant '' .     Contents  ( hide )   1 Plot   2 Cast   2.1 Oompa Loompas     3 Production   3.1 Development   3.2 Casting   3.3 Filming   3.4 Promotion     4 Reception   4.1 Dahl 's reaction     5 Animated adaptation   6 Home media   7 Music   8 Soundtrack   9 See also   10 Notes   11 References   12 External links      Plot ( edit )   In a small town , Charlie Bucket , a poor paperboy , watches a group of children visit a candy shop . Walking home , he passes Willy Wonka 's chocolate factory . A mysterious tinker recites the first lines of William Allingham 's poem `` The Fairies '' , and tells Charlie , `` Nobody ever goes in , and nobody ever comes out . '' Charlie rushes home to his widowed mother and bedridden grandparents . After telling Grandpa Joe about the tinker , Joe reveals that Wonka locked the factory because other candy makers , including rival Arthur Slugworth , sent in spies to steal his recipes . Wonka disappeared , but after three years resumed selling candy ; the origin of Wonka 's labor force is unknown .   The next day , Wonka announces that he hid five `` Golden Tickets '' in chocolate Wonka Bars . Finders of the tickets will receive a factory tour and a lifetime supply of chocolate . The first four tickets are found by the gluttonous Augustus Gloop , the spoiled Veruca Salt , the gum - chewing Violet Beauregarde , and the television - obsessed Mike Teevee . As each winner is announced on TV , a man whispers to them . Charlie opens two Wonka Bars but finds no Golden Ticket . The newspapers announce the fifth ticket was found by a millionaire in Paraguay causing Charlie to lose hope . The next day , Charlie finds money in a sewer and uses it to buy a Scrumdiddlyumptious bar . With the change , he buys another Wonka Bar for Joe . Walking home , as Charlie hears people reading the newspapers ; revealing that the Paraguayan millionaire 's ticket is a fake , he opens the Wonka Bar and finds the fifth golden ticket . While rushing home , he encounters the same man seen whispering to the other winners , who introduces himself as Slugworth and offers a reward for a sample of Wonka 's latest creation , the Everlasting Gobstopper .   Returning home with the Golden Ticket , Charlie chooses Joe as his chaperone . The next day , Wonka greets the ticket winners and leads them inside where each signs a contract before the tour . The factory includes a river of chocolate , edible mushrooms , lickable wallpaper , and other sweets and inventions . As the visitors sample these , they see Wonka 's workers , small men known as Oompa - Loompas . Augustus falls into the chocolate river and is sucked up a pipe to the Fudge Room . In the Inventing Room , everyone receives an Everlasting Gobstopper . Violet becomes a large blueberry after chewing an experimental gum containing a three - course meal , over Wonka 's warnings . The group reaches the Fizzy Lifting Drinks Room , where Charlie and Joe ignore Wonka 's warning and sample the drinks . They float and have a near - fatal encounter with an exhaust fan before burping back to the ground . In the Chocolate Eggs Room , Veruca demands a golden goose for herself before falling into a garbage chute leading to the furnace , with her father falling in trying to rescue her . The group tests out Wonka 's Wonkavision , only for Mike to teleport himself and become a few inches tall .   With Charlie and Joe remaining , Wonka says they are not getting anything because they violated the contract by stealing the Fizzy Lifting Drinks . Infuriated by this , Joe suggests to Charlie that he should give Slugworth the Gobstopper in revenge , but Charlie returns the candy back to Wonka . With this selfless act , Wonka declares Charlie as the winner . He reveals that Slugworth is actually Mr. Wilkinson , an employee of Wonka , and the offer to buy the Gobstopper was a morality test that only Charlie passed . The trio enter the `` Wonkavator '' , a multi-directional glass elevator that flies out of the factory . Soaring over the city , Wonka reveals that his actual prize is the factory ; Wonka created the contest to find an heir worthy enough , and so Charlie and his family can immediately move in . Wonka then reminds Charlie not to forget about the man who suddenly received everything he ever wanted . Charlie asks , `` What happened ? '' to which Wonka replies , `` He lived happily ever after . ''     Cast ( edit )  The main cast . Back row ( left to right ) : Michael Bollner , Ursula Reit , Gene Wilder Front row ( left to right ) : Leonard Stone , Denise Nickerson , Roy Kinnear , Julie Dawn Cole , Dodo Denny , Paris Themmen , Peter Ostrum , Jack Albertson Main article : List of Willy Wonka and the Chocolate Factory characters   Gene Wilder as Willy Wonka   Jack Albertson as Grandpa Joe   Peter Ostrum as Charlie Bucket   Roy Kinnear as Henry Salt   Julie Dawn Cole as Veruca Salt   Leonard Stone as Sam Beauregarde   Denise Nickerson as Violet Beauregarde   Dodo Denney as Mrs. Teevee   Paris Themmen as Mike Teevee   Ursula Reit as Mrs. Gloop   Michael Bollner as Augustus Gloop   Diana Sowle as Mrs. Bucket   Aubrey Woods as Bill , the Candy Shop owner   David Battley as Mr. Turkentine   Günter Meisner as Arthur Slugworth / Mr. Wilkinson   Peter Capell as The Tinker   Werner Heyking as Mr. Jopeck   Peter Stuart as Winkelmann    Oompa Loompas ( edit )    Rusty Goffe   Rudy Borgstaller   George Claydon   Malcolm Dixon   Ismed Hassan   Norman McGlen   Angelo Muscat   Pepe Poupee   Marcus Powell   Albert Wilkinson    Production ( edit )   Development ( edit )   The idea for adapting the book into a film came about when director Mel Stuart 's ten - year - old daughter read the book and asked her father to make a film out of it , with `` Uncle Dave '' ( producer David L. Wolper ) producing it . Stuart showed the book to Wolper , who happened to be in the midst of talks with the Quaker Oats Company regarding a vehicle to introduce a new candy bar from its Chicago - based Breaker Confections subsidiary ( since renamed the Willy Wonka Candy Company and sold to Nestlé ) . Wolper persuaded the company , which had no previous experience in the film industry , to buy the rights to the book and finance the picture for the purpose of promoting a new Quaker Oats Wonka Bar .   It was agreed that the film would be a children 's musical , and that Dahl himself would write the screenplay . However , the title was changed to Willy Wonka and the Chocolate Factory .   Screenwriter David Seltzer conceived a gimmick exclusively for the film that had Wonka quoting numerous literary sources , such as Arthur O'Shaughnessy 's Ode , Oscar Wilde 's The Importance of Being Earnest , Samuel Taylor Coleridge 's The Rime of the Ancient Mariner and William Shakespeare 's The Merchant of Venice . Seltzer also worked Slugworth ( only mentioned as a rival candy maker in the book ) into the plot as an actual character ( only to be revealed to be Wilkinson , one of Wonka 's agents , at the end of the film ) .   Casting ( edit )   All six members of Monty Python : Graham Chapman , John Cleese , Eric Idle , Terry Gilliam , Terry Jones and Michael Palin , expressed interest in playing Wonka , but at the time they were deemed not big enough names for an international audience . Three of the members , Cleese , Idle and Palin , were later seriously considered for the same role in Tim Burton 's version .   Before Wilder was officially cast for the role , producers considered Fred Astaire , Joel Grey , Ron Moody and Jon Pertwee . Spike Milligan was Roald Dahl 's original choice to play Willy Wonka . Peter Sellers even begged Dahl for the role .   When Wilder was cast for the role , he accepted it on one condition :   When I make my first entrance , I 'd like to come out of the door carrying a cane and then walk toward the crowd with a limp . After the crowd sees Willy Wonka is a cripple , they all whisper to themselves and then become deathly quiet . As I walk toward them , my cane sinks into one of the cobblestones I 'm walking on and stands straight up , by itself ; but I keep on walking , until I realize that I no longer have my cane . I start to fall forward , and just before I hit the ground , I do a beautiful forward somersault and bounce back up , to great applause .  -- Gene Wilder  The reason why Wilder wanted this in the film was that `` from that time on , no one will know if I 'm lying or telling the truth . ''   Jean Stapleton turned down the role of Mrs. Teevee . Jim Backus was considered for the role of Sam Beauregarde . Sammy Davis , Jr. wanted to play Bill , the candy store owner , but Stuart did not like the idea because he felt that the presence of a big star in the candy store scene would break the reality . Nevertheless , Davis ' recording of the film 's opening musical number , `` The Candy Man , '' would top the Billboard magazine record charts in 1972 , despite the fact that Davis initially hated the song . Anthony Newley also wanted to play Bill , but Stuart also objected to this for the same reason .   Filming ( edit )   Principal photography commenced on August 31 , 1970 , and ended on November 19 , 1970 . The primary shooting location was Munich , Bavaria , West Germany , because it was significantly cheaper than filming in the United States and the setting was conducive to Wonka 's factory ; Stuart also liked the ambiguity and unfamiliarity of the location . External shots of the factory were filmed at the gasworks of Stadtwerke München ( Emmy - Noether - Straße 10 ) ; the entrance and side buildings still exist . The exterior of Charlie Bucket 's house , which was only a set constructed for the film , was filmed at Quellenstraße in Munich , Bavaria . Charlie 's school was filmed at Katholisches Pfarramt St. Sylvester , Biedersteiner Straße 1 in Munich . Bill 's Candy Shop was filmed at Lilienstraße , Munich . The closing sequence when the Wonkavator is flying above the factory is footage of Nördlingen in Bavaria .     Munich Gasworks as it appears today ( building on the left )     Munich Gasworks as it appears today     Nördlingen , the town seen from above at the end of the film     Production designer Harper Goff centered the factory on the massive Chocolate Room . According to Paris Themmen , who played Mike Teevee , `` The river was made of water with food coloring . At one point , they poured some cocoa powder into it to try to thicken it but it did n't really work . When asked this question , Michael Böllner , who played Augustus Gloop , answers , ' It vas dirty , stinking vater . ' ''   When interviewed for the 30th anniversary special edition , Gene Wilder stated that he enjoyed working with most of the child actors , but said that he and the crew had some problems with Paris Themmen , claiming that he was `` a handful '' .   Promotion ( edit )   Before its release , the film received advance publicity though TV commercials offering a `` Willy Wonka candy factory kit '' for sending $1.00 and two seals from boxes of Quaker cereals such as King Vitaman , Life and any of the Cap'n Crunch brands .   Reception ( edit )   Willy Wonka was released on June 30 , 1971 . The film was not a big success , being the 53rd highest - grossing film of the year in the U.S. , earning just over $2.1 million on its opening weekend . It received positive reviews from critics such as Roger Ebert who gave the film a four out of four stars , while comparing it to The Wizard of Oz . Ebert said , `` All of this is preface to a simple statement : Willy Wonka and the Chocolate Factory is probably the best film of its sort since The Wizard of Oz . It is everything that family movies usually claim to be , but are n't : Delightful , funny , scary , exciting , and , most of all , a genuine work of imagination . `` Willy Wonka '' is such a surely and wonderfully spun fantasy that it works on all kinds of minds , and it is fascinating because , like all classic fantasy , it is fascinated with itself . ''   By the mid-1980s , Willy Wonka &amp; the Chocolate Factory had experienced a spike in popularity thanks in large part to repeated television broadcasts and home video sales . Following a 25th anniversary theatrical re-release in 1996 , it was released on DVD the next year , allowing it to reach a new generation of viewers . The film was released as a remastered special edition on DVD and VHS in 2001 to commemorate the film 's 30th anniversary . In 2003 , Entertainment Weekly ranked it 25th in the `` Top 50 Cult Movies '' of all time .   Willy Wonka was ranked No. 74 on Bravo 's 100 Scariest Movie Moments for the `` scary tunnel '' scene .   As of 2017 , the film holds a 91 % `` Fresh '' rating on Rotten Tomatoes with an average rating of 7.7 / 10 based on 42 reviews . The site 's critical consensus states : `` Willy Wonka &amp; the Chocolate Factory is strange yet comforting , full of narrative detours that do n't always work but express the film 's uniqueness '' .   Dahl 's reaction ( edit )   Dahl disowned the film , the script of which was partially rewritten by David Seltzer after Dahl failed to meet deadlines . Dahl said he was `` disappointed '' because `` he thought it placed too much emphasis on Willy Wonka and not enough on Charlie '' , as well as the casting of Gene Wilder instead of Spike Milligan . Dahl was also `` infuriated '' by the deviations in the plot Seltzer devised in his draft of the screenplay , including the conversion of Slugworth , a minor character in the book , into a spy ( so that the film could have a villain ) and the `` fizzy lifting drinks '' scene along with music other than the original Oompa Loompa compositions ( including `` Pure Imagination '' and `` The Candy Man '' ) , and the ending dialogue for the movie . In 1996 , Dahl 's second wife Felicity commented on her husband 's objections towards the film saying `` they always want to change a book 's storyline . What makes Hollywood think children want the endings changed for a film , when they accept it in a book ? ''   Animated adaptation ( edit )  Main article : Tom and Jerry : Willy Wonka and the Chocolate Factory  In 2017 , an animated adaptation of the film with Tom and Jerry was released . Tom and Jerry : Willy Wonka and the Chocolate Factory stars JP Karliak as Willy Wonka and is dedicated to Gene Wilder , who died less than a year before the release .   Home media ( edit )   The film was first released on DVD in 1997 / 1999 in a `` 25th anniversary edition '' as a double sided disc containing a widescreen and `` standard '' version . The `` standard '' version is an open matte print , where the mattes used to make the image widescreen are removed , revealing information originally intended to be hidden from viewers . VHS and Betamax copies were also available , but only containing the `` standard '' version .   A special edition DVD was released , celebrating the film 's 30th anniversary , on August 28 , 2001 , but in fullscreen only . Due to the lack of a letterboxed release , fan petitioning eventually led Warner Home Video to issue a widescreen version on November 13 , 2001 . It was also released on VHS , with only one of the special features ( a making - of feature ) . Several original cast members reunited to film documentary footage for this special edition DVD release . The two editions featured restored sound , and better picture quality . In addition to the documentary , the DVD included a trailer , a gallery , and audio commentary by the cast .   In 2007 , Warner Home Video released the film on HD DVD with all the bonus features from the 2001 DVD . The film was released on Blu - ray on October 20 , 2009 . It includes all the bonus features from the 2001 DVD and 2007 HD - DVD as well as a 38 - page book .   In 2011 , a new deluxe - 40th - anniversary edition Blu - ray / DVD set was released on November 1 , consisting of the film on Blu - ray Disc and DVD as well as a bonus features disc . The set also included a variety of rarities such as a Wonka Bar - designed tin , four scented pencils , a scented eraser , a book detailing the making of the film , original production papers and a Golden Ticket to win a trip to Los Angeles . The set is now out of print .   Music ( edit )   The Academy Award - nominated original score and songs were composed by Leslie Bricusse and Anthony Newley , and musical direction was by Walter Scharf . The soundtrack was first released by Paramount Records in 1971 . On October 8 , 1996 , Hip - O Records ( in conjunction with MCA Records , which by then owned the Paramount catalog ) , released the soundtrack on CD as a `` 25th Anniversary Edition '' . In 2016 , UMe and Geffen Records released a 45th Anniversary Edition LP .   The music and songs , in order of appearance , are :    `` Main Title '' -- Instrumental medley of `` ( I 've Got A ) Golden Ticket '' and `` Pure Imagination ''   `` The Candy Man '' -- Aubrey Woods   `` Cheer Up , Charlie '' -- Diana Lee ( dubbing over Diana Sowle )   `` ( I 've Got A ) Golden Ticket '' -- Jack Albertson and Peter Ostrum   `` Pure Imagination '' -- Gene Wilder   `` Oompa Loompa ( Augustus ) '' -- The Oompa Loompas   `` The Wondrous Boat Ride '' / `` The Rowing Song '' -- Gene Wilder   `` Oompa Loompa ( Violet ) '' -- The Oompa Loompas   `` I Want It Now ! '' -- Julie Dawn Cole   `` Oompa Loompa ( Veruca ) '' -- The Oompa Loompas   `` Ach , so fromm '' ( alternately titled `` M'appari '' , from Martha ) -- Gene Wilder   `` Oompa Loompa ( Mike ) '' -- The Oompa Loompas   `` End Credits '' -- `` Pure Imagination ''    Soundtrack ( edit )   The track listing for the soundtrack is as follows :    `` Main Title '' ( `` Golden Ticket '' / `` Pure Imagination '' )   `` The Candy Man ''   `` Charlie 's Paper Run ''   `` Cheer Up Charlie ''   `` Lucky Charlie ''   `` ( I 've Got A ) Golden Ticket ''   `` Pure Imagination ''   `` Oompa Loompa ''   `` The Wondrous Boat Ride ''   `` Everlasting Gobstoppers / Oompa Loompa ''   `` The Bubble Machine ''   `` I Want It Now / Oompa Loompa ''   `` Wonkamobile , Wonkavision / Oompa Loompa ''   `` Wonkavator / End Title '' ( `` Pure Imagination '' )    See also ( edit )    Film portal   1970s portal     List of American films of 1971   List of films featuring miniature people    Notes ( edit )    Jump up ^ Because Paramount Pictures decided not to renew distribution rights , the film rights were transferred to Warner Bros. in 1977 , when Wolper Pictures , Ltd. was bought by the company and Quaker Oats sold its share of the film    References ( edit )    Jump up ^ `` Willy Wonka and the Chocolate Factory ( U ) '' . British Board of Film Classification . August 20 , 1971 . Retrieved August 9 , 2015 .   Jump up ^ `` Willy Wonka &amp; the Chocolate Factory ( 1971 ) '' .   ^ Jump up to : `` Willy Wonka &amp; the Chocolate Factory ( 1971 ) - Financial Information '' . The-numbers.com . Retrieved February 15 , 2017 .   Jump up ^ `` Why Roald Dahl Hated The Willy Wonka And The Chocolate Factory Film '' . yahoo . Retrieved September 12 , 2016 .   Jump up ^ Liz Buckingham , trustee for the Roald Dahl Museum , quoted in Tom Bishop : `` Willy Wonka 's Everlasting Film Plot '' , BBC News , July 2005   Jump up ^ `` Willy Wonka and the Chocolate Factory '' . AFI Catalog of Feature Films . Retrieved August 30 , 2016 .   ^ Jump up to : J.M. Kenny ( Writer , Director , Producer ) ( 2001 ) . Pure Imagination : The Story of Willy Wonka and the Chocolate Factory ( DVD ) . USA : Warner Home Video . Retrieved December 2 , 2006 .   ^ Jump up to : Paur , Joey . `` 25 Fun Facts About Willy Wonka and the Chocolate Factory '' . Retrieved July 8 , 2015 .   ^ Jump up to : Honeybone , Nigel ( April 25 , 2012 ) . `` Film Review : Willy Wonka and the Chocolate Factory ( 1971 ) '' . Retrieved July 8 , 2015 .   Jump up ^ Segal , David ( March 28 , 2005 ) . `` Gene Wilder : It Hurts to Laugh '' . The Washington Post . Retrieved July 8 , 2015 .   Jump up ^ Evans , Bradford ( January 31 , 2013 ) . `` The Lost Roles of Peter Sellers '' . Splitsider . Retrieved July 11 , 2015 .   ^ Jump up to : Perkins , Will . `` Gene Wilder 's Willy Wonka Demands Revealed '' . Yahoo.com . Yahoo . Retrieved 18 September 2015 .   Jump up ^ `` Jean Stapleton Dies : Top 10 Facts You Need to Know '' . Heavy.com . June 1 , 2013 . Retrieved July 13 , 2015 .   Jump up ^ Chandler , Ed ( June 3 , 2013 ) . `` Five Things You Should Know About Jean Stapleton '' . Retrieved July 13 , 2015 .   ^ Jump up to : `` Willy Wonka and the Chocolate Factory ( 1971 ) : Notes '' . Turner Classic Movies . Retrieved July 13 , 2015 .   Jump up ^ `` ParisThemmenAMA comments on I am Paris Themmen . I played Mike Teevee in the original Willy Wonka . AMA ! '' . Reddit.com . September 2 , 2014 . Retrieved May 4 , 2015 .   Jump up ^ Stuart , Mel ; Young , Josh ( November 1 , 2001 ) . Pure Imagination : The Making of Willy Wonka and the Chocolate Factory . St. Martin 's Press . ISBN 978 - 0312287771 .   Jump up ^ robatsea2009 ( December 19 , 2011 ) . `` Willy Wonka Candy Factory 1971 TV commercial '' -- via YouTube .   Jump up ^ `` Willy Wonka &amp; the Chocolate Factory : Box Office Data , DVD and Blu - ray Sales , Movie News , Cast and Crew Information '' . The-numbers.com . Retrieved May 4 , 2015 .   Jump up ^ Ebert , Roger ( January 1 , 1971 ) . `` Willy Wonka and the Chocolate Factory '' . RogerEbert.com . Ebert Digital LLC . Retrieved September 27 , 2017 .   Jump up ^ `` Bravo 's ' The 100 Scariest Movie Moments ' '' . Archived from the original on August 1 , 2007 .   Jump up ^ Willy Wonka &amp; the Chocolate Factory at Rotten Tomatoes   ^ Jump up to : Bishop , Tom ( July 11 , 2005 ) . `` Willy Wonka 's Everlasting Film Plot '' . BBC News . Retrieved January 29 , 2014 . He thought it placed too much emphasis on Willy Wonka and not enough on Charlie , '' said Liz Attenborough , trustee of the Roald Dahl Museum and Story Centre in Buckinghamshire . `` For him the book was about Charlie .   Jump up ^ Pure Imagination : The Story of `` Willy Wonka and the Chocolate Factory '' . Two Dog Productions Inc. 2001 .   Jump up ^ `` Willy Wonka &amp; the Chocolate Factory ( 1971 ) '' . Dvdmg.com . Retrieved May 4 , 2015 .   Jump up ^ `` Willy Wonka &amp; the Chocolate Factory : 30th Anniversary Edition ( 1971 ) '' . Dvdmg.com . Retrieved May 4 , 2015 .   Jump up ^ `` Willy Wonka and the Chocolate Factory ( HD DVD ) - IGN '' . Dvd.ign.com . June 6 , 2007 . Retrieved May 4 , 2015 .   Jump up ^ `` News : Willy Wonka &amp; The Chocolate Factory ( US - BD ) '' . DVDActive.com . Retrieved May 4 , 2015 .   Jump up ^ Cook , Tommy ( November 1 , 2011 ) . `` Willy Wonka and the Chocolate Factory 40th Anniversary Box Set Blu - ray Review '' . Collider.com . Retrieved May 4 , 2015 .    External links ( edit )       Wikiquote has quotations related to : Willy Wonka &amp; the Chocolate Factory         Wikimedia Commons has media related to Willy Wonka &amp; the Chocolate Factory .      Willy Wonka &amp; the Chocolate Factory on IMDb   Willy Wonka &amp; the Chocolate Factory at the TCM Movie Database   Willy Wonka &amp; the Chocolate Factory at Rotten Tomatoes   The AFI Catalog of Feature Films ... Willy Wonka and the Chocolate Factory              Roald Dahl 's Charlie and the Chocolate Factory     Books     Charlie and the Chocolate Factory   Charlie and the Great Glass Elevator       Films     Willy Wonka &amp; the Chocolate Factory   Charlie and the Chocolate Factory   soundtrack     Tom and Jerry : Willy Wonka and the Chocolate Factory       Characters     Willy Wonka       Theater     Roald Dahl 's Willy Wonka ( 2004 musical )   Charlie and the Chocolate Factory ( 2013 musical )   The Golden Ticket       Music     Charlie and the Chocolate Factory : Original Motion Picture Soundtrack   `` Pure Imagination ''   `` The Candy Man ''       Miscellaneous     The Ride   Video games   Wonka Bar   Everlasting Gobstopper   Primus &amp; the Chocolate Factory with the Fungi Ensemble   The Willy Wonka Candy Company                 Films directed by Mel Stuart       Four Days in November ( 1964 )   If It 's Tuesday , This Must Be Belgium ( 1969 )   I Love My Wife ( 1970 )   Willy Wonka &amp; the Chocolate Factory ( 1971 )   One Is a Lonely Number ( 1972 )   Wattstax ( 1973 )   Mean Dog Blues ( 1978 )   The Triangle Factory Fire Scandal ( 1979 )   The White Lions ( 1981 )                 Roald Dahl     Children 's fiction     The Gremlins ( 1943 )   James and the Giant Peach ( 1961 )   Charlie and the Chocolate Factory ( 1964 )   The Magic Finger ( 1966 )   Fantastic Mr Fox ( 1970 )   Charlie and the Great Glass Elevator ( 1972 )   Danny , the Champion of the World ( 1975 )   The Enormous Crocodile ( 1978 )   The Twits ( 1980 )   George 's Marvellous Medicine ( 1981 )   The BFG ( 1982 )   The Witches ( 1983 )   The Giraffe and the Pelly and Me ( 1985 )   Matilda ( 1988 )   Esio Trot ( 1990 )   The Vicar of Nibbleswicke ( 1991 )   The Minpins ( 1991 )       Children 's poetry     Revolting Rhymes ( 1982 )   Dirty Beasts ( 1983 )   Rhyme Stew ( 1989 )       Adult novels     Sometime Never : A Fable for Supermen ( 1948 )   My Uncle Oswald ( 1979 )       Adult short story collections     Over to You : Ten Stories of Flyers and Flying ( 1946 )   Someone Like You ( 1953 )   Kiss Kiss ( 1960 )   Lamb to the Slaughter ( 1953 )   Switch Bitch ( 1974 )   The Wonderful Story of Henry Sugar and Six More ( 1977 )   The Best of Roald Dahl ( 1978 )   Tales of the Unexpected ( 1979 )   More Tales of the Unexpected ( 1980 )   The Roald Dahl Omnibus ( 1986 )   Two Fables ( 1986 )   Ah , Sweet Mystery of Life : The Country Stories of Roald Dahl ( 1989 )   The Collected Short Stories of Roald Dahl ( 1991 )   The Roald Dahl Treasury ( 1997 )   The Great Automatic Grammatizator ( 1998 )   Skin and Other Stories ( 2000 )   Roald Dahl : Collected Stories ( 2006 )       Non-fiction     The Mildenhall Treasure ( 1946 )   Boy : Tales of Childhood ( 1984 )   Going Solo ( 1986 )   Memories with Food at Gipsy House ( 1991 )   Roald Dahl 's Guide to Railway Safety ( 1991 )   My Year ( 1993 )       Film adaptations     36 Hours ( 1965 )   Willy Wonka &amp; the Chocolate Factory ( 1971 )   Danny , the Champion of the World ( 1989 )   The BFG ( 1989 )   The Witches ( 1990 )   Four Rooms ( 1995 )   James and the Giant Peach ( 1996 )   Matilda ( 1996 )   Charlie and the Chocolate Factory ( 2005 )   Fantastic Mr. Fox ( 2009 )   Roald Dahl 's Esio Trot ( 2015 )   The BFG ( 2016 )   Revolting Rhymes ( 2016 )   Tom and Jerry : Willy Wonka and the Chocolate Factory ( 2017 )       Film scripts     The Bells of Hell Go Ting - a-ling - a-ling ( 1966 , unfinished )   You Only Live Twice ( 1967 )   Chitty Chitty Bang Bang ( 1968 )   The Night Digger ( 1971 )   Willy Wonka &amp; the Chocolate Factory ( 1971 )       Television series     ' Way Out ( 1961 )   Tales of the Unexpected ( 1979 -- 88 )       Musicals and plays     The Honeys ( 1955 )   James and the Giant Peach ( 2010 )   Matilda ( 2010 )   Charlie and the Chocolate Factory ( 2013 )   Fantastic Mr Fox ( 2016 )       See also     Quentin Blake   Roald Dahl bibliography   Roald Dahl short stories bibliography   Roald Dahl 's Book of Ghost Stories ( 1983 )   List of Tales of the Unexpected episodes       Related     Roald Dahl Museum and Story Centre   Roald Dahl Children 's Gallery   Patricia Neal ( wife )   Tessa Dahl ( daughter )   Ophelia Dahl ( daughter )   Lucy Dahl ( daughter )   Sophie Dahl ( granddaughter )   Phoebe Dahl ( granddaughter )      Retrieved from `` https://en.wikipedia.org/w/index.php?title=Willy_Wonka_%26_the_Chocolate_Factory&amp;oldid=846477311 '' Categories :   1971 films   English - language films   Willy Wonka   American films   1970s musical films   1970s fantasy films   American children 's fantasy films   American musical films   Compositions by Leslie Bricusse   Films about children   Films about food and drink   Films based on British novels   Films based on children 's books   Films based on fantasy novels   Films based on works by Roald Dahl   Films directed by Mel Stuart   Films set in Europe   Films shot in Bavaria   Musical fantasy films   Quaker Oats Company   Screenplays by Roald Dahl   Size change in fiction   United States National Film Registry films   The Wolper Organization films   Paramount Pictures films   Hidden categories :   Use mdy dates from April 2017           Talk                                           Contents                   About Wikipedia                                             Wikiquote         Български   Català   Cymraeg   Dansk   Deutsch   Eesti   Español   Esperanto   Euskara   فارسی   Français   Galego   Bahasa Indonesia   Íslenska   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Srpskohrvatski / српскохрватски   Suomi   Svenska   Türkçe  18 more  Edit links   This page was last edited on 19 June 2018 , at 00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</si>
  <si>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the last scene of willy wonka filmed</t>
  </si>
  <si>
    <t xml:space="preserve"> Principal photography commenced on August 31 , 1970 , and ended on November 19 , 1970 . The primary shooting location was Munich , Bavaria , West Germany , because it was significantly cheaper than filming in the United States and the setting was conducive to Wonka 's factory ; Stuart also liked the ambiguity and unfamiliarity of the location . External shots of the factory were filmed at the gasworks of Stadtwerke München ( Emmy - Noether - Straße 10 ) ; the entrance and side buildings still exist . The exterior of Charlie Bucket 's house , which was only a set constructed for the film , was filmed at Quellenstraße in Munich , Bavaria . Charlie 's school was filmed at Katholisches Pfarramt St. Sylvester , Biedersteiner Straße 1 in Munich . Bill 's Candy Shop was filmed at Lilienstraße , Munich . The closing sequence when the Wonkavator is flying above the factory is footage of Nördlingen in Bavaria . </t>
  </si>
  <si>
    <t xml:space="preserve">List of Eurovision Song contest winners - wikipedia  List of Eurovision Song contest winners  Jump to : navigation , search Left : Lys Assia , the first Eurovision winner ( 1956 ) , and Dima Bilan , winner in 2008 . Centre : Johnny Logan , the winning artist in 1980 , winning artist and composer in 1987 and the winning composer in 1992 . Right : Ell &amp; Nikki celebrating Eurovision Song Contest 2011 victory in Düsseldorf .  Sixty - six songs have won the Eurovision Song Contest , an annual competition organised by member countries of the European Broadcasting Union . The contest , which has been broadcast every year since its debut in 1956 , is one of the longest - running television programmes in the world . The contest 's winner has been determined using numerous voting techniques throughout its history ; centre to these have been the awarding of points to countries by juries or televoters . The country awarded the most points is declared the winner . The first Eurovision Song Contest was not won on points , but by votes ( two per country ) , and only the winner was announced .       There have been 63 contests , with one winner each year except the tied 1969 contest , which had four . Twenty - seven different countries have won the contest . Switzerland won the first contest in 1956 . The country with the highest number of wins is Ireland , with seven . The only person to have won more than once as performer is Ireland 's Johnny Logan , who performed `` What 's Another Year '' in 1980 and `` Hold Me Now '' in 1987 . Logan is also one of only five songwriters to have written more than one winning entry ( `` Hold Me Now '' 1987 and `` Why Me ? '' 1992 , performed by Linda Martin ) . This unique distinction makes Logan the only person to have three Eurovision victories to his / her credit , as either singer , songwriter or both . The other four songwriters with more than one winning entry to their credit are , Willy van Hemert ( Netherlands , 1957 and 1959 ) , Yves Dessca ( Monaco , 1971 and Luxembourg , 1972 ) , Rolf Løvland ( Norway , 1985 and 1995 ) and Brendan Graham ( Ireland , 1994 and 1996 ) .   Winning the Eurovision Song Contest provides a unique opportunity for the winning artist ( s ) to capitalise on their success and surrounding publicity by launching or furthering their international career during their singing years . However , throughout the history of the contest , relatively few of these artists have gone on to be huge international stars . The most notable winning Eurovision artists whose career was directly launched into the spotlight following their win were the members of ABBA , who won the 1974 contest for Sweden with their song `` Waterloo '' . ABBA went on to be one of the most successful bands of its time . Another notable winner who subsequently achieved international fame and success was Céline Dion , who won the 1988 contest for Switzerland with the song `` Ne partez pas sans moi '' .     Contents  ( hide )   1 List   2 Winners By Year   3 Ranking ( top 3 appearances )   4 By language   5 Photogallery   6 See also   7 Notes and references   7.1 Footnotes   7.2 References   7.3 Bibliography        List ( edit )     Year   Date   Host city   Winner   Song   Performer   Points   Margin   Runner - up     1956   24 May   Lugano   Switzerland   `` Refrain ''   Lys Assia   Not announced     1957   3 March   Frankfurt   Netherlands   `` Net als toen ''   Corry Brokken   7001310000000000000 ♠ 31   7001140000000000000 ♠ 14   France     1958   12 March   Hilversum   France   `` Dors , mon amour ''   André Claveau   7001270000000000000 ♠ 27   7000300000000000000 ♠ 3   Switzerland     1959   11 March   Cannes   Netherlands   `` Een beetje ''   Teddy Scholten   7001210000000000000 ♠ 21   7000500000000000000 ♠ 5   United Kingdom     1960   29 March   London   France   `` Tom Pillibi ''   Jacqueline Boyer   7001320000000000000 ♠ 32   7000700000000000000 ♠ 7   United Kingdom     1961   18 March   Cannes   Luxembourg   `` Nous les amoureux ''   Jean - Claude Pascal   7001310000000000000 ♠ 31   7000700000000000000 ♠ 7   United Kingdom     1962   18 March   Luxembourg   France   `` Un premier amour ''   Isabelle Aubret   7001260000000000000 ♠ 26   7001130000000000000 ♠ 13   Monaco     1963   23 March   London   Denmark   `` Dansevise ''   Grethe and Jørgen Ingmann   7001420000000000000 ♠ 42   7000200000000000000 ♠ 2   Switzerland     1964   21 March   Copenhagen   Italy   `` Non ho l'età ''   Gigliola Cinquetti   7001490000000000000 ♠ 49   7001320000000000000 ♠ 32   United Kingdom     1965   20 March   Naples   Luxembourg   `` Poupée de cire , poupée de son ''   France Gall   7001320000000000000 ♠ 32   7000600000000000000 ♠ 6   United Kingdom     1966   5 March   Luxembourg   Austria   `` Merci , Chérie ''   Udo Jürgens   7001310000000000000 ♠ 31   7001150000000000000 ♠ 15   Sweden     1967   8 April   Vienna   United Kingdom   `` Puppet on a String ''   Sandie Shaw   7001470000000000000 ♠ 47   7001250000000000000 ♠ 25   Ireland     1968   6 April   London   Spain   `` La , la , la ''   Massiel   7001290000000000000 ♠ 29   7000100000000000000 ♠ 1   United Kingdom     1969   29 March   Madrid   Spain   `` Vivo cantando ''   Salomé   7001180000000000000 ♠ 18   No runner - up     United Kingdom   `` Boom Bang - a-Bang ''   Lulu     Netherlands   `` De troubadour ''   Lenny Kuhr     France   `` Un jour , un enfant ''   Frida Boccara     1970   21 March   Amsterdam   Ireland   `` All Kinds of Everything ''   Dana   7001320000000000000 ♠ 32   7000600000000000000 ♠ 6   United Kingdom     1971   3 April   Dublin   Monaco   `` Un banc , un arbre , une rue ''   Séverine   7002128000000000000 ♠ 128   7001120000000000000 ♠ 12   Spain     1972   25 March   Edinburgh   Luxembourg   `` Après toi ''   Vicky Leandros   7002128000000000000 ♠ 128   7001140000000000000 ♠ 14   United Kingdom     1973   7 April   Luxembourg   Luxembourg   `` Tu te reconnaîtras ''   Anne - Marie David   7002129000000000000 ♠ 129   7000400000000000000 ♠ 4   Spain       6 April   Brighton   Sweden   `` Waterloo ''   ABBA   7001240000000000000 ♠ 24   7000600000000000000 ♠ 6   Italy       22 March   Stockholm   Netherlands   `` Ding - a-dong ''   Teach - In   7002152000000000000 ♠ 152   7001140000000000000 ♠ 14   United Kingdom     1976   3 April   The Hague   United Kingdom   `` Save Your Kisses for Me ''   Brotherhood of Man   7002164000000000000 ♠ 164   7001170000000000000 ♠ 17   France     1977   7 May   London   France   `` L'oiseau et l'enfant ''   Marie Myriam   7002136000000000000 ♠ 136   7001150000000000000 ♠ 15   United Kingdom     1978   22 April   Paris   Israel   `` A-Ba - Ni - Bi '' ( א - ב - ני - בי )   Izhar Cohen and the Alphabeta   7002157000000000000 ♠ 157   7001320000000000000 ♠ 32   Belgium     1979   31 March   Jerusalem   Israel   `` Hallelujah '' ( הללויה )   Gali Atari and Milk and Honey   7002125000000000000 ♠ 125   7000900000000000000 ♠ 9   Spain     1980   19 April   The Hague   Ireland   `` What 's Another Year ''   Johnny Logan   7002143000000000000 ♠ 143   7001150000000000000 ♠ 15   Germany     1981   4 April   Dublin   United Kingdom   `` Making Your Mind Up ''   Bucks Fizz   7002136000000000000 ♠ 136   7000400000000000000 ♠ 4   Germany     1982   24 April   Harrogate   Germany   `` Ein bißchen Frieden ''   Nicole   7002161000000000000 ♠ 161   7001610000000000000 ♠ 61   Israel       23 April   Munich   Luxembourg   `` Si la vie est cadeau ''   Corinne Hermès   7002142000000000000 ♠ 142   7000600000000000000 ♠ 6   Israel     1984   5 May   Luxembourg   Sweden   `` Diggi - Loo Diggi - Ley ''   Herreys   7002145000000000000 ♠ 145   7000800000000000000 ♠ 8   Ireland     1985   4 May   Gothenburg   Norway   `` La det swinge ''   Bobbysocks !   7002123000000000000 ♠ 123   7001180000000000000 ♠ 18   Germany     1986   3 May   Bergen   Belgium   `` J'aime la vie ''   Sandra Kim   7002176000000000000 ♠ 176   7001360000000000000 ♠ 36   Switzerland       9 May   Brussels   Ireland   `` Hold Me Now ''   Johnny Logan   7002172000000000000 ♠ 172   7001310000000000000 ♠ 31   Germany     1988   30 April   Dublin   Switzerland   `` Ne partez pas sans moi ''   Céline Dion   7002137000000000000 ♠ 137   7000100000000000000 ♠ 1   United Kingdom     1989   6 May   Lausanne   Yugoslavia   `` Rock Me ''   Riva   7002137000000000000 ♠ 137   7000700000000000000 ♠ 7   United Kingdom     1990   5 May   Zagreb   Italy   `` Insieme : 1992 ''   Toto Cutugno   7002149000000000000 ♠ 149   7001170000000000000 ♠ 17   Ireland France     1991   4 May   Rome   Sweden   `` Fångad av en stormvind ''   Carola   7002146000000000000 ♠ 146   5000000000000000000 ♠ 0   France     1992   9 May   Malmö   Ireland   `` Why Me ? ''   Linda Martin   7002155000000000000 ♠ 155   7001160000000000000 ♠ 16   United Kingdom     1993   15 May   Millstreet   Ireland   `` In Your Eyes ''   Niamh Kavanagh   7002187000000000000 ♠ 187   7001230000000000000 ♠ 23   United Kingdom     1994   30 April   Dublin   Ireland   `` Rock ' n ' Roll Kids ''   Paul Harrington and Charlie McGettigan   7002226000000000000 ♠ 226   7001600000000000000 ♠ 60   Poland     1995   13 May   Dublin   Norway   `` Nocturne ''   Secret Garden   7002148000000000000 ♠ 148   7001290000000000000 ♠ 29   Spain       18 May   Oslo   Ireland   `` The Voice ''   Eimear Quinn   7002162000000000000 ♠ 162   7001480000000000000 ♠ 48   Norway     1997   3 May   Dublin   United Kingdom   `` Love Shine a Light ''   Katrina and the Waves   7002227000000000000 ♠ 227   7001700000000000000 ♠ 70   Ireland     1998   9 May   Birmingham   Israel   `` Diva '' ( דיווה )   Dana International   7002172000000000000 ♠ 172   7000600000000000000 ♠ 6   United Kingdom     1999   29 May   Jerusalem   Sweden   `` Take Me to Your Heaven ''   Charlotte Nilsson   7002163000000000000 ♠ 163   7001170000000000000 ♠ 17   Iceland     2000   13 May   Stockholm   Denmark   `` Fly on the Wings of Love ''   Olsen Brothers   7002195000000000000 ♠ 195   7001400000000000000 ♠ 40   Russia     2001   12 May   Copenhagen   Estonia   `` Everybody ''   Tanel Padar , Dave Benton and 2XL   7002198000000000000 ♠ 198   7001210000000000000 ♠ 21   Denmark     2002   25 May   Tallinn   Latvia   `` I Wanna ''   Marie N   7002176000000000000 ♠ 176   7001120000000000000 ♠ 12   Malta     2003   24 May   Riga   Turkey   `` Everyway That I Can ''   Sertab Erener   7002167000000000000 ♠ 167   7000200000000000000 ♠ 2   Belgium       15 May   Istanbul   Ukraine   `` Wild Dances ''   Ruslana   7002280000000000000 ♠ 280   7001170000000000000 ♠ 17   Serbia and Montenegro     2005   21 May   Kiev   Greece   `` My Number One ''   Helena Paparizou   7002230000000000000 ♠ 230   7001380000000000000 ♠ 38   Malta     2006   20 May   Athens   Finland   `` Hard Rock Hallelujah ''   Lordi   7002292000000000000 ♠ 292   7001440000000000000 ♠ 44   Russia     2007   12 May   Helsinki   Serbia   `` Molitva '' ( Молитва )   Marija Šerifović   7002268000000000000 ♠ 268   7001330000000000000 ♠ 33   Ukraine     2008   24 May   Belgrade   Russia   `` Believe ''   Dima Bilan   7002272000000000000 ♠ 272   7001420000000000000 ♠ 42   Ukraine     2009   16 May   Moscow   Norway   `` Fairytale ''   Alexander Rybak   7002387000000000000 ♠ 387   7002169000000000000 ♠ 169   Iceland       29 May   Oslo   Germany   `` Satellite ''   Lena   7002246000000000000 ♠ 246   7001760000000000000 ♠ 76   Turkey     2011   14 May   Düsseldorf   Azerbaijan   `` Running Scared ''   Ell &amp; Nikki   7002221000000000000 ♠ 221   7001320000000000000 ♠ 32   Italy     2012   26 May   Baku   Sweden   `` Euphoria ''   Loreen   7002372000000000000 ♠ 372   7002113000000000000 ♠ 113   Russia     2013   18 May   Malmö   Denmark   `` Only Teardrops ''   Emmelie de Forest   7002281000000000000 ♠ 281   7001470000000000000 ♠ 47   Azerbaijan     2014   10 May   Copenhagen   Austria   `` Rise Like a Phoenix ''   Conchita Wurst   7002290000000000000 ♠ 290   7001520000000000000 ♠ 52   Netherlands     2015   23 May   Vienna   Sweden   `` Heroes ''   Måns Zelmerlöw   7002365000000000000 ♠ 365   7001620000000000000 ♠ 62   Russia     2016   14 May   Stockholm   Ukraine   `` 1944 ''   Jamala   7002534000000000000 ♠ 534   7001230000000000000 ♠ 23   Australia     2017   13 May   Kiev   Portugal   `` Amar pelos dois ''   Salvador Sobral   7002758000000000000 ♠ 758   7002143000000000000 ♠ 143   Bulgaria     2018   12 May   Lisbon   Israel   `` Toy ''   Netta Barzilai   7002529000000000000 ♠ 529   7001930000000000000 ♠ 93   Cyprus     2019   TBA   TBA                 For information about the winning songwriters of each year , see List of Eurovision Song Contest winning songwriters .   Eleven Eurovision winners ( alongside three non-winners ) featured at the Congratulations concert in 2005 , in which ABBA 's `` Waterloo '' was voted the most popular song of the contest 's first fifty years .   Ireland has finished first seven times , more than any other country , Ireland also won the contest for three consecutive years ( 1992 , 1993 , 1994 ) , more consecutive years than any other country . Three countries have won twice in a row , Spain ( 1968 and 1969 ) , Luxembourg ( 1972 and 1973 ) and Israel ( 1978 and 1979 ) . Along with Switzerland 's win in the first contest , Serbia is the only other country to win with its debut entry ( in 2007 ) , though Serbia had competed prior as part of Yugoslavia and Serbia and Montenegro . Under the voting system used between 1975 and 2015 , the winner of the contest was decided by the final voting nation on eleven occasions .   Changes to the voting system , including a steady growth in the number of countries participating and voting , means that the points earned are not comparable across the decades . Portugal 's Salvador Sobral holds the record of the highest number of points in the contest 's history , earning 758 with the song `` Amar pelos dois '' . Norway 's Alexander Rybak holds the largest margin of victory in absolute points , a 169 - point cushion over second place in 2009 . Italy 's Gigliola Cinquetti holds the record for largest victory by percentage , scoring almost three times as many as second place ( 49 points compared with 17 by the runner - up ) in the 1964 contest . Under the voting system used from 1975 until 2015 , the lowest winning score was Norway 's Bobbysocks ! 123 points earned ( of the 216 available from the 18 other countries ) when winning Eurovision 1985 , while the lowest winning total ever is the 18 points ( of the 160 total votes cast by 16 countries ) scored by each of the four winning countries in 1969 .   Under the voting system used from 1975 until 2015 , in which each country gives maximum points to its first place choice , Sweden 's Loreen won Eurovision 2012 with the most ever first place votes earned , receiving first place votes from 18 of 41 countries ( excluding themselves ) . The 1976 United Kingdom entrant , Brotherhood of Man with the song `` Save Your Kisses For Me '' holds the record of the highest average score per participating country , with an average of 9.65 points received per country . 2011 winner Azerbaijan Eldar &amp; Nigar , hold the lowest average score for a winning song under that system , receiving 5.14 points per country .   The United Kingdom has finished second fifteen times at Eurovision ( most recently in 1998 ) , more than any other country . The most successful country never to have won the Contest is Malta , having finished second in 2002 and 2005 and third in 1992 and 1998 . Another island nation Iceland has also finished second twice , in 1999 and 2009 .   There is no official runner - up for two of the contests -- 1956 and 1969 . In 1956 only the winner , Switzerland , was announced , whilst there were speculative reports that Germany ended up in second place with `` Im Wartesaal zum großen Glück '' by Walter Andreas Schwarz , given that Germany was chosen to host the 1957 contest . In 1969 four songs shared first place by achieving the same number of points ; fifth place was achieved by Switzerland , which is not considered an official runner - up , because of the draw for first place .   Winners by year ( edit )  Map showing each country 's number of Eurovision wins up to and including 2018 .    Wins   Country   Years     7   Ireland   1970 , 1980 , 1987 , 1992 , 1993 , 1994 , 1996     6   Sweden   1974 , 1984 , 1991 , 1999 , 2012 , 2015     5   France   1958 , 1960 , 1962 , 1969 , 1977     Luxembourg   1961 , 1965 , 1972 , 1973 , 1983     United Kingdom   1967 , 1969 , 1976 , 1981 , 1997       Netherlands   1957 , 1959 , 1969 , 1975     Israel   1978 , 1979 , 1998 , 2018       Norway   1985 , 1995 , 2009     Denmark   1963 , 2000 , 2013       Spain   1968 , 1969     Switzerland   1956 , 1988     Italy   1964 , 1990     Germany   1982 , 2010     Austria   1966 , 2014     Ukraine   2004 , 2016       Monaco   1971     Belgium   1986     Yugoslavia   1989     Estonia   2001     Latvia   2002     Turkey   2003     Greece   2005     Finland   2006     Serbia   2007     Russia   2008     Azerbaijan   2011     Portugal   2017     Year 1969 is in italics to indicate joint ( 4 - way ) win .   Ranking ( top 3 appearances ) ( edit )     Place   Country   Winner   Runner up   Third place   Best place       Ireland   7             Sweden   6     6         United Kingdom   5   15           France   5     7       5   Luxembourg   5   0         6   Israel             7   Netherlands             8   Denmark             9   Norway             10   Germany       5       11   Italy       5       12   Spain             13   Switzerland             14   Ukraine             15   Austria     0         16   Russia             17   Belgium       0       18   Monaco             19   Turkey             20   Azerbaijan             21   Greece     0         22   Estonia     0         23   Latvia     0         24   Serbia     0         25   Yugoslavia     0   0       26   Finland     0   0       27   Portugal     0   0       28   Malta   0           29   Iceland   0     0       30   Bulgaria   0     0       31   Australia   0     0       32   Cyprus   0     0       33   Poland   0     0       34   Serbia and Montenegro   0     0       35   Romania   0   0         36   Bosnia and Herzegovina   0   0         37   Moldova   0   0         38   Croatia   0   0   0       39   Hungary   0   0   0       40   Armenia   0   0   0       41   Albania   0   0   0   5     42   Lithuania   0   0   0   6     43   Belarus   0   0   0   6     44   Czech Republic   0   0   0   6     45   Slovenia   0   0   0   7     46   Georgia   0   0   0   9     47   Macedonia   0   0   0   12     48   Montenegro   0   0   0   13     49   Slovakia   0   0   0   18     50   Morocco   0   0   0   18     51   San Marino   0   0   0   24     52   Andorra   0   0   0   12 ( semifinal )     By language ( edit )  English ( 46.26 % ) French ( 20.89 % ) Hebrew ( 5.79 % ) Dutch ( 4.48 % ) German ( 2.99 % ) Norwegian ( 2.99 % ) Swedish ( 2.99 % ) Italian ( 2.99 % ) Spanish ( 2.99 % ) Danish ( 1.49 % ) Ukrainian ( 1.49 % ) Croatian ( 1.49 % ) Serbian ( 1.49 % ) Crimean Tatar ( 1.49 % ) Portuguese ( 1.49 % )  Between 1966 and 1973 , and again between 1977 and 1998 , countries were only permitted to perform in their own language ; see the main Eurovision Song Contest article .     Wins   Language   Years   Countries     32   English   1967 , 1969 , 1970 , 1974 , 1975 , 1976 , 1980 , 1981 , 1987 , 1992 , 1993 , 1994 , 1996 , 1997 , 1999 , 2000 , 2001 , 2002 , 2003 , 2004 , 2005 , 2006 , 2008 , 2009 , 2010 , 2011 , 2012 , 2013 , 2014 , 2015 , 2016 , 2018   United Kingdom , Ireland , Sweden , Netherlands , Denmark , Estonia , Latvia , Turkey , Ukraine , Greece , Finland , Russia , Norway , Germany , Azerbaijan , Austria , Israel     14   French   1956 , 1958 , 1960 , 1961 , 1962 , 1965 , 1969 , 1971 , 1972 , 1973 , 1977 , 1983 , 1986 , 1988   Switzerland , France , Luxembourg , Monaco , Belgium       Hebrew   1978 , 1979 , 1998 , 2018   Israel       Dutch   1957 , 1959 , 1969   Netherlands       Italian   1964 , 1990   Italy     German   1966 , 1982   Austria , Germany     Spanish   1968 , 1969   Spain     Swedish   1984 , 1991   Sweden     Norwegian   1985 , 1995   Norway       Danish   1963   Denmark     Croatian   1989   Yugoslavia     Ukrainian     Ukraine     Serbian   2007   Serbia     Crimean Tatar   2016   Ukraine     Portuguese   2017   Portugal     Photogallery ( edit )     Lys Assia , winner of the 1956 contest for Switzerland .     Corry Brokken , winner of the 1957 contest for The Netherlands .     André Claveau , winner of the 1958 contest for France .     Teddy Scholten , winner of the 1959 contest for The Netherlands .     Jacqueline Boyer , winner of the 1960 contest for France .     Jean - Claude Pascal , winner of the 1961 contest for Luxembourg .     Isabelle Aubret , winner of the 1962 contest for France .     Jørgen &amp; Grethe Ingmann , winners of the 1963 contest for Denmark .     Gigliola Cinquetti , winner of the 1964 contest for Italy .     France Gall , winner of the 1965 contest for Luxembourg .     Udo Jürgens , winner of the 1966 contest for Austria .     Sandie Shaw , winner of the 1967 contest for the United Kingdom .     Massiel , winner of the 1968 contest for Spain .     Lulu , one of the four winners of the 1969 contest for the United Kingdom .     Frida Boccara , one of the four winners of the 1969 contest for France .     Lenny Kuhr , one of the four winners of the 1969 contest for The Netherlands .     Dana , winner of the 1970 contest for Ireland .     Vicky Leandros , winner of the 1972 contest for Luxembourg .     Anne - Marie David , winner of the 1973 contest for Luxembourg .     ABBA , winners of the 1974 and the 50th anniversary contests for Sweden .     Teach - In , winners of the 1975 contest for The Netherlands .     Brotherhood of Man , winners of the 1976 contest for the United Kingdom     Marie Myriam , winner of the 1977 contest for France .     Gali Atari , winner ( together with Milk and Honey ) of the 1979 contest for Israel .     Johnny Logan , winner of the 1980 and 1987 contests for Ireland .     Bucks Fizz , winners of the 1981 contest for the United Kingdom .     Nicole Hohloch , winner of the 1982 contest for Germany .     Richard Herrey from Herreys , winners of the 1984 contest for Sweden .     Bobbysocks ! , winners of the 1985 contest for Norway .     Sandra Kim , winner of the 1986 contest for Belgium .     Celine Dion , winner of the 1988 contest for Switzerland .     Toto Cutugno , winner of the 1990 contest for Italy .     Carola Häggkvist , winner of the 1991 contest for Sweden .     Linda Martin , winner of the 1992 contest for Ireland .     Niamh Kavanagh , winner of the 1993 contest for Ireland .     Secret Garden , winner of the 1995 contest for Norway .     Katrina and the Waves , winners of the 1997 contest for the United Kingdom .     Dana International , winner of the 1998 contest for Israel .     Charlotte Nilsson , winner of the 1999 contest for Sweden .     Olsen Brothers , winners of the 2000 contest for Denmark .     Dave Benton , winner ( together with Tanel Padar and 2XL ) of the 2001 contest for Estonia .     Marie N , winner of the 2002 contest for Latvia .     Sertab Erener , winner of the 2003 contest for Turkey .     Ruslana , winner of the 2004 contest for Ukraine .     Helena Paparizou , winner of the 2005 contest for Greece .     Lordi , winner of the 2006 contest for Finland .     Marija Šerifović , winner of the 2007 contest for Serbia .     Dima Bilan , winner of the 2008 contest for Russia .     Alexander Rybak , winner of the 2009 contest for Norway .     Lena , winner of the 2010 contest for Germany .     Ell &amp; Nikki , winners of the 2011 contest for Azerbaijan .     Loreen , winner of the 2012 contest for Sweden .     Emmelie de Forest , winner of the 2013 contest for Denmark .     Conchita Wurst , winner of the 2014 contest for Austria .     Måns Zelmerlöw , winner of the 2015 contest for Sweden .     Jamala , winner of the 2016 contest for Ukraine .     Salvador Sobral , winner of the 2017 contest for Portugal .     Netta , winner of the 2018 contest for Israel .     See also ( edit )    Eurovision portal     List of Eurovision Song Contest winning songwriters   Eurovision Song Contest winners discography   List of Junior Eurovision Song Contest winners    Notes and references ( edit )   Footnotes ( edit )    Jump up ^ Since 2004 , the contest has included a televised semi-final : : -- In 2004 held on the Wednesday before the final : -- Between 2005 and 2007 held on the Thursday of `` Eurovision Week ''   Jump up ^ Since 2008 the contest has included two semi-finals , held on the Tuesday and Thursday before the final .   Jump up ^ 1979 , 1980 , 1981 , 1984 , 1988 , 1991 , 1993 , 1998 , 2002 and 2003 .   Jump up ^ the Federal Republic of Germany has two wins , one before , one after German reunification . The map depicts the outline of Germany during both of their wins .   Jump up ^ the Federal Republic of Germany has two wins , one before , one after German reunification   ^ Jump up to : This song was partially sung in Ukrainian .   ^ Jump up to : This song was partially sung in Crimean Tatar .   ^ Jump up to : This song was partially sung in Hebrew .   ^ Jump up to : Croatian ( the language of the 1989 winning song ) and Serbian ( the language of the 2007 winning song ) are fully mutually intelligible and often considered varieties of a single language , Serbo - Croatian . However , they are listed separately in Eurovision statistics .     Jump up ^ `` Nocturne '' features unaccredited vocals from Norwegian singer Gunnhild Tvinnereim .    References ( edit )    Jump up ^ Extract from the rules for the 2007 Eurovision Song Contest . Eurovision.tv . Retrieved on 22 August 2007 . Archived May 7 , 2007 , at the Wayback Machine .   Jump up ^ Eurovision 1956 . Eurovision.tv . Retrieved on 24 May 2008 . Archived May 28 , 2008 , at the Wayback Machine .   Jump up ^ O'Connor , John Kennedy . The Eurovision Song Contest -- The Official History . Carlton Books , UK . 2007 ISBN 978 - 1 - 84442 - 994 - 3   Jump up ^ BBC News ( 6 December 2005 ) . ABBA 's Bjorn says no to reunion . Retrieved on 15 March 2008 .   Jump up ^ ABBA win ' Eurovision 50th ' vote . BBC News ( 23 October 2005 ) . Retrieved on 22 August 2007 .    Bibliography ( edit )       Wikimedia Commons has media related to Winners of the Eurovision Song Contest .      Eurovision Song Contest history . Eurovision.tv . Retrieved on 19 August 2007 .   History . ESCtoday.com . Retrieved on 19 August 2007 .   John Kennedy O'Connor ( 2005 ) . The Eurovision Song Contest 50 Years The Official History . London : Carlton Books Limited . ISBN 1 - 84442 - 586 - X .              Eurovision Song Contest       Entries   History   Host cities   Languages   Presenters   Rules   Voting   Winners   Winners discography       Contests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2019       Countries      Active     Albania   Armenia   Australia   Austria   Azerbaijan   Belarus   Belgium   Bulgaria   Croatia   Cyprus   Czech Republic   Denmark   Estonia   Finland   France   Georgia   Germany   Greece   Hungary   Iceland   Ireland   Israel   Italy   Latvia   Lithuania   Macedonia   Malta   Moldova   Montenegro   Netherlands   Norway   Poland   Portugal   Romania   Russia   San Marino   Serbia   Slovenia   Spain   Sweden   Switzerland   Ukraine   United Kingdom       Inactive     Andorra   Bosnia and Herzegovina   Luxembourg   Monaco   Morocco   Slovakia   Turkey       Former     Lebanon   Serbia and Montenegro   Yugoslavia       Relations     Armenia -- Azerbaijan   Russia -- Ukraine          National selections      Current     Albania   Armenia   Belarus   Denmark   Estonia   Finland   France   Germany   Hungary   Iceland   Israel   Italy   Latvia   Lithuania   Malta   Moldova   Montenegro   Norway   Poland   Portugal   Romania   Serbia   Slovenia   Spain   Sweden   Switzerland   Ukraine   United Kingdom       Former     Austria   Azerbaijan   Belgium   Bosnia &amp; Herzegovina   Bulgaria   Croatia   Estonia   Finland   Greece   Ellinikós Telikós   Eurosong - A MAD Show     Ireland   The Late Late Show   You 're a Star     Israel   Latvia   Eirodziesma   Dziesma     Lithuania   Macedonia   Malta   Montenegro   Netherlands   Serbia and Montenegro   Spain   Switzerland   United Kingdom   Yugoslavia          Other awards     Marcel Bezençon Awards   OGAE   OGAE Video Contest   OGAE Second Chance Contest     Barbara Dex Award       Television and concerts     Eurovision Song Contest Previews   Songs of Europe   Kvalifikacija za Millstreet   Congratulations : 50 Years of the Eurovision Song Contest   Best of Eurovision   Eurovision Song Contest 's Greatest Hits         Category   Portal                 List of Eurovision Song Contest winners        Winning countries        1950s     Switzerland   Netherlands   France   Netherlands       1960s     France   Luxembourg   France   Denmark   Italy   Luxembourg   Austria   United Kingdom   Spain   France   Netherlands   Spain   United Kingdom       1970s     Ireland   Monaco   Luxembourg   Luxembourg   Sweden   Netherlands   United Kingdom   France   Israel   Israel       1980s     Ireland   United Kingdom   Germany   Luxembourg   Sweden   Norway   Belgium   Ireland   Switzerland   Yugoslavia       1990s     Italy   Sweden   Ireland   Ireland   Ireland   Norway   Ireland   United Kingdom   Israel   Sweden       2000s     Denmark   Estonia   Latvia   Turkey   Ukraine   Greece   Finland   Serbia   Russia   Norway       2010s     Germany   Azerbaijan   Sweden   Denmark   Austria   Sweden   Ukraine   Portugal   Israel                Winning performers        1950s     Lys Assia   Corry Brokken   André Claveau   Teddy Scholten       1960s     Jacqueline Boyer   Jean - Claude Pascal   Isabelle Aubret   Grethe and Jørgen Ingmann   Gigliola Cinquetti   France Gall   Udo Jürgens   Sandie Shaw   Massiel   Frida Boccara   Lenny Kuhr   Lulu   Salomé       1970s     Dana   Séverine   Vicky Leandros   Anne - Marie David   ABBA   Teach - In   Brotherhood of Man   Marie Myriam   Izhar Cohen / Alphabeta   Gali Atari / Milk and Honey       1980s     Johnny Logan   Bucks Fizz   Nicole   Corinne Hermès   Herreys   Bobbysocks !   Sandra Kim   Johnny Logan   Celine Dion   Riva       1990s     Toto Cutugno   Carola   Linda Martin   Niamh Kavanagh   Paul Harrington / Charlie McGettigan   Secret Garden   Eimear Quinn   Katrina and the Waves   Dana International   Charlotte Nilsson       2000s     Olsen Brothers   Tanel Padar / Dave Benton / 2XL   Marie N .   Sertab Erener   Ruslana   Helena Paparizou   Lordi   Marija Šerifović   Dima Bilan   Alexander Rybak       2010s     Lena   Ell &amp; Nikki   Loreen   Emmelie de Forest   Conchita Wurst   Måns Zelmerlöw   Jamala   Salvador Sobral   Netta                Winning songs        1950s     `` Refrain ''   `` Net als toen ''   `` Dors , mon amour ''   `` ' n Beetje ''       1960s     `` Tom Pillibi ''   `` Nous les amoureux ''   `` Un premier amour ''   `` Dansevise ''   `` Non ho l'età ''   `` Poupée de cire , poupée de son ''   `` Merci , Chérie ''   `` Puppet on a String ''   `` La , la , la ''   `` Boom Bang - a-Bang ''   `` Un jour , un enfant ''   `` De troubadour ''   `` Vivo cantando ''       1970s     `` All Kinds of Everything ''   `` Un banc , un arbre , une rue ''   `` Après toi ''   `` Tu te reconnaîtras ''   `` Waterloo ''   `` Ding - a-dong ''   `` Save Your Kisses for Me ''   `` L'oiseau et l'enfant ''   `` A-Ba - Ni - Bi ''   `` Hallelujah ''       1980s     `` What 's Another Year ''   `` Making Your Mind Up ''   `` Ein bißchen Frieden ''   `` Si la vie est cadeau ''   `` Diggi - Loo Diggi - Ley ''   `` La det swinge ''   `` J'aime la vie ''   `` Hold Me Now ''   `` Ne partez pas sans moi ''   `` Rock Me ''       1990s     `` Insieme : 1992 ''   `` Fångad av en stormvind ''   `` Why Me ? ''   `` In Your Eyes ''   `` Rock ' n ' Roll Kids ''   `` Nocturne ''   `` The Voice ''   `` Love Shine a Light ''   `` Diva ''   `` Take Me to Your Heaven ''       2000s     `` Fly on the Wings of Love ''   `` Everybody ''   `` I Wanna ''   `` Everyway That I Can ''   `` Wild Dances ''   `` My Number One ''   `` Hard Rock Hallelujah ''   `` Molitva ''   `` Believe ''   `` Fairytale ''       2010s     ``</t>
  </si>
  <si>
    <t xml:space="preserve">who has won eurovision twice in a row</t>
  </si>
  <si>
    <t xml:space="preserve"> Ireland has finished first seven times , more than any other country , Ireland also won the contest for three consecutive years ( 1992 , 1993 , 1994 ) , more consecutive years than any other country . Three countries have won twice in a row , Spain ( 1968 and 1969 ) , Luxembourg ( 1972 and 1973 ) and Israel ( 1978 and 1979 ) . Along with Switzerland 's win in the first contest , Serbia is the only other country to win with its debut entry ( in 2007 ) , though Serbia had competed prior as part of Yugoslavia and Serbia and Montenegro . Under the voting system used between 1975 and 2015 , the winner of the contest was decided by the final voting nation on eleven occasions . </t>
  </si>
  <si>
    <t xml:space="preserve">Joey Johnson ( Days of Our Lives ) - wikipedia  Joey Johnson ( Days of Our Lives )  Jump to : navigation , search    Joey Johnson     James Lastovic as Joey Johnson     Days of Our Lives character     Portrayed by     Brody and Jonas ( 2008 -- 09 )   Jadon Wells ( 2012 -- 14 )   James Lastovic ( 2015 -- 17 )       Duration     2008 -- 09   2012 -- 17       First appearance   May 16 , 2008 ( 2008 - 05 - 16 )     Last appearance   August 22 , 2017 ( 2017 - 08 - 22 )     Created by   Dena Higley and Victor Gialanella     Introduced by     Ken Corday and Edward J. Scott ( 2008 )   Corday , Lisa de Cazotte and Greg Meng ( 2012 )   Corday , Meng and Albert Alarr ( 2015 )       Classification   Former ; regular     Profile     Other names   Joseph Johnson     Occupation   Student Waiter     Residence   Prison Salem , Illinois        ( show ) Family     Family     Johnson   Brady       Parents     Steve Johnson   Kayla Brady       Sisters   Stephanie Johnson     Half - brothers   Tripp Dalton     Grandparents     Duke Johnson   Jo Johnson   Shawn Brady   Caroline Brady       Aunts and uncles     Jack Deveraux   Adrienne Johnson   Roman Brady   Bo Brady   Kimberly Brady   Frankie Brady ( adoptive )   Max Brady ( adoptive )       First cousins     Carrie Brady   Sami Brady   Eric Brady   Rex Brady   Cassie Brady   Andrew Donovan IV   Theresa Donovan   Abigail Deveraux   JJ Deveraux   Joey Kiriakis ( adoptive )   Victor Kiriakis II ( adoptive )   Sonny Kiriakis   Shawn - Douglas Brady   Chelsea Brady   Zack Brady   Ciara Brady          Joey Johnson is a fictional character from Days of Our Lives , an American soap opera on the NBC network , currently portrayed by James Lastovic . Introduced in 2008 , Joey was created by head writers Dena Higley and Victor Gialanella as the youngest child of supercouple , Steve `` Patch '' Johnson and Kayla Brady ( Stephen Nichols and Mary Beth Evans ) . The role was originated by siblings Brody and Jonas -- who vacated the role in 2009 when the character was written out . Child actor , Jadon Wells appeared in the role of Joey on a recurring basis from 2012 to 2014 . In 2015 , the character was rapidly aged to 16 when Lastovic stepped into the role . Joey returns having skipped out on boarding school suffering from abandonment issues . It is later revealed that Joey has secretly been conspiring with Ava Vitali ( Tamara Braun ) to orchestrate Patch and Kayla 's reunion . Unbeknownst to Joey , Ava is his father 's ex-lover and has caused quite a bit of trouble for Kayla and the rest of the Brady family .     Contents  ( hide )   1 Storylines   1.1 2008 -- 14   1.2 2015 --     2 Development   2.1 Creation and casting   2.2 Teen years ( 2015 -- )   2.3 Departure     3 Reception   4 References   5 External links      Storylines ( edit )   2008 -- 14 ( edit )   In February 2008 , the Brady family travels to Ireland to reunite patriarch Shawn Brady ( Frank Parker ) with his dying sister Colleen Brady ( Shirley Jones ) . During their trip , Kayla and Steve learn she is pregnant . On their way back to Salem , the family is involved in a plane crash that kills Shawn . It is later revealed that , Steve 's deranged ex-lover Ava Vitali ( Tamara Braun ) is responsible for the accident . Meanwhile , Kayla is trying to save her brother Bo 's life ( Peter Reckell ) and the stress causes pregnancy complications . Kayla goes into premature labor and gives birth to her baby boy at 26 weeks . She names him Joe after his paternal grandmother , Jo Johnson . Joe grows stronger only to be kidnapped in the summer of 2008 by Stefano DiMera ( Joseph Mascolo ) . Joe leaves town in early 2009 with his parents . Though off screen , Joe comes back to town in 2011 when his parents separate and later divorce . Joe ( Jadon Wells ) first appears onscreen in late 2012 during the Christmas episodes . The character is limited to special appearances during Christmas episodes and is last seen in December 2014 during a Christmas party .   2015 -- ( edit )   In August 2015 , a now 16 year old , Joe , also known as Joey returns to Salem with Steve . Joey had left boarding school and found his father in New York City . Joey acts out because he resents Steve for abandoning the family . When Steve leaves town to find Joey 's uncle Bo , Joey stows away on the plane . After the two have a heart to heart , where Steve recounts the story of how he and Kayla fell in love , Joey returns home . However , Joey continues causing trouble when he sabotages the electricity in the library at Salem High . Joey bonds with Theo Carver ( Kyler Pettis ) during Salem 's bicentennial celebration and he ends up collapsing outside . Theo gets help and Joey is rushed to the hospital . Steve makes it back in time to see Joey in the hospital and Kayla reveals that there a drugs in his system . However , Joey denies ever taking drugs . While he recovers and gets released from the hospital , it is later revealed that Joey is working with Ava Vitali ( Tamara Braun ) to orchestrate his parents ' reunion -- unaware of her past . After his parents reunite , Steve and Kayla discover Ava 's back in Salem and assume Joey has been working with her , but he denies it . Joey later admits to Ava that he is in love with her and he kisses her but Ava rejects him and reveals that she is dying . Kayla finds them together and demands that he stay away from her . Joey confides in Steve about his feelings for Ava and is shocked to learn Ava 's past and that she may have given birth to Steve 's son . Ava later kidnaps Kayla forcing Steve to cooperate with her in exchange for her release and Joey walks on them as they are about to make love . Ava forces Steve to leave town with her and gives Joey Kayla 's location to free her . Though they are reunited as a family , Steve 's betrayal leaves Joey bitter and angry .   Development ( edit )   Creation and casting ( edit )   On November 24 , 2012 , Mary Beth Evans announced that child actor Jadon Wells would make his debut in the role of Joey in December 2012 . Wells is the real life son of actor Dan Wells who had previously appeared on the series as Stan , the male alter ego of Sami Brady ( Alison Sweeney ) . Jadon 's appearances were limited to special Christmas episodes and he last appeared in December 2014 .   In March 2015 , it was reported that Days of Our Lives had released two casting notices -- one of which was for the contract role of the 16 year old Joey . In April 2015 , talent agency John Robert Powers San Diego announced that James Lastovic had been cast in the role of Joey Johnson with a two - year contract . Five months prior , Lastovic had quit his day job to do a play for $25 a week . `` I had money saved up from the one commercial that I had done and thought I could use the money from that to do the play . '' However , the play lasted longer than expected and Lastovic ran out of money . `` I was so broke that I looked forward to the dinner scene '' so he could eat . Fortunately , Lastovic booked Days as the play ended . Lastovic had actually auditioned for the series three years prior . While he was n't sure for what role he auditioned for Lastovic revealed , `` I had the same exact sides when I read for Joey ! '' Lastovic filmed his first scenes in March 2015 and made his debut on August 28 , 2015 . During the audition process , Lastovic watched a few episodes of the series to prepare . Casting director Marnie Saitta later informed the young actor that he 'd be working with two `` adored '' veterans in Mary Beth Evans ( Kayla ) and Stephen Nichols ( Patch ) . `` I looked them up online and found some of their scenes from the 1980s . I saw how good they were and I was instantly excited to get to work with them '' Lastovic revealed . After he booked the role , Lastovic admitted that he got hooked on the show when he went back to watch Patch and Kayla 's love story .   Teen years ( 2015 -- ) ( edit )  Stephen Nichols on Joey He 's very resentful . He does n't want to address his father 's absence . He 's just kind of silent and stoic about the whole thing . It 's hard to get two words out of the kid . `` '' Michael Logan , TV Insider  The production team wanted to establish a teenage set in time for the show 's 50th anniversary and Lastovic 's casting was just the first in a slew of castings . Executive producer Ken Corday said `` Joey will be giving Patch the ' rebel ' a little of his own medicine ! '' Lastovic was very nervous about playing such an important role but Mary Beth Evans invited him over to her home and greeted him with freshly baked cookies . `` Seeing Mary Beth holding that plate of cookies , I immediately felt that motherly connection . '' He credited Evans and Stephen Nichols for making him comfortable . Lastovic also founded a mentor in costar Casey Moss who had joined the series two years prior in the similar role of troubled teenager JJ Deveraux -- Joey 's cousin . `` I think he could see a little bit of himself in me '' Lastovic said . Lastovic later admitted that his nerves worked well for his first scenes as Joey had recently run away from boarding school -- `` he was supposed to be nervous . '' So much is changing Joey at the time of his return . `` He 's just beginning to experience all these new emotions , so he 's feeling a little lost . '' Joey 's needing his parents helps bring Patch and Kayla back together after years of estrangement . A promo for the show 's 50th anniversary in November 2015 revealed that Joey is secretly conspiring with his father 's ex-lover and family rival Ava Vitali ( Tamara Braun ) to help reunite his parents .   Departure ( edit )   In March 2017 , after a cryptic tweet by Lastovic 's mother , Lucienne , it was rumored that the actor 's contract with the series had not been renewed . On Wednesday , August 16 , the rumors were proven through by Lastovic himself in an Instagram post , he last aired on August 22 when the character going to prison for Ava 's murder .   Reception ( edit )   Omar White - Nobles of TVSource Magazine praised the decision to age Joey along with the other characters in time for the show 's 50th anniversary . `` I may be 29 , but I 'm a fan of the multi-generational aspect of the continuing narrative . '' Lastovic 's debut was `` highly anticipated '' as it coincided with the onscreen return of Stephen Nichols as Patch . Soap Opera Digest included the actor in its list of the `` Hottest Newcomers '' for the year 2015 . Daytime Confidential also listed Lastovic as number five on their own list of the `` Top 20 Soap Opera Newcomers of 2015 . '' The blog praised Lastovic for his portrayal and said Joey 's habit of acting out and causing grief for his mother `` helps to further ground the Johnsons as Salem 's relatable , working central family . '' Omar Nobles said Joey return provided Kayla with `` a greater purpose and more attention in just a few short weeks than the four years since she returned to the show . '' He continued , `` That 's smart planning . That 's smart creative . '' The website also praised Lastovic as being one of the strongest of the new younger actors .   References ( edit )    Jump up ^ `` Yearly Update for 2008 '' . Days of Our Lives . Sony Pictures Television . Archived from the original on November 11 , 2011 . Retrieved January 16 , 2016 .   Jump up ^ `` Jadon Wells makes his debut as Steve &amp; Kayla ... '' November 24 , 2012 . Retrieved January 16 , 2016 .   Jump up ^ `` Dexter Season 8 -- Jadon Wells To Play Harrison '' . Dexter Weekly News . February 17 , 2013 . Archived from the original on September 13 , 2013 . Retrieved January 15 , 2016 .   Jump up ^ `` Days of Our Lives Non-Contract Archive '' . Jason47 's Days of Our Lives Website . Retrieved January 15 , 2016 .   Jump up ^ `` TEEN CASTING AT DAYS '' . Soap Opera Digest . American Media , Inc . March 4 , 2015 . Archived from the original on March 16 , 2015 . Retrieved November 6 , 2015 .   Jump up ^ Di Lauro , Janet ( April 5 , 2015 ) . `` Days of Our Lives Casts James Lastovic as Steve and Kayla 's Son Joey ? '' . About.com . United States : IAC . Archived from the original on April 5 , 2015 . Retrieved April 5 , 2015 .   ^ Jump up to : `` Hottest Newcomers of 2015 '' . Days of Our Lives : James Lastovic ( Joey ) . Soap Opera Digest . American Media , Inc. 40 ( 41 ) : 61 . October 12 , 2015 .   ^ Jump up to : Waldron , Robert ( September 28 , 2015 ) . `` Generation Next '' . Interviews . Soap Opera Digest . American Media , Inc. 40 ( 39 ) : 44 -- 47 .   Jump up ^ `` Bloodline '' . Scene &amp; Heard . Soap Opera Digest . American Media , Inc. 40 ( 38 ) : 53 . September 21 , 2015 .   ^ Jump up to : Logan , Michael ( August 24 , 2015 ) . `` Patch Is Back ! Stephen Nichols Previews His Return to Days of Our Lives '' . TV Insider . TVGM Holdings , LLC ( CBS Interactive ) . Retrieved January 15 , 2016 .   Jump up ^ Logan , Michael ( August 17 , 2015 ) . `` First Look : Days of Our Lives Grows a New Teen Set Practically Overnight '' . TV Insider . TVGM Holdings , LLC ( CBS Interactive ) . Archived from the original on August 17 , 2015 . Retrieved August 17 , 2015 .   Jump up ^ Fairman , Michael ( November 15 , 2015 ) . `` DAYS Is On FIYAH ! Watch The Scorching Hot NBC Promo Of What 's To Come ! '' . On - Air On - Soaps . Retrieved January 15 , 2016 .   Jump up ^ Clifford , Kambra ( July 21 , 2017 ) . `` REPORT : James Lastovic out at DAYS '' . Soapcentral.com . United States . Retrieved July 24 , 2017 .   Jump up ^ Soaps SheKnows ( August 7 , 2017 ) . `` James Lastovic out at Days in August '' . Soaps.com . United States : SheKnows Media . Retrieved August 16 , 2017 .   Jump up ^ Fairman , Michael ( August 16 , 2017 ) . `` James Lastovic Shares Emotional Message To His DAYS Family ! '' . On - Air On - Soaps . Retrieved August 22 , 2017 .   ^ Jump up to : Nobles , Omar ( September 14 , 2015 ) . `` ' Days of our Lives ' Creative Course Correction is off to a Great Start '' . TV Source Magazine . SoSource Media , LLC . Retrieved November 6 , 2015 .   Jump up ^ Fairman , Michael ( August 21 , 2015 ) . `` DAYS Promo : Stephen Nichols Returns ! Serena Is Murdered ! Chad In Wrong Place At Wrong Time ? '' . On - Air On - Soaps . Retrieved January 15 , 2016 .   Jump up ^ `` The Top 10 Soap Opera Newcomers of 2015 '' . Daytime Confidential . Confidential Media , Inc . ( SAY Media ) . January 9 , 2016 . Retrieved January 15 , 2016 .   Jump up ^ Gray , Coryon ( November 8 , 2015 ) . `` ' Days of our Lives ' Week In Review : Celebrations , Returns and Introductions '' . TVSource Magazine . SoSource Media , LLC . p. 2 . Retrieved January 16 , 2016 .    External links ( edit )    `` Joey Johnson Days of Our Lives '' . Soaps.com . SheKnows Media . Retrieved January 16 , 2016 .              Days of Our Lives     Current characters     Brady Black   John Black   Caroline Brady   Ciara Brady   Claire Brady   Eric Brady   Hope Brady   Kayla Brady   Roman Brady   Shawn - Douglas Brady   Abe Carver   Theo Carver   Tripp Dalton   Abigail Deveraux   JJ Deveraux   Andre DiMera   Chad DiMera   Marlena Evans   Eli Grant   Valerie Grant   Gabi Hernandez   Rafe Hernandez   Jennifer Horton   Lucas Horton   Maggie Horton   Will Horton   Adrienne Johnson   Steve Johnson   Parker Jonas   Justin Kiriakis   Sonny Kiriakis   Victor Kiriakis   Chloe Lane   Paul Narita   Lani Price   Kate Roberts   Doug Williams   Julie Olson Williams       Notable past characters     Alice Horton   Tom Horton   Lawrence Alamain   Vivian Alamain   Susan Banks   Belle Black   Bo Brady   Carrie Brady Reed   Cassie Brady   Chelsea Brady   Frankie Brady   Kimberly Brady   Max Brady   Sami Brady   Shawn Brady   Dr. Lexie Carver   Liz Chandler   Xander Cook   Don Craig   Neil Curtis   Cameron Davis   Jack Deveraux   Anna DiMera   Daphne DiMera   EJ DiMera   Kristen DiMera   Johnny DiMera   Santo DiMera   Stefano DiMera   Sydney DiMera   Tony DiMera   Drew Donovan   Eve Donovan   Shane Donovan   Theresa Donovan   Nick Fallon   Megan Hathaway   Benjy Hawk   Arianna Hernandez   Eduardo Hernandez   Addie Horton   Allie Horton   Bill Horton   Jeremy Horton   Laura Horton   Marie Horton   Melissa Horton   Mickey Horton   Nathan Horton   Sarah Horton   Tommy Horton   Robin Jacobs   Madison James   Aiden Jennings   Chase Jennings   Joey Johnson   Stephanie Johnson   Daniel Jonas   Melanie Jonas   Calliope Jones   Deimos Kiriakis   Philip Kiriakis   Paige Larson   Bonnie Lockhart   Mimi Lockhart   Patrick Lockhart   Carly Manning   Alex Marshall   Serena Mason   Colin Murphy   Tori Narita   Celeste Perrault   Austin Reed   Billie Reed   Curtis Reed   Jordan Ridgeway   Ben Rogers   Jan Spears   Isabella Toscano   Ava Vitali   Gina Von Amberg   Brandon Walker   Nicole Walker   Taylor Walker   Nancy Wesley   Clyde Weston       Related information     Cast members   Producers and writers   Awards and nominations   1960s   1970s   1980s   1990s   2000s   2010s   Doug and Julie   Bo and Hope   Sami and EJ   John and Marlena   Jack and Jennifer   Steve and Kayla   Shawn and Belle   Lucas and Sami   Will and Sonny   Shane and Kimberly   Salem   Cruise of Deception       Fictional families     DiMera family   Horton family   Brady family   Kiriakis family   Johnson family   Roberts family         ( hide )         Days of Our Lives characters        Present and future characters       Vivian Alamain   Brady Black   John Black   Tate Black   Belle Brady   Ciara Brady   Claire Brady   Eric Brady   Hope Brady   Kayla Brady   Roman Brady   Shawn - Douglas Brady   Abe Carver   Theo Carver   Tripp Dalton   Abigail Deveraux   JJ Deveraux   André DiMera   Chad DiMera   Thomas DiMera   Eve Donovan   Marlena Evans   Eli Grant   Valerie Grant   Gabi Hernandez   Rafe Hernandez   Arianna Horton   Jennifer Horton   Lucas Horton   Maggie Horton   Will Horton   Adrienne Johnson   Steve Johnson   Justin Kiriakis   Sonny Kiriakis   Victor Kiriakis   Chloe Lane   Anne Milbauer   Paul Narita   Lani Price   Kate Roberts   Doug Williams   Julie Olson Williams             Past characters       Tom Horton   Alice Horton   Hattie Adams   Lawrence Alamain   Susan Banks   Bart Beiderbecke   Peter Blake   Eugene Bradford   Bo Brady   Caroline Brady   Carrie Brady   Cassie Brady   Chelsea Brady   Frankie Brady   Kimberly Brady   Max Brady   Rex Brady   Sami Brady   Shawn Brady   Lexie Carver   Liz Chandler   Xander Cook   Don Craig   Neil Curtis   Cameron Davis   Anjelica Deveraux   Jack Deveraux   Anna DiMera   Daphne DiMera   EJ DiMera   Johnny DiMera   Kristen DiMera   Santo DiMera   Stefano DiMera   Sydney DiMera   Tony DiMera   Drew Donovan   Shane Donovan   Theresa Donovan   Lee DuMonde   Renée DuMonde   Nick Fallon   Megan Hathaway   Benjy Hawk   Arianna Hernandez   Dario Hernandez   Eduardo Hernandez   Addie Horton   Allie Horton   Bill Horton   Jeremy Horton   Laura Horton   Marie Horton   Melissa Horton   Mickey Horton   Nathan Horton   Sarah Horton   Tommy Horton   Robin Jacobs   Madison James   Aiden Jennings   Chase Jennings   Joey Johnson   Stephanie Johnson   Daniel Jonas   Melanie Jonas   Parker Jonas   Calliope Jones Bradford   Alexander Kiriakis   Deimos Kiriakis   Philip Kiriakis   Maxine Landis   Paige Larson   Bonnie Lockhart   Mimi Lockhart   Patrick Lockhart   Carly Manning   Alex Marshall   Serena Mason   Mia McCormick   Jade Michaels   Colin Murphy   Tori Narita   Celeste Perrault   Austin Reed   Billie Reed   Curtis Reed   Jordan Ridgeway   Wilhelm Rolf   Jan Spears   Isabella Toscano   Ava Vitali   Gina Von Amberg   Brandon Walker   Fay Walker   Nicole Walker   Taylor Walker   Nancy Wesley   Ben Weston   Clyde Weston             Character lists       1960s   1970s   1980s   1990s   2000s   2010s   Cast members   Previous cast members   Producers and writers   Doug and Julie   Bo and Hope   Sami and EJ   John and Marlena   Jack and Jennifer   Steve and Kayla   Shawn and Belle   Lucas and Sami   Shane and Kimberly   Will and Sonny   Salem   Cruise of Deception   Horton family   Brady family   DiMera family   Kiriakis family   Johnson family   Roberts family         Retrieved from `` https://en.wikipedia.org/w/index.php?title=Joey_Johnson_(Days_of_Our_Lives)&amp;oldid=815228915 '' Categories :   Days of Our Lives characters   Fictional characters introduced in 2008   Fictional murderers           Talk                                           Contents                   About Wikipedia                                           Add links   This page was last edited on 13 December 2017 , at 15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</si>
  <si>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actor who plays joey on days of our lives</t>
  </si>
  <si>
    <t xml:space="preserve"> Joey Johnson is a fictional character from Days of Our Lives , an American soap opera on the NBC network , currently portrayed by James Lastovic . Introduced in 2008 , Joey was created by head writers Dena Higley and Victor Gialanella as the youngest child of supercouple , Steve `` Patch '' Johnson and Kayla Brady ( Stephen Nichols and Mary Beth Evans ) . The role was originated by siblings Brody and Jonas -- who vacated the role in 2009 when the character was written out . Child actor , Jadon Wells appeared in the role of Joey on a recurring basis from 2012 to 2014 . In 2015 , the character was rapidly aged to 16 when Lastovic stepped into the role . Joey returns having skipped out on boarding school suffering from abandonment issues . It is later revealed that Joey has secretly been conspiring with Ava Vitali ( Tamara Braun ) to orchestrate Patch and Kayla 's reunion . Unbeknownst to Joey , Ava is his father 's ex-lover and has caused quite a bit of trouble for Kayla and the rest of the Brady family . </t>
  </si>
  <si>
    <r>
      <rPr>
        <sz val="11"/>
        <color rgb="FF000000"/>
        <rFont val="Calibri"/>
        <family val="0"/>
        <charset val="1"/>
      </rPr>
      <t xml:space="preserve">While My Guitar Gently Weeps - wikipedia  While My Guitar Gently Weeps  Jump to : navigation , search    `` While My Guitar Gently Weeps ''     Cover of the 1969 Australian B - side single     Song by the Beatles     from the album The Beatles     A-side   `` Ob - La - Di , Ob - La - Da ''     Published   Harrisongs     Released   22 November 1968 ( 1968 - 11 - 22 )     Recorded   5 -- 6 September 1968 ,     Studio   EMI , London     Genre     Rock   psychedelic rock   blues rock       Length   4 : 46     Label   Apple     Songwriter ( s )   George Harrison     Producer ( s )   George Martin         Audio sample       file   help           `` While My Guitar Gently Weeps '' is a song by the English rock band the Beatles from their 1968 double album The Beatles ( also known as `` the White Album '' ) . It was written by George Harrison , partly as an exercise in randomness after he consulted the Chinese I Ching . The song also serves as a comment on the disharmony within the Beatles at the time . The recording includes a lead guitar part played by Eric Clapton , although he was not formally credited for his contribution .   `` While My Guitar Gently Weeps '' ranks 136th on Rolling Stone 's `` The 500 Greatest Songs of All Time '' , seventh on the magazine 's list of the `` 100 Greatest Guitar Songs of All Time '' , and tenth on its list of `` The Beatles 100 Greatest Songs '' . Guitar World magazine 's February 2012 online poll voted `` While My Guitar Gently Weeps '' the best of George Harrison 's Beatles - era songs . Clapton 's performance ranked 42nd in Guitar World 's October 2008 list of the `` 100 Greatest Guitar Solos '' .     Contents  ( hide )   1 Composition and recording   2 Musical structure   3 Personnel   4 Performances   5 Cover versions   6 2016 music video   7 References   8 Sources   9 External links      Composition and recording ( edit )   Inspiration for the song came to Harrison when reading the I Ching , which , as Harrison put it , `` seemed to me to be based on the Eastern concept that everything is relative to everything else , as opposed to the Western view that things are merely coincidental '' . Taking this idea of relativism to his parents ' home in northern England , Harrison committed to write a song based on the first words he saw upon opening a random book . He later explained the process :   I wrote `` While My Guitar Gently Weeps '' at my mother 's house in Warrington . I was thinking about the Chinese I Ching , ' The Book of Changes `` . The Eastern concept is that whatever happens is all meant to be , and that there 's no such thing as coincidence -- every little item that 's going down has a purpose .   `` While My Guitar Gently Weeps '' was a simple study based on that theory . I decided to write a song based on the first thing I saw upon opening any book -- as it would be relative to that moment , at that time . I picked up a book at random , opened it , saw `` gently weeps '' , then laid the book down again and started the song .   The initial incarnation was not final , as Harrison said : `` Some of the words to the song were changed before I finally recorded it . '' A demo recorded at George 's home in Esher includes an unused verse :    I look at the trouble and see that it 's raging ,   While my guitar gently weeps .   As I 'm sitting here , doing nothing but ageing ,   Still , my guitar gently weeps .    As well as an unused line in the very beginning :    The problems you sow , are the troubles you 're reaping ,   Still , my guitar gently weeps .    This line was eventually omitted in favour of the one appearing on The Beatles .   An early acoustic guitar and organ demo of the song featured a slightly different third verse :    I look from the wings at the play you are staging ,   While my guitar gently weeps .   As I 'm sitting here , doing nothing but ageing ,   Still , my guitar gently weeps .    This version was released on the 1996 compilation Anthology 3 and was used as the basis of the 2006 Love remix , with a string arrangement by George Martin .   The band recorded the song several times . Take 1 on 25 July 1968 involved Harrison on his Gibson J - 200 acoustic guitar and an overdubbed harmonium . Sessions on 16 August and 3 and 5 September included a version with a backward ( or `` backmasked '' ) guitar solo ( as Harrison had done for `` I 'm Only Sleeping '' on Revolver ) , but Harrison was not satisfied . On 6 September 1968 , during a ride from Surrey into London , Harrison asked friend Eric Clapton to contribute lead guitar to the song . Clapton was reluctant , saying later , `` Nobody ever plays on the Beatles ' records '' ; but Harrison convinced him , and Clapton 's guitar parts , using Harrison 's Gibson Les Paul electric guitar `` Lucy '' ( a recent gift from Clapton ) , were recorded that evening . Harrison later said that in addition to his contribution , Clapton 's presence had another effect on the band : `` It made them all try a bit harder ; they were all on their best behaviour . '' Clapton wanted a more `` Beatley '' sound , so the sound was run through an ADT circuit with `` varispeed , '' with engineer Chris Thomas manually ' waggling ' the oscillator : `` apparently Eric said that he did n't want it to sound like him . So I was just sitting there wobbling the thing , they wanted it really extreme , so that 's what I did . ''   `` While My Guitar Gently Weeps '' was one of three songs on The Beatles where Paul McCartney experimented with the Fender Jazz Bass ( the others being `` Glass Onion '' and `` Yer Blues '' ) instead of his Hofner and Rickenbacker basses . According to Walter Everett 's book The Beatles as Musicians , John Lennon 's electric guitar is audible only in the coda with the tremolo switched on .   Musical structure ( edit )   The song is in Am , with a shift to a ♭ 7 ( Am / G ) on `` all '' ( bass note G ) and a 6 ( D ( major 3rd F ♯ ) ) after `` love '' ( bass note F ♯ ) to a ♭ 6 ( Fmaj ) on `` sleeping '' ( bass note F ) . This 8 -- ♭ 7 -- 6 -- ♭ 6 progression has been described as an Aeolian / Dorian hybrid .   Everett notes that the change from the minor mode verse ( A -- B ) to the parallel major for the bridge might express hope that `` unrealized potential '' described in the lyrics is to be `` fulfilled '' , but that the continued minor triads ( III , VI and II ) `` seem to express a strong dismay that love is not to be unfolded '' . Clapton 's guitar contribution has been described as making this a `` monumental '' track ; particularly notable features include the increasing lengths of thrice - heard first scale degrees ( 0 : 17 -- 0 : 19 ) , the restraint showed by rests in many bars then unexpected appearances ( as at 0 : 28 -- 0 : 29 ) , commanding turnaround phrases ( 0 : 31 -- 0 : 33 ) , expressive string bends marking modal changes from C to C ♯ ( 0 : 47 -- 0 : 53 ) , power retransition ( 1 : 21 -- 1 : 24 ) , emotive vibrato ( 2 : 01 -- 2 : 07 ) , and a solo ( 1 : 55 -- 2 : 31 ) with a `` measured rise in intensity , rhythmic activity , tonal drive and registral climb '' .   Personnel ( edit )    George Harrison -- double - tracked vocals , backing vocal , acoustic guitar , twelve - string guitar , Hammond organ   Paul McCartney -- harmony vocal , piano , bass   John Lennon -- electric guitar with tremolo   Ringo Starr -- drums , tambourine , castanets   Eric Clapton -- lead guitar ( uncredited )     Personnel per Ian MacDonald    Anthology 3 version    George Harrison -- vocals , acoustic guitar   Paul McCartney -- organ    Love version    George Harrison - vocals , acoustic guitar   Paul McCartney - organ   George Martin - string arrangement    Performances ( edit )   On The Concert for Bangladesh , Clapton performed the song on a Gibson Byrdland hollow body guitar , and later acknowledged that a solid - body guitar would have been more appropriate . The version in the Prince 's Trust Rock Concert 1987 ( released on DVD by Panorama ) reunited Harrison , Starr and Clapton , and features an extended coda with the guitars of Harrison and Clapton interweaving . Mark King ( of Level 42 ) played McCartney 's bass line . On their 1991 tour of Japan , Harrison and Clapton performed a live version of `` While My Guitar Gently Weeps '' with additional background vocals . An edit combining parts of the 14 December and 17 December Tokyo performances of the song is included on the album Live in Japan .   On 3 June 2002 , within the Golden Jubilee of Elizabeth II concert at Buckingham Palace Garden , Paul McCartney performed the song with Clapton , as a tribute to George Harrison who had died the year before . They were introduced by George Martin . The performance appears on the DVD release Party at the Palace . On 29 November the same year , McCartney , Starr , Dhani Harrison , Jeff Lynne , Marc Mann , and Clapton performed `` While My Guitar Gently Weeps '' at the Concert for George in memory of Harrison . This version showcased Clapton singing the lead vocal and playing his original guitar solo while McCartney provided background vocals and piano ; Mann played Clapton 's original fills during the verses .   In 2004 , Harrison was inducted posthumously into the Rock and Roll Hall of Fame as a solo artist . `` While My Guitar Gently Weeps '' was played in tribute by Tom Petty vocals / guitar , Jeff Lynne vocals / guitar , Steve Winwood Hammond organ , Billy Preston keyboards , Scott Thurston Bass Guitar , Steve Ferrone Drums , Jim Capaldi percussion and tambourine , Marc Mann lead guitar , Dhani Harrison vocals / guitar , concluding with the guitar solo by fellow inductee Prince .   Cover versions ( edit )   Canadian guitarist Jeff Healey covered `` While My Guitar Gently Weeps '' on his 1990 album Hell to Pay . Harrison participated in the recording , contributing on acoustic guitar and backing vocals . Also issued as a single , Healey 's version peaked at number 27 in Canada , number 85 in the UK and number 25 in New Zealand .   American musician Todd Rundgren covered `` While My Guitar Gently Weeps '' for the 2003 album Songs from the Material World : A Tribute to George Harrison . Rundgren said of his contribution to the multi-artist tribute : `` ( Before the Beatles ) , I 'd never heard the term ' lead guitarist . ' George created the job description for my first paying gig , the vocation that I 'm still lucky enough to practice today ... '' Johnny Loftus of AllMusic views the recording as one of the collection 's highlights , saying that Rundgren `` effortlessly replicates the grandeur '' of the Beatles ' track . As his personal tribute to Harrison , Peter Frampton released a version of the song on his 2003 album Now .   Among other cover versions , the song has also been recorded by guitarists such as Marc Ribot , Phish and Charlie Byrd , and on ukulele by Jake Shimabukuro . Toto did a cover version for their album Through the Looking Glass and in a live performance in Live in Amsterdam . Santana did a cover for his twentieth album Guitar Heaven : The Greatest Guitar Classics of All Time , in 2010 , featuring singer India Arie and cellist Yo - Yo Ma . Released as a single , it charted on Billboard 's Adult Contemporary . In 2016 , Regina Spektor performed the song for the soundtrack to the film Kubo and the Two Strings , accompanied by Kevin Kmetz on a shamisen .   2016 music video ( edit )   In 2016 a music video was created by Apple Corps Ltd. and Cirque du Soleil . The video is based on a 10th anniversary re-staging of the song for Love , Cirque du Soleil 's theatrical production . The video was directed by Dandypunk , André Kasten and Leah Moyer . Ryan reed , describing the clip in rollingstone.com , wrote that `` Dandypunk 's hand - drawn illustrations depict Harrison 's lyrics falling off the page into the air , transporting LOVE performer Eira Glover into a series of fantastical locations . Projection mapping -- and no CGI -- was used to create the clip . ''   References ( edit )    Jump up ^ Lewisohn 1988 , pp. 153 -- 54 .   Jump up ^ Henriques , AJ ( 21 December 1968 ) . `` An in - depth Look at the Songs on Side - One '' . Rolling Stone . The White Album Project . Retrieved 9 January 2014 .   Jump up ^ Doyle Greene ( 17 February 2016 ) . Rock , Counterculture and the Avant - Garde , 1966 - 1970 : How the Beatles , Frank Zappa and the Velvet Underground Defined an Era . McFarland . p. 123 . ISBN 978 - 1 - 4766 - 2403 - 7 .   Jump up ^ Graeme Thomson ( 11 October 2013 ) . George Harrison : Behind The Locked Door . Music Sales Group . p. 186 . ISBN 978 - 0 - 85712 - 858 - 4 . Retrieved 25 October 2015 .   Jump up ^ While My Guitar Gently Weeps by The Beatles Songfacts   ^ Jump up to : Lewisohn 1988 , p. 154 .   Jump up ^ Rolling Stone 2004 .   Jump up ^ Rolling Stone 2008 .   Jump up ^ Rolling Stone 2010 .   Jump up ^ `` 10 . While My Guitar Gently Weeps '' . 100 Greatest Beatles Songs . Rolling Stone . Retrieved May 21 , 2013 .   Jump up ^ `` Readers Poll Results : George Harrison 's 10 Best Beatles Songs '' , Guitar World ( retrieved 26 February 2012 ) .   Jump up ^ Guitar World Staff ( 30 October 2008 ) . `` 100 Greatest Guitar Solos '' . guitarworld.com . Retrieved 25 February 2015 .   Jump up ^ Harrison 2002 , p. 120 .   Jump up ^ Beatles 2000 , p. 306 .   Jump up ^ While My Guitar Gently Weeps The Beatles Bible   Jump up ^ `` Concert for George - Production Credits , Great Performances , PBS '' .   ^ Jump up to : Walter Everett . The Beatles as Musicians . Revolver Through the Anthology . Oxford University Press . NY . 1999 . ISBN 0 - 19 - 509553 - 7 . ISBN 0 - 19 - 512941 - 5 p201   ^ Jump up to : Lewisohn 1988 , p. 153 .   Jump up ^ Lewisohn 1988 , p. 78 .   Jump up ^ John F. Crowley . `` Mccartney 7 '' . Thecanteen.com . Retrieved 2016 - 10 - 02 .   Jump up ^ Dominic Pedler . The Songwriting Secrets of the Beatles . Music Sales Limited . Omnibus Press . NY . 2003 . pp. 435 - 437 .   Jump up ^ Walter Everett . The Beatles as Musicians . Revolver Through the Anthology . Oxford University Press . NY . 1999 . ISBN 0 - 19 - 509553 - 7 . ISBN 0 - 19 - 512941 - 5 . p. 202 .   Jump up ^ MacDonald 2005 , pp. 300 -- 301 .   Jump up ^ The Concert for Bangladesh Revisited with George Harrison and Friends , DVD , 2005 .   Jump up ^ Madinger , Chip ; Mark Easter ( 2000 ) . Eight Arms To Hold You : The Solo Beatles Compendium . Chesterfield , MO : 44.1 Productions , LP . p. 483 . ISBN 0 - 615 - 11724 - 4 .   Jump up ^ Pareles , Jon ( 21 April 2016 ) . `` Prince , an Artist Who Defied Genre , Is Dead at 57 '' . The New York Times . Retrieved 22 April 2016 .   Jump up ^ Phull , Hardeep ( April 21 , 2016 ) . `` Prince was so good , he made his own competition '' . New York Post . Retrieved April 21 , 2016 .   Jump up ^ The Editors of Rolling Stone ( 2002 ) . Harrison . New York , NY : Rolling Stone Press . p. 185 . ISBN 978 - 0 - 7432 - 3581 - 5 .   Jump up ^ `` RPM 100 Hit Tracks -- November 3 , 1990 '' . Library and Archives Canada . Retrieved 27 June 2011 .   Jump up ^ `` While My Guitar Gently Weeps '' . Official Charts Company . Retrieved 10 September 2016 .   Jump up ^ `` The Jeff Healey Band -- While My Guitar Gently Weeps '' . charts.org.nz . Retrieved 9 September 2016 .   Jump up ^ Billboard staff ( 11 December 2002 ) . `` Rock Vets Fete Harrison On Tribute Disc '' . billboard.com . Retrieved 6 October 2015 .   Jump up ^ Loftus , Johnny . `` Various Artists Songs From The Material World : A Tribute To George Harrison '' . AllMusic . Retrieved 22 April 2016 .   Jump up ^ `` Peter Frampton '' . interviewsofrecordingartists.com . Archived from the original on 26 November 2010 . Retrieved 11 September 2016 .   Jump up ^ Horowitz , Hal . `` Peter Frampton Now '' . AllMusic . Retrieved 10 September 2016 .   ^ Jump up to : DaveO ( 11 October 2011 ) . `` Cover Wars : While My Guitar Gently Weeps ( The Beatles ) - Glide Magazine '' . Glide Magazine . Retrieved 15 December 2016 .   Jump up ^ `` Charlie Byrd 's Guitar Weeps -- Due to Late 60s Social Tumult '' . Zero to 180 - Three Minute Magic. 18 March 2014 . Retrieved 15 December 2016 .   Jump up ^ `` Carlos Santana Covers Classics on ' Guitar Heaven ' '' . Billboard. 2010 - 09 - 23 . Retrieved 2016 - 10 - 02 .   Jump up ^ Gary Trust ( 2010 - 09 - 15 ) . `` Santana , Michael Buble , Kings Of Leon Preview New Albums '' . Billboard . Retrieved 2016 - 10 - 02 .   Jump up ^ Reed , Ryan ( June 29 , 2016 ) . `` Watch the Beatles ' Hypnotic ' While My Guitar Gently Weeps ' Video '' . rollingstone.com . Retrieved May 8 , 2017 .    Sources ( edit )    Pollack , Alan W. ( 1991 ) . `` While My Guitar Gently Weeps '' . Notes On ... Series .   Beatles , The ( 2000 ) . The Beatles anthology . Michigan : Chronicle Books . ISBN 0 - 8118 - 2684 - 8 .   Harrison , George ( 2002 ) . I , Me , Mine . San Francisco : Chronicle Books . ISBN 978 - 0 - 8118 - 3793 - 4 .   Lewisohn , Mark ( 1988 ) . The Beatles Recording Sessions . New York : Harmony Books . ISBN 0 - 517 - 57066 - 1 .   MacDonald , Ian ( 2005 ) . Revolution in the Head : The Beatles ' Records and the Sixties ( Second Revised ed . ) . London : Pimlico ( Rand ) . ISBN 1 - 84413 - 828 - 3 .   `` The RS 500 Greatest Songs of All Time '' . Rolling Stone . 9 December 2004 . Retrieved 10 November 2009 .   `` The 100 Greatest Guitar Songs of All Time '' . Rolling Stone . 12 June 2008 .   `` The Top Ten Beatles Songs of All Time '' . Rolling Stone . August 2010 .    External links ( edit )       Wikiquote has quotations related to : The Beatles ( album )      Alan W. Pollack 's Notes on `` While My Guitar Gently Weeps ''   Lyrics of this song at MetroLyrics              The Beatles ( White Album )     Songs      Side one     `` Back in the U.S.S.R. ''   `` Dear Prudence ''   `` Glass Onion ''   `` Ob - La - Di , Ob - La - Da ''   `` Wild Honey Pie ''   `` The Continuing Story of Bungalow Bill ''   `` While My Guitar Gently Weeps ''   `` Happiness Is a Warm Gun ''       Side two     `` Martha My Dear ''   `` I 'm So Tired ''   `` Blackbird ''   `` Piggies ''   `` Rocky Raccoon ''   `` Do n't Pass Me By ''   `` Why Do n't We Do It in the Road ? ''   `` I Will ''   `` Julia ''       Side three     `` Birthday ''   `` Yer Blues ''   `` Mother Nature 's Son ''   `` Everybody 's Got Something to Hide Except Me and My Monkey ''   `` Sexy Sadie ''   `` Helter Skelter ''   `` Long , Long , Long ''       Side four     `` Revolution 1 ''   `` Honey Pie ''   `` Savoy Truffle ''   `` Cry Baby Cry ''   `` Revolution 9 ''   `` Good Night ''          Outtakes     `` A Beginning ''   `` Child of Nature ''   `` Circles ''   `` Etcetera ''   `` Junk ''   `` Not Guilty ''   `` Sour Milk Sea ''   `` What 's the New Mary Jane ''       Non-album single     `` Hey Jude '' / `` Revolution ''       Related articles     The Beatles discography   The Beatles in India   Mother Nature 's Son   The Grey Album         Please Please Me   With the Beatles   A Hard Day 's Night   Beatles for Sale   Help !   Rubber Soul   Revolver   Sgt . Pepper 's Lonely Hearts Club Band   Magical Mystery Tour   The Beatles ( White Album )   Yellow Submarine   Abbey Road   Let It Be   Past Masters                 The Beatles singles discography     UK and US ( all labels )      1963     `` Please Please Me '' / `` Ask Me Why ''   `` From Me to You '' / `` Thank You Girl ''   `` She Loves You '' / `` I 'll Get You ''       1964     `` Ca n't Buy Me Love '' / `` You Ca n't Do That ''   `` I Feel Fine '' / `` She 's a Woman ''       1965     `` Ticket to Ride '' / `` Yes It Is ''   `` Help ! '' / `` I 'm Down ''   `` We Can Work It Out '' / `` Day Tripper ''       1966     `` Paperback Writer '' / `` Rain ''   `` Yellow Submarine '' / `` Eleanor Rigby ''       1967     `` Penny Lane '' / `` Strawberry Fields Forever ''   `` All You Need Is Love '' / `` Baby , You 're a Rich Man ''   `` Hello , Goodbye '' / `` I Am the Walrus ''       1968     `` Lady Madonna '' / `` The Inner Light ''   `` Hey Jude '' / `` Revolution ''       1969     `` Get Back '' / `` Do n't Let Me Down ''   `` The Ballad of John and Yoko '' / `` Old Brown Shoe ''   `` Something '' / `` Come Together ''       1970     `` Let It Be '' / `` You Know My Name ( Look Up the Number ) ''       1978     `` Sgt . Pepper 's Lonely Hearts Club Band / With a Little Help from My Friends '' / `` A Day in the Life ''       1982     `` The Beatles Movie Medley '' / `` I 'm Happy Just to Dance with You ''       1995     `` Free as a Bird '' / `` Christmas Time ( Is Here Again ) ''           `` Real Love '' / `` Baby 's in Black ''          UK only ( Parlophone , Apple )      1962     `` My Bonnie '' / `` The Saints ''   `` Love Me Do '' / `` P.S. I Love You ''       1963     `` I Want to Hold Your Hand '' / `` This Boy ''       1964     `` Ai n't She Sweet '' / `` If You Love Me , Baby ''   `` A Hard Day 's Night '' / `` Things We Said Today ''       1976     `` Yesterday '' / `` I Should Have Known Better ''   `` Back in the U.S.S.R. '' / `` Twist and Shout ''          US only ( Vee - Jay , Swan , Tollie , Capitol , Apple )      1963     `` I Want to Hold Your Hand '' / `` I Saw Her Standing There ''       1964     `` Twist and Shout '' / `` There 's a Place ''   `` Do You Want to Know a Secret '' / `` Thank You Girl ''   `` Love Me Do '' / `` P.S. I Love You ''   `` Sie liebt dich '' / `` I 'll Get You ''   `` I 'll Cry Instead '' / `` I 'm Happy Just to Dance with You ''   `` And I Love Her '' / `` If I Fell ''   `` A Hard Day 's Night '' / `` I Should Have Known Better ''   `` Matchbox '' / `` Slow Down ''       1965     `` Eight Days a Week '' / `` I Do n't Want to Spoil the Party ''   `` Yesterday '' / `` Act Naturally ''       1966     `` Nowhere Man '' / `` What Goes On ''       1970     `` The Long and Winding Road '' / `` For You Blue ''       1976     `` Got to Get You into My Life '' / `` Helter Skelter ''   `` Ob - La - Di , Ob - La - Da '' / `` Julia ''          Other countries ( Odeon , Parlophone , Apple )      1963     `` All My Loving '' / `` This Boy '' ( Canada )       1964     `` Komm , gib mir deine Hand / Sie liebt dich '' ( Germany )       1966     `` Norwegian Wood ( This Bird Has Flown ) '' / `` Nowhere Man '' ( Australia )       1968     `` Ob - La - Di , Ob - La - Da '' / `` While My Guitar Gently Weeps '' ( Europe , Japan , Australia )   `` Ob - La - Di , Ob - La - Da '' / `` I Will '' ( Philippines )   `` Back in the U.S.S.R. '' / `` Do n't Pass Me By '' ( Sweden )       1969     `` You 're Going to Lose That Girl '' / `` Tell Me What You See '' ( Japan )       1970     `` Oh ! Darling '' / `` Here Comes the Sun '' ( Japan )       1972     `` All Together Now '' / `` Hey Bulldog '' ( Europe )       1978     `` Sgt . Pepper 's Lonely Hearts Club Band / With a Little Help from My Friends '' / `` Within You Without You '' ( Germany )                    Jeff Healey     Jeff Healey Band albums     See the Light ( 1988 )   Hell to Pay ( 1990 )   Feel This ( 1992 )   Cover to Cover ( 1995 )   Get Me Some ( 2000 )       Solo albums     Mess of Blues ( 2008 )   Songs From The Road ( 2009 )       Jeff Healey Band songs     `` Angel Eyes ''   `` While My Guitar Gently Weeps ''      Retrieved from `` https://en.wikipedia.org/w/index.php?title=While_My_Guitar_Gently_Weeps&amp;oldid=803147751 '' Categories :   The Beatles songs   1968 songs   Song recordings produced by George Martin   Songs written by George Harrison   Eric Clapton songs   Rock ballads   Music published by Harrisongs   1968 singles   Apple Records singles   1960s ballads   Hidden categories :   Use dmy dates from March 2012   Use British English from August 2010   Articles with hAudio microformats           Talk                                           Contents                   About Wikipedia                                           Asturianu   Dansk   Deutsch   Español   فارسی   Français   Galego   Bahasa Indonesia   Italiano   עברית   ქართული   Magyar   Nederlands   </t>
    </r>
    <r>
      <rPr>
        <sz val="11"/>
        <color rgb="FF000000"/>
        <rFont val="Noto Sans CJK SC"/>
        <family val="2"/>
      </rPr>
      <t xml:space="preserve">日本 語   </t>
    </r>
    <r>
      <rPr>
        <sz val="11"/>
        <color rgb="FF000000"/>
        <rFont val="Calibri"/>
        <family val="0"/>
        <charset val="1"/>
      </rPr>
      <t xml:space="preserve">Norsk   Norsk nynorsk   Polski   Português   Русский   Suomi   Svenska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30 September 2017 , at 19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</si>
  <si>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while my guitar gently weeps with santana</t>
  </si>
  <si>
    <t xml:space="preserve"> Among other cover versions , the song has also been recorded by guitarists such as Marc Ribot , Phish and Charlie Byrd , and on ukulele by Jake Shimabukuro . Toto did a cover version for their album Through the Looking Glass and in a live performance in Live in Amsterdam . Santana did a cover for his twentieth album Guitar Heaven : The Greatest Guitar Classics of All Time , in 2010 , featuring singer India Arie and cellist Yo - Yo Ma . Released as a single , it charted on Billboard 's Adult Contemporary . In 2016 , Regina Spektor performed the song for the soundtrack to the film Kubo and the Two Strings , accompanied by Kevin Kmetz on a shamisen . </t>
  </si>
  <si>
    <t xml:space="preserve">Mau Mau uprising - wikipedia  Mau Mau uprising  This article is about the conflict in Kenya . For other uses , see Mau Mau ( disambiguation ) .      Mau Mau Uprising     Part of the decolonisation of Africa     Troops of the King 's African Rifles on watch for Mau Mau rebels .        Date   1952 -- 1960     Location   British Kenya     Result   Suppression of Mau Mau and lifting of the state of emergency , with sporadic resistance until after Kenyan independence .        Belligerents      British Empire    Kenya   Uganda   Southern Rhodesia     Mau Mau rebels     Commanders and leaders      Winston Churchill ( 1951 -- 1955 )   Anthony Eden ( 1955 -- 1957 )   Harold Macmillan ( 1957 -- 1960 )   Evelyn Baring   George Erskine  Kenneth O'Connor   Dedan Kimathi Musa Mwariama Waruhiu Itote Stanley Mathenge ( MIA )     Strength     10,000 regular troops 21,000 police 25,000 Kikuyu Home Guard   Unknown     Casualties and losses     200 killed 579 wounded   12,000 killed ( officially ) ; perhaps 20,000 + killed ( unofficially ) 2,633 captured 2,714 surrendered      Civilian Victims of Mau Mau :  Native Kenyans killed : 1,819 Native Kenyans wounded : 916 Asians killed : 26 Asians wounded : 36 Europeans killed : 32 Europeans wounded : 26               Mau Mau Uprising     1952   Assassination of Waruhiu   Operation Jock Scott    1953    Ruck Family massacre   Lari massacre   Chuka Massacre   Operation Mushroom   Christmas Eve Battle    1954    Operation Anvil   Swynnerton Plan    1956    The Pipeline   Capture of Kimathi    1959    Hola massacre       The Mau Mau Uprising ( 1952 -- 1964 ) , also known as the Mau Mau Rebellion , the Kenya Emergency , and the Mau Mau Revolt , was a war in the British Kenya Colony ( 1920 -- 1963 ) . The definition of the term Mau Mau has been contentious . Some have argued that it is an acronym for Mzungu Aende Ulaya Mwafrica Apate Uhuru . Others have claimed that it was coined from the term UMA UMA , a communication code used by the freedom fighters . Dominated by the Kikuyu people , Meru people and Embu people , the Mau Mau also comprised units of Kamba and Maasai peoples who fought against the white European colonist - settlers in Kenya , the British Army , and the local Kenya Regiment ( British colonists , local auxiliary militia , and pro -- British Kikuyu people ) .   The capture of rebel leader , Field Marshal Dedan Kimathi , on 21 October 1956 , signalled the defeat of the Mau Mau , however , the rebellion survived until after Kenya 's independence from Britain , driven mainly by the Meru units led by Field Marshal Musa Mwariama and General Baimungi . Baimuingi , one of the last Mau Mau generals , was killed shortly after Kenya attained self - rule .   The Mau Mau failed to capture widespread public support , partly due to the British policy of divide and rule , and the Mau Mau movement remained internally divided , despite attempts to unify the factions . The British , meanwhile , applied the strategy and tactics they developed in suppressing the Malayan Emergency ( 1948 -- 60 ) . The Mau Mau Uprising created a rift between the European colonial community in Kenya and the metropole , and also resulted in violent divisions within the Kikuyu community . Suppressing the Mau Mau Uprising in the Kenyan colony cost Britain £ 55 million .   Contents  ( hide )   1 Etymology   2 Background   2.1 Native labourer categories     3 Mau Mau warfare   4 British Reaction   4.1 British reaction to the uprising   4.2 State of Emergency declared ( October 1952 )   4.3 Military operations   4.3. 1 Operation Anvil   4.3. 2 Air power     4.4 Swynnerton Plan   4.5 Detention programme   4.5. 1 Interrogations and confessions   4.5. 2 Works camps     4.6 Villagisation programme   4.7 Political and social concessions by the British     5 Deaths   6 War crimes   6.1 British war crimes   6.1. 1 Chuka Massacre   6.1. 2 Hola massacre     6.2 Mau Mau war crimes   6.2. 1 Lari massacres       7 Legacy   7.1 Compensation claims     8 Mau Mau status in Kenya   9 See also   10 Notes   11 References   12 Further reading   13 External links    Etymology ( edit )  Map of Kenya  The origin of the term Mau Mau is uncertain . According to some members of Mau Mau , they never referred to themselves as such , instead preferring the military title Kenya Land and Freedom Army ( KLFA ) . Some publications , such as Fred Majdalany 's State of Emergency : The Full Story of Mau Mau , claim it was an anagram of Uma Uma ( which means `` get out get out '' ) and was a military codeword based on a secret language - game Kikuyu boys used to play at the time of their circumcision . Majdalany goes on to state that the British simply used the name as a label for the Kikuyu ethnic community without assigning any specific definition .   As the movement progressed , a Swahili backronym was adopted : `` Mzungu Aende Ulaya , Mwafrika Apate Uhuru '' meaning `` Let the foreigner go back abroad , let the African regain independence '' . J.M. Kariuki , a member of Mau Mau who was detained during the conflict , postulates that the British preferred to use the term Mau Mau instead of KLFA in an attempt to deny the Mau Mau rebellion international legitimacy . Kariuki also wrote that the term Mau Mau was adopted by the rebellion in order to counter what they regarded as colonial propaganda .   Another possible origin is a mishearing of the Kikuyu word for oath `` muuma '' .   Background ( edit )  The principal item in the natural resources of Kenya is the land , and in this term we include the colony 's mineral resources . It seems to us that our major objective must clearly be the preservation and the wise use of this most important asset . `` ''  -- Deputy Governor to Secretary of State for the Colonies , 19 March 1945   The armed rebellion of the Mau Mau was the culminating response to oppressive colonial rule . Although there had been previous instances of violent resistance to colonialism , the Mau Mau revolt was the most prolonged and violent anti-colonial warfare in the British Kenya colony . From the start , the land was the primary British interest in Kenya , which had `` some of the richest agricultural soils in the world , mostly in districts where the elevation and climate make it possible for Europeans to reside permanently '' . Though declared a colony in 1920 , the formal British colonial presence in Kenya began with a proclamation on 1 July 1895 , in which Kenya was claimed as a British protectorate .   Even before 1895 , however , Britain 's presence in Kenya was marked by dispossession and violence . In 1894 , British MP Sir Charles Dilke had observed in the House of Commons , `` The only person who has up to the present time benefited from our enterprise in the heart of Africa has been Mr. Hiram Maxim '' . During the period in which Kenya 's interior was being forcibly opened up for British settlement , there was plenty of conflict and British troops carried out atrocities against the native population .   Opposition to British imperialism existed from the start of British occupation . The most notable include the Nandi Resistance of 1895 -- 1905 ; the Giriama Uprising of 1913 -- 1914 ; the women 's revolt against forced labour in Murang'a in 1947 ; and the Kolloa Affray of 1950 . None of the armed uprisings during the beginning of British colonialism in Kenya were successful . The nature of fighting in Kenya led Winston Churchill to express concern in 1908 about how it would look if word got out :   160 Gusii have now been killed outright without any further casualties on our side ... It looks like a butchery . If the H. of C. gets hold of it , all our plans in E.A.P. will be under a cloud . Surely it can not be necessary to go on killing these defenceless people on such an enormous scale .  You may travel through the length and breadth of Kitui Reserve and you will fail to find in it any enterprise , building , or structure of any sort which Government has provided at the cost of more than a few sovereigns for the direct benefit of the natives . The place was little better than a wilderness when I first knew it 25 years ago , and it remains a wilderness to - day as far as our efforts are concerned . If we left that district to - morrow the only permanent evidence of our occupation would be the buildings we have erected for the use of our tax - collecting staff . `` ''  -- Chief Native Commissioner of Kenya , 1925   A feature of all settler societies during the colonial period was the ability to obtain a disproportionate share in land ownership . Kenya was no exception , with the first settlers arriving in 1902 as part of Governor Charles Eliot 's plan to have a settler economy pay for the Uganda Railway . The success of this settler economy would depend heavily on the availability of land , labour and capital , and so , over the next three decades , the colonial government and settlers consolidated their control over Kenyan land , and ' encouraged ' native Kenyans to become wage labourers .   Until the mid-1930s , the two primary complaints were low native Kenyan wages and the requirement to carry an identity document , the kipande . From the early 1930s , however , two others began to come to prominence : effective and elected African - political - representation , and land . The British response to this clamour for agrarian reform came in the early 1930s when they set up the Carter Land Commission .   The Commission reported in 1934 , but its conclusions , recommendations and concessions to Kenyans were so conservative that any chance of a peaceful resolution to native Kenyan land - hunger was ended . Through a series of expropriations , the government seized about 7,000,000 acres ( 28,000 km ; 11,000 sq mi ) of land , most of it in the fertile hilly regions of Central and Rift Valley Provinces , later known as the White Highlands due to the exclusively European - owned farmland there . In Nyanza the Commission restricted 1,029,422 native Kenyans to 7,114 square miles ( 18,430 km ) , while granting 16,700 square miles ( 43,000 km ) to 17,000 Europeans . By the 1930s , and for the Kikuyu in particular , land had become the number one grievance concerning colonial rule , the situation so acute by 1948 that 1,250,000 Kikuyu had ownership of 2,000 square miles ( 5,200 km ) , while 30,000 British settlers owned 12,000 square miles ( 31,000 km ) , abeit most of it not on traditional Kikuku land . `` In particular '' , the British government 's 1925 East Africa Commission noted , `` the treatment of the Giriama tribe ( from the coastal regions ) was very bad . This tribe was moved backwards and forwards so as to secure for the Crown areas which could be granted to Europeans . ''   The Kikuyu , who lived in the Kiambu , Nyeri and Murang'a areas of what became Central Province , were one of the ethnic groups most affected by the colonial government 's land expropriation and European settlement ; by 1933 , they had had over 109.5 square miles ( 284 km ) of their potentially highly valuable land alienated . The Kikuyu mounted a legal challenge against the expropriation of their land , but a Kenya High Court decision of 1921 reaffirmed its legality . In terms of lost acreage , the Masai and Nandi people were the biggest losers of land .   The colonial government and white farmers also wanted cheap labour which , for a period , the government acquired from native Kenyans through force . Confiscating the land itself helped to create a pool of wage labourers , but the colony introduced measures that forced more native Kenyans to submit to wage labour : the introduction of the Hut and Poll Taxes ( 1901 and 1910 respectively ) ; the establishment of reserves for each ethnic group , which isolated ethnic groups and often exacerbated overcrowding ; the discouragement of native Kenyans ' growing cash crops ; the Masters and Servants Ordinance ( 1906 ) and an identification pass known as the kipande ( 1918 ) to control the movement of labour and to curb desertion ; and the exemption of wage labourers from forced labour and other compulsory , detested tasks such as conscription .   Native labourer categories ( edit )   Native Kenyan labourers were in one of three categories : squatter , contract , or casual . By the end of World War I , squatters had become well established on European farms and plantations in Kenya , with Kikuyu squatters comprising the majority of agricultural workers on settler plantations . An unintended consequence of colonial rule , the squatters were targeted from 1918 onwards by a series of Resident Native Labourers Ordinances -- criticised by at least some MPs -- which progressively curtailed squatter rights and subordinated native Kenyan farming to that of the settlers . The Ordinance of 1939 finally eliminated squatters ' remaining tenancy rights , and permitted settlers to demand 270 days ' labour from any squatters on their land. and , after World War II , the situation for squatters deteriorated rapidly , a situation the squatters resisted fiercely .   In the early 1920s , though , despite the presence of 100,000 squatters and tens of thousands more wage labourers , there was still not enough native Kenyan labour available to satisfy the settlers ' needs . The colonial government duly tightened the measures to force more Kenyans to become low - paid wage - labourers on settler farms .   The colonial government used the measures brought in as part of its land expropriation and labour ' encouragement ' efforts to craft the third plank of its growth strategy for its settler economy : subordinating African farming to that of the Europeans . Nairobi also assisted the settlers with rail and road networks , subsidies on freight charges , agricultural and veterinary services , and credit and loan facilities . The near - total neglect of native farming during the first two decades of European settlement was noted by the East Africa Commission .   The resentment of colonial rule would not have been decreased by the wanting provision of medical services for native Kenyans , nor by the fact that in 1923 , for example , `` the maximum amount that could be considered to have been spent on services provided exclusively for the benefit of the native population was slightly over one - quarter of the taxes paid by them '' . The tax burden on Europeans in the early 1920s , meanwhile , was very light . Interwar infrastructure - development was also largely paid for by the indigenous population .   Kenyan employees were often poorly treated by their European employers -- sometimes even beaten to death by them -- with some settlers arguing that native Kenyans `` were as children and should be treated as such '' . Some settlers flogged their servants for petty offences . To make matters even worse , native Kenyan workers were poorly served by colonial labour - legislation and a prejudiced legal - system . The vast majority of Kenyan employees ' violations of labour legislation were settled with `` rough justice '' meted out by their employers . Most colonial magistrates appear to have been unconcerned by the illegal practice of settler - administered flogging ; indeed , during the 1920s , flogging was the magisterial punishment - of - choice for native Kenyan convicts . The principle of punitive sanctions against workers was not removed from the Kenyan labour statutes until the 1950s .  The greater part of the wealth of the country is at present in our hands ... This land we have made is our land by right -- by right of achievement . `` ''  -- Speech by Deputy Colonial Governor 30 November 1946   As a result of the situation in the highlands and growing job opportunities in the cities , thousands of Kikuyu migrated into cities in search of work , contributing to the doubling of Nairobi 's population between 1938 and 1952 . At the same time , there was a small , but growing , class of Kikuyu landowners who consolidated Kikuyu landholdings and forged ties with the colonial administration , leading to an economic rift within the Kikuyu .   Mau Mau warfare ( edit )       This section needs expansion . You can help by adding to it . ( April 2018 )     Mau Mau were the militant wing of a growing clamour for political representation and freedom in Kenya . The first attempt to form a countrywide political party begun on 1 October 1944 . This fledgling organisation was called the Kenya African Study Union with Harry Thuku as its inaugural chairman . He soon resigned his chairmanship . There is dispute over Thuku 's reason for leaving KASU : Bethwell Ogot states that Thuku `` found the responsibility too heavy '' ; David Anderson states that `` he walked out in disgust '' as the militant section of KASU took the initiative . KASU changed its name to the Kenya African Union ( KAU ) in 1946 .   The failure of KAU to attain any significant reforms or redress of grievances from the colonial authorities shifted the political initiative to younger and more militant figures within the native Kenyan trade union movement , among the squatters on the settler estates in the Rift Valley and in KAU branches in Nairobi and the Kikuyu districts of central province . Around 1943 , residents of Olenguruone Settlement radicalised the traditional practice of oathing , and extended oathing to women and children . By the mid-1950s , 90 % of Kikuyu , Embu and Meru were oathed . On 3 October 1952 , Mau Mau claimed their first European victim when they stabbed a woman to death near her home in Thika . Six days later , on 9 October , Senior Chief Waruhiu was shot dead in broad daylight in his car , which was an important blow against the colonial government . Waruhiu had been one of the strongest supporters of the British presence in Kenya . His assassination gave Baring the final impetus to request permission from the Colonial Office to declare a State of Emergency .   Contrary to British propaganda and western perceptions of the time , the Mau Mau attacks were mostly well organised and planned .   ... the insurgents ' lack of heavy weaponry and the heavily entrenched police and Home Guard positions meant that Mau Mau attacks were restricted to nighttime and where loyalist positions were weak . When attacks did commence they were fast and brutal , as insurgents were easily able to identify loyalists because they were often local to those communities themselves . The Lari massacre was by comparison rather outstanding and in contrast to regular Mau Mau strikes which more often than not targeted only loyalists without such massive civilian casualties . `` Even the attack upon Lari , in the view of the rebel commanders was strategic and specific . ''   The Mau Mau command , contrary to the Home Guard who were stigmatised as `` the running dogs of British Imperialism '' , were relatively well educated . General Gatunga had previously been a respected and well read Christian teacher in his local Kikuyu community . He was known to meticulously record his attacks in a series of five notebooks , which when executed were often swift and strategic , targeting loyalist community leaders he had previously known as a teacher .   The Mau Mau military strategy was mainly guerrilla attacks launched under the cover of dark . They used stolen weapons such as guns , as well as weapons such as machetes and bows and arrows in their attacks . In a few limited cases , they also deployed biological weapons .   Women formed a core part of the Mau Mau , especially in maintaining supply lines . Initially able to avoid the suspicion , they moved through colonial spaces and between Mau Mau hideouts and strongholds , to deliver vital supplies and services to guerrilla fighters including food , ammunition , medical care , and of course , information . An unknown number also fought in the war , with the most high - ranking being Field Marshal Muthoni .   British reaction ( edit )   The British and international view was that Mau Mau as a savage , violent , and depraved tribal cult , an expression of unrestrained emotion rather than reason . Mau Mau was `` perverted tribalism '' that sought to take the Kikuyu people back to `` the bad old days '' before British rule . The official British explanation of the revolt did not include the insights of agrarian and agricultural experts , of economists and historians , or even of Europeans who had spent a long period living amongst the Kikuyu such as Louis Leakey . Not for the first time , the British instead relied on the purported insights of the ethnopsychiatrist ; with Mau Mau , it fell to Dr. John Colin Carothers to perform the desired analysis . This ethnopsychiatric analysis guided British psychological warfare , which painted Mau Mau as `` an irrational force of evil , dominated by bestial impulses and influenced by world communism '' , and the later official study of the uprising , the Corfield Report .   The psychological war became of critical importance to military and civilian leaders , who waged it in the time - honoured colonial fashion of divide and rule , always trying to `` emphasise that there was in effect a civil war , and that the struggle was not black versus white '' , attempting to isolate Mau Mau from the Kikuyu , and the Kikuyu from the rest of the colony 's population and the world outside . In driving a wedge between Mau Mau and the Kikuyu generally , these propaganda efforts essentially played no role , though they could apparently claim an important contribution to the isolation of Mau Mau from the non-Kikuyu sections of the population .   By the mid-1960s , the view of Mau Mau as simply irrational activists was being challenged by memoirs of former members and leaders that portrayed Mau Mau as an essential , if radical , component of African nationalism in Kenya , and by academic studies that analysed the movement as a modern and nationalist response to the unfairness and oppression of colonial domination ( though such studies downplayed the specifically Kikuyu nature of the movement ) .   There continues to be vigorous debate within Kenyan society and among the academic community within and without Kenya regarding the nature of Mau Mau and its aims , as well as the response to and effects of the uprising . Nevertheless , partly because as many Kikuyu fought against Mau Mau on the side of the colonial government as joined them in rebellion , the conflict is now often regarded in academic circles as an intra-Kikuyu civil war , a characterisation that remains extremely unpopular in Kenya . Kenyatta described the conflict in his memoirs as a civil war rather than a rebellion . The reason that the revolt was majorly limited to the Kikuyu people was , in part , that they had suffered the most as a result of the negative aspects of British colonialism .   Wunyabari O. Maloba regards the rise of the Mau Mau movement as `` without doubt , one of the most important events in recent African history . '' David Anderson , however , considers Maloba 's and similar work to be the product of `` swallowing too readily the propaganda of the Mau Mau war '' , noting the similarity between such analysis and the `` simplistic '' earlier studies of Mau Mau . This earlier work cast the Mau Mau war in strictly bipolar terms , `` as conflicts between anti-colonial nationalists and colonial collaborators '' . Caroline Elkins ' 2005 study , Imperial Reckoning , has met similar criticism , as well as being criticised for sensationalism .  It is often assumed that in a conflict there are two sides in opposition to one another , and that a person who is not actively committed to one side must be supporting the other . During the course of a conflict , leaders on both sides will use this argument to gain active support from the `` crowd '' . In reality , conflicts involving more than two persons usually have more than two sides , and if a resistance movement is to be successful , propaganda and politicization are essential . `` ''  -- Louise Pirouet   Broadly speaking , throughout Kikuyu history , there have been two traditions : moderate - conservative and radical . Despite the differences between them , there has been a continuous debate and dialogue between these traditions , leading to a great political awareness among the Kikuyu . By 1950 , these differences , and the impact of colonial rule , had given rise to three native Kenyan political blocks : conservative , moderate nationalist and militant nationalist . It has also been argued that Mau Mau was not explicitly national , either intellectually or operationally .   Bruce Berman argues that , `` While Mau Mau was clearly not a tribal atavism seeking a return to the past , the answer to the question of ' was it nationalism ? ' must be yes and no . '' As the Mau Mau rebellion wore on , the violence forced the spectrum of opinion within the Kikuyu , Embu and Meru to polarise and harden into the two distinct camps of loyalist and Mau Mau . This neat division between loyalists and Mau Mau was a product of the conflict , rather than a cause or catalyst of it , with the violence becoming less ambiguous over time , in a similar manner to other situations .   British reaction to the uprising ( edit )  Between 1952 and 1956 , when the fighting was at its worst , the Kikuyu districts of Kenya became a police state in the very fullest sense of that term . `` ''  -- David Anderson   Philip Mitchell retired as Kenya 's governor in summer 1952 , having turned a blind eye to Mau Mau 's increasing activity . Through the summer of 1952 , however , Colonial Secretary Oliver Lyttelton in London received a steady flow of reports from Acting Governor Henry Potter about the escalating seriousness of Mau Mau violence , but it was not until the later part of 1953 that British politicians began to accept that the rebellion was going to take some time to deal with . At first , the British discounted the Mau Mau rebellion because of their own technical and military superiority , which encouraged hopes for a quick victory .   The British army accepted the gravity of the uprising months before the politicians , but the army 's appeals to London and Nairobi initially fell on deaf ears . On 30 September 1952 , Evelyn Baring arrived in Kenya to permanently take over from Potter ; Baring was given no warning by Mitchell or the Colonial Office about the gathering maelstrom into which he was stepping .   Aside from military operations against Mau Mau fighters in the forests , the British attempt to defeat the movement broadly came in two stages : the first , relatively limited in scope , came during the period in which they had still failed to accept the seriousness of the revolt ; the second came afterwards . During the first stage , the British tried to decapitate the movement by declaring a State of Emergency before arresting 180 alleged Mau Mau leaders ( see Operation Jock Scott below ) and subjecting six of them to a show trial ( the Kapenguria Six ) ; the second stage began in earnest in 1954 , when they undertook a series of major economic , military and penal initiatives .   The second stage had three main planks : a large military - sweep of Nairobi leading to the internment of tens of thousands of the city 's suspected Mau Mau members and sympathisers ( see Operation Anvil below ) ; the enacting of major agrarian reform ( the Swynnerton Plan ) ; and the institution of a vast villagisation programme for more than a million rural Kikuyu ( see below ) . In 2012 , the UK government accepted that prisoners had suffered `` torture and ill - treatment at the hands of the colonial administration '' .   The harshness of the British response was inflated by two factors . First , the settler government in Kenya was , even before the insurgency , probably the most openly racist one in the British empire , with the settlers ' violent prejudice attended by an uncompromising determination to retain their grip on power and half - submerged fears that , as a tiny minority , they could be overwhelmed by the indigenous population . Some settlers felt that `` ( a ) good sound system of compulsory labour would do more to raise the nigger in five years than all the millions that have been sunk in missionary efforts for the last fifty '' , and its representatives were so keen on aggressive action that George Erskine referred to them as `` the White Mau Mau '' . Second , the brutality of Mau Mau attacks on civilians made it easy for the movement 's opponents -- including native Kenyan and loyalist security forces -- to adopt a totally dehumanised view of Mau Mau adherents .   A variety of persuasive techniques were initiated by the colonial authorities to punish and break Mau Mau 's support : Baring ordered punitive communal - labour , collective fines and other collective punishments , and further confiscation of land and property . By early 1954 , tens of thousands of head of livestock had been taken , and were allegedly never returned . Detailed accounts of the policy of seizing livestock from Kenyans suspected of supporting Mau Mau rebels were finally released in April 2012 .   State of Emergency declared ( October 1952 ) ( edit )   On 20 October 1952 , Governor Baring signed an order declaring a State of Emergency . Early the next morning , Operation Jock Scott was launched : the British carried out a mass - arrest of Jomo Kenyatta and 180 other alleged Mau Mau leaders within Nairobi . Jock Scott did not decapitate the movement 's leadership as hoped , since news of the impending operation was leaked . Thus , while the moderates on the wanted list awaited capture , the real militants , such as Dedan Kimathi and Stanley Mathenge ( both later principal leaders of Mau Mau 's forest armies ) , fled to the forests .   The day after the round up , another prominent loyalist chief , Nderi , was hacked to pieces , and a series of gruesome murders against settlers were committed throughout the months that followed . The violent and random nature of British tactics during the months after Jock Scott served merely to alienate ordinary Kikuyu and drive many of the wavering majority into Mau Mau 's arms . Three battalions of the King 's African Rifles were recalled from Uganda , Tanganyika and Mauritius , giving the regiment five battalions in all in Kenya , a total of 3,000 native Kenyan troops . To placate settler opinion , one battalion of British troops , from the Lancashire Fusiliers , was also flown in from Egypt to Nairobi on the first day of Operation Jock Scott . In November 1952 , Baring requested assistance from the Security Service . For the next year , the Service 's A.M. MacDonald would reorganise the Special Branch of the Kenya Police , promote collaboration with Special Branches in adjacent territories , and oversee coordination of all intelligence activity `` to secure the intelligence Government requires '' .  Our sources have produced nothing to indicate that Kenyatta , or his associates in the UK , are directly involved in Mau Mau activities , or that Kenyatta is essential to Mau Mau as a leader , or that he is in a position to direct its activities . `` ''  -- Percy Sillitoe , Director General of MI5 Letter to Evelyn Baring , 9 January 1953   In January 1953 , six of the most prominent detainees from Jock Scott , including Kenyatta , were put on trial , primarily to justify the declaration of the Emergency to critics in London . The trial itself was claimed to have featured a suborned lead defence - witness , a bribed judge , and other serious violations of the right to a fair trial .   Native Kenyan political activity was permitted to resume at the end of the military phase of the Emergency .   Military operations ( edit )  Lieutenant General Sir George Erskine , Commander - in - Chief , British East Africa ( centre ) , observing operations against the Mau Mau  The onset of the Emergency led hundreds , and eventually thousands , of Mau Mau adherents to flee to the forests , where a decentralised leadership had already begun setting up platoons . The primary zones of Mau Mau military strength were the Aberdares and the forests around Mount Kenya , whilst a passive support - wing was fostered outside these areas . Militarily , the British defeated Mau Mau in four years ( 1952 -- 56 ) using a more expansive version of `` coercion through exemplary force '' . In May 1953 , the decision was made to send General George Erskine to oversee the restoration of order in the colony .   By September 1953 , the British knew the leading personalities in Mau Mau , the capture and 68 hour interrogation of General China on 15 January the following year provided a massive intellige</t>
  </si>
  <si>
    <t xml:space="preserve">who declared state of emergency in kenya in 1952</t>
  </si>
  <si>
    <t xml:space="preserve"> Aside from military operations against Mau Mau fighters in the forests , the British attempt to defeat the movement broadly came in two stages : the first , relatively limited in scope , came during the period in which they had still failed to accept the seriousness of the revolt ; the second came afterwards . During the first stage , the British tried to decapitate the movement by declaring a State of Emergency before arresting 180 alleged Mau Mau leaders ( see Operation Jock Scott below ) and subjecting six of them to a show trial ( the Kapenguria Six ) ; the second stage began in earnest in 1954 , when they undertook a series of major economic , military and penal initiatives . </t>
  </si>
  <si>
    <t xml:space="preserve">List of justices of the Supreme Court of the United States - wikipedia  List of justices of the Supreme Court of the United States  Jump to : navigation , search    This article is part of the series on the     United States Supreme Court         The Court       Decisions   Procedure   History   Court Building       Current membership       Chief Justice   John Roberts   Associate Justices   Anthony Kennedy   Clarence Thomas   Ruth Bader Ginsburg   Stephen Breyer   Samuel Alito   Sonia Sotomayor   Elena Kagan   Neil Gorsuch   Retired Associate Justices   John Paul Stevens   Sandra Day O'Connor   David Souter       All members       List of all justices   by court   by seat   by time in office   by education   List of Chief Justices   List of Associate Justices   Specialty lists   All nominations   Unsuccessful nominations   Nominations late in presidency   Court demographics   Justices who served in Congress   Ideological leanings of justices       Court functionaries       Clerks   Reporter of Decisions   Marshal of the Court   Supreme Court Police         Other countries   Law Portal                   The Supreme Court of the United States is the highest ranking judicial body in the United States . Its membership , as set by the Judiciary Act of 1869 , consists of the Chief Justice of the United States and eight associate justices , any six of whom would constitute a quorum . Justices are nominated by the President of the United States and appointed after confirmation by the United States Senate . Justices of the Supreme Court have life tenure and receive a salary which is set at $255,500 per year for the chief justice and at $244,400 per year for each associate justice as of 2014 .   The Supreme Court was created in 1789 by Article III of the United States Constitution , which stipulated that the `` judicial Power of the United States , shall be vested in one supreme Court '' together with any lower courts Congress may establish . Congress organized the Court that year with the passage of the Judiciary Act of 1789 . It specified the Court 's original and appellate jurisdiction , created thirteen judicial districts , and fixed the number of justices at six ( one chief justice and five associate justices ) .   Since 1789 , Congress has occasionally altered the size of the Supreme Court , historically in response to the country 's own expansion in size . An 1801 act would have decreased the Court 's size to five members upon its next vacancy . However , an 1802 act negated the effects of the 1801 act upon the Court before any such vacancy occurred , maintaining the Court 's size at six members . Later legislation increased its size to seven members in 1807 , to nine in 1837 , and to ten in 1863 . An 1866 act was to have reduced the Court 's size from ten members to seven upon its next three vacancies , and two vacancies did occur during this period . However , before a third vacancy occurred , the Judiciary Act of 1869 intervened , restoring the Court 's size to nine members , where it has remained since .   While the justices of the Supreme Court are appointed for life , many have retired or resigned . Beginning in the early 20th century , many justices who left the Court voluntarily did so by retiring from the Court without leaving the federal judiciary altogether . A retired justice , according to the United States Code , is no longer a member of the Supreme Court , but remains eligible to serve by designation as a judge of a U.S. Court of Appeals or District Court , and many retired justices have served in these capacities . Historically , the average length of service on the Court has been less than 15 years . However , since 1970 the average length of service has increased to about 26 years .     Contents  ( hide )   1 Current justices of the Supreme Court   2 All justices of the Supreme Court   2.1 Notes     3 Timelines   3.1 All justices   3.2 Current justices     4 See also   5 References   6 External links      Current justices of the Supreme Court ( edit )   There are currently nine justices serving on the Supreme Court ; listed in order of seniority , they are :    John Roberts , Chief Justice since September 29 , 2005 Age 7004231320000000000 ♠ 63     Anthony Kennedy , Associate Justice since February 18 , 1988 Age 7004298940000000000 ♠ 81   Clarence Thomas , Associate Justice since October 23 , 1991 Age 7004255410000000000 ♠ 69   Ruth Bader Ginsburg , Associate Justice since August 10 , 1993 Age 7004311200000000000 ♠ 85   Stephen Breyer , Associate Justice since August 3 , 1994 Age 7004291410000000000 ♠ 79     Samuel Alito , Associate Justice since January 31 , 2006 Age 7004248940000000000 ♠ 68   Sonia Sotomayor , Associate Justice since August 8 , 2009 Age 7004233480000000000 ♠ 63   Elena Kagan , Associate Justice since August 7 , 2010 Age 7004212140000000000 ♠ 58   Neil Gorsuch , Associate Justice since April 10 , 2017 Age 7004185350000000000 ♠ 50    All justices of the Supreme Court ( edit )   Since the Supreme Court was established in 1789 , 113 persons have served on the Court . William O. Douglas holds the record for longest tenure on the Court -- 36 years , 211 days , and Thomas Johnson 's 163 day tenure is the shortest . Five individuals were confirmed for associate justice , and later appointed chief justice separately : Charles Evans Hughes , William Rehnquist , John Rutledge , Harlan F. Stone , and Edward Douglass White . While listed twice , each of them has been assigned only one index number . The justices of the Supreme Court are :     Justice   State   Position   Replacing   Date confirmed ( Vote )   Tenure   Tenure length   Appointed by         John Jay ( 1745 -- 1829 )   NY   001 ! Chief Justice   New seat   000000001789 - 09 - 26 - 0000 September 26 , 1789 ( Acclamation )   000000001789 - 10 - 19 - 0000 October 19 , 1789 -- June 29 , 1795 ( Resigned )   7003207900000000000 ♠ 5 years , 253 days   George Washington         John Rutledge ( 1739 -- 1800 )   SC   018 ! Associate Justice   New seat   000000001789 - 09 - 26 - 0000 September 26 , 1789 ( Acclamation )   000000001790 - 02 - 15 - 0000 February 15 , 1790 -- March 4 , 1791 ( Resigned )   7002382000000000000 ♠ 1 year , 17 days         William Cushing ( 1732 -- 1810 )   MA   019 ! Associate Justice   New seat   000000001789 - 09 - 26 - 0000 September 26 , 1789 ( Acclamation )   000000001790 - 02 - 02 - 0000 February 2 , 1790 -- September 13 , 1810 ( Died )   7003752700000000000 ♠ 20 years , 223 days         James Wilson ( 1742 -- 1798 )   PA   020 ! Associate Justice   New seat   000000001789 - 09 - 26 - 0000 September 26 , 1789 ( Acclamation )   000000001789 - 10 - 05 - 0000 October 5 , 1789 -- August 21 , 1798 ( Died )   7003324200000000000 ♠ 8 years , 320 days     5     John Blair ( 1732 -- 1800 )   VA   021 ! Associate Justice   New seat   000000001789 - 09 - 26 - 0000 September 26 , 1789 ( Acclamation )   000000001790 - 02 - 02 - 0000 February 2 , 1790 -- October 25 , 1795 ( Resigned )   7003209100000000000 ♠ 5 years , 265 days     6     James Iredell ( 1751 -- 1799 )   NC   022 ! Associate Justice   New seat   000000001790 - 02 - 10 - 0000 February 10 , 1790 ( Acclamation )   000000001790 - 05 - 12 - 0000 May 12 , 1790 -- October 20 , 1799 ( Died )   7003344800000000000 ♠ 9 years , 161 days     7     Thomas Johnson ( 1732 -- 1819 )   MD   023 ! Associate Justice   J. Rutledge   000000001791 - 11 - 07 - 0000 November 7 , 1791 ( Acclamation )   000000001792 - 08 - 06 - 0000 August 6 , 1792 -- January 16 , 1793 ( Resigned )   7002163000000000000 ♠ 163 days     8     William Paterson ( 1745 -- 1806 )   NJ   024 ! Associate Justice   T. Johnson   000000001793 - 03 - 04 - 0000 March 4 , 1793 ( Acclamation )   000000001793 - 03 - 11 - 0000 March 11 , 1793 -- September 8 , 1806 ( Died )   7003492800000000000 ♠ 13 years , 181 days         John Rutledge ( 1739 -- 1800 )   SC   002 ! Chief Justice   Jay   000000001795 - 12 - 15 - 0000 December 15 , 1795 ( 10 -- 14 )   000000001795 - 08 - 12 - 0000 August 12 , 1795 -- December 28 , 1795 ( Resigned , nomination having been rejected )   7002138000000000000 ♠ 138 days     9     Samuel Chase ( 1741 -- 1811 )   MD   025 ! Associate Justice   Blair   000000001796 - 01 - 27 - 0000 January 27 , 1796 ( Acclamation )   000000001796 - 02 - 04 - 0000 February 4 , 1796 -- June 19 , 1811 ( Died )   7003561300000000000 ♠ 15 years , 135 days     10     Oliver Ellsworth ( 1745 -- 1807 )   CT   003 ! Chief Justice   J. Rutledge   000000001796 - 03 - 04 - 0000 March 4 , 1796 ( 21 -- 1 )   000000001796 - 03 - 08 - 0000 March 8 , 1796 -- December 15 , 1800 ( Resigned )   7003174200000000000 ♠ 4 years , 282 days     11     Bushrod Washington ( 1762 -- 1829 )   VA   026 ! Associate Justice   Wilson   000000001798 - 12 - 20 - 0000 December 20 , 1798 ( Acclamation )   000000001798 - 11 - 09 - 0000 November 9 , 1798 -- November 26 , 1829 ( Died )   7004113390000000000 ♠ 31 years , 17 days   John Adams     12     Alfred Moore ( 1755 -- 1810 )   NC   027 ! Associate Justice   Iredell   000000001799 - 12 - 09 - 0000 December 9 , 1799 ( Acclamation )   000000001800 - 04 - 21 - 0000 April 21 , 1800 -- January 26 , 1804 ( Resigned )   7003137500000000000 ♠ 3 years , 280 days     13     John Marshall ( 1755 -- 1835 )   VA   004 ! Chief Justice   Ellsworth   000000001801 - 01 - 27 - 0000 January 27 , 1801 ( Acclamation )   000000001801 - 02 - 04 - 0000 February 4 , 1801 -- July 6 , 1835 ( died )   7004125700000000000 ♠ 34 years , 152 days     14     William Johnson ( 1771 -- 1834 )   SC   028 ! Associate Justice   Moore   000000001804 - 03 - 24 - 0000 March 24 , 1804 ( Acclamation )   000000001804 - 05 - 07 - 0000 May 7 , 1804 -- August 4 , 1834 ( Died )   7004110460000000000 ♠ 30 years , 89 days   Thomas Jefferson     15     Henry Brockholst Livingston ( 1757 -- 1823 )   NY   029 ! Associate Justice   Paterson   000000001806 - 12 - 17 - 0000 December 17 , 1806 ( Acclamation )   000000001807 - 01 - 20 - 0000 January 20 , 1807 -- March 18 , 1823 ( Died )   7003590100000000000 ♠ 16 years , 57 days     16     Thomas Todd ( 1765 -- 1826 )   KY   030 ! Associate Justice   New seat   000000001807 - 03 - 02 - 0000 March 2 , 1807 ( Acclamation )   000000001807 - 03 - 03 - 0000 March 3 , 1807 -- February 7 , 1826 ( Died )   7003691600000000000 ♠ 18 years , 341 days     17     Gabriel Duvall ( 1752 -- 1844 )   MD   031 ! Associate Justice   S. Chase   000000001811 - 11 - 18 - 0000 November 18 , 1811 ( Acclamation )   000000001811 - 11 - 23 - 0000 November 23 , 1811 -- January 12 , 1835 ( Resigned )   7003845100000000000 ♠ 23 years , 50 days   James Madison     18     Joseph Story ( 1779 -- 1845 )   MA   032 ! Associate Justice   Cushing   000000001811 - 11 - 18 - 0000 November 18 , 1811 ( Acclamation )   000000001812 - 02 - 03 - 0000 February 3 , 1812 -- September 10 , 1845 ( Died )   7004122730000000000 ♠ 33 years , 219 days     19     Smith Thompson ( 1768 -- 1843 )   NY   033 ! Associate Justice   Livingston   000000001823 - 12 - 09 - 0000 December 9 , 1823 ( Acclamation )   000000001823 - 09 - 01 - 0000 September 1 , 1823 -- December 18 , 1843 ( Died )   7003741300000000000 ♠ 20 years , 108 days   James Monroe     20     Robert Trimble ( 1776 -- 1828 )   KY   034 ! Associate Justice   Todd   000000001826 - 05 - 09 - 0000 May 9 , 1826 ( 25 -- 5 )   000000001826 - 06 - 16 - 0000 June 16 , 1826 -- August 25 , 1828 ( Died )   7002801000000000000 ♠ 2 years , 70 days   John Quincy Adams     21     John McLean ( 1785 -- 1861 )   OH   035 ! Associate Justice   Trimble   000000001829 - 03 - 07 - 0000 March 7 , 1829 ( Acclamation )   000000001830 - 01 - 11 - 0000 January 11 , 1830 -- April 4 , 1861 ( Died )   7004114060000000000 ♠ 31 years , 83 days   Andrew Jackson     22     Henry Baldwin ( 1780 -- 1844 )   PA   036 ! Associate Justice   Washington   000000001830 - 01 - 06 - 0000 January 6 , 1830 ( 41 -- 2 )   000000001830 - 01 - 18 - 0000 January 18 , 1830 -- April 21 , 1844 ( Died )   7003520700000000000 ♠ 14 years , 94 days     23     James Moore Wayne ( 1790 -- 1867 )   GA   037 ! Associate Justice   W. Johnson   000000001835 - 01 - 09 - 0000 January 9 , 1835 ( Acclamation )   000000001835 - 01 - 14 - 0000 January 14 , 1835 -- July 5 , 1867 ( Died )   7004118600000000000 ♠ 32 years , 172 days     24     Roger B. Taney ( 1777 -- 1864 )   MD   005 ! Chief Justice   J. Marshall   000000001836 - 03 - 15 - 0000 March 15 , 1836 ( 29 -- 15 )   000000001836 - 03 - 28 - 0000 March 28 , 1836 -- October 12 , 1864 ( Died )   7004104250000000000 ♠ 28 years , 198 days     25     Philip Pendleton Barbour ( 1783 -- 1841 )   VA   038 ! Associate Justice   Duvall   000000001836 - 03 - 15 - 0000 March 15 , 1836 ( 30 -- 11 )   000000001836 - 05 - 12 - 0000 May 12 , 1836 -- February 25 , 1841 ( Died )   7003175000000000000 ♠ 4 years , 289 days     26     John Catron ( 1786 -- 1865 )   TN   039 ! Associate Justice   New seat   000000001837 - 03 - 08 - 0000 March 8 , 1837 ( 28 -- 15 )   000000001837 - 05 - 01 - 0000 May 1 , 1837 -- May 30 , 1865 ( Died )   7004102560000000000 ♠ 28 years , 29 days     27     John McKinley ( 1780 -- 1852 )   AL   040 ! Associate Justice   New seat   000000001837 - 09 - 25 - 0000 September 25 , 1837 ( Acclamation )   000000001838 - 01 - 09 - 0000 January 9 , 1838 -- July 19 , 1852 ( Died )   7003530500000000000 ♠ 14 years , 192 days   Martin Van Buren     28     Peter Vivian Daniel ( 1784 -- 1860 )   VA   041 ! Associate Justice   Barbour   000000001841 - 03 - 02 - 0000 March 2 , 1841 ( 25 -- 5 )   000000001842 - 01 - 10 - 0000 January 10 , 1842 -- May 31 , 1860 ( Died )   7003671600000000000 ♠ 18 years , 142 days     29     Samuel Nelson ( 1792 -- 1873 )   NY   042 ! Associate Justice   Thompson   000000001845 - 02 - 14 - 0000 February 14 , 1845 ( Acclamation )   000000001845 - 02 - 27 - 0000 February 27 , 1845 -- November 28 , 1872 ( Retired )   7004101360000000000 ♠ 27 years , 275 days   John Tyler     30     Levi Woodbury ( 1789 -- 1851 )   NH   043 ! Associate Justice   Story   000000001846 - 01 - 31 - 0000 January 31 , 1846 ( Acclamation )   000000001845 - 09 - 23 - 0000 September 23 , 1845 -- September 4 , 1851 ( Died )   7003217200000000000 ♠ 5 years , 346 days   James K. Polk     31     Robert Cooper Grier ( 1794 -- 1870 )   PA   044 ! Associate Justice   Baldwin   000000001846 - 08 - 04 - 0000 August 4 , 1846 ( Acclamation )   000000001846 - 08 - 10 - 0000 August 10 , 1846 -- January 31 , 1870 ( Retired )   7003857500000000000 ♠ 23 years , 174 days     32     Benjamin Robbins Curtis ( 1809 -- 1874 )   MA   045 ! Associate Justice   Woodbury   000000001851 - 12 - 20 - 0000 December 20 , 1851 ( Acclamation )   000000001851 - 10 - 10 - 0000 October 10 , 1851 -- September 30 , 1857 ( Resigned )   7003218200000000000 ♠ 5 years , 355 days   Millard Fillmore     33     John Archibald Campbell ( 1811 -- 1889 )   AL   046 ! Associate Justice   McKinley   000000001853 - 03 - 22 - 0000 March 22 , 1853 ( Acclamation )   000000001853 - 04 - 11 - 0000 April 11 , 1853 -- April 30 , 1861 ( Resigned )   7003294100000000000 ♠ 8 years , 19 days   Franklin Pierce     34     Nathan Clifford ( 1803 -- 1881 )   ME   047 ! Associate Justice   Curtis   000000001858 - 01 - 12 - 0000 January 12 , 1858 ( 26 -- 23 )   000000001858 - 01 - 21 - 0000 January 21 , 1858 -- July 25 , 1881 ( Died )   7003858600000000000 ♠ 23 years , 185 days   James Buchanan     35     Noah Haynes Swayne ( 1804 -- 1884 )   OH   048 ! Associate Justice   McLean   000000001862 - 01 - 24 - 0000 January 24 , 1862 ( 38 -- 1 )   000000001862 - 01 - 27 - 0000 January 27 , 1862 -- January 24 , 1881 ( Retired )   7003693700000000000 ♠ 18 years , 363 days   Abraham Lincoln     36     Samuel Freeman Miller ( 1816 -- 1890 )   IA   049 ! Associate Justice   Daniel   000000001862 - 07 - 16 - 0000 July 16 , 1862 ( Acclamation )   000000001862 - 07 - 21 - 0000 July 21 , 1862 -- October 13 , 1890 ( Died )   7004103110000000000 ♠ 28 years , 84 days     37     David Davis ( 1815 -- 1886 )   IL   050 ! Associate Justice   Campbell   000000001862 - 12 - 08 - 0000 December 8 , 1862 ( Acclamation )   000000001862 - 12 - 10 - 0000 December 10 , 1862 -- March 4 , 1877 ( Resigned )   7003519800000000000 ♠ 14 years , 84 days     38     Stephen Johnson Field ( 1816 -- 1899 )   CA   051 ! Associate Justice   New seat   000000001863 - 03 - 10 - 0000 March 10 , 1863 ( Acclamation )   000000001863 - 05 - 10 - 0000 May 10 , 1863 -- December 1 , 1897 ( Retired )   7004126240000000000 ♠ 34 years , 205 days     39     Salmon P. Chase ( 1808 -- 1873 )   OH   006 ! Chief Justice   Taney   000000001864 - 12 - 06 - 0000 December 6 , 1864 ( Acclamation )   000000001864 - 12 - 15 - 0000 December 15 , 1864 -- May 7 , 1873 ( Died )   7003306500000000000 ♠ 8 years , 143 days     40     William Strong ( 1808 -- 1895 )   PA   052 ! Associate Justice   Grier   000000001870 - 02 - 18 - 0000 February 18 , 1870 ( No vote recorded )   000000001870 - 03 - 14 - 0000 March 14 , 1870 -- December 14 , 1880 ( Retired )   7003392800000000000 ♠ 10 years , 275 days   Ulysses S. Grant     41     Joseph Philo Bradley ( 1813 -- 1892 )   NJ   053 ! Associate Justice   New seat   000000001870 - 03 - 21 - 0000 March 21 , 1870 ( 46 -- 9 )   000000001870 - 03 - 23 - 0000 March 23 , 1870 -- January 22 , 1892 ( Died )   7003797500000000000 ♠ 21 years , 305 days     42     Ward Hunt ( 1810 -- 1886 )   NY   054 ! Associate Justice   Nelson   000000001872 - 12 - 11 - 0000 December 11 , 1872 ( Acclamation )   000000001873 - 01 - 09 - 0000 January 9 , 1873 -- January 27 , 1882 ( Retired )   7003330500000000000 ♠ 9 years , 18 days     43     Morrison Waite ( 1816 -- 1888 )   OH   007 ! Chief Justice   S.P. Chase   000000001874 - 01 - 21 - 0000 January 21 , 1874 ( 63 -- 0 )   000000001874 - 03 - 04 - 0000 March 4 , 1874 -- March 23 , 1888 ( Died )   7003513300000000000 ♠ 14 years , 19 days     44     John Marshall Harlan ( 1833 -- 1911 )   KY   055 ! Associate Justice   Davis   000000001877 - 11 - 29 - 0000 November 29 , 1877 ( Acclamation )   000000001877 - 12 - 10 - 0000 December 10 , 1877 -- October 14 , 1911 ( Died )   7004123600000000000 ♠ 33 years , 308 days   Rutherford B. Hayes     45     William Burnham Woods ( 1824 -- 1887 )   GA   056 ! Associate Justice   Strong   000000001880 - 12 - 21 - 0000 December 21 , 1880 ( 39 -- 8 )   000000001881 - 01 - 05 - 0000 January 5 , 1881 -- May 14 , 1887 ( Died )   7003232000000000000 ♠ 6 years , 129 days     46     Stanley Matthews ( 1824 -- 1889 )   OH   057 ! Associate Justice   Swayne   000000001881 - 05 - 12 - 0000 May 12 , 1881 ( 24 -- 23 )   000000001881 - 05 - 17 - 0000 May 17 , 1881 -- March 22 , 1889 ( Died )   7003286600000000000 ♠ 7 years , 309 days   James Garfield     47     Horace Gray ( 1828 -- 1902 )   MA   058 ! Associate Justice   Clifford   000000001881 - 12 - 20 - 0000 December 20 , 1881 ( 51 -- 5 )   000000001882 - 01 - 09 - 0000 January 9 , 1882 -- September 15 , 1902 ( Died )   7003755300000000000 ♠ 20 years , 249 days   Chester A. Arthur     48     Samuel Blatchford ( 1820 -- 1893 )   NY   059 ! Associate Justice   Hunt   000000001882 - 03 - 22 - 0000 March 22 , 1882 ( Acclamation )   000000001882 - 04 - 03 - 0000 April 3 , 1882 -- July 7 , 1893 ( Died )   7003411300000000000 ♠ 11 years , 95 days     49     Lucius Quintus Cincinnatus Lamar II ( 1825 -- 1893 )   MS   060 ! Associate Justice   Woods   000000001888 - 01 - 16 - 0000 January 16 , 1888 ( 32 -- 28 )   000000001888 - 01 - 18 - 0000 January 18 , 1888 -- January 23 , 1893 ( Died )   7003183200000000000 ♠ 5 years , 5 days   Grover Cleveland     50     Melville Fuller ( 1833 -- 1910 )   IL   008 ! Chief Justice   Waite   000000001888 - 07 - 20 - 0000 July 20 , 1888 ( 41 -- 20 )   000000001888 - 10 - 08 - 0000 October 8 , 1888 -- July 4 , 1910 ( Died )   7003793800000000000 ♠ 21 years , 269 days     51     David Josiah Brewer ( 1837 -- 1910 )   KS   061 ! Associate Justice   Matthews   000000001889 - 12 - 18 - 0000 December 18 , 1889 ( 53 -- 11 )   000000001890 - 01 - 06 - 0000 January 6 , 1890 -- March 28 , 1910 ( Died )   7003738500000000000 ♠ 20 years , 81 days   Benjamin Harrison     52     Henry Billings Brown ( 1836 -- 1913 )   MI   062 ! Associate Justice   Miller   000000001890 - 12 - 29 - 0000 December 29 , 1890 ( Acclamation )   000000001891 - 01 - 05 - 0000 January 5 , 1891 -- May 28 , 1906 ( Retired )   7003598600000000000 ♠ 16 years , 143 days     53     George Shiras , Jr . ( 1832 -- 1924 )   PA   063 ! Associate Justice   Bradley   000000001892 - 07 - 26 - 0000 July 26 , 1892 ( Acclamation )   000000001892 - 10 - 10 - 0000 October 10 , 1892 -- February 23 , 1903 ( Retired )   7003378700000000000 ♠ 10 years , 136 days     54     Howell Edmunds Jackson ( 1832 -- 1895 )   TN   064 ! Associate Justice   L. Lamar   000000001893 - 02 - 18 - 0000 February 18 , 1893 ( Acclamation )   000000001893 - 03 - 04 - 0000 March 4 , 1893 -- August 8 , 1895 ( Died )   7002887000000000000 ♠ 2 years , 157 days     55     Edward Douglass White ( 1845 -- 1921 )   LA   065 ! Associate Justice   Blatchford   000000001894 - 02 - 19 - 0000 February 19 , 1894 ( Acclamation )   000000001894 - 03 - 12 - 0000 March 12 , 1894 -- December 18 , 1910 ( Continued as chief justice )   7003612400000000000 ♠ 16 years , 281 days   Grover Cleveland     56     Rufus Wheeler Peckham ( 1838 -- 1909 )   NY   066 ! Associate Justice   H. Jackson   000000001895 - 12 - 09 - 0000 December 9 , 1895 ( Acclamation )   000000001896 - 01 - 06 - 0000 January 6 , 1896 -- October 24 , 1909 ( Died )   7003503900000000000 ♠ 13 years , 291 days     57     Joseph McKenna ( 1843 -- 1926 )   CA   067 ! Associate Justice   Field   000000001898 - 01 - 21 - 0000 January 21 , 1898 ( Acclamation )   000000001898 - 01 - 26 - 0000 January 26 , 1898 -- January 5 , 1925 ( Retired )   7003984000000000000 ♠ 26 years , 345 days   William McKinley     58     Oliver Wendell Holmes Jr . ( 1841 -- 1935 )   MA   068 ! Associate Justice   Gray   000000001902 - 12 - 04 - 0000 December 4 , 1902 ( Acclamation )   000000001902 - 12 - 08 - 0000 December 8 , 1902 -- January 12 , 1932 ( Retired )   7004106270000000000 ♠ 29 years , 35 days   Theodore Roosevelt     59     William R. Day ( 1849 -- 1923 )   OH   069 ! Associate Justice   Shiras   000000001903 - 02 - 23 - 0000 February 23 , 1903 ( Acclamation )   000000001903 - 03 - 02 - 0000 March 2 , 1903 -- November 13 , 1922 ( Retired )   7003719600000000000 ♠ 19 years , 256 days     60     William Henry Moody ( 1853 -- 1917 )   MA   070 ! Associate Justice   Brown   000000001906 - 12 - 12 - 0000 December 12 , 1906 ( Acclamation )   000000001906 - 12 - 17 - 0000 December 17 , 1906 -- November 20 , 1910 ( Retired )   7003143400000000000 ♠ 3 years , 338 days     61     Horace Harmon Lurton ( 1844 -- 1914 )   TN   071 ! Associate Justice   Peckham   000000001909 - 12 - 20 - 0000 December 20 , 1909 ( Acclamation )   000000001910 - 01 - 03 - 0000 January 3 , 1910 -- July 12 , 1914 ( Died )   7003166500000000000 ♠ 4 years , 204 days   William Howard Taft     62     Charles Evans Hughes ( 1862 -- 1948 )   NY   072 ! Associate Justice   Brewer   000000001910 - 05 - 02 - 0000 May 2 , 1910 ( Acclamation )   000000001910 - 10 - 10 - 0000 October 10 , 1910 -- June 10 , 1916 ( Resigned )   7003207000000000000 ♠ 5 years , 244 days     55     Edward Douglass White ( 1845 -- 1921 )   LA   009 ! Chief Justice   Fuller   000000001910 - 12 - 12 - 0000 December 12 , 1910 ( Acclamation )   000000001910 - 12 - 19 - 0000 December 19 , 1910 -- May 19 , 1921 ( Died )   7003380400000000000 ♠ 10 years , 151 days     63     Willis Van Devanter ( 1859 -- 1941 )   WY   073 ! Associate Justice   E.D. White   000000001910 - 12 - 15 - 0000 December 15 , 1910 ( Acclamation )   000000001911 - 01 - 03 - 0000 January 3 , 1911 -- June 2 , 1937 ( Retired )   7003964700000000000 ♠ 26 years , 150 days     64     Joseph Rucker Lamar ( 1857 -- 1916 )   GA   074 ! Associate Justice   Moody   000000001910 - 12 - 15 - 0000 December 15 , 1910 ( Acclamation )   000000001911 - 01 - 03 - 0000 January 3 , 1911 -- January 2 , 1916 ( Died )   7003182500000000000 ♠ 4 years , 364 days     65     Mahlon Pitney ( 1858 -- 1924 )   NJ   075 ! Associate Justice   J. Harlan   000000001912 - 03 - 13 - 0000 March 13 , 1912 ( 50 -- 26 )   000000001912 - 03 - 18 - 0000 March 18 , 1912 -- December 31 , 1922 ( Resigned )   7003394000000000000 ♠ 10 years , 288 days     66     James Clark McReynolds ( 1862 -- 1946 )   TN   076 ! Associate Justice   Lurton   000000001914 - 08 - 29 - 0000 August 29 , 1914 ( 44 -- 6 )   000000001914 - 10 - 12 - 0000 October 12 , 1914 -- January 31 , 1941 ( Retired )   7003960800000000000 ♠ 26 years , 111 days   Woodrow Wilson     67     Louis Brandeis ( 1856 -- 1941 )   KY   077 ! Associate Justice   J. Lamar   000000001916 - 06 - 01 - 0000 June 1 , 1916 ( 47 -- 22 )   000000001916 - 06 - 05 - 0000 June 5 , 1916 -- February 13 , 1939 ( Retired )   7003828800000000000 ♠ 22 years , 253 days     68     John Hessin Clarke ( 1857 -- 1945 )   OH   078 ! Associate Justice   Hughes   000000001916 - 07 - 24 - 0000 July 24 , 1916 ( Acclamation )   000000001916 - 10 - 09 - 0000 October 9 , 1916 -- September 18 , 1922 ( Retired )   7003217000000000000 ♠ 5 years , 344 days     69     William Howard Taft ( 1857 -- 1930 )   CT   010 ! Chief Justice   E.D. White   000000001921 - 06 - 30 - 0000 June 30 , 1921 ( Acclamation )   000000001921 - 07 - 11 - 0000 July 11 , 1921 -- February 3 , 1930 ( Retired )   7003312900000000000 ♠ 8 years , 207 days   Warren G. Harding     70     George Sutherland ( 1862 -- 1942 )   UT   080 ! Associate Justice   Clarke   000000001922 - 09 - 05 - 0000 September 5 , 1922 ( Acclamation )   000000001922 - 10 - 02 - 0000 October 2 , 1922 -- January 17 , 1938 ( Retired )   7003558600000000000 ♠ 15 years , 107 days     71     Pierce Butler ( 1866 -- 1939 )   MN   081 ! Associate Justice   Day   000000001922 - 12 - 21 - 0000 December 21 , 1922 ( 61 -- 8 )   000000001923 - 01 - 02 - 0000 January 2 , 1923 -- November 16 , 1939 ( Died )   7003616200000000000 ♠ 16 years , 318 days     72     Edward Terry Sanford ( 1865 -- 1930 )   TN   082 ! Associate Justice   Pitney   000000001923 - 01 - 29 - 0000 January 29 , 1923 ( Acclamation )   000000001923 - 02 - 19 - 0000 February 19 , 1923 -- March 8 , 1930 ( Died )   7003257400000000000 ♠ 7 years , 17 days     73     Harlan F. Stone ( 1872 -- 1946 )   NY   083 ! Associate Justice   McKenna   000000001925 - 02 - 05 - 0000 February 5 , 1925 ( 71 -- 6 )   000000001925 - 03 - 02 - 0000 March 2 , 1925 -- July 2 , 1941 ( Continued as chief justice )   7003596600000000000 ♠ 16 years , 122 days   Calvin Coolidge     62     Charles Evans Hughes ( 1862 -- 1948 )   NY   011 ! Chief Justice   Taft   000000001930 - 02 - 13 - 0000 February 13 , 1930 ( 52 -- 26 )   000000001930 - 02 - 24 - 0000 February 24 , 1930 -- June 30 , 1941 ( Retired )   7003414400000000000 ♠ 11 years , 126 days   Herbert Hoover     74     Owen Josephus Roberts ( 1875 -- 1955 )   PA   084 ! Associate Justice   Sanford   000000001930 - 05 - 20 - 0000 May 20 , 1930 ( Acclamation )   000000001930 - 06 - 02 - 0000 June 2 , 1930 -- July 31 , 1945 ( Resigned )   7003553800000000000 ♠ 15 years , 59 days     75     Benjamin N. Cardozo ( 1870 -- 1938 )   NY   085 ! Associate Justice   Holmes   000000001932 - 02 - 24 - 0000 February 24 , 1932 ( Acclamation )   000000001932 - 03 - 14 - 0000 March 14 , 1932 -- July 9 , 1938 ( Died )   7003230800000000000 ♠ 6 years , 117 days     76     Hugo Black ( 1886 -- 1971 )   AL   086 ! Associate Justice   Van Devanter   000000001937 - 08 - 17 - 0000 August 17 , 1937 ( 63 -- 16 )   000000001937 - 08 - 19 - 0000 August 19 , 1937 -- September 17 , 1971 ( Retired )   7004124470000000000 ♠ 34 years , 29 days   Franklin D. Roosevelt     77     Stanley Forman Reed ( 1884 -- 1980 )   KY   087 ! Associate Justice   Sutherland   000000001938 - 01 - 25 - 0000 January 25 , 1938 ( Acclamation )   000000001938 - 01 - 31 - 0000 January 31 , 1938 -- February 25 , 1957 ( Retired )   7003696500000000000 ♠ 19 years , 25 days     78     Felix Frankfurter ( 1882 -- 1965 )   MA   088 ! Associate Justice   Cardozo   000000001939 - 01 - 17 - 0000 January 17 , 1939 ( Acclamation )   000000001939 - 01 - 30 - 0000 January 30 , 1939 -- August 28 , 1962 ( Retired )   7003861100000000000 ♠ 23 years , 210 days     79     William O. Douglas ( 1898 -- 1980 )   CT   089 ! Associate Justice   Brandeis   000000001939 - 04 - 04 - 0000 April 4 , 1939 ( 62 -- 4 )   000000001939 - 04 - 17 - 0000 April 17 , 1939 -- November 12 , 1975 ( Retired )   7004133600000000000 ♠ 36 years , 211 days     80     Frank Murphy ( 1890 -- 1949 )   MI   090 ! Associate Justice   Butler   000000001940 - 01 - 16 - 0000 January 16 , 1940 ( Acclamation )   000000001940 - 02 - 05 - 0000 February 5 , 1940 -- July 19 , 1949 ( Died )   7003345200000000000 ♠ 9 years , 164 days     73     Harlan F. Stone ( 1872 -- 1946 )   NY   012 ! Chief Justice   Hughes   000000001941 - 06 - 27 - 0000 June 27 , 1941 ( Acclamation )   000000001941 - 07 - 03 - 0000 July 3 , 1941 -- April 22 , 1946 ( Died )   7003175400000000000 ♠ 4 years , 293 days     81     James F. Byrnes ( 1882 -- 1972 )   SC   091 ! Associate Justice   McReynolds   000000001941 - 06 - 12 - 0000 June 12 , 1941 ( Acclamation )   000000001941 - 07 - 08 - 0000 July 8 , 1941 -- October 3 , 1942 ( Resigned )   7002452000000000000 ♠ 1 year , 87 days     82     Robert H. Jackson ( 1892 -- 1954 )   NY   092 ! Associate Justice   Stone   000000001941 - 07 - 07 - 0000 July 7 , 1941 ( Acclamation )   000000001941 - 07 - 11 - 0000 July 11 , 1941 -- October 9 , 1954 ( Died )   7003483800000000000 ♠ 13 years , 90 days     83     Wiley Blount Rutledge ( 1894 -- 1949 )   IA   093 ! Associate Justice   Byrnes   000000001943 - 02 - 08 - 0000 February 8 , 1943 ( Acclamation )   000000001943 - 02 - 15 - 0000 February 15 , 1943 -- September 10 , 1949 ( Died )   7003239900000000000 ♠ 6 years , 207 days     84     Harold Hitz Burton ( 1888 -- 1964 )   OH   094 ! Associate Justice   O. Roberts   000000001945 - 09 - 19 - 0000 September 19 , 1945 ( Acclamation )   000000001945 - 10 - 01 - 0000 October 1 , 1945 -- October 13 , 1958 ( Retired )   7003476000000000000 ♠ 13 years , 12 days   Harry S. Truman     85     Fred M. Vinson ( 1890 -- 1953 )   KY   013 ! Chief Justice   Stone   000000001946 - 06 - 20 - 0000 June 20 , 1946 ( Acclamation )   000000001946 - 06 - 24 - 0000 June 24 , 1946 -- September 8 , 1953 ( Died )   7003263300000000000 ♠ 7 years , 76 days     86     Tom C. Clark ( 1899 -- 1977 )   TX   094 ! Associate Justice   Murphy   000000001949 - 08 - 18 - 0000 August 18 , 1949 ( 73 -- 8 )   000000001949 - 08 - 24 - 0000 August 24 , 1949 -- June 12 , 1967 ( Retired )   7003650100000000000 ♠ 17 years , 292 days     87     Sherman Minton ( 1890 -- 1965 )   IN   095 ! Associate Justice   W. Rutledge   000000001949 - 10 - 04 - 0000 October 4 , 1949 ( 48 -- 16 )   000000001949 - 10 - 12 - 0000 October 12 , 1949 -- October 15 , 1956 ( Retired )   7003256000000000000 ♠ 7 years , 3 days     88     Earl Warren ( 1891 -- 1974 )   CA   014 ! Chief Justice   Vinson   000000001954 - 03 - 01 - 0000 March 1 , 1954 ( Acclamation )   000000001953 - 10 - 05 - 0000 October 5 , 1953 -- June 23 , 1969 ( Retired )   7003574000000000000 ♠ 15 years , 261 days   Dwight D. Eisenhower     89     John Marshall Harlan II ( 1899 -- 1971 )   NY   096 ! Associate Justice   R. Jackson   000000001955 - 03 - 16 - 0000 March 16 , 1955 ( 71 -- 11 )   000000001955 - 03 - 28 - 0000 March 28 , 1955 -- September 23 , 1971 ( Retired )   7003602300000000000 ♠ 16 years , 179 days     90     William J. Brennan ( 1906 -- 1997 )   NJ   097 ! Associate Justice   Minton   000000001957 - 03 - 19 - 0000 March 19 , 1957 ( Acclamation )   000000001956 - 10 - 16 - 0000 October 16 , 1956 -- July 20 , 1990 ( Retired )   7004123300000000000 ♠ 33 years , 277 days     91     Charles Evans Whittaker ( 1901 -- 1973 )   MO   098 ! Associate Justice   Reed   000000001957 - 03 - 19 - 0000 March 19 , 1957 ( Acclamation )   000000001957 - 03 - 25 - 0000 March 25 , 1957 -- March 31 , 1962 ( Resigned )   7003183200000000000 ♠ 5 years , 6 days     92     Potter Stewart ( 1915 -- 1985 )   OH   099 ! Associate Justice   Burton   000000001959 - 05 - 05 - 0000 May 5 , 1959 ( 70 -- 17 )   000000001958 - 10 - 14 - 0000 October 14 , 1958 -- July 3 , 1981 ( Retired )   7003829800000000000 ♠ 22 years , 262 days     93     Byron White ( 1917 -- 2002 )   CO   100 ! Associate Justice   Whittaker   000000001962 - 04 - 11 - 0000 April 11 , 1962 ( Acclamation )   000000001962 - 04 - 16 - 0000 April 16 , 1962 -- June 28 , 1993 ( Retired )   7004113960000000000 ♠ 31 years </t>
  </si>
  <si>
    <t xml:space="preserve">how many justices currently serve on the us supreme court</t>
  </si>
  <si>
    <t xml:space="preserve"> There are currently nine justices serving on the Supreme Court ; listed in order of seniority , they are : </t>
  </si>
  <si>
    <t xml:space="preserve">Norfolk and Norwich University hospital - wikipedia  Norfolk and Norwich University hospital  Jump to : navigation , search    Norfolk and Norwich University Hospital     Norfolk and Norwich University Hospital -- NHS Foundation Trust     Arthur South Day Procedure Unit entrance     Geography     Location   Norwich , Norfolk , England , United Kingdom     Coordinates   52 ° 37 ′ 01 '' N 1 ° 13 ′ 12 '' E ﻿ / ﻿ 52.617 ° N 1.220 ° E ﻿ / 52.617 ; 1.220 Coordinates : 52 ° 37 ′ 01 '' N 1 ° 13 ′ 12 '' E ﻿ / ﻿ 52.617 ° N 1.220 ° E ﻿ / 52.617 ; 1.220     Organisation     Care system   NHS     Hospital type   Teaching     Affiliated university   Norwich Medical School University of East Anglia     Services     Emergency department   Yes , Accident Emergency     Beds   1237     Speciality   Neonatal Intensive Care , Foetal Medicine , Orthopaedics , Cancer , Plastic Surgery , Rheumatology , Ophthalmology , Paediatric Medicine and Surgery     History     Founded       Links     Website   Norfolk and Norwich Hospital     Lists   Hospitals in England     The Norfolk and Norwich University Hospital ( NNUH ) is a National Health Service academic teaching hospital in the Norwich Research Park on the western outskirts of Norwich , England .   The university hospital replaced the former , Norfolk and Norwich Hospital , which was founded in 1771 , and the West Norwich Hospital . The Norfolk and Norwich University Hospital was built under the Private Finance Initiative ( PFI ) , and opened in late 2001 : it has 1237 acute beds and offers a wide range of NHS acute health services plus private patient facilities . It is one of the largest hospitals in the United Kingdom in terms of in - patient capacity . The hospital is part of the Norfolk and Norwich University Hospitals NHS Foundation Trust .   NNUH was the first new NHS teaching hospital built in England for more than 30 years and the hospital trust is a joint venture partner with the University of East Anglia . The hospital is a teaching centre for nurses ( adult and children 's ) , midwives , doctors , therapists and operating department practitioners . It hosts the Norwich GP speciality training scheme .     Contents  ( hide )   1 Construction   2 Development   3 Controversy   4 Healthcare associated infections and black alerts   5 People and NNUH   6 See also   7 References   8 External links      Construction ( edit )   On 11 January 1998 , Prime Minister Tony Blair announced the go - ahead for the construction of a £ 214 million , 809 bed , new hospital in a broadcast from Tokyo on the BBC 's Breakfast with Frost show . Site work started the following day ( 12 January 1998 ) . The project was the first large PFI hospital scheme in the NHS . In July 2000 approval was given to extend the Norfolk and Norwich University Hospital with a second phase that included an additional 144 beds and took the project cost to £ 229 million . The Norfolk and Norwich University Hospitals NHS Foundation Trust pays the private PFI Octagon consortium in the region of £ 41 million a year . In 2004 , the Association of Chartered Certified Accountants assessed the actual costs at £ 1.16 billion , or around five times the initial cost of £ 229 million .   Project team :    Anshen &amp; Allen ( Architect )   John Laing plc ( Main contractor )   WSP Group ( Structural Engineer )   Hoare Lea ( Services Engineer )   Serco ( Maintenance / support services )    The hospital was completed in August 2001 , five months ahead of schedule , and on budget . The hospital won the Building Better Healthcare Award for Best Designed Hospital in September 2002 . The Norfolk and Norwich University Hospital was also highly commended in the Commission for Architecture and the Built Environment Prime Minister 's Better Public Building Award in 2002 .   It is one of a small number of Accident and Emergency departments to benefit from Pearson Lloyd 's redesign - ' A Better A&amp;E ' - which reduced aggression against hospital staff by 50 per cent . A system of environmental signage provides location - specific information for patients . Screens provide live information about how many cases are being handled and the current status of the A&amp;E department .   Development ( edit )   A £ 4.5 m radiotherapy cancer treatment unit , the Winterton Unit , at the Norfolk and Norwich University Hospital , was opened by the Duke of Gloucester in May 2014 . The unit is set to increase capacity at the Norfolk and Norwich University Hospital by 25pc .   Controversy ( edit )   The controversial Private Finance Initiative was first introduced to the public sector under the Conservative government of John Major and the contract for NNUH , one of the first PFI hospitals , was signed in 1996 . The level of subsequent potential risks and costs borne by the public sector was thought by some critics of the deal to be unacceptably high . In 2006 Edward Leigh , Conservative Member of Parliament ( MP ) and chairman of the Public Accounts Committee , appropriated a famous Edward Heath quote ( originally used with reference to Tiny Rowland of Lonrho International ) to describe the Department of Health 's approach to a refinancing deal for the NNUH PFI :   `` It is hard to escape the conclusion that the public sector staff managing the project were not up to the rough and tumble of negotiating refinancing proposals with the private sector ... The unacceptable face of capitalism . ''   The hospital neighbours the constituency of South Norfolk MP Richard Bacon , also a member of the Public Accounts Committee . Mr. Bacon wrote about the financing of the hospital on his website ; `` The Department of Health would not allow the hospital to include a refinancing clause in the original contract . This meant the hospital had no right to receive any proceeds from the refinancing at all , let alone the 29 % share it eventually secured . And that right was only obtained by taking on huge extra potential liabilities . ''   In 2006 / 07 , the trust projected a savings target of £ 14.8 million but recorded a surplus of £ 867,000 by the end of the same financial year . In 2007 , the Audit Commission 's `` Review of the NHS financial year 2006 / 07 '' reported that the trust was delivering the best financial management of any NHS Trust in the country   In 2006 , the Public Accounts Committee released report into the PFI refinancing conducted by the private Octagon Healthcare consortium , of which Innisfree Ltd owns a quarter , involved in building the Norfolk and Norwich University Hospital of `` lining investors ' pockets '' and putting the trust at increased financial risk . The report noted that the consortium was receiving an over £ 80 million pound windfall from the deal , and the National Audit Office said that the windfall was the third it had uncovered after complaints from MPs and the public . The Consortium lengthened the NHS 's repayment term from 34 to 39 years , but raising their own rate of return from 16 to 60 per cent .   Healthcare associated infections and black alerts ( edit )   Between 2002 and 2006 the hospital saw 65 patients die from Methicillin - resistant Staphylococcus aureus ( MRSA ) , making it one of the ten worst hospitals in the United Kingdom in terms of deaths from the superbug . In 2006 an outbreak of a community - acquired infection Methicillin - resistant Staphylococcus Aureus on the neonatal intensive care unit at the hospital , resulted in five babies carrying the organism and possibly contributing to the death of one baby .   The hospital was placed on black alert in November 2007 when it ran out of beds for a time . Ambulances were forced to queue outside the building while non-urgent patients were discharged to free up beds and a major incident emergency plan implemented .   In March 2011 several wards in the hospital were closed as a result of an outbreak of the community infection Norovirus .   In 2011 , a Care Quality Commission inspection found that the hospital was in the moderate concern category with regards to nutritional screening . The inspection report stated `` People who use the service can be assured that they will be provided with respect , dignity and privacy by the staff during their stay in hospital . However , we observed that some improvements were needed '' .   In March 2014 the N&amp;N , Norfolk 's biggest hospital , marked two years of being MRSA free .   People and NNUH ( edit )  Norfolk and Norwich University Hospital from the air  The Norfolk and Norwich University Hospital has been visited by a number of notable people in public life ;   -- September 1998 , Secretary of State for Health Frank Dobson unveiled a plaque marking foundation work on the Norfolk and Norwich University Hospital -- September 2001 , Health Minister Lord Hunt of Kings Heath attended the handover ceremony where the keys to the Norfolk and Norwich University Hospital were given to the trust by the builders -- May 2002 , Prime Minister Tony Blair visited the Norfolk and Norwich University Hospital and was shown a pioneering Radiology digital imaging system and visited the Coronary Care Unit -- December 2002 , food critic and TV presenter Loyd Grossman visited the Norfolk and Norwich University Hospital to raise awareness of the importance of good hospital food -- December 2002 , Actor Chris Rankin , who plays Percy Weasley in the Harry Potter films , visited the Norfolk and Norwich University Hospital 's children 's ward to help spread the hand hygiene message . -- January 2003 , Norway 's ambassador to the UK , Tarald Brautaset , visited the medical school complex at the Norfolk and Norwich University Hospital in a visit marking links with the county and the Trondheim area of Norway . -- September 2003 National cancer director Professor Mike Richards formally opened the £ 20 million Colney Centre for Oncology and Haematology patients at the Norfolk and Norwich University Hospital . -- February 2004 , The Queen formally opened the Norfolk and Norwich University Hospital , visiting Medicine for the Elderly patients and staff on Holt ward and meeting staff in the Radiology department -- March 2004 , President of the Royal College of Physicians Professor Dame Carol Black visited the Norfolk and Norwich University Hospital 's pioneering Emergency Assessment Unit -- May 2004 , Health Minister Rosie Winterton visited patients and staff in the hospital 's Critical Care Complex and Emergency Assessment Unit -- February 2006 , President of the Royal College of Radiologists Professor Janet Husband formally opened the Norwich Radiology Academy in the Cotman Centre -- May 2006 , the Department of Health 's Chief Medical Officer Sir Liam Donaldson visited the Norwich Radiology Academy to meet the radiology academy team and trainees -- June 2006 , Secretary of State for Health Patricia Hewitt visited the Norfolk and Norwich University Hospital to meet staff and union representatives -- June 2007 , Journalist and TV presenter Esther Rantzen visited the Norfolk and Norwich University Hospital to promote the use of the Liverpool Care of the Dying Pathway for terminal patients -- July 2007 , Actors Stephen Fry and Richard Briers took part in location filming for the second series of Kingdom ( ITV ) at the Norfolk and Norwich University Hospital -- November 2007 , the Archbishop of Canterbury , the Most Rev Dr Rowan Williams , visited the hospital 's Chaplaincy team and the Neonatal Intensive Care Unit -- January 2009 , Neighbours actress Caitlin Stasey , appearing at the Theatre Royal , Norwich , in the pantomime Snow White , visited the children 's ward at the Norfolk and Norwich University Hospital -- March 2009 , The Bishop of Thetford , the Right Revd David John Atkinson , visited the Norfolk and Norwich University Hospital 's renal unit . Rhonwen Washford , one of the staff nurses on Langley Ward at the NNUH , had recently been ordained and the Bishop had expressed an interest in her work at the hospital   See also ( edit )    List of hospitals in England    References ( edit )    Jump up ^ `` Norfolk and Norwich University Hospital '' . www.cqc.org.uk .   Jump up ^ `` Press Release Archive - UEA '' . comm.uea.ac.uk .   Jump up ^ Blair to take welfare message on tour , BBC News   Jump up ^ `` Private Finance Initiative -- Norfolk and Norwich University Hospital '' ( PDF ) .   Jump up ^ Norfolk hospital gets new chief , BBC News   Jump up ^ `` Better Public Building Award finalists , 2002 '' .   Jump up ^ `` A&amp;E department redesign ' cuts aggression by half ' '' . Design Week . 28 November 2013 . Retrieved 13 December 2013 .   Jump up ^ Gretton , Adam . `` Photo gallery : Royal visitor opens new cancer treatment centre at N&amp;N '' .   Jump up ^ The Independent , 12 November 2004 , ' The unacceptable face of capitalism '   Jump up ^ George Monbiot , 9 May 2006 , The Guardian , An Easter Egg Hunt   Jump up ^ `` Richard Bacon '' .   Jump up ^ `` Norfolk and Norwich University Hospital '' ( PDF ) .   Jump up ^ `` Audit Commission - GOV.UK '' . www.audit-commission.gov.uk .   Jump up ^ The Independent , 3 May 2006 , Consortium condemned over pounds 100m windfall profit from NHS   Jump up ^ Gilligan , Andrew ( 27 January 2011 ) . `` David Metter : Skiing in the Alps , the King of the PFIs who owns 28 hospitals and a motorway '' . Daily Telegraph . Retrieved 5 October 2014 .   Jump up ^ Superbugs MRSA and Clostridium difficile killing record numbers of patients , The Telegraph , 2008 - 05 - 22 . Retrieved 2011 - 04 - 23 .   Jump up ^ Babies infected in neonatal unit , BBC News , 2006 - 12 - 22 . Retrieved 2011 - 04 - 23 .   Jump up ^ Hospital put on alert as ambulances stack up , The Guardian , 2007 - 11 - 22 . Retrieved 2011 - 04 - 23 .   Jump up ^ Norovirus outbreak at Norwich hospital , Eastern Daily Press , 2011 - 03 - 08 . Retrieved 2011 - 04 - 23 .   Jump up ^ Norfolk and Norwich Hospital told to improve elderly patients ' nutrition , Eastern Daily Press 2 , 2011 - 06 - 30 . Retrieved 2011 - 06 - 31 .   Jump up ^ `` Care Quality Commission , Dignity and nutrition for older people -- Review of compliance '' .   Jump up ^ Gretton , Adam . `` Graphic : Praise after three Norfolk hospitals pass two years as MRSA free '' .   Jump up ^ Norwich Evening News , p6 , 15 September 1998   Jump up ^ `` Norfolk and Norwich University Hospitals NHS Foundation Trust '' Keys to new hospital handed over `` . www.nnuh.nhs.uk .   Jump up ^ `` Norfolk and Norwich University Hospitals NHS Foundation Trust '' Prime Minister visits NNUH `` . www.nnuh.nhs.uk .   Jump up ^ `` BBC NEWS - UK - England - Loyd Grossman goes on the wards '' . news.bbc.co.uk .   ^ Jump up to : `` Norfolk and Norwich University Hospitals NHS Foundation Trust '' Harry Potter star 's hygiene message `` . www.nnuh.nhs.uk .   Jump up ^ `` BBC NEWS - UK - England - Norfolk - New cancer centre opened '' . news.bbc.co.uk .   Jump up ^ `` BBC NEWS - UK - England - Norfolk - Queen to open new hospital '' . news.bbc.co.uk .   Jump up ^ `` Norfolk and Norwich University Hospitals NHS Foundation Trust '' Royal College Praises Emergency Assessment Unit `` . www.nnuh.nhs.uk .   Jump up ^ `` Norfolk and Norwich University Hospitals NHS Foundation Trust '' Health minister to visit NNUH `` . www.nnuh.nhs.uk .   Jump up ^ `` Norfolk and Norwich University Hospitals NHS Foundation Trust '' Official opening of the Norwich Radiology Academy `` . www.nnuh.nhs.uk .   Jump up ^ `` Department of Health '' .   Jump up ^ `` Norfolk and Norwich University Hospitals NHS Foundation Trust '' Esther Rantzen welcomes new care plan for terminally ill `` . www.nnuh.nhs.uk .   Jump up ^ `` Norfolk and Norwich University Hospitals NHS Foundation Trust '' Hospital staff star in TV series Kingdom `` . www.nnuh.nhs.uk .   Jump up ^ `` Eastern Daily Press '' .   Jump up ^ `` Norwich Evening News '' .   Jump up ^ `` Norfolk and Norwich University Hospitals NHS Foundation Trust '' Bishop of Thetford to visit renal patients at NNUH `` . www.nnuh.nhs.uk .    External links ( edit )    Norfolk and Norwich University Hospital -- NHS Foundation      ( hide )         University of East Anglia     People     Chancellor : Karen Jones   Vice Chancellor : David Richardson   List of University of East Anglia alumni         Faculty     UEA Creative Writing Course   Climatic Research Unit   School of International Development   School of Biological Sciences   UEA Law School   Norwich Business School   Norwich Medical School   School of Art History and World Art Studies   School of Social Work and Psychology       Campus     Sainsbury Centre for Visual Arts   UEA Broad   Earlham Hall       Student life     Union of UEA Students   Sportspark   The Waterfront   Concrete   Livewire ( radio )   University of East Anglia Boat Club   The Sustainability Initiative Fund       Affiliates     1994 Group   Norfolk and Norwich University Hospital   Cromer Hospital   Norfolk and Norwich University Hospitals NHS Foundation Trust       Categories     University of East Anglia   Alumni   Academics   Vice-Chancellors   Chancellors   People associated with the University      Retrieved from `` https://en.wikipedia.org/w/index.php?title=Norfolk_and_Norwich_University_Hospital&amp;oldid=803355506 '' Categories :   Anshen and Allen buildings   Buildings and structures in Norwich   Hospital buildings completed in 2001   Hospitals in Norfolk   NHS hospitals in England   Teaching hospitals in England   University of East Anglia   Hidden categories :   Use dmy dates from April 2012   Coordinates on Wikidata           Talk                                           Contents                   About Wikipedia                                                 Norsk   Português   Edit links   This page was last edited on 2 October 2017 , at 00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</si>
  <si>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norfolk and norwich hospital built</t>
  </si>
  <si>
    <t xml:space="preserve"> The university hospital replaced the former , Norfolk and Norwich Hospital , which was founded in 1771 , and the West Norwich Hospital . The Norfolk and Norwich University Hospital was built under the Private Finance Initiative ( PFI ) , and opened in late 2001 : it has 1237 acute beds and offers a wide range of NHS acute health services plus private patient facilities . It is one of the largest hospitals in the United Kingdom in terms of in - patient capacity . The hospital is part of the Norfolk and Norwich University Hospitals NHS Foundation Trust . </t>
  </si>
  <si>
    <t xml:space="preserve">House of Commons of the United Kingdom - wikipedia  House of Commons of the United Kingdom  Jump to : navigation , search `` British House of Commons '' redirects here . For the House of Commons 1707 -- 1800 , see House of Commons of Great Britain . For other bodies in British history and abroad , see House of Commons .      This article needs additional citations for verification . Please help improve this article by adding citations to reliable sources . Unsourced material may be challenged and removed . ( June 2015 ) ( Learn how and when to remove this template message )       House of Commons of the United Kingdom of Great Britain and Northern Ireland         Type     Type   Lower house of the Parliament of the United Kingdom     Leadership     Speaker   John Bercow MP Since 22 June 2009     Leader of the Commons   Andrea Leadsom MP , Conservative Since 11 June 2017     Shadow Leader of the Commons   Valerie Vaz MP , Labour Since 6 October 2016     Minor parties Shadow Leaders     Pete Wishart MP , Scottish National   Tom Brake MP , Liberal Democrat   Nigel Dodds MP , Democratic Unionist       Structure     Seats   650         Political groups    HM Government    Conservative Party ( 316 )    Confidence and supply    Democratic Unionist Party ( 10 )    HM Most Loyal Opposition    Labour Party ( 262 )    Other Opposition Parties    Scottish National Party ( 35 )   Liberal Democrats ( 12 )   Sinn Féin ( 7 ) ( abstentionist )   Plaid Cymru ( 4 )   Green Party ( 1 )   Independent Unionist ( 1 )   Independent ( 1 )    Speaker    Speaker ( 1 )       Length of term   up to 5 years     Elections     Voting system   First - past - the - post     Last election   8 June 2017     Next election   Latest , 5 May 2022     Redistricting   Boundary commissions     Meeting place         House of Commons chamber Palace of Westminster City of Westminster London , United Kingdom     Website     parliament.uk     The House of Commons is the lower house of the Parliament of the United Kingdom . Like the upper house , the House of Lords , it meets in the Palace of Westminster . Officially , the full name of the house is : the Honourable the Commons of the United Kingdom of Great Britain and Northern Ireland in Parliament assembled .   The Commons is an elected body consisting of 650 members known as Members of Parliament ( MPs ) . Members are elected to represent constituencies by first - past - the - post and hold their seats until Parliament is dissolved .   The House of Commons of England evolved in the 13th and 14th centuries . It eventually became the House of Commons of Great Britain after the political union with Scotland in 1707 , and assumed the title of `` House of Commons of Great Britain and Ireland '' after the political union with Ireland at the start of the 19th century . The `` United Kingdom '' referred to was the United Kingdom of Great Britain and Ireland from 1800 , and became the United Kingdom of Great Britain and Northern Ireland after the independence of the Irish Free State in 1922 . Accordingly , the House of Commons assumed its current title .   Under the Parliament Act 1911 , the Lords ' power to reject legislation was reduced to a delaying power . The Government is solely responsible to the House of Commons and the Prime Minister stays in office only as long as he or she retains the support of a majority of the Commons .     Contents  ( hide )   1 Role   1.1 Relationship with Her Majesty 's Government   1.2 Legislative functions     2 History   2.1 Layout and design   2.2 19th century   2.3 20th century   2.4 21st century   2.4. 1 Expenses scandal       3 Members and elections   3.1 Qualifications   3.2 Officers     4 Procedure   5 Committees   6 Current composition   7 Commons symbol   8 In film and television   9 See also   10 References   11 Bibliography   12 External links      Role ( edit )   Relationship with her Majesty 's Government ( edit )   Although it does not formally elect the prime minister , the position of the parties in the House of Commons is of overriding importance . By convention , the prime minister is answerable to , and must maintain the support of , the House of Commons . Thus , whenever the office of prime minister falls vacant , the Sovereign appoints the person who has the support of the House , or who is most likely to command the support of the House -- normally the leader of the largest party in the Commons , while the leader of the second - largest party becomes the Leader of the Opposition . Since 1963 , by convention , the prime minister is always a member of the House of Commons , rather than the House of Lords .   The Commons may indicate its lack of support for the Government by rejecting a motion of confidence or by passing a motion of no confidence . Confidence and no confidence motions are phrased explicitly , for instance : `` That this House has no confidence in Her Majesty 's Government . '' Many other motions were considered confidence issues , even though not explicitly phrased as such . In particular , important bills that form a part of the Government 's agenda were formerly considered matters of confidence , as is the annual Budget . When a Government has lost the confidence of the House of Commons , the prime minister is obliged either to resign , making way for another MP who can command confidence , or to request the monarch to dissolve Parliament , thereby precipitating a general election .   Parliament normally sits for a maximum term of five years . Subject to that limit , the prime minister could formerly choose the timing of the dissolution of parliament , with the permission of the Monarch . However , since the Fixed - Term Parliaments Act 2011 , terms are now a fixed five years , and an early general election can only be brought about either by a two - thirds majority in favour of a motion for a dissolution , or by a vote of no confidence that is not followed within fourteen days by a vote of confidence ( which may be for confidence in the same government or a different one ) . By this second mechanism , the government of the United Kingdom can change without an intervening general election . Only four of the eight last Prime Ministers have attained office as the immediate result of a general election ; the others have gained office upon the resignation of a Prime Minister of their own party . The latter four were Jim Callaghan , John Major , Gordon Brown and the current Prime Minister Theresa May ; these four inherited the office from Harold Wilson , Margaret Thatcher , Tony Blair and David Cameron respectively . In such circumstances there may not even have been an internal party leadership election , as the new leader may be chosen by acclaim , having no electoral rival ( as in the case of both Brown and May ) .   A prime minister may resign even if he or she is not defeated at the polls ( for example , for personal health reasons ) . In such a case , the premiership goes to whoever can command a majority in the House of Commons ; in practice this is usually the new leader of the outgoing prime minister 's party . Until 1965 , the Conservative Party had no mechanism for electing a new leader ; when Anthony Eden resigned as PM in 1957 without recommending a successor , the party was unable to nominate one . It fell to the Queen to appoint Harold Macmillan as the new prime minister , after taking the advice of ministers .   By convention , all ministers must be members of the House of Commons or of the House of Lords . A handful have been appointed who were outside Parliament , but in most cases they then entered Parliament either in a by - election or by receiving a peerage . Since 1902 , all prime ministers have been members of the Commons ( the sole exception , the Earl of Home , disclaimed his peerage three days after becoming prime minister , and was immediately elected to the House of Commons as Sir Alec Douglas - Home after twenty days in neither House ) .   In modern times , the vast majority of ministers belong to the Commons rather than the Lords . Few major cabinet positions ( except Lord Privy Seal , Lord Chancellor and Leader of the House of Lords ) have been filled by a peer in recent times . Notable exceptions are Lord Carrington , who served as Foreign Secretary from 1979 to 1982 , and Lord Young , who was appointed Employment Secretary in 1985 . Lord Mandelson was appointed Secretary of State for Business , Enterprise and Regulatory Reform in October 2008 ; he was also briefly a member of neither the Lords nor the Commons while serving in this capacity . The elected status of members of the Commons , as opposed to the unelected nature of members of the Lords , is seen to lend more legitimacy to ministers . The prime minister chooses the ministers , and may decide to remove them at any time ; the formal appointment or dismissal , however , is made by the Sovereign .   The House of Commons scrutinises HM Government through `` Prime Minister 's Questions '' , when members have the opportunity to ask questions of the prime minister ; there are other opportunities to question other cabinet ministers . Prime Minister 's Questions occurs once each week , normally for half an hour each Wednesday . Questions must relate to the responding minister 's official government activities , not to his or her activities as a party leader or as a private Member of Parliament . Customarily , members of the Government party and members of the Opposition alternate when asking questions . In addition to questions asked orally during Question Time , Members of Parliament may also make inquiries in writing .   In practice , the House of Commons ' scrutiny of the Government is fairly weak . Since the first - past - the - post electoral system is employed , the governing party often enjoys a large majority in the Commons , and there is often little need to compromise with other parties . Modern British political parties are so tightly organised that they leave relatively little room for free action by their MPs . Also , many ruling party MPs are paid members of the Government . Thus , during the 20th century , the Government has lost confidence issues only three times -- twice in 1924 , and once in 1979 . However , the threat of rebellions by their own party 's backbench MPs often forces Governments to make concessions ( under the Coalition , over foundation hospitals and under Labour over top - up fees and compensation for failed company pension schemes ) . Occasionally the Government is defeated by backbench rebellions ( Terrorism Act 2006 ) . However , the scrutiny provided by the Select Committees is more serious .   The House of Commons technically retains the power to impeach Ministers of the Crown ( or any other subject , even if not a public officer ) for their crimes . Impeachments are tried by the House of Lords , where a simple majority is necessary to convict . The power of impeachment , however , has fallen into disuse : the House of Commons exercises its checks on the Government through other means , such as No Confidence Motions ; the last impeachment was that of Viscount Melville in 1806 .   Legislative functions ( edit )  Further information : Act of Parliament  Bills may be introduced in either house , though bills of importance generally originate in the House of Commons . The supremacy of the Commons in legislative matters is assured by the Parliament Acts , under which certain types of bills may be presented to the Queen for Royal Assent without the consent of the House of Lords . The Lords may not delay a money bill ( a bill that , in the view of the Speaker of the House of Commons , solely concerns national taxation or public funds ) for more than one month . Moreover , the Lords may not delay most other public bills for more than two parliamentary sessions , or one calendar year . These provisions , however , only apply to public bills that originate in the House of Commons . Moreover , a bill that seeks to extend a parliamentary term beyond five years requires the consent of the House of Lords .   By a custom that prevailed even before the Parliament Acts , only the House of Commons may originate bills concerning taxation or Supply . Furthermore , supply bills passed by the House of Commons are immune to amendments in the House of Lords . In addition , the House of Lords is barred from amending a bill so as to insert a taxation or supply - related provision , but the House of Commons often waives its privileges and allows the Lords to make amendments with financial implications . Under a separate convention , known as the Salisbury Convention , the House of Lords does not seek to oppose legislation promised in the Government 's election manifesto . Hence , as the power of the House of Lords has been severely curtailed by statute and by practice , the House of Commons is clearly the most powerful branch of Parliament .   History ( edit )  Further information : House of Commons of England and House of Commons of Great Britain  The British Parliament of today largely descends , in practice , from the Parliament of England , although the 1706 Treaty of Union , and the Acts of Union that ratified the Treaty , created a new Parliament of Great Britain to replace the Parliament of England and the Parliament of Scotland , with the addition of 45 MPs and sixteen Peers to represent Scotland . Later still the Acts of Union 1800 brought about the abolition of the Parliament of Ireland and enlarged the Commons at Westminster with 100 Irish members , creating the Parliament of the United Kingdom of Great Britain and Ireland .   Although popularly considered to refer to the fact its members are commoners , the actual name of the House of Commons comes from the Norman French word for communities - communes .   Layout and design ( edit )  See also : Palace of Westminster § Commons Chamber  The current Commons ' layout is influenced by the use of the original St. Stephen 's Chapel in the Palace of Westminster . The rectangular shape is derived from the shape of the chapel . Benches were arranged using the configuration of the chapel 's choir stalls whereby they were facing across from one another . This arrangement facilitated an adversarial atmosphere that is representative of the British parliamentary approach .   The distance across the floor of the House between the government and opposition benches is 3.96 metres , said to be equivalent to two swords ' length .   19th century ( edit )  William Pitt the Younger addressing the Commons on the outbreak of the war with France ( 1793 ) ; painting by Anton Hickel The House of Commons in the early 19th century by Augustus Pugin and Thomas Rowlandson .  The House of Commons underwent an important period of reform during the 19th century . Over the years , several anomalies had developed in borough representation . The constituency boundaries had not been changed since 1660 , so many towns that were once important but had declined by the 19th century still retained their ancient right of electing two members , in addition to other boroughs that had never been important , e.g. Gatton .   Among the most notorious of these `` rotten boroughs '' were Old Sarum , which had only six voters for two MPs , and Dunwich which had largely collapsed into the sea due to coastal erosion . At the same time , large cities such as Manchester received no separate representation ( although their eligible residents were entitled to vote in the corresponding county seat ) . Also notable were the pocket boroughs , small constituencies controlled by wealthy landowners and aristocrats , whose `` nominees '' were invariably elected .   The Commons attempted to address these anomalies by passing a Reform Bill in 1831 . At first , the House of Lords proved unwilling to pass the bill , but were forced to relent when the prime minister , Lord Grey , advised King William IV to flood the House of Lords by creating pro-Reform peers . To avoid this the Lords relented and passed the bill in 1832 . The Reform Act 1832 , also known as the `` Great Reform Act '' , abolished the rotten boroughs , established uniform voting requirements for the boroughs , and granted representation to populous cities , but still retained many pocket boroughs .   In the ensuing years , the Commons grew more assertive , the influence of the House of Lords having been reduced by the Reform Bill crisis , and the power of the patrons reduced . The Lords became more reluctant to reject bills that the Commons had passed with large majorities , and it became an accepted political principle that the confidence of the House of Commons alone was necessary for a government to remain in office .   Many more reforms were introduced in the latter half of the 19th century . The Reform Act 1867 lowered property requirements for voting in the boroughs , reduced the representation of the less populous boroughs , and granted parliamentary seats to several growing industrial towns . The electorate was further expanded by the Representation of the People Act 1884 , under which property qualifications in the counties were lowered . The Redistribution of Seats Act of the following year replaced almost all multi-member constituencies with single - member constituencies .   20th century ( edit )  The old Chamber of the House of Commons built by Sir Charles Barry was destroyed by German bombs during the Second World War . The essential features of Barry 's design were preserved when the Chamber was rebuilt .  In 1908 , the Liberal Government under Asquith introduced a number of social welfare programmes , which , together with an expensive arms race , forced the Government to seek higher taxes . In 1909 , the Chancellor of the Exchequer , David Lloyd George , introduced the `` People 's Budget '' , which proposed a new tax targeting wealthy landowners . But this measure failed in the heavily Conservative House of Lords , and the government resigned .   The resulting general election returned a hung parliament , but Asquith remained prime minister with the support of the smaller parties . Asquith then proposed that the powers of the Lords be severely curtailed . After a further election in December 1910 , the Asquith Government secured the passage of a bill to curtail the powers of the House of Lords after threatening to flood the House with 500 new Liberal peers to ensure the passage of the bill .   Thus the Parliament Act 1911 came into effect , destroying the legislative equality of the two Houses of Parliament . The House of Lords was permitted only to delay most legislation , for a maximum of three parliamentary sessions or two calendar years ( reduced to two sessions or one year by the Parliament Act 1949 ) . Since the passage of these Acts , the House of Commons has become the dominant branch of Parliament , both in theory and in practice .   In 1918 , women over 30 were given the right to vote , quickly followed by the passage of a law enabling women to be eligible for election as members of parliament at the younger age of 21 . The only woman to be elected that year was an Irish Sinn Féin candidate , Constance Markievicz , who therefore became the first woman MP . However , due to Sinn Féin 's policy of abstention from Westminster , she never took her seat .   With effect from the General Election in 1950 , various forms of plural voting ( i.e. some individuals had the right to vote in more than one constituency in the same election ) , including University constituencies , were abolished .   Since the 17th century , MPs had been unpaid . Most of the men elected to the Commons had private incomes , while a few relied on financial support from a wealthy patron . Early Labour MPs were often provided with a salary by a trade union , but this was declared illegal by a House of Lords judgment of 1909 . Consequently , a resolution was passed in the House of Commons in 1911 introducing salaries for MPs . Government ministers had always been paid .   21st century ( edit )  Expenses scandal ( edit ) Main article : United Kingdom Parliamentary expenses scandal      This section needs expansion . You can help by adding to it . ( April 2016 )     In May and June 2009 revelations of MPs ' expenses claims caused a major scandal and loss of confidence by the public in the integrity of MPs , as well as causing the first forced resignation of the Speaker in 300 years .   Members and elections ( edit )     This article is part of a series on the     United Kingdom House of Commons     House of Commons     Members       Current members of the 57th Parliament    ( 2017 general election ) MPs for constituencies in Northern Ireland MPs for constituencies in Scotland MPs for constituencies in England  MPs for constituencies in Wales     Leadership       Speaker of the House    Leader of the House Shadow Leader of the House    Father of the House       Committees       Committees of the House of Commons       Places       Palace of Westminster    House of Commons Chamber  Portcullis House                 Since 1950 each Member of Parliament has represented a single constituency . There remains a technical distinction between county constituencies and borough constituencies , but the only effect of this difference is in the amount of money candidates are allowed to spend during campaigns . The boundaries of the constituencies are determined by four permanent and independent Boundary Commissions , one each for England , Wales , Scotland , and Northern Ireland . The commissions conduct general reviews of electoral boundaries once every 8 to 12 years , and a number of interim reviews . In drawing boundaries , they are required to take into account local government boundaries , but may deviate from this requirement to prevent great disparities in the populations of the various constituencies . The proposals of the Boundary Commissions are subject to parliamentary approval , but may not be amended . After the next general review of constituencies , the Boundary Commissions will be absorbed into the Electoral Commission , which was established in 2000 . As of 2017 , the United Kingdom is divided into 650 constituencies , with 533 in England , 40 in Wales , 59 in Scotland , and 18 in Northern Ireland .   General elections occur whenever Parliament is dissolved . The timing of the dissolution was normally chosen by the prime minister ( see relationship with the Government above ) ; however , as a result of the Fixed - term Parliaments Act 2011 , Parliamentary terms are now fixed at five years , except in the event of the Commons passing a vote of no confidence or an `` early election '' motion , the latter having to be passed by two - thirds majority .   All British elections are held on a Thursday . The Electoral Commission is unsure when this practice arose , but dates it to 1931 , with the suggestion that it was made to coincide with market day ; this would ease voting for those who had to travel to the towns to cast their ballot .   A candidate for a constituency must submit nomination papers signed by ten registered voters from that constituency , and pay a deposit of £ 500 , which is refunded only if the candidate wins at least five per cent of the vote . The deposit seeks to discourage frivolous candidates . Each constituency returns one member , using the first - past - the - post electoral system , under which the candidate with a plurality of votes wins . Minors ( that is , anyone under the age of 18 ) , members of the House of Lords , prisoners , and insane persons are not qualified to become members of the House of Commons . To vote , one must be a resident of the United Kingdom of Great Britain and Northern Ireland and a British citizen , or a citizen of a British overseas territory , of the Republic of Ireland , or of a member of the Commonwealth of Nations . British citizens living abroad are allowed to vote for 15 years after moving from the United Kingdom . No person may vote in more than one constituency .   Once elected , Members of Parliament normally continue to serve until the next dissolution of Parliament . But if a member dies or ceases to be qualified ( see qualifications below ) , his or her seat falls vacant . It is also possible for the House of Commons to expel a member , but this power is exercised only in cases of serious misconduct or criminal activity . In each case , the vacancy is filled by a by - election in the constituency , with the same electoral system as in general elections .   The term `` Member of Parliament '' is normally used only to refer to members of the House of Commons , even though the House of Lords is also a part of Parliament . Members of the House of Commons may use the post-nominal letters `` MP '' . The annual salary of each member is £ 74,962 , effective from 1 April 2016 . Members may also receive additional salaries for other offices they hold ( for instance , the Speakership ) . Most members also claim for various office expenses ( staff costs , postage , travelling , etc . ) and , in the case of non-London members , for the costs of maintaining a home in the capital .   Qualifications ( edit )  Another picture of the old House of Commons chamber . Note the dark veneer on the wood , which was purposely made much brighter in the new chamber .  There are numerous qualifications that apply to Members of Parliament . Most importantly , one must be aged at least 18 ( the minimum age was 21 until s. 17 of the Electoral Administration Act 2006 came into force ) , and must be a citizen of the United Kingdom , of a British overseas territory , of the Republic of Ireland , or of a member state of the Commonwealth of Nations . These restrictions were introduced by the British Nationality Act 1981 , but were previously far more stringent : under the Act of Settlement 1701 , only natural - born subjects were qualified . Members of the House of Lords may not serve in the House of Commons , or even vote in parliamentary elections ( just as the Queen does not vote ) ; however , they are permitted to sit in the chamber during debates ( unlike the Queen , who can not enter the chamber ) .   A person may not sit in the Commons if he or she is the subject of a Bankruptcy Restrictions Order ( applicable in England and Wales only ) , or if he or she is adjudged bankrupt ( in Northern Ireland ) , or if his or her estate is sequestered ( in Scotland ) . Previously , MPs detained under the Mental Health Act 1983 for six months or more would have their seat vacated if two specialists reported to the Speaker that the member was suffering from a mental disorder . However , this disqualification was removed by the Mental Health ( Discrimination ) Act 2013 . There also exists a common law precedent from the 18th century that the `` deaf and dumb '' are ineligible to sit in the Lower House ; this precedent , however , has not been tested in recent years . Jack Ashley continued to serve as an MP for 25 years after becoming profoundly deaf .   Anyone found guilty of high treason may not sit in Parliament until he or she has either completed the term of imprisonment or received a full pardon from the Crown . Moreover , anyone serving a prison sentence of one year or more is ineligible . Finally , the Representation of the People Act 1983 disqualifies for ten years those found guilty of certain election - related offences . Several other disqualifications are codified in the House of Commons Disqualification Act 1975 : holders of high judicial offices , civil servants , members of the regular armed forces , members of foreign legislatures ( excluding the Republic of Ireland and Commonwealth countries ) , and holders of several Crown offices . Ministers , even though they are paid officers of the Crown , are not disqualified .   The rule that precludes certain Crown officers from serving in the House of Commons is used to circumvent a resolution adopted by the House of Commons in 1623 , under which members are not permitted to resign their seats . In practice , however , they always can . Should a member wish to resign from the Commons , he or she may request appointment to one of two ceremonial Crown offices : that of Crown Steward and Bailiff of the Chiltern Hundreds , or that of Crown Steward and Bailiff of the Manor of Northstead . These offices are sinecures ( that is , they involve no actual duties ) ; they exist solely to permit the `` resignation '' of members of the House of Commons . The Chancellor of the Exchequer is responsible for making the appointment , and , by convention , never refuses to do so when asked by a member who desires to leave the House of Commons .   Officers ( edit )  The Speaker presides over debates in the House of Commons , as depicted in the above print commemorating the destruction of the Commons Chamber by fire in 1834 .  At the beginning of each new parliamentary term , the House of Commons elects one of its members as a presiding officer , known as the Speaker . If the incumbent Speaker seeks a new term , then the House may re-elect him or her merely by passing a motion ; otherwise , a secret ballot is held . A Speaker - elect can not take office until he or she has been approved by the Sovereign ; the granting of the royal approbation , however , is a formality . The Speaker is assisted by three Deputy Speakers , the most senior of whom holds the title of Chairman of Ways and Means . The two other Deputy Speakers are known as the First and Second Deputy Chairman of Ways and Means . These titles derive from the Committee of Ways and Means , a body over which the chairman once used to preside ; even though the Committee was abolished in 1967 , the traditional titles of the Deputy Speakers are still retained . The Speaker and the Deputy Speakers are always members of the House of Commons .   Whilst presiding , the Speaker or Deputy Speaker wears ceremonial dress . The presiding officer may also wear a wig , but this tradition was abandoned by a former Speaker , Betty Boothroyd . Michael Martin , who succeeded to the office , also did not wear a wig whilst in the chamber . The current speaker , John Bercow , has chosen to wear a gown over a lounge suit , a decision which has sparked much debate and opposition . The Speaker or deputy presides from a chair at the front of the House . This chair was designed by Augustus Pugin , who initially built a prototype of the chair at King Edward 's School , Birmingham : that chair is called Sapientia , and is where the Chief master sits . The Speaker is also chairman of the House of Commons Commission , which oversees the running of the House , and he or she controls debates by calling on members to speak . If a member believes that a rule ( or Standing Order ) has been breached , he or she may raise a `` point of order '' , on which the Speaker makes a ruling that is not subject to any appeal . The Speaker may discipline members who fail to observe the rules of the House . Thus , the Speaker is far more powerful than his Lords counterpart , the Lord Speaker , who has no disciplinary powers . Customarily , the Speaker and the deputies are non-partisan ; they do not vote ( with the notable exception of tied votes , where the Speaker votes in accordance with Denison 's rule ) , or participate in the affairs of any political party . By convention , a Speaker seeking re-election to parliament is not opposed in his or her constituency by any of the major parties . The lack of partisanship continues even after the Speaker leaves the House of Commons .   The Clerk of the House is both the House 's chief adviser on matters of procedure and chief executive of the House of Commons . He or she is a permanent official , not a member of the House itself . The Clerk advises the Speaker on the rules and procedure of the House , signs orders and official communications , and signs and endorses bills . He or she chairs the Board of Management , which consists of the heads of the six departments of the House . The Clerk 's deputy is known as the Clerk Assistant . Another officer of the House is the Serjeant - at - Arms , whose duties include the maintenance of law , order , and security on the House 's premises . The Serjeant - at - Arms carries the ceremonial mace , a symbol of the authority of the Crown and of the House of Commons , into the House each day in front of the Speaker , and the Mace is laid upon the Table of the House during sittings . The Librarian is head of the House of Commons Library , the House 's research and information arm .   Procedure ( edit )  See also : Acts of Parliament in the United Kingdom § Stages of a bill  Like</t>
  </si>
  <si>
    <t xml:space="preserve">who elects members of the house of commons</t>
  </si>
  <si>
    <t xml:space="preserve"> A candidate for a constituency must submit nomination papers signed by ten registered voters from that constituency , and pay a deposit of £ 500 , which is refunded only if the candidate wins at least five per cent of the vote . The deposit seeks to discourage frivolous candidates . Each constituency returns one member , using the first - past - the - post electoral system , under which the candidate with a plurality of votes wins . Minors ( that is , anyone under the age of 18 ) , members of the House of Lords , prisoners , and insane persons are not qualified to become members of the House of Commons . To vote , one must be a resident of the United Kingdom of Great Britain and Northern Ireland and a British citizen , or a citizen of a British overseas territory , of the Republic of Ireland , or of a member of the Commonwealth of Nations . British citizens living abroad are allowed to vote for 15 years after moving from the United Kingdom . No person may vote in more than one constituency . </t>
  </si>
  <si>
    <t xml:space="preserve">Boston Celtics - wikipedia  Boston Celtics  Jump to : navigation , search `` Celtics '' redirects here . It is not to be confused with Celts , Gaels , Celtic F.C. , or Gaelic ( disambiguation ) .    Boston Celtics          2017 -- 18 Boston Celtics season            Conference   Eastern     Division   Atlantic     Founded   1946     History   Boston Celtics 1946 -- present     Arena   TD Garden     Location   Boston , Massachusetts     Team colors   Green , black , gold     President   Rich Gotham     General manager   Danny Ainge     Head coach   Brad Stevens     Ownership   Boston Basketball Partners ( Wyc Grousbeck , CEO and governor )     Affiliation ( s )   Maine Red Claws     Championships   17 ( 1957 , 1959 , 1960 , 1961 , 1962 , 1963 , 1964 , 1965 , 1966 , 1968 , 1969 , 1974 , 1976 , 1981 , 1984 , 1986 , 2008 )     Conference titles   21 ( 1957 , 1958 , 1959 , 1960 , 1961 , 1962 , 1963 , 1964 , 1965 , 1966 , 1968 , 1969 , 1974 , 1976 , 1981 , 1984 , 1985 , 1986 , 1987 , 2008 , 2010 )     Division titles   22 ( 1972 , 1973 , 1974 , 1975 , 1976 , 1980 , 1981 , 1982 , 1984 , 1985 , 1986 , 1987 , 1988 , 1991 , 1992 , 2005 , 2008 , 2009 , 2010 , 2011 , 2012 , 2017 )     Retired numbers   21 ( 00 , 1 , 2 , 3 , 6 , 10 , 14 , 15 , 16 , 17 , 18 , 19 , 21 , 22 , 23 , 24 , 25 , 31 , 32 , 33 , 35 , LOSCY )     Website   www.nba.com/celtics     Uniforms        Home   Away   Third        The Boston Celtics are an American professional basketball team based in Boston , Massachusetts . The Celtics compete in the National Basketball Association ( NBA ) as a member of the league 's Eastern Conference Atlantic Division . Founded in 1946 and one of eight NBA teams ( out of 23 total teams ) to survive the league 's first decade , the team is owned by Boston Basketball Partners LLC . The Celtics play their home games at the TD Garden , which they share with the National Hockey League ( NHL ) 's Boston Bruins . The franchise 's 17 championships are the most of any NBA team , and account for 24.3 percent of all NBA championships since the league 's founding in 1946 . As a percentage of championships won , the Celtics are the most successful franchise to date in the major four traditional North American professional sports leagues .   The Celtics have played the Los Angeles Lakers a record 12 times in the NBA finals , including their most recent appearances in 2008 and 2010 , where the Celtics have won nine meetings . Four Celtics players ( Bob Cousy , Bill Russell , Dave Cowens and Larry Bird ) have won the NBA Most Valuable Player Award for an NBA record total of 10 MVP awards . Their mascot ' Lucky the Leprechaun ' is a nod to the team 's Irish heritage and to Boston 's historically large Irish population .   The Celtics rose again after struggling through the 1990s to win a championship in 2008 with the help of Kevin Garnett , Paul Pierce , and Ray Allen in what was known as the new `` Big Three '' era , following the original `` Big Three '' era of the 1980s that featured Larry Bird , Kevin McHale , and Robert Parish .   After the end of the second `` Big Three '' era , general manager Danny Ainge began a rebuilding process with the help of new head coach Brad Stevens , who led the Celtics to a return to the playoffs from 2015 to 2017 . During the 2016 -- 17 season , the Celtics clinched the top seed in the Eastern Conference playoffs . They faced the Chicago Bulls in the first round and then the Washington Wizards in the second round winning in 7 games . The Boston Celtics then lost in the Eastern Conference Finals to the Cleveland Cavaliers in 5 games after Isaiah Thomas was injured .     Contents  ( hide )   1 Franchise history   1.1 1946 -- 1950 : Early years   1.2 1950 -- 1957 : Arrival of Bob Cousy and Red Auerbach   1.3 1957 -- 1969 : The Bill Russell era   1.4 1970 -- 1978 : Heinsohn and Cowens duo   1.5 1979 -- 1992 : The Larry Bird era   1.6 1993 -- 1998 : Rebuilding   1.7 1998 -- 2013 : The Paul Pierce era   1.7. 1 The `` Doc '' is here   1.7. 2 2007 -- 2012 : The new ' Big Three ' : Paul Pierce , Ray Allen and Kevin Garnett   1.7. 3 The end of the ' Big Three ' era     1.8 2013 -- present : Brad Stevens takes over     2 Rivalries   2.1 Atlanta Hawks   2.2 New York Knicks   2.3 Philadelphia 76ers   2.4 Detroit Pistons   2.5 Los Angeles Lakers   2.6 Brooklyn Nets     3 Season - by - season record   4 Records , retired numbers and awards   4.1 FIBA Hall of Fame     5 Home arenas   6 Players   6.1 Current roster   6.2 Retained draft rights   6.3 Captains   6.4 Franchise leaders     7 Coaches   7.1 Head coaches   7.2 Assistant coaches     8 Logos and uniforms   8.1 Logos   8.2 Uniforms     9 Television and radio   10 Management   10.1 Ownership history   10.2 Team presidents   10.3 General managers   10.4 Other     11 Medical staff   11.1 Team physicians   11.2 Team athletic trainers     12 See also   13 Notes   14 References   15 External links      Franchise history ( edit )  Main article : History of the Boston Celtics  1946 -- 1950 : early years ( edit )   The Boston Celtics were formed on June 7 , 1946 , by Boston Garden - Arena Corporation President Walter A. Brown as a team in the Basketball Association of America , and became part of the National Basketball Association after the absorption of the National Basketball League by the BAA in the fall of 1949 . In 1950 , the Celtics signed Chuck Cooper , becoming the first NBA franchise to draft a black player .   1950 -- 1957 : arrival of Bob Cousy and Red Auerbach ( edit )  Bob Cousy played 13 years for the team , winning 6 NBA titles .  The Celtics struggled during their early years , until the hiring of coach Red Auerbach . In the franchise 's early days , Auerbach had no assistants , ran all the practices , did all the scouting -- both of opposing teams and college draft prospects -- and scheduled all the road trips . One of the first great players to join the Celtics was Bob Cousy , whom Auerbach initially refused to draft out of nearby Holy Cross because he was `` too flashy '' . Cousy eventually became the property of the Chicago Stags , but when that franchise went bankrupt , Cousy went to the Celtics in a dispersal draft . After the 1955 -- 56 season , Auerbach made a stunning trade . He sent perennial All - Star Ed Macauley to the St. Louis Hawks along with the draft rights to Cliff Hagan in exchange for the second overall pick in the draft . After negotiating with the Rochester Royals -- a negotiation that included a promise that the Celtics owner would send the highly sought - after Ice Capades to Rochester if the Royals would let Russell slide to # 2 -- Auerbach used the pick to select University of San Francisco center Bill Russell . Auerbach also acquired Holy Cross standout , and 1957 NBA Rookie of the Year , Tommy Heinsohn . Russell and Heinsohn worked extraordinarily well with Cousy , and they were the players around whom Auerbach would build the champion Celtics for more than a decade .   1957 -- 1969 : the Bill Russell era ( edit )  Bill Russell played 13 years for the team , winning 11 NBA titles .  With Bill Russell , the Celtics advanced to the 1957 NBA Finals and defeated the St. Louis Hawks in seven games , giving the Celtics the first of their record 17 championships . Russell went on to win 11 championships , making him the most decorated player in NBA history . In 1958 , the Celtics again advanced to the NBA Finals , this time losing to the Hawks in 6 games . However , with the acquisition of K.C. Jones that year , the Celtics began a dynasty that would last for more than a decade . In 1959 , the Celtics won the NBA Championship after sweeping the Minneapolis Lakers , the first of their record eight consecutive championships . During that time , the Celtics met the Lakers in the Finals five times , starting an intense and often bitter rivalry that has spanned generations . In 1964 , the Celtics became the first NBA team to have an all African - American starting lineup . On December 26 , 1964 , Willie Naulls replaced an injured Tommy Heinsohn , joining Tom ' Satch ' Sanders , K.C. Jones , Sam Jones , and Bill Russell in the starting lineup . The Celtics defeated St. Louis 97 -- 84 . Boston won its next 11 games with Naulls starting in place of Heinsohn . The Celtics of the late - 1950s -- 1960s are widely considered as one of the most dominant teams of all time .   Auerbach retired as coach after the 1965 -- 66 season and Russell took over as player - coach , which was Auerbach 's ploy to keep Russell interested . With his appointment , Russell also became the first African - American coach in any U.S. pro sport . Auerbach would remain the general manager , a position he would hold well into the 1980s . However , that year the Celtics ' string of NBA titles was broken as they lost to the Philadelphia 76ers in the Eastern Conference Finals . The aging team managed two more championships in 1968 and 1969 , defeating the Los Angeles Lakers each time in the NBA Finals . Russell retired after the 1969 season , effectively ending a dominant Celtics dynasty that had garnered 11 NBA titles in 13 seasons . The streak of 8 consecutive championships is the longest streak of consecutive championships in U.S. professional sports history .   1970 -- 1978 : Heinsohn and Cowens duo ( edit )  Tom Heinsohn coached the Boston Celtics to the 1974 and 1976 NBA Championship . Dave Cowens had helped the Celtics win 2 titles during the mid-1970s .  The 1970 season was a rebuilding year , as the Celtics had their first losing record since the 1949 -- 50 season . However , with the acquisition of Dave Cowens , Paul Silas , and Jo Jo White , the Celtics soon became dominant again . After losing in the Eastern Conference Finals in 1972 , the Celtics regrouped and came out determined in 1973 and posted an excellent 68 -- 14 regular season record . But the season ended in disappointment , as they were upset in 7 games by the New York Knicks in the Conference Finals . John Havlicek injured his right shoulder in game six and was forced to play game 7 shooting left handed . The Celtics returned to the playoffs the next year , defeating the Milwaukee Bucks in the NBA Finals in 1974 for their 12th NBA Championship . The teams split the first four games , and after the Celtics won Game 5 in Milwaukee they headed back to Boston leading 3 games to 2 , with a chance to claim the title on their home court . However , the Bucks won Game 6 when Kareem Abdul - Jabbar nestled in a hook shot with 3 seconds left in the game 's second overtime , and the series returned to Milwaukee . But Cowens was the hero in Game 7 , scoring 28 points , as the Celtics brought the title back to Boston for the first time in five years . In 1976 , the team won yet another championship , defeating the Phoenix Suns in 6 games . The Finals featured one of the greatest games in the NBA 's history . With the series tied at two games apiece , the Suns trailed early in the Boston Garden , but came back to force overtime . In double overtime , a Gar Heard turn - around jumper at the top of the key sent the game to a third overtime , at which point the Celtics prevailed . Tommy Heinsohn coached the team for those two championships . After the 1976 championship and a playoff appearance in 1977 , Boston went into another rebuilding phase . In the 1977 NBA draft , the Celtics drafted a young forward from UNC Charlotte named Cedric Maxwell . `` Cornbread '' Maxwell did not contribute much in his rookie season , but he showed promise . Auerbach 's job became even tougher following the 1977 -- 78 season in which they went 32 -- 50 as John Havlicek , the Celtics ' all - time leading scorer , retired after 16 seasons .   1979 -- 1992 : the Larry Bird era ( edit )   The Celtics owned two of the top eight picks in the 1978 NBA draft . Since the Celtics had two draft choices , Auerbach took a risk and selected junior Larry Bird of Indiana State with the 6th pick , knowing Bird would elect to remain in college for his senior year . The Celtics would retain his rights for one year -- a rule that was later changed -- and Auerbach believed Bird 's potential would make it worth the wait . Auerbach also felt that when the college season ended the Celtics would have a great chance to sign Bird . Auerbach was right and Bird signed soon after leading Indiana State to the NCAA Championship game , where they fell to a Michigan State University team . ( The other pick was Freeman Williams , who was traded before the 1978 -- 79 season began . )   In 1978 , ownership was changed as Irv Levin traded his stake in the Celtics with John Y. Brown , Jr. 's Buffalo Braves , so he could move the Braves to California , where they became known as the San Diego Clippers . As part of the deal , trades were made between the Braves / Clippers franchise and the Celtics franchise which resulted in many former Braves joining the team . One of the moves that irked Auerbach was a trade Brown made with the Braves that saw his franchise center Bob McAdoo join the Celtics for three first round draft picks Auerbach had planned on using for the future rebuilding project he was trying to undertake . The dispute nearly led to Auerbach resigning as general manager for a position with the New York Knicks . With public support strongly behind Auerbach , Brown sold the team to Harry Mangurian rather than run the risk of having Auerbach leave the team . The Celtics would struggle through the season , going 29 -- 53 without Bird . Newcomers Chris Ford , Rick Robey , Cedric Maxwell and Nate Archibald failed to reverse the team 's momentum .   Bird debuted for the Celtics during the 1979 -- 80 season , a year after being drafted . With a new owner in place , Auerbach made a number of moves that would bring the team back to prominence . He almost immediately traded McAdoo , a former NBA scoring champion , to the Detroit Pistons for guard M.L. Carr , a defensive specialist , and two first - round picks in the 1980 NBA draft . He also picked up point guard Gerald Henderson from the CBA. Carr , Archibald , Henderson and Ford formed a highly competent backcourt , with their unique skills blending in perfectly with the talented frontcourt of Cowens , Maxwell and Bird , who would go on to win NBA Rookie of the Year honors . The Celtics improved by 32 games , which at the time was the best single - season turnaround in NBA history , going 61 -- 21 and losing to the Philadelphia 76ers in the Eastern Conference Finals . That record was later broken by the Celtics about 30 years later .   After the season , Auerbach completed what may be the most lopsided trade in NBA history . Auerbach had always been a fan of stockpiling draft picks , so even after the success of the 1979 -- 80 season , the Celtics had both the 1st and 13th picks in the 1980 NBA draft left over from the M.L. Carr trade . Auerbach saw an opportunity to improve the team immediately , sending the two picks to the Golden State Warriors in exchange for center Robert Parish and the Warriors ' first round pick , the 3rd overall . With the draft pick , Auerbach picked University of Minnesota power forward Kevin McHale . With these three future Hall of Famers on the team , henceforth known as the first ' Big 3 ' , the Celtics had a core in place to again become a dominant team .   The Celtics went 62 -- 20 under coach Bill Fitch in 1980 -- 81 , despite losing center Dave Cowens to retirement late in training camp . Once again the Celtics matched up with the 76ers in the Eastern Conference Finals . Boston fell behind 3 games to 1 before coming back to win a classic 7th game , 91 -- 90 . The Celtics went on to capture the 1981 NBA Championship over the Houston Rockets , just two years after Bird had been drafted . Maxwell was named NBA Finals MVP . The following year the Celtics again tried to come back from a 3 -- 1 deficit against the Sixers in the rematch but this time lost Game 7 at Boston Garden . In 1983 the Celtics were swept in the playoffs for the first time by the Milwaukee Bucks ; afterwards Fitch resigned and the team was sold to new owners led by Don Gaston .   In 1983 -- 84 the Celtics , under new coach K.C. Jones , would go 62 -- 20 and finally get back to the NBA Finals after a three - year hiatus . In the finals , the Celtics came back from a 2 -- 1 deficit to defeat the Lakers , winning their 15th championship . Bird renewed his college rivalry with Lakers star Magic Johnson during this series . After the series Auerbach officially retired as general manager but maintained the position of team President . Auerbach was succeeded by Jan Volk as general manager . Volk had been with the Celtics since graduating from Columbia Law School in 1971 and had been the team 's General Counsel since 1976 and the team 's Assistant G.M. since 1980 . During the off - season , in Volk 's first major transaction since assuming the GM role , the Celtics traded Henderson to the Seattle SuperSonics for their first round pick in the 1986 NBA draft .   In 1985 , the Lakers and Celtics met again , but this time the Lakers took the championship . This was the first time the Lakers had defeated the Celtics for a championship , as well as the only time the Celtics lost a championship at Boston Garden . During the following off - season , the Celtics acquired Bill Walton from the Los Angeles Clippers in exchange for Cedric Maxwell . Walton was a big star with the Portland Trail Blazers , but injuries had kept him from living up to expectations . He was willing to come off the bench , deferring to the three big men already with the team . Walton , considered the best passer of all NBA centers in history , stayed healthy and was a big part of the Celtics ' success in 1986 .  Dennis Johnson was another key member of the Celtics , along with the `` Big 3 '' .  In 1985 -- 86 the Celtics fielded one of the best teams in NBA history . The 1986 Celtics won 67 games , going 40 -- 1 at their home games . Bird won his third consecutive MVP award and Walton won the Sixth Man of the Year Award . They won the franchise 's 16th championship and last of the 20th century , defeating the Houston Rockets in the NBA Finals 4 games to 2 .   Thanks to the 1984 trade of Gerald Henderson and the subsequent fall of the Seattle SuperSonics , at the end of the 1985 -- 86 the Celtics owned not only the best team in the NBA but also the second pick in the 1986 NBA draft . The Celtics drafted Len Bias with the pick and had high hopes for the young University of Maryland star . Fans believed Bias had superstar potential , and that he would be the perfect complement to the aging , but still strong , Celtics . The hope was his presence would ensure the franchise would remain a powerhouse after Bird , McHale and Parish retired . Unfortunately , Bias died 48 hours after he was drafted , after using cocaine at a party and overdosing . It would be the first in a long string of bad luck for the Celtics , one that would continue until the next manifestation of the ' Big Three ' in Boston . Despite the loss of Bias , the Celtics remained competitive in 1986 -- 87 , going 59 -- 23 and again winning the Eastern Conference Championship . However , injuries took their toll , and the Celtics ceded the NBA championship to the Lakers in six games . It would be 21 years before they would reach the NBA Finals again . The Celtics ' reign as the Eastern Conference champions ended in 1988 , after the team lost to the Detroit Pistons in six games .   After the 1987 -- 88 season , head coach K.C. Jones retired . Jones was replaced as head coach by assistant Jimmy Rodgers . Rodgers faced immediate trouble in 1988 -- 89 when , only 6 games into the season , Larry Bird decided to have surgery to remove bone spurs in his feet . The injury sidelined Bird until well after the All - Star Break , although he hoped to return that year . However , despite his best attempts to return he was unable to make it back as the Celtics stumbled to a 42 -- 40 record and a first round playoff defeat to the Detroit Pistons . Bird returned in 1989 -- 90 and led the Celtics to a 52 -- 30 record . In the playoffs , after winning the first two games of a Best of 5 series against the New York Knicks , the Celtics collapsed , losing 3 straight , including the decisive 5th game at the Boston Garden . In the wake of the embarrassing defeat , Rodgers was fired and replaced by assistant coach and former Celtics ' player Chris Ford .   Under Ford 's leadership the Celtics improved to 56 -- 26 in 1990 -- 91 , recapturing the Atlantic Division title even though Bird missed 22 games with a variety of injuries . The Celtics fell to the Detroit Pistons in the Eastern Conference Semifinals . In 1992 , a late season rally allowed the Celtics to catch the New York Knicks and repeat as Atlantic Division champions . The team finished 51 -- 31 and matched up with the Indiana Pacers in the First round , this time sweeping the series . In the Eastern Conference Semifinals the Celtics lost a grueling 7 game series to the Cleveland Cavaliers . Due to back problems , Larry Bird played in only 45 of the 82 regular season games , and only 4 of the 10 playoff games ; during games he was frequently lying on the floor when out of the lineup , instead of sitting on the bench . After 13 seasons with the club and winning a gold medal in the Barcelona Olympics with the Dream Team , Bird retired in 1992 , primarily due to his back injuries . Among his lasting contributions to the game was the `` Bird exception '' , which allows teams to exceed the salary cap to re-sign their own free agents , at an amount up to the maximum salary .   1993 -- 1998 : rebuilding ( edit )   At the time of Bird 's retirement , former Celtics guard Chris Ford was the coach of the Celtics. 26 - year - old Reggie Lewis ( out of Boston 's Northeastern University ) was seen as Bird 's successor as the franchise player for the Celtics . Lewis , a small forward , fainted during a 1993 first round playoff matchup with the Charlotte Hornets which the Celtics lost in four games . It was later revealed that Lewis had heart problems , yet he was able to get doctors to clear him for a comeback . He died of a heart attack while shooting baskets at Brandeis University during the offseason . The Celtics honored his memory during the following season by retiring his number 35 . The original Big 3 era came to an end in 1994 , after Robert Parish signed with the Hornets The year before , Kevin McHale retired after the Celtics ' playoff loss to the Hornets . The Celtics finished the year out of the playoffs with a 32 -- 50 mark .   In 1994 , the Celtics hired former player and legendary towel - waving Celtic cheerleader M.L. Carr to be the team 's new V.P. of Basketball Operations , working alongside G.M. Jan Volk . In his first draft in charge of the Celtics , he drafted University of North Carolina star Eric Montross with his first round draft pick . Montross became the new heir apparent in the paint , but failed to develop and was eventually traded . 1994 -- 95 was the Celtics ' final season in the Boston Garden . The Celtics signed the aging Dominique Wilkins as a free agent , and he led the team in scoring with 17.8 PPG . Second - year player Dino Rađa , a power forward from Croatia , added an interior presence to the team that had been lacking in 1993 -- 94 . The Celtics made the playoffs , losing to the heavily favored Orlando Magic in 4 games . In 1995 , the Celtics moved from the Boston Garden to the Fleet Center ( later TD BankNorth , then TD Garden ) . Carr fired Chris Ford and took the coaching reins himself . After drafting Providence College star Eric Williams , the Celtics struggled to a 33 -- 49 record .   Things got worse in 1996 -- 97 as the Celtics lost a franchise record 67 games , setting an unwanted NBA record winning only once against other Atlantic Division teams and just fifteen victories overall despite the emergence of 1st - round draft pick Antoine Walker . With Carr 's coaching stint deemed a failure , he stepped aside to another job in the organization when owner Paul Gaston convinced star college coach Rick Pitino to join the franchise as the team 's president , director of basketball operations , and head coach . Pitino 's appointment as team president was controversial as Auerbach , who had filled that role for more than 25 years , first heard about this change from local media people . Unfortunately for the franchise , Pitino was not the savior everyone expected him to be . Auerbach bore the insult of being elbowed out with dignity , even as the team failed to improve .   The Celtics received the third and sixth draft picks in the 1997 NBA draft , and used the picks to select a brand new backcourt through Chauncey Billups and Ron Mercer . The young team that lost 67 games the year before was dismantled , with David Wesley , Dino Rađa and Rick Fox being let go , and Williams traded to the Denver Nuggets for a pair of second round draft picks ( Williams would return to the Celtics in 1999 and played for four years ) . Walter McCarty was also acquired in a trade with the Knicks . With a promising start , upsetting the defending champions Chicago Bulls at home on opening night , and hard play from the youngsters that led to leaderships in turnovers and steals , the team improved its victories from 15 to 36 despite many losing streaks . Billups was subsequently traded to the Raptors during his rookie year , and Mercer was traded to the Nuggets during his third season .   1998 -- 2013 : the Paul Pierce era ( edit )  Paul Pierce , 2008 NBA Finals MVP , was drafted 10th overall in the 1998 NBA draft .  The following year in the 1998 NBA draft , the Celtics drafted Paul Pierce , a college star who had been expected to be drafted much earlier than the Celtics ' 10th overall pick . Pierce had an immediate impact during the lockout - shortened 1998 -- 99 NBA season , averaging 19.5 points and being named Rookie of The Month in February as he led the league in steals . However , the Celtics continued to struggle as Pitino failed to achieve meaningful success . After Boston lost to the Toronto Raptors on March 1 , 2000 , on a buzzer - beater by Vince Carter , Pitino delivered the memorable `` Larry Bird is not walking through that door , fans '' speech . He resigned in January 2001 .   Following the resignation of Rick Pitino , the Celtics saw modest improvement under coach Jim O'Brien . Paul Pierce matured into an NBA star and was ably complemented by Antoine Walker and the other players acquired over the years . While the team was 12 -- 21 when Pitino left , O'Brien's record to finish the season was 24 -- 24 . Following the 2000 -- 01 season O'Brien was given the job of head coach on a permanent basis . As a result of numerous trades , the Celtics had three picks in the 2001 NBA draft . They selected Joe Johnson , Joe Forte , and Kedrick Brown . Only Johnson managed to succeed in the NBA , becoming a perennial All - Star after leaving the Celtics .   The Celtics entered the 2001 -- 02 season with low expectations . The team 's success in the latter stages of 2000 -- 01 was largely forgotten , and critics were surprised when the team , along with the New Jersey Nets , surged to the top of the Atlantic Division ahead of the Philadelphia 76ers , who were fresh off a trip to the NBA Finals . The Celtics won a hard - fought 5 - game series with the 76ers in the first round , 3 -- 2 . Pierce scored 46 points in the series - clinching blowout at the Fleet Center . In the Conference Semifinals , the Celtics defeated the favored Detroit Pistons 4 -- 1 . In their first trip to the Eastern Conference Finals since 1988 , the Celtics jumped out to a 2 -- 1 series lead over the Nets , after rallying from 21 points down in the fourth quarter to win Game 3 , but would lose the next three games to fall 4 -- 2 .   In 2003 , the Celtics were sold by owner Paul Gaston to Boston Basketball Partners L.L.C. , led by H. Irving Grousbeck , Wycliffe Grousbeck and Steve Pagliuca . The team made it back to the playoffs but were swept by the Nets in the second round , despite bringing Game 4 to double overtime . Before their elimination , the team hired former Celtics ' guard Danny Ainge as general manager , moving Chris Wallace to another position in the organization . Ainge believed the team had reached its peak and promptly sent Antoine Walker to the Dallas Mavericks ( along with Tony Delk ) . In return , the Celtics received the often - injured Raef LaFrentz , Chris Mills , Jiří Welsch , and a first - round pick in 2004 . The Celtics made the playoffs , only to be swept in the first round by the Indiana Pacers , losing all 4 games by blowout margins .  Head coach Doc Rivers led the Celtics to an NBA title in 2008 . The `` Doc '' is here ( edit )  The Celtics were a young team under new coach Doc Rivers during the 2004 -- 05 season , having drafted youngsters Al Jefferson , Delonte West and Tony Allen in the 2004 Draft . Yet they seemed to have a core of good young players , led by Pierce and rookie Al Jefferson , to go along with a group of able veterans . The Celtics went 45 -- 37 and won their first Atlantic Division title since 1991 -- 92 , receiving a boost from returning star Antoine Walker in mid-season . The Pacers defeated them in the first round yet again , with the series culminating in an embarrassing 27 - point loss in Game 7 at the Fleet Center . After the season Walker was traded again , this time to the Miami Heat . Despite Pierce 's career season , in which he averaged career - highs in points ( 26.8 ) , the Celtics missed the playoffs with a 33 -- 49 record , owing largely to a young roster and constant roster shuffling , which saw the likes of Marcus Banks , Ricky Davis and Mark Blount traded for underachieving former first - overall pick Michael Olowokandi and former all - star Wally Szczerbiak .   The Celtics continued to rebuild in the 2006 NBA draft . The Celtics selected Kentucky point guard Rajon Rondo , who was to become a key piece in the team 's revival . In the second round the Celtics added Leon Powe . The 2006 -- 07 season was a gloomy one for the franchise , starting with the death of Red Auerbach at 89 . Auerbach was one of the few remaining people who had been a part of the NBA since its inception in 1946 . The Celtics went 2 -- 22 from late December 2006 through early February 2007 after losing Pierce to injury , the result of a stress reaction in his left foot . At first , the Celtics received a much needed boost from guard Tony Allen but he tore his ACL and MCL on a needless dunk attempt after the whistle . The Celtics compiled a record of 24 -- 58 , second - worst in the NBA , including a franchise record 18 - game losing streak . At the end of the season , the Celtics , with the second worst record in the NBA , were at least hopeful that they could secure a high draft pick and select either Greg Oden or Kevin Durant to help rebuild the franchise , but the Celtics fell to fifth in the Draft Lottery .  2007 -- 2012 : the New ' Big three ' : Paul Pierce , Ray Allen and Kevin Garnett ( edit ) The Boston Celtics celebrate after winning the 2008 NBA championship . The 17th championship banner was raised above the TD Garden rafters on October 28 , 2008 .  In the summer of 2007 , GM Danny Ainge made a series of moves that returned the Celtics to prominence . On draft night , he traded the No. 5 pick Jeff Green , Wally Szczerbiak and Delonte West to Seattle for perennial all - star Ray Allen and Seattle 's second - round pick which the team used to select LSU 's Glen `` Big Baby '' Davis . Then the Celtics traded Ryan Gomes , Gerald Green , Al Jefferson , Theo Ratliff , and Sebastian Telfair to Minnesota , where Ainge 's former teammate Kevin McHale was the G.M. , and swapped 2009 first round draft picks , for MVP Kevin Garnett . These moves created the `` Boston Three Party '' ( the nickname given to describe the combining of Allen , Garnett , and Pierce by Scott Van Pelt in a `` This Is Sportscenter '' commercial ) , which would revitalize the team and lead them back to glory .   The Celtics completed the largest single - season turnaround in NBA history . The new ' Big Three ' of Pierce , Allen and Garnett went 66 -- 16 in the regular season , a 42 - game improvement . However , the team struggled initially in the playoffs . The Atlanta Hawks took them to seven games in the first round , as did the Cleveland Cavaliers in the conference semifinals . The Celtics defeated the Detroit Pistons in six games of the Eastern Conference Finals , winning two road games .   In the 20</t>
  </si>
  <si>
    <t xml:space="preserve">where do the boston celtics play their home games</t>
  </si>
  <si>
    <t xml:space="preserve">   Boston Celtics          2017 -- 18 Boston Celtics season            Conference   Eastern     Division   Atlantic     Founded   1946     History   Boston Celtics 1946 -- present     Arena   TD Garden     Location   Boston , Massachusetts     Team colors   Green , black , gold     President   Rich Gotham     General manager   Danny Ainge     Head coach   Brad Stevens     Ownership   Boston Basketball Partners ( Wyc Grousbeck , CEO and governor )     Affiliation ( s )   Maine Red Claws     Championships   17 ( 1957 , 1959 , 1960 , 1961 , 1962 , 1963 , 1964 , 1965 , 1966 , 1968 , 1969 , 1974 , 1976 , 1981 , 1984 , 1986 , 2008 )     Conference titles   21 ( 1957 , 1958 , 1959 , 1960 , 1961 , 1962 , 1963 , 1964 , 1965 , 1966 , 1968 , 1969 , 1974 , 1976 , 1981 , 1984 , 1985 , 1986 , 1987 , 2008 , 2010 )     Division titles   22 ( 1972 , 1973 , 1974 , 1975 , 1976 , 1980 , 1981 , 1982 , 1984 , 1985 , 1986 , 1987 , 1988 , 1991 , 1992 , 2005 , 2008 , 2009 , 2010 , 2011 , 2012 , 2017 )     Retired numbers   21 ( 00 , 1 , 2 , 3 , 6 , 10 , 14 , 15 , 16 , 17 , 18 , 19 , 21 , 22 , 23 , 24 , 25 , 31 , 32 , 33 , 35 , LOSCY )     Website   www.nba.com/celtics     Uniforms        Home   Away   Third      </t>
  </si>
  <si>
    <t xml:space="preserve">Gregory House - wikipedia  Gregory House  Jump to : navigation , search For other uses , see Gregory House ( disambiguation ) . `` Doctor House '' redirects here . It is not to be confused with House doctor ( disambiguation ) .    Gregory House , M.D.     House character         First appearance   `` Pilot '' ( 1.01 )     Last appearance   `` Everybody Dies '' ( 8.22 )     Created by   David Shore     Portrayed by   Hugh Laurie     Information     Nickname ( s )   House     Gender   Male     Occupation   Head of the Department of Diagnostic Medicine     Family   John House ( legal father , deceased ) Blythe House ( mother )     Significant other ( s )   Stacy Warner ( ex-girlfriend prior to series ) Lisa Cuddy ( ex-girlfriend ) Dominika Petrova ( ex-wife )     Gregory House , M.D. , commonly referred to by his surname House , is the title character of the American medical drama series House . Created by David Shore and portrayed by English actor Hugh Laurie , he leads a team of diagnosticians as the Head of Diagnostic Medicine at the fictional Princeton - Plainsboro Teaching Hospital in Princeton , New Jersey ( based on the real - life Yale -- New Haven Hospital in New Haven , Connecticut ) .   House 's character has been described as a misanthrope , cynic , narcissist , and curmudgeon , the last of which was named one of the top television words of 2005 in honor of the character . He is the only character to appear in all 177 episodes and , except for Wilson 's brief appearance , is the only regular character to appear in the season six premiere .   In the series , the character 's unorthodox diagnostic approaches , radical therapeutic motives , and stalwart rationality have resulted in much conflict between him and his colleagues . House is also often portrayed as lacking sympathy for his patients , a practice that allots him time to solve pathological enigmas . The character is partly inspired by Sherlock Holmes . A portion of the show 's plot centers on House 's habitual use of Vicodin to manage pain stemming from a leg infarction involving his quadriceps muscle some years earlier , an injury that forces him to walk with a cane . This addiction is also one of the many parallels to Holmes , who was a habitual user of cocaine .   Throughout the series ' run , the character received generally positive reviews and was included in several best lists . Tom Shales of The Washington Post called House `` the most electrifying character to hit television in years '' . For his portrayal , Laurie has won various awards , including two Golden Globe Awards for Best Actor in a Television Series -- Drama , two Screen Actors Guild Awards for Best Actor from Drama Series , two Satellite Awards for Best Actor in a Television Series -- Drama , two TCA Awards for Individual Achievement in Drama , and a total of six Primetime Emmy Award nominations for Outstanding Lead Actor in a Drama Series .     Contents  ( hide )   1 Character history   2 Personality   2.1 Social behavior     3 Development   3.1 Conception   3.2 Casting   3.3 Parallels to Sherlock Holmes     4 Reception   5 Bibliography   6 References   7 External links      Character history ( edit )   Gregory House was born to John and Blythe House ( R. Lee Ermey and Diane Baker ) on June 11 , 1959 , or May 15 , 1959 . House is a `` military brat '' ; his father served as a Marine Corps aviator and transferred often to other bases during House 's childhood . House presumably picked up his affinity for languages during this period and shows a level of understanding of Spanish , Portuguese , Japanese , and Mandarin . One place in which his father was stationed was Egypt , where House developed a fascination with archaeology and treasure - hunting , which led him to keep his treasure - hunting tools well into adulthood . Another station was Japan , where , at age 14 , House discovered his vocation after a rock climbing incident with his friend . He witnessed the respect given to a buraku doctor who solved the case no other doctor could . He also spent some time in the Philippines , where he received dental surgery .   House loves his mother but hates his father , who he claims has an `` insane moral compass '' , and deliberately attempts to avoid both parents . At one point , House tells a story of his parents leaving him with his grandmother , whose punishments constituted abuse . However , he later confesses it was his father who abused him . Due to this abuse , House never believed John House was his biological father ; at the age of 12 , he inferred that a friend of his family with the same birthmark as himself was his real father . In the season 5 episode `` Birthmarks '' , House discovers that his `` father '' was not his biological father after he ordered a DNA test that compared his DNA against John 's . After a second DNA test was performed in the season 8 episode `` Love Is Blind '' , House discovers the man he thought was his biological father , Thomas Bell , was not either . The identity of his real father remains unknown .  House studied both as an undergraduate earning a BS in physics and a medical student at Johns Hopkins University .  House first attended Johns Hopkins University as an undergraduate . Before fully committing to medicine as his discipline , he considered getting a Ph. D. in Physics , researching dark matter . He was accepted to the Johns Hopkins School of Medicine and excelled during his time there . He was a front runner for a prestigious and competitive internship at the Mayo Clinic ; however , another student , Philip Weber , caught him cheating , resulting in his expulsion from Johns Hopkins and rejection from the internship . While appealing his expulsion , he studied at the University of Michigan Medical School , and worked at a bookstore , where he met his future employer and love interest Lisa Cuddy ( Lisa Edelstein ) , with whom he shared a night when `` he gave her everything she asked for '' . After the appeal process , he was denied re-entry into Johns Hopkins . During a medical convention in New Orleans , House first saw his eventual best friend Dr. James Wilson ( Robert Sean Leonard ) . Wilson , who was going through his first divorce at the time , broke a mirror in frustration and started a bar fight after a man repeatedly played `` Leave a Tender Moment Alone '' on a jukebox . House paid for the damage , bailed him out , and hired an attorney to clear his name ( who failed to do so ) , starting their professional and personal relationship . House eventually became a Board - certified internist with a double specialty in infectious disease and nephrology .   Approximately ten years before the beginning of the series , House entered into a relationship with Stacy Warner ( Sela Ward ) , a constitutional lawyer , after she shot him during a `` Lawyers vs. Doctors '' paintball match . Five years later , during a game of golf , he suffered an infarction in his right leg which went misdiagnosed for three days due to doctors ' concerns - House would eventually diagnose the infarction himself : An aneurysm in his thigh had clotted leading to an infarction and causing his quadriceps muscle to become necrotic . House had the dead muscle bypassed to restore circulation to the remainder of his leg , risking organ failure and cardiac arrest . He was unwilling to allow an amputation opting instead to endure excruciating post-operative pain to retain the use of his leg .   However , after he was put into a chemically induced coma to sleep through the worst of the pain , Stacy , House 's medical proxy , and Dr. Lisa Cuddy who was House 's doctor at the time , acted against his wishes and authorized a safer surgical middle - ground procedure between amputation and a bypass by removing just the dead muscle . This resulted in the partial loss of use in his leg and left House with a lesser , but still serious , level of pain for the rest of his life . House could not forgive Stacy for making the decision after he obviously did n't want it and this was eventually the reason Stacy left him . House now suffers chronic pain in his thigh and uses a cane ( which he uses for more than walking ; he often wields it for protection or to push aside privacy curtains , or for knocking on doors ) to aid his walking . He also frequently takes Vicodin , a moderate to severe painkiller , to relieve his pain . House does briefly break his dependency with psychiatric help , after he suffers a psychotic break . When Warner makes her first appearance in season 1 , she is married to a high school guidance counselor named Mark Warner . Although she and House have a brief , intimate encounter during the second season , House eventually tells Stacy to go back to her husband , devastating her . In the season two finale `` No Reason '' one of House 's former patients shoots him twice .   At the beginning of season three , House temporarily regains his ability to walk and run after receiving ketamine treatment for his gunshot injuries . However , the chronic pain in his leg comes back and House , who seems depressed because of the returning pain , takes painkillers and uses his cane once again . The other doctors speculate his cane and opiate re-usage are due to his psychological tendencies .   On a routine clinic visit , a police detective , Michael Tritter , is seen by House . Tritter observes House taking Vicodin for his pain and blames this for House 's being rude and a bully . Tritter , believing doctors should be more responsible while practicing medicine , decides to take it upon himself to take legal action to free House of his addiction by launching an investigation into suspected drug abuse . The investigation slowly involves Cuddy , Wilson and House 's diagnostics team , with Tritter using extreme measures to get information . House , being forcibly weaned off Vicodin to take a deal where he would keep his medical license , goes to extreme lengths to manage his pain by stealing Oxycodone from a cancer patient of Wilson 's who had just died , giving Tritter what he needed to bring House to trial . At the pretrial hearing , the Judge decides House is not a danger to society and that his pain management for his leg is not as serious as Tritter made it seem . This conclusion is reached when Cuddy manufactures evidence and perjures herself to keep House out of jail .   During season five , House once again regains his ability to walk without pain after taking methadone but soon stops after nearly killing a patient due to an uncharacteristic medical error . At the end of season five , House 's use of Vicodin reaches a level in which House starts hallucinating about a former fellowship candidate who is also Wilson 's dead girlfriend Amber Volakis and a relationship with Cuddy . When House comes to the conclusion Vicodin is making him hallucinate and taking over his life , he checks himself into Mayfield Psychiatric Hospital . At the start of season six , after spending time in Mayfield , House stops taking pain medications and with the help of Dr. Darryl Nolan , finds other ways to deal with his pain and other aspects of his life . During his stay it is revealed by Dr. Nolan that House suffers from clinical depression , has antisocial tendencies , an inflated ego and severe trust issues . Dr. Nolan at one point even took House to a gathering in an effort to make House open up to people . To help manage his pain House finds a short - lived hobby in cooking . Thirteen ( Remy Hadley ) , Cuddy , and Wilson discover House is very good at his new hobby , attributing this to House thinking of ingredients in terms of chemistry .   House eventually finds the one thing that seems to help the pain go away : practicing medicine . After he diagnoses a patient online for his team ( without their knowledge ) , and shows Dr. Nolan how this reduces his pain , Nolan suggests House resume his practice .   In season seven , when Cuddy , who is House 's girlfriend at this point , has a brush with death , House goes back on Vicodin in order to cope with the fear of losing her . Near the end of season seven , House finds out the experimental drug he had been using caused fatal cancerous tumors in all of the lab rats in the experiment . He gets a CT scan of his leg and finds three tumors close to the surface of the skin in his leg . He goes home , cleans his bathroom , and attempts to perform surgery on himself to extract the tumors in his bathtub .   In season eight , House finds himself in jail after running his car into Cuddy 's house . There he finds his need for Vicodin is a weakness when an inmate makes House steal twenty pills of Vicodin or be killed . Throughout season eight , House 's therapeutic use of Vicodin becomes more habitual , similar to his use before season five .   The final season 's opening episode partly explores what path an imprisoned House would take aside from practicing medicine , revealing physics as his other forté . The episode `` Body &amp; Soul '' makes a nod to this with a reference to a particle physics text amongst his books , as mentioned by his then - wife Dominika Petrova ( Karolina Wydra ) . House fakes his own death in the series finale , thus giving up his ability to practice medicine again , in order to spend time with Wilson ( Robert Sean Leonard ) , who has five months left to live . He does this in order to avoid being sent back to prison for destroying an MRI machine in a prank gone wrong . The series ends with House and Wilson riding off into the countryside on motorcycles , as Dr. Robert Chase ( Jesse Spencer ) takes over House 's department .   Personality ( edit )     `` Dr. House is a fascinating and daringly cantankerous enigma , the proverbial bitter pill who also happens to be a highly intuitive medical genius . He despises interacting with patients and prefers dealing with diseases -- with medical mysteries that leave other doctors scratching their heads in befuddlement . ''     -- Tom Shales describing the character .     House frequently shows off his cunning and biting wit , and enjoys picking people apart and mocking their weaknesses . House accurately deduces people 's motives and histories from aspects of their personality , appearance , and behavior . His friend and colleague Wilson says that while some doctors have the `` Messiah complex '' ( they need to `` save the world '' ) , House has the `` Rubik 's complex '' ( he needs to `` solve the puzzle '' ) . House typically waits as long as possible before meeting his patients . When he does , he shows an unorthodox bedside manner and uses unconventional treatments . However , he impresses them with rapid and accurate diagnoses after seemingly not paying attention . This skill is demonstrated in a scene where House diagnoses an entire waiting room full of patients in little over one minute on his way out of the hospital clinic . House , although rarely visiting his patients , demonstrates that he is more than capable of using practical medical skills . For example , occasionally taking part in operations and reacting quickly when a patient has a cardiac arrest in front of him . Critics have described the character as `` moody '' , `` bitter '' , `` antagonistic '' , `` misanthropic '' , `` cynical '' `` grumpy '' , `` maverick '' , `` anarchist '' , `` sociopath '' , and a `` curmudgeon '' . The Global Language Monitor chose the word `` curmudgeon '' as the best way to describe the character .   Laurie describes House as a character who refuses to `` obey the usual pieties of modern life '' and expects to find a rare diagnosis when he is treating his patient . Many aspects of his personality are the antithesis of what might be expected from a doctor . Executive producer Katie Jacobs views House as a static character who is accustomed to living in misery . Jacobs has said that Dr. Wilson , his only friend in the show , and House both avoid mature relationships , which brings the two closer together . Leonard has said that Dr. Wilson is one of the few who voluntarily maintains a relationship with House , because he is free to criticize him .   Although House 's crankiness is commonly misattributed to the chronic pain in his leg , both Stacy and Cuddy have said that he was the same before the infarction . To handle the chronic pain in his leg , House takes Vicodin every day , and as a result has developed an addiction to the drug . He refuses to admit that he has an addiction ( `` I do not have a pain management problem , I have a pain problem '' ) . However , after winning a bet from Cuddy by not taking the drug for a week , he concedes that he has an addiction , but says that it is not a problem because it does not interfere with his work or life . In the 2009 season House goes through detox and his addiction goes into remission , so to say . However , it does seem that House may have gotten over his addiction in the season 6 premiere . House creator David Shore told the Seattle Times in 2006 that Vicodin is `` becoming less and less useful a tool for dealing with his pain , and it 's something ( the writers ) are going to continue to deal with , continue to explore '' .   House openly talks about , and makes references to , pornography . In `` Lines in the Sand '' , he returns the flirtations of an underage female who is a daughter of a clinic patient . He regularly engages the services of prostitutes , of which his former female diagnostic team member Dr. Allison Cameron ( Jennifer Morrison ) , who once had a crush on him , is aware . He also likes to gamble , frequently making wagers .   House speaks multiple languages , demonstrating fluency in English , Spanish , Russian , Portuguese , Hindi , and Mandarin . He listens to jazz , plays the piano ( as does Hugh Laurie ) and has an interest in vintage electric guitars . House has often credited guitarist / songwriter Eric Clapton and composer Giacomo Puccini as his biggest musical influences , drawing parallels to those of Hugh Laurie 's . He is an avid video gamer , is known to attend monster truck pulls with Wilson , and watch the soap operas General Hospital and the fictional Prescription Passion . House is a fan of the Philadelphia Phillies and Philadelphia Flyers . He is also ( as is Laurie ) a motorcyclist , riding a Honda CBR1000RR Repsol Edition , license plate Y91 , as seen in `` Swan Song '' , `` Help Me '' , `` Deception '' and `` Post Mortem '' ; otherwise , he drives a Dodge Dynasty sedan .   House is an atheist . He openly and relentlessly mocks colleagues and patients who express any belief in religion , deeming such beliefs as illogical . He does not believe in an afterlife because he finds it is better to believe life `` is n't just a test '' . However , in the season four episode `` 97 Seconds '' , he expresses sufficient interest in the possibility of an afterlife to electrocute himself in an effort to find out ; he is dissatisfied with the results and denounces the possibility of an afterlife . This is also an example of House 's tendency to self - experiment and submit to risky medical procedures in the name of truth . Over the course of the series , he disproves the effectiveness of a migraine cure by self - inducing a migraine and controlling the effects through drugs , undergoes a blood transfusion to assist with a diagnosis , and overdoses on physostigmine to improve his memory after sustaining head injuries , subsequently causing his heart to stop beating , then undergoes deep brain stimulation soon after . In `` The Fix '' , he steals experimental medicine only tested in rats to try and regrow his thigh muscle , eliminating his pain . In the following episode , `` After Hours '' , he finds out that the medicine cause tumors , and operated on himself in his bathtub based on a CT scan . Ultimately he is unable to continue and eventually brought in Cuddy , who sends him to the hospital .     `` ( House ) enjoys pursuing the truth , and he knows we all see the world through our own lenses . He 's constantly trying to strip himself of those biases , to get a clean , objective view of things . ''     -- Shore to Variety .     House frequently says , `` Everybody lies '' , but jokingly remarked he was lying when he said it . House criticizes social etiquette for lack of rational purpose and usefulness . Dr. Cameron states in the first episode of the first season `` House does n't believe in pretense ... so he just says what he thinks '' . In the season three episode `` Lines in the Sand '' , he explains how he envies an autistic patient because society allows the patient to forgo the niceties that he must suffer through . In the same episode , Dr. Wilson suggests House might have Asperger syndrome , which is characterized by a number of traits found in House , such as difficulty accepting the purpose of social rules , lack of concern for his physical appearance , and resistance to change ; though he later reveals to House that he does not truly believe this , and that claiming this was a part of a ploy to soften Cuddy 's opinion of House . House is a strong nonconformist and has little regard for how others perceive him . Throughout the series , he displays sardonic contempt for authority figures . House shows an almost constant disregard for his own appearance , possessing a permanent stubble and dressing informally in worn jeans , wrinkled shirts over rumpled T - shirts , and sneakers . He avoids wearing the standard white lab coat to avoid patients recognizing him as a doctor , preferring a shabby blazer or , less frequently , a motorcycle jacket .   Social behavior ( edit )   House does not have much of a social life , and his only real friend is Dr. James Wilson . Wilson knew House before the infarction and looked after him when House 's relationship with Stacy ended . Dr. Wilson 's moving into House 's apartment after his failed marriage in `` Sex Kills '' symbolizes his taking emotional refuge in his friend . Although they frequently analyze and criticize each other 's motives , Wilson has risked his career to protect House , including having his job terminated in the first season as an effort of Edward Vogler to dismiss House , and having his practice damaged by Detective Michael Tritter in an investigation of House 's narcotics consumption . House has quietly admitted , at several instances , that he is grateful for Wilson 's presence , including referring to Wilson as his best friend . When Wilson resigns and moves away from both New Jersey and House 's friendship in the season 5 premiere , House is desperate to have his friend back , and hires a private investigator ( Michael Weston ) to spy on him . The two ultimately reconcile at House 's father 's funeral in a scene similar to their first meeting , only this time Wilson breaks a stained glass window with what appears to be a bottle of wine or alcohol in a moment of anger directed at House . In the series finale , House fakes his death both to get out of going to prison and to spend five remaining months with Wilson before he dies of cancer , after having spent the past third of the season helping him through difficult , risky and ultimately unsuccessful treatments and reckless `` bucket list '' wishes .   Lisa Edelstein has said that despite his sardonic personality , House is a character who is reliant on people surrounding him . Edelstein says this characteristic is portrayed on several occasions in the third season , during which House 's medical career is in jeopardy due to investigations by Det . Michael Tritter ( David Morse ) , who arrests him for possessing narcotics . House 's legal trouble ends when Edelstein 's character , Lisa Cuddy , commits perjury during his hearing . In Season 5 , a relationship with Cuddy begins to blossom , as they are unable to deny feelings between each other . They share a kiss in episode six `` Joy '' which sparked an ongoing romantic tension between them . When Cuddy 's office is destroyed by a gunman and is being renovated , she moves into House 's office in what Wilson believes to be an attempt to get closer to House . The two try to drive each other away , doing things to each other 's office to make them worse , but in an uncharacteristically nice move , House has Cuddy 's mother send her medical school desk for her new office as a surprise . Cuddy is touched by what he did , but is devastated when she spots him with a prostitute he hired , not knowing he had done so only to mess with Kutner and Taub . In the season finale `` Both Sides Now '' it is confirmed that House wishes to pursue a romantic relationship with Cuddy . In this same episode he believes he has slept with Cuddy and informs Dr. James Wilson the following morning . This however is revealed to be a psychosis , which is a side effect of his Vicodin abuse . The House - Cuddy story culminates in the season 6 finale , `` Help Me '' , when Cuddy cancels her engagement to Lucas to face the inevitable realization of her loving House all along ; they share a passionate kiss , thus hinting on mutual willingness to try to develop a real relationship . However , in season 7 , this relationship is ended when House starts taking Vicodin again when he is faced with Cuddy possibly having a terminal illness .   House has also been known to act as a mooch at times , frequently stealing food from Wilson . In `` You Do n't Want to Know '' , while House is searching for the cause of Thirteen 's twitching , he claims to have stolen money from her wallet . In the same episode , Wilson later observes that House 's blood type is AB , the universal recipient , reflecting his desire to take whatever he can . In another episode , he reveals to Wilson that he 's been borrowing larger and larger sums of money from him without paying him back , just to see at what point Wilson would turn him down .   Development ( edit )   Conception ( edit )     `` The title diagnostician of the show would be as smart a physician as Dr. Kildare and as sharp a sleuth as Gil Grissom of CSI , it was important to us that he be damaged , both emotionally and physically . ''     -- Shore on House 's creation .     While the show was originally set to be a medical procedural , the idea changed when the writers started to explore the possibilities of a curmudgeonly title character . Shore traced the concept for the title character to his background as a patient at a teaching hospital . Shore recalled that `` I knew , as soon as I left the room , they would be mocking me relentlessly ( for my cluelessness ... ) and I thought that it would be interesting to see a character who actually did that before they left the room '' . Shore also based the character partly on himself : in a 2006 interview with Macleans he explained that he has a `` cynical and cold attitude lurking within '' him , and almost always agrees with House 's point of view . A central part of the show 's premise was that the main character would be disabled in some way . The initial idea was for House to use a wheelchair , inspired by the 1960s police drama Ironside , but Fox turned down this interpretation ( for which the crew was later grateful ) . The wheelchair became a scar on House 's face , which later turned into a bad leg necessitating the use of a cane . House usually holds his cane on the same side as his injured leg ; Shore explained : `` Some people feel more comfortable with the cane in the dominant arm , and that is acceptable '' . The cane tricks that are seen throughout the series are created by Laurie himself .   Cathy Crandall , costume designer for the show , created a look for the character that made it seem like he did not care about his clothing . She designed House with a wrinkled T - shirt , a blazer that is one size too short , faded and worn - in jeans and heather - gray rag socks . It was Laurie 's idea to have the character wear sneakers , because he thought `` a man with a cane needs functional shoes '' ; the Fox studios ' wardrobe department kept thirty - seven pairs of Nike Shox on hand . House has worn T - shirts designed by famous designers such as Barking Irons and Lincoln Mayne , but also by less known designers such as Andrew Buckler and Taavo . The shirts are usually kept tied in a ball overnight to get them to wrinkle .   Casting ( edit )   When casting for the part started , Shore was afraid that in `` the wrong hands '' , House would `` just be hateful '' . The casting directors were looking for someone who could , as Shore described , `` do these horrible things and be somehow likable without just , you know , petting a kitten '' . When Laurie was asked to audition for the role of House , he was filming Flight of the Phoenix in Namibia . Laurie had no big expectations for the show , thinking that it would only `` run for a few weeks '' . He planned to audition for the roles of both James Wilson and Gregory House . However , when he read that Wilson was a character with a `` handsome open face '' , he decided to audition solely for the role of House . Laurie chose not to change his clothing , but to remain in the costume he wore for the film ; he also decided not to shave his beard . He put together an audition tape of his own in a Namibian hotel bathroom , the only place with enough light , while his Flight of the Phoenix co-stars Jacob Vargas and Scott Michael Campbell held the camera . He improvised by using an umbrella for a cane . Laurie initially believed that James Wilson would be the protagonist of the show after reading the brief description of the character and did not find out that House was the main character until he read the full script of the pilot episode .   After he had watched casting tapes for the pilot episode , Bryan Singer grew frustrated and refused to consider any more British actors because of their flawed American accents . Although Singer compared Laurie 's audition tape to an `` Osama bin Laden video '' , he was impressed with Laurie 's acting and , not knowing who he was , Singer was fooled by his American accent . He commented on how well the `` American actor '' was able to grasp the character , not knowing about Laurie 's British nationality . Although Laurie 's appearance was very different from the way Shore pictured House , when he watched the audition tape , he was equally impressed as Singer . More famous ( in the American market ) actors such as Denis Leary , Rob Morrow and Patrick Dempsey were also considered , but Singer , Shore , and executive producers Paul Attanasio and Katie Jacobs all thought Laurie was the best option and decided to cast him for the part . Laurie was the final actor to join the cast of House . After he was chosen for the part , Laurie , whose father Ran Laurie was a doctor himself , said he felt guilty for `` being paid more to become a fake version of my own father '' . While Laurie has used an American accent before in the Stuart Little films , he found it difficult to adopt for his role , saying that words such as `` coronary artery '' are particularly tricky to pronounce .   Parallels to Sherlock Holmes ( edit )  House and Wilson 's relationship mirrors Holmes and Watson 's ( pictured ) relationship .  Similarities between House and the famous fictional detective Sherlock Holmes appear throughout the series ; Shore explained that he was always a Sherlock Holmes fan , and found the character 's traits of indifference to his clients unique . The resemblance is evident in various elements of the series ' plot , such as House 's reliance on psychology to solve a case , his reluctance to accept cases he does not find interesting and House 's home address , 221B Baker Street , which is the same as Holmes ' . Other similarities between the two characters are drug use ( House battled a Vicodin addiction for years and Holmes was a recreational user of cocaine ) , successful detoxification ( which proves to be only temporary in House 's case ) , playing an instrument ( Holmes plays the violin and House plays the guitar , piano , organ and harmonica ) and a talent for accurately deducing people 's motives and histories from aspects of their personality and appearance .   Shore has also explained that the name `` House '' is a play on the name `` Holmes '' via its phonetic similarity to the word `` homes '' . The pun does not extend to the meaning of the names , as the surname `` Holmes '' actually denotes that its initial bearers lived near or worked with holly or holm - oak trees , such that `` Holl ( e ) y '' or `` Oak ( e ) s '' would be a more literal equivalent . Both Holmes and House each have one true friend , Dr. John Watson and Dr. James Wilson , res</t>
  </si>
  <si>
    <t xml:space="preserve">what is wrong with dr house's leg</t>
  </si>
  <si>
    <t xml:space="preserve"> In the series , the character 's unorthodox diagnostic approaches , radical therapeutic motives , and stalwart rationality have resulted in much conflict between him and his colleagues . House is also often portrayed as lacking sympathy for his patients , a practice that allots him time to solve pathological enigmas . The character is partly inspired by Sherlock Holmes . A portion of the show 's plot centers on House 's habitual use of Vicodin to manage pain stemming from a leg infarction involving his quadriceps muscle some years earlier , an injury that forces him to walk with a cane . This addiction is also one of the many parallels to Holmes , who was a habitual user of cocaine . </t>
  </si>
  <si>
    <t xml:space="preserve">Dear Evan Hansen - Wikipedia  Dear Evan Hansen         This article 's plot summary may be too long or excessively detailed . Please help improve it by removing unnecessary details and making it more concise . ( July 2018 ) ( Learn how and when to remove this template message )         Dear Evan Hansen     Official logo     Music   Benj Pasek Justin Paul     Lyrics   Benj Pasek Justin Paul     Book   Steven Levenson     Premiere   July 10 , 2015 : Arena Stage , Washington , D.C.     Productions   2015 Washington , D.C. 2016 Off - Broadway 2016 Broadway     Awards   Obie Award for Musical Theatre Drama Desk Award for Outstanding Lyrics Tony Award for Best Musical Tony Award for Best Book of a Musical Tony Award for Best Original Score Drama League Award for Outstanding Production of a Broadway or Off - Broadway Production Grammy Award for Best Musical Theater Album     Dear Evan Hansen is a stage musical with music and lyrics by Benj Pasek and Justin Paul , and a book by Steven Levenson .   The musical opened on Broadway at the Music Box Theatre in December 2016 , after its world premiere at the Arena Stage in Washington , DC , in July 2015 and an Off - Broadway production in March to May 2016 .   The titular character , Evan Hansen , is a high school senior with severe social anxiety , which inhibits his ability to connect with other people and make friends . After the death of one of his classmates , he fabricates a lie that inadvertently brings him closer to the classmate 's family , while also allowing him to gain his own sense of purpose .   The musical has received critical acclaim , particularly for Ben Platt 's leading performance , the lyrics , and the book , and has served as a touchstone for discussion about pre-mature storytelling and themes explored in musical theatre , particularly that of mental illness and youth suicide .   At the 71st Tony Awards , it was nominated for nine awards , winning six , including Best Musical , Best Score , Best Actor in a Musical for Platt , and Best Featured Actress in a Musical for Rachel Bay Jones .   Contents    1 Background   2 Synopsis   2.1 Act 1   2.2 Act 2     3 Roles and principal casts   3.1 Original casts   3.2 Broadway cast replacements   3.3 Characters     4 Musical numbers   4.1 Recording     5 Productions   5.1 Original Washington , D.C. production   5.2 Original Off - Broadway production   5.3 Original Broadway production   5.4 First National Tour   5.5 Canadian production     6 Critical response   7 Honors and awards   7.1 Original Washington , D.C. production   7.2 Original Off - Broadway production   7.3 Original Broadway production     8 Novelization   9 Books   10 References   11 External links    Background   The musical has its origins in an incident that took place during Pasek 's high school years . The musical `` takes the notion of a teenager , ... Evan Hansen , who invents an important role for himself in a tragedy that he did not earn . ''   Synopsis   Act 1   Evan Hansen is a teenager who struggles with severe social anxiety which makes it hard for him to make friends . His therapist recommends that he write letters to himself detailing what will be good about each day . Before the first day of his senior year in high school , his mother , Heidi , suggests that he make new friends by asking people to sign the cast on his arm , which he broke by falling out of a tree over the summer .   Across town , the wealthy Murphy family -- Cynthia , Larry , and their children Zoe and Connor -- sit down to breakfast . Zoe and Larry berate Connor for getting high before school , while Cynthia struggles with the fact that her family is falling apart . The two mothers wonder simultaneously how to connect with their sons ( `` Anybody Have a Map ? '' ) .   At school , Evan runs into Alana , a smart classmate , and Jared , his only friend . Both Alana and Jared notice his broken arm , but neither signs his cast -- instead , Jared teases Evan about it . Jared and Evan then run into Connor , whom Jared pokes fun at . Connor interprets Evan 's awkwardness as making fun of him , resulting in Connor pushing Evan to the ground . Connor 's sister Zoe , whom Evan has a massive crush on , feels obligated to apologize for her brother 's behavior . Evan wonders if this is his destiny -- to be ignored and an outcast , never getting the girl of his dreams ; `` on the outside always looking in '' for the rest of his life ( `` Waving Through A Window '' ) .   Evan writes himself another letter . He states he has given up on it being a good year and how he wonders if anyone would notice if he were not there . He remarks that all his hope is now pinned on Zoe , since his crush on her is the only thing that brings him happiness . While printing the letter in the school 's computer lab , he encounters Connor again , now much more subdued than he was in the morning . Connor asks what happened to Evan 's arm and offers to sign his cast , musing that maybe now they can both pretend they have friends . After signing the cast , he reads Evan 's letter ( which he grabbed from the printer as a favor ) and becomes furious at the mention of Zoe , thinking Evan intended for him to see the letter in order to make fun of him . He storms out , taking the letter with him .   Several days pass with no sign of Connor . Evan is in an intense state of anxiety over what Connor might have done with the letter , and tells Jared online about his assignment to write letters to himself , and how he 's worried about what Connor might 've done with the letter . Jared remarks that Connor has always been completely out of his mind . Later that day , Evan is called to the principal 's office , where Connor 's parents are waiting to meet him . They tell Evan that Connor died by suicide a few days before with Evan 's letter in his pocket . Believing it to be Connor 's suicide note addressed to Evan , they ask Evan if he and Connor were close , as Connor had never mentioned having friends before . Not wanting to further their grief and unsure what to do , Evan agrees to go to their house to talk about Connor . There , after seeing Cynthia 's distress over the loss of her son , Evan panics and , rather than telling the truth , begins to fabricate an intricate story of his and Connor 's friendship , claiming he and Connor kept up a secret email correspondence and recounting a fictional version of the day he broke his arm in which Connor was with him ( `` For Forever '' ) . Later , Heidi reminds Evan that he needs to begin applying for college scholarships . She mentions hearing about Connor 's death , but Evan tells her not to worry and that he did n't know Connor . Seeing Connor 's name signed on his cast , Heidi confronts Evan , but he lies , saying that someone else named Connor signed it . After realizing he needs evidence of his supposed `` secret email account , '' Evan enlists Jared 's help in creating fake , backdated email conversations between himself and Connor ( `` Sincerely , Me '' ) .   After Evan shows the Murphy family Connor 's ' emails ' , Cynthia is ecstatic that her son had a friend , but Larry is more hurt that Connor took his family and his privileged life for granted ; Zoe , who was alienated by Connor 's aggressive behavior , refuses to mourn him at all ( `` Requiem '' ) . However , after reading the suicide note , Zoe notices that she is mentioned and asks Evan why Connor would say that about her ; Evan , unable to tell her the truth , tells her all the reasons he loves her under the guise of Connor saying them ( `` If I Could Tell Her '' ) . Overcome with emotion , he impulsively kisses Zoe , but she pulls away and tells him to leave .   At school , Evan and Alana notice that people are starting to forget about Connor . Spurred on by a vision of Connor , Evan enlists Alana and Jared 's help in founding `` The Connor Project '' -- an organization dedicated to keeping Connor 's memory alive . The three pitch the idea to the Murphys , who agree to support the project ( `` Disappear '' ) ; moved by his dedication , Cynthia gives Evan a necktie she had gotten for Connor that he had never worn , and asks Evan to wear it when he speaks at Connor 's memorial service . At the official launch of The Connor Project , Evan gives an inspiring speech about his loneliness and friendship with Connor , which goes viral . Zoe , overcome by the impact her brother and Evan have had , kisses him ( `` You Will Be Found '' ) .   Act 2   Evan and Alana pitch a fundraising idea on The Connor Project 's website . In memory of Connor , they want to raise $50,000 in three weeks to reopen the abandoned apple orchard that Evan and Connor supposedly spent time in . Despite Alana 's total devotion the project , Evan becomes preoccupied with his new relationship with Zoe and his newfound family in the Murphys , and begins to neglect his mother , Jared , and The Connor Project ( `` Sincerely , Me ( Reprise ) '' ) .   Heidi tells Evan that she saw the video of his speech on Facebook and asks him why he did not tell her about The Connor Project or about his and Connor 's friendship . He angrily responds that he did not have the time because she is never around . Overcome with emotion , he then rushes off to the Murphys ' , telling her that he is going to Jared 's . At the Murphys ' , Evan bonds with Larry Murphy and confides in him that his father left when he was young , has remarried , and no longer keeps in touch with him or his other relatives . Larry offers him an old baseball glove of Connor 's that was never used ( `` To Break in a Glove '' ) . Sometime later , at Evan 's house , Evan makes an offhand comment to Zoe about how he and his mother do not have much money and he needs scholarships to pay for college . When he begins to mention Connor , Zoe tells him that she does not want their relationship to be about Connor , but about the two of them ( `` Only Us '' ) .   Evan gets into a fight with Jared , who claims that Connor 's death was the best thing that ever happened to Evan -- he is no longer invisible and has landed the girl of his dreams . Later on , Evan goes to the Murphys ' , only to discover that they have invited Heidi for dinner . Heidi , who has no idea that Evan had spent time at the Murphys ' , is mortified when Larry and Cynthia offer to use the money that they had set aside for Connor 's college fund to send Evan to school instead . After returning home , Heidi and Evan fight over his secrecy and deception . When Heidi proclaims that the Murphys are not Evan 's family , Evan confesses that he feels not only welcomed but also accepted by the Murphys in light of Heidi 's absence and expectations towards Evan 's mental health . Heidi tearfully berates him for running off to his new family , while Alana begins to find inconsistencies in the fake emails Evan `` received '' from Connor and suspects that the entire story is a lie . Beginning to panic , Evan urges Jared to help him clear up the inaccuracies , but Jared refuses due to Evan 's own absence . Evan counters that Jared himself had acted as a friend to him only when he needed something from him . Jared threatens to expose Evan , and Evan warns him he could , in turn , open up about Jared 's role in the lie . Heidi , Alana , and Jared converge in Evan 's conscience , compounding his guilt and doubt over his decisions ( `` Good for You '' ) .   Evan decides he has to come clean with what he has done . Imaginary Connor attempts to talk him out of it , citing the happiness he has given the Murphys and the fate of Evan 's relationship with Zoe , but Evan does not back down , angrily shouting that he needs the whole thing to be over . Connor is unconvinced and asks Evan how he broke his arm : did he fall by accident or actually let go ? Evan denies suicidal intent , but Connor tells him that if he tells the truth , all he has will be gone , and the only thing he will be left with is himself . He disappears , leaving Evan alone .   Evan goes to apologize to Alana , but she says she has given up on Evan helping her with The Connor Project . She doubts the truth of Evan 's repeated statements that he was Connor 's best friend , since they were never seen together , and she says that it is easy to create fake backdated emails . Desperate , Evan says he has proof that they were friends . He shows her the letter to himself that he wrote when he was giving up on having a good year , claiming it to be Connor 's suicide note . Realizing that the letter is the key to fulfilling the fundraising goal , Alana posts it online where , to Evan 's chagrin , it goes viral . As a result , many people begin to believe Connor 's suicide was because of his uncaring , wealthy parents .   Evan is distraught and goes to see the Murphys , who have become the targets of hateful comments from people who believe they were responsible for Connor 's death . He walks in on the three of them fighting about why Connor really killed himself and finally admits that he fabricated the entire thing , hopeful that he could forge a genuine bond with the Murphys out of the tragedy . As Zoe and her mother tearfully run out , Larry turns away from Evan in disgust . Alone once more , Evan absorbs his perceived brokenness as inescapable ( `` Words Fail '' ) .   Evan finds Heidi waiting for him at home . She saw the letter online , and immediately knew that it was one of Evan 's therapy assignments . She apologizes to Evan for not seeing how badly he had been hurting , though Evan denies her guilt due to his deception . He then vaguely admits that his fall was a suicide attempt . Heidi sits him down and recalls the day that his father moved out : how she felt so small and alone and did not know how she was going to make it by herself . In the end , however , she realized that she was not alone -- she had Evan and knew that the two of them could make it through anything so long as they were together . Tearfully , Heidi promises that she will always be there for him when he needs her ( `` So Big / So Small '' ) .   A year later , Evan is still living at home and working at Pottery Barn to earn enough money to go to college the next semester . He contacts Zoe , whom he has not seen since the day she found out the truth , and asks if she will agree to meet him . She does , but insists that they meet at the orchard that has been reopened in Connor 's memory . He apologizes for the pain he caused her family and admits that he has been reading Connor 's ten favorite books after finding a list in an old yearbook in an attempt to connect with who he really was . He also thanks her and her parents for keeping his secret and reveals that they never told anyone else that his friendship with Connor was a lie . She forgives him , saying the whole ordeal brought her family closer together over the past year because `` everyone needed it for something . '' Evan asks her why she insisted on meeting at the orchard , and she replies that she wanted to be sure he saw it , and the two share a gentle moment before they part . Evan mentally writes himself one last letter reflecting on the impact he has had on his community and finally accepts himself ( `` Finale '' ) .   Roles and principal casts   Original casts     Character   Washington , D.C. ( 2015 )   Off -- Broadway ( 2016 )   Original Broadway Cast ( 2016 )   National Tour ( 2018 )     Evan Hansen   Ben Platt   Ben Levi Ross     Heidi Hansen   Rachel Bay Jones   Jessica Phillips     Zoe Murphy   Laura Dreyfuss   Maggie McKenna     Cynthia Murphy   Jennifer Laura Thompson   Christiane Noll     Larry Murphy   Michael Park   John Dossett   Michael Park   Aaron Lazar     Connor Murphy   Mike Faist   Marrick Smith     Alana Beck   Alexis Molnar   Kristolyn Lloyd   Phoebe Koyabe     Jared Kleinman   Will Roland   Jared Goldsmith     Evan Hansen ( alternate )   N / A   N / A   Michael Lee Brown   Stephen C. Anthony     Broadway cast replacements    Evan Hansen : Noah Galvin ; Taylor Trensch   Connor Murphy : Alex Boniello   Heidi Hansen : Lisa Brescia    Characters    Evan Hansen -- A high school senior who struggles with severe social anxiety . He is assigned by his therapist to write letters to himself about why each day will be good , which becomes the catalyst for the plot of the story . He also has never had any friends , and has had a crush on Zoe Murphy for a very long time . After Connor 's death , he begins to tell lies of him being friends with Connor to the Murphy family because they found Evan 's letter to himself folded up in Connor 's pocket ; they thought Connor wrote it to Evan . The first act centers on his outreach propelled by Connor 's death , while the second act has him unleash his yearning towards the Murphys and his anger towards Heidi and Jared , who he believes have used him for validation and ignored him when they did n't need him .   Heidi Hansen -- Evan 's mother , a nurse 's aide who attends paralegal school at night , often leaving Evan on his own as a result . She tries to connect with Evan , but struggles because she does n't personally understand what he goes through on a daily basis . Having been left by her ex-husband years prior to raise Evan on her own , she exhibits possessive and jealous behavior once she learns of the Murphys ' interest in securing Evan 's future . However , she comes to see her failings and Evan 's concealed sorrow as a wake - up - call not to hide from her son .   Zoe Murphy -- Connor 's younger sister and Evan 's longtime crush . She was never close to Connor , hated him even , but wishes she had known him better and turns to Evan after he lies and says he was friends with Connor . She is initially mad at Evan when he comes clean about the lies , but eventually forgives him .   Cynthia Murphy -- Connor and Zoe 's stay - at - home mother . She is constantly trying to keep her fragile family from falling apart , but is often unsuccessful . She clings to the memory of Connor even though she was never close with him , and her relationship with Larry and Zoe suffers because of it . The second act elaborates on her past attempts at coaxing Connor through expensive retreats , and her bitterness towards her husband 's distance .   Larry Murphy -- Connor and Zoe 's busy father . He works hard to give his family a relatively easy life , but he is emotionally distant from all three of them . He becomes close with Evan , who never had a strong father figure , and begins to see Evan as the son Connor never was . However , as the letter becomes public , he 's faced with his role in Connor 's alienation and the truth behind Evan 's outreach .   Connor Murphy - A high school senior who is also a social outcast with no friends , like Evan . He is a frequent drug user , and becomes aggressive when he is high . He is very protective of his sister Zoe , even though they are not close . He commits suicide early on , but his image returns in Evan 's imagination to guide him . Evan 's imaginary version of Connor is likable , contributing to Evan 's belief that they could have been friends . His death is the basis of the whole story .   Alana Beck -- Evan 's precocious and sometimes insufferable classmate . She is constantly looking for academic and extracurricular activities to boost her collegiate chances . She never knew Connor , but is greatly affected by his death and the concept of mortality , and quickly joins Evan in founding the Connor Project in order to keep Connor 's memory alive .   Jared Kleinman -- Another of Evan 's classmates ; he is the closest person Evan has ever had to a friend . The son of a family friend of the Hansens , he initially says that he only talks to Evan so his parents will pay for his car insurance . Jared is very adept with computers and technology , so Evan enlists his help in crafting fake emails from Connor . However , as Evan becomes preoccupied with his relationship with the Murphys and fails to further Jared 's prominence in the Project , Jared turns his snide nature against Evan once more , only to be confronted by his own self - centeredness .    Musical numbers       Act 1     `` Anybody Have a Map ? '' -- Heidi , Cynthia   `` Waving Through a Window '' -- Evan   `` Waving Through a Window '' ( Reprise # 1 ) * -- Evan   `` Waving Through a Window '' ( Reprise # 2 ) * -- Alana   `` For Forever '' -- Evan   `` Sincerely , Me '' -- Connor , Evan , Jared   `` Requiem '' -- Zoe , Cynthia , Larry   `` If I Could Tell Her '' -- Evan , Zoe   `` Disappear '' -- Connor , Evan , Alana , Jared , Larry , Cynthia , Zoe   `` You Will Be Found '' -- Company         Act 2     `` Sincerely , Me '' ( Reprise ) * -- Connor , Jared   `` To Break in a Glove '' -- Larry , Evan   `` Only Us '' -- Zoe , Evan   `` Good for You '' -- Heidi , Alana , Jared , Evan   `` For Forever '' ( Reprise ) `` * -- Connor   `` You Will Be Found '' ( Reprise ) * -- Company   `` Words Fail '' -- Evan   `` So Big / So Small '' -- Heidi   `` Finale '' -- Company         * Not included on the Original Broadway Cast Recording   Recording   An original Broadway cast album was released at midnight on February 3 , 2017 . The second song on the album , `` Waving Through A Window '' , was released as a special early download for those who had pre-ordered the album . The fifth song , `` Requiem '' , was made available to stream for 24 hours on January 26 , 2017 , a week before the release of the cast recording . The song was released as a second pre-order bonus the next day . The recording of the Act 1 finale `` You Will Be Found '' was available for a first listen online on January 30 , 2017 . The cast album debuted at number 8 on the February 25 Billboard 200 . The cast album became available in compact disc format on February 24 , 2017 . The cast album , produced by Alex Lacamoire , featuring the band from both the original Off - Broadway and Broadway productions , including Ben Cohn ( piano ) , Jamie Eblen ( drums ) , Justin Goldner and Dillon Kondor ( guitars ) , Rob Jost ( bass ) , Justin Smith , Todd Low and Adele Stein ( strings ) and won the 2018 Grammy Award for Best Musical Theater Album .   Productions   Original Washington , D.C. production   Dear Evan Hansen premiered at the Arena Stage in Washington , D.C. , running from July 10 to August 23 , 2015 . Directed by Michael Greif , with orchestrations by Alex Lacamoire , the set was designed by David Korins and the projection design was by Peter Nigrini . The cast featured Ben Platt in the title role .   Original Off - Broadway production   The musical opened Off - Broadway at the Second Stage Theater on March 26 , 2016 , in previews , with the official opening on May 1 . The cast featured Ben Platt , Laura Dreyfuss , Mike Faist , Rachel Bay Jones , Will Roland and Jennifer Laura Thompson repeating their roles from the Arena Stage production . New cast members were John Dossett and Kristolyn Lloyd . Michael Greif again directed , with choreography by Danny Mefford . The Off - Broadway engagement closed on May 29 , 2016 .   Original Broadway production   The show premiered on Broadway on November 14 , 2016 , in previews , and officially opened on December 4 . After originally announcing that performances would take place at the Belasco Theatre , in mid-September 2016 , producers announced that the show would instead be performed at the Music Box Theatre . Michael Park , who originated the role of Larry in the Arena Stage production , returned for the Broadway production ( replacing John Dossett who went on to the musical War Paint ) . All other cast members from the Second Stage production returned for the Broadway engagement . Ben Platt played his last performance on November 19 , 2017 . Noah Galvin replaced Platt on November 21 , 2017 and played until February 2018 . Taylor Trensch played two performances in the show before officially replacing Galvin on February 6 , 2018 .   First National Tour   A U.S. Tour was announced , starring Ben Levi Ross in the title role . It will also star Jessica Phillips in the role of Heidi Hansen , Jared Goldsmith in the role of Jared Kleinman , and Phoebe Koyabe in the role of Alana Beck . Also joining the cast will be Christiane Noll in the role of Cynthia Murphy , Aaron Lazar as Larry Murphy , Marrick Smith in the role of Connor Murphy , and Maggie Mckenna in the role of Zoe Murphy . The tour will start in Denver in October 2018 and will go on to play more than fifty cities .   Canadian production   The show will play its first international performance in Toronto , Canada . The production is slated to begin performances in March 2019 .   Critical response   Derek Mong , in his review of the musical at the Arena Stage , wrote that the `` inventive set design by David Korins ... that transforms a small stage into a platform for the most intimate living room where a mother and son share a heart - to - heart to the physical abyss of internet cyberspace ... book by Steven Levenson ... lyrics and music by Benj Pasek and Justin Paul ... heartfelt lyrics with universal appeal joined by the perfect , oftentimes acoustic , accompaniment that can change the mood from somber to celebratory to sinister in a single bar of music . ''   Barbara Mackay in reviewing the Arena Stage production for TheatreMania wrote : `` Levenson , Pasek , and Paul set themselves two high , untraditional bars in Evan Hansen : exploring a community 's grief and examining a lonely protagonist who desperately wants to connect with that community ... Ben Platt is outstanding as Evan ... Since the success of the musical depends entirely on whether Evan 's solitary nature appears funny or weird , Evan 's ability to laugh at himself and make the audience laugh is crucial . Platt is charming as he eternally twists his shirt tails and hangs his head ... Although the themes of grief and loneliness are serious , the musical is anything but somber . It addresses challenging facts of life . But from start to finish , when Evan leaves his room and finds an authentic life outside it , Dear Evan Hansen contains far more joy than sadness . ''   Susan Davidson , in her review of the Arena Stage production for CurtainUp , noted : `` ... it helps to suspend the disbelief that sullen , anti-social teenagers can change quickly . Surely that 's a process requiring time - released hormonal adjustments . It is hard to accept that a long - admired - from - afar girl can change Evan 's outlook on life so rapidly or that Connor 's teenage disequilibrium leads him to do what he does . Coming through loud and clear , however , is the fact that what starts as deceit can be blown totally out of proportion by the Internet where lies are disseminated with lightning speed leaving plenty of victims in their wake ... The music is pleasant , not terribly original but good enough to get toes tapping . Benj Pasek and Justin Paul 's ballads stand out , particularly Heidi 's `` So Big / So Small , '' Evan 's `` Words Fail '' and Zoe and Evan 's young sweethearts duet `` Only Us . '' ''   Charles Isherwood , in his review of the Second Stage production for The New York Times , noted : `` The songs , by Benj Pasek and Justin Paul ( Dogfight , A Christmas Story ) , strike the same complex notes , with shapely , heartfelt lyrics that expose the tensions and conflicts that Connor 's death and Evan 's involvement cause in both families . The music , played by a small but excellent band on a platform upstage , is appealingly unstrident pop - rock , with generous doses of acoustic guitar , keyboards and strings . It 's the finest , most emotionally resonant score yet from this promising young songwriting team . ''   Dear Evan Hansen is a recipient of the Edgerton Foundation New Play Award .   Honors and awards   Original Washington , D.C. production     Year   Award Ceremony   Category   Nominee   Result     2016   Helen Hayes Award   Outstanding Musical -- HAYES Production   Won     Outstanding Direction of a Musical -- HAYES Production   Michael Greif   Won     Outstanding Supporting Actress in a Musical -- HAYES Production   Laura Dreyfuss   Nominated     Jennifer Laura Thompson   Nominated     Outstanding Ensemble in a Musical -- HAYES Production   Won     Outstanding Lighting Design -- HAYES Production   Japhy Weideman   Nominated     Outstanding Musical Direction -- HAYES Production   Ben Cohn   Nominated     Outstanding Set Design -- HAYES Production   David Kornis ( Set Design ) and Peter Nigrini ( Projection Design )   Nominated     Original Off - Broadway production     Year   Award Ceremony   Category   Nominee   Result     2016   The Charles MacArthur Award for Outstanding Original New Play or Musical   Steven Levenson ( Book ) and Pasek &amp; Paul ( Lyrics &amp; Music )   Nominated     Outer Critics Circle Awards   Outstanding New Off - Broadway Musical   Won     Outstanding New Score ( Broadway or Off - Broadway )   Pasek &amp; Paul   Nominated     Outstanding Book of a Musical ( Broadway or Off - Broadway )   Steven Levenson   Won     Outstanding Director of a Musical   Michael Greif   Nominated     Outstanding Actor in a Musical   Ben Platt   Nominated     Outstanding Projection Design ( Play or Musical )   Peter Nigrini   Nominated     Off Broadway Alliance Awards   Best New Musical   Nominated     Drama League Award   Outstanding Production of a Broadway or Off - Broadway Musical   Nominated     Distinguished Performance   Ben Platt   Nominated     Drama Desk Awards   Outstanding Lyrics   Pasek &amp; Paul   Won     Outstanding Featured Actress in a Musical   Rachel Bay Jones   Nominated     Outstanding Projection Design   Peter Nigrini   Nominated     Obie Awards   Obie Award for Musical Theatre   Steven Levenson ( Book ) and Pasek &amp; Paul ( Lyrics &amp; Music )   Won     Obie Award for Distinguished Performance by an Actor   Ben Platt   Won     2017   Lucille Lortel Awards   Outstanding Musical   Nominated     Outstanding Lead Actor in a Musical   Ben Platt   Won     Outstanding Featured Actress in a Musical   Rachel Bay Jones   Won     Outstanding Projection Design   Peter Nigrini   Nominated     Original Broadway production     Year   Award Ceremony   Category   Nominee   Result     2017   Tony Awards   Best Musical   Won     Best Book of a Musical   Steven Levenson   Won     Best Original Score   Pasek &amp; Paul   Won     Best Performance by a Leading Actor in a Musical   Ben Platt   Won     Best Performance by an Actor in a Featured Role in a Musical   Mike Faist   Nominated     Best Performance by an Actress in a Featured Role in a Musical   Rachel Bay Jones   Won     Best Lighting Design of a Musical   Japhy Weideman   Nominated     Best Direction of a Musical   Michael Greif   Nominated     Best Orchestrations   Alex Lacamoire   Won     Drama League Awards   Outstanding Production of a Broadway or Off - Broadway Production   Won     Distinguished Performance   Ben Platt   Won     Rachel Bay Jones   Nominated     2018   Grammy Awards   Best Musical Theater Album   Laura Dreyfuss , Mike Faist , Rachel Bay Jones , Kristolyn Lloyd , Michael Park , Ben Platt , Will Roland &amp; Jennifer Laura Thompson ( principal soloists ) ; Pete Ganbarg , Alex Lacamoire , Stacey Mindich , Benj Pasek &amp; Justin Paul ( producers ) ; Benj Pasek &amp; Justin Paul ( composers / lyricists )   Won     Daytime Emmy Awards   Outstanding Musical Performance in a Daytime Program   Ben Platt &amp; the Cast of Dear Evan Hansen `` You Will Be Found '' ( performed on The Today Show )   Won     Novelization   The musical was adapted into a young adult novel by actor and singer - songwriter Val Emmich , in collaboration with Pasek &amp; Paul and Levenson . The novel , which will also feature additional material based on scenes and songs cut from the show 's development that flesh out and expand upon the story , will be released by Little , Brown Books for Young Readers on October 9 , 2018 .   Books    Levenson , Steven ; Pasek , Benj ; Paul , Justin ( 2017 ) . Dear Evan Hansen . Theatre Communications Group . 144pp . ISBN 978 - 1559365604 .   Levenson , Steven ; Pasek , Benj ; Paul , Justin ( 2017 ) . Dear Evan Hansen : Through the Window . Grand Central Publishing . 224pp . ISBN 978 - 1538761915 .    References    Jump up ^ Isherwood , Charles ( May 1 , 2016 ) . `` Review : ' Dear Evan Hansen ' Puts a Twist on Teenage Angst '' . The New York Times .   Jump up ^ Marks , Peter ( July 10 , 2015 ) . `` Dear Evan Hansen : Original story , high hopes for Benj Pasek and Justin Paul '' . The Washington Post .   ^ Jump up to : Deb , Sopan ( August 22 , 2017 ) . `` ' Dear Evan Hansen ' Names Replacements for Ben Platt '' . The New York Times .   Jump up ^ `` Alex Boniello Joins DEAR EVAN HANSEN , Mik</t>
  </si>
  <si>
    <t xml:space="preserve">what is the setting of dear evan hansen</t>
  </si>
  <si>
    <t xml:space="preserve"> The titular character , Evan Hansen , is a high school senior with severe social anxiety , which inhibits his ability to connect with other people and make friends . After the death of one of his classmates , he fabricates a lie that inadvertently brings him closer to the classmate 's family , while also allowing him to gain his own sense of purpose . </t>
  </si>
  <si>
    <t xml:space="preserve">Amrita Bazar Patrika - wikipedia  Amrita Bazar Patrika  Jump to : navigation , search  Amrita Bazar Patrika       Type   Daily newspaper     Format   Broadsheet     Owner ( s )   Amritabazar Pvt. Ltd .     Founder ( s )   Sisir Kumar Ghose and Moti Lal Ghosh     Editor   Mahmud Hossain     Founded   20 February 1868 ; 149 years ago ( 1868 - 02 - 20 )     Language   Bengali and English ( bilingual )     Headquarters   77 , C.R. Dutta Road , Dhaka - 1205     Circulation   25,000 ( before 1991 )     Website   www.amritabazar.com     Amrita Bazar Patrika ( Bengali : অমৃতবাজার পত্রিকা ) ; is one of the oldest daily newspapers in South Asia and the oldest in Bangladesh . Originally published in Bengali script , it evolved into an English format published from Kolkata and other locations such as Cuttack , Ranchi and Allahabad . The paper discontinued its publication in 1991 after 123 years of publication , although it was relaunched in Dhaka in 2006 where it is now published in Bengali once again .   It debuted on 20 February 1868 . It was started by Sisir Ghosh and Moti Lal Ghosh , sons of Hari Naryan Ghosh , a rich merchant from Magura , in Jessore District during the Bengal Presidency of the British Raj ( present day in Bangladesh ) . The family had constructed a Bazaar and named it after Amritamoyee , wife of Hari Naryan Ghosh . Sisir Ghosh and Moti Lal Ghosh started Amrita Bazar Patrika as a weekly first . It was first edited by Motilal Ghosh , who did not have a formal university education . It had built its readership as a rival to Bengalee which was being looked after by Surendranath Banerjee .     Contents  ( hide )   1 History   2 Archives   3 References   4 External sources      History ( edit )   Amrita Bazaar Patrika was the oldest Indian - owned English daily . It played a major role in the evolution and growth of Indian journalism and made a striking contribution to creating and nurturing the Indian freedom struggle . In 1920 , Russian Communist revolutionary Vladimir Lenin described ABP as the best nationalist paper in India .   ABP was born as a Bengali weekly in February 1868 in the village of Amrita Bazaar in Jessore district ( now located in modern - day Bangladesh ) . It was started by the Ghosh brothers to fight the cause of peasants who were being exploited by indigo planters . Sisir Kumar Ghosh was the first editor . The Patrika operated out of a battered wooden press purchased for Rs 32 .   In 1871 , the Patrika moved to Calcutta ( now Kolkata ) , due to the outbreak of plague in Amrita Bazaar . Here it functioned as a bilingual weekly , publishing news and views in English and Bengali . Its anti-government views and vast influence among the people was a thorn in the flesh of the government . Lord Lytton , the Viceroy of India promulgated the Vernacular Press Act on 1878 mainly against ABP .   The Patrika became a daily in 1891 . It was the first Indian - owned English daily to go into investigative journalism . During the tenure of Lord Lansdowne , a Patrika journalist rummaged through the waste paper basket of the Viceroy 's office and pieced together a torn up letter detailing the Viceroy 's plans to annexe Kashmir . ABP published the letter on its front page , where it was read by the Maharaja of Kashmir , who immediately went to London and lobbied for his independence .   Sisir Kumar Ghosh also launched vigorous campaigns against restrictions on civil liberties and economic exploitation . He wanted Indians to be given important posts in the administration . Both he and his brother Motilal were deeply attached to Bal Gangadhar Tilak . When Tilak was prosecuted for sedition in 1897 , they raised funds in Calcutta for his defence . They also published a scathing editorial against the judge who sentenced Tilak to 6 years of imprisonment , for ' presuming to teach true patriotism to a proved and unparalleled patriot . '   The Patrika had many brushes with Lord Curzon , the Viceroy of India at the time of the Partition of Bengal ( 1905 ) . It referred to him as ' Young and a little foppish , and without previous training but invested with unlimited powers . ' Because of such editorials , the Press Act of 1910 was passed and a security of Rs 5,000 was demanded from ABP . Motilal Ghosh was also charged with sedition but his eloquence won the case .   After this , the Patrika started prefacing articles criticising the British government with ridiculously exuberant professions of loyalty to the British crown . When Subhas Chandra Bose and other students were expelled from Calcutta Presidency College , the Patrika took up their case and succeeded in having them re-admitted .   Even after Motilal Ghosh 's death in 1922 , the Patrika kept up its nationalist spirit . Higher securities of Rs 10,000 were demanded from it during the Salt Satyagraha . Its editor Tushar Kanti Ghosh ( son of Sisir Kumar Ghosh ) was imprisoned . The Patrika contributed its share to the success of its freedom movement under the leadership of Gandhi and suffered for its views and actions at the hands of the British rulers .   The Patrika espoused the cause of communal harmony during the Partition of India . During the great Calcutta killings of 1946 , the Patrika left its editorial columns blank for three days . When freedom dawned on August 15 , 1947 , the Patrika published in an editorial :   It is dawn , cloudy though it is . Presently sunshine will break .   Archives ( edit )  This Hopkinson &amp; Cope press was used for the Amrita Bazar Patrika . Now it is at the National Science Centre , New Delhi .  As a part of the ' Endangered Archive project ' attempting to rescue text published prior to 1950 , the Centre for Studies in Social Sciences , Calcutta took up the project of digitizing the old newspapers ( ABP and Jugantar ) for safe storage and retrieval in 2010 . The newspaper archives are also available from the Nehru Memorial Museum &amp; Library , Delhi , and in 2011 over one lakh images from the newspaper were digitized by the library and available online . and also at The Centre of South Asian Studies at the University of Cambridge .   References ( edit )    ^ Jump up to : `` Debts kill 123 - year - old English daily Amrita Bazar Patrika '' . Retrieved 2017 - 07 - 20 .   ^ Jump up to : Gupta , Subhrangshu ( 2 January 2003 ) . `` Amrita Bazar Patrika may be relaunched '' . The Tribune . Retrieved 2006 - 12 - 28 .   Jump up ^ Registrar of Newspapers for India Archived March 13 , 2015 , at the Wayback Machine .   Jump up ^ Political Agitators in India , A Confidential Report , pp. 15 , Available in Digitized form on Archives.org , contributed by Library of University of Toronto , Digitized for Microsoft Corporation by Internet Archive in 2007 , provided by University of Toronto , accessed on June 8 , 2009 and link at https://archive.org/details/politicalagitato00slsnuoft   Jump up ^ Retrieval of two major and endangered newspapers : CSSSC Archived February 6 , 2011 , at the Wayback Machine .   Jump up ^ `` Nehru Memorial library digitised '' . The Times of India . May 28 , 2011 .    External sources ( edit )    Amrita Bazar Patrika   Endangered Archive Project , CSSSC   Nehru Memorial Museum &amp; Library   Centre of South Asian Studies      ( hide )         Newspapers of Bangladesh     Bengali     Amrita Bazar Patrika   Amader Shomoy   Amar Desh   Bangladesh Pratidin   Bhorer Kagoj   Daily Bir Chattagram Mancha   Daily Inqilab   The Daily Ittefaq   Daily Naya Diganta   The Daily Sangram   Jaijaidin   Janakantha   Jugantor   Kaler Kantho   Manabzamin   Prime Khobor   Prothom Alo   Samakal   Suprobhat Bangladesh   Daily Shokaler Khabor       English     The Bangladesh Today   Dhaka Courier   Dhaka Tribune   Daily Prime News   The Daily Star   Daily Sun   The Financial Express   The Independent   New Age   News Today   Weekly Blitz       Online newspaper     Bdnews24.com   Banglanews24.com   Bangla Tribune   Banglamail24   Bartabangla   Comillarbarta.com       News agencies     Bangladesh Sangbad Sangstha   United News of Bangladesh      Retrieved from `` https://en.wikipedia.org/w/index.php?title=Amrita_Bazar_Patrika&amp;oldid=791510944 '' Categories :   Bengali - language newspapers published in Bangladesh   Publications established in 2006   Media in Dhaka   Defunct newspapers of India   English - language newspapers   Newspapers published in Kolkata   Publications established in 1868   Newspapers published in India   1868 establishments in India   1986 disestablishments in India   ABP Group   Hidden categories :   Webarchive template wayback links   Articles containing Bengali - language text   All articles with unsourced statements   Articles with unsourced statements from July 2017           Talk                                           Contents                   About Wikipedia                                           Deutsch   हिन्दी   ಕನ್ನಡ   മലയാളം   Nederlands   Edit links   This page was last edited on 20 July 2017 , at 19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</si>
  <si>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amrit bazar patrika started in bangalore</t>
  </si>
  <si>
    <t xml:space="preserve"> It debuted on 20 February 1868 . It was started by Sisir Ghosh and Moti Lal Ghosh , sons of Hari Naryan Ghosh , a rich merchant from Magura , in Jessore District during the Bengal Presidency of the British Raj ( present day in Bangladesh ) . The family had constructed a Bazaar and named it after Amritamoyee , wife of Hari Naryan Ghosh . Sisir Ghosh and Moti Lal Ghosh started Amrita Bazar Patrika as a weekly first . It was first edited by Motilal Ghosh , who did not have a formal university education . It had built its readership as a rival to Bengalee which was being looked after by Surendranath Banerjee . </t>
  </si>
  <si>
    <t xml:space="preserve">Bal Gangadhar Tilak - Wikipedia  Bal Gangadhar Tilak  This is the latest accepted revision , reviewed on 28 August 2018 . For the poet , see Devarakonda Balagangadhara Tilak . `` Lokmanya Tilak '' redirects here . For other uses , see Lokmanya Tilak ( disambiguation ) .        This article needs additional citations for verification . Please help improve this article by adding citations to reliable sources . Unsourced material may be challenged and removed . ( January 2015 ) ( Learn how and when to remove this template message )         Bal Gangadhar Tilak     Bal Gangadhar Tilak       ( 1856 - 07 - 23 ) 23 July 1856 Ratnagiri , Bombay State , British India ( present - day Maharashtra , India )       1 August 1920 ( 1920 - 08 - 01 ) ( aged 64 ) Bombay , British India ( present - day Maharashtra , India )     Occupation   Author , politician , freedom fighter , social reformer     Political party   Indian National Congress     Movement   Indian Independence movement     Bal Gangadhar Tilak ( or Lokmanya Tilak , pronunciation ( help info ) ; 23 July 1856 -- 1 August 1920 ) , born as Keshav Gangadhar Tilak , was an Indian nationalist , teacher , social reformer , lawyer and an independence activist . He was the first leader of the Indian Independence Movement . The British colonial authorities called him `` The father of the Indian unrest . '' He was also conferred with the title of `` Lokmanya '' , which means `` accepted by the people ( as their leader ) '' .   Tilak was one of the first and strongest advocates of Swaraj ( `` self - rule '' ) and a strong radical in Indian consciousness . He is known for his quote in Marathi : `` Swarajya is my birthright and I shall have it ! '' . He formed a close alliance with many Indian National Congress leaders including Bipin Chandra Pal , Lala Lajpat Rai , Aurobindo Ghose , V.O. Chidambaram Pillai and Muhammad Ali Jinnah .   Contents    1 Early life   2 Political career   2.1 Indian National Congress   2.2 Sedition Charges   2.3 Imprisonment in Mandalay   2.4 Life after Mandalay   2.5 All India Home Rule League   2.6 Religio - Political Views   2.7 Social views   2.7. 1 Women 's issues   2.7. 2 Untouchability     2.8 Esteem for Swami Vivekananda   2.9 Conflicts with Shahu over caste issues     3 Social contributions and legacy   4 Books   5 Descendants   6 References   7 Further reading   8 External links    Early life ( edit )   Tilak was born in a Marathi Chitpavan Brahmin family in Ratnagiri as Keshav Gangadhar Tilak , in the headquarters of the eponymous district of present - day Maharashtra ( then British India ) on 23 July 1856 . His ancestral village was Chikhali . His father , Gangadhar Tilak was a school teacher and a Sanskrit scholar who died when Tilak was sixteen . In 1871 Tilak was married to Tapibai ( Née Bal ) when he was sixteen , a few months before his father 's death . After marriage , her name was changed to Satyabhamabai . He obtained his Bachelor of Arts in first class in Mathematics from Deccan College of Pune in 1877 . He left his M.A. course of study midway to join the LL. B course instead , and in 1879 he obtained his LL. B degree from Government Law College . After graduating , Tilak started teaching mathematics at a private school in Pune . Later , due to ideological differences with the colleagues in the new school , he withdrew and became a journalist . Tilak actively participated in public affairs . He stated : `` Religion and practical life are not different. The real spirit is to make the country your family instead of working only for your own . The step beyond is to serve humanity and the next step is to serve God . ''   Inspired by , Vishnushastri Chiplunkar , he co-founded the New English school for secondary education in 1880 with a few of his college friends , including Gopal Ganesh Agarkar , Mahadev Ballal Namjoshi. and Vishnushastri Chiplunkar . Their goal was to improve the quality of education for India 's youth. The success of the school led them to set up the Deccan Education Society in 1884 to create a new system of education that taught young Indians nationalist ideas through an emphasis on Indian culture . The Society established the Fergusson College in 1885 for post-secondary studies . Tilak taught mathematics at Fergusson College . In 1890 , Tilak left the Deccan Education Society for more openly political work . He began a mass movement towards independence by an emphasis on a religious and cultural revival .   Political career ( edit )   Tilak had a long political career agitating for Indian autonomy from the British rule. ( Before Gandhi , he was the most widely known Indian political leader . Unlike his fellow Maharashtrian contemporary , Gokhale , Tilak was considered a radical Nationalist but a Social conservative . He was imprisoned on a number of occasions that included a long stint at Mandalay . At one stage in his political life he was called `` the father of Indian unrest '' by british author Sir Valentine Chirol .   Indian national Congress ( edit )   Tilak joined the Indian National Congress in 1890 . He opposed its moderate attitude , especially towards the fight for self - government . He was one of the most - eminent radicals at the time . In fact , it was the Swadeshi movement of 1905 - 1907 that resulted in the split within the Indian National Congress into the Moderates and the Extremists   Despite being personally opposed to early marriage , Tilak was against the 1891 Age of Consent bill , seeing it as interference with Hinduism and a dangerous precedent . The act raised the age at which a girl could marry from 10 to 12 years .   During late 1896 , a bubonic plague spread from Bombay to Pune , and by January 1897 , it reached epidemic proportions . British troops were brought in to deal with the emergency and harsh measures were employed including forced entry into private houses , examination of occupants , evacuation to hospitals and segregation camps , removing and destroying personal possessions , and preventing patients from entering or leaving the city . By the end of May , the epidemic was under control . They were widely regarded as acts of tyranny and oppression . Tilak took up this issue by publishing inflammatory articles in his paper Kesari ( Kesari was written in Marathi , and `` Maratha '' was written in English ) , quoting the Hindu scripture , the Bhagavad Gita , to say that no blame could be attached to anyone who killed an oppressor without any thought of reward . Following this , on 22 June 1897 , Commissioner Rand and another British officer , Lt. Ayerst were shot and killed by the Chapekar brothers and their other associates . According to Barbara and Thomas R. Metcalf , Tilak `` almost surely concealed the identities of the perpetrators '' . Tilak was charged with incitement to murder and sentenced to 18 months imprisonment . When he emerged from prison in present - day Mumbai , he was revered as a martyr and a national hero . He adopted a new slogan coined by his associate Kaka Baptista : `` Swaraj ( self - rule ) is my birthright and I shall have it . ''   Following the Partition of Bengal , which was a strategy set out by Lord Curzon to weaken the nationalist movement , Tilak encouraged the Swadeshi movement and the Boycott movement . The movement consisted of the boycott of foreign goods and also the social boycott of any Indian who used foreign goods . The Swadeshi movement consisted of the usage of natively produced goods . Once foreign goods were boycotted , there was a gap which had to be filled by the production of those goods in India itself . Tilak said that the Swadeshi and Boycott movements are two sides of the same coin .  Lala Lajpat Rai , Bal Gangadhar Tilak , Bipin Chandra Pal together popularly known as Lal - Bal - Pal triumvirate  Tilak opposed the moderate views of Gopal Krishna Gokhale , and was supported by fellow Indian nationalists Bipin Chandra Pal in Bengal and Lala Lajpat Rai in Punjab . They were referred to as the `` Lal - Bal - Pal triumvirate '' . In 1907 , the annual session of the Congress Party was held at Surat , Gujarat . Trouble broke out over the selection of the new president of the Congress between the moderate and the radical sections of the party . The party split into the radicals faction , led by Tilak , Pal and Lajpat Rai , and the moderate faction . Nationalists like Aurobindo Ghose , V.O. Chidambaram Pillai were Tilak supporters .   Sedition charges ( edit )   During his lifetime among other political cases , Bal Gangadhar Tilak had been tried for Sedition Charges in three times by British India Government -- in 1897 , 1909 , and 1916 . In 1897 , Tilak was sentenced to 18 months in prison for preaching disaffection against the Raj . In 1909 , he was again charged with sedition and intensifying racial animosity between Indians and the British . The Bombay lawyer Muhammad Ali Jinnah in Tilak 's defence could not annul the evidence in Tilak 's polemical articles and Tilak was sentenced to six years in prison in Burma .   Imprisonment in Mandalay ( edit )  See also : Alipore bomb case  On 30 April 1908 , two Bengali youths , Prafulla Chaki and Khudiram Bose , threw a bomb on a carriage at Muzzafarpur , to kill the Chief Presidency Magistrate Douglas Kingsford of Calcutta fame , but erroneously killed two women traveling in it . While Chaki committed suicide when caught , Bose was hanged . Tilak , in his paper Kesari , defended the revolutionaries and called for immediate Swaraj or self - rule . The Government swiftly charged him with sedition . At the conclusion of the trial , a special jury convicted him by 7 : 2 majority . The judge , Dinshaw D. Davar gave him a six years jail sentence to be served in Mandalay , Burma and a fine of Rs 1,000 . On being asked by the judge whether he had anything to say , Tilak said :   All that I wish to say is that , in spite of the verdict of the jury , I still maintain that I am innocent . There are higher powers that rule the destinies of men and nations ; and I think , it may be the will of Providence that the cause I represent may be benefited more by my suffering than by my pen and tongue .   In passing sentence , the judge indulged in some scathing strictures against Tilak 's conduct . He threw off the judicial restraint which , to some extent , was observable in his charge to the jury . He condemned the articles as `` seething with sedition '' , as preaching violence , speaking of murders with approval . `` You hail the advent of the bomb in India as if something had come to India for its good . I say , such journalism is a curse to the country '' . Tilak was sent to Mandalay from 1908 to 1914 . While imprisoned , he continued to read and write , further developing his ideas on the Indian nationalist movement . While in the prison he wrote the Gita Rahasya . Many copies of which were sold , and the money was donated for the Indian Independence movement. .   Life after Mandalay ( edit )       This section does not cite any sources . Please help improve this section by adding citations to reliable sources . Unsourced material may be challenged and removed . ( September 2015 ) ( Learn how and when to remove this template message )     Tilak developed diabetes during his sentence in Mandalay prison . This and the general ordeal of prison life had mellowed him at his release on 16 June 1914 . When World War I started in August of that year , Tilak cabled the King - Emperor George V of his support and turned his oratory to find new recruits for war efforts . He welcomed The Indian Councils Act , popularly known as Minto - Morley Reforms , which had been passed by British Parliament in May 1909 , terming it as `` a marked increase of confidence between the Rulers and the Ruled '' . It was his conviction that acts of violence actually diminished , rather than hastening , the pace of political reforms . He was eager for reconciliation with Congress and had abandoned his demand for direct action and settled for agitations `` strictly by constitutional means '' -- a line advocated by his rival Gokhale .   Tilak tried to convince Mohandas Gandhi to leave the idea of Total non-violence ( `` Total Ahimsa '' ) and try to get self - rule ( `` Swarajya '' ) by all means .   All India Home rule League ( edit )  Main article : All India Home Rule League  Later , Tilak re-united with his fellow nationalists and re-joined the Indian National Congress in 1916 . He also helped find the All India Home Rule League in 1916 -- 18 , with G.S. Khaparde and Annie Besant . After years of trying to reunite the moderate and radical factions , he gave up and focused on the Home Rule League , which sought self - rule . Tilak travelled from village to village for support from farmers and locals to join the movement towards self - rule . Tilak was impressed by the Russian Revolution , and expressed his admiration for Vladimir Lenin . The league had 1400 members in April 1916 , and by 1917 membership had grown to approximately 32,000 . Tilak started his Home Rule League in Maharashtra , Central Provinces , and Karnataka and Berar region . Besant 's League was active in the rest part of India .   Tilak , progressed into a prominent nationalist after his close association with Indian nationalists following the partition of Bengal . When asked in Calcutta whether he envisioned a Maratha - type of government for independent India , Tilak replied that the Maratha - dominated governments of 17th and 18th centuries were outmoded in the 20th century , and he wanted a genuine federal system for Free India where every religion and race was an equal partner . He added that only such a form of government would be able to safeguard India 's freedom . He was the first Congress leader to suggest that Hindi written in the Devanagari script be accepted as the sole national language of India .   Religio - political views ( edit )   Tilak sought to unite the Indian population for mass political action throughout his life . For this to happen , he believed there needed to be a comprehensive justification for anti-British pro-Hindu activism . For this end , he sought justification in the supposed original principles of the Ramayana and the Bhagavad Gita . He named this call to activism karma - yoga or the yoga of action . In his interpretation , the Bhagavad Gita reveals this principle in the conversation between Krishna and Arjuna when Krishna exhorts Arjuna to fight his enemies ( which in this case included many members of his family ) because it is his duty . In Tilaks opinion , the Bhagavad Gita provided a strong justification of activism . However , this conflicted with the mainstream exegesis of the text at the time which was predominated by renunciate views and the idea of acts purely for God . This was represented by the two mainstream views at the time by Ramanuja and Adi Shankara . To find support for this philosophy , Tilak wrote his own interpretations of the relevant passages of the Gita and backed his views using Jnanadeva 's commentary on the Gita , Ramanuja 's critical commentary and his own translation of the Gita . His main battle was against the renunciate views of the time which conflicted with worldly activism . To fight this , he went to extents to reinterpret words such as karma , dharma , yoga as well as the concept of renunciation itself . Because he found his rationalization on Hindu religious symbols and lines , this alienated many non-Hindus such as the Muslims who began to ally with the British for support .   Social views ( edit )   Tilak was strongly opposed to liberal trends emerging in Pune such as women 's rights and social reforms against untouchability .  Women 's issues ( edit )  Tilak vehemently opposed the establishment of the first Native girls High school ( now called Huzurpaga ) in Pune in 1885 and its curriculum using his newspapers , the Mahratta and Kesari . Tilak was also opposed to intercaste marriage , particularly the match where an upper caste woman married a lower caste man . In the case of Deshasthas , Chitpawans and Karhades , he encouraged these three Maharashtrian Brahmin groups to give up `` caste exclusiveness '' and intermarry . Tilak officially opposed the age of consent bill which raised the age of marriage from ten to twelve for girls , however he was willing to sign a circular that increased age of marriage for girls to sixteen and twenty for boys . In his opinion , self - rule took precedence over any social reform .   Child bride Rukhmabai was married at the age of eleven but refused to go and live with her husband . The husband sued for restitution of conjugal rights , initially lost but appealed the decision . On 4 March 1887 , Justice Farran , using interpretations of Hindu laws , ordered Rukhmabai to `` go live with her husband or face six months of imprisonment '' . Tilak approved of this decision of the court and said that the court was following Hindu Dharmaśāstras . Rukhmabai responded that she would rather face imprisonment than obey the verdict . Her marriage was later dissolved by Queen Victoria . Later , she went on to receive her Doctor of Medicine degree from the London School of Medicine for Women .   In 1890 , when an eleven year old Phulamani Bai died while having sexual intercourse with her much older husband , the Parsi social reformer Behramji Malabari supported the Age of Consent Act , 1891 to raise the age of a girl 's eligibility for marriage . Tilak opposed the Bill and said that the Parsis as well as the English had no jurisdiction over the ( Hindu ) religious matters . He blamed the girl for having `` defective female organs '' and questioned how the husband could be `` persecuted diabolically for doing a harmless act '' . He called the girl one of those `` dangerous freaks of nature '' .   Tilak did not have a progressive view when it came to gender relations . He did not believe that Hindu women should get a modern education . Rather , he had a more conservative view , believing that women were meant to be homemakers who had to subordinate themselves to the needs of their husbands and children .  Untouchability ( edit )  Tilak refused to sign a petition for the abolition of untouchability in 1918 , two years before his death , although he had spoken against it earlier in a meeting .   Esteem for Swami Vivekananda ( edit )   Tilak and Swami Vivekananda had great mutual respect and esteem for each other . They met accidentally while travelling by train in 1892 and Tilak had Vivekananda as a guest in his house . A person who was present there ( Basukaka ) , heard that it was agreed between Vivekananda and Tilak that Tilak would work towards nationalism in the `` political '' arena , while Vivekananda would work for nationalism in the `` religious '' arena . When Vivekanada passed away at a young age , Tilak expressed great sorrow and paid tributes to him in the Kesari . Tilak said about Vivekananda :   `` No Hindu , who , has the interests of Hinduism at his heart , could help feeling grieved over Vivekananda 's samadhi . Vivekananda , in short , had taken the work of keeping the banner of Advaita philosophy forever flying among all the nations of the world and made them realize the true greatness of Hindu religion and of the Hindu people . He had hoped that he would crown his achievement with a fulfillment of this task by virtue of his learning , eloquence , enthusiasm and sincerity , just as he had laid a secure foundation for it ; but with Swami 's samadhi these hopes have gone. Thousands of years ago , another saint , Shankaracharya , who , showed to the world the glory and greatness of Hinduism . At the fag of the 19th century , the second Shankaracharya is Vivekananda , who , showed to the world the glory of Hinduism . His work has yet to be completed . We have lost our glory , our independence , everything . ''   Conflicts with Shahu over caste issues ( edit )   Shahu had several conflicts with Tilak as the latter agreed with the Brahmin decision of puranic rituals for the Marathas that were intended for Shudras . Tilak even suggested that the Marathas should be `` content '' with the Shudra status assigned to them by the Brahmins . Tilak 's newspapers as well as the press in Kolhapur criticized Shahu for his caste prejudice and his unreasoned hostility towards Brahmins . These included serious allegations such as sexual assaults by Shahu against four Brahmin women . An englishwoman named lady Minto was petitioned to help them . The agent of Shahu had blamed these allegations on the `` troublesome brahmins '' . Tilak and another Brahmin suffered from the confiscation of estates by Shahu , the first during a quarrel between Shahu and the Shankaracharya of Sankareshwar and later in another issue .   Social contributions and legacy ( edit )  Further information : Sarvajanik Ganeshotsav and Kesari ( newspaper )  Tilak started two weeklies , Kesari ( `` The Lion '' ) in Marathi and Mahratta in English ( sometimes referred as ' Maratha ' in Academic Study Books ) in 1880 -- 81 with Gopal Ganesh Agarkar as the first editor . By this he was recognized as ' awakener of India ' . As Kesari later became a daily and continues publication to this day .   In 1894 , Tilak transformed the household worshipping of Ganesha into a grand public event ( Sarvajanik Ganeshotsav ) . The celebrations consisted of several days of processions , music and food . They were organized by the means of subscriptions by neighbourhood , caste , or occupation . Students often would celebrate Hindu and national glory and address political issues ; including patronage of Swadeshi goods .   In 1895 , Tilak founded the Shri Shivaji Fund Committee for celebration of `` Shiv Jayanti '' , the birth anniversary of Chhatrapati Shivaji , the founder of the Maratha Empire . The project also had the objective of funding the reconstruction of the tomb ( Samadhi ) of Shivaji at Raigad Fort . For this second objective , Tilak established the Shri Shivaji Raigad Smarak Mandal along with Senapati Khanderao Dabhade II of Talegaon Dabhade , who became the founder President of the Mandal .   The events like the Ganapati festival and Shiv Jayanti were used by Tilak to build a national spirit beyond the circle of educated elite in opposition to colonial rule . But it also exacerbated Hindu - Muslim differences . The festival organizers would urge Hindus to protect cows and boycott the Muharram celebrations organized by Shi'a Muslims , in which Hindus had formerly often participated . Thus , although the celebrations were meant to be a way to oppose colonial rule , they also contributed to religious tensions . Contemporary Marathi Hindu nationalist parties like the Shivsena took up his reverence for Shivaji . However , Indian Historian , Uma Chakravarti cites Professor Gordon Johnson and states `` It is significant that even at the time when Tilak was making political use of Shivaji the question of conceding Kshatriya status to him as maratha was resisted by the conservative Brahmins including Tilak . While Shivaji was a Brave man , all his bravery , it was argued , did not give him the right to a status that very nearly approached that of a Brahmin . Further , the fact that Shivaji worshiped the Brahmmanas in no way altered social relations , ' since it was as a Shudra he did it - as a Shudra the servant , if not the slave , of the Brahmin ' '' .   The Deccan Education Society that Tilak founded with others in the 1880s still runs Institutions in Pune like the Fergusson College .   The Swadeshi movement started by Tilak at the beginning of the 20th century became part of the Independence movement until that goal was achieved in 1947 . One can even say Swadeshi remained part of Indian Government policy until the 1990s when the Congress Government liberalised the economy .   Tilak Smarak Ranga Mandir , a theatre auditorium in Pune is dedicated to him . In 2007 , the Government of India released a coin to commemorate the 150th birth anniversary of Tilak .   Tilak said , `` I regard India as my Motherland and my Goddess , the people in India are my kith and kin , and loyal and steadfast work for their political and social emancipation is my highest religion and duty '' .   Lokmanya : Ek Yug Purush is a film released on January 2 , 2015 based on his life . Directed by Om Raut , Tilak is played by actor Subodh Bhave .   Books ( edit )    In 1903 , he wrote the book The Arctic Home in the Vedas . In it , he argued that the Vedas could only have been composed in the Arctics , and the Aryan bards brought them south after the onset of the last ice age . He proposed a new way to determine the exact time of the Vedas .   In `` The Orion '' He tried to calculate the time of Vedas by using the position of different Nakshatras . Positions of Nakshtras were described in different Vedas .   Tilak authored `` Shrimadh Bhagvad Gita Rahasya '' in prison at Mandalay -- the analysis of ' Karma Yoga ' in the Bhagavad Gita , which is known to be gift of the Vedas and the Upanishads .    Descendants ( edit )   Tilak 's son , Shridhar was a campaigner for social reforms in India . Shridhar 's son , Jayantrao Tilak ( 1921 - 2001 ) was editor of the Kesari newspaper for many years . Jayantrao was also a politician from the Congress party . He was a member of the Parliament of India representing Maharashtra in the Rajya Sabha , the upper house of the Indian Parliament . He was also a member of the Maharashtra Legislative Council .   Mukta Tilak , the wife of Tilak 's great - grandson Shailesh Tilak was elected Pune 's mayor in 2017 . Mukta Tilak is a Bhartiya Janata Party member .   Rohit Tilak , a descendant of Bal Gangadhar Tilak is a Pune based Congress party politician . In 2017 , a woman with whom he had an extra-marital affair accused him of rape and other crimes . He is currently out on bail in connection with these charges .   References ( edit )    ^ Jump up to :   Maharashtra Gazetteer   Official Ratnagiri website Archived 16 January 2013 at the Wayback Machine .   Lokmanya Tilak -- A Biography   Britannica     Jump up ^ D.V. Tahmankar ( 1956 ) . Lokamany Tilak : Father of Indian Unrest and Maker of Modern India . John Murray ; 1st Edition ( 1956 ) . Retrieved 5 February 2013 .   Jump up ^ Political Thought and Leadership of Lokmanya Tilak - N R. Inamdar   Jump up ^ Brown , Donald Mackenzie ( 1970 - 01 - 01 ) . The Nationalist Movement : Indian Political Thought from Ranade to Bhave . University of California Press . p. 76 . ISBN 9780520001831 .   Jump up ^ Karve , D.D. `` The Deccan Education Society '' . The Journal of Asian Studies . 20 ( 2 ) : 206 -- 207 . doi : 10.2307 / 2050484 .   ^ Jump up to : Guha , Ramachandra ( 2011 ) . Makers of Modern India . Cambridge : Belknap Press of Harvard University Press . p. 112 .   Jump up ^ Michael Edwardes , A History of India ( New York : Farrar , Straus and Cudahy , 1961 ) , 322 .   Jump up ^ N.R. Inamdar ( 1983 ) . Political Thought and Leadership of Lokmanya Tilak . Concept Publishing Company . p. 20 . GGKEY : K00Z79DFC6R .   ^ Jump up to : Donald Mackenzie Brown `` The Congress . '' The Nationalist Movement : Indian Political Thought from Ranade to Bhave ( 1961 ) : 34   ^ Jump up to : Barbara D. Metcalf ; Thomas R. Metcalf ( 2006 ) . A Concise History of India ( 2nd ed . ) . Cambridge University Press . ISBN 978 - 0521682251 .   Jump up ^ `` Kaka Baptista '' . East Indian Community . Retrieved 19 October 2014 .   Jump up ^ Ranbir Vohra , The Making of India : A Historical Survey ( Armonk : M.E. Sharpe , Inc , 1997 ) , 120   Jump up ^ Stanley A. Wolpert , Tilak and Gokhale : revolution and reform in the making of modern India ( 1962 ) p 67   Jump up ^ `` FIRST TILAK TRIAL - 1897 '' . Bombay High Court . Retrieved 29 February 2016 .   Jump up ^ `` SECOND TILAK TRIAL - 1909 '' . Bombay High Court . Retrieved 29 February 2016 .   Jump up ^ `` THIRD TILAK TRIAL - 1916 '' . Bombay High Court . Retrieved 29 February 2016 .   Jump up ^ `` Remove portrait of judge who sentenced Bal Gangadhar Tilak '' . Mumbai : Indian Express . 17 August 2012 . Retrieved 7 January 2013 .   ^ Jump up to : Encyclopedia of Asian History. `` Tilak , Bal Gangadhar '' ( New York : Charles Scribner 's Sons and Macmillan Publishing Company , 1988 ) , 98 .   Jump up ^ M.V.S. Koteswara Rao . Communist Parties and United Front -- Experience in Kerala and West Bengal . Hyderabad : Prajasakti Book House , 2003 . p. 82   Jump up ^ Mohammad Tarique . Modern Indian History . Tata McGraw Hill .   Jump up ^ Prof R.P. Chaturvedi . `` Great Personalities '' , Upkar 's , p. 144R   Jump up ^ Harvey , Mark ( 1986 ) . `` Secular as Sacred ? - The Religio - Political Rationalization of B.G. Tilak '' . Modern Asian Studies . 20 : 321 . doi : 10.1017 / s0026749x00000858 . JSTOR 312578 .   Jump up ^ Harvey , Mark ( 1986 ) . `` The Secular as Sacred ? - The Religio - Political Rationalization of B.G. Tilak '' . Modern Asian Studies . 20 : 322 -- 324 . doi : 10.1017 / s0026749x00000858 . JSTOR 312578 .   ^ Jump up to : Christophe Jaffrelot ( 2005 ) . Dr. Ambedkar and Untouchability : Fighting the Indian Caste System . Columbia University Press . p. 177 .   ^ Jump up to : Rao , P.V. ( 2008 ) . `` Women 's Education and the Nationalist Response in Western India : Part II -- Higher Education '' . Indian Journal of Gender Studies . 15 ( 1 ) : 141 -- 148 . doi : 10.1177 / 097152150701500108 .   ^ Jump up to : Dorothy M. Figueira ( 2002 ) . Aryans , Jews , Brahmins : Theorizing Authority through Myths of Identity . State University of New York Press . p. 129 .   Jump up ^ Rao , P.V. ( 2007 ) . `` Women 's Education and the Nationalist Response in Western India : Part I - Basic Education '' . Indian Journal of Gender Studies . 14 ( 2 ) : 307 . doi : 10.1177 / 097152150701400206 .   ^ Jump up to : Omvedt , Gail ( 1974 ) . `` Non-Brahmans and Nationalists in Poona '' . Economic and Political Weekly . 9 ( 6 / 8 ) : 201 -- 219 . JSTOR 4363419 .   Jump up ^ Sandhya Gokhale ( 2008 ) . The Chitpavans : social ascendancy of a creative minority . p. 147 . As early as 1881 , in a few articles Bal Gangadhar Tilak , the resolute thinker and the enfant terrible of Indian politics , wrote comprehensive discourses on the need for united front by the Chitpavans , Deshasthas and the Karhades . Invoking the urgent necessity of this remarkable Brahmans combination , Tilak urged sincerely that these three groups of Brahmans should give up caste exclusiveness by encouraging inter sub-caste marriages and community dining . ''   Jump up ^ Cashman , Richard I. ( 1975 ) . The myth of the Lokamanya : Tilak and mass politics in Maharashtra . Berkeley : University of California Press . pp. 52 -- 54 . ISBN 978 - 0520024076 . Retrieved 18 November 2016 .   Jump up ^ Geraldine Hancock Forbes ( 1999 ) . Women in Modern India , Part 4 , Volume 2 . Cambridge University Press . p. 69 .   Jump up ^ Shompa Lahiri . Indians in Britain : Anglo - Indian Encounters , Race and Identity , 1880 - 1930 . p. 13 .   Jump up ^ Chandra , Sudhir ( 1996 ) . `` Rukhmabai : Debate over Woman 's Right to Her Person '' . Economic and Political Weekly . 31 ( 44 ) : 2937 -- 2947 . JSTOR 4404742 .   Jump up ^ Rappaport , Helen ( 2003 ) . Queen Victoria : A Biographical Companion . ABC - CLIO . p. 429 . ISBN 9781851093557 .   Jump up ^ Vishwanath Prasad Varma ; Lakshmi Narain Agarwa ( 1978 ) . The Life and Philosophy of Lokamanya Tilak : With Excerpts from Original Sources . THE RELATIONS OF TILAK AND VIVEKANANDA The personal relations between Tilak and Swami Vivekananda ( 1863 - 1902 ) were marked by great mutual regards and esteem . In 1892 , Tilak was returning from Bombay to Poona and had occupied a seat in a second - class railway compartment . Some Gujratis accompanied Swami Vivekananda who also came and sat in the same compartment . The Gujarati introduced the Swami to Tilak and requested the Swami to stay with the latter ...   Jump up ^ P.R. Bhuyan ( 2003 ) . Swami Vivekananda : Messiah of Resurgent India . p. 191 . 93 . Among the Congress men there was one exception and that was Bal Gangadhar Tilak , whose patriotism was marked by ' sacrifice , scholastic fervour and militancy . ' 94 Tilak a great scholar , was also a fearless patriot , who wanted to meet the challenge of British imperialism with passive resistance and boycott of British goods . This programme came to the forefront in 1905 - 7 , some years after the death of Swami Vivekananda . It would be useless to speculate what Swamiji would have ...   Jump up ^ `` The Vedanta Kesari - Volume 65 '' . 1978 . p. 407 . Here it will not be out of place to refer to Ti</t>
  </si>
  <si>
    <t xml:space="preserve">who gave the slogan swaraj is my right and i shall have it</t>
  </si>
  <si>
    <t xml:space="preserve"> Tilak was one of the first and strongest advocates of Swaraj ( `` self - rule '' ) and a strong radical in Indian consciousness . He is known for his quote in Marathi : `` Swarajya is my birthright and I shall have it ! '' . He formed a close alliance with many Indian National Congress leaders including Bipin Chandra Pal , Lala Lajpat Rai , Aurobindo Ghose , V.O. Chidambaram Pillai and Muhammad Ali Jinnah . </t>
  </si>
  <si>
    <r>
      <rPr>
        <sz val="11"/>
        <color rgb="FF000000"/>
        <rFont val="Calibri"/>
        <family val="0"/>
        <charset val="1"/>
      </rPr>
      <t xml:space="preserve">1st Academy Awards - Wikipedia  1st Academy Awards  Jump to : navigation , search    1st Academy Awards     The first Academy Awards was at The Hollywood Roosevelt Hotel .     Date   May 16 , 1929 ( 1929 - 05 - 16 )     Site   Hollywood Roosevelt Hotel Hollywood , Los Angeles , California , U.S.     Hosted by   Douglas Fairbanks     Highlights     Best Picture   Wings     Most awards   7th Heaven and Sunrise : A Song of Two Humans ( 3 )     Most nominations   7th Heaven ( 5 )         Academy Awards   2nd →       The 1st Academy Awards ceremony , presented by the Academy of Motion Picture Arts and Sciences ( AMPAS ) , honored the best films of 1927 and 1928 and took place on May 16 , 1929 at a private dinner held at the Hollywood Roosevelt Hotel in Los Angeles , California . AMPAS president Douglas Fairbanks hosted the show . Tickets cost $5 ( which would be $71 in 2017 considering inflation ) , 270 people attended the event and the presentation ceremony lasted 15 minutes . Awards were created by Louis B. Mayer , founder of Louis B. Mayer Pictures Corporation ( at present merged into Metro - Goldwyn - Mayer ) . It is the only Academy Awards ceremony not to be broadcast either on radio or television . The radio broadcast was introduced the following year in 1930 .   During the ceremony , the AMPAS presented Academy Awards , now known as the Oscars in 12 categories . Winners were announced three months before the live event . Some nominations were announced without reference to a specific film , such as for Ralph Hammeras and Nugent Slaughter , who received nominations in the now defunct category of Engineering Effects . Unlike later ceremonies , an actor could be awarded for multiple works within a calendar year for the same category . Emil Jannings , for example , was given the Best Actor award for his work in both The Way of All Flesh and The Last Command . Also , Charlie Chaplin and Warner Brothers each received an Honorary Award .   Major winners at the ceremony included 7th Heaven and Sunrise , which each received three awards , and Wings , receiving two awards . Among its honors , Sunrise won the award for Unique and Artistic Picture and Wings won the award for Outstanding Picture ( now known as Best Picture ) . These two categories at the time were regarded equally as the top award of the night intended to honor different and important aspects of superior filmmaking . The next year , the Academy dropped the Unique and Artistic Picture award , and decided retroactively that the award won by Wings was the highest honor that could be awarded .     Contents  ( hide )   1 Background   2 Ceremony   3 Winners and nominees   3.1 Awards   3.2 Honorary Awards   3.3 Multiple nominations and awards     4 Gallery   5 See also   6 References   7 Bibliography      Background ( edit )   In 1927 , the Academy of Motion Picture Arts and Sciences ( AMPAS ) was established by Louis B. Mayer , originator of Louis B. Mayer Pictures Corporation , which then would be joined into Metro - Goldwyn - Mayer ( MGM ) . Mayer 's purpose in creating the award was to unite the five branches of the film industry , including actors , directors , producers , technicians , and writers . Mayer commented on the creation of the awards `` I found that the best way to handle ( filmmakers ) was to hang medals all over them ... If I got them cups and awards , they 'd kill them to produce what I wanted . That 's why the Academy Award was created '' . Mayer asked Cedric Gibbons , art director of MGM , to design an Academy Award trophy . Nominees were notified through a telegram in February 1928 . In August 1928 , Mayer contacted the Academy Central Board of Judges to decide winners . However , according to the American director King Vidor , the voting for the Academy Award for Best Picture was in the hands of the AMPAS founders Douglas Fairbanks , Sid Grauman , Mayer , Mary Pickford , and Joseph Schenck .   Ceremony ( edit )   The ceremony was held on May 16 , 1929 at the Hollywood Roosevelt Hotel , located in Los Angeles . It consisted of a private dinner with 36 banquet tables , where 270 people attended and tickets cost five dollars ( equivalent to $71.26 in 2017 ) . Actors and actresses arrived at the hotel in luxury vehicles , where many fans attended to encourage celebrities . The ceremony was not broadcast on radio or television , and was hosted by AMPAS director Fairbanks during a 15 - minute event .   Winners and nominees ( edit )   Winners were announced three months before the ceremony . The recipients included : Emil Jannings , the inaugural first award recipient for Best Actor ( The Way of All Flesh and The Last Command ) ; Janet Gaynor for Best Actress ( 7th Heaven , Street Angel , and Sunrise : A Song of Two Humans ) ; Frank Borzage for Best Director , Drama ( 7th Heaven ) ; Lewis Milestone for Best Director , Comedy ( Two Arabian Knights ) ; and Wings for Best Picture ( the most expensive film of its time ) . Two presentations were made of a Special Award : Charlie Chaplin , a multiple nominee for one movie ( Best Actor , Best Writer and Best Director , Comedy ; all for The Circus ) having been removed from the list so as to recognize his total contribution to the industry ; and Warner Brothers , an award for pioneering talking pictures ( The Jazz Singer ) . Three categories were eliminated for subsequent presentations : Best Engineering Effects , Best Title Writing , and Best Unique and Artistic Quality of Production . The larger film producers received the preponderance of awards : Fox Film Corporation , Metro - Goldwyn - Mayer , Paramount Pictures , Radio - Keith - Orpheum , and Warner Bros ...   Awards ( edit )   Winners are listed first and indicated with double dagger     Outstanding Picture   Wings -- Lucien Hubbard for Paramount Pictures   7th Heaven -- William Fox for Fox Film Corporation   The Racket -- Howard Hughes for The Caddo Company       Best Unique and Artistic Picture   Sunrise : A Song of Two Humans -- William Fox for Fox Film Corporation   Chang : A Drama of the Wilderness -- Merian C. Cooper and Ernest B. Schoedsack for Paramount Pictures   The Crowd -- Irving Thalberg for MGM         Best Director , Comedy Picture   Lewis Milestone -- Two Arabian Knights   Ted Wilde -- Speedy       Best Director , Dramatic Picture   Frank Borzage -- 7th Heaven   King Vidor -- The Crowd   Herbert Brenon -- Sorrell and Son         Best Actor   Emil Jannings -- The Last Command and The Way of All Flesh   Richard Barthelmess -- The Noose and The Patent Leather Kid       Best Actress   Janet Gaynor -- 7th Heaven , Street Angel , and Sunrise : A Song of Two Humans   Louise Dresser -- A Ship Comes In   Gloria Swanson -- Sadie Thompson         Best Original Story   Underworld -- Ben Hecht   The Last Command -- Lajos Bíró       Best Adaptation   7th Heaven -- Benjamin Glazer , based on the play by Austin Strong   Glorious Betsy -- Anthony Coldeway , based on the play by Rida Johnson Young   The Jazz Singer -- Alfred A. Cohn , based on the story `` The Day of Atonement '' and the play The Jazz Singer by Samson Raphaelson         Best Art Direction   The Dove and Tempest -- William Cameron Menzies   7th Heaven -- Harry Oliver   Sunrise : A Song of Two Humans -- Rochus Gliese       Best Cinematography   Sunrise : A Song of Two Humans -- Charles Rosher and Karl Struss   The Devil Dancer -- George Barnes   The Magic Flame -- George Barnes   Sadie Thompson -- George Barnes         Best Engineering Effects   Wings -- Roy Pomeroy   ( No specific film ) -- Ralph Hammeras   ( No specific film ) -- Nugent Slaughter       Best Title Writing   ( No specific film ) -- Joseph W. Farnham   ( No specific film ) -- George Marion Jr .   The Private Life of Helen of Troy -- Gerald Duffy ( posthumous nomination )         Honorary Awards ( edit )    Charlie Chaplin   `` For versatility and genius in acting , writing , directing and producing The Circus '' .     Warner Brothers Production   `` For producing The Jazz Singer , the pioneer outstanding talking picture , which has revolutionized the industry '' .      Multiple nominations and awards ( edit )      The following six films received multiple nominations :     Nominations   Film     5   7th Heaven       Sunrise : A Song of Two Humans       The Crowd     The Last Command     Sadie Thompson     Wings       The following three films received multiple awards :     Awards   Film       7th Heaven     Sunrise : A Song of Two Humans       Wings        Gallery ( edit )  Academy Award winners -- Gallery Wings is the first film to win the Academy Award for Best Picture , which was at the time known as Outstanding Picture . Also won an award for the Best Engineering Effects Sunrise : A Song of Two Humans won the Academy Award for Best Unique and Artistic Picture , the only year that such a prize was awarded . The prize was intended to honor prestige art films separately from `` commercial fare '' . Frank Borzage , Best Director , Dramatic Picture Emil Jannings , Best Actor Janet Gaynor , Best Actress Charles Chaplin , Honorary Award Warner Brothers Production , Honorary Award . In top image First National Studios , Burbank , c. 1928 .  See also ( edit )    1927 in film   1928 in film    References ( edit )    Jump up ^ `` The 1st Academy Awards Memorable Moments '' . Academy of Motion Picture Arts and Sciences .   ^ Jump up to : `` The Official Academy Awards Database '' . Academy of Motion Picture Arts and Sciences . Archived from the original on February 8 , 2009 . Retrieved February 18 , 2012 . Reader must select `` 1927 / 28 '' in the `` Award Year ( s ) : '' drop - down menu and press `` Search '' .   ^ Jump up to : `` History of the Academy Awards '' . Academy of Motion Picture Arts and Sciences . Archived from the original on April 8 , 2010 . Retrieved May 6 , 2010 .   ^ Jump up to : Dirks , Tim . `` 1927 -- 28 Academy Awards Winners and History '' . Filmsite . Rainbow Media . Archived from the original on July 24 , 2010 . Retrieved May 6 , 2010 .   ^ Jump up to : Cosgrave 2007 , p. 1   Jump up ^ Eyman 2005 , p. 117   Jump up ^ Eyman 2005 , p. 209   Jump up ^ Eyman 2005 , p. 138   ^ Jump up to : `` This day in History '' . History . A&amp;E Television Networks . Archived from the original on March 7 , 2010 . Retrieved October 5 , 2010 .   ^ Jump up to : Pawlak , Debra Ann . `` The Story of the First Academy Awards '' . The MediaDrome ( ( inconsistent citations ) )   ^ Jump up to : Cosgrave 2007 , p. 4   Jump up ^ `` Names make news '' . Time . Time Inc . May 27 , 1929 . Archived from the original on October 27 , 2010 . Retrieved October 5 , 2010 .   Jump up ^ Decherney , Peter ( August 14 , 2012 ) . `` Hollywood and the Culture Elite : How the Movies Became American '' . Columbia University Press -- via Google Books .    Bibliography ( edit )    Cosgrave , Bronwyn ( 2007 ) . Made for Each Other : Fashion and the Academy Awards ( I ed . ) . New York , United States : Bloomsbury Publishing USA . ISBN 978 - 0 - 7475 - 7630 - 3 . OCLC 74523691 .   Eyman , Scott ( 2005 ) . Lion of Hollywood : the life and legend of Louis B. Mayer ( I ed . ) . New York , United States : Simon &amp; Schuster . ISBN 0 - 7432 - 0481 - 6 . OCLC 57506846 .              Academy Awards       Academy of Motion Picture Arts and Sciences ( AMPAS )   Records   Most wins per ceremony   Oscar season   Governors Awards   Nicholl Fellowships in Screenwriting   Pre-show       Awards of Merit     Best Picture   Director   Actor   Actress   Supporting Actor   Supporting Actress   Adapted Screenplay   Original Screenplay   Animated Feature   Documentary Feature   Foreign Language Film   Animated Short Film   Documentary Short Subject   Live Action Short Film   Cinematography   Costume Design   Film Editing   Makeup and Hairstyling   Original Score   Original Song   Production Design   Sound Editing   Sound Mixing   Visual Effects       Special awards      Governors Awards     Academy Honorary Award   Irving G. Thalberg Memorial Award   Jean Hersholt Humanitarian Award   Special Achievement Academy Award       Academy Scientific and Technical Awards     Academy Award of Merit ( non-competitive )   Scientific and Engineering Award   Technical Achievement Award   John A. Bonner Medal of Commendation   Gordon E. Sawyer Award       Student Awards     Student Academy Award          Former awards      Merit Awards     Assistant Director   Dance Direction   Story       Special Awards     Academy Juvenile Award          Ceremonies ‡   ( List   Book )       1927 / 28   1928 / 29   1929 / 30   1930 / 31   1931 / 32   1932 / 33   1934   1935   1936   1937   1938   1939   1940   1941   1942   1943   1944   1945   1946   1947   1948   1949   1950   1951   1952   1953   1954   1955   1956   1957   1958   1959   1960   1961   1962   1963   1964   1965   1966   1967   1968   1969   1970   1971   1972   1973       1976   1977   1978   1979   1980   1981   1982     1984   1985   1986                                                               2017       Footnote   ‡ Dates and years listed for each ceremony were the eligibility period of film release in Los Angeles County . For the first five ceremonies , the eligibility period was done on a seasonal basis , from August to July . For the 6th ceremony , held in 1934 , the eligibility period lasted from August 1 , 1932 to December 31 , 1933 . Since the 7th ceremony held in 1935 , the period of eligibility became the full previous calendar year from January 1 to December 31 .       Book   Category   Portal                 Academy Awards lists       Academy of Motion Picture Arts and Sciences ( AMPAS )   Records   Oscar season   Oscar speech   History of film   Most wins per ceremony       Combined major Oscars     Superlatives   Big Five   All four acting categories       Combined major awards     Academy , Emmy , Grammy , and Tony Award careers       Acting     All nominees   Best Actor ( by age )   Best Actress ( by age )   Best Supporting Actor ( by age )   Best Supporting Actress ( by age )   Acting noms in foreign language   Actor multi-nom years   Multi-Best Picture acting careers   Multi-win Actors   Multi-nom Actors   Love curse       Directing     Best Director ( by age )       Film     Films   Foreign - language wins   Foreign - language nominees   Foreign - language noms in other categories   Foreign - language : count by country   Animated feature noms in other categories       Ethnicity     African   Argentine   Asian   Australian   Black   Brazilian   British   Canadian   Chilean   Colombian   Cuban   French   German - speaking   Greek   Hispanic - American ( U.S. )   Indian   Iranian   Italian   Jewish   Latin American   Mexican   New Zealand   Nordic   Pakistani   Polish   Puerto Rican   Spanish   Uruguayan       Other     Ceremonies   Families   Fictitious   LGBT   Multi-win years   Posthumous   Best Picture Presenters   Trophy displays   Oldest &amp; Youngest   Awards for Walt Disney   Women in Non-gendered Categories         Book   Category   Portal      Retrieved from `` https://en.wikipedia.org/w/index.php?title=1st_Academy_Awards&amp;oldid=831501333 '' Categories :   Academy Awards ceremonies   1928 film awards   1929 in Los Angeles   1929 in American cinema   May 1929 events   First events   Hidden categories :   Use mdy dates from April 2011   Use American English from February 2012   All Wikipedia articles written in American English   Featured lists           Talk                                           Contents                   About Wikipedia                                                 Afrikaans     Azərbaycanca   বাংলা   Català   Čeština   Dansk   Deutsch   Eesti   Ελληνικά   Español   فارسی   Français   Galego   </t>
    </r>
    <r>
      <rPr>
        <sz val="11"/>
        <color rgb="FF000000"/>
        <rFont val="Noto Sans CJK SC"/>
        <family val="2"/>
      </rPr>
      <t xml:space="preserve">한국어   </t>
    </r>
    <r>
      <rPr>
        <sz val="11"/>
        <color rgb="FF000000"/>
        <rFont val="Calibri"/>
        <family val="0"/>
        <charset val="1"/>
      </rPr>
      <t xml:space="preserve">Հայերեն   Hrvatski   Bahasa Indonesia   Italiano   עברית   ქართული   Қазақша   Latviešu   Magyar   मराठी   Nederlands   </t>
    </r>
    <r>
      <rPr>
        <sz val="11"/>
        <color rgb="FF000000"/>
        <rFont val="Noto Sans CJK SC"/>
        <family val="2"/>
      </rPr>
      <t xml:space="preserve">日本 語   </t>
    </r>
    <r>
      <rPr>
        <sz val="11"/>
        <color rgb="FF000000"/>
        <rFont val="Calibri"/>
        <family val="0"/>
        <charset val="1"/>
      </rPr>
      <t xml:space="preserve">Norsk   Plattdüütsch   Polski   Português   Română   Русский   Simple English   Srpskohrvatski / српскохрватски   Suomi   Svenska   ไทย   Türkçe   Українська   اردو   </t>
    </r>
    <r>
      <rPr>
        <sz val="11"/>
        <color rgb="FF000000"/>
        <rFont val="Noto Sans CJK SC"/>
        <family val="2"/>
      </rPr>
      <t xml:space="preserve">中文  </t>
    </r>
    <r>
      <rPr>
        <sz val="11"/>
        <color rgb="FF000000"/>
        <rFont val="Calibri"/>
        <family val="0"/>
        <charset val="1"/>
      </rPr>
      <t xml:space="preserve">33 more  Edit links   This page was last edited on 20 March 2018 , at 22 : 25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</si>
  <si>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first oscar ceremony take place</t>
  </si>
  <si>
    <t xml:space="preserve"> The 1st Academy Awards ceremony , presented by the Academy of Motion Picture Arts and Sciences ( AMPAS ) , honored the best films of 1927 and 1928 and took place on May 16 , 1929 at a private dinner held at the Hollywood Roosevelt Hotel in Los Angeles , California . AMPAS president Douglas Fairbanks hosted the show . Tickets cost $5 ( which would be $71 in 2017 considering inflation ) , 270 people attended the event and the presentation ceremony lasted 15 minutes . Awards were created by Louis B. Mayer , founder of Louis B. Mayer Pictures Corporation ( at present merged into Metro - Goldwyn - Mayer ) . It is the only Academy Awards ceremony not to be broadcast either on radio or television . The radio broadcast was introduced the following year in 1930 . </t>
  </si>
  <si>
    <t xml:space="preserve">List of mathematical symbols - wikipedia  List of mathematical symbols  This list is incomplete ; you can help by expanding it .  This is a list of symbols used in all branches of mathematics to express a formula or to represent a constant .   A mathematical concept is independent of the symbol chosen to represent it . For many of the symbols below , the symbol is usually synonymous with the corresponding concept ( ultimately an arbitrary choice made as a result of the cumulative history of mathematics ) , but in some situations , a different convention may be used . For example , depending on context , the triple bar `` ≡ '' may represent congruence or a definition . However , in mathematical logic , numerical equality is sometimes represented by `` ≡ '' instead of `` = '' , with the latter representing equality of well - formed formulas . In short , convention dictates the meaning .   Each symbol is shown both in HTML , whose display depends on the browser 's access to an appropriate font installed on the particular device , and typeset as an image using TeX .   Contents    1 Guide   2 Basic symbols   3 Symbols based on equality   4 Symbols that point left or right   5 Brackets   6 Other non-letter symbols   7 Letter - based symbols   7.1 Letter modifiers   7.2 Symbols based on Latin letters   7.3 Symbols based on Hebrew or Greek letters     8 Variations   9 See also   10 References   11 External links    Guide ( edit )   This list is organized by symbol type and is intended to facilitate finding an unfamiliar symbol by its visual appearance . For a related list organized by mathematical topic , see List of mathematical symbols by subject . That list also includes LaTeX and HTML markup , and Unicode code points for each symbol ( note that this article does n't have the latter two , but they could certainly be added ) .   There is a Wikibooks guide for using maths in LaTeX , and a comprehensive LaTeX symbol list . It is also possible to check to see if a Unicode code point is available as a LaTeX command , or vice versa . Also note that where there is no LaTeX command natively available for a particular symbol ( although there may be options that require adding packages ) , the symbol could be added via other options , such as setting the document up to support Unicode , and entering the character in a variety of ways ( e.g. copying and pasting , keyboard shortcuts , the \ unicode (  ) command ) as well as other options and extensive additional information .    Basic symbols : Symbols widely used in mathematics , roughly through first - year calculus . More advanced meanings are included with some symbols listed here .   Symbols based on equality `` = '' : Symbols derived from or similar to the equal sign , including double - headed arrows . Not surprisingly these symbols are often associated with an equivalence relation .   Symbols that point left or right : Symbols , such as  , that appear to point to one side or another .   Brackets : Symbols that are placed on either side of a variable or expression , such as x .   Other non-letter symbols : Symbols that do not fall in any of the other categories .   Letter - based symbols : Many mathematical symbols are based on , or closely resemble , a letter in some alphabet . This section includes such symbols , including symbols that resemble upside - down letters . Many letters have conventional meanings in various branches of mathematics and physics . These are not listed here . The See also section , below , has several lists of such usages .   Letter modifiers : Symbols that can be placed on or next to any letter to modify the letter 's meaning .   Symbols based on Latin letters , including those symbols that resemble or contain an X   Symbols based on Hebrew or Greek letters e.g. ב , א , δ , Δ , π , Π , σ , Σ , Φ . Note : symbols resembling Λ are grouped with `` V '' under Latin letters .     Variations : Usage in languages written right - to - left    Basic symbols ( edit )     Symbol in HTML   Symbol in TeX   Name   Explanation   Examples     Read as     Category     +   + ( \ displaystyle + )   addition plus ; add arithmetic   2 + 7 means the sum of 2 and 7 .   2 + 7 = 9     disjoint union the disjoint union of ... and ... set theory   A + A means the disjoint union of sets A and A .   A = ( 3 , 4 , 5 , 6 ) ∧ A = ( 7 , 8 , 9 , 10 ) ⇒ A + A = ( ( 3 , 1 ) , ( 4 , 1 ) , ( 5 , 1 ) , ( 6 , 1 ) , ( 7 , 2 ) , ( 8 , 2 ) , ( 9 , 2 ) , ( 10 , 2 ) )     −   − ( \ displaystyle - )   subtraction minus ; take ; subtract arithmetic   36 − 11 means the subtraction of 11 from 36 .   36 − 11 = 25     negative sign negative ; minus ; the opposite of arithmetic   − 3 means the additive inverse of the number 3 .   − ( − 5 ) = 5     set - theoretic complement minus ; without set theory   A − B means the set that contains all the elements of A that are not in B . ( ∖ can also be used for set - theoretic complement as described below . )   ( 1 , 2 , 4 ) − ( 1 , 3 , 4 ) = ( 2 )     ±   ± ( \ displaystyle \ pm ) \ pm   plus - minus plus or minus arithmetic   6 ± 3 means both 6 + 3 and 6 − 3 .   The equation x = 5 ± √ 4 , has two solutions , x = 7 and x = 3 .     plus - minus plus or minus measurement   10 ± 2 or equivalently 10 ± 20 % means the range from 10 − 2 to 10 + 2 .   If a = 100 ± 1 mm , then a ≥ 99 mm and a ≤ 101 mm .     ∓   ∓ ( \ displaystyle \ mp ) \ mp   minus - plus minus or plus arithmetic   6 ± ( 3 ∓ 5 ) means 6 + ( 3 − 5 ) and 6 − ( 3 + 5 ) .   cos ( x ± y ) = cos ( x ) cos ( y ) ∓ sin ( x ) sin ( y ) .     × ⋅   × ( \ displaystyle \ times ) \ times ⋅ ( \ displaystyle \ cdot ) \ cdot   multiplication times ; multiplied by arithmetic   3 × 4 or 3 ⋅ 4 means the multiplication of 3 by 4 .   7 ⋅ 8 = 56     dot product scalar product dot linear algebra vector algebra   u ⋅ v means the dot product of vectors u and v   ( 1 , 2 , 5 ) ⋅ ( 3 , 4 , − 1 ) = 6     cross product vector product cross linear algebra vector algebra   u × v means the cross product of vectors u and v   ( 1 , 2 , 5 ) × ( 3 , 4 , − 1 ) =    i   j   k         5         − 1    = ( − 22 , 16 , − 2 )     placeholder ( silent ) functional analysis   A means a placeholder for an argument of a function . Indicates the functional nature of an expression without assigning a specific symbol for an argument .       ÷ ⁄   ÷ ( \ displaystyle \ div ) \ div / ( \ displaystyle / )   division ( Obelus ) divided by ; over arithmetic   6 ÷ 3 or 6 ⁄ 3 means the division of 6 by 3 .   2 ÷ 4 = 0.5 12 ⁄ 4 = 3     quotient group mod group theory   G / H means the quotient of group G modulo its subgroup H .   ( 0 , a , 2a , b , b + a , b + 2a ) / ( 0 , b ) = ( ( 0 , b ) , ( a , b + a ) , ( 2a , b + 2a ) )     quotient set mod set theory   A / ~ means the set of all ~ equivalence classes in A .   If we define ~ by x ~ y ⇔ x − y ∈ Z , then R / ~ = ( x + n : n ∈ Z , x ∈ ( 0 , 1 ) ) .     √   √ ( \ displaystyle \ surd ) \ surd x ( \ displaystyle ( \ sqrt ( x ) ) ) \ sqrt ( x )   square root ( radical symbol ) the ( principal ) square root of real numbers   √ x means the nonnegative number whose square is x .   √ 4 = 2     complex square root the ( complex ) square root of complex numbers   If z = r exp ( iφ ) is represented in polar coordinates with − π   √ − 1 = i     ∑   ∑ ( \ displaystyle \ sum ) \ sum   summation sum over ... from ... to ... of calculus   ∑ k = 1 n a k ( \ displaystyle \ sum _ ( k = 1 ) ^ ( n ) ( a_ ( k ) ) ) means a 1 + a 2 + ⋯ + a n ( \ displaystyle a_ ( 1 ) + a_ ( 2 ) + \ cdots + a_ ( n ) ) .   ∑ k = 1 4 k 2 = 1 2 + 2 2 + 3 2 + 4 2 = 1 + 4 + 9 + 16 = 30 ( \ displaystyle \ sum _ ( k = 1 ) ^ ( 4 ) ( k ^ ( 2 ) ) = 1 ^ ( 2 ) + 2 ^ ( 2 ) + 3 ^ ( 2 ) + 4 ^ ( 2 ) = 1 + 4 + 9 + 16 = 30 )     ∫   ∫ ( \ displaystyle \ int ) \ int   indefinite integral or antiderivative indefinite integral of - OR - the antiderivative of calculus   ∫ f ( x ) dx means a function whose derivative is f .   ∫ x 2 d x = x 3 3 + C ( \ displaystyle \ int x ^ ( 2 ) dx = ( \ frac ( x ^ ( 3 ) ) ( 3 ) ) + C )     definite integral integral from ... to ... of ... with respect to calculus   ∫ f ( x ) dx means the signed area between the x-axis and the graph of the function f between x = a and x = b .   ∫ x dx = b − a / 3     line integral line / path / curve / integral of ... along ... calculus   ∫ f ds means the integral of f along the curve C , ∫ f ( r ( t ) ) r ' ( t ) dt , where r is a parametrization of C. ( If the curve is closed , the symbol ∮ may be used instead , as described below . )       ∮   ∮ ( \ displaystyle \ oint ) \ oint   Contour integral ; closed line integral contour integral of calculus   Similar to the integral , but used to denote a single integration over a closed curve or loop . It is sometimes used in physics texts involving equations regarding Gauss 's Law , and while these formulas involve a closed surface integral , the representations describe only the first integration of the volume over the enclosing surface . Instances where the latter requires simultaneous double integration , the symbol ∮∮ would be more appropriate . A third related symbol is the closed volume integral , denoted by the symbol ∮∮∮ .  The contour integral can also frequently be found with a subscript capital letter C , ∮ , denoting that a closed loop integral is , in fact , around a contour C , or sometimes dually appropriately , a circle C. In representations of Gauss 's Law , a subscript capital S , ∮ , is used to denote that the integration is over a closed surface .    If C is a Jordan curve about 0 , then ∮ 1 / z dz = 2πi .     ... ⋯ ⋮ ⋰ ⋱   ... ( \ displaystyle \ ldots ) \ ldots ⋯ ( \ displaystyle \ cdots ) \ cdots ⋮ ( \ displaystyle \ vdots ) \ vdots ⋱ ( \ displaystyle \ ddots ) \ ddots   ellipsis and so forth everywhere   Indicates omitted values from a pattern .   1 / 2 + 1 / 4 + 1 / 8 + 1 / 16 + ⋯ = 1     ∴   ∴ ( \ displaystyle \ therefore ) \ therefore   therefore therefore ; so ; hence everywhere   Sometimes used in proofs before logical consequences .   All humans are mortal . Socrates is a human . ∴ Socrates is mortal .     ∵   ∵ ( \ displaystyle \ because ) \ because   because because ; since everywhere   Sometimes used in proofs before reasoning .   11 is prime ∵ it has no positive integer factors other than itself and one .     !   ! ( \ displaystyle ! )   factorial factorial combinatorics   n ! ( \ displaystyle n ! ) means the product 1 × 2 × ⋯ × n ( \ displaystyle 1 \ times 2 \ times \ cdots \ times n ) .   4 ! = 1 × 2 × 3 × 4 = 24 ( \ displaystyle 4 ! = 1 \ times 2 \ times 3 \ times 4 = 24 )     logical negation not propositional logic   The statement ! A is true if and only if A is false . A slash placed through another operator is the same as `` ! '' placed in front . ( The symbol ! is primarily from computer science . It is avoided in mathematical texts , where the notation ¬ A is preferred . )   ! ( ! A ) ⇔ A x ≠ y ⇔ ! ( x = y )     ¬ _̃   ¬ ( \ displaystyle \ neg ) \ neg ∼ ( \ displaystyle \ sim )   logical negation not propositional logic   The statement ¬ A is true if and only if A is false . A slash placed through another operator is the same as `` ¬ '' placed in front . ( The symbol ~ has many other uses , so ¬ or the slash notation is preferred . Computer scientists will often use ! but this is avoided in mathematical texts . )   ¬ ( ¬ A ) ⇔ A x ≠ y ⇔ ¬ ( x = y )     ∝   ∝ ( \ displaystyle \ propto ) \ propto   proportionality is proportional to ; varies as everywhere   y ∝ x means that y = kx for some constant k .   if y = 2x , then y ∝ x .     ∞   ∞ ( \ displaystyle \ infty ) \ infty   infinity infinity numbers   ∞ is an element of the extended number line that is greater than all real numbers ; it often occurs in limits .   lim x → 0 1 x = ∞ ( \ displaystyle \ lim _ ( x \ to 0 ) ( \ frac ( 1 ) ( x ) ) = \ infty )     ∎ ▮ ‣   ◼ ( \ displaystyle \ blacksquare ) \ blacksquare ◻ ( \ displaystyle \ Box ) \ Box ▸ ( \ displaystyle \ blacktriangleright ) \ blacktriangleright   end of proof QED ; tombstone ; Halmos finality symbol everywhere   Used to mark the end of a proof . ( May also be written Q.E.D. )       Symbols based on equality ( edit )     Symbol in HTML   Symbol in TeX   Name   Explanation   Examples     Read as     Category     =   = ( \ displaystyle = )   equality is equal to ; equals everywhere   x = y ( \ displaystyle x = y ) means x ( \ displaystyle x ) and y ( \ displaystyle y ) represent the same thing or value .   2 = 2 ( \ displaystyle 2 = 2 ) 1 + 1 = 2 ( \ displaystyle 1 + 1 = 2 ) 36 − 5 = 31 ( \ displaystyle 36 - 5 = 31 )     ≠   ≠ ( \ displaystyle \ neq ) \ ne   inequality is not equal to ; does not equal everywhere   x ≠ y ( \ displaystyle x \ neq y ) means that x ( \ displaystyle x ) and y ( \ displaystyle y ) do not represent the same thing or value . ( The forms ! = , / = or  are generally used in programming languages where ease of typing and use of ASCII text is preferred . )   2 + 2 ≠ 5 ( \ displaystyle 2 + 2 \ neq 5 ) 36 − 5 ≠ 30 ( \ displaystyle 36 - 5 \ neq 30 )     ≈   ≈ ( \ displaystyle \ approx ) \ approx   approximately equal is approximately equal to everywhere   x ≈ y means x is approximately equal to y . This may also be written ≃ , ≅ , ~ , ♎ ( Libra Symbol ) , or ≒ .   π ≈ 3.14159     isomorphism is isomorphic to group theory   G ≈ H means that group G is isomorphic ( structurally identical ) to group H . ( ≅ can also be used for isomorphic , as described below . )   Q / C ≈ V     ~   ∼ ( \ displaystyle \ sim ) \ sim   probability distribution has distribution statistics   X ~ D , means the random variable X has the probability distribution D .   X ~ N ( 0 , 1 ) , the standard normal distribution     row equivalence is row equivalent to matrix theory   A ~ B means that B can be generated by using a series of elementary row operations on A   ( 1 2 2 4 ) ∼ ( 1 2 0 0 ) ( \ displaystyle ( \ begin ( bmatrix ) 1&amp;2 \ \ 2&amp;4 \ \ \ end ( bmatrix ) ) \ sim ( \ begin ( bmatrix ) 1&amp;2 \ \ 0&amp;0 \ \ \ end ( bmatrix ) ) )     same order of magnitude roughly similar ; poorly approximates ; is on the order of approximation theory   m ~ n means the quantities m and n have the same order of magnitude , or general size . ( Note that ~ is used for an approximation that is poor , otherwise use ≈ . )   2 ~ 5 8 × 9 ~ 100 but π ≈ 10     similarity is similar to geometry   △ ABC ~ △ DEF means triangle ABC is similar to ( has the same shape ) triangle DEF .       asymptotically equivalent is asymptotically equivalent to asymptotic analysis   f ~ g means lim n → ∞ f ( n ) g ( n ) = 1 ( \ displaystyle \ lim _ ( n \ to \ infty ) ( \ frac ( f ( n ) ) ( g ( n ) ) ) = 1 ) .   x ~ x + 1     equivalence relation are in the same equivalence class everywhere   a ~ b means b ∈ ( a ) ( \ displaystyle b \ in ( a ) ) ( and equivalently a ∈ ( b ) ( \ displaystyle a \ in ( b ) ) ) .   1 ~ 5 mod 4       = : : = ≡ : ⇔ ≜ ≝ ≐   = : ( \ displaystyle = : ) : = ( \ displaystyle : = ) ≡ ( \ displaystyle \ equiv ) \ equiv : ⇔ ( \ displaystyle : \ Leftrightarrow ) : \ Leftrightarrow ≜ ( \ displaystyle \ triangleq ) \ triangleq = d e f ( \ displaystyle ( \ overset ( \ underset ( \ mathrm ( def ) ) ( ) ) ( = ) ) ) \ overset ( \ underset ( \ mathrm ( def ) ) ( ) ) ( = ) ≐ ( \ displaystyle \ doteq ) \ doteq   definition is defined as ; is equal by definition to everywhere   x : = y , y = : x or x ≡ y means x is defined to be another name for y , under certain assumptions taken in context . ( Some writers use ≡ to mean congruence ) . P ⇔ Q means P is defined to be logically equivalent to Q .   cosh ⁡ x : = e x + e − x 2 ( \ displaystyle \ cosh x : = ( \ frac ( e ^ ( x ) + e ^ ( - x ) ) ( 2 ) ) ) ( a , b ) : = a ⋅ b − b ⋅ a ( \ displaystyle ( a , b ) : = a \ cdot b-b \ cdot a )     ≅   ≅ ( \ displaystyle \ cong ) \ cong   congruence is congruent to geometry   △ ABC ≅ △ DEF means triangle ABC is congruent to ( has the same measurements as ) triangle DEF .       isomorphic is isomorphic to abstract algebra   G ≅ H means that group G is isomorphic ( structurally identical ) to group H . ( ≈ can also be used for isomorphic , as described above . )   V ≅ C × C     ≡   ≡ ( \ displaystyle \ equiv ) \ equiv   congruence relation ... is congruent to ... modulo ... modular arithmetic   a ≡ b ( mod n ) means a − b is divisible by n   5 ≡ 2 ( mod 3 )     ⇔ ↔   ⇔ ( \ displaystyle \ Leftrightarrow ) \ Leftrightarrow ⟺ ( \ displaystyle \ iff ) \ iff ↔ ( \ displaystyle \ leftrightarrow ) \ leftrightarrow   material equivalence if and only if ; iff propositional logic   A ⇔ B means A is true if B is true and A is false if B is false .   x + 5 = y + 2 ⇔ x + 3 = y     : = = :   : = ( \ displaystyle : = ) = : ( \ displaystyle = : )   Assignment is defined to be everywhere   A : = b means A is defined to have the value b .   Let a : = 3 , then ... f ( x ) : = x + 3     Symbols that point left or right ( edit )     Symbol in HTML   Symbol in TeX   Name   Explanation   Examples     Read as     Category         ( \ displaystyle &gt; )   strict inequality is less than , is greater than order theory   x  y ( \ displaystyle x &gt; y ) means x is greater than y .   3  4 ( \ displaystyle 5 &gt; 4 )     proper subgroup is a proper subgroup of group theory   H   5 Z     ≪ ≫   ≪ ( \ displaystyle \ ll ) ≫ ( \ displaystyle \ gg ) \ ll \ gg   significant ( strict ) inequality is much less than , is much greater than order theory   x ≪ y means x is much less than y . x ≫ y means x is much greater than y .   0.003 ≪ 1000000     asymptotic comparison is of smaller order than , is of greater order than analytic number theory   f ≪ g means the growth of f is asymptotically bounded by g . ( This is I.M. Vinogradov 's notation . Another notation is the Big O notation , which looks like f = O ( g ) . )   x ≪ e     absolute continuity is absolutely continuous with respect to measure theory   μ ≪ ν ( \ displaystyle \ mu \ ll \ nu ) means that μ ( \ displaystyle \ mu ) is absolutely continuous with respect to ν ( \ displaystyle \ nu ) , i.e. , whenever ν ( A ) = 0 ( \ displaystyle \ nu ( A ) = 0 ) , we have μ ( A ) = 0 ( \ displaystyle \ mu ( A ) = 0 ) .   If c ( \ displaystyle c ) is the counting measure on ( 0 , 1 ) ( \ displaystyle ( 0 , 1 ) ) and μ ( \ displaystyle \ mu ) is the Lebesgue measure , then μ ≪ c ( \ displaystyle \ mu \ ll c ) .     ≤ ≥   ≤ ( \ displaystyle \ leq ) ≥ ( \ displaystyle \ geq ) \ le \ ge   inequality is less than or equal to , is greater than or equal to order theory   x ≤ y means x is less than or equal to y . x ≥ y means x is greater than or equal to y . ( The forms  = are generally used in programming languages , where ease of typing and use of ASCII text is preferred . ) ( ≦ and ≧ are also used by some writers to mean the same thing as ≤ and ≥ , but this usage seems to be less common . )   3 ≤ 4 and 5 ≤ 5 5 ≥ 4 and 5 ≥ 5     subgroup is a subgroup of group theory   H ≤ G means H is a subgroup of G .   Z ≤ Z A ≤ S     reduction is reducible to computational complexity theory   A ≤ B means the problem A can be reduced to the problem B. Subscripts can be added to the ≤ to indicate what kind of reduction .   If   ∃ f ∈ F . ∀ x ∈ N . x ∈ A ⇔ f ( x ) ∈ B ( \ displaystyle \ exists f \ in F ( \ mbox ( . ) ) \ forall x \ in \ mathbb ( N ) ( \ mbox ( . ) ) x \ in A \ Leftrightarrow f ( x ) \ in B )    then    A ≤ F B ( \ displaystyle A \ leq _ ( F ) B )       ≦ ≧   ≦ ( \ displaystyle \ leqq ) ≧ ( \ displaystyle \ geqq ) \ leqq \ geqq   congruence relation ... is less than ... is greater than ... modular arithmetic     10a ≡ 5 ( mod 5 ) for 1 ≦ a ≦ 10     vector inequality ... is less than or equal ... is greater than or equal ... order theory   x ≦ y means that each component of vector x is less than or equal to each corresponding component of vector y . x ≧ y means that each component of vector x is greater than or equal to each corresponding component of vector y . It is important to note that x ≦ y remains true if every element is equal . However , if the operator is changed , x ≤ y is true if and only if x ≠ y is also true .       ≺ ≻   ≺ ( \ displaystyle \ prec ) ≻ ( \ displaystyle \ succ ) \ prec \ succ   Karp reduction is Karp reducible to ; is polynomial - time many - one reducible to computational complexity theory   L ≺ L means that the problem L is Karp reducible to L .   If L ≺ L and L ∈ P , then L ∈ P .     Nondominated order is nondominated by Multi-objective optimization   P ≺ Q means that the element P is nondominated by element Q .   If P ≺ Q then ∀ i P i ≤ Q i ∧ ∃ P i     ◅ ▻ &amp; # x25C5 ; &amp; # x25BB ;   ◃ ( \ displaystyle \ triangleleft ) ▹ ( \ displaystyle \ triangleright ) \ triangleleft \ triangleright   normal subgroup is a normal subgroup of group theory   N ◅ G means that N is a normal subgroup of group G .   Z ( G ) ◅ G     ideal is an ideal of ring theory   I ◅ R means that I is an ideal of ring R .   ( 2 ) ◅ Z     antijoin the antijoin of relational algebra   R ▻ S means the antijoin of the relations R and S , the tuples in R for which there is not a tuple in S that is equal on their common attribute names .   R ▹ S = R − R ⋉ S ( \ displaystyle R \ triangleright S = R-R \ ltimes S )     ⇒ → ⊃   ⇒ ( \ displaystyle \ Rightarrow ) → ( \ displaystyle \ rightarrow ) ⊃ ( \ displaystyle \ supset ) \ Rightarrow \ rightarrow \ supset   material implication implies ; if ... then propositional logic , Heyting algebra   A ⇒ B means if A is true then B is also true ; if A is false then nothing is said about B . ( → may mean the same as ⇒ , or it may have the meaning for functions given below . ) ( ⊃ may mean the same as ⇒ , or it may have the meaning for superset given below . )   x = 6 ⇒ x − 5 = 36 − 5 = 31 is true , but x − 5 = 36 − 5 = 31 ⇒ x = 6 is in general false ( since x could be − 6 ) .     ⊆ ⊂   ⊆ ( \ displaystyle \ subseteq ) ⊂ ( \ displaystyle \ subset ) \ subseteq \ subset   subset is a subset of set theory   ( subset ) A ⊆ B means every element of A is also an element of B . ( proper subset ) A ⊂ B means A ⊆ B but A ≠ B . ( Some writers use the symbol ⊂ as if it were the same as ⊆ . )   ( A ∩ B) ⊆ A N ⊂ Q Q ⊂ R     ⊇ ⊃   ⊇ ( \ displaystyle \ supseteq ) ⊃ ( \ displaystyle \ supset ) \ supseteq \ supset   superset is a superset of set theory   A ⊇ B means every element of B is also an element of A . A ⊃ B means A ⊇ B but A ≠ B . ( Some writers use the symbol ⊃ as if it were the same as ⊇ . )   ( A ∪ B) ⊇ B R ⊃ Q     ⋐ ( \ displaystyle \ Subset )   \ Subset   compact embedding is compactly contained in set theory   A ⋐ B means the closure of B is a compact subset of A .   Q ∩ ( 0 , 1 ) ⋐ ( 0 , 5 ) ( \ displaystyle \ mathbb ( Q ) \ cap ( 0 , 1 ) \ Subset ( 0 , 5 ) )     →   → ( \ displaystyle \ to ) \ to   function arrow from ... to set theory , type theory   f : X → Y means the function f maps the set X into the set Y .   Let f : Z → N ∪ ( 0 ) be defined by f ( x ) : = x .     ↦   ↦ ( \ displaystyle \ mapsto ) \ mapsto   function arrow maps to set theory   f : a ↦ b means the function f maps the element a to the element b .   Let f : x ↦ x + 1 ( the successor function ) .     ←   ← ( \ displaystyle \ leftarrow ) \ leftarrow   Converse implication ... if ... logic   a ← b means that for the propositions a and b , if b implies a , then a is the converse implication of b. a to the element b . This reads as `` a if b '' , or `` not b without a '' . It is not to be confused with the assignment operator in computer science .           subtype is a subtype of type theory   T   If S     cover is covered by order theory   x   ( 1 , 8 )     ⊧   ⊨ ( \ displaystyle \ vDash ) \ vDash   entailment entails model theory   A ⊧ B means the sentence A entails the sentence B , that is in every model in which A is true , B is also true .   A ⊧ A ∨ ¬ A     ⊢   ⊢ ( \ displaystyle \ vdash ) \ vdash   inference infers ; is derived from propositional logic , predicate logic   x ⊢ y means y is derivable from x .   A → B ⊢ ¬ B → ¬ A     partition is a partition of number theory   p ⊢ n means that p is a partition of n .   ( 4 , 3 , 1 , 1 ) ⊢ 9 , ∑ λ ⊢ n ( f λ ) 2 = n ! ( \ displaystyle \ sum _ ( \ lambda \ vdash n ) ( f_ ( \ lambda ) ) ^ ( 2 ) = n ! )     ⟨   ⟨ ( \ displaystyle \ langle \ ) \ langle   bra vector the bra ... ; the dual of ... Dirac notation   ⟨ φ means the dual of the vector φ ⟩ , a linear functional which maps a ket ψ ⟩ onto the inner product ⟨ φ ψ ⟩ .       ⟩   ⟩ ( \ displaystyle \ \ rangle ) \ rangle   ket vector the ket ... ; the vector ... Dirac notation   φ ⟩ means the vector with label φ , which is in a Hilbert space .   A qubit 's state can be represented as α 0 ⟩ + β 1 ⟩ , where α and β are complex numbers s.t. α + β = 1 .     Brackets ( edit )     Symbol in HTML   Symbol in TeX   Name   Explanation   Examples     Read as     Category       ( ) ( \ displaystyle ( \ \ choose \ ) ) ( \ \ choose \ )   combination ; binomial coefficient n choose k combinatorics   ( n k ) = n ! / ( n − k ) ! k ! = ( n − k + 1 ) ⋯ ( n − 2 ) ⋅ ( n − 1 ) ⋅ n k ! ( \ displaystyle ( \ begin ( pmatrix ) n \ \ k \ end ( pmatrix ) ) = ( \ frac ( n ! / ( n-k ) ! ) ( k ! ) ) = ( \ frac ( ( n - k + 1 ) \ cdots ( n - 2 ) \ cdot ( n - 1 ) \ cdot n ) ( k ! ) ) ) means ( in the case of n = positive integer ) the number of combinations of k elements drawn from a set of n elements . ( This may also be written as C ( n , k ) , C ( n ; k ) , C , C , or ⟨ n k ⟩ ( \ displaystyle \ left \ langle ( \ begin ( matrix ) n \ \ k \ end ( matrix ) ) \ right \ rangle ) . )   ( 36 5 ) = 36 ! / ( 36 − 5 ) ! 5 ! = 32 ⋅ 33 ⋅ 34 ⋅ 35 ⋅ 36 1 ⋅ 2 ⋅ 3 ⋅ 4 ⋅ 5 = 376992 ( \ displaystyle ( \ begin ( pmatrix ) 36 \ \ 5 \ end ( pmatrix ) ) = ( \ frac ( 36 ! / ( 36 - 5 ) ! ) ( 5 ! ) ) = ( \ frac ( 32 \ cdot 33 \ cdot 34 \ cdot 35 \ cdot 36 ) ( 1 \ cdot 2 \ cdot 3 \ cdot 4 \ cdot 5 ) ) = 376992 )  ( . 5 7 ) = − 5.5 ⋅ − 4.5 ⋅ − 3.5 ⋅ − 2.5 ⋅ − 1.5 ⋅ − . 5 ⋅ . 5 1 ⋅ 2 ⋅ 3 ⋅ 4 ⋅ 5 ⋅ 6 ⋅ 7 = 33 2048 ( \ displaystyle ( \ begin ( pmatrix ). 5 \ \ 7 \ end ( pmatrix ) ) = ( \ frac ( - 5.5 \ cdot - 4.5 \ cdot - 3.5 \ cdot - 2.5 \ cdot - 1.5 \ cdot -. 5 \ cdot . 5 ) ( 1 \ cdot 2 \ cdot 3 \ cdot 4 \ cdot 5 \ cdot 6 \ cdot 7 ) ) = ( \ frac ( 33 ) ( 2048 ) ) \ , \ ! )        ( ( ) ) ( \ displaystyle \ left ( \ ! \ ! ( \ \ choose \ ) \ ! \ ! \ right ) ) \ left ( \ ! \ ! ( \ \ choose \ ) \ ! \ ! \ right )   multiset coefficient u multichoose k combinatorics   ( ( u k ) ) = ( u + k − 1 k ) = ( u + k − 1 ) ! / ( u − 1 ) ! k ! ( \ displaystyle \ left ( \ ! \ ! ( u \ choose k ) \ ! \ ! \ right ) = ( u + k - 1 \ choose k ) = ( \ frac ( ( u + k - 1 ) ! / ( u-1 ) ! ) ( k ! ) ) )  ( when u is positive integer ) means reverse or rising binomial coefficient .    ( ( − 5.5 7 ) ) = − 5.5 ⋅ − 4.5 ⋅ − 3.5 ⋅ − 2.5 ⋅ − 1.5 ⋅ − . 5 ⋅ . 5 1 ⋅ 2 ⋅ 3 ⋅ 4 ⋅ 5 ⋅ 6 ⋅ 7 = ( . 5 7 ) = 33 2048 ( \ displaystyle \ left ( \ ! \ ! ( - 5.5 \ choose 7 ) \ ! \ ! \ right ) = ( \ frac ( - 5.5 \ cdot - 4.5 \ cdot - 3.5 \ cdot - 2.5 \ cdot - 1.5 \ cdot -. 5 \ cdot . 5 ) ( 1 \ cdot 2 \ cdot 3 \ cdot 4 \ cdot 5 \ cdot 6 \ cdot 7 ) ) = (. 5 \ choose 7 ) = ( \ frac ( 33 ) ( 2048 ) ) \ , \ ! )       ( ... ... ( \ displaystyle \ left \ ( ( \ begin ( array ) ( lr ) \ ldots \ \ \ ldots \ end ( array ) ) \ right . ) \ left \ ( \ begin ( array ) ( lr ) \ ldots \ \ \ ldots \ end ( array ) \ right .   piecewise - defined function ; pattern matching ; Switch statement is defined as ... if ... , or as ... if ... ; match ... with everywhere   f ( x ) = ( a , if p ( x ) b , if q ( x ) ( \ displaystyle f ( x ) = \ left \ ( ( \ begin ( array ) ( rl ) a , &amp; ( \ text ( if ) ) p ( x ) \ \ b , &amp; ( \ text ( if ) ) q ( x ) \ end ( array ) ) \ right . ) means the function f ( x ) is defined as a if the condition p ( x ) holds , or as b if the condition q ( x ) holds . ( The body of a piecewise - defined function can have any finite number ( not only just two ) expression - condition pairs . ) This symbol is also used in type theory for pattern matching the constructor of the value of an algebraic type . For example g ( n ) = match n with ( x → a y → b ( \ displaystyle g ( n ) = ( \ text ( match ) ) n ( \ text ( with ) ) \ left \ ( ( \ begin ( array ) ( rl ) x&amp; \ rightarrow a \ \ y&amp; \ rightarrow b \ end ( array ) ) \ right . ) does pattern matching on the function 's arguments and means that g ( x ) is defined as a , and g ( y ) is defined as b . ( A pattern matching can have any finite number ( not only just two ) pattern - expression pairs . )   x = ( x , if x ≥ 0 − x , if x     ...   ... ( \ displaystyle \ ldots \ ! \ , ) \ ldots \ ! \ ,   absolute value ; modulus absolute value of ; modulus of numbers   x means the distance along the real line ( or across the complex plane ) between x and zero .   3 = 3 -- 5 = 5 = 5 i = 1 3 + 4i = 5     Euclidean norm or Euclidean length or magnitude Euclidean norm of geometry   x means the ( Euclidean ) length of vector x .   For x = ( 3 , − 4 ) x = 3 2 + ( − 4 ) 2 = 5 ( \ displaystyle ( \ textbf ( x ) ) = ( \ sqrt ( 3 ^ ( 2 ) + ( - 4 ) ^ ( 2 ) ) ) = 5 )     determinant determinant of matrix theory   A means the determinant of the matrix A   1 2 2 9 = 5 ( \ displaystyle ( \ begin ( vmatrix ) 1&amp;2 \ \ 2&amp;9 \ \ \ end ( vmatrix ) ) = 5 )     cardinality cardinality of ; size of ; order of set theory   X means the cardinality of the set X . ( # may be used instead as described below . )   ( 3 , 5 , 7 , 9 ) = 4 .     ‖ ... ‖   ‖ ... ‖ ( \ displaystyle \ \ ldots \ \ ! \ , ) \ \ ldots \ \ ! \ ,   norm norm of ; length of linear algebra   ‖ x ‖ means the norm of the element x of a normed vector space .   ‖ x + y ‖ ≤ ‖ x ‖ + ‖ y ‖     nearest integer function nearest integer to numbers   ‖ x ‖ means the nearest integer to x . ( This may also be written ( x ) , ⌊ x ⌉ , nint ( x ) or Round ( x ) . )   ‖ 1 ‖ = 1 , ‖ 1.6 ‖ = 2 , ‖ − 2.4 ‖ = − 2 , ‖ 3.49 ‖ = 3     ( , )   ( , ) ( \ displaystyle ( \ ( \ , \ ! \ \ ) ) \ ! \ , ) ( \ ( \ , \ ! \ \ ) ) \ ! \ ,   set brackets the set of ... set theory   ( a , b , c ) means the set consisting of a , b , and c .   N = ( 1 , 2 , 3 , ... )     ( : ) ( ) ( ; )   ( : ) ( \ displaystyle \ ( \ :\ \ ) \ ! \ , ) \ ( \ :\ \ ) \ ! \ , ( ) ( \ displaystyle \ ( \ \ \ ) \ ! \ , ) \ ( \ \ \ ) \ ! \ , ( ; ) ( \ displaystyle \ ( \ ; \ \ ) \ ! \ , ) \ ( \ ; \ \ ) \ ! \ ,   set builder notation the set of ... such that set theory   ( x : P ( x ) ) means the set of all x for which P ( x ) is true . ( x P ( x ) ) is the same as ( x : P ( x ) ) .   ( n ∈ N : n     ⌊ ... ⌋   ⌊ ... ⌋ ( \ displaystyle \ lfloor \ ldots \ rfloor \ ! \ , ) \ lfloor \ ldots \ rfloor \ ! \ ,   floor floor ; greatest integer ; entier numbers   ⌊ x ⌋ means the floor of x , i.e. the largest integer less than or equal to x . ( This may also be written ( x ) , floor ( x ) or int ( x ) . )   ⌊ 4 ⌋ = 4 , ⌊ 2.1 ⌋ = 2 , ⌊ 2.9 ⌋ = 2 , ⌊ − 2.6 ⌋ = − 3     ⌈ ... ⌉   ⌈ ... ⌉ ( \ displaystyle \ lceil \ ldots \ rceil \ ! \ , ) \ lceil \ ldots \ rceil \ ! \ ,   ceiling ceiling numbers   ⌈ x ⌉ means the ceiling of x , i.e. the smallest integer greater than or equal to x . ( This may also be written ceil ( x ) or ceiling ( x ) . )   ⌈ 4 ⌉ = 4 , ⌈ 2.1 ⌉ = 3 , ⌈ 2.9 ⌉ = 3 , ⌈ − 2.6 ⌉ = − 2     ⌊ ... ⌉   ⌊ ... ⌉ ( \ displaystyle \ lfloor \ ldots \ rceil \ ! \ , ) \ lfloor \ ldots \ rceil \ ! \ ,   nearest integer function nearest integer to numbers   ⌊ x ⌉ means the nearest integer to x . ( This may also be written ( x ) , x , nint ( x ) or Round ( x ) . )   ⌊ 2 ⌉ = 2 , ⌊ 2.6 ⌉ = 3 , ⌊ − 3.4 ⌉ = − 3 , ⌊ 4.49 ⌉ = 4     ( : )   ( : ) ( \ displaystyle ( \ :\ ) \ ! \ , ) ( \ :\ ) \ ! \ ,   degree of a field extension the degree of field theory   ( K : F ) means the degree of the extension K : F .   ( Q ( √ 2 ) : Q ) = 2 ( C : R ) = 2 ( R : Q ) = ∞     ( ) ( , ) ( , , )   ( ) ( \ displaystyle ( \ ) \ ! \ , ) ( \ ) \ ! \ , ( , ) ( \ displaystyle ( \ , \ ) \ ! \ , ) ( \ , \ ) \ ! \ , ( , , ) ( \ displaystyle ( \ , \ , \ ) \ ! \ , )   equivalence class the equivalence class of abstract algebra   ( a ) means the equivalence class of a , i.e. ( x : x ~ a ) , where ~ is an equivalence relation . ( a ) means the same , but with R as the equivalence relation .   Let a ~ b be true iff a ≡ b ( mod 5 ) .  Then ( 2 ) = ( ... , − 8 , − 3 , 2 , 7 , ... ) .      floor floor ; greatest integer ; entier numbers   ( x ) means the floor of x , i.e. the largest integer less than or equal to x . ( This may also be written ⌊ x ⌋ , floor ( x ) or int ( x ) . Not to be confused with the nearest integer function , as described below . )   ( 3 ) = 3 , ( 3.5 ) = 3 , ( 3.99 ) = 3 , ( − 3.7 ) = − 4     nearest integer function nearest integer to numbers   ( x ) means the nearest integer to x . ( This may also be written ⌊ x ⌉ , x , nint ( x ) or Round ( x ) . Not to be confused with the floor function , as described above . )   ( 2 ) = 2 , ( 2.6 ) = 3</t>
  </si>
  <si>
    <t xml:space="preserve">what is the symbol for approximately equal to</t>
  </si>
  <si>
    <t xml:space="preserve">  Read as     Category     =   = ( \ displaystyle = )   equality is equal to ; equals everywhere   x = y ( \ displaystyle x = y ) means x ( \ displaystyle x ) and y ( \ displaystyle y ) represent the same thing or value .   2 = 2 ( \ displaystyle 2 = 2 ) 1 + 1 = 2 ( \ displaystyle 1 + 1 = 2 ) 36 − 5 = 31 ( \ displaystyle 36 - 5 = 31 )     ≠   ≠ ( \ displaystyle \ neq ) \ ne   inequality is not equal to ; does not equal everywhere   x ≠ y ( \ displaystyle x \ neq y ) means that x ( \ displaystyle x ) and y ( \ displaystyle y ) do not represent the same thing or value . ( The forms ! = , / = or  are generally used in programming languages where ease of typing and use of ASCII text is preferred . )   2 + 2 ≠ 5 ( \ displaystyle 2 + 2 \ neq 5 ) 36 − 5 ≠ 30 ( \ displaystyle 36 - 5 \ neq 30 )     ≈   ≈ ( \ displaystyle \ approx ) \ approx   approximately equal is approximately equal to everywhere   x ≈ y means x is approximately equal to y . This may also be written ≃ , ≅ , ~ , ♎ ( Libra Symbol ) , or ≒ .   π ≈ 3.14159     isomorphism is isomorphic to group theory   G ≈ H means that group G is isomorphic ( structurally identical ) to group H . ( ≅ can also be used for isomorphic , as described below . )   Q / C ≈ V     ~   ∼ ( \ displaystyle \ sim ) \ sim   probability distribution has distribution statistics   X ~ D , means the random variable X has the probability distribution D .   X ~ N ( 0 , 1 ) , the standard normal distribution     row equivalence is row equivalent to matrix theory   A ~ B means that B can be generated by using a series of elementary row operations on A   ( 1 2 2 4 ) ∼ ( 1 2 0 0 ) ( \ displaystyle ( \ begin ( bmatrix ) 1&amp;2 \ \ 2&amp;4 \ \ \ end ( bmatrix ) ) \ sim ( \ begin ( bmatrix ) 1&amp;2 \ \ 0&amp;0 \ \ \ end ( bmatrix ) ) )     same order of magnitude roughly similar ; poorly approximates ; is on the order of approximation theory   m ~ n means the quantities m and n have the same order of magnitude , or general size . ( Note that ~ is used for an approximation that is poor , otherwise use ≈ . )   2 ~ 5 8 × 9 ~ 100 but π ≈ 10     similarity is similar to geometry   △ ABC ~ △ DEF means triangle ABC is similar to ( has the same shape ) triangle DEF .       asymptotically equivalent is asymptotically equivalent to asymptotic analysis   f ~ g means lim n → ∞ f ( n ) g ( n ) = 1 ( \ displaystyle \ lim _ ( n \ to \ infty ) ( \ frac ( f ( n ) ) ( g ( n ) ) ) = 1 ) .   x ~ x + 1     equivalence relation are in the same equivalence class everywhere   a ~ b means b ∈ ( a ) ( \ displaystyle b \ in ( a ) ) ( and equivalently a ∈ ( b ) ( \ displaystyle a \ in ( b ) ) ) .   1 ~ 5 mod 4       = : : = ≡ : ⇔ ≜ ≝ ≐   = : ( \ displaystyle = : ) : = ( \ displaystyle : = ) ≡ ( \ displaystyle \ equiv ) \ equiv : ⇔ ( \ displaystyle : \ Leftrightarrow ) : \ Leftrightarrow ≜ ( \ displaystyle \ triangleq ) \ triangleq = d e f ( \ displaystyle ( \ overset ( \ underset ( \ mathrm ( def ) ) ( ) ) ( = ) ) ) \ overset ( \ underset ( \ mathrm ( def ) ) ( ) ) ( = ) ≐ ( \ displaystyle \ doteq ) \ doteq   definition is defined as ; is equal by definition to everywhere   x : = y , y = : x or x ≡ y means x is defined to be another name for y , under certain assumptions taken in context . ( Some writers use ≡ to mean congruence ) . P ⇔ Q means P is defined to be logically equivalent to Q .   cosh ⁡ x : = e x + e − x 2 ( \ displaystyle \ cosh x : = ( \ frac ( e ^ ( x ) + e ^ ( - x ) ) ( 2 ) ) ) ( a , b ) : = a ⋅ b − b ⋅ a ( \ displaystyle ( a , b ) : = a \ cdot b-b \ cdot a )     ≅   ≅ ( \ displaystyle \ cong ) \ cong   congruence is congruent to geometry   △ ABC ≅ △ DEF means triangle ABC is congruent to ( has the same measurements as ) triangle DEF .       isomorphic is isomorphic to abstract algebra   G ≅ H means that group G is isomorphic ( structurally identical ) to group H . ( ≈ can also be used for isomorphic , as described above . )   V ≅ C × C     ≡   ≡ ( \ displaystyle \ equiv ) \ equiv   congruence relation ... is congruent to ... modulo ... modular arithmetic   a ≡ b ( mod n ) means a − b is divisible by n   5 ≡ 2 ( mod 3 )     ⇔ ↔   ⇔ ( \ displaystyle \ Leftrightarrow ) \ Leftrightarrow ⟺ ( \ displaystyle \ iff ) \ iff ↔ ( \ displaystyle \ leftrightarrow ) \ leftrightarrow   material equivalence if and only if ; iff propositional logic   A ⇔ B means A is true if B is true and A is false if B is false .   x + 5 = y + 2 ⇔ x + 3 = y     : = = :   : = ( \ displaystyle : = ) = : ( \ displaystyle = : )   Assignment is defined to be everywhere   A : = b means A is defined to have the value b .   Let a : = 3 , then ... f ( x ) : = x + 3     Symbols that point left or right ( edit )     Symbol in HTML   Symbol in TeX </t>
  </si>
  <si>
    <t xml:space="preserve">Pittsburgh Steelers - wikipedia  Pittsburgh Steelers  Jump to : navigation , search `` Steelers '' redirects here . For other uses , see Steelers ( disambiguation ) .    Pittsburgh Steelers     Current season     Established July 8 , 1933 ; 84 years ago ( July 8 , 1933 ) First season : 1933 Play in Heinz Field Pittsburgh , Pennsylvania Headquartered in UPMC Sports Performance Complex Pittsburgh , Pennsylvania Training camp in Latrobe , Pennsylvania                  Logo   Wordmark        League / conference affiliations      National Football League ( 1933 -- present )    Eastern Division ( 1933 -- 1943 , 1945 -- 1949 )   Western Division ( 1944 )   American Conference ( 1950 -- 1952 )   Eastern Conference ( 1953 -- 1969 )   Century Division ( 1967 -- 1969 )     American Football Conference ( 1970 -- present )   AFC Central ( 1970 -- 2001 )   AFC North ( 2002 -- present )         Current uniform         Team colors    Black , Gold      Mascot   Steely McBeam     Personnel     Owner ( s )   Rooney family     President   Art Rooney II     General manager   Kevin Colbert     Head coach   Mike Tomlin     Team history       Pittsburgh Pirates ( 1933 -- 1939 )   Pittsburgh Steelers ( 1940 -- 1942 ; 1945 -- present )   Phil - Pitt `` Steagles '' ( 1943 )   Card - Pitt ( 1944 )       Championships      League championships ( 6 )    Super Bowl championships ( 6 ) 1974 ( IX ) , 1975 ( X ) , 1978 ( XIII ) , 1979 ( XIV ) , 2005 ( XL ) , 2008 ( XLIII )        Conference championships ( 8 )    AFC : 1974 , 1975 , 1978 , 1979 , 1995 , 2005 , 2008 , 2010        Division championships ( 23 )    AFC Central : 1972 , 1974 , 1975 , 1976 , 1977 , 1978 , 1979 , 1983 , 1984 , 1992 , 1994 , 1995 , 1996 , 1997 , 2001   AFC North : 2002 , 2004 , 2007 , 2008 , 2010 , 2014 , 2016 , 2017       Playoff appearances ( 31 )       NFL : 1947 , 1972 , 1973 , 1974 , 1975 , 1976 , 1977 , 1978 , 1979 , 1982 , 1983 , 1984 , 1989 , 1992 , 1993 , 1994 , 1995 , 1996 , 1997 , 2001 , 2002 , 2004 , 2005 , 2007 , 2008 , 2010 , 2011 , 2014 , 2015 , 2016 , 2017       Home fields       Forbes Field ( 1933 -- 1963 )   Shibe Park ( 1943 )   Comiskey Park ( 1944 )   Pitt Stadium ( 1958 -- 1969 )   Three Rivers Stadium ( 1970 -- 2000 )   Heinz Field ( 2001 -- present )       Team owner ( s )     Rooney family ( 1933 -- present )     Team president ( s )       Art Rooney ( 1933 -- 1975 )   Dan Rooney ( 1975 -- 2002 )   Art Rooney II ( 2002 -- present )       The Pittsburgh Steelers are a professional American football team based in Pittsburgh , Pennsylvania . The Steelers compete in the National Football League ( NFL ) , as a member club of the league 's American Football Conference ( AFC ) North division . Founded in 1933 , the Steelers are the oldest franchise in the AFC .   In contrast with their status as perennial also - rans in the pre-merger NFL , where they were the oldest team never to win a league championship , the Steelers of the post-merger ( modern ) era are one of the most successful NFL franchises . Pittsburgh has won more Super Bowl titles ( 6 ) and both played in ( 16 ) and hosted more conference championship games ( 11 ) than any other NFL team . The Steelers have won 8 AFC championships , tied with the Denver Broncos , but behind the New England Patriots ' record 9 AFC championships . The Steelers share the record for second most Super Bowl appearances with the Broncos , and Dallas Cowboys ( 8 ) . The Steelers lost their most recent championship appearance , Super Bowl XLV , on February 6 , 2011 .   The Steelers , whose history traces to a regional pro team that was established in the early 1920s , joined the NFL as the Pittsburgh Pirates on July 8 , 1933 , owned by Art Rooney and taking its original name from the baseball team of the same name , as was common practice for NFL teams at the time . To distinguish them from the baseball team , local media took to calling the football team the Rooneymen , an unofficial nickname which persisted for decades after the team adopted its current nickname . The ownership of the Steelers has remained within the Rooney family since its founding . Art 's son , Dan Rooney owned the team from 1988 until his death in 2017 . Much control of the franchise has been given to Dan 's son Art Rooney II . The Steelers enjoy a large , widespread fanbase nicknamed Steeler Nation . The Steelers currently play their home games at Heinz Field on Pittsburgh 's North Side in the North Shore neighborhood , which also hosts the University of Pittsburgh Panthers . Built in 2001 , the stadium replaced Three Rivers Stadium which hosted the Steelers for 31 seasons . Prior to Three Rivers , the Steelers had played their games in Pitt Stadium and Forbes Field .     Contents  ( hide )   1 Franchise history   1.1 The Chuck Noll era   1.2 The Bill Cowher era   1.3 The Mike Tomlin era   1.4 Summary   1.5 Ownership   1.6 Season - by - season records   1.7 Civil rights advocacy     2 Logo and uniforms   3 Rivals   3.1 Divisional rivals   3.2 Historic rivals     4 Culture   4.1 Mascot   4.2 Fanbase   4.3 Fight songs   4.4 Basketball     5 Facilities   5.1 Stadiums   5.2 Training camp   5.3 Historical facilities     6 Statistics   7 Players of note   7.1 Current roster   7.2 Retired uniform numbers   7.3 Pro Football Hall of Famers   7.3. 1 `` Primary '' inductees   7.3. 1.1 Award recipients     7.3. 2 Steelers in the Hall for contributions elsewhere     7.4 Pro Bowl players   7.5 NFL MVPs   7.6 Defensive Player of the Year Awards winners   7.7 Rookie of the Year Award winners   7.8 Super Bowl MVPs   7.9 NFL All - Decade Teams   7.10 All - time team   7.11 Dapper Dan Sportsman of the Year     8 Hall of Honor   9 Coaches   9.1 Current staff   9.2 Offensive coordinator history   9.3 Defensive coordinator history     10 Media   10.1 Figures with broadcasting résumés   10.2 Newspaper   10.3 Usage in popular culture     11 The Chuck Noll Foundation for Brain Injury Research   12 See also   13 References   14 External links      Franchise history  For more details on this topic , see History of the Pittsburgh Steelers . See also : American football in Western Pennsylvania  The Pittsburgh Steelers of the NFL first took to the field as the Pittsburgh Pirates on September 20 , 1933 , losing 23 -- 2 to the New York Giants . Through the 1930s , the Pirates never finished higher than second place in their division , or with a record better than . 500 ( 1936 ) . Pittsburgh did make history in 1938 by signing Byron White , a future Justice of the U.S. Supreme Court , to what was at the time the biggest contract in NFL history , but he played only one year with the Pirates before signing with the Detroit Lions . Prior to the 1940 season , the Pirates renamed themselves the Steelers .   During World War II , the Steelers experienced player shortages . They twice merged with other NFL franchises to field a team . During the 1943 season , they merged with the Philadelphia Eagles forming the `` Phil - Pitt Eagles '' and were known as the `` Steagles '' . This team went 5 -- 4 -- 1 . In 1944 , they merged with the Chicago Cardinals and were known as Card - Pitt ( or , mockingly , as the `` Carpets '' ) . This team finished 0 -- 10 , marking the only winless team in franchise history .   The Steelers made the playoffs for the first time in 1947 , tying for first place in the division at 8 -- 4 with the Philadelphia Eagles . This forced a tie - breaking playoff game at Forbes Field , which the Steelers lost 21 -- 0 . That would be Pittsburgh 's only playoff game for the next 25 years ; they did qualify for a `` Playoff Bowl '' in 1962 as the second - best team in their conference , but this was not considered an official playoff .   In 1970 , the year they moved into Three Rivers Stadium and the year of the AFL -- NFL merger , the Pittsburgh Steelers were one of three old - guard NFL teams to switch to the newly formed American Football Conference ( the others being the Cleveland Browns and the Baltimore Colts ) , in order to equalize the number of teams in the two conferences of the newly merged league . The Steelers also received a $3 million ( $18.9 million today ) relocation fee , which was a windfall for them ; for years they rarely had enough to build a true contending team .   The Chuck Noll era  For more details on this topic , see Chuck Noll .  The Steelers ' history of bad luck changed with the hiring of coach Chuck Noll for the 1969 season . Noll 's most remarkable talent was in his draft selections , taking Hall of Famers `` Mean '' Joe Greene in 1969 , Terry Bradshaw and Mel Blount in 1970 , Jack Ham in 1971 , Franco Harris in 1972 , and finally , in 1974 , pulling off the incredible feat of selecting four Hall of Famers in one draft year , Lynn Swann , Jack Lambert , John Stallworth , and Mike Webster . The Pittsburgh Steelers ' 1974 draft was their best ever ; no other team has ever drafted four future Hall of Famers in one year , and only very few ( including the 1970 Steelers ) have drafted two or more in one year .   The players drafted in the early 1970s formed the base of an NFL dynasty , making the playoffs in eight seasons and becoming the only team in NFL history to win four Super Bowls in six years , as well as the first to win more than two . They also enjoyed a regular season streak of 49 consecutive wins ( 1971 -- 1979 ) against teams that would finish with a losing record that year .   The Steelers suffered a rash of injuries in the 1980 season and missed the playoffs with a 9 -- 7 record . The 1981 season was no better , with an 8 -- 8 showing . The team was then hit with the retirements of all their key players from the Super Bowl years . `` Mean '' Joe Greene retired after the 1981 season , Lynn Swann and Jack Ham after 1982 's playoff berth , Terry Bradshaw and Mel Blount after 1983 's divisional championship , and Jack Lambert after 1984 's AFC Championship Game appearance .   After those retirements , the franchise skidded to its first losing seasons since 1971 . Though still competitive , the Steelers would not finish above . 500 in 1985 , 1986 , and 1988 . In 1987 , the year of the players ' strike , the Steelers finished with a record of 8 -- 7 , but missed the playoffs . In 1989 , they would reach the second round of the playoffs on the strength of Merrill Hoge and Rod Woodson before narrowly missing the playoffs in each of the next two seasons .   Noll 's career record with Pittsburgh was 209 -- 156 -- 1 .   The Bill Cowher era  For more details on this topic , see Bill Cowher .  In 1992 , Chuck Noll retired and was succeeded by Kansas City Chiefs defensive coordinator Bill Cowher , a native of the Pittsburgh suburb of Crafton .  Steelers ' five Super Bowl rings before 2009  Cowher led the Steelers to the playoffs in each of his first six seasons , a feat that had been accomplished only by legendary coach Paul Brown of the Cleveland Browns . In those first six seasons , Cowher coached them as deep as the AFC Championship Game three times and following the 1995 season an appearance in Super Bowl XXX on the strength of the `` Blitzburgh '' defense . However , the Steelers lost to the Dallas Cowboys in Super Bowl XXX , two weeks after a thrilling AFC Championship victory over the Indianapolis Colts . Cowher produced the franchise 's record - tying fifth Super Bowl win in Super Bowl XL over the National Football Conference champion Seattle Seahawks ten years later . With that victory , the Steelers became the third team to win five Super Bowls , and the first sixth - seeded playoff team to reach and win the Super Bowl since the NFL expanded to a 12 - team post-season tournament in 1990 . He coached through the 2006 season which ended with an 8 -- 8 record , just short of the playoffs . Overall Cowher 's teams reached the playoffs 10 of 15 seasons with six AFC Championship Games , two Super Bowl berths and a championship .   Cowher 's career record with Pittsburgh was 149 -- 90 -- 1 in the regular season and 161 -- 99 -- 1 overall , including playoff games .   The Mike Tomlin era  For more details on this topic , see Mike Tomlin . Roethlisberger in a Steelers ' throwback jersey during 500th franchise win  On January 7 , 2007 , Cowher resigned from coaching the Steelers , citing a need to spend more time with his family . He did not use the term `` retire '' , leaving open a possible return to the NFL as coach of another team . A three - man committee consisting of Art Rooney II , Dan Rooney , and Kevin Colbert was set up to conduct interviews for the head coaching vacancy . The candidates interviewed included : offensive coordinator Ken Whisenhunt , offensive line coach Russ Grimm , former offensive coordinator Chan Gailey , Minnesota Vikings defensive coordinator Mike Tomlin , and Chicago Bears defensive coordinator Ron Rivera . On January 22 , 2007 , Mike Tomlin was announced as Cowher 's successor as head coach . Tomlin is the first African - American to be named head coach of the Pittsburgh Steelers in its 75 - year history . Tomlin became the third consecutive Steelers Head Coach to go to the Super Bowl , equaling the Dallas Cowboys ( Tom Landry , Jimmy Johnson and Barry Switzer ) in this achievement . He was named the Motorola 2008 Coach of the Year . On February 1 , 2009 , Tomlin led the Steelers to their second Super Bowl of this decade , and went on to win 27 -- 23 against the Arizona Cardinals . At age 36 , he was the youngest head coach to ever win the Super Bowl , and he is only the second African - American coach to ever win the Super Bowl ( Tony Dungy was the first ) . The 2010 season made Tomlin the only coach to reach the Super Bowl twice before the age of 40 . Tomlin led the team to his second Super Bowl ( Super Bowl XLV ) on Feb. 6 , 2011 . However , the Steelers were defeated in their eighth Super Bowl appearance by the Green Bay Packers by the score of 31 -- 25 . The Steelers recorded their 400th victory in 2012 after defeating the Washington Redskins .   Through the 2016 season , Tomlin 's record is 111 -- 63 , including playoffs . He is the first Pittsburgh coach without a losing season . The 2013 -- 2017 seasons were noted for record performances from the `` killer B 's '' . This trio consisted of Antonio Brown , Ben Roethlisberger and Le'Veon Bell . Occasionally , the `` Killer B 's '' has also included kicker Chris Boswell due to his ability to hit game - winning field goals .   Summary   Since the NFL merger in 1970 , the Pittsburgh Steelers have compiled a regular season record of 444 -- 282 -- 2 (. 635 ) and an overall record of 480 - 305 - 2 (. 635 ) including the playoffs , reached the playoffs 30 times , won their division 22 times , played in 16 AFC championship games , and won six of eight Super Bowls . They are also the only NFL team not to have a season with twelve or more losses since the league expanded to a 16 - game schedule in 1978 .   Ownership  Heinz Field , current home of the Pittsburgh Steelers  Since 2008 , the Rooney family has brought in several investors for the team while retaining control of the team itself . This came about so that the team could comply with NFL ownership regulations . Dan Rooney , and his son , Art Rooney II , president of the franchise , wanted to stay involved with the franchise , while two of the brothers -- Timothy and Patrick -- wanted to further pursue racetracks that they own in Florida and New York . Since 2006 , many of the racetracks have added video slot machines , causing them to violate `` NFL policy that prohibits involvement with racetrack and gambling interests '' .   Upon Dan Rooney 's death in 2017 , he and Art Rooney II retained control of the team with the league - minimum 30 % , the following make up the other investors :    Several other members of the Rooney family , including Art Rooney Jr. , John Rooney , and the McGinley family , who are cousins to the Rooneys .   Legendary Pictures president and CEO Thomas Tull .   The Robert A. Paul family of Pittsburgh and Los Angeles , which is primarily involved with Pittsburgh - based Ampco Pittsburgh Corporation as well as Morton 's Restaurant Group , Urban Active Fitness , Meyer Products and Harley Marine Services . Additionally , family members serve on numerous boards , including Cornell University , UPMC , University of Pittsburgh , the American Red Cross , Harvard Medical School and the Loomis Chaffee School .   Former Steelers wide receiver John Stallworth , a member of the Pro Football Hall of Fame .   GTCR chairman Bruce V. Rauner . President Obama poses with the Steelers in 2009 . Left to right : Ben Roethlisberger , Hines Ward , Obama , and Dan Rooney .   The Peter Varischetti family of Brockway , Pennsylvania , which owns several nursing homes and a commercial real estate business .   Paul Evanson , chairman , president , and CEO of Allegheny Energy .   Russ and Scott Swank of Lower Burrell , Pennsylvania .    Season - by - season records  For more details on this topic , see List of Pittsburgh Steelers seasons .  Through the end of the 2015 season , the Steelers have an all - time record of 624 -- 552 -- 21 , including playoffs . In recent seasons the Steelers have generally performed well , qualifying for the playoffs six times in the past ten seasons and winning the Super Bowl twice since 2005 .   In the NFL 's `` modern era '' ( since the AFL -- NFL merger in 1970 ) the Steelers have posted the best record in the league . The franchise has won the most regular season games , the most playoff games ( 33 playoff wins ; the Dallas Cowboys are second with 32 ) , won the most divisional titles ( 20 ) , has played in the most conference championship games ( 15 ) , hosted the most conference championship games ( 11 ) , and is tied with the Dallas Cowboys , the Denver Broncos and the New England Patriots for the most Super Bowl appearances ( 8 ) . The Steelers have the best winning percentage ( including every expansion team ) , earned the most All - Pro nominations , and have accumulated the most Super Bowl wins ( 6 ) since the modern game started in 1970 . Since the merger , the team 's playoff record is 33 -- 19 (. 635 ) , which is second best in terms of playoff winning percentage behind the Green Bay Packers ' playoff record of 28 -- 16 (. 636 ) , through January 23 , 2011 .   Civil rights advocacy   The franchise , along with the Rooney family have for generations been strong advocates for equality of opportunity for both minorities and women . Among these achievements of the Steelers was the first to hire an African - American Assistant Coach ( September 29 , 1957 with Lowell Perry ) , the first to start an African - American quarterback ( December 3 , 1973 with Joe Gilliam ) , the first team to boast of an African - American Super Bowl MVP ( January 12 , 1975 with Franco Harris ) , the first to hire an African - American Coordinator ( September 2 , 1984 with Tony Dungy ) , the first owner to push for passage of an `` equal opportunity '' mandating that at least one minority candidate is given an interview in all head coach hiring decisions throughout the league ( the Rooney Rule in the early 2000s ) , and the first to hire a female as full - time athletic trainer ( Ariko Iso on July 24 , 2002 ) . Note : Although Marlin Briscoe is sometimes erroneously cited as the first African - American starting quarterback in 1968 , this was not for an NFL team and not in an NFL game , additionally the vast majority of Briscoe 's career was not as quarterback .   Logo and uniforms  For more details on this topic , see Logos and uniforms of the Pittsburgh Steelers . US Airways logo jet featuring the colors of the Pittsburgh Steelers The script logo .  The Steelers have used black and gold as their colors since the club 's inception , the lone exception being the 1943 season when they merged with the Philadelphia Eagles and formed the `` Steagles '' ; the team 's colors at that time were green and white as a result of wearing Eagles uniforms . Originally , the team wore solid gold - colored helmets and black jerseys . The Steelers ' black and gold colors are now shared by all major professional teams in the city , including the Pittsburgh Pirates in baseball and the Pittsburgh Penguins in ice hockey , and also the Pittsburgh Power of the re-formed Arena Football League , and the Pittsburgh Passion of the Independent Women 's Football League . The shade of gold differs slightly among teams : the Penguins have previously used `` Vegas Gold '' , a color similar to metallic gold , and the Pirates ' gold is a darker mustard yellow - gold , while the Steelers `` gold '' is more of a bright canary yellow . Black and gold are also the colors of the city 's official flag .   The Steelers logo was introduced in 1962 and is based on the `` Steelmark '' , originally designed by Pittsburgh 's U.S. Steel and now owned by the American Iron and Steel Institute ( AISI ) . In fact , it was Cleveland - based Republic Steel that suggested the Steelers adopt the industry logo . It consists of the word `` Steelers '' surrounded by three astroids ( hypocycloids of four cusps ) . The original meanings behind the astroids were , `` Steel lightens your work , brightens your leisure , and widens your world . '' Later , the colors came to represent the ingredients used in the steel - making process : yellow for coal , red for iron ore , and blue for scrap steel . While the formal Steelmark logo contains only the word `` Steel '' , the team was given permission to add `` ers '' in 1963 after a petition to AISI .   The Steelers are the only NFL team that puts its logo on only one side of the helmet ( the right side ) . Longtime field and equipment manager Jack Hart was instructed to do this by Art Rooney as a test to see how the logo appeared on the gold helmets ; however , its popularity led the team to leave it that way permanently . A year after introducing the logo , they switched to black helmets to make it stand out more .   The Steelers , along with the New York Giants , are one of only two teams in the National Football League to have the players ' uniform numbers on both the front and back of the helmets .   The current uniform designs were introduced in 1968 . The design consists of gold pants and either black jerseys or white jerseys , except for the 1970 and 1971 seasons when the Steelers wore white pants with their white jerseys . In 1997 , the team switched to rounded numbers on the jersey to match the number font ( Futura Condensed ) on the helmets , and a Steelers logo was added to the left side of the jersey .   The 2007 -- 2011 third uniform , consisting of a black jersey with gold lettering , white pants with black and gold stripes , and a gold helmet were first used during the Steelers ' 75th anniversary season in 2007 . They were meant to evoke the memory of the 1963 -- 1964 era uniforms . The uniforms were so popular among fans that the Steelers ' organization decided to keep them and use them as a third option during home games only .   In 2012 , the Steelers introduced a new third uniform , consisting of a yellow jersey with black horizontal lines ( making a bumble bee like pattern ) with black lettering and black numbers placed inside a white box , to represent the jerseys worn by the Steelers in their 1934 season . The rest of the uniform consists of beige pants , yellow with black horizontal stripped socks , and the Steelers regular black helmet . The uniforms were used for the Steelers ' 80th anniversary season . Much like the previous alternate these jerseys were so popular that they were used up through the 2016 season . The jerseys were nicknamed the `` bumblebee jerseys '' due to looking like the pattern of a bumble bee . The jerseys were retired after the 2016 season .   In 2008 -- 2009 , the Steelers became the first team in NFL history to defeat an opponent three times in a single season using three different uniforms . They defeated the Baltimore Ravens in Pittsburgh in Week 4 in their third jerseys , again Week 15 in Baltimore in their road whites , and a final time in the AFC Championship in Pittsburgh in their home black jerseys .   In 1979 , the team owners were approached by then - Iowa Hawkeyes Head Coach Hayden Fry about designing his fading college team 's uniforms in the image of the Steelers . Three days later , the owners sent Fry the reproduction jerseys ( home and away versions ) of then quarterback Terry Bradshaw . Today , the Hawkeyes still retain the 1979 Steelers uniforms as their home , and away colors .   Rivals       This section does not cite any sources . Please help improve this section by adding citations to reliable sources . Unsourced material may be challenged and removed . ( July 2013 ) ( Learn how and when to remove this template message )     The Pittsburgh Steelers have three primary rivals , all within their division : ( Cleveland Browns , Baltimore Ravens , and Cincinnati Bengals ) . They also have rivalries with other teams that arose from post-season battles in the past , most notably the New England Patriots , Oakland Raiders , Tennessee Titans and Dallas Cowboys . They also have an intrastate rivalry with the Philadelphia Eagles , but under the current scheduling the teams play each other only once every four years .   Divisional rivals    The Cleveland Browns and the Steelers have been divisional rivals since the two cities ' teams began playing against each other in 1950 . After posting a 9 -- 31 record in the first 40 games of the series between the two cities , the Steelers recently took over the all - time series lead for the first time ever ( 64 -- 56 ) ; partly due to their dominance over the post-1999 Cleveland Browns franchise and won twelve straight before the Browns snapped their losing skid against them by beating them 13 -- 6 on December 10 , 2009 . Additionally , the Browns lost 16 straight years in Pittsburgh from 1970 -- 1985 and posted an abysmal 5 -- 24 record at Three Rivers Stadium overall . Former Steelers head coach Bill Cowher coached the Browns special teams and secondary before following Marty Schottenheimer for a brief tenure as Kansas City Defensive Coordinator , and then hired by Pittsburgh . This has only intensified the rivalry .   The Baltimore Ravens and the Steelers have had several memorable match - ups and have a bitter divisional rivalry . Both teams handed the other their first losses at their current home fields . The Steelers won the inaugural game played at Baltimore 's M&amp;T Bank Stadium in 1998 , 20 -- 13 , and three years later the Ravens handed the Steelers their first - ever loss at Heinz Field , 13 -- 10 . Later that season ( 2001 ) Pittsburgh won a divisional playoff game 27 -- 10 against Baltimore , who was the defending Super Bowl champion . During their NFL championship season in 2000 , the Ravens defeated the Steelers in Pittsburgh , 16 -- 0 , in the season opener with the Steelers later exacting revenge , 9 -- 6 , in Baltimore ( the Ravens ' final loss of the season ) . During the Steelers 2008 Championship run , they beat the Ravens three times , including a win in the AFC Championship game . The Steelers lead the series ( begun in 1996 ) , 16 -- 10 . The two teams complement each other by consistently fielding strong defenses in their division .   The Cincinnati Bengals -- Steelers rivalry dates from the 1970 season , when the AFL -- NFL merger was completed . In 1976 , the Steelers kept their playoff hopes alive ( they later won the division ) with a late - season 7 -- 3 win in snowy Cincinnati . One of the most memorable games was the 2005 AFC Wildcard playoff game , in which the Steelers , en route to a Super Bowl title , won a 31 -- 17 come - from - behind victory after Bengals QB Carson Palmer was forced to leave the game with a knee injury . The injury happened when nose tackle Kimo von Oelhoffen contacted Palmer 's knee during a passing play . The Bengals players called this a dirty play ; the NFL ruled that it was accidental and did not fine von Oelhoffen for the hit . This incident has led to an intensifying of the rivalry since this game . The Bengals beat the Steelers in week 13 of the 2005 season 38 -- 31 , and wide receiver T.J. Houshmandzadeh used a Terrible Towel to polish his cleats while walking up the tunnel after the game , fueling the rivalry . The Steelers and Bengals finished 2005 and 2006 with identical records ( 11 -- 5 and 8 -- 8 respectively ) , splitting both regular - season series , the Bengals winning the tiebreaker both years due to having a superior division record . The Steelers also are responsible for ending the Bengals ' season in Cincinnati two years in a row , eliminating them from the playoffs in 2005 and taking them out of contention in 2006 . The Steelers lead the all - time series , 52 -- 32 .    Historic rivals    The Raiders -- Steelers rivalry was one of the most heated of the 1970s and early to mid-1980s . The Steelers ' first playoff win was a 13 -- 7 victory over the Raiders by way of Franco Harris 's Immaculate Reception on December 23 , 1972 . The wild card Pittsburgh football team was knocked out of the playoffs the following year by the Raiders in the 1973 AFC Divisional round 33 -- 14 , but fired back with two straight AFC Championships in 1974 24 -- 13 and 1975 16 -- 10 over Oakland . Oakland responded with a victory over Pittsburgh in the 1976 AFC Championship game 24 -- 7 ( the third consecutive AFC title game between the two teams ) , but not before Chuck Noll referred to Oakland 's George Atkinson as part of the NFL 's `` criminal element '' after his alleged cheap - shot on Lynn Swann during a regular - season matchup . Atkinson and the Raiders later filed a defamation of character lawsuit against Noll , but lost . Following the 1983 regular season , the Los Angeles Raiders defeated the Steelers 38 -- 10 in the AFC Divisional round which turned out to be the last NFL game for Steeler Pro Football Hall of Fame quarterback Terry Bradshaw who did not play due to injury . While the rivalry has dissipated over the years ( mostly due to Oakland 's decline after 2002 ) , the teams have had notable games against each other including an upset Steelers victory towards the end of the 2000 season to prevent the Raiders from obtaining homefield advantage in the playoffs , and an upset Raiders victory in week 8 of the 2006 NFL season ( 20 -- 13 ) , which helped cost the Steelers a playoff berth ; three years later another Raiders upset took place . In Week 13 , the game lead changed five times on five touchdowns in the fourth quarter ; Bruce Gradkowski 's third touchdown of the quarter won it with nine seconds to go , and the 27 -- 24 loss cost the Steelers another playoff run . The teams met at Pittsburgh in 2010 , where the Steelers blew out the Raiders 35 -- 3 , and ended their 3 - game winning streak ; the game was further notable for a punch thrown by Richard Seymour of the Raiders against Steelers quarterback Ben Roethlisberger . The Raiders then hosted the Steelers in 2012 and erased a 31 -- 21 gap to win 34 -- 31 . The two clubs met again in 2013 and the Raiders won again , 21 -- 18 . The Steelers trail the all - time series 14 -- 12 ( 11 -- 9 in regular season ) .   The Cowboys -- Steelers rivalry started with the Cowboys ' first game as a franchise in 1960 ( against the Steelers ) at the Cotton Bowl with the Steelers coming away with a 35 -- 28 victory . These teams hold a record for the most times ( three ) that two teams have met in a Super Bowl . The first two times the favored Steelers and Cowboys met came with Pittsburgh victories in the Orange Bowl Super Bowl X 21 -- 17 and Super Bowl XIII 35 -- 31 . The Cowboys never won a regular season game in the Orange Bowl and lost three Super Bowl games ( once to the Baltimore Colts and twice to the Steelers ) . Between the Cowboys and Steelers , Super Bowl XIII had the greatest number of future Pro Football Hall of Fame players participating , which as of 2010 numbered 20 -- 14 players and six coaches / front office , including Ernie Stautner , defensive coordinator for the Cowboys who was a HoF defensive tackle for the Steelers . The teams featured an all - star matchup at quarterback between the Steelers ' Terry Bradshaw and the Cowboys ' Roger Staubach , both of whom are in the Hall of Fame . In 1977 , Staubach and the Cowboys won Super Bowl XII , their second and last loss of their season being inflicted by Bradshaw and the Steelers , 28 -- 13 at Three Rivers Stadium in November . In 1979 , Staubach 's final season , the two defending conference champs met again at Three Rivers , the Steelers winning 14 -- 3 en route</t>
  </si>
  <si>
    <t xml:space="preserve">when did the steelers last won a superbowl</t>
  </si>
  <si>
    <t xml:space="preserve">  Super Bowl championships ( 6 ) 1974 ( IX ) , 1975 ( X ) , 1978 ( XIII ) , 1979 ( XIV ) , 2005 ( XL ) , 2008 ( XLIII )  </t>
  </si>
  <si>
    <r>
      <rPr>
        <sz val="11"/>
        <color rgb="FF000000"/>
        <rFont val="Calibri"/>
        <family val="0"/>
        <charset val="1"/>
      </rPr>
      <t xml:space="preserve">Israel Kamakawiwoʻole - Wikipedia  Israel Kamakawiwoʻole  Jump to : navigation , search    Israel Kamakawiwoʻole     Kamakawiwoʻole in 1993     Background information     Birth name   Israel Kaʻanoʻi Kamakawiwoʻole       ( 1959 - 05 - 20 ) May 20 , 1959 Honolulu , Territory of Hawaii     Origin   Hawaii , United States       June 26 , 1997 ( 1997 - 06 - 26 ) ( aged 38 ) Honolulu , Hawaii , U.S.     Genres     Hawaii   folk   world   reggae       Occupation ( s )   Singer - songwriter     Instruments     Ukulele   vocals       Years active   1976 -- 1997     Labels   Mountain Apple Company     Associated acts   Mākaha Sons     Israel Kaʻanoʻi Kamakawiwoʻole ( Hawaiian pronunciation : ( kəˌmɐkəˌvivoˈʔole ) , translation : `` The Fearless Eyed '' ; May 20 , 1959 -- June 26 , 1997 ) , also called Braddah Iz ( Brother Iz ) , was a Native Hawaiian musician , entertainer and Hawaiian sovereignty activist .   His voice became famous outside Hawaii when his album Facing Future was released in 1993 . His medley of `` Somewhere Over the Rainbow / What a Wonderful World '' was subsequently featured in several films , television programs , and television commercials .   Along with his ukulele playing and incorporation of other genres , such as jazz and reggae , Kamakawiwoʻole remains influential on Hawaiian music .     Contents  ( hide )   1 Early life   2 Music career   3 Support of Hawaiian rights   4 Death   5 Legacy   5.1 `` What a Wonderful World ''     6 Discography   6.1 Studio albums   6.2 Compilation albums     7 References   8 External links      Early life ( edit )   Kamakawiwoʻole was born at Kuakini Medical Center in Honolulu to Henry `` Hank '' Kaleialoha Naniwa Kamakawiwoʻole , Jr. and Evangeline `` Angie '' Leinani Kamakawiwoʻole . The notable Hawaiian musician Moe Keale was his uncle and a major musical influence . He was raised in the community of Kaimuki , where his parents had met and married . He began playing music with his older brother Skippy and cousin Allen Thornton at the age of 11 , being exposed to the music of Hawaiian entertainers of the time such as Peter Moon , Palani Vaughn and Don Ho , who frequented the establishment where Kamakawiwoʻole 's parents worked . Hawaiian musician Del Beazley spoke of the first time he heard Israel perform , when , while playing for a graduation party , the whole room fell silent on hearing him sing . Israel continued his path as his brother Skippy entered the Army in 1971 and cousin Allen parted ways in 1976 for the mainland .   In his early teens , he studied at Upward Bound ( UB ) of the University of Hawaii at Hilo and his family moved to Mākaha . There he met Louis Kauakahi , Sam Gray and Jerome Koko . Together with his brother Skippy they formed the Makaha Sons of Niʻihau . A part of the Hawaiian Renaissance , the band 's blend of contemporary and traditional styles gained in popularity as they toured Hawaii and the continental United States , releasing fifteen successful albums . Kamakawiwoʻole 's aim was to make music that stayed true to the typical sound of traditional Hawaiian music . During that time period , the songs that many people associated with Hawaii , typically , were not traditional - sounding songs .   Music career ( edit )   The Makaha Sons of Niʻihau recorded No Kristo in 1976 and released four more albums , including Kahea O Keale , Keala , Makaha Sons of Niʻihau and Mahalo Ke Akua . In 1982 , Kamakawiwoʻole 's brother , Skippy , died at age 28 of a heart attack related to obesity . In that same year , Kamakawiwoʻole married his childhood sweetheart Marlene . Soon after , they had a daughter whom they named Ceslieanne `` Wehi '' ( born in c. 1983 ) .   The group became Hawaii 's most popular contemporary traditional group with breakout albums 1984 's Puana Hou Me Ke Aloha and its follow - up , 1986 's Hoʻola . Kamakawiwoʻole 's last recorded album with the group was 1991 's Hoʻoluana . It remains the group 's top - selling CD .   In 1990 , Kamakawiwoʻole released his first solo album Ka ʻAnoʻi , which won awards for Contemporary Album of the Year and Male Vocalist of the Year from the Hawaiʻi Academy of Recording Arts ( HARA ) . Facing Future was released in 1993 by The Mountain Apple Company . It featured his most popular song , the medley `` Somewhere Over the Rainbow / What a Wonderful World '' , along with `` Hawaiʻi 78 '' , `` White Sandy Beach of Hawaiʻi '' , `` Maui Hawaiian Sup'pa Man '' , and `` Kaulana Kawaihae '' . The decision to include a cover of Somewhere Over the Rainbow was said to be a last - minute decision by his producer Jon de Mello and him . Facing Future debuted at # 25 on Billboard magazine 's Top Pop Catalogue chart . On October 26 , 2005 , Facing Future became Hawaiʻi 's first certified platinum album , selling more than a million CDs in the United States , according to figures furnished by the Recording Industry Association of America . On July 21 , 2006 , BBC Radio 1 announced that `` Somewhere Over the Rainbow / What a Wonderful World ( True Dreams ) '' would be released as a single in America .   In 1994 , Kamakawiwoʻole was voted favorite entertainer of the year by the Hawaiʻi Academy of Recording Arts ( HARA ) .   E Ala E ( 1995 ) featured the political title song `` ʻE Ala ʻE '' and `` Kaleohano '' , and N Dis Life ( 1996 ) featured `` In This Life '' and `` Starting All Over Again '' .   In 1997 , Kamakawiwoʻole was again honored by HARA at the Annual Nā Hōkū Hanohano awards for Male Vocalist of the Year , Favorite Entertainer of the Year , Album of the Year , and Island Contemporary Album of the Year . He watched the awards ceremony from a hospital room .   Alone in Iz World ( 2001 ) debuted at # 1 on Billboard 's World Chart and # 135 on Billboard 's Top 200 , # 13 on the Top Independent Albums Chart , and # 15 on the Top Internet Album Sales charts .   Kamakawiwo'ole's Facing Future has become the best - selling Hawaiian album of all time .   Support of Hawaiian rights ( edit )   Kamakawiwoʻole was known for promoting Hawaiian rights and Hawaiian independence , both through his lyrics , which often stated the case for independence directly , and his life . For example , the lyric in his song `` Hawaiʻi ' 78 '' : `` The life of this land is the life of the people / and that to care for the land ( malama ʻāina ) is to care for the Hawaiian culture '' , is a statement that many consider to summarise his Hawaiian ideals . The state motto of Hawaiʻi is a recurring line in the song and encompasses the meaning of Iz 's message : `` Ua Mau ke Ea o ka ʻĀina i ka Pono '' ( proclaimed by King Kamehameha III when Hawaiʻi regained sovereignty in 1843 . It can be roughly translated as : `` The life of the land is perpetuated in righteousness '' ) .   Kamakawiwoʻole used the soprano ukulele , and his music as a whole , to promote awareness of his belief that a second - class status had been pushed onto the natives by the tourist industry .   Death ( edit )   Throughout his life Kamakawiwoʻole was profoundly obese , and at one point he weighed 757 pounds ( 343 kg ; 54 st 1 lb ) standing 6 feet 2 inches ( 1.88 m ) tall ( body mass index = 97.2 ) . He endured several hospitalizations because of health problems . Beset with respiratory , heart , and other medical problems , he died at the age of 38 in Queen 's Medical Center at 12 : 18 a.m. on June 26 , 1997 . Kamakawiwoʻole is survived by his wife , Marlene Kamakawiwoʻole , and their daughter , Ceslie - Ann `` Wehi '' .   The Hawaii state flag flew at half - staff on July 10 , 1997 , the day of Kamakawiwoʻole 's funeral . His koa wood coffin lay in state at the state capitol building in Honolulu . He was the third person in Hawaiian history to be awarded this honor , and the only one who was not a government official . Approximately ten thousand people attended the funeral . Thousands of fans gathered as his ashes were scattered into the Pacific Ocean at Mākua Beach on July 12 , 1997 . According to witnesses , many people on land commemorated him by honking their car and truck horns on all Hawaiian highways that day . Scenes from the funeral and scattering of Kamakawiwoʻole 's ashes were featured in official music videos of `` Over the Rainbow '' released posthumously by Mountain Apple Company . As of September 2017 , the two videos as featured on YouTube have collectively received over 330 million views .   On September 20 , 2003 , hundreds paid tribute to Kamakawiwoʻole as a bronze bust of the revered singer was unveiled at the Waianae Neighborhood Community Center on Oʻahu . The singer 's widow , Marlene Kamakawiwoʻole , and sculptor Jan - Michelle Sawyer were present for the dedication ceremony .   Legacy ( edit )   On December 6 , 2010 , NPR named Kamakawiwoʻole as `` The Voice of Hawaii '' in its 50 great voices series .   On March 24 , 2011 , Kamakawiwoʻole was honored with the German national music award Echo . The music managers Wolfgang Boss and Jon de Mello accepted the trophy in his stead .   A 2014 Pixar short film , Lava , features as main characters two volcanoes who are based on Israel Kamakawiwoʻole and his wife , and the style of music used in the short is reminiscent of his cover of `` Somewhere Over the Rainbow . ''   `` What a Wonderful World '' ( edit )       Somewhere Over The Rainbow / What A Wonderful World Snippet lasting 30 seconds     Problems playing this file ? See media help .     Kamakawiwoʻole 's recording of `` Over the Rainbow / What a Wonderful World '' gained notice in 1999 when an excerpt was used in the TV commercials for eToys.com ( Now Toys `` R '' Us ) . The full song was featured in the movies K - Pax , Meet Joe Black , Finding Forrester , Son of the Mask , 50 First Dates , Fred Claus and IMAX : Hubble 3D . It was also featured in TV series ER , American Dad ! , Scrubs , Cold Case , Glee , South Pacific , LOST , Storm Chasers , and in the UK original version of Life on Mars among others .   `` Over the Rainbow / / What a Wonderful World '' reached # 12 on Billboard 's Hot Digital Tracks chart the week of January 31 , 2004 ( for the survey week ending January 18 , 2004 ) . It passed the 2 million paid downloads mark in the USA by September 27 , 2009 , and then sold 3 million in the USA as of October 2 , 2011 . And as of October 2014 , the song has sold over 4.2 million digital copies . In addition , the song holds the distinction of being the longest - leading number one hit on any of the Billboard song charts , having spent 185 weeks at number one on the publication 's World Digital Songs chart .   On July 4 , 2007 , Kamakawiwoʻole debuted at No. 44 on the Billboard Top 200 Album Chart with `` Wonderful World , '' selling 17,000 units .   In April 2007 , `` Over the Rainbow '' entered the UK charts at # 68 , and eventually climbed to # 46 , spending 10 weeks in the Top 100 over a 2 - year period .   In October 2010 , following its use in a trailer for the TV channel VOX and on a TV advertisement -- for Axe deodorant ( which is itself a revival of the advertisement originally aired in 2004 ) -- it hit # 1 on the German singles chart , was the number one seller single of 2010 and was eventually certified 2 × Platinum in 2011 .   At the world premiere of The Healer ( http://www.thehealer-film.com/ ) at the Heartland Film Festival in Indianapolis ( October 24 , 2016 ) `` Over the Rainbow '' was again featured .   As of November 1 , 2010 , `` Over the Rainbow '' peaked at No. 6 on the OE3 Austria charts , which largely reflect airplay on Austria 's government - operated Top 40 radio network . It also peaked at No. 1 in France and Switzerland in late December 2010 .   Radio host George Noory uses `` Over the Rainbow / What a Wonderful World '' as bumper music on the overnight talk radio show Coast To Coast AM .   Discography ( edit )  Studio albums ( edit )   Ka ʻAnoʻi ( 1990 )   Facing Future ( 1993 )   E Ala E ( 1995 )   N Dis Life ( 1996 )   Compilation albums ( edit )   Iz in Concert : The Man and His Music ( 1998 )   Alone in IZ World ( 2001 )   Wonderful World ( 2007 )   Over the Rainbow ( 2011 )    References ( edit )    Jump up ^ Gordon , Mike ; Beverly Creamer ; Wayne Harada . `` The Legacy : A Voice Of Hawai'i and Hawaiians '' . The Honolulu Advertiser . Retrieved August 19 , 2008 .   ^ Jump up to : Montagne , Renee ( December 6 , 2010 ) . `` Israel Kamakawiwo'ole : The Voice of Hawaii '' . Retrieved October 10 , 2012 .   Jump up ^ `` Article by Jay Hartwell of the University of Hawaiʻi at Manoa '' ... hawaii.edu . May 26 , 1991 . Retrieved January 24 , 2011 .   ^ Jump up to : Kekoa Enomoto , Catherine ; Gregg K. Kakesako ( June 26 , 1997 ) . `` ' IZ ' Will Always Be '' . Honolulu Star - Bulletin .   Jump up ^ Guerin , Ada ( June 6 , 2006 ) . `` Chasing Rainbows '' . The Hollywood Reporter -- International Edition . Los Angeles , CA , USA : Prometheus Global Media . 394 ( 32 ) : M419 . ISSN 0018 - 3660 . Retrieved October 10 , 2012 . ( subscription required )   Jump up ^ `` Brudda Iz 's Facing Future goes platinum , a first for Hawaii '' . Honolulu Star - Bulletin . October 6 , 2005 .   Jump up ^ Carroll , Rick . Iz : Voice of the People . Honolulu , Hawai'i : Bess , 2006 . Print .   Jump up ^ Israel Kamakawiwo'ole . `` Hawai'i ' 78 . '' Facing Future . Mountain Apple Company , 1993 . MP3 .   Jump up ^ `` Hawaii State Motto Ua Mau Ke Ea O Ka Aina I Ka Pono The life of the land is perpetuated in righteousness '' . Netstate.com . Retrieved March 19 , 2013 .   Jump up ^ Tranquada , Jim ( 2012 ) . The Ukulele : a History . University of Hawaii Press . p. 166 . ISBN 978 - 0 - 8248 - 3544 - 6 .   Jump up ^ Rick Carroll ( 2006 ) . Iz : Voice of the People . Bess Press . pp. 130 -- 131 . ISBN 978 - 1 - 57306 - 257 - 2 .   ^ Jump up to : Adamski , Mary ( July 10 , 1997 ) . `` Isles Bid Aloha , not Goodbye , to ' Brudda Iz ' '' . Honolulu Star - Bulletin .   Jump up ^ `` OFFICIAL Somewhere over the Rainbow -- Israel `` IZ '' Kamakawiwo'ole `` . Mountain Apple Company Inc . Retrieved December 28 , 2011 .   Jump up ^ `` OFFICIAL -- Somewhere Over the Rainbow 2011 -- Israel `` IZ '' Kamakawiwo'ole `` . Mountain Apple Company Inc . Retrieved December 28 , 2011 .   Jump up ^ `` Sculpture 's Debut Honors ' Braddah IZ ' '' . Honolulu Star - Bulletin . September 21 , 2003 .   Jump up ^ Kamakawiwo , Israel ( December 6 , 2010 ) . `` Israel Kamakawiwo'ole : The Voice Of Hawaii '' . NPR . Retrieved January 24 , 2011 .   Jump up ^ Starauflauf bei der Echo - Verleihung in Berlin Badische Zeitung , March 25 , 2011   Jump up ^ `` 5 questions with Disney / Pixar 's ' LAVA ' director James Ford Murphy '' . KHON2 . November 4 , 2014 . Retrieved September 28 , 2016 .   Jump up ^ `` IMAX : Hubble 3D -- Toronto Screen Shots '' . March 18 , 2010 . Retrieved May 2 , 2011 .   Jump up ^ Kim Grant ; Glenda Bendure ; Michael Clark ; Ned Friary ; Conner Gorry ; Luci Yamamoto ( 2005 ) . Lonely Planet Hawaii ( 7th ed . ) . Lonely Planet Publications . p. 97 . ISBN 978 - 1 - 74059 - 871 - 2 .   Jump up ^ Week Ending Oct. 2 , 2011 . Songs : Gone But Not Forgotten   ^ Jump up to : Trust , Gary ( October 21 , 2014 ) . `` Ask Billboard : The Weird Connections Between Mary Lambert &amp; Madonna '' . Billboard . Prometheus Global Media . Retrieved October 21 , 2014 .   Jump up ^ Artist Chart History -- Israel Kamakawiwo'ole , Billboard   Jump up ^ Herr der Goldtruhen NZZ Folio vom 7 . Oktober 2010 .   Jump up ^ `` Lynx -- Getting Dressed Commercial Song Israel Kamakawiwo'ole -- Somewhere Over the Rainbow '' . YouTube . November 24 , 2010 . Retrieved January 24 , 2011 .   Jump up ^ `` Musik - Jahrescharts : ' Sanfter Riese ' und der Graf setzen sich durch -- media control '' ( Music charts of the year : ' Gentle giant ' and der Graf ) . media-control.de ( in German ) . January 6 , 2011 . Archived from the original on January 7 , 2011 . Retrieved January 23 , 2014 .   Jump up ^ `` Gold - / Platin - Datenbank ( Israel Kamakawiwo'ole ; ' Over the Rainbow ' ) '' ( in German ) . Bundesverband Musikindustrie .   Jump up ^ `` oe3.ORF.at / woche 42 / 2010 '' . Charts.orf.at . Retrieved January 24 , 2011 .     Carroll , Rick ( 2006 ) . IZ : Voice of the people . Honolulu , Hawaiʻi : Bess Press . ISBN 978 - 1 - 57306 - 257 - 2 . OCLC 71325451 .   Kois , Dan ( 2010 ) . Facing Future . 331⁄3 . New York : Continuum International Publishing Group . ISBN 9780826429056 . OCLC 676695887 .    External links ( edit )    Israel Kamakawiwoʻole on IMDb   Mountain Apple Company 's site about Kamakawiwoʻole      ( hide )         Israel Kamakawiwoʻole     Studio albums     Ka ' Ano'i ( 1990 )   Facing Future ( 1993 )   E Ala E ( 1995 )   N Dis Life ( 1996 )       Compilation albums     Alone in IZ World ( 2001 )   Wonderful World ( 2009 )       Songs     `` Over the Rainbow ''   `` What a Wonderful World ''   `` Kaleohano ''   `` Somewhere Over the Rainbow / What a Wonderful World ''       Related     Mākaha Sons               VIAF : 159873037   LCCN : no97045908   ISNI : 0000 0001 2035 2394   GND : 142743577   BNF : cb14192068v ( data )   MusicBrainz : e7ae37b1 - 624f - 47b9 - bf4f - 53b52ef19528      Retrieved from `` https://en.wikipedia.org/w/index.php?title= Israel_Kamakawiwoʻole&amp;oldid = 804234814 '' Categories :   1959 births   1997 deaths   20th - century American singers   American male singers   American ukulele players   Converts to Christianity   Mountain Apple Company artists   Na Hoku Hanohano Award winners   Native Hawaiian activists   Native Hawaiian musicians   Singers from Hawaii   Songwriters from Hawaii   Hidden categories :   Pages containing links to subscription - only content   CS1 German - language sources ( de )   Use mdy dates from September 2017   Use American English from May 2017   All Wikipedia articles written in American English   Articles with hCards   Articles containing potentially dated statements from September 2017   All articles containing potentially dated statements   Articles with hAudio microformats   Wikipedia articles with VIAF identifiers   Wikipedia articles with LCCN identifiers   Wikipedia articles with ISNI identifiers   Wikipedia articles with GND identifiers   Wikipedia articles with BNF identifiers   Wikipedia articles with MusicBrainz identifiers           Talk                                           Contents                   About Wikipedia                                             Asturianu   Bân - lâm - gú   Български   Boarisch   Català   Čeština   Cymraeg   Dansk   Deutsch   Eesti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Hawaiʻi   Հայերեն   Hrvatski   Íslenska   Italiano   עברית   Latina   Latviešu   Lumbaart   Magyar   Nederlands   </t>
    </r>
    <r>
      <rPr>
        <sz val="11"/>
        <color rgb="FF000000"/>
        <rFont val="Noto Sans CJK SC"/>
        <family val="2"/>
      </rPr>
      <t xml:space="preserve">日本 語   </t>
    </r>
    <r>
      <rPr>
        <sz val="11"/>
        <color rgb="FF000000"/>
        <rFont val="Calibri"/>
        <family val="0"/>
        <charset val="1"/>
      </rPr>
      <t xml:space="preserve">Norsk   Occitan   Polski   Português   Română   Русский   Scots   Simple English   Slovenčina   Slovenščina   Српски / srpski   Suomi   Svenska   ไทย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7 October 2017 , at 17 : 10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</si>
  <si>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hawaiian version of over the rainbow</t>
  </si>
  <si>
    <t xml:space="preserve"> Israel Kaʻanoʻi Kamakawiwoʻole ( Hawaiian pronunciation : ( kəˌmɐkəˌvivoˈʔole ) , translation : `` The Fearless Eyed '' ; May 20 , 1959 -- June 26 , 1997 ) , also called Braddah Iz ( Brother Iz ) , was a Native Hawaiian musician , entertainer and Hawaiian sovereignty activist . </t>
  </si>
  <si>
    <t xml:space="preserve">Climate of Australia - Wikipedia  Climate of Australia  Köppen climate types of Australia .  Australia 's climate is governed largely by its size and by the hot , sinking air of the subtropical high pressure belt . This moves north and south with the seasons . But it is variable , with frequent droughts lasting several seasons -- thought to be caused in part by the El Niño - Southern Oscillation . The climate varies widely due to its large geographical size , but by far the largest part of Australia is desert or semi-arid . Only the south - east and south - west corners have a temperate climate and moderately fertile soil . The northern part of the country has a tropical climate , varied between tropical rainforests , grasslands and desert .   Because Australia is a small continent , separated from polar regions by the Southern Ocean , it is not subject to the movements of frigid polar air that sweep over the continents in the northern hemisphere during winter . Consequently , its winter is relatively mild , so that there are n't any great contrast between summer and winter temperatures that is present in the northern continents . Yet in many parts of the country , seasonal highs and lows can be considerable : temperatures have ranged from above 50 ° C ( 122 ° F ) to well below zero . Nonetheless , minimum temperatures are moderated .   The El Niño -- Southern Oscillation is associated with seasonal abnormality in many areas in the world . Australia is one of the continents most affected and experiences extensive droughts alongside considerable wet periods . Occasionally a dust storm will blanket a region and there are reports of the occasional tornado . Tropical cyclones , heat waves , bushfires and frosts in the country are also associated with the Southern Oscillation . Rising levels of salinity and desertification in some areas is ravaging the landscape .   Climate change in Australia is a highly contentious issue . Temperatures in the country have risen following an increasing trend of global warming between the years of 1910 to 2004 by approximately 0.7 ° C. Overnight minimum temperatures have warmed more rapidly than daytime maximum temperatures in recent years . The late - 20th century warming has been largely attributed to the increased greenhouse effect . According to the Bureau of Meteorology , 80 % of the land has less than 600 mm ( 24 in ) of rainfall per year and 50 % has even less than 300 mm ( 12 in ) . As a whole , Australia has a very low annual average rainfall of 419 mm ( 16 in ) .     Contents  ( hide )   1 States and Territories   1.1 Australian Capital Territory   1.2 New South Wales   1.3 Northern Territory   1.4 Queensland   1.5 South Australia   1.6 Tasmania   1.7 Victoria   1.8 Western Australia     2 Precipitation   2.1 Rain   2.2 Snow     3 Temperatures   3.1 Extremes     4 Natural hazards and disasters   4.1 Bushfires   4.2 Flooding   4.3 Global warming   4.4 Drought   4.5 Cyclones   4.6 Blizzards   4.7 Dust storms     5 See also   6 References   7 External links      States and territories ( edit )   Australian Capital Territory ( edit )  Light snow on Mount Tennent , which features dry sclerophyll woodlands .  Because of its elevation ( 650 m ( 2,130 ft ) ) and distance from the coast , the Australian Capital Territory experiences a continental climate , unlike many other Australian cities whose climates are moderated by the sea . Canberra has relatively mild and wet summers , although hot days occur from time to time . Canberra has cold winters with occasional fog and frequent frosts . Many of the higher mountains in the territory 's south - west are snow - covered for at least part of the winter . Thunderstorms can occur between October and March , and annual rainfall is 623 mm ( 25 in ) , with rainfall highest in spring and summer and lowest in winter .   The highest maximum temperature recorded in the ACT was 42.8 ° C ( 109.0 ° F ) at Acton on 11 January 1939 . The lowest minimum temperature was − 14.6 ° C ( 5.7 ° F ) at Gudgenby on 11 July 1971 .   New south Wales ( edit )  See also : Climate of Sydney  Over half of New South Wales has an arid or semi-arid climate . However , the eastern portion has a temperate climate , ranging from humid subtropical to the Central Coast and most of Sydney , and oceanic to the south coast . The Snowy Mountains region in the south - east falls in the alpine climate / highland climate zone , with cool to cold weather all year around and snowfalls in the winter . Further inland , the climate gets semi-arid and a desert climate towards the western part of the state .  Dubbo 's location in a transitional area allows a large temperature variation during the year , with high summer temperatures typical of the Western Plains of state and colder sub-zero temperatures typical of the Central Tablelands in winter .  The weather in the southern half of the state is generally warm to hot in summer and cool in the winter . The seasons are more defined in the southern half of the state , especially as one moves inland , towards South West Slopes , Central West and the Riverina region . Rainfall usually peaks in the summer in most of parts of the state . Though , the Riverina region , which is in the southern - central part of the state , bordering Victoria , has drier summers and a winter rainfall peak .   The warmest region is the north - west part of the state , where summers are very hot , and winters cooler and drier . The weather in the northeast region of the state , or the North Coast , bordering Queensland , is hot and humid in the summer , with a rainfall peak , and mild in winter with more sunshine , and little seasonal temperature difference . The Northern Tablelands , which are also on the north coast , have relatively mild summers and cold winters , due to their high elevation on the Great Dividing Range .   The coldest region is the Snowy Mountains where the snow and frost continues for quite long period during the winter months . The Blue Mountains , Southern Tablelands and Central Tablelands , which are situated on the Great Dividing Range , have mild to warm summers and cold winters , although not as severe as those in the Snowy Mountains . Interestingly , some places situated in or around the Range have recorded freezing and near - freezing lows in nearly every month of the year , a feat not experienced in many other places of similar latitude and altitude in the northern hemisphere .   The highest maximum temperature recorded was 49.8 ° C ( 121.6 ° F ) at Menindee in the state 's west on 10 January 1939 . The lowest minimum temperature was − 23.0 ° C ( − 9.4 ° F ) at Charlotte Pass on 29 June 1994 in the Snowy Mountains . This is also the lowest temperature recorded in the whole of Australia excluding Australian Antarctic Territory .   Rainfall varies throughout the state . The far north - west receives the least , less than 180 mm ( 7 in ) annually , while the east receives between 600 to 1,200 mm ( 24 to 47 in ) of rain .     City   January Max . Temp   January Min . Temp   July Max . Temp   July Min . Temp   No . Clear days   Annual Rainfall     Sydney   26 ° C ( 79 ° F )   19 ° C ( 66 ° F )   16 ° C ( 61 ° F )   8 ° C ( 46 ° F )   104   1,222 mm ( 48 in )     Penrith   31 ° C ( 88 ° F )   18 ° C ( 64 ° F )   18 ° C ( 64 ° F )   5 ° C ( 41 ° F )   103   696 mm ( 27 in )     Wollongong   26 ° C ( 79 ° F )   18 ° C ( 64 ° F )   17 ° C ( 63 ° F )   8 ° C ( 46 ° F )   107   1,346 mm ( 53 in )     Coffs Harbour   27 ° C ( 81 ° F )   19 ° C ( 66 ° F )   19 ° C ( 66 ° F )   8 ° C ( 46 ° F )   122   1,679 mm ( 66 in )     Armidale   27 ° C ( 81 ° F )   13 ° C ( 55 ° F )   12 ° C ( 54 ° F )   0 ° C ( 32 ° F )   106   791 mm ( 31 in )     Orange   26 ° C ( 79 ° F )   12 ° C ( 54 ° F )   9 ° C ( 48 ° F )   1 ° C ( 34 ° F )   100   898 mm ( 35 in )     Wagga Wagga   32 ° C ( 90 ° F )   16 ° C ( 61 ° F )   13 ° C ( 55 ° F )   3 ° C ( 37 ° F )   124   566 mm ( 22 in )     Broken Hill   33 ° C ( 91 ° F )   19 ° C ( 66 ° F )   15 ° C ( 59 ° F )   5 ° C ( 41 ° F )   137   245 mm ( 10 in )     Northern Territory ( edit )  Monsoonal squall nears Darwin    Average monthly maximum temperature in Northern Territory     Month   Darwin   Alice Springs     January   31.8 ° C ( 89.2 ° F )   36.4 ° C ( 97.5 ° F )     February   31.4 ° C ( 88.5 ° F )   35.1 ° C ( 95.2 ° F )     March   31.9 ° C ( 89.4 ° F )   32.7 ° C ( 90.9 ° F )     April   32.7 ° C ( 90.9 ° F )   28.2 ° C ( 82.8 ° F )     May   32.0 ° C ( 89.6 ° F )   23.0 ° C ( 73.4 ° F )     June   30.6 ° C ( 87.1 ° F )   19.8 ° C ( 67.6 ° F )     July   30.5 ° C ( 86.9 ° F )   19.7 ° C ( 67.5 ° F )     August   31.3 ° C ( 88.3 ° F )   22.5 ° C ( 72.5 ° F )     September   32.5 ° C ( 90.5 ° F )   27.2 ° C ( 81.0 ° F )     October   33.2 ° C ( 91.8 ° F )   31.0 ° C ( 87.8 ° F )     November   33.3 ° C ( 91.9 ° F )   33.6 ° C ( 92.5 ° F )     December   32.6 ° C ( 90.7 ° F )   35.4 ° C ( 95.7 ° F )     Source : Bureau of Meteorology     The Northern Territory has two distinctive climate zones . The northern end , including Darwin , has a tropical savannah climate ( Köppen Aw ) with high humidity and two seasons , the wet ( November to April ) and dry season ( May to October ) . During the dry season nearly every day is warm and sunny , and afternoon humidity averages around 30 % . There is very little rainfall between May and September . In the coolest months of June and July , the daily minimum temperature may dip as low as 14 ° C ( 57 ° F ) , but very rarely lower , and frost has never been recorded .   The wet season is associated with tropical cyclones and monsoon rains . The majority of rainfall occurs between December and March ( the Southern Hemisphere summer ) , when thunderstorms are common and afternoon relative humidity averages over 70 % during the wettest months . On average more than 1,570 mm ( 62 in ) of rain falls in the north . Thunderstorms can produce spectacular lightning displays .   The central region is the desert centre of the country , which includes Alice Springs and Uluru , and is arid or semi-arid with little rain usually falling during the hottest months from October to March . Its seasons are more defined than the northern parts , with summers being very hot , where temperatures often exceed 35 ° C ( 95 ° F ) on average and winters relatively cool with average minimum temperatures dipping as low as 5 ° C ( 41 ° F ) , with a few frosty nights . Central Australia receives less than 250 mm ( 10 in ) of rain per year .   The highest maximum temperature recorded in the territory was 48.3 ° C ( 118.9 ° F ) at Finke on 1 and 2 January 1960 . The lowest minimum temperature was − 7.5 ° C ( 18.5 ° F ) at Alice Springs on 12 July 1976 .   Queensland ( edit )  Grassland typical of Queensland and mountain ranges near Proserpine .  Because of its size , there is significant variation in climate across the state . Low rainfall and hot summers are typical for the inland west , a monsoonal ' wet ' season in the far north , and warm subtropical conditions along the coastal strip . Inland and in southern ranges cooler temperatures are experienced , especially at nights . The climate of the coastal strip is influenced by warm ocean waters , keeping the region free from extremes of temperature and providing moisture for rainfall .   There are five predominant climatic zones in Queensland , based on temperature and humidity :    hot humid summer ( far north and coastal )   warm humid summer ( coastal elevated hinterlands and coastal south - east )   hot dry summer , mild winter ( central west )   hot dry summer , cold winter ( southern west )   temperate - warm summer , cold winter ( inland south - east , e.g. Granite Belt )    However , most of the Queensland populace experience two weather seasons : a winter period of rather warm temperatures and minimal rainfall and a sultry summer period of hot , sticky temperatures and higher levels of rainfall .   The highest maximum temperature observed in the state is 49.5 ° C ( 121.1 ° F ) at Birdsville on 24 December 1972 . The temperature of 53.1 ° C ( 127.6 ° F ) at Cloncurry on 16 January 1889 is not considered official ; the figure quoted from Birdsville is the next highest , so that record is considered as being official .   The lowest minimum temperature is − 10.6 ° C ( 12.9 ° F ) at Stanthorpe on 23 June 1961 and at The Hermitage on 12 July 1965 .     City   January Max . Temp   January Min . Temp   July Max . Temp   July Min . Temp   No . Clear days   Annual Rainfall     Brisbane   30 ° C ( 86 ° F )   21 ° C ( 70 ° F )   22 ° C ( 72 ° F )   10 ° C ( 50 ° F )   123   1,022 mm ( 40 in )     Gold Coast   29 ° C ( 84 ° F )   22 ° C ( 72 ° F )   21 ° C ( 70 ° F )   12 ° C ( 54 ° F )   n / a   1,273 mm ( 50 in )     Mackay   30 ° C ( 86 ° F )   24 ° C ( 75 ° F )   21 ° C ( 70 ° F )   13 ° C ( 55 ° F )   123   1,610 mm ( 63 in )     Cairns   31 ° C ( 88 ° F )   24 ° C ( 75 ° F )   26 ° C ( 79 ° F )   17 ° C ( 63 ° F )   90   1,991 mm ( 78 in )     Townsville   31 ° C ( 88 ° F )   24 ° C ( 75 ° F )   25 ° C ( 77 ° F )   14 ° C ( 57 ° F )   121   1,132 mm ( 45 in )     Toowoomba   28 ° C ( 82 ° F )   17 ° C ( 63 ° F )   16 ° C ( 61 ° F )   5 ° C ( 41 ° F )   114   952 mm ( 37 in )     Rockhampton   32 ° C ( 90 ° F )   22 ° C ( 72 ° F )   23 ° C ( 73 ° F )   10 ° C ( 50 ° F )   116   812 mm ( 32 in )     Mount Isa   37 ° C ( 99 ° F )   24 ° C ( 75 ° F )   25 ° C ( 77 ° F )   9 ° C ( 48 ° F )   175   462 mm ( 18 in )     South Australia ( edit )  See also : Climate of Adelaide Typical desert landscape north of Coober Pedy .  The majority of the state has the arid and semi-arid climates . The southern coastal parts of the state have a Mediterranean climate with mild wet winters and hot dry summers . The highest rainfall occurs along the southern coasts and the Mount Lofty Ranges ( with an average annual rainfall of 1,200 millimetres ( 47 in ) in the vicinity of Mount Lofty ) ; the lowest rainfall occurs in the Lake Eyre basin where the average annual totals are less than 150 millimetres ( 6 in ) and possibly even 100 millimetres ( 4 in ) . Most of the rain in the southern districts of the State fall during the winter months when the sub-tropical high - pressure belt is displaced to the north over the Australian continent .   South Australia 's mean temperature range is 29 ° C ( 84 ° F ) in January and 15 ° C ( 59 ° F ) in July . Daily temperatures in parts of the state in January and February can be up to 48 ° C ( 118 ° F ) . The highest maximum temperature was recorded as 50.7 ° C ( 123.3 ° F ) at Oodnadatta on 2 January 1960 , which is the highest official temperature recorded in Australia . The lowest minimum temperature was − 8.0 ° C ( 17.6 ° F ) at Yongala on 20 July 1976 .     City   January Max . Temp   January Min . Temp   July Max . Temp   July Min . Temp   No . Clear days   Annual Rainfall     Adelaide   29 ° C ( 84 ° F )   17 ° C ( 63 ° F )   15 ° C ( 59 ° F )   7 ° C ( 45 ° F )   87   551 mm ( 22 in )     Mount Gambier   25 ° C ( 77 ° F )   11 ° C ( 52 ° F )   13 ° C ( 55 ° F )   5 ° C ( 41 ° F )   40   710 mm ( 28 in )     Whyalla   30 ° C ( 86 ° F )   18 ° C ( 64 ° F )   17 ° C ( 63 ° F )   5 ° C ( 41 ° F )   63   267 mm ( 11 in )     Port Augusta   34 ° C ( 93 ° F )   19 ° C ( 66 ° F )   18 ° C ( 64 ° F )   5 ° C ( 41 ° F )   142   218 mm ( 9 in )     Oodnadatta   38 ° C ( 100 ° F )   23 ° C ( 73 ° F )   20 ° C ( 68 ° F )   6 ° C ( 43 ° F )   182   176 mm ( 7 in )     Tasmania ( edit )  Snow field on top of Ben Lomond , in northeast Tasmania . See also : Climate of Tasmania  Tasmania has a cool temperate climate with four seasons . Summer lasts from December to February when the average maximum sea temperature is 21 ° C ( 70 ° F ) and inland areas around Launceston reach 24 ° C ( 75 ° F ) . Other inland areas are much cooler with Liawenee , located on the Central Plateau , one of the coldest places in Australia with temperatures in February ranging between 4 to 17 ° C ( 39 to 63 ° F ) . Autumn lasts between March and May and experiences changeable weather , where summer weather patterns gradually take on the shape of winter patterns .   The highest recorded maximum temperature in Tasmania was 42.2 ° C ( 108.0 ° F ) at Scamander on 30 January 2009 , during the 2009 south - eastern Australia heat wave . Tasmania 's lowest recorded minimum temperature was − 13 ° C ( 8.6 ° F ) on 30 June 1983 , at Butlers Gorge , Shannon and Tarraleah .     City   January Max . Temp   January Min . Temp   July Max . Temp   July Min . Temp   No . Clear days   Annual Rainfall     Hobart   22 ° C ( 72 ° F )   12 ° C ( 54 ° F )   12 ° C ( 54 ° F )   5 ° C ( 41 ° F )   41   615 mm ( 24 in )     Launceston   25 ° C ( 77 ° F )   11 ° C ( 52 ° F )   12 ° C ( 54 ° F )   2 ° C ( 36 ° F )   50   630 mm ( 25 in )     Devonport   21 ° C ( 70 ° F )   12 ° C ( 54 ° F )   13 ° C ( 55 ° F )   5 ° C ( 41 ° F )   56   773 mm ( 30 in )     Strahan   21 ° C ( 70 ° F )   11 ° C ( 52 ° F )   12 ° C ( 54 ° F )   5 ° C ( 41 ° F )   16   1,544 mm ( 61 in )     Victoria ( edit )  A temperate rainforest in Great Otway National Park , in the southwest region of the state .    Average monthly maximum temperature in Victoria     Month   Melbourne   Mildura     January   25.8 ° C ( 78.4 ° F )   32.8 ° C ( 91.0 ° F )     February   25.8 ° C ( 78.4 ° F )   32.7 ° C ( 90.9 ° F )     March   23.8 ° C ( 74.8 ° F )   29.3 ° C ( 84.7 ° F )     April   20.2 ° C ( 68.4 ° F )   24.1 ° C ( 75.4 ° F )     May   16.6 ° C ( 61.9 ° F )   19.6 ° C ( 67.3 ° F )     June   14.0 ° C ( 57.2 ° F )   16.0 ° C ( 60.8 ° F )     July   13.4 ° C ( 56.1 ° F )   15.4 ° C ( 59.7 ° F )     August   14.9 ° C ( 58.8 ° F )   17.7 ° C ( 63.9 ° F )     September   17.2 ° C ( 63.0 ° F )   21.1 ° C ( 70.0 ° F )     October   19.6 ° C ( 67.3 ° F )   25.0 ° C ( 77.0 ° F )     November   21.8 ° C ( 71.2 ° F )   29.0 ° C ( 84.2 ° F )     December   24.1 ° C ( 75.4 ° F )   31.7 ° C ( 89.1 ° F )     Source : Bureau of Meteorology         Wikimedia Commons has media related to Climate diagrams of Victoria .     Victoria has a varied climate despite its small size . It ranges from semi-arid and hot in the north - west , to temperate and cool along the coast . Victoria 's main land feature , the Great Dividing Range , produces a cooler , mountain climate in the centre of the state .   Victoria 's southernmost position on the Australian mainland means it is cooler and wetter than other mainland states and territories . The coastal plain south of the Great Dividing Range has Victoria 's mildest climate . Air from the Southern Ocean helps reduce the heat of summer and the cold of winter . Melbourne and other large cities are located in this temperate region .   The Mallee and upper Wimmera are Victoria 's warmest regions with hot winds blowing from nearby deserts . Average temperatures top 30 ° C ( 86 ° F ) during summer and 15 ° C ( 59 ° F ) in winter . Victoria 's highest maximum temperature of 48.8 ° C ( 119.8 ° F ) was recorded in Hopetoun on 7 February 2009 , during the 2009 south - eastern Australia heat wave . A screen temperature of 50.7 ° C ( 123.3 ° F ) was recorded on 7 January 1906 in Mildura .   The Victorian Alps in the north - east are the coldest part of Victoria . The Alps are part of the Great Dividing Range mountain system extending east - west through the centre of Victoria . Average temperatures are less than 9 ° C ( 48 ° F ) in winter and below 0 ° C ( 32 ° F ) in the highest parts of the ranges . The state 's lowest minimum temperature of − 11.7 ° C ( 10.9 ° F ) was recorded at Omeo on 13 June 1965 , and again at Falls Creek on 3 July 1970 .   Victoria is the wettest Australian state after Tasmania . Rainfall in Victoria increases from north to south , with higher averages in areas of high altitude . Median annual rainfall exceeds 1,800 mm ( 71 in ) in some parts of the north - east but is less than 250 mm ( 10 in ) in the Mallee .   Rain is heaviest in the Otway Ranges and Gippsland in southern Victoria and in the mountainous north - east . Snow generally falls only in the mountains and hills in the centre of the state . Rain falls most frequently in winter , but summer precipitation is heavier . Rainfall is most reliable in Gippsland and the Western District , making them both leading farming areas . Victoria 's highest recorded daily rainfall was 375 millimetres ( 14.8 in ) at Tanybryn in the Otway Ranges on 22 March 1983 .     City   January Max . Temp   January Min . Temp   July Max . Temp   July Min . Temp   No . Clear days   Annual Rainfall     Melbourne   26 ° C ( 79 ° F )   14 ° C ( 57 ° F )   14 ° C ( 57 ° F )   6 ° C ( 43 ° F )   49   648 mm ( 26 in )     Ballarat   25 ° C ( 77 ° F )   11 ° C ( 52 ° F )   10 ° C ( 50 ° F )   3 ° C ( 37 ° F )   55   690 mm ( 27 in )     Bendigo   30 ° C ( 86 ° F )   14 ° C ( 57 ° F )   12 ° C ( 54 ° F )   3 ° C ( 37 ° F )   110   514 mm ( 20 in )     Mildura   32 ° C ( 90 ° F )   17 ° C ( 63 ° F )   15 ° C ( 59 ° F )   4 ° C ( 39 ° F )   132   291 mm ( 11 in )     Shepparton   32 ° C ( 90 ° F )   15 ° C ( 59 ° F )   13 ° C ( 55 ° F )   3 ° C ( 37 ° F )   n / a   452 mm ( 18 in )     Bairnsdale   26 ° C ( 79 ° F )   13 ° C ( 55 ° F )   15 ° C ( 59 ° F )   4 ° C ( 39 ° F )   60   650 mm ( 26 in )     Warrnambool   22 ° C ( 72 ° F )   13 ° C ( 55 ° F )   13 ° C ( 55 ° F )   6 ° C ( 43 ° F )   53   743 mm ( 29 in )    Temperature and precipitation for Victoria . Source : Bureau of Meteorology , Department of Primary Industries , Australian Natural Resources Atlas Average January temperatures : Victoria 's north is always hotter than coastal and mountainous areas . Average July temperatures : Victoria 's hills and ranges are coolest during winter . Snow also falls there . Average yearly precipitation : Victoria 's rainfall is concentrated in the mountainous north - east and coast .  Western Australia ( edit )  A four - wheel drive in the Gibson Desert  Most of Western Australia has a hot arid and semi-arid climate . However , the south - west corner of the state has a Mediterranean climate . The area was originally heavily forested , including large stands of the karri , one of the tallest trees in the world . This agricultural region of Western Australia is in the top nine terrestrial habitats for terrestrial biodiversity , with a higher proportion of endemic species than most other equivalent regions . Due to the offshore Leeuwin Current , the area numbers in the top six regions for marine biodiversity , containing the most southerly coral reefs in the world .   Average annual rainfall varies from 300 mm ( 12 in ) at the edge of the Wheatbelt region to 1,400 mm ( 55 in ) in the wettest areas near Northcliffe , the Southwestern most tip of Australia , but in the months of November to March , although rain still falls , evaporation exceeds rainfall and it is generally very dry . Plants must be adapted to this as well as the extreme poverty of all soils . A major reduction in rainfall has been observed , with a greater number of rainfall events in the summer months . The central four fifths of the state is semi-arid or desert and is lightly inhabited with the only significant activity being mining . Annual rainfall averages about 200 to 250 mm ( 8 to 10 in ) , most of which occurs in sporadic torrential falls related to cyclone events in summer months .   An exception to this is the northern tropical regions . The Kimberley has an extremely hot monsoonal climate with average annual rainfall ranging from 500 to 1,500 mm ( 20 to 59 in ) , but there is a very long dry season of 7 months from April to November . Eighty - five per cent of the state 's runoff occurs in the Kimberley , but because it occurs in violent floods and because of the insurmountable poverty of the generally shallow soils , the only development has taken place along the Ord River .  A chaparral - like bush land in the Mediterranean region of the state .  Australia 's tropical / subtropical location and cold waters off the western coast make most of Western Australia a hot desert with aridity a marked feature of a greater part of the continent . These cold waters produce precious little moisture needed on the mainland . A 2005 study by Australian and American researchers investigated the desertification of the interior , and suggested that one explanation was related to human settlers who arrived about 50,000 years ago .   Snowfall in the state is rare , and typically only in the Stirling Range near Albany , the southwestern-most point in WA , as it is the only mountain range far enough south and with sufficient elevation . More rarely , snow can fall on the nearby Porongurup Range . Snow outside these areas is a major event ; it usually occurs in hilly areas of south - western Australia . The most widespread low - level snow occurred on 26 June 1956 when snow was reported in the Perth Hills , as far north as Wongan Hills and as far east as Salmon Gums . However , even in the Stirling Range , snowfalls rarely exceed 5 cm ( 2 in ) and rarely settle for more than one day .   The highest observed maximum temperature of 50.5 ° C ( 122.9 ° F ) was recorded at Mardie Station on 19 February 1998 . The lowest minimum temperature recorded was − 7.2 ° C ( 19.0 ° F ) at Eyre Bird Observatory on 17 August 2008 .     City   January Max . Temp   January Min . Temp   July Max . Temp   July Min . Temp   No . Clear days   Annual Rainfall     Perth   30 ° C ( 86 ° F )   18 ° C ( 64 ° F )   17 ° C ( 63 ° F )   9 ° C ( 48 ° F )   131   868 mm ( 34 in )     Albany   23 ° C ( 73 ° F )   15 ° C ( 59 ° F )   16 ° C ( 61 ° F )   8 ° C ( 46 ° F )   45   929 mm ( 37 in )     Kalgoorlie   34 ° C ( 93 ° F )   18 ° C ( 64 ° F )   17 ° C ( 63 ° F )   5 ° C ( 41 ° F )   151   266 mm ( 10 in )     Geraldton   32 ° C ( 90 ° F )   18 ° C ( 64 ° F )   19 ° C ( 66 ° F )   9 ° C ( 48 ° F )   164   441 mm ( 17 in )     Karratha   36 ° C ( 97 ° F )   27 ° C ( 81 ° F )   26 ° C ( 79 ° F )   14 ° C ( 57 ° F )   158   297 mm ( 12 in )     Broome   33 ° C ( 91 ° F )   26 ° C ( 79 ° F )   29 ° C ( 84 ° F )   14 ° C ( 57 ° F )   182   613 mm ( 24 in )     Precipitation ( edit )  Play media Australia sits far south of the equator and under a strong , migrating zone of high - pressure called the subtropical ridge ; this can lead to some interesting cloud cover . Using an advanced supercomputer climate model called GEOS - 5 , NASA scientists recreated 19 days of changing cloud cover over Australia . Watch the visualization to explore the movement of different systems that formed across the continent . Look for rising cumulus clouds that appear to bubble up over land each day .  Rain ( edit )  See also : Wet season  More than 80 % of the island has an annual rainfall of less than 600 mm ( 24 in ) ; only Antarctica receives less rainfall than Australia . A place inland near Lake Eyre ( in South Australia ) would only receive 81 mm ( 3 in ) of rain annually . Another place , Troudaninna Bore ( 29 ° 11 ′ 44 '' S 138 ° 59 ′ 28 '' E ﻿ / ﻿ 29.19556 ° S 138.99111 ° E ﻿ / - 29.19556 ; 138.99111 , altitude : 46 m ) in South Australia , from 1893 to 1936 , received , in average , 104.9 mm ( 4.13 inches ) of precipitation . From one extreme to another , parts of the far North Queensland coast annually average over 4,000 mm ( 157 in ) , with the Australian annual record being 12,461 mm ( 491 in ) , set at the summit of Mount Bellenden Ker in 2000 . There are four main factors that contribute to the dryness of the Australian landmass :    Cold ocean currents off the west coast   Low elevation of landforms   Dominance of high - pressure systems   Shape of the landmass    The average annual rainfall in the Australian desert is low , ranging from 81 to 250 mm ( 3 to 10 in ) per year . Thunderstorms are relatively common in the region , with an average of 15 to 20 thunderstorms per annum . Summer daytime temperatures range from 32 to 40 ° C ( 90 to 104 ° F ) . In winter , this falls to 18 to 23 ° C ( 64 to 73 ° F ) .   The southern parts of Australia get the usual westerly winds and rain - bearing cold fronts that come when the high pressure systems move towards northern Australia during winter . Cold snaps may bring frosts inland , though temperatures near the coast are mild or near mild all year round . Summers in southern Australia are generally dry and hot with coastal sea breezes . During a lengthy dry spell , hot and dry winds from the interior can cause bushfires in some southern and eastern states , though most commonly Victoria and New South Wales .   The tropical areas of northern Australia have a wet summer because of the monsoon . During `` the wet '' , typically October to April , humid north - westerly winds bring showers and thunderstorms . Occasionally , tropical cyclones can bring heavy rainfall to tropical coastal regions , which is also likely to reach further inland . After the monsoonal season , the dry season comes ( `` winter '' ) , which brings mostly clear skies and milder conditions .   Rainfall records tend to be concentrated along the east coast of Australia , particularly in tropical north Queensland . The highest 24 ‐ hour rainfall on record in Australia was 907.0 millimetres ( 35.7 in ) in Crohamhurst on 3 February 1893 . The highest monthly rainfall on record was 5,387.0 millimetres ( 212.1 in ) recorded at Mount Bellenden Ker , Queensland in January 1979 . The highest annual rainfall was 12,461.0 millimetres ( 490.6 in ) recorded also at Mount Bellenden Ker in 2000 . Additionally , the location which receives the highest average annual rainfall in Australia is Babinda in Queensland with an annual average of 4,279.4 millimetres ( 168.5 in ) .   Low rate of evaporation from this very cool body of water result in little evaporation occurring . Hence , rain clouds are sparsely formed and very rarely do they form long enough for a continuous period of rain to be recorded . Australia 's arid / semi-arid zone extends to this region . The absence of any significant mountain range or area of substantial height above sea level , results in very little rainfall caused by orographic uplift . In the east the Great Dividing Range limits rain moving into inland Australia .   Australia has a compact shape , and no significant bodies of water penetrate very far inland . This is important in as much as moist winds are prevented from penetrating inland , so keeping rainfall low .   Snow ( edit )  Snow ( a relatively rare occurrence in non-alpine regions of Australia ) blankets the town of Robertson causing the closure of various transport facilities including the Cockatoo Run ( 16 August 1996 ) .  In Australia , snow falls frequently on the highlands near the east coast , in the states of Victoria , New South Wales and Tasmania and in the Australian Capital Territory . There is a regular snow season in several areas which have seasonal ski tourism industries . Snow also falls with some regularity on the Great Dividing Range as far north as Stanthorpe , Queensland and in isolated parts of South Australia and Western Australia , but outside these areas , snow is an extremely rare occurrence . Snow has also fallen on Uluru and near Alice Springs on at least one occasion .   Snow at sea level is occasionally recorded on mainland Australia , but is more frequent in Tasmania where snowfalls at sea level can occur during the winter months . Snow has been recorded across most of Tasmania , though it is rare on the northern coast at sea level . Snow is rare in the southernmost capitals like Melbourne and Hobart , falling less than once every five years , and in the other capitals it is unknown ( however snow has fallen in the hill suburbs of Perth and Adelaide ) . However , there are extensive , well - developed ski fields in the Great Dividing Range , a few hours ' drive from Melbourne and Sydney . Light snow generally falls every winter in Canberra , however , and other cities that may receive regular seasonal snowfalls include Orange , Oberon , Lithgow and Katoomba in New South Wales .   The occasional cold snap , caused by cold air drifting north from Antarctica , can cause significant snowfall in rural areas , as well as major cities such as Hobart , Melbourne 's outer mountain suburbs and Canberra . Such occasions are rare , but have occurred in 1958 , 1965 , 1986 , 2005 and 2015 , the 1965 event causing snow to fall as far north as Eungella , near Mackay in tropical Queensland . Extreme snow events have also produced snow as far north - west as Longreach in Queensland and in the ranges near Alice Springs , and also in lowland towns such as Dubbo and Wagga Wagga in New South Wales . The frequen</t>
  </si>
  <si>
    <t xml:space="preserve">does it get cold in australia in winter</t>
  </si>
  <si>
    <t xml:space="preserve"> The tropical savannah zone of Northern Australia is warm to hot all year round . Summers are hot in most of the country with average January maximum temperatures exceeding 30 ° C over most areas of the mainland , except for those at high elevations though . Winters are warm in the north and cool in the south , with nightly frosts common in inland areas south of the Tropic of Capricorn . Only at the highly elevated areas do wintertime temperatures approach those found in much of Europe or North America , especially the southern parts . </t>
  </si>
  <si>
    <t xml:space="preserve">Star Wars : the Last Jedi - wikipedia  Star Wars : the Last Jedi  Not to be confused with the 2005 young - adult book series Star Wars : The Last of the Jedi , or the 2013 novel Star Wars : Coruscant Nights -- The Last Jedi . `` Episode VIII '' redirects here . For other similarly - known episodes , see Episode 8 . 2017 American epic space opera film in the Star Wars series      Star Wars : The Last Jedi     Theatrical release poster     Directed by   Rian Johnson     Produced by     Kathleen Kennedy   Ram Bergman       Written by   Rian Johnson     Based on   Characters by George Lucas     Starring     Mark Hamill   Carrie Fisher   Adam Driver   Daisy Ridley   John Boyega   Oscar Isaac   Andy Serkis   Lupita Nyong'o   Domhnall Gleeson   Anthony Daniels   Gwendoline Christie   Kelly Marie Tran   Laura Dern   Frank Oz   Benicio del Toro       Music by   John Williams     Cinematography   Steve Yedlin     Edited by   Bob Ducsay     Production company   Lucasfilm Ltd .     Distributed by   Walt Disney Studios Motion Pictures     Release date     December 9 , 2017 ( 2017 - 12 - 09 ) ( Shrine Auditorium )   December 15 , 2017 ( 2017 - 12 - 15 ) ( United States )             Running time   152 minutes     Country   United States     Language   English     Budget   $317 million     Box office   $1.333 billion     Star Wars : The Last Jedi ( also known as Star Wars : Episode VIII -- The Last Jedi ) is a 2017 American epic space opera film written and directed by Rian Johnson . It is the second installment of the Star Wars sequel trilogy and the eighth main installment of the Star Wars franchise , following Star Wars : The Force Awakens ( 2015 ) . It was produced by Lucasfilm and distributed by Walt Disney Studios Motion Pictures . The film 's ensemble cast includes Mark Hamill , Carrie Fisher , Adam Driver , Daisy Ridley , John Boyega , Oscar Isaac , Andy Serkis , Lupita Nyong'o , Domhnall Gleeson , Anthony Daniels and Gwendoline Christie in returning roles , with Kelly Marie Tran , Laura Dern and Benicio del Toro joining the cast . It features the first posthumous film performance by Fisher , who died in December 2016 , and the film is dedicated to her memory . The plot follows Rey as she receives Jedi training from Luke Skywalker , in hopes of turning the tide for the Resistance in the fight against Kylo Ren and the First Order , while General Leia Organa , Finn , and Poe Dameron attempt to escape a First Order attack on the dwindling Resistance fleet .   The Last Jedi is part of a new trilogy of films announced after Disney 's acquisition of Lucasfilm in October 2012 . It was produced by Lucasfilm President Kathleen Kennedy and Ram Bergman , with Force Awakens director J.J. Abrams as an executive producer . John Williams , composer for the previous films , returned to compose the score . A number of scenes were filmed at Skellig Michael in Ireland during pre-production in September 2015 , but principal photography began at Pinewood Studios in the United Kingdom in February 2016 , and ended in July 2016 . Post-production wrapped in September 2017 .   The Last Jedi had its world premiere in Los Angeles on December 9 , 2017 , and was released in the United States on December 15 , 2017 . It grossed over $1.3 billion worldwide , becoming the highest - grossing film of 2017 , the seventh - highest - ever grossing film in North America and the ninth - highest - grossing film of all time during its theatrical run . It is also the second - highest - grossing film of the Star Wars franchise , and turned a net profit of over $417 million . It received positive reviews from critics , who praised its ensemble cast , visual effects , musical score , action sequences and emotional weight . The film received four nominations at the 90th Academy Awards , including Best Original Score and Best Visual Effects , as well two nominations at the 71st British Academy Film Awards . A sequel , provisionally titled Star Wars : Episode IX , is scheduled for release on December 20 , 2019 .   Contents    1 Plot   2 Cast   3 Production   3.1 Development   3.2 Casting   3.3 Filming   3.4 Music     4 Release   4.1 Marketing   4.1. 1 Video games   4.1. 2 Home media     4.2 Tie - in literature and merchandise     5 Reception   5.1 Box office   5.1. 1 United States and Canada   5.1. 2 Outside North America     5.2 Critical reception   5.3 Audience reception   5.4 Accolades     6 Sequel   7 References   8 External links    Plot ( edit )   Shortly after the battle of Starkiller Base , General Leia Organa leads Resistance forces to flee D'Qar when a First Order fleet arrives . Poe Dameron leads a costly counterattack that destroys a First Order dreadnought , but after the Resistance escapes to hyperspace , the First Order tracks them and attacks the Resistance convoy . Kylo Ren , Leia 's son , hesitates to fire on the lead Resistance ship after sensing his mother 's presence , but his TIE fighter wingmen destroy the bridge , killing most of their leadership and incapacitating Leia , who survives by using the Force . Disapproving of new leader Vice Admiral Holdo 's passive strategy , Poe helps Finn , BB - 8 , and mechanic Rose Tico embark on a secret mission to disable the First Order 's tracking device .   Meanwhile , Rey arrives on Ahch - To with Chewbacca and R2 - D2 aboard the Millennium Falcon to recruit Luke Skywalker to the Resistance . Disillusioned by his failure to train Kylo as a Jedi , and under self - imposed exile from the Force , Luke refuses to help -- even after he learns of Han Solo 's death at Kylo 's hands -- and believes the Jedi should go extinct . Unbeknownst to Luke , Rey and Kylo communicate through the Force , puzzling the two enemies . As Rey and Kylo learn about each other , both have visions of themselves as future partners .   R2 - D2 persuades Luke to train Rey . After Kylo tells Rey what happened between him and Luke that caused him to choose the dark side , Luke confesses that he momentarily contemplated killing Kylo upon sensing that Supreme Leader Snoke was corrupting him , causing Kylo to destroy Luke 's new Jedi Order in retaliation . Convinced that Kylo can be redeemed , Rey leaves Ahch - To without Luke . Luke prepares to burn the Ahch - To Jedi temple and library , but hesitates . Yoda 's ghost appears and destroys the temple by summoning a bolt of lightning , claiming Rey has all she needs to learn , and encourages Luke to learn from his failure .   Holdo reveals her plan to discreetly evacuate the remaining Resistance members using small transports . Believing her actions cowardly and risky , Poe leads a mutiny . Finn , Rose , and BB - 8 travel to the Canto Bight casino and acquire the help of the hacker DJ . They infiltrate Snoke 's ship , where all but BB - 8 are captured by Captain Phasma . Meanwhile , Rey lands on the ship , and Kylo brings her to Snoke , who says he facilitated the mental connection between her and Kylo as part of a plan to destroy Luke . Ordered to kill Rey , Kylo instead kills Snoke and defeats Snoke 's guards alongside Rey . Rey believes that Kylo has returned to the light side of the Force , but he instead invites her to rule the galaxy with him . Refusing , she fights Kylo for possession of Anakin Skywalker 's lightsaber , which splits in two .   Leia recovers and stuns Poe , allowing the evacuation to begin . Holdo remains on the ship to mislead Snoke 's fleet as the others flee to an abandoned Rebel Alliance base on Crait . DJ reveals the Resistance 's plan to the First Order , and the evacuation transports are slowly destroyed . Holdo sacrifices herself by ramming Snoke 's fleet at lightspeed ; Rey escapes in the chaos , while Kylo declares himself Supreme Leader . BB - 8 frees Finn and Rose , who escape after defeating Phasma , and join the survivors on Crait . When the First Order arrives , Poe , Finn , and Rose attack with old speeders . Rey and Chewbacca draw the TIE fighters away with the Falcon , while Rose stops Finn from completing a suicide run against the enemy siege cannon , which subsequently penetrates the Resistance fortress .   Luke appears and confronts the First Order to enable surviving Resistance members to escape . Kylo orders the First Order 's forces to fire on Luke , to no effect . He then engages Luke in a lightsaber duel ; upon striking Luke , Kylo realizes he has been fighting a Force projection of him . Rey uses the Force to help the Resistance escape on the Falcon . Luke , exhausted , dies peacefully on Ahch - To . Rey and Leia sense his death , and Leia tells surviving rebels that the Resistance has all it needs to rise again . At Canto Bight , one of the children who helped Finn and Rose escape grabs a broom with the Force and gazes into space .   Cast ( edit )  Star Wars : The Last Jedi ( from top ) features Mark Hamill and Carrie Fisher , and introduces Kelly Marie Tran ( not pictured ) , Laura Dern , and Benicio del Toro . See also : List of Star Wars cast members   Mark Hamill as Luke Skywalker , a powerful Jedi Master who has been in self - imposed exile on the planet Ahch - To .   Hamill voices Dobbu Scay , named after the film 's editor , Bob Ducsay . On Canto Bight , the character mistakes BB - 8 for a slot machine .     Carrie Fisher as General Leia Organa , twin sister to Luke , former princess of Alderaan , and a leading general in the Resistance . This was Fisher 's final film role before her death on December 27 , 2016 .   Adam Driver as Kylo Ren , Supreme Leader Snoke 's disciple , who is strong with the dark side of the Force and leader to the Knights of Ren . He is the son of Han Solo and Leia Organa , nephew of Luke Skywalker , and the grandson of Anakin Skywalker ( Darth Vader ) .   Daisy Ridley as Rey , a highly Force - sensitive scavenger from the desert planet Jakku who joined the Resistance and goes to find Luke Skywalker .   John Boyega as Finn , a former stormtrooper of the First Order who defected to the Resistance .   Oscar Isaac as Poe Dameron , a high - ranking X-wing fighter pilot in the Resistance .   Andy Serkis as Supreme Leader Snoke , the leader of the First Order and Kylo Ren 's master .   Lupita Nyong'o as Maz Kanata , a pirate and ally of the Resistance .   Domhnall Gleeson as General Hux , the former head of the First Order 's Starkiller Base .   Anthony Daniels as C - 3PO , a humanoid protocol droid in the service of Leia Organa .   Gwendoline Christie as Captain Phasma , the commander of the First Order 's stormtroopers .   Kelly Marie Tran as Rose Tico , a member of the Resistance who at the beginning works in maintenance .   Laura Dern as Vice Admiral Amilyn Holdo , an officer in the Resistance .   Frank Oz as Yoda , the deceased former Grand Master of the Jedi , and Luke 's wise former mentor , who appears as a Force - ghost .   Benicio del Toro as DJ , an underworld codebreaker .    Joonas Suotamo appears as Chewbacca , taking over the role from Peter Mayhew after previously serving as his body double in The Force Awakens . Mayhew , who was 73 years old and suffering from chronic knee and back pain , is credited as `` Chewbacca consultant . '' Billie Lourd , Mike Quinn , and Timothy D. Rose reprise their roles as Lieutenant Connix , Nien Nunb , and Admiral Ackbar respectively . Due to the death of Erik Bauersfeld , Admiral Ackbar is now voiced by Tom Kane . Amanda Lawrence appears as Commander D'Acy , and Mark Lewis Jones and Adrian Edmondson play Captains Canady and Peavey respectively . BB - 8 is controlled by puppeteers Dave Chapman and Brian Herring , with initial voice work by Ben Schwartz and final sound effects voiced by Bill Hader modulated through a synthesizer . Jimmy Vee portrays R2 - D2 , taking over the role from Kenny Baker , who died on August 13 , 2016 . Veronica Ngo portrays Rose 's sister Paige Tico , a Resistance gunner who sacrifices her life to destroy a First Order dreadnought .   Justin Theroux plays the master codebreaker . Lily Cole plays his companion . Joseph Gordon - Levitt has a voice cameo as Slowen Lo . Warwick Davis plays Wodibin . Gareth Edwards , director of the Star Wars Anthology film Rogue One , has a cameo appearance as a Resistance Soldier , as does Gary Barlow . Directors Edgar Wright and Joe Cornish also cameo in the film . Hermione Corfield appears as Tallissan `` Tallie '' Lintra , a Resistance A-Wing pilot and squadron leader . Noah Segan and Jamie Christopher appear as Resistance pilots Starck and Tubbs . Hamill 's children , Griffin , Nathan , and Chelsea , cameo as Resistance soldiers . Prince William , Duke of Cambridge and Prince Harry filmed cameo appearances as stormtroopers . Tom Hardy also filmed an appearance as a stormtrooper , but his cameo was dropped from the final cut . Hugh Skinner cameos as a Resistance Officer .   Production ( edit )   Development ( edit )  See also : Star Wars sequel trilogy  In October 2012 , Star Wars creator George Lucas sold his production company Lucasfilm , and with it the Star Wars franchise , to The Walt Disney Company . Disney announced a new trilogy of Star Wars films . J.J. Abrams was named director of the first episode in the trilogy , The Force Awakens , in January 2013 . In June 2014 , director Rian Johnson was reported to be in talks to write and direct its sequel , Episode VIII , and to write a treatment for the third film , Episode IX , with Ram Bergman producing both films . Johnson confirmed in August 2014 that he would direct Episode VIII . In September , filmmaker Terry Gilliam asked Johnson about what it felt like to take over something made famous by another filmmaker . Johnson responded :   I 'm just starting into it , but so far , honestly , it 's the most fun I 've ever had writing . It 's just joyous . But also for me personally , I grew up not just watching those movies but playing with those toys , so as a little kid , the first movies I was making in my head were set in this world . A big part of it is that direct connection , almost like an automatic jacking back into childhood in a weird way . But I do n't know , ask me again in a few years and we 'll be able to talk about that .  Writer - director Rian Johnson  The story begins immediately after the last scene of The Force Awakens . Johnson had his story group watch films such as Twelve O'Clock High , The Bridge on the River Kwai , Gunga Din , Three Outlaw Samurai , Sahara , and Letter Never Sent for inspiration while developing ideas . He felt it was difficult to work on the film while The Force Awakens was being finished .   In December 2015 , Lucasfilm president Kathleen Kennedy said , `` we have n't mapped out every single detail ( of the sequel trilogy ) yet '' , and that Abrams was collaborating with Johnson and that Johnson would in turn work with ( then ) Episode IX director Colin Trevorrow to ensure a smooth transition . Abrams is an executive producer along with Jason McGatlin and Tom Karnowski . Lucasfilm announced the film 's title , Star Wars : The Last Jedi , on January 23 , 2017 .   Casting ( edit )   In September 2015 , Disney shortlisted the female cast members to Gina Rodriguez , Tatiana Maslany , and Olivia Cooke . Later that month , Benicio del Toro confirmed that he would play a villain in the film , and Mark Hamill was also confirmed . In October 2015 , Gugu Mbatha - Raw was rumored to have been cast in the film . In November , Jimmy Vee was cast as R2 - D2 . In November , Kennedy announced at the London premiere for The Force Awakens that the entire cast would return for Episode VIII , along with `` a handful '' of new cast members . In February 2016 , at the start of filming , it was confirmed that Laura Dern and Kelly Marie Tran had been cast in unspecified roles . In April 2017 , at Star Wars Celebration Orlando , Lucasfilm announced that Tran plays Resistance maintenance worker Rose Tico , which Johnson described as the film 's largest new role . To keep Frank Oz 's return as Yoda a secret , producers excluded Oz 's name in the billing for the film 's pre-release marketing and ensured that Oz stayed on set during filming .   Filming ( edit )  Some filming locations : The island of Skellig Michael in Ireland ( top ) , Salar de Uyuni , a salt flat in Bolivia ( middle ) , and the city of Dubrovnik , in Croatia ( bottom ) .  Second unit photography began during pre-production at Skellig Michael in Ireland on September 14 , 2015 , due to the difficulties of filming at that location during other seasons . It would have lasted four days , but filming was canceled for the first day due to poor weather and rough conditions . In November 2014 , Ivan Dunleavy , chief executive of Pinewood Studios , confirmed that the film would be shot at Pinewood , with additional filming in Mexico . In September 2015 , del Toro revealed that principal photography would begin in March 2016 ; Kennedy later said filming would begin in January 2016 . The production began work on the 007 Stage at Pinewood Studios on November 15 , 2015 . Rick Heinrichs served as production designer .   In January 2016 , production of Episode VIII was delayed until February due to script rewrites . Filming was in danger of being delayed further due to an upcoming strike between the Producers Alliance for Cinema and Television and the Broadcasting , Entertainment , Cinematograph and Theatre Union . On February 10 , 2016 , Disney CEO Bob Iger confirmed that principal photography had begun under the working title Space Bear . Additional filming took place in Dubrovnik , Croatia from March 9 to 16 , as well as in Ireland in May . Malin Head in County Donegal and a mountain headland , Ceann Sibeal in County Kerry , served as additional filming locations . To increase the scenes ' intimacy Driver and Ridley were both present when filming Kylo and Rey 's Force visions . Location filming for the battle scenes on the planet Crait took place in July at the Salar de Uyuni salt flats in Bolivia .   Principal photography wrapped on July 22 , 2016 , though as of early September , Nyong'o had not filmed her scenes . In February 2017 , it was announced that sequences from the film were shot in IMAX . Production designer Rick Heinrichs said the original screenplay called for 160 sets , double what might be expected , but that Johnson did some `` trimming and cutting '' . Ultimately 125 sets were created on 14 sound stages at Pinewood Studios .   According to creature designer Neal Scanlan , The Last Jedi uses more practical effects than any Star Wars film , with 180 to 200 creatures created with practical effects , some cut from the final edit . For Yoda 's appearance in the film as a Force ghost , the character was created using puppetry , as was done in the original Star Wars trilogy ( as opposed to computer - generated imagery , which was used to create Yoda in most of the prequel trilogy ) .   The film 's Canto Bight sequence contains a reference to the 1985 Terry Gilliam film Brazil , in which Finn and Rose are arrested for committing parking violation 27B / 6 .   Music ( edit )  Main article : Star Wars : The Last Jedi ( soundtrack )  In July 2013 , Kennedy announced at Star Wars Celebration Europe that John Williams would return to score the Star Wars sequel trilogy . Williams confirmed his assignment for The Last Jedi at a Tanglewood concert in August 2016 , stating he would begin recording the score `` off and on '' in December 2016 until March or April 2017 . On February 21 , 2017 , it was confirmed that recording was underway , with both Williams and William Ross conducting the sessions .   In lieu of a traditional spotting session with Johnson , Williams was provided a temp track of music from his previous film scores as a reference for scoring The Last Jedi . The score briefly quotes `` Aquarela do Brasil '' by Ary Barroso in its `` Canto Bight '' track as another reference to the film Brazil . It also contains a brief quote of Williams performing his own theme for The Long Goodbye ( co-composed by Johnny Mercer ) during Finn and Rose 's escape , but this is not in the official soundtrack release .   The official soundtrack album was released by Walt Disney Records on December 15 , 2017 in digipak CD , digital formats , and streaming services .   Release ( edit )   In January 2015 , Disney CEO Bob Iger stated that Episode VIII would be released in 2017 , and in March , Lucasfilm announced a release date of May 26 , 2017 . In January 2016 , The Last Jedi was rescheduled for December 15 , 2017 in 3D and IMAX 3D . On January 23 , 2017 , the film 's title was announced as Star Wars : The Last Jedi . Similarly to The Empire Strikes Back , Return of the Jedi and The Force Awakens , `` Episode VIII '' was included in the film 's opening crawl , although not in its official title .   The Last Jedi had its world premiere in Los Angeles on December 9 , 2017 . The European premiere was held at London 's Royal Albert Hall on December 12 , 2017 , with a red carpet event .   It was reported that Disney had placed notable conditions on U.S. cinemas screening The Last Jedi , which some operators described as onerous . Disney required that the film be screened in a cinema 's largest auditorium for a four - week period ( other Disney releases have had similar clauses , but only for two weeks ) , and was given a 65 % cut of ticket sales ( a percentage higher than the 55 -- 60 % average of other major films , and cited as the highest split ever demanded by a Hollywood film behind the 64 % split of The Force Awakens ) . The agreement , which was required to be kept confidential , also contained regulations on promotions and restrictions on removing any scheduled screening . Violations were to be penalized with an additional 5 % cut of ticket sales . Because of this , some cinemas declined to screen the film , particularly smaller or one - screen cinemas that would otherwise be barred from screening any other film during the commitment period . Industry representatives considered this policy reasonable , citing the performance of Disney releases and the Star Wars franchise , and that the guaranteed business attracted by the film , and concession sales , would make up for the larger cut of ticket sales .   Marketing ( edit )       This section needs expansion . You can help by adding to it . ( December 2017 )     A set of eight promotional postage stamps were released on October 12 , 2017 in the UK by the Royal Mail with artwork by Malcolm Tween . On September 19 , 2017 , Australia Post released a set of stamp packs . Tie - in promotional campaigns were done with Nissan Motors and Bell Media , among others . Two main trailers were released , followed by numerous television spots . Figurines of many of the characters were released in October , and advance tickets for Last Jedi went on sale in October .   Several tie - in books were released on the same day of the North American release of the movie , including The Last Jedi : Visual Dictionary , and various children 's reading and activity books . Related novelizations included the prequel book Cobalt Squadron , and the Canto Bight , a collection of novellas about the Canto Bight Casino .  Video games ( edit )  As with The Force Awakens , there is no official tie - in game for The Last Jedi , in favor of integrating content from the film into other Star Wars video games , including Star Wars Battlefront II , which introduced various content from the film , during the second week of the game 's first `` season '' . An update to the MOBA mobile game Star Wars : Force Arena added new content from the sequel era , including some characters as they appeared in The Last Jedi . Characters from the film also appeared in the mobile RPG Star Wars : Galaxy of Heroes .  Home Media ( edit )  Walt Disney Studios Home Entertainment released Star Wars : The Last Jedi digitally in HD and 4K via digital download and Movies Anywhere on March 13 , 2018 , with an Ultra HD Blu - ray , Blu - ray , and DVD physical release on March 27 . It was the first Star Wars film to be released on the Ultra HD Blu - ray format .   Tie - in literature and merchandise ( edit )   The official novelization is by Jason Fry , with an audiobook version narrated by Marc Thompson . There is a `` junior novel '' by Michael Kogge ( 2018 Lucasfilm Press ) , and an audiobook version narrated by Jessica Almasy .   Reception ( edit )   Box Office ( edit )   Star Wars : The Last Jedi grossed $620.2 million in the United States and Canada , and $712.6 million in other territories , for a worldwide total of $1.333 billion . It had a worldwide opening of $450.8 million , the fifth - biggest of all time , including $40.6 million that was attributed to IMAX screenings , the second biggest for IMAX . It was estimated that the film would need to gross $800 million worldwide to break even ; Deadline Hollywood calculated the net profit of the film to be $417.5 million , when factoring together all expenses and revenues , making it the most profitable release of 2017 .   On December 31 , 2017 , its 17th day of release , it passed the $1 billion threshold , becoming the fourth film of 2017 , the fifteenth Disney film , the fourth Star Wars film and the thirty - second film overall to pass the mark . The film was the highest - grossing film of 2017 , the second highest - grossing film in the franchise ( behind The Force Awakens ) , the fourth highest - grossing film released by Walt Disney Studios , the sixth highest - grossing film in North America and the ninth - highest - grossing film of all time .  United States and Canada ( edit )  Pre-sale tickets went on sale in the United States on October 9 , 2017 , and as with The Force Awakens and Rogue One , ticket service sites such as Fandango had their servers crash due to heavy traffic and demand . In the United States and Canada , industry tracking had The Last Jedi grossing around $200 million from 4,232 theaters in its opening weekend . The film made $45 million from Thursday night previews , the second - highest amount ever ( behind The Force Awakens ' $57 million ) . It went on to make $104.8 million on its first day ( including previews ) and $220 million over the weekend , both the second - highest amounts of all time . The opening weekend figure included an IMAX opening - weekend of $25 million , the biggest IMAX opening of the year and the second biggest ever behind The Force Awakens .   After dropping by 76 % on its second Friday , the worst Friday - to - Friday drop in the series , the film fell by a total of 67.5 % in its second weekend , grossing $71.6 million . It was the largest second - weekend drop of the franchise , although it remained atop the box office . The three day total was the 14th biggest second weekend of all time . It grossed an additional $27.5 million on Christmas Day , the second biggest Christmas Day gross of all time behind The Force Awakens ( $49.3 million ) , for a four - day weekend total of $99 million . It made $52.4 million in its third weekend , again topping the box office . It also brought its domestic total to $517.1 million , overtaking fellow Disney vehicle Beauty and the Beast as the highest of 2017 . It was the 6th biggest third weekend of all time . It had the 7th biggest New Year 's Day gross of all time with $14.3 million , bringing the four day total to $66.8 million . It grossed $23.7 million and was surpassed the following weekend by Jumanji : Welcome to the Jungle ( which was in its third week ) and Insidious : The Last Key .  Outside North America ( edit )  In its first two days of release the film made $60.8 million from 48 markets . The top countries were the United Kingdom ( $10.2 million ) , Germany ( $6.1 million ) , France ( $6 million ) , Australia ( $5.6 million ) and Brazil ( $2.5 million ) . By the end of the weekend , the film made $230.8 million outside North America , the ninth - highest of all time . This included $36.7 million in the UK ( third - highest ) , $23.6 million in Germany ( second - highest ) , $18.1 million in France , $15.9 million in Australia ( second - highest ) , $14.4 million in Japan , $8.5 million in Russia , $8.3 million in Spain , $7.2 million in Brazil , $7 million in Italy and Mexico , $6.0 million in Sweden and $5.1 million in South Korea . On its second weekend , it grossed $76.1 million overseas and became the fourth - highest - grossing film of the year in Europe . As of January 21 , the largest markets outside of the United States and Canada are the United Kingdom ( $109.3 million ) , Germany ( $79.8 million ) , France ( $63.5 million ) , Japan ( $60.8 million ) and Australia ( $43.5 million ) .   The film had a $28.7 million opening weekend in China , the lowest for a Star Wars film in that country since 2005 . Star Wars : The Force Awakens opened to $52 million two years prior and Rogue One , which featured Chinese stars Donnie Yen and Jiang Wen , opened to $30 million in 2016 . The Last Jedi added only $7 million during the week , to reach a total of $34.2 million in its first seven days . A week after its debut , China 's movie exhibitors dropped the film 's showtimes by 92 percent , from its 34.5 % percent share of the territory 's total screenings . The film grossed $910,000 in its third weekend , dropping to ninth place at the Chinese box office , overshadowed by new releases including Bollywood film Secret Superstar , Hollywood films Ferdinand and Wonder , and Chinese film A Better Tomorrow 2018 . The Last Jedi grossed $41 million in China , as of January 21 , 2018 .   Critical reception ( edit )   On review aggregator website Rotten Tomatoes , Star Wars : The Last Jedi has an approval rating of 90 % based on 376 reviews , with an average rating of 8.1 / 10 . The website 's critical consensus reads , `` Star Wars : The Last Jedi honors the saga 's rich legacy while adding some surprising twists -- and delivering all the emotion - rich action fans could hope for . '' On Metacritic , the film has a weighted average score of 85 out of 100 , based on 56 critics , indicating `` universal acclaim '' .   Matt Zoller Seitz of RogerEbert.com gave the film four out of four stars , praising the surprises and risks that it took , writing that `` The movie works equally well as an earnest adventure full of passionate heroes and villains and a meditation on sequels and franchise properties ... ( The film ) is preoccupied with questions of legacy , legitimacy and succession , and includes multiple debates over whether one should replicate or reject the stories and symbols of the past . '' Writing for Rolling Stone , Peter Travers gave the film 3.5 out of 4 stars , praising the cast and the direction : `` You 're in hyper - skilled hands with Johnson who makes sure you leave the multiplex feeling euphoric . The middle part of the current trilogy , The Last Jedi ranks with the very best Star Wars epics ( even the pinnacle that is The Empire Strikes Back ) by pointing the way ahead to a next generation of skywalkers -- and , thrillingly , to a new hope . ''   Richard Roeper of the Chicago Sun - Times gave the film 3.5 / 4 stars , saying , `` Star Wars : The Last Jedi ... does n't pack quite the same emotional punch ( as The Force Awakens ) and it lags a bit in the second half , ( but ) this is still a worthy chapter in the Star Wars franchise , popping with exciting action sequences , sprinkled with good humor and containing more than a few nifty ' callbacks ' to previous characters and iconic moments . '' For The Hollywood Reporter , Todd McCarthy said , `` Loaded with action and satisfying in the ways its loyal audience wants it to be , writer - director Rian Johnson 's plunge into George Lucas ' universe is generally pleasing even as it sometimes strains to find useful and / or interesting things for some of its characters to do . ''   Will Gompertz , arts editor of BBC News , gave the film 4 / 5 stars , writing `` Rian Johnson ... has not ruined your Christmas with a turkey . His gift to you is a cracker , a blockbuster movie packed with invention , wit , and action galore . '' Mark Kermode , British film critic , gave the film 4 / 5 stars saying Johnson `` proves himself the master of the balancing act , keeping the warring forces of this intergalactic franchise in near - perfect harmony . '' The unpredictability of the plot was appreciated by reviewers such as Alex Leadbeater of Screen Rant , who commented specifically that the death of Snoke was `` the best movie twist in years '' .   Conversely , Richard Brody of The New Yorker wrote , `` Despite a few stunning decorative touches ( most of which involve the color red ) and that brief central sequence of multiple Reys , the movie comes </t>
  </si>
  <si>
    <t xml:space="preserve">what is the movie after the last jedi</t>
  </si>
  <si>
    <t xml:space="preserve"> The Last Jedi had its world premiere in Los Angeles on December 9 , 2017 , and was released in the United States on December 15 , 2017 . It grossed over $1.3 billion worldwide , becoming the highest - grossing film of 2017 , the seventh - highest - ever grossing film in North America and the ninth - highest - grossing film of all time during its theatrical run . It is also the second - highest - grossing film of the Star Wars franchise , and turned a net profit of over $417 million . It received positive reviews from critics , who praised its ensemble cast , visual effects , musical score , action sequences and emotional weight . The film received four nominations at the 90th Academy Awards , including Best Original Score and Best Visual Effects , as well two nominations at the 71st British Academy Film Awards . A sequel , provisionally titled Star Wars : Episode IX , is scheduled for release on December 20 , 2019 . </t>
  </si>
  <si>
    <r>
      <rPr>
        <sz val="11"/>
        <color rgb="FF000000"/>
        <rFont val="Calibri"/>
        <family val="0"/>
        <charset val="1"/>
      </rPr>
      <t xml:space="preserve">Mount &amp; Blade II : Bannerlord - Wikipedia  Mount &amp; Blade II : Bannerlord  Jump to : navigation , search      This article relies too much on references to primary sources . Please improve this by adding secondary or tertiary sources . ( December 2015 ) ( Learn how and when to remove this template message )       Mount &amp; Blade II : Bannerlord         Developer ( s )   TaleWorlds Entertainment     Publisher ( s )   TaleWorlds Entertainment     Composer ( s )   Finn Seliger     Series   Mount &amp; Blade ( * )     Platform ( s )   Microsoft Windows     Release   TBA     Genre ( s )   Action role - playing game     Mode ( s )   Single - player , multiplayer     Mount &amp; Blade II : Bannerlord is an upcoming medieval action role - playing game developed by TaleWorlds Entertainment . The game was announced in 2012 . It is a prequel to the 2010 game Mount &amp; Blade : Warband . The game is tentatively scheduled to be released in 2017 for Microsoft Windows .     Contents  ( hide )   1 Plot   1.1 Setting   1.2 Factions     2 Development   3 References   4 External links      Plot ( edit )   Setting ( edit )   The game is set 200 years before Mount &amp; Blade : Warband , taking place during the decline of the Calradian Empire , and the formation of the Kingdoms that appear in the previous games . The Calradian Empire and its downfall are analogous to the fall of the Roman Empire and the formation of the early Middle Eastern , North African , and European kingdoms . The armor , weapons and architecture will draw inspiration from 600 to 1100 A.D. Furthermore , there are many different vassals which serve the Kingdom the way they do .   Factions ( edit )   Bannerlord will include at least eight major factions , each composed of competing clans with their own goals , as well as minor warband factions like mercenaries . The Northern , Western , and Southern Empire factions use a balance of heavy cavalry , spearmen , and archers . The Calradic Empire was a once significant empire that is now fighting a three - way civil war , they are experts in archery and heavily armoured cataphract cavalry . The Vlandians are a feudal kingdom specializing in heavy cavalry tactics . The Sturgians of the northern forests specialize in axe and sword equipped infantry . The Aserai of the southern desert are adept at both cavalry and infantry tactics . The Khuzait of the eastern steppe specialize in ranged cavalry . The Battanians of the central woodlands specialize in ambushes with archers from the trees and are inspired by Welsh , Pictish , and Celtic cultures .   Development ( edit )   In September 2012 , TaleWorlds Entertainment announced that the game was in development and released a teaser trailer for it .   The game 's graphics have been significantly improved from its predecessor , Mount &amp; Blade : Warband , having better shading and higher detail models . The character animations are created utilizing motion capture technology and the facial animations will also be updated to improve upon the portrayal of emotions .   Gameplay related features are also being upgraded with a new inventory interface and better artificial intelligence . The siege system is also being improved based on player feedback , with additional tactics being available during sieges . The current state of the game and various features were showcased during the 2015 Gamescom trade fair .   In March 2016 , some 40 minutes of gameplay were shown at the PC Gamer Weekender event in London .   In October 2016 , TaleWorlds made an official Bannerlord Steam page .   In June 2017 , 13 minutes of gameplay were shown at the E3 2017 expo .   References ( edit )    Jump up ^ `` Bannerlord Development Blog Episode VII : Return of the Blog '' . Bannerlord Development Blog . TaleWorlds. 29 August 2014 . Retrieved 19 October 2014 .   Jump up ^ Savage , Phil ( 2017 ) . `` Mount Your Friends - Meet the factions of Calradia '' . PC Gamer ( Print ) format = requires url = ( help ) . No. 303 ( UK ed . ) . Bath , UK : Future Publishing Ltd. p. 43 .   Jump up ^ `` Mount &amp; Blade 2 : Bannerlord gameplay demonstration - PC Gamer Weekender '' . PC Gamer . Retrieved 2017 - 05 - 26 .   Jump up ^ `` Mount&amp;Blade II : Bannerlord Developer Blog 1 - Hairy Artists '' . Bannerlord Development Blog . TaleWorlds. 22 November 2013 . Retrieved 19 October 2014 .   Jump up ^ `` Mount&amp;Blade II : Bannerlord Developer Blog 5 -- Virtual Skeletons '' . Bannerlord Development Blog . TaleWorlds. 14 March 2014 . Retrieved 19 October 2014 .   Jump up ^ `` Mount&amp;Blade II : Bannerlord Developer Blog 6 -- Astounding Squirms '' . Bannerlord Development Blog . TaleWorlds. 7 May 2014 . Retrieved 19 October 2014 .   Jump up ^ `` Mount&amp;Blade II : Bannerlord Developer Blog 3 -- Unexpected Parties '' . Bannerlord Development Blog . TaleWorlds. 20 December 2013 . Retrieved 19 October 2014 .   Jump up ^ `` Mount&amp;Blade II : Bannerlord Developer Blog 4 -- Flexible Entries '' . Bannerlord Development Blog . TaleWorlds. 24 January 2014 . Retrieved 19 October 2014 .   Jump up ^ `` Mount&amp;Blade II Bannerlord - TaleWorlds Entertainment '' . www.taleworlds.com . Retrieved 2016 - 03 - 25 .   Jump up ^ `` Mount &amp; Blade II : Bannerlord on Steam '' . store.steampowered.com . Retrieved 2016 - 10 - 23 .   Jump up ^ https://www.youtube.com/watch?v=EnBh8Uo2wM0    External links ( edit )    Official website      ( hide )         Mount &amp; Blade series     Games     Mount &amp; Blade   Warband   With Fire &amp; Sword   II : Bannerlord       Companies     TaleWorlds Entertainment   Paradox Interactive   1C Company       Related     With Fire and Sword           This action role - playing game article is a stub . You can help Wikipedia by expanding it .            Retrieved from `` https://en.wikipedia.org/w/index.php?title=Mount_%26_Blade_II:_Bannerlord&amp;oldid=801428732 '' Categories :   Upcoming video games scheduled for 2017   TaleWorlds games   Action role - playing video games   Windows games   Open world video games   Action role - playing video game stubs   Hidden categories :   Pages using citations with format and no URL   Articles lacking reliable references from December 2015   All articles lacking reliable references   Articles using Infobox video game using locally defined parameters   Articles using Wikidata infoboxes with locally defined images   All stub articles           Talk                                           Contents                   About Wikipedia                                           Deutsch   </t>
    </r>
    <r>
      <rPr>
        <sz val="11"/>
        <color rgb="FF000000"/>
        <rFont val="Noto Sans CJK SC"/>
        <family val="2"/>
      </rPr>
      <t xml:space="preserve">한국어   </t>
    </r>
    <r>
      <rPr>
        <sz val="11"/>
        <color rgb="FF000000"/>
        <rFont val="Calibri"/>
        <family val="0"/>
        <charset val="1"/>
      </rPr>
      <t xml:space="preserve">Italiano   ქართული   Русский   Simple English   Türkçe   Tiếng Việt   </t>
    </r>
    <r>
      <rPr>
        <sz val="11"/>
        <color rgb="FF000000"/>
        <rFont val="Noto Sans CJK SC"/>
        <family val="2"/>
      </rPr>
      <t xml:space="preserve">中文   </t>
    </r>
    <r>
      <rPr>
        <sz val="11"/>
        <color rgb="FF000000"/>
        <rFont val="Calibri"/>
        <family val="0"/>
        <charset val="1"/>
      </rPr>
      <t xml:space="preserve">Edit links   This page was last edited on 19 September 2017 , at 16 : 33 .         About Wikipedia                  </t>
    </r>
  </si>
  <si>
    <t xml:space="preserve">when will mount and blade bannerlord be released</t>
  </si>
  <si>
    <t xml:space="preserve"> Mount &amp; Blade II : Bannerlord is an upcoming medieval action role - playing game developed by TaleWorlds Entertainment . The game was announced in 2012 . It is a prequel to the 2010 game Mount &amp; Blade : Warband . The game is tentatively scheduled to be released in 2017 for Microsoft Windows . </t>
  </si>
  <si>
    <t xml:space="preserve">Development of the New Testament canon - wikipedia  Development of the New Testament canon  Jump to : navigation , search For the Jewish canon , see Development of the Hebrew Bible canon . For the Old Testament canon , see Development of the Old Testament canon .    Part of a series on the     Bible           Canons and books   ( show )   Tanakh   Torah   Nevi'im   Ketuvim       Christian biblical canons   Hebrew Bible     Old Testament ( OT )   New Testament ( NT )     Deuterocanon   Antilegomena     Chapters and verses     Apocrypha   Jewish   OT   NT           Authorship and development   ( hide )   Authorship   Dating   Hebrew canon     Old Testament canon   New Testament canon   Documentary hypothesis   Mosaic authorship     Pauline epistles   Petrine epistles     Johannine works         Translations and manuscripts   ( show )   Samaritan Torah   Dead Sea scrolls   Masoretic Text   Targumim   Peshitta   Septuagint   Vulgate   Gothic Bible   Vetus Latina   Luther Bible   English Bibles       Biblical studies ( show )      Archeology   Artifacts   Dating   Historicity   Internal consistency   People   Places   Names     Novum Testamentum Graece   Documentary hypothesis   Synoptic problem   NT textual categories       Biblical criticism       Historical   Textual   Source   Form   Redaction   Canonical          Interpretation ( show )   Hermeneutics     Pesher   Midrash   Pardes     Allegorical interpretation   Literalism     Prophecy   Inspiration   Humor   Violence   Alcohol   Ethics   Slavery   Women   Muhammad       Perspectives ( show )   Gnostic   Islamic   Qur'anic     Inerrancy   Infallibility     Criticism of the Bible        Outline of Bible - related topics  Bible book Bible portal                 The canon of the New Testament is the set of books Christians regard as divinely inspired and constituting the New Testament of the Christian Bible . For most , it is an agreed - upon list of twenty - seven books that includes the Canonical Gospels , Acts , letters of the Apostles , and Revelation . The books of the canon of the New Testament were written before 120 AD .   For the Orthodox , the recognition of these writings as authoritative was formalized in the Second Council of Trullan of 692 . The Catholic Church made dogmatic definition upon its Biblical canon in 382 at the Council of Rome as well as at the Council of Trent of 1545 , reaffirming the Canons of Florence of 1442 and North African Councils ( Hippo and Carthage ) of 393 -- 419 . For the Church of England , it was made dogmatic on the Thirty - Nine Articles of 1563 ; for Calvinism , on the Westminster Confession of Faith of 1647 .     Contents  ( hide )   1 The Early Collections   2 Early Christianity ( c. 30 -- 325 )   2.1 Clement of Rome   2.2 2 Peter   2.3 Marcion of Sinope   2.4 Justin Martyr   2.5 Tatian   2.6 Irenaeus   2.7 Early proto - Orthodox definition attempts   2.8 Muratorian fragment   2.9 Clement of Alexandria   2.10 Alogi     3 Period of the Seven Ecumenical Councils ( 325 -- 787 )   3.1 Eusebius   3.2 Codex Claromontanus   3.3 Constantine the Great   3.4 Cyril of Jerusalem   3.5 Council of Laodicea   3.6 Athanasius   3.7 Cheltenham / Mommsen List   3.8 Epiphanius   3.9 Apostolic Canon # 85   3.10 Amphilochius of Iconium   3.11 Pope Damasus I   3.12 Jerome   3.13 Augustine and the North African councils   3.14 Pope Innocent I   3.15 Eastern canons     4 Outside the Empire   4.1 Syriac Canon   4.2 Armenian canon   4.3 Coptic and Ethiopian canons     5 Protestant developments ( from c. 1517 )   5.1 Martin Luther   5.2 Protestant confessions   5.3 Evangelical canons     6 Catholic developments ( from c. 1546 )   6.1 Council of Trent   6.2 Later developments     7 Orthodox developments ( from c. 1672 )   7.1 Synod of Jerusalem     8 Notes   9 References   10 Bibliography   10.1 Sources   10.2 Studies     11 External links      The early collections ( edit )   Writings attributed to the Apostles circulated among the earliest Christian communities . The Pauline epistles were circulating , perhaps in collected forms , by the end of the 1st century AD . Justin Martyr , in the mid 2nd century , mentions `` memoirs of the apostles '' as being read on `` the day called that of the sun '' ( Sunday ) alongside the `` writings of the prophets . '' A defined set of four gospels ( the Tetramorph ) was asserted by Irenaeus , c. 180 , who refers to it directly .   By the early 3rd century , Origen may have been using the same twenty - seven books as in the present New Testament canon , though there were still disputes over the acceptance of the Letter to the Hebrews , James , II Peter , II John , III John , Jude and Revelation , known as the Antilegomena . Likewise , the Muratorian fragment is evidence that , perhaps as early as 200 , there existed a set of Christian writings somewhat similar to the twenty - seven - book NT canon , which included four gospels and argued against objections to them . Thus , while there was a good measure of debate in the Early Church over the New Testament canon , the major writings are claimed to have been accepted by almost all Christians by the middle of the 3rd century .   In his Easter letter of 367 , Athanasius , Bishop of Alexandria , gave a list of the books that would become the twenty - seven - book NT canon , and he used the word `` canonized '' ( Greek : κανονιζόμενα kanonizomena ) in regards to them . The first council that accepted the present canon of the New Testament may have been the Synod of Hippo Regius in North Africa ( 393 ) . A brief summary of the acts was read at and accepted by the Councils of Carthage in 397 and 419 . These councils were under the authority of St. Augustine , who regarded the canon as already closed . Pope Damasus I 's Council of Rome in 382 , if the Decretum Gelasianum is correctly associated with it , issued a biblical canon identical to that mentioned above , or , if not , the list is at least a 6th - century compilation . Likewise , Damasus ' commissioning of the Latin Vulgate edition of the Bible , c. 383 , was instrumental in the fixation of the canon in the West . In c. 405 , Pope Innocent I sent a list of the sacred books to a Gallic bishop , Exsuperius of Toulouse . Christian scholars assert that , when these bishops and councils spoke on the matter , however , they were not defining something new but instead `` were ratifying what had already become the mind of the Church . ''   Thus , some claim that , from the 4th century , there existed unanimity in the West concerning the New Testament canon , and that , by the 5th century , the Eastern Church , with a few exceptions , had come to accept the Book of Revelation and thus had come into harmony on the matter of the canon . Nonetheless , full dogmatic articulations of the canon were not made until the Canon of Trent of 1546 for Roman Catholicism , the Gallic Confession of Faith of 1559 for Calvinism , the Thirty - Nine Articles of 1563 for the Church of England , and the Synod of Jerusalem of 1672 for the Greek Orthodox .   Early Christianity ( c. 30 -- 325 ) ( edit )  See also : Early Christianity and History of Early Christianity  In the one - hundred - year period extending roughly from 50 to 150 , a number of documents began to circulate among the churches , including epistles , gospels , memoirs , apocalypses , homilies , and collections of teachings . While some of these documents were apostolic in origin , others drew upon the tradition the apostles and ministers of the word had utilized in their individual missions . Still others represented a summation of the teaching entrusted to a particular church center . Several of these writings sought to extend , interpret , and apply apostolic teaching to meet the needs of Christians in a given locality .   Clement of Rome ( edit )   By the end of the 1st century , some letters of Paul were known to Clement of Rome ( fl. 96 ) , together with some form of the `` words of Jesus '' ; but while Clement valued these highly , he did not regard them as `` Scripture '' ( `` graphe '' ) , a term he reserved for the Septuagint . Metzger 1987 draws the following conclusion about Clement :   Clement ... makes occasional reference to certain words of Jesus ; though they are authoritative for him , he does not appear to enquire how their authenticity is ensured . In two of the three instances that he speaks of remembering ' the words ' of Christ or of the Lord Jesus , it seems that he has a written record in mind , but he does not call it a ' gospel ' . He knows several of Paul 's epistles , and values them highly for their content ; the same can be said of the Epistle to the Hebrews , with which he is well acquainted . Although these writings obviously possess for Clement considerable significance , he never refers to them as authoritative ' Scripture ' .  -- page 43  2 Peter ( edit )  Main article : Second Epistle of Peter  Within the New Testament itself , there is reference to at least some of the works of Paul as Scripture. 2 Peter 3 : 16 says :   He ( Paul ) writes the same way in all his letters , speaking in them of these matters . His letters contain some things that are hard to understand , which ignorant and unstable people distort , as they do the other Scriptures , to their own destruction .   The reference to , presumably the Septuagint , as the `` other '' Scripture denotes that the author of 2 Peter regarded , at least , the works of Paul that had been written by his time as Scripture . It is difficult to determine the date of composition ; commentaries and reference books have placed 2 Peter in almost every decade from AD 60 to 160 .   Marcion of Sinope ( edit )  Main article : Marcion of Sinope  Marcion of Sinope , a bishop of Asia Minor who went to Rome and was later excommunicated for his views , was the first of record to propose a definitive , exclusive , unique list of Christian scriptures , compiled sometime between 130 -- 140 AD . ( Though Ignatius did address Christian scripture , before Marcion , against the perceived heresies of the Judaizers and Docetists , he did not define a list of scriptures . ) In his book Origin of the New Testament Adolf von Harnack argued that Marcion viewed the church at this time as largely an Old Testament church ( one that `` follows the Testament of the Creator - God '' ) without a firmly established New Testament canon , and that the church gradually formulated its New Testament canon in response to the challenge posed by Marcion .   Marcion rejected the theology of the Old Testament entirely and regarded the God depicted there as an inferior being . In the Antithesis , he claimed the theology of the Old Testament was incompatible with the teaching of Jesus regarding God and morality . Marcion believed that Jesus had come to liberate mankind from the authority of the God of the Old Testament , and to reveal the superior God of goodness and mercy , whom he called the Father . Paul and Luke were the only Christian authors to find favour with Marcion , though his versions of these differed from those later accepted by mainstream Christianity ( also termed Proto - orthodox Christianity ) .   Marcion created a definite group of books which he regarded as fully authoritative , displacing all others . These comprised ten of the Pauline epistles ( without the Pastorals ) and Luke 's Gospel . It is uncertain whether he edited these books , purging them of what did not accord with his views , or that his versions represented a separate textual tradition .   Marcion 's gospel , called simply the Gospel of the Lord , differed from the Gospel of Luke by lacking any passages that connected Jesus with the Old Testament . He believed that the god of Israel , who gave the Torah to the Israelites , was an entirely different god from the Supreme God who sent Jesus and inspired the New Testament . Marcion termed his collection of Pauline epistles the Apostolikon . These also differed from the versions accepted by later Christian Orthodoxy .   Marcion 's list and theology were rejected as heretical by the early church ; however , he forced other Christians to consider which texts were canonical and why . He spread his beliefs widely ; they became known as Marcionism . In the introduction to his book `` Early Christian Writings '' , Henry Wace stated :   A modern divine ... could not refuse to discuss the question raised by Marcion , whether there is such opposition between different parts of what he regards as the word of God , that all can not come from the same author .   Ferguson 2002 quotes Tertullian 's De praescriptione haereticorum 30 :   Since Marcion separated the New Testament from the Old , he is necessarily subsequent to that which he separated , inasmuch as it was only in his power to separate what was previously united . Having been united previous to its separation , the fact of its subsequent separation proves the subsequence also of the man who effected the separation .   Note 61 of page 308 adds :   ( Wolfram ) Kinzig suggests that it was Marcion who usually called his Bible testamentum ( Latin for testament ) .   Other scholars propose that it was Melito of Sardis who originally coined the phrase Old Testament , which is associated with Supersessionism .   Robert M. Price argues that the evidence that the early church fathers , such as Clement , Ignatius , and Polycarp , knew of the Pauline epistles is unclear , and concludes that Marcion was the first person to collect Paul 's writings to various churches and to treat ten Pauline letters , some of them Marcion 's own compositions , together with an earlier version of Luke ( not the Gospel of Luke as now known ) :   But the first collector of the Pauline Epistles had been Marcion . No one else we know of would be a good candidate , certainly not the essentially fictive Luke , Timothy , and Onesimus . And Marcion , as Burkitt and Bauer show , fills the bill perfectly .   Justin Martyr ( edit )   In the mid-2nd century , Justin Martyr ( whose writings span the period from c. 145 to 163 ) mentions the `` memoirs of the apostles '' , which Christians called `` gospels '' and which were regarded as on par with the Old Testament . Scholars are divided on whether there is any evidence that Justin included the Gospel of John among the `` memoirs of the apostles '' , or whether , on the contrary , he based his doctrine of the Logos on it . Justin quotes the letters of Paul , 1 Peter , and Acts in his writings .   In Justin 's works , distinct references are found to Romans , 1 Corinthians , Galatians , Ephesians , Colossians , and 2 Thessalonians , and possible ones to Philippians , Titus , and 1 Timothy . In addition , he refers to an account from an unnamed source of the baptism of Jesus which differs from that provided by the synoptic gospels :   When Jesus went down in the water , fire was kindled in the Jordan ; and when he came up from the water , the Holy Spirit came upon him . The apostles of our Christ wrote this .   Tatian ( edit )  Main article : Diatessaron See also : Gospel harmony  Tatian was converted to Christianity by Justin Martyr on a visit to Rome around 150 and , after much instruction , returned to Syria in 172 to reform the church there . At some point ( it is suggested c. 160 ) he composed a single harmonized `` Gospel '' by weaving the contents of the gospels of Matthew , Mark , Luke , and John together along with events present in none of these texts . The narrative mainly follows the chronology of John . This is called the Diatessaron ( `` ( Harmony ) Through Four '' ) and it became the official Gospel text of the Syraic church , centered in Edessa .   Irenaeus ( edit )  See also : Canonical gospels  Irenaeus of Lyons referred directly to a defined set of four gospels ( the Tetramorph ) , c. 180 . In his central work , Adversus Haereses Irenaeus denounced various early Christian groups that used only one gospel , such as Marcionism which used only Marcion 's version of Luke , or the Ebionites which seem to have used an Aramaic version of Matthew , as well as groups that used more than four gospels , such as the Valentinians ( A.H. 1.11 ) . Irenaeus declared that the four he espoused were the four `` Pillars of the Church '' : `` it is not possible that there can be either more or fewer than four '' he stated , presenting as logic the analogy of the four corners of the earth and the four winds ( 3.11. 8 ) . His image , taken from Ezekiel 1 , or Revelation 4 : 6 -- 10 , of God 's throne borne by four creatures with four faces -- `` the four had the face of a man , and the face of a lion , on the right side : and the four had the face of an ox on the left side ; they four also had the face of an eagle '' -- equivalent to the `` four - formed '' gospel , is the origin of the conventional symbols of the Evangelists : lion ( Mark ) , ox ( Luke ) , eagle ( John ) , man ( Matthew ) . Irenaeus was ultimately successful in declaring that the four gospels collectively , and exclusively these four , contained the truth . By reading each gospel in light of the others , Irenaeus made of John a lens through which to read Matthew , Mark and Luke .   Based on the arguments Irenaeus made in support of only four authentic gospels , some interpreters deduce that the fourfold Gospel must have still been a novelty in Irenaeus 's time . Against Heresies 3.11. 7 acknowledges that many heterodox Christians use only one gospel while 3.11. 9 acknowledges that some use more than four . The success of Tatian 's Diatessaron in about the same time period is `` ... a powerful indication that the fourfold Gospel contemporaneously sponsored by Irenaeus was not broadly , let alone universally , recognized . ''   Irenaeus apparently quotes from 21 of the New Testament books and names the author he thought wrote the text . He mentions the four gospels , Acts , the Pauline epistles with the exception of Hebrews and Philemon , as well as the first epistle of Peter , and the first and second epistles of John , and the book of Revelation . Irenaeus argued that it was illogical to reject Acts of the Apostles but accept the Gospel of Luke , as both were from the same author ; in Against Heresies 3.12. 12 he ridiculed those who think they are wiser than the Apostles because the Apostles were still under Jewish influence . He may also refer to Hebrews ( Book 2 , Chapter 30 ) and James ( Book 4 , Chapter 16 ) and maybe even 2 Peter ( Book 5 , Chapter 28 ) but does not cite Philemon , 3 John or Jude .   He does think that the letter to the Corinthians , known now as 1 Clement , was of great worth but does not seem to believe that Clement of Rome was the one author ( Book 3 , Chapter 3 , Verse 3 ) and seems to have the same lower status as Polycarp 's Epistle ( Book 3 , Chapter 3 , Verse 3 ) . He does refer to a passage in the Shepherd of Hermas as scripture ( Mandate 1 or First Commandment ) , but this has some consistency problems on his part . Hermas taught that Jesus was not himself a divine being , but a virtuous man who was subsequently filled with the Holy Spirit and adopted as the Son ( a doctrine called adoptionism ) . But Irenaeus 's own work , including his citing of the Gospel of John ( Jn. 1 : 1 ) , indicates that he himself believed that Jesus was always God .   Early Proto - Orthodox definition attempts ( edit )  See also : Christian heresy  In the late 4th century Epiphanius of Salamis ( died 402 ) Panarion 29 says the Nazarenes had rejected the Pauline epistles and Irenaeus Against Heresies 26.2 says the Ebionites rejected him . Acts 21 : 21 records a rumor that Paul aimed to subvert the Old Testament ( against this rumor see Romans 3 : 8 , 3 : 31 ) . 2 Peter 3 : 16 says his letters have been abused by heretics who twist them around `` as they do with the other scriptures . '' In the 2nd and 3rd centuries Eusebius 's Ecclesiastical History 6.38 says the Elchasai `` made use of texts from every part of the Old Testament and the Gospels ; it rejects the Apostle ( Paul ) entirely '' ; 4.29. 5 says Tatian the Assyrian rejected Paul 's Letters and Acts of the Apostles ; 6.25 says Origen accepted 22 canonical books of the Hebrews plus Maccabees plus the four Gospels but Paul `` did not so much as write to all the churches that he taught ; and even to those to which he wrote he sent but a few lines . ''   Between 140 and 220 , both internal and external forces caused Proto - orthodox Christianity to begin to systematize both its doctrines and its view of revelation . Much of the systemization came about as a defense against the diverse Early Christian viewpoints that competed with emerging Proto - Orthodoxy . The early years of this period witnessed the rise of several strong movements of faith later deemed heretical by the church in Rome : Marcionism , Gnosticism and Montanism .   Marcion may have been the first to have a clearly defined list of New Testament books , though this question of who came first is still debated . The compilation of this list could have been a challenge and incentive to emerging Proto - orthodoxy ; if they wished to deny that Marcion 's list was the true one , it was incumbent on them to define what the true one was . The expansion phase of the New Testament canon thus could have begun in response to Marcion 's proposed limited canon .   Muratorian Fragment ( edit )  Main article : Muratorian fragment  The Muratorian fragment is the earliest known example of a defined list of mostly New Testament books . It survives , damaged and thus incomplete , as a bad Latin translation of an original , no longer extant , Greek text that is usually dated in the late 2nd century , although a few scholars have preferred a 4th - century date . This is an excerpt from Metzger 's translation :   The third book of the Gospel is that according to Luke ... The fourth ... is that of John ... the acts of all the apostles ... As for the Epistles of Paul ... To the Corinthians first , to the Ephesians second , to the Philippians third , to the Colossians fourth , to the Galatians fifth , to the Thessalonians sixth , to the Romans seventh ... once more to the Corinthians and to the Thessalonians ... one to Philemon , one to Titus , and two to Timothy ... to the Laodiceans , ( and ) another to the Alexandrians , ( both ) forged in Paul 's name to ( further ) the heresy of Marcion ... the epistle of Jude and two of the above - mentioned ( or , bearing the name of ) John ... and ( the book of ) Wisdom ... We receive only the apocalypses of John and Peter , though some of us are not willing that the latter be read in church . But Hermas wrote the Shepherd very recently ... And therefore it ought indeed to be read ; but it can not be read publicly to the people in church .   This is evidence that , perhaps as early as 200 , there existed a set of Christian writings somewhat similar to what is now the 27 - book NT , which included four gospels and argued against objections to them .   Clement of Alexandria ( edit )   Clement of Alexandria ( c. 150 -- c. 215 ) made use of an open canon . He seemed `` practically unconcerned about canonicity . To him , inspiration is what mattered . '' In addition to books that did not make it into the final 27 - book NT but which had local acceptance ( Barnabas , Didache , I Clement , Revelation of Peter , the Shepherd , the Gospel according to the Hebrews ) , he also used the Gospel of the Egyptians , Preaching of Peter , Traditions of Matthias , Sibylline Oracles , and the Oral Gospel . He did , however , prefer the four church gospels to all others , although he supplemented them freely with apocryphal gospels . He was the first to treat non-Pauline letters of the apostles ( other than II Peter ) as scripture - he accepted I Peter , I and II John , and Jude as scripture .   Alogi ( edit )  Main article : Alogi  There were those who rejected the Gospel of John ( and possibly also Revelation and the Epistles of John ) as either not apostolic or as written by the Gnostic Cerinthus or as not compatible with the Synoptic Gospels . Epiphanius of Salamis called these people the Alogi , because they rejected the Logos doctrine of John and because he claimed they were illogical . There may have also been a dispute over the doctrine of the Paraclete . Gaius or Caius , presbyter of Rome ( early 3rd century ) , was apparently associated with this movement .   Period of the seven Ecumenical councils ( 325 -- 787 ) ( edit )  See also : First seven Ecumenical Councils  Eusebius ( edit )   Eusebius , in his Church History ( c. 330 ) , mentioned the books of New Testament according to him :   1 . ( ... ) it is proper to sum up the writings of the New Testament which have been already mentioned . First then must be put the holy quaternion of the Gospels ; following them the Acts of the Apostles ... the epistles of Paul ... the epistle of John ... the epistle of Peter ... After them is to be placed , if it really seem proper , the Apocalypse of John , concerning which we shall give the different opinions at the proper time . These then belong among the accepted writings ( Homologoumena ) .   3 . Among the disputed writings ( Antilegomena ) , which are nevertheless recognized by many , are extant the so - called epistle of James and that of Jude , also the second epistle of Peter , and those that are called the second and third of John , whether they belong to the evangelist or to another person of the same name .   4 . Among the rejected ( Kirsopp . Lake translation : `` not genuine '' ) writings must be reckoned also the Acts of Paul , and the so - called Shepherd , and the Apocalypse of Peter , and in addition to these the extant epistle of Barnabas , and the so - called Teachings of the Apostles ; and besides , as I said , the Apocalypse of John , if it seem proper , which some , as I said , reject , but which others class with the accepted books .   5 . And among these some have placed also the Gospel according to the Hebrews ... And all these may be reckoned among the disputed books ... such books as the Gospels of Peter , of Thomas , of Matthias , or of any others besides them , and the Acts of Andrew and John and the other apostles ... they clearly show themselves to be the fictions of heretics . Wherefore they are not to be placed even among the rejected writings , but are all of them to be cast aside as absurd and impious .   The Apocalypse of John , also called Revelation , is counted as both accepted ( Kirsopp . Lake translation : `` Recognized '' ) and disputed , which has caused some confusion over what exactly Eusebius meant by doing so . The disputation perhaps attributed to Origen ( see also Pamphili c. 330 , 3.24. 17 -- 18 ) . Pamphili c. 330 , 3.3. 5 adds further detail on Paul : `` Paul 's fourteen epistles are well known and undisputed . It is not indeed right to overlook the fact that some have rejected the Epistle to the Hebrews , saying that it is disputed by the Church of Rome , on the ground that it was not written by Paul . '' Pamphili c. 330 , 4.29. 6 mentions the Diatessaron : `` But their original founder , Tatian , formed a certain combination and collection of the Gospels , I know not how , to which he gave the title Diatessaron , and which is still in the hands of some . But they say that he ventured to paraphrase certain words of the apostle ( Paul ) , in order to improve their style . ''   Codex Claromontanus ( edit )  Main article : Codex Claromontanus  The Codex Claromontanus , c. 303 -- 67 , a page found inserted into a 6th - century copy of the Epistles of Paul and Hebrews , has the Old Testament , including Tobit , Judith , Wisdom , Sirach , 1 -- 2 , 4 Maccabees , and the New Testament , plus Acts of Paul , Apocalypse of Peter , Barnabas , and Hermas , but missing Philippians , 1 -- 2 Thessalonians , and Hebrews .   Zahn and Harnack were of the opinion that the list had been drawn up originally in Greek at Alexandria or its neighborhood ~ 300 AD . According to Jülicher the list belongs to the 4th century and is probably of western origin .   Constantine the great ( edit )  Main article : Fifty Bibles of Constantine  In 331 , Constantine I commissioned Eusebius to deliver fifty Bibles for the Church of Constantinople . Athanasius ( Apol . Const. 4 ) recorded Alexandrian scribes around 340 preparing Bibles for Constans . Little else is known , though there is plenty of speculation . For example , it is speculated that this may have provided motivation for canon lists , and that Codex Vaticanus and Codex Sinaiticus may be examples of these Bibles . Together with the Peshitta and Codex Alexandrinus , these are the earliest extant Christian Bibles .   Cyril of Jerusalem ( edit )   McDonald &amp; Sanders 2002 , Appendix D - 2 , notes the following list of New Testament books from Cyril of Jerusalem ( c. 350 ) from his Catechetical Lectures 4.36 :   Gospels ( 4 ) , Acts , James , 1 -- 2 Peter , 1 -- 3 John , Jude , Paul 's epistles ( 14 ) , and Gospel of Thomas listed as pseudepigrapha .   Council of Laodicea ( edit )  Main article : Council of Laodicea  The Council of Laodicea , c. 363 , was one of the first councils that set out to judge which books were to be read aloud in churches . The decrees issued by the thirty or so clerics attending were called canons . Canon 59 decreed that only canonical books should be read , but no list was appended in the Latin and Syriac manuscripts recording the decrees . The list of canonical books , Canon 60 , sometimes attributed to the Council of Laodicea is a later addition according to most scholars and has a 22 - book OT and 26 - book NT ( excludes Revelation ) .   Athanasius ( edit )   In his Easter letter of 367 , Athanasius , Bishop of Alexandria , gave a list of exactly the same books as what would become the 27 - book NT canon , and he used the word `` canonized '' ( kanonizomena ) in regards to them .   Cheltenham / Mommsen list ( edit )   The Cheltenham List , c. 365 -- 90 , is a Latin list discovered by the German classical scholar Theodor Mommsen ( published 1886 ) in a 10th - century manuscript ( chiefly patristic ) belonging to the library of Thomas Phillips at Cheltenham , England . The list probably originated in North Africa soon after the middle of the 4th century .   It has a 24 - book Old Testament and 24 - book New Testament which provides syllable and line counts but omits Jude and James , and perhaps Hebrews , and seems to question the epistles of John and Peter beyond the first .   Epiphanius ( edit )   McDonald &amp; Sanders 2002 , Appendix D - 2 , writes the following list for Epiphanius of Salamis ( c. 374 -- 77 ) , from his Panarion 76.5 :   Gospels ( 4 ) , Paul 's epistles ( 13 ) , Acts , James , Peter , 1 -- 3 John , Jude , Rev , Wisdom , Sirach   Apostolic canon # 85 ( edit )   In c. 380 , the redactor of the Apostolic Constitutions attributed a canon to the Twelve Apostles themselves as the 85th of his list of such apostolic decrees :   Canon 85 . Let the following books be esteemed venerable and holy by all of you , both clergy and laity . ( A list of books of the Old Testament ... ) And our sacred books , that is , of the New Testament , are the four Gospels , of Matthew , Mark , Luke , John ; the fourteen Epistles of Paul ; two Epistles of Peter ; three of John ; one of James ; one of Jude ; two Epistles of Clement ; and the Constitutions dedicated to you , the bishops , by me , Clement , in eight books , which is not appropriate to make public before all , because of the mysteries contained in them ; and the Acts of us , the Apostles. -- ( From the Latin version . )   It is said that the Coptic translation and some Arabic version include Revelation .   Amphilochius of Iconium ( edit )   Bishop Amphilochius of Iconium , in his poem Iambics for Seleucus written some time after 394 , discusses debate over the inclusion of a number of books that should be received , and seems uncertain about the later Epistles of Peter and John , Jude , and Revelation .   Pope Damasus I ( edit )   Pope Damasus 's commissioning of the Latin Vulgate edition of the Bible to Jerome , c. 383 , was instrumental in the fixation of the canon in the West . Pope Damasus I is often considered to be the father of the Catholic canon , since what is thought as his list corresponds to the current Catholic canon . Purporting to date from a `` Council of Rome '' under Pope Damasus I in 382 , the so - called `` Damasian list '' which some attributed to the Decretum Gelasianum gives a list identical to what would be the Canon of Trent , and , though the text may in fact not be Damasian , it is at least a valuable 6th century compilat</t>
  </si>
  <si>
    <t xml:space="preserve">who is credited with the first list of all 27 of the current list of canonical new testament texts</t>
  </si>
  <si>
    <t xml:space="preserve"> In his Easter letter of 367 , Athanasius , Bishop of Alexandria , gave a list of exactly the same books as what would become the 27 - book NT canon , and he used the word `` canonized '' ( kanonizomena ) in regards to them . </t>
  </si>
  <si>
    <t xml:space="preserve">Lean manufacturing - wikipedia  Lean manufacturing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May 2017 ) ( Learn how and when to remove this template message )         The examples and perspective in this article may not represent a worldwide view of the subject . You may improve this article , discuss the issue on the talk page , or create a new article , as appropriate . ( May 2017 ) ( Learn how and when to remove this template message )         This article contains weasel words : vague phrasing that often accompanies biased or unverifiable information . Such statements should be clarified or removed . ( May 2017 )    ( Learn how and when to remove this template message )     Lean manufacturing or lean production , often simply `` lean '' , is a systematic method for waste minimization ( `` Muda '' ) within a manufacturing system without sacrificing productivity , which can cause problems . Lean also takes into account waste created through overburden ( `` Muri '' ) and waste created through unevenness in work loads ( `` Mura '' ) . Working from the perspective of the client who consumes a product or service , `` value '' is any action or process that a customer would be willing to pay for .   Lean manufacturing makes obvious what adds value , by reducing everything else ( which is not adding value ) . This management philosophy is derived mostly from the Toyota Production System ( TPS ) and identified as `` lean '' only in the 1990s . TPS is renowned for its focus on reduction of the original Toyota seven wastes to improve overall customer value , but there are varying perspectives on how this is best achieved . The steady growth of Toyota , from a small company to the world 's largest automaker , has focused attention on how it has achieved this success .   Contents    1 Overview   2 History   2.1 Pre-20th century   2.2 20th century   2.3 Henry Ford   2.4 Toyota develops TPS     3 Types of waste   4 Lean implementation develops from TPS   4.1 Lean leadership   4.2 Differences from TPS     5 Lean services   6 Goals and strategy   6.1 Examples : Lean strategy in the global supply chain , and its crisis   6.2 Strategy   6.3 Crisis     7 Steps to achieve lean systems   7.1 Design a simple manufacturing system   7.2 Continuous improvement   7.3 Measure     8 Criticism   9 See also   10 References   11 Further reading   12 External links    Overview ( edit )   Lean principles are derived from the Japanese manufacturing industry . The term was first coined by John Krafcik in his 1988 article , `` Triumph of the Lean Production System '' , based on his master 's thesis at the MIT Sloan School of Management . Krafcik had been a quality engineer in the Toyota - GM NUMMI joint venture in California before joining MIT for MBA studies . Krafcik 's research was continued by the International Motor Vehicle Program ( IMVP ) at MIT , which produced the international best - selling book co-authored by James P. Womack , Daniel Jones , and Daniel Roos called The Machine That Changed the World . A complete historical account of the IMVP and how the term `` lean '' was coined is given by Holweg ( 2007 ) .   For many , lean is the set of `` tools '' that assist in the identification and steady elimination of waste . As waste is eliminated quality improves while production time and cost are reduced . A non exhaustive list of such tools would include : SMED , value stream mapping , Five S , Kanban ( pull systems ) , poka - yoke ( error - proofing ) , total productive maintenance , elimination of time batching , mixed model processing , rank order clustering , single point scheduling , redesigning working cells , multi-process handling and control charts ( for checking mura ) .   There is a second approach to lean manufacturing , which is promoted by Toyota , called The Toyota Way , in which the focus is upon improving the `` flow '' or smoothness of work , thereby steadily eliminating mura ( `` unevenness '' ) through the system and not upon ' waste reduction ' per se . Techniques to improve flow include production leveling , `` pull '' production ( by means of kanban ) and the Heijunka box . This is a fundamentally different approach from most improvement methodologies , and requires considerably more persistence than basic application of the tools , which may partially account for its lack of popularity .   The difference between these two approaches is not the goal itself , but rather the prime approach to achieving it . The implementation of smooth flow exposes quality problems that already existed , and thus waste reduction naturally happens as a consequence . The advantage claimed for this approach is that it naturally takes a system - wide perspective , whereas a waste focus sometimes wrongly assumes this perspective .   Both lean and TPS can be seen as a loosely connected set of potentially competing principles whose goal is cost reduction by the elimination of waste . These principles include : pull processing , perfect first - time quality , waste minimization , continuous improvement , flexibility , building and maintaining a long term relationship with suppliers , autonomation , load leveling and production flow and visual control . The disconnected nature of some of these principles perhaps springs from the fact that the TPS has grown pragmatically since 1948 as it responded to the problems it saw within its own production facilities . Thus what one sees today is the result of a ' need ' driven learning to improve where each step has built on previous ideas and not something based upon a theoretical framework .   Toyota 's view is that the main method of lean is not the tools , but the reduction of three types of waste : muda ( non-value - adding work ) , muri ( overburden ) , and mura ( unevenness ) , to expose problems systematically and to use the tools where the ideal can not be achieved . From this perspective , the tools are workarounds adapted to different situations , which explains any apparent incoherence of the principles above .   Lean implementation emphasizes the importance of optimizing work flow through strategic operational procedures while minimizing waste and being adaptable . Flexibility is required to allow production leveling ( Heijunka ) using tools such as SMED , but have their analogues in other processes such as research and development ( R&amp;D ) . However , adaptability is often constrained , and therefore may not require significant investment . More importantly , all of these concepts have to be acknowledged by employees who develop the products and initiate processes that deliver value . The cultural and managerial aspects of lean are arguably more important than the actual tools or methodologies of production itself . There are many examples of lean tool implementation without sustained benefit , and these are often blamed on weak understanding of lean throughout the whole organization .   Lean aims to enhance productivity by simplifying the operational structure enough to understand , perform and manage the work environment . To achieve these three goals simultaneously , one of Toyota 's mentoring methodologies ( loosely called Senpai and Kohai which is Japanese for senior and junior ) , can be used to foster lean thinking throughout the organizational structure from the ground up . The closest equivalent to Toyota 's mentoring process is the concept of `` Lean Sensei , '' which encourages companies , organizations , and teams to seek third - party experts that can provide advice and coaching .   In 1999 , Spear and Bowen identified four rules which characterize the `` Toyota DNA '' :    All work shall be highly specified as to content , sequence , timing , and outcome .   Every customer - supplier connection must be direct , and there must be an unambiguous yes or no way to send requests and receive responses .   The pathway for every product and service must be simple and direct .   Any improvement must be made in accordance with the scientific method , under the guidance of a teacher , at the lowest possible level in the organization .    History ( edit )   Pre-20th century ( edit )       This section does not cite any sources . Please help improve this section by adding citations to reliable sources . Unsourced material may be challenged and removed . ( June 2017 ) ( Learn how and when to remove this template message )    Benjamin Franklin  Most of the basic goals of lean manufacturing and waste reduction were derived from Benjamin Franklin through documented examples . Poor Richard 's Almanack says of wasted time , `` He that idly loses 5 s . worth of time , loses 5s. , and might as prudently throw 5s . into the river . '' He added that avoiding unnecessary costs could be more profitable than increasing sales : `` A penny saved is two pence clear . A pin a-day is a groat a-year . Save and have . ''   Again Franklin 's The Way to Wealth says the following about carrying unnecessary inventory . `` You call them goods ; but , if you do not take care , they will prove evils to some of you . You expect they will be sold cheap , and , perhaps , they may ( be bought ) for less than they cost ; but , if you have no occasion for them , they must be dear to you . Remember what Poor Richard says , ' Buy what thou hast no need of , and ere long thou shalt sell thy necessaries . ' In another place , he says , ' Many have been ruined by buying good penny worths ' . '' Henry Ford cited Franklin as a major influence on his own business practices , which included Just - in - time manufacturing .   The accumulation of waste and energy within the work environment was noticed by motion efficiency expert Frank Gilbreth , who witnessed the inefficient practices of masons who often bend over to gather bricks from the ground . The introduction of a non-stooping scaffold , which delivered the bricks at waist level , allowed masons to work about three times as quickly , and with the least amount of effort .   20th century ( edit )  Frederick Winslow Taylor  Frederick Winslow Taylor , the father of scientific management , introduced what are now called standardization and best practice deployment . In Principles of Scientific Management , ( 1911 ) , Taylor said : `` And whenever a workman proposes an improvement , it should be the policy of the management to make a careful analysis of the new method , and if necessary conduct a series of experiments to determine accurately the relative merit of the new suggestion and of the old standard . And whenever the new method is found to be markedly superior to the old , it should be adopted as the standard for the whole establishment . ''   Taylor also warned explicitly against cutting piece rates ( or , by implication , cutting wages or discharging workers ) when efficiency improvements reduce the need for raw labor : `` ... after a workman has had the price per piece of the work he is doing lowered two or three times as a result of his having worked harder and increased his output , he is likely entirely to lose sight of his employer 's side of the case and become imbued with a grim determination to have no more cuts if soldiering ( marking time , just doing what he is told ) can prevent it . ''   Shigeo Shingo , the best - known exponent of single minute exchange of die and error - proofing or poka - yoke , cites Principles of Scientific Management as his inspiration .   American industrialists recognized the threat of cheap offshore labor to American workers during the 1910s , and explicitly stated the goal of what is now called lean manufacturing as a countermeasure . Henry Towne , past President of the American Society of Mechanical Engineers , wrote in the Foreword to Frederick Winslow Taylor 's Shop Management ( 1911 ) , `` We are justly proud of the high wage rates which prevail throughout our country , and jealous of any interference with them by the products of the cheaper labor of other countries . To maintain this condition , to strengthen our control of home markets , and , above all , to broaden our opportunities in foreign markets where we must compete with the products of other industrial nations , we should welcome and encourage every influence tending to increase the efficiency of our productive processes . ''   Henry Ford ( edit )  Henry Ford  Henry Ford initially ignored the impact of waste accumulation while developing his mass assembly manufacturing system . Charles Buxton Going wrote in 1915 :    Ford 's success has startled the country , almost the world , financially , industrially , mechanically . It exhibits in higher degree than most persons would have thought possible the seemingly contradictory requirements of true efficiency , which are : constant increase of quality , great increase of pay to the workers , repeated reduction in cost to the consumer . And with these appears , as at once cause and effect , an absolutely incredible enlargement of output reaching something like one hundredfold in less than ten years , and an enormous profit to the manufacturer .    Ford , in My Life and Work ( 1922 ) , provided a single - paragraph description that encompasses the entire concept of waste :    I believe that the average farmer puts to a really useful purpose only about 5 % of the energy he expends ... Not only is everything done by hand , but seldom is a thought given to a logical arrangement . A farmer doing his chores will walk up and down a rickety ladder a dozen times . He will carry water for years instead of putting in a few lengths of pipe . His whole idea , when there is extra work to do , is to hire extra men . He thinks of putting money into improvements as an expense ... It is waste motion -- waste effort -- that makes farm prices high and profits low .    Poor arrangement of the workplace -- a major focus of the modern kaizen -- and doing a job inefficiently out of habit -- are major forms of waste even in modern workplaces .   Ford also pointed out how easy it was to overlook material waste . A former employee , Harry Bennett , wrote :    One day when Mr. Ford and I were together he spotted some rust in the slag that ballasted the right of way of the D.T. &amp; I ( railroad ) . This slag had been dumped there from our own furnaces . ' You know , ' Mr. Ford said to me , ' there 's iron in that slag . You make the crane crews who put it out there sort it over , and take it back to the plant . '    In other words , Ford saw the rust and realized that the steel plant was not recovering all of the iron .  `` Workers on the first moving assembly line put together magnetos and flywheels for 1913 Ford autos '' Highland Park , Michigan  Ford 's early success , however , was not sustainable . As James P. Womack and Daniel Jones pointed out in `` Lean Thinking '' , what Ford accomplished represented the `` special case '' rather than a robust lean solution . The major challenge that Ford faced was that his methods were built for a steady - state environment , rather than for the dynamic conditions firms increasingly face today . Although his rigid , top - down controls made it possible to hold variation in work activities down to very low levels , his approach did not respond well to uncertain , dynamic business conditions ; they responded particularly badly to the need for new product innovation . This was made clear by Ford 's precipitous decline when the company was forced to finally introduce a follow - on to the Model T .   Design for Manufacture ( DFM ) is a concept derived from Ford which emphasizes the importance of standardizing individual parts as well as eliminating redundant components in My Life and Work . This standardization was central to Ford 's concept of mass production , and the manufacturing `` tolerances '' , or upper and lower dimensional limits that ensured interchangeability of parts became widely applied across manufacturing . Decades later , the renowned Japanese quality guru , Genichi Taguchi , demonstrated that this `` goal post '' method of measuring was inadequate . He showed that `` loss '' in capabilities did not begin only after exceeding these tolerances , but increased as described by the Taguchi Loss Function at any condition exceeding the nominal condition . This became an important part of W. Edwards Deming 's quality movement of the 1980s , later helping to develop improved understanding of key areas of focus such as cycle time variation in improving manufacturing quality and efficiencies in aerospace and other industries .   While Ford is renowned for his production line , it is often not recognized how much effort he put into removing the fitters ' work to make the production line possible . Previous to the use , Ford 's car 's components were fitted and reshaped by a skilled engineer at the point of use , so that they would connect properly . By enforcing very strict specification and quality criteria on component manufacture , he eliminated this work almost entirely , reducing manufacturing effort by between 60 - 90 % . However , Ford 's mass production system failed to incorporate the notion of `` pull production '' and thus often suffered from overproduction .   Toyota develops TPS ( edit )   Toyota 's development of ideas that later became lean may have started at the turn of the 20th century with Sakichi Toyoda , in a textile factory with looms that stopped themselves when a thread broke . This became the seed of autonomation and Jidoka . Toyota 's journey with just - in - time ( JIT ) may have started back in 1934 when it moved from textiles to produce its first car . Kiichiro Toyoda , founder of Toyota Motor Corporation , directed the engine casting work and discovered many problems in their manufacturing . He decided he must stop the repairing of poor quality by intense study of each stage of the process . In 1936 , when Toyota won its first truck contract with the Japanese government , his processes hit new problems and he developed the `` Kaizen '' improvement teams .   Levels of demand in the Post War economy of Japan were low and the focus of mass production on lowest cost per item via economies of scale therefore had little application . Having visited and seen supermarkets in the USA , Taiichi Ohno recognised the scheduling of work should not be driven by sales or production targets but by actual sales . Given the financial situation during this period , over-production had to be avoided and thus the notion of Pull ( build to order rather than target driven Push ) came to underpin production scheduling .   It was with Taiichi Ohno at Toyota that these themes came together . He built on the already existing internal schools of thought and spread their breadth and use into what has now become the Toyota Production System ( TPS ) . It is principally from the TPS ( which was widely referred to in the 1980s as just - in - time manufacturing ) , but now including many other sources , that lean production is developing . Norman Bodek wrote the following in his foreword to a reprint of Ford 's Today and Tomorrow :   I was first introduced to the concepts of just - in - time ( JIT ) and the Toyota production system in 1980 . Subsequently I had the opportunity to witness its actual application at Toyota on one of our numerous Japanese study missions . There I met Mr. Taiichi Ohno , the system 's creator . When bombarded with questions from our group on what inspired his thinking , he just laughed and said he learned it all from Henry Ford 's book . '' The scale , rigor and continuous learning aspects of TPS have made it a core concept of lean .   Types of waste ( edit )   Although the elimination of waste may seem like a simple and clear subject , it is noticeable that waste is often very conservatively identified . This then hugely reduces the potential of such an aim . The elimination of waste is the goal of lean , and Toyota defined three broad types of waste : muda , muri and mura ; for many lean implementations this list shrinks to the first waste type only with reduced corresponding benefits .   To illustrate the state of this thinking Shigeo Shingo observed that only the last turn of a bolt tightens it -- the rest is just movement . This ever finer clarification of waste is key to establishing distinctions between value - adding activity , waste and non-value - adding work . Non-value adding work is waste that must be done under the present work conditions . One key is to measure , or estimate , the size of these wastes , to demonstrate the effect of the changes achieved and therefore the movement toward the goal .   The `` flow '' ( or smoothness ) based approach aims to achieve JIT , by removing the variation caused by work scheduling and thereby provide a driver , rationale or target and priorities for implementation , using a variety of techniques . The effort to achieve JIT exposes many quality problems that are hidden by buffer stocks ; by forcing smooth flow of only value - adding steps , these problems become visible and must be dealt with explicitly .   Muri is all the unreasonable work that management imposes on workers and machines because of poor organization , such as carrying heavy weights , moving things around , dangerous tasks , even working significantly faster than usual . It is pushing a person or a machine beyond its natural limits . This may simply be asking a greater level of performance from a process than it can handle without taking shortcuts and informally modifying decision criteria . Unreasonable work is almost always a cause of multiple variations .   To link these three concepts is simple in TPS and thus lean . Firstly , muri focuses on the preparation and planning of the process , or what work can be avoided proactively by design . Next , mura then focuses on how the work design is implemented and the elimination of fluctuation at the scheduling or operations level , such as quality and volume . Muda is then discovered after the process is in place and is dealt with reactively . It is seen through variation in output . It is the role of management to examine the muda , in the processes and eliminate the deeper causes by considering the connections to the muri and mura of the system . The muda and mura inconsistencies must be fed back to the muri , or planning , stage for the next project .   A typical example of the interplay of these wastes is the corporate behaviour of `` making the numbers '' as the end of a reporting period approaches . Demand is raised to ' make plan , ' increasing ( mura ) , when the `` numbers '' are low , which causes production to try to squeeze extra capacity from the process , which causes routines and standards to be modified or stretched . This stretch and improvisation leads to muri - style waste , which leads to downtime , mistakes and back flows , and waiting , thus the muda of waiting , correction and movement .   The original seven mudas are :    Transport ( moving products that are not actually required to perform the processing )   Inventory ( all components , work in process , and finished product not being processed )   Motion ( people or equipment moving or walking more than is required to perform the processing )   Waiting ( waiting for the next production step , interruptions of production during shift change )   Overproduction ( production ahead of demand )   Over Processing ( resulting from poor tool or product design creating activity )   Defects ( the effort involved in inspecting for and fixing defects )    Eventually , an eighth `` muda '' was defined by Womack et al. ( 2003 ) ; it was described as manufacturing goods or services that do not meet customer demand or specifications . Many others have added the `` waste of unused human talent '' to the original seven wastes . For example , Six Sigma includes the waste of Skills , referred to as `` under - utilizing capabilities and delegating tasks with inadequate training '' . Other additional wastes added were for example `` space '' . These wastes were not originally a part of the seven deadly wastes defined by Taiichi Ohno in TPS , but were found to be useful additions in practice . In 1999 Geoffrey Mika in his book , `` Kaizen Event Implementation Manual '' added three more forms of waste that are now universally accepted ; The waste associated with working to the wrong metrics or no metrics , the waste associated with not utilizing a complete worker by not allowing them to contribute ideas and suggestions and be part of Participative Management , and lastly the waste attributable to improper use of computers ; not having the proper software , training on use and time spent surfing , playing games or just wasting time . For a complete listing of the `` old '' and `` new '' wastes see Bicheno and Holweg ( 2009 )   The identification of non-value - adding work , as distinct from wasted work , is critical to identifying the assumptions behind the current work process and to challenging them in due course . Breakthroughs in SMED and other process changing techniques rely upon clear identification of where untapped opportunities may lie if the processing assumptions are challenged .   Lean implementation develops from TPS ( edit )   Lean Leadership ( edit )       This section does not cite any sources . Please help improve this section by adding citations to reliable sources . Unsourced material may be challenged and removed . ( June 2017 ) ( Learn how and when to remove this template message )     The role of the leaders within the organization is the fundamental element of sustaining the progress of lean thinking . Experienced kaizen members at Toyota , for example , often bring up the concepts of Senpai , Kohai , and Sensei , because they strongly feel that transferring of Toyota culture down and across Toyota can only happen when more experienced Toyota Sensei continuously coach and guide the less experienced lean champions .   One of the dislocative effects of lean is in the area of key performance indicators ( KPI ) . The KPIs by which a plant / facility are judged will often be driving behaviour , because the KPIs themselves assume a particular approach to the work being done . This can be an issue where , for example a truly lean , Fixed Repeating Schedule ( FRS ) and JIT approach is adopted , because these KPIs will no longer reflect performance , as the assumptions on which they are based become invalid . It is a key leadership challenge to manage the impact of this KPI chaos within the organization .   Similarly , commonly used accounting systems developed to support mass production are no longer appropriate for companies pursuing lean . Lean accounting provides truly lean approaches to business management and financial reporting .   After formulating the guiding principles of its lean manufacturing approach in the Toyota Production System ( TPS ) , Toyota formalized in 2001 the basis of its lean management : the key managerial values and attitudes needed to sustain continuous improvement in the long run . These core management principles are articulated around the twin pillars of Continuous Improvement ( relentless elimination of waste ) and Respect for People ( engagement in long term relationships based on continuous improvement and mutual trust ) .   This formalization stems from problem solving . As Toyota expanded beyond its home base for the past 20 years , it hit the same problems in getting TPS properly applied that other western companies have had in copying TPS . Like any other problem , it has been working on trying a series of countermeasures to solve this particular concern . These countermeasures have focused on culture : how people behave , which is the most difficult challenge of all . Without the proper behavioral principles and values , TPS can be totally misapplied and fail to deliver results . As with TPS , the values had originally been passed down in a master - disciple manner , from boss to subordinate , without any written statement on the way . Just as with TPS , it was internally argued that formalizing the values would stifle them and lead to further misunderstanding . However , as Toyota veterans eventually wrote down the basic principles of TPS , Toyota set to put the Toyota Way into writing to educate new joiners .   Continuous Improvement breaks down into three basic principles :    Challenge : Having a long term vision of the challenges one needs to face to realize one 's ambition ( what we need to learn rather than what we want to do and then having the spirit to face that challenge ) . To do so , we have to challenge ourselves every day to see if we are achieving our goals .   Kaizen : Good enough never is , no process can ever be thought perfect , so operations must be improved continuously , striving for innovation and evolution .   Genchi Genbutsu : Going to the source to see the facts for oneself and make the right decisions , create consensus , and make sure goals are attained at the best possible speed .    Respect For People is less known outside of Toyota , and essentially involves two defining principles :    Respect : Taking every stakeholders ' problems seriously , and making every effort to build mutual trust . Taking responsibility for other people reaching their objectives .   Teamwork : This is about developing individuals through team problem - solving . The idea is to develop and engage people through their contribution to team performance . Shop floor teams , the whole site as team , and team Toyota at the outset .    Differences from TPS ( edit )   While lean is seen by many as a generalization of the Toyota Production System into other industries and contexts , there are some acknowledged differences that seem to have developed in implementation :    Seeking profit is a relentless focus for Toyota exemplified by the profit maximization principle ( Price -- Cost = Profit ) and the need , therefore , to practice systematic cost reduction ( through TPS or otherwise ) to realize benefit . Lean implementations can tend to de-emphasise this key measure and thus become fixated with the implementation of improvement concepts of `` flow '' or `` pull '' . However , the emergence of the `` value curve analysis '' promises to directly tie lean improvements to bottom - line performance measurements .   Tool orientation is a tendency in many programs to elevate mere tools ( standardized work , value stream mapping , visual control , etc . ) to an unhealthy status beyond their pragmatic intent . The tools are just different ways to work around certain types of problems but they do not solve them for you or always highlight the underlying cause of many types of problems . The tools employed at Toyota are often used to expose particular problems that are then dealt with , as each tool 's limitations or blindspots are perhaps better understood . So , for example , Value Stream Mapping focuses upon material and information flow problems ( a title built into the Toyota title for this activity ) but is not strong on Metrics , Man or Method . Internally they well know the limits of the tool and understood that it was never intended as the best way to see and analyze every waste or every problem related to quality , downtime , personnel development , cross training related issues , capacity bottlenecks , or anything to do with profits , safety , metrics or morale , etc . No one tool can do all of that . For surfacing these issues other tools are much more widely and effectively used .   Management technique rather than change agents has been a principle in Toyota from the early 1950s when they started emphasizing the development of the production manager 's and supervisors ' skills set in guiding natural work teams and did not rely upon staff - level change agents to drive improvements . This can manifest itself as a `` Push '' implementation of lean rather than `` Pull '' by the team itself . This area of skills development is not that of the change agent specialist , but that of the natural operations work team leader . Although less prestigious than the TPS specialists , development of work team supervisors in Toyota is considered an equally , if not more important , topic merely because there are tens of thousands of these individuals . Specifically , it is these manufacturing leaders that are the main focus of training effo</t>
  </si>
  <si>
    <t xml:space="preserve">where did the term lean manufacturing come from</t>
  </si>
  <si>
    <t xml:space="preserve"> Lean principles are derived from the Japanese manufacturing industry . The term was first coined by John Krafcik in his 1988 article , `` Triumph of the Lean Production System '' , based on his master 's thesis at the MIT Sloan School of Management . Krafcik had been a quality engineer in the Toyota - GM NUMMI joint venture in California before joining MIT for MBA studies . Krafcik 's research was continued by the International Motor Vehicle Program ( IMVP ) at MIT , which produced the international best - selling book co-authored by James P. Womack , Daniel Jones , and Daniel Roos called The Machine That Changed the World . A complete historical account of the IMVP and how the term `` lean '' was coined is given by Holweg ( 2007 ) . </t>
  </si>
  <si>
    <t xml:space="preserve">England at the FIFA World Cup - wikipedia  England at the FIFA World Cup   The England national football team has competed at the FIFA World Cup since 1950 . The FIFA World Cup is the premier competitive international football tournament , first played in 1930 , whose finals stage has been held every four years since , except 1942 and 1946 , due to the Second World War .   The tournament consists of two parts , the qualification phase and the final phase ( officially called the World Cup Finals ) . The qualification phase , which currently take place over the three years preceding the finals , is used to determine which teams qualify for the finals . The current format of the finals involves thirty - two teams competing for the title , at venues within the host nation ( or nations ) over a period of about a month . The World Cup Finals is the most widely viewed sporting event in the world , with an estimated 715.1 million people watching the 2006 Final .   England did not enter the competition until 1950 , but have entered all eighteen subsequent tournaments . They have failed to qualify for the finals on three occasions , 1974 ( West Germany ) , 1978 ( Argentina ) and 1994 ( United States ) , and have failed to advance from the group stages on three occasions ; at the 1950 FIFA World Cup , the 1958 FIFA World Cup and the 2014 FIFA World Cup . Their best ever performance is winning the Cup in the 1966 tournament held in England , whilst they also finished in fourth place in 1990 , in Italy , and in 2018 in Russia . Other than that , the team have reached the quarter - finals on nine occasions , the latest of which were at the 2002 ( South Korea / Japan ) and the 2006 ( Germany ) .   England are the only team not representing a sovereign state to win the World Cup , which they did in 1966 when they hosted the finals . They defeated West Germany 4 -- 2 after extra time to win the World Cup title . Since then , they have generally reached the knockout stages of almost every competition they have qualified for , including a fourth - place finish in the 1990 and 2018 World Cups . At the world cup , England have had more goalless draws than any other team .   Contents    1 History   1.1 Brazil 1950   1.1. 1 1950 Finals     1.2 Switzerland 1954   1.2. 1 1954 Finals     1.3 Sweden 1958   1.4 Chile 1962   1.5 England 1966   1.6 Mexico 1970   1.7 West Germany 1974   1.8 Argentina 1978   1.9 Spain 1982   1.10 Mexico 1986   1.11 Italy 1990   1.12 United States 1994   1.13 France 1998   1.14 South Korea / Japan 2002   1.15 Germany 2006   1.16 South Africa 2010   1.17 Brazil 2014   1.18 Russia 2018   1.18. 1 2018 Finals       2 Records   2.1 By match   2.2 By opponent     3 Players ' honours   3.1 List of England players with the most appearances at World Cups   3.2 List of England top goalscorers at World Cups   3.3 List of England goals by tournament   3.4 List of England players playing abroad at a World Cup     4 Team awards and records   5 Refereeing   6 Notes and references   6.1 Notes   6.2 References      History ( edit )   Brazil 1950 ( edit )  Main article : 1950 FIFA World Cup See also : 1949 -- 50 British Home Championship  England 's first qualifying campaign for the FIFA World Cup doubled as the 1950 British Home Championship . The series kicked off for England on 15 October 1949 at Ninian Park , Cardiff , against Wales . Stan Mortensen gave England the lead after twenty two minutes , and just seven minutes later , Jackie Milburn doubled the lead . This was the first goal of Milburn 's hat trick , which left England 4 -- 0 up with 20 minutes to play . Mal Griffiths scored a consolation goal for Wales ten minutes from time , but England held on for a comfortable victory .   A month later , England welcomed Ireland to Maine Road , and it began well for the home side as Jack Rowley scored inside six minutes . England were already 6 -- 0 up , thanks to Jack Froggatt , two for Stan Pearson , Stan Mortensen and a second from Rowley , by the time Ireland struck back through Samuel Smyth after 55 minutes . Rowley added a third and a fourth to his tally in the three minutes following Smyth 's goal , however , leaving the score at 8 -- 1 at the hour mark . The frantic scoring rate calmed down after that , with only one apeice before the final whistle , with Stan Pearson completing his brace for England 's ninth , and Bobby Brennan scoring for Ireland .   It was not until May 1950 that England travelled to Hampden Park to face Scotland , who were also undefeated after their games against Ireland and Wales . With the top two from the group qualifying , both teams were guaranteed progression to the finals , and the game was solely for the honour of winning the British Home Championship , and the seeding advantage to be enjoyed upon reaching Brazil . A solitary goal from Roy Bentley gave England the victory , the title and the top spot in the group .  1950 finals ( edit )  England were seeded in pot one for the finals , which meant they were the favourites to progress from Group 2 , which also contained Spain , Chile and the United States . England 's campaign kicked off against Chile in Rio de Janeiro , and , as was expected , England cruised to a 2 -- 0 victory , courtesy of goals from Stan Mortensen and Wilf Mannion .  Main article : United States v England ( 1950 FIFA World Cup )  Their troubles began four days later when they faced the Americans in Belo Horizonte in what has become one of the most famous matches of all time . Joe Gaetjens scored the only goal of the match to give the United States an unlikely victory , which has gone down as one of the World Cup 's greatest upsets . A myth arose that the English newspapers were so confident of an English victory that when the result was telegrammed back , they assumed a misprint and printed the score as 10 -- 1 in England 's favour . However , this has proven to be untrue .   This left England in a sticky situation prior to their final match , against Spain in Rio . They needed to win , and for Chile to beat the United States to stand any chance of going through , and even then they would need the goal averages to fall in their favour . As it turned out , no such calculations were necessary , despite Chile 's victory , as Spain 's Zarra scored the only goal of the game , eliminating England from the competition .   Switzerland 1954 ( edit )       This section does not cite any sources . Please help improve this section by adding citations to reliable sources . Unsourced material may be challenged and removed . ( July 2018 ) ( Learn how and when to remove this template message )    Main articles : 1954 FIFA World Cup and 1953 -- 54 British Home Championship  As with their first World Cup , England 's qualifying for the 1954 edition also constituted the 1953 -- 54 British Home Championship . They played Wales at Ninian Park as their first match once again , and the 4 -- 1 result was the same . However , unlike four years earlier , it was the home side that went into the lead , after twenty two minutes through Ivor Allchurch . Despite being 1 -- 0 down at half time , England scored four within eight minutes of the restart ; two each for Dennis Wilshaw and Nat Lofthouse .   Goodison Park was the venue for England 's home clash against Ireland , who were newly renamed Northern Ireland . Harold Hassall got England off to a good start with a goal after just ten minutes . Eddie McMorran put the Irish back on terms just before the hour mark , but Hassall completed his brace six minutes later . Lofthouse completed a comfortable 3 -- 1 win for England .   With the top two in the group qualifying for the finals , the final game between England and Scotland , at Hampden Park , settled nothing except the placings within the group , despite Scotland having dropped a point with a 3 -- 3 draw at home to Wales . Allan Brown put the home side ahead after just seven minutes , but it was all square again thanks to Ivor Broadis just four minutes later . Johnny Nicholls gave England the lead for the first time just after half time , and they began to extend a lead after Ronnie Allen 's 68th - minute goal . Jimmy Mullen made the game all but certain seven minutes from time , and although Willie Ormond scored a consolation for Scotland with just 1 minute to play , England topped the competition for the second time in a row .  1954 finals ( edit )  England were drawn in Group 4 for the finals , with hosts Switzerland , Italy and Belgium . In an odd twist , unique to the 1954 tournament , England and Italy , as the two seeded teams in the group , did not have to play each other .   Equally , Switzerland and Belgium did not have to play each other . England 's first game in Switzerland was against Belgium in Basel , and they suffered a shock as Léopold Anoul put the Belgians into the lead after just five minutes . Ivor Broadis put the favourites back on terms just over twenty minutes later , and although Nat Lofthouse gave England the lead 10 minutes later , it was proving to be tougher than they had expected against the Belgians .   Broadis scored his second just after the hour , but Henri Coppens hit back four minutes later to keep Belgium in the game at only 3 -- 2 down . Anoul completed his brace another four minutes after that to level the scores again . In another oddity peculiar to this World Cup , drawn matches in the group stage would go to extra time , and as such the teams played on with the score at 3 -- 3 .   Just one minute into the added period , Lofthouse added a fourth for England and they seemed to have won it , but Jimmy Dickinson scored an own goal three minutes later to put the score back at 4 -- 4 . It stayed this way until the extra period was up , and as penalty shoot - outs were yet to be invented and replays were not used in the group , the match was recorded as a draw .   England 's second and final group game was against the hosts in Bern . This proved to be an easier game for the Three Lions , and they scored one goal in each half ( from Jimmy Mullen and Dennis Wilshaw respectively ) to give them a comfortable win of 2 -- 0 . As Switzerland ( against England ) , Italy ( against Switzerland ) and Belgium ( against Italy ) had all lost one game , England progressed as group winners , along with Switzerland , who won a play - off against Italy .   England faced the winners of group three and defending champions Uruguay in the quarter - finals . Carlos Borges gave the South Americans the lead inside 5 minutes , but Lofthouse put England back on terms ten minutes later . England were clearly struggling , but held on until just before half time , when Obdulio Varela gave the lead back Uruguay .   Juan Alberto Schiaffino doubled the lead just after the break , but Tom Finney kept England 's foot in the door with his sixty seventh - minute goal . However , it was all over after Javier Ambrois restored the two goal lead with twelve minutes to play . The score remained at 4 -- 2 , and England were eliminated from the cup .   Sweden 1958 ( edit )  Main article : 1958 FIFA World Cup  For the first time , England had to play against countries other than the Home Nations to reach the Finals in Sweden . They were drawn against the Republic of Ireland and Denmark . In the qualifying round , England won three out of the four games and drew the other . Four months before the World Cup , Roger Byrne , Duncan Edwards , David Pegg and Tommy Taylor all lost their lives in the Munich air disaster while playing for Manchester United . At the finals , which is the only tournament to have seen all Home Nations take part , the Home Nations were all drawn in different groups .   England were drawn against the Soviet Union ( 2 -- 2 ) , Brazil ( 0 -- 0 ) and Austria ( 2 -- 2 ) , who finished third in the 1954 World Cup . At the end of the group stage , Soviet Union and England each had three points , and had scored four goals and conceded four goals . This meant there was a play - off to decide the second - placed team in the group , the winner to qualify . England lost the play - off 1 -- 0 and were thus knocked out . The only consolation for England was that they were the only team to play the eventual winners Brazil and not lose .   Chile 1962 ( edit )  Main article : 1962 FIFA World Cup  The third World Cup which took place in South America , saw England qualify by successfully qualifying from the group , which contained Portugal and Luxembourg , defeating Luxembourg on both occasions , and defeating Portugal at home , and drawing in Lisbon .   At the finals , England were drawn in a group with Hungary , Argentina and Bulgaria . England defeated Argentina 3 - 1 , thanks to goals from Ron Flowers , Bobby Charlton and Jimmy Greaves , before playing out a goalless draw with Bulgaria , and a 2 -- 1 defeat to Hungary .   England finished in second place behind Hungary and played the winners of group 3 , defending champions Brazil , in the quarter - finals . Brazil scored first through Garrincha , before an equaliser for Gerry Hitchens before half time . However , second - half goals from Garrincha and Vavá meant Brazil won the game 3 -- 1 , and eliminated England from the competition . This defeat was manager Walter Winterbottom 's last game in charge . Winterbottom had led England to four World Cup Finals . From May 1963 , Alf Ramsey became the manager of England .   England 1966 ( edit )  Main article : 1966 FIFA World Cup      This section needs expansion . You can help by adding to it . ( July 2018 )     In the 1966 World Cup Finals , England used their home advantage and , under Ramsey , won their first , and only , World Cup title . England played all their games at Wembley Stadium in London , which became the last time that the hosts were granted this privilege . After drawing 0 -- 0 in the opening game against former champions Uruguay , which started a run of four games all ending goalless . England then beat both France and Mexico 2 -- 0 and qualified for the quarter - finals .   The quarter - finals saw England play Argentina , which ended in a 1 -- 0 win to England . This match saw the start of the rivalry between England and Argentina , when Argentinian Antonio Rattín was dismissed by German referee Rudolf Kreitlein in a very fierce game . A 2 -- 1 win against Portugal in the semi-final then followed . Portugal were the first team to score against England in the tournament . The final saw England play West Germany , with the result finishing in a 4 -- 2 win for England , after extra time .   Mexico 1970 ( edit )  Main article : 1970 FIFA World Cup  1970 saw the first World Cup finals take place in North America and England qualified automatically for the tournament by winning the 1966 FIFA World Cup . England were drawn in a group with Romania , former world champions Brazil and Czechoslovakia . Each of the matches only saw one goal , with England defeating Romania and Czechoslovakia , and losing to Brazil . The quarter - final saw a repeat of the 1966 final , with England playing West Germany . England were hampered by the fact that first - choice goalkeeper Gordon Banks was ill , and Peter Bonetti played instead . England led 2 -- 0 with goals by Alan Mullery and Martin Peters , but in the 70th minute , Franz Beckenbauer pulled one goal back for West Germany .   After Beckenbauer 's goal , Ramsey substituted Bobby Charlton , who overtook Billy Wright as England 's most capped player ever , with caps totalling 106 . Uwe Seeler equalised for the Germans in the eighty first minute , thereby taking the game into extra time . During extra time , Gerd Müller scored the winning goal for West Germany which saw the German side win 3 -- 2 . This turned out to be Charlton 's last game for England .   West Germany 1974 ( edit )  Main article : 1974 FIFA World Cup qualification  For the first time , England did not qualify for a World Cup . In a group with Olympic champions Poland and Wales , England could not overtake Poland . After only drawing at home to Wales 1 -- 1 and losing the first leg 2 -- 0 to Poland , meant that England had to beat Poland at home , whilst Poland only needed to draw . Poland managed to withstand England 's attacks in the first half , who had Martin Peters playing for them . Poland took the lead in the 57th minute with a goal from Jan Domarski .   England equalised six minutes later , with a penalty converted by Allan Clarke . England were unable to score any more goals with goalkeeper Jan Tomaszewski keeping England at bay . Brian Clough had previously called Tomaszewski a `` clown '' . The commentator of the game then said `` it 's all over '' . Poland took this good form to the finals and ended in third place . After failing to qualify , Alf Ramsey resigned from his post and after a time , where Ramsey and his predecessor had lasted a total of 29 years , no manager was able to last in the job for longer than eight years . This ended when Bobby Robson became England manager .   Argentina 1978 ( edit )  See also : 1978 FIFA World Cup qualification      This section does not cite any sources . Please help improve this section by adding citations to reliable sources . Unsourced material may be challenged and removed . ( July 2018 ) ( Learn how and when to remove this template message )     England also did not qualify for the fourth World Cup which took place in South America . This time , England were denied by Italy , who had scored three more goals than England after both teams finished on the same points . Goals scored dictated who qualified after the head - to - head record between the two sides finished the same , following a 2 -- 0 home win for each team . The lower - ranked teams in the group were Finland and Luxembourg , but the size of the wins against them proved to be decisive . Nevertheless , Ron Greenwood was given a second chance in charge of England , after taking the role in 1977 .   Spain 1982 ( edit )  Main article : 1982 FIFA World Cup  1982 saw the first time where the European Qualifying Rounds were divided into groups of five teams , where the top two teams qualify for the World Cup . Greenwood used his second chance and took England to Spain by finishing second behind Hungary and above Romania , Switzerland and Norway .   At the finals , England won all three group games , defeating France 3 - 1 , with a brace from Bryan Robson , before beating Czechoslovakia 2 -- 0 , with a Jozef Barmos own goal , and World Cup newcomers Kuwait 1 -- 0 , thanks to a Trevor Francis goal .   The next round saw a second group stage consisting of three teams , a first time event at the World Cup . England drew with West Germany 0 -- 0 and after the Germans beat Spain 2 -- 1 , England then had to beat Spain with a two - goal difference to progress to the next round . England , however , only managed a 0 -- 0 draw against the Spanish . England remained unbeaten at the end of the tournament . After the World Cup , Ron Greenwood 's time as England manager ended , and he was replaced by Bobby Robson .   Mexico 1986 ( edit )  Main article : 1986 FIFA World Cup      This section does not cite any sources . Please help improve this section by adding citations to reliable sources . Unsourced material may be challenged and removed . ( July 2018 ) ( Learn how and when to remove this template message )     1986 saw the second World Cup to take place in Mexico . England qualified for Mexico 1986 by winning four games and drawing four times against Northern Ireland , who qualified in second place , Romania , Finland and Turkey . In Mexico , England lost their opening game to Portugal 1 -- 0 and could only manage a goalless draw against Morocco . The final group game , however , saw England beat Poland 3 -- 0 , which is one of the three highest scores for England at the World Cup , with Gary Lineker scoring a hat - trick .   This result took England to second place and finished behind Morocco . England then also beat Paraguay 3 -- 0 in the Round of 16 . In the quarter - finals , England renewed their rivalry with Argentina in a game that has become notorious for the Argentina goals , both scored by Diego Maradona . Maradona 's first goal , known as the Hand of God , was illegal and should not have counted , as he used his hand to punch the ball into the net . However , the referee missed this infringement , and ruled that the goal should stand . Maradona then made the score 2 - 0 , famously dribbling from inside Argentina 's half and around several English players before scoring . Gary Lineker pulled back the score to 2 - 1 , but England ran out of time to equalise , and were eliminated . Nevertheless , Lineker finished with the Golden Boot by scoring six goals and thereby becoming England 's first Golden Boot winner .   Italy 1990 ( edit )  Main article : 1990 FIFA World Cup  By winning three and drawing three , England qualified for Italia ' 90 , the second World Cup to be held in Italy , scoring ten goals and conceding none . England were unbeaten through qualification , winning three games , and drawing the remaining three , but still finished second to Sweden , whom they drew with twice . England profited from Romania 's 3 -- 1 win over Denmark , who , had they won , would have qualified as the third - best second - placed team . West Germany and England were able to qualify for Italia ' 90 as the best second - placed teams in the groups with four teams .   Because a few years previously saw English hooligans at European competition matches , England were forced to play their group games on Sardinia and Sicily . In group F , was the European champions Netherlands , the Republic of Ireland and Egypt and England . After opening the tournament with a 1 -- 1 draw against Ireland and a 0 -- 0 draw against the Dutch , England then beat Egypt 1 -- 0 . This was Egypt 's first appearance since the 1934 World Cup . England won the group with four points .   In the next round , England had to play Belgium . The game went to extra time , and in the hundredth and nineteenth minute , David Platt scored the winning goal . England also had to play extra time against Cameroon in the quarter - finals . Cameroon were the first African team to have reached the quarter - finals . England opened the scoring through David Platt , but Cameroon quickly turned around the game to lead 2 - 1 . Lineker subsequently won and scored a penalty in the 83rd minute to ensure the game went to extra time . He then scored a second penalty , to see England reach the semi-finals .   In the semi-finals , England met West Germany . There was no separating the two teams after 90 minutes , which made England the first team to have played extra time in three successive World Cup games . There was also no separating the two teams after extra time , thereby taking the game to penalties .   Although English goalkeeper Peter Shilton dived the right way for every penalty , he was unable to save any . German goalkeeper Bodo Illgner , having failed to save any of England 's first three penalties , saved England 's fourth penalty , taken by Stuart Pearce . Olaf Thon then scored for Germany , meaning that England 's Chris Waddle would have to score his fifth penalty and hope that Shilton saved the Germans ' fifth penalty . However , Waddle 's penalty missed completely , going high over the crossbar , thereby resulting in England 's being knocked out of the competition . The third - place playoff between England and Italy saw England lose their only game of the tournament in normal time . Even though this was England 's best finish since the 1966 World Cup , Bobby Robson 's time as England manager had come to an end .   United States 1994 ( edit )  Main article : 1994 FIFA World Cup qualification  For the 1994 World Cup in the United States , under the leadership of new manager Graham Taylor , England surprisingly did not qualify for the tournament . In a group with six teams , England lost to Norway and the Netherlands , finishing third above Poland , Turkey and San Marino .   England went into their final game with San Marino knowing they would need a seven - goal victory and for Poland to beat the Netherlands in the other match in order to qualify . In the game against San Marino , Davide Gualtieri scored against England after nine seconds , taking the lead for the outsiders . England went on to win 7 -- 1 , which was too small a goal margin . Additionally , despite the half - time score between the Poles and the Dutch being 1 - 1 , the Dutch went on to win 3 - 1 , meaning that however many goals England scored , they could still not qualify . Taylor 's tenure in charge ended and he was replaced by Terry Venables , who was dismissed after England lost the semi-final of Euro 1996 , hosted in England .   France 1998 ( edit )  Main article : 1998 FIFA World Cup  After missing out on the World Cup in 1994 , England , managed by Glenn Hoddle , qualified for the World Cup in France . England were drawn in Group 2 of UEFA qualifying with Italy , Poland , Georgia and Moldova . England beat Poland , Georgia and Moldova both home and away , but a home defeat to Italy in their fourth match meant they went into the final qualifier at the Stadio Olimpico in Rome just a point ahead of the Azzurri and only needing a draw to qualify automatically ; defeat would see them have to navigate a play - off to secure qualification . The match finished as a goalless draw and England finished top of the group .   At the finals in France , England played in Group G. England defeated Tunisia 2 -- 0 in the first game , with goals from Alan Shearer and Paul Scholes . Their second match saw England lose 2 -- 1 to Romania ; despite an 81st - minute equaliser from Michael Owen , Dan Petrescu scored a winner shortly before injury time . In their final group game , England defeated Colombia 2 -- 0 in the decisive match , thanks to goals from midfielders Darren Anderton and David Beckham . England finished second in Group G , which saw them qualify for the last 16 phase , and play the winner of 1998 FIFA World Cup Group H , Argentina .   In a fiery game containing six yellow cards and two penalties , David Beckham was controversially sent off in the 47th minute for what many felt was at most a yellow card offence , knocking over Diego Simeone . Gabriel Batistuta opened the scoring from the penalty spot in the fifth minute of the game , before an equaliser also from the spot by Alan Shearer four minutes later . England took the lead through Owen , in the 16th minute . Argentina drew level through Javier Zanetti in injury time of the first half .   The game finished 2 - 2 , and , as neither team were able to find a winner in extra time , penalties were needed to decide the team that qualified to the next round . While David Seaman did save one penalty , Argentine goalkeeper Carlos Roa managed to save two , including the vital one from David Batty , thereby knocking England out of the World Cup . Beckham subsequently received death threats and was sent bullets in the post .   South Korea / Japan 2002 ( edit )  Main article : 2002 FIFA World Cup  In 2002 the World Cup took place in Asia for the first time . England , under its first ever foreign manager in Swedish Sven - Göran Eriksson , were able to qualify for the tournament . England were drawn in Group 9 , alongside Germany , Finland , Greece and Albania . In the last ever game in the original Wembley Stadium , ( which closed after the match ) England played Germany , losing 1 -- 0 , the only goal scored by Dietmar Hamann . The match was the last under the management of Kevin Keegan , who resigned at the end of the match , and was replaced by Eriksson . By beating Germany 5 -- 1 in Munich , England 's qualifying campaign was revitalised , and they qualified automatically , by drawing 2 -- 2 with Greece . Germany , who could only draw 0 -- 0 with Finland , had to play a play - off game against Ukraine , with England qualifying ahead winning the group .   In Japan , England had to play against Eriksson 's homeland , Sweden , and both settled out for a 1 -- 1 draw . England and Beckham gained a measure of revenge for their previous 1998 defeat in defeating Argentina 1 - 0 , thanks to a Beckham penalty . However , England could only manage a disappointing 0 - 0 draw against Nigeria , meaning that although they were able to qualify for the second round , where they played Denmark , they qualified as runners up , which meant that they would meet favourites Brazil in the quarter - finals if they qualified .   England played Denmark in the round of 16 defeating Denmark 3 -- 0 , thanks to goals from Micheal Owen , Rio Ferdinand , and Emile Heskey . England played four - time World Cup winners and 1998 runners - up Brazil in the quarter - finals . Despite leading through a Michael Owen goal , a mistake by David Seaman saw England lose 2 -- 1 , and Brazil won their fourth World Cup match against England , and went on to win the tournament .   Germany 2006 ( edit )  Main article : 2006 FIFA World Cup  England were drawn into Group 6 of European qualifying for the 2006 World Cup . The group featured other home nations in Wales , and Northern Ireland , as well as Poland ( who had eliminated England the last time the World Cup took place in Germany ) , Azerbaijan and Austria . England won eight of the 10 games , and qualified as group winners , in front of Portugal , despite drawing to Austria in Vienna , and losing to Northern Ireland in Belfast .   In Germany , however , England were less convincing . England played in Group B , alongside Paraguay , Trinidad and Tobago , and Sweden . England started with a 1 -- 0 win against Paraguay ; which was won due to a 3rd minute own goal . The second game against first time qualifiers Trinidad and Tobago saw England have to wait until the 83rd minute for England to take the lead , with Peter Crouch opened the scoring with a goal many felt was illegal , and the second goal of the game coming in added time from Steven Gerrard . The last group game saw England play against Sweden , where an eventual 2 - 2 draw saw them qualify for the next round as group winners , thereby avoiding playing hosts Germany .   In the last 16 stage , a free kick from David Beckham saw England win 1 -- 0 against Ecuador and reach the quarter - finals , where they faced Portugal . The game finished goalless , and England once again were knocked out on penalties and Portuguese goalkeeper Ricardo became the first goalkeeper to save three penalties in a penalty shoot - out . Ricardo saved from Frank Lampard , Steven Gerrard , and Jamie Carragher ; the only England player who successfully converted his penalty was Owen Hargreaves . Portugal won the shoot - out 3 - 1 , despite misses from Petit and Hugo Viana . This game was also Erickson 's final match as England manager .   South africa 2010 ( edit )  Main article : 2010 FIFA World Cup  Qualification for the first African World Cup went successfully for new England manager Fabio Capello , after previous manager Steve McClaren was unable to secure qualification to the Euro 2008 . By winning nine times and only losing to Ukraine , England qualified ahead of Croatia , Belarus , Kazakhstan and Andorra . England 's group was seen as a favourable one , containing comparatively much weaker teams . However , England opened up their campaign with a 1 -- 1 draw against the United States , thanks to a major error by goalkeeper Robert Green . They then drew 0 -- 0 against Algeria and were booed off the field by their own fans , drawing the ire of striker Wayne Rooney . England eventually qualified for the next round by beating Slovenia 1 -- 0 , but only qualified as runners up to the United States , thereby meaning they would draw favourites Germany .   In the second round match , Germany took the lead after 20 minutes after goalkeeper Manuel Neuer played the ball down the pitch to Miroslav Klose , who opened the scoring . The score became 2 -- 0 to Germany after 32 minutes . Shortly after , England defender Matthew Upson scored a header . Later , Frank Lampard had a shot at goal which was disallowed despite crossing the line ; which was confirmed on replays . German goalkeeper Manuel Neuer admitted subsequently he knew the ball had crossed the line , but decided to deceive the referee . The German media reported it was `` revenge for Wembley '' , while the English media criticised FIFA 's refusal to implement goal - line technology . Ironically , despite his earlier opposition to goal - line technology , Sepp Blatter said that it should be introduced after a Ukrainian goal against England at Euro 2</t>
  </si>
  <si>
    <t xml:space="preserve">when was the last time england made it to a world cup semi final</t>
  </si>
  <si>
    <t xml:space="preserve">Santa Claus - wikipedia  Santa Claus  Jump to : navigation , search `` Santa '' redirects here . For other uses , see Santa ( disambiguation ) . This article is about the legendary character . For other uses , see Santa Claus ( disambiguation ) . 1881 illustration by Thomas Nast who , along with Clement Clarke Moore 's poem A Visit from St. Nicholas , helped to create the modern image of Santa Claus The modern portrayal of Santa Claus frequently depicts him listening to the Christmas wishes of different children .  Santa Claus , also known as Saint Nicholas , Kris Kringle , Father Christmas , or simply Santa , is a legendary figure originating in Western Christian culture who is said to bring gifts to the homes of well - behaved ( `` good '' or `` nice '' ) children on Christmas Eve ( 24 December ) and the early morning hours of Christmas Day ( 25 December ) . The modern Santa Claus grew out of traditions surrounding the historical Saint Nicholas ( a fourth - century Greek bishop and gift - giver of Myra ) , the British figure of Father Christmas and the Dutch figure of Sinterklaas ( himself also based on Saint Nicholas ) . Some maintain Santa Claus also absorbed elements of the Germanic god Wodan , who was associated with the pagan midwinter event of Yule and led the Wild Hunt , a ghostly procession through the sky .   Santa Claus is generally depicted as a portly , joyous , white - bearded man -- sometimes with spectacles -- wearing a red coat with white fur collar and cuffs , white - fur - cuffed red trousers , a red hat with white fur and black leather belt and boots and who carries a bag full of gifts for children . This image became popular in the United States and Canada in the 19th century due to the significant influence of the 1823 poem `` A Visit from St. Nicholas '' and of caricaturist and political cartoonist Thomas Nast . This image has been maintained and reinforced through song , radio , television , children 's books , films , and advertising .   Santa Claus is said to make lists of children throughout the world , categorizing them according to their behavior ( `` good '' and `` bad '' , or `` naughty '' and `` nice '' ) and to deliver presents , including toys , and candy to all of the well - behaved children in the world , and coal to all the misbehaved children , on the single night of Christmas Eve . He accomplishes this feat with the aid of his elves , who make the toys in his workshop at the North Pole , and his flying reindeer , who pull his sleigh . He is commonly portrayed as living at the North Pole , and often laughing in a way that sounds like `` ho ho ho '' .     Contents  ( hide )   1 Predecessor figures   1.1 Saint Nicholas   1.2 Father Christmas   1.3 Dutch , Belgian and Swiss folklore   1.4 Germanic paganism , Wodan , and Christianization     2 History   2.1 Origins   2.2 19th century   2.3 20th century     3 In popular culture   4 Traditions and rituals   4.1 Chimney tradition   4.2 Christmas Eve rituals   4.3 Ho , ho , ho   4.4 Home   4.5 Parades , department stores , and shopping malls   4.6 Letter writing to Santa   4.7 Santa tracking , Santa websites and email to and from Santa     5 Criticism   5.1 Calvinist and Puritan opposition   5.2 Opposition under state atheism   5.3 Symbol of commercialism   5.4 Controversy about deceiving children     6 See also   6.1 Related figures in folklore     7 References   8 Further reading   9 External links      Predecessor figures   Saint Nicholas  A 13th - century depiction of St. Nicholas from Saint Catherine 's Monastery , Sinai Main article : Saint Nicholas  Saint Nicholas of Myra was a 4th - century Greek Christian bishop of Myra ( now Demre ) in Lycia , a province of the Byzantine Empire , now in Turkey . Nicholas was famous for his generous gifts to the poor , in particular presenting the three impoverished daughters of a pious Christian with dowries so that they would not have to become prostitutes . He was very religious from an early age and devoted his life entirely to Christianity . In continental Europe ( more precisely the Netherlands , Belgium , Austria , the Czech Republic and Germany ) he is usually portrayed as a bearded bishop in canonical robes .   The remains of Saint Nicholas are in Italy . In 1087 , the Italian city of Bari mounted an expedition to locate the tomb of the Saint . The reliquary of St. Nicholas was conquered by Italian sailors and his relics were taken to Bari where they are kept to this day . A basilica was constructed the same year to store the loot and the area became a pilgrimage site for the devout . Sailors from Bari collected just half of Nicholas ' skeleton , leaving all the minor fragments in the grave . These were collected by Venetian sailors during the First Crusade and taken to Venice , where a church to St. Nicholas , the patron of sailors , was built on the San Nicolò al Lido . This tradition was confirmed in two important scientific investigations of the relics in Bari and Venice , which revealed that the relics in the two Italian cities belong to the same skeleton . Saint Nicholas was later claimed as a patron saint of many diverse groups , from archers , sailors , and children to pawnbrokers . He is also the patron saint of both Amsterdam and Moscow .   During the Middle Ages , often on the evening before his name day of 6 December , children were bestowed gifts in his honour . This date was earlier than the original day of gifts for the children , which moved in the course of the Reformation and its opposition to the veneration of saints in many countries on the 24th and 25th of December . So Saint Nicholas changed to Santa Claus . The custom of gifting to children at Christmas has been propagated by Martin Luther as an alternative to the previous very popular gift custom on St. Nicholas , to focus the interest of the children to Christ instead of the veneration of saints . Martin Luther first suggested the Christkind as the bringer of gifts . But Nicholas remained popular as gifts bearer for the people .   Father Christmas  `` Ghost of Christmas Present '' , an illustration by John Leech made for Charles Dickens 's festive classic A Christmas Carol ( 1843 ) . Main article : Father Christmas  Father Christmas dates back as far as 16th century in England during the reign of Henry VIII , when he was pictured as a large man in green or scarlet robes lined with fur . He typified the spirit of good cheer at Christmas , bringing peace , joy , good food and wine and revelry . As England no longer kept the feast day of Saint Nicholas on 6 December , the Father Christmas celebration was moved to the 25th of December to coincide with Christmas Day . The Victorian revival of Christmas included Father Christmas as the emblem of ' good cheer ' . His physical appearance was variable , with one famous image being John Leech 's illustration of the `` Ghost of Christmas Present '' in Charles Dickens 's festive classic A Christmas Carol ( 1843 ) , as a great genial man in a green coat lined with fur who takes Scrooge through the bustling streets of London on the current Christmas morning , sprinkling the essence of Christmas onto the happy populace .   Dutch , belgian and Swiss folklore  See also : Sinterklaas and Saint Nicholas Sinterklaas , Netherlands ( 2009 ) on his horse called Slecht Weer Vandaag or Amerigo  In the Netherlands and Belgium the character of Santa Claus has to compete with that of Sinterklaas , Santa 's presumed progenitor . Santa Claus is known as de Kerstman in Dutch ( `` the Christmas man '' ) and Père Noël ( `` Father Christmas '' ) in French . But for children in the Netherlands Sinterklaas remains the predominant gift - giver in December ; 36 % of the Dutch only give presents on Sinterklaas evening or the day itself ( December 6th ) , whereas Christmas ( December 25th ) is used by another 21 % to give presents . Some 26 % of the Dutch population gives presents on both days . In Belgium , Sinterklaas day presents are offered exclusively to children , whereas on Christmas Day , all ages may receive presents . Sinterklaas ' assistants are called `` Zwarte Pieten '' ( in Dutch , `` Pères Fouettard '' in French ) , so they are not elves . In Switzerland , Pères Fouettard accompanies Père Noël in the French speaking region , while the sinister Schmutzli accompanies Samichlaus in the Swiss German region . Schmutzli carries a twig broom to spank the naughty children .   Germanic paganism , Wodan , and Christianization  An 1886 depiction of the long - bearded Norse god Odin by Georg von Rosen  Prior to Christianization , the Germanic peoples ( including the English ) celebrated a midwinter event called Yule ( Old English geola or giuli ) . With the Christianization of Germanic Europe , numerous traditions were absorbed from Yuletide celebrations into modern Christmas . During this period , supernatural and ghostly occurrences were said to increase in frequency , such as the Wild Hunt , a ghostly procession through the sky . The leader of the wild hunt is frequently attested as the god Wodan ( Norse Odin ) , bearing ( among many names ) the names Jólnir , meaning `` Yule figure '' , and Langbarðr , meaning `` long - beard '' , in Old Norse .   Wodan 's role during the Yuletide period has been theorized as having influenced concepts of St. Nicholas in a variety of facets , including his long white beard and his gray horse for nightly rides ( compare Odin 's horse Sleipnir ) or his reindeer in North American tradition . Folklorist Margaret Baker maintains that `` the appearance of Santa Claus or Father Christmas , whose day is the 25th of December , owes much to Odin , the old blue - hooded , cloaked , white - bearded Giftbringer of the north , who rode the midwinter sky on his eight - footed steed Sleipnir , visiting his people with gifts . ( ... ) Odin , transformed into Father Christmas , then Santa Claus , prospered with St Nicholas and the Christchild , became a leading player on the Christmas stage . ''   In Finland they still use Joulupukki or the Christmas Goat .   History   Origins   Pre-modern representations of the gift - giver from Church history and folklore , notably St Nicholas ( known in Dutch as Sinterklaas ) , merged with the English character Father Christmas to create the character known to Americans and the rest of the English - speaking world as `` Santa Claus '' ( a phonetic derivation of `` Sinterklaas '' ) .   In the English and later British colonies of North America , and later in the United States , British and Dutch versions of the gift - giver merged further . For example , in Washington Irving 's History of New York ( 1809 ) , Sinterklaas was Americanized into `` Santa Claus '' ( a name first used in the American press in 1773 ) but lost his bishop 's apparel , and was at first pictured as a thick - bellied Dutch sailor with a pipe in a green winter coat . Irving 's book was a lampoon of the Dutch culture of New York , and much of this portrait is his joking invention .   19th century  Illustration to verse 1 of Old Santeclaus with Much Delight 1850 illustration of Saint Nicolas with his servant Père Fouettard / Zwarte Piet `` December 24 , 1864 . This has usually been a very busy day with me , preparing for Christmas not only for my own tables , but for gifts for my servants . Now how changed ! No confectionary , cakes , or pies can I have . We are all sad ; no loud , jovial laugh from our boys is heard . Christmas Eve , which has ever been gaily celebrated here , which has witnessed the popping of firecrackers ... and the hanging up of stockings , is an occasion now of sadness and gloom . I have nothing even to put in 8 - year - old daughter Sadai 's stocking , which hangs so invitingly for Santa Claus . How disappointed she will be in the morning , though I have explained to her why he can not come . Poor children ! Why must the innocent suffer with the guilty ? ''  Diary of Dolly Lunt Burge , a Maine native , widow of Thomas Burge , and resident living c. 40 miles southeast of Atlanta near Covington , Georgia . This entry from Mrs. Burge 's diary was five weeks after most of General T. Sherman 's U.S. Army forces had passed on their blackened - earth `` march across Georgia '' toward Savanna , after the army 's destruction of Atlanta in mid-November 1864 . U.S. Army mop - up companies and stragglers during those intervening weeks continued to `` forage '' , loot , burn , and liberate slaves , hence , the concern of Mrs. Burge and her household .   In 1821 , the book A New - year 's present , to the little ones from five to twelve was published in New York . It contained Old Santeclaus with Much Delight , an anonymous poem describing Santeclaus on a reindeer sleigh , bringing presents to children . Some modern ideas of Santa Claus seemingly became canon after the anonymous publication of the poem `` A Visit From St. Nicholas '' ( better known today as `` The Night Before Christmas '' ) in the Troy , New York , Sentinel on 23 December 1823 ; Clement Clarke Moore later claimed authorship , though some scholars argue that Henry Livingston , Jr. ( who died nine years before Moore 's claim ) was the author . St. Nick is described as being `` chubby and plump , a right jolly old elf '' with `` a little round belly '' , that `` shook when he laughed like a bowlful of jelly '' , in spite of which the `` miniature sleigh '' and `` tiny reindeer '' still indicate that he is physically diminutive . The reindeer were also named : Dasher , Dancer , Prancer , Vixen , Comet , Cupid , Dunder and Blixem ( Dunder and Blixem came from the old Dutch words for thunder and lightning , which were later changed to the more German sounding Donner and Blitzen ) .   By 1845 ' Kris Kringle ' was a common variant of Santa in parts of the U.S. A magazine article from 1853 , describing American Christmas customs to British readers , refers to children hanging up their stockings on Christmas Eve for ' a fabulous personage ' whose name varies : in Pennsylvania he is usually called ' Krishkinkle ' but in New York he is ' St. Nicholas ' or ' Santa Claus ' . The author quotes Moore 's poem in its entirety , saying that its descriptions apply to Krishkinkle too .   As the years passed , Santa Claus evolved in popular culture into a large , heavyset person . One of the first artists to define Santa Claus 's modern image was Thomas Nast , an American cartoonist of the 19th century . In 1863 , a picture of Santa illustrated by Nast appeared in Harper 's Weekly .   Thomas Nast immortalized Santa Claus with an illustration for the 3 January 1863 issue of Harper 's Weekly . Santa was dressed in an American flag , and had a puppet with the name `` Jeff '' written on it , reflecting its Civil War context . The story that Santa Claus lives at the North Pole may also have been a Nast creation . His Christmas image in the Harper 's issue dated 29 December 1866 was a collage of engravings titled Santa Claus and His Works , which included the caption `` Santa Claussville , N.P. '' A color collection of Nast 's pictures , published in 1869 , had a poem also titled `` Santa Claus and His Works '' by George P. Webster , who wrote that Santa Claus 's home was `` near the North Pole , in the ice and snow '' . The tale had become well known by the 1870s . A boy from Colorado writing to the children 's magazine The Nursery in late 1874 said , `` If we did not live so very far from the North Pole , I should ask Santa Claus to bring me a donkey . ''   The idea of a wife for Santa Claus may have been the creation of American authors , beginning in the mid-19th century . In 1889 , the poet Katharine Lee Bates popularized Mrs. Claus in the poem `` Goody Santa Claus on a Sleigh Ride '' .   `` Is There a Santa Claus ? '' was the title of an editorial appearing in the 21 September 1897 edition of The New York Sun . The editorial , which included the famous reply `` Yes , Virginia , there is a Santa Claus '' , has become an indelible part of popular Christmas lore in the United States and Canada .   20th century   L. Frank Baum 's The Life and Adventures of Santa Claus , a 1902 children 's book , further popularized Santa Claus . Much of Santa Claus 's mythos was not set in stone at the time , leaving Baum to give his `` Neclaus '' ( Necile 's Little One ) a wide variety of immortal support , a home in the Laughing Valley of Hohaho , and ten reindeer -- who could not fly , but leapt in enormous , flight - like bounds . Claus 's immortality was earned , much like his title ( `` Santa '' ) , decided by a vote of those naturally immortal . This work also established Claus 's motives : a happy childhood among immortals . When Ak , Master Woodsman of the World , exposes him to the misery and poverty of children in the outside world , Santa strives to find a way to bring joy into the lives of all children , and eventually invents toys as a principal means . Santa later appears in The Road to Oz as a honored guest at Ozma 's birthday party , stated to be famous and beloved enough for everyone to bow even before he is announced as `` The most Mighty and Loyal Friend of Children , His Supreme Highness - Santa Claus '' .   Images of Santa Claus were further popularized through Haddon Sundblom 's depiction of him for The Coca - Cola Company 's Christmas advertising in the 1930s . The popularity of the image spawned urban legends that Santa Claus was invented by The Coca - Cola Company or that Santa wears red and white because they are the colors used to promote the Coca - Cola brand . Historically , Coca - Cola was not the first soft drink company to utilize the modern image of Santa Claus in its advertising -- White Rock Beverages had already used a red and white Santa to sell mineral water in 1915 and then in advertisements for its ginger ale in 1923 . Earlier still , Santa Claus had appeared dressed in red and white and essentially in his current form on several covers of Puck magazine in the first few years of the 20th century .  A man dressed as Santa Claus fundraising for Volunteers of America on the sidewalk of street in Chicago , Illinois , in 1902 . He is wearing a mask with a beard attached .  The image of Santa Claus as a benevolent character became reinforced with its association with charity and philanthropy , particularly by organizations such as the Salvation Army . Volunteers dressed as Santa Claus typically became part of fundraising drives to aid needy families at Christmas time .   In 1937 , Charles W. Howard , who played Santa Claus in department stores and parades , established the Charles W. Howard Santa School , the oldest continuously - run such school in the world .   In some images from the early 20th century , Santa was depicted as personally making his toys by hand in a small workshop like a craftsman . Eventually , the idea emerged that he had numerous elves responsible for making the toys , but the toys were still handmade by each individual elf working in the traditional manner .   The 1956 popular song by George Melachrino , `` Mrs. Santa Claus '' , and the 1963 children 's book How Mrs. Santa Claus Saved Christmas , by Phyllis McGinley , helped standardize and establish the character and role of Mrs. Claus in the popular imagination .   Seabury Quinn 's 1948 novel Roads draws from historical legends to tell the story of Santa and the origins of Christmas . Other modern additions to the `` story '' of Santa include Rudolph the Red - Nosed Reindeer , the 9th and lead reindeer immortalized in a Gene Autry song , written by a Montgomery Ward copywriter .   In popular culture  See also : SantaCon  By the end of the 20th century , the reality of mass mechanized production became more fully accepted by the Western public . Elves had been portrayed as using assembly lines to produce toys early in the 20th century . That shift was reflected in the modern depiction of Santa 's residence -- now often humorously portrayed as a fully mechanized production and distribution facility , equipped with the latest manufacturing technology , and overseen by the elves with Santa and Mrs. Claus as executives and / or managers . An excerpt from a 2004 article , from a supply chain managers ' trade magazine , aptly illustrates this depiction :   Santa 's main distribution center is a sight to behold . At 4,000,000 square feet ( 370,000 m ) , it 's one of the world 's largest facilities . A real - time warehouse management system ( WMS ) is of course required to run such a complex . The facility makes extensive use of task interleaving , literally combining dozens of DC activities ( putaway , replenishing , order picking , sleigh loading , cycle counting ) in a dynamic queue ... the DC elves have been on engineered standards and incentives for three years , leading to a 12 % gain in productivity ... The WMS and transportation system are fully integrated , allowing ( the elves ) to make optimal decisions that balance transportation and order picking and other DC costs . Unbeknownst to many , Santa actually has to use many sleighs and fake Santa drivers to get the job done Christmas Eve , and the transportation management system ( TMS ) optimally builds thousands of consolidated sacks that maximize cube utilization and minimize total air miles .   In the cartoon base , Santa has been voiced by several people , including Stan Francis , Mickey Rooney , Ed Asner , John Goodman , and Keith Wickham .   Santa has been described as a positive male cultural icon :   Santa is really the only cultural icon we have who 's male , does not carry a gun , and is all about peace , joy , giving , and caring for other people . That 's part of the magic for me , especially in a culture where we 've become so commercialized and hooked into manufactured icons . Santa is much more organic , integral , connected to the past , and therefore connected to the future .  -- TV producer Jonathan Meath who portrays Santa , 2011  Many television commercials , comic strips and other media depict this as a sort of humorous business , with Santa 's elves acting as a sometimes mischievously disgruntled workforce , cracking jokes and pulling pranks on their boss . For instance , a Bloom County story from 15 December 1981 through 24 December 1981 has Santa rejecting the demands of PETCO ( Professional Elves Toy - Making and Craft Organization ) for higher wages , a hot tub in the locker room , and `` short broads , '' with the elves then going on strike . President Reagan steps in , fires all of Santa 's helpers , and replaces them with out - of - work air traffic controllers ( an obvious reference to the 1981 air traffic controllers ' strike ) , resulting in a riot before Santa vindictively rehires them in humiliating new positions such as his reindeer . In The Sopranos episode , `` ... To Save Us All from Satan 's Power '' , Paulie Gualtieri says he `` Used to think Santa and Mrs. Claus were running a sweatshop over there ... The original elves were ugly , traveled with Santa to throw bad kids a beatin ' , and gave the good ones toys . ''  2009 Liverpool Santa Dash  In Kyrgyzstan , a mountain peak was named after Santa Claus , after a Swedish company had suggested the location be a more efficient starting place for present - delivering journeys all over the world , than Lapland . In the Kyrgyz capital , Bishkek , a Santa Claus Festival was held on 30 December 2007 , with government officials attending . 2008 was officially declared the Year of Santa Claus in the country . The events are seen as moves to boost tourism in Kyrgyzstan .   The Guinness World Record for the largest gathering of Santa Clauses is held by Thrissur , Kerala , India where on 27 December 2014 , 18,112 Santas came overtaking the current record of Derry City , Northern Ireland . On 9 September 2007 where a total of 12,965 people dressed up as Santa or Santa 's helper which previously brought down the record of 3,921 , which was set during the Santa Dash event in Liverpool City Centre in 2005 . A gathering of Santas in 2009 in Bucharest , Romania attempted to top the world record , but failed with only 3,939 Santas .   Traditions and rituals   Chimney tradition  Steen 's The Feast of Saint Nicholas  The tradition of Santa Claus entering dwellings through the chimney is shared by many European seasonal gift - givers . In pre-Christian Norse tradition , Odin would often enter through chimneys and fire holes on the solstice . In the Italian Befana tradition , the gift - giving witch is perpetually covered with soot from her trips down the chimneys of children 's homes . In the tale of Saint Nicholas , the saint tossed coins through a window , and , in a later version of the tale , down a chimney when he finds the window locked . In Dutch artist Jan Steen 's painting , The Feast of Saint Nicholas , adults and toddlers are glancing up a chimney with amazement on their faces while other children play with their toys . The hearth was held sacred in primitive belief as a source of beneficence , and popular belief had elves and fairies bringing gifts to the house through this portal . Santa 's entrance into homes on Christmas Eve via the chimney was made part of American tradition through the poem `` A Visit from St. Nicholas '' where the author described him as an elf .   Christmas Eve rituals  Santa Claus waves to children from an annual holiday train in Chicago .  In the United States and Canada , children traditionally leave Santa a glass of milk and a plate of cookies ; in Britain and Australia , he is sometimes given sherry or beer , and mince pies instead . In Denmark , Norway and Sweden , it is common for children to leave him rice porridge with cinnamon sugar instead . In Ireland it is popular to give him Guinness or milk , along with Christmas pudding or mince pies .   In Hungary , St. Nicolaus ( Mikulás ) comes on the night of 5 December and the children get their gifts the next morning . They get sweets in a bag if they were good , and a golden colored birch switch if not . On Christmas Eve `` Little Jesus '' comes and gives gifts for everyone .   In Slovenia , Saint Nicholas ( Miklavž ) also brings small gifts for good children on the eve of 6 December . Božiček ( Christmas Man ) brings gifts on the eve of 25 December , and Dedek Mraz ( Grandfather Frost ) brings gifts in the evening of 31 December to be opened on New Years Day .  Hanging up stockings for Santa Claus , Ohio , 1928  New Zealander , British , Australian , Irish , Canadian , and American children also leave a carrot for Santa 's reindeer , and are told that if they are not good all year round that they will receive a lump of coal in their stockings , although the actual practice of giving coal is now considered archaic . Children following the Dutch custom for sinterklaas will `` put out their shoe '' ( leave hay and a carrot for his horse in a shoe before going to bed , sometimes weeks before the sinterklaas avond ) . The next morning they will find the hay and carrot replaced by a gift ; often , this is a marzipan figurine . Naughty children were once told that they would be left a roe ( a bundle of sticks ) instead of sweets , but this practice has been discontinued .   Other Christmas Eve Santa Claus rituals in the United States include reading A Visit from St. Nicholas or other tale about Santa Claus , watching a Santa or Christmas - related animated program on television ( such as the aforementioned Santa Claus Is Comin ' to Town and similar specials , such as Rudolph the Red - Nosed Reindeer , among many others ) , and the singing of Santa Claus songs such as `` Santa Claus Is Coming to Town '' , `` Here Comes Santa Claus '' , and `` Up on the House Top '' . Last minute rituals for children before going to bed include aligning stockings at the mantelpiece or other place where Santa can not fail to see them , peeking up the chimney ( in homes with a fireplace ) , glancing out a window and scanning the heavens for Santa 's sleigh , and ( in homes without a fireplace ) unlocking an exterior door so Santa can easily enter the house . Tags on gifts for children are sometimes signed by their parents `` From Santa Claus '' before the gifts are laid beneath the tree .  A classic American image of Santa Claus .  Ho , ho , ho   Ho ho ho is the way that many languages write out how Santa Claus laughs . `` Ho , ho , ho ! Merry Christmas ! '' It is the textual rendition of a particular type of deep - throated laugh or chuckle , most associated today with Santa Claus and Father Christmas .   The laughter of Santa Claus has long been an important attribute by which the character is identified , but it also does not appear in many non-English - speaking countries . The traditional Christmas poem A Visit from St. Nicholas relates that Santa has :    ... a little round belly That shook when he laugh 'd , like a bowl full of jelly    Home  See also : Santa 's workshop § Location of Santa 's Workshop  Santa Claus 's home traditionally includes a residence and a workshop where he creates -- often with the aid of elves or other supernatural beings -- the gifts he delivers to good children at Christmas . Some stories and legends include a village , inhabited by his helpers , surrounding his home and shop .   In North American tradition ( in the United States and Canada ) , Santa lives on the North Pole , which according to Canada Post lies within Canadian jurisdiction in postal code H0H 0H0 ( a reference to `` ho ho ho '' , Santa 's notable saying , although postal codes starting with H are usually reserved for the island of Montreal in Québec ) . On 23 December 2008 , Jason Kenney , Canada 's minister of Citizenship , Immigration and Multiculturalism , formally awarded Canadian citizenship status to Santa Claus . `` The Government of Canada wishes Santa the very best in his Christmas Eve duties and wants to let him know that , as a Canadian citizen , he has the automatic right to re-enter Canada once his trip around the world is complete , '' Kenney said in an official statement .   There is also a city named North Pole in Alaska where a tourist attraction known as the `` Santa Claus House '' has been established . The United States Postal Service uses the city 's ZIP code of 99705 as their advertised postal code for Santa Claus . A Wendy 's in North Pole , AK has also claimed to have a `` sleigh fly through '' .   Each Nordic country claims Santa 's residence to be within their territory . Norway claims he lives in Drøbak . In Denmark , he is said to live in Greenland ( near Uummannaq ) . In Sweden , the town of Mora has a theme park named Tomteland . The national postal terminal in Tomteboda in Stockholm receives children 's letters for Santa . In Finland , Korvatunturi has long been known as Santa 's home , and two theme parks , Santa Claus Village and Santa Park are located near Rovaniemi . In Belarus there is a home of Ded Moroz in Belovezhskaya Pushcha National Park .   Parades , department stores , and shopping malls  See also : Santa 's workshop § Santa Claus grottos / department stores      The examples and perspective in this section deal primarily with North America and do not represent a worldwide view of the subject . You may improve this article , discuss the issue on the talk page , or create a new article , as appropriate . ( December 2016 ) ( Learn how and when to remove this template message )    Eaton 's Santa Claus Parade , 1918 , Toronto , Canada . Having arrived at the Eaton 's department store , Santa is readying his ladder to climb up onto the building . Giant Santa Claus , Philippines  Santa Claus appears in the weeks before Christmas in department stores or shopping malls , or at parties . The practice of this has been credited to James Edgar , as he started doing this in 1890 in his Brockton , Massachusetts department store . He is played by an actor , usually helped by other actors ( often mall employees ) dressed as elves or other creatures of folklore associated with Santa . Santa 's function is either to promote the store 's image by distributing small gifts to children , or to provide a seasonal experience to children by listening to their wishlist while having them sit on his knee ( a practice now under review by some organisations in Britain , and Switzerland ) . Sometimes a photograph of the child and Santa are taken . Having a Santa set up to take pictures with children is a ritual that dates back at least to 1918 .   The area set up for this purpose is festively decorated , usually with a large throne , and is called variously `` Santa 's Grotto '' , `` Santa 's Workshop '' or a similar term . In the United States , t</t>
  </si>
  <si>
    <t xml:space="preserve">what does ho ho ho merry christmas mean</t>
  </si>
  <si>
    <t xml:space="preserve"> Ho ho ho is the way that many languages write out how Santa Claus laughs . `` Ho , ho , ho ! Merry Christmas ! '' It is the textual rendition of a particular type of deep - throated laugh or chuckle , most associated today with Santa Claus and Father Christmas . </t>
  </si>
  <si>
    <t xml:space="preserve">The Getaway world tour - wikipedia  The Getaway world tour  Jump to : navigation , search  The Getaway World Tour   World tour by Red Hot Chili Peppers     Promotional image for the band 's December 2016 UK tour dates with Babymetal     Location   Worldwide     Associated album   The Getaway     Start date   May 22 , 2016 ( 2016 - 05 - 22 )     End date   March 28 , 2018 ( 2018 - 03 - 28 )     Legs   5     No. of shows   79 in North America 67 in Europe 2 in Asia 7 in Latin America Total : 155 ( 4 cancelled )     Website   http://redhotchilipeppers.com/tour     Red Hot Chili Peppers concert chronology       Red Hot Chili Peppers 2013 -- 2014 Tour ( 2013 -- 14 )   The Getaway World Tour ( 2016 -- 2018 )       The Getaway World Tour is an ongoing concert tour by American rock band Red Hot Chili Peppers that is in support of their eleventh studio album , The Getaway which was released on June 17 , 2016 . It marked the first time since June 2014 that the band has toured . The tour began with benefit shows and North American festival dates in February 2016 followed by a summer festival tour with dates in Europe , Asia and North America starting in May 2016 and ending in August 2016 . The headlining tour to support the album began in Europe in September 2016 and lasted until the end of the year with the North American tour beginning in January 2017 and concluded in July 2017 . Another European leg and dates in South American will follow along with rescheduled shows and festival dates in North America in October 2017 . Chad Smith said that the entire tour would last for 18 months . The tour placed 32nd at Pollstar 's Year - end top 100 worldwide tours for 2016 , grossing a total of $46.2 million from 40 shows .     Contents  ( hide )   1 Pre-tour benefit shows and North American festivals   1.1 Anthony Kiedis health scare     2 The Getaway world tour   2.1 Summer festivals   2.2 European leg I   2.3 Los Angeles Rams opener and Silverlake performances   2.4 North American leg I   2.5 European leg II   2.6 Dublin rescheduled shows   2.7 South American leg   2.8 North America rescheduled dates     3 Tour dates   3.1 Cancelled / postponed shows   3.2 Notes     4 Songs performed   4.1 Originals   4.2 Cover songs     5 Personnel   6 Opening acts   7 External links   8 References      Pre-tour benefit shows and North American festivals ( edit )   Prior the summer festival dates in June 2016 and start of their headlining tour in September 2016 , the band performed at a few benefit and North American festivals . On February 5 , 2016 , the band performed in Los Angeles at the FEEL THE BERN political fund - raiser in support of 2016 presidential candidate Bernie Sanders . `` Nobody Weird Like Me '' made its return to the set list for the first time since the 2006 -- 07 Stadium Arcadium World Tour . The following night , they performed at a private , invitation - only Super Bowl 50 party in San Francisco called `` DirecTV Super Saturday Night Co-Hosted by Mark Cuban 's AXS TV '' where they played `` Aeroplane '' for the first time since July 1997 . The band also performed covers of `` Cracked Actor '' and `` Starman '' in tribute to their friend David Bowie , who died the previous month . On April 13 , Flea played the national anthem before Kobe Bryant 's final NBA game . That night , the Chili Peppers played four song set at a unannounced private show in Los Angeles , CA in support of Sean Parker and The Parker Foundation Launch for The Parker Institute for Cancer Immunotherapy The band performed a sixteen - song set at the Jazz &amp; Heritage Festival on April 24 where they were joined by The Meters for a jam . On April 29 , 2016 , Chad Smith and Will Ferrell will host the Red Hot Benefit Comedy + Music Show &amp; Quinceanera . The benefit will featured a performance by the Chili Peppers along with comedy acts selected by Ferrell and Funny or Die . A portion of the proceeds will go to Ferrell 's Cancer for College and Smith 's Silverlake Conservatory of Music . It was announced in March 2016 that the band headline the 25th anniversary Lollapalooza festival in July . The band 's May 14 , 2016 performance at the KROQ Weenie Roast was suddenly cancelled prior to them going on stage due to Kiedis suffering stomach pains . The following show , an album preview show for The Getaway on May 17 , 2016 , was postponed until May 26 , 2016 . `` Dark Necessities '' , the lead single from The Getaway , made its live debut on May 22 , 2016 . New songs `` Go Robot '' ( the band was joined by Thundercat on bass ) , `` Sick Love '' , `` The Ticonderoga '' all made their live debuts on May 26 , 2016 at the album preview show for iHeartRadio which aired on DirectTV on June 17 , 2016 . `` The Getaway '' , the title track to the new album , was released by the band on May 26 , 2016 however unknown at the time to fans , the band had teased the song live during their performance of `` Give It Away '' at Super Bowl 50 party in San Francisco back in February . The song made its full live debut on May 29 , 2016 .   Anthony Kiedis Health Scare ( edit )   On May 14 , the band were forced to cancel their headlining slot at the annual KROQ Weenie Roast as Kiedis was rushed to the hospital prior to the band appearing on stage due to severe stomach pain . Flea alongside , Smith and Klinghoffer made an announcement on the stage as they were due to appear . It is unknown whether upcoming shows would be affected as a result Kiedis ' mother Peggy posted the following morning on Facebook that `` Anthony will be OK . No surgery is needed . I will keep you updated , I promise '' It was confirmed that Kiedis was suffering from intestinal flu and was expected to make a full recovery soon however the band was forced to postpone their iHeartRadio album preview show on May 17 , 2016 and has rescheduled it for May 26 , 2016 . The band returned to the stage on May 22 , 2016 in Columbus , OH . According to Chad Smith , Kiedis had suffered from the stomach flu a few weeks earlier as well . In a May 20 , 2016 interview with Entertainment Tonight Canada , his first since being released from the hospital , Kiedis said that his illness was brought on by an `` inflammation in my guts '' which he said was complicated by a recent stomach virus and existing scar tissue from previous hernia operations which required his stomach being pumped at the hospital due to his food not being able to properly digest . `` That becomes an incredibly painful situation where you get a fever and pass out ... Lo an behold , I 'm on the mend '' He went on to say `` so it turned out to be a good thing , albeit painful and very sad to have to cancel a show . We do n't really do that . I 'd rather play deathly ill than not play at all , but in this particular instance , I was starting to go down , as in to the ground , so I got rushed to the hospital , got some help , and now I get to figure things out . ''   The Getaway world tour ( edit )  The band performing with the tube lights over head  Singer Anthony Kiedis in a May 5 , 2016 interview discussed touring and said they were very excited to have a lot of new songs to play . Kiedis said `` this being our second record with Josh , it feels a lot more fulfilling . And , it 's always great to have a job as a musician . It 's great to be in this band . We love seeing the world . But to have all these new songs at our disposal for live shows makes it feel like ' Let 's go . Let 's go . We have a mission now . You do this incredible thing in the studio and then you go practice and rehearse and make sure you can play this stuff live and then you go see the world . You know everywhere ; from Asia to South America to Europe and Eastern Europe and hopefully the Middle East and Africa and you know , you give this music life to people far far away that it means something to and you have this communal experience together . And when you just ca n't take it for another day and you 're beat and you 're haggard and you 're tired and you want to collapse and you come home and you gather some new life experience and start writing a little bit and Flea sits down at the piano and says , ' Hey , I have these chords . What do you think about these chords ? And I say , hmmm , I hear melody in there and you start it all over again . '' Drummer Chad Smith said on May 17 , 2016 that the band would be playing in Europe for pretty much the remainder of the year once the tour starts with the North American tour not happening until 2017 .   All purchases of tickets through the band 's website include a free download or physical copy of The Getaway . The production for the arena tour featured over 800 tube lights that stretched out across the audience . Throughout the show they would move up and down and change colour to create different patterns and effects .   Summer festivals ( edit )  Promotional poster for the band 's concert at Nova Rock in June 2016  The Getaway World Tour got underway on June 4 , 2016 with festival dates in Europe , Asia and North America which will last until August 2016 .   A day after its release , `` We Turn Red '' made its live debut on June 10 , 2016 at the Pinkpop festival while `` Wet Sand '' was performed for the first time in over two years . Flea , Anthony and Chad also teased George Clinton 's `` Bullet Proof '' , a song they have n't performed in 23 years . During the opening encore jam , Kiedis took over Flea 's bass while Flea played keyboards and Klinghoffer played piano . The jam included a tease of The Beatles ' `` Hey Bulldog '' . After over three years not being performed , `` Tell Me Baby '' returned to the setlist on June 12 , 2016 at Novarock . The rarely performed `` She 's Only 18 '' also made its return after a two - year absence . On June 13 , 2016 , in a pre-taped segment on The Late Late Show with James Corden , the band appeared in the show 's popular Carpool Karaoke segment . During the filming of the segment , Kiedis saved the life of a baby . `` a woman came out of her house , holding a child saying ' My baby , my baby , my baby ca n't breathe ! ' We all ran across the street , the woman thrust the baby into my arms , the baby was not breathing and I thought ' I 'm gon na try and do a little baby CPR real quick , see if I can get some air in this kid . ' Tried to open the mouth , ( it was ) like locked shut . So I started rubbing the belly , bubbles came out of the mouth , the eyes rolled back into place , the ambulance showed up and I handed the baby over , who was now breathing and fine , and we went back to Carpool Karaoke . The little baby looked at me the entire time until the ambulance came , little baby Nina . '' Kiedis said On June 14 , 2016 , the band performed eight songs at Studios SFP in France . `` Dark Necessities '' and `` Give it Away '' appeared on the television show Le Grand Journal while the remaining six songs , which included the live debut of `` The Longest Wave '' , were recorded for radio station RTL2 's `` Très Très Privé '' concert series . The Live in Paris EP was released on July 1 , 2016 and features five songs from the Canal+ performance in Paris . The EP was released exclusively through the music streaming website Deezer . `` Detroit '' made its live debut on June 29 , 2016 at the Roskilde Festival while `` Goodbye Angels '' made its live debut on July 10 , 2016 . `` Dreams of a Samurai '' made its live debut on July 24 , 2016 at the Fuji Rock Festival in Japan .  The band using their festival production in Leeds  In an August 2016 interview , Flea discussed touring and playing the same songs saying `` Has there ever been a night where I 've been like ' If I play fucking ' Give It Away ' again my cock 's gon na fall off ' ? Yes . There are moments of having a hard time finding the essence and spirit of a song , but in general it 's all about the people in the end . It 's all about connecting with the people. I try to keep myself in a place of being completely selfless about it and doing my best to use every song , whether it 's one I 've heard a million times or a new one , as a vehicle for connecting with people and making them feel less alone in the world . ''   European leg I ( edit )   The band 's European headlining tour began on September 1 , 2016 and lasted until mid-December 2016 . Deap Vally and Babymetal served as the opening acts . `` Feasting on the Flowers '' made its live debut on September 8 , 2016 in Oslo , followed by `` The Longest Wave '' second time ever played on September 14 in Helsinki . `` Search and Destroy '' was performed for the first time since 2003 on September 10 , 2016 in Sweden and for the first time with Klinghoffer . At the band 's show of October 11 , 2016 in Italy , Anthony 's 9 - year - old son Everly Bear joined his father in singing `` Dreams of a Samurai '' . `` Do n't Forget Me '' was briefly teased in tribute to a fan from Peru who died the previous year . The band 's show of October 13 , 2016 in Montpellier was cancelled due to weather conditions . The band is trying to reschedule the show. `` The Zephyr Song '' ( which was in the band 's setlist on November 1 , 2016 but dropped in favor of `` Soul to Squeeze '' ) was performed for the first time since 2004 and first time with Josh on November 3 , 2016 . At the band 's show of November 9 , 2016 in Amsterdam they performed `` Mommy Where 's Daddy ? '' . This was only the third time since 1999 the song has been performed . They had previously performed the song acoustically in September 2016 and once in September 2015 . `` Emit Remmus '' was performed for the first time since 2012 while `` Catholic School Girls Rule '' and `` Freaky Styley '' were for teased at during the band 's show of November 16 , 2016 in Denmark . On November 17 , 2016 in Germany the band performed `` Yertle the Turtle '' for the first time since 2001 . The song was dedicated to one of the band 's longtime fans who had been following them on the tour . Due to Kiedis suffering from flu like symptoms , the band was forced to postpone their December 20 and 21 shows in Ireland until September 20 and 21 , 2017 .   Los Angeles Rams opener and Silverlake performances ( edit )   The band performed two songs before the opening home game of the Los Angeles Rams at the Los Angeles Memorial Coliseum on September 18 , 2016 . The Rams made their return to Los Angeles after 22 years in St. Louis . `` Since I was a little boy , I 've taken joy in the beauty of the Rams . When I moved to Los Angeles in 1972 , I was getting uprooted from my home and I thought , ' Well , where I 'm going they 've got the Rams . It 's going to be all right ' '' Flea said . On September 23 , 2016 , the band performed a short acoustic set at a benefit for the Silverlake Conservatory of Music . `` Mommy , Where 's Daddy ? '' from the band 's debut album was performed for only the second time in the past 17 years ( it was last performed in late 2015 ) and for the first time ever acoustically .   North American leg I ( edit )   The band 's 51 date North American leg began on January 5 , 2017 will conclude on July 1 , 2017 . Due to overwhelming demand for tickets after selling out quickly and in response to scalpers , second shows in Boston and Philadelphia were added while second and third shows in New York City and Los Angeles were also added . Jack Irons , the band 's original drummer and founding member of the band , will serve as opening act on all North American dates while Trombone Shorty and Orleans Avenue , Babymetal , IRONTOM and Deerhoof will serve as opening acts at various dates on the leg . At the opening show on the North American leg in San Antonio on January 5 , 2017 , the band performed `` Breaking the Girl '' for the first time since October 2012 . `` The Zephyr Song '' was performed for the first time in the United States since July 2004 during the band 's show of January 8 , 2017 in Dallas , TX . At that same show , Josh teased a cover of David Bowie 's `` The Bewlay Brothers '' as a tribute to Bowie who died a year earlier on January 9 , 2016 . Members of The Meters , The Rebirth Brass Band and Trombone Shorty joined the band on `` Give it Away '' during their show of January 10 , 2017 in New Orleans . The band was forced to postpone their Wichita show on January 15 , 2017 to the following night due to inclement weather . On February 13 , at their Philadelphia gig band teased 50 seconds version of `` Out in L.A '' , in honor of their 34th anniversary . It was first time that song was performed since 1992 ( according to some sources 2004 ) and first time with Josh . On March 2 , 2017 , the band announced that they were going to postpone their March 2 , 4 , 5 shows in Glendale , Denver and San Diego due to Anthony suffering from bronchitis . The San Diego date was rescheduled for later in the month while the other two dates were pushed back to October 2017 . On March 17 , 2017 at their show in Seattle , the band performed `` Charlie '' for the first time since 2012 . On April 24 , 2017 at their show in Jacksonville , `` Encore '' made its live debut , after some teases throughout the previous tours . At the band 's show in Pittsburgh on May 11 , 2017 they performed a cover of the Looking Glass song `` Brandy ( You 're a Fine Girl ) '' . The song was last performed in 2005 and played at most shows during their Roll on the Red tour . It also appeared on their Live in Hyde Park album . Following the band 's performance of May 14 , 2017 in Columbus , OH , Chad Smith sang the University of Michigan fight song `` The Victors '' . Smith 's singing of the fight song made national news as the University of Michigan and Ohio State University are longtime sports rivals and Smith was born in Detroit , MI. Smith 's drumset also like at past shows in Ohio featured the Michigan Wolverines logo . At the band 's show of May 16 , 2017 in Louisville , KY , `` Mommy , Where 's Daddy ? '' was performed . The song , which is very rarely played , was last performed in November 2016 has been performed just four times since 1992 and only three times in the United States since then . `` This Ticonderoga '' was also performed for just the third time and first time since September 2016 . At the band 's show of May 18 , 2017 in Indianapolis , Josh performed a cover of `` Seasons '' by Chris Cornell . Cornell , the front man for Soundgarden and Audioslave , was found dead earlier that day . At the band 's show on May 28 , 2017 in Edmonton they performed `` Dosed '' for the first time ever . It was teased in the past but the song had never been performed in its entirety since it was released in 2002 . Zach Irons , son of founding Chili Peppers member Jack Irons and guitarist for opening act IRONTOM , provided a second guitar on the song . At this same show , Flea also briefly teased `` Deep Kick '' , a song that has n't been performed since 1996 . On June 20 , at band 's gig in Montreal , band 's cover of Jimi Hendrix 's song , a rarely performed `` Fire '' was played for the first time since November 2016 and for the second time in United States since By the Way Tour in 2003 ( first time in September 2015 , not counting Silverlake charity event in following month where it was performed acoustically ) . During the band 's show on June 25 , 2017 in Grand Rapids , Anthony Kiedis dedicated `` Soul to Squeeze '' to his father , Blackie Dammett , who was the long time manager of the band 's fanclub and ran their website . Kiedis said `` If you could be so kind . My father is fixin ' to die and that 's OK . He 's had a wild , great journey and a helluva colourful badass life but he 's sick and he 's gon na to die now ... He 's pretty lost ; he 's just a spirit but I would like for everyone just to take ten seconds to send him some love , to send his spirit some love because pretty soon he will be sailing on and I would appreciate it if his home town could send him love for a whole ten seconds of love . Let 's give it up . Ten ! Thank you . Let 's do this tune . Appreciate it . '' Flea also during the show asked for a moment of silence for Hillel Slovak , the band 's founding guitarist who died 29 years earlier . Following the moment of silence , Jack Irons joined his former band on stage to perform Jimi Hendrix 's `` Fire '' as a tribute to Slovak .   Dave Rat , who has been with the band since February 1991 as the band 's sound engineer , announced on January 12 , 2017 that he would no longer be working with the band following their show of January 22 , 2017 in Minnesota .   At the band 's show in Atlanta on April 14 , 2017 they shot the music video for their song `` Goodbye Angels '' . Chad Smith told the fans on Twitter to `` wear something colorful . '' The video was released on May 9 , 2017 .   European leg ii ( edit )   The band returned to Europe for a second leg starting on July 13 , 2017 . The leg will consist of mostly festivals along with some headlining dates with the leg expected to conclude on July 31 , 2017 . The second date on the leg saw the band perform for the first time ever in Benicassim . The show featured a rare performance of `` Fire '' which was performed for only the fifth time on this tour . Mauro Refosco , who was a touring member of the band for their previous tour and also a studio musician on their two most recent albums , joined the band on percussion for `` The Adventures of Rain Dance Maggie '' at their July 20 , 2017 show in Rome . Kiedis ' young son Everly Bear also joined the band onstage to provide some vocals for `` Goodbye Angels '' which he also would do at the band 's very first show in Latvia seven days later .   Dublin rescheduled shows ( edit )   Due to Anthony Kiedis suffering from the flu , the band 's shows on December 20 and 21 , 2016 in Dublin at 3Arena were forced to be postponed and were rescheduled for September 20 and 21 , 2017 at the same venue . During the band 's show on September 21 in Dublin they performed `` Get on Top '' for the first time with Josh and for the first time since August 2007 .   South American leg ( edit )   On September 24 , 2016 , the first date of the leg was confirmed for September 24 , 2017 at Rock in Rio . On February 20 , 2017 it was announced that the band will perform in Mexico City on October 10 , 2017 . The band will resume their South American tour in March 2018   North America rescheduled dates ( edit )   Due to Anthony Kiedis suffering from bronchitis , the band was forced to postpone three shows in March 2017 with two of the shows in Denver and Glendale being rescheduled for October 16 and 18 , 2017 . The band performed at the Austin City Limits Music Festival that on October 7 , 2017 where Josh Klinghoffer performed `` A Face in the Crowd '' as a tribute to Tom Petty , who had passed away five days earlier . Their performance of `` What is Soul ? '' was also dedicated to Petty .   Tour dates ( edit )   List of concerts , showing date , city , country , venue , opening act , tickets sold , amount of available tickets and gross revenue   Date   City   Country   Venue   Opening act   Attendance   Revenue     Warm - up Shows -- North America     February 5 , 2016   Los Angeles   United States   Feel the Bern Benefit   N / A   N / A   N / A     February 6 , 2016   San Francisco   DirecTV Super Saturday Night     April 13 , 2016   Los Angeles   Parker Institute for Cancer Immunotherapy Gala     April 24 , 2016   New Orleans   Jazz &amp; Heritage Festival     April 29 , 2016   Los Angeles   Will Ferrell &amp; Chad Smith 's Red Hot Benefit Comedy + Music Show &amp; Quinceañera     Summer festival tour -- Europe , North America and Asia     May 22 , 2016   Columbus   United States   Rock on the Range   N / A   N / A   N / A     May 26 , 2016   Burbank   iHeartRadio Theater     May 29 , 2016   Napa   BottleRock Napa Valley     June 4 , 2016   Mendig   Germany   Rock am Ring     June 5 , 2016   Nuremberg   Rock im Park     June 8 , 2016   Interlaken   Switzerland   Greenfield Festival     June 10 , 2016   Landgraaf   Netherlands   Pinkpop     June 12 , 2016   Nickelsdorf   Austria   Novarock     June 14 , 2016   Paris   France   Le Grand Journal / RTL2     June 29 , 2016   Roskilde   Denmark   Roskilde Festival     June 30 , 2016   Gdynia   Poland   Open'er Festival     July 2 , 2016   Werchter   Belgium   Rock Werchter     July 6 , 2016   Kiev   Ukraine   U-Park Festival     July 9 , 2016   Moscow   Russia   Park Live Festival     July 10 , 2016   Perthshire   Scotland   T in the Park     July 15 , 2016   Ottawa   Canada   Ottawa Bluesfest     July 16 , 2016   Quebec City   Quebec City Summer Festival     July 22 , 2016   Ansan   South Korea   Jisan Valley Rock Festival     July 24 , 2016   Yuzawa   Japan   Fuji Rock Festival     July 29 , 2016   Montreal   Canada   Osheaga Festival     July 30 , 2016   Chicago   United States   Lollapalooza     August 25 , 2016   Belfast   Northern Ireland   Tennent 's Vital   37,255 / 37,255   $2,026,562     August 27 , 2016   Reading   England   Reading Festival   N / A   N / A     August 28 , 2016   Leeds   Leeds Festival     Headlining tour -- European leg I     September 1 , 2016   Budapest   Hungary   László Papp Budapest Sports Arena   Deap Vally   N / A   N / A     September 2 , 2016     September 4 , 2016   Prague   Czech Republic   O2 Arena     September 6 , 2016   Berlin   Germany   Telekom Street Gig     September 8 , 2016   Oslo   Norway   Telenor Arena     September 10 , 2016   Stockholm   Sweden   Tele2 Arena     September 13 , 2016   Helsinki   Finland   Hartwall Arena   Battles     September 14 , 2016     North America     September 18 , 2016   Los Angeles   United States   Los Angeles Rams pre-game performance   N / A   N / A   N / A     September 23 , 2016   Silverlake Conservatory of Music benefit     Headlining tour -- European leg I     September 27 , 2016   Madrid   Spain   Barclaycard Center   BADBADNOTGOOD   N / A   N / A     September 28 , 2016     October 1 , 2016   Barcelona   Palau Sant Jordi     October 2 , 2016     October 5 , 2016   Zürich   Switzerland   Hallenstadion   La Femme   27,155 / 27,155   $2,799,690     October 6 , 2016     October 8 , 2016   Bologna   Italy   Unipol Arena   N / A   N / A     October 10 , 2016   Turin   Pala Alpitour     October 11 , 2016     October 15 , 2016   Paris   France   AccorHotels Arena     October 16 , 2016     October 18 , 2016     North America     October 28 , 2016   Los Angeles   United States   KROQ 's Halloween Costume Ball   N / A   N / A   N / A     Headlining tour -- European leg I     November 1 , 2016   Munich   Germany   Olympiahalle   Deerhoof   N / A   N / A     November 3 , 2016   Berlin   Mercedes - Benz Arena     November 6 , 2016   Antwerp   Belgium   Sportpaleis   21,099 / 21,230   $1,393,360     November 8 , 2016   Amsterdam   Netherlands   Ziggo Dome   N / A   N / A     November 9 , 2016     November 11 , 2016   Esch - sur - Alzette   Luxembourg   Rockhal     November 14 , 2016   Cologne   Germany   Lanxess Arena     November 16 , 2016   Herning   Denmark   Jyske Bank Boxen     November 17 , 2016   Hannover   Germany   TUI Arena     November 19 , 2016   Frankfurt   Festhalle     November 21 , 2016   Vienna   Austria   Wiener Stadthalle     December 5 , 2016   London   England   The O Arena   Babymetal   35,508 / 36,746   $2,842,300     December 6 , 2016     December 8 , 2016   Glasgow   Scotland   The SSE Hydro   12,240 / 12,363   $1,052,170     December 10 , 2016   Birmingham   England   Genting Arena   N / A   N / A     December 11 , 2016     December 14 , 2016   Manchester   Manchester Arena   29,936 / 32,339   $2,356,080     December 15 , 2016     December 18 , 2016   London   O2 Arena   17,696 / 18,371   $1,475,250     Headlining tour -- North American leg     January 5 , 2017   San Antonio   United States   AT&amp;T Center   Trombone Shorty and Orleans Avenue Jack Irons   14,209 / 14,504   $1,090,036     January 7 , 2017   Houston   Toyota Center   12,615 / 12,615   $1,133,116     January 8 , 2017   Dallas   American Airlines Center   13,509 / 14,373   $1,127,341     January 10 , 2017   New Orleans   Smoothie King Center   13,179 / 13,179   $1,040,134     January 12 , 2017   Memphis   FedExForum   12,002 / 12,002   $1,015,832     January 14 , 2017   Tulsa   BOK Center   11,764 / 11,764   $1,058,948     January 16 , 2017   Wichita   Intrust Bank Arena   9,352 / 11,036   $830,152     January 18 , 2017   St. Louis   Scottrade Center   13,836 / 13,836   $1,208,732     January 20 , 2017   Lincoln   Pinnacle Bank Arena     January 21 , 2017   Minneapolis   Target Center     February 2 , 2017   Detroit   Joe Louis Arena   15,500 / 15,951   $1,146,840     February 4 , 2017   Toronto   Canada   Air Canada Centre   15,118 / 15,118   $1,309,460     February 7 , 2017   Boston   United States   TD Garden   26,145 / 26,145   $2,435,608     February 8 , 2017     February 10 , 2017   Buffalo   KeyBank Center   14,668 / 14,668   $1,334,965     February 12 , 2017   Philadelphia   Wells Fargo Center   29,697 / 30,804   $2,452,750     February 13 , 2017     February 15 , 2017   New York City   Madison Square Garden   45,218 / 45,218   $4,287,735     February 17 , 2017     February 18 , 2017     March 7 , 2017   Los Angeles   Staples Center   40,383 / 40,383   $3,553,466     March 8 , 2017     March 10 , 2017     March 12 , 2017   Oakland   Oracle Arena   13,766 / 13,766   $1,273,634     March 15 , 2017   Portland   Moda Center   13,446 / 13,446   $1,158,294     March 17 , 2017   Seattle   Key Arena   11,971 / 12,322   $980,089     March 18 , 2017   Vancouver   Canada   Rogers Arena   14,556 / 14,556   $1,177,090     March 21 , 2017   San Diego   United States   Valley View Casino Center   10,398 / 10,398   $1,029,938     Europe     April 8 , 2017   Venice   Italy   Arsenale di Venezia   N / A       Headlining tour -- North American leg     April 12 , 2017   Washington , D.C.   United States   Verizon Center   Babymetal Jack Irons   13,745 / 13,745   $1,263,790     April 14 , 2017   Atlanta   Philips Arena   13,104 / 13,104   $1,225,612     April 15 , 2017   Raleigh   PNC Arena     April 17 , 2017   Charlotte   Spectrum Center   12,577 / 14,553   $869,926     April 19 , 2017   Columbia   Colonial Life Arena   10,182 / 13,294   $743,956     April 22 , 2017   North Little Rock   Verizon Arena   9,332 / 10,344   $812,574     April 24 , 2017   Jacksonville   Jacksonville Veterans Memorial Arena   11,640 / 11,640   $1,050,900     April 26 , 2017   Orlando   Amway Center   12,557 / 12,557   $1,178,414     April 27 , 2017   Tampa   Amalie Arena   12,750 / 12,750   $1,173,543     April 29 , 2017   Miami   American Airlines Arena   13,554 / 13,554   $1,314,362     May 11 , 2017   Pittsburgh   PPG Paints Arena   IRONTOM Jack Irons     May 13 , 2017   Cleveland   Quicken Loans Arena   13,117 / 16,436   $1,018,146     May 14 , 2017   Columbus   Schottenstein Center   10,738 / 10,738   $937,745     May 16 , 2017   Louisville   KFC Yum ! Center   11,579 / 11,579   $1,047,901     May 18 , 2017   Indianapolis   Bankers Life Fieldhouse   12,307 / 12,307   $1,126,207     May 19 , 2017   Cincinnati   U.S. Bank Arena   10,358 / 10,358   $923,784     May 21 , 2017   Kansas City   Sprint Center   11,726 / 11,726   $1,065,646     May 23 , 2017   Des Moines   Wells Fargo Arena   10,947 / 10,947   $953,133     May 26 , 2017   Winnipeg   Canada   MTS Centre     May 28 , 2017   Edmonton   Rogers Place     May 29 , 2017   Calgary   Scotiabank Saddledome     June 10 , 2017   Manchester   United States   Bonnaroo   N / A     June 20 , 2017   Montreal   Canada   Bell Centre   Deerhoof Jack Irons   13,049 / 14,867   $1,047,050     June 22 , 2017   Hamilton   FirstOntario Centre     June 23 , 2017   Ottawa   Canadian Tire Centre     June 25 , 2017   Grand Rapids   United States   Van Andel Arena   10,975 / 10,975   $969,700     June 28 , 2017   Milwaukee   Marcus Amphitheater   N / A     June 30 , 2017   Chicago   United Center   Deerhoof Jack Irons   27,356 / 27,356   $2,507,894     July 1 , 2017     Headlining tour -- European leg II     July 13 , 2017   Lisbon   Portugal   Super Bock Super Rock   N / A     July 15 , 2017   Benicàssim   Spain   Festival Internacional de Benicàssim     July 18 , 2017   Nyon   Switzerland   Paléo Festival     July 20 , 2017   Rome   Italy   Ippodromo Capanelle   KNOWER     July 21 , 2017   Milan   Ippodromo del galoppo di San Siro     July 23 , 2017   Paris   France   Lollapalooza   N / A     July 25 , 2017   Krakow   Poland   Cracovia Stadium   KNOWER     July 27 , 2017   Riga   Latvia   Lucavsala     July 29 , 2017   Helsinki   Finland   Kaisafest   N / A     July 31 , 2017   Reykjavik   Iceland   Nyja Laugardalshollin     North America ( be</t>
  </si>
  <si>
    <t xml:space="preserve">who is opening for red hot chili peppers hamilton</t>
  </si>
  <si>
    <t xml:space="preserve"> List of concerts , showing date , city , country , venue , opening act , tickets sold , amount of available tickets and gross revenue   Date   City   Country   Venue   Opening act   Attendance   Revenue     Warm - up Shows -- North America     February 5 , 2016   Los Angeles   United States   Feel the Bern Benefit   N / A   N / A   N / A     February 6 , 2016   San Francisco   DirecTV Super Saturday Night     April 13 , 2016   Los Angeles   Parker Institute for Cancer Immunotherapy Gala     April 24 , 2016   New Orleans   Jazz &amp; Heritage Festival     April 29 , 2016   Los Angeles   Will Ferrell &amp; Chad Smith 's Red Hot Benefit Comedy + Music Show &amp; Quinceañera     Summer festival tour -- Europe , North America and Asia     May 22 , 2016   Columbus   United States   Rock on the Range   N / A   N / A   N / A     May 26 , 2016   Burbank   iHeartRadio Theater     May 29 , 2016   Napa   BottleRock Napa Valley     June 4 , 2016   Mendig   Germany   Rock am Ring     June 5 , 2016   Nuremberg   Rock im Park     June 8 , 2016   Interlaken   Switzerland   Greenfield Festival     June 10 , 2016   Landgraaf   Netherlands   Pinkpop     June 12 , 2016   Nickelsdorf   Austria   Novarock     June 14 , 2016   Paris   France   Le Grand Journal / RTL2     June 29 , 2016   Roskilde   Denmark   Roskilde Festival     June 30 , 2016   Gdynia   Poland   Open'er Festival     July 2 , 2016   Werchter   Belgium   Rock Werchter     July 6 , 2016   Kiev   Ukraine   U-Park Festival     July 9 , 2016   Moscow   Russia   Park Live Festival     July 10 , 2016   Perthshire   Scotland   T in the Park     July 15 , 2016   Ottawa   Canada   Ottawa Bluesfest     July 16 , 2016   Quebec City   Quebec City Summer Festival     July 22 , 2016   Ansan   South Korea   Jisan Valley Rock Festival     July 24 , 2016   Yuzawa   Japan   Fuji Rock Festival     July 29 , 2016   Montreal   Canada   Osheaga Festival     July 30 , 2016   Chicago   United States   Lollapalooza     August 25 , 2016   Belfast   Northern Ireland   Tennent 's Vital   37,255 / 37,255   $2,026,562     August 27 , 2016   Reading   England   Reading Festival   N / A   N / A     August 28 , 2016   Leeds   Leeds Festival     Headlining tour -- European leg I     September 1 , 2016   Budapest   Hungary   László Papp Budapest Sports Arena   Deap Vally   N / A   N / A     September 2 , 2016     September 4 , 2016   Prague   Czech Republic   O2 Arena     September 6 , 2016   Berlin   Germany   Telekom Street Gig     September 8 , 2016   Oslo   Norway   Telenor Arena     September 10 , 2016   Stockholm   Sweden   Tele2 Arena     September 13 , 2016   Helsinki   Finland   Hartwall Arena   Battles     September 14 , 2016     North America     September 18 , 2016   Los Angeles   United States   Los Angeles Rams pre-game performance   N / A   N / A   N / A     September 23 , 2016   Silverlake Conservatory of Music benefit     Headlining tour -- European leg I     September 27 , 2016   Madrid   Spain   Barclaycard Center   BADBADNOTGOOD   N / A   N / A     September 28 , 2016     October 1 , 2016   Barcelona   Palau Sant Jordi     October 2 , 2016     October 5 , 2016   Zürich   Switzerland   Hallenstadion   La Femme   27,155 / 27,155   $2,799,690     October 6 , 2016     October 8 , 2016   Bologna   Italy   Unipol Arena   N / A   N / A     October 10 , 2016   Turin   Pala Alpitour     October 11 , 2016     October 15 , 2016   Paris   France   AccorHotels Arena     October 16 , 2016     October 18 , 2016     North America     October 28 , 2016   Los Angeles   United States   KROQ 's Halloween Costume Ball   N / A   N / A   N / A     Headlining tour -- European leg I     November 1 , 2016   Munich   Germany   Olympiahalle   Deerhoof   N / A   N / A     November 3 , 2016   Berlin   Mercedes - Benz Arena     November 6 , 2016   Antwerp   Belgium   Sportpaleis   21,099 / 21,230   $1,393,360     November 8 , 2016   Amsterdam   Netherlands   Ziggo Dome   N / A   N / A     November 9 , 2016     November 11 , 2016   Esch - sur - Alzette   Luxembourg   Rockhal     November 14 , 2016   Cologne   Germany   Lanxess Arena     November 16 , 2016   Herning   Denmark   Jyske Bank Boxen     November 17 , 2016   Hannover   Germany   TUI Arena     November 19 , 2016   Frankfurt   Festhalle     November 21 , 2016   Vienna   Austria   Wiener Stadthalle     December 5 , 2016   London   England   The O Arena   Babymetal   35,508 / 36,746   $2,842,300     December 6 , 2016     December 8 , 2016   Glasgow   Scotland   The SSE Hydro   12,240 / 12,363   $1,052,170     December 10 , 2016   Birmingham   England   Genting Arena   N / A   N / A     December 11 , 2016     December 14 , 2016   Manchester   Manchester Arena   29,936 / 32,339   $2,356,080     December 15 , 2016     December 18 , 2016   London   O2 Arena   17,696 / 18,371   $1,475,250     Headlining tour -- North American leg     January 5 , 2017   San Antonio   United States   AT&amp;T Center   Trombone Shorty and Orleans Avenue Jack Irons   14,209 / 14,504   $1,090,036     January 7 , 2017   Houston   Toyota Center   12,615 / 12,615   $1,133,116     January 8 , 2017   Dallas   American Airlines Center   13,509 / 14,373   $1,127,341     January 10 , 2017   New Orleans   Smoothie King Center   13,179 / 13,179   $1,040,134     January 12 , 2017   Memphis   FedExForum   12,002 / 12,002   $1,015,832     January 14 , 2017   Tulsa   BOK Center   11,764 / 11,764   $1,058,948     January 16 , 2017   Wichita   Intrust Bank Arena   9,352 / 11,036   $830,152     January 18 , 2017   St. Louis   Scottrade Center   13,836 / 13,836   $1,208,732     January 20 , 2017   Lincoln   Pinnacle Bank Arena     January 21 , 2017   Minneapolis   Target Center     February 2 , 2017   Detroit   Joe Louis Arena   15,500 / 15,951   $1,146,840     February 4 , 2017   Toronto   Canada   Air Canada Centre   15,118 / 15,118   $1,309,460     February 7 , 2017   Boston   United States   TD Garden   26,145 / 26,145   $2,435,608     February 8 , 2017     February 10 , 2017   Buffalo   KeyBank Center   14,668 / 14,668   $1,334,965     February 12 , 2017   Philadelphia   Wells Fargo Center   29,697 / 30,804   $2,452,750     February 13 , 2017     February 15 , 2017   New York City   Madison Square Garden   45,218 / 45,218   $4,287,735     February 17 , 2017     February 18 , 2017     March 7 , 2017   Los Angeles   Staples Center   40,383 / 40,383   $3,553,466     March 8 , 2017     March 10 , 2017     March 12 , 2017   Oakland   Oracle Arena   13,766 / 13,766   $1,273,634     March 15 , 2017   Portland   Moda Center   13,446 / 13,446   $1,158,294     March 17 , 2017   Seattle   Key Arena   11,971 / 12,322   $980,089     March 18 , 2017   Vancouver   Canada   Rogers Arena   14,556 / 14,556   $1,177,090     March 21 , 2017   San Diego   United States   Valley View Casino Center   10,398 / 10,398   $1,029,938     Europe     April 8 , 2017   Venice   Italy   Arsenale di Venezia   N / A       Headlining tour -- North American leg     April 12 , 2017   Washington , D.C.   United States   Verizon Center   Babymetal Jack Irons   13,745 / 13,745   $1,263,790     April 14 , 2017   Atlanta   Philips Arena   13,104 / 13,104   $1,225,612     April 15 , 2017   Raleigh   PNC Arena     April 17 , 2017   Charlotte   Spectrum Center   12,577 / 14,553   $869,926     April 19 , 2017   Columbia   Colonial Life Arena   10,182 / 13,294   $743,956     April 22 , 2017   North Little Rock   Verizon Arena   9,332 / 10,344   $812,574     April 24 , 2017   Jacksonville   Jacksonville Veterans Memorial Arena   11,640 / 11,640   $1,050,900     April 26 , 2017   Orlando   Amway Center   12,557 / 12,557   $1,178,414     April 27 , 2017   Tampa   Amalie Arena   12,750 / 12,750   $1,173,543     April 29 , 2017   Miami   American Airlines Arena   13,554 / 13,554   $1,314,362     May 11 , 2017   Pittsburgh   PPG Paints Arena   IRONTOM Jack Irons     May 13 , 2017   Cleveland   Quicken Loans Arena   13,117 / 16,436   $1,018,146     May 14 , 2017   Columbus   Schottenstein Center   10,738 / 10,738   $937,745     May 16 , 2017   Louisville   KFC Yum ! Center   11,579 / 11,579   $1,047,901     May 18 , 2017   Indianapolis   Bankers Life Fieldhouse   12,307 / 12,307   $1,126,207     May 19 , 2017   Cincinnati   U.S. Bank Arena   10,358 / 10,358   $923,784     May 21 , 2017   Kansas City   Sprint Center   11,726 / 11,726   $1,065,646     May 23 , 2017   Des Moines   Wells Fargo Arena   10,947 / 10,947   $953,133     May 26 , 2017   Winnipeg   Canada   MTS Centre     May 28 , 2017   Edmonton   Rogers Place     May 29 , 2017   Calgary   Scotiabank Saddledome     June 10 , 2017   Manchester   United States   Bonnaroo   N / A     June 20 , 2017   Montreal   Canada   Bell Centre   Deerhoof Jack Irons   13,049 / 14,867   $1,047,050     June 22 , 2017   Hamilton   FirstOntario Centre     June 23 , 2017   Ottawa   Canadian Tire Centre     June 25 , 2017   Grand Rapids   United States   Van Andel Arena   10,975 / 10,975   $969,700     June 28 , 2017   Milwaukee   Marcus Amphitheater   N / A     June 30 , 2017   Chicago   United Center   Deerhoof Jack Irons   27,356 / 27,356   $2,507,894     July 1 , 2017     Headlining tour -- European leg II     July 13 , 2017   Lisbon   Portugal   Super Bock Super Rock   N / A     July 15 , 2017   Benicàssim   Spain   Festival Internacional de Benicàssim     July 18 , 2017   Nyon   Switzerland   Paléo Festival     July 20 , 2017   Rome   Italy   Ippodromo Capanelle   KNOWER     July 21 , 2017   Milan   Ippodromo del galoppo di San Siro     July 23 , 2017   Paris   France   Lollapalooza   N / A     July 25 , 2017   Krakow   Poland   Cracovia Stadium   KNOWER     July 27 , 2017   Riga   Latvia   Lucavsala     July 29 , 2017   Helsinki   Finland   Kaisafest   N / A     July 31 , 2017   Reykjavik   Iceland   Nyja Laugardalshollin     North America ( benefit and festival appearances )     September 9 , 2017   Los Angeles   United States   Silverlake Conservatory of Music   N / A     September 15 , 2017   Del Mar   Del Mar Racetrack + Fairgrounds     September 17 , 2017   Flushing   Citi Field     Headlining tour -- Europe ( rescheduled shows from December 2016 )     September 20 , 2017   Dublin   Ireland   3Arena   Lady Leshurr     September 21 , 2017     Headlining tour -- South America     September 24 , 2017   Rio de Janeiro   Brazil   Barra Olympic Park   N / A     North America ( includes rescheduled shows from March 2017 )     October 7 , 2017   Austin   United States   Zilker Park   N / A     October 10 , 2017   Mexico City   Mexico   Palacio de los Deportes   Louis Cole     October 11 , 2017     October 14 , 2017   Austin   United States   Zilker Park   N / A     October 16 , 2017   Denver   Pepsi Center   Trombone Shorty and Orleans Avenue Jack Irons     October 18 , 2017   Glendale   Gila River Arena     Headlining tour -- South America     March 16 , 2018   Santiago   Chile   Parque O'Higgins   N / A     March 18 , 2018   San Isidro   Argentina   Hipódromo de San Isidro   N / A     March 23 , 2018   São Paulo   Brazil   Autódromo José Carlos Pace   N / A     March 25 , 2018   Bogotá   Colombia   Parque Deportivo 222   N / A   </t>
  </si>
  <si>
    <r>
      <rPr>
        <sz val="11"/>
        <color rgb="FF000000"/>
        <rFont val="Calibri"/>
        <family val="0"/>
        <charset val="1"/>
      </rPr>
      <t xml:space="preserve">Teletubbies - wikipedia  Teletubbies  Jump to : navigation , search    Teletubbies         Created by   Anne Wood Andrew Davenport     Developed by   Ragdoll Productions Darrall Macqueen Ltd     Starring   Original Series : Dave Thompson Simon Shelton John Simmit Nikky Smedley Pui Fan Lee Revived Series : Nick Kellington Rebecca Hyland Jeremiah Krage Rachelle Beinart     Voices of   Original Series : Toyah Willcox Eric Sykes Mark Heenehan Revived Series : Jane Horrocks Jim Broadbent Fearne Cotton David Walliams Rochelle Humes     Narrated by   Tim Whitnall Daniel Rigby     Opening theme   `` Teletubbies say ' Eh - oh ! ' ''     Country of origin   United Kingdom Canada ( 2015 revival )     Original language ( s )   English     No. of episodes   425 ( list of episodes )     Production     Executive producer ( s )   David G. Hiller Vic Finch     Location ( s )   Stratford - upon - Avon , Warwickshire     Running time   25 minutes ( Original Series ) 15 Minutes ( 2015 revival )     Production company ( s )   Ragdoll Productions BBC ( Original Series ) DHX Media InGenious Darrall Macqueen ( 2015 Revival )     Distributor   Pinewood Studios DHX Media Viacom International     Release     Original network   BBC Two ( 1997 - 2001 ) CBeebies ( 2015 revival )     Picture format     480i ( 1997 -- 2001 )   1080i ( 2015 -- present )       Original release   Original Series : 31 March 1997 ( 1997 - 03 - 31 ) -- 16 February 2001 ( 2001 - 02 - 16 ) Revived Series : 9 November 2015 ( 2015 - 11 - 09 ) -- present     External links     Website     Teletubbies is a British pre-school children 's television series created by Ragdoll Productions ' Anne Wood and Andrew Davenport . The programme focuses on four multi-coloured creatures known as `` Teletubbies '' , named for the television screens implanted in their abdomens . Recognised throughout popular culture for the uniquely shaped antenna protruding from the heads of each character , the Teletubbies communicate through gibberish and were designed to bear resemblance to young children .   Particularly notable for its high production values , the series rapidly became a commercial success in Britain and abroad . It won multiple BAFTA awards and was nominated for two Daytime Emmys throughout its run . A single based on the show 's theme song reached number 1 in the UK Singles Chart in December 1997 and remained in the Top 75 for 32 weeks , selling over a million copies .   Though the original run ended in 2001 , sixty new episodes were ordered in 2014 . They are currently aired on CBeebies in the United Kingdom and on Nick Jr. in the United States . Re-runs of the original 1997 -- 2001 series continue to be shown on relevant television channels worldwide .     Contents  ( hide )   1 Plot   2 Characters   2.1 Main characters   2.2 Supporting characters     3 Release   4 Promotion   4.1 Merchandising   4.2 Live events     5 Reception   5.1 Critical reception   5.2 Tinky Winky controversy   5.3 Cult following   5.4 Awards and nominations     6 Other media   6.1 In popular culture   6.2 CD single   6.3 Mobile app     7 References   8 External links      Plot   The programme takes place in a grassy , floral landscape populated by rabbits with bird calls audible in the background . The main shelter of the four Teletubbies is an earth house known as the `` Tubbytronic Superdome '' implanted in the ground and accessed through a hole at the top or an especially large semicircular door at the dome 's foot . The creatures co-exist with a number of strange contraptions such as the Noo - noo , the group 's anthropomorphic blue vacuum cleaner , and the Voice Trumpets . The show 's colourful , psychedelic setting was designed specifically to appeal to the attention spans of infants and unlock different sections of the mind while also educating young children of transitions that can be expected in life .   An assortment of rituals are performed throughout the course of every episode , such as the playful interactions between the Teletubbies and the Voice Trumpets , the mishaps caused by the Noo - noo , the footage of live children displayed on the screens in the Teletubbies ' stomachs , and the magical event that occurs once per episode . The event differs each time ; it is often caused inexplicably and is frequently strange yet whimsical . Each episode is closed by the Voice Trumpets and the narrator . The disappointed , reluctant , but eventually obedient Teletubbies bid farewell to the viewer as they go back to the Tubbytronic Superdome while the Sun baby sets .   Characters  The main characters . From left to right : Dipsy , Laa - Laa , Po , and Tinky Winky .  Main characters    Tinky Winky ( played by Dave Thompson and Simon Shelton in the original series and by Jeremiah Krage in the revival series ) is the first Teletubby , as well as the largest and oldest of the group . He is covered in purple terrycloth and has a triangular antenna on his head . He almost always carries a red bag .   Dipsy ( played by John Simmit in the original series and by Nick Kellington in the revival series ) is the second Teletubby . He is green and named after his antenna , which resembles a dipstick . Dipsy is the most stubborn of the Teletubbies , and will occasionally refuse to go along with the others ' group opinion . His face is notably darker than the rest of the Teletubbies , and the creators have stated that he is black .   Laa - Laa ( played by Nikky Smedley in the original series and by Rebecca Hyland in the revival series ) is the third Teletubby . She is yellow and has a curly antenna . Laa - Laa is very sweet , likes to sing and dance , and is often shown looking out for the other Teletubbies . Her favourite toy is an orange rubber ball .   Po ( played by Pui Fan Lee in the original series and by Rachelle Beinart in the revival series ) is the fourth Teletubby , as well as the shortest and youngest . She is red and has an antenna shaped like a stick used for blowing soap bubbles . Po normally speaks in a soft voice and has been stated by the show 's creators to be Cantonese .    Supporting characters    The Noo - noo ( operated by Mark Dean in the original series and Olly Taylor in the revival series ) is a conscientious vacuum cleaner who acts as both the Teletubbies ' guardian and housekeeper . He hardly ever ventures outside the Tubbytronic Superdome , instead remaining indoors and constantly cleaning with his sucker - like nose . He communicates through a series of slurping and sucking noises .   The Voice Trumpets ( voiced by Fearne Cotton , Jim Broadbent and Antonia Thomas in the revival series ) are several devices resembling periscopes that rise from the ground and interact with the Teletubbies , often engaging in games with them and serving as supervisors . They are the only residents of Teletubbyland who speak in complete sentences .   The Sun Baby ( played by Jess Smith in the original series ) appears at the beginning and end of each episode . She acts as a wake - up call for the Teletubbies .   Numerous rabbits are found throughout Teletubbyland , and are depicted by several Flemish Giant rabbits . The Teletubbies enjoy watching them hop and play . The rabbits are the only type of Earth animal found in the land , and take residence in rabbit holes and bushes .   The Tubby Phone ( voiced by Jane Horrocks ) is a character in the revival series , who transports the Teletubbies to the modern world .   The Tiddlytubbies ( voiced by Teresa Gallagher ) are baby Teletubbies appearing in the revival series . Their names are Mi - Mi , Daa Daa , Baa , Ping , RuRu , Nin , Duggle Dee and Umby Pumby .    Release   On 31 March 1997 , the first episode of Teletubbies aired on BBC2 . It filled a timeslot previously held by Playdays . This schedule change initially received backlash from parents , but the show was not moved . The programme 's unconventional format quickly received attention from the media , and it was attracting two million viewers per episode by August . In February 1998 , The Sydney Morning Herald noted that it had `` reached cult status '' in less than a year on the air .   Teletubbies has been aired in over 120 countries in 45 different languages . In the United States , the series airs on Nickelodeon as part of the Nick Jr. block . Episodes are also released through the Nick Jr. mobile application and on - demand services . The original series is available as part of the Noggin subscription service in North America . It had aired on PBS Kids until 2008 . BBC Worldwide channels carry the series in most of Africa , Asia and Poland . A Spanish dub airs on Clan in Spain . In Greece , the series airs on Nickelodeon Greece . NPO Zappelin carries the show in the Netherlands and MTVA airs it in Hungary . In Australia and New Zealand , the series airs on CBeebies Australia and ABC Kids . JimJam 's Benelux feed airs the series and Ultra airs it in Serbia . Teletubbies also airs on SIC in Portugal and e-Junior in the Middle East .   Promotion   Merchandising  A kiddie ride at Chuck E. Cheese 's featuring the Teletubbies characters .  Golden Bear Toys distributed the first line of Teletubbies dolls shortly after the programme 's debut . They were sold internationally , with talking toys available in multiple languages . Hasbro signed on to develop a new range of products in 1998 . In 1999 , Microsoft UK released a set of interactive `` ActiMates '' toys based on the characters . The Rasta Imposta company introduced Teletubbies costumes for children and adults in the same year . Two educational video games featuring the characters were also released throughout the series ' run .   Teletubbies dolls were the top - selling Christmas toy in 1997 . Demand outstripped supply at most retailers , reportedly prompting many shops to ration them to one per customer . In some cases , shoppers camped outside stores overnight in hopes of purchasing Teletubbies merchandise . Fights over the toys broke out among parents and collectors on occasion . Over one million dolls were sold in Britain by 25 December of that year , with Golden Bear representatives estimating that sales could have reached three million if supplies had been available . The plush toys were named `` Toy of the Year '' by the British Association of Toy Retailers in 1998 .   Kids ' meal tie - ins have been released at fast - food restaurants throughout North America . In May 1999 , Burger King distributed a set of six Teletubbies plush toys . They also included chicken nuggets shaped like the characters on their menu for a brief period of time . Keychains modelled after the characters were available at McDonald 's in April 2000 . These promotions became controversial among adults who believed they were intended to attract toddlers to high - fat food . Psychiatrist Alvin Francis Poussaint considered the deals `` troubling . '' He voiced his opinion on the matter publicly , but did not take action against the companies .   Two kiddie rides featuring the characters were manufactured by Jolly Roger . They were available at select amusement parks and arcades , such as Chuck E. Cheese 's and Fantasy Island .   Overseas Teletubbies merchandise sales throughout the 1990s delivered € 136 million in profits for the BBC . By the time of the programme 's cancellation , Teletubbies toys had generated over £ 200 million in revenue for co-creator Anne Wood alone . In 2005 , Chris Hastings and Ben Jones of The Daily Telegraph called Teletubbies `` the most lucrative show in BBC television history . ''   Live events   To commemorate the tenth anniversary of the premiere of Teletubbies , a series of events took place from March to April 2007 . The characters headlined an invitation - only event in London on 21 March 2007 . They appeared in New York City 's Times Square , Grand Central Terminal , and Apollo Theater . They were also interviewed on The Today Show in an episode that included the first televised appearance of the actors without their costumes . A partnership was formed with Isaac Mizrahi in which Mizrahi designed Teletubbies - inspired bags to be auctioned off to benefit charities . A new line of clothing was launched at the Pop - Up Shop and other specialty stores . New York City mayor Mike Bloomberg announced 28 March 2007 `` Teletubbies Day '' and gave the key to the city to the Teletubbies . Following their show in New York , the Teletubbies went on their first live European tour , performing in London , Paris , Bremen , Darmstadt , Halle , Hamburg , Köln , and Hannover .   In January 2016 , costumed Teletubbies characters appeared at the American International Toy Fair . In April 2016 , the series ' premiere on the Greek Nickelodeon channel was advertised with a series of appearances by the Teletubbies at malls throughout Athens . This began with a live show at Avenue Mall on 16 April , which featured both the Teletubbies and a host from the network . Throughout May 2016 , the characters appeared on various breakfast television programmes to promote the upcoming series ' debut on Nickelodeon in the United States .   Reception   Critical reception   The series received mixed reviews from critics . Common Sense Media 's Emily Ashby found that `` while the show 's examples of cooperative play , wonder , and simple joys are gentle and pleasing , the creatures can still be a little grating to parents watching along . '' Caryn James of The New York Times stated in her review that the episodes `` offer a genuinely appealing combination : cute and slightly surreal . ''   Upon the show 's release , some critics feared that the characters ' use of babbling in place of complete sentences would negatively affect young viewers ' ability to communicate . The Daily Mirror reported in 1997 that many parents objected to its `` goo - goo style '' and `` said the show was a bad influence on their children . '' Marina Krcmar , a professor of communication at the Wake Forest University , told interviewers in 2007 that `` toddlers learn more from an adult speaker than they do from a program such as Teletubbies . '' However , Paul McCann of The Independent defended this aspect of the show , stating that `` Teletubbies upsets those who automatically assume that progressive and creative learning is trendy nonsense . Those who believe that education should be strictly disciplined and functional , even when you 're 18 months old . Thankfully Teletubbies is n't for them . It 's for kids . ''   Tinky Winky controversy   Tinky Winky started a controversy in 1999 because of his carrying a bag that looks much like a woman 's handbag ( although he was first `` outed '' by the academic and cultural critic Andy Medhurst in a letter of July 1997 to The Face ) . He aroused the interest of Jerry Falwell in 1999 when Falwell alleged that the character was a `` gay role model '' . Falwell issued an attack in his National Liberty Journal , citing a Washington Post `` In / Out '' column which stated that lesbian comedian Ellen DeGeneres was `` out '' as the chief national gay representative , while trendy Tinky Winky was `` in '' . He warned parents that Tinky Winky could be a covert homosexual symbol , because `` he is purple , the gay pride colour , and his antenna is shaped like a triangle : the gay pride symbol . '' The BBC made an official response , explaining that `` Tinky Winky is simply a sweet , technological baby with a magic bag . '' Ken Viselman of Itsy - Bitsy Entertainment commented , `` He 's not gay . He 's not straight . He 's just a character in a children 's series . ''   In May 2007 , Polish Ombudsman for Children Ewa Sowińska revisited the matter , and planned to order an investigation . `` I noticed that he has a woman 's handbag , but I did n't realise he 's a boy , '' Sowińska said in a public statement . She asked her office 's psychologists to look into the allegations . After the research in late 2007 , she stated : `` The opinion of a leading sexologist , who maintains that this series has no negative effects on a child 's psychology , is perfectly credible . As a result I have decided that it is no longer necessary to seek the opinion of other psychologists . ''   Despite the objections , the Independent on Sunday 's editors included Tinky Winky as the only fictional character in the 2008 inaugural `` Happy List '' , alongside 99 real - life adults recognised for making Britain a better and happier place .   Cult following   Although the programme is aimed at children between the ages of one and four , it had a substantial cult following with older generations , mainly university and college students . The mixture of bright colours , unusual designs , repetitive non-verbal dialogue , ritualistic format , and occasional forays into physical comedy appealed to many who perceived the programme as having psychedelic qualities .   Awards and nominations     Year   Presenter   Award / Category   Nominee   Status   Ref .       City of Birmingham Awards   Best Midlands - Produced Children 's Television Production   Ragdoll Productions   Won       NHK Japan Prize   Grand Prize ( Pre-School Education )       Royal Television Society   Children 's Entertainment Award       1998   British Academy of Film and Television Arts   Best Pre-School Programme       Marketing Society Awards   New Product of the Year   Golden Bear Toys       Online Film &amp; Television Association   Best Children 's Series   Ragdoll Productions   Nominated       Television Critics Association   Outstanding Achievement in Children 's Programming       UK Independent Television Productions Awards   NATS Children 's Award   Won       1999   Daytime Emmy Awards   Outstanding Pre-School Children 's Series   Nominated       Licensing Industry Merchandiser 's Association   Overall License of the Year   Won       Independent Television Productions Awards   Nickelodeon UK Children 's Award       Television Critics Association   Outstanding Achievement in Children 's Programming   Nominated       2000   Independent Television Productions Awards   Audiocall Indie Children 's Award   Won       Daytime Emmy Awards   Outstanding Pre-School Children 's Series   Nominated       Royal Television Society   Education Award   Won       British Academy of Film and Television Arts   Outstanding Contribution in Children 's Television and Film   Anne Wood       2002   British Academy of Film and Television Arts   Best Pre-School Live Action Series   Ragdoll Productions       2014   Prix Jeunesse   `` Most Edgy '' Programme of the Last 50 Years       Greatest Impact Programme of the Last 50 Years       Other Media   In popular culture    In episode 12 of The Vicar of Dibley , Laa - Laa and Po are bridesmaids . They hold the wedding - dress train of Alice Springs Horton ( née Tinker ) .   In an episode of The Simpsons titled `` Hello Gutter , Hello Fadder '' , Homer dresses up like a Teletubby to entertain Maggie .   In the eleventh episode of the second series of The Chaser 's War on Everything , the possibility of Tinky Winky being homosexual was parodied when the Chaser 's tested the Peel Hotel ( in Collingwood , Melbourne , Victoria ) 's gaydar with a Tinky Winky costumed figure that acted in a stereotypical homosexual fashion .   In 2012 , during a full second and third series of tvN 's Saturday Night Live Korea , the programme was referenced as Yeouido Teletubbies ( </t>
    </r>
    <r>
      <rPr>
        <sz val="11"/>
        <color rgb="FF000000"/>
        <rFont val="Noto Sans CJK SC"/>
        <family val="2"/>
      </rPr>
      <t xml:space="preserve">여의도 텔레 토비 </t>
    </r>
    <r>
      <rPr>
        <sz val="11"/>
        <color rgb="FF000000"/>
        <rFont val="Calibri"/>
        <family val="0"/>
        <charset val="1"/>
      </rPr>
      <t xml:space="preserve">) to portray the 2012 presidential election campaign . This experimental skit caused the popularity of SNL Korea 's ' Crew ' , Kim Seul - gie and Kim Min - kyo , who acted major candidates respectably , to skyrocket .    CD single  Main article : Teletubbies say `` Eh - oh ! ''  In December 1997 , BBC Worldwide released a CD single from the series , based on the show 's theme song , called `` Teletubbies say ' Eh - oh ! ' '' It is the only single from Teletubbies , making the characters a one - hit wonder in the United Kingdom . The song was written by Andrew McCrorie - Shand and Andrew Davenport , and produced by McCrorie - Shand and Steve James . The single reached number 1 in the UK Singles Chart in December 1997 , and remained in the Top 75 for 32 weeks after its release .   Mobile app   In December 2017 , Teletubbies Play Time was released worldwide for mobile devices by Built Games .   References    Jump up ^ Franks , Nico ( 6 November 2015 ) . `` Nickelodeon takes Teletubbies reboot '' . C21 Media . Retrieved 27 May 2016 .   Jump up ^ `` It 's time for series two of Teletubbies ! '' . Retrieved 20 September 2017 .   Jump up ^ `` Teletubbies voices revealed for new series '' . British Broadcasting Corporation . 7 April 2015 . Retrieved 27 May 2016 .   Jump up ^ Fullerton , Huw ( 16 June 2015 ) . `` From BT adverts and Teletubbies to Undercover - the screen journey of Daniel Rigby '' . Radio Times . Retrieved 27 May 2016 .   Jump up ^ `` Uh - oh ! Teletubbies grassy home flooded - after owner becomes sick of tourists trying to visit iconic set '' . Uk.news.yahoo.com. 2 September 2013 . Retrieved 23 December 2015 .   Jump up ^ `` Teletubbies joint venture '' . Insider Media . 14 February 2011 . Retrieved 4 January 2014 .   Jump up ^ `` Say ' Eh - Oh ! ' to the New - Look Teletubbies '' . DHX Media . 3 June 2015 . Retrieved 28 May 2016 .   Jump up ^ `` Eh - oh , the Teletubbies are back ! Beloved characters return in all - new series on Nick Jr. channel '' . Viacom International , Inc. 12 May 2016 . Retrieved 28 May 2016 .   Jump up ^ Everhart , Karen ( 16 February 1998 ) . `` Bridging real world and toddler fantasy , Teletubbies reaches youngest audience '' . Current.org . Archived from the original on 17 August 2016 . Retrieved 20 May 2016 .   Jump up ^ `` Tubbies toast another three years '' . BBC News . 1 March 1999 . Retrieved 3 June 2015 .   ^ Jump up to : `` Past Winners and Nominees -- Children 's -- Awards -- 2002 '' . BAFTA . Retrieved 13 January 2010 .   Jump up ^ Richard Spilsbury ( 1 July 2012 ) . Simon Cowell . Heinemann Library . pp. 16 -- . ISBN 978 - 1 - 4329 - 6434 - 4 .   Jump up ^ `` CBBC wants first tenders News Broadcast '' . Broadcast now.co.uk. 29 June 2001 . Retrieved 10 July 2010 .   Jump up ^ Sweeney , Mark ( 13 June 2014 ) . `` BBC 's CBeebies orders 60 new Teletubbies episodes '' . www.theguardian.com . The Guardian .   Jump up ^ `` Teletubbies Reboot Coming to Nickelodeon '' . Complex . Complex Media , Inc. 12 June 2015 . Retrieved 20 May 2016 .   Jump up ^ Krage , Jeremiah . `` Showreel : Jeremiah Krage '' . Archived from the original on 4 April 2016 . Retrieved 22 April 2016 .   ^ Jump up to : `` Teletubbies Cast - Zap2it '' . Zap2it . Archived from the original on 30 May 2013 .   ^ Jump up to : `` Teletubbies : 16 things you did n't know '' . The Daily Telegraph . Telegraph Media Group . 24 December 2014 . Retrieved 5 April 2016 .   Jump up ^ `` Teletubbies Authors '' .   ^ Jump up to : `` About Teletubbies : The Characters '' . Archived from the original on 28 May 2016 .   Jump up ^ `` The baby from Teletubbies reveals herself '' . The Daily Telegraph . Unknown. 23 December 2014 . Retrieved 23 December 2014 .   Jump up ^ `` DHX Media Announces Teletubbies Season Two '' . PR Newswire. 4 April 2016 . Retrieved 24 May 2016 .   ^ Jump up to : `` To Teletubby or not to Teletubby '' . Tegna WTSP . Tegna , Inc. 12 October 1997 . Retrieved 27 May 2016 .   Jump up ^ McCann , Paul ( 24 August 1997 ) . `` Teletubbies to get grown - up help with their baby talk '' . The Independent . Retrieved 24 May 2016 .   Jump up ^ `` Padded sells '' . Newspapers.com . The Sydney Morning Herald . 1 February 1998 . Retrieved 24 May 2016 .   Jump up ^ `` Nickelodeon snaps up broadcast and on - demand rights to new Teletubbies '' . Licensing.biz . NewBay Media . 11 June 2015 . Retrieved 23 May 2016 .   Jump up ^ `` Teletubbies Will Return After 14 Years : See Which British Actor Will Star in New TV Show ! '' . Us Weekly . Wenner Media LLC. 4 August 2015 .   Jump up ^ Whitney , Erin ( 11 June 2015 ) . `` Nickelodeon Is Rebooting The ' Teletubbies ' '' . The Huffington Post . Verizon Communications . Retrieved 24 June 2015 .   Jump up ^ `` DHX Media 's Teletubbies heads to the US with Nick Jr. and the Noggin app '' . DHX Media . 11 June 2015 .   Jump up ^ `` Teletubbies reboot picked up by Nickelodeon '' . Entertainment Weekly . Time Inc. 11 June 2015 .   Jump up ^ `` Teletubbies : Where to Watch '' . Teletubbies.com . Viacom International , Inc . Archived from the original on 23 May 2016 . Retrieved 28 May 2016 .   Jump up ^ `` Noggin , Nickelodeon 's Preschool Video Subscription Service , Expands to New Platforms and Adds Eight Premium Series to Content Slate '' . Streaming Media . Viacom International , Inc. 11 November 2015 .   Jump up ^ `` Noggin 's Teletubbies '' . Nutmeg Creative . Archived from the original on 28 May 2016 . Retrieved 28 May 2016 .   ^ Jump up to : `` DHX inks ten Teletubbies broadcast deals '' . AnimationMagazine.net .   ^ Jump up to : `` DHX Media adds 10 more broadcast deals for the new Teletubbies '' . Newswire.ca .   Jump up ^ `` Teletubbies - Nickelodeon Greece '' . Viacom International , Inc . Archived from the original on 6 May 2016 . Retrieved 23 May 2016 .   Jump up ^ `` Teletubbies - CBeebies Australia '' . British Broadcasting Corporation . Retrieved 30 June 2015 .   Jump up ^ Tyler , Richard ( 9 February 2004 ) . `` Start young , work hard and keep on trusting in success '' . The Daily Telegraph . Telegraph Media Group . Retrieved 14 April 2016 .   Jump up ^ Stokes , Paul ( 5 January 2001 ) . `` Achtung , Teletubby is teaching baby to speak German '' . The Daily Telegraph . Telegraph Media Group . Retrieved 14 April 2016 .   Jump up ^ `` Toy store pulls Teletubby doll '' . Lubbock Avalanche - Journal . Morris Communications . 23 October 1998 . Retrieved 25 May 2016 .   Jump up ^ McClellen , Jim ( 31 January 1999 ) . `` Eh - oh ! What is Bill Gates doing to our Tubbies ? '' . The Guardian . Guardian Media Group . Retrieved 29 May 2016 .   Jump up ^ Daniel Blythe ( 13 December 2011 ) . Collecting Gadgets and Games from the 1950s - 90s . Pen and Sword . pp. 167 -- . ISBN 978 - 1 - 84468 - 105 - 1 .   Jump up ^ `` Teletubbies 2 : Favourite Games '' . The National Museum of Play . Archived from the original on 28 May 2016 . Retrieved 28 May 2016 .   Jump up ^ `` Play with the Teletubbies : Early Childhood Game Review '' . IGN . Archived from the original on 28 May 2016 . Retrieved 28 May 2016 .   Jump up ^ `` Top - selling Christmas toy from each of the past 30 years revealed '' . Daily Mirror . Trinity Mirror. 3 December 2015 . Retrieved 14 April 2016 .   Jump up ^ Patricia Holland ( 23 January 2004 ) . Picturing Childhood : The Myth of the Child in Popular Imagery . I.B. Tauris . pp. 67 -- . ISBN 978 - 0 - 85771 - 564 - 7 .   Jump up ^ `` Teletubbies bigger than Buzz '' . British Broadcasting Corporation . 13 November 1997 . Retrieved 14 April 2016 .   Jump up ^ Lenz , Kimberly ( 29 March 1998 ) . `` Toy Stores Preparing For The Inevitable Craze For Teletubby Items '' . Daily Press . Tribune Publishing . Retrieved 14 April 2016 .   Jump up ^ Ghouri , Nadene ( 26 December 1997 ) . `` Toy stories 1997 '' . TES . TGP Capital . Retrieved 14 April 2016 .   ^ Jump up to : Official Charts Company ( 20 November 2012 ) . Million Sellers . Music Sales Group . pp. 311 -- . ISBN 978 - 0 - 85712 - 882 - 9 .   Jump up ^ Susan Brewer ( 2013 ) . Famous Character Dolls . Casemate Publishers . pp. 64 -- . ISBN 978 - 1 - 84468 - 094 - 8 .   Jump up ^ `` Teletubbies are top toy '' . The Irish Times . 24 December 1997 . Retrieved 14 April 2016 .   Jump up ^ `` Toy of the Year 1997 : Eh - oh ! It 's the Teletubbies ! '' . British Association of Toy Retailers . Retrieved 14 April 2016 .   Jump up ^ `` Fries with your Teletubby ? Fast food titans fight for market share with toys '' . CNN Money . 21 May 1999 .   Jump up ^ Jordan Rubin ; Nicki Rubin ( 1 January 2008 ) . Great Physician 's Rx for Children 's Health . Thomas Nelson Inc . pp. 7 -- . ISBN 978 - 1 - 4185 - 7240 - 2 .   Jump up ^ `` Time for Teletubbies ... at McDonald 's , April 2000 '' . QSR Magazine . QSR. 14 April 2000 .   Jump up ^ Juliet B. Schor ( 19 August 2014 ) . Born to Buy : The Commercialized Child and the New Consumer Cult . Scribner . pp. 258 -- . ISBN 978 - 1 - 4391 - 3090 - 2 .   Jump up ^ `` Is advertising to kids wrong ? Marketers respond '' . Kidscreen. 1 November 2000 .   Jump up ^ Elliott , Roslyn . `` Television and the Teletubbies : A reflection from early childhood service providers in Australia '' . Bayerischer Rundfunk .   Jump up ^ `` New licensed character ride for Jolly Roger '' . YourGuides . Archived from the original on 19 June 2010 . Retrieved 29 May 2016 .   Jump up ^ `` Teletubbies Carousel Ride '' . Photo - Me . Archived from the original on 29 October 2014 . Retrieved 29 May 2016 .   Jump up ^ `` Mini millionaires : Five who made their fortunes from children 's cartoons '' . TheJournal.ie . Distilled Media . 1 June 2011 . Retrieved 5 April 2016 .   Jump up ^ Sweney , Mark ( 29 January 2013 ) . `` Ragdoll puts sales joint venture with BBC Worldwide on the market '' . The Guardian . Guardian Media Group . Retrieved 27 May 2016 .   Jump up ^ `` Teletubbies top BBC overseas sales at £ 120m '' . The Daily Telegraph . Telegraph Media Group . 2 October 2005 . Retrieved 5 April 2016 .   Jump up ^ Rusak , Gary ( 12 March 2007 ) . `` Teletubbies celebrate 10th anniversary in high style '' . KidScreen Magazine .   Jump up ^ `` Teletubbies Pop - Up Shop '' .   Jump up ^ `` Teletubbies reunite for free tour '' . The Daily Telegraph . Telegraph Media Group . 12 August 2009 . Retrieved 20 May 2016 .   Jump up ^ `` TOY FAIR 2016 : Teletubbies join Character Options for toy unveiling '' . ToyNews. 26 January 2016 . Retrieved 17 April 2016 .   Jump up ^ `` Eλάτε να γνωρίσετε τα Teletubbies από κοντά το Σάββατο 16 / 04 στο Avenue ! '' . Nickelodeon Greece . Viacom International , Inc. 13 April 2016 . Archived from the original on 29 May 2016 . Retrieved 29 May 2016 .   Jump up ^ `` Ραντεβού με τα Teletubbies '' . Athinorama. 16 April 2016 . Retrieved 23 May 2016 .   Jump up ^ `` Τα TELETUBBIES αποκλειστικά για μια μέρα στην ΑΘήνα '' . Pamebolta.gr . Avenue Mall Athens. 16 April 2016 . Retrieved 23 May 2016 .   Jump up ^ `` Teletubbies Takeover Chicago 's WGN Morning News '' . The Chicago Tribune . 18 May 2016 . Retrieved 27 May 2016 .   Jump up ^ `` The Teletubbies return to TV '' . Tegna WTSP . Tegna , Inc. 18 May 2016 . Retrieved 27 May 2016 .   Jump up ^ Ashby , Emily . `` Teletubbies TV Review - Common Sense Media '' . Common Sense Media . Retrieved 28 May 2016 .   Jump up ^ James , Caryn ( 6 April 1998 ) . `` TELEVISION REVIEW ; Teletubbies Say Eh - Oh , And Others Say Uh - Oh '' . The New York Times . Retrieved 5 June 2014 .   Jump up ^ `` TELETUBBIES : Are They Harmless Fun or Bad for Our Children ? '' . Daily Mirror. 23 May 1997 . -- via HighBeam ( subscription required )   Jump up ^ `` Teletubbies ca n't beat people in teaching first words '' . Reuters . Thomson Reuters. 1 July 2007 . Retrieved 27 May 2016 .   Jump up ^ `` The Outing of Tinky Winky '' . Priceonomics . Retrieved 27 May 2016 .   Jump up ^ `` Falwell Sees Gay in a Teletubby '' . 11 February 1999 . Retrieved 6 November 2010 .   Jump up ^ Kraidy ( 1 September 2007 ) . Hybridity , OR the Cultural Logic of Globalization . Pearson Education India . pp. 106 -- . ISBN 978 - 81 - 317 - 1100 - 2 .   Jump up ^ Marwan Kraidy ( 2005 ) . Hybridity , Or the Cultural Logic of Globalization . pp. 106 -- 107 . ISBN 978 - 1 - 59213 - 144 - 0 .   Jump up ^ Adam Easton ( 28 May 2007 ) . `` Poland targets ' gay ' Teletubbies '' . BBC News .   Jump up ^ `` Polish watchdog backs away from Teletubbies probe '' . CBC. 30 May 2007 .   Jump up ^ `` The IoS Happy List 2008 - the 100 '' . The Independent . Retrieved 24 May 2015 .   Jump up ^ Gutenko , Gregory . `` Deconstructing Teletubbies : Differences between UK and US college students ' reading of the children 's television programme '' . Kansas City , Missouri , USA : College of Arts &amp; Sciences , University of Missouri - Kansas City . Missing or empty url = ( help )   Jump up ^ Susan Brewer ( 19 July 2010 ) . Collecting Classic Girls ' Toys . Remember When . pp. 153 -- . ISBN 978 - 1 - 78337 - 521 - 9 .   Jump up ^ Toomer , Jessica ( 16 June 2014 ) . `` Uh - Oh ! The ' Teletubbies ' Are Making A Psychedelic Comeback '' . The Huffington Post . Verizon Communications . Retrieved 27 May 2016 .   Jump up ^ `` BBC worldwide awards 97 / 98 '' . British Broadcasting Corporation . Archived from the original on 8 September 2015 . Retrieved 27 May 2016 .   Jump up ^ `` 1997 Japan </t>
    </r>
  </si>
  <si>
    <t xml:space="preserve">who were the actors who played the teletubbies</t>
  </si>
  <si>
    <t xml:space="preserve">  Tinky Winky ( played by Dave Thompson and Simon Shelton in the original series and by Jeremiah Krage in the revival series ) is the first Teletubby , as well as the largest and oldest of the group . He is covered in purple terrycloth and has a triangular antenna on his head . He almost always carries a red bag .   Dipsy ( played by John Simmit in the original series and by Nick Kellington in the revival series ) is the second Teletubby . He is green and named after his antenna , which resembles a dipstick . Dipsy is the most stubborn of the Teletubbies , and will occasionally refuse to go along with the others ' group opinion . His face is notably darker than the rest of the Teletubbies , and the creators have stated that he is black .   Laa - Laa ( played by Nikky Smedley in the original series and by Rebecca Hyland in the revival series ) is the third Teletubby . She is yellow and has a curly antenna . Laa - Laa is very sweet , likes to sing and dance , and is often shown looking out for the other Teletubbies . Her favourite toy is an orange rubber ball .   Po ( played by Pui Fan Lee in the original series and by Rachelle Beinart in the revival series ) is the fourth Teletubby , as well as the shortest and youngest . She is red and has an antenna shaped like a stick used for blowing soap bubbles . Po normally speaks in a soft voice and has been stated by the show 's creators to be Cantonese .  </t>
  </si>
  <si>
    <r>
      <rPr>
        <sz val="11"/>
        <color rgb="FF000000"/>
        <rFont val="Calibri"/>
        <family val="0"/>
        <charset val="1"/>
      </rPr>
      <t xml:space="preserve">Zachary Gordon - wikipedia  Zachary Gordon     This is the current revision of this page , as edited by Vanamonde93 ( talk contribs ) at 08 : 42 , 18 August 2017 ( Adding ( ( pp - vandalism ) ) ( TW ) ) . The present address ( URL ) is a permanent link to this version .    Revision as of 08 : 42 , 18 August 2017 by Vanamonde93 ( talk contribs ) ( Adding ( ( pp - vandalism ) ) ( TW ) ) ( diff ) ← Previous revision Latest revision ( diff ) Newer revision → ( diff ) Jump to : navigation , search    Zachary Gordon     Gordon at a screening of Diary of a Wimpy Kid : Rodrick Rules     Born   Zachary Adam Gordon ( 1998 - 02 - 15 ) February 15 , 1998 ( age 19 ) Oak Park , California , U.S.     Nationality   American     Occupation   Actor     Years active   2006 -- present     Zachary Adam Gordon ( born February 15 , 1998 ) is an American actor . Beginning his professional acting career at the age of eight , Gordon is a three time Young Artist Award Best Leading Young Actor nominee , best known for playing Greg Heffley in the first three films of the Diary of a Wimpy Kid film franchise , which are based on Jeff Kinney 's # 1 New York Times best seller novel series , Diary of a Wimpy Kid .     Contents  ( hide )   1 Personal life   2 Career   3 Filmography   4 Awards and nominations   5 References   6 External links      Personal Life   Gordon was born in Oak Park , California , to Linda and Kenneth Gordon . He has two brothers , Joshua and Kyle , and was raised in Southern California . Zach graduated from a public high school in Oak Park and is Jewish .   Career   Gordon 's resumé includes multiple television appearances , on programs such as How I Met Your Mother and All of Us . He has also appeared in the 2008 opening of Desperate Housewives , plus two other episodes , and in two episodes of 24 , which aired in January 2009 . He also appeared in three episodes ( 2014 ) as a guest star on Tim Allen 's sitcom , where he played Tim 's daughter 's boyfriend .   His film credits ( 2007 -- 2008 ) include Sex and Death 101 , Lower Learning , the Garry Marshall film Georgia Rule ( for which he won the `` Young Artist Award '' for his portrayal of Ethan ) , The Brothers Bloom , as Young Bloom , and alongside Nicolas Cage in National Treasure : Book of Secrets ( 2007 ) and many others . Gordon has been credited with numerous voice - over roles including `` Brad Spolyt '' in The Chubbchubbs Save Xmas , `` Ricky Garcia '' in Project Gilroy , `` San San '' in Nick Jr. 's Ni Hao , Kai - Lan and The Mighty B ! He is a series regular as the voice of Gil , one of the lead roles in the Nickelodeon series , Bubble Guppies . Gordon has voice cameo acted as Baby Melman in the animated film , Madagascar : Escape 2 Africa , Kotaro in Afro Sumurai : Resurrection , and Young Tony Stark in The Super Hero Squad Show . In 2010 , he played Greg Heffley in the film Diary of a Wimpy Kid . In 2011 he appeared as Papi Jr. in Beverly Hills Chihuahua 2 and as Paws in Disney 's The Search for Santa Paws .   In June 2010 , 20th Century Fox announced a sequel to Diary of a Wimpy Kid ; Gordon returned as Greg Heffley and the film , Diary of a Wimpy Kid : Rodrick Rules , was released on March 25 , 2011 . It was the # 1 Box office movie in the United States for the following two weeks .   In 2011 , Gordon provided voices for Charlie Brown , Linus and Franklin on the comedy show Robot Chicken , and in 2012 , he reprised the role of Greg Heffley for the last time in Diary of a Wimpy Kid : Dog Days . In the fourth film , Diary of a Wimpy Kid : The Long Haul , he was replaced by Jason Drucker .   In 2013 , Gordon was chosen to host a miniseries for Nintendo , called Skylander 's Boomcast on YouTube channel SkylandersGame , reviewing and talking about the very successful video game series Skylanders .   Additional films for 2013 included The Incredible Burt Wonderstone and a role as `` Pete Kidder '' in Walden Media 's and Hallmark Channel 's Pete 's Christmas with veteran actor Bruce Dern playing his cantankerous grandfather .   Filmography     Year   Film   Role   Notes     2006 , 2009   How I Met Your Mother   Stacy 's Son , Tyler Stinson ( Grant )   2 episodes     2006 -- 07   All of Us   Richie     2007   Because I Said So   Little Arthur       Sex and Death 101   Barbeque Brat       Georgia Rule   Ethan       The Chubbchubbs Save Xmas   Brad Spoylt       National Treasure : Book of Secrets   Lincoln Conspiracy Kid       2007 , 2011   Robot Chicken   Charlie Brown , Linus   2 episodes ; voice     2008   David 's Solution   Little David   TV     Desperate Housewives   Little Robin Hood   1 episode     The Mighty B !   Gwen 's Brother # 4   1 episode ; voice     Handy Manny   Little Lopart     MADtv   The Joker   1 episode     Lower Learning   Frankie Fowler       Madagascar : Escape 2 Africa   Baby Melman   Voice Cameo     Four Christmases   Kid # 6 in Jump - Jump       Special Agent Oso   Tyler   Voice     2008 , 2010   Batman : The Brave and the Bold   Young Bruce Wayne , Young Aqualad   3 episodes ; voice     2008 -- 09   Ni Hao , Kai - lan   San San   15 episodes     2009   The Brothers Bloom   Young Bloom       24   8 Year - Old Boy   2 episodes     Afro Samurai : Resurrection   Kotaro   Voice     Santa Buddies   Puppy Paws   Voice ; main role     2010   Diary of a Wimpy Kid   Greg Heffley   Lead role     The Search for Santa Paws   Puppy Paws   Voice ; main role     2011   Beverly Hills Chihuahua 2   Papi Junior     Diary of a Wimpy Kid : Rodrick Rules   Greg Heffley   Lead role     Childrens Hospital   Cody / Mike   1 episode     Family Guy   Homeless Little Boy   1 episode     2011 -- 12   Bubble Guppies   Gil   Voice ; main role     2012   Diary of a Wimpy Kid : Dog Days   Greg Heffley   Lead role     Diary of a Wimpy Kid : Class Clown     R.L. Stine 's The Haunting Hour   Seth / Seti       2012 -- 16   Lake Munro   Lucas Coleman   Series regular ; 17 -- 26     2013   The Incredible Burt Wonderstone   Will       Pete 's Christmas   Pete Kidder       Uncle Grandpa   Belly Kid   1 episode ; voice     2014   Last Man Standing   Andrew   3 episodes     The Boxcar Children   Henry   Voice only     2015   Huevos : Little Rooster 's Egg - cellent Adventure   Rolo   Voice     2016   Norm of the North   Norm Cub   Voice     Kingsglaive : Final Fantasy XV   Young Ravus   Voice     Dead of Summer   Jason `` Blotter '' Cohen   Recurring Role     Star Wars Rebels   Mart Mattin   1 episode ; voice     2017   The Gettysburg Address   Daniel Skelly   Voice     Awards and nominations     Award   Year   Category   Result   Work     Young Artist Award   2008   Best Performance in a Feature Film -- Supporting Young Actor ( Comedy or Musical )   Won   Georgia Rule     Sierra Award   2010   Youth in Film   Nominated   Diary of a Wimpy Kid     Young Artist Award   2011   Best Performance in a Feature Film -- Leading Young Actor   Nominated     Best Performance in a Feature Film -- Young Ensemble Cast   Won     Young Artist Award   2012   Best Performance in a Feature Film -- Leading Young Actor   Nominated   Diary of a Wimpy Kid : Rodrick Rules     Young Artist Award   2013   Best Performance in a Feature Film -- Leading Young Actor   Nominated   Diary of a Wimpy Kid : Dog Days     Best Performance in a Feature Film -- Young Ensemble Cast   Won     References    ^ Jump up to : Fischer , Sophia ( June 26 , 2008 ) . `` Child actor learning Hollywood ways '' . The Acorn . Retrieved March 11 , 2010 .   Jump up ^ Baylen , Ashley ( August 21 , 2012 ) Top 20 Under 40 Los Angeles - Zachary Gordon -- Page1 . Shalom Life . Retrieved on March 23 , 2014 .   Jump up ^ Miller , Gerri ( February 2012 ) . `` Zachary Gordon : The Wimpy Kid '' . Buzzyquote . Retrieved May 2 , 2014 .   Jump up ^ Lara , Monica ( December 9 , 2012 ) Chabad hosts Hanukkah celebration in Oak Park '' Ventura County Star . Vcstar.com .   Jump up ^ Fischer , Sophia ( March 11 , 2010 ) . `` Oak Park boy stars in ' Wimpy Kid ' film '' . The Acorn . Retrieved March 11 , 2010 .   Jump up ^ http://www.shalomlife.com/culture/17783/top-20-under-40-los-angeles-zachary-gordon/?PageSpeed=noscript   Jump up ^ `` Zachary Gordon '' . The New York Times .   Jump up ^ Kit , Borys ( June 23 , 2010 ) . `` David Bowers to direct ' Wimpy ' sequel '' . The Hollywood Reporter . e5 Global Media . Archived from the original on June 27 , 2010 . Retrieved August 28 , 2010 .   Jump up ^ Martin , John Llewellyn ( October 4 , 2013 ) . `` Skylander : Swap Force Video : The Boomcast Premieres '' . Screen Crush . Retrieved January 14 , 2014 .   ^ Jump up to : `` Zachary Gordon : Credits '' . TVguide . Retrieved February 23 , 2012 .   ^ Jump up to : `` Zachary Gordon New York Times Film Credits '' . The New York Times . Retrieved February 23 , 2012 .   Jump up ^ Hale , Mike ( March 24 , 2011 ) . `` The Sequel to ' Diary of a Wimpy Kid ' '' . The New York Times . Retrieved February 23 , 2012 .   Jump up ^ `` '' Wimpy Kid '' Zachary Gordon wants his `` Mummy '' in a new episode of `` The Haunting Hour '' `` . Retrieved February 23 , 2012 .    External links    Zachary Gordon on IMDb   Zachary Gordon on Facebook   Interview with Gordon on Channel One News      Authority control     WorldCat Identities   VIAF : 158694363   LCCN : no2010123814   ISNI : 0000 0001 1958 7866   BNF : cb165071882 ( data )   BNE : XX5169001      Retrieved from `` https://en.wikipedia.org/w/index.php?title=Zachary_Gordon&amp;oldid=796072199 '' Categories :   1998 births   Living people   21st - century American male actors   American male child actors   American male film actors   American male television actors   Jewish American male actors   People from Oak Park , California   Hidden categories :   Wikipedia pages semi-protected against vandalism   Use mdy dates from February 2016   Articles with hCards   Wikipedia articles with VIAF identifiers   Wikipedia articles with LCCN identifiers   Wikipedia articles with ISNI identifiers   Wikipedia articles with BNF identifiers           Talk             Article   Talk             View source      More            Contents                   About Wikipedia                                        In other projects    Wikimedia Commons       العربية   Asturianu   Deutsch   Eesti   Español   فارسی   Français   </t>
    </r>
    <r>
      <rPr>
        <sz val="11"/>
        <color rgb="FF000000"/>
        <rFont val="Noto Sans CJK SC"/>
        <family val="2"/>
      </rPr>
      <t xml:space="preserve">한국어   </t>
    </r>
    <r>
      <rPr>
        <sz val="11"/>
        <color rgb="FF000000"/>
        <rFont val="Calibri"/>
        <family val="0"/>
        <charset val="1"/>
      </rPr>
      <t xml:space="preserve">Bahasa Indonesia   Italiano   עברית   Lumbaart   </t>
    </r>
    <r>
      <rPr>
        <sz val="11"/>
        <color rgb="FF000000"/>
        <rFont val="Noto Sans CJK SC"/>
        <family val="2"/>
      </rPr>
      <t xml:space="preserve">日本 語   </t>
    </r>
    <r>
      <rPr>
        <sz val="11"/>
        <color rgb="FF000000"/>
        <rFont val="Calibri"/>
        <family val="0"/>
        <charset val="1"/>
      </rPr>
      <t xml:space="preserve">Português   Русский   Tagalog   Türkçe   </t>
    </r>
    <r>
      <rPr>
        <sz val="11"/>
        <color rgb="FF000000"/>
        <rFont val="Noto Sans CJK SC"/>
        <family val="2"/>
      </rPr>
      <t xml:space="preserve">中文   </t>
    </r>
    <r>
      <rPr>
        <sz val="11"/>
        <color rgb="FF000000"/>
        <rFont val="Calibri"/>
        <family val="0"/>
        <charset val="1"/>
      </rPr>
      <t xml:space="preserve">Edit links   This page was last edited on 18 August 2017 , at 08 : 42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</si>
  <si>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greg heffley in diary of wimpy kid</t>
  </si>
  <si>
    <t xml:space="preserve"> Zachary Adam Gordon ( born February 15 , 1998 ) is an American actor . Beginning his professional acting career at the age of eight , Gordon is a three time Young Artist Award Best Leading Young Actor nominee , best known for playing Greg Heffley in the first three films of the Diary of a Wimpy Kid film franchise , which are based on Jeff Kinney 's # 1 New York Times best seller novel series , Diary of a Wimpy Kid . </t>
  </si>
  <si>
    <t xml:space="preserve">Children 's Air Ambulance - wikipedia  Children 's Air Ambulance  Jump to : navigation , search      It has been suggested that this article be merged into The Air Ambulance Service . ( Discuss ) Proposed since March 2016 .    `` The template Infobox organization is being considered for merging . ''  Children 's Air Ambulance       Abbreviation   TCAA     Formation   2005     Legal status   Registered charity     Purpose   Transporting critically ill children in the UK     Location     Hazell House , Burnthurst Lane , Princethorpe , CV23 9QA       Region served   UK     Parent organization   The Air Ambulance Service     Website   www.thechildrensairambulance.org.uk     The Children 's Air Ambulance is an air ambulance charity that transfers critically ill children from local hospitals to specialist paediatric centres . It also moves specialist teams to local hospitals when a child is too sick to travel . It operates mainly in England , but has also flown missions in Wales and Scotland . It was founded in 2005 and has been run by The Air Ambulance Service charity since 2011 .     Contents  ( hide )   1 Operations   2 Clinical Partners   3 History   4 Ambassadors   5 Funding   6 Shops   7 Criticisms   8 See also   9 References   10 External links      Operations ( edit )   The service operates from Coventry Airport , and can reach anywhere in the UK within two hours and reach all of the UK 's specialist children 's units within 70 minutes . Children and clinical teams are moved using an AgustaWestland AW109 helicopter , which was leased by the charity in October 2012 . It has a top speed of 185 mph . The helicopter always flies with two pilots and , when transporting a child , generally carries a paediatrician and a specialist nurse on board .   Children are transported in a bespoke stretcher ( certified for flight ) which was designed and built in partnership with consultant paediatricians and transport nurses . No specialised stretcher for paediatric helicopter transfer existed at the time . The stretcher was nicknamed ' Shrek ' because the first one was painted green . ' Shrek ' can carry a baby up to 8 kg being in a specialist ' baby pod ' , or facilitate larger babies and children on the stretcher mattress . The stretcher design allows for the equipment needed for paediatric intensive care to be secure and easily operated , whether in flight or on the ground . Each of the six transport teams the charity currently works with has its own ' Shrek ' stretcher .   When a child is too sick or not able to travel , the Children 's Air Ambulance will transfer specialists from the Clinical Partner Team to a local hospital . The helicopter is not an emergency helicopter , but a transfer vehicle for children and specialist teams to and from hospitals across the country . The Children 's Air Ambulance , alongside the Warwickshire &amp; Northamptonshire Air Ambulance which is also based at Coventry , is registered with the Care Quality Commission .   Working alongside a key clinical partner , the service has achieved accreditation with the Commission on Accreditation of Medical Transport Systems , a recognised international standard for safety , quality and governance .   Clinical partners ( edit )  The Children 's Air Ambulance helicopter at Coventry Airport .  The Children 's Air Ambulance has nine clinical partners which commission transfers :    The North West and North Wales Transport Service ( NWTS )   East Midlands Children 's Heart Care Association ( ECMO )   The Children 's Acute Transport Service ( CATS )   The Southampton Oxford Retrieval Team ( SORT )   Embrace -- who have recently reached 50 transfers   South Thames Retrieval Service ( STRS )   Leicester PICU 's transfer team   Wales &amp; West Acute Transport for Children ( WATCh )   Newborn Emergency Stabilisation &amp; Transport Team ( NEST )    History ( edit )   The Children 's Air Ambulance was founded in 2005 . It raised funds over a five - year period , but did not own , lease or provide an air ambulance service . Following an investigation by the Charity Commission into a range of complaints from the public , the charity was taken over by The Air Ambulance Service in 2011 . At the time , The Air Ambulance Service operated the Warwickshire &amp; Northamptonshire Air Ambulance and the Derbyshire , Leicestershire &amp; Rutland Air Ambulance .   Under the management of The Air Ambulance Service , which had no connection in any way with the original charity , the Children 's Air Ambulance flew its first team transfer in December 2012 , and its first baby in May 2013 .   In October 2014 the charity made its 100th transfer and has now visited 66 hospitals .   Ambassadors ( edit )   The Children 's Air Ambulance has a number of Ambassadors supporting its work , including :    Melaine Walcott   David Gold , Head of Public Affairs at Royal Mail Group   Anita Dobson   Grace Woodward   Stanley Fink , Lord Fink of Northwood   Brian May   Katie Marshall    Funding ( edit )   Prior to being taken over by The Air Ambulance Service the funding figures for the previous charity were as follows .   In 2006 it raised £ 46,865 and spent £ 47,246 , in 2007 it raised £ 19,466 and spent £ 2,265 , in 2008 it raised £ 371 and spent £ 0 , in 2009 it raised £ 56,542 and spent £ 52,232 , in 2010 it raised £ 608,910 and spend £ 424,514 , in 2011 it raised £ 563,189 and spent £ 488,659 . In 2011 of the £ 488,659 spent , £ 427,600 was spent on governing and income generation , £ 61,000 was spent on charity purposes and £ 74,500 was retained .   The Children 's Air Ambulance is now part of The Air Ambulance Service , which receives no government funding and is entirely supported by public and corporate donations . The Air Ambulance Service charity raised £ 11.152 m in 2013 .   Shops ( edit )   The Children 's Air Ambulance opened its first shop in 2012 in West Bridgford , Nottinghamshire and now has six across the UK .    West Bridgford   Muswell Hill   Crouch End   Solihull   Rugeley   Kings Heath   ( Opening in August 2016 ) Burton upon Trent    Criticisms ( edit )   Other air ambulance organisations in the UK have said that they fear their fundraising efforts will lose out due to people donating to the CAA instead . The Children 's Air Ambulance Trust has caused some confusion whilst fundraising with people confusing the CAA with local air ambulances such as Wiltshire Air Ambulance and Devon Air Ambulance .   There have been some reports of established air ambulance charities warning potential donors to avoid ' bogus air ambulance charity collectors ' when actually the collections are for the CAA . During initial fundraising some confusion was caused as the charity did not have a helicopter and was not operational , meaning people were reluctant to donate to the half started project .   The Devon Air Ambulance has also criticised the viability of this project , since the existing air ambulances do the potential work of the CAA , they claim there is no need for an Air Ambulance dedicated to children . They also criticised the costing of the CAA who plan to provide the service 24 hours a day , saying that their estimate of £ 1.5 million running costs is unrealistic given the size of the area they cover , the size of the task they plan to do and the larger than normal size of the aircraft they have chosen .   In a similar incident in early 2012 The Midlands Air Ambulance distanced itself from The Children 's Air Ambulance fearing that donations would not help the cause they were given for . They also doubted the need for the proposed service . Later in the year the two charities TCAA and MAA released a joint statement asserting the need for both charities to run , and to highlight the new management of TCAA had dispensed with previous poor management .   In 2011 , the Charity Commission published their report of an investigation into TCAA . It found that the charity had previously spent large amounts of income on consultancy with a company owned by the founder of the charity . The Commission had also received large number of complaints regarding literature distributed by the charity that did not mention that the charity did not operate , hire or have access to an air ambulance . Advice and guidance was given on both matters .   In 2013 the head of the Dorset and Somerset Air Ambulance was interviewed by the BBC and claimed many criticisms against TCAA , particularly surrounding fundraising . He highlighted that the name of the parent charity , The Air Ambulance Service was giving the impression to potential donors that they were representing all UK air ambulances , when in fact they only operate three of them .   Also in 2013 a leaked NHS report studying the viability of a pediatric air ambulance service found that operating regional services with the support of existing charities would be the best approach , contrary to TCAA 's approach , whereby they propose to cover the entire country with one vehicle .   See also ( edit )    Air Ambulances in the United Kingdom   Police aviation in the United Kingdom    References ( edit )    Jump up ^ `` Air Ambulance Service takes over Children 's Air Ambulance '' .   Jump up ^ `` Warwickshire &amp; Northamptonshire Air Ambulance &amp; Children 's Air Ambulance '' . www.cqc.org.uk .   Jump up ^ `` The Children 's Air Ambulance '' . 18 December 2012 .   Jump up ^ Gregory , Andrew ( 15 May 2013 ) . `` Children 's Air Ambulance : Critically - ill baby saved thanks to first emergency helicopter for kids '' .   Jump up ^ `` Children 's Air Ambulance Service launched '' . 31 October 2012 -- via www.bbc.co.uk .   Jump up ^ `` Archived copy '' . Archived from the original on 2015 - 05 - 22 . Retrieved 2015 - 05 - 22 .   Jump up ^ `` Our People - Your local air ambulance '' .   Jump up ^ `` David Gold '' . postalheritage.org.uk . Retrieved 28 May 2016 .   Jump up ^ `` Register Home Page '' .   Jump up ^ `` Charity overview '' .   ^ Jump up to : `` Air ambulance boss hits out as charity relaunches '' . 4 December 2009 .   Jump up ^ `` Wiltshire Air Ambulance distances itself from rival '' . BBC News .   ^ Jump up to : `` Air Ambulance Service : Unease over new charity service '' . 4 February 2013 -- via www.bbc.co.uk .   Jump up ^ `` Local charity shops warn of bogus collection bags '' . Malvern Gazette .   Jump up ^ `` Andrew Penman - Mirror Online '' . blogs.mirror.co.uk .   Jump up ^ ( 1 )   Jump up ^ ( 2 )   Jump up ^ ( 3 )   Jump up ^ `` Archived copy '' . Archived from the original on 29 October 2012 . Retrieved 2012 - 10 - 23 .   Jump up ^ ( 4 )   ^ Jump up to : `` Air Ambulance Service 's fundraising and spending criticised '' . 4 February 2013 -- via www.bbc.co.uk .   Jump up ^ `` HeliHub.com UK -- TAAS 's fundraising and spending criticised '' . helihub.com .    External links ( edit )    Official website   Air Ambulance services   Retrieved from `` https://en.wikipedia.org/w/index.php?title=Children%27s_Air_Ambulance&amp;oldid=797885267 '' Categories :   2005 establishments in the United Kingdom   Air ambulance services in the United Kingdom   Emergency medical services in the United Kingdom   Aviation in the United Kingdom   Hidden categories :   Use dmy dates from April 2017   Use British English from April 2017   Articles to be merged from March 2016   All articles to be merged   Official website not in Wikidata           Talk                                           Contents                   About Wikipedia                                           Add links   This page was last edited on 29 August 2017 , at 18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</si>
  <si>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children's air ambulance based</t>
  </si>
  <si>
    <t xml:space="preserve"> Children 's Air Ambulance       Abbreviation   TCAA     Formation   2005     Legal status   Registered charity     Purpose   Transporting critically ill children in the UK     Location     Hazell House , Burnthurst Lane , Princethorpe , CV23 9QA       Region served   UK     Parent organization   The Air Ambulance Service     Website   www.thechildrensairambulance.org.uk   </t>
  </si>
  <si>
    <t xml:space="preserve">List of National Basketball Association annual scoring Leaders - wikipedia  List of National Basketball Association annual scoring Leaders  Jump to : navigation , search Michael Jordan won a record ten scoring titles in his career .  In basketball , points are accumulated through free throws or field goals . The National Basketball Association 's ( NBA ) scoring title is awarded to the player with the highest points per game average in a given season . The scoring title was originally determined by total points scored through the 1968 -- 69 season , after which points per game was used to determine the leader instead . Players who earned scoring titles before the 1979 -- 80 season did not record any two point field goals because the three - point line was first implemented in the NBA during that season . To qualify for the scoring title , the player must appear in at least 70 games ( out of 82 ) or have at least 1,400 points . These have been the entry criteria since the 1974 -- 75 season .   Wilt Chamberlain holds the all - time records for total points scored ( 4,029 ) and points per game ( 50.4 ) in a season ; both records were achieved in the 1961 -- 62 season . He also holds the rookie records for points per game when he averaged 37.6 points in the 1959 -- 60 season . Among active players , Kevin Durant has the highest point total ( 2,593 ) and the highest scoring average ( 32.0 ) in a season ; both were achieved in the 2013 -- 14 season .   Michael Jordan has won the most scoring titles , with ten . Jordan and Chamberlain are the only players to have won seven consecutive scoring titles ( this was also Chamberlain 's career total ) . George Gervin , Allen Iverson and Durant have won four scoring titles in their career , and George Mikan , Neil Johnston and Bob McAdoo have achieved it three times . Paul Arizin , Bob Pettit , Kareem Abdul - Jabbar , Shaquille O'Neal , Tracy McGrady , Kobe Bryant , and Russell Westbrook have each won the scoring title twice . Since the 1946 -- 47 season , five players have won both the scoring title and the NBA championship in the same season : Fulks in 1947 with the Philadelphia Warriors , Mikan from 1949 to 1950 with the Minneapolis Lakers , Abdul - Jabbar ( then Alcindor ) in 1971 with the Milwaukee Bucks , Jordan from 1991 to 1993 and from 1996 to 1998 with the Chicago Bulls , and O'Neal in 2000 with the Los Angeles Lakers . Since the introduction of the three - point field goal , O'Neal is the only scoring leader to have made no three - point field goals in his winning season .   At 21 years and 197 days , Durant is the youngest scoring leader in NBA history , averaging 30.1 points in the 2009 -- 10 season . The most recent champion is Russell Westbrook , who averaged a career - high 31.6 points in the 2016 -- 17 season . Westbrook also averaged a triple double in the same season , one of only two players in NBA history to do so .     Contents  ( hide )   1 Key   2 Scoring leaders   2.1 Multiple - time leaders     3 See also   4 Notes   5 References      Key ( edit )       Denotes player who is still active in the NBA     *   Inducted into the Naismith Memorial Basketball Hall of Fame       Denotes player who won the MVP award that year     Player ( X )   Denotes the number of times the player had been the scoring leader up to and including that season       Guard     Forward     Center     Scoring Leaders ( edit )  Joe Fulks won the first scoring title in 1947 . Wilt Chamberlain won seven consecutive scoring titles from 1960 to 1966 . Jerry West won the scoring title in 1970 , averaging 31.2 points per game . Kareem Abdul - Jabbar won scoring titles in 1971 and 1972 . Allen Iverson won scoring titles in 1999 , 2001 , 2002 and 2005 . Kobe Bryant won scoring titles in 2006 and 2007 . LeBron James won the scoring title in 2008 Kevin Durant became the youngest scoring champion in 2010 . He won another three in 2011 , 2012 and 2014 Russell Westbrook won in 2015 , following teammate Durant 's win a year earlier , and again in 2017 . Stephen Curry won the scoring title in 2016 .    Season   Player   Age   Pos   Team   Games played   Field goals made   3 - point field goals made   Free throws made   Total points   Points per game   Ref     1946 -- 47   Fulks , Joe Joe Fulks *   25   F / C   Philadelphia Warriors   60   475   --   439   1,389   23.2       1947 -- 48   Zaslofsky , Max Max Zaslofsky   22   G / F   Chicago Stags   48   373   --   261   1,007   21.0       1948 -- 49   Mikan , George George Mikan *   24     Minneapolis Lakers   60   583   --   532   1,698   28.3       1949 -- 50   Mikan , George George Mikan * ( 2 )   25     Minneapolis Lakers   68   649   --   567   1,865   27.4       1950 -- 51   Mikan , George George Mikan * ( 3 )   26     Minneapolis Lakers   68   678   --   576   1,932   28.4       1951 -- 52   Arizin , Paul Paul Arizin *   23   F / G   Philadelphia Warriors   66   548   --   578   1,674   25.4       1952 -- 53   Johnston , Neil Neil Johnston *   23     Philadelphia Warriors   70   504   --   556   1,564   22.3       1953 -- 54   Johnston , Neil Neil Johnston * ( 2 )   24     Philadelphia Warriors   72   591   --   577   1,759   24.5       1954 -- 55   Johnston , Neil Neil Johnston * ( 3 )   25     Philadelphia Warriors   72   521   --   589   1,631   22.7       1955 -- 56   Pettit , Bob Bob Pettit *   23   F / C   St. Louis Hawks   72   646   --   557   1,849   25.7       1956 -- 57   Arizin , Paul Paul Arizin * ( 2 )   28   F / G   Philadelphia Warriors   71   613   --   591   1,817   25.6       1957 -- 58   Yardley , George George Yardley *   29   F / G   Detroit Pistons   72   673   --   655   2,001   27.8       1958 -- 59   Pettit , Bob Bob Pettit * ( 2 )   26   F / C   St. Louis Hawks   72   719   --   667   2,105   29.2       1959 -- 60   Chamberlain , Wilt Wilt Chamberlain *   23     Philadelphia Warriors   72   1,065   --   577   2,707   37.6       1960 -- 61   Chamberlain , Wilt Wilt Chamberlain * ( 2 )   24     Philadelphia Warriors   79   1,251   --   531   3,033   38.4       1961 -- 62   Chamberlain , Wilt Wilt Chamberlain * ( 3 )   25     Philadelphia Warriors   80   1,597   --   835   4,029   50.4       1962 -- 63   Chamberlain , Wilt Wilt Chamberlain * ( 4 )   26     San Francisco Warriors   80   1,463   --   660   3,586   44.8       1963 -- 64   Chamberlain , Wilt Wilt Chamberlain * ( 5 )   27     San Francisco Warriors   80   1,204   --   540   2,948   36.9       1964 -- 65   Chamberlain , Wilt Wilt Chamberlain * ( 6 )   28     San Francisco Warriors Philadelphia 76ers   73   1,063   --   408   2,534   34.7       1965 -- 66   Chamberlain , Wilt Wilt Chamberlain * ( 7 )   29     Philadelphia 76ers   79   1,074   --   501   2,649   33.5       1966 -- 67   Barry , Rick Rick Barry *   22     San Francisco Warriors   78   1,011   --   753   2,775   35.6       1967 -- 68   Bing , Dave Dave Bing *   24     Detroit Pistons   79   835   --   472   2,142   27.1       1968 -- 69   Hayes , Elvin Elvin Hayes *   23   F / C   San Diego Rockets   82   930   --   467   2,327   28.4       1969 -- 70   West , Jerry Jerry West *   31     Los Angeles Lakers   74   831   --   647   2,309   31.2       1970 -- 71   Alcindor , Lew Lew Alcindor *   23     Milwaukee Bucks   82   1,063   --   470   2,596   31.7       1971 -- 72   Abdul - Jabbar , Kareem Kareem Abdul - Jabbar * ( 2 )   24     Milwaukee Bucks   81   1,159   --   504   2,822   34.8       1972 -- 73   Archibald , Nate `` Tiny '' Nate `` Tiny '' Archibald *   24     Kansas City - Omaha Kings   80   1,028   --   663   2,719   34.0       1973 -- 74   McAdoo , Bob Bob McAdoo *   22   C / F   Buffalo Braves   74   901   --   459   2,261   30.6       1974 -- 75   McAdoo , Bob Bob McAdoo * ( 2 )   23   C / F   Buffalo Braves   82   1,095   --   641   2,831   34.5       1975 -- 76   McAdoo , Bob Bob McAdoo * ( 3 )   24   C / F   Buffalo Braves   78   934   --   559   2,427   31.1       1976 -- 77   Maravich , Pete Pete Maravich *   29     New Orleans Jazz   73   886   --   501   2,273   31.1       1977 -- 78   Gervin , George George Gervin *   25   G / F   San Antonio Spurs   82   864   --   504   2,232   27.2       1978 -- 79   Gervin , George George Gervin * ( 2 )   26   G / F   San Antonio Spurs   80   947   --   471   2,365   29.6       1979 -- 80   Gervin , George George Gervin * ( 3 )   27   G / F   San Antonio Spurs   78   1,024   32   505   2,585   33.1       1980 -- 81   Dantley , Adrian Adrian Dantley *   24   F / G   Utah Jazz   80   909     632   2,452   30.7       1981 -- 82   Gervin , George George Gervin * ( 4 )   29   G / F   San Antonio Spurs   79   993   10   555   2,551   32.3       1982 -- 83   English , Alex Alex English *   29     Denver Nuggets   82   959     406   2,326   28.4       1983 -- 84   Dantley , Adrian Adrian Dantley * ( 2 )   27   F / G   Utah Jazz   79   802     813   2,418   30.6       1984 -- 85   King , Bernard Bernard King *   28     New York Knicks   55   691     426   1,809   32.9       1985 -- 86   Wilkins , Dominique Dominique Wilkins *   26     Atlanta Hawks   78   888   13   577   2,366   30.3       1986 -- 87   Jordan , Michael Michael Jordan *   23     Chicago Bulls   82   1,098   12   833   3,041   37.1       1987 -- 88   Jordan , Michael Michael Jordan * ( 2 )   24     Chicago Bulls   82   1,069   7   723   2,868   35.0       1988 -- 89   Jordan , Michael Michael Jordan * ( 3 )   25     Chicago Bulls   81   966   27   674   2,633   32.5       1989 -- 90   Jordan , Michael Michael Jordan * ( 4 )   26     Chicago Bulls   82   1,034   92   593   2,753   33.6       1990 -- 91   Jordan , Michael Michael Jordan * ( 5 )   27     Chicago Bulls   82   990   29   571   2,580   31.5       1991 -- 92   Jordan , Michael Michael Jordan * ( 6 )   28     Chicago Bulls   80   943   27   491   2,404   30.1       1992 -- 93   Jordan , Michael Michael Jordan * ( 7 )   29     Chicago Bulls   78   992   81   476   2,541   32.6       1993 -- 94   Robinson , David David Robinson *   28     San Antonio Spurs   80   840   10   693   2,383   29.8       1994 -- 95   O'Neal , Shaquille Shaquille O'Neal *   22     Orlando Magic   79   930   0   455   2,315   29.3       1995 -- 96   Jordan , Michael Michael Jordan * ( 8 )   32     Chicago Bulls   82   916   111   548   2,491   30.4       1996 -- 97   Jordan , Michael Michael Jordan * ( 9 )   33     Chicago Bulls   82   920   111   480   2,431   29.6       1997 -- 98   Jordan , Michael Michael Jordan * ( 10 )   34     Chicago Bulls   82   881   30   565   2,357   28.7       1998 -- 99   Iverson , Allen Allen Iverson *   23     Philadelphia 76ers   48   435   58   356   1,284   26.8       1999 -- 00   O'Neal , Shaquille Shaquille O'Neal * ( 2 )   27     Los Angeles Lakers   79   956   0   432   2,344   29.7       2000 -- 01   Iverson , Allen Allen Iverson * ( 2 )   25     Philadelphia 76ers   71   762   98   585   2,207   31.1       2001 -- 02   Iverson , Allen Allen Iverson * ( 3 )   26     Philadelphia 76ers   60   665   78   475   1,883   31.4       2002 -- 03   McGrady , Tracy Tracy McGrady *   23   G / F   Orlando Magic   75   829   173   576   2,407   32.1       2003 -- 04   McGrady , Tracy Tracy McGrady * ( 2 )   24   G / F   Orlando Magic   67   653   174   398   1,878   28.0       2004 -- 05   Iverson , Allen Allen Iverson * ( 4 )   29     Philadelphia 76ers   75   771   104   656   2,302   30.7       2005 -- 06   Bryant , Kobe Kobe Bryant   27     Los Angeles Lakers   80   978   180   696   2,832   35.4       2006 -- 07   Bryant , Kobe Kobe Bryant ( 2 )   28     Los Angeles Lakers   77   813   137   667   2,430   31.6       2007 -- 08   James , LeBron LeBron James ^   23     Cleveland Cavaliers   75   794   113   549   2,250   30.0       2008 -- 09   Wade , Dwyane Dwyane Wade ^   27     Miami Heat   79   854   88   590   2,386   30.2       2009 -- 10   Durant , Kevin Kevin Durant ^   21     Oklahoma City Thunder   82   794   128   756   2,472   30.1       2010 -- 11   Durant , Kevin Kevin Durant ^ ( 2 )   22     Oklahoma City Thunder   78   711   145   594   2,161   27.7       2011 -- 12   Durant , Kevin Kevin Durant ^ ( 3 )   23     Oklahoma City Thunder   66   643   133   431   1,850   28.0       2012 -- 13   Anthony , Carmelo Carmelo Anthony ^   28     New York Knicks   67   669   157   425   1,920   28.7       2013 -- 14   Durant , Kevin Kevin Durant ^ ( 4 )   25     Oklahoma City Thunder   81   849   192   703   2,593   32.0       2014 -- 15   Westbrook , Russell Russell Westbrook ^   26     Oklahoma City Thunder   67   627   86   546   1,886   28.1       2015 -- 16   Curry , Stephen Stephen Curry ^   28     Golden State Warriors   79   805   402   363   2,375   30.1       2016 -- 17   Westbrook , Russell Russell Westbrook ^ ( 2 )   28     Oklahoma City Thunder   81   824   200   710   2,558   31.6       Multiple - time leaders ( edit )     Ranking   Player   Team   Times leader   Years       Michael Jordan   Chicago Bulls   10   1987 , 1988 , 1989 , 1990 , 1991 , 1992 , 1993 , 1996 , 1997 , 1998       Wilt Chamberlain   Philadelphia Warriors / San Francisco Warriors ( 5 ) / Philadelphia 76ers ( 2 )   7   1960 , 1961 , 1962 , 1963 , 1964 , 1965 , 1966       Kevin Durant George Gervin Allen Iverson   Oklahoma City Thunder San Antonio Spurs Philadelphia 76ers     2010 , 2011 , 2012 , 2014 1978 , 1979 , 1980 , 1982 1999 , 2001 , 2002 , 2005     6   Neil Johnston Bob McAdoo George Mikan   Philadelphia Warriors Buffalo Braves Minneapolis Lakers     1953 , 1954 , 1955 1974 , 1975 , 1976 1949 , 1950 , 1951     9   Kareem Abdul - Jabbar Paul Arizin Kobe Bryant Adrian Dantley Tracy McGrady Shaquille O'Neal Bob Pettit Russell Westbrook   Milwaukee Bucks Philadelphia Warriors Los Angeles Lakers Utah Jazz Orlando Magic Orlando Magic ( 1 ) / Los Angeles Lakers ( 1 ) St. Louis Hawks Oklahoma City Thunder     1971 , 1972 1952 , 1957 2006 , 2007 1981 , 1984 2003 , 2004 1995 , 2000 1956 , 1959 2015 , 2017     See also ( edit )    List of National Basketball Association career scoring leaders    Notes ( edit )    Jump up ^ At the start of February 1st of that season .   Jump up ^ The player 's primary position is listed first .   Jump up ^ In the 1947 -- 48 season , Joe Fulks averaged the most points ( 22.1 ) but had only played in 43 games and totaled 949 points , the second highest total .   Jump up ^ Wilt Chamberlain holds the all - time rookie record for points per game .   Jump up ^ Wilt Chamberlain holds the all - time record for total points scored and points per game in a single season .   Jump up ^ In the 1967 -- 68 season , Oscar Robertson averaged the most points ( 29.2 ) but had only played in 65 games and totaled 1,896 points , the sixth highest total .   Jump up ^ Elvin Hayes is the last rookie to lead the league in scoring average .   Jump up ^ In the 1969 -- 70 season , rookie Lew Alcindor had the highest point total ( 2,361 ) but was second in scoring average ( 28.8 ) .   Jump up ^ Before the 1971 -- 72 season , Lew Alcindor changed his name to Kareem Abdul - Jabbar .   Jump up ^ In the 1977 -- 78 season , George Gervin defeated David Thompson for the scoring title in the closest scoring duel ever ( 27.21 to 27.15 ) where Thompson scored 73 on the last day of the season and Gervin answered with 63 ( Gervin also broke Thompson 's record of 32 points set earlier on the same day in the first quarter by scoring a record 33 points in the second quarter ) . Both Thompson 's and Gervin 's games were losses .   Jump up ^ In the 1984 -- 85 season , rookie Michael Jordan had the highest point total ( 2,313 ) but was third in scoring average ( 28.2 ) . Bernard King tied for the twelfth highest point total ( 1,809 ) but had the highest scoring average ( 32.9 ) .   Jump up ^ In the 1985 -- 86 season Alex English had the highest point total ( 2,414 ) but was third in scoring average ( 29.8 ) .   Jump up ^ In the 1993 -- 94 season , David Robinson scored 71 points in the final game of the season to edge Shaquille O'Neal ( 29.3 ) for the scoring title .   Jump up ^ In the 1997 -- 98 season , Michael Jordan defeated Shaquille O'Neal for the scoring title in the third closest scoring race ever ( 28.7 to 28.3 ) . Jordan , at 35 years and 60 days old , is the oldest scoring leader in NBA history .   Jump up ^ The 1998 -- 99 season was shortened to 50 games due to the league 's lockout . The qualification of this season 's scoring title is to appear in at least 43 games ( out of 50 ) or to have at least 854 points .   Jump up ^ In the lockout - shortened 1998 -- 99 season , Shaquille O'Neal had the highest point total ( 1,289 ) but was second in scoring average ( 26.3 ) .   Jump up ^ In the 2000 -- 01 season , Jerry Stackhouse had the highest point total ( 2,380 ) but was second in scoring average ( 29.8 ) .   Jump up ^ In the 2001 -- 02 season , Paul Pierce had the highest point total ( 2,144 ) but was third in scoring average ( 26.1 ) .   Jump up ^ In the 2002 -- 03 season , Kobe Bryant had the highest point total ( 2,461 ) but was second in scoring average ( 30.0 ) .   Jump up ^ In the 2003 -- 04 season , Kevin Garnett had the highest point total ( 1,987 ) but was third in scoring average ( 24.2 ) .   Jump up ^ In the 2007 -- 08 season , Kobe Bryant had the highest point total ( 2,323 ) but was second in scoring average ( 28.3 ) .   Jump up ^ In the 2009 -- 10 season , Kevin Durant defeated LeBron James for the scoring title ( 30.1 to 29.7 ) . Durant , at 21 years and 197 days old , is also the youngest scoring leader in NBA history .   Jump up ^ The 2011 -- 12 season was shortened to 66 games due to the league 's lockout . The qualification of this season 's scoring title is to appear in at least 56 games ( out of 66 ) or to have at least 1127 points .   Jump up ^ In the 2011 -- 12 season , Kevin Durant defeated Kobe Bryant for the scoring title in the second closest scoring race ever ( 28.03 to 27.86 ) . Bryant , who needed to score 38 points in the final game to win , decided to sit out .   Jump up ^ In the 2012 -- 13 season , Kevin Durant had the highest point total ( 2,280 ) but was second in scoring average ( 28.1 ) .   Jump up ^ In the 2014 -- 15 season , James Harden had the highest point total ( 2,217 ) but was second in scoring average ( 27.4 ) .   Jump up ^ In the 2015 -- 16 season , James Harden had the highest point total ( 2,376 ) but was second in scoring average ( 29.0 ) .    References ( edit )    General     `` Yearly Leaders and Records for Points Per Game '' . basketball-reference.com . Retrieved February 20 , 2009 .   `` Yearly Leaders and Records for Points '' . basketball-reference.com . Retrieved February 20 , 2009 .     Specific     Jump up ^ `` Basketball glossary '' . FIBA.com . Retrieved March 6 , 2010 .   ^ Jump up to : Robbins , Liz ( January 15 , 2006 ) . `` Around the N.B.A. ; In the N.B.A. , Scoring Titles Rarely Equal Championships '' . The New York Times . Retrieved February 22 , 2009 .   Jump up ^ Brown , Clifton ( February 5 , 1990 ) . `` 3 - Pointer Adds Dimension To N.B.A '' . The New York Times . Retrieved February 21 , 2009 .   Jump up ^ Haubner , Mark ( January 2 , 2003 ) . `` The trey is the thing in today 's NBA '' . ESPN.com . Retrieved February 21 , 2009 .   ^ Jump up to : `` Rate Statistic Requirements '' . basketball-reference.com . Retrieved March 6 , 2010 .   ^ Jump up to : `` Wilt Chamberlain '' . NBA.com . Turner Sports Interactive , Inc . Retrieved March 2 , 2009 .   ^ Jump up to : `` Michael Jordan '' . NBA.com . Turner Sports Interactive , Inc . Retrieved February 25 , 2009 .   Jump up ^ Smith , Brian ( April 20 , 2005 ) . `` Iverson Wins Fourth Scoring Title '' . NBA.com . Turner Sports Interactive , Inc . Archived from the original on April 19 , 2014 . Retrieved February 25 , 2009 .   Jump up ^ Carr , Janis ( April 2 , 2000 ) . `` Jackson aware of the score with O'Neal '' . The Orange County Register . p . D11 . access - date = requires url = ( help )   ^ Jump up to : Latzke , Jeff ( April 15 , 2010 ) . `` Durant Becomes NBA 's Youngest Scoring Champ '' . ABC News Internet Ventures . Retrieved April 15 , 2010 .   Jump up ^ `` League Leaders : Points - 1946 - 47 '' . NBA.com . Turner Sports Interactive , Inc . Retrieved February 20 , 2009 .   ^ Jump up to : `` Joe Fulks NBA &amp; ABA Statistics '' . basketball-reference.com . Retrieved February 21 , 2009 .   Jump up ^ `` 1947 - 48 BAA Season Summary '' . basketball-reference.com . Retrieved February 24 , 2009 .   Jump up ^ `` League Leaders : Points - 1947 - 48 '' . NBA.com . Turner Sports Interactive , Inc . Retrieved February 20 , 2009 .   Jump up ^ `` Max Zaslofsky NBA &amp; ABA Statistics '' . basketball-reference.com . Retrieved February 21 , 2009 .   Jump up ^ `` League Leaders : Points - 1948 - 49 '' . NBA.com . Turner Sports Interactive , Inc . Retrieved February 20 , 2009 .   ^ Jump up to : `` George Mikan NBA &amp; ABA Statistics '' . basketball-reference.com . Retrieved February 21 , 2009 .   Jump up ^ `` League Leaders : Points - 1949 - 50 '' . NBA.com . Turner Sports Interactive , Inc . Retrieved February 20 , 2009 .   Jump up ^ `` League Leaders : Points - 1950 - 51 '' . NBA.com . Turner Sports Interactive , Inc . Retrieved February 20 , 2009 .   Jump up ^ `` League Leaders : Points - 1951 - 52 '' . NBA.com . Turner Sports Interactive , Inc . Retrieved February 20 , 2009 .   ^ Jump up to : `` Paul Arizin NBA &amp; ABA Statistics '' . basketball-reference.com . Retrieved February 21 , 2009 .   Jump up ^ `` League Leaders : Points - 1952 - 53 '' . NBA.com . Turner Sports Interactive , Inc . Retrieved February 20 , 2009 .   ^ Jump up to : `` Neil Johnston NBA &amp; ABA Statistics '' . basketball-reference.com . Retrieved February 21 , 2009 .   Jump up ^ `` League Leaders : Points - 1953 - 54 '' . NBA.com . Turner Sports Interactive , Inc . Retrieved February 20 , 2009 .   Jump up ^ `` League Leaders : Points - 1954 - 55 '' . NBA.com . Turner Sports Interactive , Inc . Retrieved February 20 , 2009 .   Jump up ^ `` League Leaders : Points - 1955 - 56 '' . NBA.com . Turner Sports Interactive , Inc . Retrieved February 20 , 2009 .   ^ Jump up to : `` Bob Pettit NBA &amp; ABA Statistics '' . basketball-reference.com . Retrieved February 21 , 2009 .   Jump up ^ `` League Leaders : Points - 1956 - 57 '' . NBA.com . Turner Sports Interactive , Inc . Retrieved February 20 , 2009 .   Jump up ^ `` League Leaders : Points - 1957 - 58 '' . NBA.com . Turner Sports Interactive , Inc . Retrieved February 20 , 2009 .   Jump up ^ `` George Yardley NBA &amp; ABA Statistics '' . basketball-reference.com . Retrieved February 21 , 2009 .   Jump up ^ `` League Leaders : Points - 1958 - 59 '' . NBA.com . Turner Sports Interactive , Inc . Retrieved February 20 , 2009 .   Jump up ^ `` League Leaders : Points - 1959 - 60 '' . NBA.com . Turner Sports Interactive , Inc . Retrieved February 20 , 2009 .   ^ Jump up to : `` Wilt Chamberlain NBA &amp; ABA Statistics '' . basketball-reference.com . Retrieved February 21 , 2009 .   Jump up ^ `` League Leaders : Points - 1960 - 61 '' . NBA.com . Turner Sports Interactive , Inc . Retrieved February 20 , 2009 .   Jump up ^ `` League Leaders : Points - 1961 - 62 '' . NBA.com . Turner Sports Interactive , Inc . Retrieved February 20 , 2009 .   Jump up ^ `` League Leaders : Points - 1962 - 63 '' . NBA.com . Turner Sports Interactive , Inc . Retrieved February 20 , 2009 .   Jump up ^ `` League Leaders : Points - 1963 - 64 '' . NBA.com . Turner Sports Interactive , Inc . Retrieved February 20 , 2009 .   Jump up ^ `` League Leaders : Points - 1964 - 65 '' . NBA.com . Turner Sports Interactive , Inc . Retrieved February 20 , 2009 .   Jump up ^ `` League Leaders : Points - 1965 - 66 '' . NBA.com . Turner Sports Interactive , Inc . Retrieved February 20 , 2009 .   Jump up ^ `` League Leaders : Points - 1966 - 67 '' . NBA.com . Turner Sports Interactive , Inc . Retrieved February 20 , 2009 .   Jump up ^ `` Rick Barry NBA &amp; ABA Statistics '' . basketball-reference.com . Retrieved February 21 , 2009 .   Jump up ^ `` 1967 - 68 NBA Season Summary '' . basketball-reference.com . Retrieved February 24 , 2009 .   Jump up ^ `` Oscar Robertson '' . basketball-reference.com . Retrieved February 21 , 2009 .   Jump up ^ `` League Leaders : Points - 1967 - 68 '' . NBA.com . Turner Sports Interactive , Inc . Retrieved February 20 , 2009 .   Jump up ^ `` Dave Bing NBA &amp; ABA Statistics '' . basketball-reference.com . Retrieved February 21 , 2009 .   Jump up ^ `` League Leaders : Points - 1968 - 69 '' . NBA.com . Turner Sports Interactive , Inc . Retrieved February 20 , 2009 .   Jump up ^ `` Elvin Hayes NBA &amp; ABA Statistics '' . basketball-reference.com . Retrieved February 21 , 2009 .   Jump up ^ `` 1969 - 70 NBA Season Summary '' . basketball-reference.com . Retrieved February 24 , 2009 .   Jump up ^ `` League Leaders : Points - 1969 - 70 '' . NBA.com . Turner Sports Interactive , Inc . Retrieved February 20 , 2009 .   Jump up ^ `` Jerry West NBA &amp; ABA Statistics '' . basketball-reference.com . Retrieved February 21 , 2009 .   Jump up ^ `` Kareem Abdul - Jabbar '' . NBA.com . Turner Sports Interactive , Inc . Retrieved March 8 , 2009 .   Jump up ^ `` League Leaders : Points - 1970 - 71 '' . NBA.com . Turner Sports Interactive , Inc . Retrieved February 20 , 2009 .   ^ Jump up to : `` Kareem Abdul - Jabbar NBA &amp; ABA Statistics '' . basketball-reference.com . Retrieved February 21 , 2009 .   Jump up ^ `` League Leaders : Points - 1971 - 72 '' . NBA.com . Turner Sports Interactive , Inc . Retrieved February 20 , 2009 .   Jump up ^ `` League Leaders : Points - 1972 - 73 '' . NBA.com . Turner Sports Interactive , Inc . Retrieved February 20 , 2009 .   Jump up ^ `` Nate Archibald NBA &amp; ABA Statistics '' . basketball-reference.com . Retrieved February 21 , 2009 .   Jump up ^ `` League Leaders : Points - 1973 - 74 '' . NBA.com . Turner Sports Interactive , Inc . Retrieved February 20 , 2009 .   ^ Jump up to : `` Bob McAdoo NBA &amp; ABA Statistics '' . basketball-reference.com . Retrieved February 21 , 2009 .   Jump up ^ `` League Leaders : Points - 1974 - 75 '' . NBA.com . Turner Sports Interactive , Inc . Retrieved February 20 , 2009 .   Jump up ^ `` League Leaders : Points - 1975 - 76 '' . NBA.com . Turner Sports Interactive , Inc . Retrieved February 20 , 2009 .   Jump up ^ `` League Leaders : Points - 1976 - 77 '' . NBA.com . Turner Sports Interactive , Inc . Retrieved February 20 , 2009 .   Jump up ^ `` Pete Maravich NBA &amp; ABA Statistics '' . basketball-reference.com . Retrieved February 21 , 2009 .   Jump up ^ `` April 9 , 1978 : Gervin beats Thompson in NBA scoring title duel '' . History Channel . A&amp;E Television Networks . Retrieved February 22 , 2009 .   Jump up ^ `` David Thompson '' . NBA.com . Turner Sports Interactive . Retrieved February 22 , 2009 .   Jump up ^ `` George Gervin '' . NBA.com . Turner Sports Interactive , Inc . Retrieved February 22 , 2009 .   Jump up ^ Vecsey , George ( February 7 , 1996 ) . `` Sports of The Times ; Giant Leap For Gervin , Thompson '' . The New York Times . Retrieved February 22 , 2009 .   Jump up ^ `` 1977 - 78 NBA Game Results '' . basketball-reference.com . Retrieved February 22 , 2009 .   Jump up ^ `` League Leaders : Points - 1977 - 78 '' . NBA.com . Turner Sports Interactive , Inc . Retrieved February 20 , 2009 .   ^ Jump up to : `` George Gervin NBA &amp; ABA Statistics '' . basketball-reference.com . Retrieved February 21 , 2009 .   Jump up ^ `` League Leaders : Points - 1978 - 79 '' . NBA.com . Turner Sports Interactive , Inc . Retrieved February 20 , 2009 .   Jump up ^ `` League Leaders : Points - 1979 - 80 '' . NBA.com . Turner Sports Interactive , Inc . Retrieved February 20 , 2009 .   Jump up ^ `` League Leaders : Points - 1980 - 81 '' . NBA.com . Turner Sports Interactive , Inc . Retrieved February 20 , 2009 .   ^ Jump up to : `` Adrian Dantley NBA &amp; ABA Statistics '' . basketball-reference.com . Retrieved February 22 , 2009 .   Jump up ^ `` League Leaders : Points - 1981 - 82 '' . NBA.com . Turner Sports Interactive , Inc . Retrieved February 20 , 2009 .   Jump up ^ `` League Leaders : Points - 1982 - 83 '' . NBA.com . Turner Sports Interactive , Inc . Retrieved February 20 , 2009 .   Jump up ^ `` Alex English NBA &amp; ABA Statistics '' . basketball-reference.com . Retrieved February 22 , 2009 .   Jump up ^ `` League Leaders : Points - 1983 - 84 '' . NBA.com . Turner Sports Interactive , Inc . Retrieved February 20 , 2009 .   Jump up ^ `` 1984 - 85 NBA Season Summary '' . basketball-reference.com . Retrieved February 23 , 2009 .   Jump up ^ `` League Leaders : Points - 1984 - 85 '' . NBA.com . Turner Sports Interactive , Inc . Retrieved February 20 , 2009 .   Jump up ^ `` Bernard King NBA &amp; ABA Statistics '' . basketball-reference.com . Retrieved February 22 , 2009 .   Jump up ^ `` 1985 - 86 NBA Season Summary '' . basketball-reference.com . Retrieved February 23 , 2009 .   Jump up ^ `` League Leaders : Points - 1985 - 86 '' . NBA.com . Turner Sports Interactive , Inc . Retrieved February 20 , 2009 .   Jump up ^ `` Dominique Wilkins NBA &amp; ABA Statistics '' . basketball-reference.com . Retrieved February 22 , 2009 .   Jump up ^ `` League Leaders : Points - 1986 - 87 '' . NBA.com . Turner Sports Interactive , Inc . Retrieved February 20 , 2009 .   ^ Jump up to : `` Michael Jordan NBA &amp; ABA Statistics '' . basketball-reference.com . Retrieved February 22 , 2009 .   Jump up ^ `` League Leaders : Points - 1987 - 88 '' . NBA.com . Turner Sports Interactive , Inc . Retrieved February 20 , 2009 .   Jump up ^ `` League Leaders : Points - 1988 - 89 '' . NBA.com . Turner Sports Interactive , Inc . Retrieved February 20 , 2009 .   Jump up ^ `` League Leaders : Points - 1989 - 90 '' . NBA.com . Turner Sports Interactive , Inc . Retrieved February 20 , 2009 .   Jump up ^ `` League Leaders : Points - 1990 - 91 '' . NBA.com . Turner Sports Interactive , Inc . Retrieved February 20 , 2009 .   Jump up ^ `` League Leaders : Points - 1991 - 92 '' . NBA.com . Turner Sports Interactive , Inc . Retrieved February 20 , 2009 .   Jump up ^ `` League Leaders : Points - 1992 - 93 '' . NBA.com . Turner Sports Interactive , Inc . Retrieved February 20 , 2009 .   Jump up ^ `` David Robinson '' . NBA.com . Turner Sports Interactive , Inc . Retrieved February 20 , 2009 .   Jump up ^ `` League Leaders : Points - 1993 - 94 '' . NBA.com . Turner Sports Interactive , Inc . Retrieved February 20 , 2009 .   Jump up ^ `` David Robinson NBA &amp; ABA Statistics '' . basketball-reference.com . Retrieved February 22 , 2009 .   Jump up ^ `` League Leaders : Points - 1994 - 9 '' . NBA.com . Turner Sports Interactive , Inc . Retrieved February 20 , 2009 .   ^ Jump up to : `` Shaquille O'Neal NBA &amp; ABA Statistics '' . basketball-reference.com . Retrieved February 22 , 2009 .   Jump up ^ `` League Leaders : Points - 1995 - 96 '' . NBA.com . Turner Sports Interactive , Inc . Retrieved February 20 , 2009 .   Jump up ^ `` League Leaders : Points - 1996 - 97 '' . NBA.com . Turner Sports Interactive , Inc . Retrieved February 20 , 2009 .   ^ Jump up to : `` Durant , Bryant take scoring race to wire '' . ESPN.com. April 26 , 2012 . Retrieved April 27 , 2012 .   Jump up ^ `` Michael Jordan 1997 - 98 game log '' . basketball - reference . Retrieved 24 May 2016 .   Jump up ^ `` League Leaders : Points - 1997 - 98 '' . NBA.com . Turner Sports Interactive , Inc . Retrieved February 20 , 2009 .   Jump up ^ Beck , Howard ( February 14 , 2009 ) . `` N.B.A. and Union Are Discussing New Labor Deal '' . The New York Times . Retrieved February 22 , 2009 .   Jump up ^ `` 1998 - 99 NBA Season Summary '' . basketball-reference.com . Retrieved February 20 , 2009 .   Jump up ^ `` League Leaders : Points - 1998 - 99 '' . NBA.com . Turner Sports Interactive , Inc . Retrieved February 20 , 2009 .   ^ Jump up to : `` Allen Iverson NBA &amp; ABA Statistics '' . basketball-reference.com . Retrieved February 22 , 2009 .   Jump up ^ `` League Leaders : Points - 1999 - 2000 '' . NBA.com . Turner Sports Interactive , Inc . Retrieved February 20 , 2009 .   Jump up ^ `` 2000 - 01 NBA Season Summary '' . basketball-reference.com . Retrieved February 20 , 2009 .   Jump up ^ `` League Leaders : Points - 2000 - 01 '' . NBA.com . Turner Sports Interactive , Inc . Retrieved February 20 , 2009 .   Jump up ^ `` 2001 - 02 NBA Season Summary '' . basketball-reference.com . Retrieved February 20 , 2009 .   Jump up ^ `` League Leaders : Points - 2001 - 02 '' . NBA.com . Turner Sports Interactive , Inc . Retrieved February 20 , 2009 .   Jump up ^ `` 2002 - 03 NBA Season Summary '' . basketball-reference.com . Retrieved February 20 , 2009 .   Jump up ^ `` League Leaders : Points - 2002 - 03 '' . NBA.com . Turner Sports Interactive , Inc . Re</t>
  </si>
  <si>
    <t xml:space="preserve">who has the highest scoring average in nba history</t>
  </si>
  <si>
    <t xml:space="preserve"> Wilt Chamberlain holds the all - time records for total points scored ( 4,029 ) and points per game ( 50.4 ) in a season ; both records were achieved in the 1961 -- 62 season . He also holds the rookie records for points per game when he averaged 37.6 points in the 1959 -- 60 season . Among active players , Kevin Durant has the highest point total ( 2,593 ) and the highest scoring average ( 32.0 ) in a season ; both were achieved in the 2013 -- 14 season . </t>
  </si>
  <si>
    <t xml:space="preserve">Olympic athletes from Russia at the 2018 Winter Olympics - wikipedia  Olympic athletes from Russia at the 2018 Winter Olympics  Jump to : navigation , search `` Olympic Athlete from Russia '' redirects here . For Russian Olympians , see Category : Olympic competitors for Russia . For Russian track and field athletes , see Category : Olympic athletes of Russia .    Olympic Athletes from Russia at the 2018 Winter Olympics     Olympic flag     IOC code   OAR     in Pyeongchang , South Korea 9 -- 25 February 2018     Competitors   168 in 15 sports     Flag bearer   Volunteer     Medals Ranked 13th      Gold   Silver   Bronze   Total       6   9   17        Winter Olympics appearances ( overview )       2018       Other related appearances      Soviet Union ( 1956 -- 1988 ) Unified Team ( 1992 ) Russia ( 1994 -- 2014 )  Independent Olympians    Vladimir Putin , the President of Russia , meets Russian athletes on 31 January 2018        Part of a series on the     2018 Winter Olympics       Bid process ( bid details )   Venues   Torch relay   Mascots   Broadcasters   Opening ceremony ( flag bearers )   Chronological summary   Medal table ( medalists )   World and Olympic records   Controversies ( ban on Russian athletes )   Closing ceremony ( flag bearers )   Paralympics     IOC   KOC   POCOG               Olympic Athlete from Russia ( OAR ) is the International Olympic Committee 's ( IOC ) designation of select Russian athletes permitted to participate in the 2018 Winter Olympics in Pyeongchang , South Korea . The designation is the result of the suspension of the Russian Olympic Committee after the Olympic doping controversy . During the 2018 Winter Olympics , two athletes from this team were tested positive for banned substances , and found guilty of doping by the Court of Arbitration for Sport ( CAS ) and sanctioned by the IOC . One bronze medal was returned .   This is the first team since the Unified Team of 1992 to have Russian athletes participating under the neutral Olympic flag .     Contents  ( hide )   1 Background   1.1 Russian doping allegations   1.1. 1 Official sanctions   1.1. 2 Reaction in Russia   1.1. 3 Criticism       2 Failed doping tests   3 Medalists   4 Competitors   5 Alpine skiing   6 Biathlon   7 Bobsleigh   8 Cross-country skiing   9 Curling   9.1 Women 's   9.2 Mixed doubles     10 Figure skating   11 Freestyle skiing   12 Ice hockey   12.1 Men 's tournament   12.2 Women 's tournament     13 Luge   14 Nordic combined   15 Short track speed skating   16 Skeleton   17 Ski jumping   18 Snowboarding   19 Speed skating   20 See also   21 References   22 External links      Background ( edit )   Russian doping allegations ( edit )  Further information : Doping in Russia and McLaren Report  In December 2014 , German public broadcaster ARD aired a documentary which made wide - ranging allegations that Russia organized a state - run doping program which supplied their athletes with performance - enhancing drugs . In November 2015 , the World Anti-Doping Agency ( WADA ) published a report and the International Association of Athletics Federations ( IAAF ) suspended Russia indefinitely from world track and field events .   In May 2016 , The New York Times published allegations by the former director of Russia 's anti-doping laboratory , Dr. Grigory Rodchenkov , that a conspiracy of corrupt anti-doping officials , Federal Security Service ( FSB ) intelligence agents , and compliant Russian athletes used banned substances to gain an unfair advantage during the Games . Rodchenkov stated that the FSB tampered with over 100 urine samples as part of a cover - up , and that a third of the Russian medals won at Sochi were the result of doping . On 18 July 2016 , an independent investigation commissioned by WADA concluded that it was shown `` beyond a reasonable doubt '' that the RUSADA , the Ministry of Sport , the FSB and the Centre of Sports Preparation of the National Teams of Russia had `` operated for the protection of doped Russian athletes '' within a `` state - directed failsafe system '' using `` the disappearing positive ( test ) methodology '' . According to the McLaren Report , the Disappearing Positive Methodology operated from `` at least late 2011 to August 2015 '' . It was used on 643 positive samples , a number that the authors consider `` only a minimum '' due to limited access to Russian records .   On 9 December 2016 , Canadian lawyer Richard McLaren published the second part of his independent report . The investigation found that from 2011 to 2015 , more than 1,000 Russian competitors in various sports ( including summer , winter , and Paralympic sports ) benefited from the cover - up . Following the release of the McLaren report , the IOC announced the initiation of an investigation of 28 Russian athletes at the Sochi Olympic Games . La Gazzetta dello Sport reported the names of 17 athletes , of whom 15 are among the 28 under investigation . As of late December 2017 , 13 medals had been stripped and 43 Russian athletes had been disqualified for competition in 2018 . The number of athletes under investigation rose to 36 ( and eventually 46 ) in December .   Russia has denied the existence of a doping program with the President of Russia , Vladimir Putin , blaming the United States for `` using the Olympics to meddle in the Russian presidential election '' .  Official sanctions ( edit ) Approved OAR logo  On 5 December 2017 , the IOC announced that the Russian Olympic Committee had been suspended from the 2018 Winter Olympics with immediate effect . Athletes who had no previous drug violations and a consistent history of drug testing were to be allowed to compete under the Olympic Flag as an `` Olympic Athlete from Russia '' ( OAR ) . Under the terms of the decree , Russian government officials were barred from the Games , and neither the country 's flag nor anthem would be present ( the Olympic Flag and Olympic Anthem would be used instead ) . On 20 December 2017 the IOC proposed an alternative logo for the OAR athletes ' uniforms ( shown on right ) . IOC President Thomas Bach said that `` after following due process ( the IOC ) has issued proportional sanctions for this systematic manipulation while protecting the clean athletes '' .   As of January 2018 , the IOC had sanctioned 43 Russian athletes from the 2014 Winter Olympics and banned them from competing in the 2018 edition and all other future Olympic Games as part of the Oswald Commission . All but one of these athletes appealed against their bans to CAS . The court overturned the sanctions on 28 athletes , meaning that their Sochi medals and results were reinstated , but decided that there was sufficient evidence against eleven of the athletes to uphold their Sochi sanctions . The IOC said in a statement that `` the result of the CAS decision does not mean that athletes from the group of 28 will be invited to the Games . Not being sanctioned does not automatically confer the privilege of an invitation '' and that `` this ( case ) may have a serious impact on the future fight against doping '' . The IOC were careful to note that the CAS Secretary General `` insisted that the CAS decision does not mean that these 28 athletes are innocent '' and that they would consider an appeal against the court 's decision . The court also decided that none of the 39 athletes should be banned from all future Olympic Games , but only the 2018 Games . Three of the 42 Russian athletes that originally appealed are still waiting for their hearing , which will be conducted after the 2018 Games .   An original pool of 500 Russian athletes was put forward for consideration for the 2018 Games and 111 were immediately removed from consideration . The remaining athletes had to meet pre-games conditions such as further pre-games tests and reanalysis from stored samples . Only if these requirements were met would the athletes be considered for invitation to the Games . None of the athletes who had been sanctioned by the Oswald Commission were still in the pool at this stage . The final number of neutral Russian athletes invited to compete was 169 and , after speed skater Olga Graf dropped out , the eventual total was 168 .  Reaction in Russia ( edit ) Russian Prime Minister Dmitry Medvedev with medal winners from Russia , 28 February 2018  In the past , the Russian president Vladimir Putin and other officials had stated that it would be an embarrassment for Russia if its athletes were not allowed to compete under the Russian flag . However , his spokesman later revealed that no boycott had actually been discussed prior to the IOC 's decision . After the announcement , Ramzan Kadyrov , the head of Chechnya , announced that none of the Chechen athletes would be permitted to participate under a neutral flag .   On 6 December , Putin stated that his government were prepared to allow Russian athletes to compete at the Games as individuals , but there were still calls from other Russian politicians for a boycott . Gennady Zyuganov , leader of the Communist Party of the Russian Federation , proposed to send fans to the Games with a Soviet Victory Banner . Sergey Lavrov , the Russian Minister of Foreign Affairs , suggested that the United States `` fears honest competition '' ; while Vladimir Putin was of the opinion that the United States had used its influence within the IOC to `` orchestrate the doping scandal '' . He called the IOC decision an unfair `` collective punishment '' , saying `` It all looks like an absolutely orchestrated and politically motivated decision . For me , there are no doubts about this . ''   The popular Russian newspaper Komsomolskaya Pravda reported that 86 % of Russians opposed participating in the Olympics under a neutral flag . Despite the OAR designation , many Russian fans still attended the Games , wearing the Russian colours and chanting `` Россия ! '' ( `` Russia ! '' ) in unison , in an act of defiance against the ban . After the games , Russian figure skater Evgenia Medvedeva revealed in an Instagram post that the Russian tricolor was hidden on the OAR medal ceremony uniforms underneath a white fur scarf buttoned on the front of the jacket .  Criticism ( edit )  The International Ice Hockey Federation voiced support for allowing the full participation of `` all clean Russian athletes '' in the 2018 Winter Games , calling on the IOC to refrain from imposing `` collective punishment '' .   The IOC 's decision was heavily criticized by Jack Robertson , who was primary investigator of the Russian doping program on behalf of WADA. Robertson argued that the IOC had issued `` a non-punitive punishment meant to save face while protecting the ( IOC 's ) and Russia 's commercial and political interests '' . He also highlighted the fact that Russian whistleblowers proved beyond doubt that `` 99 percent of ( their ) national - level teammates were doping '' . According to Robertson , `` ( WADA ) has discovered that when a Russian athlete ( reaches ) the national level , he or she ( has ) no choice in the matter : ( it is ) either dope , or you 're done '' . He added `` There is currently no intelligence I have seen or heard about that indicates the state - sponsored doping program has ceased . '' It was also reported that Russian officials intensively lobbied US politicians in an apparent attempt to secure Dr. Grigory Rodchenkov 's extradition to Russia ( Rodchenkov being the main whistleblower ) .   The CAS decision to overturn the life bans of 28 Russian athletes and restore their medals was fiercely criticised by Olympic officials , including IOC president Thomas Bach who said the decision was `` extremely disappointing and surprising '' . Whistleblower Rodchenkov 's lawyer stated that `` the CAS decision would allow doped athletes to escape without punishment '' , also that `` ( the CAS decision ) provides yet another ill - gotten gain for the corrupt Russian doping system generally , and Putin specifically '' .   Failed doping tests ( edit )   Curler Alexander Krushelnitskiy failed his doping test after winning bronze in the mixed doubles curling as he tested positive for meldonium . This is a drug used for treating heart conditions such as angina , chronic heart failure , cardiomyopathy and other cardiovascular disorders . It has the effect of increasing blood flow and can lead to an improvement in endurance . Meldonium was placed on WADA 's list of substances banned from use by athletes two years previously . Krushelnitskiy 's wife and curling partner Anastasia Bryzgalova tested negative for meldonium , but they were forced by the IOC to return their bronze medals since CAS had found Krushelnitskiy guilty of doping . He would later announce his decision not to contest the IOC 's ruling but reserved the right to challenge the suspension should the investigation conclude `` no fault or negligence '' . Norway was subsequently awarded the bronze medal for the mixed doubles curling event .   Nadezhda Sergeeva , a bobsleigh pilot , tested positive for trimetazidine , a drug used for treating angina and which is also included in WADA 's list of banned substances . She placed 12th in the women 's competition , but had passed her drug test five days before the first runs were held at the start of the event .   Medalists ( edit )        Medal   Name   Sport   Event   Date     01 ! Gold   Zagitova , Alina Alina Zagitova   Figure skating   Ladies ' singles   000000002018 - 02 - 23 - 0000 23 February     01 ! Gold      Sergei Andronov     Bogdan Kiselevich     Vadim Shipachyov       Alexander Barabanov     Vasily Koshechkin     Sergei Shirokov       Pavel Datsyuk     Ilya Kovalchuk     Ilya Sorokin       Vladislav Gavrikov     Alexey Marchenko     Ivan Telegin       Mikhail Grigorenko     Sergei Mozyakin     Vyacheslav Voynov       Nikita Gusev     Nikita Nesterov     Egor Yakovlev       Ilya Kablukov     Nikolai Prokhorkin     Artyom Zub       Sergey Kalinin     Igor Shestyorkin     Andrei Zubarev       Kirill Kaprizov            Ice hockey   Men 's tournament   000000002018 - 02 - 25 - 0000 25 February     02 ! Silver   Kolyada , Mikhail Mikhail Kolyada Medvedeva , Evgenia Evgenia Medvedeva Zagitova , Alina Alina Zagitova Tarasova , Evgenia Evgenia Tarasova Morozov , Vladimir Vladimir Morozov Zabiiako , Natalia Natalia Zabiiako Enbert , Alexander Alexander Enbert Bobrova , Ekaterina Ekaterina Bobrova Soloviev , Dmitri Dmitri Soloviev   Figure skating   Team event   000000002018 - 02 - 12 - 0000 12 February     02 ! Silver   Tregubov , Nikita Nikita Tregubov   Skeleton   Men 's   000000002018 - 02 - 16 - 0000 16 February     02 ! Silver   Bolshunov , Aleksandr Aleksandr Bolshunov Aleksey Chervotkin Andrey Larkov Denis Spitsov   Cross-country skiing   Men 's 4 × 10 km relay   000000002018 - 02 - 18 - 0000 18 February     02 ! Silver   Bolshunov , Aleksandr Aleksandr Bolshunov Denis Spitsov   Cross-country skiing   Men 's team sprint   000000002018 - 02 - 21 - 0000 21 February     02 ! Silver   Medvedeva , Evgenia Evgenia Medvedeva   Figure skating   Ladies ' singles   000000002018 - 02 - 23 - 0000 23 February     02 ! Silver   Bolshunov , Aleksandr Aleksandr Bolshunov   Cross-country skiing   Men 's 50 km classical   000000002018 - 02 - 24 - 0000 24 February     03 ! Bronze   Elistratov , Semion Semion Elistratov   Short track speed skating   Men 's 1500 metres   000000002018 - 02 - 10 - 0000 10 February     03 ! Bronze   Belorukova , Yulia Yulia Belorukova   Cross-country skiing   Women 's sprint   000000002018 - 02 - 13 - 0000 13 February     03 ! Bronze   Bolshunov , Aleksandr Aleksandr Bolshunov   Cross-country skiing   Men 's sprint   000000002018 - 02 - 13 - 0000 13 February     03 ! Bronze   Spitsov , Denis Denis Spitsov   Cross-country skiing   Men 's 15 km freestyle   000000002018 - 02 - 16 - 0000 16 February     03 ! Bronze   Voronina , Natalya Natalya Voronina   Speed skating   Women 's 5000 m   000000002018 - 02 - 16 - 0000 16 February     03 ! Bronze   Belorukova , Yulia Yulia Belorukova Anna Nechaevskaya Natalia Nepryaeva Anastasia Sedova   Cross-country skiing   Women 's 4 × 5 km relay   000000002018 - 02 - 17 - 0000 17 February     03 ! Bronze   Burov , Ilya Ilya Burov   Freestyle skiing   Men 's aerials   000000002018 - 02 - 18 - 0000 18 February     03 ! Bronze   Ridzik , Sergey Sergey Ridzik   Freestyle skiing   Men 's ski cross   000000002018 - 02 - 21 - 0000 21 February     03 ! Bronze   Larkov , Andrey Andrey Larkov   Cross-country skiing   Men 's 50 km classical   000000002018 - 02 - 24 - 0000 24 February           Medals by sport     Sport   01 !   02 !   03 !   Total     Figure skating       0       Ice hockey     0   0       Cross-country skiing   0     5   8     Skeleton   0     0       Freestyle skiing   0   0         Short track speed skating   0   0         Speed skating   0   0         Total     6   9   17       Medals by date     Day   Date   01 !   02 !   03 !   Total     Day 1   10 February   0   0         Day 2   11 February   0   0   0   0     Day 3   12 February   0     0       Day 4   13 February   0   0         Day 5   14 February   0   0   0   0     Day 6   15 February   0   0   0   0     Day 7   16 February   0           Day 8   17 February   0   0         Day 9   18 February   0           Day 10   19 February   0   0   0   0     Day 11   20 February   0   0   0   0     Day 12   21 February   0           Day 13   22 February   0   0   0   0     Day 14   23 February       0       Day 15   24 February   0           Day 16   25 February     0   0       Total     6   9   17        Competitors ( edit )   The following is the list of number of competitors that could participate at the Games per sport / discipline .     Sport   Men   Women   Total     Alpine skiing       5     Biathlon           Bobsleigh   6     10     Cross-country skiing   7   5   12     Curling     6   7     Figure skating   7   8   15     Freestyle skiing   10   12   22     Ice hockey   25   23   48     Luge   7     8     Nordic combined     0       Short track speed skating       7     Skeleton     0       Ski jumping       8     Snowboarding   9   7   16     Speed skating           Total   88   80   168     Alpine Skiing ( edit )  Main articles : Alpine skiing at the 2018 Winter Olympics and Alpine skiing at the 2018 Winter Olympics -- Qualification  Russia has qualified three male and two female skiers .     Athlete   Event   Run 1   Run 2   Total     Time   Rank   Time   Rank   Time   Rank     Aleksandr Khoroshilov   Men 's slalom   49.72   21   51.01   5   1 : 40.73   17     Ivan Kuznetsov   Men 's slalom   DNF     Men 's giant slalom   DNF     Pavel Trikhichev   Men 's combined   DNF     Anastasiia Silanteva   Women 's giant slalom   1 : 15.67   32   1 : 12.28   29   2 : 27.95   30     Ekaterina Tkachenko   Women 's slalom   53.22   34   53.33   33   1 : 46.55   32      Mixed      Athlete   Event   Round of 16   Quarterfinals   Semifinals   Final / BM     Opposition Result   Opposition Result   Opposition Result   Opposition Result   Rank     Aleksandr Khoroshilov Ivan Kuznetsov Anastasiia Silanteva Ekaterina Tkachenko   Team   Norway ( NOR ) L 0 -- 4   Did not advance     Biathlon ( edit )  Main articles : Biathlon at the 2018 Winter Olympics and Biathlon at the 2018 Winter Olympics -- Qualification  Based on their Nations Cup rankings in the 2016 -- 17 Biathlon World Cup , Russia has qualified 6 men and 5 women . However , the IOC only invited 2 men and 2 women .     Athlete   Event   Time   Misses   Rank     Anton Babikov   Men 's sprint   25 : 48.5   4 ( 3 + 1 )   57     Men 's pursuit   37 : 21.8   4 ( 1 + 1 + 2 + 0 )   40     Men 's individual   50 : 08.0   1 ( 0 + 0 + 1 + 0 )   16     Matvey Eliseev   Men 's sprint   26 : 59.3   5 ( 3 + 2 )   83     Men 's individual   51 : 07.1   3 ( 0 + 2 + 0 + 1 )   28     Tatiana Akimova   Women 's sprint   22 : 24.2   0 ( 0 + 0 )   20     Women 's pursuit   33 : 50.8   4 ( 1 + 1 + 0 + 2 )   31     Women 's individual   44 : 17.6   2 ( 0 + 1 + 0 + 1 )   15     Women 's mass start   41 : 32.4   6 ( 0 + 0 + 5 + 1 )   30     Uliana Kaisheva   Women 's sprint   22 : 58.5   2 ( 1 + 1 )   33     Women 's pursuit   36 : 33.6   5 ( 0 + 2 + 2 + 1 )   52     Women 's individual   44 : 47.9   2 ( 0 + 2 + 0 + 0 )   24     Anton Babikov Matvey Eliseev Tatiana Akimova Uliana Kaisheva   Mixed relay   1 : 10 : 49.1   0 + 6 0 + 4   9     Bobsleigh ( edit )  Main articles : Bobsleigh at the 2018 Winter Olympics and Bobsleigh at the 2018 Winter Olympics -- Qualification  Based on their rankings in the 2017 -- 18 Bobsleigh World Cup , Russia has qualified 6 sleds .    Men      Athlete   Event   Run 1   Run 2   Run 3   Run 4   Total     Time   Rank   Time   Rank   Time   Rank   Time   Rank   Time   Rank     Maxim Andrianov * Yury Selikhov   Two - man   50.27   28   50.58   29   49.98   26   Eliminated   2 : 30.83   28     Vasiliy Kondratenko Alexey Stulnev *   49.77   19   49.99   20   49.74   20   49.87   20   3 : 19.37   20     Maxim Andrianov * Ruslan Samitov Yury Selikhov Alexey Zaitsev   Four - man   49.43   18   49.39   12   49.56   15   49.56     3 : 17.94   15      Women      Athlete   Event   Run 1   Run 2   Run 3   Run 4   Total     Time   Rank   Time   Rank   Time   Rank   Time   Rank   Time   Rank     Yulia Belomestnykh Aleksandra Rodionova *   Two - woman   51.29   17   51.47   17   51.41   15   51.55   17   3 : 25.72   17     Anastasia Kocherzhova Nadezhda Sergeeva *   51.01   10   51.49   18   51.29   12   51.37   14   3 : 25.16   DSQ     * -- Denotes the driver of each sled   Cross-country Skiing ( edit )  Main articles : Cross-country skiing at the 2018 Winter Olympics and Cross-country skiing at the 2018 Winter Olympics -- Qualification  Russia qualified 12 athletes , seven male and five female .    Distance   Men      Athlete   Event   Classical   Freestyle   Final     Time   Rank   Time   Rank   Time   Deficit   Rank     Aleksandr Bolshunov   50 km classical   N / A   2 : 08 : 40.8   + 18.7   02 !     Aleksey Chervotkin   N / A   2 : 13 : 19.0   + 4 : 56.9   12     Andrey Larkov   15 km freestyle   N / A   35 : 25.1   + 1 : 41.2   20     30 km skiathlon   41 : 37.5   31   36 : 38.0   29   1 : 18 : 50.6   + 2 : 30.6   30     50 km classical   N / A   2 : 10 : 59.6   + 2 : 37.5   03 !     Andrey Melnichenko   15 km freestyle   N / A   35 : 02.1   + 1 : 18.2   14     30 km skiathlon   41 : 46.4   32   36 : 30.1   24   1 : 18 : 50.5   + 2 : 30.5   29     Denis Spitsov   15 km freestyle   N / A   34 : 06.9   + 23.0   03 !     30 km skiathlon   40 : 35.0   13   35 : 26.5     1 : 16 : 32.7   + 12.7       50 km classical   N / A   2 : 16 : 24.6   + 8 : 02.5   20     Alexey Vitsenko   15 km freestyle   N / A   36 : 46.4   + 3 : 02.5   49     30 km skiathlon   41 : 09.2   20   36 : 20.6   22   1 : 18 : 02.2   + 1 : 42.2   23     Aleksandr Bolshunov Aleksey Chervotkin Andrey Larkov Denis Spitsov   4 × 10 km relay   N / A   1 : 33 : 14.3   + 9.4   02 !      Women      Athlete   Event   Classical   Freestyle   Final     Time   Rank   Time   Rank   Time   Deficit   Rank     Yulia Belorukova   15 km skiathlon   22 : 02.5   22   20 : 15.9   22   42 : 51.0   + 2 : 06.1   18     Anna Nechaevskaya   10 km freestyle   N / A   26 : 24.8   + 1 : 24.3   10     Natalia Nepryaeva   15 km skiathlon   21 : 28.2   11   19 : 21.6   8   41 : 17.9   + 33.0   8     30 km classical   N / A   1 : 32 : 10.4   + 9 : 52.8   24     Anastasia Sedova   10 km freestyle   N / A   26 : 07.8   + 1 : 07.3   8     15 km skiathlon   21 : 43.8   19   19 : 43.2   12   41 : 57.7   + 1 : 12.8   12     30 km classical   N / A   1 : 26 : 46.8   + 4 : 29.2   11     Alisa Zhambalova   10 km freestyle   N / A   26 : 57.8   + 1 : 57.3   17     15 km skiathlon   22 : 34.9   28   19 : 51.9   15   42 : 59.1   + 2 : 14.2   21     30 km classical   N / A   1 : 27 : 27.2   + 5 : 09.6   15     Yulia Belorukova Anna Nechaevskaya Natalia Nepryaeva Anastasia Sedova   4 × 5 km relay   N / A   52 : 07.6   + 43.3   03 !      Sprint   Men      Athlete   Event   Qualification   Quarterfinal   Semifinal   Final     Total   Rank   Total   Rank   Total   Rank   Total   Rank     Aleksandr Bolshunov   Sprint   3 : 10.20   3 Q   3 : 08.45   1 Q   3 : 06.63   3 q   3 : 07.11   03 !     Andrey Melnichenko   3 : 22.27   48   Did not advance     Alexander Panzhinskiy   3 : 11.63   6 Q   3 : 11.15   4 q   3 : 19.05   6   Did not advance     Alexey Vitsenko   3 : 14.56   14 Q   3 : 30.72   5   Did not advance     Aleksandr Bolshunov Denis Spitsov   Team sprint   N / A   15 : 58.84   1 Q   15 : 57.97   02 !      Women      Athlete   Event   Qualification   Quarterfinal   Semifinal   Final     Total   Rank   Total   Rank   Total   Rank   Total   Rank     Yulia Belorukova   Sprint   3 : 18.26   15 Q   3 : 14.29   1 Q   3 : 10.12   1 Q   3 : 07.21   03 !     Natalia Nepryaeva   3 : 15.65   6 Q   3 : 11.78   1 Q   3 : 10.72   3 q   3 : 12.98       Alisa Zhambalova   3 : 31.53   44   Did not advance     Yulia Belorukova Natalia Nepryaeva   Team sprint   N / A   16 : 24.63   3 q   16 : 41.76   9     Curling ( edit )  Main articles : Curling at the 2018 Winter Olympics and Curling at the 2018 Winter Olympics -- Qualification   Summary      Team   Event   Group stage   Tiebreaker   Semifinal   Final / BM     Opposition Score   Opposition Score   Opposition Score   Opposition Score   Opposition Score   Opposition Score   Opposition Score   Opposition Score   Opposition Score   Rank   Opposition Score   Opposition Score   Opposition Score   Rank     Victoria Moiseeva Uliana Vasilyeva Galina Arsenkina Julia Guzieva Yulia Portunova   Women 's tournament   GBR L 3 -- 10   CHN W 7 -- 6   SWE L 4 -- 5   USA L 6 -- 7   JPN L 5 -- 10   SUI L 2 -- 11   DEN W 8 -- 7   KOR L 2 -- 11   CAN L 8 -- 9   9   Did not advance     Anastasia Bryzgalova Alexander Krushelnitskiy   Mixed doubles   USA L 3 -- 9   NOR W 4 -- 3   FIN W 7 -- 5   CHN W 6 -- 5   KOR W 6 -- 5   CAN L 2 -- 8   SUI L 8 -- 9   N / A   3 Q   BYE   SUI L 5 -- 7   NOR L ( DSQ )   DSQ     Women 's ( edit )  Main article : Curling at the 2018 Winter Olympics -- Women 's tournament  Russia has qualified their women 's team ( five athletes ) , by finishing in the top seven teams in Olympic Qualification points . The representatives were determined at the 2017 Russian Olympic Curling Trials .   The Russian team consists of Victoria Moiseeva , Uliana Vasilyeva , Galina Arsenkina , Julia Guzieva , and Yulia Portunova .   Final round robin standings     Key       Teams to playoffs       Country           Skip       PF   PA   Ends won   Ends lost   Blank ends   Stolen ends   Shot %     South Korea   Kim Eun - jung   8     75   44   41   34   5   15   79 %     Sweden   Anna Hasselborg   7     64   48   42   34   14   13   83 %     Great Britain   Eve Muirhead   6     61   56   39   38   12   6   79 %     Japan   Satsuki Fujisawa   5     59   55   38   36   10   13   75 %     China   Wang Bingyu     5   57   65   35   38   12   5   78 %     Canada   Rachel Homan     5   68   59   40   36   10   12   81 %     Switzerland   Silvana Tirinzoni     5   60   55   34   37   12   7   78 %     United States   Nina Roth     5   56   65   38   39   7   6   78 %     Olympic Athletes from Russia   Victoria Moiseeva     7   45   76   34   40   8   6   76 %     Denmark   Madeleine Dupont     8   50   72   32   41   10   6   73 %      Round - robin    The Olympic Athletes from Russia team has a bye in draws 3 , 7 and 10 .       Draw 1    Wednesday , 14 February , 14 : 05     Sheet B v           5   6   7   8   9   10   Final     Olympic Athletes from Russia ( Moiseeva )   0     0   0     0   0   X   X   X       Great Britain ( Muirhead )     0       0   0     X   X   X   10      Draw 2    Thursday , 15 February , 09 : 05     Sheet C v           5   6   7   8   9   10   11   Final     China ( Wang )   0       0   0     0     0   0   0   6     Olympic Athletes from Russia ( Moiseeva )     0   0     0   0     0   0       7      Draw 4    Friday , 16 February , 14 : 05     Sheet D v           5   6   7   8   9   10   11   Final     Sweden ( Hasselborg )   0   0   0   0     0     0     0     5     Olympic Athletes from Russia ( Moiseeva )   0   0   0     0     0     0     0        Draw 5    Saturday , 17 February , 09 : 05     Sheet B v           5   6   7   8   9   10   11   Final     Olympic Athletes from Russia ( Moiseeva )   0     0   0       0     0     0   6     United States ( Roth )     0       0   0     0     0     7      Draw 6    Saturday , 17 February , 20 : 05     Sheet A v           5   6   7   8   9   10   Final     Olympic Athletes from Russia ( Moiseeva )     0     0     0   0     0   X   5     Japan ( Fujisawa )   0     0     0       0     X   10        Draw 8    Monday , 19 February , 09 : 05     Sheet D v           5   6   7   8   9   10   Final     Olympic Athletes from Russia ( Moiseeva )   0     0   0   0     0   X   X   X       Switzerland ( Tirinzoni )   0   0         0     X   X   X   11      Draw 9    Monday , 19 February , 20 : 05     Sheet B v           5   6   7   8   9   10   Final     Denmark ( Dupont )   0   0   0     0     0   0     0   7     Olympic Athletes from Russia ( Moiseeva )   0       0     0       0     8      Draw 11    Wednesday , 21 February , 09 : 05     Sheet A v           5   6   7   8   9   10   Final     South Korea ( Kim )         0     0   X   X   X   X   11     Olympic Athletes from Russia ( Moiseeva )   0   0   0     0     X   X   X   X        Draw 12    Wednesday , 21 February , 20 : 05     Sheet C v           5   6   7   8   9   10   Final     Olympic Athletes from Russia ( Moiseeva )     0     0   0   0       0   0   8     Canada ( Homan )   0     0         0   0       9        Mixed doubles ( edit )  Main article : Curling at the 2018 Winter Olympics -- Mixed doubles tournament  Russia has qualified a mixed doubles team by earning enough points in the last two World Mixed Doubles Curling Championships .   There were no trials as the team was chosen by the Russian Olympic Committee .   The Olympic Athletes from Russia team won the mixed doubles bronze medal game against Norway , but due to a positive testing of meldonium from Alexander Krushelnitskiy , their bronze medals were stripped and given to Norway .   Final round robin standings     Key       Teams to playoffs       Teams to tiebreaker       Country           Athletes       PF   PA   Ends won   Ends lost   Blank ends   Stolen ends   Shot %     Canada   Kaitlyn Lawes / John Morris   6     52   26   28   20   0   9   80 %     Switzerland   Jenny Perret / Martin Rios   5     45   40   29   26   0   10   71 %     Olympic Athletes from Russia   Anastasia Bryzgalova / Alexander Krushelnitskiy       36   44   26   27     7   67 %     China   Wang Rui / Ba Dexin       47   42   27   27     6   72 %     Norway   Kristin Skaslien / Magnus Nedregotten       39   43   26   25     8   74 %     South Korea   Jang Hye - ji / Lee Ki - jeong     5   40   40   23   29     7   67 %     United States   Rebecca Hamilton / Matt Hamilton     5   37   43   26   25   0   9   74 %     Finland   Oona Kauste / Tomi Rantamäki     6   35   53   23   29   0   6   67 %         Draw 1    Thursday , February 8 , 9 : 05     Sheet A v           5   6   7   8   Final     United States ( R. Hamilton / M. Hamilton )     0         0     X   9     Olympic Athletes from Russia ( Bryzgalova / Krushelnitskiy )   0     0   0   0     0   X        Draw 2    Thursday , February 8 , 20 : 04     Sheet C v           5   6   7   8   Final     Olympic Athletes from Russia ( Bryzgalova / Krushelnitskiy )   0     0       0   0         Norway ( Skaslien / Nedregotten )   0   0     0   0       0        Draw 3    Friday , February 9 , 8 : 35     Sheet D v           5   6   7   8   Final     Olympic Athletes from Russia ( Bryzgalova / Krushelnitskiy )   0   0     0       0   X   7     Finland ( Kauste / Rantamäki )       0     0   0     X   5      Draw 4    Friday , February 9 , 13 : 35     Sheet B v           5   6   7   8   9   Final     China ( Wang / Ba )   0   0   0     0   0       0   5     Olympic Athletes from Russia ( Bryzgalova / Krushelnitskiy )         0       0   0     6        Draw 5    Saturday , February 10 , 9 : 05     Sheet D v           5   6   7   8   9   Final     South Korea ( Jang / Lee )     0     0   0     0     0   5     Olympic Athletes from Russia ( Bryzgalova / Krushelnitskiy )   0     0       0     0     6      Draw 6    Saturday , February 10 , 20 : 04     Sheet A v           5   6   7   8   Final     Olympic Athletes from Russia ( Bryzgalova / Krushelnitskiy )   0   0     0     0   X   X       Canada ( Lawes / Morris )       0     0     X   X   8      Draw 7    Sunday , February 11 , 9 : 05    </t>
  </si>
  <si>
    <t xml:space="preserve">how many oar athletes are in the olympics</t>
  </si>
  <si>
    <t xml:space="preserve">   Sport   Men   Women   Total     Alpine skiing       5     Biathlon           Bobsleigh   6     10     Cross-country skiing   7   5   12     Curling     6   7     Figure skating   7   8   15     Freestyle skiing   10   12   22     Ice hockey   25   23   48     Luge   7     8     Nordic combined     0       Short track speed skating       7     Skeleton     0       Ski jumping       8     Snowboarding   9   7   16     Speed skating           Total   88   80   168   </t>
  </si>
  <si>
    <t xml:space="preserve">Malcolm in the Middle - wikipedia  Malcolm in the Middle  Jump to : navigation , search    Malcolm in the Middle         Genre   Sitcom     Created by   Linwood Boomer     Developed by   Linwood Boomer Michael Glouberman Andy Bobrow Gary Murphy     Starring   Jane Kaczmarek Bryan Cranston Christopher Masterson Justin Berfield Erik Per Sullivan Frankie Muniz Catherine Lloyd Burns James and Lukas Rodriguez     Opening theme   `` Boss of Me '' by They Might Be Giants     Ending theme   `` Boss of Me '' ( instrumental )     Country of origin   United States     Original language ( s )   English     No. of seasons   7     No. of episodes   151 ( list of episodes )     Production     Executive producer ( s )   Linwood Boomer Co-executive producers : Michael Glouberman Alex Reid Neil Thompson Andrew Orenstein Matthew Carlson Eric Kaplan     Camera setup   Panavision ; Single - camera     Running time   21 -- 23 minutes     Production company ( s )   Satin City Regency Television Fox Television Studios     Distributor   20th Century Fox Television Distribution     Release     Original network   Fox     Picture format   480p 4 : 3 ( SDTV ) 1080p 16 : 9 ( HDTV )     Audio format   Dolby Digital 5.1     Original release   January 9 , 2000 ( 2000 - 01 - 09 ) -- May 14 , 2006 ( 2006 - 05 - 14 )     Malcolm in the Middle is an American television sitcom created by Linwood Boomer for the Fox Broadcasting Company . The series was first broadcast on January 9 , 2000 , and ended its six - year run on May 14 , 2006 , after seven seasons and 151 episodes . The series received critical acclaim and won a Peabody Award , seven Emmy Awards , one Grammy Award , and seven Golden Globe nominations .   The series follows a family of six , and later seven , and stars Frankie Muniz in the lead role of Malcolm Wilkerson , a somewhat normal boy who tests at genius level . While he enjoys his intelligence , he despises having to take classes for gifted children , who are mocked by the other students who call them `` Krelboynes '' . Jane Kaczmarek is Malcolm 's overbearing , authoritarian mother , Lois , and Bryan Cranston plays his immature but loving father , Hal . Christopher Kennedy Masterson plays eldest brother Francis , a former rebel who , in earlier episodes , was in military school , but eventually marries and settles into a steady job . Justin Berfield is Malcolm 's dimwitted older brother Reese , a cruel bully who tortures Malcolm at home , even while he defends him at school . Younger brother Dewey , bitter about his ruined childhood , smart , and musically talented , is portrayed by Erik Per Sullivan . At first , the show 's focus was on Malcolm , but as the series progressed , it began to explore all six members of the family . A fifth son , Jamie , was introduced as a baby at the end of Season 4 .   Malcolm in the Middle was produced by Satin City and Regency Television in association with Fox Television Studios ( syndicated by Fox corporate sibling 20th Television ) . The show has proven popular worldwide and has been syndicated in 57 countries . In the United States , it had been syndicated during the day on FX and at night on Nickelodeon 's sister channel TeenNick , as well as local stations . It 's also currently being syndicated by IFC every Saturday , Sunday , Monday and Tuesday mornings at 8 : 00am EST . In the United Kingdom , it originally aired on Sky 1 then eventually began on BBC Two on 6 April 2001 , its HD counterpart and Sky 2 , however after Sky stopped airing repeats of the show , the rights were bought by Channel 5 and the show was shown on 5Star . Since 2015 , the show airs on Comedy Central . In Ireland it aired on TV3 's sister channel 3e . It was also syndicated on Network Ten from 2009 to 2010 and on Eleven from February 2011 in Australia ( originally airing on the Nine Network , 2001 -- 2009 ) and on Comedy Central in India . In Canada , episodes were shown on the Global Television Network .   The show received universal acclaim from critics and proved an extremely popular draw for the network . It was placed No. 88 on Entertainment Weekly 's `` New TV Classics '' list , and was named by Alan Sepinwall of HitFix as one of the 10 best shows in Fox network history .     Contents  ( hide )   1 Premise   2 Characters   2.1 The Family   2.2 Other characters     3 Episodes   4 Production   4.1 Opening titles   4.2 Filming   4.3 Music     5 Broadcast and syndication   6 Home media releases   7 Reception   7.1 Ratings   7.2 Awards and nominations     8 Adaptation   9 Notes   10 References   11 External links      Premise ( edit )   Set in the fictional town of Star City , California , The series Malcolm in the Middle is about a boy named Malcolm Wilkerson and his dysfunctional family . The show stars Frankie Muniz as Malcolm , the third of four and later five boys , his brothers , and their parents , Lois ( Jane Kaczmarek ) and Hal ( Bryan Cranston ) . Their first child , Francis ( Christopher Masterson ) , was sent away to military school , leaving his three younger brothers at home , Reese ( Justin Berfield ) , Malcolm , and Dewey ( Erik Per Sullivan ) with Malcolm being the middle child still living at home . In season four , the character Jamie ( James and Lukas Rodriguez ) was added to the show as the fifth son of Hal &amp; Lois . The show 's early seasons centered on Malcolm dealing with the rigors of being an adolescent and enduring the eccentricities of his life . Later seasons gradually explored the other members of the family and their friends in more depth , including others such as Craig Feldspar , Lois ' coworker at the Lucky Aide drugstore , Malcolm 's friend Stevie Kenarban , and Stevie 's dad Abe .   The series was so much different from many others in that Malcolm broke the fourth wall by talking directly to the viewer , all scenes were shot using a single - camera setup , and the show employed neither a laugh track nor a live studio audience . Emulating the style of hour - long dramas , this half - hour show was shot on film instead of on video . Another distinctive aspect of the show is that the cold open of every episode is unrelated to the main story . Exceptions were episodes which were the conclusions of `` two - parters '' ; each part two episode opened with a recap of its part one episode .   Characters ( edit )  Main article : Characters of Malcolm in the Middle  The family ( edit )    Malcolm ( Frankie Muniz ) : the title character of the series . Malcolm is a genius with an IQ of 165 and a photographic memory . He is placed in a class for gifted students ( or `` Krelboynes '' as they are known at the school ) . His intelligence , as well as feelings of not fitting in , and a large ego fueled by a cruel streak of snarkiness cause numerous problems for him over the course of the series . As the title suggests , Malcolm is initially the middle child of the three living at home ; chronologically , he is Hal and Lois ' third son . His best friend is Stevie Kenarban . In the series finale , he graduates from high school and starts attending a prestigious college by both scholarship and working various jobs , specifically as a janitor at Harvard University .   Lois ( Jane Kaczmarek ) : The family 's hot - headed and stubborn mother . An intelligent and decisive woman , most of her bullishness comes from her constant battles throughout the series to keep her badly behaved , highly destructive boys in check , while maintaining a menial job at a Lucky Aide drugstore . Despite her constant aggressiveness , she is motherly and will defend her family fiercely , especially towards neighbors and others who view them as poor trash ; in one episode , she finds that Malcolm and Reese discovered their neighbor having an affair with her Hispanic gardener while they planned to frame her son for theft , but does n't punish them for their actions as this counted as revenge against the woman , who hated Lois . Lois is disliked by both Hal 's wealthy family and her own parents . She has a younger sister named Susan , who blames Lois for stealing Hal from her . Neighbors despise Lois and her boys and celebrate the weekends when they 're gone . In the series finale , she discovered that she and Hal are expecting a 6th child .   Hal ( Bryan Cranston ) : Hal is Lois ' husband and father to Francis , Reese , Malcolm , Dewey , and Jamie . Hal is a well - meaning , loving , but inept and somewhat immature father , and is completely dependent on Lois , whom he loves absolutely . He comes from a wealthy family that does not accept Lois as his wife and wishes that he married Susan instead . Because his family is disrespectful towards Lois , he rarely mentions them and avoids his family . Hal loves his boys and will sometimes sneak them out for fun father - son activities behind Lois ' back . Hal is an indecisive character who frequently picks up new hobbies for short periods of time , such as speed walking , or painting , and is irresponsible with the money he earns from his low - paying desk job . His indecisiveness was explored in `` Living Will '' from a childhood which he had a hard time making decisions for himself and because of this , he always deferred to Lois to make them for him . In the series finale , he discovered that he and Lois are expecting a 6th child . Hal is also a sex addict , this was revealed in the episode `` Forbidden Girlfriend '' when Lois is taking medication and is unable to have sex for an entire week , it is mentioned again in the episode `` Poker 2 '' when Hal tells his friends he has sex 14 times per week . Hals best friend is Abe Kenarban .   Francis ( Christopher Masterson ) : Hal and Lois ' first son . At the beginning of the series , he is attending military school in Alabama , run by the strict Commandant Spangler ( Daniel von Bargen ) . It is shown that his parents enjoyed a promising middle - class , comfortable lifestyle before he was born and that he was such a difficult , destructive child that that dream soon ended . He has himself legally emancipated at the start of Season 3 , leaves the school , and travels to Alaska . He finds work at a logging camp and later meets and marries Piama ( Emy Coligado ) , a girl of Inuit heritage . When the camp closes , they move to the western United States and take jobs at a Wild West - themed hotel / ranch , run by kindly but eccentric German , Otto Mannkusser ( Kenneth Mars ) , and his wife , Gretchen ( Meagen Fay ) . Francis and his mother have a mutual love - hate war of wills and his main motivation in life is to thwart or irk her ( though , ironically , he marries a woman with the same personality as Lois . ) Although a juvenile delinquent , he is street - smart . Francis becomes a less frequently seen character after season 5 , becoming an occasional recurring character and making only a small handful of appearances in Season 6 and the final Season 7 . Whereas he was featured regularly in previous seasons as a side - story to the main family , Francis ' steady job disappeared in season 6 due to legal issues , and he returned to being a delinquent , leading a questionable and poor lifestyle with his wife , Piama , until it is revealed in the final episode of season 7 , `` Graduation '' , that Francis already has a steady desk job sorting out computers . He admits he likes his job to Hal , but also enjoys frustrating Lois by telling her that he 's unemployed . Also in the series finale , Francis and Piama are expecting their first child .   Reese ( Justin Berfield ) : Hal and Lois ' second son . He is the older brother of Malcolm , Dewey , and Jamie , and younger brother of Francis . Reese is the most impulsive and physical of the boys . He lacks common sense , he is frequently outwitted and outspoken by other family members , and is gleefully violent . Despite being unwilling to think , Reese is as much a genius as his brothers , although in less traditional or obvious ways . Reese is better than Malcolm at devising plans , and is masterful at the rare things which can pin his drifting focus , such as driving , or when he 's revealed to be a Culinary prodigy , excelling at cooking and baking . In the series finale , he finally graduates from high school after intentionally failing many times before , he obtained full employment as a high school custodian , and shares an apartment with Craig .   Dewey ( Erik Per Sullivan ) : Hal and Lois ' fourth son . He is the youngest child until the birth of Jamie , and often falls victim to his brothers ' pranks . Dewey is very intelligent and musically gifted . He plays the piano . He has a very high tolerance for pain due to years of physical and mental abuse from his brothers . Despite his intelligence , he is placed in a remedial class for slower students ( or `` Buseys '' ) due to a misunderstanding . Dewey remains in the class and serves as their self - appointed teacher . By the seventh and final season of the show , the Busey class is no longer mentioned . He is the only sibling that eventually breaks the cycle of abusing the younger sibling , which ends up with him acting like a normal , lovable brother towards Jamie . In the series finale , he along with Jamie are seen hiding under the table .   Jamie ( James and Lukas Rodriguez ) : Hal and Lois ' fifth son , born at the end of Season 4 . Despite his infancy , he is shown to already have some of his brothers ' habits , such as stealing and disrespecting Lois . He is shown to being the only child who is capable of defeating Lois . Like Malcolm and Dewey , Jamie is revealed to be very intelligent and takes advantage of his less intelligent older brother , Reese . In the series finale , he along with Dewey were seen hiding under the table .    Other characters ( edit )    Craig Lamar Traylor as Stevie Kenarban , Malcolm 's best friend since childhood who 's in the Krelboyne class and is in a wheelchair . Stevie has difficulty breathing and is revealed in season 5 to have only one lung . He is socially awkward and has trouble making friends .   David Anthony Higgins as Craig Feldspar , Lois 's overweight coworker at the Lucky Aide Drugstore , who has a secret crush on Lois . He is very geeky and self - absorbed and in the rare event he is given actual powers. he can also be as bossy as Lois , but much less competent as her . Craig also has a non-existent relationship with his estranged father , who is utterly obsessed with running his gym .   Emy Coligado as Piama Tananahaakna , Francis ' wife . She is an Inupiat Alaska Native . She is a good wife to Francis and helps him resolve troublesome situations . Piama has the same type of fiery , unyielding personality as Francis ' mother , Lois , who initially dislikes Piama until a disastrous family reunion made her realize how unfair she was to Piama .   Eric Nenninger as Eric Hanson , Francis ' somewhat naïve friend from military school who precedes Francis to Alaska . It is his call which brings Francis to Alaska . However , Eric is left to hitchhike back home possibly as revenge for suggesting that he and Francis find work in Alaska .   Catherine Lloyd Burns as Caroline Miller , Malcolm 's `` overly earnest '' teacher . She ardently adores Malcolm due to his intelligence . Francis uses her adoration to pay a medical bill to stitch up Malcolm in one episode . She is the teacher of the Krelboynes in Seasons 1 and 2 , at which time she is seen heavily pregnant . After she gives birth , Caroline leaves teaching . She was also the only non-family member to be credited as part of the main cast in the intro .   Kenneth Mars as Otto Mannkusser , Francis ' boss who owns the ranch he works at after he leaves Alaska . He is of German descent and he is a naïve and kind - hearted person . Francis tries to protect Otto from being scammed by con - artists and helped him reconcile with his estranged son , Rutger . He is married to Gretchen .   Evan Matthew Cohen , Kyle Sullivan , Kristin Quick , Will Jennings , and Victor Z . Isaac all play Krelboynes from Malcolm 's class .   Gary Anthony Williams as Abe Kenarban , Stevie 's overprotective father and Hal 's best friend .   Daniel von Bargen as Commandant Edwin Spangler , the head of Marlin Academy . He is missing his right eye , his left hand , and his ring finger on his right hand , and he actually never served war time . He despises Francis because he fought against him . In the end , he loses his other hand and later is fired from Marlin Academy . After arriving in Alaska , Francis gets Spangler a job at a retirement home , which gives him free rein to bully the elderly .   Cloris Leachman as Grandma Ida , Lois ' mother and Malcolm 's grandmother . She despises Francis and Lois , except on one occasion when she was kind to Lois . Ida has one common interest with Francis : they both despise Lois for being a control freak . She is generally disliked by the family , bar Reese whom she clearly favors . She lost her leg saving Dewey from being hit by a truck , one of her few recorded good deeds . She once tried to sue Lois , her own daughter , for slipping on a leaf in the walkway of Lois ' house and becoming temporarily injured . She was foiled by Francis and the boys who gave their support their parents and the lawyer willingly abandons her . Ida favors Susan over Lois as she is more graceful and talented .   Meagen Fay as Gretchen Mannkusser , Otto 's wife who helps out at the ranch .   Karim Prince as Cadet Stanley , Marlin Academy student , Francis ' best friend and informal bodyguard during the show 's first season .   Kasan Butcher , Drew Powell , and Arjay Smith all play Francis ' friends at Marlin Academy .   Sandy Ward , John Ennis , Richard Gross , and Christopher Michael Moore all play Francis ' friends at the Alaskan logging camp .   Dan Martin , Jonathan Craig Williams , Edward James Gage , and Alex Morris all play Hal 's poker friends .   Chris Eigeman as Lionel Herkabe , the second teacher of the Krelboyne class and a former Krelboyne himself . Despite sharing many of the same personality traits , he and Malcolm hate each other , but on one occasion Herkabe was nice to Malcolm . He is also bossy , stubborn and sadistic . Herkabe loses his GPA award in light of his actions for flunking Gym .   Brenda Wehle as Lavernia , Francis ' first boss , a malevolent woman .   Merrin Dungey played two different , unrelated characters . In the pilot episode Dungey plays Malcolm 's teacher before he transfers to the Krelboyne class . Later in the first season , she appears as Kitty Kenarban , Stevie 's mother who left him and Abe , but then returned . It is shown that Kitty is very overprotective of Stevie .   Todd Giebenhain as Richie , Francis ' friend   Cameron Monaghan , Danny McCarthy , and Amy Bruckner as Dewey 's special - ed class friends   Tania Raymonde as Cynthia , a Krelboyne girl who had a crush on Malcolm but left for Europe and later returned . Her dad is played by Fred Sanders .   Hayden Panettiere as Jessica , a girl hired to babysit Reese , Malcolm , and Dewey who later ends up living on their couch temporarily after her dad is arrested . Jessica is shown to be a very manipulative girl , once showing Malcolm how to emotionally manipulate Lois . She had been known to play tricks on Reese and Malcolm . Despite this , Jessica has a crush on Malcolm and has shown that she can be a loyal friend .   Landry Allbright as Julie Houlerman , a girl whom Malcolm had a crush on   Julie Hagerty as Polly , Jamie 's babysitter , who is extravagantly open about her personal problems and medical conditions . In one episode its revealed she has a sadistic , and somewhat threatening , ex-boyfriend named Danny , who only appears once in the show . They end up reconciling and getting back together .   Steve Vinovich as Mr. Hodges , the school principal ( season 7 )    Episodes ( edit )  Main article : List of Malcolm in the Middle episodes    Season   Episodes   Originally aired     First aired   Last aired         16   January 9 , 2000 ( 2000 - 01 - 09 )   May 21 , 2000 ( 2000 - 05 - 21 )         25   November 5 , 2000 ( 2000 - 11 - 05 )   May 20 , 2001 ( 2001 - 05 - 20 )         22   November 11 , 2001 ( 2001 - 11 - 11 )   May 12 , 2002 ( 2002 - 05 - 12 )         22   November 3 , 2002 ( 2002 - 11 - 03 )   May 18 , 2003 ( 2003 - 05 - 18 )       5   22   November 2 , 2003 ( 2003 - 11 - 02 )   May 23 , 2004 ( 2004 - 05 - 23 )       6   22   November 7 , 2004 ( 2004 - 11 - 07 )   May 15 , 2005 ( 2005 - 05 - 15 )       7   22   September 25 , 2005 ( 2005 - 09 - 25 )   May 14 , 2006 ( 2006 - 05 - 14 )     Production ( edit )   Opening titles ( edit )   The opening titles feature short clips from cult films or television shows , edited together with clips from the early seasons of the show , set to the song `` Boss of Me '' by They Might Be Giants . The original opening includes , in order of appearance :    Three men fighting a giant Archelon : From One Million Years B.C. ( 1966 )   Grinning animated man in rain : Shiogami from the anime Nazca   The monster rising out of the ocean is the Kraken : From Clash of the Titans ( 1981 )   Woman being held above a nest of hungry pterodactyls : From One Million Years B.C. ( 1966 )   Anime boy skateboarding : From the anime Nazca   Mud - monster grabbing a woman as she kisses a man : From Creature from the Haunted Sea ( 1961 )   Man ski - jumping while ignited in flames : Thrill Seekers   Wrestling match : Bret Hart locking Chris Benoit in the Sharpshooter during the WCW World Heavyweight Championship Match at WCW Mayhem 1999 PPV in Toronto , Ontario , Canada .   Robot head being assembled : From the BBC series Out of the Unknown episode `` Liar ! '' ( 1969 )   Man attacking giant brain with an axe : From The Brain from Planet Arous ( 1957 )   Boxer knocking out referee : Cuban Pedro Cardenas fighting Canadian Willie de Wit but accidentally KOing referee Bert Lowes instead , during the 1982 North American Championships in Las Vegas .    Filming ( edit )  The house at 12334 Cantura Street as it appeared in 2009 .  Much of the filming for Malcolm in the Middle was done on location in various parts of the Thirty Mile Zone around Los Angeles . A privately owned home , located at 12334 Cantura Street in Toluca Lake , California , was rented for upwards of $3,000 a day to film as Malcolm 's house . Rebuilt in 2011 , the property is no longer recognizable due to its modern two - floor design . However , the house directly to the left of it is nearly identical to what it looked like during filming , still making it a frequent stop for fans of the show . School scenes were filmed at Walter Reed Middle School , in North Hollywood , and the Lucky Aide was represented by a Drug Emporium at 6020 Lankershim Boulevard in North Hollywood . In `` Stock Car Races , '' when Hal and the boys are entering a race track , the billboard behind the entrance displays the place as Irwindale Speedway , a real race track in Southern California . The last episode in the first season ( `` Waterpark '' ) was filmed at a water park called Wild Rivers located in Irvine , California . It is never revealed which state the show is set in ( except for Francis ' whereabouts in early seasons , such as his military school in Alabama and his job in Alaska ) .   Studio filming for Malcolm in the Middle took place on Stage 21 at CBS Studio Center in Studio City .   Chris Masterson would take a diminished role starting with Season 6 of the show in favor of getting behind the camera , directing and writing some episodes in Seasons 6 and 7 .   Music ( edit )   The show 's theme song , `` Boss of Me '' , was written and recorded by the alternative rock group They Might Be Giants . The song won the `` Best Song Written for a Motion Picture , Television or Other Visual Media '' award at the 2002 Grammy Awards . The band also performed nearly all of the incidental music for the show in its first two seasons .   Mood setting music is sprinkled throughout the series , in lieu of audience laughter , in a way that resembles feature film more than other TV sitcoms . Some examples of this highly varied music include ABBA , Basement Jaxx , Sum 41 , Kenny Rogers , Lemon Jelly , Lords of Acid , The Getaway People , En Vogue , Electric Light Orchestra , Fatboy Slim , Phil Collins , Tears for Fears , Quiet Riot , Queen , and Citizen King whose song `` Better Days '' is played at the end of both the pilot episode and the series finale . The Southern California pop - punk band Lit have many of their songs featured in several episodes . Lit songs that were never released as singles were also used .   A soundtrack , Music from Malcolm in the Middle , was released on November 21 , 2000 .   Broadcast and syndication ( edit )   The show entered barter syndication one month before the sixth season premiered on Fox and was later aired on FX in the fall of 2007 until the fall of 2010 .   The show was launched on Nick at Nite on July 5 , 2009 at 8 : 00 pm with an all night marathon . However , Nick at Nite aired the show with a PG rating and the episodes were either banned or heavily edited due to content that was too strong for the PG rating . When Nick at Nite pulled Malcolm it began airing on TeenNick from November 26 , 2010 and continued until December 2010 . The show returned to TeenNick 's line - up on July 18 , 2011 .   On September 26 , 2011 , Malcolm in the Middle began airing on IFC . As of March 2013 , the show has returned to TeenNick , airing weeknights at 10 : 00 pm ( EST ) and again at 10 : 30 pm ( EST ) . Later during 2013 the show aired from 3 : 00 am ( EST ) till 5 : 00 am ( EST ) , but has since switched to just a one - hour block from 4 : 00 am ( EST ) to 5 : 00 am ( EST ) after the 90 's Are All That block was pushed back an hour . The series has not been shown on TeenNick since May 2014 .   In the UK , the show was originally aired on Sky1 from September 3 , 2000 , later also airing on Sky2 and Sky3 before finally leaving all Sky channels in December 2010 . It was also shown on BBC2 from April 6 , 2001 until March 7 , 2009 . From January 3 , 2011 , it was shown on Fiver ( now 5 * ) at 6 : 00 pm and again at about 7 : 30 pm . By 2014 it was only being shown weekly on Saturday at 3 : 15 pm in the order originally broadcast , the last repeat of the show in the UK ( also the last ever episode produced ) was shown for last time on 5 * at 3 : 15 pm on Saturday January 18 , 2014 .   In November 2015 , the show started airing from its first episode sequentially on Comedy Central at 11am in the UK .   On November 2 , 2015 Family Channel in Canada started airing Malcolm in the Middle .   In March , 2016 Fox Comedy in Portugal started airing Malcolm in the Middle .   Home Media releases ( edit )   Only the first season of Malcolm in the Middle has been released on DVD in the U.S. Season 2 was set to be released in the fall of 2003 , but was cancelled due to high costs of music clearances .     DVD name   Region 1   Region 2   Region 4   French release date   Ep #   # of discs   Extras and notes     The Complete First Season   October 29 , 2002   September 24 , 2012   September 4 , 2013   March 4 , 2014   16     Extended pilot episode , A Stroke of Genius featurette , commentary on select episodes , gag reel , deleted scenes , alternate show openings , bloopers , Dewey 's Day Job featurette .     The Complete Second Season   N / A   November 19 , 2012   September 4 , 2013   Spring 2014   25     Still Gallery     The Complete Third Season   February 4 , 2013   September 4 , 2013     22     A Still Gallery is listed but is absent from the actual DVDs     The Complete Fourth Season   March 4 , 2013   September 4 , 2013     22     A Still Gallery is listed but is absent from the actual DVDs     The Complete Fifth Season   April 29 , 2013   September 4 , 2013     22         The Complete Sixth Season   May 27 , 2013   September 4 , 2013     22         The Complete Seventh and Final Season   October 7 , 2013   September 4 , 2013     22         The Complete Collection Box Set   October 17 , 2013   September 4 , 2013     151   22   Extended pilot episode , A Stroke of Genius featurette , commentary on select episodes , gag reel , deleted scenes , alternate show openings , bloopers , Dewey 's Day Job featurette , Season 2 Still Gallery .     In February 2012 , it was announced that Fabulous Films would be releasing the first season of the show in the UK in April , as well as releasing each subsequent season the following month , ending with a complete series set near Christmas 2012 . However , in late March 2012 , several retailers had removed the release date from their websites ; this was later revealed to be because of `` technical issues with the Masters '' and that the release date had been pushed back to June . Other seasons will now follow on either a monthly or bi-monthly basis .   All the UK DVD releases are intact as originally aired with no cuts , with the original music , with the exception of one Season 3 episode `` Company Picnic '' which was originally aired as a one - hour special , before being re-edited and split into two parts for syndication . The DVD presents the syndicated version .   All seven seasons as well as the complete series set were released in Australia in September 2013 . The complete series set altered the separate seven season sets to fit into four volumes . A collector 's edition boxset which has the seasons split up instead of volumes was released subsequently in 2014 . It features everything from the four - volume set and includes a bonus T - shirt . This set is exclusive to Australia .   Reception ( edit )   Season one holds a Metacritic score of 88 out of 100 , based on 25 reviews , indicating `` universal acclaim '' .   Ratings ( edit )   The show started off with ratings of 23 million for the debut episode and 26 million for the second episode .   Fox shuffled the show 's air time repeatedly to make room for other shows . On January 13 , 2006 , Fox announced that the show would be moving to 7 : 00 pm on Sundays effective January 29 , 2006 . The 151st and final episode aired at 8 : 30 pm ET / PT ( the show 's original timeslot ) on May 14 , 2006 . The finale was watched by 7.4 million .     Season   Season premiere   Season finale   TV season   Timeslot   Ranking   Viewers ( in millions )     1st   January 9 , 2000   May 21 , 2000   1999 -- 2000   Sundays at 8 : 30   # 18   15.2     2nd   November 5 , 2000   May 20 , 2001   2000 -- 01   # 22   14.5     3rd   November 11 , 2001   May 12 , 2002   2001 -- 02   Sundays at 9 : 00   # 25   13.0     4th   November 3 , 2002   May 18 , 2003   2002 -- 03   # 43   10.7     5th   November 2 , 2003   May 23 , 2004   2003 -- 04   # 71   8.4     6th   November 7 , 2004   May 15 , 2005   2004 -- 05   Sundays at 7 : 30   # 99   5.6     7th   September 30 , 2005   May 14 , 2006   2005 -- 06   Fridays at 8 : 30 ( Episodes 1 - 11 ) Sundays at 7 : 00 ( Episodes 12 - 22 )   # 127   3.8     In Australia , in 2001 Malcolm in the Middle premiered on Channel Nine , Monday nights at 8 : 00 pm . It rated strongly , with the help from its lead - in Friends , which at the time rated 2,279,000 , 2,031,000 and 2,410,000 as the night 's most watched show , and year 's 2nd most watched TV program . Malcolm in the Middle 's ratings included 1,952,000 , 1,925,000 , 1,712,000 , 1,644,000 , and sometimes rating over the 2 million mark : 2,002,000 , 2,008,000 .   In France , the show first aired daily at 8 pm in December 2001 , on M6 , but did not find its public and was quickly off schedule . Then , when the show made its comeback in the summer of 2003 at noon , it had a big success . The last seasons had over 1.5 million viewers and a share sometimes over 30 % . Due to the show 's popularity , the network is currently still broadcasting reruns .   In the UK , in April 2001 , six months after it premiered on Sky 1 , the show premiered on terrestrial television on BBC2 at 6 : 45 pm on Fridays , where the first episode gained 3.3 million . With the success of the first season , season 2 was moved to prime - time the following year at 8 : 35 pm . It was later shown weekdays on 5 * , beginning on January 3 , 2011 . In November 2015 , Comedy Central UK picked up the series .   In Mexico , the national channel Canal 5 began airing the show in 2001 . It screens five - episode blocks of the series on weekdays from 7 : 00 pm to 9 : 20 pm . It is considered one of the favorite shows until today , still airing non-stop for 16 years .   In Canada , the series aired on Global TV . YTV in Canada started airing the series from fall 2006 to 2009 . It also aired on Much , &amp; MTV2 and i</t>
  </si>
  <si>
    <t xml:space="preserve">malcolm in the middle what is their last name</t>
  </si>
  <si>
    <t xml:space="preserve"> Set in the fictional town of Star City , California , The series Malcolm in the Middle is about a boy named Malcolm Wilkerson and his dysfunctional family . The show stars Frankie Muniz as Malcolm , the third of four and later five boys , his brothers , and their parents , Lois ( Jane Kaczmarek ) and Hal ( Bryan Cranston ) . Their first child , Francis ( Christopher Masterson ) , was sent away to military school , leaving his three younger brothers at home , Reese ( Justin Berfield ) , Malcolm , and Dewey ( Erik Per Sullivan ) with Malcolm being the middle child still living at home . In season four , the character Jamie ( James and Lukas Rodriguez ) was added to the show as the fifth son of Hal &amp; Lois . The show 's early seasons centered on Malcolm dealing with the rigors of being an adolescent and enduring the eccentricities of his life . Later seasons gradually explored the other members of the family and their friends in more depth , including others such as Craig Feldspar , Lois ' coworker at the Lucky Aide drugstore , Malcolm 's friend Stevie Kenarban , and Stevie 's dad Abe . </t>
  </si>
  <si>
    <r>
      <rPr>
        <sz val="11"/>
        <color rgb="FF000000"/>
        <rFont val="Calibri"/>
        <family val="0"/>
        <charset val="1"/>
      </rPr>
      <t xml:space="preserve">Ca n't Buy Me Love - wikipedia  Ca n't Buy Me Love  Jump to : navigation , search This article is about the song . For other uses , see Ca n't Buy Me Love ( disambiguation ) .    `` Ca n't Buy Me Love ''     US picture sleeve     Single by the Beatles     from the album A Hard Day 's Night     B - side   `` You Ca n't Do That ''     Released   16 March 1964 ( US ) 20 March 1964 ( UK )     Format   7 ''     Recorded   29 January 1964 , Pathé Marconi Studios , Paris ; 25 February and 10 March 1964 , EMI Studios , London     Genre   Pop rock     Length   2 : 11     Label     Parlophone R5114 ( UK )   Capitol 5150 ( US )       Songwriter ( s )   Lennon -- McCartney     Producer ( s )   George Martin     The Beatles UK singles chronology        `` I Want to Hold Your Hand '' ( 1963 )   `` Ca n't Buy Me Love '' ( 1964 )   `` A Hard Day 's Night '' ( 1964 )           `` I Want to Hold Your Hand '' ( 1963 )   `` Ca n't Buy Me Love '' ( 1964 )   `` A Hard Day 's Night '' ( 1964 )            The Beatles US singles chronology        `` Twist and Shout '' ( 1964 ) Twist and Shout 1964   `` Ca n't Buy Me Love '' ( 1964 ) Ca n't Buy Me Love1964   `` Do You Want to Know a Secret '' ( 1964 ) Do You Want to Know a Secret 1964            Alternative cover         1982 reissue         Audio sample       file   help           `` Ca n't Buy Me Love '' is a song composed by Paul McCartney ( credited to Lennon -- McCartney ) and released by the Beatles on the A-side of their sixth British single , with `` You Ca n't Do That '' as the B - side . In September 2015 , the Beatles donated the use of their recording of the song to People for the Ethical Treatment of Animals for a television commercial .     Contents  ( hide )   1 Composition   2 Recording   3 Release   4 Cover versions   5 Personnel   6 Charts   6.1 Weekly charts   6.2 Year - end charts   6.3 Certifications     7 Notes   8 References   9 External links      Composition ( edit )   While in Paris , the Beatles stayed at the five star George V hotel and had an upright piano moved into one of their suites so that song writing could continue . It was here that McCartney wrote `` Ca n't Buy Me Love '' . The song was written under the pressure of the success achieved by `` I Want to Hold Your Hand '' which had just reached number one in America . When producer George Martin first heard `` Ca n't Buy Me Love '' he felt the song needed changing : `` I thought that we really needed a tag for the song 's ending , and a tag for the beginning ; a kind of intro . So I took the first two lines of the chorus and changed the ending , and said ' Let 's just have these lines , and by altering the second phrase we can get back into the verse pretty quickly . ' '' And they said , `` That 's not a bad idea , we 'll do it that way '' . The song 's verse is a twelve bar blues in structure , a formula that the Beatles seldom applied to their own material .   When pressed by American journalists in 1966 to reveal the song 's `` true '' meaning , McCartney stated that , `` I think you can put any interpretation you want on anything , but when someone suggests that ' Ca n't Buy Me Love ' is about a prostitute , I draw the line . '' He went on to say : `` The idea behind it was that all these material possessions are all very well , but they wo n't buy me what I really want . '' However , he was to comment later : `` It should have been ' Can Buy Me Love ' '' when reflecting on the perks that money and fame had brought him .   Recording ( edit )   `` Ca n't Buy Me Love '' was recorded on 29 January 1964 at EMI 's Pathe Marconi Studios in Paris , France , where the Beatles were performing 18 days of concerts at the Olympia Theatre . At this time , EMI 's West Germany branch , Odeon , insisted that the Beatles would not sell records in any significant numbers in Germany unless they were actually sung in the German language and the Beatles reluctantly agreed to re-record the vocals to `` She Loves You '' and `` I Want to Hold Your Hand '' prior to them being released in Germany . George Martin travelled to Paris with a newly mastered rhythm track for what was to be `` Komm , Gib Mir Deine Hand '' ( `` Come , Give Me your Hand '' / `` I Want to Hold your Hand '' ) . `` Sie Liebt Dich '' ( `` She Loves You '' ) required the Beatles to record a new rhythm track as the original two - track recording had been scrapped . EMI sent a translator to be present for this recording session which had been hurriedly arranged to tie in with the Beatles ' Paris commitments . This was accomplished well within the allotted studio time allowing the Beatles an opportunity to record the backing track , with a guide vocal , to the recently composed `` Ca n't Buy Me Love '' . At this stage the song included background vocal harmonies . But after listening to the first take , the band concluded that the song did not need them . Therefore , `` Ca n't Buy Me Love '' became the first single the Beatles released without their characteristic background harmonies .   McCartney 's final vocal was overdubbed at EMI Studios , Abbey Road , London , on 25 February . Also re-recorded on this day at EMI Studios was George Harrison 's modified guitar solo , although his original solo can still just be heard in the background . Harrison said : `` What happened was , we recorded first in Paris and re-recorded in England . Obviously they 'd tried to overdub it , but in those days they only had two tracks , so you can hear the version we put on in London , and in the background you can hear a quieter one . '' Helen Shapiro , a friend of the Beatles and present at this overdub session , says that Ringo Starr also added extra cymbals `` over the top '' and that `` apparently this was something he did quite often on their records '' . `` Ca n't Buy Me Love '' is also the only English - language track that the Beatles recorded in a studio outside the UK , although the instrumentation of the band 's 1968 B - side `` The Inner Light '' was recorded in India by Harrison and some Indian classical musicians .   Release ( edit )   `` Ca n't Buy Me Love '' was released as a single , backed by John Lennon 's song `` You Ca n't Do That '' . The release took place on 16 March 1964 in the United States and four days later in the United Kingdom . In the US , `` Ca n't Buy Me Love '' topped the Billboard Hot 100 chart for four weeks . With the success of the song , the Beatles established four records on the Hot 100 :    Until Billboard began using SoundScan for their charts in 1991 , the song had the biggest jump to the top position : number 27 to number 1 .   It gave the Beatles three consecutive chart - topping singles , since `` I Want to Hold Your Hand '' was replaced at number 1 by `` She Loves You '' , which was in turn replaced by `` Ca n't Buy Me Love '' . The three songs spent a combined total of 14 consecutive weeks at number 1 . This is the only time an artist had three number 1 singles in a row .   When `` Ca n't Buy Me Love '' reached number 1 , on 4 April 1964 , the Beatles held entire top five on the Hot 100 , the next positions being filled by `` Twist and Shout '' , `` She Loves You '' , `` I Want to Hold Your Hand '' and `` Please Please Me '' , respectively . No other act has held the top five spots simultaneously .   During its second week at number 1 , the Beatles had fourteen songs on the Hot 100 at the same time .    `` Ca n't Buy Me Love '' became the Beatles ' fourth UK number 1 and their third single to sell over a million copies in the UK . As of November 2012 , it had sold 1.53 million copies there .   The song was included on the Beatles ' A Hard Day 's Night album in June 1964 and the US soundtrack album of the same name , released on United Artists Records . For its sequence in the film A Hard Day 's Night , director Richard Lester used crane shots to capture the four band members running and leaping in a sports field . In his book on the history of music videos , Money for Nothing , author Saul Austerlitz places `` Ca n't Buy Me Love '' at number 33 on the `` Top 100 Videos List '' .   Subsequent album appearances for the song include the compilations A Collection of Beatles Oldies ( 1966 ) and Hey Jude ( 1970 ; also known as The Beatles Again ) , the 1973 double - disc collection 1962 -- 1966 , the 1982 release Reel Music , which features songs from the Beatles ' feature films ; the 1982 compilation 20 Greatest Hits , and 1 , released in November 2000 . Rolling Stone ranks `` Ca n't Buy Me Love '' at number 295 on its list of the 500 Greatest Songs of All Time .   Cover versions ( edit )   Many artists have covered the song . Ella Fitzgerald recorded it for her 1964 album Hello , Dolly . This version was also released as a single , peaking at number 34 hit in the UK .   The title of the Men Without Hats song `` Kenbarbielove '' is derived from that of the Beatles song . When the band 's drummer Michel Langevin was six years old , he did n't speak English , so he misheard the title of `` Ca n't Buy Me Love '' as `` Ken Barbie Love '' .   Personnel ( edit )    Paul McCartney -- double - tracked vocal , bass   John Lennon -- acoustic rhythm guitar   George Harrison -- double - tracked twelve - string lead guitar   Ringo Starr -- drums     Personnel per Ian MacDonald     Norman Smith -- hi - hat     as per Geoff Emerick 's credit    Charts ( edit )      Weekly charts ( edit )     Chart ( 1964 )   Peak position     Australian Kent Music Report       Belgium ( Ultratop 50 Flanders )   5     Ireland ( IRMA )       Netherlands ( Single Top 100 )       Norway ( VG - lista )       UK Singles ( Official Charts Company )       US Billboard Hot 100       US Cash Box Top 100       West German Media Control Singles Chart   24       Year - end charts ( edit )     Chart ( 1964 )   Rank     UK Singles ( Official Charts Company )       US Billboard Hot 100   52     US Cash Box   68     Certifications ( edit )     Region   Certification   Certified units / Sales     United States ( RIAA )   Gold   1,000,000      sales figures based on certification alone shipments figures based on certification alone         Notes ( edit )    Jump up ^ Andrew Blake 1999 , p. 22 .   Jump up ^ MacDonald 2005 , p. 105 .   Jump up ^ Kretzer , Michelle ( 29 September 2015 ) . `` Beatles Donate Use of ' Ca n't Buy Me Love ' to PETA for Adoption Campaign '' . PETA . Retrieved 30 September 2015 .   Jump up ^ Miles 1997 , p. 161 .   Jump up ^ The Beatles 2000 , p. 114 .   Jump up ^ Martin &amp; Pearson 1994 , p. 40 .   Jump up ^ Badman 2000 , p. 97 .   ^ Jump up to : Miles 1997 , p. 162 .   ^ Jump up to : Lewisohn 1988 , p. 138 .   ^ Jump up to : The Beatles 2000 , p. 112 .   Jump up ^ The Beatles 2000 , pp. 112 -- 114 .   Jump up ^ Southall 1982 , p. 96 .   Jump up ^ Bronson , F. ( 2003 ) The Billboard book of number one hits , Billboard Books , p. 145   Jump up ^ Sedghi , Ami ( 4 November 2012 ) . `` UK 's million - selling singles : the full list '' . Guardian . Retrieved 4 November 2012 .   Jump up ^ Austerlitz 2007 , pp. 17 -- 18 .   Jump up ^ Austerlitz 2007 , p. 226 .   Jump up ^ `` Rolling Stone 's 500 Greatest Of All Time '' . Rolling Stone . 7 April 2011 . Retrieved 3 November 2015 .   Jump up ^ MacDonald 2005 , p. 104 .   Jump up ^ Kent , David ( 2005 ) . Australian Chart Book ( 1940 -- 1969 ) . Turramurra : Australian Chart Book . ISBN 0 - 646 - 44439 - 5 .   Jump up ^ `` Ultratop.be -- The Beatles -- Ca n't Buy Me Love '' ( in Dutch ) . Ultratop 50 . Retrieved 16 May 2016 .   Jump up ^ `` The Irish Charts -- Search Results -- Ca n't Buy Me Love '' . Irish Singles Chart . Retrieved 16 May 2016 .   Jump up ^ `` Dutchcharts.nl -- The Beatles -- Ca n't Buy Me Love '' ( in Dutch ) . Single Top 100 . Retrieved 16 May 2016 .   Jump up ^ `` Norwegiancharts.com -- The Beatles -- Ca n't Buy Me Love '' . VG - lista . Retrieved 16 May 2016 .   Jump up ^ `` Official Singles Chart Top 100 '' . Official Charts Company . Retrieved 16 May 2016 .   Jump up ^ `` The Beatles Chart History ( Hot 100 ) '' . Billboard . Retrieved 16 May 2016 .   Jump up ^ Hoffmann , Frank ( 1983 ) . The Cash Box Singles Charts , 1950 - 1981 . Metuchen , NJ &amp; London : The Scarecrow Press , Inc . pp. 32 -- 34 .   Jump up ^ `` Offizielle Deutsche Charts '' ( Enter `` Beatles '' in the search box ) ( in German ) . GfK Entertainment Charts . Retrieved 16 May 2016 .   Jump up ^ Lane , Dan ( 18 November 2012 ) . `` The biggest selling singles of every year revealed ! ( 1952 -- 2011 ) '' . Official Charts Company . Retrieved 28 August 2014 .   Jump up ^ `` Top 100 Hits of 1964 / Top 100 Songs of 1964 '' . Musicoutfitters.com . Retrieved 2016 - 09 - 27 .   Jump up ^ `` Archived copy '' . Archived from the original on 19 July 2014 . Retrieved 2016 - 06 - 17 .   Jump up ^ `` American single certifications -- The Beatles -- Ca n't Buy Me Love '' . Recording Industry Association of America . Retrieved 14 May 2016 . If necessary , click Advanced , then click Format , then select Single , then click SEARCH    References ( edit )    Austerlitz , Saul ( 2007 ) . Money for Nothing : A History of the Music Video from the Beatles to the White Stripes . New York , NY : Continuum . ISBN 978 - 0 - 8264 - 1818 - 0 .   Badman , Keith ( 2000 ) . The Beatles Off The Record .   The Beatles ( 2000 ) . The Beatles Anthology . San Francisco , CA : Chronicle Books . ISBN 0 - 8118 - 2684 - 8 .   Blake , Andrew ( 1999 ) . Living through pop .   Lewisohn , Mark ( 1988 ) . The Beatles Recording Sessions . New York : Harmony Books . ISBN 0 - 517 - 57066 - 1 .   MacDonald , Ian ( 2005 ) . Revolution in the Head : The Beatles ' Records and the Sixties ( Second Revised ed . ) . London : Pimlico ( Rand ) . ISBN 1 - 84413 - 828 - 3 .   Martin , George ; Pearson , William ( 1994 ) . Summer of Love : The Making Of Sgt Pepper . London : Macmillan . ISBN 0 - 333 - 60398 - 2 .   Miles , Barry ( 1997 ) . Paul McCartney : Many Years From Now . New York : Henry Holt and Company . ISBN 0 - 8050 - 5249 - 6 .   `` American single certifications -- Beatles , The -- Can_t Buy Me Love '' . Recording Industry Association of America . Retrieved 20 July 2009 . If necessary , click Advanced , then click Format , then select Single , then click SEARCH   Southall , Brian ( 1982 ) . Abbey Road . The Story of the World 's Most Famous Recording Studios . London : Patrick Stephens . ISBN 0 - 85059 - 810 - 9 .   `` Ca n't Buy Me Love -- The Beatles Bible '' . Retrieved 11 April 2012 .    External links ( edit )       Wikiquote has quotations related to : A Hard Day 's Night ( album )      Alan W. Pollack 's Notes on `` Ca n't Buy Me Love ''   CoverTogether : Ca n't Buy Me Love   Lyrics of this song at MetroLyrics      Preceded by `` Little Children '' by Billy J. Kramer and The Dakotas   UK Singles Chart number - one single 2 April 1964 -- 23 April 1964   Succeeded by `` A World Without Love '' by Peter and Gordon     Preceded by `` She Loves You '' by The Beatles   Billboard Hot 100 number - one single 4 April 1964 -- 2 May 1964   Succeeded by `` Hello , Dolly ! '' by Louis Armstrong               A Hard Day 's Night     Songs      Side one     `` A Hard Day 's Night ''   `` I Should Have Known Better ''   `` If I Fell ''   `` I 'm Happy Just to Dance with You ''   `` And I Love Her ''   `` Tell Me Why ''   `` Ca n't Buy Me Love ''       Side two     `` Any Time at All ''   `` I 'll Cry Instead ''   `` Things We Said Today ''   `` When I Get Home ''   `` You Ca n't Do That ''   `` I 'll Be Back ''          Non-album tracks     `` Slow Down ''   `` Matchbox ''   `` Long Tall Sally ''   `` I Call Your Name ''       Outtakes     `` No Reply ''   `` You Know What to Do ''       Related articles     A Hard Day 's Night ( film )   Extracts from the Album A Hard Day 's Night   Extracts from the Film A Hard Day 's Night   The Beatles discography         Please Please Me   With the Beatles   A Hard Day 's Night   Beatles for Sale   Help !   Rubber Soul   Revolver   Sgt . Pepper 's Lonely Hearts Club Band   Magical Mystery Tour   The Beatles ( White Album )   Yellow Submarine   Abbey Road   Let It Be   Past Masters                 The Beatles singles discography     UK and US ( all labels )      1963     `` Please Please Me '' / `` Ask Me Why ''   `` From Me to You '' / `` Thank You Girl ''   `` She Loves You '' / `` I 'll Get You ''       1964     `` Ca n't Buy Me Love '' / `` You Ca n't Do That ''   `` I Feel Fine '' / `` She 's a Woman ''       1965     `` Ticket to Ride '' / `` Yes It Is ''   `` Help ! '' / `` I 'm Down ''   `` We Can Work It Out '' / `` Day Tripper ''       1966     `` Paperback Writer '' / `` Rain ''   `` Yellow Submarine '' / `` Eleanor Rigby ''       1967     `` Penny Lane '' / `` Strawberry Fields Forever ''   `` All You Need Is Love '' / `` Baby , You 're a Rich Man ''   `` Hello , Goodbye '' / `` I Am the Walrus ''       1968     `` Lady Madonna '' / `` The Inner Light ''   `` Hey Jude '' / `` Revolution ''       1969     `` Get Back '' / `` Do n't Let Me Down ''   `` The Ballad of John and Yoko '' / `` Old Brown Shoe ''   `` Something '' / `` Come Together ''       1970     `` Let It Be '' / `` You Know My Name ( Look Up the Number ) ''       1978     `` Sgt . Pepper 's Lonely Hearts Club Band / With a Little Help from My Friends '' / `` A Day in the Life ''       1982     `` The Beatles Movie Medley '' / `` I 'm Happy Just to Dance with You ''       1995     `` Free as a Bird '' / `` Christmas Time ( Is Here Again ) ''           `` Real Love '' / `` Baby 's in Black ''          UK only ( Parlophone , Apple )      1962     `` My Bonnie '' / `` The Saints ''   `` Love Me Do '' / `` P.S. I Love You ''       1963     `` I Want to Hold Your Hand '' / `` This Boy ''       1964     `` Ai n't She Sweet '' / `` If You Love Me , Baby ''   `` A Hard Day 's Night '' / `` Things We Said Today ''       1976     `` Yesterday '' / `` I Should Have Known Better ''   `` Back in the U.S.S.R. '' / `` Twist and Shout ''          US only ( Vee - Jay , Swan , Tollie , Capitol , Apple )      1963     `` I Want to Hold Your Hand '' / `` I Saw Her Standing There ''       1964     `` Twist and Shout '' / `` There 's a Place ''   `` Do You Want to Know a Secret '' / `` Thank You Girl ''   `` Love Me Do '' / `` P.S. I Love You ''   `` Sie liebt dich '' / `` I 'll Get You ''   `` I 'll Cry Instead '' / `` I 'm Happy Just to Dance with You ''   `` And I Love Her '' / `` If I Fell ''   `` A Hard Day 's Night '' / `` I Should Have Known Better ''   `` Matchbox '' / `` Slow Down ''       1965     `` Eight Days a Week '' / `` I Do n't Want to Spoil the Party ''   `` Yesterday '' / `` Act Naturally ''       1966     `` Nowhere Man '' / `` What Goes On ''       1970     `` The Long and Winding Road '' / `` For You Blue ''       1976     `` Got to Get You into My Life '' / `` Helter Skelter ''   `` Ob - La - Di , Ob - La - Da '' / `` Julia ''          Other countries ( Odeon , Parlophone , Apple )      1963     `` All My Loving '' / `` This Boy '' ( Canada )       1964     `` Komm , gib mir deine Hand / Sie liebt dich '' ( Germany )       1966     `` Norwegian Wood ( This Bird Has Flown ) '' / `` Nowhere Man '' ( Australia )       1968     `` Ob - La - Di , Ob - La - Da '' / `` While My Guitar Gently Weeps '' ( Europe , Japan , Australia )   `` Ob - La - Di , Ob - La - Da '' / `` I Will '' ( Philippines )   `` Back in the U.S.S.R. '' / `` Do n't Pass Me By '' ( Sweden )       1969     `` You 're Going to Lose That Girl '' / `` Tell Me What You See '' ( Japan )       1970     `` Oh ! Darling '' / `` Here Comes the Sun '' ( Japan )       1972     `` All Together Now '' / `` Hey Bulldog '' ( Europe )       1978     `` Sgt . Pepper 's Lonely Hearts Club Band / With a Little Help from My Friends '' / `` Within You Without You '' ( Germany )                    Best - selling singles by year in the United Kingdom     1952 -- 1969     1952 : `` Auf Wiederseh'n Sweetheart '' -- Vera Lynn ( UK )   1953 : `` I Believe '' -- Frankie Laine   1954 : `` Secret Love '' -- Doris Day   1955 : `` Rose Marie '' -- Slim Whitman   1956 : `` I 'll Be Home '' -- Pat Boone   1957 : `` Diana '' -- Paul Anka   1958 : `` Jailhouse Rock '' -- Elvis Presley   1959 : `` Living Doll '' -- Cliff Richard ( UK )   1960 : `` It 's Now or Never '' -- Elvis Presley   1961 : `` Wooden Heart '' -- Elvis Presley   1962 : `` I Remember You '' -- Frank Ifield ( UK )   1963 : `` She Loves You '' -- The Beatles ( UK )   1964 : `` Ca n't Buy Me Love '' -- The Beatles ( UK )   1965 : `` Tears '' -- Ken Dodd ( UK )   1966 : `` Green , Green Grass of Home '' -- Tom Jones ( UK )   1967 : `` Release Me '' -- Engelbert Humperdinck ( UK )   1968 : `` Hey Jude '' -- The Beatles ( UK )   1969 : `` Sugar , Sugar '' -- The Archies       1970 -- 1989     1970 : `` The Wonder of You '' -- Elvis Presley   1971 : `` My Sweet Lord '' -- George Harrison ( UK )   1972 : `` Amazing Grace '' -- The Royal Scots Dragoon Guards Band ( UK )   1973 : `` Tie a Yellow Ribbon Round the Ole Oak Tree '' -- Tony Orlando and Dawn   1974 : `` Tiger Feet '' -- Mud ( UK )   1975 : `` Bye Bye Baby '' -- Bay City Rollers ( UK )   1976 : `` Save Your Kisses for Me '' -- Brotherhood of Man ( UK )   1977 : `` Mull of Kintyre '' / `` Girls ' School '' -- Wings ( UK )   1978 : `` Rivers of Babylon '' / `` Brown Girl in the Ring '' -- Boney M .   1979 : `` Bright Eyes '' -- Art Garfunkel   1980 : `` Do n't Stand So Close to Me '' -- The Police ( UK )   1981 : `` Do n't You Want Me '' -- The Human League ( UK )   1982 : `` Come On Eileen '' -- Dexys Midnight Runners ( UK )   1983 : `` Karma Chameleon '' -- Culture Club ( UK )   1984 : `` Do They Know It 's Christmas ? '' -- Band Aid ( UK )   1985 : `` The Power of Love '' -- Jennifer Rush   1986 : `` Do n't Leave Me This Way '' -- The Communards ( UK )   1987 : `` Never Gonna Give You Up '' -- Rick Astley ( UK )   1988 : `` Mistletoe and Wine '' -- Cliff Richard ( UK )   1989 : `` Ride on Time '' -- Black Box       1990 -- 2009     1990 : `` Unchained Melody '' -- The Righteous Brothers   1991 : `` ( Everything I Do ) I Do It for You '' -- Bryan Adams   1992 : `` I Will Always Love You '' -- Whitney Houston   1993 : `` I 'd Do Anything for Love ( But I Wo n't Do That ) '' -- Meat Loaf   1994 : `` Love Is All Around '' -- Wet Wet Wet ( UK )   1995 : `` Unchained Melody '' -- Robson &amp; Jerome ( UK )   1996 : `` Killing Me Softly '' -- Fugees   1997 : `` Something About the Way You Look Tonight '' / `` Candle in the Wind 1997 '' -- Elton John ( UK )   1998 : `` Believe '' -- Cher   1999 : `` ... Baby One More Time '' -- Britney Spears   2000 : `` Can We Fix It ? '' -- Bob the Builder ( UK )   2001 : `` It Was n't Me '' -- Shaggy featuring Rikrok ( UK )   2002 : `` Anything Is Possible '' / `` Evergreen '' -- Will Young ( UK )   2003 : `` Where Is the Love ? '' -- The Black Eyed Peas   2004 : `` Do They Know It 's Christmas ? '' -- Band Aid 20 ( UK )   2005 : `` Is This the Way to Amarillo '' -- Tony Christie featuring Peter Kay ( UK )   2006 : `` Crazy '' -- Gnarls Barkley   2007 : `` Bleeding Love '' -- Leona Lewis ( UK )   2008 : `` Hallelujah '' -- Alexandra Burke ( UK )   2009 : `` Poker Face '' -- Lady Gaga       2010 -- present     2010 : `` Love the Way You Lie '' -- Eminem featuring Rihanna   2011 : `` Someone Like You '' -- Adele ( UK )   2012 : `` Somebody That I Used to Know '' -- Gotye featuring Kimbra   2013 : `` Blurred Lines '' -- Robin Thicke featuring T.I. &amp; Pharrell Williams   2014 : `` Happy '' -- Pharrell Williams   2015 : `` Uptown Funk '' -- Mark Ronson ( UK ) featuring Bruno Mars   2016 : `` One Dance '' -- Drake featuring Wizkid and Kyla ( UK )      Retrieved from `` https://en.wikipedia.org/w/index.php?title=Can%27t_Buy_Me_Love&amp;oldid=810686430 '' Categories :   The Beatles songs   1964 singles   Parlophone singles   Billboard Hot 100 number - one singles   RPM Top Singles number - one singles   UK Singles Chart number - one singles   Irish Singles Chart number - one singles   Songs written by Lennon -- McCartney   Song recordings produced by George Martin   Ella Fitzgerald songs   Chet Atkins songs   Capitol Records singles   Songs published by Northern Songs   1964 songs   Hidden categories :   CS1 German - language sources ( de )   EngvarB from September 2013   Use dmy dates from September 2013   Music infoboxes with deprecated parameters   Articles which use infobox templates with no data rows   Pages using extra track listing with no tracks   Articles with hAudio microformats   Singlechart usages for Belgium ( Flanders )   Singlechart usages for Ireland2   Singlechart usages for Dutch100   Singlechart usages for Norway   Singlechart usages for UK   Singlechart called without artist   Singlechart called without song   Singlechart usages for Billboardhot100   Certification Table Entry usages for United States           Talk                                           Contents                   About Wikipedia                                           Wikiquote       Brezhoneg   Čeština   Deutsch   Español   Français   Italiano   עברית   ქართული   Nederlands   </t>
    </r>
    <r>
      <rPr>
        <sz val="11"/>
        <color rgb="FF000000"/>
        <rFont val="Noto Sans CJK SC"/>
        <family val="2"/>
      </rPr>
      <t xml:space="preserve">日本 語   </t>
    </r>
    <r>
      <rPr>
        <sz val="11"/>
        <color rgb="FF000000"/>
        <rFont val="Calibri"/>
        <family val="0"/>
        <charset val="1"/>
      </rPr>
      <t xml:space="preserve">Norsk   Norsk nynorsk   Polski   Português   Русский   Suomi   Svenska   ไทย   Українська   Tiếng Việt   Edit links   This page was last edited on 16 November 2017 , at 20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</si>
  <si>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can't buy me love recorded</t>
  </si>
  <si>
    <t xml:space="preserve"> While in Paris , the Beatles stayed at the five star George V hotel and had an upright piano moved into one of their suites so that song writing could continue . It was here that McCartney wrote `` Ca n't Buy Me Love '' . The song was written under the pressure of the success achieved by `` I Want to Hold Your Hand '' which had just reached number one in America . When producer George Martin first heard `` Ca n't Buy Me Love '' he felt the song needed changing : `` I thought that we really needed a tag for the song 's ending , and a tag for the beginning ; a kind of intro . So I took the first two lines of the chorus and changed the ending , and said ' Let 's just have these lines , and by altering the second phrase we can get back into the verse pretty quickly . ' '' And they said , `` That 's not a bad idea , we 'll do it that way '' . The song 's verse is a twelve bar blues in structure , a formula that the Beatles seldom applied to their own material . </t>
  </si>
  <si>
    <r>
      <rPr>
        <sz val="11"/>
        <color rgb="FF000000"/>
        <rFont val="Calibri"/>
        <family val="0"/>
        <charset val="1"/>
      </rPr>
      <t xml:space="preserve">A Raisin in the Sun - wikipedia  A Raisin in the Sun  Jump to : navigation , search For other uses , see A Raisin in the Sun ( disambiguation ) .    A Raisin in the Sun     First - edition publication ( Random House 1959 )     Written by   Lorraine Vivian Hansberry     Characters     Walter Younger   Ruth Younger   Beneatha Younger   Travis Younger   Lena Younger ( Mama )   George Murchison   Joseph Asagai   Karl Lindner   Mrs. Johnson   Moving Men       Date premiered   March 11 , 1959 ( 1959 - 03 - 11 )     Place premiered   Ethel Barrymore Theatre     Original language   English     Genre   Domestic tragedy     Setting   South Side , Chicago     A Raisin in the Sun is a play by Lorraine Hansberry that debuted on Broadway in 1959 . The title comes from the poem `` Harlem '' ( also known as `` A Dream Deferred '' ) by Langston Hughes . The story tells of a black family 's experiences in the Washington Park Subdivision of Chicago 's Woodlawn neighborhood as they attempt to `` better '' themselves with an insurance payout following the death of the father . The New York Drama Critics ' Circle named it the best play of 1959 .     Contents  ( hide )   1 Plot   2 Litigation   3 Production and reception   4 Other versions   4.1 West End production , 1959   4.2 1961 film   4.3 1973 musical   4.4 1989 TV film   4.5 1996 BBC Radio Play   4.6 Broadway revival , 2004   4.7 2008 TV film   4.8 Royal Exchange , Manchester production , 2010   4.9 Broadway revival , 2014   4.10 2016 BBC Radio Play   4.11 Arena Stage revival , 2017     5 The Raisin Cycle   6 Cultural references   7 References   8 External links      Plot ( edit )   Walter and Ruth Younger , their son Travis , along with Walter 's mother Lena ( Mama ) and Walter 's sister Beneatha , live in poverty in a dilapidated one - bedroom apartment on Chicago 's south side . Walter is barely making a living as a limousine driver . Though Ruth is content with their lot , Walter is not and desperately wishes to become wealthy . His plan is to invest in a liquor store in partnership with Willy and Bobo , street - smart acquaintances of Walter 's .   At the beginning of the play , Walter and Beneatha 's father has recently died , and Mama is waiting for a life insurance check for $10,000 . Walter has a sense of entitlement to the money , but Mama has religious objections to alcohol and Beneatha has to remind him it is Mama 's call how to spend it . Eventually Mama puts some of the money down on a new house , choosing an all - white neighborhood over a black one for the practical reason that it happens to be much cheaper . Later she relents and gives the rest of the money to Walter to invest with the provision that he reserve $3,000 for Beneatha 's education . Walter passes the money on to Willy 's naive sidekick Bobo , who gives it to Willy , who absconds with it , depriving Walter and Beneatha of their dreams , though not the Youngers of their new home . Meanwhile , Karl Lindner , a white representative of the neighborhood they plan to move to , makes a generous offer to buy them out . He wishes to avoid neighborhood tensions over interracial population , which to the three women 's horror Walter prepares to accept as a solution to their financial setback . Lena says that while money was something they try to work for , they should never take it if it was a person 's way of telling them they were n't fit to walk the same earth as them .   Meanwhile , Beneatha 's character and direction in life are being defined for us by two different men : Beneatha 's wealthy and educated boyfriend George Murchison , and Joseph Asagai . Neither man is actively involved in the Youngers ' financial ups and downs . George represents the `` fully assimilated black man '' who denies his African heritage with a `` smarter than thou '' attitude , which Beneatha finds disgusting , while dismissively mocking Walter 's lack of money and education . Asagai patiently teaches Beneatha about her African heritage ; he gives her thoughtfully useful gifts from Africa , while pointing out she is unwittingly assimilating herself into white ways . She straightens her hair , for example , which he characterizes as `` mutilation . ''   When Beneatha becomes distraught at the loss of the money , she is upbraided by Joseph for her materialism . She eventually accepts his point of view that things will get better with a lot of effort , along with his proposal of marriage and his invitation to move with him to Nigeria to practice medicine .   Walter is oblivious to the stark contrast between George and Joseph : his pursuit of wealth can be attained only by liberating himself from Joseph 's culture , to which he attributes his poverty , and by rising to George 's level , wherein he sees his salvation . Walter redeems himself and black pride at the end by changing his mind and not accepting the buyout offer , stating that the family is proud of who they are and will try to be good neighbors . The play closes with the family leaving for their new home but uncertain future .   The character Mrs. Johnson and a few scenes are often cut in reproductions . Mrs. Johnson is the Younger family 's neighbor . She is nosy and loud , and can not understand how the family can consider moving to a white neighborhood . Her lines are employed as comic relief , but Hansberry also uses this scene to mock those who are too scared to stand up for their rights .   Litigation ( edit )  What happens to a dream deferred ? Does it dry up like a raisin in the sun ? `` ''  Langston Hughes ( 1951 )   Experiences in this play echo a lawsuit ( Hansberry v. Lee , 311 U.S. 32 ( 1940 ) ) , to which the playwright Lorraine Hansberry 's family was a party when they fought to have their day in court because a previous class action about racially motivated restrictive covenants ( Burke v. Kleiman , 277 Ill . App . 519 ( 1934 ) ) had been similar to their situation . This case was heard prior to the passage of the Fair Housing Act ( Title VIII of the Civil Rights Act of 1968 ) , which prohibited discrimination in housing and created the Office of Fair Housing and Equal Opportunity . The Hansberrys won their right to be heard as a matter of due process of law in relation to the Fourteenth Amendment to the United States Constitution . The Supreme Court held that the Hansberry defendants were not bound by the Burke decision because the class of defendants in the respective cases had conflicting goals , and thus could not be considered to be the same class .   Interestingly , the plaintiff in the first action in 1934 was Olive Ida Burke , who brought the suit on behalf of a property owners ' association to enforce racial restrictions . Her husband , James Burke , later sold a house to Carl Hansberry ( Lorraine 's father ) when he changed his mind about the validity of the covenant . Mr. Burke 's decision may have been motivated by the changing demographics of the neighborhood , but it was also influenced by the Depression . The demand for houses was so low among white buyers that Mr. Hansberry may have been the only prospective purchaser available .   Lorraine reflects upon the litigation in her book To Be Young , Gifted , and Black :   `` Twenty - five years ago , ( my father ) spent a small personal fortune , his considerable talents , and many years of his life fighting , in association with NAACP attorneys , Chicago 's ' restrictive covenants ' in one of this nation 's ugliest ghettos . That fight also required our family to occupy disputed property in a hellishly hostile ' white neighborhood ' in which literally howling mobs surrounded our house ... My memories of this ' correct ' way of fighting white supremacy in America include being spat at , cursed and pummeled in the daily trek to and from school . And I also remember my desperate and courageous mother , patrolling our household all night with a loaded German Luger ( pistol ) , doggedly guarding her four children , while my father fought the respectable part of the battle in the Washington court . ''   The Hansberry house , a red - brick three - flat at 6140 S. Rhodes in Washington Park that they bought in 1937 , was given landmark status by the Chicago City Council 's Committee on Historical Landmarks Preservation in 2010 .   Production and Reception ( edit )  Scene from the play . Ruby Dee as Ruth , Claudia McNeil as Lena , Glynn Turman as Travis , Sidney Poitier as Walter , and John Fiedler as Karl Lindner .  With a cast in which all but one character is African - American , A Raisin in the Sun was considered a risky investment , and it took over a year for producer Philip Rose to raise enough money to launch it . There was disagreement with how it should be played , with focus on the mother or focus on the son . When the play hit New York , Poitier played it with the focus on the son and found not only his calling but also an audience enthralled .   After touring to positive reviews , the play premiered on Broadway at the Ethel Barrymore Theatre on March 11 , 1959 . It transferred to the Belasco Theatre on October 19 , 1959 , and closed on June 25 , 1960 , after 530 total performances . Directed by Lloyd Richards , the cast comprised :    Sidney Poitier -- Walter Lee Younger   Ruby Dee -- Ruth Younger   Ivan Dixon -- Joseph Asagai   Lonne Elder III -- Bobo   John Fiedler -- Karl Lindner   Louis Gossett -- George Murchison   Claudia McNeil -- Lena Younger   Diana Sands -- Beneatha Younger   Glynn Turman -- Travis Younger   Ed Hall -- moving man   Douglas Turner -- moving man    Ossie Davis later took over as Walter Lee Younger , and Frances Williams as Lena Younger .   Waiting for the curtain to rise on opening night , Hansberry and producer Rose did not expect the play to be a success , for it had already received mixed reviews from a preview audience the night before . Though it won popular and critical acclaim , reviewers argued about whether the play was `` universal '' or particular to African - American experience . It was then produced on tour .   A Raisin in the Sun was the first play written by a black woman to be produced on Broadway , as well as the first with a black director , Mr. Richards .   Hansberry noted that her play introduced details of black life to the overwhelmingly white Broadway audiences , while director Richards observed that it was the first play to which large numbers of black people were drawn . Frank Rich , writing in The New York Times in 1983 , stated that A Raisin in the Sun `` changed American theater forever . '' In 2016 , Claire Brennan wrote in The Guardian that `` The power and craft of the writing make A Raisin in the Sun as moving today as it was then . ''   In 1960 A Raisin In The Sun was nominated for four Tony Awards :    Best Play -- written by Lorraine Hansberry ; produced by Philip Rose , David J. Cogan   Best Actor in Play -- Sidney Poitier   Best Actress in a Play -- Claudia McNeil   Best Direction of a Play -- Lloyd Richards    Other versions ( edit )   West end production , 1959 ( edit )   Some five months after its Broadway opening , Hansberry 's play appeared in London 's West End , playing at the Adelphi Theatre from August 4 , 1959 . As on Broadway , the director was Lloyd Richards , and the cast was as follows :    Kim Hamilton -- Ruth Younger   John Adan -- Travis Younger   Earle Hyman -- Walter Lee Younger   Olga James -- Beneatha Younger   Juanita Moore -- Lena Younger   Bari Johnson -- Joseph Asagai   Scott Cunningham -- George Murchison   Meredith Edwards -- Karl Lindner   Lionel Ngakane -- Bobo    The play was presented ( as before ) by Philip Rose and David J. Cogan , in association with the British impresario Jack Hylton .   1961 film ( edit )  Main article : A Raisin in the Sun ( 1961 film )  In 1961 , a film version of A Raisin in the Sun was released featuring its original Broadway cast of Sidney Poitier , Ruby Dee , Claudia McNeil , Diana Sands , Ivan Dixon , Louis Gossett , Jr. and John Fiedler . Hansberry wrote the screenplay , and the film was directed by Daniel Petrie . It was released by Columbia Pictures and Ruby Dee won the National Board of Review Award for Best Supporting Actress . Both Poitier and McNeil were nominated for Golden Globe Awards , and Petrie received a special `` Gary Cooper Award '' at the Cannes Film Festival .   1973 musical ( edit )  Main article : Raisin ( musical )  A musical version of the play , Raisin , ran on Broadway from October 18 , 1973 , to December 7 , 1975 . The book of the musical , which stayed close to the play , was written by Hansberry 's former husband , Robert Nemiroff . Music and lyrics were by Judd Woldin and Robert Brittan . The cast included Joe Morton ( Walter Lee ) , Virginia Capers ( Momma ) , Ernestine Jackson ( Ruth ) , Debbie Allen ( Beneatha ) and Ralph Carter ( Travis , the Youngers ' young son ) . The show won the Tony Award for Best musical .   1989 TV film ( edit )   In 1989 the play was adapted into a TV film for PBS ' American Playhouse series , starring Danny Glover ( Walter Lee ) and Esther Rolle ( Mama ) , with Kim Yancey ( Beneatha ) , Starletta DuPois ( Ruth ) , and John Fiedler ( Karl Lindner ) . This production received three Emmy Award nominations , but all were for technical categories . Bill Duke directed the production , while Chiz Schultz produced . This production was based on an off - Broadway revival produced by the Roundabout Theatre .   1996 BBC Radio play ( edit )   On 3 March 1996 the BBC broadcast a production of the play by director / producer Claire Grove , with the following cast :    Claire Benedict -- Mama   Ray Shell -- Walter Lee   Pat Bowie -- Ruth   Lachelle Carl -- Beneatha   Garren Givens -- Travis   Akim Mogaji -- Joseph Asagai   Ray Fearon -- George Murchison   John Sharion -- Karl Lindner   Dean Hill -- Bobo    Broadway revival , 2004 ( edit )   A revival ran on Broadway at the Royale Theatre from April 26 , 2004 , to July 11 , 2004 at the Royale Theatre with the following cast :    Sean Combs -- Walter Lee Younger   Audra McDonald -- Ruth Younger   Phylicia Rashad -- Lena Younger   Sanaa Lathan -- Beneatha Younger   Bill Nunn -- Bobo   David Aaron Baker -- Karl Lindner   Lawrence Ballard -- moving man   Teagle F. Bougere -- Joseph Asagai   Frank Harts -- George Murchison   Billy Eugene Jones -- moving man   Alexander Mitchell -- Travis Younger    The director was Kenny Leon with David Binder and Vivek Tiwary producers .   The play won two 2004 Tony Awards : Best Actress in a Play ( Phylicia Rashad ) and Best Featured Actress in a Play ( Audra McDonald ) , and was nominated for Best Revival of a Play and Best Featured Actress in a Play ( Sanaa Lathan ) .   2008 TV film ( edit )  Main article : A Raisin in the Sun ( 2008 film )  In 2008 , Sean Combs , Phylicia Rashad and Audra McDonald starred in a television film directed by Kenny Leon . The film debuted at the 2008 Sundance Film Festival and was broadcast by ABC on February 25 , 2008 . McDonald received an Emmy nomination for her portrayal of Ruth . According to Nielsen Media Research , the program was watched by 12.7 million viewers and ranked # 9 in the ratings for the week ending March 2 , 2008 .   Royal Exchange , Manchester production , 2010 ( edit )   In 2010 Michael Buffong directed a widely acclaimed production at the Royal Exchange Theatre in Manchester , described by Dominic Cavendish in The Daily Telegraph as -- `` A brilliant play , brilliantly served . '' . Michael Buffong , Ray Fearon and Jenny Jules all won MEN Awards . The cast were : --    Jenny Jules -- Ruth Younger   Ray Fearon -- Walter Lee Younger   Tracy Ifeachor -- Beneatha Younger   Starletta DuPois ( who played Ruth in the 1989 film ) -- Lena Younger   Damola Adelaja -- Joseph Asagai   Simon Combs -- George Murchison   Tom Hodgkins -- Karl Lindner   Ray Emmet Brown -- Bobo / Moving Man    Broadway revival , 2014 ( edit )   A second revival ran on Broadway from April 3 , 2014 , to June 15 , 2014 , at the Ethel Barrymore Theatre . The play won three 2014 Tony Awards : Best Revival of a Play , Best Performance by an Actress in a Featured Role in a Play ( Sophie Okonedo ) and Best Direction of a Play ( Kenny Leon ) .    Denzel Washington -- Walter Lee Younger   Sophie Okonedo -- Ruth Younger   LaTanya Richardson Jackson -- Lena Younger   Anika Noni Rose -- Beneatha Younger   Stephen McKinley Henderson -- Bobo   David Cromer -- Karl Lindner   Keith Eric Chappelle -- moving man   Sean Patrick Thomas -- Joseph Asagai   Jason Dirden -- George Murchison   Billy Eugene Jones -- moving man   Bryce Clyde Jenkins -- Travis Younger    2016 BBC Radio play ( edit )   On 31 January 2016 the BBC broadcast a new production of the play by director / producer Pauline Harris . This version restores the character of Mrs Johnson and a number of scenes that were cut from the Broadway production and subsequent film , with the following cast :    Danny Sapani -- Walter Lee Younger   Dona Croll -- Lena Younger   Nadine Marshall -- Ruth Younger   Lenora Crichlow -- Beneatha Younger   Segun Fawole -- Travis Younger   Jude Akwudike -- Bobo / Asagai   Cecilia Noble -- Mrs. Johnson   Sean Baker -- Karl Lindner   Richard Pepple -- George Murchinson    Arena Stage revival , 2017 ( edit )   The play opened April 6 , 2017 , at Arena Stage in Washington , D.C. , directed by Tazewell Thompson , with the following cast :    Will Cobbs -- Walter Lee Younger   Lizan Mitchell -- Lena Younger   Dawn Ursula -- Ruth Younger   Joy Jones -- Beneatha Younger   Jeremiah Hasty -- Travis Younger   Mack Leamon -- Bobo / Asagai   Thomas Adrian Simpson -- Karl Lindner   Keith L. Royal Smith -- George Murchinson    The Raisin Cycle ( edit )   The 2010 Bruce Norris play Clybourne Park depicts the white family that sold the house to the Youngers . The first act takes place just before the events of A Raisin in the Sun , involving the selling of the house to the African American family ; the second act takes place 50 years later .   The 2013 play by Kwame Kwei - Armah entitled Beneatha 's Place follows Beneatha after she leaves with Asagai to Nigeria and , instead of becoming a doctor , becomes the Dean of Social Sciences at a respected ( unnamed ) California university .   The two above plays were referred to by Kwei - Armah as `` The Raisin Cycle '' and were produced together by Baltimore 's Center Stage in the 2012 -- 2013 season .   Cultural references ( edit )   Season 1 , Episode 3 of Strangers with Candy is based around a school production of A Raisin in the Sun , and features an excerpt from the 1961 movie as well as Stephen Colbert reciting `` A Dream Deferred '' just before the closing credits .   References ( edit )    Jump up ^ Internet Broadway Database . `` A Raisin in the Sun Ethel Barrymore Theatre ( 3 / 11 / 1959 -- 10 / 17 / 1959 ) '' . IBDB . Retrieved 2014 - 01 - 07 .   Jump up ^ `` A Dream Deferred ( by Langston Hughes ) '' . Cswnet.com. 1996 - 06 - 25 . Archived from the original on 2014 - 01 - 08 . Retrieved 2014 - 01 - 07 .   Jump up ^ `` Transcript : Langston Hughes and His Poetry -- presentation by David Kresh ( Journeys and Crossings , Library of Congress ) '' . www.loc.gov . Retrieved 29 April 2017 .   Jump up ^ Kamp , Allen R . `` The History Behind Hansberry v. Lee , '' 20 U.S. Davis L. Rev. 481 ( 1987 ) .   Jump up ^ `` Lorraine Hansberry House '' . Chicago Landmarks . City of Chicago . Retrieved 5 May 2012 .   Jump up ^ Poitier , Sidney ( 2000 ) . The Measure of a Man ( First ed . ) . San Francisco : Harper . pp. 148 -- 158 . ISBN 978 - 0 - 06 - 135790 - 9 .   Jump up ^ Bernstein , Robin ( 1999 ) . `` Inventing a Fishbowl : White Supremacy and the Critical Reception of Lorraine Hansberry 's A Raisin in the Sun '' . Modern Drama. 42 ( 1 ) : 16 -- 27 .   ^ Jump up to : Corley , Cheryl , `` ' A Raisin in the Sun ' , Present at the Creation '' , National Public Radio , March 11 , 2002 .   Jump up ^ Rich , Frank ( October 5 , 1983 ) . `` Theater : ' Raisin in Sun , ' Anniversary in Chicago '' . The New York Times .   Jump up ^ Brennan , Claire ( February 7 , 2016 ) . `` A Raisin in the Sun review -- still challenging its characters and audience '' . The Guardian . Review of a revival in Sheffield , England .   Jump up ^ A Raisin in the Sun   Jump up ^ Internet Broadway Database . `` A Raisin in the Sun Royale Theatre ( 4 / 26 / 2004 -- 7 / 11 / 2004 ) '' . IBDB . Retrieved 2014 - 01 - 07 .   Jump up ^ `` Chenoweth , Dench , Linney , McDonald , Rashad Nominated for Emmy Awards '' . Playbill . Archived from the original on 2012 - 10 - 25 .   Jump up ^ Ginia Bellafante , `` Raisin in the Sun : A Tale of Race and Family and a $10,000 Question '' , The New York Times , February 25 , 2008 .   Jump up ^ `` A Raisin in the Sun '' . theguardian.com . Retrieved 2016 - 09 - 24 .   Jump up ^ `` A Raisin in the Sun review '' . telegraph.co.uk . Retrieved 2016 - 09 - 24 .   Jump up ^ Playbill Vault . `` A Raisin in the Sun '' . Playbill Vault . Retrieved 2014 - 05 - 05 .   Jump up ^ Gioia , Michael . `` Tony - Winning Revival of ' A Raisin in the Sun ' Plays Final Performance Tonight '' playbill.com , June 15 , 2014   Jump up ^ Purcell , Carey . `` ' Gent 's Guide ' , ' All The Way ' , ' Hedwig And the Angry Inch ' , ' Raisin in the Sun ' Win Top Prizes at 68th Annual Tony Awards '' Archived 2014 - 06 - 12 at the Wayback Machine . playbill.com , June 8 , 2014   Jump up ^ ( 1 ) , BBC , January 31 , 2016 .   Jump up ^ ( 2 )   Jump up ^ Brantley , Ben , `` Good Defenses Make Good Neighbors , '' The New York Times , February 22 , 2010 .   Jump up ^ Paul Harris , Legit Review : ' Beneatha 's Place ' , https://variety.com/2013/legit/reviews/legit-review-beneathas-place-1200488433/   Jump up ^ David Zurawik , `` Baltimore 's Center Stage looks very good in PBS documentary on ' Raisin ' cycle '' , `` The Baltimore Sun '' , October 25 , 2013 , http://articles.baltimoresun.com/2013-10-25/entertainment/bal-baltimore-center-stage-pbs-raisin-cycle-20131018_1_sun-revisited-kwame-kwei-armah-raisin-cycle    External links ( edit )       Wikimedia Commons has media related to A Raisin in the Sun .      Theatre portal   1950s portal   African - American portal   Discrimination portal     A Raisin in the Sun at the Internet Broadway Database   A Raisin in the Sun at Theatricalia.com   Listen to the play online   EDSITEment 's lesson Raisin in the Sun the Quest for the American Dream   Text to Text : ' ' A Raisin in the Sun ' ' and ' ' Discrimination in Housing Against Nonwhites Persists Quietly ' ' from The New York Times              Lorraine Hansberry 's A Raisin in the Sun     Performances     A Raisin in the Sun ( 1961 film )   Raisin ( musical )   A Raisin in the Sun ( 2008 film )       Related     Clybourne Park   Hansberry v. Lee                 Tony Award for Best Revival of a Play     1990s     An Inspector Calls ( 1994 )   The Heiress ( 1995 )   A Delicate Balance ( 1996 )   A Doll 's House ( 1997 )   A View from the Bridge ( 1998 )   Death of a Salesman ( 1999 )       2000s     The Real Thing ( 2000 )   One Flew Over the Cuckoo 's Nest ( 2001 )   Private Lives ( 2002 )   Long Day 's Journey into Night ( 2003 )   Henry IV ( a combination of Part 1 and Part 2 ) ( 2004 )   Glengarry Glen Ross ( 2005 )   Awake and Sing ! ( 2006 )   Journey 's End ( 2007 )   Boeing - Boeing ( 2008 )   The Norman Conquests ( 2009 )       2010s     Fences ( 2010 )   The Normal Heart ( 2011 )   Death of a Salesman ( 2012 )   Who 's Afraid of Virginia Woolf ? ( 2013 )   A Raisin in the Sun ( 2014 )   Skylight ( 2015 )   A View from the Bridge ( 2016 )   Jitney ( 2017 )             GND : 4131506 - 6      Retrieved from `` https://en.wikipedia.org/w/index.php?title=A_Raisin_in_the_Sun&amp;oldid=834392170 '' Categories :   1959 plays   African - American plays   Chicago in fiction   Domestic tragedies   Plays about race and ethnicity   American plays adapted into films   Plays by Lorraine Hansberry   Plays set in Illinois   Tony Award - winning plays   Hidden categories :   All articles with dead external links   Articles with dead external links from October 2016   Articles with permanently dead external links   Webarchive template wayback links   Wikipedia articles with GND identifiers           Talk                                           Contents                   About Wikipedia                                                   Deutsch   فارسی   עברית   </t>
    </r>
    <r>
      <rPr>
        <sz val="11"/>
        <color rgb="FF000000"/>
        <rFont val="Noto Sans CJK SC"/>
        <family val="2"/>
      </rPr>
      <t xml:space="preserve">日本 語   </t>
    </r>
    <r>
      <rPr>
        <sz val="11"/>
        <color rgb="FF000000"/>
        <rFont val="Calibri"/>
        <family val="0"/>
        <charset val="1"/>
      </rPr>
      <t xml:space="preserve">Simple English   Srpskohrvatski / српскохрватски   Edit links   This page was last edited on 5 April 2018 , at 13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</si>
  <si>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rasin in the sun take place</t>
  </si>
  <si>
    <t xml:space="preserve"> A Raisin in the Sun is a play by Lorraine Hansberry that debuted on Broadway in 1959 . The title comes from the poem `` Harlem '' ( also known as `` A Dream Deferred '' ) by Langston Hughes . The story tells of a black family 's experiences in the Washington Park Subdivision of Chicago 's Woodlawn neighborhood as they attempt to `` better '' themselves with an insurance payout following the death of the father . The New York Drama Critics ' Circle named it the best play of 1959 . </t>
  </si>
  <si>
    <t xml:space="preserve">I Want to Hold Your Hand - wikipedia  I Want to Hold Your Hand  Jump to : navigation , search For other uses , see I Want to Hold Your Hand ( disambiguation ) .    `` I Want to Hold Your Hand ''     US picture sleeve     Single by the Beatles     from the album Meet the Beatles !     B - side     `` This Boy '' ( UK )   `` I Saw Her Standing There '' ( US )       Released     29 November 1963 ( 1963 - 11 - 29 ) ( UK )   26 December 1963 ( 1963 - 12 - 26 ) ( US )       Format   7 ''     Recorded     17 October 1963 ,   EMI Studios , London       Genre     Rock and roll   pop   pop rock       Length   2 : 24     Label     Parlophone R 5084 ( UK )   Capitol 5112 ( US )       Songwriter ( s )   Lennon -- McCartney     Producer ( s )   George Martin     The Beatles UK singles chronology        `` She Loves You '' ( 1963 )   `` I Want to Hold Your Hand '' ( 1963 )   `` Ca n't Buy Me Love '' ( 1964 )           `` She Loves You '' ( 1963 )   `` I Want to Hold Your Hand '' ( 1963 )   `` Ca n't Buy Me Love '' ( 1964 )            The Beatles US singles chronology        `` She Loves You '' ( 1963 ) She Loves You 1963   `` I Want to Hold Your Hand '' ( 1963 ) I Want to Hold Your Hand1963   `` Twist and Shout '' ( 1964 ) Twist and Shout 1964            Alternative cover         1992 CD issue         Audio sample       file   help           `` I Want to Hold Your Hand '' is a song by the English rock band the Beatles . Written by John Lennon and Paul McCartney , and recorded in October 1963 , it was the first Beatles record to be made using four - track equipment .   With advance orders exceeding one million copies in the United Kingdom , `` I Want to Hold Your Hand '' would have gone straight to the top of the British record charts on its day of release ( 29 November 1963 ) had it not been blocked by the group 's first million seller `` She Loves You '' , their previous UK single , which was having a resurgence of popularity following intense media coverage of the group . Taking two weeks to dislodge its predecessor , `` I Want to Hold Your Hand '' stayed at number one for five weeks and remained in the UK top 50 for 21 weeks in total .   It was also the group 's first American number one , entering the Billboard Hot 100 chart on 18 January 1964 at number 45 and starting the British invasion of the American music industry . By 1 February it held the number - one spot , and stayed there for seven weeks before being replaced by `` She Loves You '' , a reverse scenario of what had occurred in Britain . It remained on the Billboard chart for 15 weeks . `` I Want to Hold Your Hand '' became the Beatles ' best - selling single worldwide . In 2013 , Billboard magazine named it the 44th biggest hit of `` all - time '' on the Billboard Hot 100 charts .     Contents  ( hide )   1 Background and composition   2 Musical structure   3 In the studio   4 Promotion and release   5 Reception   6 Charts and certifications   6.1 Charts   6.2 All - time charts   6.3 Certifications     7 Melody and lyrics   8 Personnel   9 Cover versions and use in pop culture   10 Parodies and sampling   11 References   11.1 Notes     12 External links      Background and composition ( edit )   Capitol Records ' rejection of the group 's recordings in the US was now Brian Epstein 's main concern , and he encouraged Lennon and McCartney to write a song to appeal specifically to the American market . George Martin , however , had no such explicit recollections , believing that Capitol were left with no alternative but to release `` I Want To Hold Your Hand '' due to increasing demand for the group 's product .   McCartney had recently moved into 57 Wimpole Street , London , where he was lodging as a guest of Dr Richard and Margaret Asher , and whose daughter , actress Jane Asher , had become McCartney 's girlfriend after their meeting earlier in the year . This location briefly became Lennon and McCartney 's new writing base , taking over from McCartney 's Forthlin Road home in Liverpool . Margaret Asher taught the oboe in the `` small , rather stuffy music room '' in the basement where Lennon and McCartney sat at the piano and composed ' I Want to Hold Your Hand ' . In September 1980 , Lennon told Playboy magazine :   We wrote a lot of stuff together , one on one , eyeball to eyeball . Like in ' I Want to Hold Your Hand , ' I remember when we got the chord that made the song . We were in Jane Asher 's house , downstairs in the cellar playing on the piano at the same time . And we had , ' Oh you - u-u / got that something ... ' And Paul hits this chord and I turn to him and say , ' That 's it ! ' I said , ' Do that again ! ' In those days , we really used to absolutely write like that -- both playing into each other 's noses .   In 1994 , McCartney agreed with Lennon 's description of the circumstances surrounding the composition of `` I Want to Hold Your Hand '' , saying :   ' Eyeball to eyeball ' is a very good description of it . That 's exactly how it was . ' I Want to Hold Your Hand ' was very co-written . It was our big number one ; the one that would eventually break us in America .   Musical structure ( edit )   The song is in the key of G major and lyrically opens two beats early with `` Oh yeah , I 'll tell you something '' with a D-B , B-D melody note drop and rise over a I ( G ) chord . Controversy exists over the landmark chord that Lennon stated McCartney hit on the piano while they were composing the song . Marshall considers it is the minor vi ( Em ) chord ( the third chord in the I - V7 - vi ( G - D7 - Em ) progression ) . Everett is of the same opinion . Pedler claims , however , that more surprising is the melody note drop from B to F# against a III7 ( B7 ) chord on `` understand '' . Music theorists are divided over whether this chord is a iii ( Bm ) , a B major , or a B7 or even a B5 power chord with no major or minor defining third .   Lyrically bland , random phrases were most likely called out and if they fitted the overall sound would stay . This , according to Ian MacDonald , was how Lennon and McCartney worked in partnership at that time . The song 's title is probably a variation of `` I Wanna Be Your Man '' which they had only just recently recorded at Abbey Road Studios .   In the studio ( edit )   The Beatles recorded `` I Want to Hold Your Hand '' at EMI Studios in Studio 2 on 17 October 1963 . This song , along with the single 's flip side , `` This Boy '' , was the first Beatles song to be recorded with four - track technology . The two songs were recorded on the same day , and each needed seventeen takes to complete . Mono and stereo mixing was done by George Martin on 21 October 1963 ; further stereo mixes were done on 8 June 1965 , for compilations released by EMI affiliates in Australia and the Netherlands , and on 7 November 1966 .   `` I Want to Hold Your Hand '' was one of two Beatles songs ( along with `` She Loves You '' as `` Sie liebt dich '' ) to be later recorded in German , entitled `` Komm , gib mir deine Hand '' . Both songs were translated by Luxembourger musician Camillo Felgen , under the pseudonym of `` Jean Nicolas '' . Odeon , the German arm of EMI ( the parent company of the Beatles ' record label , Parlophone ) was convinced that the Beatles ' records would not sell in Germany unless they were sung in German . The Beatles detested the idea , and when they were due to record the German version on 27 January 1964 at EMI 's Pathe Marconi Studios in Paris ( where the Beatles were performing 18 days of concerts at the Olympia Theatre ) they chose to boycott the session . Their record producer , George Martin , having waited some hours for them to show up , was outraged and insisted that they give it a try . Two days later , the Beatles recorded `` Komm , gib mir deine Hand '' , one of the few times in their career that they recorded outside London . However , Martin later conceded : `` They were right , actually , it was n't necessary for them to record in German , but they were n't graceless , they did a good job '' .   `` Komm , gib mir deine Hand '' was released as a German single in March 1964 . In July , the song appeared in full stereo in the United States on the Beatles ' Capitol LP Something New . ( That album was released in CD form for the first time in 2004 , on The Capitol Albums , Volume 1 , and then rereleased in 2014 , individually and in the boxed set The US Albums . ) `` Komm , gib mir deine Hand '' also appeared on the compilations Past Masters and Mono Masters .   The German - language track was a big hit in Germany at the time , but today , like all the other German - lyrics versions of English - language pop songs that were popular in that country during the 1950s and 1960s , it is generally considered as a cultural curiosity from a by - gone era at best . The English versions are much better known in Germany today ; the Beatles ' Red and Blue albums of the 1970s already featured the English hits on the German pressings .   Promotion and release ( edit )   In the United Kingdom , `` She Loves You '' ( released in August ) had shot back to the number - one position in November following blanket media coverage of the Beatles ( described as Beatlemania ) . Mark Lewisohn later wrote : `` ' She Loves You ' had already sold an industry - boggling three quarters of a million before these fresh converts were pushing it into seven figures . And at this very moment , just four weeks before Christmas , with everyone connected to the music and relevant retail industries already lying prone in paroxysms of unimaginable delight , EMI pulled the trigger and released ' I Want to Hold Your Hand ' . And then it was bloody pandemonium '' .   On 29 November 1963 , Parlophone Records released `` I Want to Hold Your Hand '' in the UK , with `` This Boy '' joining it on the single 's B - side . Demand had been building for quite a while , as evidenced by the one million advance orders for the single . When it was finally released , the response was phenomenal . A week after it entered the British charts , on 14 December 1963 , it knocked `` She Loves You '' off the top spot , the first instance of an act taking over from itself at number one in British history , and it clung to the top spot for five weeks . It stayed in the charts for another 15 weeks and made a one - week return to the charts on 16 May 1964 . Beatlemania was peaking at that time ; during the same period , the Beatles set a record by occupying the top two positions on both the album and single charts in the UK .   EMI and Brian Epstein finally convinced American label Capitol Records , a subsidiary of EMI , that the Beatles could make an impact in the US , leading to the release of `` I Want to Hold Your Hand '' with `` I Saw Her Standing There '' on the B - side as a single on 26 December 1963 . Capitol had previously resisted issuing Beatle recordings in the US . This resulted in the relatively modest Vee - Jay and Swan labels releasing the group 's earlier Parlophone counterparts in the US . Seizing the opportunity , Epstein demanded US $40,000 from Capitol to promote the single ( the most the Beatles had ever previously spent on an advertising campaign was US $5,000 ) . The single had actually been intended for release in mid-January 1964 , coinciding with the planned appearance of the Beatles on The Ed Sullivan Show . However , a 14 - year - old fan of the Beatles , Marsha Albert , was determined to get hold of the single earlier . Later she said :     ``   It was n't so much what I had seen , it 's what I had heard . They had a scene where they played a clip of ' She Loves You ' and I thought it was a great song ... I wrote that I thought the Beatles would be really popular here , and if ( deejay Carroll James ) could get one of their records , that would really be great .   ''     James was the DJ for WWDC , a radio station in Washington , DC . Eventually he decided to pursue Albert 's suggestion to him and asked the station 's promotion director to get British Overseas Airways Corporation to ship in a copy of `` I Want to Hold Your Hand '' from Britain . Albert related what happened next : `` Carroll James called me up the day he got the record and said ' If you can get down here by 5 o'clock , we 'll let you introduce it . ' '' Albert managed to get to the station in time , and introduced the record with : `` Ladies and gentlemen , for the first time on the air in the United States , here are the Beatles singing ' I Want to Hold Your Hand . ' ''   The song proved to be a huge hit , a surprise for the station since they catered mainly to a more staid audience , which would normally be expecting songs from singers such as Andy Williams or Bobby Vinton instead of rock and roll . James took to playing the song repeatedly on the station , often turning down the song in the middle to make the declaration , `` This is a Carroll James exclusive '' , to avoid theft of the song by other stations .   Capitol threatened to seek a court order banning airplay of `` I Want to Hold Your Hand '' , which was already being spread by James to a couple of DJs in Chicago and St. Louis . James and WWDC ignored the threat , and Capitol came to the conclusion that they could well take advantage of the publicity , releasing the single two weeks ahead of schedule on 26 December .   The demand was insatiable ; in the first three days alone , a quarter million copies had already been sold ( 10,000 copies In New York City every hour ) . Capitol was so overloaded by the demand , it contracted part of the job of pressing copies off to Columbia Records and RCA . By 18 January , the song had started its 15 - week chart run , and on 1 February , the Beatles finally achieved their first number - one in Billboard , emulating the success of another British group , the Tornados with `` Telstar '' , which was number one on the Billboard chart for three weeks in December 1962 . `` I Want to Hold Your Hand '' finally relinquished the number - one spot after seven weeks , passing the baton to the very song they had knocked off the top in Britain : `` She Loves You '' . `` I Want to Hold Your Hand '' sold close to five million copies in the US alone . The replacement of themselves at the summit of the US charts was the first time since Elvis Presley in 1956 , with `` Love Me Tender '' beating out `` Do n't Be Cruel '' , that an act had dropped off the top of the American charts only to be replaced by another of their releases . `` I Want to Hold Your Hand '' also finished as the No. 1 song for 1964 , according to Billboard . In 2013 , Billboard listed it as the 44th most successful song of all - time on the Hot 100 .   With that , the `` British Invasion '' of America had been launched . Throughout 1964 , British pop and rock artists enjoyed unprecedented success on the American charts .   The American single 's front and back sleeves featured a photograph of the Beatles with Paul McCartney holding a cigarette . In 1984 , Capitol Records airbrushed out the cigarette for the re-release of the single .   `` I Want to Hold Your Hand '' was also released in America on the album Meet the Beatles ! , which altered the American charts by actually outselling the single . Beforehand , the American markets were more in favour of hit singles instead of whole albums ; however , two months after the album 's release , it had shipped 3,650,000 copies , over 200,000 ahead of the `` I Want to Hold Your Hand '' single at 3,400,000 .   The song was included on the 1964 Canadian release The Beatles ' Long Tall Sally . The November 1966 stereo remix appeared on 1966 's A Collection of Beatles Oldies , and on several later Beatles compilation albums , including 1973 's 1962 -- 1966 , 1982 's 20 Greatest Hits , and 2000 's 1 . The 2009 CD rerelease of the Beatles ' catalog included the 1966 stereo remix on Past Masters and the original mono mix on Mono Masters .   Reception ( edit )   The song was greeted by raving fans on both sides of the Atlantic but was dismissed by some critics as nothing more than another fad song that would not hold up to the test of time . Cynthia Lowery of the Associated Press expressed her exasperation with Beatlemania by saying of the Beatles : `` Heaven knows we 've heard them enough . It has been impossible to get a radio weather bulletin or time signal without running into ' I Want to Hold Your Hand ' . ''   Bob Dylan was impressed by the Beatles ' innovation , saying , `` They were doing things nobody was doing . Their chords were outrageous , just outrageous , and their harmonies made it all valid . '' For a time Dylan thought the Beatles were singing `` I get high '' instead of `` I ca n't hide '' . He was surprised when he met them and found out that none of them had actually smoked marijuana . The Beach Boys ' Brian Wilson said the song `` was n't even that great a record , but they ( female Beatles fans ) just screamed at it ... It got us off our asses in the studio . We started cutting -- we said ' look , do n't worry about the Beatles , we 'll cut our own stuff . ''   The song was nominated for the Grammy Award for Record of the Year , but the award went to Astrud Gilberto and Stan Getz for `` The Girl from Ipanema '' . However , in 1998 , the song won the Grammy Hall of Fame Award . It has also made the list in The Rock and Roll Hall of Fame 's 500 Songs that Shaped Rock and Roll . In addition , the Recording Industry Association of America , the National Endowment for the Arts and Scholastic Press have named `` I Want to Hold Your Hand '' as one of the Songs of the Century . In 2004 , it was ranked number 16 on Rolling Stone 's list of `` The 500 Greatest Songs of All Time '' . In 2010 , Rolling Stone placed the song at number two on the 100 Greatest Beatles Songs after `` A Day in the Life '' . It was ranked number two in Mojo 's list on the `` 100 Records That Changed the World '' , after Little Richard 's `` Tutti Frutti '' . The song was ranked number thirty - nine on Billboard 's All Time Top 100 As of August 2015 , `` I Want to Hold Your Hand '' is ranked as the 45th best song of all time , as well as the number three song of 1963 , in an aggregation of critics ' lists at acclaimedmusic.net . Time included the song on its list of the All - TIME 100 Songs .   The Beatles ' recording of this song also appeared as the opening track in the 1997 Time - Life 6 - CD boxed set , Gold And Platinum : The Ultimate Rock Collection .   Starting at the song 's final week at number 1 on the American charts , the Beatles have the all - time record of seven number 1 songs in a one - year period . In order , these were `` I Want to Hold Your Hand '' , `` She Loves You '' , `` Ca n't Buy Me Love '' , `` Love Me Do '' , `` A Hard Day 's Night '' , `` I Feel Fine '' , and `` Eight Days a Week '' . It was also the first of seven songs written by Lennon - McCartney to hit number 1 on the US charts in 1964 ; that 's an all - time record for writing the most songs to hit number 1 on the US charts in the same calendar year . ( see List of Billboard Hot 100 chart achievements and milestones )   Charts and certifications ( edit )      Charts ( edit )     Chart ( 1963 -- 64 )   Peak position     Australia ( Kent Music Report )       Belgium ( Ultratop 50 Flanders )   6     Ireland ( IRMA )       Netherlands ( Single Top 100 )       New Zealand ( Lever Hit Parade )       Norway ( VG - lista )       UK Singles ( Official Charts Company )       US Billboard Hot 100       US Cash Box Top 100       West German Media Control Singles Chart       All - time charts ( edit )     Chart   Peak position     US Billboard Hot 100   44       Certifications ( edit )     Region   Certification   Certified units / Sales     United States ( RIAA )   Gold   1,000,000      sales figures based on certification alone shipments figures based on certification alone         Melody and lyrics ( edit )   Reminiscent of Tin Pan Alley and Brill Building techniques and an example of modified 32 - bar form , the song is written on a two - bridge model , with only an intervening verse to connect them . The song has no real `` lead '' singer , as Lennon and McCartney sing in harmony with each other . Lennon 's vocals are more prominent on the recording and on the live bootleg BBC version ; however , when the Beatles performed the song on The Ed Sullivan Show on 9 February 1964 , McCartney 's vocals could be heard more clearly ( although this may have been due to the audio mix , as their microphones were not turned to the same sound level ) .   Personnel ( edit )    John Lennon -- vocal , rhythm guitar , handclaps   Paul McCartney -- vocal , bass guitar , handclaps   George Harrison -- lead guitar , handclaps   Ringo Starr -- drums , handclaps     Personnel per Ian MacDonald    Cover versions and use in pop Culture ( edit )       This section needs additional citations for verification . Please help improve this article by adding citations to reliable sources . Unsourced material may be challenged and removed . ( January 2017 ) ( Learn how and when to remove this template message )      In 1964 , Arthur Fiedler &amp; the Boston Pops Orchestra recorded an instrumental version , which rose to number 55 in the American charts .   In 1968 , The Moving Sidewalks , fronted by a pre-ZZ Top guitarist / vocalist Billy Gibbons recorded a psychedelic garage rendition   In 1969 , soul singer Al Green covered the song .   In 1975 , American band Sparks released a cover as a single . It was included as a bonus track on the 1996 Island re-release of Big Beat .   In 1980 , British pop duo Dollar had a UK Top 10 hit with their cover , included on the re-release of their debut album Shooting Stars ( 1979 ) .   In 1982 , Funk band Lakeside covered the song as a ballad and became a Top Ten R&amp;B hit .   In 1996 , Puerto Rican singer Manny Manuel covered the song in Spanish as `` Dame tu mano y ven '' on the compilation album Tropical Tribute to the Beatles . This version peaked at number 13 on the Billboard Hot Latin Songs chart . Manuel 's cover led to McCartney receiving a BMI Latin Award in 1997 .   In 2007 , T.V. Carpio covered the song for the film Across the Universe .   In 2010 , Chris Colfer covered the song for Glee in the episode Grilled Cheesus as the Across the Universe version .    Parodies and sampling ( edit )       This section needs additional citations for verification . Please help improve this article by adding citations to reliable sources . Unsourced material may be challenged and removed . ( January 2017 ) ( Learn how and when to remove this template message )      Recorded by Homer and Jethro with different lyrics ( `` if you , electrocute me , I wan na hold your hands '' )   Neil Innes ' The Rutles also pastiched the song as `` Hold My Hand '' in 1978 .   For the 2006 album Love , George Martin and his son , Giles , melded the original studio recording with a live performance at the Hollywood Bowl , complete with screaming hordes of teenage girls .   Beatallica , a parody of both the Beatles and Metallica , recorded a parody titled `` I Want to Choke Your Band '' .   In Disneyland 's original Star Tours attraction , a maintenance droid listens to a song called `` I Want to Weld Your Hand . ''    References ( edit )    `` I Want to Hold Your Hand : Shmoop Music Guide '' . Shmoop . ref stripmarker in ref = at position 1 ( help )   `` Acclaimed Music Top 6000 songs '' . Acclaimed Music . 22 August 2015 .   The Beatles ( 2000 ) . The Beatles Anthology . London : Cassell &amp; Co . ISBN 0 - 304 - 35605 - 0 .   `` The Billboard Hot 100 All - Time Top Songs ( 40 - 31 ) '' . Billboard. 2008 .   Covach , John ( 2005 ) . `` Form in Rock Music : A Primer '' . In Stein , Deborah . Engaging Music : Essays in Music Analysis . New York : Oxford University Press . ISBN 0 - 19 - 517010 - 5 .   de Vries , Lloyd ( 16 January 2004 ) . `` Beatles ' ' Helping Hand ' Shuns Fame : Fab Four Fan Want To Find Teen Who Helped Launched Beatlemania '' . CBS News . Retrieved 21 September 2006 .   Gambaccini , Paul ( 1991 ) . British Hit Singles . London : Guinness Publishing . ISBN 0 - 85112 - 941 - 2 .   Gilliland , John ( 1969 ) . `` The British Are Coming ! The British Are Coming ! : The U.S.A. is invaded by a wave of long - haired English rockers '' ( audio ) . Pop Chronicles . University of North Texas Libraries .   Harrington , Richard ( 16 August 2004 ) . `` The Beatles ' Helping ' Hand ' '' . The Washington Post .   Harry , Bill ( 1985 ) . The Book of Beatle Lists . Javelin . ISBN 0 - 7137 - 1521 - 9 .   Harry , Bill ( 2000 ) . The Beatles Encyclopedia : Revised and Updated . London : Virgin Publishing . ISBN 0 - 7535 - 0481 - 2 .   Lewisohn , Mark ( 1988 ) . The Complete Beatles Recording Sessions . London : Hamlyn . ISBN 0 - 600 - 55798 - 7 .   Lewisohn , Mark ( 1996 ) . The Complete Beatles Chronicle . London : Chancellor Press . ISBN 1 - 85152 - 975 - 6 .   MacDonald , Ian ( 1998 ) . Revolution in the Head . London : Pimlico . ISBN 0 - 7126 - 6697 - 4 .   Miles , Barry ( 1997 ) . Paul McCartney : Many Years From Now . London : Vintage . ISBN 0 - 7493 - 8658 - 4 .   `` Mojo Lists Page 1 '' . Rocklist.net. 2007 .   Mojo Special Limited Edition # M - 04951 . Mojo . London : EMAP Metro Limited . 2002 .   `` The RS 500 Greatest Songs of All Time '' . Rolling Stone . 9 December 2004 . Retrieved 28 February 2007 .   `` The RS 100 Greatest Beatles Songs of All Time '' . Rolling Stone . August 2010 . Retrieved 30 August 2010 .   Scaduto , Anthony ( 1973 ) . Bob Dylan . New York , NY : Signet Books . ASIN B000J68AZM .   Segal , David ( 3 August 2005 ) . `` The Rock Journalist at a High Point in Music History '' . The Washington Post .   `` Will We All Become Beatle Nuts ? '' . Ottawa Journal . 10 February 1964 .   `` With The Beatles '' . The Beatles Interview Database. 2004 . Retrieved 1 September 2004 .    Notes ( edit )    Jump up ^ Neely , Tim ( 28 February 2011 ) . Warman 's Beatles Field Guide : Values and Identification . Krause Publications . pp. 16 -- . ISBN 1 - 4402 - 2824 - 8 .   ^ Jump up to : Shmoop , p. 6 .   Jump up ^ Greene , Doyle ( 10 March 2014 ) . The Rock Cover Song : Culture , History , Politics . McFarland . pp. 51 -- . ISBN 978 - 0 - 7864 - 7809 - 5 .   Jump up ^ Gambaccini 1991 , pp. 27 .   Jump up ^ Harry 1985 , pp. 66 .   Jump up ^ Harry 2000 , p. 561 .   ^ Jump up to : Bronson , Fred ( 2 August 2012 ) . `` Hot 100 55th Anniversary : The All - Time Top 100 Songs '' . Billboard . Retrieved 9 August 2013 .   Jump up ^ MacDonald 1998 , pp. 88 .   Jump up ^ `` George Martin introduces `` I Want To Hold Your Hand '' video `` . YouTube . Archived from the original on 2 November 2012 .   ^ Jump up to : Miles 1997 , pp. 107 .   Jump up ^ The Beatles Interview Database 2004 .   Jump up ^ Miles 1997 , pp. 108 .   ^ Jump up to : Pedler , Dominic ( 2003 ) . The Songwriting Secrets of the Beatles . London : Omnibus Press . p. 111 . ISBN 978 - 0 - 7119 - 8167 - 6 .   Jump up ^ Wolf Marshall . Guitar One . 1966 Vol 6 , p16   Jump up ^ Everett , Walter ( 2001 ) . The Beatles as Musicians : The Quarry Men Through Rubber Soul . Oxford University Press . p. 110 .   Jump up ^ Pedler , Dominic ( 2003 ) . The Songwriting Secrets of the Beatles . London : Omnibus Press . pp. 110 -- 111 . ISBN 978 - 0 - 7119 - 8167 - 6 .   Jump up ^ MacDonald , Ian ( 1998 ) . Revolution in the Head . London : Pimlico . p. 91 . ISBN 0 - 7126 - 6697 - 4 .   ^ Jump up to : Lewisohn 1988 , p. 38 .   Jump up ^ Lewisohn 1996 , p. 125 .   Jump up ^ Lewisohn 1996 , p. 194 .   Jump up ^ Lewisohn 1996 , p. 231 .   Jump up ^ EMAP Metro Limited 2002 , p. 48 .   ^ Jump up to : de Vries 2004 .   ^ Jump up to : Harrington 2006 , p . C01 .   Jump up ^ Gilliland 1969 , Show 28 .   Jump up ^ Tepper , Ron . `` Alan Livingston , Capitol 's Former President When The Beatles Came Calling , Recalls The ' British Invasion ' '' Billboard 4 May 1974 : M - 18   Jump up ^ `` Number One Song of the Year : 1946 - 2016 '' . Bobborst.com. 2016 - 12 - 23 . Retrieved 2016 - 12 - 30 .   Jump up ^ Bronson , Fred ( 2 August 2012 ) . `` Hot 100 55th Anniversary : The All - Time Top 100 Songs '' . Billboard . Retrieved 9 August 2013 .   Jump up ^ Maher , Jack . `` Beatles Are Enshrined in Mme . Tussaud 's Waxworks '' Billboard 28 March 1964 : 8   Jump up ^ The Ottawa Journal 1964 .   Jump up ^ Scaduto 1973 , pp. 203 -- 4 .   Jump up ^ Segal 2005 .   Jump up ^ Espar , David , Levi , Robert ( Directors ) ( 1995 ) . Rock &amp; Roll ( Miniseries ) .   Jump up ^ Rolling Stone 2004 .   Jump up ^ Rolling Stone 2010 .   Jump up ^ `` 2 : I Want to Hold Your Hand '' . 100 Greatest Beatles Songs . Rolling Stone . Retrieved 21 May 2013 .   Jump up ^ Rocklist.net 2007 .   Jump up ^ Billboard 2008 .   Jump up ^ Acclaimed Music .   Jump up ^ Wolk , Douglas ( 24 October 2011 ) . `` 100 Greatest Popular Songs : TIME List of Best Music '' . Time . Retrieved 29 December 2011 .   Jump up ^ Kent , David ( 2005 ) . Australian Chart Book ( 1940 -- 1969 ) . Turramurra : Australian Chart Book . ISBN 0 - 646 - 44439 - 5 .   Jump up ^ `` Ultratop.be -- The Beatles -- I Want to Hold Your Hand '' ( in Dutch ) . Ultratop 50 . Retrieved 16 May 2016 .   Jump up ^ `` The Irish Charts -- Search Results -- I Wanna Hold Your Hand '' . Irish Singles Chart . Retrieved 16 May 2016 .   Jump up ^ `` Dutchcharts.nl -- The Beatles -- I Want to Hold Your Hand '' ( in Dutch ) . Single Top 100 . Retrieved 16 May 2016 .   Jump up ^ Hung , Steffen . `` charts.org.nz - Forum - 1963 Chart ( General ) '' . charts.org.nz . Retrieved 23 February 2017 .   Jump up ^ `` Norwegiancharts.com -- The Beatles -- I Want to Hold Your Hand '' . VG - lista . Retrieved 16 May 2016 .   Jump up ^ `` Archive Chart : 1963 - 12 - 18 '' UK Singles Chart . Retrieved 16 May 2016 .   Jump up ^ `` The Beatles -- Chart history '' Billboard Hot 100 for The Beatles . Retrieved 16 May 2016 .   Jump up ^ Hoffmann , Frank ( 1983 ) . The Cash Box Singles Charts , 1950 - 1981 . Metuchen , NJ &amp; London : The Scarecrow Press , Inc . pp. 32 -- 34 .   Jump up ^ `` Offizielle Deutsche Charts '' ( Enter `` Beatles '' in the search box ) ( in German ) . GfK Entertainment Charts . Retrieved 16 May 2016 .   Jump up ^ `` American single certifications -- The Beatles -- I Want to Hold Your Hand '' . Recording Industry Association of America . Retrieved 15 May 2016 . If necessary , click Advanced , then click Format , then select Single , then click SEARCH   Jump up ^ Covach 2005 , p. 70 .   Jump up ^ The Beatles 2000 , pp. 119 .   Jump up ^ MacDonald 1998 , pp. 87 .   Jump up ^ `` The Beatles ' ' I Want to Hold Your Hand , ' Then Al Green 's '' . New York Times . Retrieved 11 March 2014 .   Jump up ^ `` Manny Manuel : Awards '' . Allmusic . Retrieved 4 April 2013 .   Jump up ^ `` Los Premios Latino de BMI '' . Billboard . Prometheus Global Media : 85 . 13 September 1997 . Retrieved 29 June 2015 .    External links ( edit )       Wikiquote has quotations related to : Meet the Beatles !      Alan W. Pollack 's Notes on `` I Want to Hold Your Hand ''   Lyrics of this song at MetroLyrics      Preceded by `` She Loves You '' by The Beatles   UK number - one single 12 December 1963 ( five weeks )   Succeeded by `` Glad All Over '' by The Dave Clark Five     Preceded by `` There ! I 've Said It Again '' by Bobby Vinton   Billboard Hot 100 number - one single 1 February 1964 ( seven weeks )   Succeeded by `` She Loves You '' by The Beatles     Preceded by `` Return to Sender '' by Elvis Presley   UK Christmas Number One single 1963   Succeeded by `` I Feel Fine '' by The Beatles               The Beatles singles discography     UK and US ( all labels )      1963     `` Please Please Me '' / `` Ask Me Why ''   `` From Me to You '' / `` Thank You Girl ''   `` She Loves You '' / `` I 'll Get You ''       1964     `` Ca n't Buy Me Love '' / `` You Ca n't Do That ''   `` I Feel Fine '' / `` She 's a Woman ''       1965     `` Ticket to Ride '' / `` Yes It Is ''   `` Help ! '' / `` I 'm Down ''   `` We Can Work It Out '' / `` Day Tripper ''       1966     `` Paperback Writer '' / `` Rain ''   `` Yellow Submarine '' / `` Eleanor Rigby ''       1967     `` Penny Lane '' / `` Strawberry Fields Forever ''   `` All You Need Is Love '' / `` Baby , You 're a Rich Man ''   `` Hello , Goodbye '' / `` I Am the Walrus ''       1968     `` Lady Madonna '' / `` The Inner Light ''   `` Hey Jude '' / `` Revolution ''       1969     `` Get Back '' / `` Do n't Let Me Down ''   `` The Ballad of John and Yoko '' / `` Old Brown Shoe ''   `` Something '' / `` Come Together ''       1970     `` Let It Be '' / `` You Know My Name ( Look Up the Number ) ''  </t>
  </si>
  <si>
    <t xml:space="preserve">i want to hold your hand b side</t>
  </si>
  <si>
    <t xml:space="preserve">   `` I Want to Hold Your Hand ''     US picture sleeve     Single by the Beatles     from the album Meet the Beatles !     B - side     `` This Boy '' ( UK )   `` I Saw Her Standing There '' ( US )       Released     29 November 1963 ( 1963 - 11 - 29 ) ( UK )   26 December 1963 ( 1963 - 12 - 26 ) ( US )       Format   7 ''     Recorded     17 October 1963 ,   EMI Studios , London       Genre     Rock and roll   pop   pop rock       Length   2 : 24     Label     Parlophone R 5084 ( UK )   Capitol 5112 ( US )       Songwriter ( s )   Lennon -- McCartney     Producer ( s )   George Martin     The Beatles UK singles chronology        `` She Loves You '' ( 1963 )   `` I Want to Hold Your Hand '' ( 1963 )   `` Ca n't Buy Me Love '' ( 1964 )           `` She Loves You '' ( 1963 )   `` I Want to Hold Your Hand '' ( 1963 )   `` Ca n't Buy Me Love '' ( 1964 )            The Beatles US singles chronology        `` She Loves You '' ( 1963 ) She Loves You 1963   `` I Want to Hold Your Hand '' ( 1963 ) I Want to Hold Your Hand1963   `` Twist and Shout '' ( 1964 ) Twist and Shout 1964            Alternative cover         1992 CD issue         Audio sample       file   help         </t>
  </si>
  <si>
    <t xml:space="preserve">The A-Team - wikipedia  The A-Team  Jump to : navigation , search For the film based on this TV series , see The A-Team ( film ) . For other uses , see The A-Team ( disambiguation ) .    The A-Team     The A-Team title screen ( seasons 1 -- 4 )     Genre   Action - adventure     Created by     Frank Lupo   Stephen J. Cannell       Starring     George Peppard   Dirk Benedict   Dwight Schultz   Mr. T   Melinda Culea ( Season 1 -- 2 )   Marla Heasley ( Season 2 -- 3 )   Tia Carrere ( Season 4 )   Eddie Velez ( Season 5 )   Robert Vaughn ( Season 5 )       Narrated by   John Ashley     Theme music composer     Mike Post   Pete Carpenter       Composer ( s )     Mike Post   Pete Carpenter   Garry Schyman ( uncredited )       Country of origin   United States     Original language ( s )   English     No. of seasons   5 ( 1983 -- 87 )     No. of episodes   98 ( list of episodes )     Production     Executive producer ( s )     Frank Lupo   Stephen J. Cannell       Producer ( s )     John Ashley ( seasons 1 - 4 )   Patrick Hasburgh ( season 1 )   Tom Blomquist ( season 5 )       Camera setup     Film ( 1982 -- 86 )   Film ( principal photography ) / Videotape ( post-production ) ( 1986 )   Single - camera setup       Running time   48 minutes     Production company ( s )     Universal Television   Stephen J. Cannell Productions       Distributor   NBCUniversal Television Distribution     Release     Original network   NBC     Original release   January 23 , 1983 ( 1983 - 01 - 23 ) -- March 8 , 1987 ( 1987 - 03 - 08 )     The A-Team is an American action - adventure television series that ran on NBC from 1983 to 1987 about former members of a fictitious United States Army Special Forces unit . The members , after being court - martialed `` for a crime they did n't commit '' , escaped from military prison and , while still on the run , worked as soldiers of fortune . The series was created by Stephen J. Cannell and Frank Lupo . A feature film based on the series was released by 20th Century Fox in 2010 .     Contents  ( hide )   1 History   2 Plot   2.1 Connections to the Vietnam War     3 Episodes   4 Characters   4.1 Character traits   4.2 Casting   4.3 Notable guest appearances     5 Reception   5.1 Ratings   5.2 In syndication   5.3 International     6 Criticisms   6.1 On - screen violence   6.2 Sexism     7 GMC van   8 Merchandise   8.1 Comics   8.2 Books   8.3 Video games   8.4 Soundtrack     9 Production notes   9.1 Awards   9.2 Professional wrestlers   9.3 Theme song   9.4 Weapons     10 Home media   11 Bring Back ... The A-Team ( 2006 )   12 Feature film   13 Reboot series   14 See also   15 References   15.1 General   15.2 Specific     16 External links      History ( edit )   The A-Team was created by writers and producers Stephen J. Cannell and Frank Lupo at the behest of Brandon Tartikoff , NBC 's Entertainment president . Cannell was fired from ABC in the early 1980s , after failing to produce a hit show for the network , and was hired by NBC ; his first project was The A-Team . Brandon Tartikoff pitched the series to Cannell as a combination of The Dirty Dozen , Mission Impossible , The Magnificent Seven , Mad Max and Hill Street Blues , with `` Mr. T driving the car '' .   The A-Team was not generally expected to become a hit , although Stephen J. Cannell has said that George Peppard suggested it would be a huge hit `` before we ever turned on a camera '' . The show became very popular ; the first regular episode , which aired after Super Bowl XVII on January 30 , 1983 , reached 26.4 % of the television audience , placing fourth in the top 10 Nielsen - rated shows . The A-Team was portrayed as acting on the side of good and helping the oppressed .   The show remains prominent in popular culture for its cartoonish , over-the - top violence ( in which people were seldom seriously hurt ) , formulaic episodes , its characters ' ability to form weaponry and vehicles out of old parts , and its distinctive theme tune . The show boosted the career of Mr. T , who portrayed the character of B.A. Baracus , around whom the show was initially conceived . Some of the show 's catchphrases , such as `` I love it when a plan comes together '' , `` Hannibal 's on the jazz '' , and `` I ai n't gettin ' on no plane ! '' have also made their way onto T - shirts and other merchandise .   The show 's name comes from the `` A-Teams '' , the nickname coined for U.S. Special Forces ' Operational Detachments Alpha ( ODA ) during the Vietnam War , although this connection was never mentioned on - screen .   In a 2003 Yahoo ! survey of 1,000 television viewers , The A-Team was voted the one `` oldie '' television show viewers would most like to see revived , beating out such popular television series from the 1980s as The Dukes of Hazzard and Knight Rider .   Plot ( edit )  `` In 1972 , a crack commando unit was sent to prison by a military court for a crime they did n't commit . These men promptly escaped from a maximum security stockade to the Los Angeles underground . Today , still wanted by the government , they survive as soldiers of fortune . If you have a problem , if no one else can help , and if you can find them , maybe you can hire ... the A-Team . '' ( Narration originally stated `` 10 years ago '' instead of `` In 1972 '' . )  - John Ashley 's opening narration .   The A-Team is a naturally episodic show , with few overarching stories , except the characters ' continuing motivation to clear their names , with few references to events in past episodes and a recognizable and steady episode structure . In describing the ratings drop that occurred during the show 's fourth season , reviewer Gold Burt points to this structure as being a leading cause for the decreased popularity `` because the same basic plot had been used over and over again for the past four seasons with the same predictable outcome '' . Similarly , reporter Adrian Lee called the plots `` stunningly simple '' in a 2006 article for The Express ( UK newspaper ) , citing such recurring elements `` as BA 's fear of flying , and outlandish finales when the team fashioned weapons from household items '' . The show became emblematic of this kind of `` fit - for - TV warfare '' due to its depiction of high - octane combat scenes , with lethal weapons , wherein the participants ( with the notable exception of General Fulbright ) are never killed and rarely seriously injured ( see also On - screen violence section ) .   As the television ratings of The A-Team fell dramatically during the fourth season , the format was changed for the show 's final season in 1986 -- 87 in a bid to win back viewers . After years on the run from the authorities , the A-Team is finally apprehended by the military . General Hunt Stockwell , a mysterious CIA operative played by Robert Vaughn , propositions them to work for him , whereupon he will arrange for their pardons upon successful completion of several suicide missions . In order to do so , the A-Team must first escape from their captivity . With the help of a new character , Frankie `` Dishpan Man '' Santana , Stockwell fakes their deaths before a military firing squad . The new status of the A-Team , no longer working for themselves , remained for the duration of the fifth season while Eddie Velez and Robert Vaughn received star billing along with the principal cast . The missions that the team had to perform in season five were somewhat reminiscent of Mission : Impossible , and based more around political espionage than beating local thugs , also usually taking place in foreign countries , including successfully overthrowing an island dictator , the rescue of a scientist from East Germany , and recovering top secret Star Wars defense information from Soviet hands . These changes proved unsuccessful with viewers , however , and ratings continued to decline . Only 13 episodes aired in the fifth season . In what was supposed to be the final episode , `` The Grey Team '' ( although `` Without Reservations '' was broadcast on NBC as the last first - run episode in March 1987 ) , Hannibal , after being misled by Stockwell one time too many , tells him that the team will no longer work for him . At the end , the team discusses what they were going to do if they get their pardon , and it is implied that they would continue doing what they were doing as the A-Team . The character of Howling Mad Murdock can be seen in the final scene wearing a T - shirt that says , `` Fini '' .   Connections to the Vietnam War ( edit )   During the Vietnam War , the A-Team were members of the 5th Special Forces Group ( see episode `` West Coast Turnaround '' ) . In episode `` Bad Time on the Border '' , Colonel John `` Hannibal '' Smith , portrayed by George Peppard , indicated that the A-Team were `` ex-Green Berets '' . During the Vietnam War , the A-Team's commanding officer , Colonel Morrison , gave them orders to rob the Bank of Hanoi to help bring the war to an end . They succeeded in their mission , but on their return to base four days after the end of the war , they discovered that Morrison had been killed by the Viet Cong , and that his headquarters had been burned to the ground . This meant that the proof that the A-Team members were acting under orders had been destroyed . They were arrested , and imprisoned at Fort Bragg , from which they quickly escaped before standing trial .   The origin of the A-Team is directly linked to the Vietnam War , during which the team formed . The show 's introduction in the first four seasons mentions this , accompanied by images of soldiers coming out of a helicopter in an area resembling a forest or jungle . Besides this , The A-Team would occasionally feature an episode in which the team came across an old ally or enemy from those war days . For example , the first season 's final episode `` A Nice Place To Visit '' revolved around the team traveling to a small town to honor a fallen comrade and end up avenging his death , and in season two 's `` Recipe For Heavy Bread '' , a chance encounter leads the team to meet both the POW cook who helped them during the war , and the American officer who sold his unit out .   An article in the New Statesman ( UK ) published shortly after the premiere of The A-Team in the United Kingdom , also pointed out The A-Team's connection to the Vietnam War , characterizing it as the representation of the idealization of the Vietnam War , and an example of the war slowly becoming accepted and assimilated into American culture .   One of the team 's primary antagonists , Col. Roderick Decker ( Lance LeGault ) , had his past linked back to the Vietnam War , in which he and Hannibal had come to fisticuffs in `` the DOOM Club '' ( Da Nang Open Officers ' Mess ) . At other times , members of the team would refer back to a certain tactic used during the War , which would be relevant to the team 's present predicament . Often , Hannibal would refer to such a tactic , after which the other members of the team would complain about its failure during the War . This was also used to refer to some of Face 's past accomplishments in scamming items for the team , such as in the first - season episode `` Holiday In The Hills '' , in which Murdock fondly remembers Face being able to secure a ' 53 Cadillac while in the Vietnam jungle .   The team 's ties to the Vietnam War were referred to again in the fourth - season finale , `` The Sound of Thunder '' , in which the team is introduced to Tia ( Tia Carrere ) , a war orphan and daughter of fourth season antagonist General Fulbright . Returning to Vietnam , Fulbright is shot in the back and gives his last words as he dies . The 2006 documentary Bring Back The A-Team joked that the scene lasted seven and a half minutes , but his death actually took a little over a minute . His murderer , a Vietnamese colonel , is killed in retaliation . Tia then returns with the team to the United States ( see also : casting ) . This episode is notable for having one of the show 's few truly serious dramatic moments , with each team member privately reminiscing on their war experiences , intercut with news footage from the war with Barry McGuire 's Eve of Destruction playing in the background .   The show 's ties to the Vietnam War are fully dealt with in the opening arc of the fifth season , dubbed `` The Court - Martial ( Part 1 -- 3 ) '' , in which the team is finally court - martialed for the robbery of the bank of Hanoi . The character of Roderick Decker makes a return on the witness stand , and various newly introduced characters from the A-Team's past also make appearances . The team , after a string of setbacks , decides to plead guilty to the crime and they are sentenced to be executed . They escape this fate and come to work for a General Hunt Stockwell , leading into the remainder of the fifth season .   Episodes ( edit )  See also : List of The A-Team episodes  The show ran for five seasons on the NBC television network , from January 23 , 1983 to December 30 , 1986 ( with one additional , previously unbroadcast episode shown on March 8 , 1987 ) , for a total of 98 episodes .   Characters ( edit )  The main cast of The A-Team . Clockwise from top : H.M. `` Howlin ' Mad '' Murdock , B.A. Baracus , John `` Hannibal '' Smith and Templeton `` Faceman '' Peck . Main article : List of The A-Team characters  The A-Team revolves around the four members of a former commando outfit , now mercenaries . Their leader is Lieutenant Colonel / Colonel John `` Hannibal '' Smith ( George Peppard ) , whose plans tend to be unorthodox but effective . Lieutenant Templeton Peck ( Dirk Benedict ; Tim Dunigan appeared as Templeton Peck in the pilot ) , usually called `` Face '' or `` Faceman '' , is a smooth - talking con man who serves as the team 's appropriator of vehicles and other useful items , as well as the team 's second - in - command . The team 's pilot is Captain H.M. `` Howling Mad '' Murdock ( Dwight Schultz ) , who has been declared insane and lives in a Veterans ' Administration mental institution for the show 's first four seasons . Finally , there is the team 's strong man , mechanic and Sergeant First Class Bosco `` B.A. '' , or `` Bad Attitude '' , Baracus ( Mr. T ) .   The team belonged to the 5th Special Forces as seen in the left side shoulder patch on Hannibal 's uniform in the episode A Nice Place to Visit . A patch on Hannibal 's uniform on the right shoulder in the episode `` A Nice Place To Visit '' indicates he belonged to the 101st Airborne during a prior combat assignment , but that patch was replaced by the 1st Air Cavalry Division patch in the episode `` Trial by Fire '' . The patch worn on the left sleeve according to uniform wear in the Army is the current assignment of the person wearing it and in the episode A Nice Place to Visit shows that the team was assigned to the Special Forces with a tab Airborne over the shoulder patch . Also their berets in that episode are green and have the tab of the 5th Special Forces in Vietnam on them . In the episode `` West Coast Turnaround '' , Hannibal stated they were with the 5th Special Forces Group . Then , in episode `` Bad Time on the Border '' , Hannibal refers to his friends as `` ex-Green Berets '' . Though the name they have adopted comes from the `` A-Teams '' , the nickname coined for Special Forces Operational Detachments Alpha , these detachments usually consisted of twelve members ; whether the four were considered a `` detachment '' of their own or had once had eight compatriots who were killed in action was never revealed . In the episode A Nice Place to Visit Ray Brenner is stated to have been a Major and part of Hannibal 's team in Vietnam .   For its first season and the first half of the second season , the team was assisted by reporter Amy Amanda Allen ( Melinda Culea ) . In the second half of the second season , Allen was replaced by fellow reporter Tawnia Baker ( Marla Heasley ) . The character of Tia ( Tia Carrere ) , a Vietnam war orphan now living in the United States , was meant to join the Team in the fifth season , but she was replaced by Frankie Santana ( Eddie Velez ) , who served as the team 's special effects expert . Velez was added to the opening credits of the fifth season after its second episode .   During their adventures , the A-Team was constantly met by opposition from the Military Police . In the show 's first season , the MPs were led by Colonel Francis Lynch ( William Lucking ) , but he was replaced for the second , third , and earlier fourth season by Colonel Roderick Decker ( Lance LeGault ) and his aide Captain Crane ( Carl Franklin ) . Lynch returned for one episode in the show 's third season ( `` Showdown ! '' ) but was not seen after . Decker was also briefly replaced by a Colonel Briggs ( Charles Napier ) in the third season for one episode ( `` Fire '' ) when LeGault was unavailable , but returned shortly after . For the latter portion of the show 's fourth season , the team was hunted by General Harlan `` Bull '' Fulbright ( Jack Ging ) , who would later hire the A-Team to find Tia in the season four finale , during which Fulbright was killed .   The fifth season introduced General Hunt Stockwell ( Robert Vaughn ) who , while serving as the team 's primary antagonist , was also the team 's boss and joined them on several missions . He was often assisted by Carla ( Judith Ledford , sometimes credited as Judy Ledford ) .   Character traits ( edit )   John `` Hannibal '' Smith is a master of disguise . His most used disguise ( onscreen only on the pilot episode ) is Mr. Lee , the dry cleaner . This is one of the final parts of the client screening process , as he tells the client where to go in order to make full contact with the A-Team . He dresses most often in a white safari jacket and black leather gloves . He also is constantly seen smoking a cigar . Hannibal carries either a Browning Hi - Power , Colt M1911A1 or a Smith &amp; Wesson Model 39 as a sidearm , most often `` Mexican carried '' although he uses a holster when on missions . His catchphrase is `` I love it when a plan comes together '' . Often said , usually by B.A. , to be `` on the jazz '' when in the fury of completing a mission .   Templeton `` Faceman '' Peck is a master of the persuasive arts . The team 's scrounger , he can get virtually anything he sets his mind to , usually exploiting women with sympathy - appeal and flirtation . However , he is not without integrity , as stated by Murdock in the episode `` Family Reunion '' : `` He would rip the shirt off his back for you , and then scam one for himself . '' Faceman is also the A-Team's accountant . He dresses suavely , often appearing in suits . Faceman carries a Colt Lawman Mk III revolver for protection , and drives a custom white 1984 Corvette with orange trim .   Bosco `` B.A. '' ( Bad Attitude ) Baracus is the muscle for the A-Team , able to perform amazing feats of strength . He is also the team 's mechanic . B.A. affects a dislike for Murdock , calling him a `` crazy fool '' , but his true feelings of friendship are revealed when he prevents Murdock from drowning in his desire to live like a fish . B.A. also has a deep fear of flying , and the others usually have to trick and / or knock him out in order to get him on a plane . It is very rare that B.A. is awake while flying , and even rarer for him actually to consent to it . When he does , however , he then goes into a catatonic state . B.A. generally wears overalls and leopard or tiger print shirts in the early seasons , then later wears a green jumpsuit in the later seasons . He is almost always seen with about 50 pounds of gold necklaces and rings on every finger , and also wears a weightlifting belt . Baracus 's hair is always styled in a mohawk - like cut . He drives a customized black GMC van , which is the team 's usual mode of transport .   H.M. `` Howling Mad '' Murdock is the A-Team's pilot , and can fly any kind of aircraft with extreme precision . However , due to a helicopter crash in Vietnam , Murdock apparently went insane . He lives in a Veterans ' Hospital in the mental wing . Whenever the rest of the team requires a pilot , they have to break him out of the hospital , generally using Faceman to do so . In Seasons 1 -- 4 , Murdock has a different pet , imaginary friend , or persona in each episode . Whenever one of his pets or imaginary friends is killed by an enemy , Murdock snaps and takes revenge ( but never kills ) . Many times , when B.A is mad at Murdock for being crazy , Hannibal will side with Murdock in a sympathetic way . Once he is discharged from the hospital in Season 5 , Murdock has a different job each episode . Murdock usually wears a leather flight jacket , a baseball cap , and basketball sneakers .   Casting ( edit )   Although the part of Face was written by Frank Lupo and Stephen J. Cannell with Dirk Benedict in mind , NBC insisted that the part should be played by another actor , instead . Therefore , in the pilot , Face was portrayed by Tim Dunigan , who was later replaced by Dirk Benedict , with the comment that Dunigan was `` too tall and too young '' . According to Dunigan : `` I look even younger on camera than I am . So it was difficult to accept me as a veteran of the Vietnam War , which ended when I was a sophomore in high school . ''   Carrere was intended to join the principal cast of the show in its fifth season after appearing in the season four finale , providing a tie to the team 's inception during the war . Unfortunately for this plan , Carrere was under contract to General Hospital , which prevented her from joining The A-Team . Her character was abruptly dropped as a result .   According to Mr. T 's account in Bring Back ... The A-Team in 2006 , the role of B.A. Baracus was written specifically for him . This is corroborated by Stephen J. Cannell 's own account of the initial concept proposed by Tartikoff .   James Coburn , who co-starred in The Magnificent Seven , was considered for the role of Hannibal in The A-Team , while George Peppard ( Hannibal ) was the original consideration for the role of Vin ( played by Steve McQueen instead ) in The Magnificent Seven . Robert Vaughn , of course , actually appeared in the film .   According to Dirk Benedict , Robert Vaughn was actually added to the cast in season 5 because of his friendship with the notoriously prickly George Peppard . It was hoped that Vaughn would help ease worsening tensions between Peppard and Mr. T. In a later interview , Vaughn recounted how T 's verbosity and loud personality would get on everyone 's nerves , including his , even though he had been hired specifically because of his easy going and calming personality .   Notable guest appearances ( edit )  Main article : List of guest stars on The A-Team  Notable guest stars included :    Dean Stockwell as Officer Collins in `` A Small &amp; Deadly War '' .   Wendy Fulton as Kelly Stevens in `` Bounty '' . Fulton and Dwight Schultz had married a few years before the episode , and the episode plays on the theme of Kelly and Murdock falling in love .   Boy George as himself in `` Cowboy George '' .   Isaac Hayes as C.J. Mack in `` The Heart of Rock n ' Roll '' .   Hulk Hogan as himself in `` Body Slam '' and `` The Trouble With Harry '' . In `` Body Slam '' , other WWF wrestlers such as The British Bulldogs and `` Mr Wonderful '' Paul Orndorff also made a cameo appearance .   Rick James as himself in `` The Heart of Rock n ' Roll '' .   David McCallum as Ivan Trigorin in `` The Say U.N.C.L.E. Affair '' . McCallum guest stars as a former associate of Robert Vaughn 's character General Stockwell . Vaughn and McCallum had co-starred together as friendly American and Russian secret agents in The Man from U.N.C.L.E. . This The A-Team episode sent up many aspects of the classic series , such as Stockwell saying `` Open Channel D '' ( an U.N.C.L.E. catchphrase ) .   Joe Namath as T.J. Bryant in `` Quarterback Sneak '' , season 5 , episode 4 .   William `` The Refrigerator '' Perry as himself in `` The Trouble With Harry '' .   Markie Post as Rina Turian in `` Hot Styles '' and Sister Teresa / Leslie Becktall in `` The Only Church in Town '' .   Pat Sajak as himself in `` Wheel of Fortune '' .   Vanna White as herself in `` Wheel of Fortune '' .   Yaphet Kotto as Charles F. Struthers in `` The Out of Towners '' .   Shecky Greene as himself roasting Gen. Harlan `` Bull '' Fulbright , in `` Members Only '' .   Della Reese as Mrs. Baracus in `` A Lease with an Option to Die '' .   Steven Keats in the episode `` Harder than it Looks '' before co-starring in All My Children .   Professor Tanaka in episode `` The Spy Who Mugged Me ''    Reception ( edit )   During the show 's first three seasons , The A-Team managed to pull in 17 % to 20 % of the American households on average . The first regular episode ( `` Children of Jamestown '' ) , reached 26.4 % of the television watching audience , placing fourth in the top 10 rated shows , according to the Nielsen ratings . By March , The A-Team , now on its regular Tuesday timeslot , dropped to the eight spot , but rated a 20.5 % . During the sweeps week in May of that year , The A-Team dropped again but remained steady at 18.5 % , and rose to 18.8 % during the second week of May sweeps . These were the highest ratings NBC had achieved in five years . During the second season , the ratings continued to soar , reaching third place in the twenty - highest rated programs , behind Dallas and Simon &amp; Simon , in January ( mid-season ) , while during the third season , it was beaten out only by four other NBC shows , including The Cosby Show .   The fourth season saw The A-Team experience a dramatic fall , as it started to lose its position while television viewership increased . As such , the ratings , while stable , were relatively less . The season premiere ranked a 17.4 % ( a 26 % audience share on that timeslot ) on the Nielsen Rating scale , but after ratings quickly declined . In October , The A-Team had fallen to the 19th and by Super Bowl Night had fallen still to 29th the night on which the show had originally scored its first hit three years before . For the remainder of its fourth season The A-Team managed to hang around the 20th spot , far from original top 10 position it had enjoyed during its first three seasons .   After four years on Tuesday , NBC decided to move The A-Team to a new timeslot on Friday for what would be its final season . Ratings continued to drop , and after seven episodes , The A-Team fell out of the top 50 altogether with a 13.3 Nielsen Rating . In November 1986 , NBC cancelled the series , declining to order the last nine episodes of what would have been a 22 - episode season .   Ratings ( edit )     Season   Time slot ( ET )   Rank   Rating     1982 -- 83   Sunday at 9 : 00 pm ( Episode 1 ) Sunday at 10 : 00 pm ( Episodes 2 - 3 ) Tuesday at 8 : 00 pm ( Episodes 4 - 14 )   10   20.1 ( Tied with Monday Night Football )     1983 -- 84   Tuesday at 8 : 00 pm ( Episodes 1 - 5 , 7 - 23 ) Tuesday at 9 : 00 pm ( Episode 6 )     24.0     1984 -- 85   Tuesday at 8 : 00 pm ( Episodes 1 - 2 , 4 - 25 ) Tuesday at 9 : 00 pm ( Episode 3 )   6   21.9     1985 -- 86   Tuesday at 8 : 00 pm ( Episodes 1 , 3 - 23 ) Tuesday at 9 : 00 pm ( Episode 2 )   30   16.9     1986 -- 87   Friday at 8 : 00 pm ( Episodes 1 - 8 , 10 - 11 ) Tuesday at 9 : 00 pm ( Episode 9 ) Tuesday at 8 : 00 pm ( Episode 12 ) Sunday at 8 : 00 pm ( Episode 13 )   Not in the Top 30     In syndication ( edit )   The series has achieved cult status through heavy syndication in the U.S. and internationally . It has also remained popular overseas , such as in the United Kingdom , where the show has been on - air almost continuously in some form since it was first shown in July 1983 . It is airing on satellite and cable channel Esquire Network . The series was to begin airing over NBC - TV 's OTA digital subchannel network , Cozi TV , in January 2016 . Forces TV started showing the series every weekday since October 17 , 2016 . The series has been airing in Spanish on Telemundo - TV 's OTA digital subchannel network , TeleXitos since December 2014 . The series is currently available through Starz .   International ( edit )   The A-Team has been broadcast all over the world ; international response has been varied . In 1984 , the main cast members of The A-Team , George Peppard , Mr. T , Dirk Benedict and Dwight Schultz were invited to the Netherlands . George Peppard was the first to receive the invitation and thus thought the invite pertained only to him . When the other cast members were also invited , Peppard declined , leaving only Mr. T , Benedict and Schultz to visit the Netherlands . The immense turn - out for the stars was unpredicted , and they were forced to leave early as a security measure . A video was released with the present actors in which Dwight Schultz apologized and thanked everyone that had attended .   In Australia The A-Team was broadcast on Channel Ten . From 2010 7mate has been showing reruns of show . The show was broadcast in New Zealand on TV2 . In Brazil , the series was broadcast on SBT from 1984 to 1989 , later moving to Rede Globo in the early 1990s . In the UK , the program was shown on ITV , starting on Friday , July 22 , 1983 ; when it return for its second run ( resuming mid-second season ) it moved to Saturday evenings . The series continued to be repeated on ITV until 1994 . The series was later repeated on UK Gold from 1997 through 2007 at various times . Then in 2002 it took a break from the channel before returning 2005 to 2006 . It was also repeated on Bravo from 1997 to 1999 . It returned to the channel in 2009 . In 2017 the digital channel Spike began showing the series from the beginning . Although ratings soared during its early seasons , many television critics described the show largely as cartoonish and thereby wrote the series off . Most reviews focused on acting and the formulaic nature of the episodes , most prominently the absence of actual killing in a show about Vietnam War veterans .  They are all Vietnam veterans . The gradual assimilation of Vietnam into acceptable popular mythology , which began solemnly with The Deer Hunter , has reached its culmination with The A-Team : No longer a memory to be hurriedly brushed aside , but heroes of a network adventure show . Their enemy is a comic army officer , Col. Lynch , see Sgt . Bilko , see Beetle Bailey , see M * A * S * H * , whose pursuit of our heroes is doomed to slapstick failure . This is classic right - wing American populism ; patriotic , macho , anti-authority , and is unlikely to be understood in Britain , where to be right - wing implies an obsequiousness towards officers and the status quo . But right - wing this series certainly is . The bandits , it turns out , are in league with a group of sinister guerrillas who are trying to destabilise the country . Thanks to the A-Team's hearts and minds policy , the villagers rise up and put them to rout , in a 20 - minute series of comic - book battle scenes , over-turning cars and airplane stunt - tricks , in which not a single person is hurt .  Mary Harron , New Statesman   Criticisms ( edit )   On - screen violence ( edit )   The violence presented in The A-Team is highly sanitized . People do not bleed or bruise when hit ( though they might develop a limp or require a sling ) , nor do the members of the A-Team kill people . The results of violence were only ever presented when it was required for the script . In almost every car crash there is a short take showing the occupants of the vehicle climbing out of the mangled or burning wreck , even in helicopter crashes . However , more of these types of takes were dropped near the end of the fourth season . According to Stephen J. Cannell , this part of the show did become a running joke for the writing staff and they would at times test the limits of realism on purpose .   The show has been described as cartoonish and likened to Tom and Jerry . Dean P. of the Courier - Mail described the violence in the show as `` hypocritical '' and that `` the morality of giving the impression that a hail of bullets does no - one any harm is ignored . After all , Tom and Jerry survived all sorts of mayhem for years with no ill - effects . '' Television reviewer Ric Meyers joked that the A-Team used `` antineutron bullets -- they destroy property for miles around , but never harm a human being '' . According to certain estimates , an episode of the A-Team held up to 46 violent acts . Stephen J. Cannell , co-creator of the show respo</t>
  </si>
  <si>
    <t xml:space="preserve">what years was the a team on tv</t>
  </si>
  <si>
    <t xml:space="preserve"> The A-Team is an American action - adventure television series that ran on NBC from 1983 to 1987 about former members of a fictitious United States Army Special Forces unit . The members , after being court - martialed `` for a crime they did n't commit '' , escaped from military prison and , while still on the run , worked as soldiers of fortune . The series was created by Stephen J. Cannell and Frank Lupo . A feature film based on the series was released by 20th Century Fox in 2010 . </t>
  </si>
  <si>
    <t xml:space="preserve">Ohm 's law - wikipedia  Ohm 's law  Jump to : navigation , search This article is about the law related to electricity . For other uses , see Ohm 's acoustic law . V , I , and R , the parameters of Ohm 's law .    Electromagnetism           Electricity   Magnetism       Electrostatics ( show )   Electric charge   Static electricity   Electric field   Conductor   Insulator   Triboelectricity   Electrostatic discharge   Induction   Coulomb 's law   Gauss 's law   Electric flux / potential energy   Electric dipole moment   Polarization density       Magnetostatics ( show )   Ampère 's law   Magnetic field   Magnetization   Magnetic flux   Biot -- Savart law   Magnetic dipole moment   Gauss 's law for magnetism       Electrodynamics ( show )   Lorentz force law   Electromagnetic induction   Faraday 's law   Lenz 's law   Displacement current   Magnetic potential   Maxwell 's equations   Electromagnetic field   Electromagnetic pulse   Electromagnetic radiation   Maxwell tensor   Poynting vector   Liénard -- Wiechert potential   Jefimenko 's equations   Eddy current   London equations     Mathematical descriptions of the electromagnetic field       Electrical network ( hide )   Electric current   Electric potential   Voltage   Resistance   Ohm 's law   Series circuit   Parallel circuit   Direct current   Alternating current   Electromotive force   Capacitance   Inductance   Impedance   Resonant cavities   Waveguides       Covariant formulation ( show )   Electromagnetic tensor ( stress -- energy tensor )     Four - current   Electromagnetic four - potential       Scientists ( show )   Ampère   Coulomb   Faraday   Gauss   Heaviside   Henry   Hertz   Lorentz   Maxwell   Tesla   Volta   Weber   Ørsted                   Ohm 's law states that the current through a conductor between two points is directly proportional to the voltage across the two points . Introducing the constant of proportionality , the resistance , one arrives at the usual mathematical equation that describes this relationship :    I = V R , ( \ displaystyle I = ( \ frac ( V ) ( R ) ) , )    where I is the current through the conductor in units of amperes , V is the voltage measured across the conductor in units of volts , and R is the resistance of the conductor in units of ohms . More specifically , Ohm 's law states that the R in this relation is constant , independent of the current .   The law was named after the German physicist Georg Ohm , who , in a treatise published in 1827 , described measurements of applied voltage and current through simple electrical circuits containing various lengths of wire . Ohm explained his experimental results by a slightly more complex equation than the modern form above ( see History ) .   In physics , the term Ohm 's law is also used to refer to various generalizations of the law originally formulated by Ohm . The simplest example of this is :    J = σ E , ( \ displaystyle \ mathbf ( J ) = \ sigma \ mathbf ( E ) , )    where J is the current density at a given location in a resistive material , E is the electric field at that location , and σ ( sigma ) is a material - dependent parameter called the conductivity . This reformulation of Ohm 's law is due to Gustav Kirchhoff .     Contents  ( hide )   1 History   2 Scope   3 Microscopic origins   4 Hydraulic analogy   5 Circuit analysis   5.1 Resistive circuits   5.2 Reactive circuits with time - varying signals   5.3 Linear approximations     6 Temperature effects   7 Relation to heat conductions   8 Other versions   8.1 Magnetic effects   8.2 Conductive fluids     9 See also   10 References   11 External links      History  Georg Ohm  In January 1781 , before Georg Ohm 's work , Henry Cavendish experimented with Leyden jars and glass tubes of varying diameter and length filled with salt solution . He measured the current by noting how strong a shock he felt as he completed the circuit with his body . Cavendish wrote that the `` velocity '' ( current ) varied directly as the `` degree of electrification '' ( voltage ) . He did not communicate his results to other scientists at the time , and his results were unknown until Maxwell published them in 1879 .   Francis Ronalds delineated `` intensity '' ( voltage ) and `` quantity '' ( current ) for the dry pile -- a high voltage source -- in 1814 using a gold - leaf electrometer . He found for a dry pile that the relationship between the two parameters was not proportional under certain meteorological conditions .  Ohm 's law in Georg Ohm 's lab book .  Ohm did his work on resistance in the years 1825 and 1826 , and published his results in 1827 as the book Die galvanische Kette , mathematisch bearbeitet ( `` The galvanic circuit investigated mathematically '' ) . He drew considerable inspiration from Fourier 's work on heat conduction in the theoretical explanation of his work . For experiments , he initially used voltaic piles , but later used a thermocouple as this provided a more stable voltage source in terms of internal resistance and constant voltage . He used a galvanometer to measure current , and knew that the voltage between the thermocouple terminals was proportional to the junction temperature . He then added test wires of varying length , diameter , and material to complete the circuit . He found that his data could be modeled through the equation    x = a b + l , ( \ displaystyle x = ( \ frac ( a ) ( b + l ) ) , )    where x was the reading from the galvanometer , l was the length of the test conductor , a depended only on the thermocouple junction temperature , and b was a constant of the entire setup . From this , Ohm determined his law of proportionality and published his results .   Ohm 's law was probably the most important of the early quantitative descriptions of the physics of electricity . We consider it almost obvious today . When Ohm first published his work , this was not the case ; critics reacted to his treatment of the subject with hostility . They called his work a `` web of naked fancies '' and the German Minister of Education proclaimed that `` a professor who preached such heresies was unworthy to teach science . '' The prevailing scientific philosophy in Germany at the time asserted that experiments need not be performed to develop an understanding of nature because nature is so well ordered , and that scientific truths may be deduced through reasoning alone . Also , Ohm 's brother Martin , a mathematician , was battling the German educational system . These factors hindered the acceptance of Ohm 's work , and his work did not become widely accepted until the 1840s . Fortunately , Ohm received recognition for his contributions to science well before he died .   In the 1850s , Ohm 's law was known as such and was widely considered proved , and alternatives , such as `` Barlow 's law '' , were discredited , in terms of real applications to telegraph system design , as discussed by Samuel F.B. Morse in 1855 .   While the old term for electrical conductance , the mho ( the inverse of the resistance unit ohm ) , is still used , a new name , the siemens , was adopted in 1971 , honoring Ernst Werner von Siemens . The siemens is preferred in formal papers .   In the 1920s , it was discovered that the current through a practical resistor actually has statistical fluctuations , which depend on temperature , even when voltage and resistance are exactly constant ; this fluctuation , now known as Johnson -- Nyquist noise , is due to the discrete nature of charge . This thermal effect implies that measurements of current and voltage that are taken over sufficiently short periods of time will yield ratios of V / I that fluctuate from the value of R implied by the time average or ensemble average of the measured current ; Ohm 's law remains correct for the average current , in the case of ordinary resistive materials .   Ohm 's work long preceded Maxwell 's equations and any understanding of frequency - dependent effects in AC circuits . Modern developments in electromagnetic theory and circuit theory do not contradict Ohm 's law when they are evaluated within the appropriate limits .   Scope   Ohm 's law is an empirical law , a generalization from many experiments that have shown that current is approximately proportional to electric field for most materials . It is less fundamental than Maxwell 's equations and is not always obeyed . Any given material will break down under a strong - enough electric field , and some materials of interest in electrical engineering are `` non-ohmic '' under weak fields .   Ohm 's law has been observed on a wide range of length scales . In the early 20th century , it was thought that Ohm 's law would fail at the atomic scale , but experiments have not borne out this expectation . As of 2012 , researchers have demonstrated that Ohm 's law works for silicon wires as small as four atoms wide and one atom high .   Microscopic origins  Drude Model electrons ( shown here in blue ) constantly bounce among heavier , stationary crystal ions ( shown in red ) . Main articles : Drude model and Classical and quantum conductivity  The dependence of the current density on the applied electric field is essentially quantum mechanical in nature ; ( see Classical and quantum conductivity . ) A qualitative description leading to Ohm 's law can be based upon classical mechanics using the Drude model developed by Paul Drude in 1900 .   The Drude model treats electrons ( or other charge carriers ) like pinballs bouncing among the ions that make up the structure of the material . Electrons will be accelerated in the opposite direction to the electric field by the average electric field at their location . With each collision , though , the electron is deflected in a random direction with a velocity that is much larger than the velocity gained by the electric field . The net result is that electrons take a zigzag path due to the collisions , but generally drift in a direction opposing the electric field .   The drift velocity then determines the electric current density and its relationship to E and is independent of the collisions . Drude calculated the average drift velocity from p = − eEτ where p is the average momentum , − e is the charge of the electron and τ is the average time between the collisions . Since both the momentum and the current density are proportional to the drift velocity , the current density becomes proportional to the applied electric field ; this leads to Ohm 's law .   Hydraulic analogy   A hydraulic analogy is sometimes used to describe Ohm 's law . Water pressure , measured by pascals ( or PSI ) , is the analog of voltage because establishing a water pressure difference between two points along a ( horizontal ) pipe causes water to flow . Water flow rate , as in liters per second , is the analog of current , as in coulombs per second . Finally , flow restrictors -- such as apertures placed in pipes between points where the water pressure is measured -- are the analog of resistors . We say that the rate of water flow through an aperture restrictor is proportional to the difference in water pressure across the restrictor . Similarly , the rate of flow of electrical charge , that is , the electric current , through an electrical resistor is proportional to the difference in voltage measured across the resistor .   Flow and pressure variables can be calculated in fluid flow network with the use of the hydraulic ohm analogy . The method can be applied to both steady and transient flow situations . In the linear laminar flow region , Poiseuille 's law describes the hydraulic resistance of a pipe , but in the turbulent flow region the pressure -- flow relations become nonlinear .   The hydraulic analogy to Ohm 's law has been used , for example , to approximate blood flow through the circulatory system .   Circuit analysis  Ohm 's law triangle Ohms law wheel with international unit symbols  In circuit analysis , three equivalent expressions of Ohm 's law are used interchangeably :    I = V R or V = I R or R = V I . ( \ displaystyle I = ( \ frac ( V ) ( R ) ) \ quad ( \ text ( or ) ) \ quad V = IR \ quad ( \ text ( or ) ) \ quad R = ( \ frac ( V ) ( I ) ) . )    Each equation is quoted by some sources as the defining relationship of Ohm 's law , or all three are quoted , or derived from a proportional form , or even just the two that do not correspond to Ohm 's original statement may sometimes be given .   The interchangeability of the equation may be represented by a triangle , where V ( voltage ) is placed on the top section , the I ( current ) is placed to the left section , and the R ( resistance ) is placed to the right . The line that divides the left and right sections indicate multiplication , and the divider between the top and bottom sections indicates division ( hence the division bar ) .     Resistive circuits   Resistors are circuit elements that impede the passage of electric charge in agreement with Ohm 's law , and are designed to have a specific resistance value R. In a schematic diagram the resistor is shown as a zig - zag symbol . An element ( resistor or conductor ) that behaves according to Ohm 's law over some operating range is referred to as an ohmic device ( or an ohmic resistor ) because Ohm 's law and a single value for the resistance suffice to describe the behavior of the device over that range .   Ohm 's law holds for circuits containing only resistive elements ( no capacitances or inductances ) for all forms of driving voltage or current , regardless of whether the driving voltage or current is constant ( DC ) or time - varying such as AC . At any instant of time Ohm 's law is valid for such circuits .   Resistors which are in series or in parallel may be grouped together into a single `` equivalent resistance '' in order to apply Ohm 's law in analyzing the circuit .   Reactive circuits with time - varying signals   When reactive elements such as capacitors , inductors , or transmission lines are involved in a circuit to which AC or time - varying voltage or current is applied , the relationship between voltage and current becomes the solution to a differential equation , so Ohm 's law ( as defined above ) does not directly apply since that form contains only resistances having value R , not complex impedances which may contain capacitance ( `` C '' ) or inductance ( `` L '' ) .   Equations for time - invariant AC circuits take the same form as Ohm 's law . However , the variables are generalized to complex numbers and the current and voltage waveforms are complex exponentials .   In this approach , a voltage or current waveform takes the form A e s t ( \ displaystyle Ae ^ ( st ) ) , where t is time , s is a complex parameter , and A is a complex scalar . In any linear time - invariant system , all of the currents and voltages can be expressed with the same s parameter as the input to the system , allowing the time - varying complex exponential term to be canceled out and the system described algebraically in terms of the complex scalars in the current and voltage waveforms .   The complex generalization of resistance is impedance , usually denoted Z ; it can be shown that for an inductor ,    Z = s L ( \ displaystyle Z = sL \ , )    and for a capacitor ,    Z = 1 s C . ( \ displaystyle Z = ( \ frac ( 1 ) ( sC ) ) . )    We can now write ,    V = I ⋅ Z ( \ displaystyle ( \ boldsymbol ( V ) ) = ( \ boldsymbol ( I ) ) \ cdot ( \ boldsymbol ( Z ) ) )    where V and I are the complex scalars in the voltage and current respectively and Z is the complex impedance .   This form of Ohm 's law , with Z taking the place of R , generalizes the simpler form . When Z is complex , only the real part is responsible for dissipating heat .   In the general AC circuit , Z varies strongly with the frequency parameter s , and so also will the relationship between voltage and current .   For the common case of a steady sinusoid , the s parameter is taken to be j ω ( \ displaystyle j \ omega ) , corresponding to a complex sinusoid A e j ω t ( \ displaystyle Ae ^ ( ( \ mbox ( ) ) j \ omega t ) ) . The real parts of such complex current and voltage waveforms describe the actual sinusoidal currents and voltages in a circuit , which can be in different phases due to the different complex scalars .   Linear approximations  See also : Small - signal modeling and Network analysis ( electrical circuits ) § Small signal equivalent circuit  Ohm 's law is one of the basic equations used in the analysis of electrical circuits . It applies to both metal conductors and circuit components ( resistors ) specifically made for this behaviour . Both are ubiquitous in electrical engineering . Materials and components that obey Ohm 's law are described as `` ohmic '' which means they produce the same value for resistance ( R = V / I ) regardless of the value of V or I which is applied and whether the applied voltage or current is DC ( direct current ) of either positive or negative polarity or AC ( alternating current ) .   In a true ohmic device , the same value of resistance will be calculated from R = V / I regardless of the value of the applied voltage V. That is , the ratio of V / I is constant , and when current is plotted as a function of voltage the curve is linear ( a straight line ) . If voltage is forced to some value V , then that voltage V divided by measured current I will equal R. Or if the current is forced to some value I , then the measured voltage V divided by that current I is also R. Since the plot of I versus V is a straight line , then it is also true that for any set of two different voltages V and V applied across a given device of resistance R , producing currents I = V / R and I = V / R , that the ratio ( V − V ) / ( I − I ) is also a constant equal to R . The operator `` delta '' ( Δ ) is used to represent a difference in a quantity , so we can write ΔV = V − V and ΔI = I − I. Summarizing , for any truly ohmic device having resistance R , V / I = ΔV / ΔI = R for any applied voltage or current or for the difference between any set of applied voltages or currents .  The I -- V curves of four devices : Two resistors , a diode , and a battery . The two resistors follow Ohm 's law : The plot is a straight line through the origin . The other two devices do not follow Ohm 's law .  There are , however , components of electrical circuits which do not obey Ohm 's law ; that is , their relationship between current and voltage ( their I -- V curve ) is nonlinear ( or non-ohmic ) . An example is the p-n junction diode ( curve at right ) . As seen in the figure , the current does not increase linearly with applied voltage for a diode . One can determine a value of current ( I ) for a given value of applied voltage ( V ) from the curve , but not from Ohm 's law , since the value of `` resistance '' is not constant as a function of applied voltage . Further , the current only increases significantly if the applied voltage is positive , not negative . The ratio V / I for some point along the nonlinear curve is sometimes called the static , or chordal , or DC , resistance , but as seen in the figure the value of total V over total I varies depending on the particular point along the nonlinear curve which is chosen . This means the `` DC resistance '' V / I at some point on the curve is not the same as what would be determined by applying an AC signal having peak amplitude ΔV volts or ΔI amps centered at that same point along the curve and measuring ΔV / ΔI . However , in some diode applications , the AC signal applied to the device is small and it is possible to analyze the circuit in terms of the dynamic , small - signal , or incremental resistance , defined as the one over the slope of the V -- I curve at the average value ( DC operating point ) of the voltage ( that is , one over the derivative of current with respect to voltage ) . For sufficiently small signals , the dynamic resistance allows the Ohm 's law small signal resistance to be calculated as approximately one over the slope of a line drawn tangentially to the V-I curve at the DC operating point .   Temperature effects   Ohm 's law has sometimes been stated as , `` for a conductor in a given state , the electromotive force is proportional to the current produced . '' That is , that the resistance , the ratio of the applied electromotive force ( or voltage ) to the current , `` does not vary with the current strength . '' The qualifier `` in a given state '' is usually interpreted as meaning `` at a constant temperature , '' since the resistivity of materials is usually temperature dependent . Because the conduction of current is related to Joule heating of the conducting body , according to Joule 's first law , the temperature of a conducting body may change when it carries a current . The dependence of resistance on temperature therefore makes resistance depend upon the current in a typical experimental setup , making the law in this form difficult to directly verify . Maxwell and others worked out several methods to test the law experimentally in 1876 , controlling for heating effects .   Relation to heat conductions  See also : Conduction ( heat )  Ohm 's principle predicts the flow of electrical charge ( i.e. current ) in electrical conductors when subjected to the influence of voltage differences ; Jean - Baptiste - Joseph Fourier 's principle predicts the flow of heat in heat conductors when subjected to the influence of temperature differences .   The same equation describes both phenomena , the equation 's variables taking on different meanings in the two cases . Specifically , solving a heat conduction ( Fourier ) problem with temperature ( the driving `` force '' ) and flux of heat ( the rate of flow of the driven `` quantity '' , i.e. heat energy ) variables also solves an analogous electrical conduction ( Ohm ) problem having electric potential ( the driving `` force '' ) and electric current ( the rate of flow of the driven `` quantity '' , i.e. charge ) variables .   The basis of Fourier 's work was his clear conception and definition of thermal conductivity . He assumed that , all else being the same , the flux of heat is strictly proportional to the gradient of temperature . Although undoubtedly true for small temperature gradients , strictly proportional behavior will be lost when real materials ( e.g. ones having a thermal conductivity that is a function of temperature ) are subjected to large temperature gradients .   A similar assumption is made in the statement of Ohm 's law : other things being alike , the strength of the current at each point is proportional to the gradient of electric potential . The accuracy of the assumption that flow is proportional to the gradient is more readily tested , using modern measurement methods , for the electrical case than for the heat case .   Other versions   Ohm 's law , in the form above , is an extremely useful equation in the field of electrical / electronic engineering because it describes how voltage , current and resistance are interrelated on a `` macroscopic '' level , that is , commonly , as circuit elements in an electrical circuit . Physicists who study the electrical properties of matter at the microscopic level use a closely related and more general vector equation , sometimes also referred to as Ohm 's law , having variables that are closely related to the V , I , and R scalar variables of Ohm 's law , but which are each functions of position within the conductor . Physicists often use this continuum form of Ohm 's Law :    E = ρ J ( \ displaystyle \ mathbf ( E ) = \ rho \ mathbf ( J ) )    where `` E '' is the electric field vector with units of volts per meter ( analogous to `` V '' of Ohm 's law which has units of volts ) , `` J '' is the current density vector with units of amperes per unit area ( analogous to `` I '' of Ohm 's law which has units of amperes ) , and `` ρ '' ( Greek `` rho '' ) is the resistivity with units of ohm meters ( analogous to `` R '' of Ohm 's law which has units of ohms ) . The above equation is sometimes written as J = σ ( \ displaystyle \ sigma ) E where `` σ '' ( Greek `` sigma '' ) is the conductivity which is the reciprocal of ρ .  Current flowing through a uniform cylindrical conductor ( such as a round wire ) with a uniform field applied .  The voltage between two points is defined as :    Δ V = − ∫ E ⋅ d l ( \ displaystyle ( \ Delta V ) = - \ int ( \ mathbf ( E ) \ cdot d \ mathbf ( l ) ) )    with d l ( \ displaystyle d \ mathbf ( l ) ) the element of path along the integration of electric field vector E. If the applied E field is uniform and oriented along the length of the conductor as shown in the figure , then defining the voltage V in the usual convention of being opposite in direction to the field ( see figure ) , and with the understanding that the voltage V is measured differentially across the length of the conductor allowing us to drop the Δ symbol , the above vector equation reduces to the scalar equation :    V = E l or E = V l . ( \ displaystyle V = ( E ) ( l ) \ \ ( \ text ( or ) ) \ \ E = ( \ frac ( V ) ( l ) ) . )    Since the E field is uniform in the direction of wire length , for a conductor having uniformly consistent resistivity ρ , the current density J will also be uniform in any cross-sectional area and oriented in the direction of wire length , so we may write :    J = I a . ( \ displaystyle J = ( \ frac ( I ) ( a ) ) . )    Substituting the above 2 results ( for E and J respectively ) into the continuum form shown at the beginning of this section :    V l = I a ρ or V = I ρ l a . ( \ displaystyle ( \ frac ( V ) ( l ) ) = ( \ frac ( I ) ( a ) ) \ rho \ qquad ( \ text ( or ) ) \ qquad V = I \ rho ( \ frac ( l ) ( a ) ) . )    The electrical resistance of a uniform conductor is given in terms of resistivity by :    R = ρ l a ( \ displaystyle ( R ) = \ rho ( \ frac ( l ) ( a ) ) )    where l is the length of the conductor in SI units of meters , a is the cross-sectional area ( for a round wire a = πr if r is radius ) in units of meters squared , and ρ is the resistivity in units of ohm meters .   After substitution of R from the above equation into the equation preceding it , the continuum form of Ohm 's law for a uniform field ( and uniform current density ) oriented along the length of the conductor reduces to the more familiar form :    V = I R . ( \ displaystyle ( V ) = ( I ) ( R ). \ )    A perfect crystal lattice , with low enough thermal motion and no deviations from periodic structure , would have no resistivity , but a real metal has crystallographic defects , impurities , multiple isotopes , and thermal motion of the atoms . Electrons scatter from all of these , resulting in resistance to their flow .   The more complex generalized forms of Ohm 's law are important to condensed matter physics , which studies the properties of matter and , in particular , its electronic structure . In broad terms , they fall under the topic of constitutive equations and the theory of transport coefficients .   Magnetic effects   If an external B - field is present and the conductor is not at rest but moving at velocity v , then an extra term must be added to account for the current induced by the Lorentz force on the charge carriers .    J = σ ( E + v × B ) ( \ displaystyle \ mathbf ( J ) = \ sigma ( \ mathbf ( E ) + \ mathbf ( v ) \ times \ mathbf ( B ) ) )    In the rest frame of the moving conductor this term drops out because v = 0 . There is no contradiction because the electric field in the rest frame differs from the E-field in the lab frame : E ′ = E + v × B. Electric and magnetic fields are relative , see Lorentz transformation .   If the current J is alternating because the applied voltage or E-field varies in time , then reactance must be added to resistance to account for self - inductance , see electrical impedance . The reactance may be strong if the frequency is high or the conductor is coiled .   Conductive fluids   In a conductive fluid , such as a plasma , there is a similar effect . Consider a fluid moving with the velocity v → ( \ displaystyle ( \ vec ( v ) ) ) in a magnetic field B → ( \ displaystyle ( \ vec ( B ) ) ) . The relative motion induces an electric field E → ( \ displaystyle ( \ vec ( E ) ) ) which exerts electric force on the charged particles giving rise to an electric current J → ( \ displaystyle ( \ vec ( J ) ) ) . The equation of motion for the electron gas , with a number density n e ( \ displaystyle n_ ( e ) ) , is written as    m e n e d v → e d t = − n e e E → + n e m e ν ( v i − v e ) − e n e v → e × B → , ( \ displaystyle m_ ( e ) n_ ( e ) ( d ( \ vec ( v ) ) _ ( e ) \ over dt ) = - n_ ( e ) e ( \ vec ( E ) ) + n_ ( e ) m_ ( e ) \ nu ( v_ ( i ) - v_ ( e ) ) - en_ ( e ) ( \ vec ( v ) ) _ ( e ) \ times ( \ vec ( B ) ) , )    where e ( \ displaystyle e ) , m e ( \ displaystyle m_ ( e ) ) and v → e ( \ displaystyle ( \ vec ( v ) ) _ ( e ) ) are the charge , mass and velocity of the electrons , respectively . Also , ν ( \ displaystyle \ nu ) is the frequency of collisions of the electrons with ions which have a velocity field v → i ( \ displaystyle ( \ vec ( v ) ) _ ( i ) ) . Since , the electron has a very small mass compared with that of ions , we can ignore the left hand side of the above equation to write    σ ( E → + v → × B → ) = J → , ( \ displaystyle \ sigma ( ( \ vec ( E ) ) + ( \ vec ( v ) ) \ times ( \ vec ( B ) ) ) = ( \ vec ( J ) ) , )    where we have used the definition of the current density , and also put σ = n e e 2 ν m e ( \ displaystyle \ sigma = ( n_ ( e ) e ^ ( 2 ) \ over \ nu m_ ( e ) ) ) which is the electrical conductivity . This equation can also be equivalently written as    E → + v → × B → = ρ J → , ( \ displaystyle ( \ vec ( E ) ) + ( \ vec ( v ) ) \ times ( \ vec ( B ) ) = \ rho ( \ vec ( J ) ) , )    where ρ = σ − 1 ( \ displaystyle \ rho = \ sigma ^ ( - 1 ) ) is the electrical resistivity . It is also common to write η ( \ displaystyle \ eta ) instead of ρ ( \ displaystyle \ rho ) which can be confusing since it is the same notation used for the magnetic diffusivity defined as η = 1 / μ 0 σ ( \ displaystyle \ eta = 1 / \ mu _ ( 0 ) \ sigma ) .   See also    Electronics portal     Fick 's law of diffusion   Hopkinson 's law ( `` Ohm 's law for magnetics '' )   Maximum power transfer theorem   Norton 's theorem   Sheet resistance   Superposition theorem   Thermal noise   Thévenin 's theorem    References    Jump up ^ Consoliver , Earl L. &amp; Mitchell , Grover I. ( 1920 ) . Automotive ignition systems . McGraw - Hill . p. 4 .   ^ Jump up to : Robert A. Millikan and E.S. Bishop ( 1917 ) . Elements of Electricity . American Technical Society . p. 54 .   Jump up ^ Oliver Heaviside ( 1894 ) . Electrical papers . 1 . Macmillan and Co. p. 283 . ISBN 0 - 8218 - 2840 - 1 .   Jump up ^ Olivier Darrigol , Electrodynamics from Ampère to Einstein , p. 70 , Oxford University Press , 2000 ISBN 0 - 19 - 850594 - 9 .   Jump up ^ Fleming , John Ambrose ( 1911 ) . `` Electricity '' . In Chisholm , Hugh . Encyclopædia Britannica. 9 ( 11th ed . ) . Cambridge University Press . p. 182 .   Jump up ^ Sanford P. Bordeau ( 1982 ) Volts to Hertz ... the Rise of Electricity . Burgess Publishing Company , Minneapolis , MN . pp. 86 -- 107 , ISBN 0 - 8087 - 4908 - 0   Jump up ^ Ronalds , B.F. ( 2016 ) . Sir Francis Ronalds : Father of the Electric Telegraph . London : Imperial College Press . ISBN 978 - 1 - 78326 - 917 - 4 .   Jump up ^ Ronalds , B.F. ( July 2016 ) . `` Francis Ronalds ( 1788 -- 1873 ) : The First Electrical Engineer ? '' . Proceedings of the IEEE. 104 : 1489 -- 1498 . doi : 10.1109 / JPROC. 2016.2571358 .   Jump up ^ G.S. Ohm ( 1827 ) . Die galvanische Kette , mathematisch bearbeitet ( PDF ) . Berlin : T.H. Riemann .   Jump up ^ Davies , B , `` A web of naked fancies ? '' , Physics Education 15 57 -- 61 , Institute of Physics , Issue 1 , Jan 1980 ( 1 )   Jump up ^ Hart , IB , Makers of Science , London , Oxford University Press , 1923 . p. 243 . ( 2 )   Jump up ^ Herbert Schnädelbach , Philosophy in Germany 1831 -- 1933 , pages 78 - 79 , Cambridge University Press , 1984 ISBN 0521296463 .   Jump up ^ Taliaferro Preston ( 1855 ) . Shaffner 's Telegraph Companion : Devoted to the Science and Art of the Morse Telegraph . Vol. 2 . Pudney &amp; Russell .   Jump up ^ Purcell , Edward M. ( 1985 ) , Electricity and magnetism , Berkeley Physics Course , 2 ( 2nd ed . ) , McGraw - Hill , p. 129 , ISBN 0 - 07 - 004908 - 4   Jump up ^ Griffiths , David J. ( 1999 ) , Introduction to electrodynamics ( 3rd ed . ) , Prentice Hall , p. 289 , ISBN 0 - 13 - 805326 - X   J</t>
  </si>
  <si>
    <t xml:space="preserve">what is the equation for ohm’s law</t>
  </si>
  <si>
    <t xml:space="preserve"> The interchangeability of the equation may be represented by a triangle , where V ( voltage ) is placed on the top section , the I ( current ) is placed to the left section , and the R ( resistance ) is placed to the right . The line that divides the left and right sections indicate multiplication , and the divider between the top and bottom sections indicates division ( hence the division bar ) . </t>
  </si>
  <si>
    <t xml:space="preserve">United states Constitution - Wikipedia  United states Constitution       United States Constitution     Page one of the original copy of the Constitution     Jurisdiction   All States and Territories     Created   September 17 , 1787     Presented   September 28 , 1787     Ratified   June 21 , 1788     Date effective   June 21 , 1788     System   Constitutional Republic     Branches       Chambers   Bicameral     Executive   President     Judiciary   Supreme , Circuits , Districts     Federalism   Federation     Electoral college   Yes     Entrenchments   2 , 1 still active     First legislature   March 4 , 1789     First executive   April 30 , 1789     First court   February 2 , 1790     Amendments   27     Last amended   May 5 , 1992     Location   National Archives , Washington , D.C.     Commissioned by   Confederation Congress     Author ( s )   Philadelphia Convention     Signatories   39 of the 55 delegates     Media type   Parchment     Supersedes   Articles of Confederation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This article is part of a series on the     Politics of the United States of America         Federal Government ( show )   Constitution of the United States     Law   Taxation       Legislature ( show )   United States Congress         House of Representatives     Speaker Paul Ryan ( R )     Majority Leader Kevin McCarthy ( R )     Minority Leader Nancy Pelosi ( D )     Congressional districts       Senate     President Mike Pence ( R )     President Pro Tempore Orrin Hatch ( R )     President Pro Tempore Emeritus Patrick Leahy ( D )     Majority Leader Mitch McConnell ( R )     Minority Leader Chuck Schumer ( D )       Executive ( show )   President of the United States     Donald Trump ( R )       Vice President of the United States     Mike Pence ( R )     Cabinet   Federal agencies   Executive Office       Judiciary ( show )   Supreme Court of the United States     Chief Justice John Roberts     Thomas   Ginsburg   Breyer   Alito   Sotomayor   Kagan   Gorsuch   Kavanaugh     Courts of Appeals   District Courts ( list )     Other tribunals       Elections ( show )   Presidential elections   Midterm elections     Off - year elections       Political parties ( show )   Democratic   Republican     Third parties       Federalism ( show )   State Government     Governors     Legislatures ( List )     State courts       Local government         United States portal   Other countries   Atlas                   The United States Constitution is the supreme law of the United States . The Constitution , originally comprising seven articles , delineates the national frame of government . Its first three articles embody the doctrine of the separation of powers , whereby the federal government is divided into three branches : the legislative , consisting of the bicameral Congress ; the executive , consisting of the President ; and the judicial , consisting of the Supreme Court and other federal courts . Articles Four , Five and Six embody concepts of federalism , describing the rights and responsibilities of state governments and of the states in relationship to the federal government . Article Seven establishes the procedure subsequently used by the thirteen States to ratify it . It is regarded as the oldest written and codified national constitution in force .   Since the Constitution came into force in 1789 , it has been amended 27 times , including an amendment to repeal a previous one , in order to meet the changing needs of a nation that has profoundly changed since the eighteenth century . In general , the first ten amendments , known collectively as the Bill of Rights , offer specific protections of individual liberty and justice and place restrictions on the powers of government . The majority of the seventeen later amendments expand individual civil rights protections . Others address issues related to federal authority or modify government processes and procedures . Amendments to the United States Constitution , unlike ones made to many constitutions worldwide , are appended to the document . All four pages of the original U.S. Constitution are written on parchment .   According to the United States Senate : `` The Constitution 's first three words -- We the People -- affirm that the government of the United States exists to serve its citizens . For over two centuries the Constitution has remained in force because its framers wisely separated and balanced governmental powers to safeguard the interests of majority rule and minority rights , of liberty and equality , and of the federal and state governments . ''   The first permanent constitution of its kind , adopted by the people 's representatives for an expansive nation , it is interpreted , supplemented , and implemented by a large body of constitutional law , and has influenced the constitutions of other nations .   Contents    1 Background   1.1 First government   1.2 Articles of Confederation     2 History   2.1 1787 drafting   2.2 1788 ratification     3 Influences   4 Original frame   4.1 Preamble   4.2 Article One   4.3 Article Two   4.4 Article Three   4.5 Article Four   4.6 Article Five   4.7 Article Six   4.8 Article Seven   4.9 Closing endorsement     5 Ratified amendments   5.1 Safeguards of liberty ( Amendments 1 , 2 , and 3 )   5.2 Safeguards of justice ( Amendments 4 , 5 , 6 , 7 , and 8 )   5.3 Unenumerated rights and reserved powers ( Amendments 9 and 10 )   5.4 Governmental authority ( Amendments 11 , 16 , 18 , and 21 )   5.5 Safeguards of civil rights ( Amendments 13 , 14 , 15 , 19 , 23 , 24 , and 26 )   5.6 Government processes and procedures ( Amendments 12 , 17 , 20 , 22 , 25 , and 27 )     6 Unratified amendments   6.1 Still pending   6.2 No longer pending     7 Judicial review   7.1 Scope and theory   7.2 Establishment   7.2. 1 Self - restraint   7.2. 2 Separation of powers     7.3 Subsequent Courts     8 Civic religion   9 Worldwide influence   10 Criticisms   11 See also   12 Notes   13 References   13.1 Footnotes   13.2 Works cited     14 Further reading   15 External links   15.1 U.S. government sources   15.2 Non-governmental sources      Background  See also : History of the United States Constitution  First government   From September 5 , 1774 , to March 1 , 1781 , the Continental Congress functioned as the provisional government of the United States . Delegates to the First ( 1774 ) and then the Second ( 1775 -- 1781 ) Continental Congress were chosen largely through the action of committees of correspondence in various colonies rather than through the colonial or later state legislatures . In no formal sense was it a gathering representative of existing colonial governments ; it represented the dissatisfied elements of the people , such persons as were sufficiently interested to act , despite the strenuous opposition of the loyalists and the obstruction or disfavor of colonial governors . The process of selecting the delegates for the First and Second Continental Congresses underscores the revolutionary role of the people of the colonies in establishing a central governing body . Endowed by the people collectively , the Continental Congress alone possessed those attributes of external sovereignty which entitled it to be called a state in the international sense , while the separate states , exercising a limited or internal sovereignty , may rightly be considered a creation of the Continental Congress , which preceded them and brought them into being .   Articles of Confederation  Main article : Articles of Confederation  The Articles of Confederation and Perpetual Union was the first constitution of the United States . It was drafted by the Second Continental Congress from mid-1776 through late 1777 , and ratification by all 13 states was completed by early 1781 . Under the Articles of Confederation , the central government 's power was quite limited . The Confederation Congress could make decisions , but lacked enforcement powers . Implementation of most decisions , including modifications to the Articles , required unanimous approval of all thirteen state legislatures .   Although , in a way , the Congressional powers in Article 9 made the `` league of states as cohesive and strong as any similar sort of republican confederation in history '' , the chief problem was , in the words of George Washington , `` no money '' . The Continental Congress could print money but the currency was worthless . ( A popular phrase of the times called a useless object or person ... not worth a Continental , referring to the Continental dollar . ) Congress could borrow money , but could n't pay it back . No state paid all their U.S. taxes ; some paid nothing . Some few paid an amount equal to interest on the national debt owed to their citizens , but no more . No interest was paid on debt owed foreign governments . By 1786 , the United States would default on outstanding debts as their dates came due .   Internationally , the Articles of Confederation did little to enhance the United States ' ability to defend its sovereignty . Most of the troops in the 625 - man United States Army were deployed facing -- but not threatening -- British forts on American soil . They had not been paid ; some were deserting and others threatening mutiny . Spain closed New Orleans to American commerce ; U.S. officials protested , but to no effect . Barbary pirates began seizing American ships of commerce ; the Treasury had no funds to pay their ransom . If any military crisis required action , the Congress had no credit or taxing power to finance a response .   Domestically , the Articles of Confederation was failing to bring unity to the diverse sentiments and interests of the various states . Although the Treaty of Paris ( 1783 ) was signed between Great Britain and the U.S. , and named each of the American states , various individual states proceeded blithely to violate it . New York and South Carolina repeatedly prosecuted Loyalists for wartime activity and redistributed their lands . Individual state legislatures independently laid embargoes , negotiated directly with foreign authorities , raised armies , and made war , all violating the letter and the spirit of the Articles .   In September 1786 , during an inter -- state convention to discuss and develop a consensus about reversing the protectionist trade barriers that each state had erected , James Madison angrily questioned whether the Articles of Confederation was a binding compact or even a viable government . Connecticut paid nothing and `` positively refused '' to pay U.S. assessments for two years . A rumor had it that a `` seditious party '' of New York legislators had opened a conversation with the Viceroy of Canada . To the south , the British were said to be openly funding Creek Indian raids on white settlers in Georgia and adjacent territory . Savannah ( then - capital of Georgia ) had been fortified , and the state of Georgia was under martial law . Additionally , during Shays ' Rebellion ( August 1786 -- June 1787 ) in Massachusetts , Congress could provide no money to support an endangered constituent state . General Benjamin Lincoln was obliged to raise funds from Boston merchants to pay for a volunteer army .   Congress was paralyzed . It could do nothing significant without nine states , and some legislation required all thirteen . When a state produced only one member in attendance , its vote was not counted . If a state 's delegation were evenly divided , its vote could not be counted towards the nine - count requirement . The Articles Congress had `` virtually ceased trying to govern '' . The vision of a `` respectable nation '' among nations seemed to be fading in the eyes of revolutionaries such as George Washington , Benjamin Franklin , and Rufus King . Their dream of a republic , a nation without hereditary rulers , with power derived from the people in frequent elections , was in doubt .   On February 21 , 1787 , the Confederation Congress called a convention of state delegates at Philadelphia to propose a plan of government . Unlike earlier attempts , the convention was not meant for new laws or piecemeal alterations , but for the `` sole and express purpose of revising the Articles of Confederation '' . The convention was not limited to commerce ; rather , it was intended to `` render the federal constitution adequate to the exigencies of government and the preservation of the Union . '' The proposal might take effect when approved by Congress and the states .   History   1787 drafting  Main article : Constitutional Convention ( United States ) Signing the Constitution , September 17 , 1787  On the appointed day , May 14 , 1787 , only the Virginia and Pennsylvania delegations were present , and so the convention 's opening meeting was postponed for lack of a quorum . A quorum of seven states met and deliberations began on May 25 . Eventually twelve states were represented ; 74 delegates were named , 55 attended and 39 signed . The delegates were generally convinced that an effective central government with a wide range of enforceable powers must replace the weaker Congress established by the Articles of Confederation .   Two plans for structuring the federal government arose at the convention 's outset :    The Virginia Plan ( also known as the Large State Plan or the Randolph Plan ) proposed that the legislative department of the national government be composed of a Bicameral Congress , with both chambers elected with apportionment according to population . Generally favoring the most highly populated states , it used the philosophy of John Locke to rely on consent of the governed , Montesquieu for divided government , and Edward Coke to emphasize civil liberties .   The New Jersey Plan proposed that the legislative department be a unicameral body with one vote per state . Generally favoring the less - populous states , it used the philosophy of English Whigs such as Edmund Burke to rely on received procedure and William Blackstone to emphasize sovereignty of the legislature . This position reflected the belief that the states were independent entities and , as they entered the United States of America freely and individually , remained so .    On May 31 , the Convention devolved into a `` Committee of the Whole '' to consider the Virginia Plan . On June 13 , the Virginia resolutions in amended form were reported out of committee . The New Jersey plan was put forward in response to the Virginia Plan .   A `` Committee of Eleven '' ( one delegate from each state represented ) met from July 2 to 16 to work out a compromise on the issue of representation in the federal legislature . All agreed to a republican form of government grounded in representing the people in the states . For the legislature , two issues were to be decided : how the votes were to be allocated among the states in the Congress , and how the representatives should be elected . In its report , now known as the Connecticut Compromise ( or `` Great Compromise '' ) , the committee proposed proportional representation for seats in the House of Representatives based on population ( with the people voting for representatives ) , and equal representation for each State in the Senate ( with each state 's legislators generally choosing their respective senators ) , and that all money bills would originate in the House .   The Great Compromise ended the stalemate between `` patriots '' and `` nationalists '' , leading to numerous other compromises in a spirit of accommodation . There were sectional interests to be balanced by the Three - Fifths Compromise ; reconciliation on Presidential term , powers , and method of selection ; and jurisdiction of the federal judiciary .   On July 24 , a `` Committee of Detail '' -- John Rutledge ( South Carolina ) , Edmund Randolph ( Virginia ) , Nathaniel Gorham ( Massachusetts ) , Oliver Ellsworth ( Connecticut ) , and James Wilson ( Pennsylvania ) -- was elected to draft a detailed constitution reflective of the Resolutions passed by the convention up to that point . The Convention recessed from July 26 to August 6 to await the report of this `` Committee of Detail '' . Overall , the report of the committee conformed to the resolutions adopted by the Convention , adding some elements . A twenty - three article ( plus preamble ) constitution was presented .   From August 6 to September 10 , the report of the committee of detail was discussed , section by section and clause by clause . Details were attended to , and further compromises were effected . Toward the close of these discussions , on September 8 , a `` Committee of Style and Arrangement '' -- Alexander Hamilton ( New York ) , William Samuel Johnson ( Connecticut ) , Rufus King ( Massachusetts ) , James Madison ( Virginia ) , and Gouverneur Morris ( Pennsylvania ) -- was appointed to distill a final draft constitution from the twenty - three approved articles . The final draft , presented to the convention on September 12 , contained seven articles , a preamble and a closing endorsement , of which Morris was the primary author . The committee also presented a proposed letter to accompany the constitution when delivered to Congress .   The final document , engrossed by Jacob Shallus , was taken up on Monday , September 17 , at the Convention 's final session . Several of the delegates were disappointed in the result , a makeshift series of unfortunate compromises . Some delegates left before the ceremony , and three others refused to sign . Of the thirty - nine signers , Benjamin Franklin summed up , addressing the Convention : `` There are several parts of this Constitution which I do not at present approve , but I am not sure I shall never approve them . '' He would accept the Constitution , `` because I expect no better and because I am not sure that it is not the best '' .   The advocates of the Constitution were anxious to obtain unanimous support of all twelve states represented in the Convention . Their accepted formula for the closing endorsement was `` Done in Convention , by the unanimous consent of the States present . '' At the end of the convention , the proposal was agreed to by eleven state delegations and the lone remaining delegate from New York , Alexander Hamilton .   1788 ratification  Further information : History of the United States Constitution § Ratification of the Constitution Dates the 13 states ratified the Constitution  Transmitted to the Congress of the Confederation , then sitting in New York City , it was within the power of Congress to expedite or block ratification of the proposed Constitution . The new frame of government that the Philadelphia Convention presented was technically only a revision of the Articles of Confederation . After several days of debate , Congress voted to transmit the document to the thirteen states for ratification according to the process outlined in its Article VII . Each state legislature was to call elections for a `` Federal Convention '' to ratify the new Constitution , rather than consider ratification itself ; a departure from the constitutional practice of the time , designed to expand the franchise in order to more clearly embrace `` the people '' . The frame of government itself was to go into force among the States so acting upon the approval of nine ( i.e. two - thirds of the 13 ) states ; also a departure from constitutional practice , as the Articles of Confederation could only be amended by unanimous vote of all the states .   Three members of the Convention -- Madison , Gorham , and King -- were also Members of Congress . They proceeded at once to New York , where Congress was in session , to placate the expected opposition . Aware of their vanishing authority , Congress , on September 28 , after some debate , resolved unanimously to submit the Constitution to the States for action , `` in conformity to the resolves of the Convention '' , but with no recommendation either for or against its adoption .   Two parties soon developed , one in opposition , the Anti-Federalists , and one in support , the Federalists , of the Constitution ; and the Constitution was debated , criticized , and expounded upon clause by clause . Hamilton , Madison , and Jay , under the name of Publius , wrote a series of commentaries , now known as The Federalist Papers , in support of ratification in the state of New York , at that time a hotbed of anti-Federalism . These commentaries on the Constitution , written during the struggle for ratification , have been frequently cited by the Supreme Court as an authoritative contemporary interpretation of the meaning of its provisions . The dispute over additional powers for the central government was close , and in some states ratification was effected only after a bitter struggle in the state convention itself .   On June 21 , 1788 , the constitution had been ratified by the minimum of nine states required under Article VII . Towards the end of July , and with eleven states then having ratified , the process of organizing the new government began . The Continental Congress , which still functioned at irregular intervals , passed a resolution on September 13 , 1788 , to put the new Constitution into operation with the eleven states that had then ratified it . The federal government began operations under the new form of government on March 4 , 1789 . However , the initial meeting of each chamber of Congress had to be adjourned due to lack of a quorum . George Washington was inaugurated as the nation 's first president 8 weeks later , on April 30 . The final two states , North Carolina and Rhode Island , both subsequently ratified the Constitution -- November 21 , 1789 , and May 29 , 1790 , respectively .   Influences  Further information : History of the United States Constitution      hide This section has multiple issues . Please help improve it or discuss these issues on the talk page . ( Learn how and when to remove these template messages )      This section needs additional citations for verification . Please help improve this article by adding citations to reliable sources . Unsourced material may be challenged and removed . ( June 2012 ) ( Learn how and when to remove this template message )         This section may require cleanup to meet Wikipedia 's quality standards . The specific problem is : not encyclopedic Please help improve this section if you can . ( February 2016 ) ( Learn how and when to remove this template message )    ( Learn how and when to remove this template message )       Enlightenment and Rule of law         John Locke Two Treatises of Government life , liberty and property     Several ideas in the Constitution were new . These were associated with the combination of consolidated government along with federal relationships with constituent states .   The Due Process Clause of the Constitution was partly based on common law and on Magna Carta ( 1215 ) , which had become a foundation of English liberty against arbitrary power wielded by a ruler .   Among the most prominent political theorists of the late eighteenth century were William Blackstone , John Locke , and Montesquieu .   Both the influence of Edward Coke and William Blackstone were evident at the Convention . In his Institutes of the Lawes of England , Edward Coke interpreted Magna Carta protections and rights to apply not just to nobles , but to all British subjects . In writing the Virginia Charter of 1606 , he enabled the King in Parliament to give those to be born in the colonies all rights and liberties as though they were born in England . William Blackstone 's Commentaries on the Laws of England were the most influential books on law in the new republic .   British political philosopher John Locke following the Glorious Revolution ( 1688 ) was a major influence expanding on the contract theory of government advanced by Thomas Hobbes . Locke advanced the principle of consent of the governed in his Two Treatises of Government . Government 's duty under a social contract among the sovereign people was to serve the people by protecting their rights . These basic rights were life , liberty and property .   Montesquieu 's influence on the framers is evident in Madison 's Federalist No. 47 and Hamilton 's Federalist No. 78 . Jefferson , Adams , and Mason were known to read Montesquieu . Supreme Court Justices , the ultimate interpreters of the Constitution , have cited to Montesquieu throughout the Court 's history . ( See , e.g. , Green v. Biddle , 21 U.S. 1 , 1 , 36 ( 1823 ) . United States v. Wood , 39 U.S. 430 , 438 ( 1840 ) . Myers v. United States , 272 U.S. 52 , 116 ( 1926 ) . Nixon v. Administrator of General Services , 433 U.S. 425 , 442 ( 1977 ) . Bank Markazi v. Peterson , 136 U.S. 1310 , 1330 ( 2016 ). ) Montesquieu emphasized the need for balanced forces pushing against each other to prevent tyranny ( reflecting the influence of Polybius 's 2nd century BC treatise on the checks and balances of the Roman Republic ) . In his The Spirit of the Laws , Montesquieu argues that the separation of state powers should be by its service to the people 's liberty : legislative , executive and judicial .   A substantial body of thought had been developed from the literature of republicanism in the United States , including work by John Adams and applied to the creation of state constitutions .   The constitution was a federal one , and was influenced by the study of other federations , both ancient and extant .   The United States Bill of Rights consists of 10 amendments added to the Constitution in 1791 , as supporters of the Constitution had promised critics during the debates of 1788 . The English Bill of Rights ( 1689 ) was an inspiration for the American Bill of Rights . Both require jury trials , contain a right to keep and bear arms , prohibit excessive bail and forbid `` cruel and unusual punishments '' . Many liberties protected by state constitutions and the Virginia Declaration of Rights were incorporated into the Bill of Rights .   Original frame  Reading of the Original United States Constitution , 1787  Neither the Convention which drafted the Constitution , nor the Congress which sent it to the thirteen states for ratification in the autumn of 1787 , gave it a lead caption . To fill this void , the document was most often titled `` A frame of Government '' when it was printed for the convenience of ratifying conventions and the information of the public . This Frame of Government consisted of a preamble , seven articles and a signed closing endorsement .   Preamble  `` We the People '' in an original edition  The preamble to the Constitution serves as an introductory statement of the document 's fundamental purposes and guiding principles . It neither assigns powers to the federal government , nor does it place specific limitations on government action . Rather , it sets out the origin , scope and purpose of the Constitution . Its origin and authority is in `` We , the people of the United States '' . This echoes the Declaration of Independence . `` One people '' dissolved their connection with another , and assumed among the powers of the earth , a sovereign nation - state . The scope of the Constitution is twofold . First , `` to form a more perfect Union '' than had previously existed in the `` perpetual Union '' of the Articles of Confederation . Second , to `` secure the blessings of liberty '' , which were to be enjoyed by not only the first generation , but for all who came after , `` our posterity '' .   Article one   Article One describes the Congress , the legislative branch of the federal government . Section 1 , reads , `` All legislative powers herein granted shall be vested in a Congress of the United States , which shall consist of a Senate and House of Representatives . '' The article establishes the manner of election and the qualifications of members of each body . Representatives must be at least 25 years old , be a citizen of the United States for seven years , and live in the state they represent . Senators must be at least 30 years old , be a citizen for nine years , and live in the state they represent .   Article I , Section 8 enumerates the powers delegated to the legislature . Financially , Congress has the power to tax , borrow , pay debt and provide for the common defense and the general welfare ; to regulate commerce , bankruptcies , and coin money . To regulate internal affairs , it has the power to regulate and govern military forces and militias , suppress insurrections and repel invasions . It is to provide for naturalization , standards of weights and measures , post offices and roads , and patents ; to directly govern the federal district and cessions of land by the states for forts and arsenals . Internationally , Congress has the power to define and punish piracies and offenses against the Law of Nations , to declare war and make rules of war . The final Necessary and Proper Clause , also known as the Elastic Clause , expressly confers incidental powers upon Congress without the Articles ' requirement for express delegation for each and every power . Article I , Section 9 lists eight specific limits on congressional power .   The Supreme Court has sometimes broadly interpreted the Commerce Clause and the Necessary and Proper Clause in Article One to allow Congress to enact legislation that is neither expressly allowed by the enumerated powers nor expressly denied in the limitations on Congress . In McCulloch v. Maryland ( 1819 ) , the Supreme Court read the Necessary and Proper Clause to permit the federal government to take action that would `` enable ( it ) to perform the high duties assigned to it ( by the Constitution ) in the manner most beneficial to the people '' , even if that action is not itself within the enumerated powers . Chief Justice Marshall clarified : `` Let the end be legitimate , let it be within the scope of the Constitution , and all means which are appropriate , which are plainly adapted to that end , which are not prohibited , but consist with the letter and spirit of the Constitution , are Constitutional . ''   Article two   Article Two describes the office , qualifications , and duties of the President of the United States and the Vice President . The President is head of the executive branch of the federal government , as well as the nation 's head of state and head of government .   Article two is modified by the 12th Amendment which tacitly acknowledges political parties , and the 25th Amendment relating to office succession . The president is to receive only one compensation from the federal government . The inaugural oath is specified to preserve , protect and defend the Constitution .   The president is the Commander in Chief of the United States Armed Forces and state militias when they are mobilized . He or she makes treaties with the advice and consent of a two - thirds quorum of the Senate . To administer the federal government , the president commissions all the offices of the federal government as Congress directs ; he or she may require the opinions of its principal officers and make `` recess appointments '' for vacancies that may happen during the recess of the Senate . The president is to see that the laws are faithfully executed , though he or she may grant reprieves and pardons except regarding Congressional impeachment of himself or other federal officers . The president reports to Congress on the State of the Union , and by the Recommendation Clause , recommends `` necessary and expedient '' national measures . The president may convene and adjourn Congress under special circumstances .   Section 4 provides for removal of the president and other federal officers . The president </t>
  </si>
  <si>
    <t xml:space="preserve">the term used to refer to the official approval of the constitution by the states</t>
  </si>
  <si>
    <t xml:space="preserve"> The United States Constitution is the supreme law of the United States . The Constitution , originally comprising seven articles , delineates the national frame of government . Its first three articles embody the doctrine of the separation of powers , whereby the federal government is divided into three branches : the legislative , consisting of the bicameral Congress ; the executive , consisting of the President ; and the judicial , consisting of the Supreme Court and other federal courts . Articles Four , Five and Six embody concepts of federalism , describing the rights and responsibilities of state governments and of the states in relationship to the federal government . Article Seven establishes the procedure subsequently used by the thirteen States to ratify it . It is regarded as the oldest written and codified national constitution in force . </t>
  </si>
  <si>
    <r>
      <rPr>
        <sz val="11"/>
        <color rgb="FF000000"/>
        <rFont val="Calibri"/>
        <family val="0"/>
        <charset val="1"/>
      </rPr>
      <t xml:space="preserve">List of Fairy Tail Episodes - wikipedia  List of Fairy Tail Episodes  Jump to : navigation , search  Fairy Tail is an anime series adapted from the manga of the same title by Hiro Mashima . Produced by A-1 Pictures and Satelight , and directed by Shinji Ishihira , it was broadcast on TV Tokyo from October 12 , 2009 , to March 30 , 2013 . It later continued its run on April 5 , 2014 , and ended on March 26 , 2016 . On July 20 , 2017 , Mashima confirmed on Twitter that the final season of Fairy Tail will air in 2018 . The series follows the adventures of Natsu Dragneel , a member of the Fairy Tail wizards ' guild and mage who is searching for the dragon Igneel , and partners with Lucy Heartfilia , a celestial wizard .   The series uses 44 different pieces of theme music : 22 opening themes and 22 ending themes . Several CDs containing the theme music and other tracks have been released by Pony Canyon . The first DVD compilation was released on January 29 , 2010 , with individual volumes being released monthly . The Southeast Asian network Animax Asia aired part of the series locally in English .   In 2011 , Funimation licensed the first season for an English - language release in North America . The Funimation - dubbed episodes aired on the Funimation Channel . The first DVD set , containing 12 episodes , was released on November 22 , 2011 . Similarly sized sets followed , with 14 sets released as of December 2 , 2014 . Funimation also acquired the rights to simulcast the relaunched anime episodes .     Contents  ( hide )   1 Series overview   2 Episode list   2.1 Season 1 ( 2009 -- 2010 )   2.2 Season 2 ( 2010 -- 2011 )   2.3 Season 3 ( 2011 )   2.4 Season 4 ( 2011 -- 2012 )   2.5 Season 5 ( 2012 )   2.6 Season 6 ( 2012 -- 2013 )   2.7 Season 7 ( 2014 -- 2015 )   2.8 Fairy Tail Zero ( 2016 )     3 Films   4 Original video animations   5 Home media releases   5.1 Japanese   5.2 English     6 Notes   7 References   8 External links      Series overview ( edit )     Season   Episodes   Originally aired     First aired   Last aired       48   October 12 , 2009 ( 2009 - 10 - 12 )   September 27 , 2010 ( 2010 - 09 - 27 )       24   October 11 , 2010 ( 2010 - 10 - 11 )   March 28 , 2011 ( 2011 - 03 - 28 )       28   April 4 , 2011 ( 2011 - 04 - 04 )   October 8 , 2011 ( 2011 - 10 - 08 )       25   October 15 , 2011 ( 2011 - 10 - 15 )   April 7 , 2012 ( 2012 - 04 - 07 )     5   25   April 14 , 2012 ( 2012 - 04 - 14 )   September 29 , 2012 ( 2012 - 09 - 29 )     6   25   October 6 , 2012 ( 2012 - 10 - 06 )   March 30 , 2013 ( 2013 - 03 - 30 )     7   90   April 5 , 2014 ( 2014 - 04 - 05 )   December 26 , 2015 ( 2015 - 12 - 26 )     Zero   12   January 9 , 2016 ( 2016 - 01 - 09 )   March 26 , 2016 ( 2016 - 03 - 26 )     Episode list ( edit )   Season 1 ( 2009 -- 2010 ) ( edit )  Main article : List of Fairy Tail episodes ( season 1 )    No .   Official English title Original Japanese title   Original air date   English air date       `` The Fairy Tail '' `` Yōsei no Shippo '' ( </t>
    </r>
    <r>
      <rPr>
        <sz val="11"/>
        <color rgb="FF000000"/>
        <rFont val="Noto Sans CJK SC"/>
        <family val="2"/>
      </rPr>
      <t xml:space="preserve">妖精 の 尻尾 </t>
    </r>
    <r>
      <rPr>
        <sz val="11"/>
        <color rgb="FF000000"/>
        <rFont val="Calibri"/>
        <family val="0"/>
        <charset val="1"/>
      </rPr>
      <t xml:space="preserve">)   October 12 , 2009   September 30 , 2011       `` Fire Dragon , Monkey , and Bull '' `` Karyū to Saru to Ushi '' ( </t>
    </r>
    <r>
      <rPr>
        <sz val="11"/>
        <color rgb="FF000000"/>
        <rFont val="Noto Sans CJK SC"/>
        <family val="2"/>
      </rPr>
      <t xml:space="preserve">火 竜 と 猿 と 牛 </t>
    </r>
    <r>
      <rPr>
        <sz val="11"/>
        <color rgb="FF000000"/>
        <rFont val="Calibri"/>
        <family val="0"/>
        <charset val="1"/>
      </rPr>
      <t xml:space="preserve">)   October 19 , 2009   October 7 , 2011       `` Infiltrate the Everlue Mansion '' `` Sennyū Seyo ! ! Ebarū Yashiki ! ! '' ( </t>
    </r>
    <r>
      <rPr>
        <sz val="11"/>
        <color rgb="FF000000"/>
        <rFont val="Noto Sans CJK SC"/>
        <family val="2"/>
      </rPr>
      <t xml:space="preserve">潛入 せよ </t>
    </r>
    <r>
      <rPr>
        <sz val="11"/>
        <color rgb="FF000000"/>
        <rFont val="Calibri"/>
        <family val="0"/>
        <charset val="1"/>
      </rPr>
      <t xml:space="preserve">! ! </t>
    </r>
    <r>
      <rPr>
        <sz val="11"/>
        <color rgb="FF000000"/>
        <rFont val="Noto Sans CJK SC"/>
        <family val="2"/>
      </rPr>
      <t xml:space="preserve">エバルー 屋敷 </t>
    </r>
    <r>
      <rPr>
        <sz val="11"/>
        <color rgb="FF000000"/>
        <rFont val="Calibri"/>
        <family val="0"/>
        <charset val="1"/>
      </rPr>
      <t xml:space="preserve">! ! )   October 26 , 2009   October 17 , 2011       `` Dear Kaby '' `` Shin'ai Naru Kābi e '' ( DEAR KABY </t>
    </r>
    <r>
      <rPr>
        <sz val="11"/>
        <color rgb="FF000000"/>
        <rFont val="Noto Sans CJK SC"/>
        <family val="2"/>
      </rPr>
      <t xml:space="preserve">〜 親愛 なる カービィ へ 〜 </t>
    </r>
    <r>
      <rPr>
        <sz val="11"/>
        <color rgb="FF000000"/>
        <rFont val="Calibri"/>
        <family val="0"/>
        <charset val="1"/>
      </rPr>
      <t xml:space="preserve">)   November 2 , 2009   October 21 , 2011     5   `` The Wizard in Armor '' `` Yoroi no Madōshi '' ( </t>
    </r>
    <r>
      <rPr>
        <sz val="11"/>
        <color rgb="FF000000"/>
        <rFont val="Noto Sans CJK SC"/>
        <family val="2"/>
      </rPr>
      <t xml:space="preserve">鎧 の 魔 導 士 </t>
    </r>
    <r>
      <rPr>
        <sz val="11"/>
        <color rgb="FF000000"/>
        <rFont val="Calibri"/>
        <family val="0"/>
        <charset val="1"/>
      </rPr>
      <t xml:space="preserve">)   November 9 , 2009   --     6   `` Fairies in the Wind '' `` Yōsei - tachi wa Kaze no Naka '' ( </t>
    </r>
    <r>
      <rPr>
        <sz val="11"/>
        <color rgb="FF000000"/>
        <rFont val="Noto Sans CJK SC"/>
        <family val="2"/>
      </rPr>
      <t xml:space="preserve">妖精 たち は 風 の 中 </t>
    </r>
    <r>
      <rPr>
        <sz val="11"/>
        <color rgb="FF000000"/>
        <rFont val="Calibri"/>
        <family val="0"/>
        <charset val="1"/>
      </rPr>
      <t xml:space="preserve">)   November 16 , 2009   --     7   `` Flame and Wind '' `` Honō to Kaze '' ( </t>
    </r>
    <r>
      <rPr>
        <sz val="11"/>
        <color rgb="FF000000"/>
        <rFont val="Noto Sans CJK SC"/>
        <family val="2"/>
      </rPr>
      <t xml:space="preserve">炎 と 風 </t>
    </r>
    <r>
      <rPr>
        <sz val="11"/>
        <color rgb="FF000000"/>
        <rFont val="Calibri"/>
        <family val="0"/>
        <charset val="1"/>
      </rPr>
      <t xml:space="preserve">)   November 23 , 2009   --     8   `` The Strongest Team '' `` Saikyō Chīmu ! ! ! '' ( </t>
    </r>
    <r>
      <rPr>
        <sz val="11"/>
        <color rgb="FF000000"/>
        <rFont val="Noto Sans CJK SC"/>
        <family val="2"/>
      </rPr>
      <t xml:space="preserve">最強 チーム </t>
    </r>
    <r>
      <rPr>
        <sz val="11"/>
        <color rgb="FF000000"/>
        <rFont val="Calibri"/>
        <family val="0"/>
        <charset val="1"/>
      </rPr>
      <t xml:space="preserve">! ! ! )   November 30 , 2009   --     9   `` Natsu Devours a Village '' `` Natsu , Mura o Kū '' ( </t>
    </r>
    <r>
      <rPr>
        <sz val="11"/>
        <color rgb="FF000000"/>
        <rFont val="Noto Sans CJK SC"/>
        <family val="2"/>
      </rPr>
      <t xml:space="preserve">ナツ 、 村 を 食う </t>
    </r>
    <r>
      <rPr>
        <sz val="11"/>
        <color rgb="FF000000"/>
        <rFont val="Calibri"/>
        <family val="0"/>
        <charset val="1"/>
      </rPr>
      <t xml:space="preserve">)   December 7 , 2009   --     10   `` Natsu vs. Erza '' `` Natsu vs. Eruza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エルザ </t>
    </r>
    <r>
      <rPr>
        <sz val="11"/>
        <color rgb="FF000000"/>
        <rFont val="Calibri"/>
        <family val="0"/>
        <charset val="1"/>
      </rPr>
      <t xml:space="preserve">)   December 14 , 2009   --     11   `` The Cursed Island '' `` Norowareta Shima '' ( </t>
    </r>
    <r>
      <rPr>
        <sz val="11"/>
        <color rgb="FF000000"/>
        <rFont val="Noto Sans CJK SC"/>
        <family val="2"/>
      </rPr>
      <t xml:space="preserve">呪 われ た 島 </t>
    </r>
    <r>
      <rPr>
        <sz val="11"/>
        <color rgb="FF000000"/>
        <rFont val="Calibri"/>
        <family val="0"/>
        <charset val="1"/>
      </rPr>
      <t xml:space="preserve">)   December 21 , 2009   --     12   `` Moon Drip '' `` Mūn Dorippu '' ( </t>
    </r>
    <r>
      <rPr>
        <sz val="11"/>
        <color rgb="FF000000"/>
        <rFont val="Noto Sans CJK SC"/>
        <family val="2"/>
      </rPr>
      <t xml:space="preserve">月 の 雫 </t>
    </r>
    <r>
      <rPr>
        <sz val="11"/>
        <color rgb="FF000000"/>
        <rFont val="Calibri"/>
        <family val="0"/>
        <charset val="1"/>
      </rPr>
      <t xml:space="preserve">( </t>
    </r>
    <r>
      <rPr>
        <sz val="11"/>
        <color rgb="FF000000"/>
        <rFont val="Noto Sans CJK SC"/>
        <family val="2"/>
      </rPr>
      <t xml:space="preserve">ムーン ドリップ </t>
    </r>
    <r>
      <rPr>
        <sz val="11"/>
        <color rgb="FF000000"/>
        <rFont val="Calibri"/>
        <family val="0"/>
        <charset val="1"/>
      </rPr>
      <t xml:space="preserve">) )   January 4 , 2010   --     13   `` Natsu vs. Yuka the Wave User '' `` Natsu vs. Hadō no Yūka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波動 の ユウカ </t>
    </r>
    <r>
      <rPr>
        <sz val="11"/>
        <color rgb="FF000000"/>
        <rFont val="Calibri"/>
        <family val="0"/>
        <charset val="1"/>
      </rPr>
      <t xml:space="preserve">)   January 11 , 2010   --     14   `` Just Do Whatever ! ! '' `` Katte ni Shiyagare ! ! '' ( </t>
    </r>
    <r>
      <rPr>
        <sz val="11"/>
        <color rgb="FF000000"/>
        <rFont val="Noto Sans CJK SC"/>
        <family val="2"/>
      </rPr>
      <t xml:space="preserve">勝手 にし や が れ </t>
    </r>
    <r>
      <rPr>
        <sz val="11"/>
        <color rgb="FF000000"/>
        <rFont val="Calibri"/>
        <family val="0"/>
        <charset val="1"/>
      </rPr>
      <t xml:space="preserve">! ! )   January 18 , 2010   --     15   `` Eternal Magic '' `` Eien no Mahō '' ( </t>
    </r>
    <r>
      <rPr>
        <sz val="11"/>
        <color rgb="FF000000"/>
        <rFont val="Noto Sans CJK SC"/>
        <family val="2"/>
      </rPr>
      <t xml:space="preserve">永遠 の 魔法 </t>
    </r>
    <r>
      <rPr>
        <sz val="11"/>
        <color rgb="FF000000"/>
        <rFont val="Calibri"/>
        <family val="0"/>
        <charset val="1"/>
      </rPr>
      <t xml:space="preserve">)   January 25 , 2010   --     16   `` The Final Showdown on Galuna Island '' `` Garuna - tō , Saishū Kessen '' ( </t>
    </r>
    <r>
      <rPr>
        <sz val="11"/>
        <color rgb="FF000000"/>
        <rFont val="Noto Sans CJK SC"/>
        <family val="2"/>
      </rPr>
      <t xml:space="preserve">ガルナ 島 最終 決戦 </t>
    </r>
    <r>
      <rPr>
        <sz val="11"/>
        <color rgb="FF000000"/>
        <rFont val="Calibri"/>
        <family val="0"/>
        <charset val="1"/>
      </rPr>
      <t xml:space="preserve">)   February 1 , 2010   --     17   `` Burst ''   February 8 , 2010   --     18   `` Reach the Sky Above '' `` Todoke , Ano Sora ni '' ( </t>
    </r>
    <r>
      <rPr>
        <sz val="11"/>
        <color rgb="FF000000"/>
        <rFont val="Noto Sans CJK SC"/>
        <family val="2"/>
      </rPr>
      <t xml:space="preserve">届け あの 空 に </t>
    </r>
    <r>
      <rPr>
        <sz val="11"/>
        <color rgb="FF000000"/>
        <rFont val="Calibri"/>
        <family val="0"/>
        <charset val="1"/>
      </rPr>
      <t xml:space="preserve">)   February 15 , 2010   --     19   `` Changeling '' `` Chenjiringu '' ( </t>
    </r>
    <r>
      <rPr>
        <sz val="11"/>
        <color rgb="FF000000"/>
        <rFont val="Noto Sans CJK SC"/>
        <family val="2"/>
      </rPr>
      <t xml:space="preserve">チェンジ リング </t>
    </r>
    <r>
      <rPr>
        <sz val="11"/>
        <color rgb="FF000000"/>
        <rFont val="Calibri"/>
        <family val="0"/>
        <charset val="1"/>
      </rPr>
      <t xml:space="preserve">)   February 22 , 2010   --     20   `` Natsu and the Dragon Egg '' `` Natsu to Doragon no Tamago '' ( </t>
    </r>
    <r>
      <rPr>
        <sz val="11"/>
        <color rgb="FF000000"/>
        <rFont val="Noto Sans CJK SC"/>
        <family val="2"/>
      </rPr>
      <t xml:space="preserve">ナツ と ドラゴン の 卵 </t>
    </r>
    <r>
      <rPr>
        <sz val="11"/>
        <color rgb="FF000000"/>
        <rFont val="Calibri"/>
        <family val="0"/>
        <charset val="1"/>
      </rPr>
      <t xml:space="preserve">)   March 1 , 2010   --     21   `` The Phantom Lord '' `` Yūki no Shihaisha '' ( </t>
    </r>
    <r>
      <rPr>
        <sz val="11"/>
        <color rgb="FF000000"/>
        <rFont val="Noto Sans CJK SC"/>
        <family val="2"/>
      </rPr>
      <t xml:space="preserve">幽鬼 の 支配 者 </t>
    </r>
    <r>
      <rPr>
        <sz val="11"/>
        <color rgb="FF000000"/>
        <rFont val="Calibri"/>
        <family val="0"/>
        <charset val="1"/>
      </rPr>
      <t xml:space="preserve">)   March 8 , 2010   --     22   `` Lucy Heartfilia '' `` Rūshii Hātofiria '' ( </t>
    </r>
    <r>
      <rPr>
        <sz val="11"/>
        <color rgb="FF000000"/>
        <rFont val="Noto Sans CJK SC"/>
        <family val="2"/>
      </rPr>
      <t xml:space="preserve">ルーシィ ・ ハート フィリア </t>
    </r>
    <r>
      <rPr>
        <sz val="11"/>
        <color rgb="FF000000"/>
        <rFont val="Calibri"/>
        <family val="0"/>
        <charset val="1"/>
      </rPr>
      <t xml:space="preserve">)   March 15 , 2010   --     23   `` 15 Minutes '' `` Jūgo - fun '' ( 15 </t>
    </r>
    <r>
      <rPr>
        <sz val="11"/>
        <color rgb="FF000000"/>
        <rFont val="Noto Sans CJK SC"/>
        <family val="2"/>
      </rPr>
      <t xml:space="preserve">分 </t>
    </r>
    <r>
      <rPr>
        <sz val="11"/>
        <color rgb="FF000000"/>
        <rFont val="Calibri"/>
        <family val="0"/>
        <charset val="1"/>
      </rPr>
      <t xml:space="preserve">)   March 22 , 2010   --     24   `` To Keep From Seeing Those Tears '' `` Sono Namida o Minai Tame ni '' ( </t>
    </r>
    <r>
      <rPr>
        <sz val="11"/>
        <color rgb="FF000000"/>
        <rFont val="Noto Sans CJK SC"/>
        <family val="2"/>
      </rPr>
      <t xml:space="preserve">その 涙 を 見 ない 為 に </t>
    </r>
    <r>
      <rPr>
        <sz val="11"/>
        <color rgb="FF000000"/>
        <rFont val="Calibri"/>
        <family val="0"/>
        <charset val="1"/>
      </rPr>
      <t xml:space="preserve">)   March 29 , 2010   --     25   `` A Flower Blooms in the Rain '' `` Ame no Naka ni Saku Hana '' ( </t>
    </r>
    <r>
      <rPr>
        <sz val="11"/>
        <color rgb="FF000000"/>
        <rFont val="Noto Sans CJK SC"/>
        <family val="2"/>
      </rPr>
      <t xml:space="preserve">雨 の 中 に 咲く 華 </t>
    </r>
    <r>
      <rPr>
        <sz val="11"/>
        <color rgb="FF000000"/>
        <rFont val="Calibri"/>
        <family val="0"/>
        <charset val="1"/>
      </rPr>
      <t xml:space="preserve">)   April 12 , 2010   --     26   `` Wings of Flame '' `` Honō no Tsubasa '' ( </t>
    </r>
    <r>
      <rPr>
        <sz val="11"/>
        <color rgb="FF000000"/>
        <rFont val="Noto Sans CJK SC"/>
        <family val="2"/>
      </rPr>
      <t xml:space="preserve">炎 の 翼 </t>
    </r>
    <r>
      <rPr>
        <sz val="11"/>
        <color rgb="FF000000"/>
        <rFont val="Calibri"/>
        <family val="0"/>
        <charset val="1"/>
      </rPr>
      <t xml:space="preserve">)   April 19 , 2010   --     27   `` The Two Dragon Slayers '' `` Futari no Doragon Sureiyā '' ( </t>
    </r>
    <r>
      <rPr>
        <sz val="11"/>
        <color rgb="FF000000"/>
        <rFont val="Noto Sans CJK SC"/>
        <family val="2"/>
      </rPr>
      <t xml:space="preserve">二 人 の 滅 竜 魔 導 士 </t>
    </r>
    <r>
      <rPr>
        <sz val="11"/>
        <color rgb="FF000000"/>
        <rFont val="Calibri"/>
        <family val="0"/>
        <charset val="1"/>
      </rPr>
      <t xml:space="preserve">( </t>
    </r>
    <r>
      <rPr>
        <sz val="11"/>
        <color rgb="FF000000"/>
        <rFont val="Noto Sans CJK SC"/>
        <family val="2"/>
      </rPr>
      <t xml:space="preserve">ドラゴン スレイヤー </t>
    </r>
    <r>
      <rPr>
        <sz val="11"/>
        <color rgb="FF000000"/>
        <rFont val="Calibri"/>
        <family val="0"/>
        <charset val="1"/>
      </rPr>
      <t xml:space="preserve">) )   April 26 , 2010   --     28   `` Fairy Law '' `` Fearī Rō '' ( </t>
    </r>
    <r>
      <rPr>
        <sz val="11"/>
        <color rgb="FF000000"/>
        <rFont val="Noto Sans CJK SC"/>
        <family val="2"/>
      </rPr>
      <t xml:space="preserve">フェアリー ロウ </t>
    </r>
    <r>
      <rPr>
        <sz val="11"/>
        <color rgb="FF000000"/>
        <rFont val="Calibri"/>
        <family val="0"/>
        <charset val="1"/>
      </rPr>
      <t xml:space="preserve">)   May 3 , 2010   --     29   `` My Resolve '' `` Atashi no Ketsui '' ( </t>
    </r>
    <r>
      <rPr>
        <sz val="11"/>
        <color rgb="FF000000"/>
        <rFont val="Noto Sans CJK SC"/>
        <family val="2"/>
      </rPr>
      <t xml:space="preserve">あたし の 決意 </t>
    </r>
    <r>
      <rPr>
        <sz val="11"/>
        <color rgb="FF000000"/>
        <rFont val="Calibri"/>
        <family val="0"/>
        <charset val="1"/>
      </rPr>
      <t xml:space="preserve">)   May 10 , 2010   July 10 , 2012     30   `` Next Generation ''   May 17 , 2010   July 17 , 2012     31   `` A Star Removed from the Sky '' `` Sora ni Modorenai Hoshi '' ( </t>
    </r>
    <r>
      <rPr>
        <sz val="11"/>
        <color rgb="FF000000"/>
        <rFont val="Noto Sans CJK SC"/>
        <family val="2"/>
      </rPr>
      <t xml:space="preserve">空 に 戻れ ない 星 </t>
    </r>
    <r>
      <rPr>
        <sz val="11"/>
        <color rgb="FF000000"/>
        <rFont val="Calibri"/>
        <family val="0"/>
        <charset val="1"/>
      </rPr>
      <t xml:space="preserve">)   May 24 , 2010   July 24 , 2012     32   `` Celestial Spirit King '' `` Seirei - ō '' ( </t>
    </r>
    <r>
      <rPr>
        <sz val="11"/>
        <color rgb="FF000000"/>
        <rFont val="Noto Sans CJK SC"/>
        <family val="2"/>
      </rPr>
      <t xml:space="preserve">星 霊 王 </t>
    </r>
    <r>
      <rPr>
        <sz val="11"/>
        <color rgb="FF000000"/>
        <rFont val="Calibri"/>
        <family val="0"/>
        <charset val="1"/>
      </rPr>
      <t xml:space="preserve">)   May 31 , 2010   July 31 , 2012     33   `` The Tower of Heaven '' `` Rakuen no Tō '' ( </t>
    </r>
    <r>
      <rPr>
        <sz val="11"/>
        <color rgb="FF000000"/>
        <rFont val="Noto Sans CJK SC"/>
        <family val="2"/>
      </rPr>
      <t xml:space="preserve">楽園 の 塔 </t>
    </r>
    <r>
      <rPr>
        <sz val="11"/>
        <color rgb="FF000000"/>
        <rFont val="Calibri"/>
        <family val="0"/>
        <charset val="1"/>
      </rPr>
      <t xml:space="preserve">)   June 7 , 2010   August 7 , 2012     34   `` Jellal '' `` Jerāru '' ( </t>
    </r>
    <r>
      <rPr>
        <sz val="11"/>
        <color rgb="FF000000"/>
        <rFont val="Noto Sans CJK SC"/>
        <family val="2"/>
      </rPr>
      <t xml:space="preserve">ジェラール </t>
    </r>
    <r>
      <rPr>
        <sz val="11"/>
        <color rgb="FF000000"/>
        <rFont val="Calibri"/>
        <family val="0"/>
        <charset val="1"/>
      </rPr>
      <t xml:space="preserve">)   June 21 , 2010   August 14 , 2012     35   `` Voice of Darkness '' `` Yami no Koe '' ( </t>
    </r>
    <r>
      <rPr>
        <sz val="11"/>
        <color rgb="FF000000"/>
        <rFont val="Noto Sans CJK SC"/>
        <family val="2"/>
      </rPr>
      <t xml:space="preserve">闇 の 声 </t>
    </r>
    <r>
      <rPr>
        <sz val="11"/>
        <color rgb="FF000000"/>
        <rFont val="Calibri"/>
        <family val="0"/>
        <charset val="1"/>
      </rPr>
      <t xml:space="preserve">)   June 28 , 2010   August 21 , 2012     36   `` Heaven 's Game '' `` Rakuen Gēmu '' ( </t>
    </r>
    <r>
      <rPr>
        <sz val="11"/>
        <color rgb="FF000000"/>
        <rFont val="Noto Sans CJK SC"/>
        <family val="2"/>
      </rPr>
      <t xml:space="preserve">楽園 ゲーム </t>
    </r>
    <r>
      <rPr>
        <sz val="11"/>
        <color rgb="FF000000"/>
        <rFont val="Calibri"/>
        <family val="0"/>
        <charset val="1"/>
      </rPr>
      <t xml:space="preserve">)   July 5 , 2010   August 28 , 2012     37   `` Armor of the Heart '' `` Kokoro no Yoroi '' ( </t>
    </r>
    <r>
      <rPr>
        <sz val="11"/>
        <color rgb="FF000000"/>
        <rFont val="Noto Sans CJK SC"/>
        <family val="2"/>
      </rPr>
      <t xml:space="preserve">心 の 鎧 </t>
    </r>
    <r>
      <rPr>
        <sz val="11"/>
        <color rgb="FF000000"/>
        <rFont val="Calibri"/>
        <family val="0"/>
        <charset val="1"/>
      </rPr>
      <t xml:space="preserve">)   July 12 , 2010   September 4 , 2012     38   `` Destiny '' `` Desutinī '' ( </t>
    </r>
    <r>
      <rPr>
        <sz val="11"/>
        <color rgb="FF000000"/>
        <rFont val="Noto Sans CJK SC"/>
        <family val="2"/>
      </rPr>
      <t xml:space="preserve">運命 </t>
    </r>
    <r>
      <rPr>
        <sz val="11"/>
        <color rgb="FF000000"/>
        <rFont val="Calibri"/>
        <family val="0"/>
        <charset val="1"/>
      </rPr>
      <t xml:space="preserve">( </t>
    </r>
    <r>
      <rPr>
        <sz val="11"/>
        <color rgb="FF000000"/>
        <rFont val="Noto Sans CJK SC"/>
        <family val="2"/>
      </rPr>
      <t xml:space="preserve">デスティニー </t>
    </r>
    <r>
      <rPr>
        <sz val="11"/>
        <color rgb="FF000000"/>
        <rFont val="Calibri"/>
        <family val="0"/>
        <charset val="1"/>
      </rPr>
      <t xml:space="preserve">) )   July 19 , 2010   September 11 , 2012     39   `` Give Our Prayers to the Sacred Light '' `` Seinaru Hikari ni Inori o '' ( </t>
    </r>
    <r>
      <rPr>
        <sz val="11"/>
        <color rgb="FF000000"/>
        <rFont val="Noto Sans CJK SC"/>
        <family val="2"/>
      </rPr>
      <t xml:space="preserve">聖なる 光 に 祈り を </t>
    </r>
    <r>
      <rPr>
        <sz val="11"/>
        <color rgb="FF000000"/>
        <rFont val="Calibri"/>
        <family val="0"/>
        <charset val="1"/>
      </rPr>
      <t xml:space="preserve">)   July 26 , 2010   September 18 , 2012     40   `` Titania Falls '' `` Titānia , Chiru '' ( </t>
    </r>
    <r>
      <rPr>
        <sz val="11"/>
        <color rgb="FF000000"/>
        <rFont val="Noto Sans CJK SC"/>
        <family val="2"/>
      </rPr>
      <t xml:space="preserve">妖精 女王 </t>
    </r>
    <r>
      <rPr>
        <sz val="11"/>
        <color rgb="FF000000"/>
        <rFont val="Calibri"/>
        <family val="0"/>
        <charset val="1"/>
      </rPr>
      <t xml:space="preserve">( </t>
    </r>
    <r>
      <rPr>
        <sz val="11"/>
        <color rgb="FF000000"/>
        <rFont val="Noto Sans CJK SC"/>
        <family val="2"/>
      </rPr>
      <t xml:space="preserve">ティターニア </t>
    </r>
    <r>
      <rPr>
        <sz val="11"/>
        <color rgb="FF000000"/>
        <rFont val="Calibri"/>
        <family val="0"/>
        <charset val="1"/>
      </rPr>
      <t xml:space="preserve">) </t>
    </r>
    <r>
      <rPr>
        <sz val="11"/>
        <color rgb="FF000000"/>
        <rFont val="Noto Sans CJK SC"/>
        <family val="2"/>
      </rPr>
      <t xml:space="preserve">、 散る </t>
    </r>
    <r>
      <rPr>
        <sz val="11"/>
        <color rgb="FF000000"/>
        <rFont val="Calibri"/>
        <family val="0"/>
        <charset val="1"/>
      </rPr>
      <t xml:space="preserve">)   August 2 , 2010   September 25 , 2012     41   `` Home ''   August 9 , 2010   October 2 , 2012     42   `` Battle of Fairy Tail '' `` Batoru obu Fearī Teiru '' ( </t>
    </r>
    <r>
      <rPr>
        <sz val="11"/>
        <color rgb="FF000000"/>
        <rFont val="Noto Sans CJK SC"/>
        <family val="2"/>
      </rPr>
      <t xml:space="preserve">バトル ・ オブ ・ フェアリー テイル </t>
    </r>
    <r>
      <rPr>
        <sz val="11"/>
        <color rgb="FF000000"/>
        <rFont val="Calibri"/>
        <family val="0"/>
        <charset val="1"/>
      </rPr>
      <t xml:space="preserve">)   August 16 , 2010   October 9 , 2012     43   `` Defeat Your Friends to Save Your Friends '' `` Tomo no Tame ni Tomo o Ute '' ( </t>
    </r>
    <r>
      <rPr>
        <sz val="11"/>
        <color rgb="FF000000"/>
        <rFont val="Noto Sans CJK SC"/>
        <family val="2"/>
      </rPr>
      <t xml:space="preserve">友 の 為 に 友 を 討 て </t>
    </r>
    <r>
      <rPr>
        <sz val="11"/>
        <color rgb="FF000000"/>
        <rFont val="Calibri"/>
        <family val="0"/>
        <charset val="1"/>
      </rPr>
      <t xml:space="preserve">)   August 23 , 2010   October 16 , 2012     44   `` Thunder Palace '' `` Kaminari Den '' ( </t>
    </r>
    <r>
      <rPr>
        <sz val="11"/>
        <color rgb="FF000000"/>
        <rFont val="Noto Sans CJK SC"/>
        <family val="2"/>
      </rPr>
      <t xml:space="preserve">神 鳴 殿 </t>
    </r>
    <r>
      <rPr>
        <sz val="11"/>
        <color rgb="FF000000"/>
        <rFont val="Calibri"/>
        <family val="0"/>
        <charset val="1"/>
      </rPr>
      <t xml:space="preserve">)   August 30 , 2010   October 23 , 2012     45   `` Advent of Satan '' `` Satan Kōrin '' ( </t>
    </r>
    <r>
      <rPr>
        <sz val="11"/>
        <color rgb="FF000000"/>
        <rFont val="Noto Sans CJK SC"/>
        <family val="2"/>
      </rPr>
      <t xml:space="preserve">サタン 降臨 </t>
    </r>
    <r>
      <rPr>
        <sz val="11"/>
        <color rgb="FF000000"/>
        <rFont val="Calibri"/>
        <family val="0"/>
        <charset val="1"/>
      </rPr>
      <t xml:space="preserve">)   September 6 , 2010   October 30 , 2012     46   `` Clash at Kardia Cathedral ! '' `` Gekitotsu ! Karudia Daiseidō '' ( </t>
    </r>
    <r>
      <rPr>
        <sz val="11"/>
        <color rgb="FF000000"/>
        <rFont val="Noto Sans CJK SC"/>
        <family val="2"/>
      </rPr>
      <t xml:space="preserve">激突 </t>
    </r>
    <r>
      <rPr>
        <sz val="11"/>
        <color rgb="FF000000"/>
        <rFont val="Calibri"/>
        <family val="0"/>
        <charset val="1"/>
      </rPr>
      <t xml:space="preserve">! </t>
    </r>
    <r>
      <rPr>
        <sz val="11"/>
        <color rgb="FF000000"/>
        <rFont val="Noto Sans CJK SC"/>
        <family val="2"/>
      </rPr>
      <t xml:space="preserve">カルディア 大 聖堂 </t>
    </r>
    <r>
      <rPr>
        <sz val="11"/>
        <color rgb="FF000000"/>
        <rFont val="Calibri"/>
        <family val="0"/>
        <charset val="1"/>
      </rPr>
      <t xml:space="preserve">)   September 13 , 2010   November 6 , 2012     47   `` Triple Dragons '' `` Toripuru Doragon '' ( </t>
    </r>
    <r>
      <rPr>
        <sz val="11"/>
        <color rgb="FF000000"/>
        <rFont val="Noto Sans CJK SC"/>
        <family val="2"/>
      </rPr>
      <t xml:space="preserve">トリプル ドラゴン </t>
    </r>
    <r>
      <rPr>
        <sz val="11"/>
        <color rgb="FF000000"/>
        <rFont val="Calibri"/>
        <family val="0"/>
        <charset val="1"/>
      </rPr>
      <t xml:space="preserve">)   September 20 , 2010   November 13 , 2012     48   `` Fantasia '' `` Fantajia '' ( </t>
    </r>
    <r>
      <rPr>
        <sz val="11"/>
        <color rgb="FF000000"/>
        <rFont val="Noto Sans CJK SC"/>
        <family val="2"/>
      </rPr>
      <t xml:space="preserve">幻想 曲 </t>
    </r>
    <r>
      <rPr>
        <sz val="11"/>
        <color rgb="FF000000"/>
        <rFont val="Calibri"/>
        <family val="0"/>
        <charset val="1"/>
      </rPr>
      <t xml:space="preserve">( </t>
    </r>
    <r>
      <rPr>
        <sz val="11"/>
        <color rgb="FF000000"/>
        <rFont val="Noto Sans CJK SC"/>
        <family val="2"/>
      </rPr>
      <t xml:space="preserve">ファンタジア </t>
    </r>
    <r>
      <rPr>
        <sz val="11"/>
        <color rgb="FF000000"/>
        <rFont val="Calibri"/>
        <family val="0"/>
        <charset val="1"/>
      </rPr>
      <t xml:space="preserve">) )   September 27 , 2010   November 20 , 2012     Season 2 ( 2010 -- 2011 ) ( edit )  Main article : List of Fairy Tail episodes ( season 2 )    No .   Official English title Original Japanese title   Original air date   English air date     49   `` The Day of the Fateful Encounter '' `` Unmei no Deai no Hi '' ( </t>
    </r>
    <r>
      <rPr>
        <sz val="11"/>
        <color rgb="FF000000"/>
        <rFont val="Noto Sans CJK SC"/>
        <family val="2"/>
      </rPr>
      <t xml:space="preserve">運命 の 出会い の 日 </t>
    </r>
    <r>
      <rPr>
        <sz val="11"/>
        <color rgb="FF000000"/>
        <rFont val="Calibri"/>
        <family val="0"/>
        <charset val="1"/>
      </rPr>
      <t xml:space="preserve">)   October 11 , 2010   September 3 , 2013     50   `` Special Request : Watch Out for the Guy You Like ! '' `` Tokubetsu Irai . Kininaru Kare ni Chūi Seyo ! '' ( </t>
    </r>
    <r>
      <rPr>
        <sz val="11"/>
        <color rgb="FF000000"/>
        <rFont val="Noto Sans CJK SC"/>
        <family val="2"/>
      </rPr>
      <t xml:space="preserve">特別 依頼</t>
    </r>
    <r>
      <rPr>
        <sz val="11"/>
        <color rgb="FF000000"/>
        <rFont val="Calibri"/>
        <family val="0"/>
        <charset val="1"/>
      </rPr>
      <t xml:space="preserve">. </t>
    </r>
    <r>
      <rPr>
        <sz val="11"/>
        <color rgb="FF000000"/>
        <rFont val="Noto Sans CJK SC"/>
        <family val="2"/>
      </rPr>
      <t xml:space="preserve">気 に なる 彼 に 注意 せよ </t>
    </r>
    <r>
      <rPr>
        <sz val="11"/>
        <color rgb="FF000000"/>
        <rFont val="Calibri"/>
        <family val="0"/>
        <charset val="1"/>
      </rPr>
      <t xml:space="preserve">! )   October 18 , 2010   September 10 , 2013     51   `` Love &amp; Lucky ''   October 25 , 2010   September 17 , 2013     52   `` Allied Forces , Assemble ! '' `` Rengōgun , Shūketsu ! '' ( </t>
    </r>
    <r>
      <rPr>
        <sz val="11"/>
        <color rgb="FF000000"/>
        <rFont val="Noto Sans CJK SC"/>
        <family val="2"/>
      </rPr>
      <t xml:space="preserve">連合 軍 、 集結 </t>
    </r>
    <r>
      <rPr>
        <sz val="11"/>
        <color rgb="FF000000"/>
        <rFont val="Calibri"/>
        <family val="0"/>
        <charset val="1"/>
      </rPr>
      <t xml:space="preserve">! )   November 1 , 2010   September 24 , 2013     53   `` Enter the Oración Seis ! '' `` Orashion Seisu Arawaru ! '' ( </t>
    </r>
    <r>
      <rPr>
        <sz val="11"/>
        <color rgb="FF000000"/>
        <rFont val="Noto Sans CJK SC"/>
        <family val="2"/>
      </rPr>
      <t xml:space="preserve">六 魔 将軍 </t>
    </r>
    <r>
      <rPr>
        <sz val="11"/>
        <color rgb="FF000000"/>
        <rFont val="Calibri"/>
        <family val="0"/>
        <charset val="1"/>
      </rPr>
      <t xml:space="preserve">( </t>
    </r>
    <r>
      <rPr>
        <sz val="11"/>
        <color rgb="FF000000"/>
        <rFont val="Noto Sans CJK SC"/>
        <family val="2"/>
      </rPr>
      <t xml:space="preserve">オラシオン セイス </t>
    </r>
    <r>
      <rPr>
        <sz val="11"/>
        <color rgb="FF000000"/>
        <rFont val="Calibri"/>
        <family val="0"/>
        <charset val="1"/>
      </rPr>
      <t xml:space="preserve">) </t>
    </r>
    <r>
      <rPr>
        <sz val="11"/>
        <color rgb="FF000000"/>
        <rFont val="Noto Sans CJK SC"/>
        <family val="2"/>
      </rPr>
      <t xml:space="preserve">現 る </t>
    </r>
    <r>
      <rPr>
        <sz val="11"/>
        <color rgb="FF000000"/>
        <rFont val="Calibri"/>
        <family val="0"/>
        <charset val="1"/>
      </rPr>
      <t xml:space="preserve">! )   November 8 , 2010   October 1 , 2013     54   `` Maiden of the Sky '' `` Tenkū no Miko '' ( </t>
    </r>
    <r>
      <rPr>
        <sz val="11"/>
        <color rgb="FF000000"/>
        <rFont val="Noto Sans CJK SC"/>
        <family val="2"/>
      </rPr>
      <t xml:space="preserve">天空 の 巫女 </t>
    </r>
    <r>
      <rPr>
        <sz val="11"/>
        <color rgb="FF000000"/>
        <rFont val="Calibri"/>
        <family val="0"/>
        <charset val="1"/>
      </rPr>
      <t xml:space="preserve">)   November 15 , 2010   October 8 , 2013     55   `` The Girl and the Ghost '' `` Shōjo to Bōrei '' ( </t>
    </r>
    <r>
      <rPr>
        <sz val="11"/>
        <color rgb="FF000000"/>
        <rFont val="Noto Sans CJK SC"/>
        <family val="2"/>
      </rPr>
      <t xml:space="preserve">少女 と 亡霊 </t>
    </r>
    <r>
      <rPr>
        <sz val="11"/>
        <color rgb="FF000000"/>
        <rFont val="Calibri"/>
        <family val="0"/>
        <charset val="1"/>
      </rPr>
      <t xml:space="preserve">)   November 22 , 2010   October 15 , 2013     56   `` Dead Grand Prix '' `` Deddo Guran Puri '' ( </t>
    </r>
    <r>
      <rPr>
        <sz val="11"/>
        <color rgb="FF000000"/>
        <rFont val="Noto Sans CJK SC"/>
        <family val="2"/>
      </rPr>
      <t xml:space="preserve">デッド </t>
    </r>
    <r>
      <rPr>
        <sz val="11"/>
        <color rgb="FF000000"/>
        <rFont val="Calibri"/>
        <family val="0"/>
        <charset val="1"/>
      </rPr>
      <t xml:space="preserve">GP ( </t>
    </r>
    <r>
      <rPr>
        <sz val="11"/>
        <color rgb="FF000000"/>
        <rFont val="Noto Sans CJK SC"/>
        <family val="2"/>
      </rPr>
      <t xml:space="preserve">グランプリ </t>
    </r>
    <r>
      <rPr>
        <sz val="11"/>
        <color rgb="FF000000"/>
        <rFont val="Calibri"/>
        <family val="0"/>
        <charset val="1"/>
      </rPr>
      <t xml:space="preserve">) )   November 29 , 2010   October 22 , 2013     57   `` Darkness '' `` Yami '' ( </t>
    </r>
    <r>
      <rPr>
        <sz val="11"/>
        <color rgb="FF000000"/>
        <rFont val="Noto Sans CJK SC"/>
        <family val="2"/>
      </rPr>
      <t xml:space="preserve">闇 </t>
    </r>
    <r>
      <rPr>
        <sz val="11"/>
        <color rgb="FF000000"/>
        <rFont val="Calibri"/>
        <family val="0"/>
        <charset val="1"/>
      </rPr>
      <t xml:space="preserve">)   December 6 , 2010   October 29 , 2013     58   `` Celestial Skirmish '' `` Seirei Gassen '' ( </t>
    </r>
    <r>
      <rPr>
        <sz val="11"/>
        <color rgb="FF000000"/>
        <rFont val="Noto Sans CJK SC"/>
        <family val="2"/>
      </rPr>
      <t xml:space="preserve">星 霊 合戦 </t>
    </r>
    <r>
      <rPr>
        <sz val="11"/>
        <color rgb="FF000000"/>
        <rFont val="Calibri"/>
        <family val="0"/>
        <charset val="1"/>
      </rPr>
      <t xml:space="preserve">)   December 13 , 2010   November 5 , 2013     59   `` Jellal of Days Gone By '' `` Tsuioku no Jerāru '' ( </t>
    </r>
    <r>
      <rPr>
        <sz val="11"/>
        <color rgb="FF000000"/>
        <rFont val="Noto Sans CJK SC"/>
        <family val="2"/>
      </rPr>
      <t xml:space="preserve">追憶 の ジェラール </t>
    </r>
    <r>
      <rPr>
        <sz val="11"/>
        <color rgb="FF000000"/>
        <rFont val="Calibri"/>
        <family val="0"/>
        <charset val="1"/>
      </rPr>
      <t xml:space="preserve">)   December 20 , 2010   November 12 , 2013     60   `` March of Destruction '' `` Hametsu no Kōshin '' ( </t>
    </r>
    <r>
      <rPr>
        <sz val="11"/>
        <color rgb="FF000000"/>
        <rFont val="Noto Sans CJK SC"/>
        <family val="2"/>
      </rPr>
      <t xml:space="preserve">破滅 の 行進 </t>
    </r>
    <r>
      <rPr>
        <sz val="11"/>
        <color rgb="FF000000"/>
        <rFont val="Calibri"/>
        <family val="0"/>
        <charset val="1"/>
      </rPr>
      <t xml:space="preserve">)   December 27 , 2010   November 19 , 2013     61   `` Super Aerial Battle : Natsu vs. Cobra ! '' `` Chōkūchūsen ! Natsu vs. Kobura '' ( </t>
    </r>
    <r>
      <rPr>
        <sz val="11"/>
        <color rgb="FF000000"/>
        <rFont val="Noto Sans CJK SC"/>
        <family val="2"/>
      </rPr>
      <t xml:space="preserve">超 空中 戦 </t>
    </r>
    <r>
      <rPr>
        <sz val="11"/>
        <color rgb="FF000000"/>
        <rFont val="Calibri"/>
        <family val="0"/>
        <charset val="1"/>
      </rPr>
      <t xml:space="preserve">!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コブラ </t>
    </r>
    <r>
      <rPr>
        <sz val="11"/>
        <color rgb="FF000000"/>
        <rFont val="Calibri"/>
        <family val="0"/>
        <charset val="1"/>
      </rPr>
      <t xml:space="preserve">)   January 10 , 2011   November 26 , 2013     62   `` Wizard Saint Jura '' `` Seiten no Jura '' ( </t>
    </r>
    <r>
      <rPr>
        <sz val="11"/>
        <color rgb="FF000000"/>
        <rFont val="Noto Sans CJK SC"/>
        <family val="2"/>
      </rPr>
      <t xml:space="preserve">聖 十 の ジュラ </t>
    </r>
    <r>
      <rPr>
        <sz val="11"/>
        <color rgb="FF000000"/>
        <rFont val="Calibri"/>
        <family val="0"/>
        <charset val="1"/>
      </rPr>
      <t xml:space="preserve">)   January 17 , 2011   December 3 , 2013     63   `` Your Words '' `` Kimi no Kotoba koso '' ( </t>
    </r>
    <r>
      <rPr>
        <sz val="11"/>
        <color rgb="FF000000"/>
        <rFont val="Noto Sans CJK SC"/>
        <family val="2"/>
      </rPr>
      <t xml:space="preserve">君 の 言葉 こそ </t>
    </r>
    <r>
      <rPr>
        <sz val="11"/>
        <color rgb="FF000000"/>
        <rFont val="Calibri"/>
        <family val="0"/>
        <charset val="1"/>
      </rPr>
      <t xml:space="preserve">)   January 24 , 2011   December 10 , 2013     64   `` Zero '' `` Zero '' ( </t>
    </r>
    <r>
      <rPr>
        <sz val="11"/>
        <color rgb="FF000000"/>
        <rFont val="Noto Sans CJK SC"/>
        <family val="2"/>
      </rPr>
      <t xml:space="preserve">ゼロ </t>
    </r>
    <r>
      <rPr>
        <sz val="11"/>
        <color rgb="FF000000"/>
        <rFont val="Calibri"/>
        <family val="0"/>
        <charset val="1"/>
      </rPr>
      <t xml:space="preserve">)   January 31 , 2011   December 17 , 2013     65   `` From Pegasus to Fairies '' `` Tenma kara Yōsei - tachi e '' ( </t>
    </r>
    <r>
      <rPr>
        <sz val="11"/>
        <color rgb="FF000000"/>
        <rFont val="Noto Sans CJK SC"/>
        <family val="2"/>
      </rPr>
      <t xml:space="preserve">天馬 から 妖精 たち へ </t>
    </r>
    <r>
      <rPr>
        <sz val="11"/>
        <color rgb="FF000000"/>
        <rFont val="Calibri"/>
        <family val="0"/>
        <charset val="1"/>
      </rPr>
      <t xml:space="preserve">)   February 7 , 2011   December 24 , 2013     66   `` The Power of Feelings '' `` Omoi no Chikara '' ( </t>
    </r>
    <r>
      <rPr>
        <sz val="11"/>
        <color rgb="FF000000"/>
        <rFont val="Noto Sans CJK SC"/>
        <family val="2"/>
      </rPr>
      <t xml:space="preserve">想い の 力 </t>
    </r>
    <r>
      <rPr>
        <sz val="11"/>
        <color rgb="FF000000"/>
        <rFont val="Calibri"/>
        <family val="0"/>
        <charset val="1"/>
      </rPr>
      <t xml:space="preserve">)   February 14 , 2011   December 31 , 2013     67   `` I 'm With You '' `` Watashi ga Tsuiteiru '' ( </t>
    </r>
    <r>
      <rPr>
        <sz val="11"/>
        <color rgb="FF000000"/>
        <rFont val="Noto Sans CJK SC"/>
        <family val="2"/>
      </rPr>
      <t xml:space="preserve">私 が ついて いる </t>
    </r>
    <r>
      <rPr>
        <sz val="11"/>
        <color rgb="FF000000"/>
        <rFont val="Calibri"/>
        <family val="0"/>
        <charset val="1"/>
      </rPr>
      <t xml:space="preserve">)   February 21 , 2011   January 7 , 2014     68   `` A Guild for One '' `` Tatta Hitori no Tame no Girudo '' ( </t>
    </r>
    <r>
      <rPr>
        <sz val="11"/>
        <color rgb="FF000000"/>
        <rFont val="Noto Sans CJK SC"/>
        <family val="2"/>
      </rPr>
      <t xml:space="preserve">たった 一人 の 為 の ギルド </t>
    </r>
    <r>
      <rPr>
        <sz val="11"/>
        <color rgb="FF000000"/>
        <rFont val="Calibri"/>
        <family val="0"/>
        <charset val="1"/>
      </rPr>
      <t xml:space="preserve">)   February 28 , 2011   January 14 , 2014     69   `` Call of the Dragon '' `` Ryū no Izanai '' ( </t>
    </r>
    <r>
      <rPr>
        <sz val="11"/>
        <color rgb="FF000000"/>
        <rFont val="Noto Sans CJK SC"/>
        <family val="2"/>
      </rPr>
      <t xml:space="preserve">竜 の 誘い </t>
    </r>
    <r>
      <rPr>
        <sz val="11"/>
        <color rgb="FF000000"/>
        <rFont val="Calibri"/>
        <family val="0"/>
        <charset val="1"/>
      </rPr>
      <t xml:space="preserve">)   March 7 , 2011   January 21 , 2014     70   `` Natsu vs. Gray ! ! '' `` Natsu vs. Gurei ! !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グレイ </t>
    </r>
    <r>
      <rPr>
        <sz val="11"/>
        <color rgb="FF000000"/>
        <rFont val="Calibri"/>
        <family val="0"/>
        <charset val="1"/>
      </rPr>
      <t xml:space="preserve">! ! )   March 14 , 2011   January 28 , 2014     71   `` Friendship Overcomes the Dead '' `` Tomo wa Shikabane o Koete '' ( </t>
    </r>
    <r>
      <rPr>
        <sz val="11"/>
        <color rgb="FF000000"/>
        <rFont val="Noto Sans CJK SC"/>
        <family val="2"/>
      </rPr>
      <t xml:space="preserve">友 は 屍 を 越え て </t>
    </r>
    <r>
      <rPr>
        <sz val="11"/>
        <color rgb="FF000000"/>
        <rFont val="Calibri"/>
        <family val="0"/>
        <charset val="1"/>
      </rPr>
      <t xml:space="preserve">)   March 21 , 2011   February 4 , 2014     72   `` A Fairy Tail Wizard '' `` Fearī Teiru no Madōshi '' ( </t>
    </r>
    <r>
      <rPr>
        <sz val="11"/>
        <color rgb="FF000000"/>
        <rFont val="Noto Sans CJK SC"/>
        <family val="2"/>
      </rPr>
      <t xml:space="preserve">フェアリー テイル の 魔 導 士 </t>
    </r>
    <r>
      <rPr>
        <sz val="11"/>
        <color rgb="FF000000"/>
        <rFont val="Calibri"/>
        <family val="0"/>
        <charset val="1"/>
      </rPr>
      <t xml:space="preserve">)   March 28 , 2011   February 11 , 2014     Season 3 ( 2011 ) ( edit )  Main article : List of Fairy Tail episodes ( season 3 )    No .   Official English title Original Japanese title   Original air date   English air date     73   `` Rainbow Cherry Blossoms '' `` Niji no Sakura '' ( </t>
    </r>
    <r>
      <rPr>
        <sz val="11"/>
        <color rgb="FF000000"/>
        <rFont val="Noto Sans CJK SC"/>
        <family val="2"/>
      </rPr>
      <t xml:space="preserve">虹 の 桜 </t>
    </r>
    <r>
      <rPr>
        <sz val="11"/>
        <color rgb="FF000000"/>
        <rFont val="Calibri"/>
        <family val="0"/>
        <charset val="1"/>
      </rPr>
      <t xml:space="preserve">)   April 4 , 2011   May 13 , 2014     74   `` Wendy 's First Big Job ! ? '' `` Wendi , Hajimete no Ōshigoto ! ? '' ( </t>
    </r>
    <r>
      <rPr>
        <sz val="11"/>
        <color rgb="FF000000"/>
        <rFont val="Noto Sans CJK SC"/>
        <family val="2"/>
      </rPr>
      <t xml:space="preserve">ウェンディ 、 初めて の 大 仕事 </t>
    </r>
    <r>
      <rPr>
        <sz val="11"/>
        <color rgb="FF000000"/>
        <rFont val="Calibri"/>
        <family val="0"/>
        <charset val="1"/>
      </rPr>
      <t xml:space="preserve">! ? )   April 11 , 2011   May 20 , 2014     75   `` 24 - Hour Endurance Road Race '' `` Nijūyo Jikan Taikyū Rōdo Rēsu '' ( 24 </t>
    </r>
    <r>
      <rPr>
        <sz val="11"/>
        <color rgb="FF000000"/>
        <rFont val="Noto Sans CJK SC"/>
        <family val="2"/>
      </rPr>
      <t xml:space="preserve">時間 耐久 ロード レース </t>
    </r>
    <r>
      <rPr>
        <sz val="11"/>
        <color rgb="FF000000"/>
        <rFont val="Calibri"/>
        <family val="0"/>
        <charset val="1"/>
      </rPr>
      <t xml:space="preserve">)   April 16 , 2011   May 27 , 2014     76   `` Gildarts '' `` Girudātsu '' ( </t>
    </r>
    <r>
      <rPr>
        <sz val="11"/>
        <color rgb="FF000000"/>
        <rFont val="Noto Sans CJK SC"/>
        <family val="2"/>
      </rPr>
      <t xml:space="preserve">ギルダーツ </t>
    </r>
    <r>
      <rPr>
        <sz val="11"/>
        <color rgb="FF000000"/>
        <rFont val="Calibri"/>
        <family val="0"/>
        <charset val="1"/>
      </rPr>
      <t xml:space="preserve">)   April 23 , 2011   June 3 , 2014     77   `` Earth Land '' `` Āsu Rando '' ( </t>
    </r>
    <r>
      <rPr>
        <sz val="11"/>
        <color rgb="FF000000"/>
        <rFont val="Noto Sans CJK SC"/>
        <family val="2"/>
      </rPr>
      <t xml:space="preserve">アース ランド </t>
    </r>
    <r>
      <rPr>
        <sz val="11"/>
        <color rgb="FF000000"/>
        <rFont val="Calibri"/>
        <family val="0"/>
        <charset val="1"/>
      </rPr>
      <t xml:space="preserve">)   April 30 , 2011   June 10 , 2014     78   `` Edolas '' `` Edorasu '' ( </t>
    </r>
    <r>
      <rPr>
        <sz val="11"/>
        <color rgb="FF000000"/>
        <rFont val="Noto Sans CJK SC"/>
        <family val="2"/>
      </rPr>
      <t xml:space="preserve">エドラス </t>
    </r>
    <r>
      <rPr>
        <sz val="11"/>
        <color rgb="FF000000"/>
        <rFont val="Calibri"/>
        <family val="0"/>
        <charset val="1"/>
      </rPr>
      <t xml:space="preserve">)   May 7 , 2011   June 17 , 2014     79   `` Fairy Hunter '' `` Yōsei Gari '' ( </t>
    </r>
    <r>
      <rPr>
        <sz val="11"/>
        <color rgb="FF000000"/>
        <rFont val="Noto Sans CJK SC"/>
        <family val="2"/>
      </rPr>
      <t xml:space="preserve">妖精 狩り </t>
    </r>
    <r>
      <rPr>
        <sz val="11"/>
        <color rgb="FF000000"/>
        <rFont val="Calibri"/>
        <family val="0"/>
        <charset val="1"/>
      </rPr>
      <t xml:space="preserve">)   May 14 , 2011   June 24 , 2014     80   `` Key of Hope '' `` Kibō no Kagi '' ( </t>
    </r>
    <r>
      <rPr>
        <sz val="11"/>
        <color rgb="FF000000"/>
        <rFont val="Noto Sans CJK SC"/>
        <family val="2"/>
      </rPr>
      <t xml:space="preserve">希望 の 鍵 </t>
    </r>
    <r>
      <rPr>
        <sz val="11"/>
        <color rgb="FF000000"/>
        <rFont val="Calibri"/>
        <family val="0"/>
        <charset val="1"/>
      </rPr>
      <t xml:space="preserve">)   May 21 , 2011   July 1 , 2014     81   `` Fireball '' `` Faiabōru '' ( </t>
    </r>
    <r>
      <rPr>
        <sz val="11"/>
        <color rgb="FF000000"/>
        <rFont val="Noto Sans CJK SC"/>
        <family val="2"/>
      </rPr>
      <t xml:space="preserve">ファイア ボール </t>
    </r>
    <r>
      <rPr>
        <sz val="11"/>
        <color rgb="FF000000"/>
        <rFont val="Calibri"/>
        <family val="0"/>
        <charset val="1"/>
      </rPr>
      <t xml:space="preserve">)   May 28 , 2011   July 8 , 2014     82   `` Welcome Home '' `` Okaerinasaimase '' ( </t>
    </r>
    <r>
      <rPr>
        <sz val="11"/>
        <color rgb="FF000000"/>
        <rFont val="Noto Sans CJK SC"/>
        <family val="2"/>
      </rPr>
      <t xml:space="preserve">おかえりなさい ませ </t>
    </r>
    <r>
      <rPr>
        <sz val="11"/>
        <color rgb="FF000000"/>
        <rFont val="Calibri"/>
        <family val="0"/>
        <charset val="1"/>
      </rPr>
      <t xml:space="preserve">)   June 4 , 2011   July 15 , 2014     83   `` Extalia '' `` Ekusutaria '' ( </t>
    </r>
    <r>
      <rPr>
        <sz val="11"/>
        <color rgb="FF000000"/>
        <rFont val="Noto Sans CJK SC"/>
        <family val="2"/>
      </rPr>
      <t xml:space="preserve">エクス タリア </t>
    </r>
    <r>
      <rPr>
        <sz val="11"/>
        <color rgb="FF000000"/>
        <rFont val="Calibri"/>
        <family val="0"/>
        <charset val="1"/>
      </rPr>
      <t xml:space="preserve">)   June 11 , 2011   July 22 , 2014     84   `` Fly , to Our Friends ! '' `` Tobe ! Tomo no Moto ni ! '' ( </t>
    </r>
    <r>
      <rPr>
        <sz val="11"/>
        <color rgb="FF000000"/>
        <rFont val="Noto Sans CJK SC"/>
        <family val="2"/>
      </rPr>
      <t xml:space="preserve">飛べ </t>
    </r>
    <r>
      <rPr>
        <sz val="11"/>
        <color rgb="FF000000"/>
        <rFont val="Calibri"/>
        <family val="0"/>
        <charset val="1"/>
      </rPr>
      <t xml:space="preserve">! </t>
    </r>
    <r>
      <rPr>
        <sz val="11"/>
        <color rgb="FF000000"/>
        <rFont val="Noto Sans CJK SC"/>
        <family val="2"/>
      </rPr>
      <t xml:space="preserve">友 の も と に </t>
    </r>
    <r>
      <rPr>
        <sz val="11"/>
        <color rgb="FF000000"/>
        <rFont val="Calibri"/>
        <family val="0"/>
        <charset val="1"/>
      </rPr>
      <t xml:space="preserve">! )   June 18 , 2011   July 29 , 2014     85   `` Code ETD '' `` Kōdo Ītīdī '' ( </t>
    </r>
    <r>
      <rPr>
        <sz val="11"/>
        <color rgb="FF000000"/>
        <rFont val="Noto Sans CJK SC"/>
        <family val="2"/>
      </rPr>
      <t xml:space="preserve">コード </t>
    </r>
    <r>
      <rPr>
        <sz val="11"/>
        <color rgb="FF000000"/>
        <rFont val="Calibri"/>
        <family val="0"/>
        <charset val="1"/>
      </rPr>
      <t xml:space="preserve">ETD )   June 25 , 2011   August 5 , 2014     86   `` Erza vs. Erza '' `` Eruza vs. Eruza '' ( </t>
    </r>
    <r>
      <rPr>
        <sz val="11"/>
        <color rgb="FF000000"/>
        <rFont val="Noto Sans CJK SC"/>
        <family val="2"/>
      </rPr>
      <t xml:space="preserve">エルザ </t>
    </r>
    <r>
      <rPr>
        <sz val="11"/>
        <color rgb="FF000000"/>
        <rFont val="Calibri"/>
        <family val="0"/>
        <charset val="1"/>
      </rPr>
      <t xml:space="preserve">vs. </t>
    </r>
    <r>
      <rPr>
        <sz val="11"/>
        <color rgb="FF000000"/>
        <rFont val="Noto Sans CJK SC"/>
        <family val="2"/>
      </rPr>
      <t xml:space="preserve">エルザ </t>
    </r>
    <r>
      <rPr>
        <sz val="11"/>
        <color rgb="FF000000"/>
        <rFont val="Calibri"/>
        <family val="0"/>
        <charset val="1"/>
      </rPr>
      <t xml:space="preserve">)   July 2 , 2011   August 12 , 2014     87   `` We 're Talking About Lives Here ! ! ! ! '' `` Inochi Darō ga ! ! ! ! '' ( </t>
    </r>
    <r>
      <rPr>
        <sz val="11"/>
        <color rgb="FF000000"/>
        <rFont val="Noto Sans CJK SC"/>
        <family val="2"/>
      </rPr>
      <t xml:space="preserve">命 だろ ー が </t>
    </r>
    <r>
      <rPr>
        <sz val="11"/>
        <color rgb="FF000000"/>
        <rFont val="Calibri"/>
        <family val="0"/>
        <charset val="1"/>
      </rPr>
      <t xml:space="preserve">! ! ! ! )   July 9 , 2011   August 19 , 2014     88   `` For Pride 's Sake , the River of Stars '' `` Hoshi no Taiga wa Hokori no Tame ni '' ( </t>
    </r>
    <r>
      <rPr>
        <sz val="11"/>
        <color rgb="FF000000"/>
        <rFont val="Noto Sans CJK SC"/>
        <family val="2"/>
      </rPr>
      <t xml:space="preserve">星 の 大河 は 誇り の 為 に </t>
    </r>
    <r>
      <rPr>
        <sz val="11"/>
        <color rgb="FF000000"/>
        <rFont val="Calibri"/>
        <family val="0"/>
        <charset val="1"/>
      </rPr>
      <t xml:space="preserve">)   July 16 , 2011   August 26 , 2014     89   `` The Apocalyptic Dragon Chain Cannon '' `` Shūen no Ryūsahō '' ( </t>
    </r>
    <r>
      <rPr>
        <sz val="11"/>
        <color rgb="FF000000"/>
        <rFont val="Noto Sans CJK SC"/>
        <family val="2"/>
      </rPr>
      <t xml:space="preserve">終焉 の 竜 鎖 砲 </t>
    </r>
    <r>
      <rPr>
        <sz val="11"/>
        <color rgb="FF000000"/>
        <rFont val="Calibri"/>
        <family val="0"/>
        <charset val="1"/>
      </rPr>
      <t xml:space="preserve">)   July 23 , 2011   September 2 , 2014     90   `` The Boy Back Then '' `` Ano Toki no Shōnen '' ( </t>
    </r>
    <r>
      <rPr>
        <sz val="11"/>
        <color rgb="FF000000"/>
        <rFont val="Noto Sans CJK SC"/>
        <family val="2"/>
      </rPr>
      <t xml:space="preserve">あの 時 の 少年 </t>
    </r>
    <r>
      <rPr>
        <sz val="11"/>
        <color rgb="FF000000"/>
        <rFont val="Calibri"/>
        <family val="0"/>
        <charset val="1"/>
      </rPr>
      <t xml:space="preserve">)   July 30 , 2011   September 9 , 2014     91   `` Dragon Sense ''   August 6 , 2011   September 16 , 2014     92   `` O Living Ones '' `` Ikiru Monotachi yo '' ( </t>
    </r>
    <r>
      <rPr>
        <sz val="11"/>
        <color rgb="FF000000"/>
        <rFont val="Noto Sans CJK SC"/>
        <family val="2"/>
      </rPr>
      <t xml:space="preserve">生きる 者 たち よ </t>
    </r>
    <r>
      <rPr>
        <sz val="11"/>
        <color rgb="FF000000"/>
        <rFont val="Calibri"/>
        <family val="0"/>
        <charset val="1"/>
      </rPr>
      <t xml:space="preserve">)   August 13 , 2011   September 23 , 2014     93   `` I 'm Standing Right Here '' `` Ore wa Koko ni Tatteiru '' ( </t>
    </r>
    <r>
      <rPr>
        <sz val="11"/>
        <color rgb="FF000000"/>
        <rFont val="Noto Sans CJK SC"/>
        <family val="2"/>
      </rPr>
      <t xml:space="preserve">オレ は ここ に 立っ て いる </t>
    </r>
    <r>
      <rPr>
        <sz val="11"/>
        <color rgb="FF000000"/>
        <rFont val="Calibri"/>
        <family val="0"/>
        <charset val="1"/>
      </rPr>
      <t xml:space="preserve">)   August 20 , 2011   September 30 , 2014     94   `` Bye - Bye Edolas '' `` Baibai Edorasu '' ( </t>
    </r>
    <r>
      <rPr>
        <sz val="11"/>
        <color rgb="FF000000"/>
        <rFont val="Noto Sans CJK SC"/>
        <family val="2"/>
      </rPr>
      <t xml:space="preserve">バイバイ エドラス </t>
    </r>
    <r>
      <rPr>
        <sz val="11"/>
        <color rgb="FF000000"/>
        <rFont val="Calibri"/>
        <family val="0"/>
        <charset val="1"/>
      </rPr>
      <t xml:space="preserve">)   August 27 , 2011   October 7 , 2014     95   `` Lisanna '' `` Risāna '' ( </t>
    </r>
    <r>
      <rPr>
        <sz val="11"/>
        <color rgb="FF000000"/>
        <rFont val="Noto Sans CJK SC"/>
        <family val="2"/>
      </rPr>
      <t xml:space="preserve">リサーナ </t>
    </r>
    <r>
      <rPr>
        <sz val="11"/>
        <color rgb="FF000000"/>
        <rFont val="Calibri"/>
        <family val="0"/>
        <charset val="1"/>
      </rPr>
      <t xml:space="preserve">)   September 3 , 2011   October 14 , 2014     96   `` He Who Extinguishes Life '' `` Inochi o Kesumono '' ( </t>
    </r>
    <r>
      <rPr>
        <sz val="11"/>
        <color rgb="FF000000"/>
        <rFont val="Noto Sans CJK SC"/>
        <family val="2"/>
      </rPr>
      <t xml:space="preserve">生命 </t>
    </r>
    <r>
      <rPr>
        <sz val="11"/>
        <color rgb="FF000000"/>
        <rFont val="Calibri"/>
        <family val="0"/>
        <charset val="1"/>
      </rPr>
      <t xml:space="preserve">( </t>
    </r>
    <r>
      <rPr>
        <sz val="11"/>
        <color rgb="FF000000"/>
        <rFont val="Noto Sans CJK SC"/>
        <family val="2"/>
      </rPr>
      <t xml:space="preserve">いのち </t>
    </r>
    <r>
      <rPr>
        <sz val="11"/>
        <color rgb="FF000000"/>
        <rFont val="Calibri"/>
        <family val="0"/>
        <charset val="1"/>
      </rPr>
      <t xml:space="preserve">) </t>
    </r>
    <r>
      <rPr>
        <sz val="11"/>
        <color rgb="FF000000"/>
        <rFont val="Noto Sans CJK SC"/>
        <family val="2"/>
      </rPr>
      <t xml:space="preserve">を 消す 者 </t>
    </r>
    <r>
      <rPr>
        <sz val="11"/>
        <color rgb="FF000000"/>
        <rFont val="Calibri"/>
        <family val="0"/>
        <charset val="1"/>
      </rPr>
      <t xml:space="preserve">)   September 10 , 2011   October 21 , 2014     97   `` Best Partners '' `` Besuto Pātonā '' ( </t>
    </r>
    <r>
      <rPr>
        <sz val="11"/>
        <color rgb="FF000000"/>
        <rFont val="Noto Sans CJK SC"/>
        <family val="2"/>
      </rPr>
      <t xml:space="preserve">ベスト パートナー </t>
    </r>
    <r>
      <rPr>
        <sz val="11"/>
        <color rgb="FF000000"/>
        <rFont val="Calibri"/>
        <family val="0"/>
        <charset val="1"/>
      </rPr>
      <t xml:space="preserve">)   September 17 , 2011   October 28 , 2014     98   `` Who 's the Lucky One ? '' `` Ungaii no wa Dare ? '' ( </t>
    </r>
    <r>
      <rPr>
        <sz val="11"/>
        <color rgb="FF000000"/>
        <rFont val="Noto Sans CJK SC"/>
        <family val="2"/>
      </rPr>
      <t xml:space="preserve">運 が いい の は 誰 </t>
    </r>
    <r>
      <rPr>
        <sz val="11"/>
        <color rgb="FF000000"/>
        <rFont val="Calibri"/>
        <family val="0"/>
        <charset val="1"/>
      </rPr>
      <t xml:space="preserve">? )   September 24 , 2011   November 4 , 2014     99   `` Natsu vs. Gildarts '' `` Natsu vs. Girudātsu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ギルダーツ </t>
    </r>
    <r>
      <rPr>
        <sz val="11"/>
        <color rgb="FF000000"/>
        <rFont val="Calibri"/>
        <family val="0"/>
        <charset val="1"/>
      </rPr>
      <t xml:space="preserve">)   October 1 , 2011   November 11 , 2014     100   `` Mest '' `` Mesuto '' ( </t>
    </r>
    <r>
      <rPr>
        <sz val="11"/>
        <color rgb="FF000000"/>
        <rFont val="Noto Sans CJK SC"/>
        <family val="2"/>
      </rPr>
      <t xml:space="preserve">メスト </t>
    </r>
    <r>
      <rPr>
        <sz val="11"/>
        <color rgb="FF000000"/>
        <rFont val="Calibri"/>
        <family val="0"/>
        <charset val="1"/>
      </rPr>
      <t xml:space="preserve">)   October 8 , 2011   November 18 , 2014     Season 4 ( 2011 -- 2012 ) ( edit )  Main article : List of Fairy Tail episodes ( season 4 )    No .   Official English title Original Japanese title   Original air date   English air date     101   `` Black Wizard '' `` Kuro Madōshi '' ( </t>
    </r>
    <r>
      <rPr>
        <sz val="11"/>
        <color rgb="FF000000"/>
        <rFont val="Noto Sans CJK SC"/>
        <family val="2"/>
      </rPr>
      <t xml:space="preserve">黒 魔 導 士 </t>
    </r>
    <r>
      <rPr>
        <sz val="11"/>
        <color rgb="FF000000"/>
        <rFont val="Calibri"/>
        <family val="0"/>
        <charset val="1"/>
      </rPr>
      <t xml:space="preserve">)   October 15 , 2011   November 25 , 2014     102   `` Iron Soul '' `` Tetsu no Tamashii '' ( </t>
    </r>
    <r>
      <rPr>
        <sz val="11"/>
        <color rgb="FF000000"/>
        <rFont val="Noto Sans CJK SC"/>
        <family val="2"/>
      </rPr>
      <t xml:space="preserve">鉄 の 魂 </t>
    </r>
    <r>
      <rPr>
        <sz val="11"/>
        <color rgb="FF000000"/>
        <rFont val="Calibri"/>
        <family val="0"/>
        <charset val="1"/>
      </rPr>
      <t xml:space="preserve">)   October 22 , 2011   December 2 , 2014     103   `` Makarov Charges '' `` Shingeki no Makarofu '' ( </t>
    </r>
    <r>
      <rPr>
        <sz val="11"/>
        <color rgb="FF000000"/>
        <rFont val="Noto Sans CJK SC"/>
        <family val="2"/>
      </rPr>
      <t xml:space="preserve">進撃 の マカロフ </t>
    </r>
    <r>
      <rPr>
        <sz val="11"/>
        <color rgb="FF000000"/>
        <rFont val="Calibri"/>
        <family val="0"/>
        <charset val="1"/>
      </rPr>
      <t xml:space="preserve">)   October 29 , 2011   December 9 , 2014     104   `` Lost Magic '' `` Rosuto Majikku '' ( </t>
    </r>
    <r>
      <rPr>
        <sz val="11"/>
        <color rgb="FF000000"/>
        <rFont val="Noto Sans CJK SC"/>
        <family val="2"/>
      </rPr>
      <t xml:space="preserve">失 われ た 魔法 </t>
    </r>
    <r>
      <rPr>
        <sz val="11"/>
        <color rgb="FF000000"/>
        <rFont val="Calibri"/>
        <family val="0"/>
        <charset val="1"/>
      </rPr>
      <t xml:space="preserve">( </t>
    </r>
    <r>
      <rPr>
        <sz val="11"/>
        <color rgb="FF000000"/>
        <rFont val="Noto Sans CJK SC"/>
        <family val="2"/>
      </rPr>
      <t xml:space="preserve">ロスト ・ マジック </t>
    </r>
    <r>
      <rPr>
        <sz val="11"/>
        <color rgb="FF000000"/>
        <rFont val="Calibri"/>
        <family val="0"/>
        <charset val="1"/>
      </rPr>
      <t xml:space="preserve">) )   November 5 , 2011   December 16 , 2014     105   `` Fire Dragon vs. Flame God '' `` Karyū vs. Enjin '' ( </t>
    </r>
    <r>
      <rPr>
        <sz val="11"/>
        <color rgb="FF000000"/>
        <rFont val="Noto Sans CJK SC"/>
        <family val="2"/>
      </rPr>
      <t xml:space="preserve">火 竜 </t>
    </r>
    <r>
      <rPr>
        <sz val="11"/>
        <color rgb="FF000000"/>
        <rFont val="Calibri"/>
        <family val="0"/>
        <charset val="1"/>
      </rPr>
      <t xml:space="preserve">vs. </t>
    </r>
    <r>
      <rPr>
        <sz val="11"/>
        <color rgb="FF000000"/>
        <rFont val="Noto Sans CJK SC"/>
        <family val="2"/>
      </rPr>
      <t xml:space="preserve">炎 神 </t>
    </r>
    <r>
      <rPr>
        <sz val="11"/>
        <color rgb="FF000000"/>
        <rFont val="Calibri"/>
        <family val="0"/>
        <charset val="1"/>
      </rPr>
      <t xml:space="preserve">)   November 12 , 2011   December 23 , 2014     106   `` Grand Magic World '' `` Dai Mahō Sekai '' ( </t>
    </r>
    <r>
      <rPr>
        <sz val="11"/>
        <color rgb="FF000000"/>
        <rFont val="Noto Sans CJK SC"/>
        <family val="2"/>
      </rPr>
      <t xml:space="preserve">大 魔法 世界 </t>
    </r>
    <r>
      <rPr>
        <sz val="11"/>
        <color rgb="FF000000"/>
        <rFont val="Calibri"/>
        <family val="0"/>
        <charset val="1"/>
      </rPr>
      <t xml:space="preserve">)   November 19 , 2011   December 30 , 2014     107   `` Arc of Embodiment '' `` Gugen no Āku '' ( </t>
    </r>
    <r>
      <rPr>
        <sz val="11"/>
        <color rgb="FF000000"/>
        <rFont val="Noto Sans CJK SC"/>
        <family val="2"/>
      </rPr>
      <t xml:space="preserve">具現 の アーク </t>
    </r>
    <r>
      <rPr>
        <sz val="11"/>
        <color rgb="FF000000"/>
        <rFont val="Calibri"/>
        <family val="0"/>
        <charset val="1"/>
      </rPr>
      <t xml:space="preserve">)   November 26 , 2011   January 6 , 2015     108   `` Human Gate '' `` Ningen no Tobira '' ( </t>
    </r>
    <r>
      <rPr>
        <sz val="11"/>
        <color rgb="FF000000"/>
        <rFont val="Noto Sans CJK SC"/>
        <family val="2"/>
      </rPr>
      <t xml:space="preserve">人間 の 扉 </t>
    </r>
    <r>
      <rPr>
        <sz val="11"/>
        <color rgb="FF000000"/>
        <rFont val="Calibri"/>
        <family val="0"/>
        <charset val="1"/>
      </rPr>
      <t xml:space="preserve">)   December 3 , 2011   January 13 , 2015     109   `` Lucy Fire '' `` Rūshii Faia '' ( </t>
    </r>
    <r>
      <rPr>
        <sz val="11"/>
        <color rgb="FF000000"/>
        <rFont val="Noto Sans CJK SC"/>
        <family val="2"/>
      </rPr>
      <t xml:space="preserve">ルーシィ ファイア </t>
    </r>
    <r>
      <rPr>
        <sz val="11"/>
        <color rgb="FF000000"/>
        <rFont val="Calibri"/>
        <family val="0"/>
        <charset val="1"/>
      </rPr>
      <t xml:space="preserve">)   December 10 , 2011   January 20 , 2015     110   `` Dead - End of Despair '' `` Zetsubō no Fukurokōji '' ( </t>
    </r>
    <r>
      <rPr>
        <sz val="11"/>
        <color rgb="FF000000"/>
        <rFont val="Noto Sans CJK SC"/>
        <family val="2"/>
      </rPr>
      <t xml:space="preserve">絶望 の 袋小路 </t>
    </r>
    <r>
      <rPr>
        <sz val="11"/>
        <color rgb="FF000000"/>
        <rFont val="Calibri"/>
        <family val="0"/>
        <charset val="1"/>
      </rPr>
      <t xml:space="preserve">)   December 17 , 2011   January 27 , 2015     111   `` Tears of Love and Vitality '' `` Ai to Katsuryoku no Namida '' ( </t>
    </r>
    <r>
      <rPr>
        <sz val="11"/>
        <color rgb="FF000000"/>
        <rFont val="Noto Sans CJK SC"/>
        <family val="2"/>
      </rPr>
      <t xml:space="preserve">愛 と 活力 の 涙 </t>
    </r>
    <r>
      <rPr>
        <sz val="11"/>
        <color rgb="FF000000"/>
        <rFont val="Calibri"/>
        <family val="0"/>
        <charset val="1"/>
      </rPr>
      <t xml:space="preserve">)   December 24 , 2011   February 3 , 2015     112   `` The One Thing I Could n't Say '' `` Ienakatta Hitokoto '' ( </t>
    </r>
    <r>
      <rPr>
        <sz val="11"/>
        <color rgb="FF000000"/>
        <rFont val="Noto Sans CJK SC"/>
        <family val="2"/>
      </rPr>
      <t xml:space="preserve">言え なかっ た 一 言 </t>
    </r>
    <r>
      <rPr>
        <sz val="11"/>
        <color rgb="FF000000"/>
        <rFont val="Calibri"/>
        <family val="0"/>
        <charset val="1"/>
      </rPr>
      <t xml:space="preserve">)   January 7 , 2012   February 10 , 2015     113   `` Tenrou Tree '' `` Tenrōju '' ( </t>
    </r>
    <r>
      <rPr>
        <sz val="11"/>
        <color rgb="FF000000"/>
        <rFont val="Noto Sans CJK SC"/>
        <family val="2"/>
      </rPr>
      <t xml:space="preserve">天 狼 樹 </t>
    </r>
    <r>
      <rPr>
        <sz val="11"/>
        <color rgb="FF000000"/>
        <rFont val="Calibri"/>
        <family val="0"/>
        <charset val="1"/>
      </rPr>
      <t xml:space="preserve">)   January 14 , 2012   February 17 , 2015     114   `` Erza vs. Azuma '' `` Eruza vs. Azuma '' ( </t>
    </r>
    <r>
      <rPr>
        <sz val="11"/>
        <color rgb="FF000000"/>
        <rFont val="Noto Sans CJK SC"/>
        <family val="2"/>
      </rPr>
      <t xml:space="preserve">エルザ </t>
    </r>
    <r>
      <rPr>
        <sz val="11"/>
        <color rgb="FF000000"/>
        <rFont val="Calibri"/>
        <family val="0"/>
        <charset val="1"/>
      </rPr>
      <t xml:space="preserve">vs. </t>
    </r>
    <r>
      <rPr>
        <sz val="11"/>
        <color rgb="FF000000"/>
        <rFont val="Noto Sans CJK SC"/>
        <family val="2"/>
      </rPr>
      <t xml:space="preserve">アズマ </t>
    </r>
    <r>
      <rPr>
        <sz val="11"/>
        <color rgb="FF000000"/>
        <rFont val="Calibri"/>
        <family val="0"/>
        <charset val="1"/>
      </rPr>
      <t xml:space="preserve">)   January 21 , 2012   February 24 , 2015     115   `` Freezing Fighting Spirit '' `` Kogoeru Tōshi '' ( </t>
    </r>
    <r>
      <rPr>
        <sz val="11"/>
        <color rgb="FF000000"/>
        <rFont val="Noto Sans CJK SC"/>
        <family val="2"/>
      </rPr>
      <t xml:space="preserve">凍える 闘志 </t>
    </r>
    <r>
      <rPr>
        <sz val="11"/>
        <color rgb="FF000000"/>
        <rFont val="Calibri"/>
        <family val="0"/>
        <charset val="1"/>
      </rPr>
      <t xml:space="preserve">)   January 28 , 2012   March 3 , 2015     116   `` Power of Life '' `` Seinaru Chikara '' ( </t>
    </r>
    <r>
      <rPr>
        <sz val="11"/>
        <color rgb="FF000000"/>
        <rFont val="Noto Sans CJK SC"/>
        <family val="2"/>
      </rPr>
      <t xml:space="preserve">生 なる 力 </t>
    </r>
    <r>
      <rPr>
        <sz val="11"/>
        <color rgb="FF000000"/>
        <rFont val="Calibri"/>
        <family val="0"/>
        <charset val="1"/>
      </rPr>
      <t xml:space="preserve">)   February 4 , 2012   March 10 , 2015     117   `` Rolling Thunder '' `` Raimei Hibiku '' ( </t>
    </r>
    <r>
      <rPr>
        <sz val="11"/>
        <color rgb="FF000000"/>
        <rFont val="Noto Sans CJK SC"/>
        <family val="2"/>
      </rPr>
      <t xml:space="preserve">雷鳴 響く </t>
    </r>
    <r>
      <rPr>
        <sz val="11"/>
        <color rgb="FF000000"/>
        <rFont val="Calibri"/>
        <family val="0"/>
        <charset val="1"/>
      </rPr>
      <t xml:space="preserve">)   February 11 , 2012   March 17 , 2015     118   `` The Man Without an Emblem '' `` Monshō o Kizamanu Otoko '' ( </t>
    </r>
    <r>
      <rPr>
        <sz val="11"/>
        <color rgb="FF000000"/>
        <rFont val="Noto Sans CJK SC"/>
        <family val="2"/>
      </rPr>
      <t xml:space="preserve">紋章 を 刻ま ぬ 男 </t>
    </r>
    <r>
      <rPr>
        <sz val="11"/>
        <color rgb="FF000000"/>
        <rFont val="Calibri"/>
        <family val="0"/>
        <charset val="1"/>
      </rPr>
      <t xml:space="preserve">)   February 18 , 2012   March 24 , 2015     119   `` Realm of the Abyss '' `` Shin'en no Ryōiki '' ( </t>
    </r>
    <r>
      <rPr>
        <sz val="11"/>
        <color rgb="FF000000"/>
        <rFont val="Noto Sans CJK SC"/>
        <family val="2"/>
      </rPr>
      <t xml:space="preserve">深淵 の 領域 </t>
    </r>
    <r>
      <rPr>
        <sz val="11"/>
        <color rgb="FF000000"/>
        <rFont val="Calibri"/>
        <family val="0"/>
        <charset val="1"/>
      </rPr>
      <t xml:space="preserve">)   February 25 , 2012   March 31 , 2015     120   `` Daybreak on Tenrou Island '' `` Akatsuki no Tenrōjima '' ( </t>
    </r>
    <r>
      <rPr>
        <sz val="11"/>
        <color rgb="FF000000"/>
        <rFont val="Noto Sans CJK SC"/>
        <family val="2"/>
      </rPr>
      <t xml:space="preserve">暁 の 天 狼 島 </t>
    </r>
    <r>
      <rPr>
        <sz val="11"/>
        <color rgb="FF000000"/>
        <rFont val="Calibri"/>
        <family val="0"/>
        <charset val="1"/>
      </rPr>
      <t xml:space="preserve">)   March 2 , 2012   April 7 , 2015     121   `` The Right to Love '' `` Aisuru Shikaku '' ( </t>
    </r>
    <r>
      <rPr>
        <sz val="11"/>
        <color rgb="FF000000"/>
        <rFont val="Noto Sans CJK SC"/>
        <family val="2"/>
      </rPr>
      <t xml:space="preserve">愛する 資格 </t>
    </r>
    <r>
      <rPr>
        <sz val="11"/>
        <color rgb="FF000000"/>
        <rFont val="Calibri"/>
        <family val="0"/>
        <charset val="1"/>
      </rPr>
      <t xml:space="preserve">)   March 9 , 2012   April 14 , 2015     122   `` Let 's Hold Hands '' `` Te o Tsunagō '' ( </t>
    </r>
    <r>
      <rPr>
        <sz val="11"/>
        <color rgb="FF000000"/>
        <rFont val="Noto Sans CJK SC"/>
        <family val="2"/>
      </rPr>
      <t xml:space="preserve">手 を つなご う </t>
    </r>
    <r>
      <rPr>
        <sz val="11"/>
        <color rgb="FF000000"/>
        <rFont val="Calibri"/>
        <family val="0"/>
        <charset val="1"/>
      </rPr>
      <t xml:space="preserve">)   March 16 , 2012   April 21 , 2015     123   `` Fairy Tail , Year X791 '' `` Nanahyaku - kyūjū - ichi - nen : Fearī Teiru '' ( X791 </t>
    </r>
    <r>
      <rPr>
        <sz val="11"/>
        <color rgb="FF000000"/>
        <rFont val="Noto Sans CJK SC"/>
        <family val="2"/>
      </rPr>
      <t xml:space="preserve">年 ・ 妖精 の 尻尾 </t>
    </r>
    <r>
      <rPr>
        <sz val="11"/>
        <color rgb="FF000000"/>
        <rFont val="Calibri"/>
        <family val="0"/>
        <charset val="1"/>
      </rPr>
      <t xml:space="preserve">( </t>
    </r>
    <r>
      <rPr>
        <sz val="11"/>
        <color rgb="FF000000"/>
        <rFont val="Noto Sans CJK SC"/>
        <family val="2"/>
      </rPr>
      <t xml:space="preserve">フェアリー テイル </t>
    </r>
    <r>
      <rPr>
        <sz val="11"/>
        <color rgb="FF000000"/>
        <rFont val="Calibri"/>
        <family val="0"/>
        <charset val="1"/>
      </rPr>
      <t xml:space="preserve">) )   March 23 , 2012   April 28 , 2015     124   `` The Seven Year Gap '' `` Kūhaku no Nana - nen '' ( </t>
    </r>
    <r>
      <rPr>
        <sz val="11"/>
        <color rgb="FF000000"/>
        <rFont val="Noto Sans CJK SC"/>
        <family val="2"/>
      </rPr>
      <t xml:space="preserve">空白 の </t>
    </r>
    <r>
      <rPr>
        <sz val="11"/>
        <color rgb="FF000000"/>
        <rFont val="Calibri"/>
        <family val="0"/>
        <charset val="1"/>
      </rPr>
      <t xml:space="preserve">7 </t>
    </r>
    <r>
      <rPr>
        <sz val="11"/>
        <color rgb="FF000000"/>
        <rFont val="Noto Sans CJK SC"/>
        <family val="2"/>
      </rPr>
      <t xml:space="preserve">年 </t>
    </r>
    <r>
      <rPr>
        <sz val="11"/>
        <color rgb="FF000000"/>
        <rFont val="Calibri"/>
        <family val="0"/>
        <charset val="1"/>
      </rPr>
      <t xml:space="preserve">)   March 31 , 2012   May 5 , 2015     125   `` The Magic Ball '' `` Mahō Butōkai '' ( </t>
    </r>
    <r>
      <rPr>
        <sz val="11"/>
        <color rgb="FF000000"/>
        <rFont val="Noto Sans CJK SC"/>
        <family val="2"/>
      </rPr>
      <t xml:space="preserve">魔法 舞踏 会 </t>
    </r>
    <r>
      <rPr>
        <sz val="11"/>
        <color rgb="FF000000"/>
        <rFont val="Calibri"/>
        <family val="0"/>
        <charset val="1"/>
      </rPr>
      <t xml:space="preserve">)   April 7 , 2012   May 12 , 2015     Season 5 ( 2012 ) ( edit )  Main article : List of Fairy Tail episodes ( season 5 )    No .   Official English title Original Japanese title   Original air date   English air date     126   `` True Scoundrels -- The Butt Jiggle Gang '' `` Shin no Waru Ketsupuri - dan '' ( </t>
    </r>
    <r>
      <rPr>
        <sz val="11"/>
        <color rgb="FF000000"/>
        <rFont val="Noto Sans CJK SC"/>
        <family val="2"/>
      </rPr>
      <t xml:space="preserve">真 の 悪 ケツプリ 団 </t>
    </r>
    <r>
      <rPr>
        <sz val="11"/>
        <color rgb="FF000000"/>
        <rFont val="Calibri"/>
        <family val="0"/>
        <charset val="1"/>
      </rPr>
      <t xml:space="preserve">)   April 14 , 2012   May 19 , 2015     127   `` The Terror of Invisible Lucy ! '' `` Tōmei Rūshii no Kyōfu ! '' ( </t>
    </r>
    <r>
      <rPr>
        <sz val="11"/>
        <color rgb="FF000000"/>
        <rFont val="Noto Sans CJK SC"/>
        <family val="2"/>
      </rPr>
      <t xml:space="preserve">透明 ルーシィ の 恐怖 </t>
    </r>
    <r>
      <rPr>
        <sz val="11"/>
        <color rgb="FF000000"/>
        <rFont val="Calibri"/>
        <family val="0"/>
        <charset val="1"/>
      </rPr>
      <t xml:space="preserve">! )   April 21 , 2012   June 2 , 2015     128   `` Father 's Memento '' `` Chichi no Ihin '' ( </t>
    </r>
    <r>
      <rPr>
        <sz val="11"/>
        <color rgb="FF000000"/>
        <rFont val="Noto Sans CJK SC"/>
        <family val="2"/>
      </rPr>
      <t xml:space="preserve">父 の 遺品 </t>
    </r>
    <r>
      <rPr>
        <sz val="11"/>
        <color rgb="FF000000"/>
        <rFont val="Calibri"/>
        <family val="0"/>
        <charset val="1"/>
      </rPr>
      <t xml:space="preserve">)   April 28 , 2012   June 9 , 2015     129   `` Turbulent Showdown ! Natsu vs. Laxus '' `` Dotō no Taiketsu ! Natsu vs. Rakusasu '' ( </t>
    </r>
    <r>
      <rPr>
        <sz val="11"/>
        <color rgb="FF000000"/>
        <rFont val="Noto Sans CJK SC"/>
        <family val="2"/>
      </rPr>
      <t xml:space="preserve">怒涛 の 対決 </t>
    </r>
    <r>
      <rPr>
        <sz val="11"/>
        <color rgb="FF000000"/>
        <rFont val="Calibri"/>
        <family val="0"/>
        <charset val="1"/>
      </rPr>
      <t xml:space="preserve">!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ラクサス </t>
    </r>
    <r>
      <rPr>
        <sz val="11"/>
        <color rgb="FF000000"/>
        <rFont val="Calibri"/>
        <family val="0"/>
        <charset val="1"/>
      </rPr>
      <t xml:space="preserve">)   May 5 , 2012   June 16 , 2015     130   `` Target : Lucy '' `` Nerawareta Rūshii '' ( </t>
    </r>
    <r>
      <rPr>
        <sz val="11"/>
        <color rgb="FF000000"/>
        <rFont val="Noto Sans CJK SC"/>
        <family val="2"/>
      </rPr>
      <t xml:space="preserve">狙 われ た ルーシィ </t>
    </r>
    <r>
      <rPr>
        <sz val="11"/>
        <color rgb="FF000000"/>
        <rFont val="Calibri"/>
        <family val="0"/>
        <charset val="1"/>
      </rPr>
      <t xml:space="preserve">)   May 12 , 2012   June 23 , 2015     131   `` The Fury of Legion '' `` Region no Mōi '' ( </t>
    </r>
    <r>
      <rPr>
        <sz val="11"/>
        <color rgb="FF000000"/>
        <rFont val="Noto Sans CJK SC"/>
        <family val="2"/>
      </rPr>
      <t xml:space="preserve">レギオン の 猛威 </t>
    </r>
    <r>
      <rPr>
        <sz val="11"/>
        <color rgb="FF000000"/>
        <rFont val="Calibri"/>
        <family val="0"/>
        <charset val="1"/>
      </rPr>
      <t xml:space="preserve">)   May 19 , 2012   June 30 , 2015     132   `` Key of the Starry Heavens '' `` Hoshizora no Kagi '' ( </t>
    </r>
    <r>
      <rPr>
        <sz val="11"/>
        <color rgb="FF000000"/>
        <rFont val="Noto Sans CJK SC"/>
        <family val="2"/>
      </rPr>
      <t xml:space="preserve">星空 の 鍵 </t>
    </r>
    <r>
      <rPr>
        <sz val="11"/>
        <color rgb="FF000000"/>
        <rFont val="Calibri"/>
        <family val="0"/>
        <charset val="1"/>
      </rPr>
      <t xml:space="preserve">)   May 26 , 2012   July 7 , 2015     133   `` Travel Companions '' `` Tabi no Nakama - tachi '' ( </t>
    </r>
    <r>
      <rPr>
        <sz val="11"/>
        <color rgb="FF000000"/>
        <rFont val="Noto Sans CJK SC"/>
        <family val="2"/>
      </rPr>
      <t xml:space="preserve">旅 の 仲間 たち </t>
    </r>
    <r>
      <rPr>
        <sz val="11"/>
        <color rgb="FF000000"/>
        <rFont val="Calibri"/>
        <family val="0"/>
        <charset val="1"/>
      </rPr>
      <t xml:space="preserve">)   June 2 , 2012   July 14 , 2015     134   `` Labyrinth Capriccio '' `` Meikyū Kyōsōkyoku '' ( </t>
    </r>
    <r>
      <rPr>
        <sz val="11"/>
        <color rgb="FF000000"/>
        <rFont val="Noto Sans CJK SC"/>
        <family val="2"/>
      </rPr>
      <t xml:space="preserve">迷宮 狂想曲 </t>
    </r>
    <r>
      <rPr>
        <sz val="11"/>
        <color rgb="FF000000"/>
        <rFont val="Calibri"/>
        <family val="0"/>
        <charset val="1"/>
      </rPr>
      <t xml:space="preserve">)   June 9 , 2012   July 21 , 2015     135   `` Footprints of the Myth '' `` Shinwa no Ashiato '' ( </t>
    </r>
    <r>
      <rPr>
        <sz val="11"/>
        <color rgb="FF000000"/>
        <rFont val="Noto Sans CJK SC"/>
        <family val="2"/>
      </rPr>
      <t xml:space="preserve">神話 の 足跡 </t>
    </r>
    <r>
      <rPr>
        <sz val="11"/>
        <color rgb="FF000000"/>
        <rFont val="Calibri"/>
        <family val="0"/>
        <charset val="1"/>
      </rPr>
      <t xml:space="preserve">)   June 16 , 2012   July 28 , 2015     136   `` True Scoundrels , Once Again '' `` Shin no Waru , Futatabi '' ( </t>
    </r>
    <r>
      <rPr>
        <sz val="11"/>
        <color rgb="FF000000"/>
        <rFont val="Noto Sans CJK SC"/>
        <family val="2"/>
      </rPr>
      <t xml:space="preserve">真 の 悪 、 ふたたび </t>
    </r>
    <r>
      <rPr>
        <sz val="11"/>
        <color rgb="FF000000"/>
        <rFont val="Calibri"/>
        <family val="0"/>
        <charset val="1"/>
      </rPr>
      <t xml:space="preserve">)   June 23 , 2012   August 4 , 2015     137   `` Defying Calculation '' `` Keisan o Koeru Mono '' ( </t>
    </r>
    <r>
      <rPr>
        <sz val="11"/>
        <color rgb="FF000000"/>
        <rFont val="Noto Sans CJK SC"/>
        <family val="2"/>
      </rPr>
      <t xml:space="preserve">計算 を こえる もの </t>
    </r>
    <r>
      <rPr>
        <sz val="11"/>
        <color rgb="FF000000"/>
        <rFont val="Calibri"/>
        <family val="0"/>
        <charset val="1"/>
      </rPr>
      <t xml:space="preserve">)   June 30 , 2012   August 11 , 2015     138   `` The Course of the Holy War '' `` Seisen no Yukue '' ( </t>
    </r>
    <r>
      <rPr>
        <sz val="11"/>
        <color rgb="FF000000"/>
        <rFont val="Noto Sans CJK SC"/>
        <family val="2"/>
      </rPr>
      <t xml:space="preserve">聖戦 の ゆくえ </t>
    </r>
    <r>
      <rPr>
        <sz val="11"/>
        <color rgb="FF000000"/>
        <rFont val="Calibri"/>
        <family val="0"/>
        <charset val="1"/>
      </rPr>
      <t xml:space="preserve">)   July 7 , 2012   August 18 , 2015     139   `` Time Begins to Tick '' `` Ugoki Hajimeta Toki '' ( </t>
    </r>
    <r>
      <rPr>
        <sz val="11"/>
        <color rgb="FF000000"/>
        <rFont val="Noto Sans CJK SC"/>
        <family val="2"/>
      </rPr>
      <t xml:space="preserve">動き 始め た 刻 </t>
    </r>
    <r>
      <rPr>
        <sz val="11"/>
        <color rgb="FF000000"/>
        <rFont val="Calibri"/>
        <family val="0"/>
        <charset val="1"/>
      </rPr>
      <t xml:space="preserve">( </t>
    </r>
    <r>
      <rPr>
        <sz val="11"/>
        <color rgb="FF000000"/>
        <rFont val="Noto Sans CJK SC"/>
        <family val="2"/>
      </rPr>
      <t xml:space="preserve">とき </t>
    </r>
    <r>
      <rPr>
        <sz val="11"/>
        <color rgb="FF000000"/>
        <rFont val="Calibri"/>
        <family val="0"/>
        <charset val="1"/>
      </rPr>
      <t xml:space="preserve">) )   July 14 , 2012   August 25 , 2015     140   `` Enter the Neo-Oración Seis ! '' `` Shinsei Orashion Seisu Arawaru ! '' ( </t>
    </r>
    <r>
      <rPr>
        <sz val="11"/>
        <color rgb="FF000000"/>
        <rFont val="Noto Sans CJK SC"/>
        <family val="2"/>
      </rPr>
      <t xml:space="preserve">新生 六 魔 将軍 </t>
    </r>
    <r>
      <rPr>
        <sz val="11"/>
        <color rgb="FF000000"/>
        <rFont val="Calibri"/>
        <family val="0"/>
        <charset val="1"/>
      </rPr>
      <t xml:space="preserve">( </t>
    </r>
    <r>
      <rPr>
        <sz val="11"/>
        <color rgb="FF000000"/>
        <rFont val="Noto Sans CJK SC"/>
        <family val="2"/>
      </rPr>
      <t xml:space="preserve">オラシオン セイス </t>
    </r>
    <r>
      <rPr>
        <sz val="11"/>
        <color rgb="FF000000"/>
        <rFont val="Calibri"/>
        <family val="0"/>
        <charset val="1"/>
      </rPr>
      <t xml:space="preserve">) </t>
    </r>
    <r>
      <rPr>
        <sz val="11"/>
        <color rgb="FF000000"/>
        <rFont val="Noto Sans CJK SC"/>
        <family val="2"/>
      </rPr>
      <t xml:space="preserve">現 る </t>
    </r>
    <r>
      <rPr>
        <sz val="11"/>
        <color rgb="FF000000"/>
        <rFont val="Calibri"/>
        <family val="0"/>
        <charset val="1"/>
      </rPr>
      <t xml:space="preserve">! )   July 21 , 2012   September 1 , 2015     141   `` Get the Infinity Clock ! '' `` Mugen Tokei o Oe '' ( </t>
    </r>
    <r>
      <rPr>
        <sz val="11"/>
        <color rgb="FF000000"/>
        <rFont val="Noto Sans CJK SC"/>
        <family val="2"/>
      </rPr>
      <t xml:space="preserve">無限 時計 を 追え </t>
    </r>
    <r>
      <rPr>
        <sz val="11"/>
        <color rgb="FF000000"/>
        <rFont val="Calibri"/>
        <family val="0"/>
        <charset val="1"/>
      </rPr>
      <t xml:space="preserve">)   July 28 , 2012   September 8 , 2015     142   `` Dissonance of Battle '' `` Tatakai no Fukyōwaon '' ( </t>
    </r>
    <r>
      <rPr>
        <sz val="11"/>
        <color rgb="FF000000"/>
        <rFont val="Noto Sans CJK SC"/>
        <family val="2"/>
      </rPr>
      <t xml:space="preserve">戦い の 不協和音 </t>
    </r>
    <r>
      <rPr>
        <sz val="11"/>
        <color rgb="FF000000"/>
        <rFont val="Calibri"/>
        <family val="0"/>
        <charset val="1"/>
      </rPr>
      <t xml:space="preserve">)   August 4 , 2012   September 15 , 2015     143   `` Anti-Link '' `` Anchi Rinku '' ( </t>
    </r>
    <r>
      <rPr>
        <sz val="11"/>
        <color rgb="FF000000"/>
        <rFont val="Noto Sans CJK SC"/>
        <family val="2"/>
      </rPr>
      <t xml:space="preserve">アンチ リンク </t>
    </r>
    <r>
      <rPr>
        <sz val="11"/>
        <color rgb="FF000000"/>
        <rFont val="Calibri"/>
        <family val="0"/>
        <charset val="1"/>
      </rPr>
      <t xml:space="preserve">)   August 11 , 2012   September 22 , 2015     144   `` Despair Unleashed '' `` Tokihanatareta Zetsubō '' ( </t>
    </r>
    <r>
      <rPr>
        <sz val="11"/>
        <color rgb="FF000000"/>
        <rFont val="Noto Sans CJK SC"/>
        <family val="2"/>
      </rPr>
      <t xml:space="preserve">解き放た れ た 絶望 </t>
    </r>
    <r>
      <rPr>
        <sz val="11"/>
        <color rgb="FF000000"/>
        <rFont val="Calibri"/>
        <family val="0"/>
        <charset val="1"/>
      </rPr>
      <t xml:space="preserve">)   August 18 , 2012   September 29 , 2015     145   `` Real Nightmare '' `` Riaru Naitomea '' ( </t>
    </r>
    <r>
      <rPr>
        <sz val="11"/>
        <color rgb="FF000000"/>
        <rFont val="Noto Sans CJK SC"/>
        <family val="2"/>
      </rPr>
      <t xml:space="preserve">リアル ナイトメア </t>
    </r>
    <r>
      <rPr>
        <sz val="11"/>
        <color rgb="FF000000"/>
        <rFont val="Calibri"/>
        <family val="0"/>
        <charset val="1"/>
      </rPr>
      <t xml:space="preserve">)   August 25 , 2012   October 6 , 2015     146   `` Time Spiral '' `` Toki no Supairaru '' ( </t>
    </r>
    <r>
      <rPr>
        <sz val="11"/>
        <color rgb="FF000000"/>
        <rFont val="Noto Sans CJK SC"/>
        <family val="2"/>
      </rPr>
      <t xml:space="preserve">時 の スパイラル </t>
    </r>
    <r>
      <rPr>
        <sz val="11"/>
        <color rgb="FF000000"/>
        <rFont val="Calibri"/>
        <family val="0"/>
        <charset val="1"/>
      </rPr>
      <t xml:space="preserve">)   September 1 , 2012   October 13 , 2015     147   `` To the Infinity Castle ! '' `` Mugenjō e ! '' ( </t>
    </r>
    <r>
      <rPr>
        <sz val="11"/>
        <color rgb="FF000000"/>
        <rFont val="Noto Sans CJK SC"/>
        <family val="2"/>
      </rPr>
      <t xml:space="preserve">無限 城 へ </t>
    </r>
    <r>
      <rPr>
        <sz val="11"/>
        <color rgb="FF000000"/>
        <rFont val="Calibri"/>
        <family val="0"/>
        <charset val="1"/>
      </rPr>
      <t xml:space="preserve">! )   September 8 , 2012   October 20 , 2015     148   `` Angel Tears '' `` Tenshi no Namida '' ( </t>
    </r>
    <r>
      <rPr>
        <sz val="11"/>
        <color rgb="FF000000"/>
        <rFont val="Noto Sans CJK SC"/>
        <family val="2"/>
      </rPr>
      <t xml:space="preserve">天使 の 涙 </t>
    </r>
    <r>
      <rPr>
        <sz val="11"/>
        <color rgb="FF000000"/>
        <rFont val="Calibri"/>
        <family val="0"/>
        <charset val="1"/>
      </rPr>
      <t xml:space="preserve">)   September 15 , 2012   October 27 , 2015     149   `` I Hear the Voice of My Friend '' `` Tomo no Koe ga Kikoeru '' ( </t>
    </r>
    <r>
      <rPr>
        <sz val="11"/>
        <color rgb="FF000000"/>
        <rFont val="Noto Sans CJK SC"/>
        <family val="2"/>
      </rPr>
      <t xml:space="preserve">友 の 声 が 聴こえる </t>
    </r>
    <r>
      <rPr>
        <sz val="11"/>
        <color rgb="FF000000"/>
        <rFont val="Calibri"/>
        <family val="0"/>
        <charset val="1"/>
      </rPr>
      <t xml:space="preserve">)   September 22 , 2012   November 3 , 2015     150   `` Lucy and Michelle '' `` Rūshii to Missheru '' ( </t>
    </r>
    <r>
      <rPr>
        <sz val="11"/>
        <color rgb="FF000000"/>
        <rFont val="Noto Sans CJK SC"/>
        <family val="2"/>
      </rPr>
      <t xml:space="preserve">ルーシィ と ミッシェル </t>
    </r>
    <r>
      <rPr>
        <sz val="11"/>
        <color rgb="FF000000"/>
        <rFont val="Calibri"/>
        <family val="0"/>
        <charset val="1"/>
      </rPr>
      <t xml:space="preserve">)   September 29 , 2012   November 10 , 2015     Season 6 ( 2012 -- 2013 ) ( edit )  Main article : List of Fairy Tail episodes ( season 6 )    No .   Official English title Original Japanese title   Original air date   English air date     151   `` Sabertooth '' `` Seibātūsu '' ( </t>
    </r>
    <r>
      <rPr>
        <sz val="11"/>
        <color rgb="FF000000"/>
        <rFont val="Noto Sans CJK SC"/>
        <family val="2"/>
      </rPr>
      <t xml:space="preserve">剣 咬 の 虎 </t>
    </r>
    <r>
      <rPr>
        <sz val="11"/>
        <color rgb="FF000000"/>
        <rFont val="Calibri"/>
        <family val="0"/>
        <charset val="1"/>
      </rPr>
      <t xml:space="preserve">( </t>
    </r>
    <r>
      <rPr>
        <sz val="11"/>
        <color rgb="FF000000"/>
        <rFont val="Noto Sans CJK SC"/>
        <family val="2"/>
      </rPr>
      <t xml:space="preserve">セイバー トゥース </t>
    </r>
    <r>
      <rPr>
        <sz val="11"/>
        <color rgb="FF000000"/>
        <rFont val="Calibri"/>
        <family val="0"/>
        <charset val="1"/>
      </rPr>
      <t xml:space="preserve">) )   October 6 , 2012   November 17 , 2015     152   `` And So We Aim for the Top '' `` Soshite Ore - tachi wa Chōjō o Mezasu '' ( </t>
    </r>
    <r>
      <rPr>
        <sz val="11"/>
        <color rgb="FF000000"/>
        <rFont val="Noto Sans CJK SC"/>
        <family val="2"/>
      </rPr>
      <t xml:space="preserve">そして オレ たち は 顶 上 を 目指す </t>
    </r>
    <r>
      <rPr>
        <sz val="11"/>
        <color rgb="FF000000"/>
        <rFont val="Calibri"/>
        <family val="0"/>
        <charset val="1"/>
      </rPr>
      <t xml:space="preserve">)   October 13 , 2012   November 24 , 2015     153   `` Song of the Stars '' `` Hoshiboshi no Uta '' ( </t>
    </r>
    <r>
      <rPr>
        <sz val="11"/>
        <color rgb="FF000000"/>
        <rFont val="Noto Sans CJK SC"/>
        <family val="2"/>
      </rPr>
      <t xml:space="preserve">星々 の 歌 </t>
    </r>
    <r>
      <rPr>
        <sz val="11"/>
        <color rgb="FF000000"/>
        <rFont val="Calibri"/>
        <family val="0"/>
        <charset val="1"/>
      </rPr>
      <t xml:space="preserve">)   October 20 , 2012   December 1 , 2015     154   `` For All the Time We Missed Each Other '' `` Surechigatta Jikan no Bun dake '' ( </t>
    </r>
    <r>
      <rPr>
        <sz val="11"/>
        <color rgb="FF000000"/>
        <rFont val="Noto Sans CJK SC"/>
        <family val="2"/>
      </rPr>
      <t xml:space="preserve">すれ 违 っ た 时间 の 分 だけ </t>
    </r>
    <r>
      <rPr>
        <sz val="11"/>
        <color rgb="FF000000"/>
        <rFont val="Calibri"/>
        <family val="0"/>
        <charset val="1"/>
      </rPr>
      <t xml:space="preserve">)   October 27 , 2012   December 8 , 2015     155   `` Crocus , the Flower - Blooming Capital '' `` Hanasaku Miyako : Kurokkasu '' ( </t>
    </r>
    <r>
      <rPr>
        <sz val="11"/>
        <color rgb="FF000000"/>
        <rFont val="Noto Sans CJK SC"/>
        <family val="2"/>
      </rPr>
      <t xml:space="preserve">花 笑 く 都 ・ クロッカス </t>
    </r>
    <r>
      <rPr>
        <sz val="11"/>
        <color rgb="FF000000"/>
        <rFont val="Calibri"/>
        <family val="0"/>
        <charset val="1"/>
      </rPr>
      <t xml:space="preserve">)   November 3 , 2012   December 15 , 2015     156   `` Sky Labyrinth '' `` Sukai Rabirinsu '' ( </t>
    </r>
    <r>
      <rPr>
        <sz val="11"/>
        <color rgb="FF000000"/>
        <rFont val="Noto Sans CJK SC"/>
        <family val="2"/>
      </rPr>
      <t xml:space="preserve">空中 迷宮 </t>
    </r>
    <r>
      <rPr>
        <sz val="11"/>
        <color rgb="FF000000"/>
        <rFont val="Calibri"/>
        <family val="0"/>
        <charset val="1"/>
      </rPr>
      <t xml:space="preserve">( </t>
    </r>
    <r>
      <rPr>
        <sz val="11"/>
        <color rgb="FF000000"/>
        <rFont val="Noto Sans CJK SC"/>
        <family val="2"/>
      </rPr>
      <t xml:space="preserve">スカイ ラビリンス </t>
    </r>
    <r>
      <rPr>
        <sz val="11"/>
        <color rgb="FF000000"/>
        <rFont val="Calibri"/>
        <family val="0"/>
        <charset val="1"/>
      </rPr>
      <t xml:space="preserve">) )   November 10 , 2012   December 22 , 2015     157   `` New Guild '' `` Shinki Girudo '' ( </t>
    </r>
    <r>
      <rPr>
        <sz val="11"/>
        <color rgb="FF000000"/>
        <rFont val="Noto Sans CJK SC"/>
        <family val="2"/>
      </rPr>
      <t xml:space="preserve">新 规 ギルド </t>
    </r>
    <r>
      <rPr>
        <sz val="11"/>
        <color rgb="FF000000"/>
        <rFont val="Calibri"/>
        <family val="0"/>
        <charset val="1"/>
      </rPr>
      <t xml:space="preserve">)   November 17 , 2012   December 29 , 2015     158   `` Night of Shooting Stars '' `` Hoshi Furu Yoru ni '' ( </t>
    </r>
    <r>
      <rPr>
        <sz val="11"/>
        <color rgb="FF000000"/>
        <rFont val="Noto Sans CJK SC"/>
        <family val="2"/>
      </rPr>
      <t xml:space="preserve">星 降 ル 夜 ニ </t>
    </r>
    <r>
      <rPr>
        <sz val="11"/>
        <color rgb="FF000000"/>
        <rFont val="Calibri"/>
        <family val="0"/>
        <charset val="1"/>
      </rPr>
      <t xml:space="preserve">)   November 24 , 2012   January 5 , 2016     159   `` Lucy vs. Flare '' `` Rūshii vs. Furea '' ( </t>
    </r>
    <r>
      <rPr>
        <sz val="11"/>
        <color rgb="FF000000"/>
        <rFont val="Noto Sans CJK SC"/>
        <family val="2"/>
      </rPr>
      <t xml:space="preserve">ルーシィ </t>
    </r>
    <r>
      <rPr>
        <sz val="11"/>
        <color rgb="FF000000"/>
        <rFont val="Calibri"/>
        <family val="0"/>
        <charset val="1"/>
      </rPr>
      <t xml:space="preserve">vs. </t>
    </r>
    <r>
      <rPr>
        <sz val="11"/>
        <color rgb="FF000000"/>
        <rFont val="Noto Sans CJK SC"/>
        <family val="2"/>
      </rPr>
      <t xml:space="preserve">フレア </t>
    </r>
    <r>
      <rPr>
        <sz val="11"/>
        <color rgb="FF000000"/>
        <rFont val="Calibri"/>
        <family val="0"/>
        <charset val="1"/>
      </rPr>
      <t xml:space="preserve">)   December 1 , 2012   January 12 , 2016     160   `` Portent '' `` Kyōzui '' ( </t>
    </r>
    <r>
      <rPr>
        <sz val="11"/>
        <color rgb="FF000000"/>
        <rFont val="Noto Sans CJK SC"/>
        <family val="2"/>
      </rPr>
      <t xml:space="preserve">凶 瑞 </t>
    </r>
    <r>
      <rPr>
        <sz val="11"/>
        <color rgb="FF000000"/>
        <rFont val="Calibri"/>
        <family val="0"/>
        <charset val="1"/>
      </rPr>
      <t xml:space="preserve">)   December 8 , 2012   January 19 , 2016     161   `` Chariots '' `` Chariotto '' ( </t>
    </r>
    <r>
      <rPr>
        <sz val="11"/>
        <color rgb="FF000000"/>
        <rFont val="Noto Sans CJK SC"/>
        <family val="2"/>
      </rPr>
      <t xml:space="preserve">战 车 </t>
    </r>
    <r>
      <rPr>
        <sz val="11"/>
        <color rgb="FF000000"/>
        <rFont val="Calibri"/>
        <family val="0"/>
        <charset val="1"/>
      </rPr>
      <t xml:space="preserve">( </t>
    </r>
    <r>
      <rPr>
        <sz val="11"/>
        <color rgb="FF000000"/>
        <rFont val="Noto Sans CJK SC"/>
        <family val="2"/>
      </rPr>
      <t xml:space="preserve">チャリオット </t>
    </r>
    <r>
      <rPr>
        <sz val="11"/>
        <color rgb="FF000000"/>
        <rFont val="Calibri"/>
        <family val="0"/>
        <charset val="1"/>
      </rPr>
      <t xml:space="preserve">) )   December 15 , 2012   January 26 , 2016     162   `` Elfman vs. Bacchus '' `` Erufuman vs. Bakkasu '' ( </t>
    </r>
    <r>
      <rPr>
        <sz val="11"/>
        <color rgb="FF000000"/>
        <rFont val="Noto Sans CJK SC"/>
        <family val="2"/>
      </rPr>
      <t xml:space="preserve">エルフマン </t>
    </r>
    <r>
      <rPr>
        <sz val="11"/>
        <color rgb="FF000000"/>
        <rFont val="Calibri"/>
        <family val="0"/>
        <charset val="1"/>
      </rPr>
      <t xml:space="preserve">vs. </t>
    </r>
    <r>
      <rPr>
        <sz val="11"/>
        <color rgb="FF000000"/>
        <rFont val="Noto Sans CJK SC"/>
        <family val="2"/>
      </rPr>
      <t xml:space="preserve">バッカス </t>
    </r>
    <r>
      <rPr>
        <sz val="11"/>
        <color rgb="FF000000"/>
        <rFont val="Calibri"/>
        <family val="0"/>
        <charset val="1"/>
      </rPr>
      <t xml:space="preserve">)   December 22 , 2012   September 1 , 2015     163   `` Mirajane vs. Jenny '' `` Mirajēn vs. Jenī '' ( </t>
    </r>
    <r>
      <rPr>
        <sz val="11"/>
        <color rgb="FF000000"/>
        <rFont val="Noto Sans CJK SC"/>
        <family val="2"/>
      </rPr>
      <t xml:space="preserve">ミラ ジェーン </t>
    </r>
    <r>
      <rPr>
        <sz val="11"/>
        <color rgb="FF000000"/>
        <rFont val="Calibri"/>
        <family val="0"/>
        <charset val="1"/>
      </rPr>
      <t xml:space="preserve">vs. </t>
    </r>
    <r>
      <rPr>
        <sz val="11"/>
        <color rgb="FF000000"/>
        <rFont val="Noto Sans CJK SC"/>
        <family val="2"/>
      </rPr>
      <t xml:space="preserve">ジェニー </t>
    </r>
    <r>
      <rPr>
        <sz val="11"/>
        <color rgb="FF000000"/>
        <rFont val="Calibri"/>
        <family val="0"/>
        <charset val="1"/>
      </rPr>
      <t xml:space="preserve">)   January 5 , 2013   September 1 , 2015     164   `` Kagura vs. Yukino '' `` Kagura vs. Yukino '' ( </t>
    </r>
    <r>
      <rPr>
        <sz val="11"/>
        <color rgb="FF000000"/>
        <rFont val="Noto Sans CJK SC"/>
        <family val="2"/>
      </rPr>
      <t xml:space="preserve">カグラ </t>
    </r>
    <r>
      <rPr>
        <sz val="11"/>
        <color rgb="FF000000"/>
        <rFont val="Calibri"/>
        <family val="0"/>
        <charset val="1"/>
      </rPr>
      <t xml:space="preserve">vs. </t>
    </r>
    <r>
      <rPr>
        <sz val="11"/>
        <color rgb="FF000000"/>
        <rFont val="Noto Sans CJK SC"/>
        <family val="2"/>
      </rPr>
      <t xml:space="preserve">ユキノ </t>
    </r>
    <r>
      <rPr>
        <sz val="11"/>
        <color rgb="FF000000"/>
        <rFont val="Calibri"/>
        <family val="0"/>
        <charset val="1"/>
      </rPr>
      <t xml:space="preserve">)   January 12 , 2013   September 1 , 2015     165   `` Hatred at Nightfall '' `` Urami wa Yoru no Tobari ni Tsutsumarete '' ( </t>
    </r>
    <r>
      <rPr>
        <sz val="11"/>
        <color rgb="FF000000"/>
        <rFont val="Noto Sans CJK SC"/>
        <family val="2"/>
      </rPr>
      <t xml:space="preserve">怨み は 夜 の 帐 に 包 まれ て </t>
    </r>
    <r>
      <rPr>
        <sz val="11"/>
        <color rgb="FF000000"/>
        <rFont val="Calibri"/>
        <family val="0"/>
        <charset val="1"/>
      </rPr>
      <t xml:space="preserve">)   January 19 , 2013   September 1 , 2015     166   `` Pandemonium '' `` Pandemoniumu '' ( </t>
    </r>
    <r>
      <rPr>
        <sz val="11"/>
        <color rgb="FF000000"/>
        <rFont val="Noto Sans CJK SC"/>
        <family val="2"/>
      </rPr>
      <t xml:space="preserve">伏魔殿 </t>
    </r>
    <r>
      <rPr>
        <sz val="11"/>
        <color rgb="FF000000"/>
        <rFont val="Calibri"/>
        <family val="0"/>
        <charset val="1"/>
      </rPr>
      <t xml:space="preserve">( </t>
    </r>
    <r>
      <rPr>
        <sz val="11"/>
        <color rgb="FF000000"/>
        <rFont val="Noto Sans CJK SC"/>
        <family val="2"/>
      </rPr>
      <t xml:space="preserve">パンデモニウム </t>
    </r>
    <r>
      <rPr>
        <sz val="11"/>
        <color rgb="FF000000"/>
        <rFont val="Calibri"/>
        <family val="0"/>
        <charset val="1"/>
      </rPr>
      <t xml:space="preserve">) )   January 26 , 2013   September 1 , 2015     167   `` 100 Against 1 '' `` Hyaku tai Ichi '' ( 100 </t>
    </r>
    <r>
      <rPr>
        <sz val="11"/>
        <color rgb="FF000000"/>
        <rFont val="Noto Sans CJK SC"/>
        <family val="2"/>
      </rPr>
      <t xml:space="preserve">対 </t>
    </r>
    <r>
      <rPr>
        <sz val="11"/>
        <color rgb="FF000000"/>
        <rFont val="Calibri"/>
        <family val="0"/>
        <charset val="1"/>
      </rPr>
      <t xml:space="preserve">1 )   February 2 , 2013   September 1 , 2015     168   `` Laxus vs. Alexei '' `` Rakusasu vs. Arekusei '' ( </t>
    </r>
    <r>
      <rPr>
        <sz val="11"/>
        <color rgb="FF000000"/>
        <rFont val="Noto Sans CJK SC"/>
        <family val="2"/>
      </rPr>
      <t xml:space="preserve">ラクサス </t>
    </r>
    <r>
      <rPr>
        <sz val="11"/>
        <color rgb="FF000000"/>
        <rFont val="Calibri"/>
        <family val="0"/>
        <charset val="1"/>
      </rPr>
      <t xml:space="preserve">vs. </t>
    </r>
    <r>
      <rPr>
        <sz val="11"/>
        <color rgb="FF000000"/>
        <rFont val="Noto Sans CJK SC"/>
        <family val="2"/>
      </rPr>
      <t xml:space="preserve">アレクセイ </t>
    </r>
    <r>
      <rPr>
        <sz val="11"/>
        <color rgb="FF000000"/>
        <rFont val="Calibri"/>
        <family val="0"/>
        <charset val="1"/>
      </rPr>
      <t xml:space="preserve">)   February 9 , 2013   September 1 , 2015     169   `` Wendy vs. Shelia '' `` Wendi vs. Sheria '' ( </t>
    </r>
    <r>
      <rPr>
        <sz val="11"/>
        <color rgb="FF000000"/>
        <rFont val="Noto Sans CJK SC"/>
        <family val="2"/>
      </rPr>
      <t xml:space="preserve">ウェンディ </t>
    </r>
    <r>
      <rPr>
        <sz val="11"/>
        <color rgb="FF000000"/>
        <rFont val="Calibri"/>
        <family val="0"/>
        <charset val="1"/>
      </rPr>
      <t xml:space="preserve">vs. </t>
    </r>
    <r>
      <rPr>
        <sz val="11"/>
        <color rgb="FF000000"/>
        <rFont val="Noto Sans CJK SC"/>
        <family val="2"/>
      </rPr>
      <t xml:space="preserve">シェリア </t>
    </r>
    <r>
      <rPr>
        <sz val="11"/>
        <color rgb="FF000000"/>
        <rFont val="Calibri"/>
        <family val="0"/>
        <charset val="1"/>
      </rPr>
      <t xml:space="preserve">)   February 16 , 2013   September 1 , 2015     170   `` Small Fists '' `` Chiisana Kobushi '' ( </t>
    </r>
    <r>
      <rPr>
        <sz val="11"/>
        <color rgb="FF000000"/>
        <rFont val="Noto Sans CJK SC"/>
        <family val="2"/>
      </rPr>
      <t xml:space="preserve">小さな 拳 </t>
    </r>
    <r>
      <rPr>
        <sz val="11"/>
        <color rgb="FF000000"/>
        <rFont val="Calibri"/>
        <family val="0"/>
        <charset val="1"/>
      </rPr>
      <t xml:space="preserve">)   February 23 , 2013   September 1 , 2015     171   `` Naval Battle '' `` Nabaru Batoru '' ( </t>
    </r>
    <r>
      <rPr>
        <sz val="11"/>
        <color rgb="FF000000"/>
        <rFont val="Noto Sans CJK SC"/>
        <family val="2"/>
      </rPr>
      <t xml:space="preserve">海战 </t>
    </r>
    <r>
      <rPr>
        <sz val="11"/>
        <color rgb="FF000000"/>
        <rFont val="Calibri"/>
        <family val="0"/>
        <charset val="1"/>
      </rPr>
      <t xml:space="preserve">( </t>
    </r>
    <r>
      <rPr>
        <sz val="11"/>
        <color rgb="FF000000"/>
        <rFont val="Noto Sans CJK SC"/>
        <family val="2"/>
      </rPr>
      <t xml:space="preserve">ナバルバトル </t>
    </r>
    <r>
      <rPr>
        <sz val="11"/>
        <color rgb="FF000000"/>
        <rFont val="Calibri"/>
        <family val="0"/>
        <charset val="1"/>
      </rPr>
      <t xml:space="preserve">) )   March 2 , 2013   September 1 , 2015     172   `` A Parfum for You '' `` Kimi ni Sasageru Parufamu '' ( </t>
    </r>
    <r>
      <rPr>
        <sz val="11"/>
        <color rgb="FF000000"/>
        <rFont val="Noto Sans CJK SC"/>
        <family val="2"/>
      </rPr>
      <t xml:space="preserve">君 に 捧げる 香り </t>
    </r>
    <r>
      <rPr>
        <sz val="11"/>
        <color rgb="FF000000"/>
        <rFont val="Calibri"/>
        <family val="0"/>
        <charset val="1"/>
      </rPr>
      <t xml:space="preserve">( </t>
    </r>
    <r>
      <rPr>
        <sz val="11"/>
        <color rgb="FF000000"/>
        <rFont val="Noto Sans CJK SC"/>
        <family val="2"/>
      </rPr>
      <t xml:space="preserve">パルファム </t>
    </r>
    <r>
      <rPr>
        <sz val="11"/>
        <color rgb="FF000000"/>
        <rFont val="Calibri"/>
        <family val="0"/>
        <charset val="1"/>
      </rPr>
      <t xml:space="preserve">) )   March 9 , 2013   September 1 , 2015     173   `` Battle of Dragon Slayers ! '' `` Batoru obu Doragon Sureiyā '' ( </t>
    </r>
    <r>
      <rPr>
        <sz val="11"/>
        <color rgb="FF000000"/>
        <rFont val="Noto Sans CJK SC"/>
        <family val="2"/>
      </rPr>
      <t xml:space="preserve">バトル ・ オブ ・ ドラゴン スレイヤー </t>
    </r>
    <r>
      <rPr>
        <sz val="11"/>
        <color rgb="FF000000"/>
        <rFont val="Calibri"/>
        <family val="0"/>
        <charset val="1"/>
      </rPr>
      <t xml:space="preserve">)   March 16 , 2013   September 1 , 2015     174   `` Four Dragons '' `` Yonin no Doragon '' ( </t>
    </r>
    <r>
      <rPr>
        <sz val="11"/>
        <color rgb="FF000000"/>
        <rFont val="Noto Sans CJK SC"/>
        <family val="2"/>
      </rPr>
      <t xml:space="preserve">四 人 の 竜 </t>
    </r>
    <r>
      <rPr>
        <sz val="11"/>
        <color rgb="FF000000"/>
        <rFont val="Calibri"/>
        <family val="0"/>
        <charset val="1"/>
      </rPr>
      <t xml:space="preserve">( </t>
    </r>
    <r>
      <rPr>
        <sz val="11"/>
        <color rgb="FF000000"/>
        <rFont val="Noto Sans CJK SC"/>
        <family val="2"/>
      </rPr>
      <t xml:space="preserve">ドラゴン </t>
    </r>
    <r>
      <rPr>
        <sz val="11"/>
        <color rgb="FF000000"/>
        <rFont val="Calibri"/>
        <family val="0"/>
        <charset val="1"/>
      </rPr>
      <t xml:space="preserve">) )   March 23 , 2013   September 1 , 2015     175   `` Natsu vs. the Twin Dragons '' `` Natsu vs. Sōryū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双竜 </t>
    </r>
    <r>
      <rPr>
        <sz val="11"/>
        <color rgb="FF000000"/>
        <rFont val="Calibri"/>
        <family val="0"/>
        <charset val="1"/>
      </rPr>
      <t xml:space="preserve">)   March 30 , 2013   September 1 , 2015     Season 7 ( 2014 -- 2015 ) ( edit )  Main article : List of Fairy Tail episodes ( season 7 )    Ep .   Official English title Original Japanese title   English airdate     176   `` King of the Dragons '' `` Ryū no Ō '' ( </t>
    </r>
    <r>
      <rPr>
        <sz val="11"/>
        <color rgb="FF000000"/>
        <rFont val="Noto Sans CJK SC"/>
        <family val="2"/>
      </rPr>
      <t xml:space="preserve">竜 の 王 </t>
    </r>
    <r>
      <rPr>
        <sz val="11"/>
        <color rgb="FF000000"/>
        <rFont val="Calibri"/>
        <family val="0"/>
        <charset val="1"/>
      </rPr>
      <t xml:space="preserve">)   April 5 , 2014     177   `` The Eclipse Project '' `` Ekuripusu Keikaku '' ( </t>
    </r>
    <r>
      <rPr>
        <sz val="11"/>
        <color rgb="FF000000"/>
        <rFont val="Noto Sans CJK SC"/>
        <family val="2"/>
      </rPr>
      <t xml:space="preserve">エクリプス 計画 </t>
    </r>
    <r>
      <rPr>
        <sz val="11"/>
        <color rgb="FF000000"/>
        <rFont val="Calibri"/>
        <family val="0"/>
        <charset val="1"/>
      </rPr>
      <t xml:space="preserve">)   April 12 , 2014     178   `` Fairy Tactician '' `` Yōsei Gunshi '' ( </t>
    </r>
    <r>
      <rPr>
        <sz val="11"/>
        <color rgb="FF000000"/>
        <rFont val="Noto Sans CJK SC"/>
        <family val="2"/>
      </rPr>
      <t xml:space="preserve">妖精 軍師 </t>
    </r>
    <r>
      <rPr>
        <sz val="11"/>
        <color rgb="FF000000"/>
        <rFont val="Calibri"/>
        <family val="0"/>
        <charset val="1"/>
      </rPr>
      <t xml:space="preserve">)   April 19 , 2014     179   `` Gray vs. Rufus '' `` Gurei vs. Rūfasu '' ( </t>
    </r>
    <r>
      <rPr>
        <sz val="11"/>
        <color rgb="FF000000"/>
        <rFont val="Noto Sans CJK SC"/>
        <family val="2"/>
      </rPr>
      <t xml:space="preserve">グレイ </t>
    </r>
    <r>
      <rPr>
        <sz val="11"/>
        <color rgb="FF000000"/>
        <rFont val="Calibri"/>
        <family val="0"/>
        <charset val="1"/>
      </rPr>
      <t xml:space="preserve">vs. </t>
    </r>
    <r>
      <rPr>
        <sz val="11"/>
        <color rgb="FF000000"/>
        <rFont val="Noto Sans CJK SC"/>
        <family val="2"/>
      </rPr>
      <t xml:space="preserve">ルーファス </t>
    </r>
    <r>
      <rPr>
        <sz val="11"/>
        <color rgb="FF000000"/>
        <rFont val="Calibri"/>
        <family val="0"/>
        <charset val="1"/>
      </rPr>
      <t xml:space="preserve">)   April 26 , 2014     180   `` The Hungry Wolf Knights '' `` Garō Kishidan '' ( </t>
    </r>
    <r>
      <rPr>
        <sz val="11"/>
        <color rgb="FF000000"/>
        <rFont val="Noto Sans CJK SC"/>
        <family val="2"/>
      </rPr>
      <t xml:space="preserve">餓狼 騎士 団 </t>
    </r>
    <r>
      <rPr>
        <sz val="11"/>
        <color rgb="FF000000"/>
        <rFont val="Calibri"/>
        <family val="0"/>
        <charset val="1"/>
      </rPr>
      <t xml:space="preserve">)   May 3 , 2014     181   `` Fairy Tail vs. Executioners '' `` Fearī Teiru vs. Shokeinin '' ( FT ( </t>
    </r>
    <r>
      <rPr>
        <sz val="11"/>
        <color rgb="FF000000"/>
        <rFont val="Noto Sans CJK SC"/>
        <family val="2"/>
      </rPr>
      <t xml:space="preserve">フェアリー テイル </t>
    </r>
    <r>
      <rPr>
        <sz val="11"/>
        <color rgb="FF000000"/>
        <rFont val="Calibri"/>
        <family val="0"/>
        <charset val="1"/>
      </rPr>
      <t xml:space="preserve">) vs. </t>
    </r>
    <r>
      <rPr>
        <sz val="11"/>
        <color rgb="FF000000"/>
        <rFont val="Noto Sans CJK SC"/>
        <family val="2"/>
      </rPr>
      <t xml:space="preserve">処刑 人 </t>
    </r>
    <r>
      <rPr>
        <sz val="11"/>
        <color rgb="FF000000"/>
        <rFont val="Calibri"/>
        <family val="0"/>
        <charset val="1"/>
      </rPr>
      <t xml:space="preserve">)   May 10 , 2014     182   `` Scorching Earth '' `` Moeru Daichi '' ( </t>
    </r>
    <r>
      <rPr>
        <sz val="11"/>
        <color rgb="FF000000"/>
        <rFont val="Noto Sans CJK SC"/>
        <family val="2"/>
      </rPr>
      <t xml:space="preserve">燃える 大地 </t>
    </r>
    <r>
      <rPr>
        <sz val="11"/>
        <color rgb="FF000000"/>
        <rFont val="Calibri"/>
        <family val="0"/>
        <charset val="1"/>
      </rPr>
      <t xml:space="preserve">)   May 17 , 2014     183   `` Our Place '' `` Ore - tachi no Iru Basho '' ( </t>
    </r>
    <r>
      <rPr>
        <sz val="11"/>
        <color rgb="FF000000"/>
        <rFont val="Noto Sans CJK SC"/>
        <family val="2"/>
      </rPr>
      <t xml:space="preserve">オレ たち の いる 国 </t>
    </r>
    <r>
      <rPr>
        <sz val="11"/>
        <color rgb="FF000000"/>
        <rFont val="Calibri"/>
        <family val="0"/>
        <charset val="1"/>
      </rPr>
      <t xml:space="preserve">( </t>
    </r>
    <r>
      <rPr>
        <sz val="11"/>
        <color rgb="FF000000"/>
        <rFont val="Noto Sans CJK SC"/>
        <family val="2"/>
      </rPr>
      <t xml:space="preserve">ば しょ </t>
    </r>
    <r>
      <rPr>
        <sz val="11"/>
        <color rgb="FF000000"/>
        <rFont val="Calibri"/>
        <family val="0"/>
        <charset val="1"/>
      </rPr>
      <t xml:space="preserve">) )   May 24 , 2014     184   `` The Kingdom ' til Tomorrow '' `` Ashita made no Kuni '' ( </t>
    </r>
    <r>
      <rPr>
        <sz val="11"/>
        <color rgb="FF000000"/>
        <rFont val="Noto Sans CJK SC"/>
        <family val="2"/>
      </rPr>
      <t xml:space="preserve">明日 まで の 国 </t>
    </r>
    <r>
      <rPr>
        <sz val="11"/>
        <color rgb="FF000000"/>
        <rFont val="Calibri"/>
        <family val="0"/>
        <charset val="1"/>
      </rPr>
      <t xml:space="preserve">)   May 31 , 2014     185   `` Erza vs. Kagura '' `` Eruza vs. Kagura '' ( </t>
    </r>
    <r>
      <rPr>
        <sz val="11"/>
        <color rgb="FF000000"/>
        <rFont val="Noto Sans CJK SC"/>
        <family val="2"/>
      </rPr>
      <t xml:space="preserve">エルザ </t>
    </r>
    <r>
      <rPr>
        <sz val="11"/>
        <color rgb="FF000000"/>
        <rFont val="Calibri"/>
        <family val="0"/>
        <charset val="1"/>
      </rPr>
      <t xml:space="preserve">vs. </t>
    </r>
    <r>
      <rPr>
        <sz val="11"/>
        <color rgb="FF000000"/>
        <rFont val="Noto Sans CJK SC"/>
        <family val="2"/>
      </rPr>
      <t xml:space="preserve">カグラ </t>
    </r>
    <r>
      <rPr>
        <sz val="11"/>
        <color rgb="FF000000"/>
        <rFont val="Calibri"/>
        <family val="0"/>
        <charset val="1"/>
      </rPr>
      <t xml:space="preserve">)   June 7 , 2014     186   `` A Future Racing Toward Despair '' `` Zetsubō e Kasoku suru Mirai '' ( </t>
    </r>
    <r>
      <rPr>
        <sz val="11"/>
        <color rgb="FF000000"/>
        <rFont val="Noto Sans CJK SC"/>
        <family val="2"/>
      </rPr>
      <t xml:space="preserve">絶望 へ 加速 する 未来 </t>
    </r>
    <r>
      <rPr>
        <sz val="11"/>
        <color rgb="FF000000"/>
        <rFont val="Calibri"/>
        <family val="0"/>
        <charset val="1"/>
      </rPr>
      <t xml:space="preserve">)   June 14 , 2014     187   `` Frog '' `` Kaeru '' ( </t>
    </r>
    <r>
      <rPr>
        <sz val="11"/>
        <color rgb="FF000000"/>
        <rFont val="Noto Sans CJK SC"/>
        <family val="2"/>
      </rPr>
      <t xml:space="preserve">カエル </t>
    </r>
    <r>
      <rPr>
        <sz val="11"/>
        <color rgb="FF000000"/>
        <rFont val="Calibri"/>
        <family val="0"/>
        <charset val="1"/>
      </rPr>
      <t xml:space="preserve">)   June 21 , 2014     188   `` Roaring Thunder ! '' `` Gekirai ! '' ( </t>
    </r>
    <r>
      <rPr>
        <sz val="11"/>
        <color rgb="FF000000"/>
        <rFont val="Noto Sans CJK SC"/>
        <family val="2"/>
      </rPr>
      <t xml:space="preserve">激 雷 </t>
    </r>
    <r>
      <rPr>
        <sz val="11"/>
        <color rgb="FF000000"/>
        <rFont val="Calibri"/>
        <family val="0"/>
        <charset val="1"/>
      </rPr>
      <t xml:space="preserve">! )   June 28 , 2014     189   `` Gloria ''   July 5 , 2014     190   `` The One Who Closes the Gate '' `` Tobira o Shimeru Mono '' ( </t>
    </r>
    <r>
      <rPr>
        <sz val="11"/>
        <color rgb="FF000000"/>
        <rFont val="Noto Sans CJK SC"/>
        <family val="2"/>
      </rPr>
      <t xml:space="preserve">扉 を 閉める もの </t>
    </r>
    <r>
      <rPr>
        <sz val="11"/>
        <color rgb="FF000000"/>
        <rFont val="Calibri"/>
        <family val="0"/>
        <charset val="1"/>
      </rPr>
      <t xml:space="preserve">)   July 12 , 2014     191   `` Natsu vs. Rogue '' `` Natsu vs. Rōgu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ローグ </t>
    </r>
    <r>
      <rPr>
        <sz val="11"/>
        <color rgb="FF000000"/>
        <rFont val="Calibri"/>
        <family val="0"/>
        <charset val="1"/>
      </rPr>
      <t xml:space="preserve">)   July 19 , 2014     192   `` For Me , Too '' `` Atashi no Bun made '' ( </t>
    </r>
    <r>
      <rPr>
        <sz val="11"/>
        <color rgb="FF000000"/>
        <rFont val="Noto Sans CJK SC"/>
        <family val="2"/>
      </rPr>
      <t xml:space="preserve">あたし の 分 まで </t>
    </r>
    <r>
      <rPr>
        <sz val="11"/>
        <color rgb="FF000000"/>
        <rFont val="Calibri"/>
        <family val="0"/>
        <charset val="1"/>
      </rPr>
      <t xml:space="preserve">)   July 26 , 2014     193   `` Seven Dragons ''   August 2 , 2014     194   `` Zirconis ' Magic '' `` Jirukonisu no Mahō '' ( </t>
    </r>
    <r>
      <rPr>
        <sz val="11"/>
        <color rgb="FF000000"/>
        <rFont val="Noto Sans CJK SC"/>
        <family val="2"/>
      </rPr>
      <t xml:space="preserve">ジルコニス の 魔法 </t>
    </r>
    <r>
      <rPr>
        <sz val="11"/>
        <color rgb="FF000000"/>
        <rFont val="Calibri"/>
        <family val="0"/>
        <charset val="1"/>
      </rPr>
      <t xml:space="preserve">)   August 9 , 2014     195   `` Humans and Humans , Dragons and Dragons , Humans and Dragons '' `` Hito to Hito , Ryū to Ryū , Hito to Ryū '' ( </t>
    </r>
    <r>
      <rPr>
        <sz val="11"/>
        <color rgb="FF000000"/>
        <rFont val="Noto Sans CJK SC"/>
        <family val="2"/>
      </rPr>
      <t xml:space="preserve">人 と 人 、 竜 と 竜 、 人 と 竜 </t>
    </r>
    <r>
      <rPr>
        <sz val="11"/>
        <color rgb="FF000000"/>
        <rFont val="Calibri"/>
        <family val="0"/>
        <charset val="1"/>
      </rPr>
      <t xml:space="preserve">)   August 16 , 2014     196   `` Sin and Sacrifice '' `` Tsumi to Gisei '' ( </t>
    </r>
    <r>
      <rPr>
        <sz val="11"/>
        <color rgb="FF000000"/>
        <rFont val="Noto Sans CJK SC"/>
        <family val="2"/>
      </rPr>
      <t xml:space="preserve">罪 と 犠牲 </t>
    </r>
    <r>
      <rPr>
        <sz val="11"/>
        <color rgb="FF000000"/>
        <rFont val="Calibri"/>
        <family val="0"/>
        <charset val="1"/>
      </rPr>
      <t xml:space="preserve">)   August 23 , 2014     197   `` Time of Life '' `` Inochi no Jikan '' ( </t>
    </r>
    <r>
      <rPr>
        <sz val="11"/>
        <color rgb="FF000000"/>
        <rFont val="Noto Sans CJK SC"/>
        <family val="2"/>
      </rPr>
      <t xml:space="preserve">命 の 時間 </t>
    </r>
    <r>
      <rPr>
        <sz val="11"/>
        <color rgb="FF000000"/>
        <rFont val="Calibri"/>
        <family val="0"/>
        <charset val="1"/>
      </rPr>
      <t xml:space="preserve">)   August 30 , 2014     198   `` Fields of Gold '' `` Ōgon no Sōgen '' ( </t>
    </r>
    <r>
      <rPr>
        <sz val="11"/>
        <color rgb="FF000000"/>
        <rFont val="Noto Sans CJK SC"/>
        <family val="2"/>
      </rPr>
      <t xml:space="preserve">黄金 の 草原 </t>
    </r>
    <r>
      <rPr>
        <sz val="11"/>
        <color rgb="FF000000"/>
        <rFont val="Calibri"/>
        <family val="0"/>
        <charset val="1"/>
      </rPr>
      <t xml:space="preserve">)   September 6 , 2014     199   `` The Grand Banquet '' `` Dai Buyō Enbu '' ( </t>
    </r>
    <r>
      <rPr>
        <sz val="11"/>
        <color rgb="FF000000"/>
        <rFont val="Noto Sans CJK SC"/>
        <family val="2"/>
      </rPr>
      <t xml:space="preserve">大 舞踊 演舞 </t>
    </r>
    <r>
      <rPr>
        <sz val="11"/>
        <color rgb="FF000000"/>
        <rFont val="Calibri"/>
        <family val="0"/>
        <charset val="1"/>
      </rPr>
      <t xml:space="preserve">)   September 13 , 2014     200   `` Droplets of Time '' `` Seisō no Shizuku '' ( </t>
    </r>
    <r>
      <rPr>
        <sz val="11"/>
        <color rgb="FF000000"/>
        <rFont val="Noto Sans CJK SC"/>
        <family val="2"/>
      </rPr>
      <t xml:space="preserve">星霜 の 雫 </t>
    </r>
    <r>
      <rPr>
        <sz val="11"/>
        <color rgb="FF000000"/>
        <rFont val="Calibri"/>
        <family val="0"/>
        <charset val="1"/>
      </rPr>
      <t xml:space="preserve">)   September 20 , 2014     201   `` A Gift '' `` Okurimono '' ( </t>
    </r>
    <r>
      <rPr>
        <sz val="11"/>
        <color rgb="FF000000"/>
        <rFont val="Noto Sans CJK SC"/>
        <family val="2"/>
      </rPr>
      <t xml:space="preserve">贈り物 </t>
    </r>
    <r>
      <rPr>
        <sz val="11"/>
        <color rgb="FF000000"/>
        <rFont val="Calibri"/>
        <family val="0"/>
        <charset val="1"/>
      </rPr>
      <t xml:space="preserve">)   September 27 , 2014     202   `` Welcome Back , Frosch '' `` Okaeri , Furosshu '' ( </t>
    </r>
    <r>
      <rPr>
        <sz val="11"/>
        <color rgb="FF000000"/>
        <rFont val="Noto Sans CJK SC"/>
        <family val="2"/>
      </rPr>
      <t xml:space="preserve">おかえり 、 フロッシュ </t>
    </r>
    <r>
      <rPr>
        <sz val="11"/>
        <color rgb="FF000000"/>
        <rFont val="Calibri"/>
        <family val="0"/>
        <charset val="1"/>
      </rPr>
      <t xml:space="preserve">)   October 4 , 2014     203   `` Moulin Rouge '' `` Mūran Rūju '' ( </t>
    </r>
    <r>
      <rPr>
        <sz val="11"/>
        <color rgb="FF000000"/>
        <rFont val="Noto Sans CJK SC"/>
        <family val="2"/>
      </rPr>
      <t xml:space="preserve">ムーラン ルージュ </t>
    </r>
    <r>
      <rPr>
        <sz val="11"/>
        <color rgb="FF000000"/>
        <rFont val="Calibri"/>
        <family val="0"/>
        <charset val="1"/>
      </rPr>
      <t xml:space="preserve">)   October 11 , 2014     204   `` Full Effort Hospitality ! '' `` Omotenashi , Inochi Kaketemasu ! '' ( </t>
    </r>
    <r>
      <rPr>
        <sz val="11"/>
        <color rgb="FF000000"/>
        <rFont val="Noto Sans CJK SC"/>
        <family val="2"/>
      </rPr>
      <t xml:space="preserve">おもてなし 、 命 かけ て ます </t>
    </r>
    <r>
      <rPr>
        <sz val="11"/>
        <color rgb="FF000000"/>
        <rFont val="Calibri"/>
        <family val="0"/>
        <charset val="1"/>
      </rPr>
      <t xml:space="preserve">! )   October 18 , 2014     205   `` Signal of Rebellion '' `` Hangyaku no Noroshi '' ( </t>
    </r>
    <r>
      <rPr>
        <sz val="11"/>
        <color rgb="FF000000"/>
        <rFont val="Noto Sans CJK SC"/>
        <family val="2"/>
      </rPr>
      <t xml:space="preserve">反逆 の 狼煙 </t>
    </r>
    <r>
      <rPr>
        <sz val="11"/>
        <color rgb="FF000000"/>
        <rFont val="Calibri"/>
        <family val="0"/>
        <charset val="1"/>
      </rPr>
      <t xml:space="preserve">)   October 25 , 2014     206   `` Library Panic '' `` Panikku obu Raiburarī '' ( </t>
    </r>
    <r>
      <rPr>
        <sz val="11"/>
        <color rgb="FF000000"/>
        <rFont val="Noto Sans CJK SC"/>
        <family val="2"/>
      </rPr>
      <t xml:space="preserve">パニック ・ オブ ・ ライブ ラリー </t>
    </r>
    <r>
      <rPr>
        <sz val="11"/>
        <color rgb="FF000000"/>
        <rFont val="Calibri"/>
        <family val="0"/>
        <charset val="1"/>
      </rPr>
      <t xml:space="preserve">)   November 1 , 2014     207   `` Hisui Rises ! '' `` Hisui Tatsu ! '' ( </t>
    </r>
    <r>
      <rPr>
        <sz val="11"/>
        <color rgb="FF000000"/>
        <rFont val="Noto Sans CJK SC"/>
        <family val="2"/>
      </rPr>
      <t xml:space="preserve">ヒスイ 立つ </t>
    </r>
    <r>
      <rPr>
        <sz val="11"/>
        <color rgb="FF000000"/>
        <rFont val="Calibri"/>
        <family val="0"/>
        <charset val="1"/>
      </rPr>
      <t xml:space="preserve">! )   November 8 , 2014     208   `` Astral Spiritus '' `` Asutoraru Supiritasu '' ( </t>
    </r>
    <r>
      <rPr>
        <sz val="11"/>
        <color rgb="FF000000"/>
        <rFont val="Noto Sans CJK SC"/>
        <family val="2"/>
      </rPr>
      <t xml:space="preserve">アストラル ・ スピリタス </t>
    </r>
    <r>
      <rPr>
        <sz val="11"/>
        <color rgb="FF000000"/>
        <rFont val="Calibri"/>
        <family val="0"/>
        <charset val="1"/>
      </rPr>
      <t xml:space="preserve">)   November 15 , 2014     209   `` Wendy vs. Aquarius -- Let 's Have Fun in the Amusement Park ! '' `` Wendi vs. Akueriasu , Yūenchi de Asobo ! '' ( </t>
    </r>
    <r>
      <rPr>
        <sz val="11"/>
        <color rgb="FF000000"/>
        <rFont val="Noto Sans CJK SC"/>
        <family val="2"/>
      </rPr>
      <t xml:space="preserve">ウェンディ </t>
    </r>
    <r>
      <rPr>
        <sz val="11"/>
        <color rgb="FF000000"/>
        <rFont val="Calibri"/>
        <family val="0"/>
        <charset val="1"/>
      </rPr>
      <t xml:space="preserve">vs. </t>
    </r>
    <r>
      <rPr>
        <sz val="11"/>
        <color rgb="FF000000"/>
        <rFont val="Noto Sans CJK SC"/>
        <family val="2"/>
      </rPr>
      <t xml:space="preserve">アクエリアス 、 遊園 地 で あそぼ </t>
    </r>
    <r>
      <rPr>
        <sz val="11"/>
        <color rgb="FF000000"/>
        <rFont val="Calibri"/>
        <family val="0"/>
        <charset val="1"/>
      </rPr>
      <t xml:space="preserve">! )   November 22 , 2014     210   `` Guild Deck vs. Celestial Deck '' `` Girudo Dekki vs. Seirei Dekki '' ( </t>
    </r>
    <r>
      <rPr>
        <sz val="11"/>
        <color rgb="FF000000"/>
        <rFont val="Noto Sans CJK SC"/>
        <family val="2"/>
      </rPr>
      <t xml:space="preserve">ギルド デッキ </t>
    </r>
    <r>
      <rPr>
        <sz val="11"/>
        <color rgb="FF000000"/>
        <rFont val="Calibri"/>
        <family val="0"/>
        <charset val="1"/>
      </rPr>
      <t xml:space="preserve">vs. </t>
    </r>
    <r>
      <rPr>
        <sz val="11"/>
        <color rgb="FF000000"/>
        <rFont val="Noto Sans CJK SC"/>
        <family val="2"/>
      </rPr>
      <t xml:space="preserve">星 霊 デッキ </t>
    </r>
    <r>
      <rPr>
        <sz val="11"/>
        <color rgb="FF000000"/>
        <rFont val="Calibri"/>
        <family val="0"/>
        <charset val="1"/>
      </rPr>
      <t xml:space="preserve">)   November 29 , 2014     211   `` Gray vs. Cancer ! Dance Battle ! '' `` Gurei vs. Kyansā , Dansu Batoru ! '' ( </t>
    </r>
    <r>
      <rPr>
        <sz val="11"/>
        <color rgb="FF000000"/>
        <rFont val="Noto Sans CJK SC"/>
        <family val="2"/>
      </rPr>
      <t xml:space="preserve">グレイ </t>
    </r>
    <r>
      <rPr>
        <sz val="11"/>
        <color rgb="FF000000"/>
        <rFont val="Calibri"/>
        <family val="0"/>
        <charset val="1"/>
      </rPr>
      <t xml:space="preserve">vs. </t>
    </r>
    <r>
      <rPr>
        <sz val="11"/>
        <color rgb="FF000000"/>
        <rFont val="Noto Sans CJK SC"/>
        <family val="2"/>
      </rPr>
      <t xml:space="preserve">キャンサー 、 ダンス バトル </t>
    </r>
    <r>
      <rPr>
        <sz val="11"/>
        <color rgb="FF000000"/>
        <rFont val="Calibri"/>
        <family val="0"/>
        <charset val="1"/>
      </rPr>
      <t xml:space="preserve">! )   December 6 , 2014     212   `` Juvia vs. Aries ! Desert Death Match ! '' `` Jubia vs. Ariesu , Sabaku no Shitō ! '' ( </t>
    </r>
    <r>
      <rPr>
        <sz val="11"/>
        <color rgb="FF000000"/>
        <rFont val="Noto Sans CJK SC"/>
        <family val="2"/>
      </rPr>
      <t xml:space="preserve">ジュビア </t>
    </r>
    <r>
      <rPr>
        <sz val="11"/>
        <color rgb="FF000000"/>
        <rFont val="Calibri"/>
        <family val="0"/>
        <charset val="1"/>
      </rPr>
      <t xml:space="preserve">vs. </t>
    </r>
    <r>
      <rPr>
        <sz val="11"/>
        <color rgb="FF000000"/>
        <rFont val="Noto Sans CJK SC"/>
        <family val="2"/>
      </rPr>
      <t xml:space="preserve">アリエス 、 砂漠 の 死闘 </t>
    </r>
    <r>
      <rPr>
        <sz val="11"/>
        <color rgb="FF000000"/>
        <rFont val="Calibri"/>
        <family val="0"/>
        <charset val="1"/>
      </rPr>
      <t xml:space="preserve">! )   December 13 , 2014     213   `` Erza vs. Sagittarius ! Horseback Showdown ! '' `` Eruza vs. Sajitariusu , Bajō no Kessen ! '' ( </t>
    </r>
    <r>
      <rPr>
        <sz val="11"/>
        <color rgb="FF000000"/>
        <rFont val="Noto Sans CJK SC"/>
        <family val="2"/>
      </rPr>
      <t xml:space="preserve">エルザ </t>
    </r>
    <r>
      <rPr>
        <sz val="11"/>
        <color rgb="FF000000"/>
        <rFont val="Calibri"/>
        <family val="0"/>
        <charset val="1"/>
      </rPr>
      <t xml:space="preserve">vs. </t>
    </r>
    <r>
      <rPr>
        <sz val="11"/>
        <color rgb="FF000000"/>
        <rFont val="Noto Sans CJK SC"/>
        <family val="2"/>
      </rPr>
      <t xml:space="preserve">サジタリウス 、 馬上 の 決戦 </t>
    </r>
    <r>
      <rPr>
        <sz val="11"/>
        <color rgb="FF000000"/>
        <rFont val="Calibri"/>
        <family val="0"/>
        <charset val="1"/>
      </rPr>
      <t xml:space="preserve">! )   December 20 , 2014     214   `` Natsu vs. Leo '' `` Natsu vs. Reo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レオ </t>
    </r>
    <r>
      <rPr>
        <sz val="11"/>
        <color rgb="FF000000"/>
        <rFont val="Calibri"/>
        <family val="0"/>
        <charset val="1"/>
      </rPr>
      <t xml:space="preserve">)   December 27 , 2014     215   `` Ophiuchus , the Snake Charmer '' `` Hebitsukaiza no Ofiukusu '' ( </t>
    </r>
    <r>
      <rPr>
        <sz val="11"/>
        <color rgb="FF000000"/>
        <rFont val="Noto Sans CJK SC"/>
        <family val="2"/>
      </rPr>
      <t xml:space="preserve">蛇 遣い 座 の オフィウクス </t>
    </r>
    <r>
      <rPr>
        <sz val="11"/>
        <color rgb="FF000000"/>
        <rFont val="Calibri"/>
        <family val="0"/>
        <charset val="1"/>
      </rPr>
      <t xml:space="preserve">)   January 10 , 2015     216   `` When the Stars Fall '' `` Hoshi Michite Nagaruru Toki '' ( </t>
    </r>
    <r>
      <rPr>
        <sz val="11"/>
        <color rgb="FF000000"/>
        <rFont val="Noto Sans CJK SC"/>
        <family val="2"/>
      </rPr>
      <t xml:space="preserve">星 満ち て 流 るる 時 </t>
    </r>
    <r>
      <rPr>
        <sz val="11"/>
        <color rgb="FF000000"/>
        <rFont val="Calibri"/>
        <family val="0"/>
        <charset val="1"/>
      </rPr>
      <t xml:space="preserve">)   January 17 , 2015     217   `` Celestial Spirit Beast '' `` Seireijū '' ( </t>
    </r>
    <r>
      <rPr>
        <sz val="11"/>
        <color rgb="FF000000"/>
        <rFont val="Noto Sans CJK SC"/>
        <family val="2"/>
      </rPr>
      <t xml:space="preserve">星 霊獣 </t>
    </r>
    <r>
      <rPr>
        <sz val="11"/>
        <color rgb="FF000000"/>
        <rFont val="Calibri"/>
        <family val="0"/>
        <charset val="1"/>
      </rPr>
      <t xml:space="preserve">)   January 24 , 2015     218   `` Believe ''   January 31 , 2015     219   `` What a Pure Heart Weaves '' `` Magokoro ga Tsumugu Mono '' ( </t>
    </r>
    <r>
      <rPr>
        <sz val="11"/>
        <color rgb="FF000000"/>
        <rFont val="Noto Sans CJK SC"/>
        <family val="2"/>
      </rPr>
      <t xml:space="preserve">真心 が 紡ぐ もの </t>
    </r>
    <r>
      <rPr>
        <sz val="11"/>
        <color rgb="FF000000"/>
        <rFont val="Calibri"/>
        <family val="0"/>
        <charset val="1"/>
      </rPr>
      <t xml:space="preserve">)   February 7 , 2015     220   `` 413 Days ''   February 14 , 2015     221   `` The Labyrinth of White '' `` Hakugin no Meikyū '' ( </t>
    </r>
    <r>
      <rPr>
        <sz val="11"/>
        <color rgb="FF000000"/>
        <rFont val="Noto Sans CJK SC"/>
        <family val="2"/>
      </rPr>
      <t xml:space="preserve">白銀 の 迷宮 </t>
    </r>
    <r>
      <rPr>
        <sz val="11"/>
        <color rgb="FF000000"/>
        <rFont val="Calibri"/>
        <family val="0"/>
        <charset val="1"/>
      </rPr>
      <t xml:space="preserve">)   February 21 , 2015     222   `` Transform ! '' `` Henshin ! '' ( </t>
    </r>
    <r>
      <rPr>
        <sz val="11"/>
        <color rgb="FF000000"/>
        <rFont val="Noto Sans CJK SC"/>
        <family val="2"/>
      </rPr>
      <t xml:space="preserve">変身 </t>
    </r>
    <r>
      <rPr>
        <sz val="11"/>
        <color rgb="FF000000"/>
        <rFont val="Calibri"/>
        <family val="0"/>
        <charset val="1"/>
      </rPr>
      <t xml:space="preserve">! )   February 28 , 2015     223   `` It 's Kemo - Kemo ! '' `` Kemokemo ga Kita ! '' ( </t>
    </r>
    <r>
      <rPr>
        <sz val="11"/>
        <color rgb="FF000000"/>
        <rFont val="Noto Sans CJK SC"/>
        <family val="2"/>
      </rPr>
      <t xml:space="preserve">ケモケモ が 来 た </t>
    </r>
    <r>
      <rPr>
        <sz val="11"/>
        <color rgb="FF000000"/>
        <rFont val="Calibri"/>
        <family val="0"/>
        <charset val="1"/>
      </rPr>
      <t xml:space="preserve">! )   March 7 , 2015     224   `` The Place You Came To '' `` Kimi no Kita Basho '' ( </t>
    </r>
    <r>
      <rPr>
        <sz val="11"/>
        <color rgb="FF000000"/>
        <rFont val="Noto Sans CJK SC"/>
        <family val="2"/>
      </rPr>
      <t xml:space="preserve">君 の 来 た 場所 </t>
    </r>
    <r>
      <rPr>
        <sz val="11"/>
        <color rgb="FF000000"/>
        <rFont val="Calibri"/>
        <family val="0"/>
        <charset val="1"/>
      </rPr>
      <t xml:space="preserve">)   March 14 , 2015     225   `` Lightning Man '' `` Ikazuchi no Otoko '' ( </t>
    </r>
    <r>
      <rPr>
        <sz val="11"/>
        <color rgb="FF000000"/>
        <rFont val="Noto Sans CJK SC"/>
        <family val="2"/>
      </rPr>
      <t xml:space="preserve">いか づち の 男 </t>
    </r>
    <r>
      <rPr>
        <sz val="11"/>
        <color rgb="FF000000"/>
        <rFont val="Calibri"/>
        <family val="0"/>
        <charset val="1"/>
      </rPr>
      <t xml:space="preserve">)   March 21 , 2015     226   `` Fairy Tail of the Dead Meeeeeeeeen ''   March 28 , 2015     227   `` Morning of a New Adventure '' `` Arata na Bōken no Asa '' ( </t>
    </r>
    <r>
      <rPr>
        <sz val="11"/>
        <color rgb="FF000000"/>
        <rFont val="Noto Sans CJK SC"/>
        <family val="2"/>
      </rPr>
      <t xml:space="preserve">新た な 冒険 の 朝 </t>
    </r>
    <r>
      <rPr>
        <sz val="11"/>
        <color rgb="FF000000"/>
        <rFont val="Calibri"/>
        <family val="0"/>
        <charset val="1"/>
      </rPr>
      <t xml:space="preserve">)   April 4 , 2015     228   `` Wizards vs. Hunters '' `` Madōshi vs. Hantā '' ( </t>
    </r>
    <r>
      <rPr>
        <sz val="11"/>
        <color rgb="FF000000"/>
        <rFont val="Noto Sans CJK SC"/>
        <family val="2"/>
      </rPr>
      <t xml:space="preserve">魔 導 士 </t>
    </r>
    <r>
      <rPr>
        <sz val="11"/>
        <color rgb="FF000000"/>
        <rFont val="Calibri"/>
        <family val="0"/>
        <charset val="1"/>
      </rPr>
      <t xml:space="preserve">vs. </t>
    </r>
    <r>
      <rPr>
        <sz val="11"/>
        <color rgb="FF000000"/>
        <rFont val="Noto Sans CJK SC"/>
        <family val="2"/>
      </rPr>
      <t xml:space="preserve">ハンター </t>
    </r>
    <r>
      <rPr>
        <sz val="11"/>
        <color rgb="FF000000"/>
        <rFont val="Calibri"/>
        <family val="0"/>
        <charset val="1"/>
      </rPr>
      <t xml:space="preserve">)   April 11 , 2015     229   `` Art of Regression '' `` Taika no Hō '' ( </t>
    </r>
    <r>
      <rPr>
        <sz val="11"/>
        <color rgb="FF000000"/>
        <rFont val="Noto Sans CJK SC"/>
        <family val="2"/>
      </rPr>
      <t xml:space="preserve">退化 ノ 法 </t>
    </r>
    <r>
      <rPr>
        <sz val="11"/>
        <color rgb="FF000000"/>
        <rFont val="Calibri"/>
        <family val="0"/>
        <charset val="1"/>
      </rPr>
      <t xml:space="preserve">)   April 18 , 2015     230   `` The Demon Returns '' `` Akuma Kaiki '' ( </t>
    </r>
    <r>
      <rPr>
        <sz val="11"/>
        <color rgb="FF000000"/>
        <rFont val="Noto Sans CJK SC"/>
        <family val="2"/>
      </rPr>
      <t xml:space="preserve">悪魔 回帰 </t>
    </r>
    <r>
      <rPr>
        <sz val="11"/>
        <color rgb="FF000000"/>
        <rFont val="Calibri"/>
        <family val="0"/>
        <charset val="1"/>
      </rPr>
      <t xml:space="preserve">)   April 25 , 2015     231   `` Gray vs. Doriate '' `` Gurei vs. Doriāte '' ( </t>
    </r>
    <r>
      <rPr>
        <sz val="11"/>
        <color rgb="FF000000"/>
        <rFont val="Noto Sans CJK SC"/>
        <family val="2"/>
      </rPr>
      <t xml:space="preserve">グレイ </t>
    </r>
    <r>
      <rPr>
        <sz val="11"/>
        <color rgb="FF000000"/>
        <rFont val="Calibri"/>
        <family val="0"/>
        <charset val="1"/>
      </rPr>
      <t xml:space="preserve">vs. </t>
    </r>
    <r>
      <rPr>
        <sz val="11"/>
        <color rgb="FF000000"/>
        <rFont val="Noto Sans CJK SC"/>
        <family val="2"/>
      </rPr>
      <t xml:space="preserve">ドリアーテ </t>
    </r>
    <r>
      <rPr>
        <sz val="11"/>
        <color rgb="FF000000"/>
        <rFont val="Calibri"/>
        <family val="0"/>
        <charset val="1"/>
      </rPr>
      <t xml:space="preserve">)   May 2 , 2015     232   `` Voice of the Flame '' `` Honō no Koe '' ( </t>
    </r>
    <r>
      <rPr>
        <sz val="11"/>
        <color rgb="FF000000"/>
        <rFont val="Noto Sans CJK SC"/>
        <family val="2"/>
      </rPr>
      <t xml:space="preserve">炎 の 声 </t>
    </r>
    <r>
      <rPr>
        <sz val="11"/>
        <color rgb="FF000000"/>
        <rFont val="Calibri"/>
        <family val="0"/>
        <charset val="1"/>
      </rPr>
      <t xml:space="preserve">)   May 9 , 2015     233   `` Song of the Fairies ''   May 16 , 2015     234   `` Tartaros Chapter , Prologue -- The Nine Demon Gates '' `` Tarutarosu - hen ( Joshō ) : Kyūkimon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 </t>
    </r>
    <r>
      <rPr>
        <sz val="11"/>
        <color rgb="FF000000"/>
        <rFont val="Noto Sans CJK SC"/>
        <family val="2"/>
      </rPr>
      <t xml:space="preserve">序章 </t>
    </r>
    <r>
      <rPr>
        <sz val="11"/>
        <color rgb="FF000000"/>
        <rFont val="Calibri"/>
        <family val="0"/>
        <charset val="1"/>
      </rPr>
      <t xml:space="preserve">) </t>
    </r>
    <r>
      <rPr>
        <sz val="11"/>
        <color rgb="FF000000"/>
        <rFont val="Noto Sans CJK SC"/>
        <family val="2"/>
      </rPr>
      <t xml:space="preserve">九 鬼門 </t>
    </r>
    <r>
      <rPr>
        <sz val="11"/>
        <color rgb="FF000000"/>
        <rFont val="Calibri"/>
        <family val="0"/>
        <charset val="1"/>
      </rPr>
      <t xml:space="preserve">)   May 23 , 2015     235   `` Tartaros Chapter , Prologue -- Fairies vs. Netherworld '' `` Tarutarosu - hen ( Joshō ) : Yōsei tai Meifu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 </t>
    </r>
    <r>
      <rPr>
        <sz val="11"/>
        <color rgb="FF000000"/>
        <rFont val="Noto Sans CJK SC"/>
        <family val="2"/>
      </rPr>
      <t xml:space="preserve">序章 </t>
    </r>
    <r>
      <rPr>
        <sz val="11"/>
        <color rgb="FF000000"/>
        <rFont val="Calibri"/>
        <family val="0"/>
        <charset val="1"/>
      </rPr>
      <t xml:space="preserve">) </t>
    </r>
    <r>
      <rPr>
        <sz val="11"/>
        <color rgb="FF000000"/>
        <rFont val="Noto Sans CJK SC"/>
        <family val="2"/>
      </rPr>
      <t xml:space="preserve">妖精 対 冥府 </t>
    </r>
    <r>
      <rPr>
        <sz val="11"/>
        <color rgb="FF000000"/>
        <rFont val="Calibri"/>
        <family val="0"/>
        <charset val="1"/>
      </rPr>
      <t xml:space="preserve">)   May 30 , 2015     236   `` Tartaros Chapter , Prologue -- The White Legacy '' `` Tarutarosu - hen ( Joshō ) : Shiroki Isan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 </t>
    </r>
    <r>
      <rPr>
        <sz val="11"/>
        <color rgb="FF000000"/>
        <rFont val="Noto Sans CJK SC"/>
        <family val="2"/>
      </rPr>
      <t xml:space="preserve">序章 </t>
    </r>
    <r>
      <rPr>
        <sz val="11"/>
        <color rgb="FF000000"/>
        <rFont val="Calibri"/>
        <family val="0"/>
        <charset val="1"/>
      </rPr>
      <t xml:space="preserve">) </t>
    </r>
    <r>
      <rPr>
        <sz val="11"/>
        <color rgb="FF000000"/>
        <rFont val="Noto Sans CJK SC"/>
        <family val="2"/>
      </rPr>
      <t xml:space="preserve">白き 遺産 </t>
    </r>
    <r>
      <rPr>
        <sz val="11"/>
        <color rgb="FF000000"/>
        <rFont val="Calibri"/>
        <family val="0"/>
        <charset val="1"/>
      </rPr>
      <t xml:space="preserve">)   June 6 , 2015     237   `` Tartaros Chapter , Prologue -- Natsu vs. Jackal '' `` Tarutarosu - hen ( Joshō ) : Natsu vs. Jakkaru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 </t>
    </r>
    <r>
      <rPr>
        <sz val="11"/>
        <color rgb="FF000000"/>
        <rFont val="Noto Sans CJK SC"/>
        <family val="2"/>
      </rPr>
      <t xml:space="preserve">序章 </t>
    </r>
    <r>
      <rPr>
        <sz val="11"/>
        <color rgb="FF000000"/>
        <rFont val="Calibri"/>
        <family val="0"/>
        <charset val="1"/>
      </rPr>
      <t xml:space="preserve">)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ジャッカル </t>
    </r>
    <r>
      <rPr>
        <sz val="11"/>
        <color rgb="FF000000"/>
        <rFont val="Calibri"/>
        <family val="0"/>
        <charset val="1"/>
      </rPr>
      <t xml:space="preserve">)   June 13 , 2015     238   `` Tartaros Chapter -- Immorality and Sinners '' `` Tarutarosu - hen : Haitoku to Zainin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背徳 と 罪人 </t>
    </r>
    <r>
      <rPr>
        <sz val="11"/>
        <color rgb="FF000000"/>
        <rFont val="Calibri"/>
        <family val="0"/>
        <charset val="1"/>
      </rPr>
      <t xml:space="preserve">)   June 20 , 2015     239   `` Tartaros Chapter -- Jellal vs. Oración Seis '' `` Tarutarosu - hen : Jerāru vs. Orashion Seisu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ジェラール </t>
    </r>
    <r>
      <rPr>
        <sz val="11"/>
        <color rgb="FF000000"/>
        <rFont val="Calibri"/>
        <family val="0"/>
        <charset val="1"/>
      </rPr>
      <t xml:space="preserve">vs. </t>
    </r>
    <r>
      <rPr>
        <sz val="11"/>
        <color rgb="FF000000"/>
        <rFont val="Noto Sans CJK SC"/>
        <family val="2"/>
      </rPr>
      <t xml:space="preserve">六 魔 将軍 </t>
    </r>
    <r>
      <rPr>
        <sz val="11"/>
        <color rgb="FF000000"/>
        <rFont val="Calibri"/>
        <family val="0"/>
        <charset val="1"/>
      </rPr>
      <t xml:space="preserve">( </t>
    </r>
    <r>
      <rPr>
        <sz val="11"/>
        <color rgb="FF000000"/>
        <rFont val="Noto Sans CJK SC"/>
        <family val="2"/>
      </rPr>
      <t xml:space="preserve">オラシオン セイス </t>
    </r>
    <r>
      <rPr>
        <sz val="11"/>
        <color rgb="FF000000"/>
        <rFont val="Calibri"/>
        <family val="0"/>
        <charset val="1"/>
      </rPr>
      <t xml:space="preserve">) )   June 27 , 2015     240   `` Tartaros Chapter -- A Place Reached by Prayer '' `` Tarutarosu - hen : Inori ga Todoku Basho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祈り が 届く 場所 </t>
    </r>
    <r>
      <rPr>
        <sz val="11"/>
        <color rgb="FF000000"/>
        <rFont val="Calibri"/>
        <family val="0"/>
        <charset val="1"/>
      </rPr>
      <t xml:space="preserve">)   July 4 , 2015     241   `` Tartaros Chapter -- The Demon 's Rebirth '' `` Tarutarosu - hen : Akuma Tensei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悪魔 転生 </t>
    </r>
    <r>
      <rPr>
        <sz val="11"/>
        <color rgb="FF000000"/>
        <rFont val="Calibri"/>
        <family val="0"/>
        <charset val="1"/>
      </rPr>
      <t xml:space="preserve">)   July 11 , 2015     242   `` Tartaros Chapter -- To Let Live or Die '' `` Tarutarosu - hen : Ikasu ka Korosu ka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生かす か 殺す か </t>
    </r>
    <r>
      <rPr>
        <sz val="11"/>
        <color rgb="FF000000"/>
        <rFont val="Calibri"/>
        <family val="0"/>
        <charset val="1"/>
      </rPr>
      <t xml:space="preserve">)   July 18 , 2015     243   `` Tartaros Chapter -- Wendy vs. Ezel '' `` Tarutarosu - hen : Wendi vs. Ezeru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ウェンディ </t>
    </r>
    <r>
      <rPr>
        <sz val="11"/>
        <color rgb="FF000000"/>
        <rFont val="Calibri"/>
        <family val="0"/>
        <charset val="1"/>
      </rPr>
      <t xml:space="preserve">vs. </t>
    </r>
    <r>
      <rPr>
        <sz val="11"/>
        <color rgb="FF000000"/>
        <rFont val="Noto Sans CJK SC"/>
        <family val="2"/>
      </rPr>
      <t xml:space="preserve">エゼル </t>
    </r>
    <r>
      <rPr>
        <sz val="11"/>
        <color rgb="FF000000"/>
        <rFont val="Calibri"/>
        <family val="0"/>
        <charset val="1"/>
      </rPr>
      <t xml:space="preserve">)   July 25 , 2015     244   `` Tartaros Chapter -- Friends Forever '' `` Tarutarosu - hen : Zutto Tomodachi de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ずっと 友達 で </t>
    </r>
    <r>
      <rPr>
        <sz val="11"/>
        <color rgb="FF000000"/>
        <rFont val="Calibri"/>
        <family val="0"/>
        <charset val="1"/>
      </rPr>
      <t xml:space="preserve">)   August 1 , 2015     245   `` Tartaros Chapter -- Hell 's Core '' `` Tarutarosu - hen : Heruzu Koa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ヘルズ ・ コア </t>
    </r>
    <r>
      <rPr>
        <sz val="11"/>
        <color rgb="FF000000"/>
        <rFont val="Calibri"/>
        <family val="0"/>
        <charset val="1"/>
      </rPr>
      <t xml:space="preserve">)   August 8 , 2015     246   `` Tartaros Chapter -- Underworld King '' `` Tarutarosu - hen : Mei - ō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冥王 </t>
    </r>
    <r>
      <rPr>
        <sz val="11"/>
        <color rgb="FF000000"/>
        <rFont val="Calibri"/>
        <family val="0"/>
        <charset val="1"/>
      </rPr>
      <t xml:space="preserve">)   August 15 , 2015     247   `` Tartaros Chapter -- Alegria '' `` Tarutarosu - hen : Areguria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アレグリア </t>
    </r>
    <r>
      <rPr>
        <sz val="11"/>
        <color rgb="FF000000"/>
        <rFont val="Calibri"/>
        <family val="0"/>
        <charset val="1"/>
      </rPr>
      <t xml:space="preserve">)   August 22 , 2015     248   `` Tartaros Chapter -- A Strike from the Stars '' `` Tarutarosu - hen : Hoshiboshi no Ichigeki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星々 の 一撃 </t>
    </r>
    <r>
      <rPr>
        <sz val="11"/>
        <color rgb="FF000000"/>
        <rFont val="Calibri"/>
        <family val="0"/>
        <charset val="1"/>
      </rPr>
      <t xml:space="preserve">)   August 29 , 2015     249   `` Tartaros Chapter -- Celestial Spirit King vs. Underworld King '' `` Tarutarosu - hen : Seirei - ō vs. Mei - ō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星 霊 王 </t>
    </r>
    <r>
      <rPr>
        <sz val="11"/>
        <color rgb="FF000000"/>
        <rFont val="Calibri"/>
        <family val="0"/>
        <charset val="1"/>
      </rPr>
      <t xml:space="preserve">vs. </t>
    </r>
    <r>
      <rPr>
        <sz val="11"/>
        <color rgb="FF000000"/>
        <rFont val="Noto Sans CJK SC"/>
        <family val="2"/>
      </rPr>
      <t xml:space="preserve">冥王 </t>
    </r>
    <r>
      <rPr>
        <sz val="11"/>
        <color rgb="FF000000"/>
        <rFont val="Calibri"/>
        <family val="0"/>
        <charset val="1"/>
      </rPr>
      <t xml:space="preserve">)   September 5 , 2015     250   `` Tartaros Chapter -- Erza vs. Minerva '' `` Tarutarosu - hen : Eruza vs. Mineruba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エルザ </t>
    </r>
    <r>
      <rPr>
        <sz val="11"/>
        <color rgb="FF000000"/>
        <rFont val="Calibri"/>
        <family val="0"/>
        <charset val="1"/>
      </rPr>
      <t xml:space="preserve">vs. </t>
    </r>
    <r>
      <rPr>
        <sz val="11"/>
        <color rgb="FF000000"/>
        <rFont val="Noto Sans CJK SC"/>
        <family val="2"/>
      </rPr>
      <t xml:space="preserve">ミネルバ </t>
    </r>
    <r>
      <rPr>
        <sz val="11"/>
        <color rgb="FF000000"/>
        <rFont val="Calibri"/>
        <family val="0"/>
        <charset val="1"/>
      </rPr>
      <t xml:space="preserve">)   September 12 , 2015     251   `` Tartaros Chapter -- The Boy 's Tale '' `` Tarutarosu - hen : Shōnen no Monogatari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少年 の 物語 </t>
    </r>
    <r>
      <rPr>
        <sz val="11"/>
        <color rgb="FF000000"/>
        <rFont val="Calibri"/>
        <family val="0"/>
        <charset val="1"/>
      </rPr>
      <t xml:space="preserve">)   September 19 , 2015     252   `` Tartaros Chapter -- Gray vs. Silver '' `` Tarutarosu - hen : Gurei vs. Shirubā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グレイ </t>
    </r>
    <r>
      <rPr>
        <sz val="11"/>
        <color rgb="FF000000"/>
        <rFont val="Calibri"/>
        <family val="0"/>
        <charset val="1"/>
      </rPr>
      <t xml:space="preserve">vs. </t>
    </r>
    <r>
      <rPr>
        <sz val="11"/>
        <color rgb="FF000000"/>
        <rFont val="Noto Sans CJK SC"/>
        <family val="2"/>
      </rPr>
      <t xml:space="preserve">シルバー </t>
    </r>
    <r>
      <rPr>
        <sz val="11"/>
        <color rgb="FF000000"/>
        <rFont val="Calibri"/>
        <family val="0"/>
        <charset val="1"/>
      </rPr>
      <t xml:space="preserve">)   September 26 , 2015     253   `` Tartaros Chapter -- A Silver Wish '' `` Tarutarosu - hen : Gin'iro no Omoi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銀色 の 想い </t>
    </r>
    <r>
      <rPr>
        <sz val="11"/>
        <color rgb="FF000000"/>
        <rFont val="Calibri"/>
        <family val="0"/>
        <charset val="1"/>
      </rPr>
      <t xml:space="preserve">)   October 3 , 2015     254   `` Tartaros Chapter -- Air '' `` Tarutarosu - hen : Air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Air )   October 10 , 2015     255   `` Tartaros Chapter -- Steel '' `` Tarutarosu - hen : Hagane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鋼 </t>
    </r>
    <r>
      <rPr>
        <sz val="11"/>
        <color rgb="FF000000"/>
        <rFont val="Calibri"/>
        <family val="0"/>
        <charset val="1"/>
      </rPr>
      <t xml:space="preserve">)   October 17 , 2015     256   `` Tartaros Chapter -- Final Duels '' `` Tarutarosu - hen : Saigo no Ikkiuchi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最後 の 一騎 討ち </t>
    </r>
    <r>
      <rPr>
        <sz val="11"/>
        <color rgb="FF000000"/>
        <rFont val="Calibri"/>
        <family val="0"/>
        <charset val="1"/>
      </rPr>
      <t xml:space="preserve">)   October 24 , 2015     257   `` Tartaros Chapter -- Wings of Despair '' `` Tarutarosu - hen : Zetsubō no Tsubasa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絶望 の 翼 </t>
    </r>
    <r>
      <rPr>
        <sz val="11"/>
        <color rgb="FF000000"/>
        <rFont val="Calibri"/>
        <family val="0"/>
        <charset val="1"/>
      </rPr>
      <t xml:space="preserve">)   October 31 , 2015     258   `` Tartaros Chapter -- Fire Dragon Iron Fist '' `` Tarutarosu - hen : Karyū no Tekken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火 竜 の 鉄拳 </t>
    </r>
    <r>
      <rPr>
        <sz val="11"/>
        <color rgb="FF000000"/>
        <rFont val="Calibri"/>
        <family val="0"/>
        <charset val="1"/>
      </rPr>
      <t xml:space="preserve">)   November 7 , 2015     259   `` Tartaros Chapter -- 00 : 00 '' `` Tarutarosu - hen : Zero Zero Zero Zero '' ( </t>
    </r>
    <r>
      <rPr>
        <sz val="11"/>
        <color rgb="FF000000"/>
        <rFont val="Noto Sans CJK SC"/>
        <family val="2"/>
      </rPr>
      <t xml:space="preserve">冥府 </t>
    </r>
  </si>
  <si>
    <t xml:space="preserve">when is fairy tail final season coming out</t>
  </si>
  <si>
    <t xml:space="preserve"> Fairy Tail is an anime series adapted from the manga of the same title by Hiro Mashima . Produced by A-1 Pictures and Satelight , and directed by Shinji Ishihira , it was broadcast on TV Tokyo from October 12 , 2009 , to March 30 , 2013 . It later continued its run on April 5 , 2014 , and ended on March 26 , 2016 . On July 20 , 2017 , Mashima confirmed on Twitter that the final season of Fairy Tail will air in 2018 . The series follows the adventures of Natsu Dragneel , a member of the Fairy Tail wizards ' guild and mage who is searching for the dragon Igneel , and partners with Lucy Heartfilia , a celestial wizard . </t>
  </si>
  <si>
    <r>
      <rPr>
        <sz val="11"/>
        <color rgb="FF000000"/>
        <rFont val="Calibri"/>
        <family val="0"/>
        <charset val="1"/>
      </rPr>
      <t xml:space="preserve">Ground state - wikipedia  Ground state  Jump to : navigation , search For articles related to the ground state , see Quantum vacuum ( disambiguation ) . Energy levels for an electron in an atom : ground state and excited states . After absorbing energy , an electron may jump from the ground state to a higher energy excited state .  The ground state of a quantum mechanical system is its lowest - energy state ; the energy of the ground state is known as the zero - point energy of the system . An excited state is any state with energy greater than the ground state . In the quantum field theory , the ground state is usually called the vacuum state or the vacuum .   If more than one ground state exists , they are said to be degenerate . Many systems have degenerate ground states . Degeneracy occurs whenever there exists a unitary operator which acts non-trivially on a ground state and commutes with the Hamiltonian of the system .   According to the third law of thermodynamics , a system at absolute zero temperature exists in its ground state ; thus , its entropy is determined by the degeneracy of the ground state . Many systems , such as a perfect crystal lattice , have a unique ground state and therefore have zero entropy at absolute zero . It is also possible for the highest excited state to have absolute zero temperature for systems that exhibit negative temperature .     Contents  ( hide )   1 Ground state has no nodes in one - dimension   2 Examples   3 Notes   4 Bibliography      Ground state has no nodes in one - dimension ( edit )   In one - dimension , the ground state of the Schrödinger equation can be proven to have no nodes .   Consider the average energy of a state with a node at x = 0 ; i.e. , ψ ( 0 ) = 0 . The average energy in this state would be :    ⟨ ψ H ψ ⟩ = ∫ d x ( − ħ 2 2 m ψ ∗ d 2 ψ d x 2 + V ( x ) ψ ( x ) 2 ) , ( \ displaystyle \ left \ langle \ psi H \ psi \ right \ rangle = \ int dx \ ; \ left ( - ( \ frac ( \ hbar ^ ( 2 ) ) ( 2m ) ) \ psi ^ ( * ) ( \ frac ( d ^ ( 2 ) \ psi ) ( dx ^ ( 2 ) ) ) + V ( x ) \ psi ( x ) ^ ( 2 ) \ right ) ~ , )    where V ( x ) is the potential .   Now , consider a small interval around x = 0 ( \ displaystyle x = 0 ) ; i.e. , x ∈ ( − ε , ε ) ( \ displaystyle x \ in ( - \ epsilon , \ epsilon ) ) . Take a new ( deformed ) wave function ψ ' ( x ) to be defined as ψ ′ ( x ) = ψ ( x ) ( \ displaystyle \ psi ' ( x ) = \ psi ( x ) ) , for x   Assuming ψ ( x ) ≈ − c x ( \ displaystyle \ psi ( x ) \ approx - cx ) around x = 0 ( \ displaystyle x = 0 ) , one may write    ψ ′ ( x ) = N ( ψ ( x ) x &gt; ε c ε x ≤ ε ( \ displaystyle \ psi ' ( x ) = N \ left \ ( ( \ begin ( array ) ( ll ) \ psi ( x ) &amp; x &gt; \ epsilon \ \ c \ epsilon &amp; x \ leq \ epsilon \ end ( array ) ) \ right . )    where N = 1 1 + 4 3 c 2 ε 3 ( \ displaystyle N = ( \ frac ( 1 ) ( \ sqrt ( 1 + ( \ frac ( 4 ) ( 3 ) ) c ^ ( 2 ) \ epsilon ^ ( 3 ) ) ) ) ) is the norm .   Note that the kinetic energy density d ψ ′ d x 2   Now , consider the potential energy . For definiteness , let us choose V ( x ) ≥ 0 ( \ displaystyle V ( x ) \ geq 0 ) . Then it is clear that , outside the interval x ∈ ( − ε , ε ) ( \ displaystyle x \ in ( - \ epsilon , \ epsilon ) ) , the potential energy density is smaller for the ψ ' because ψ ′   Examples ( edit )  Initial wave functions for the first four states of a one - dimensional particle in a box   The wave function of the ground state of a particle in a one - dimensional well is a half - period sine wave which goes to zero at the two edges of the well . The energy of the particle is given by h 2 n 2 8 m L 2 ( \ displaystyle ( \ frac ( h ^ ( 2 ) n ^ ( 2 ) ) ( 8mL ^ ( 2 ) ) ) ) , where h is the Planck constant , m is the mass of the particle , n is the energy state ( n = 1 corresponds to the ground - state energy ) , and L is the width of the well .   The wave function of the ground state of a hydrogen atom is a spherically - symmetric distribution centred on the nucleus , which is largest at the center and reduces exponentially at larger distances . The electron is most likely to be found at a distance from the nucleus equal to the Bohr radius . This function is known as the 1s atomic orbital . For hydrogen ( H ) , an electron in the ground state has energy 3017782103997768000 ♠ − 13.6 eV , relative to the ionization threshold . In other words , 13.6 eV is the energy input required for the electron to no longer be bound to the atom .   The exact definition of one second of time since 1997 has been the duration of 9,192,631,770 periods of the radiation corresponding to the transition between the two hyperfine levels of the ground state of the caesium - 133 atom at rest at a temperature of 0 K .    Notes ( edit )    Jump up ^ See for example , Cohen , M. ( 1956 ) . `` Appendix A : Proof of non-degeneracy of the ground state '' . The energy spectrum of the excitations in liquid helium ( PDF ) ( Ph. D . ) . California Institute of Technology . Published as Feynman , R.P. ; Cohen , Michael ( 1956 ) . `` Energy Spectrum of the Excitations in Liquid Helium '' . Physical Review . 102 ( 5 ) : 1189 . Bibcode : 1956PhRv ... 102.1189 F . doi : 10.1103 / PhysRev. 102.1189 .   Jump up ^ `` Unit of time ( second ) '' . SI Brochure . International Bureau of Weights and Measures . Retrieved 2013 - 12 - 22 .    Bibliography ( edit )    Feynman , Richard ; Leighton , Robert ; Sands , Matthew ( 1965 ) . `` see section 2 - 5 for energy levels , 19 for the hydrogen atom '' . The Feynman Lectures on Physics. 3 .      ( hide )         Quantum mechanics     Background     Introduction   History   timeline     Glossary   Classical mechanics   Old quantum theory       Fundamentals     Bra -- ket notation   Casimir effect   Complementarity   Density matrix   Energy level   ground state   excited state   degenerate levels   Vacuum state   Zero - point energy   QED vacuum   QCD vacuum     Hamiltonian   Operator   Quantum coherence   Quantum decoherence   Measurement   Quantum   Quantum realm   Quantum system   Quantum state   Quantum number   Quantum entanglement   Quantum superposition   Quantum nonlocality   Quantum tunnelling   Quantum levitation   Quantum fluctuation   Quantum annealing   Quantum foam   Quantum noise   Heisenberg uncertainty principle   Photon entanglement   Spontaneous parametric down - conversion   Von Neumann entropy   Spin   Scattering theory   Symmetry in quantum mechanics   Symmetry breaking   Spontaneous symmetry breaking   Wave propagation   Quantum interference   Wave function   Wave function collapse   Wave -- particle duality   Matter wave     Qubit   Qutrit   Observable   Probability distribution       Formulations     Formulations   Heisenberg   Interaction   Matrix mechanics   Schrödinger   Path integral formulation   Phase space       Equations     Dirac   Klein -- Gordon   Pauli   Rydberg   Schrödinger       Interpretations     Interpretations   Bayesian   Consistent histories   Copenhagen   de Broglie -- Bohm   Ensemble   Hidden variables   Many - worlds   Objective collapse   Quantum logic   Relational   Stochastic   Transactional   Cosmological       Experiments     Afshar   Bell 's inequality   Cold Atom Laboratory   Davisson -- Germer   Delayed choice quantum eraser   Double - slit   Franck -- Hertz experiment   Leggett -- Garg inequality   Mach - Zehnder inter .   Elitzur -- Vaidman   Popper   Quantum eraser   Schrödinger 's cat   Quantum suicide and immortality   Stern -- Gerlach   Wheeler 's delayed choice       Science     Quantum Bayesianism   Quantum biology   Quantum calculus   Quantum chemistry   Quantum chaos   Quantum cognition   Quantum cosmology   Quantum differential calculus   Quantum dynamics   Quantum evolution   Quantum geometry   Quantum group   Quantum measurement problem   Quantum mind   Quantum probability   Quantum stochastic calculus   Quantum spacetime       Technology     Quantum algorithms   Quantum amplifier   Quantum cellular automata   Quantum finite automata     Quantum electronics   Quantum logic gates   Quantum clock   Quantum channel   Quantum bus   Quantum circuit   Phase qubit   Matrix isolation   Quantum dot   Quantum dot display   Quantum dot solar cell   Quantum dot cellular automaton   Quantum dot single - photon source   Quantum dot laser   Quantum complexity theory   Quantum computing   Timeline     Quantum cryptography   Post-quantum cryptography   Quantum error correction   Quantum imaging   Quantum image processing   Quantum information   Quantum key distribution   Quantum machine   Quantum machine learning   Quantum metamaterial   Quantum metrology   Quantum network   Quantum neural network   Quantum optics   Quantum programming   Quantum sensors   Quantum simulator   Quantum teleportation   Quantum levitation   Time travel       Extensions     Quantum statistical mechanics   Relativistic quantum mechanics   Fractional quantum mechanics   Quantum field theory   Axiomatic quantum field theory   Quantum field theory in curved spacetime   Thermal quantum field theory   Topological quantum field theory   Local quantum field theory   Conformal field theory   Two - dimensional conformal field theory   Liouville field theory   History     Quantum gravity           Portal : Physics   Commons      Retrieved from `` https://en.wikipedia.org/w/index.php?title=Ground_state&amp;oldid=805910818 '' Categories :   Quantum mechanics           Talk                                           Contents              Interaction      About Wikipedia                                             Български   Català   Deutsch   Español   فارسی   Français   </t>
    </r>
    <r>
      <rPr>
        <sz val="11"/>
        <color rgb="FF000000"/>
        <rFont val="Noto Sans CJK SC"/>
        <family val="2"/>
      </rPr>
      <t xml:space="preserve">한국어   </t>
    </r>
    <r>
      <rPr>
        <sz val="11"/>
        <color rgb="FF000000"/>
        <rFont val="Calibri"/>
        <family val="0"/>
        <charset val="1"/>
      </rPr>
      <t xml:space="preserve">Italiano   Kreyòl ayisyen   Nederlands   </t>
    </r>
    <r>
      <rPr>
        <sz val="11"/>
        <color rgb="FF000000"/>
        <rFont val="Noto Sans CJK SC"/>
        <family val="2"/>
      </rPr>
      <t xml:space="preserve">日本 語   </t>
    </r>
    <r>
      <rPr>
        <sz val="11"/>
        <color rgb="FF000000"/>
        <rFont val="Calibri"/>
        <family val="0"/>
        <charset val="1"/>
      </rPr>
      <t xml:space="preserve">Norsk   Norsk nynorsk   ਪੰਜਾਬੀ   Polski   Português   Simple English   کوردی   Српски / srpski   Svenska   Українська   Tiếng Việt   </t>
    </r>
    <r>
      <rPr>
        <sz val="11"/>
        <color rgb="FF000000"/>
        <rFont val="Noto Sans CJK SC"/>
        <family val="2"/>
      </rPr>
      <t xml:space="preserve">中文  </t>
    </r>
    <r>
      <rPr>
        <sz val="11"/>
        <color rgb="FF000000"/>
        <rFont val="Calibri"/>
        <family val="0"/>
        <charset val="1"/>
      </rPr>
      <t xml:space="preserve">15 more  Edit links   This page was last edited on 18 October 2017 , at 12 : 22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</si>
  <si>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meant by ground state and excited state</t>
  </si>
  <si>
    <t xml:space="preserve"> The ground state of a quantum mechanical system is its lowest - energy state ; the energy of the ground state is known as the zero - point energy of the system . An excited state is any state with energy greater than the ground state . In the quantum field theory , the ground state is usually called the vacuum state or the vacuum . </t>
  </si>
  <si>
    <t xml:space="preserve">Potassium in Biology - wikipedia  Potassium in Biology   Potassium is an essential mineral micronutrient and is the main intracellular ion for all types of cells , while having a major role in maintenance of fluid and electrolyte balance . Potassium is necessary for the function of all living cells , and is thus present in all plant and animal tissues . It is found in especially high concentrations within plant cells , and in a mixed diet , it is most highly concentrated in fruits . The high concentration of potassium in plants , associated with comparatively very low amounts of sodium there , historically resulted in potassium first being isolated from the ashes of plants ( potash ) , which in turn gave the element its modern name . The high concentration of potassium in plants means that heavy crop production rapidly depletes soils of potassium , and agricultural fertilizers consume 93 % of the potassium chemical production of the modern world economy .   The functions of potassium and sodium in living organisms are quite different . Animals , in particular , employ sodium and potassium differentially to generate electrical potentials in animal cells , especially in nervous tissue . Potassium depletion in animals , including humans , results in various neurological dysfunctions . Characteristic concentrations of potassium in model organisms are : 30 - 300mM in E. coli , 300mM in budding yeast , 100mM in mammalian cell and 4mM in blood plasma .   Contents    1 Function in plants   2 Function in animals   3 Dietary recommendations   4 Food sources   5 Deficiency   5.1 High blood pressure / Hypertension   5.2 Hypokalemia   5.3 Insufficient intake     6 Side effects and toxicity   7 See also   8 References   9 External links    Function in plants ( edit )  See also : Potassium deficiency ( plants )  Function in animals ( edit )   Potassium is the major cation ( positive ion ) inside animal cells , while sodium is the major cation outside animal cells . The difference between the concentrations of these charged particles causes a difference in electric potential between the inside and outside of cells , known as the membrane potential . The balance between potassium and sodium is maintained by ion transporters in the cell membrane . All potassium ion channels are tetramers with several conserved secondary structural elements . A number of potassium channel structures have been solved including voltage gated , ligand gated , tandem - pore , and inwardly rectifying channels , from prokaryotes and eukaryotes . The cell membrane potential created by potassium and sodium ions allows the cell to generate an action potential -- a `` spike '' of electrical discharge . The ability of cells to produce electrical discharge is critical for body functions such as neurotransmission , muscle contraction , and heart function .   Dietary recommendations ( edit )   The U.S. Institute of Medicine ( IOM ) sets Estimated Average Requirements ( EARs ) and Recommended Dietary Allowances ( RDAs ) , or Adequate Intakes ( AIs ) for when there is not sufficient information to set EARs and RDAs . Collectively the EARs , RDAs , AIs and ULs are referred to as Dietary Reference Intakes . The current AI for potassium for women and men ages 14 and up is 4700 mg . AI for pregnancy equals 4700 mg / day . AI for lactation equals 5100 mg / day . For infants 0 -- 6 months 400 mg , 6 -- 12 months 700 mg , 1 -- 13 years increasing from 3000 to 4500 mg / day . As for safety , the IOM also sets Tolerable upper intake levels ( ULs ) for vitamins and minerals , but for potassium the evidence was insufficient , so no UL established .   The European Food Safety Authority ( EFSA ) refers to the collective set of information as Dietary Reference Values , with Population Reference Intake ( PRI ) instead of RDA , and Average Requirement instead of EAR . AI and UL defined the same as in United States . For people ages 15 and older the AI is set at 3,500 mg / day . AIs for pregnancy is 3,500 mg / day , for lactation 4,000 mg / day . For children ages 1 -- 14 years the AIs increase with age from 800 to 2,700 mg / day . These AIs are lower than the U.S. RDAs . The EFSA reviewed the same safety question and decided that there was insufficient data to establish a UL for potassium .   For U.S. food and dietary supplement labeling purposes the amount in a serving is expressed as a percent of Daily Value ( % DV ) . For potassium labeling purposes 100 % of the Daily Value was 3500 mg , but as of May 2016 it has been revised to 4700 mg . A table of the pre-change adult Daily Values is provided at Reference Daily Intake . Food and supplement companies have until July 2018 to comply with the change .   Food sources ( edit )   Eating a variety of foods that contain potassium is the best way to get an adequate amount . Foods with high sources of potassium include kiwifruit , orange juice , potatoes , bananas , coconut , avocados , apricots , parsnips and turnips , although many other fruits , vegetables , legumes , and meats contain potassium .   Common foods very high in potassium :    beans ( white beans and others ) , dark leafy greens ( spinach , Swiss chard , and others ) , baked potatoes , dried fruit ( apricots , peaches , prunes , raisins ; figs and dates ) , baked squash , yogurt , fish ( salmon ) , avocado , and banana ;   nuts ( pistachios , almonds , walnuts , etc . ) and seeds ( squash , pumpkin , sunflower )    The most concentrated foods ( per 100 grams ) are :    dried herbs , sun dried tomatoes , dark chocolate , whey powder , paprika , yeast extract , rice bran , molasses , and dry roasted soybeans    Deficiency ( edit )   High blood pressure / hypertension ( edit )   Diets low in potassium increase risk of hypertension , stroke and cardiovascular disease .   Hypokalemia ( edit )   A severe shortage of potassium in body fluids may cause a potentially fatal condition known as hypokalemia . Hypokalemia typically results from loss of potassium through diarrhea , diuresis , or vomiting . Symptoms are related to alterations in membrane potential and cellular metabolism . Symptoms include muscle weakness and cramps , paralytic ileus , ECG abnormalities , intestinal paralysis , decreased reflex response and ( in severe cases ) respiratory paralysis , alkalosis and arrhythmia .   In rare cases , habitual consumption of large amounts of black licorice has resulted in hypokalemia . Licorice contains a compound ( Glycyrrhizin ) that increases urinary excretion of potassium .   Insufficient intake ( edit )   Adult women in the United States consume on average half the AI , for men two - thirds . For all adults , fewer than 5 % exceed the AI . Similarly , in the European Union , insufficient potassium intake is widespread .   Side effects and toxicity ( edit )   Gastrointestinal symptoms are the most common side effects of potassium supplements , including nausea , vomiting , abdominal discomfort , and diarrhea . Taking potassium with meals or taking a microencapsulated form of potassium may reduce gastrointestinal side effects .   Hyperkalemia is the most serious adverse reaction to potassium . Hyperkalemia occurs when potassium builds up faster than the kidneys can remove it . It is most common in individuals with renal failure . Symptoms of hyperkalemia may include tingling of the hands and feet , muscular weakness , and temporary paralysis . The most serious complication of hyperkalemia is the development of an abnormal heart rhythm ( arrhythmia ) , which can lead to cardiac arrest .   Although hyperkalemia is rare in healthy individuals , oral doses greater than 18 grams taken at one time in individuals not accustomed to high intakes can lead to hyperkalemia . Supplements sold in the U.S. are supposed to contain no more than 99 mg of potassium per serving .   See also ( edit )    Hypokalemia   Hyperkalemia   Action potential   Membrane potential   Electrolyte    References ( edit )    Jump up ^ Pohl , Hanna R. ; Wheeler , John S. ; Murray , H. Edward ( 2013 ) . `` Chapter 2 . Sodium and Potassium in Health and Disease '' . In Astrid Sigel , Helmut Sigel and Roland K.O. Sigel . Interrelations between Essential Metal Ions and Human Diseases . Metal Ions in Life Sciences . 13 . Springer . pp. 29 -- 47 . doi : 10.1007 / 978 - 94 - 007 - 7500 - 8_2 .   Jump up ^ * Clausen , Michael Jakob Voldsgaard ; Poulsen , Hanne ( 2013 ) . `` Chapter 3 Sodium / Potassium Homeostasis in the Cell '' . In Banci , Lucia ( Ed . ) . Metallomics and the Cell. Metal Ions in Life Sciences . 12 . Springer . doi : 10.1007 / 978 - 94 - 007 - 5561 - 1_3 . ISBN 978 - 94 - 007 - 5560 - 4 . CS1 maint : Extra text : editors list ( link ) electronic - book ISBN 978 - 94 - 007 - 5561 - 1 ISSN 1559 - 0836 electronic - ISSN 1868 - 0402   Jump up ^ Milo , Ron ; Philips , Rob . `` Cell Biology by the Numbers : What are the concentrations of different ions in cells ? '' . book.bionumbers.org . Archived from the original on 20 April 2017 . Retrieved 23 March 2017 .   Jump up ^ Santos JS , Asmar - Rovira GA , Han GW , Liu W , Syeda R , Cherezov V , Baker KA , Stevens RC , Montal M ( Dec 2012 ) . `` Crystal structure of a voltage - gated K+ channel pore module in a closed state in lipid membranes '' . J Biol Chem. 287 : 43063 -- 70 . doi : 10.1074 / jbc. M112. 415091 . PMC 3522301 . PMID 23095758 .   Jump up ^ Long SB , Campbell EB , Mackinnon R ( August 2005 ) . `` Crystal structure of a mammalian voltage - dependent Shaker family K+ channel '' . Science . 309 : 897 -- 903 . doi : 10.1126 / science. 1116269 . PMID 16002581 .   Jump up ^ Jiang Y , Lee A , Chen J , et al. ( May 2003 ) . `` X-ray structure of a voltage - dependent K+ channel '' . Nature . 423 : 33 -- 41 . doi : 10.1038 / nature01580 . PMID 12721618 .   Jump up ^ Jiang Y , Lee A , Chen J , Cadene M , Chait BT , MacKinnon R ( May 2002 ) . `` Crystal structure and mechanism of a calcium - gated potassium channel '' . Nature . 417 : 515 -- 22 . doi : 10.1038 / 417515a . PMID 12037559 .   Jump up ^ Yuan P , Leonetti MD , Pico AR , Hsiung Y , MacKinnon R ( July 2010 ) . `` Structure of the human BK channel Ca2+ - activation apparatus at 3.0 A resolution '' . Science . 329 : 182 -- 6 . doi : 10.1126 / science. 1190414 . PMC 3022345 . PMID 20508092 .   Jump up ^ Wu Y , Yang Y , Ye S , Jiang Y ( July 2010 ) . `` Structure of the gating ring from the human large - conductance Ca ( 2 + ) - gated K ( + ) channel '' . Nature . 466 : 393 -- 7 . doi : 10.1038 / nature09252 . PMC 2910425 . PMID 20574420 .   Jump up ^ Leonetti MD , Yuan P , Hsiung Y , Mackinnon R ( Nov 2012 ) . `` Functional and structural analysis of the human SLO3 pH - and voltage - gated K+ channel '' . Proc Natl Acad Sci USA . 109 : 19274 -- 9 . doi : 10.1073 / pnas. 1215078109 . PMC 3511096 . PMID 23129643 .   Jump up ^ Kong C , Zeng W , Ye S , Chen L , Sauer DB , Lam Y , Derebe MG , Jiang Y ( 2012 ) . `` Distinct gating mechanisms revealed by the structures of a multi-ligand gated K ( + ) channel '' . eLife. 1 : e00184 . doi : 10.7554 / eLife. 00184 . PMC 3510474 . PMID 23240087 .   Jump up ^ Brohawn SG , del Mármol J , MacKinnon R ( January 2012 ) . `` Crystal structure of the human K2P TRAAK , a lipid - and mechano - sensitive K+ ion channel '' . Science . 335 : 436 -- 41 . doi : 10.1126 / science. 1213808 . PMC 3329120 . PMID 22282805 .   Jump up ^ Miller AN , Long SB ( January 2012 ) . `` Crystal structure of the human two - pore domain potassium channel K2P1 '' . Science . 335 : 432 -- 6 . doi : 10.1126 / science. 1213274 . PMID 22282804 .   Jump up ^ Dong YY , Pike AC , Mackenzie A , McClenaghan C , Aryal P , Dong L , Quigley A , Grieben M , Goubin S , Mukhopadhyay S , Ruda GF , Clausen MV , Cao L , Brennan PE , Burgess - Brown NA , Sansom MS , Tucker SJ , Carpenter EP ( Mar 2015 ) . `` K2P channel gating mechanisms revealed by structures of TREK - 2 and a complex with Prozac '' . Science . 347 : 1256 -- 9 . doi : 10.1126 / science. 1261512 . PMID 25766236 .   Jump up ^ Clarke OB , Caputo AT , Hill AP , Vandenberg JI , Smith BJ , Gulbis JM ( Jun 2010 ) . `` Domain reorientation and rotation of an intracellular assembly regulate conduction in Kir potassium channels '' . Cell. 141 : 1018 -- 29 . doi : 10.1016 / j. cell. 2010.05. 003 . PMID 20564790 .   Jump up ^ Kuo A , Gulbis JM , Antcliff JF , Rahman T , Lowe ED , Zimmer J , Cuthbertson J , Ashcroft FM , Ezaki T , Doyle DA ( Jun 2003 ) . `` Crystal structure of the potassium channel KirBac1. 1 in the closed state '' . Science . 300 : 1922 -- 6 . doi : 10.1126 / science. 1085028 . PMID 12738871 .   Jump up ^ Whorton MR , MacKinnon R ( Sep 2011 ) . `` Crystal structure of the mammalian GIRK2 K+ channel and gating regulation by G proteins , PIP2 , and sodium '' . Cell. 147 : 199 -- 208 . doi : 10.1016 / j. cell. 2011.07. 046 . PMC 3243363 . PMID 21962516 .   Jump up ^ Nishida M , MacKinnon R ( Dec 2002 ) . `` Structural basis of inward rectification : cytoplasmic pore of the G protein - gated inward rectifier GIRK1 at 1.8 A resolution '' . Cell. 111 : 957 -- 65 . doi : 10.1016 / S0092 - 8674 ( 02 ) 01227 - 8 . PMID 12507423 .   Jump up ^ Tao X , Avalos JL , Chen J , MacKinnon R ( Dec 2009 ) . `` Crystal structure of the eukaryotic strong inward - rectifier K+ channel Kir2. 2 at 3.1 A resolution '' . Science . 326 : 1668 -- 74 . doi : 10.1126 / science. 1180310 . PMC 2819303 . PMID 20019282 .   Jump up ^ Mikko Hellgren ; Lars Sandberg ; Olle Edholm ( 2006 ) . `` A comparison between two prokaryotic potassium channels ( K Bac1. 1 and KcsA ) in a molecular dynamics ( MD ) simulation study '' . Biophys . Chem. 120 ( 1 ) : 1 -- 9 . doi : 10.1016 / j. bpc. 2005.10. 002 . PMID 16253415 .   Jump up ^ Potassium . IN : Dietary Reference Intakes for Water , Potassium , Sodium , Chloride , and Sulfate Archived 2017 - 09 - 09 at the Wayback Machine ... National Academy Press . 2005 , PP. 186 - 268 .   Jump up ^ `` Overview on Dietary Reference Values for the EU population as derived by the EFSA Panel on Dietetic Products , Nutrition and Allergies '' ( PDF ) . 2017 . Archived ( PDF ) from the original on 2017 - 08 - 28 .   Jump up ^ Tolerable Upper Intake Levels For Vitamins And Minerals ( PDF ) , European Food Safety Authority , 2006 , archived ( PDF ) from the original on 2016 - 03 - 16   Jump up ^ `` Federal Register May 27 , 2016 Food Labeling : Revision of the Nutrition and Supplement Facts Labels . FR page 33982 '' ( PDF ) . Archived ( PDF ) from the original on August 8 , 2016 .   ^ Jump up to : `` Top 10 Foods Highest in Potassium + One Page Printable '' . myfooddata . Archived from the original on 2014 - 09 - 11 .   Jump up ^ Aburto NJ , Hanson S , Gutierrez H , Hooper L , Elliott P , Cappuccio FP ( 2013 ) . `` Effect of increased potassium intake on cardiovascular risk factors and disease : systematic review and meta - analyses '' . BMJ. 346 : f1378 . doi : 10.1136 / bmj. f1378 . PMC 4816263 . PMID 23558164 .   Jump up ^ D'Elia L , Barba G , Cappuccio FP , Strazzullo P ( 2011 ) . `` Potassium intake , stroke , and cardiovascular disease a meta - analysis of prospective studies '' . J. Am. Coll . Cardiol. 57 ( 10 ) : 1210 -- 9 . doi : 10.1016 / j. jacc. 2010.09. 070 . PMID 21371638 .   Jump up ^ Mumoli N , Cei M ( 2008 ) . `` Licorice - induced hypokalemia '' . Int. J. Cardiol. 124 ( 3 ) : e42 -- 4 . doi : 10.1016 / j. ijcard. 2006.11. 190 . PMID 17320224 .   Jump up ^ What We Eat In America , NHANES 2013 - 2014 Archived 2017 - 02 - 24 at the Wayback Machine ...   Jump up ^ `` Archived copy '' ( PDF ) . Archived ( PDF ) from the original on 2011 - 07 - 13 . Retrieved 2007 - 01 - 30 . Energy and Nutrient Intake in the European Union    External links ( edit )    Brooks / Cole publishers -- Sodium Potassium pump   Oregon State University -- Micronutrient Information Center   Potassium at Lab Tests Online   Potassium : analyte monograph - the Association for Clinical Biochemistry and Laboratory Medicine .   High Potassium Foods              Common for blood tests ( CPT 82000 -- 84999 )     Electrolytes     Sodium   Potassium   Chloride   Calcium   Renal function   Creatinine   Urea   BUN - to - creatinine ratio     Plasma osmolality   Serum osmolal gap       Acid - base     Anion gap   Arterial blood gas   Base excess   Bicarbonate   CO content       Iron tests     Ferritin   Serum iron   Transferrin saturation   Total iron - binding capacity   Transferrin   Transferrin receptor       Hormones     ACTH stimulation test   Thyroid function tests   Thyroid - stimulating hormone         Metabolism     Blood lipids       Cardiovascular     Cardiac marker   Troponin test     CPK - MB test   Lactate dehydrogenase   Myoglobin   Glycogen phosphorylase isoenzyme BB       Liver function tests     Proteins   Human serum albumin   Serum total protein     ALP   transaminases   ALT   AST   AST / ALT ratio     Bilirubin   Unconjugated   Conjugated         Pancreas     Amylase   Lipase   Pancreatic lipase        Retrieved from `` https://en.wikipedia.org/w/index.php?title=Potassium_in_biology&amp;oldid=850585702 '' Categories :   Potassium   Biology and pharmacology of chemical elements   Hidden categories :   CS1 maint : Extra text : editors list   Webarchive template wayback links           Talk                                           Contents                   About Wikipedia                                           Add links   This page was last edited on 16 July 2018 , at 19 : 53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</si>
  <si>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potassium come from in the body</t>
  </si>
  <si>
    <t xml:space="preserve"> Eating a variety of foods that contain potassium is the best way to get an adequate amount . Foods with high sources of potassium include kiwifruit , orange juice , potatoes , bananas , coconut , avocados , apricots , parsnips and turnips , although many other fruits , vegetables , legumes , and meats contain potassium . </t>
  </si>
  <si>
    <t xml:space="preserve">1 Corinthians 13 - wikipedia  1 Corinthians 13     1 Corinthians 13     ← chapter 12 chapter 14 →     1 Corinthians 7 : 33 -- 8 : 4 in Papyrus 15 , written in the 3rd century     Book   First Epistle to the Corinthians     Bible part   New Testament     Order in the Bible part   7       Pauline epistles     1 Corinthians 13 is the thirteenth chapter of the First Epistle to the Corinthians in the New Testament of the Christian Bible . It is authored by Paul the Apostle and Sosthenes in Ephesus . This chapter covers the subject of `` love . '' In the original Greek , the word ἀγάπη agape is used throughout . This is translated into English as `` charity '' in the King James version ; but the word `` love '' is preferred by most other translations , both earlier and more recent .   Contents    1 Text   1.1 English translation     2 Agape   3 `` Through a glass , darkly ''   4 Other notable passages   4.1 Verse 1   4.2 Verse 4 - 8   4.3 Verse 11   4.4 Verse 13   4.5 Abridged Verses     5 Adaptations   6 See also   7 References   8 External links    Text ( edit )    The original text is written in Koine Greek .   Some most ancient manuscripts containing this chapter are :   Codex Vaticanus ( AD 325 - 350 )   Codex Sinaiticus ( AD 330 - 360 )   Codex Alexandrinus ( ca . AD 400 - 440 )   Codex Ephraemi Rescriptus ( ca . AD 450 ; extant : verses 1 - 7 ) .   Codex Claromontanus ( ca . AD 550 )     This chapter is divided into 13 verses .    English translation ( edit )   New King James Version   1 Though I speak with the tongues of men and of angels , but have not love I am only a resounding gong or clanging cymbal. 2 And though I have the gift of prophecy , and can understand all mysteries and all knowledge , and though I have faith , that can move mountains , but have not love , I am nothing . 3 And though I give all I possess to the poor , and surrender my body to the flames , but have not love , I gain nothing .   4 Love suffers long and is kind ; love does not envy ; love does not parade itself , is not puffed up ; 5 does not behave rudely , does not seek its own , is not provoked , thinks no evil ; 6 does not rejoice in iniquity , but rejoices in the truth ; 7 bears all things , believes all things , hopes all things , endures all things .   8 Love never fails . But whether there are prophecies , they will fail ; whether there are tongues , they will cease ; whether there is knowledge , it will vanish away . 9 For we know in part and we prophesy in part . 10 But when that which is perfect has come , then that which is in part will be done away .   11 When I was a child , I spoke as a child , I understood as a child , I thought as a child ; but when I became a man , I put away childish things . 12 For now we see in a mirror , darkly , but then face to face . Now I know in part , but then I shall know just as I also am known .   13 And now abide faith , hope , love , these three ; but the greatest of these is love .   Agape ( edit )  Main article : Agape  This chapter of 1 Corinthians is one of many definitional sources for the word agape when used to refer to divine love . Introducing his homage to love in 1 Corinthians 12 : 31 , Paul describes agape as `` a more excellent way '' .   `` Through a glass , darkly '' ( edit )   1 Corinthians 13 : 12 contains the phrase βλέπομεν γὰρ ἄρτι δι ' ἐσόπτρου ἐν αἰνίγματι ( blepomen gar arti di esoptrou en ainigmati ) , which was translated in the 1560 Geneva Bible as `` For now we see through a glass darkly '' ( without a comma ) , which wording was used in the 1611 KJV , which added a comma before `` darkly '' . This passage has inspired the titles of many works , with or without the comma .   The word ἐσόπτρου esoptrou ( genitive ; nominative : ἔσοπτρον esoptron ) , here translated `` glass '' , is ambiguous , possibly referring to a mirror or a lens . Influenced by Strong 's Concordance , many modern translations conclude that this word refers specifically to a mirror . Example English - language translations include :    Now we see but a poor reflection as in a mirror ( New International Version )   What we see now is like a dim image in a mirror ( Good News Bible )    Paul 's usage is in keeping with rabbinic use of the term אספקלריה ( aspaklaria ) , a borrowing from the Latin specularia . This has the same ambiguous meaning , although Adam Clarke concluded that it was a reference to specularibus lapidibus , clear polished stones used as lenses or windows . One way to preserve this ambiguity is to use the English cognate , speculum . Rabbi Judah ben Ilai ( 2nd century ) was quoted as saying `` All the prophets had a vision of God as He appeared through nine specula '' while `` Moses saw God through one speculum . '' The Babylonian Talmud states similarly `` All the prophets gazed through a speculum that does not shine , while Moses our teacher gazed through a speculum that shines . ''   Other notable passages ( edit )   There are other passages from 1 Corinthians 13 which have been notably influential .   Perhaps the most significant portion of 1 Corinthians 13 is the revered passage that defines love and indicates how Christians should love others .   Verse 1 ( edit )   1 Corinthians 13 , verse 1 : `` Though I speak with the tongues of men and of angels , but have not love , I have become sounding brass or a clanging cymbal . ''   Bob Dylan paraphrases verse 1 in his song ' Dignity ' : `` I heard the tongues of angels and the tongues of men ... was n't any difference to me . ''   Verse 4 - 8 ( edit )   1 Corinthians 13 , verses 4 - 8 , and 13 : `` Love is patient , love is kind . It does not envy , it does not boast , it is not proud . It is not rude , it is not self - seeking , it is not easily angered , it keeps no record of wrongs . Love does not delight in evil but rejoices with the truth . It always protects , always trusts , always hopes , always perseveres . Love never fails . But where there are prophecies , they will cease ; where there are tongues , they will be stilled ; where there is knowledge , it will pass away ... And now these three remain : Faith , Hope , and Love . But the greatest of these is Love . '' ( New International Version )   The passage is frequently read during wedding ceremonies .   The passage is also used in the song `` Pag - ibig '' by Yeng Constantino .   Verse 11 ( edit )    `` When I was a child , I spoke as a child , I understood as a child , I thought as a child : but when I became a man , I put away childish things . '' ( KJV ) .    The verse was used in the 1995 anime , Ghost in the Shell , at time 1 : 16 : 55 .   The verse is quoted by Matthew Lillard in the 1995 film Hackers , at time 01 : 03 : 03   U.S. President Barack Obama referenced verse 11 in his inaugural address to the nation on January 20 , 2009 .   The verse is quoted by Dakin Matthews in the 1991 film , Child 's Play 3   Verse 13 ( edit )   Verse 13 , in praise of the Theological virtues :    νυνὶ δὲ μένει πίστις , ἐλπὶς , ἀγάπη , τὰ τρία ταῦτα , μείζων δὲ τούτων ἡ ἀγάπη .   `` And now faith , hope , and love abide , these three ; and the greatest of these is love . '' ( NRSV )    US president Franklin D. Roosevelt took the oath at his inauguration in 1933 , with his hand on his family Bible , open to 1 Corinthians 13 .   Verse 13 is paraphrased in country singer Alan Jackson 's 2001 hit `` Where Were You ( When the World Stopped Turning ) '' .   British Prime Minister Tony Blair read 1 Corinthians 13 at the Funeral of Diana , Princess of Wales in 1997 .   Abridged verses ( edit )   1 Corinthians 13 , verses 2 , 3 , 4 , 11 and 13 : are introspectively digested aloud by ex-slave - trader mercenary , transitioned to Jesuit missionary , Rodrigo Mendoza ( played by Robert DeNiro ) in the Robert Bolt penned 1986 cinematographic Oscar winner `` The Mission '' , directed by Roland Joffé , at time 48 : 02 .   Adaptations ( edit )   Soundtrack of the film Three Colors : Blue composed by Zbigniew Preisner features a solo soprano singing the epistle in Greek ( in a piece titled `` Song for the Unification of Europe '' ) .   The paragraphs 1 - 3 and 12 - 13 of the text are cited for the fourth song of the Vier ernste Gesänge by Johannes Brahms .   The Renaissance composer Orlando di Lasso set verses 11 - 13 in his sacred motet `` Cum essem parvulus . ''   A paraphrase of the text is the basis for the song `` Love Is the Law '' composed and sung by Australian musician Paul Kelly .   Symphony No. 6 `` Liturgical '' for baritone , choir and orchestra by Andrei Yakovlevich Eshpai ( 1989 ) .   Joni Mitchell uses much of the text in 20th - century vernacular , including `` through a glass darkly '' in her song `` Love '' from her 1982 album Wild Things Run Fast , and fully - and dramatically - orchestrated on her 2002 retrospective Travelogue .   The Rolling Stones paraphrase the verse in the title of their 1969 compilation album Through the Past , Darkly ( Big Hits Vol. 2 ) .   Macklemore uses the verse `` Love is patient . Love is kind '' in his 2012 song , `` Same Love '' .   Video game developer Arkane Studios paraphrased the title of Lewis Carroll 's book by linking it with the verse , as the title for a chapter in their game `` Prey '' : `` Through the Looking Glass Darkly '' .   The text is drawn on / paraphrased in Lauryn Hill 's song ' Tell Him ' hidden on ' The Miseducation Of ... ''   Car Seat Headrest uses verses 8 - 12 at the end of the song `` Famous Prophets ( Stars ) '' on the album Twin Fantasy ( Face to Face ) .   James Baldwin quotes verse 11 in the fifth to last paragraph of Giovani 's Room .   See also ( edit )    Form of the Good : Socrates notes in The Republic ( 508d -- e ) that `` good is yet more prized ''    References ( edit )    Jump up ^ Halley , Henry H. Halley 's Bible Handbook : an Abbreviated Bible Commentary , 23rd edition . Zondervan Publishing House . 1962 .   Jump up ^ Holman Illustrated Bible Handbook . Holman Bible Publishers , Nashville , Tennessee . 2012 .   Jump up ^ Range of translations at BibleGateway.com   Jump up ^ Some translations read so I may boast   Jump up ^ http://biblehub.com/greek/26.htm   Jump up ^ KJV 1 Corinthians 13 : 12 `` For now we see through a glass , darkly ; but then face to face : now I know in part ; but then shall I know even as also I am known . ''   Jump up ^ Entry : εσοπτρον ( espotron -- Strong 's 2072 ) , retrieved from blueletterbible.org   Jump up ^ Adam Clarke , Commentary on the New Testament , Vol. II , J. Butterworth &amp; Son , London , 1817 ; commentary on 1 Corinthians 12 .   Jump up ^ Gordon Tucker , translator 's footnote to Abraham Joshua Heschel , ' Heavenly Torah as Refracted Through the Generations , ' Continuum , New York , 2008 ; page 308 .   Jump up ^ Leviticus Rabbah 1 : 14 .   Jump up ^ B.T. Yevamot 49B   Jump up ^ Metamorphosis ( Yeng Constantino album ) # Singles   Jump up ^ 1 Corinthians 13 : 11   Jump up ^ `` Barack Obama 's Inaugural Address '' . The New York Times . 20 January 2009 . Retrieved 23 December 2009 . We remain a young nation , but in the words of Scripture , the time has come to set aside childish things .   Jump up ^ `` The Funeral Service of Diana , Princess Wales '' . BBC . 6 September 1997 . Retrieved 23 December 2009 .   Jump up ^ https://genius.com/Lauryn-hill-tell-him-lyrics   Jump up ^ `` Love never fails . But where there are prophecies , they will cease ; where there are tongues , they will be stilled ; where there is knowledge , it will pass away . For we know in part and we prophesy in part , but when completeness comes , what is in part disappears . When I was a child , I talked like a child , I thought like a child , I reasoned like a child . When I abandoned my childhood , I put these ways behind me . For now we see only a reflection as in a mirror ; then we shall see face to face . Now I know in part ; then I shall know fully , even as I am fully known / And now these two remain '' . Genius . Retrieved 2018 - 03 - 08 .   Jump up ^ 1924 - 1987. , Baldwin , James , ( 1988 ) ( 1956 ) . Giovanni 's room . New York : Dell . ISBN 0440328810 . OCLC 17844541 .        Wikisource has original text related to this article : 1 Corinthians         Wikimedia Commons has media related to First Epistle to the Corinthians .     External links ( edit )    Full chapter at Oremus ( NRSV and KJV )   Full Chapter at BibleGateway.com ( NIV )              Seven virtues in Christian ethics     Four cardinal virtues     Prudence ( Prudentia )   Justice ( Iustitia )   Fortitude ( Fortitudo )   Temperance ( Temperantia )     Sources : Plato   Republic , Book IV     Cicero   Ambrose   Augustine of Hippo   Thomas Aquinas         Three theological virtues     Faith ( Fides )   Hope ( Spes )   Love ( Caritas )     Sources : Paul the Apostle   1 Corinthians 13         Seven deadly sins     Lust ( Luxuria )   Gluttony ( Gula )   Greed ( Avaritia )   Sloth ( Acedia )   Wrath ( Ira )   Envy ( Invidia )   Pride ( Superbia )     Source : Prudentius , Psychomachia     People : Evagrius Ponticus   John Cassian   Pope Gregory I   Dante Alighieri   Peter Binsfeld       Related concepts     Ten Commandments   Great Commandment   Eschatology   Sin   Original sin     Old Covenant   Hamartiology         Christian ethics   Christian philosophy   Christianity portal   Philosophy portal                 First Epistle to the Corinthians     Bible     1 Corinthians 1         5   6   7   8   9   10   11   12   13   14   15   16       Bible portal       Places     Achaea   Corinth   Ephesus   Galatia   Jerusalem   Macedonia       Persons     Apollos   Aquila   Barnabas   Chloe   Crispus   Fortunatus   Gaius   Jesus Christ   Messiah   Paul   Priscilla   Timothy       Sources     Greek Text   Latin Vulgate   Wycliffe Version   King James Version   American Standard Version   World English Version       ← Epistle to the Romans ( chapter 16 ) Second Epistle to the Corinthians ( chapter 1 ) →    Retrieved from `` https://en.wikipedia.org/w/index.php?title=1_Corinthians_13&amp;oldid=853082350 '' Categories :   First Epistle to the Corinthians chapters   Philosophy of love   Hidden categories :   All articles lacking reliable references   Articles lacking reliable references from November 2017           Talk                                           Contents                   About Wikipedia                                                 Deutsch   Ελληνικά   Esperanto   Bahasa Indonesia   Italiano   Lumbaart   Norsk   Polski   Edit links   This page was last edited on 2 August 2018 , at 09 : 29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</si>
  <si>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verse in the bible about love is patient</t>
  </si>
  <si>
    <t xml:space="preserve"> 1 Corinthians 13 , verses 4 - 8 , and 13 : `` Love is patient , love is kind . It does not envy , it does not boast , it is not proud . It is not rude , it is not self - seeking , it is not easily angered , it keeps no record of wrongs . Love does not delight in evil but rejoices with the truth . It always protects , always trusts , always hopes , always perseveres . Love never fails . But where there are prophecies , they will cease ; where there are tongues , they will be stilled ; where there is knowledge , it will pass away ... And now these three remain : Faith , Hope , and Love . But the greatest of these is Love . '' ( New International Version ) </t>
  </si>
  <si>
    <t xml:space="preserve">Evolution - wikipedia  Evolution  Jump to : navigation , search This article is about evolution in biology . For related articles , see Outline of evolution . For other uses , see Evolution ( disambiguation ) . For a more accessible and less technical introduction to this topic , see Introduction to evolution .    Part of a series on     Evolutionary biology     Key topics ( show )   Introduction to evolution   Common descent   Evidence of common descent       Processes and outcomes ( show )   Population genetics   Variation   Diversity   Mutation   Natural selection   Adaptation   Polymorphism   Genetic drift   Gene flow   Speciation   Adaptive radiation   Co-operation   Coevolution   Divergence   Convergence   Parallel evolution   Extinction       Natural history ( show )   Origin of life   History of life   Timeline of evolution   Human evolution   Phylogeny   Biodiversity   Biogeography   Classification   Evolutionary taxonomy   Cladistics   Transitional fossil   Extinction event       History of evolutionary theory ( show )   Overview   Renaissance   Before Darwin   Darwin   Origin of Species   Before synthesis   Modern synthesis   Molecular evolution   Evo - devo   Current research   History of speciation   History of paleontology ( timeline )       Fields and applications ( show )   Applications of evolution   Biosocial criminology   Ecological genetics   Evolutionary aesthetics   Evolutionary anthropology   Evolutionary computation   Evolutionary ecology   Evolutionary economics   Evolutionary epistemology   Evolutionary ethics   Evolutionary game theory   Evolutionary linguistics   Evolutionary medicine   Evolutionary neuroscience   Evolutionary physiology   Evolutionary psychology   Experimental evolution   Phylogenetics   Paleontology   Selective breeding   Speciation experiments   Sociobiology   Systematics   Universal Darwinism       Social implications ( show )   Evolution as fact and theory   Social effects   Creation -- evolution controversy   Objections to evolution   Level of support         Evolutionary biology portal   Category   Book   Related topics                   Evolution is change in the heritable characteristics of biological populations over successive generations . Evolutionary processes give rise to biodiversity at every level of biological organisation , including the levels of species , individual organisms , and molecules .   Repeated formation of new species ( speciation ) , change within species ( anagenesis ) , and loss of species ( extinction ) throughout the evolutionary history of life on Earth are demonstrated by shared sets of morphological and biochemical traits , including shared DNA sequences . These shared traits are more similar among species that share a more recent common ancestor , and can be used to reconstruct a biological `` tree of life '' based on evolutionary relationships ( phylogenetics ) , using both existing species and fossils . The fossil record includes a progression from early biogenic graphite , to microbial mat fossils , to fossilised multicellular organisms . Existing patterns of biodiversity have been shaped both by speciation and by extinction .   In the mid-19th century , Charles Darwin formulated the scientific theory of evolution by natural selection , published in his book On the Origin of Species ( 1859 ) . Evolution by natural selection is a process first demonstrated by the observation that often , more offspring are produced than can possibly survive . This is followed by three observable facts about living organisms : 1 ) traits vary among individuals with respect to morphology , physiology , and behaviour ( phenotypic variation ) , 2 ) different traits confer different rates of survival and reproduction ( differential fitness ) , and 3 ) traits can be passed from generation to generation ( heritability of fitness ) . Thus , in successive generations members of a population are replaced by progeny of parents better adapted to survive and reproduce in the biophysical environment in which natural selection takes place .   This teleonomy is the quality whereby the process of natural selection creates and preserves traits that are seemingly fitted for the functional roles they perform . The processes by which the changes occur , from one generation to another , are called evolutionary processes or mechanisms . The four most widely recognised evolutionary processes are natural selection ( including sexual selection ) , genetic drift , mutation and gene migration due to genetic admixture . Natural selection and genetic drift sort variation ; mutation and gene migration create variation .   Consequences of selection can include meiotic drive ( unequal transmission of certain alleles ) , nonrandom mating and genetic hitchhiking . In the early 20th century the modern evolutionary synthesis integrated classical genetics with Darwin 's theory of evolution by natural selection through the discipline of population genetics . The importance of natural selection as a cause of evolution was accepted into other branches of biology . Moreover , previously held notions about evolution , such as orthogenesis , evolutionism , and other beliefs about innate `` progress '' within the largest - scale trends in evolution , became obsolete . Scientists continue to study various aspects of evolutionary biology by forming and testing hypotheses , constructing mathematical models of theoretical biology and biological theories , using observational data , and performing experiments in both the field and the laboratory .   All life on Earth shares a common ancestor known as the last universal common ancestor ( LUCA ) , which lived approximately 3.5 -- 3.8 billion years ago . A December 2017 report stated that 3.45 billion - year - old Australian rocks once contained microorganisms , the earliest direct evidence of life on Earth . Nonetheless , this should not be assumed to be the first living organism on Earth ; a study in 2015 found `` remains of biotic life '' from 4.1 billion years ago in ancient rocks in Western Australia . In July 2016 , scientists reported identifying a set of 355 genes from the LUCA of all organisms living on Earth . More than 99 percent of all species that ever lived on Earth are estimated to be extinct . Estimates of Earth 's current species range from 10 to 14 million , of which about 1.9 million are estimated to have been named and 1.6 million documented in a central database to date . More recently , in May 2016 , scientists reported that 1 trillion species are estimated to be on Earth currently with only one - thousandth of one percent described .   In terms of practical application , an understanding of evolution has been instrumental to developments in numerous scientific and industrial fields , including agriculture , human and veterinary medicine , and the life sciences in general . Discoveries in evolutionary biology have made a significant impact not just in the traditional branches of biology but also in other academic disciplines , including biological anthropology , and evolutionary psychology . Evolutionary computation , a sub-field of artificial intelligence , involves the application of Darwinian principles to problems in computer science .     Contents  ( hide )   1 History of evolutionary thought   1.1 Classical times   1.2 Medieval   1.3 Pre-Darwinian   1.4 Darwinian revolution   1.5 Pangenesis and heredity   1.6 The ' modern synthesis '   1.7 Further syntheses     2 Heredity   3 Variation   3.1 Mutation   3.2 Sex and recombination   3.3 Gene flow     4 Mechanisms   4.1 Natural selection   4.2 Biased mutation   4.3 Genetic drift   4.4 Genetic hitchhiking   4.5 Gene flow     5 Outcomes   5.1 Adaptation   5.2 Coevolution   5.3 Cooperation   5.4 Speciation   5.5 Extinction     6 Evolutionary history of life   6.1 Origin of life   6.2 Common descent   6.3 Evolution of life     7 Applications   8 Social and cultural responses   9 See also   10 References   11 Bibliography   12 Further reading   13 External links      History of evolutionary thought  Lucretius Alfred Russel Wallace Thomas Robert Malthus In 1842 , Charles Darwin penned his first sketch of On the Origin of Species . Main article : History of evolutionary thought Further information : History of speciation  Classical Times   The proposal that one type of organism could descend from another type goes back to some of the first pre-Socratic Greek philosophers , such as Anaximander and Empedocles . Such proposals survived into Roman times . The poet and philosopher Lucretius followed Empedocles in his masterwork De rerum natura ( On the Nature of Things ) .   Medieval   In contrast to these materialistic views , Aristotelianism considered all natural things as actualisations of fixed natural possibilities , known as forms . This was part of a medieval teleological understanding of nature in which all things have an intended role to play in a divine cosmic order . Variations of this idea became the standard understanding of the Middle Ages and were integrated into Christian learning , but Aristotle did not demand that real types of organisms always correspond one - for - one with exact metaphysical forms and specifically gave examples of how new types of living things could come to be .   Pre-darwinian   In the 17th century , the new method of modern science rejected the Aristotelian approach . It sought explanations of natural phenomena in terms of physical laws that were the same for all visible things and that did not require the existence of any fixed natural categories or divine cosmic order . However , this new approach was slow to take root in the biological sciences , the last bastion of the concept of fixed natural types . John Ray applied one of the previously more general terms for fixed natural types , `` species , '' to plant and animal types , but he strictly identified each type of living thing as a species and proposed that each species could be defined by the features that perpetuated themselves generation after generation . The biological classification introduced by Carl Linnaeus in 1735 explicitly recognised the hierarchical nature of species relationships , but still viewed species as fixed according to a divine plan .   Other naturalists of this time speculated on the evolutionary change of species over time according to natural laws . In 1751 , Pierre Louis Maupertuis wrote of natural modifications occurring during reproduction and accumulating over many generations to produce new species . Georges - Louis Leclerc , Comte de Buffon suggested that species could degenerate into different organisms , and Erasmus Darwin proposed that all warm - blooded animals could have descended from a single microorganism ( or `` filament '' ) . The first full - fledged evolutionary scheme was Jean - Baptiste Lamarck 's `` transmutation '' theory of 1809 , which envisaged spontaneous generation continually producing simple forms of life that developed greater complexity in parallel lineages with an inherent progressive tendency , and postulated that on a local level these lineages adapted to the environment by inheriting changes caused by their use or disuse in parents . ( The latter process was later called Lamarckism . ) These ideas were condemned by established naturalists as speculation lacking empirical support . In particular , Georges Cuvier insisted that species were unrelated and fixed , their similarities reflecting divine design for functional needs . In the meantime , Ray 's ideas of benevolent design had been developed by William Paley into the Natural Theology or Evidences of the Existence and Attributes of the Deity ( 1802 ) , which proposed complex adaptations as evidence of divine design and which was admired by Charles Darwin .   Darwinian revolution   The crucial break from the concept of constant typological classes or types in biology came with the theory of evolution through natural selection , which was formulated by Charles Darwin in terms of variable populations . Partly influenced by An Essay on the Principle of Population ( 1798 ) by Thomas Robert Malthus , Darwin noted that population growth would lead to a `` struggle for existence '' in which favorable variations prevailed as others perished . In each generation , many offspring fail to survive to an age of reproduction because of limited resources . This could explain the diversity of plants and animals from a common ancestry through the working of natural laws in the same way for all types of organism . Darwin developed his theory of `` natural selection '' from 1838 onwards and was writing up his `` big book '' on the subject when Alfred Russel Wallace sent him a version of virtually the same theory in 1858 . Their separate papers were presented together at an 1858 meeting of the Linnean Society of London . At the end of 1859 , Darwin 's publication of his `` abstract '' as On the Origin of Species explained natural selection in detail and in a way that led to an increasingly wide acceptance of Darwin 's concepts of evolution at the expense of alternative theories . Thomas Henry Huxley applied Darwin 's ideas to humans , using paleontology and comparative anatomy to provide strong evidence that humans and apes shared a common ancestry . Some were disturbed by this since it implied that humans did not have a special place in the universe .   Pangenesis and Heredity   The mechanisms of reproductive heritability and the origin of new traits remained a mystery . Towards this end , Darwin developed his provisional theory of pangenesis . In 1865 , Gregor Mendel reported that traits were inherited in a predictable manner through the independent assortment and segregation of elements ( later known as genes ) . Mendel 's laws of inheritance eventually supplanted most of Darwin 's pangenesis theory . August Weismann made the important distinction between germ cells that give rise to gametes ( such as sperm and egg cells ) and the somatic cells of the body , demonstrating that heredity passes through the germ line only . Hugo de Vries connected Darwin 's pangenesis theory to Weismann 's germ / soma cell distinction and proposed that Darwin 's pangenes were concentrated in the cell nucleus and when expressed they could move into the cytoplasm to change the cells structure . De Vries was also one of the researchers who made Mendel 's work well - known , believing that Mendelian traits corresponded to the transfer of heritable variations along the germline . To explain how new variants originate , de Vries developed a mutation theory that led to a temporary rift between those who accepted Darwinian evolution and biometricians who allied with de Vries . In the 1930s , pioneers in the field of population genetics , such as Ronald Fisher , Sewall Wright and J.B.S. Haldane set the foundations of evolution onto a robust statistical philosophy . The false contradiction between Darwin 's theory , genetic mutations , and Mendelian inheritance was thus reconciled .   The ' modern synthesis '  Main article : Modern synthesis ( 20th century )  In the 1920s and 1930s the so - called modern synthesis connected natural selection and population genetics , based on Mendelian inheritance , into a unified theory that applied generally to any branch of biology . The modern synthesis explained patterns observed across species in populations , through fossil transitions in palaeontology , and complex cellular mechanisms in developmental biology . The publication of the structure of DNA by James Watson and Francis Crick in 1953 demonstrated a physical mechanism for inheritance . Molecular biology improved our understanding of the relationship between genotype and phenotype . Advancements were also made in phylogenetic systematics , mapping the transition of traits into a comparative and testable framework through the publication and use of evolutionary trees . In 1973 , evolutionary biologist Theodosius Dobzhansky penned that `` nothing in biology makes sense except in the light of evolution , '' because it has brought to light the relations of what first seemed disjointed facts in natural history into a coherent explanatory body of knowledge that describes and predicts many observable facts about life on this planet .   Further syntheses   Since then , the modern synthesis has been further extended to explain biological phenomena across the full and integrative scale of the biological hierarchy , from genes to species . One extension , known as evolutionary developmental biology and informally called `` evo - devo , '' emphasises how changes between generations ( evolution ) acts on patterns of change within individual organisms ( development ) . Since the beginning of the 21st century and in light of discoveries made in recent decades , some biologists have argued for an extended evolutionary synthesis , which would account for the effects of non-genetic inheritance modes , such as epigenetics , parental effects , ecological and cultural inheritance , and evolvability .   Heredity  Further information : Introduction to genetics , Genetics , Heredity , and Reaction norm DNA structure . Bases are in the centre , surrounded by phosphate -- sugar chains in a double helix .  Evolution in organisms occurs through changes in heritable traits -- the inherited characteristics of an organism . In humans , for example , eye colour is an inherited characteristic and an individual might inherit the `` brown - eye trait '' from one of their parents . Inherited traits are controlled by genes and the complete set of genes within an organism 's genome ( genetic material ) is called its genotype .   The complete set of observable traits that make up the structure and behaviour of an organism is called its phenotype . These traits come from the interaction of its genotype with the environment . As a result , many aspects of an organism 's phenotype are not inherited . For example , suntanned skin comes from the interaction between a person 's genotype and sunlight ; thus , suntans are not passed on to people 's children . However , some people tan more easily than others , due to differences in genotypic variation ; a striking example are people with the inherited trait of albinism , who do not tan at all and are very sensitive to sunburn .   Heritable traits are passed from one generation to the next via DNA , a molecule that encodes genetic information . DNA is a long biopolymer composed of four types of bases . The sequence of bases along a particular DNA molecule specify the genetic information , in a manner similar to a sequence of letters spelling out a sentence . Before a cell divides , the DNA is copied , so that each of the resulting two cells will inherit the DNA sequence . Portions of a DNA molecule that specify a single functional unit are called genes ; different genes have different sequences of bases . Within cells , the long strands of DNA form condensed structures called chromosomes . The specific location of a DNA sequence within a chromosome is known as a locus . If the DNA sequence at a locus varies between individuals , the different forms of this sequence are called alleles . DNA sequences can change through mutations , producing new alleles . If a mutation occurs within a gene , the new allele may affect the trait that the gene controls , altering the phenotype of the organism . However , while this simple correspondence between an allele and a trait works in some cases , most traits are more complex and are controlled by quantitative trait loci ( multiple interacting genes ) .   Recent findings have confirmed important examples of heritable changes that can not be explained by changes to the sequence of nucleotides in the DNA . These phenomena are classed as epigenetic inheritance systems . DNA methylation marking chromatin , self - sustaining metabolic loops , gene silencing by RNA interference and the three - dimensional conformation of proteins ( such as prions ) are areas where epigenetic inheritance systems have been discovered at the organismic level . Developmental biologists suggest that complex interactions in genetic networks and communication among cells can lead to heritable variations that may underlay some of the mechanics in developmental plasticity and canalisation . Heritability may also occur at even larger scales . For example , ecological inheritance through the process of niche construction is defined by the regular and repeated activities of organisms in their environment . This generates a legacy of effects that modify and feed back into the selection regime of subsequent generations . Descendants inherit genes plus environmental characteristics generated by the ecological actions of ancestors . Other examples of heritability in evolution that are not under the direct control of genes include the inheritance of cultural traits and symbiogenesis .   Variation  White peppered moth Black morph in peppered moth evolution Main article : Genetic variation Further information : Genetic diversity and Population genetics  An individual organism 's phenotype results from both its genotype and the influence from the environment it has lived in . A substantial part of the phenotypic variation in a population is caused by genotypic variation . The modern evolutionary synthesis defines evolution as the change over time in this genetic variation . The frequency of one particular allele will become more or less prevalent relative to other forms of that gene . Variation disappears when a new allele reaches the point of fixation -- when it either disappears from the population or replaces the ancestral allele entirely .   Natural selection will only cause evolution if there is enough genetic variation in a population . Before the discovery of Mendelian genetics , one common hypothesis was blending inheritance . But with blending inheritance , genetic variance would be rapidly lost , making evolution by natural selection implausible . The Hardy -- Weinberg principle provides the solution to how variation is maintained in a population with Mendelian inheritance . The frequencies of alleles ( variations in a gene ) will remain constant in the absence of selection , mutation , migration and genetic drift .   Variation comes from mutations in the genome , reshuffling of genes through sexual reproduction and migration between populations ( gene flow ) . Despite the constant introduction of new variation through mutation and gene flow , most of the genome of a species is identical in all individuals of that species . However , even relatively small differences in genotype can lead to dramatic differences in phenotype : for example , chimpanzees and humans differ in only about 5 % of their genomes .   Mutation  Main article : Mutation Duplication of part of a chromosome  Mutations are changes in the DNA sequence of a cell 's genome . When mutations occur , they may alter the product of a gene , or prevent the gene from functioning , or have no effect . Based on studies in the fly Drosophila melanogaster , it has been suggested that if a mutation changes a protein produced by a gene , this will probably be harmful , with about 70 % of these mutations having damaging effects , and the remainder being either neutral or weakly beneficial .   Mutations can involve large sections of a chromosome becoming duplicated ( usually by genetic recombination ) , which can introduce extra copies of a gene into a genome . Extra copies of genes are a major source of the raw material needed for new genes to evolve . This is important because most new genes evolve within gene families from pre-existing genes that share common ancestors . For example , the human eye uses four genes to make structures that sense light : three for colour vision and one for night vision ; all four are descended from a single ancestral gene .   New genes can be generated from an ancestral gene when a duplicate copy mutates and acquires a new function . This process is easier once a gene has been duplicated because it increases the redundancy of the system ; one gene in the pair can acquire a new function while the other copy continues to perform its original function . Other types of mutations can even generate entirely new genes from previously noncoding DNA .   The generation of new genes can also involve small parts of several genes being duplicated , with these fragments then recombining to form new combinations with new functions . When new genes are assembled from shuffling pre-existing parts , domains act as modules with simple independent functions , which can be mixed together to produce new combinations with new and complex functions . For example , polyketide synthases are large enzymes that make antibiotics ; they contain up to one hundred independent domains that each catalyse one step in the overall process , like a step in an assembly line .   Sex and recombination  Further information : Sexual reproduction , Genetic recombination , and Evolution of sexual reproduction  In asexual organisms , genes are inherited together , or linked , as they can not mix with genes of other organisms during reproduction . In contrast , the offspring of sexual organisms contain random mixtures of their parents ' chromosomes that are produced through independent assortment . In a related process called homologous recombination , sexual organisms exchange DNA between two matching chromosomes . Recombination and reassortment do not alter allele frequencies , but instead change which alleles are associated with each other , producing offspring with new combinations of alleles . Sex usually increases genetic variation and may increase the rate of evolution .  This diagram illustrates the twofold cost of sex . If each individual were to contribute to the same number of offspring ( two ) , ( a ) the sexual population remains the same size each generation , where the ( b ) Asexual reproduction population doubles in size each generation .  The two-fold cost of sex was first described by John Maynard Smith . The first cost is that in sexually dimorphic species only one of the two sexes can bear young . ( This cost does not apply to hermaphroditic species , like most plants and many invertebrates . ) The second cost is that any individual who reproduces sexually can only pass on 50 % of its genes to any individual offspring , with even less passed on as each new generation passes . Yet sexual reproduction is the more common means of reproduction among eukaryotes and multicellular organisms . The Red Queen hypothesis has been used to explain the significance of sexual reproduction as a means to enable continual evolution and adaptation in response to coevolution with other species in an ever - changing environment .   Gene flow  Further information : Gene flow  Gene flow is the exchange of genes between populations and between species . It can therefore be a source of variation that is new to a population or to a species . Gene flow can be caused by the movement of individuals between separate populations of organisms , as might be caused by the movement of mice between inland and coastal populations , or the movement of pollen between heavy metal tolerant and heavy metal sensitive populations of grasses .   Gene transfer between species includes the formation of hybrid organisms and horizontal gene transfer . Horizontal gene transfer is the transfer of genetic material from one organism to another organism that is not its offspring ; this is most common among bacteria . In medicine , this contributes to the spread of antibiotic resistance , as when one bacteria acquires resistance genes it can rapidly transfer them to other species . Horizontal transfer of genes from bacteria to eukaryotes such as the yeast Saccharomyces cerevisiae and the adzuki bean weevil Callosobruchus chinensis has occurred . An example of larger - scale transfers are the eukaryotic bdelloid rotifers , which have received a range of genes from bacteria , fungi and plants . Viruses can also carry DNA between organisms , allowing transfer of genes even across biological domains .   Large - scale gene transfer has also occurred between the ancestors of eukaryotic cells and bacteria , during the acquisition of chloroplasts and mitochondria . It is possible that eukaryotes themselves originated from horizontal gene transfers between bacteria and archaea .   Mechanisms  Mutation followed by natural selection results in a population with darker colouration .  From a Neo-Darwinian perspective , evolution occurs when there are changes in the frequencies of alleles within a population of interbreeding organisms . For example , the allele for black colour in a population of moths becoming more common . Mechanisms that can lead to changes in allele frequencies include natural selection , genetic drift , genetic hitchhiking , mutation and gene flow .   Natural selection  Main article : Natural selection  Evolution by means of natural selection is the process by which traits that enhance survival and reproduction become more common in successive generations of a population . It has often been called a `` self - evident '' mechanism because it necessarily follows from three simple facts :    Variation exists within populations of organisms with respect to morphology , physiology , and behaviour ( phenotypic variation ) .   Different traits confer different rates of survival and reproduction ( differential fitness ) .   These traits can be passed from generation to generation ( heritability of fitness ) .    More offspring are produced than can possibly survive , and these conditions produce competition between organisms for survival and reproduction . Consequently , organisms with traits that give them an advantage over their competitors are more likely to pass on their traits to the next generation than those with traits that do not confer an advantage .   The central concept of natural selection is the evolutionary fitness of an organism . Fitness is measured by an organism 's ability to survive and reproduce , which determines the size of its genetic contribution to the next generation . However , fitness is not the same as the total number of offspring : instead fitness is indicated by the proportion of subsequent generations that carry an organism 's genes . For example , if an organism could survive well and reproduce rapidly , but its offspring were all too small and weak to survive , this organism would make little genetic contribution to future generations and would thus have low fitness .   If an allele increases fitness more than the other alleles of that gene , then with each generation this allele will become more common within the population . These traits are said to be `` selected for . '' Examples of traits that can increase fitness are enhanced survival and increased fecundity . Conversely , the lower fitness caused by having a less beneficial or deleterious allele results in this allele becoming rarer -- they are `` selected against . '' Importantly , the fitness of an allele is not a fixed characteristic ; if the environment changes , previously neutral or harmful traits may become beneficial and previously beneficial traits become harmful . However , even if the direction of selection does reverse in this way , traits that were lost in the past may not re-evolve in an identical form ( see Dollo 's law ) . However , a re-activation of dormant genes , as long as they have not been eliminated from the genome and were only suppressed perhaps for hundreds of generations , can lead to the re-occurrence of traits thought to be lost like hindlegs in dolphins , teeth in chickens , wings in wingless stick insects , tails and additional nipples in humans etc . `` Throwbacks '' such as these are known as atavisms .  These charts depict the different types of genetic selection . On each graph , the x-axis variable is the type of phenotypic trait and the y - axis variable is the number of organisms . Group A is the original population and Group B is the population after selection . Graph 1 shows directional selection , in which a single extreme phenotype is favored . Graph 2 depicts stabilizing selection , where the intermediate phenotype is favored over the extreme traits . Graph 3 shows disruptive selection , in which the extreme phenotypes are favored over the intermediate .  Natural selection within a population for a trait that can vary across a range of values , such as height , can be categorised into three different types . The first is directional selection , which is a shift in the average value of a trait over</t>
  </si>
  <si>
    <t xml:space="preserve">who is considered the founder of the theroy of evolution</t>
  </si>
  <si>
    <t xml:space="preserve"> In the mid-19th century , Charles Darwin formulated the scientific theory of evolution by natural selection , published in his book On the Origin of Species ( 1859 ) . Evolution by natural selection is a process first demonstrated by the observation that often , more offspring are produced than can possibly survive . This is followed by three observable facts about living organisms : 1 ) traits vary among individuals with respect to morphology , physiology , and behaviour ( phenotypic variation ) , 2 ) different traits confer different rates of survival and reproduction ( differential fitness ) , and 3 ) traits can be passed from generation to generation ( heritability of fitness ) . Thus , in successive generations members of a population are replaced by progeny of parents better adapted to survive and reproduce in the biophysical environment in which natural selection takes place . </t>
  </si>
  <si>
    <t xml:space="preserve">No - hitter - wikipedia  No - hitter     This is the current revision of this page , as edited by GünniX ( talk contribs ) at 17 : 38 , 25 August 2017 ( unbalanced brackets using AWB ) . The present address ( URL ) is a permanent link to this version .    Revision as of 17 : 38 , 25 August 2017 by GünniX ( talk contribs ) ( unbalanced brackets using AWB ) ( diff ) ← Previous revision Latest revision ( diff ) Newer revision → ( diff ) Jump to : navigation , search For the Major League Baseball players who have completed this feat , see List of Major League Baseball no - hitters . Nolan Ryan holds the record for no - hitters in the major leagues with seven .  In baseball , a no - hitter ( also known as a no - hit game and colloquially as a no - no ) is a game in which a team was not able to record a single hit . Major League Baseball ( MLB ) officially defines a no - hitter as a completed game in which a team that batted in at least nine innings recorded no hits . A pitcher who prevents the opposing team from achieving a hit is said to have `` thrown a no - hitter '' . This is a rare accomplishment for a pitcher or pitching staff : only 296 have been thrown in Major League Baseball history since 1876 , an average of about two per year . In most cases in MLB , no - hitters are recorded by a single pitcher who throws a complete game ; one thrown by two or more pitchers is a combined no - hitter . The most recent no - hitter by a single pitcher was thrown on June 3 , 2017 by Edinson Vólquez of the Miami Marlins against the Arizona Diamondbacks at Miami 's Marlins Park . The most recent combined no - hitter was thrown by Cole Hamels , Jake Diekman , Ken Giles , and Jonathan Papelbon of the Philadelphia Phillies against the Atlanta Braves on September 1 , 2014 .   It is possible to reach base without a hit , most commonly by a walk , error , or being hit by a pitch . ( Other possibilities include the batter reaching first after a dropped third strike . ) A no - hitter in which no batters reach base at all is a perfect game , a much rarer feat . Because batters can reach base by means other than a hit , a pitcher can throw a no - hitter ( though not a perfect game ) and still give up runs , and even lose the game , although this is extremely uncommon and most no - hitters are also shutouts . One or more runs were given up in 25 recorded no - hitters in MLB history , most recently by Ervin Santana of the Los Angeles Angels of Anaheim in a 3 -- 1 win against the Cleveland Indians on July 27 , 2011 . On two occasions , a team has thrown a nine - inning no - hitter and still lost the game . On a further four occasions , a team has thrown a no - hitter for eight innings in a losing effort , but those four games are not officially recognized as no - hitters by Major League Baseball because the outing lasted fewer than nine innings . It is theoretically possible for opposing pitchers to throw no - hitters in the same game , although this has never happened in the majors . Two pitchers , Fred Toney and Hippo Vaughn , completed nine innings of a game on May 2 , 1917 without either giving up a hit or a run ; Vaughn gave up two hits and a run in the 10th inning , losing the game to Toney , who completed the extra-inning no - hitter .     Contents  ( hide )   1 Major League Baseball no - hitters   1.1 Definition   1.2 Frequency   1.2. 1 Individual   1.2. 2 Team     1.3 Combined no - hitters   1.4 Earliest , latest , title - clinching , and postseason no - hitters   1.5 Rookie no - hitters   1.6 Nine - inning no - hitters in a losing effort   1.7 Shortened no - hitters   1.8 No - hitters lost in extra innings   1.9 No - hitter droughts   1.10 Avoiding no - hitters   1.11 No - hitters and ballparks     2 International competition   3 Superstitions   4 See also   5 References   6 External links      Major League Baseball no - hitters ( edit )   Definition ( edit )   A no - hitter is defined by Major League Baseball as follows : `` An official no - hit game occurs when a pitcher ( or pitchers ) allows no hits during the entire course of a game , which consists of at least nine innings . '' This definition was specified by MLB 's Committee for Statistical Accuracy in 1991 , causing previously recognized no - hitters of fewer than nine innings or where the first hit had been allowed in extra innings to be stricken from the official record books . Games lost by the visiting team in 81⁄2 innings but without allowing any hits do not qualify as no - hitters , as the visiting team has only pitched eight innings .   Frequency ( edit )   Major League Baseball has officially recognized 296 no - hitters thrown since 1876 ; only 23 of those were perfect games . Two no - hitters have been thrown on the same day twice : Ted Breitenstein and Jim Hughes on April 22 , 1898 ; and Dave Stewart and Fernando Valenzuela on June 29 , 1990 .   Eight no - hitters were thrown by major league pitchers in the 1884 season . In the modern era ( since 1901 ) , seven no - hitters were thrown in 1990 , 1991 , 2012 , and 2015 .   The longest period between any two no - hitters in the modern era is 7003114000000000000 ♠ 3 years , 44 days between Bobby Burke on August 8 , 1931 , and Paul `` Daffy '' Dean on September 21 , 1934 . There was a drought of 3 years , 11 months , without a no - hitter after the first National League no - hitter on July 15 , 1876 , pitched by George Bradley . The most recent year without any no - hitters is 2005 .   The greatest span of games without a no - hitter anywhere in the Major Leagues is 6,364 , between Randy Johnson 's perfect game on May 18 , 2004 , for the Arizona Diamondbacks , and Aníbal Sánchez 's no - hitter on September 6 , 2006 , for the Florida Marlins . The previous record was a 4,015 - game streak without a no - hitter from September 30 , 1984 , to September 19 , 1986 .  Individual ( edit ) Hall of Famer Sandy Koufax threw four no - hitters , including one perfect game , in his major - league career .  The pitcher who holds the record for the most no - hitters is Nolan Ryan , who threw seven in his long career . His first two came exactly two months apart , while he was with the California Angels : the first on May 15 , 1973 , and the second on July 15 . He had two more with the Angels on September 28 , 1974 , and June 1 , 1975 . Ryan 's fifth no - hitter with the Houston Astros on September 26 , 1981 , broke Sandy Koufax 's previous record . His sixth and seventh no - hitters came with the Texas Rangers on June 1 , 1990 , and May 1 , 1991 . When he tossed number seven at age 44 , he became the oldest pitcher to throw a no - hitter .   Only Ryan , Sandy Koufax ( four ) , Cy Young ( three ) , Bob Feller ( three ) , and Larry Corcoran ( three ) have pitched more than two no - hitters . Corcoran was the first pitcher to throw a second no - hitter in a career ( in 1882 ) , as well as the first to throw a third ( in 1884 ) .   Thirty - six pitchers have thrown more than one no - hitter , combined no - hitters not counting . Randy Johnson has the longest gap between no - hitters : he threw a no - hitter as a member of the Seattle Mariners on June 2 , 1990 , and a perfect game as an Arizona Diamondback on May 18 , 2004 .   The pitcher who holds the record for the shortest time between no - hitters is Johnny Vander Meer , the only pitcher in history to throw no - hitters in consecutive starts , while playing for the Cincinnati Reds in 1938 . Besides Vander Meer , Allie Reynolds ( in 1951 ) , Virgil Trucks ( in 1952 ) , Ryan ( in 1973 ) , and Max Scherzer ( in 2015 ) are the only other major leaguers to throw two no - hitters in the same regular season .   Jim Maloney also had two no - hitters under the previous rules in the 1965 season , both of them taken into extra innings . On the first one on June 14 , he gave up a home run to Johnny Lewis to open the top of the 11th inning , turning 10 innings of no - hit ball into a 1 -- 0 loss to the New York Mets . According to the rules interpretation of the time , this was considered a no - hitter . On August 19 , a home run by Leo Cárdenas in the tenth inning allowed Maloney to earn a 1 -- 0 10 - inning no - hit win over the Chicago Cubs .   Roy Halladay threw two no - hitters in 2010 -- a perfect game during the regular season and a no - hitter in the 2010 National League Division Series . He is the only major leaguer to have thrown no - hitters in regular season and postseason play .   Two pitchers missing their non-pitching hand have thrown no - hitters ; Hugh Daily , of the Cleveland Blues , defeated the Philadelphia Quakers 1 -- 0 on September 13 , 1883 , and Jim Abbott , of the New York Yankees , defeated the Cleveland Indians 4 -- 0 on September 4 , 1993 . Daily lost his left hand in a gun accident as a child , and Abbott was born without a right hand .   Edinson Vólquez of the Miami Marlins is the most recent pitcher to throw a no - hitter , the thirty - fifth player to do so , on June 3 , 2017 .   The record for most no - hitters caught by a catcher is four , a record shared by Boston Red Sox catcher Jason Varitek and Philadelphia Phillies catcher Carlos Ruiz . Varitek caught no - hitters for Hideo Nomo , Derek Lowe , Clay Buchholz , and Jon Lester . Varitek also caught a rain - shortened , five - inning unofficial no - hitter for Devern Hansack on October 1 , 2006 . Ruiz caught two no - hitters for Roy Halladay , including a perfect game , as well as one for Cole Hamels , and a combined no - hitter for Cole Hamels , Jake Diekman , Ken Giles , and Jonathan Papelbon . Before MLB redefined `` no - hitter '' , Ray Schalk had long held the record of catching four no - hitters , but his first nine - inning no - hitter had ended with a hit in the tenth inning .   Five pitchers have thrown a no - hitter in both the American League and the National League : Cy Young , Ryan , Jim Bunning , Nomo , and Randy Johnson . Only five catchers have caught a no - hitter in each league : Gus Triandos , Jeff Torborg , Darrell Porter , Ron Hassey , and most recently , Drew Butera . Triandos caught Hoyt Wilhelm 's 1958 no - hitter and Jim Bunning 's perfect game , Torborg caught Koufax 's perfect game and Ryan 's first no - hitter , Porter caught Jim Colborn 's 1977 no - hitter and Bob Forsch 's second no - hitter in 1983 , and Hassey caught Len Barker 's and Dennis Martínez 's perfect games . Butera caught a 2011 no - hitter by Francisco Liriano and a 2014 no - hitter by Josh Beckett .  Team ( edit )  No team has thrown no - hitters in consecutive games , although it has happened once on consecutive days : On May 5 , 1917 , Ernie Koob of the St. Louis Browns no - hit the Chicago White Sox , and teammate Bob Groom repeated the feat in the second game of a doubleheader the following day .   On two occasions , there have been back - to - back no - hitters thrown by each team in a series . On September 17 , 1968 , Gaylord Perry of the San Francisco Giants no - hit the St. Louis Cardinals , and the Cardinals ' Ray Washburn no - hit the Giants the following day . On April 30 , 1969 , Jim Maloney of the Cincinnati Reds no - hit the Houston Astros , and the Astros ' Don Wilson no - hit the Reds the following day . Surprisingly , it was both Maloney 's and Wilson 's 2nd no - hitter in their careers .   Teams have thrown two straight no - hitters , with no other teams pitching one in the interim , 19 times ; most recently by the Los Angeles Dodgers ( Josh Beckett and Clayton Kershaw in 2014 ) . The only team to throw three straight no - hitters was the Milwaukee Braves , with Lew Burdette , followed by consecutive no - no 's by Warren Spahn , in 1960 and 1961 . Individual pitchers have thrown two straight no - hitters seven times : Addie Joss 1908 and 1910 ; Vander Meer in 1938 ; Allie Reynolds in 1951 ; Warren Spahn in 1960 and 1961 ; Ryan twice , first in 1973 , then in 1974 and 1975 ; and Bailey . All seven instances were with the same team .   The Tampa Bay Rays are the only MLB team to fail to get a hit in three games in a span of 12 months or fewer . No - hit by Arizona 's Edwin Jackson on June 25 , 2010 , the Rays were also the victims of two perfect games : the first by White Sox pitcher Mark Buehrle on July 23 , 2009 , the second by Oakland 's Dallas Braden on May 9 , 2010 . On August 15 , 2012 , the Rays were once again on the losing end of a perfect game , this time at the helm of Félix Hernández and the Seattle Mariners .   Combined no - hitters ( edit )   The vast majority of no - hit games are finished by the starting pitcher , but eleven MLB no - hitters have been thrown by a combination of the starting and relief pitchers . The first such combined no - hitter occurred on June 23 , 1917 , when Ernie Shore of the Boston Red Sox relieved starter Babe Ruth , who had been ejected for arguing with the umpire after walking the first batter of the game . The runner was subsequently caught stealing and Shore retired the next 26 batters without allowing any baserunners . This game was long considered a perfect game for Shore , since he recorded 27 outs in succession ; current rules classify it only as a combined no - hitter . Another major league combined no - hitter did not occur until April 30 , 1967 , when Stu Miller of the Baltimore Orioles recorded the final out in relief of Steve Barber in a 2 -- 1 loss to the Detroit Tigers . The most recent combined no - hitter occurred on September 1 , 2014 , when the Philadelphia Phillies beat the Atlanta Braves 7 - 0 , as Cole Hamels threw 108 pitches through the first six innings ; then Jake Diekman , Ken Giles , and Jonathan Papelbon successively pitched perfect innings to preserve the no - hitter .   The only combined extra inning no - hitter to date occurred on July 12 , 1997 . Pittsburgh Pirates pitchers Francisco Córdova ( 9 innings ) and Ricardo Rincón ( 1 inning ) combined to no - hit the Houston Astros , 3 -- 0 . Victory was secured with a three - run walk - off home run by pinch hitter Mark Smith in the bottom of the tenth inning .   On June 11 , 2003 , the Houston Astros set a record with six pitchers involved in a combined no - hitter . On that day , Roy Oswalt , Pete Munro , Kirk Saarloos , Brad Lidge , Octavio Dotel , and Billy Wagner combined to hold the New York Yankees hitless . Oswalt was removed after one inning due to injury . Munro pitched the most innings , 22⁄3 . He also allowed five of the six baserunners , giving up three walks , hitting a batter and seeing another reach on an error by third baseman Geoff Blum . The only other baserunner was allowed by Dotel , who threw a third - strike wild pitch to Alfonso Soriano with one out in the eighth ; Dotel went on to record the forty - fifth four - strikeout inning in regular - season play . Lidge , who retired all six hitters he faced over the sixth and seventh innings , earned the victory . On June 8 , 2012 , the Seattle Mariners tied this record when Kevin Millwood , Charlie Furbush , Stephen Pryor , Lucas Luetge , Brandon League , and Tom Wilhelmsen combined to no - hit the Los Angeles Dodgers . Millwood pitched 6 innings before he was taken out due to a groin injury .   Only one pitcher has thrown a no - hitter as a starter and contributed to a combined no - hitter as a reliever . On September 30 , 1984 , Mike Witt threw a 1 -- 0 perfect game for the California Angels against the Texas Rangers . On April 11 , 1990 , pitching the eighth and ninth innings in relief of Mark Langston , Witt earned a save in another 1 -- 0 no - hit victory for the Angels over the Seattle Mariners .   Vida Blue , Kent Mercker , Kevin Millwood , and Cole Hamels are the only pitchers to start both a complete game no - hitter and a combined no - hitter . Vida Blue no - hit the Minnesota Twins on September 21 , 1970 , while pitching for the Oakland Athletics . He combined with Glenn Abbott , Paul Lindblad , and Rollie Fingers to no - hit the California Angels on September 28 , 1975 . While with the Atlanta Braves in 1991 , Mercker , Mark Wohlers and Alejandro Peña no - hit the San Diego Padres in the National League 's first combined no - hitter . Mercker threw a complete game no - hitter against the Los Angeles Dodgers on April 8 , 1994 . In addition to the game above in which Millwood and the Seattle Mariners tied the record by using six pitchers in a no - hitter , Millwood previously threw a complete game no - hitter against the San Francisco Giants on April 27 , 2003 , while with the Philadelphia Phillies . Both Mercker and Blue were All - Stars in the seasons of their combined no - hitters , and Blue also won the Cy Young Award and the Most Valuable Player Award during his career .   Combined no - hitters are considered unofficial by Nippon Professional Baseball .   Earliest , latest , title - clinching , and postseason no - hitters ( edit )   Hideo Nomo threw the earliest no - hitter based on calendar date : April 4 , 2001 , the second game of the season for the Boston Red Sox , against the Baltimore Orioles . The Cleveland Indians ' Bob Feller left the Chicago White Sox hitless in the 1940 season opener on April 16 , the only official Opening Day no - hitter .   There have been five no - hitters thrown on the final day of the regular season . Bumpus Jones of the Cincinnati Reds ended the season by no - hitting the Pittsburgh Pirates on October 15 , 1892 ; this is also the latest calendar date for a no - hit game thus far . On September 28 , 1975 , four Oakland A 's pitchers ( Vida Blue , Glenn Abbott , Paul Lindblad , Rollie Fingers ) combined for a season - ending no - hitter against the California Angels . Mike Witt of the California Angels threw a perfect game against the Texas Rangers on September 30 , 1984 . Henderson Álvarez of the Miami Marlins no - hit the Detroit Tigers on September 29 , 2013 , to close the regular season . Jordan Zimmermann of the Washington Nationals no - hit the Miami Marlins on the last day of the 2014 season , September 28 .   The latest regular - season no - hitter by calendar date in the modern era is October 3 , achieved by Max Scherzer of the Washington Nationals in 2015 .   The Houston Astros ' Mike Scott no - hit the San Francisco Giants on September 25 , 1986 , a victory that also clinched the National League West title for the Astros ; this is the only such occurrence in Major League history to date . In the first game of a doubleheader on September 28 , 1951 , Allie Reynolds of the New York Yankees pitched a no - hitter against the Boston Red Sox which clinched a tie for the American League pennant ( the pennant was clinched outright in the doubleheader 's second game ) .   There have been two postseason no - hitters in MLB history , one by a pitcher from each league . For the AL , on October 8 , 1956 , Don Larsen of the New York Yankees threw a perfect game in Game 5 of that year 's World Series against the Brooklyn Dodgers . The feat had nearly been accomplished nine years earlier by the Yankees ' Bill Bevens , who came within one out of a no - hitter ( though not a perfect game ) against the Brooklyn Dodgers in Game 4 of the 1947 World Series , only to lose the game on a pinch - hit double by Cookie Lavagetto . There have been other one - hitters in the World Series , with the lone hit coming earlier in the game than in Bevens ' effort . On October 6 , 2010 , Roy Halladay of the Philadelphia Phillies , in the first postseason appearance of his career , threw the second no - hitter in postseason history , and first in the NL , in Game 1 of the Phillies ' NLDS against the Cincinnati Reds .   Rookie no - hitters ( edit )   Twenty - two MLB rookies have pitched a no - hitter since 1901 . Three pitchers have thrown a no - hitter in their first major league starts ; two others have done it in their second major league starts .   Bumpus Jones of the Cincinnati Reds threw a no - hitter on October 15 , 1892 in his first major league game . Jones pitched only eight games in the big leagues , finishing with a career win / loss record of 2 -- 4 and a career earned run average of 7.99 .   Ted Breitenstein pitched a no - hitter in his first Major League start on October 4 , 1891 , however , it was not his first Major League game . He later threw a second no - hitter on April 22 , 1898 .   On May 6 , 1953 , Bobo Holloman pitched a no - hitter for the St. Louis Browns in his first major league start ( also not his first major league game ) . This game would prove to be one of only three major league wins that Holloman achieved , against seven losses , all in 1953 . Bill Veeck , then - owner of the Browns , in his autobiography described the 27 outs of Holloman 's no - hitter as consisting of hard - hit ground balls , screaming line drives , and deep fly balls . At the other end of the spectrum , there are nine 300 - game winners -- Grover Cleveland Alexander , Kid Nichols , Lefty Grove , Early Wynn , Steve Carlton , Don Sutton , Greg Maddux , Roger Clemens and Tom Glavine -- who failed to pitch a no - hitter .   On August 11 , 1991 , Wilson Álvarez of the Chicago White Sox pitched a no - hitter in his second career major league start . During Alvarez 's first career start , he had allowed three runs on a pair of home runs and did not retire a single batter . Unlike Jones and Holloman , Alvarez went on to win 102 games over a 16 - year career .   Clay Buchholz pitched a no - hitter for the Boston Red Sox in his second major league start on September 1 , 2007 at Fenway Park . The game ended in a 10 -- 0 victory for the Red Sox over the Baltimore Orioles .   Chris Heston , pitcher for the San Francisco Giants , threw a no - hitter in a 5 - 0 victory over the New York Mets on June 9 , 2015 .   Nine - inning no - hitters in a losing effort ( edit )   Unlike a perfect game , in which no batters reach base , in regular no - hitters batters can reach base in other ways , such as a walk , an error , or a hit batsman , thus it is possible for the team pitching the no - hitter to lose . On April 23 , 1964 , Ken Johnson of the Houston Colt . 45s became the only pitcher to lose a complete game no - hitter in nine innings when he was beaten , 1 -- 0 , by Cincinnati . The winning run was scored by Pete Rose in the top of the ninth inning via an error , groundout , and another error .   On April 30 , 1967 , Steve Barber and Stu Miller of the Baltimore Orioles pitched a combined no - hitter , but lost 2 - 1 to the Detroit Tigers .   On July 1 , 1990 , Andy Hawkins of the Yankees pitched an eight - inning no - hitter ( the Yankees were the away team ) against the Chicago White Sox and lost the game 4 -- 0 after an eighth inning which saw three errors . The four runs that the White Sox scored are the most by any team in a game in which they had no hits . Because Hawkins only threw eight innings , this game is not recognized as an official no - hitter by Major League Baseball ; however , it was considered a no - hitter at the time it was pitched . Years after the game , the rules regarding no - hitters , ( and rules regarding other statistics ) , were changed and applied retroactively in order to `` clean up the record book '' . The Hawkins `` no - hitter '' failed on at least two provisions of the new standards . To be classified a valid no - hitter , the pitcher must face opposing batters in at least nine innings .   Jered Weaver and José Arredondo of the Angels also combined for eight innings of no - hit baseball in a 1 -- 0 road loss to the Dodgers June 28 , 2008 , where Matt Kemp reached on an error , stole second , advanced to third on another error , and scored on a sacrifice fly . However , since the Angels only pitched eight innings , this game is not recognized as an official no - hitter .   On August 23 , 2017 , Rich Hill of the Los Angeles Dodgers pitched a nine - inning no - hitter , but his team lost 1 - 0 to the Pittsburgh Pirates . Hill had a perfect game in the ninth inning until a fielding error by Logan Forsythe . Later , Hill would have his no - hitter broken up on a walkoff - homerun by Josh Harrison in the bottom of the 10th inning .   Shortened no - hitters ( edit )   A game that can not continue due to weather or darkness may be considered a completed official game , as long as at least five innings have been completed . Until 1991 , any such game in which a pitcher held the opposing team without hits was considered an official no - hitter ; however under the current rule , a no - hitter must last for at least nine innings to count . As the rule was applied retroactively , thirty - six games in which a no - hitter was interrupted by weather or darkness , with lengths ranging from 5 to 8 innings , are no longer considered no - hitters .   If the home team leads after the top of the ninth , they do not bat in the bottom of the ninth , thus the visiting team only pitches 8 innings . Since it is possible to score runs without getting hits , a visiting team can complete a full game without allowing a hit but not be credited with an official no - hitter . This has happened four times in MLB history : Silver King ( 1890 ) , Andy Hawkins ( 1990 ) , and Matt Young ( 1992 ) pitched complete games without allowing a hit , but pitched only 8 innings as the losing pitcher from the visiting team , and thus are not credited with a no - hitter . On June 28 , 2008 , Jered Weaver and José Arredondo of the Los Angeles Angels of Anaheim threw 8 no - hit innings against the Los Angeles Dodgers at Dodger Stadium , but lost the game , 1 -- 0 , and are not credited with a no - hitter . This is the first near no - hitter of this kind in which more than one pitcher was involved .   No - hitters lost in extra innings ( edit )   A game that is a no - hitter through nine innings may be lost in extra innings . Under current rules , such a game is not considered an official no - hitter because the pitcher did not keep the opponent hitless for the entire course of the game .   On May 2 , 1917 , a game between the Chicago Cubs and the Cincinnati Reds reached the end of nine innings in a hitless scoreless tie , the only time in baseball history that neither team has had a hit in regulation . Both Hippo Vaughn of the Cubs and Fred Toney of the Reds continued pitching into the tenth inning . Vaughn lost his no - hitter in the top of the tenth , as the Reds got two hits and scored the winning run . Toney retired the side in the bottom of the tenth and recorded a ten - inning no - hitter . This game was long considered a `` double no - hitter '' , but Vaughn is no longer credited with a no - hitter under the current rules .   Of the thirteen potential no - hitters that have been lost in extra innings , two were perfect games until the inning when the first hit was surrendered . On May 26 , 1959 , Harvey Haddix of the Pittsburgh Pirates pitched a remarkable twelve perfect innings against the Milwaukee Braves before losing the perfect game on an error and then the no - hitter and the game in the thirteenth inning . On June 3 , 1995 , Pedro Martínez of the Montreal Expos pitched nine perfect innings against the San Diego Padres before giving up a hit in the tenth and exiting the game , which the Expos then won , 1 -- 0 .   On August 23 , 2017 , in a game between the Los Angeles Dodgers and the Pittsburgh Pirates , Dodgers pitcher Rich Hill pitched nine no - hit innings , only to lose his no - hit bid ( and the game ) on a walk - off homer by Josh Harrison in the 10th inning . This was another potential perfect game ; the perfect game was broken up by a ninth - inning error , the first time this had happened in MLB history .   No - hitter droughts ( edit )   Only one existing franchise in Major League Baseball has not had a pitcher toss a no - hitter : the San Diego Padres , who have gone 46 years without a no - hitter since they entered Major League Baseball in 1969 . Their closest bid came against the Philadelphia Phillies on July 18 , 1972 ; Steve Arlin came within one out of a no - hitter before Denny Doyle broke up the bid with a single . On July 9 , 2011 , five Padres pitchers combined for 8 ⁄ innings of no - hit pitching against the Los Angeles Dodgers before Juan Uribe hit a double , which was followed by a Dioner Navarro single that won the game , which had been scoreless up to that point .   Of all the teams that have thrown at least one no - hit game , however , the Cleveland Indians , as of August 2017 , have had the longest drought ; the last such game thrown by the team was by Len Barker on May 15 , 1981 , which was also a perfect game .   The New York Mets , who began play in 1962 , went without a no - hitter until Johan Santana pitched one on the night of June 1 , 2012 , against the St. Louis Cardinals at home at Citi Field . The 8 -- 0 victory closed out their era as the oldest franchise without a no - hitter and ended a drought that lasted 8,019 regular - season and 74 post-season games . Mets pitchers have thrown 39 one - hitters .   The longest no - hitter drought in Major League history was suffered by the Philadelphia Phillies between May 1 , 1906 , and June 21 , 1964 , a span that encompassed 8,945 games .   The Washington Nationals achieved their first no - hitter on September 28 , 2014 . The franchise has four previous no - hitters in its history as the Montreal Expos , including a perfect game by Dennis Martínez .   Six current NL teams -- the Braves , Dodgers , Giants , Phillies , Cubs and Reds -- all pitched their first no - hitters before the advent of the American League in 1901 . Among the early National League teams still playing , the last to get their first no - hitter was the St. Louis Cardinals , when Jesse Haines pitched one on July 17 , 1924 . Of the original American League teams , the last team to get their first no - hitter was the New York Yankees , when George Mogridge pitched one on April 24 , 1917 . There are a number of short - lived Major League franchises from the nineteenth century that folded without ever recording a no - hitter .     Date of No - hitter   Pitcher ( s )   Franchise   Time Since No - hitter     June 25 , 2010   Edwin Jackson   Arizona Diamondbacks   7003261800000000000 ♠ 7 years , 61 days     April 8 , 1994   Kent Mercker   Atlanta Braves   7003854000000000000 ♠ 23 years , 139 days     July 13 , 1991   Bob Milacki ( 6 IP ) Mike Flanagan ( 1 IP ) Mark Williamson ( 1 IP ) Gregg Olson ( 1 IP )   Baltimore Orioles   7003954000000000000 ♠ 26 years , 43 days     May 19 , 2008   Jon Lester   Boston Red Sox   7003338500000000000 ♠ 9 years , 98 days     April 21 , 2016   Jake Arrieta   Chicago Cubs   7002491000000000000 ♠ 1 year , 126 days     April 21 , 2012   Philip Humber   Chicago White Sox   7003195200000000000 ♠ 5 years , 126 days     July 2 , 2013   Homer Bailey   Cincinnati Reds   7003151500000000000 ♠ 4 years , 54 days     May 15 , 1981   Len Barker   Cleveland Indians   7004132510000000000 ♠ 36 years , 102 days     April 17 , 2010   Ubaldo Jiménez   Colorado Rockies   7003268700000000000 ♠ 7 years , 130 days     May 7 , 2011   Justin Verlander   Detroit Tigers   7003230200000000000 ♠ 6 years , 110 days     August 21 , 2015   Mike Fiers   Houston Astros   7002735000000000000 ♠ 2 years , 4 days     August 26 , 1991   Bret Saberhagen   Kansas City Royals   7003949600000000000 ♠ 25 years , 364 days     May 2 , 2012   Jered Weaver   Los Angeles Angels of Anaheim   7003194100000000000 ♠ 5 years , 115 days     June 18 , 2014   Clayton Kershaw   Los Angeles Dodgers   7003116400000000000 ♠ 3 years , 68 days     June 3 , 2017   Edinson Vólquez   Miami Marlins   7001830000000000000 ♠ 83 days     April 15 , 1987   Juan Nieves   Milwaukee Brewers   7004110900000000000 ♠ 30 years , 132 days     May 3 , 2011   Francisco Liriano   Minnesota Twins   7003230600000000000 ♠ 6 years , 114 days     June 1 , 2012   Johan Santana   New York Mets   7003191100000000000 ♠ 5 years , 85 days     July 18 , 1999   David Cone   New York Yankees   7003661300000000000 ♠ 18 years , 38 days     May 9 , 2010   Dallas Braden   Oakland Athletics   7003266500000000000 ♠ 7 years , 108 days     July 25 , 2015   Cole Hamels   Philadelphia Phillies   7002762000000000000 ♠ 2 years , 31 days     July 12 , 1997   Francisco Córdova ( 9 IP ) Ricardo Rincón ( 1 IP )   Pittsburgh Pirates   7003734900000000000 ♠ 20 years , 44 days     n / a   n / a   San Diego Padres   7004176720000000000 ♠ 48 years , 140 days     June 9 , 2015   Chris Heston   San Francisco Giants   7002808000000000000 ♠ 2 years , 77 days     August 12 , 2015   Hisashi Iwakuma   Seattle Mariners   7002744000000000000 ♠ 2 years , 13 days     September 3 , 2001   Bud Smith   St. Louis Cardinals   7003583500000000000 ♠ 15 years , 356 days     July 26 , 201</t>
  </si>
  <si>
    <t xml:space="preserve">who pitched a no hitter in the world series</t>
  </si>
  <si>
    <t xml:space="preserve"> The pitcher who holds the record for the most no - hitters is Nolan Ryan , who threw seven in his long career . His first two came exactly two months apart , while he was with the California Angels : the first on May 15 , 1973 , and the second on July 15 . He had two more with the Angels on September 28 , 1974 , and June 1 , 1975 . Ryan 's fifth no - hitter with the Houston Astros on September 26 , 1981 , broke Sandy Koufax 's previous record . His sixth and seventh no - hitters came with the Texas Rangers on June 1 , 1990 , and May 1 , 1991 . When he tossed number seven at age 44 , he became the oldest pitcher to throw a no - hitter . </t>
  </si>
  <si>
    <r>
      <rPr>
        <sz val="11"/>
        <color rgb="FF000000"/>
        <rFont val="Calibri"/>
        <family val="0"/>
        <charset val="1"/>
      </rPr>
      <t xml:space="preserve">Strain theory ( sociology ) - wikipedia  Strain theory ( sociology )  Jump to : navigation , search      This article includes a list of references , but its sources remain unclear because it has insufficient inline citations . Please help to improve this article by introducing more precise citations . ( September 2012 ) ( Learn how and when to remove this template message )       Criminology and penology         Theory ( hide )   Anomie   Biosocial criminology   Broken windows   Collective efficacy   Crime analysis   Criminalization   Differential association   Deviance   Labeling theory   Psychopathy   Rational choice   Social control   Social disorganization   Social learning   Strain   Subculture   Symbolic interactionism   Victimology       Types of crime ( show )   Against humanity   Blue - collar   Corporate   Juvenile   Organized   Political   Public - order   State   State - corporate   Victimless   White - collar   War       Penology ( show )      Deterrence   Incapacitation   Prison   reform   abolition     Prisoner   prisoner abuse   prisoners ' rights     Rehabilitation   Recidivism       Justice in penology       Participatory   Restorative   Retributive   Solitary confinement          Schools ( show )   Chicago School   Classical School   Conflict Criminology   Environmental Criminology   Feminist School   Frankfurt School   Integrative Criminology   Italian School   Left Realism   Marxist Criminology   Neo-classical school   Positivist School   Postmodernist School   Right Realism                   In sociology and criminology , strain theory states that social structures within society may pressure citizens to commit crime . Following on the work of Émile Durkheim , strain theories have been advanced by Robert King Merton ( 1938 ) , Albert K. Cohen ( 1955 ) , Richard Cloward , Lloyd Ohlin ( 1960 ) , Neil Smelser ( 1963 ) , Robert Agnew ( 1992 ) , Steven Messner and Richard Rosenfeld ( 1994 ) .     Contents  ( hide )   1 Strain theory   1.1 Merton 's theory     2 Derived theories   2.1 General strain theory   2.2 Institutional anomie theory   2.3 Illegitimate opportunities theory     3 Other strain theorists   3.1 Robert Agnew   3.2 Jie Zhang     4 Criticism   5 Studies   6 See also   7 References   8 External links      Strain theory ( edit )   Strain theory is a sociology and criminology theory developed in 1938 by Robert K. Merton . The theory states that society puts pressure on individuals to achieve socially accepted goals ( such as the American dream ) though they lack the means , this leads to strain which may lead the individuals to commit crimes . Examples being selling drugs or becoming involved in prostitution to gain financial security .   Strain may either be :    Structural : this refers to the processes at the societal level which filter down and affect how the individual perceives his or her needs , i.e. if particular social structures are inherently inadequate or there is inadequate regulation , this may change the individual 's perceptions as to means and opportunities ; or   Individual : this refers to the frictions and pains experienced by an individual as he or she looks for ways to satisfy his or her needs , i.e. if the goals of a society become significant to an individual , actually achieving them may become more important than the means adopted .    Merton 's theory ( edit )   Robert King Merton was an American sociologist who argued that society can encourage deviance to a large degree . Merton believed that socially accepted goals put pressure on people to conform . People are forced to work within the system or become members of a deviant subculture to achieve the desired goal . Merton 's belief became the theory known as Strain Theory . Merton continued on to say when individuals are faced with a gap between their goals ( usually finances / money related ) and their current status , strain occurs . When faced with strain , people have five ways to adapt :    Conformity : pursuing cultural goals through socially approved means . ( `` Hopeful poor '' )   Innovation : using socially unapproved or unconventional means to obtain culturally approved goals . Example : dealing drugs or stealing to achieve financial security . ( `` surviving poor '' )   Ritualism : using the same socially approved means to achieve less elusive goals ( more modest and humble ) . ( `` passive poor '' )   Retreatism : to reject both the cultural goals and the means to obtain it , then find a way to escape it . ( `` retreating poor '' )   Rebellion : to reject the cultural goals and means , then work to replace them . ( `` resisting poor '' )    Derived theories ( edit )   General strain theory ( edit )  Main article : General strain theory  General strain theory ( GST ) is a sociology and criminology theory developed in 1992 by Robert Agnew . Agnew believed that Merton 's theory was too vague in nature and did not account for criminal activity which did not involve financial gain . The core idea of general strain theory is that people who experience strain or stress become distressed or upset which may lead them to commit crime in order to cope . One of the key principle of this theory is emotion as the motivator for crime . The theory was developed to conceptualize the full range of sources in society where strain possibly comes from , which Merton 's strain theory does not . The theory also focuses on the perspective of goals for status , expectations and class rather than focusing on money ( as Merton 's theory does ) . Examples of General Strain Theory are people who use illegal drugs to make themselves feel better , or a student assaulting his peers to end the harassment they caused .   GST introduces 3 main sources of strain such as :    Loss of positive stimuli ( death of family or friend )   Presentation of negative stimuli ( physical and verbal assaults )   The inability to reach a desired goal .    Institutional Anomie theory ( edit )   Institutional anomie theory ( IAT ) is a criminology theory developed in 1994 in by Steven Messner and Richard Rosenfeld . The theory proposes that an institutional arrangement with a market , where the market / economy is allowed to operate / dominate without restraints from other social intuitions like family will likely cause criminal behavior . Derived from Merton 's Strain Theory , IAT expands on the macro levels of the theory . IAT 's focus centers on the criminal influences of varied social institutions , rather than just the economic structure .   Illegitimate opportunities theory ( edit )  Main article : Illegitimate opportunity  Illegitimate opportunities is a sociology theory developed in 1960 by Richard Cloward and Lloyd Ohlin . The theory states that crimes result from a high number of illegitimate opportunities and not from a lack of legitimate ones . The theory was created from Merton 's strain theory to help address juvenile delinquency .   Other strain theorists ( edit )   Robert Agnew ( edit )   In 1992 , Robert Agnew asserted that strain theory could be central in explaining crime and deviance , but that it needed revision so that it was not tied to social class or cultural variables , but re-focused on norms . To this end , Agnew proposed a general strain theory that is neither structural nor interpersonal but rather individual and emotional , paying special attention to an individual 's immediate social environment . He argued that an individual 's actual or anticipated failure to achieve positively valued goals , actual or anticipated removal of positively valued stimuli , and actual or anticipated presentation of negative stimuli all result in strain .   Anger and frustration confirm negative relationships . The resulting behavior patterns will often be characterized by more than their share of unilateral action because an individual will have a natural desire to avoid unpleasant rejections , and these unilateral actions ( especially when antisocial ) will further contribute to an individual 's alienation from society . If particular rejections are generalized into feelings that the environment is unsupportive , more strongly negative emotions may motivate the individual to engage in crime . This is most likely to be true for younger individuals , and Agnew suggested that research focus on the magnitude , recency , duration , and clustering of such strain - related events to determine whether a person copes with strain in a criminal or conforming manner . Temperament , intelligence , interpersonal skills , self - efficacy , the presence of conventional social support , and the absence of association with antisocial ( e.g. , criminally inclined ) age and status peers are chief among the factors Agnew identified as beneficial .   Jie Zhang ( edit )   The strain theory of suicide postulates that suicide is usually preceded by psychological strains . A psychological strain is formed by at least two stresses or pressures , pushing the individual to different directions . A strain can be a consequence of any of the four conflicts : differential values , discrepancy between aspiration and reality , relative deprivation , and lack of coping skills for a crisis . Psychological strains in the form of all the four sources have been tested and supported with a sample of suicide notes in the United States and in rural China through psychological autopsy studies . The strain theory of suicide forms a challenge to the psychiatric model popular among the suicidologists in the world . The strain theory of suicide is based on the theoretical frameworks established by previous sociologists , e.g. Durkheim ( 1951 ) , Merton ( 1957 ) , and Agnew ( 2006 ) , and preliminary tests have been accomplished with some American ( Zhang and Lester 2008 ) and Chinese data ( Zhang 2010 ; Zhang , Dong , Delprino , and Zhou 2009 ; Zhang , Wieczorek , Conwell , and Tu 2011 ) . There could be four types of strain that precede a suicide , and each can be derived from specific sources . A source of strain must consist of two , and at least two , conflicting social facts . If the two social facts are non-contradictory , there would be no strain .    Strain Source 1 : Differential Values    When two conflicting social values or beliefs are competing in an individual 's daily life , the person experiences value strain . The two conflicting social facts are competing personal beliefs internalized in the person 's value system . A cult member may experience strain if the mainstream culture and the cult religion are both considered important in the cult member 's daily life . Other examples include the second generation of immigrants in the United States who have to abide by the ethnic culture rules enforced in the family while simultaneously adapting to the American culture with peers and school . In China , rural young women appreciate gender egalitarianism advocated by the communist government , but at the same time , they are trapped in cultural sexual discrimination as traditionally cultivated by Confucianism . Another example that might be found in developing countries is the differential values of traditional collectivism and modern individualism . When the two conflicting values are taken as equally important in a person 's daily life , the person experiences great strain . When one value is more important than the other , there is then little or no strain .   Criticism ( edit )   Strain theory has received several criticisms , such as :    Strain theory best applies only to the lower class as they struggle with limited resources to obtain their goals .   Strain theory fails to explain white collar crime , the perpetrator of whom have many opportunities to achieve through legal and legitimate means .   Strain theory fails to explain crimes based in gender inequality .   Merton deals with individuals forms of responses instead of group activity which crime involves .   Merton 's theory is not very critical of the social structure that he says generate the strains .   Strain theory neglects the inter - and intra-personal aspect of crime .   Strain theory has weak empirical evidence supporting it .    Studies ( edit )   Strain theory was tested following its development . Most of these test examined ideal goals such as occupational goals and individual expectations , which would most ideally lead to crimes if not achieved under rule of strain theory . However , most of the research found that this was not the case . An example of these studies was a study done by Travis Hirschi in the 1969 . He analyzes a large body of data on delinquency collected in Western Contra Costa County , California that contrast with strain theory . These results and other criticisms lead to the abandonment of strain theory around the 1970s to the 80s .   See also ( edit )    Illegitimate opportunity    References ( edit )    ^ Jump up to : Merton , Robert ( 1938 ) . `` Social Structure and Anomie '' . American Sociological Review . 3 ( 5 ) : 672 -- 682 . doi : 10.2307 / 2084686 .   Jump up ^ Agnew , Robert ( 2001 ) . `` Building on the Foundation of General Strain Theory : Specifying the Types of Strain Most Likely to Lead to Crime and Delinquency '' . Journal of Research in Crime and Delinquency. 38 ( 4 ) : 319 -- 361 . doi : 10.1177 / 0022427801038004001 .   Jump up ^ Agnew , Robert ( 2014 ) . `` General Strain Theory '' . Journal of Research in Crime and Delinquency : 1892 -- 1900 .   Jump up ^ Agnew , Robert ( 2015 ) . `` General Strain Theory and Delinquency '' . The Handbook of Juvenile Delinquency and Juvenile Justice Krohn / The Handbook of Juvenile Delinquency and Juvenile Justice : 237 -- 256 .   Jump up ^ Paternoster , Raymond ; Mazerolle , Paul ( 1994 ) . `` General Strain Theory and Delinquency : A Replication and Extension '' . Journal of Research in Crime and Delinquency. 31 ( 3 ) : 235 -- 263 . doi : 10.1177 / 0022427894031003001 .   Jump up ^ Messner , Steven ; Rosenfeld , Richard ( 1997 ) . Crime and the American Dream . Belmont , CA : Wadsworth Pub. Co . access - date = requires url = ( help )   Jump up ^ Savolainen , Jukka . `` Institutional Anomie Theory '' . Oxford Bibliographies Online Datasets .   Jump up ^ Cloward , Richard ; Ohlin , Lloyd ( 1960 ) . Delinquency and opportunity : a theory of delinquent gangs . Glencoe , IL : Free Press .   Jump up ^ Bernard , T.J. ( 1984 ) . `` Control Criticisms of Strain Theories : An Assessment of Theoretical and Empirical Adequacy '' . Journal of Research in Crime and Delinquency. 21 ( 4 ) : 353 -- 372 . doi : 10.1177 / 0022427884021004005 . access - date = requires url = ( help )   Jump up ^ Kornhauser , Ruth ( 1978 ) . Social sources of delinquency : an appraisal of analytic models . Chicago : University of Chicago Press .   Jump up ^ Hirschi , Travis ( 1969 ) . Causes of Delinquency . Berkeley : University of California .    O'Grady W. ( 2011 ) . `` Crime in Canadian Context . '' Strain / anomie theory 92 - 94    Agnew , R ( 1992 ) . `` Foundation for a General Strain Theory '' . Criminology. 30 ( 1 ) : 47 -- 87 . doi : 10.1111 / j. 1745 - 9125.1992. tb01093. x .   Agnew , R. ; White , H. ( 1992 ) . `` An Empirical Test of General Strain Theory '' . Criminology. 30 ( 4 ) : 475 -- 99 . doi : 10.1111 / j. 1745 - 9125.1992. tb01113. x .   Agnew , R. ( 1997 ) . `` The Nature and Determinants of Strain : Another Look at Durkheim and Merton . '' pp. 27 -- 51 in The Future of Anomie Theory , edited by R. Agnew and N. Passas . Boston : Northeastern University Press .   Agnew , R. ( 2009 ) . `` Revitalizing Merton : General Strain Theory . '' Advances in Criminological Theory : The Origins of American Criminology , Volume 16 , edited by F.T. Cullen , F. Adler , C.L. Johnson , and A.J. Meyer . New Brunswick , NJ : Transaction .   Akers , R. ( 2000 ) . Criminological Theories : Introduction , Evaluation , and Application . Los Angeles : Roxbury .   Cloward , R ( 1959 ) . `` Illegitimate Means , Anomie and Deviant Behavior '' . American Sociological Review . 24 ( 2 ) : 164 -- 76 . doi : 10.2307 / 2089427 .   Cloward , R. &amp; Ohlin , L. ( 1960 ) . Delinquency and Opportunity . NY : Free Press .   Cohen , A. ( 1955 ) . Delinquent Boys . NY : Free Press .   Cohen , A ( 1965 ) . `` The Sociology of the Deviant Act : Anomie Theory and Beyond '' . American Sociological Review . 30 : 5 -- 14 . doi : 10.2307 / 2091770 .   Cohen , A ( 1977 ) . `` The Concept of Criminal Organization '' . British Journal of Criminology. 17 : 97 -- 111 . doi : 10.1093 / oxfordjournals. bjc. a046820 .   Dubin , R ( 1959 ) . `` Deviant Behavior and Social Structure : Continuities in Social Theory '' . American Sociological Review . 24 : 147 -- 163 . doi : 10.2307 / 2089426 .   Durkheim , E. ( 1897 / 1997 ) . Suicide . NY : Free Press .   Featherstone , R. &amp; Deflem , M. ( 2003 ) . `` Anomie and Strain : Context and Consequences of Merton 's Two Theories . '' Sociological Inquiry 73 ( 4 ) : 471 - 489 .   Hirschi , T. ( 1969 ) . Causes of Delinquency . Berkeley : University of California Press .   Marwah , Sanjay , and Mathieu Deflem. 2006 . '' Revisiting Merton : Continuities in the Theory of Anomie - and - Opportunity - Structures . '' pp. 57 -- 76 in Sociological Theory and Criminological Research : Views from Europe and the United States , ed . M. Deflem . Amsterdam : Elsevier / JAI Press .   Messner , S &amp; Rosenfeld , R. ( 1994 ) . Crime and the American Dream . Belmont : Wadsworth .   Polk , K ( 1969 ) . `` Class , Strain and Rebellion Among Adolescents '' . Social Problems . 17 : 214 -- 24 . doi : 10.2307 / 799867 .   Polk , K. , &amp; Schafer , W. ( eds . ) . ( 1972 ) . Schools and Delinquency . Englewood Cliffs , NJ : Prentice - Hall .   Agnew , Robert . 2006 . `` General Strain Theory : Current Status and Directions for Further Research . '' pp. 101 -- 123 in Taking Stock : The Status of Criminological Theory - Advances in Criminological Theory , edited by F.T. Cullen , J.P. Wright , and K. Blevins . New Brunswick , NJ : Transaction .   Durkheim , Emile . 1951 . Suicide : A Study in Sociology . New York : Free Press ( Original work published in 1897 ) .   IOM , ( Institute of Medicine ) . 2002 . Reducing suicide : An American imperative . Washington , D.C. : National Academy Press .   Mann , J.J. ; Waternaux , C. ; Haas , G.L. ; Malone , K.M. ( 1999 ) . `` Toward a clinical model of suicidal behavior in psychiatric patients '' . American Journal of Psychiatry . 156 : 181 -- 189 . doi : 10.1176 / ajp. 156.2. 181 .   Merton , R.K. 1957 . Social Theory and Social Structure , rev . ed . New York : Free Press .   NIMH. 2003 . Research on Reduction and Prevention of Suicidality : National Institute of Mental Health .   Phillips , Michael R ; Yang , Gonghuan ; Zhang , Yanping ; Wang , L. ; Ji , H. ; Zhou , M. ( 2002 ) . `` Risk factors for suicide in China : a national case - control psychological autopsy study '' . The Lancet . 360 : 1728 -- 1736 . doi : 10.1016 / s0140 - 6736 ( 02 ) 11681 - 3 .   Spitzer , R.L. , J.B.W. Williams , M. Gibbon , and A.B. First . 1988 . Instruction Manual for the Structured Clinical Interview for DSM - III - R ( SCID , 6 / 1 / 88 Revision ) . New York : Biometrics Research Department , New York State Psychiatric Institute .   Zhang , Jie ( 2010 ) . `` Marriage and Suicide among Chinese Rural Young Women '' . Social Forces . 89 : 311 -- 326 . doi : 10.1353 / sof. 2010.0065 .   Zhang , Jie ; Dong , Nini ; Delprino , Robert ; Zhou , Li ( 2009 ) . `` Psychological Strains Found From In - Depth Interviews With 105 Chinese Rural Youth Suicides '' . Archives of Suicide Research . 13 : 185 -- 194 . doi : 10.1080 / 13811110902835155 .   Zhang , Jie and Shenghua Jin. 1998 . `` Interpersonal relations and suicide ideation in China . '' Genetic , Social , and General Psychology Monographs 124 : 79 - 94 .   Zhang , Jie ; Lester , David ( 2008 ) . `` Psychological Tensions Found in Suicide Notes : A Test for the Strain Theory of Suicide '' . Archives of Suicide Research . 12 : 67 -- 73 . doi : 10.1080 / 13811110701800962 .   Zhang , Jie ; Wieczorek , William F. ; Conwell , Yeates ; Ming Tu , Xin ( 2011 ) . `` Psychological strains and youth suicide in rural China '' . Social Science &amp; Medicine . 72 : 2003 -- 2010 . doi : 10.1016 / j. socscimed. 2011.03. 048 .   Zhang , Jie. 2000 . `` Gender differences in athletic performance and their implications in gender ratios of suicide : A comparison between the USA and China . '' Omega : Journal of Death and Dying 41 : 117 - 123 .    External links ( edit )    Merton and the Strain Theory   Retrieved from `` https://en.wikipedia.org/w/index.php?title=Strain_theory_(sociology)&amp;oldid=815205973 '' Categories :   Criminology   Structuralism   Crime   Sociological theories   Hidden categories :   Pages using citations with accessdate and no URL   Articles lacking in - text citations from September 2012   All articles lacking in - text citations           Talk                                           Contents                   About Wikipedia                                           Nederlands   </t>
    </r>
    <r>
      <rPr>
        <sz val="11"/>
        <color rgb="FF000000"/>
        <rFont val="Noto Sans CJK SC"/>
        <family val="2"/>
      </rPr>
      <t xml:space="preserve">中文   </t>
    </r>
    <r>
      <rPr>
        <sz val="11"/>
        <color rgb="FF000000"/>
        <rFont val="Calibri"/>
        <family val="0"/>
        <charset val="1"/>
      </rPr>
      <t xml:space="preserve">Edit links   This page was last edited on 13 December 2017 , at 12 : 01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</si>
  <si>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theorist who developed general strain theory</t>
  </si>
  <si>
    <t xml:space="preserve"> In sociology and criminology , strain theory states that social structures within society may pressure citizens to commit crime . Following on the work of Émile Durkheim , strain theories have been advanced by Robert King Merton ( 1938 ) , Albert K. Cohen ( 1955 ) , Richard Cloward , Lloyd Ohlin ( 1960 ) , Neil Smelser ( 1963 ) , Robert Agnew ( 1992 ) , Steven Messner and Richard Rosenfeld ( 1994 ) . </t>
  </si>
  <si>
    <t xml:space="preserve">Leg bone - wikipedia  Leg bone  Lower portion of a human skeleton  A leg bone is a bone found in the leg . These can include any the following :    Femur -- the bone in the thigh   Patella -- the knee cap   Tibia -- the shin bone , the larger of the two leg bones located below the knee cap   Fibula -- the smaller of the two leg bones located below the knee cap        This article includes a list of related items that share the same name ( or similar names ) . If an internal link incorrectly led you here , you may wish to change the link to point directly to the intended article .    Retrieved from `` https://en.wikipedia.org/w/index.php?title=Leg_bone&amp;oldid=837175733 '' Categories :   Set indices   Bones of the lower limb   Hidden categories :   All set index articles           Talk                                                             About Wikipedia                                           Add links   This page was last edited on 19 April 2018 , at 05 : 31 ( UTC ) .         About Wikipedia                    </t>
  </si>
  <si>
    <t xml:space="preserve">name the bones that form the leg or lower limb</t>
  </si>
  <si>
    <t xml:space="preserve">  Femur -- the bone in the thigh   Patella -- the knee cap   Tibia -- the shin bone , the larger of the two leg bones located below the knee cap   Fibula -- the smaller of the two leg bones located below the knee cap  </t>
  </si>
  <si>
    <t xml:space="preserve">PageRank - Wikipedia  PageRank  Jump to : navigation , search `` Google search algorithm '' redirects here . For other search algorithms used by Google , see Google Penguin , Google Panda , and Google Hummingbird .      This article needs to be updated . Please update this article to reflect recent events or newly available information . ( January 2017 )    Mathematical PageRanks for a simple network , expressed as percentages . ( Google uses a logarithmic scale . ) Page C has a higher PageRank than Page E , even though there are fewer links to C ; the one link to C comes from an important page and hence is of high value . If web surfers who start on a random page have an 85 % likelihood of choosing a random link from the page they are currently visiting , and a 15 % likelihood of jumping to a page chosen at random from the entire web , they will reach Page E 8.1 % of the time . ( The 15 % likelihood of jumping to an arbitrary page corresponds to a damping factor of 85 % . ) Without damping , all web surfers would eventually end up on Pages A , B , or C , and all other pages would have PageRank zero . In the presence of damping , Page A effectively links to all pages in the web , even though it has no outgoing links of its own .  PageRank ( PR ) is an algorithm used by Google Search to rank websites in their search engine results . PageRank was named after Larry Page , one of the founders of Google . PageRank is a way of measuring the importance of website pages . According to Google :   PageRank works by counting the number and quality of links to a page to determine a rough estimate of how important the website is . The underlying assumption is that more important websites are likely to receive more links from other websites .   It is not the only algorithm used by Google to order search engine results , but it is the first algorithm that was used by the company , and it is the best - known .   Contents  ( hide )   1 Description   2 History   3 Algorithm   3.1 Simplified algorithm   3.2 Damping factor   3.3 Computation   3.3. 1 Iterative   3.3. 2 Algebraic   3.3. 3 Power Method       4 Variations   4.1 PageRank of an undirected graph   4.2 Distributed algorithm for PageRank computation   4.3 Google Toolbar   4.4 SERP rank   4.5 Google directory PageRank   4.6 False or spoofed PageRank   4.7 Manipulating PageRank   4.8 Directed Surfer Model     5 Social components   6 Other uses   7 nofollow   8 Deprecation   9 See also   10 References   10.1 Citations   10.2 Sources     11 Relevant patents   12 External links      Description ( edit )  Cartoon illustrating the basic principle of PageRank . The size of each face is proportional to the total size of the other faces which are pointing to it .  PageRank is a link analysis algorithm and it assigns a numerical weighting to each element of a hyperlinked set of documents , such as the World Wide Web , with the purpose of `` measuring '' its relative importance within the set . The algorithm may be applied to any collection of entities with reciprocal quotations and references . The numerical weight that it assigns to any given element E is referred to as the PageRank of E and denoted by P R ( E ) . ( \ displaystyle PR ( E ) . ) Other factors like Author Rank can contribute to the importance of an entity .   A PageRank results from a mathematical algorithm based on the webgraph , created by all World Wide Web pages as nodes and hyperlinks as edges , taking into consideration authority hubs such as cnn.com or usa.gov . The rank value indicates an importance of a particular page . A hyperlink to a page counts as a vote of support . The PageRank of a page is defined recursively and depends on the number and PageRank metric of all pages that link to it ( `` incoming links '' ) . A page that is linked to by many pages with high PageRank receives a high rank itself .   Numerous academic papers concerning PageRank have been published since Page and Brin 's original paper . In practice , the PageRank concept may be vulnerable to manipulation . Research has been conducted into identifying falsely influenced PageRank rankings . The goal is to find an effective means of ignoring links from documents with falsely influenced PageRank .   Other link - based ranking algorithms for Web pages include the HITS algorithm invented by Jon Kleinberg ( used by Teoma and now Ask.com ) , the IBM CLEVER project , the TrustRank algorithm and the hummingbird algorithm .   History ( edit )   The eigenvalue problem was suggested in 1976 by Gabriel Pinski and Francis Narin , who worked on scientometrics ranking scientific journals , in 1977 by Thomas Saaty in his concept of Analytic Hierarchy Process which weighted alternative choices , and in 1995 by Bradley Love and Steven Sloman as a cognitive model for concepts , the centrality algorithm .   PageRank was developed at Stanford University by Larry Page and Sergey Brin in 1996 as part of a research project about a new kind of search engine . Sergey Brin had the idea that information on the web could be ordered in a hierarchy by `` link popularity '' : A page is ranked higher as there are more links to it . It was co-authored by Rajeev Motwani and Terry Winograd . The first paper about the project , describing PageRank and the initial prototype of the Google search engine , was published in 1998 : shortly after , Page and Brin founded Google Inc. , the company behind the Google search engine . While just one of many factors that determine the ranking of Google search results , PageRank continues to provide the basis for all of Google 's web search tools .   The name `` PageRank '' plays off of the name of developer Larry Page , as well as the concept of a web page . The word is a trademark of Google , and the PageRank process has been patented ( U.S. Patent 6,285,999 ) . However , the patent is assigned to Stanford University and not to Google . Google has exclusive license rights on the patent from Stanford University . The university received 1.8 million shares of Google in exchange for use of the patent ; the shares were sold in 2005 for $ 336 million .   PageRank was influenced by citation analysis , early developed by Eugene Garfield in the 1950s at the University of Pennsylvania , and by Hyper Search , developed by Massimo Marchiori at the University of Padua . In the same year PageRank was introduced ( 1998 ) , Jon Kleinberg published his important work on HITS . Google 's founders cite Garfield , Marchiori , and Kleinberg in their original papers .   A small search engine called `` RankDex '' from IDD Information Services designed by Robin Li was , since 1996 , already exploring a similar strategy for site - scoring and page ranking . The technology in RankDex was patented by 1999 and used later when Li founded Baidu in China . Larry Page referenced Li 's work in some of his U.S. patents for PageRank .   Algorithm ( edit )   The PageRank algorithm outputs a probability distribution used to represent the likelihood that a person randomly clicking on links will arrive at any particular page . PageRank can be calculated for collections of documents of any size . It is assumed in several research papers that the distribution is evenly divided among all documents in the collection at the beginning of the computational process . The PageRank computations require several passes , called `` iterations '' , through the collection to adjust approximate PageRank values to more closely reflect the theoretical true value .   A probability is expressed as a numeric value between 0 and 1 . A 0.5 probability is commonly expressed as a `` 50 % chance '' of something happening . Hence , a PageRank of 0.5 means there is a 50 % chance that a person clicking on a random link will be directed to the document with the 0.5 PageRank .   Simplified algorithm ( edit )   Assume a small universe of four web pages : A , B , C and D. Links from a page to itself , or multiple outbound links from one single page to another single page , are ignored . PageRank is initialized to the same value for all pages . In the original form of PageRank , the sum of PageRank over all pages was the total number of pages on the web at that time , so each page in this example would have an initial value of 1 . However , later versions of PageRank , and the remainder of this section , assume a probability distribution between 0 and 1 . Hence the initial value for each page in this example is 0.25 .   The PageRank transferred from a given page to the targets of its outbound links upon the next iteration is divided equally among all outbound links .   If the only links in the system were from pages B , C , and D to A , each link would transfer 0.25 PageRank to A upon the next iteration , for a total of 0.75 .    P R ( A ) = P R ( B ) + P R ( C ) + P R ( D ) . ( \ displaystyle PR ( A ) = PR ( B ) + PR ( C ) + PR ( D ). \ , )    Suppose instead that page B had a link to pages C and A , page C had a link to page A , and page D had links to all three pages . Thus , upon the first iteration , page B would transfer half of its existing value , or 0.125 , to page A and the other half , or 0.125 , to page C. Page C would transfer all of its existing value , 0.25 , to the only page it links to , A. Since D had three outbound links , it would transfer one third of its existing value , or approximately 0.083 , to A. At the completion of this iteration , page A will have a PageRank of approximately 0.458 .    P R ( A ) = P R ( B ) 2 + P R ( C ) 1 + P R ( D ) 3 . ( \ displaystyle PR ( A ) = ( \ frac ( PR ( B ) ) ( 2 ) ) + ( \ frac ( PR ( C ) ) ( 1 ) ) + ( \ frac ( PR ( D ) ) ( 3 ) ). \ , )    In other words , the PageRank conferred by an outbound link is equal to the document 's own PageRank score divided by the number of outbound links L ( ) .    P R ( A ) = P R ( B ) L ( B ) + P R ( C ) L ( C ) + P R ( D ) L ( D ) . ( \ displaystyle PR ( A ) = ( \ frac ( PR ( B ) ) ( L ( B ) ) ) + ( \ frac ( PR ( C ) ) ( L ( C ) ) ) + ( \ frac ( PR ( D ) ) ( L ( D ) ) ). \ , )    In the general case , the PageRank value for any page u can be expressed as :    P R ( u ) = ∑ v ∈ B u P R ( v ) L ( v ) ( \ displaystyle PR ( u ) = \ sum _ ( v \ in B_ ( u ) ) ( \ frac ( PR ( v ) ) ( L ( v ) ) ) ) ,    i.e. the PageRank value for a page u is dependent on the PageRank values for each page v contained in the set B ( the set containing all pages linking to page u ) , divided by the number L ( v ) of links from page v .   Damping factor ( edit )   The PageRank theory holds that an imaginary surfer who is randomly clicking on links will eventually stop clicking . The probability , at any step , that the person will continue is a damping factor d . Various studies have tested different damping factors , but it is generally assumed that the damping factor will be set around 0.85 .   The damping factor is subtracted from 1 ( and in some variations of the algorithm , the result is divided by the number of documents ( N ) in the collection ) and this term is then added to the product of the damping factor and the sum of the incoming PageRank scores . That is ,    P R ( A ) = 1 − d N + d ( P R ( B ) L ( B ) + P R ( C ) L ( C ) + P R ( D ) L ( D ) + ⋯ ) . ( \ displaystyle PR ( A ) = ( 1 - d \ over N ) + d \ left ( ( \ frac ( PR ( B ) ) ( L ( B ) ) ) + ( \ frac ( PR ( C ) ) ( L ( C ) ) ) + ( \ frac ( PR ( D ) ) ( L ( D ) ) ) + \ , \ cdots \ right ) . )    So any page 's PageRank is derived in large part from the PageRanks of other pages . The damping factor adjusts the derived value downward . The original paper , however , gave the following formula , which has led to some confusion :    P R ( A ) = 1 − d + d ( P R ( B ) L ( B ) + P R ( C ) L ( C ) + P R ( D ) L ( D ) + ⋯ ) . ( \ displaystyle PR ( A ) = 1 - d + d \ left ( ( \ frac ( PR ( B ) ) ( L ( B ) ) ) + ( \ frac ( PR ( C ) ) ( L ( C ) ) ) + ( \ frac ( PR ( D ) ) ( L ( D ) ) ) + \ , \ cdots \ right ) . )    The difference between them is that the PageRank values in the first formula sum to one , while in the second formula each PageRank is multiplied by N and the sum becomes N. A statement in Page and Brin 's paper that `` the sum of all PageRanks is one '' and claims by other Google employees support the first variant of the formula above .   Page and Brin confused the two formulas in their most popular paper `` The Anatomy of a Large - Scale Hypertextual Web Search Engine '' , where they mistakenly claimed that the latter formula formed a probability distribution over web pages .   Google recalculates PageRank scores each time it crawls the Web and rebuilds its index . As Google increases the number of documents in its collection , the initial approximation of PageRank decreases for all documents .   The formula uses a model of a random surfer who gets bored after several clicks and switches to a random page . The PageRank value of a page reflects the chance that the random surfer will land on that page by clicking on a link . It can be understood as a Markov chain in which the states are pages , and the transitions , which are all equally probable , are the links between pages .   If a page has no links to other pages , it becomes a sink and therefore terminates the random surfing process . If the random surfer arrives at a sink page , it picks another URL at random and continues surfing again .   When calculating PageRank , pages with no outbound links are assumed to link out to all other pages in the collection . Their PageRank scores are therefore divided evenly among all other pages . In other words , to be fair with pages that are not sinks , these random transitions are added to all nodes in the Web , with a residual probability usually set to d = 0.85 , estimated from the frequency that an average surfer uses his or her browser 's bookmark feature .   So , the equation is as follows :    P R ( p i ) = 1 − d N + d ∑ p j ∈ M ( p i ) P R ( p j ) L ( p j ) ( \ displaystyle PR ( p_ ( i ) ) = ( \ frac ( 1 - d ) ( N ) ) + d \ sum _ ( p_ ( j ) \ in M ( p_ ( i ) ) ) ( \ frac ( PR ( p_ ( j ) ) ) ( L ( p_ ( j ) ) ) ) )    where p 1 , p 2 , ... , p N ( \ displaystyle p_ ( 1 ) , p_ ( 2 ) , ... , p_ ( N ) ) are the pages under consideration , M ( p i ) ( \ displaystyle M ( p_ ( i ) ) ) is the set of pages that link to p i ( \ displaystyle p_ ( i ) ) , L ( p j ) ( \ displaystyle L ( p_ ( j ) ) ) is the number of outbound links on page p j ( \ displaystyle p_ ( j ) ) , and N ( \ displaystyle N ) is the total number of pages .   The PageRank values are the entries of the dominant right eigenvector of the modified adjacency matrix . This makes PageRank a particularly elegant metric : the eigenvector is    R = ( P R ( p 1 ) P R ( p 2 ) ⋮ P R ( p N ) ) ( \ displaystyle \ mathbf ( R ) = ( \ begin ( bmatrix ) PR ( p_ ( 1 ) ) \ \ PR ( p_ ( 2 ) ) \ \ \ vdots \ \ PR ( p_ ( N ) ) \ end ( bmatrix ) ) )    where R is the solution of the equation    R = ( ( 1 − d ) / N ( 1 − d ) / N ⋮ ( 1 − d ) / N ) + d ( l ( p 1 , p 1 ) l ( p 1 , p 2 ) ⋯ l ( p 1 , p N ) l ( p 2 , p 1 ) ⋱ ⋮ ⋮ l ( p i , p j ) l ( p N , p 1 ) ⋯ l ( p N , p N ) ) R ( \ displaystyle \ mathbf ( R ) = ( \ begin ( bmatrix ) ( ( 1 - d ) / N ) \ \ ( ( 1 - d ) / N ) \ \ \ vdots \ \ ( ( 1 - d ) / N ) \ end ( bmatrix ) ) + d ( \ begin ( bmatrix ) \ ell ( p_ ( 1 ) , p_ ( 1 ) ) &amp; \ ell ( p_ ( 1 ) , p_ ( 2 ) ) &amp; \ cdots &amp; \ ell ( p_ ( 1 ) , p_ ( N ) ) \ \ \ ell ( p_ ( 2 ) , p_ ( 1 ) ) &amp; \ ddots &amp;&amp; \ vdots \ \ \ vdots &amp;&amp; \ ell ( p_ ( i ) , p_ ( j ) ) &amp; \ \ \ ell ( p_ ( N ) , p_ ( 1 ) ) &amp; \ cdots &amp;&amp; \ ell ( p_ ( N ) , p_ ( N ) ) \ end ( bmatrix ) ) \ mathbf ( R ) )    where the adjacency function l ( p i , p j ) ( \ displaystyle \ ell ( p_ ( i ) , p_ ( j ) ) ) is 0 if page p j ( \ displaystyle p_ ( j ) ) does not link to p i ( \ displaystyle p_ ( i ) ) , and normalized such that , for each j    ∑ i = 1 N l ( p i , p j ) = 1 ( \ displaystyle \ sum _ ( i = 1 ) ^ ( N ) \ ell ( p_ ( i ) , p_ ( j ) ) = 1 ) ,    i.e. the elements of each column sum up to 1 , so the matrix is a stochastic matrix ( for more details see the computation section below ) . Thus this is a variant of the eigenvector centrality measure used commonly in network analysis .   Because of the large eigengap of the modified adjacency matrix above , the values of the PageRank eigenvector can be approximated to within a high degree of accuracy within only a few iterations .   Google 's founders , in their original paper , reported that the PageRank algorithm for a network consisting of 322 million links ( in - edges and out - edges ) converges to within a tolerable limit in 52 iterations . The convergence in a network of half the above size took approximately 45 iterations . Through this data , they concluded the algorithm can be scaled very well and that the scaling factor for extremely large networks would be roughly linear in log ⁡ n ( \ displaystyle \ log n ) , where n is the size of the network .   As a result of Markov theory , it can be shown that the PageRank of a page is the probability of arriving at that page after a large number of clicks . This happens to equal t − 1 ( \ displaystyle t ^ ( - 1 ) ) where t ( \ displaystyle t ) is the expectation of the number of clicks ( or random jumps ) required to get from the page back to itself .   One main disadvantage of PageRank is that it favors older pages . A new page , even a very good one , will not have many links unless it is part of an existing site ( a site being a densely connected set of pages , such as Wikipedia ) .   Several strategies have been proposed to accelerate the computation of PageRank .   Various strategies to manipulate PageRank have been employed in concerted efforts to improve search results rankings and monetize advertising links . These strategies have severely impacted the reliability of the PageRank concept , which purports to determine which documents are actually highly valued by the Web community .   Since December 2007 , when it started actively penalizing sites selling paid text links , Google has combatted link farms and other schemes designed to artificially inflate PageRank . How Google identifies link farms and other PageRank manipulation tools is among Google 's trade secrets .   Computation ( edit )   PageRank can be computed either iteratively or algebraically . The iterative method can be viewed as the power iteration method or the power method . The basic mathematical operations performed are identical .  Iterative ( edit )  At t = 0 ( \ displaystyle t = 0 ) , an initial probability distribution is assumed , usually    P R ( p i ; 0 ) = 1 N ( \ displaystyle PR ( p_ ( i ) ; 0 ) = ( \ frac ( 1 ) ( N ) ) ) .    At each time step , the computation , as detailed above , yields    P R ( p i ; t + 1 ) = 1 − d N + d ∑ p j ∈ M ( p i ) P R ( p j ; t ) L ( p j ) ( \ displaystyle PR ( p_ ( i ) ; t + 1 ) = ( \ frac ( 1 - d ) ( N ) ) + d \ sum _ ( p_ ( j ) \ in M ( p_ ( i ) ) ) ( \ frac ( PR ( p_ ( j ) ; t ) ) ( L ( p_ ( j ) ) ) ) ) ,    or in matrix notation    R ( t + 1 ) = d M R ( t ) + 1 − d N 1 ( \ displaystyle \ mathbf ( R ) ( t + 1 ) = d ( \ mathcal ( M ) ) \ mathbf ( R ) ( t ) + ( \ frac ( 1 - d ) ( N ) ) \ mathbf ( 1 ) ) , ( * )    where R i ( t ) = P R ( p i ; t ) ( \ displaystyle \ mathbf ( R ) _ ( i ) ( t ) = PR ( p_ ( i ) ; t ) ) and 1 ( \ displaystyle \ mathbf ( 1 ) ) is the column vector of length N ( \ displaystyle N ) containing only ones .   The matrix M ( \ displaystyle ( \ mathcal ( M ) ) ) is defined as    M i j = ( 1 / L ( p j ) , if j links to i 0 , otherwise ( \ displaystyle ( \ mathcal ( M ) ) _ ( ij ) = ( \ begin ( cases ) 1 / L ( p_ ( j ) ) , &amp; ( \ mbox ( if ) ) j ( \ mbox ( links to ) ) i \ \ \ 0 , &amp; ( \ mbox ( otherwise ) ) \ end ( cases ) ) )    i.e. ,    M : = ( K − 1 A ) T ( \ displaystyle ( \ mathcal ( M ) ) : = ( K ^ ( - 1 ) A ) ^ ( T ) ) ,    where A ( \ displaystyle A ) denotes the adjacency matrix of the graph and K ( \ displaystyle K ) is the diagonal matrix with the outdegrees in the diagonal .   The computation ends when for some small ε ( \ displaystyle \ epsilon )    R ( t + 1 ) − R ( t )    i.e. , when convergence is assumed .  Algebraic ( edit )  -- For t → ∞ ( \ displaystyle t \ to \ infty ) ( i.e. , in the steady state ) , the above equation ( * ) reads    R = d M R + 1 − d N 1 ( \ displaystyle \ mathbf ( R ) = d ( \ mathcal ( M ) ) \ mathbf ( R ) + ( \ frac ( 1 - d ) ( N ) ) \ mathbf ( 1 ) ) . ( * * )    The solution is given by    R = ( I − d M ) − 1 1 − d N 1 ( \ displaystyle \ mathbf ( R ) = ( \ mathbf ( I ) - d ( \ mathcal ( M ) ) ) ^ ( - 1 ) ( \ frac ( 1 - d ) ( N ) ) \ mathbf ( 1 ) ) ,    with the identity matrix I ( \ displaystyle \ mathbf ( I ) ) .   The solution exists and is unique for 0  Power method ( edit )  If the matrix M ( \ displaystyle ( \ mathcal ( M ) ) ) is a transition probability , i.e. , column - stochastic and R ( \ displaystyle \ mathbf ( R ) ) is a probability distribution ( i.e. , R = 1 ( \ displaystyle \ mathbf ( R ) = 1 ) , E R = 1 ( \ displaystyle \ mathbf ( E ) \ mathbf ( R ) = \ mathbf ( 1 ) ) where E ( \ displaystyle \ mathbf ( E ) ) is matrix of all ones ) , Eq. ( * * ) is equivalent to    R = ( d M + 1 − d N E ) R = : M ^ R ( \ displaystyle \ mathbf ( R ) = \ left ( d ( \ mathcal ( M ) ) + ( \ frac ( 1 - d ) ( N ) ) \ mathbf ( E ) \ right ) \ mathbf ( R ) = : ( \ widehat ( \ mathcal ( M ) ) ) \ mathbf ( R ) ) . ( * * * )    Hence PageRank R ( \ displaystyle \ mathbf ( R ) ) is the principal eigenvector of M ^ ( \ displaystyle ( \ widehat ( \ mathcal ( M ) ) ) ) . A fast and easy way to compute this is using the power method : starting with an arbitrary vector x ( 0 ) ( \ displaystyle x ( 0 ) ) , the operator M ^ ( \ displaystyle ( \ widehat ( \ mathcal ( M ) ) ) ) is applied in succession , i.e. ,    x ( t + 1 ) = M ^ x ( t ) ( \ displaystyle x ( t + 1 ) = ( \ widehat ( \ mathcal ( M ) ) ) x ( t ) ) ,    until    x ( t + 1 ) − x ( t )    Note that in Eq . ( * * * ) the matrix on the right - hand side in the parenthesis can be interpreted as    1 − d N E = ( 1 − d ) P 1 t ( \ displaystyle ( \ frac ( 1 - d ) ( N ) ) \ mathbf ( E ) = ( 1 - d ) \ mathbf ( P ) \ mathbf ( 1 ) ^ ( t ) ) ,    where P ( \ displaystyle \ mathbf ( P ) ) is an initial probability distribution . In the current case    P : = 1 N 1 ( \ displaystyle \ mathbf ( P ) : = ( \ frac ( 1 ) ( N ) ) \ mathbf ( 1 ) ) .    Finally , if M ( \ displaystyle ( \ mathcal ( M ) ) ) has columns with only zero values , they should be replaced with the initial probability vector P ( \ displaystyle \ mathbf ( P ) ) . In other words ,    M ′ : = M + D ( \ displaystyle ( \ mathcal ( M ) ) ^ ( \ prime ) : = ( \ mathcal ( M ) ) + ( \ mathcal ( D ) ) ) ,    where the matrix D ( \ displaystyle ( \ mathcal ( D ) ) ) is defined as    D : = P D t ( \ displaystyle ( \ mathcal ( D ) ) : = \ mathbf ( P ) \ mathbf ( D ) ^ ( t ) ) ,    with    D i = ( 1 , if L ( p i ) = 0 0 , otherwise ( \ displaystyle \ mathbf ( D ) _ ( i ) = ( \ begin ( cases ) 1 , &amp; ( \ mbox ( if ) ) L ( p_ ( i ) ) = 0 \ \ \ 0 , &amp; ( \ mbox ( otherwise ) ) \ end ( cases ) ) )    In this case , the above two computations using M ( \ displaystyle ( \ mathcal ( M ) ) ) only give the same PageRank if their results are normalized :    R power = R iterative R iterative = R algebraic R algebraic ( \ displaystyle \ mathbf ( R ) _ ( \ textrm ( power ) ) = ( \ frac ( \ mathbf ( R ) _ ( \ textrm ( iterative ) ) ) ( \ mathbf ( R ) _ ( \ textrm ( iterative ) ) ) ) = ( \ frac ( \ mathbf ( R ) _ ( \ textrm ( algebraic ) ) ) ( \ mathbf ( R ) _ ( \ textrm ( algebraic ) ) ) ) ) .    PageRank MATLAB / Octave implementation  % Parameter M adjacency matrix where M_i , j represents the link from ' j ' to ' i ' , such that for all ' j ' % sum ( i , M_i , j ) = 1 % Parameter d damping factor % Parameter v_quadratic_error quadratic error for v % Return v , a vector of ranks such that v_i is the i - th rank from ( 0 , 1 ) function ( v ) = rank2 ( M , d , v_quadratic_error ) N = size ( M , 2 ) ; % N is equal to either dimension of M and the number of documents v = rand ( N , 1 ) ; v = v . / norm ( v , 1 ) ; % This is now L1 , not L2 last_v = ones ( N , 1 ) * inf ; M_hat = ( d . * M ) + ( ( ( 1 - d ) / N ) . * ones ( N , N ) ) ; while ( norm ( v - last_v , 2 ) &gt; v_quadratic_error ) last_v = v ; v = M_hat * v ; % removed the L2 norm of the iterated PR end endfunction  Example of code calling the rank function defined above :  M = ( 0 0 0 0 1 ; 0.5 0 0 0 0 ; 0.5 0 0 0 0 ; 0 1 0.5 0 0 ; 0 0 0.5 1 0 ) ; rank2 ( M , 0.80 , 0.001 )  This example takes 13 iterations to converge .   Variations ( edit )   PageRank of an undirected graph ( edit )   The PageRank of an undirected graph G is statistically close to the degree distribution of the graph G , but they are generally not identical : If R is the PageRank vector defined above , and D is the degree distribution vector    D = 1 2 E ( d e g ( p 1 ) d e g ( p 2 ) ⋮ d e g ( p N ) ) ( \ displaystyle D = ( 1 \ over 2 E ) ( \ begin ( bmatrix ) deg ( p_ ( 1 ) ) \ \ deg ( p_ ( 2 ) ) \ \ \ vdots \ \ deg ( p_ ( N ) ) \ end ( bmatrix ) ) )    where d e g ( p i ) ( \ displaystyle deg ( p_ ( i ) ) ) denotes the degree of vertex p i ( \ displaystyle p_ ( i ) ) , and E is the edge - set of the graph , then , with Y = 1 N 1 ( \ displaystyle Y = ( 1 \ over N ) \ mathbf ( 1 ) ) , by :   1 − d 1 + d ‖ Y − D ‖ 1 ≤ ‖ R − D ‖ 1 ≤ ‖ Y − D ‖ 1 , ( \ displaystyle ( 1 - d \ over 1 + d ) \ Y-D \ _ ( 1 ) \ leq \ R-D \ _ ( 1 ) \ leq \ Y-D \ _ ( 1 ) , )   that is , the PageRank of an undirected graph equals to the degree distribution vector if and only if the graph is regular , i.e. , every vertex has the same degree .   Distributed algorithm for PageRank computation ( edit )   There are simple and fast random walk - based distributed algorithms for computing PageRank of nodes in a network . They present a simple algorithm that takes O ( log ⁡ n / ε ) ( \ displaystyle O ( \ log n / \ epsilon ) ) rounds with high probability on any graph ( directed or undirected ) , where n is the network size and ε ( \ displaystyle \ epsilon ) is the reset probability ( 1 − ε ( \ displaystyle 1 - \ epsilon ) is also called as damping factor ) used in the PageRank computation . They also present a faster algorithm that takes O ( log ⁡ n / ε ) ( \ displaystyle O ( ( \ sqrt ( \ log n ) ) / \ epsilon ) ) rounds in undirected graphs . Both of the above algorithms are scalable , as each node processes and sends only small ( polylogarithmic in n , the network size ) number of bits per round .   Google Toolbar ( edit )   The Google Toolbar long had a PageRank feature which displayed a visited page 's PageRank as a whole number between 0 and 10 . The most popular websites displayed a PageRank of 10 . The least showed a PageRank of 0 . Google has not disclosed the specific method for determining a Toolbar PageRank value , which is to be considered only a rough indication of the value of a website . In March 2016 Google announced it would no longer support this feature , and the underlying API would soon cease to operate .   SERP rank ( edit )   The search engine results page ( SERP ) is the actual result returned by a search engine in response to a keyword query . The SERP consists of a list of links to web pages with associated text snippets . The SERP rank of a web page refers to the placement of the corresponding link on the SERP , where higher placement means higher SERP rank . The SERP rank of a web page is a function not only of its PageRank , but of a relatively large and continuously adjusted set of factors ( over 200 ) . Search engine optimization ( SEO ) is aimed at influencing the SERP rank for a website or a set of web pages .   Positioning of a webpage on Google SERPs for a keyword depends on relevance and reputation , also known as authority and popularity . PageRank is Google 's indication of its assessment of the reputation of a webpage : It is non-keyword specific . Google uses a combination of webpage and website authority to determine the overall authority of a webpage competing for a keyword . The PageRank of the HomePage of a website is the best indication Google offers for website authority .   After the introduction of Google Places into the mainstream organic SERP , numerous other factors in addition to PageRank affect ranking a business in Local Business Results .   Google Directory PageRank ( edit )   The Google Directory PageRank was an 8 - unit measurement . Unlike the Google Toolbar , which shows a numeric PageRank value upon mouseover of the green bar , the Google Directory only displayed the bar , never the numeric values . Google Directory was closed on July 20 , 2011 .   False or spoofed PageRank ( edit )   In the past , the PageRank shown in the Toolbar was easily manipulated . Redirection from one page to another , either via a HTTP 302 response or a `` Refresh '' meta tag , caused the source page to acquire the PageRank of the destination page . Hence , a new page with PR 0 and no incoming links could have acquired PR 10 by redirecting to the Google home page . This spoofing technique was a known vulnerability . Spoofing can generally be detected by performing a Google search for a source URL ; if the URL of an entirely different site is displayed in the results , the latter URL may represent the destination of a redirection .   Manipulating PageRank ( edit )   For search engine optimization purposes , some companies offer to sell high PageRank links to webmasters . As links from higher - PR pages are believed to be more valuable , they tend to be more expensive . It can be an effective and viable marketing strategy to buy link advertisements on content pages of quality and relevant sites to drive traffic and increase a webmaster 's link popularity . However , Google has publicly warned webmasters that if they are or were discovered to be selling links for the purpose of conferring PageRank and reputation , their links will be devalued ( ignored in the calculation of other pages ' PageRanks ) . The practice of buying and selling links is intensely debated across the Webmaster community . Google advises webmasters to use the nofollow HTML attribute value on sponsored links . According to Matt Cutts , Google is concerned about webmasters who try to game the system , and thereby reduce the quality and relevance of Google search results .   Directed surfer model ( edit )   A more intelligent surfer that probabilistically hops from page to page depending on the content of the pages and query terms the surfer that it is looking for . This model is based on a query - dependent PageRank score of a page which as the name suggests is also a function of query . When given a multiple - term query , Q = ( q1 , q2 , ... ) , the surfer selects aq according to some probability distribution , P ( q ) and uses that term to guide its behavior for a large number of steps . It then selects another term according to the distribution to determine its behavior , and so on . The resulting distribution over visited web pages is QD - PageRank .   Social components ( edit )   The PageRank algorithm has major effects on society as it contains a social influence . As opposed to the scientific viewpoint of PageRank as an algorithm the humanities instead view it through a lens examining its social components . In these instances , it is dissected and reviewed not for its technological advancement in the field of search engines , but for its societal influences .   Laura Granka discusses PageRank by describing how the pages are not simply ranked via popularity as they contain a reliability that gives them a trustworthy quality . This has led to a development of behavior that is directly linked to PageRank . PageRank is viewed as the definitive rank of products and businesses and thus , can manipulate thinking . The information that is available to individuals is what shapes thinking and ideology and PageRank is the device that displays this information . The results shown are the forum to which information is delivered to the public and these results have a societal impact as they will affect how a person thinks and acts .   Katja Mayer views PageRank as a social network as it connects differing viewpoints and thoughts in a single place . People go to PageRank for information and are flooded with citations of other authors who also have an opinion on the topic . This creates a social aspect where everything can be discussed and collected to provoke thinking . There is a social relationship that exists between PageRank and the people who use it as it is constantly adapting and changing to the shifts in modern society . Viewing the relationship between PageRank and the individual t</t>
  </si>
  <si>
    <t xml:space="preserve">which of the following best describes a major mechanism that search engines use to rank pages</t>
  </si>
  <si>
    <t xml:space="preserve"> PageRank is a link analysis algorithm and it assigns a numerical weighting to each element of a hyperlinked set of documents , such as the World Wide Web , with the purpose of `` measuring '' its relative importance within the set . The algorithm may be applied to any collection of entities with reciprocal quotations and references . The numerical weight that it assigns to any given element E is referred to as the PageRank of E and denoted by P R ( E ) . ( \ displaystyle PR ( E ) . ) Other factors like Author Rank can contribute to the importance of an entity . </t>
  </si>
  <si>
    <t xml:space="preserve">Better Call Saul - Wikipedia  Better Call Saul  Jump to : navigation , search This article is about the television series . For the Breaking Bad episode , see Better Call Saul ( Breaking Bad ) . For the Homeland episode , see Better Call Saul ( Homeland ) .    Better Call Saul         Genre   Crime drama Black comedy     Created by   Vince Gilligan Peter Gould     Starring   Bob Odenkirk Jonathan Banks Rhea Seehorn Patrick Fabian Michael Mando Michael McKean Giancarlo Esposito     Theme music composer   Little Barrie     Composer ( s )   Dave Porter     Country of origin   United States     Original language ( s )   English     No. of seasons       No. of episodes   30 ( list of episodes )     Production     Executive producer ( s )   Vince Gilligan Peter Gould Mark Johnson Melissa Bernstein Thomas Schnauz Gennifer Hutchison     Producer ( s )   Bob Odenkirk Nina Jack Diane Mercer Robin Sweet     Location ( s )   Albuquerque , New Mexico     Cinematography   Arthur Albert     Running time   42 -- 56 minutes     Production company ( s )   High Bridge Productions Crystal Diner Productions Gran Via Productions Sony Pictures Television     Distributor   Sony Pictures Television     Release     Original network   AMC     Original release   February 8 , 2015 ( 2015 - 02 - 08 ) -- present     Chronology     Preceded by   Breaking Bad     Related shows   Talking Saul     External links     Website     Better Call Saul is an American television crime drama series created by Vince Gilligan and Peter Gould . It is a spin - off prequel of Gilligan 's prior series Breaking Bad . Set in the early 2000s , Better Call Saul follows the story of small - time lawyer James Morgan `` Jimmy '' McGill ( Bob Odenkirk ) , six years before his appearance on Breaking Bad as Saul Goodman ; events after the original series are briefly explored as well .   The first season , which premiered on AMC on February 8 , 2015 , consists of 10 episodes . The show 's 10 - episode second season premiered on February 15 , 2016 . The series was renewed for a 10 - episode third season , which premiered April 10 , 2017 . On June 27 , 2017 , the series was renewed by AMC for a 10 - episode fourth season that is planned to premiere in 2018 .   Like its predecessor , Better Call Saul has received critical acclaim , particularly for its acting , writing , and directing with many critics calling it a worthy successor to Breaking Bad . It has garnered several nominations , including 23 Primetime Emmy Awards , seven Writers Guild of America Awards , five Critics ' Choice Television Awards , a Screen Actors Guild Award and two Golden Globe Awards . The series premiere held the record for the highest - rated scripted series premiere in basic cable history at the time of its airing .     Contents  ( hide )   1 Production   1.1 Conception   1.2 Casting   1.3 Development history     2 Cast and characters   2.1 Main cast   2.2 Recurring cast   2.2. 1 Introduced in season 1   2.2. 2 Introduced in season 2   2.2. 3 Introduced in season 3   2.2. 4 Breaking Bad characters       3 Episodes   4 Talking Saul   4.1 Season 1 ( 2016 )   4.2 Season 2 ( 2017 )     5 Broadcast   6 Reception   6.1 Critical response   6.1. 1 Season 1   6.1. 2 Season 2   6.1. 3 Season 3     6.2 Awards and accolades   6.3 Ratings     7 Home media   8 Comics   9 References   10 External links      Production ( edit )   Conception ( edit )   In July 2012 , Breaking Bad creator Vince Gilligan hinted at a possible spin - off about Saul Goodman . In a July 2012 interview , Gilligan said he liked `` the idea of a lawyer show in which the main lawyer will do anything it takes to stay out of a court of law '' , including settling on the courthouse steps .   In April 2013 , the series was confirmed to be in development by Gilligan and Gould ; the latter wrote the Breaking Bad episode that introduced the character .   Casting ( edit )   Bob Odenkirk stars as lawyer Jimmy McGill ( known as Saul Goodman in Breaking Bad ) . In January 2014 , it was announced that Jonathan Banks would reprise his Breaking Bad role as Mike Ehrmantraut and be a series regular . Aaron Paul announced having had `` serious talks '' with Gilligan for possible guest appearances , but later told The Huffington Post it was not going to happen . Dean Norris , another Breaking Bad alumnus , announced that he would not be appearing , partly due to his involvement in the CBS series Under the Dome . Anna Gunn also mentioned a `` talk '' with Gilligan over possible guest appearances .   Michael McKean was cast as McGill 's elder brother Chuck , having previously guest - starred in an episode of Odenkirk 's Mr. Show and Gilligan 's X-Files episode `` Dreamland '' . The cast also includes Patrick Fabian as Howard Hamlin , Rhea Seehorn as Kimberly `` Kim '' Wexler , and Michael Mando as Ignacio `` Nacho '' Varga . In October 2014 , Kerry Condon was cast as Stacey Ehrmantraut , Mike 's daughter - in - law . In November 2014 , it was announced that Julie Ann Emery and Jeremy Shamos had been cast as Betsy and Craig Kettleman , described as `` the world 's squarest outlaws . ''   Development history ( edit )   By July 2013 , the series had yet to be green - lighted . Netflix was one of many interested distributors , but ultimately a deal was made between AMC and Breaking Bad production company Sony Pictures Television . Gilligan and Gould serve as co-showrunners and Gilligan directed the pilot . Former Breaking Bad writers Thomas Schnauz and Gennifer Hutchison joined the writing staff , with Schnauz serving as co-executive producer and Hutchison as supervising producer . Also on the writing staff are Bradley Paul , and Gordon Smith , who was a writer 's assistant on Breaking Bad .   In developing the series , the producers considered making the show a half - hour comedy , but ultimately chose an hour - long format more typical of a drama . In October 2014 , Odenkirk called the show `` 85 percent drama , 15 percent comedy . '' During his appearance on Talking Bad , Odenkirk noted that Saul was one of the most popular characters on the show , speculating that the audience likes the character because he is the program 's least hypocritical figure , and is good at his job . Better Call Saul also employs Breaking Bad 's signature time jumps .   As filming began on June 2 , 2014 , Gilligan expressed some concern regarding the possible disappointment from the series ' turnout , in terms of audience reception .   On June 19 , 2014 , AMC announced it had renewed the series for a second season of 13 episodes to premiere in early 2016 ; however , it was later reduced to 10 episodes . The first teaser trailer debuted on AMC on August 10 , 2014 , and confirmed its premiere date of February 2015 . In November 2014 , AMC announced the series would have a two - night premiere ; the first episode aired on Sunday , February 8 , 2015 , at 10 : 00 pm ( ET ) , and then moved into its regular time slot the following night , airing Mondays at 10 : 00 pm . In May 2015 , Gilligan confirmed that more of the prominent characters from Breaking Bad would be making guest appearances in season 2 , but remained vague on which characters were likely to be seen .   In March 2016 , AMC announced that Better Call Saul was renewed for a 10 - episode third season . In June 2017 , AMC renewed the series for a 10 - episode fourth season to air in 2018 .   Like its predecessor , Better Call Saul is set and filmed in Albuquerque , New Mexico .   Cast and characters ( edit )  Rhea Seehorn plays Kim Wexler Bob Odenkirk plays title character Jimmy McGill Patrick Fabian plays Howard Hamlin Jonathan Banks plays Mike Ehrmantraut Michael McKean plays Chuck McGill Michael Mando plays Nacho Varga Giancarlo Esposito plays Gus Fring Main article : List of Breaking Bad and Better Call Saul characters  Main cast ( edit )    Bob Odenkirk as James Morgan `` Jimmy '' McGill , a lawyer and a former scam artist , who becomes involved with the criminal world .   Jonathan Banks as Mike Ehrmantraut , a former Philadelphia police officer working independently as a parking lot attendant , and later a private investigator , bodyguard and `` cleaner '' .   Rhea Seehorn as Kimberly `` Kim '' Wexler , a lawyer formerly working at the Hamlin , Hamlin &amp; McGill ( HHM ) law firm , now running her own law firm , who is Jimmy 's close friend and love interest .   Patrick Fabian as Howard Hamlin , a name partner at Hamlin , Hamlin &amp; McGill , first appearing as Jimmy 's nemesis , until it becomes clear that he acts under Charles McGill 's orders .   Michael Mando as Ignacio `` Nacho '' Varga , an upholstery shop worker who is also an intelligent , ambitious member of Tuco Salamanca 's gang .   Michael McKean as Charles L. `` Chuck '' McGill , Jr. , Jimmy 's elder brother and a named partner at HHM who is confined to his home by electromagnetic hypersensitivity , expressing disdain and hostility toward his brother whom he considers to be a disgrace to the law practice .   Giancarlo Esposito as Gus Fring , a methamphetamine distributor who uses his fast food restaurant chain Los Pollos Hermanos as a front ( season 3 ) .    Recurring cast ( edit )  Introduced in season 1 ( edit )   Kerry Condon as Stacey Ehrmantraut , Mike 's daughter - in - law and the mother of Kaylee Ehrmantraut .   Faith Healey ( season 1 ) and Abigail Zoe Lewis ( season 2 ) as Kaylee Ehrmantraut , Mike 's granddaughter .   Eileen Fogarty as Mrs. Nguyen , owner of a nail salon which houses Jimmy 's law office ( and home ) in its back room .   Peter Diseth as Bill Oakley , a deputy district attorney .   Joe DeRosa as Dr. Caldera , a veterinarian who serves as Mike Ehrmantraut 's liaison to the criminal underworld .   Dennis Boutsikaris as Rick Schweikart , the attorney for Sandpiper Crossing .   Mark Proksch as Daniel `` Pryce '' Wormald , a small - time drug dealer who hires Mike as security .   Brandon K. Hampton as Ernesto , Chuck 's assistant who works at HHM .   Josh Fadem as Joey Dixon , a film student that helps Jimmy film various projects .   Julian Bonfiglio as Sound Guy , a film student that helps Jimmy film various projects   Jeremy Shamos and Julie Ann Emery as Craig and Betsy Kettleman , a county treasurer and his wife , accused of embezzlement .   Steven Levine and Daniel Spenser Levine as Lars and Cal Lindholm , twin skateboarders and small - time scam artists .   Míriam Colón as Abuelita , Tuco 's grandmother and Hector 's mother .   Barry Shabaka Henley as Detective Sanders , a Philadelphia cop who was formerly partnered with Mike on the force .   Mel Rodríguez as Marco Pasternak , Jimmy 's best friend and partner - in - crime in Cicero , Illinois .   Clea DuVall as Dr. Cruz , a doctor who treats Chuck and suspects his condition is psychosomatic .   Jean Effron as Irene Landry , an elderly client of Jimmy McGill overcharged by the Sandpiper Crossing .   Introduced in season 2 ( edit )   Ed Begley , Jr. as Clifford Main , law partner of Davis &amp; Main .   Omar Maskati as Omar , Jimmy 's assistant at Davis &amp; Main .   Jessie Ennis as Erin Brill , a lawyer at Davis &amp; Main who is ordered to shadow Jimmy .   Vincent Fuentes as Arturo , a criminal associate of Hector Salamanca .   Rex Linn as Kevin Wachtell , chairman of Mesa Verde Bank and Trust and a client of HHM and Kim .   Cara Pifko as Paige Novick , senior legal counsel for Mesa Verde Bank and Trust and a friend of Kim .   Ann Cusack as Rebecca Bois , Chuck 's ex-wife .   Manuel Uriza as Ximenez Lecerda , an associate of Hector Salamanca   Hayley Holmes as Drama Girl , a film student who helps Jimmy on various projects   Introduced in season 3 ( edit )   Bonnie Bartlett as Helen   Kimberly Hebert Gregory as ADA Kyra Hay   Tamara Tunie as Anita , a member of Mike and Stacey 's support group   Breaking Bad characters ( edit )   Raymond Cruz as Tuco Salamanca , a ruthless , psychotic drug distributor in the South Valley . ( seasons 1 -- 2 )   Cesar García as No - Doze , Tuco 's henchman . ( season 1 )   Jesús Payán Jr. as Gonzo , Tuco 's henchman . ( season 1 )   Kyle Bornheimer as Ken ( `` Ken Wins '' ) , an arrogant , self - absorbed stockbroker . ( season 2 )   Stoney Westmoreland as Officer Saxton , an Albuquerque Police Department officer . ( season 2 )   Jim Beaver as Lawson , a local weapons dealer in Albuquerque . ( season 2 )   Maximino Arciniega as Domingo `` Krazy - 8 '' Molina , one of Tuco 's distributors . ( seasons 2 -- )   Mark Margolis as Hector Salamanca , Tuco 's uncle and high - ranking member of the cartel . ( seasons 2 -- )   Debrianna Mansini as Fran , a waitress at Loyola 's Diner . ( season 2 )   Daniel and Luis Moncada as Leonel and Marco Salamanca , Tuco 's cousins and Hector 's nephews who are hitmen for the cartel . ( season 2 )   Jennifer Hasty as Stephanie Doswell , a real estate agent . ( season 2 )   Tina Parker as Francesca Liddy , Jimmy 's receptionist . ( season 3 )   Jeremiah Bitsui as Victor , Gus ' henchman . ( season 3 )   Ray Campbell as Tyrus Kitt , a henchman on Gus Fring 's payroll . ( season 3 )   JB Blanc as Dr. Barry Goodman , a doctor on Gus Fring 's payroll . ( season 3 )   Steven Bauer as Don Eladio Vuente , the head of the Juarez drug cartel . ( season 3 )   Javier Grajeda as Juan Bolsa , a high - level member of the Juárez drug cartel . ( season 3 )   Lavell Crawford as Huell Babineaux , a professional pickpocket hired by Jimmy . ( season 3 )   Laura Fraser as Lydia Rodarte - Quayle , a Madrigal Electromotive executive and associate of Gus Fring . ( season 3 )    Episodes ( edit )  Main article : List of Better Call Saul episodes    Season   Episodes   Originally aired     First aired   Last aired         10   February 8 , 2015 ( 2015 - 02 - 08 )   April 6 , 2015 ( 2015 - 04 - 06 )         10   February 15 , 2016 ( 2016 - 02 - 15 )   April 18 , 2016 ( 2016 - 04 - 18 )         10   April 10 , 2017 ( 2017 - 04 - 10 )   June 19 , 2017 ( 2017 - 06 - 19 )     Talking Saul ( edit )   Talking Saul is a live aftershow hosted by Chris Hardwick , which features guests discussing episodes of Better Call Saul . The show uses the same format as Talking Dead , Talking Bad , and other similar aftershows also hosted by Hardwick . AMC announced that Talking Saul would air after the second season Better Call Saul premiere on February 15 , 2016 , and again after the second - season finale on April 18 , 2016 . It returned following the season 3 premiere and finale .   Season 1 ( 2016 ) ( edit )   These episodes discuss season two of Better Call Saul .     No . overall   No. in season   Episode discussed   Guests   Original air date   U.S. viewers ( millions )         `` Switch ''   Vince Gilligan , Peter Gould , Bob Odenkirk and Rhea Seehorn   February 15 , 2016 ( 2016 - 02 - 15 )   0.744         `` Klick ''   Jonathan Banks , Vince Gilligan and Peter Gould   April 18 , 2016 ( 2016 - 04 - 18 )   0.641     Season 2 ( 2017 ) ( edit )   These episodes discuss season three of Better Call Saul .     No . overall   No. in season   Episode discussed   Guests   Original air date   U.S. viewers ( millions )         `` Mabel ''   Vince Gilligan , Peter Gould , Jonathan Banks and Rhea Seehorn   April 10 , 2017 ( 2017 - 04 - 10 )   0.545         `` Lantern ''   Peter Gould , Patrick Fabian and Michael Mando ; Michael McKean via satellite   June 19 , 2017 ( 2017 - 06 - 19 )   0.589     Broadcast ( edit )   In December 2013 , Netflix announced that the entire first season would be available for streaming in the U.S. after the airing of the first - season finale , and in Latin America and Europe each episode would be available a few days after the episode airs in the U.S. However , the first season was not released on Netflix in the U.S. until February 1 , 2016 .   Netflix is the exclusive video - on - demand provider for the series and makes the content available in all its territories , except for Australia and New Zealand . In Australia , Better Call Saul premiered on the streaming service Stan on February 9 , 2015 , acting as the service 's flagship program . In New Zealand , the show is exclusive to the New Zealand - based subscription video - on - demand service , Lightbox . The episodes were available for viewing within three days of broadcast in the U.S.   In the United Kingdom and Ireland , the series was acquired by Netflix on December 16 , 2013 , and the first episode premiered on February 9 , 2015 , with the second episode released the following day . Every subsequent episode was released each week thereafter . In India , the series is broadcast on Colors Infinity within 24 hours of the U.S. broadcast .   The series premiere drew in 4.4 million and 4 million in the 18 -- 49 and 25 -- 54 demographics , respectively , and received an overall viewership of 6.9 million . This was the record for the highest - rated scripted series premiere in basic cable history , until it was surpassed later the same year by another AMC series , Fear the Walking Dead .   Reception ( edit )   Critical response ( edit )     Season   Critical response     Rotten Tomatoes   Metacritic         98 % ( 59 reviews )   78 ( 43 reviews )         97 % ( 29 reviews )   85 ( 18 reviews )         97 % ( 35 reviews )   87 ( 18 reviews )    Season 1 ( edit ) Main article : Better Call Saul ( season 1 ) § Reception  On Rotten Tomatoes , the first season has a rating of 98 % , based on 59 reviews , with an average rating of 8.2 / 10 . The site 's critical consensus reads , `` Better Call Saul is a quirky , dark character study that manages to stand on its own without being overshadowed by the series that spawned it . '' On the review aggregator website Metacritic , the first season has a score of 78 out of 100 , based on 43 critics , indicating `` generally favorable reviews '' .  Season 2 ( edit ) Main article : Better Call Saul ( season 2 ) § Reception  On Rotten Tomatoes , the second season has a score of 97 % , based on 29 reviews , with an average rating of 8.7 / 10 . The site 's critical consensus reads , `` Better Call Saul continues to tighten its hold on viewers with a batch of episodes that inject a surge of dramatic energy while showcasing the charms of its talented lead . '' On the review aggregator website Metacritic , the second season has a score of 85 out of 100 , based on 18 critics , indicating `` universal acclaim '' .  Season 3 ( edit ) Main article : Better Call Saul ( season 3 ) § Reception  On Rotten Tomatoes , the third season has an approval rating of 97 % based on 35 reviews , with an average rating of 8.82 / 10 . The site 's critical consensus is , `` Better Call Saul shows no signs of slipping in season 3 , as the introduction of more familiar faces causes the inevitable transformation of its lead to pick up exciting speed . '' On the review aggregator website Metacritic , the season has a score of 87 out of 100 , based on 18 critics , indicating `` universal acclaim '' .   Awards and accolades ( edit )     Year   Ceremony   Category   Recipients   Result     2015   2015 American Film Institute Awards   Television Programs of the Year   Better Call Saul   Won     5th Critics ' Choice Television Awards   Best Actor in a Drama Series   Bob Odenkirk   Won     Best Supporting Actor in a Drama Series   Jonathan Banks   Won     31st TCA Awards   Outstanding New Program   Better Call Saul   Won     Individual Achievement in Drama   Bob Odenkirk   Nominated     67th Primetime Creative Arts Emmy Awards   Outstanding Single - Camera Picture Editing for a Drama Series   Kelley Dixon ( `` Five - O '' )   Nominated     Kelley Dixon and Chris McCaleb ( `` Marco '' )   Nominated     Outstanding Sound Mixing for a Comedy or Drama Series   Phillip W. Palmer , Larry Benjamin , Kevin Valentine ( `` Marco '' )   Nominated     67th Primetime Emmy Awards   Outstanding Drama Series   Better Call Saul   Nominated     Outstanding Lead Actor in a Drama Series   Bob Odenkirk   Nominated     Outstanding Supporting Actor in a Drama Series   Jonathan Banks   Nominated     Outstanding Writing for a Drama Series   Gordon Smith ( `` Five - O '' )   Nominated     2016   73rd Golden Globe Awards   Best Actor -- Television Series Drama   Bob Odenkirk   Nominated     22nd Screen Actors Guild Awards   Outstanding Performance by a Male Actor in a Drama Series   Bob Odenkirk   Nominated     68th Writers Guild of America Awards   Drama Series   Better Call Saul   Nominated     New Series   Better Call Saul   Nominated     Episodic Drama   Vince Gilligan and Peter Gould ( `` Uno '' )   Won     20th Satellite Awards   Best Drama Series   Better Call Saul   Won     Best Actor in a Drama Series   Bob Odenkirk   Nominated     Best Supporting Actor in a Series , Miniseries or TV Film   Jonathan Banks   Nominated     Best Supporting Actress in a Series , Miniseries or TV Film   Rhea Seehorn   Won     32nd TCA Awards   Outstanding Achievement in Drama   Better Call Saul   Nominated     Individual Achievement in Drama   Bob Odenkirk   Nominated     68th Primetime Creative Arts Emmy Awards   Outstanding Single - Camera Picture Editing for a Drama Series   Kelley Dixon ( `` Rebecca '' )   Nominated     Kelley Dixon and Chris McCaleb ( `` Nailed '' )   Nominated     Outstanding Sound Mixing for a Comedy or Drama Series   Phillip W. Palmer , Larry Benjamin , Kevin Valentine ( `` Klick '' )   Nominated     Outstanding Special Visual Effects in a Supporting Role   For the episode `` Fifi ''   Nominated     68th Primetime Emmy Awards   Outstanding Drama Series   Better Call Saul   Nominated     Outstanding Lead Actor in a Drama Series   Bob Odenkirk   Nominated     Outstanding Supporting Actor in a Drama Series   Jonathan Banks   Nominated     7th Critics ' Choice Television Awards   Best Drama Series   Better Call Saul   Nominated     Best Actor in a Drama Series   Bob Odenkirk   Won     Best Supporting Actor in a Drama Series   Michael McKean   Nominated     2016 American Film Institute Awards   Television Programs of the Year   Better Call Saul   Won     2017   74th Golden Globe Awards   Best Actor -- Television Series Drama   Bob Odenkirk   Nominated     21st Satellite Awards   Best Drama Series   Better Call Saul   Nominated     Best Actor in a Drama Series   Bob Odenkirk   Nominated     Best Supporting Actor in a Series , Miniseries or TV Film   Jonathan Banks   Nominated     Best Supporting Actress in a Series , Miniseries or TV Film   Rhea Seehorn   Won     53rd Cinema Audio Society Awards   Outstanding Achievement in Sound Mixing for Television Series -- One Hour   Phillip W. Palmer , Larry B. Benjamin , Kevin Valentine , Matt Hovland and David Michael Torres ( `` Klick '' )   Nominated     69th Writers Guild of America Awards   Drama Series   Better Call Saul   Nominated     Episodic Drama   Gordon Smith ( `` Gloves - Off '' )   Nominated     Heather Marion and Vince Gilligan ( `` Klick '' )   Nominated     Thomas Schnauz ( `` Switch '' )   Nominated     Location Managers Guild Awards   Outstanding Locations in a Contemporary TV Series   Christian Diaz de Bedoya   Nominated     33rd TCA Awards   Outstanding Achievement in Drama   Better Call Saul   Nominated     69th Primetime Creative Arts Emmy Awards   Outstanding Music Supervision   Thomas Golubić ( `` Sunk Costs '' )   Nominated     Outstanding Single - Camera Picture Editing for a Drama Series   Skip Macdonald ( `` Chicanery '' )   Nominated     Kelley Dixon and Skip Macdonald ( `` Witness '' )   Nominated     Outstanding Sound Mixing for a Comedy or Drama Series ( One Hour )   Phillip W. Palmer , Larry Benjamin , Kevin Valentine ( `` Witness '' )   Nominated     69th Primetime Emmy Awards   Outstanding Drama Series   Better Call Saul   Nominated     Outstanding Lead Actor in a Drama Series   Bob Odenkirk   Nominated     Outstanding Supporting Actor in a Drama Series   Jonathan Banks   Nominated     Outstanding Directing for a Drama Series   Vince Gilligan ( `` Witness '' )   Nominated     Outstanding Writing for a Drama Series   Gordon Smith ( `` Chicanery '' )   Nominated     2018   75th Golden Globe Awards   Best Actor -- Television Series Drama   Bob Odenkirk   Nominated     24th Screen Actors Guild Awards   Outstanding Performance by a Male Actor in a Drama Series   Bob Odenkirk   Nominated     70th Writers Guild of America Awards   Drama Series   Better Call Saul   Nominated     Episodic Drama   Gordon Smith ( `` Chicanery '' )   Won     Heather Marion ( `` Slip '' )   Nominated     22nd Satellite Awards   Best Supporting Actor in a Series , Miniseries or TV Film   Michael McKean   Won     54th Cinema Audio Society Awards   Outstanding Achievement in Sound Mixing for Television Series -- One Hour   Phillip W. Palmer , Larry B. Benjamin , Kevin Valentine , Matt Hovland and David Michael Torres ( `` Lantern '' )   Nominated     44th Saturn Awards   Best Action - Thriller Television Series   Better Call Saul   Pending     Best Supporting Actor on Television   Michael McKean   Pending     Best Supporting Actress on Television   Rhea Seehorn   Pending     Ratings ( edit )     Season   Timeslot ( ET )   Episodes   First aired   Last aired   Avg . viewers ( millions )     Date   Viewers ( millions )   Date   Viewers ( millions )       Monday 10 : 00 pm   10   February 8 , 2015   6.88   April 6 , 2015   2.53   3.21       10   February 15 , 2016   2.57   April 18 , 2016   2.26   2.16       10   April 10 , 2017   1.81   June 19 , 2017   1.85   1.64    Better Call Saul : U.S. viewers per episode ( millions )    Season   Ep. 1   Ep. 2   Ep. 3   Ep. 4   Ep. 5   Ep. 6   Ep. 7   Ep. 8   Ep. 9   Ep. 10         6.88   3.42   3.23   2.87   2.71   2.57   2.67   2.87   2.38   2.53         2.57   2.23   2.20   2.20   1.99   2.11   2.03   1.93   2.06   2.26         1.81   1.46   1.52   1.56   1.76   1.72   1.65   1.63   1.47   1.85    Source : Nielsen Media Research  Home Media ( edit )   The first season was released on Blu - ray and DVD in region 1 on November 10 , 2015 . The set contains all 10 episodes , plus audio commentaries for every episode , uncensored episodes , deleted scenes , gag reel , and several behind - the - scenes featurettes . A limited edition Blu - ray set was also released with 3D packaging and a postcard vinyl of the Better Call Saul theme song by Junior Brown . The second season was released on Blu - ray and DVD in region 1 on November 15 , 2016 . The set contains all 10 episodes , plus audio commentaries for every episode and several behind - the - scenes featurettes . The third season was released on Blu - ray and DVD in region 1 on January 16 , 2018 . The set contains all 10 episodes , plus audio commentaries for every episode and several behind - the - scenes featurettes .   Comics ( edit )   AMC has released two digital comic books for Better Call Saul . The first , titled Better Call Saul : Client Development , released in February 2015 , in advance of the series premiere , details the history of Saul and Mike , acting as a spin - off of the Breaking Bad episode that introduced Saul . In February 2016 , in advance of the second - season premiere , AMC released Better Call Saul : Saul Goodman and the Justice Consortium in the Clutches of the Judgernaut !   References ( edit )    Jump up ^ Jensen , Jeff ( January 28 , 2015 ) . `` Better Call Saul '' . Entertainment Weekly . Retrieved April 1 , 2015 .   Jump up ^ Lowry , Brian ( January 21 , 2015 ) . `` TV Review : ' Better Call Saul ' '' . Variety . Retrieved April 1 , 2015 .   Jump up ^ Cornet , Roth ( September 11 , 2013 ) . `` Breaking Bad Spinoff Series Better Call Saul Confirmed '' . IGN . Retrieved September 11 , 2013 .   Jump up ^ Hibberd , James ( July 11 , 2014 ) . `` ' Better Call Saul ' : New photos , details from ' Breaking Bad ' spin - off '' . Entertainment Weekly . Retrieved February 24 , 2015 .   ^ Jump up to : Roots , Kimberly ( November 20 , 2014 ) . `` Better Call Saul Gets Two - Night February Premiere on AMC '' . TVLine . Retrieved November 20 , 2014 .   Jump up ^ Porter , Rick ( November 16 , 2015 ) . `` ' Better Call Saul ' returns to AMC in February '' . TV by the Numbers . Retrieved November 16 , 2015 .   ^ Jump up to : Snierson , Dan ( March 15 , 2016 ) . `` Better Call Saul renewed for season 3 by AMC '' . Entertainment Weekly . Retrieved March 15 , 2016 .   Jump up ^ Schwindt , Oriana ( January 14 , 2017 ) . `` AMC Sets Premiere Dates for ' Better Call Saul , ' ' Into the Badlands ' '' . Variety . Retrieved January 14 , 2017 .   ^ Jump up to : Snierson , Dan ( June 27 , 2017 ) . `` Better Call Saul renewed for season 4 '' . Entertainment Weekly . Retrieved June 27 , 2017 .   Jump up ^ `` Comic - Con Q&amp;A : Vince Gilligan on ' Breaking Bad ' '' . Deadline.com . July 15 , 2012 . Retrieved July 19 , 2012 .   ^ Jump up to : Andreeva , Nellie ( September 11 , 2013 ) . `` ' Breaking Bad ' Saul Goodman Spinoff A Go At AMC , Will Serve As Prequel To Original '' . Deadline.com . Retrieved September 13 , 2013 .   ^ Jump up to : Andreeva , Nellie ( April 9 , 2013 ) . `` AMC Eyes ' Breaking Bad ' Spinoff Toplined By Bob Odenkirk '' . Deadline.com . Retrieved April 9 , 2013 .   Jump up ^ Kenneally , Tim ( January 27 , 2014 ) . `` ' Breaking Bad ' Prequel ' Better Call Saul ' Enlists Jonathan Banks '' . The Wrap . Retrieved January 27 , 2014 .   Jump up ^ Pearson , Ryan ( March 9 , 2014 ) . `` Aaron Paul wants in , Dean Norris out for ' Better Call Saul , ' the ' Breaking Bad ' spinoff '' . The Washington Post . Retrieved May 1 , 2014 .   Jump up ^ Whitney , Erin ( June 13 , 2014 ) . `` Aaron Paul Offers Two Different ' Better Call Saul ' Scenarios For Jesse Pinkman '' . The Huffington Post . Retrieved June 13 , 2014 .   Jump up ^ Dekel , Jonathan ( July 3 , 2014 ) . `` Dean Norris says appearance on Better Call Saul unlikely : CBS , exec Les Moonves ' wo n't let me do it ' '' . The National Post . Archived from the original on July 7 , 2014 . Retrieved July 3 , 2014 .   Jump up ^ Dos Santos , Kristin ( May 13 , 2014 ) . `` Anna Gunn Coming to Breaking Bad Spinoff ? Star Reveals There 's Been Talk -- Plus , Why We 're Dying Over Gracepoint ! '' . E ! Online . Retrieved June 4 , 2014 .   Jump up ^ Friedlander , Whitney ( April 30 , 2014 ) . `` Michael McKean Joins ' Breaking Bad ' Prequel ' Better Call Saul ' '' . Variety . Retrieved May 1 , 2014 .   Jump up ^ Silman , Anna ( April 6 , 2015 ) . `` Michael McKean : `` Better Call Saul '' is about `` the American escape hatch instead of the American dream '' `` . Salon . Retrieved April 3 , 2016 .   Jump up ^ Friedlander , Whitney ( July 11 , 2014 ) . `` ' Better Call Saul ' : Cast , Timeline Details and New Photos '' . Variety . Retrieved July 12 , 2014 .   Jump up ^ Kelly , Aoife ( October 1 , 2014 ) . `` Irish actress Kerry Condon scores role in ' Breaking Bad ' spin - off ' Better Call Saul ' '' . The Independent . Retrieved November 13 , 2014 .   Jump up ^ Birnbaum , Debra ( November 12 , 2014 ) . `` ' Better Call Saul ' Adds Julie Ann Emery and Jeremy Shamos to Cast '' . Variety . Retrieved November 12 , 2014 .   Jump up ^ Molloy , Tim ( July 2 , 2013 ) . `` Breaking Bad Creator Vince Gilligan : Saul Goodman Spinoff Moving ' Full Speed Ahead ' '' . The Wrap . Retrieved September 13 , 2013 .   Jump up ^ Guthrie , Melissa ; Rose , Lacey ( September 18 , 2013 ) . `` How AMC Almost Lost Breaking Bad Spinoff Better Call Saul to Netflix '' . The Hollywood Reporter . Prometheus Global Media . Retrieved January 12 , 2014 .   ^ Jump up to : Kondolojy , Amanda ( June 19 , 2014 ) . `` ' Better Call Saul ' Renewed for Second Season by AMC ; First Season Pushed Back to 2015 '' . TV by the Numbers . Retrieved June 19 , 2014 .   Jump up ^ Littleton , Cynthia ( December 20 , 2013 ) . `` ' Breaking Bad ' Writers Join ' Better Call Saul ' Staff '' . Variety . Retrieved January 12 , 2014 .   Jump up ^ Sandberg , Bryn Elise ( October 27 , 2014 ) . `` Bob Odenkirk on ' Better Call Saul ' : `` It 's Total Drama '' `` . The Hollywood Reporter . Retrieved November 21 , 2014 .   Jump up ^ Talking Bad . Episode 3 . August 25 , 2013 . AMC .   Jump up ^ Snierson , Dan ( December 31 , 2013 ) . `` ' Breaking Bad ' creator Vince Gilligan on the finale , ' Better Call Saul ' and his acting debut on ' Community ' '' . Entertainment Weekly . Retrieved April 4 , 2014 . We think , by and large , this show will be a prequel , but the wonderful thing about the fractured chronology we employed on Breaking Bad for many years is the audience will not be thrown by us jumping around in time . So it 's possible that we may indeed do that , and we 'll see the past and perhaps the future .   Jump up ^ O'Neal , Sean ( June 3 , 2014 ) . `` It 's time to begin overanalyzing the first Better Call Saul set photos</t>
  </si>
  <si>
    <t xml:space="preserve">when are new episodes of better call saul</t>
  </si>
  <si>
    <t xml:space="preserve"> The first season , which premiered on AMC on February 8 , 2015 , consists of 10 episodes . The show 's 10 - episode second season premiered on February 15 , 2016 . The series was renewed for a 10 - episode third season , which premiered April 10 , 2017 . On June 27 , 2017 , the series was renewed by AMC for a 10 - episode fourth season that is planned to premiere in 2018 . </t>
  </si>
  <si>
    <t xml:space="preserve">List of United States presidential assassination Attempts and plots - wikipedia  List of United States presidential assassination Attempts and plots  Jump to : navigation , search  Assassination attempts and plots on the President of the United States have been numerous , ranging from the early 1800s to the 2010s . More than 30 attempts to kill an incumbent or former president , or a president - elect have been made since the early 1800s . Four sitting presidents have been killed , all of them by gunshot : Abraham Lincoln ( 1865 ) , James A. Garfield ( 1881 ) , William McKinley ( 1901 ) and John F. Kennedy ( 1963 ) . Additionally , two presidents have been injured in attempted assassinations , also by gunshot : Theodore Roosevelt ( 1912 ; former president at the time ) and Ronald Reagan ( 1981 ) .   Although the historian James W. Clarke has suggested that most American assassinations were politically motivated actions , carried out by rational men , not all such attacks have been undertaken for political reasons . Some attackers had questionable mental stability , and a few were judged legally insane . Since the Vice President of the United States has for more than a century been elected from the same political party as the President , the assassination of the President is unlikely to result in major policy changes . This may explain why political groups typically do not make such attacks .     Contents  ( hide )   1 Presidents assassinated   1.1 Abraham Lincoln   1.2 James A. Garfield   1.3 William McKinley   1.4 John F. Kennedy     2 Assassination plots and attempts   2.1 Andrew Jackson   2.2 Abraham Lincoln   2.3 William Howard Taft   2.4 Theodore Roosevelt   2.5 Herbert Hoover   2.6 Franklin D. Roosevelt   2.7 Harry S. Truman   2.8 John F. Kennedy   2.9 Richard Nixon   2.10 Gerald Ford   2.11 Jimmy Carter   2.12 Ronald Reagan   2.13 George H.W. Bush   2.14 Bill Clinton   2.15 George W. Bush   2.16 Barack Obama     3 Presidential deaths rumored to be assassinations   3.1 Zachary Taylor   3.2 Warren G. Harding     4 See also   5 References   6 Bibliography      Presidents assassinated ( edit )   Abraham Lincoln ( edit )  Shown in the presidential booth of Ford 's Theatre , from left to right , are assassin John Wilkes Booth , Abraham Lincoln , Mary Todd Lincoln , Clara Harris , and Henry Rathbone Main article : Assassination of Abraham Lincoln  The assassination of President Lincoln took place on Good Friday , April 14 , 1865 , at Ford 's Theatre in Washington , D.C. , at approximately 10 : 15 p.m.. John Wilkes Booth was a well - known actor and a Confederate sympathizer from Maryland ; though he never joined the Confederate army , he had contacts with the Confederate secret service . In 1864 , Booth formulated a plan ( very similar to one of Thomas N. Conrad previously authorized by the Confederacy ) to kidnap Lincoln in exchange for the release of Confederate prisoners . After attending an April 11 , 1865 , speech in which Lincoln promoted voting rights for blacks , an incensed Booth changed his plans and became determined to assassinate the president . Learning that the President would be attending Ford 's Theatre , Booth formulated a plan with co-conspirators to assassinate Lincoln at the theater , as well as Vice President Andrew Johnson and Secretary of State William H. Seward at their homes . Lincoln attended the play Our American Cousin at Ford 's Theatre . As the President sat in his state box in the balcony , watching the play , with his wife , Mary Todd Lincoln , and two guests , Major Henry Rathbone and his fiancée Clara Harris , Booth entered from behind , aimed a . 44 caliber Derringer pistol at the back of Lincoln 's head , and fired , mortally wounding the President . Rathbone momentarily grappled with Booth , but Booth stabbed him and escaped . The unconscious President was carried across the street from the theater to the Petersen House , where he remained in a coma for nine hours before dying the following morning at 7 : 22 a.m. on April 15 .   Beyond Lincoln 's death the plot failed : Seward was only wounded and Johnson 's would - be attacker lost his nerve .   After being on the run for 12 days , Booth was tracked down and found on April 26 , 1865 by Union soldiers on a farm in Virginia , some 70 miles ( 110 km ) south of Washington . After refusing to surrender to Union troops , Booth was shot and killed by Sergeant Boston Corbett . Several other conspirators were later hanged .   James a Garfield ( edit )  President Garfield with James G. Blaine after being shot by Charles J. Guiteau Main article : Assassination of James A. Garfield  The assassination of President Garfield took place in Washington , D.C. , at 9 : 30 a.m. on Saturday , July 2 , 1881 , less than four months after he took office . Charles J. Guiteau shot him twice , once in his right arm and once in his back , with a . 442 Webley British Bulldog revolver , as the president was arriving at the Baltimore and Potomac Railroad Station . Garfield died 11 weeks later , on September 19 , 1881 , at 10 : 35 p.m. , of complications caused by infections .   Guiteau was immediately arrested . After a highly publicized trial lasting from November 14 , 1881 to January 25 , 1882 , he was found guilty and sentenced to death . A subsequent appeal was rejected , and he was executed by hanging on June 30 , 1882 in the District of Columbia , two days before the first anniversary of the attempt . Guiteau was assessed during his trial as mentally unbalanced and possibly suffered from some kind of bipolar disorder or from the effects of syphilis on the brain . He claimed to have shot Garfield out of disappointment for being passed over for appointment as Ambassador to France . He attributed the president 's victory in the election to a speech he wrote in support of Garfield .   William McKinley ( edit )  Leon Czolgosz shoots President McKinley with a concealed revolver . Clipping of a wash drawing by T. Dart Walker . Main article : Assassination of William McKinley  The assassination of President McKinley took place at 4 : 07 p.m. on Friday , September 6 , 1901 , at the Temple of Music in Buffalo , New York . McKinley , attending the Pan-American Exposition , was shot twice in the abdomen at close range by Leon Czolgosz , a self - proclaimed anarchist , who was armed with a . 32 caliber revolver wrapped up in what seemed to be a bandage . The first bullet ricocheted off either a button or an award medal on McKinley 's jacket and lodged in his sleeve but the second shot pierced his stomach . McKinley died seven days later , on September 14 , 1901 , at 2 : 15 a.m , after his condition rapidly declined .   Members of the crowd captured and subdued Czolgosz . Afterward , the 4th Brigade , National Guard Signal Corps , and police intervened , beating Czolgosz so severely it was initially thought he might not live to stand trial . On September 24 , after a rushed , two - day trial in state court , Czolgosz was sentenced to death . He was executed by electric chair in Auburn Prison on October 29 , 1901 . Czolgosz 's actions were politically motivated , although it remains unclear what outcome , if any , he believed the shooting would yield .   Following the assassination of President William McKinley , Congress directed the Secret Service to protect the President of the United States as part of its mandate .   John F. Kennedy ( edit )  JFK , Jackie , and the Connallys in the presidential limousine minutes before the assassination Main article : Assassination of John F. Kennedy  The assassination of President Kennedy took place on Friday , November 22 , 1963 , in Dallas , Texas , at 12 : 30 p.m. CST ( 18 : 30 UTC ) , while riding in a presidential motorcade in Dealey Plaza . Kennedy was riding with his wife Jacqueline , Texas Governor John Connally , Connally 's wife , Nellie , and two Secret Service agents , when he was fatally shot in the neck and head . He was the only assassinated president to die on the same day of his injuries . Governor Connally was seriously wounded in the attack . The motorcade rushed to Parkland Memorial Hospital where President Kennedy was pronounced dead about thirty minutes after the shooting ; Connally recovered from his injuries .   Former U.S. Marine and Marxist Lee Harvey Oswald was arrested by members of the Dallas Police Department about 70 minutes after the initial shooting . Oswald was charged under Texas state law with the murder of Kennedy as well as that of a Dallas policeman , J.D. Tippit , who had been fatally shot a short time after the assassination . At 11 : 21 a.m. Sunday , November 24 , 1963 , as live television cameras covered his transfer to the Dallas County Jail , Oswald was shot in the basement of Dallas Police Headquarters by Jack Ruby , a Dallas nightclub operator . Oswald was taken to Parkland Memorial Hospital where he soon died . Ruby was convicted of Oswald 's murder and died in prison in 1967 .   After a ten - month investigation , the Warren Commission concluded that Kennedy was assassinated by Oswald , that Oswald had acted entirely alone , and that Ruby had acted alone in killing Oswald . Nonetheless , polls conducted from 1966 to 2004 found that up to 80 percent of Americans have suspected that there was a plot or cover - up . Doubts and conspiracy theories continue to persist .   Assassination plots and Attempts ( edit )   Andrew Jackson ( edit )  Illustration of Jackson 's attempted assassination   January 30 , 1835 : Just outside the Capitol Building , a house painter named Richard Lawrence attempted to shoot Jackson with two pistols , both of which misfired . Lawrence was apprehended after Jackson beat him severely with his cane . Lawrence was found not guilty by reason of insanity and confined to a mental institution until his death in 1861 .    Abraham Lincoln ( edit )    February 23 , 1861 : The Baltimore Plot was an alleged conspiracy to assassinate President - elect Abraham Lincoln en route to his inauguration . Allan Pinkerton 's National Detective Agency played a key role in protecting the president - elect by managing Lincoln 's security throughout the journey . Though scholars debate whether the threat was real , Lincoln and his advisers took actions to ensure his safe passage through Baltimore .   August 1864 : A lone rifle shot fired by an unknown sniper missed Lincoln 's head by inches ( passing through his hat ) as he rode in the late evening , unguarded , north from the White House three miles ( 5 km ) to the Soldiers ' Home ( his regular retreat where he would work and sleep before returning to the White House the following morning ) . Near 11 : 00 pm , Private John W. Nichols of the Pennsylvania 150th Volunteers , the sentry on duty at the gated entrance to the Soldiers ' Home grounds , heard the rifle shot and moments later saw the president riding toward him `` bareheaded '' . Lincoln described the matter to Ward Lamon , his old friend and loyal bodyguard .    William howard Taft ( edit )  William Taft and Porfirio Díaz , historic first presidential summit , Ciudad Juarez , Mexico , October 16 , 1909 .   In 1909 , Taft and Porfirio Díaz planned a summit in El Paso , Texas , and Ciudad Juárez , Mexico , a historic first meeting between a U.S. president and a Mexican president and also the first time an American president would cross the border into Mexico . Diaz requested the meeting to show U.S. support for his planned eighth run as president , and Taft agreed to support Diaz in order to protect the several billion dollars of American capital then invested in Mexico . Both sides agreed that the disputed Chamizal strip connecting El Paso to Ciudad Juárez would be considered neutral territory with no flags present during the summit , but the meeting focused attention on this territory and resulted in assassination threats and other serious security concerns . The Texas Rangers , 4,000 U.S. and Mexican troops , U.S. Secret Service agents , FBI agents and U.S. Marshals were all called in to provide security . An additional 250 private security detail led by Frederick Russell Burnham , the celebrated scout , was hired by John Hays Hammond . Hammond was a close friend of Taft from Yale and a former candidate for U.S. Vice-President in 1908 who , along with his business partner Burnham , held considerable mining interests in Mexico . On October 16 , the day of the summit , Burnham and Private C.R. Moore , a Texas Ranger , discovered a man holding a concealed palm pistol standing at the El Paso Chamber of Commerce building along the procession route . Burnham and Moore captured and disarmed the would - be assassin within only a few feet of Taft and Díaz .    Theodore Roosevelt ( edit )    October 14 , 1912 : Three and a half years after he left office , Roosevelt was running for President as a member of the Progressive Party . While campaigning in Milwaukee , Wisconsin , John Flammang Schrank , a saloon - keeper from New York who had been stalking him for weeks , shot Roosevelt once in the chest with a . 38 - caliber Colt Police Positive Special revolver . The 50 - page text of his campaign speech titled `` Progressive Cause Greater Than Any Individual '' , folded over twice in Roosevelt 's breast pocket and a metal glasses case slowed the bullet , saving his life . Schrank was immediately disarmed , captured and might have been lynched had Roosevelt not shouted for Schrank to remain unharmed . Roosevelt assured the crowd he was all right , then ordered police to take charge of Schrank and to make sure no violence was done to him .     Roosevelt , as an experienced hunter and anatomist , correctly concluded that since he was not coughing blood , the bullet had not reached his lung , and he declined suggestions to go to the hospital immediately . Instead , he delivered his scheduled speech with blood seeping into his shirt . He spoke for 90 minutes before completing his speech and accepting medical attention . His opening comments to the gathered crowd were , `` Ladies and gentlemen , I do n't know whether you fully understand that I have just been shot , but it takes more than that to kill a Bull Moose . '' Afterwards , probes and an x-ray showed that the bullet had lodged in Roosevelt 's chest muscle , but did not penetrate the pleura . Doctors concluded that it would be less dangerous to leave it in place than to attempt to remove it , and Roosevelt carried the bullet with him for the rest of his life . He spent two weeks recuperating before returning to the campaign trail . Despite his tenacity , Roosevelt ultimately lost his bid for reelection .     At Schrank 's trial , the would - be assassin claimed that William McKinley had visited him in a dream and told him to avenge his assassination by killing Roosevelt . He was found legally insane and was institutionalized until his death in 1943 .    Herbert Hoover ( edit )    On November 19 , 1928 , President - elect Hoover embarked on a ten - nation `` goodwill tour '' of Central and South America . While crossing the Andes mountains from Chile , an assassination plot by Argentine anarchists was thwarted . The group was led by Severino Di Giovanni , who planned to blow up his train as it crossed the Argentinian central plain . The plotters had an itinerary but the bomber was arrested before he could place the explosives on the rails . Hoover professed unconcern , tearing off the front page of a newspaper that revealed the plot and explaining , `` It 's just as well that Lou should n't see it , '' referring to his wife . His complimentary remarks on Argentina were well received in both the host country and in the press .    Franklin D. Roosevelt ( edit )    On February 15 , 1933 , in Miami , Florida , Giuseppe Zangara fired five shots at Roosevelt , seventeen days before Roosevelt 's first presidential inauguration . Although Zangara did not wound the President - elect , he did kill Chicago Mayor Anton Cermak and wounded five other people . Zangara was found guilty of murder and was executed on March 20 , 1933 . It has never been determined who was Zangara 's target , and most assumed at first that he had been shooting at the President . Another theory , is that it may have been ordered by the imprisoned Al Capone .   Soviet authorities claimed to have discovered a German plan to assassinate Roosevelt at the upcoming Tehran Conference in 1943 .    Harry S. Truman ( edit )    In the summer of 1947 , pending the independence of Israel , the Zionist Stern Gang was believed to have sent a number of letter bombs addressed to the president and high - ranking staff at the White House . The Secret Service had been alerted by British intelligence after similar letters had been sent to high - ranking British officials and the Gang claimed credit. The mail room of the White House intercepted the letters and the Secret Service defused them . At the time , the incident was not publicized . Truman 's daughter Margaret confirmed the incident in her biography of Truman published in 1972 . It had earlier been told in a memoir by Ira R.T. Smith , who worked in the mail room .   Main article : Attempted assassination of Harry S. Truman   On November 1 , 1950 , two Puerto Rican pro-independence activists , Oscar Collazo and Griselio Torresola , attempted to kill Truman at the Blair House , where Truman lived while the White House was being renovated . In the attack , Torresola mortally wounded White House Policeman Leslie Coffelt , who killed the attacker with a shot to the head . Torresola also wounded White House Policeman Joseph Downs . Collazo wounded another officer , and survived with serious injuries . Truman was not harmed , but he was placed at a huge risk . He commuted Collazo 's death sentence after conviction in a federal trial to life in prison . In 1979 , President Jimmy Carter commuted it to time served .    John F. Kennedy ( edit )    December 11 , 1960 : While vacationing in Palm Beach , Florida , President - elect John F. Kennedy was threatened by Richard Paul Pavlick , a 73 - year - old former postal worker driven by hatred of Catholics . Pavlick intended to crash his dynamite - laden 1950 Buick into Kennedy 's vehicle , but he changed his mind after seeing Kennedy 's wife and daughter bid him goodbye . Pavlick was arrested three days later by the Secret Service after being stopped for a driving violation ; police found the dynamite in his car and arrested him . On January 27 , 1961 , Pavlick was committed to the United States Public Health Service mental hospital in Springfield , Missouri , then was indicted for threatening Kennedy 's life seven weeks later . Charges against Pavlick were dropped on December 2 , 1963 , ten days after Kennedy 's assassination in Dallas . Judge Emett Clay Choate ruled that Pavlick was unable to distinguish between right and wrong in his actions , but kept him in the mental hospital . The federal government also dropped charges in August 1964 , and Pavlick was eventually released from the New Hampshire State Mental Hospital on December 13 , 1966 .    Richard Nixon ( edit )    April 13 , 1972 : Arthur Bremer carried a firearm to an event intending to shoot Nixon , but was put off by strong security . A few weeks later , he instead shot and seriously injured the Governor of Alabama , George Wallace , who was paralyzed for the rest of his life until his death in 1998 . Three other people were unintentionally wounded . Bremer served 35 years in prison for the shooting of Governor Wallace .   February 22 , 1974 : Samuel Byck planned to kill Nixon by crashing a commercial airliner into the White House . He hijacked the plane on the ground by force after killing a police officer , and was told that it could not take off with the wheel blocks still in place . After he shot both pilots ( one later died ) , an officer , Charles ' Butch ' Troyer , shot Byck through the plane 's door window . He survived long enough to kill himself by shooting .    Gerald Ford ( edit )  Main articles : attempt in Sacramento ( Lynette Fromme ) and attempt in San Francisco ( Sara Jane Moore )   September 5 , 1975 : On the northern grounds of the California State Capitol , Lynette `` Squeaky '' Fromme , a follower of Charles Manson , drew a Colt M1911 . 45 caliber pistol on Ford when he reached to shake her hand in a crowd . She had four cartridges in the pistol 's magazine but none in the firing chamber , and as a result , the gun did not fire . She was quickly restrained by Secret Service agent Larry Buendorf . Fromme was sentenced to life in prison , but was released from custody on August 14 , 2009 ( two years and 8 months after Ford 's death in 2006 ) .   September 22 , 1975 : In San Francisco , California , only 17 days after Fromme 's attempt , Sara Jane Moore fired a revolver at Ford from 40 feet ( 12 m ) away . A bystander , Oliver Sipple , grabbed Moore 's arm and the shot missed Ford , striking a building wall and slightly injuring taxi driver John Ludwig . Moore was tried and convicted in federal court , and sentenced to prison for life . She was paroled from a federal prison on December 31 , 2007 after serving more than 30 years , one year and five days after Ford 's natural death .    Jimmy Carter ( edit )    Raymond Lee Harvey was an Ohio - born unemployed American drifter . He was arrested by the Secret Service after being found carrying a starter pistol with blank rounds , ten minutes before Carter was to give a speech at the Civic Center Mall in Los Angeles on May 5 , 1979 . Harvey had a history of mental illness , but police had to investigate his claim that he was part of a four - man operation to assassinate the president . According to Harvey , he fired seven blank rounds from the starter pistol on the hotel roof on the night of May 4 to test how much noise it would make . He claimed to have been with one of the plotters that night , whom he knew as `` Julio '' . ( This man was later identified as a 21 - year - old illegal immigrant from Mexico , who gave the name Osvaldo Espinoza Ortiz . ) At the time of his arrest , Harvey had eight spent rounds in his pocket , as well as 70 unspent blank rounds for the gun . Harvey was jailed on a $50,000 bond , given his transient status , and Ortiz was alternately reported as being held on a $100,000 bond as a material witness or held on a $50,000 bond being charged with burglary from a car . Charges against the pair were ultimately dismissed for a lack of evidence .   John Hinckley , Jr. came close to shooting Carter during his re-election campaign , but he lost his nerve . He would later attempt to kill President Ronald Reagan in March 1981 .    Ronald Reagan ( edit )  Main article : Attempted assassination of Ronald Reagan Ronald Reagan waves just before he is shot outside a Washington hotel on March 30 , 1981 . From left are Jerry Parr , in white trench coat , who pushed Reagan into the limousine ; press secretary James Brady , who was seriously wounded by a gunshot wound to the head ; Reagan ; aide Michael Deaver ; an unidentified policeman ; policeman Thomas K. Delahanty , who was shot in the neck ; and secret service agent Tim McCarthy , who was shot in the stomach .   On March 30 , 1981 , as Ronald Reagan returned to his limousine after speaking at the Washington Hilton hotel , he and three others were shot by John Hinckley , Jr . Reagan was struck by a single bullet that broke a rib , punctured a lung , and caused serious internal bleeding , but he recovered quickly .     Hinckley was arrested at the scene , and later said he had wanted to kill Reagan to impress actress Jodie Foster . He was deemed mentally ill and confined to an institution . Besides Reagan , White House Press Secretary James Brady , Secret Service agent Tim McCarthy , and police officer Thomas Delahanty were also wounded . All three survived , but Brady suffered brain damage and was permanently disabled ; Brady 's death in 2014 was considered homicide because it was ultimately caused by this injury . Hinckley was released from institutional psychiatric care at St. Elizabeth Hospital in Washington , D.C. , on September 10 , 2016 .    George H.W. Bush ( edit )    April 13 , 1993 : Fourteen men believed to be working for Saddam Hussein smuggled bombs into Kuwait , planning to assassinate former President Bush by a car bomb during his visit to Kuwait University three months after he had left office ( in January 1993 ) . The plot was foiled when Kuwaiti officials found the bomb and arrested the suspected assassins . Two of the suspects , Wali Abdelhadi Ghazali and Raad Abdel - Amir al - Assadi , retracted their confessions at the trial , claiming that they were coerced . There is evidence that the Iraqi Intelligence Service , particularly Directorate 14 , was behind the plot . Then - president Bill Clinton responded by launching a cruise missile attack on an Iraqi intelligence building in Baghdad .    Bill Clinton ( edit )    January 21 , 1994 : Ronald Gene Barbour , a retired military officer and freelance writer , plotted to kill Clinton while the President was jogging . Barbour returned to Florida a week later without having fired the shots at the president , who was on a state visit to Russia . Barbour was sentenced to five years in prison and was released in 1998 .   September 12 , 1994 : Frank Eugene Corder flew a stolen single - engine Cessna onto the White House lawn and crashed into a tree . Corder , a truck driver from Maryland who reportedly had alcohol problems , allegedly tried to hit the White House . He was killed in the crash . The President and First Family were not home at the time .   October 29 , 1994 : Francisco Martin Duran fired at least 29 shots with a semi-automatic rifle at the White House from a fence overlooking the north lawn , thinking that Clinton was among the men in dark suits standing there ( Clinton was inside ) . Three tourists , Harry Rakosky , Ken Davis and Robert Haines , tackled Duran before he could injure anyone . Found to have a suicide note in his pocket , Duran was sentenced to 40 years in prison .   1996 : During his visit to the Asia - Pacific Economic Cooperation ( APEC ) forum in Manila in 1996 , Clinton 's motorcade was rerouted before it was to drive over a bridge . Service officers had intercepted a message suggesting that an attack was imminent , and Lewis Merletti , the director of the Secret Service , ordered the motorcade to be re-routed . An intelligence team later discovered a bomb under the bridge . Subsequent U.S. investigation `` revealed that ( the plot ) was masterminded by a Saudi terrorist living in Afghanistan named Osama bin Laden '' .    George W. Bush ( edit )  Main article : Assassination threats against George W. Bush   February 7 , 2001 : While President George W. Bush was in the White House , Robert Pickett , standing outside the perimeter fence , discharged a number of shots from a weapon in the direction of the White House . He was sentenced to three years in prison . The attempt happened within a month of the president taking office .   May 10 , 2005 : While President Bush was giving a speech in the Freedom Square in Tbilisi , Georgia , Vladimir Arutyunian threw a live Soviet - made RGD - 5 hand grenade toward the podium . The grenade had its pin pulled , but did not explode because a red tartan handkerchief was wrapped tightly around it , preventing the safety lever from detaching . After escaping that day , Arutyunian was arrested in July 2005 . During his arrest , he killed an Interior Ministry agent . He was convicted in January 2006 and given a life sentence .    Barack Obama ( edit )  Main article : Assassination threats against Barack Obama   April 2009 : A plot to assassinate Obama at the Alliance of Civilizations summit in Istanbul , Turkey was discovered after a man of Syrian origins carrying forged Al - Jazeera TV press credentials was found . The man confessed to the Turkish security services details of his plan to kill Obama with a knife with three alleged accomplices .   November 2011 : Oscar Ramiro Ortega - Hernandez hit the White House with several rounds fired from a semi-automatic rifle . No one was injured . However , a window was broken . He was sentenced to 25 years in prison .   April 2013 : Another attempt was made when a letter laced with ricin , a deadly poison , was sent to President Obama .    Presidential deaths Rumored to be assassinations ( edit )   Zachary Taylor ( edit )   On July 4 , 1850 , President Zachary Taylor fell ill and was diagnosed by his physicians with cholera morbus , a term that included diarrhea and dysentery but not true cholera . Cholera , typhoid fever and food poisoning have all been indicated as the source of the president 's ultimately fatal gastroenteritis . A hasty snack of iced milk , cold cherries and pickles consumed at an Independence Day celebration might have been the culprit . Taylor died five days later in the White House on July 9 , 1850 , at 10 : 35 p.m. ( 22 : 35 ) .   In the late 1980s , author Clara Rising theorized that Taylor was murdered by poison ; she was able to convince Taylor 's closest living relative , as well as the coroner of Jefferson County , Kentucky , Dr. Richard Greathouse , to order an exhumation . On June 17 , 1991 , Taylor 's remains were exhumed from the vault at the Zachary Taylor National Cemetery in Louisville , Kentucky . Radiological studies were conducted of the remains before small samples of hair , fingernail , and other tissues were removed . The remains were retinterred with appropriate honors . The samples were sent to Oak Ridge National Laboratory , where neutron activation analysis revealed traces of arsenic , but at levels less than one percent of the level expected in a death by poisoning .   Warren G. Harding ( edit )   In June 1923 , President Warren G. Harding set out on a cross-country `` Voyage of Understanding '' , planning to meet with citizens and explain his policies . During this trip , he became the first president to visit Alaska , which was then a U.S. territory .   Rumors of corruption in the Harding administration were beginning to circulate in Washington by 1923 , and Harding was profoundly shocked by a long message he received while in Alaska , apparently detailing illegal activities by his own cabinet that were allegedly unknown to him . At the end of July , while traveling south from Alaska through British Columbia , he developed what was thought to be a severe case of food poisoning . He gave the final speech of his life to a large crowd at the University of Washington Stadium ( now Husky Stadium ) at the University of Washington campus in Seattle , Washington . A scheduled speech in Portland , Oregon , was canceled . The President 's train proceeded south to San Francisco . Upon arriving at the Palace Hotel , he developed pneumonia . Harding died in his hotel room of either a heart attack or a stroke at 7 : 35 p.m. ( 19 : 35 ) on August 2 , 1923 . The formal announcement , printed in The New York Times of that day , stated : `` A stroke of apoplexy was the cause of death . '' He had been ill exactly one week .   Naval physicians surmised that Harding had suffered a heart attack . The Hardings ' personal medical advisor , homeopath and Surgeon General Charles E. Sawyer , disagreed with the diagnosis . His wife , Florence Harding , refused permission for an autopsy , which soon led to speculation that the President had been the victim of a plot , possibly carried out by his wife , as Harding apparently had been unfaithful to the First Lady . Gaston B. Means , an amateur historian and gadfly , noted in his book The Strange Death of President Harding ( 1930 ) that the circumstances surrounding his death led to suspicions that he had been poisoned . A number of individuals attached to him , both personally and politically , would have welcomed Harding 's death , as they would have been disgraced in association by Means ' assertion of Harding 's `` imminent impeachment '' .   See also ( edit )    List of assassinated and executed heads of state and government   List of incidents of political violence in Washington , D.C.   List of White House security breaches   Threatening the President of the United States   Thomas R. Marshall , vice president who was the target of an assassination attempt on July 2 , 1915   Assassination of Robert F. Kennedy , Democratic presidential candidate , on June 5 , 1968   Shooting of George Wallace , Democratic presidential candidate , on May 15 , 1972   Attempted assassination of Donald Trump , then presumptive Republican nominee for president , on June 18 , 2016   Curse of Tippecanoe   Kenned</t>
  </si>
  <si>
    <t xml:space="preserve">who is the first president to be assassinated</t>
  </si>
  <si>
    <t xml:space="preserve"> Assassination attempts and plots on the President of the United States have been numerous , ranging from the early 1800s to the 2010s . More than 30 attempts to kill an incumbent or former president , or a president - elect have been made since the early 1800s . Four sitting presidents have been killed , all of them by gunshot : Abraham Lincoln ( 1865 ) , James A. Garfield ( 1881 ) , William McKinley ( 1901 ) and John F. Kennedy ( 1963 ) . Additionally , two presidents have been injured in attempted assassinations , also by gunshot : Theodore Roosevelt ( 1912 ; former president at the time ) and Ronald Reagan ( 1981 ) . </t>
  </si>
  <si>
    <t xml:space="preserve">Gestalt psychology - wikipedia  Gestalt psychology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2016 ) ( Learn how and when to remove this template message )         The neutrality of this article is disputed . Relevant discussion may be found on the talk page . Please do not remove this message until conditions to do so are met . ( November 2016 ) ( Learn how and when to remove this template message )    ( Learn how and when to remove this template message )       Part of a series on     Psychology           Outline   History   Subfields       Basic types ( show )   Abnormal   Behavioral genetics   Biological   Cognitive / Cognitivism   Comparative   Cross-cultural   Cultural   Differential   Developmental   Evolutionary   Experimental   Mathematical   Neuropsychology   Personality   Positive   Quantitative   Social       Applied psychology ( show )   Applied behavior analysis   Clinical   Community   Consumer   Counseling   Critical   Educational   Environmental   Ergonomics   Forensic   Health   Humanistic   Industrial and organizational   Legal   Medical   Military   Music   Occupational health   Political   Religion   School   Sport   Traffic       Lists ( show )   Disciplines   Organizations   Psychologists   Psychotherapies   Publications   Research methods   Theories   Timeline   Topics         Psychology portal                   Gestalt psychology or gestaltism ( / ɡəˈʃtɑːlt , - ˈʃtɔːlt , - ˈstɑːlt , - ˈstɔːlt / ; from German : Gestalt ( ɡəˈʃtalt ) `` shape , form '' ) is a philosophy of mind of the Berlin School of experimental psychology . Gestalt psychology is an attempt to understand the laws behind the ability to acquire and maintain meaningful perceptions in an apparently chaotic world . The central principle of gestalt psychology is that the mind forms a global whole with self - organizing tendencies .   This principle maintains that when the human mind ( perceptual system ) forms a percept or `` gestalt '' , the whole has a reality of its own , independent of the parts . The original famous phrase of Gestalt psychologist Kurt Koffka , `` the whole is something else than the sum of its parts '' is often incorrectly translated as `` The whole is greater than the sum of its parts '' , and thus used when explaining gestalt theory , and further incorrectly applied to systems theory . Koffka did not like the translation . He firmly corrected students who replaced `` other '' with `` greater '' . `` This is not a principle of addition '' he said . The whole has an independent existence .   In the study of perception , Gestalt psychologists stipulate that perceptions are the products of complex interactions among various stimuli . Contrary to the behaviorist approach to focusing on stimulus and response , gestalt psychologists sought to understand the organization of cognitive processes ( Carlson and Heth , 2010 ) . Our brain is capable of generating whole forms , particularly with respect to the visual recognition of global figures instead of just collections of simpler and unrelated elements ( points , lines , curves , etc . ) .   In psychology , gestaltism is often opposed to structuralism . Gestalt theory , it is proposed , allows for the deconstruction of the whole situation into its elements .   Contents  ( hide )   1 Origins   1.1 Gestalt therapy     2 Theoretical framework and methodology   3 Support from cybernetics and neurology   4 Properties   4.1 Emergence   4.2 Reification   4.3 Multistability   4.4 Invariance     5 Prägnanz   6 Criticisms   7 Gestalt views in psychology   7.1 Fuzzy - trace theory     8 Use in design   9 Music   10 Quantum cognition modeling   11 See also   12 References   13 External links    Origins ( edit )   The concept of gestalt was first introduced in philosophy and psychology in 1890 by Christian von Ehrenfels ( a member of the School of Brentano ) . The idea of gestalt has its roots in theories by David Hume , Johann Wolfgang von Goethe , Immanuel Kant , David Hartley , and Ernst Mach . Max Wertheimer 's unique contribution was to insist that the `` gestalt '' is perceptually primary , defining the parts it was composed from , rather than being a secondary quality that emerges from those parts , as von Ehrenfels 's earlier Gestalt - Qualität had been .   Both von Ehrenfels and Edmund Husserl seem to have been inspired by Mach 's work Beiträge zur Analyse der Empfindungen ( Contributions to the Analysis of Sensations , 1886 ) , in formulating their very similar concepts of gestalt and figural moment , respectively . On the philosophical foundations of these ideas see Foundations of Gestalt Theory ( Smith , ed. , 1988 ) .   Early 20th century theorists , such as Kurt Koffka , Max Wertheimer , and Wolfgang Köhler ( students of Carl Stumpf ) saw objects as perceived within an environment according to all of their elements taken together as a global construct . This ' gestalt ' or ' whole form ' approach sought to define principles of perception -- seemingly innate mental laws that determined the way objects were perceived . It is based on the here and now , and in the way things are seen . Images can be divided into figure or ground . The question is what is perceived at first glance : the figure in front , or the background .   These laws took several forms , such as the grouping of similar , or proximate , objects together , within this global process . Although gestalt has been criticized for being merely descriptive , it has formed the basis of much further research into the perception of patterns and objects ( Carlson et al. 2000 ) , and of research into behavior , thinking , problem solving and psychopathology .   Gestalt therapy ( edit )   The founders of Gestalt therapy , Fritz and Laura Perls , had worked with Kurt Goldstein , a neurologist who had applied principles of Gestalt psychology to the functioning of the organism . Laura Perls had been a Gestalt psychologist before she became a psychoanalyst and before she began developing Gestalt therapy together with Fritz Perls . The extent to which Gestalt psychology influenced Gestalt therapy is disputed , however . In any case it is not identical with Gestalt psychology . On the one hand , Laura Perls preferred not to use the term `` Gestalt '' to name the emerging new therapy , because she thought that the gestalt psychologists would object to it ; on the other hand Fritz and Laura Perls clearly adopted some of Goldstein 's work . Thus , though recognizing the historical connection and the influence , most gestalt psychologists emphasize that gestalt therapy is not a form of gestalt psychology .   Mary Henle noted in her presidential address to Division 24 at the meeting of the American Psychological Association ( 1975 ) : `` What Perls has done has been to take a few terms from Gestalt psychology , stretch their meaning beyond recognition , mix them with notions -- often unclear and often incompatible -- from the depth psychologies , existentialism , and common sense , and he has called the whole mixture gestalt therapy . His work has no substantive relation to scientific Gestalt psychology . To use his own language , Fritz Perls has done ' his thing ' ; whatever it is , it is not Gestalt psychology '' With her analysis however , she restricts herself explicitly to only three of Perls ' books from 1969 and 1972 , leaving out Perls ' earlier work , and Gestalt therapy in general as a psychotherapy method .   There have been clinical applications of Gestalt psychology in the psychotherapeutic field long before Perls'ian Gestalt therapy , in group psychoanalysis ( Foulkes ) , Adlerian individual psychology , by Gestalt psychologists in psychotherapy like Erwin Levy , Abraham S. Luchins , by Gestalt psychologically oriented psychoanalysts in Italy ( Canestrari and others ) , and there have been newer developments foremost in Europe , e.g. Gestalt theoretical psychotherapy .   Theoretical framework and methodology ( edit )   The school of gestalt practiced a series of theoretical and methodological principles that attempted to redefine the approach to psychological research . This is in contrast to investigations developed at the beginning of the 20th century , based on traditional scientific methodology , which divided the object of study into a set of elements that could be analyzed separately with the objective of reducing the complexity of this object .   The theoretical principles are the following :    Principle of Totality -- The conscious experience must be considered globally ( by taking into account all the physical and mental aspects of the individual simultaneously ) because the nature of the mind demands that each component be considered as part of a system of dynamic relationships .   Principle of psychophysical isomorphism -- A correlation exists between conscious experience and cerebral activity .    Based on the principles above the following methodological principles are defined :    Phenomenon experimental analysis -- In relation to the Totality Principle any psychological research should take phenomena as a starting point and not be solely focused on sensory qualities .   Biotic experiment -- The school of gestalt established a need to conduct real experiments that sharply contrasted with and opposed classic laboratory experiments . This signified experimenting in natural situations , developed in real conditions , in which it would be possible to reproduce , with higher fidelity , what would be habitual for a subject .    Support from cybernetics and neurology ( edit )   In the 1940s and 1950s , laboratory research in neurology and what became known as cybernetics on the mechanism of frogs ' eyes indicate that perception of ' gestalts ' ( in particular gestalts in motion ) is perhaps more primitive and fundamental than ' seeing ' as such :    A frog hunts on land by vision ... He has no fovea , or region of greatest acuity in vision , upon which he must center a part of the image ... The frog does not seem to see or , at any rate , is not concerned with the detail of stationary parts of the world around him . He will starve to death surrounded by food if it is not moving . His choice of food is determined only by size and movement . He will leap to capture any object the size of an insect or worm , providing it moves like one . He can be fooled easily not only by a piece of dangled meat but by any moving small object ... He does remember a moving thing provided it stays within his field of vision and he is not distracted .     The lowest - level concepts related to visual perception for a human being probably differ little from the concepts of a frog . In any case , the structure of the retina in mammals and in human beings is the same as in amphibians . The phenomenon of distortion of perception of an image stabilized on the retina gives some idea of the concepts of the subsequent levels of the hierarchy . This is a very interesting phenomenon . When a person looks at an immobile object , `` fixes '' it with his eyes , the eyeballs do not remain absolutely immobile ; they make small involuntary movements . As a result the image of the object on the retina is constantly in motion , slowly drifting and jumping back to the point of maximum sensitivity . The image `` marks time '' in the vicinity of this point .    Properties ( edit )   The key principles of gestalt systems are emergence , reification , multistability and invariance .   Emergence ( edit )   This is demonstrated by the dog picture , which depicts a Dalmatian dog sniffing the ground in the shade of overhanging trees . The dog is not recognized by first identifying its parts ( feet , ears , nose , tail , etc . ) , and then inferring the dog from those component parts . Instead , the dog appears as a whole , all at once . Gestalt theory does not have an explanation for how this perception of a dog appears .   Reification ( edit )  See also : Reification ( fallacy ) Reification  Reification is the constructive or generative aspect of perception , by which the experienced percept contains more explicit spatial information than the sensory stimulus on which it is based .   For instance , a triangle is perceived in picture A , though no triangle is there . In pictures B and D the eye recognizes disparate shapes as `` belonging '' to a single shape , in C a complete three - dimensional shape is seen , where in actuality no such thing is drawn .   Reification can be explained by progress in the study of illusory contours , which are treated by the visual system as `` real '' contours .   Multistability ( edit )  the Necker cube and the Rubin vase , two examples of multistability  Multistability ( or multistable perception ) is the tendency of ambiguous perceptual experiences to pop back and forth unstably between two or more alternative interpretations . This is seen , for example , in the Necker cube and Rubin 's Figure / Vase illusion shown here . Other examples include the three - legged blivet and artist M.C. Escher 's artwork and the appearance of flashing marquee lights moving first one direction and then suddenly the other . Again , gestalt does not explain how images appear multistable , only that they do .   Invariance ( edit )  Invariance  Invariance is the property of perception whereby simple geometrical objects are recognized independent of rotation , translation , and scale ; as well as several other variations such as elastic deformations , different lighting , and different component features . For example , the objects in A in the figure are all immediately recognized as the same basic shape , which are immediately distinguishable from the forms in B. They are even recognized despite perspective and elastic deformations as in C , and when depicted using different graphic elements as in D. Computational theories of vision , such as those by David Marr , have provided alternate explanations of how perceived objects are classified .   Emergence , reification , multistability , and invariance are not necessarily separable modules to model individually , but they could be different aspects of a single unified dynamic mechanism .   Prägnanz ( edit )  Main article : Principles of grouping  The fundamental principle of gestalt perception is the law of prägnanz ( in the German language , pithiness ) , which says that we tend to order our experience in a manner that is regular , orderly , symmetrical , and simple . Gestalt psychologists attempt to discover refinements of the law of prägnanz , and this involves writing down laws that , hypothetically , allow us to predict the interpretation of sensation , what are often called `` gestalt laws '' .  Law of proximity Law of similarity Law of closure  A major aspect of Gestalt psychology is that it implies that the mind understands external stimuli as whole rather than the sum of their parts . The wholes are structured and organized using grouping laws . The various laws are called laws or principles , depending on the paper where they appear -- but for simplicity 's sake , this article uses the term laws . These laws deal with the sensory modality of vision . However , there are analogous laws for other sensory modalities including auditory , tactile , gustatory and olfactory ( Bregman -- GP ) . The visual Gestalt principles of grouping were introduced in Wertheimer ( 1923 ) . Through the 1930s and ' 40s Wertheimer , Kohler and Koffka formulated many of the laws of grouping through the study of visual perception .    Law of Proximity -- The law of proximity states that when an individual perceives an assortment of objects , they perceive objects that are close to each other as forming a group . For example , in the figure that illustrates the Law of proximity , there are 72 circles , but we perceive the collection of circles in groups . Specifically , we perceive that there is a group of 36 circles on the left side of the image , and three groups of 12 circles on the right side of the image . This law is often used in advertising logos to emphasize which aspects of events are associated .   Law of Similarity -- The law of similarity states that elements within an assortment of objects are perceptually grouped together if they are similar to each other . This similarity can occur in the form of shape , colour , shading or other qualities . For example , the figure illustrating the law of similarity portrays 36 circles all equal distance apart from one another forming a square . In this depiction , 18 of the circles are shaded dark , and 18 of the circles are shaded light . We perceive the dark circles as grouped together and the light circles as grouped together , forming six horizontal lines within the square of circles . This perception of lines is due to the law of similarity .   Law of Closure -- The law of closure states that individuals perceive objects such as shapes , letters , pictures , etc. , as being whole when they are not complete . Specifically , when parts of a whole picture are missing , our perception fills in the visual gap . Research shows that the reason the mind completes a regular figure that is not perceived through sensation is to increase the regularity of surrounding stimuli . For example , the figure that depicts the law of closure portrays what we perceive as a circle on the left side of the image and a rectangle on the right side of the image . However , gaps are present in the shapes . If the law of closure did not exist , the image would depict an assortment of different lines with different lengths , rotations , and curvatures -- but with the law of closure , we perceptually combine the lines into whole shapes .   Law of Symmetry -- The law of symmetry states that the mind perceives objects as being symmetrical and forming around a center point . It is perceptually pleasing to divide objects into an even number of symmetrical parts . Therefore , when two symmetrical elements are unconnected the mind perceptually connects them to form a coherent shape . Similarities between symmetrical objects increase the likelihood that objects are grouped to form a combined symmetrical object . For example , the figure depicting the law of symmetry shows a configuration of square and curled brackets . When the image is perceived , we tend to observe three pairs of symmetrical brackets rather than six individual brackets .   Law of Common Fate -- The law of common fate states that objects are perceived as lines that move along the smoothest path . Experiments using the visual sensory modality found that movement of elements of an object produce paths that individuals perceive that the objects are on . We perceive elements of objects to have trends of motion , which indicate the path that the object is on . The law of continuity implies the grouping together of objects that have the same trend of motion and are therefore on the same path . For example , if there are an array of dots and half the dots are moving upward while the other half are moving downward , we would perceive the upward moving dots and the downward moving dots as two distinct units .   Law of Continuity -- The law of continuity states that elements of objects tend to be grouped together , and therefore integrated into perceptual wholes if they are aligned within an object . In cases where there is an intersection between objects , individuals tend to perceive the two objects as two single uninterrupted entities . Stimuli remain distinct even with overlap . We are less likely to group elements with sharp abrupt directional changes as being one object .   Law of Good Gestalt -- The law of good gestalt explains that elements of objects tend to be perceptually grouped together if they form a pattern that is regular , simple , and orderly . This law implies that as individuals perceive the world , they eliminate complexity and unfamiliarity so they can observe a reality in its most simplistic form . Eliminating extraneous stimuli helps the mind create meaning . This meaning created by perception implies a global regularity , which is often mentally prioritized over spatial relations . The law of good gestalt focuses on the idea of conciseness , which is what all of gestalt theory is based on . This law has also been called the law of Prägnanz . Prägnanz is a German word that directly translates to mean `` pithiness '' and implies the ideas of salience , conciseness and orderliness .   Law of Past Experience -- The law of past experience implies that under some circumstances visual stimuli are categorized according to past experience . If two objects tend to be observed within close proximity , or small temporal intervals , the objects are more likely to be perceived together . For example , the English language contains 26 letters that are grouped to form words using a set of rules . If an individual reads an English word they have never seen , they use the law of past experience to interpret the letters `` L '' and `` I '' as two letters beside each other , rather than using the law of closure to combine the letters and interpret the object as an uppercase U .    Criticisms ( edit )   Some of the central criticisms of Gestaltism are based on the preference Gestaltists are deemed to have for theory over data , and a lack of quantitative research supporting Gestalt ideas . This is not necessarily a fair criticism as highlighted by a recent collection of quantitative research on Gestalt perception .   Other important criticisms concern the lack of definition and support for the many physiological assumptions made by gestaltists and lack of theoretical coherence in modern Gestalt psychology .   In some scholarly communities , such as cognitive psychology and computational neuroscience , gestalt theories of perception are criticized for being descriptive rather than explanatory in nature . For this reason , they are viewed by some as redundant or uninformative . For example , Bruce , Green &amp; Georgeson conclude the following regarding gestalt theory 's influence on the study of visual perception :   The physiological theory of the gestaltists has fallen by the wayside , leaving us with a set of descriptive principles , but without a model of perceptual processing . Indeed , some of their `` laws '' of perceptual organisation today sound vague and inadequate . What is meant by a `` good '' or `` simple '' shape , for example ?  -- Bruce , Green &amp; Georgeson , Visual perception : Physiology , psychology and ecology  Gestalt views in psychology ( edit )   Gestalt psychologists find it is important to think of problems as a whole . Max Wertheimer considered thinking to happen in two ways : productive and reproductive .   Productive thinking is solving a problem with insight .   This is a quick insightful unplanned response to situations and environmental interaction .   Reproductive thinking is solving a problem with previous experiences and what is already known . ( 1945 / 1959 ) .   This is a very common thinking . For example , when a person is given several segments of information , he / she deliberately examines the relationships among its parts , analyzes their purpose , concept , and totality , he / she reaches the `` aha ! '' moment , using what is already known . Understanding in this case happens intentionally by reproductive thinking .   Another gestalt psychologist , Perkins , believes insight deals with three processes :    Unconscious leap in thinking .   The increased amount of speed in mental processing .   The amount of short - circuiting that occurs in normal reasoning .    Views going against the gestalt psychology are :    Nothing - special view   Neo-gestalt view   The Three - Process View    Gestalt psychology should not be confused with the gestalt therapy of Fritz Perls , which is only peripherally linked to gestalt psychology . A strictly gestalt psychology - based therapeutic method is Gestalt Theoretical Psychotherapy , developed by the German gestalt psychologist and psychotherapist Hans - Jürgen Walter and his colleagues in Germany , Austria ( Gerhard Stemberger and colleagues ) and Switzerland . Other countries , especially Italy , have seen similar developments .   Fuzzy - trace theory ( edit )   Fuzzy - trace theory , a dual process model of memory and reasoning , was also derived from Gestalt psychology . Fuzzy - trace theory posits that we encode information into two separate traces : verbatim and gist . Information stored in verbatim is exact memory for detail ( the individual parts of a pattern , for example ) while information stored in gist is semantic and conceptual ( what we perceive the pattern to be ) . The effects seen in Gestalt psychology can be attributed to the way we encode information as gist .   Use in design ( edit )   The gestalt laws are used in user interface design . The laws of similarity and proximity can , for example , be used as guides for placing radio buttons . They may also be used in designing computers and software for more intuitive human use . Examples include the design and layout of a desktop 's shortcuts in rows and columns .   Music ( edit )   An example of the Gestalt movement in effect , as it is both a process and result , is a music sequence . People are able to recognise a sequence of perhaps six or seven notes , despite them being transposed into a different tuning or key .   Quantum cognition modeling ( edit )  Main article : Quantum cognition § Gestalt perception  Similarities between Gestalt phenomena and quantum mechanics have been pointed out by , among others , chemist Anton Amann , who commented that `` similarities between Gestalt perception and quantum mechanics are on a level of a parable '' yet may give useful insight nonetheless Physicist Elio Conte and co-workers have proposed abstract , mathematical models to describe the time dynamics of cognitive associations with mathematical tools borrowed from quantum mechanics and has discussed psychology experiments in this context . A similar approach has been suggested by physicists David Bohm , Basil Hiley and philosopher Paavo Pylkkänen with the notion that mind and matter both emerge from an `` implicate order '' . The models involve non-commutative mathematics ; such models account for situations in which the outcome of two measurements performed one after the other can depend on the order in which they are performed -- a pertinent feature for psychological processes , as it is obvious that an experiment performed on a conscious person may influence the outcome of a subsequent experiment by changing the state of mind of that person .   See also ( edit )    Psychology portal     Amodal perception   Cognitive grammar   Fuzzy - trace theory   Gestaltzerfall   Graz School   Hans Wallach   Hermann Friedmann   Important publications in Gestalt psychology   James J. Gibson   James Tenney   Kurt Goldstein   Laws of association   Mereology   Optical illusion   Pál Schiller Harkai   Pattern recognition ( machine learning )   Pattern recognition ( psychology )   Phenomenology   Principles of grouping   Rudolf Arnheim   Solomon Asch   Structural information theory   Topological data analysis   Wolfgang Metzger    References ( edit )    Jump up ^ `` gestalt '' . Random House Webster 's Unabridged Dictionary .   Jump up ^ Koffka 1935 , Principles of Gestalt Psychology , p. 176   Jump up ^ Tuck , Michael ( Aug 17 , 2010 ) . `` Gestalt Principles Applied in Design '' . Retrieved 2014 - 12 - 19 .   Jump up ^ David Hothersall : History of Psychology , chapter seven , ( 2004 )   Jump up ^ Heider , F. 1977 . Cited in Dewey , R.A. 2007 . Psychology : An introduction : Chapter four - The Whole is Other than the Sum of the Parts . Retrieved 4 / 12 / 2014 .   Jump up ^ Humphrey , G ( 1924 ) . `` The psychology of the gestalt '' . Journal of Educational Psychology . 15 ( 7 ) : 401 -- 412 . doi : 10.1037 / h0070207 .   ^ Jump up to : Bruce , V. , Green , P. &amp; Georgeson , M. ( 1996 ) . Visual perception : Physiology , psychology and ecology ( 3rd ed . ) . LEA . p. 110 . CS1 maint : Multiple names : authors list ( link )   Jump up ^ Bernd Bocian : Fritz Perls in Berlin 1893 -- 1933 . Expressionism -- Psychonalysis -- Judaism , 2010 , p. 190 , EHP Verlag Andreas Kohlhage , Bergisch Gladbach .   Jump up ^ Joe Wysong / Edward Rosenfeld ( eds ) : An Oral History of Gestalt Therapy , Highland , New York 1982 , The Gestalt Journal Press , p. 12 .   Jump up ^ Allen R. Barlow , `` Gestalt - Antecedent Influence or Historical Accident '' , The Gestalt Journal , Volume IV , Number 2 , ( Fall , 1981 )   Jump up ^ Mary Henle 1975 : Gestalt Psychology and Gestalt Therapy ; Presidential address to Division 24 at the meeting of the American Psychological Association , Chicago , September 1975 . Journal of the History of the Behavioral Sciences 14 , pp 23 - 32 .   Jump up ^ See Barlow criticizing Henle : Allen R. Barlow : Gestalt Therapy and Gestalt Psychology . Gestalt -- Antecedent Influence or Historical Accident , in : The Gestalt Journal , Volume IV , Number 2 , Fall , 1981 .   Jump up ^ William Ray Woodward , Robert Sonné Cohen -- World views and scientific discipline formation : science studies in the German Democratic Republic : papers from a German - American summer institute , 1988   Jump up ^ Lettvin , J.Y. , Maturana , H.R. , Pitts , W.H. , and McCulloch , W.S. ( 1961 ) . Two Remarks on the Visual System of the Frog . In Sensory Communication edited by Walter Rosenblith , MIT Press and John Wiley and Sons : New York   Jump up ^ Valentin Fedorovich Turchin -- The phenomenon of science -- a cybernetic approach to human evolution -- Columbia University Press , 1977   Jump up ^ Steven. , Lehar , ( 2003 ) . The World in your Head : A Gestalt View of the Mechanism of Conscious Experience . Mahwah , N.J. : Lawrence Erlbaum Associates , Publishers . ISBN 0805841768 . OCLC 52051454 .   Jump up ^ `` Gestalt Isomorphism '' . Sharp.bu.edu . Archived from the original on 2012 - 02 - 17 . Retrieved 2012 - 04 - 06 .   ^ Jump up to : Sternberg , Robert , Cognitive Psychology Third Edition , Thomson Wadsworth © 2003 .   ^ Jump up to : Stevenson , Herb . `` Emergence : The Gestalt Approach to Change '' . Unleashing Executive and Orzanizational Potential . Retrieved 7 April 2012 .   ^ Jump up to : Soegaard , Mads . `` Gestalt Principles of form Perception '' . Interaction Design . Retrieved 8 April 2012 .   Jump up ^ `` Why Your Brain Thinks These Dots Are a Dog '' . Gizmodo UK . Retrieved 2018 - 03 - 23 .   ^ Jump up to : Todorovic , Dejan . `` Gestalt Principles '' . Scholarpedia.org . Scholarpedia . Retrieved 5 April 2012 .   ^ Jump up to : Jäkel , F. , Singh , M. , Wichmann , F.A. , &amp; Herzog , M.H. ( 2016 ) , `` An overview of quantitative approaches in Gestalt perception . '' , Vision Research , 126 : 3 -- 8 , doi : 10.1016 / j. visres. 2016.06. 004 CS1 maint : Multiple names : authors list ( link )   Jump up ^ Schultz , Duane ( 2013 ) . A History of Modern Psychology . Burlington : Elsevier Science . p. 291 . ISBN 1483270084 .   Jump up ^ Sternberg , Robert , Cognitive Psychology Fourth Edition , Thomas Wadsworth © 2006 .   Jump up ^ Langley&amp; associates , 1987 ; Perkins , 1981 ; Weisberg , 1986 , 1995 ''   Jump up ^ Reyna , Valerie ( 2012 ) . `` A new institutionism : Meaning , memory , and development in Fuzzy - Trace Theory '' . Judgment and Decision Making . 7 ( 3 ) : 332 -- 359 .   Jump up ^ Barghout , Lauren ( 2014 ) . `` Visual Taxometric Approach to Image Segmentation Using Fuzzy - Spatial Taxon Cut Yields Contextually Relevant Regions '' . Information Processing and Management of Uncertainty in Knowledge - Based Systems : 163 -- 173 .   Jump up ^ Soegaard , Mads . `` Gestalt principles of form perception '' . Interaction-design.org . Retrieved 2012 - 04 - 06 .   Jump up ^ Ellis , Willis D. ( 1999 ) . A source book of Gestalt psychology ( Vol 2 ed . ) . Psychology Press .   Jump up ^ Anton Amann , The Gestalt problem in quantum theory : Generation of molecular shape by the environment . Synthese , October 1993 , Volume 97 , Issue 1 , pp 125 -- 156 ; Das Gestaltproblem in der Chemie : Die Entstehung molekularer Form unter dem Einfluß der Umgebung , Gestalt Theory , 1992 , 14 ( 4 ) , 228 - 265 .   Jump up ^ Conte , Elio ; Todarello , Orlando ; Federici , Antonio ; Vitiello , Francesco ; Lopane , Michele ; Khrennikov , </t>
  </si>
  <si>
    <t xml:space="preserve">the whole is greater than the sum of its parts is the motto of the</t>
  </si>
  <si>
    <t xml:space="preserve"> This principle maintains that when the human mind ( perceptual system ) forms a percept or `` gestalt '' , the whole has a reality of its own , independent of the parts . The original famous phrase of Gestalt psychologist Kurt Koffka , `` the whole is something else than the sum of its parts '' is often incorrectly translated as `` The whole is greater than the sum of its parts '' , and thus used when explaining gestalt theory , and further incorrectly applied to systems theory . Koffka did not like the translation . He firmly corrected students who replaced `` other '' with `` greater '' . `` This is not a principle of addition '' he said . The whole has an independent existence . </t>
  </si>
  <si>
    <t xml:space="preserve">Languages of Africa - wikipedia  Languages of Africa  Jump to : navigation , search For the 1963 book , see The Languages of Africa . The traditional language families spoken in Africa : Afroasiatic Nilo - Saharan Niger -- Congo Bantu Khoisan Indo - European Austronesian  The languages of Africa are divided into six major language families :    Afroasiatic languages are spread throughout Western Asia , North Africa , the Horn of Africa and parts of the Sahel .   Austronesian languages are spoken in Madagascar .   Indo - European languages are spoken in South Africa and Namibia ( Afrikaans , English , German ) and are used as lingua francas in the former colonies of Britain ( English ) , former colonies of France and of Belgium ( French ) , former colonies of Portugal and remaining Afro - Portuguese islands ( Portuguese ) , former colonies of Spain ( Spanish ) and the current Spanish territories of Ceuta , Melilla and the Canary Islands ( Spanish ) .   Khoe languages are concentrated in the Kalahari Desert of Namibia and Botswana .   Niger -- Congo languages ( Bantu and non-Bantu ) cover West , Central , Southeast and Southern Africa .   Nilo - Saharan languages ( unity debated ) are spoken from Tanzania to Sudan and from Chad to Mali .    There are several other small families and language isolates , as well as languages that have yet to be classified . In addition , Africa has a wide variety of sign languages , many of which are language isolates ( see below ) .   The total number of languages natively spoken in Africa is variously estimated ( depending on the delineation of language vs. dialect ) at between 1,250 and 2,100 , and by some counts at `` over 3,000 '' , Nigeria alone has over 500 languages ( according to the count of SIL Ethnologue ) , one of the greatest concentrations of linguistic diversity in the world . However , `` One of the notable differences between Africa and most other linguistic areas is its relative uniformity . With few exceptions , all of Africa 's languages have been gathered into four major phyla . ''   Around a hundred languages are widely used for inter-ethnic communication . Arabic , Somali , Berber , Amharic , Oromo , Igbo , Swahili , Hausa , Manding , Fulani and Yoruba are spoken by tens of millions of people . Twelve dialect clusters ( which may group up to a hundred linguistic varieties ) are spoken by 75 percent , and fifteen by 85 percent , of Africans as a first or additional language . Although many mid-sized languages are used on the radio , in newspapers and in primary - school education , and some of the larger ones are considered national languages , only a few are official at the national level . The African Union declared 2006 the `` Year of African Languages '' .     Contents  ( hide )   1 Language groups   1.1 Afroasiatic languages   1.2 Nilo - Saharan languages   1.3 Niger -- Congo languages   1.4 Other language families   1.4. 1 Austronesian   1.4. 2 Indo - European   1.4. 3 Small families   1.4. 4 Creole languages   1.4. 5 Unclassified languages   1.4. 6 Sign languages       2 Language in Africa   2.1 Official Languages   2.2 Cross-border languages   2.3 Language change and planning   2.4 Demographics     3 Linguistic features   3.1 Phonological   3.2 Syntactic   3.3 Semantic     4 Number of speakers   4.1 By region     5 See also   5.1 General   5.2 Works   5.3 Classifiers     6 Notes   7 References   8 External links      Language groups ( edit )  Clickable map showing the traditional language families , subfamilies and major languages spoken in Africa  Most languages spoken in Africa belong to one of three large language families : Afroasiatic , Nilo - Saharan and Niger -- Congo . Another hundred belong to small families such as Ubangian ( sometimes grouped within Niger - Congo ) and the various families called Khoisan , or the Indo - European and Austronesian language families mainly spoken outside Africa ; the presence of the latter two dates to 2,600 and 1,500 years ago , respectively . In addition , the languages of Africa languages include several unclassified languages and sign languages .   The earliest Afroasiatic languages are associated with the Capsian culture , the Nilo - Saharan languages are linked with the Khartoum Mesolithic / Neolithic , the Niger - Congo languages are correlated with the west and central African hoe - based farming traditions and the Khoisan languages are matched with the south and southeastern Wilton industries . More broadly , the Afroasiatic family is tentatively grouped within the Nostratic superfamily , and the Nilo - Saharan and Niger - Congo phyla form the Niger - Saharan macrophylum .   Afroasiatic languages ( edit )  Main article : Afroasiatic languages  Afroasiatic languages are spoken throughout North Africa , the Horn of Africa , Western Asia and parts of the Sahel . There are approximately 375 Afroasiatic languages spoken by over 350 million people . The main subfamilies of Afroasiatic are Berber , Chadic , Cushitic , Egyptian and Semitic . The Afroasiatic Urheimat is uncertain . However , the family 's most extensive branch , the Semitic languages ( including Arabic , Amharic and Hebrew among others ) , seems to have developed in the Arabian peninsula . The Semitic languages are now the only branch of Afroasiatic that is spoken outside Africa .   Some of the most widely spoken Afroasiatic languages include Arabic ( a Semitic language , and a recent arrival from West Asia ) , Somali ( Cushitic ) , Berber ( Berber ) , Hausa ( Chadic ) , Amharic ( Semitic ) and Oromo ( Cushitic ) . Of the world 's surviving language families , Afroasiatic has the longest written history , as both the Akkadian language of Mesopotamia and Ancient Egyptian are members .   Nilo - Saharan languages ( edit )  Main article : Nilo - Saharan languages  Nilo - Saharan languages consist of a hundred diverse languages . The family has a speech area that stretches from the Nile Valley to northern Tanzania and into Nigeria and DR Congo , with the Songhay languages along the middle reaches of the Niger River as a geographic outlier . Genetic linkage between these languages has not been conclusively demonstrated , and among linguists , support for the proposal is sparse . The languages share some unusual morphology , but if they are related , most of the branches must have undergone major restructuring since diverging from their common ancestor . The inclusion of the Songhay languages is questionable , and doubts have been raised over the Koman , Gumuz and Kadu branches .   Some of the better known Nilo - Saharan languages are Kanuri , Fur , Songhay , Nobiin and the widespread Nilotic family , which includes the Luo , Dinka and Maasai . The Nilo - Saharan languages are tonal .   Niger -- Congo languages ( edit )  Main article : Niger -- Congo languages  The Niger -- Congo languages constitute the largest language family spoken in Africa and perhaps the world in terms of the number of languages . One of its salient features is an elaborate noun class system with grammatical concord . A large majority of languages of this family are tonal such as Yoruba and Igbo , Ashanti and Ewe language . A major branch of Niger -- Congo languages is the Bantu phylum , which has a wider speech area than the rest of the family ( see Niger -- Congo B ( Bantu ) in the map above ) .   The Niger -- Kordofanian language family , joining Niger -- Congo with the Kordofanian languages of south - central Sudan , was proposed in the 1950s by Joseph Greenberg . Today , linguists often use `` Niger -- Congo '' to refer to this entire family , including Kordofanian as a subfamily . One reason for this is that it is not clear whether Kordofanian was the first branch to diverge from rest of Niger -- Congo . Mande has been claimed to be equally or more divergent . Niger -- Congo is generally accepted by linguists , though a few question the inclusion of Mande and Dogon , and there is no conclusive evidence for the inclusion of Ubangian .   Other language families ( edit )   Several languages spoken in Africa belong to language families concentrated or originating outside the African continent .  Austronesian ( edit )  Malagasy belongs to the Austronesian family . It is the national language of Madagascar .  Indo - European ( edit )  Afrikaans is Indo - European , as is most of the vocabulary of most African creole languages . Afrikaans evolved from the Dutch vernacular of South Holland ( Hollandic dialect ) spoken by the mainly Dutch settlers of what is now South Africa , where it gradually began to develop distinguishing characteristics in the course of the 18th century . Most Afrikaans speakers live in South Africa . In Namibia it is the lingua franca and in Botswana and Zimbabwe it is a minority language of roughly several ten thousand people . Overall 15 to 20 million people are estimated to speak Afrikaans .   Since the colonial era , Indo - European languages such as Afrikaans , English , French , Italian , Portuguese and Spanish have held official status in many countries , and are widely spoken , generally as lingua francas . ( See African French and African Portuguese . ) German was once used in Germany 's colonies there from the late 1800s until World War I , when Britain and France took over and revoked German 's official status . Despite this , German is still spoken in Namibia , mostly among the white population . Although it lost its official status in the 1990s , it has been redesignated as a national language . Indian languages such as Gujarati are spoken by South Asian expatriates exclusively . In earlier historical times , other Indo - European languages could be found in various parts of the continent , such as Old Persian and Greek in Egypt , Latin and Vandalic in North Africa and Modern Persian in the Horn of Africa .  Small families ( edit )  The three small Khoisan families of southern Africa have not been shown to be closely related to any other major language family . In addition , there are various other families that have not been demonstrated to belong to one of these families . ( The questionable branches of Nilo - Saharan were covered above , and are not repeated here . )    Mande , some 70 languages , including the major languages of Mali and Guinea . These are generally thought to be divergent Niger -- Congo , but debate persists .   Ubangian , some 70 languages , centered on the languages of the Central African Republic ; may be Niger -- Congo   Khoe , around 10 languages , the primary family of Khoisan languages of Namibia and Botswana   Sandawe , an isolate of Tanzania , possibly related to Khoe   Kx'a , a language of Southern Africa   Tuu , or Taa - ǃKwi , two surviving languages   Hadza , an isolate of Tanzania   Bangime , a likely isolate of Mali   Jalaa , a likely isolate of Nigeria   Laal , a possible isolate of Chad    Khoisan is a term of convenience covering some 30 languages spoken by around 300,000 -- 400,000 people . There are five Khoisan families that have not been shown to be related to each other : Khoe , Tuu and Kx'a , which are found mainly in Namibia and Botswana , as well as Sandawe and Hadza of Tanzania , which are language isolates . A striking feature of Khoisan languages , and the reason they are often grouped together , is their use of click consonants . Some neighbouring Bantu languages ( notably Xhosa and Zulu ) have clicks as well , but these were adopted from Khoisan languages . The Khoisan languages are also tonal .  Creole languages ( edit )  Due partly to its multilingualism and its colonial past , a substantial proportion of the world 's creole languages are to be found in Africa . Some are based on Indo - European languages ( e.g. Krio from English in Sierra Leone and the very similar Pidgin in Nigeria and parts of Cameroon ; Cape Verdean Creole in Cape Verde and Guinea - Bissau Creole in Guinea - Bissau and Senegal , both from Portuguese ; Seychellois Creole in the Seychelles and Mauritian Creole in Mauritius , both from French ) ; some are based on Arabic ( e.g. Juba Arabic in the southern Sudan , or Nubi in parts of Uganda and Kenya ) ; some are based on local languages ( e.g. Sango , the main language of the Central African Republic ) ; while in Cameroon a creole based on French , English and local African languages known as Camfranglais has started to become popular .  Unclassified languages ( edit ) Further information : Category : Unclassified languages of Africa  A fair number of unclassified languages are reported in Africa . Many remain unclassified simply for lack of data ; among the better - investigated ones that continue to resist easy classification are :    possibly Afroasiatic : Ongota , Gomba   possibly Nilo - Saharan : Shabo   possibly Niger -- Congo : Jalaa , Mbre , Bayot   possibly Khoe : Kwadi   unknown : Laal , Mpre    Of these , Jalaa is perhaps the most likely to be an isolate .   Less - well investigated languages include Irimba , Luo , Mawa , Rer Bare ( possibly Bantu ) , Bete ( evidently Jukunoid ) , Bung ( unclear ) , Kujarge ( evidently Chadic ) , Lufu ( Jukunoid ) , Meroitic ( possibly Afroasiatic ) , Oropom ( possibly spurious ) and Weyto ( evidently Cushitic ) . Several of these are extinct , and adequate comparative data is thus unlikely to be forthcoming . Hombert &amp; Philippson ( 2009 ) list a number of African languages that have been classified as language isolates at one point or another . Many of these are simply unclassified , but Hombert &amp; Philippson believe Africa has about twenty language families , including isolates . Beside the possibilities listed above , there are :    Aasax or Aramanik ( Tanzania ) ( South Cushitic ? contains non-Cushitic lexicon )   Imeraguen ( Mauritania ) - Hassaniyya Arabic restructured on an Azêr ( Soninke ) base   Kara ( Fer ? ) ( Central African Republic )   Oblo ( Cameroon ) ( Adamawa ? Extinct ? )    Roger Blench notes a couple additional possibilities :    Defaka ( Nigeria )   Dompo ( Ghana )   Sign languages ( edit ) See also : List of sign languages § Africa  Many African countries have national sign languages , such as Algerian Sign Language , Tunisian Sign Language , Ethiopian Sign Language . Other sign languages are restricted to small areas or single villages , such as Adamorobe Sign Language in Ghana . Tanzania has seven , one for each of its schools for the Deaf , all of which are discouraged . Not much is known , since little has been published on these languages   Sign language systems extant in Africa include the Paget Gorman Sign System used in Namibia and Angola , the Sudanese Sign languages used in Sudan and South Sudan , the Arab Sign languages used across the Arab Mideast , the Francosign languages used in Francophone Africa and other areas such as Ghana and Tunisia , and the Tanzanian Sign languages used in Tanzania .   Language in Africa ( edit )   Throughout the long multilingual history of the African continent , African languages have been subject to phenomena like language contact , language expansion , language shift and language death . A case in point is the Bantu expansion , in which Bantu - speaking peoples expanded over most of Sub-Equatorial Africa , displacing Khoi - San speaking peoples from much of Southeast Africa and Southern Africa and other peoples from Central Africa . Another example is the Arab expansion in the 7th century , which led to the extension of Arabic from its homeland in Asia , into much of North Africa and the Horn of Africa .   Trade languages are another age - old phenomenon in the African linguistic landscape . Cultural and linguistic innovations spread along trade routes and languages of peoples dominant in trade developed into languages of wider communication ( lingua franca ) . Of particular importance in this respect are Berber ( North and West Africa ) , Jula ( western West Africa ) , Fulfulde ( West Africa ) , Hausa ( West Africa ) , Lingala ( Congo ) , Swahili ( Southeast Africa ) , Somali ( Horn of Africa ) and Arabic ( North Africa and Horn of Africa ) .   After gaining independence , many African countries , in the search for national unity , selected one language , generally the former colonial language , to be used in government and education . However , in recent years , African countries have become increasingly supportive of maintaining linguistic diversity . Language policies that are being developed nowadays are mostly aimed at multilingualism .   Official languages ( edit )  Official languages in Africa :    Afrikaans   Portuguese     Arabic   Spanish     English   Swahili     French   other languages     Besides the former colonial languages of English , French , Portuguese and Spanish , the following languages are official at the national level in Africa ( non-exhaustive list ) :    Afroasiatic     Arabic in Comoros , Chad , Djibouti , Egypt , Eritrea , Mauritania , Somalia , Sudan , Tunisia , Algeria , Libya and Morocco   Berber in Morocco and Algeria   Amharic in Ethiopia   Somali in Somalia   Tigrinya in Eritrea     Austronesian     Malagasy in Madagascar     Indo - European     Afrikaans     Niger - Congo     Chewa in Malawi and Zimbabwe   Comorian in the Comoros   Kinyarwanda in Rwanda   Kirundi in Burundi   Sesotho in Lesotho , South Africa and Zimbabwe   Setswana / Tswana in Botswana and South Africa   Shona , Sindebele in Zimbabwe   Sepedi in South Africa   Ndebele in South Africa   Swahili in Tanzania , Kenya , Rwanda and Uganda   Swati in Swaziland and South Africa   Tsonga in South Africa   Venda in South Africa   Xhosa in South Africa   Zulu in South Africa     Creoles     Mauritian Creole in Mauritius   Sango in the Central African Republic   Seychellois Creole in the Seychelles    Cross-border languages ( edit )   The colonial borders established by European powers following the Berlin Conference in 1884 -- 1885 divided a great many ethnic groups and African language speaking communities . In a sense , `` cross-border languages '' is a misnomer -- the speakers did not divide themselves . Nevertheless , it describes the reality of many African languages , which has implications for divergence of language on either side of a border ( especially when the official languages are different ) , standards for writing the language , etc . Some notable cross-border languages include Berber ( which stretches across much of North Africa and some parts of West Africa ) , Somali ( stretches across most of the Horn of Africa ) , Swahili ( spoken in the African Great Lakes region ) , Fula ( in the Sahel and West Africa ) and Luo languages ( in Democratic Republic of the Congo , Ethiopia , Kenya , Tanzania , Uganda , South Sudan and Sudan ) .   Some prominent Africans such as former Malian president and former Chairman of the African Commission , Alpha Oumar Konaré , have referred to cross-border languages as a factor that can promote African unity .   Language change and planning ( edit )   Language is not static in Africa any more than on other continents . In addition to the ( likely modest ) impact of borders , there are also cases of dialect levelling ( such as in Igbo and probably many others ) , koinés ( such as N'Ko and possibly Runyakitara ) and emergence of new dialects ( such as Sheng ) . In some countries , there are official efforts to develop standardized language versions .   There are also many less widely spoken languages that may be considered endangered languages .   Demographics ( edit )  Further information : Demographics of Africa  Of the 1 billion Africans ( in 2009 ) , about 17 percent speak an Arabic dialect . About 10 percent speak Swahili , the lingua franca of Southeast Africa ; about 5 percent speak a Berber dialect ; and about 5 percent speak Hausa , which serves as a lingua franca in much of the Sahel . Other important West African languages are Yoruba , Igbo and Fula . Major Horn of Africa languages are Amharic , Oromo and Somali . Important South African languages are Zulu , Xhosa and Afrikaans .   English , French and Portuguese are important languages in Africa . About 130 million , 115 million and 30 million Africans , respectively , speak them as either native or secondary languages . Portuguese has become the national language of Angola . Through ( among other factors ) sheer demographic weight , Africans are increasingly taking ownership of these three world languages and having an ever - greater influence on their development and growth .   Linguistic features ( edit )   Some linguistic features are particularly common among languages spoken in Africa , whereas others are less common . Such shared traits probably are not due to a common origin of all African languages . Instead , some may be due to language contact ( resulting in borrowing ) and specific idioms and phrases may be due to a similar cultural background .   Phonological ( edit )   Some widespread phonetic features include :    certain types of consonants , such as implosives ( / ɓa / ) , ejectives ( / kʼa / ) , the labiodental flap and in southern Africa , clicks ( / ǂa / , / ŋǃa / ) . True implosives are rare outside Africa , and clicks and the flap almost unheard of .   doubly articulated labial - velar stops like / k͡pa / and / ɡ͡ba / are found in places south of the Sahara .   prenasalized consonants , like / mpa / and / ŋɡa / , are widespread in Africa but not common outside it .   sequences of stops and fricatives at the beginnings of words , such as / fsa / , / pta / and / dt͡sk͡xʼa / .   nasal stops which only occur with nasal vowels , such as ( ba ) vs. ( mã ) ( but both ( pa ) and ( pã ) ) , especially in West Africa .   vowels contrasting an advanced or retracted tongue , commonly called `` tense '' and `` lax '' .   simple tone systems which are used for grammatical purposes .    Sounds that are relatively uncommon in African languages include uvular consonants , diphthongs and front rounded vowels   Tonal languages are found throughout the world but are predominantly used in Africa . Both the Nilo - Saharan and the Khoi - San phyla are fully tonal . The large majority of the Niger -- Congo languages is also tonal . Tonal languages are also found in the Omotic , Chadic and South &amp; East Cushitic branches of Afroasiatic . The most common type of tonal system opposes two tone levels , High ( H ) and Low ( L ) . Contour tones do occur , and can often be analysed as two or more tones in succession on a single syllable . Tone melodies play an important role , meaning that it is often possible to state significant generalizations by separating tone sequences ( `` melodies '' ) from the segments that bear them . Tonal sandhi processes like tone spread , tone shift , downstep and downdrift are common in African languages .   Syntactic ( edit )   Widespread syntactical structures include the common use of adjectival verbs and the expression of comparison by means of a verb ' to surpass ' . The Niger -- Congo languages have large numbers of genders ( noun classes ) which cause agreement in verbs and other words . Case , tense and other categories may be distinguished only by tone .   Semantic ( edit )   Quite often , only one term is used for both animal and meat ; the word nama or nyama for animal / meat is particularly widespread in otherwise widely divergent African languages .   Number of speakers ( edit )   The following is a table displaying the number of speakers of given languages within Africa :     Language   Family   Native speakers ( L1 )   Official status per country     Afrikaans   Indo - European   7,200,000   Namibia , South Africa     Akan   Niger -- Congo   11,000,000   None . Government sponsored language of Ghana     Amharic   Afroasiatic   21,800,000   Ethiopia     Arabic   Afroasiatic   150,000,000 but with separate mutually unintelligible varieties   Algeria , Chad , Comoros , Djibouti , Egypt , Eritrea , Libya , Mauritania , Morocco , Somalia , Sudan , Tunisia     Berber   Afroasiatic   56,000,000 ( estimated ) ( including separate unintelligible varieties )   Morocco , Algeria     Chewa   Niger -- Congo   9,700,000   Malawi , Zimbabwe     English   Indo - European   6,500,000 ( estimated )   see List of territorial entities where English is an official language     French   Indo - European   700,330 ( estimated )   see List of territorial entities where French is an official language     Fulani   Niger -- Congo   25,000,000       German   Indo - European     national language of Namibia     Gikuyu   Niger -- Congo   6,600,000       Hausa   Afroasiatic   34,000,000   Nigeria , Niger     Igbo   Niger -- Congo   18,000,000       Kinyarwanda   Niger -- Congo   9,800,000   Rwanda     Kirundi   Niger -- Congo   8,800,000   Burundi     Kongo   Niger -- Congo   5,600,000   recognised national language of Angola     Lingala   Niger -- Congo   5,500,000   national language of Democratic Republic of the Congo     Luganda   Niger - Congo   4,130,000   native language of Uganda     Luo   Nilo - Saharan ( probable )   4,200,000       Malagasy   Austronesian   18,000,000   Madagascar     Mauritian Creole   Indo - European   1,135,000   native language of Mauritius     Mossi   Niger -- Congo   7,600,000   Recognised regional language in Burkina Faso     Ndebele   Niger -- Congo   1,090,000   Statutory national language in South Africa     Northern Sotho   Niger -- Congo   4,600,000   South Africa     Oromo   Afroasiatic   26,000,000   Ethiopia     Portuguese   Indo - European   13,700,000 ( estimated )   Angola , Cape Verde , Guinea - Bissau , Equatorial Guinea , Mozambique , São Tomé and Príncipe     Sesotho   Niger -- Congo   5,600,000   Lesotho , South Africa , Zimbabwe     Shona   Niger -- Congo   14,200,000 incl . Manyika , Ndau ( 2000 -- 2006 )   Zimbabwe     Somali   Afroasiatic   16,600,000   Somalia     Spanish   Indo - European   4,101,590   Equatorial Guinea , Morocco , Sahrawi Arab Democratic Republic     Swahili   Niger -- Congo   15,000,000   official in Tanzania , Kenya , Uganda , Rwanda national language of Democratic Republic of Congo     Tigrinya   Afroasiatic   7,000,000   Eritrea     Tshiluba   Niger -- Congo   6,300,000 ( 1991 )   national language of Democratic Republic of the Congo     Tswana   Niger -- Congo   5,800,000   South Africa , Botswana     Umbundu   Niger -- Congo   6,000,000   recognised national language of Angola     Xhosa   Niger -- Congo   7,600,000   South Africa , Zimbabwe     Yoruba   Niger -- Congo   28,000,000   Nigeria , Benin     Zulu   Niger -- Congo   10,400,000   South Africa     By region ( edit )   Below is a list of the major languages of Africa by region , family and total number of primary language speakers in millions .       Central Africa     Niger -- Congo , Bantu   Lingala   Kinyarwanda : 12   Kongo : 5 +   Tshiluba   Kirundi         Horn of Africa     Afroasiatic   Semitic   Amharic : 20 +   Tigrinya : 5     Cushitic   Somali : 10 -- 15   Oromo : 30 -- 35       Nilo - Saharan : 1   Gumuz   Anuak   Kunama   Nara     Niger -- Congo : 1   Zigula         North Africa     Afroasiatic   Semitic   Arabic : 200     Berber : 30 -- 40   Kabyle   Atlas   Tuareg   Zenaga       Nilo - Saharan   Nubian : 5 +   Fur : 5 +   Zaghawa   Masalit     Niger -- Congo   Kordofanian languages   Nuba           Southeast Africa     Niger -- Congo , Bantu :   Swahili : 5 -- 10   Gikuyu : 9   Ganda : 6   Luhya : 6     Austronesian   Malagasy : 20 +     Niger - Congo , Ubangian   Gbaya : 2   Banda : 1 - 2   Zande     Nilo - Saharan   Kanuri : 10   Luo : 5   Sara : 3 - 4   Kalenjin : 5   Dinka   Nuer   Shilluk   Maasai : 1 - 2         Southern Africa     Niger -- Congo , Bantu   Zulu : 10   Xhosa : 8   Shona : 7   Sotho : 5   Tswana : 4   Umbundu : 4   Northern Sotho : 4   Chichewa : 8   Makua : 8     Indo - European   Germanic   Afrikaans : 7     Romance   Portuguese : 14           West Africa     Niger -- Congo   Benue -- Congo   Ibibio ( Nigeria ) : 7     Volta -- Niger   Igbo ( Nigeria ) : 30 -- 35   Yoruba : 40     Kwa :   Akan ( Ghana , Côte d'Ivoire ) : 20 -- 25     Gur   More : 5     Senegambian   Fula ( West Africa ) : 40   Wolof : 8       Afroasiatic   Chadic   Hausa : 50       Nilo - Saharan   Saharan   Kanuri : 10   Songhai : 5   Zarma : 5           See also ( edit )    Africa portal   Language portal    General ( edit )    Languages of the African Union   Writing systems of Africa   Journal of West African Languages    Works ( edit )    Polyglotta Africana   The Languages of Africa    Classifiers ( edit )    Karl Lepsius   Wilhelm Bleek   Carl Meinhof   Diedrich Westermann   Joseph Greenberg    Notes ( edit )    Jump up ^ Heine , Bernd ; Heine , Bernd , eds. ( 2000 ) . African Languages : an Introduction . Cambridge University Press .   Jump up ^ Epstein , Edmund L. ; Kole , Robert , eds. ( 1998 ) . The Language of African Literature . Africa World Press . p. ix . ISBN 0 - 86543 - 534 - 0 . Retrieved 2011 - 06 - 23 . Africa is incredibly rich in language -- over 3,000 indigenous languages by some counts , and many creoles , pidgins , and lingua francas .   Jump up ^ `` Ethnologue report for Nigeria '' . Ethnologue Languages of the World .   Jump up ^ Blench , Roger . 2017 . African language isolates . In Language Isolates , edited by Lyle Campbell , pp. 176 - 206 . Routledge .   Jump up ^ `` HUMAN DEVELOPMENT REPORT 2004 '' ( PDF ) . United Nations Development Programme. 2004 .   Jump up ^ African Union Summit 2006 Khartoum , Sudan . SARPN .   Jump up ^ Language , Volume 61 , Issues 3 - 4 . Linguistic Society of America . 1985 . p. 695 . Retrieved 31 January 2017 .   Jump up ^ Blench , Roger ( 2006 ) . Archaeology , Language , and the African Past . Rowman Altamira . p. 108 . ISBN 0759104662 . Retrieved 31 January 2017 .   Jump up ^ Christopher Ehret ; Bernd Heine , Derek Nurse ( ed . ) ( 2000 ) . African Languages : An Introduction . Cambridge University . p. 290 . ISBN 0521666295 . Retrieved 12 March 2018 . CS1 maint : Uses authors parameter ( link )   Jump up ^ Lyle Campbell &amp; Mauricio J. Mixco , A Glossary of Historical Linguistics ( 2007 , University of Utah Press )   Jump up ^ P.H. Matthews , Oxford Concise Dictionary of Linguistics ( 2007 , 2nd edition , Oxford )   Jump up ^ K. Pithouse , C. Mitchell , R. Moletsane , Making Connections : Self - Study &amp; Social Action , p. 91   Jump up ^ J.A. Heese ( 1971 ) . Die herkoms van die Afrikaner , 1657 -- 1867 ( The origin of the Afrikaner ) ( in Afrikaans ) . Cape Town : A.A. Balkema . OCLC 1821706 . OL 5361614M .   Jump up ^ Herkomst en groei van het Afrikaans - G.G. Kloeke ( 1950 )   Jump up ^ The origin of Afrikaans pronunciation : a comparison to west Germanic languages and Dutch dialects - Wilbert Heeringa , Febe de Wet ( 2007 )   Jump up ^ Standaard Afrikaans ( PDF ) . Abel Coetzee . Afrikaner Pers. 1948 . Retrieved 2014 - 09 - 17 .   Jump up ^ Jean - Marie Hombert &amp; Gérard Philippson. 2009 . `` The linguistic importance of language isolates : the African case . '' In Peter K. Austin , Oliver Bond , Monik Charette , David Nathan &amp; Peter Sells ( eds ) . Proceedings of Conference on Language Documentation and Linguistic Theory 2 . London : SOAS .   Jump up ^ CIA -- The World Factbook .   Jump up ^ According to article 7 of The Transitional Federal Charter of the Somali Republic Archived 18 December 2008 at the Wayback Machine. : `` The official languages of the Somali Republic shall be Somali ( Maay and Maxaatiri ) and Arabic . The second languages of the Transitional Federal Government shall be English and Italian . ''   Jump up ^ `` The languages of South Africa '' . southafrica.info .   Jump up ^ African languages for Africa 's development ACALAN ( French &amp; English ) .   Jump up ^ The Economist , `` Tongues under threat '' , 22 January 2011 , p. 58 .   Jump up ^ `` The Embassy of the Republic of Angola - Culture '' .   Jump up ^ Census 2011 : Census in brief ( PDF ) . Pretoria : Statistics South Africa . 2012 . ISBN 9780621413885 . Archived ( PDF ) from the original on 13 May 2015 .   ^ Jump up to : Nationalencyklopedin `` Världens 100 största språk 2007 '' The World 's 100 Largest Languages in 2007   Jump up ^ `` Amharic '' .   Jump up ^ `` Arabic '' .   Jump up ^ `` Berber '' .   Jump up ^ `` Chichewa '' .   Jump up ^ `` English '' .   Jump up ^ `` French '' . Ethnologue.com . Retrieved 2017 - 07 - 11 .   Jump up ^ William Edmiston ; Annie Dumenil ( 2015 - 01 - 01 ) . La France contemporaine . Cengage Learning . p. 90 . ISBN 978 - 1 - 305 - 80441 - 8 .   Jump up ^ `` Gikuyu '' .   Jump up ^ Ethnologue ( 2009 ) cites 18 , 5 million L1 and 15 million L2 speakers in Nigeria in 1991 ; 5.5 million L1 speakers and half that many L2 speakers in Niger in 2006 , 0.8 million in Benin</t>
  </si>
  <si>
    <t xml:space="preserve">what are the most commonly spoken languages in africa</t>
  </si>
  <si>
    <t xml:space="preserve">   Language   Family   Native speakers ( L1 )   Official status per country     Afrikaans   Indo - European   7,200,000   Namibia , South Africa     Akan   Niger -- Congo   11,000,000   None . Government sponsored language of Ghana     Amharic   Afroasiatic   21,800,000   Ethiopia     Arabic   Afroasiatic   150,000,000 but with separate mutually unintelligible varieties   Algeria , Chad , Comoros , Djibouti , Egypt , Eritrea , Libya , Mauritania , Morocco , Somalia , Sudan , Tunisia     Berber   Afroasiatic   56,000,000 ( estimated ) ( including separate unintelligible varieties )   Morocco , Algeria     Chewa   Niger -- Congo   9,700,000   Malawi , Zimbabwe     English   Indo - European   6,500,000 ( estimated )   see List of territorial entities where English is an official language     French   Indo - European   700,330 ( estimated )   see List of territorial entities where French is an official language     Fulani   Niger -- Congo   25,000,000       German   Indo - European     national language of Namibia     Gikuyu   Niger -- Congo   6,600,000       Hausa   Afroasiatic   34,000,000   Nigeria , Niger     Igbo   Niger -- Congo   18,000,000       Kinyarwanda   Niger -- Congo   9,800,000   Rwanda     Kirundi   Niger -- Congo   8,800,000   Burundi     Kongo   Niger -- Congo   5,600,000   recognised national language of Angola     Lingala   Niger -- Congo   5,500,000   national language of Democratic Republic of the Congo     Luganda   Niger - Congo   4,130,000   native language of Uganda     Luo   Nilo - Saharan ( probable )   4,200,000       Malagasy   Austronesian   18,000,000   Madagascar     Mauritian Creole   Indo - European   1,135,000   native language of Mauritius     Mossi   Niger -- Congo   7,600,000   Recognised regional language in Burkina Faso     Ndebele   Niger -- Congo   1,090,000   Statutory national language in South Africa     Northern Sotho   Niger -- Congo   4,600,000   South Africa     Oromo   Afroasiatic   26,000,000   Ethiopia     Portuguese   Indo - European   13,700,000 ( estimated )   Angola , Cape Verde , Guinea - Bissau , Equatorial Guinea , Mozambique , São Tomé and Príncipe     Sesotho   Niger -- Congo   5,600,000   Lesotho , South Africa , Zimbabwe     Shona   Niger -- Congo   14,200,000 incl . Manyika , Ndau ( 2000 -- 2006 )   Zimbabwe     Somali   Afroasiatic   16,600,000   Somalia     Spanish   Indo - European   4,101,590   Equatorial Guinea , Morocco , Sahrawi Arab Democratic Republic     Swahili   Niger -- Congo   15,000,000   official in Tanzania , Kenya , Uganda , Rwanda national language of Democratic Republic of Congo     Tigrinya   Afroasiatic   7,000,000   Eritrea     Tshiluba   Niger -- Congo   6,300,000 ( 1991 )   national language of Democratic Republic of the Congo     Tswana   Niger -- Congo   5,800,000   South Africa , Botswana     Umbundu   Niger -- Congo   6,000,000   recognised national language of Angola     Xhosa   Niger -- Congo   7,600,000   South Africa , Zimbabwe     Yoruba   Niger -- Congo   28,000,000   Nigeria , Benin     Zulu   Niger -- Congo   10,400,000   South Africa   </t>
  </si>
  <si>
    <t xml:space="preserve">Fair Housing Act - wikipedia  Fair Housing Act  For the 1963 California law , see Rumford Fair Housing Act .  The Fair Housing Act is a federal act in the United States intended to protect the buyer or renter of a dwelling from seller or landlord discrimination . Its primary prohibition makes it unlawful to refuse to sell , rent to , or negotiate with any person because of that person 's inclusion in a protected class . The goal is a unitary housing market in which a person 's background ( as opposed to financial resources ) does not arbitrarily restrict access . Calls for open housing were issued early in the twentieth century , but it was not until after World War II that concerted efforts to achieve it were undertaken .   The legislation was the culmination of a civil rights campaign against housing discrimination in the United States and was approved by President Lyndon B. Johnson one week after the assassination of Martin Luther King , Jr .   The Fair Housing Act was enacted as Title VIII of the Civil Rights Act of 1968 , and codified at 42 U.S.C. 3601 - 3619 , with penalties for violation at 42 U.S.C. 3631 . It is enforced by the United States Department of Housing and Urban Development .     Contents  ( hide )   1 Summary   2 Enforcement   3 See also   4 Notes   5 External links      Summary ( edit )   The Fair Housing Act ( Title VIII of the Civil Rights Act of 1968 ) introduced meaningful federal enforcement mechanisms . It outlaws :    Refusal to sell or rent a dwelling to any person because of race , color , disability , religion , sex , familial status , or national origin .   Discrimination based on race , color , religion , sex , disability , familial status , or national origin in the terms , conditions or privileges of sale or rental of a dwelling .   Advertising the sale or rental of a dwelling indicating preference , limitation , or discrimination based on race , color , religion , sex , handicap , familial status , disability or national origin .   Coercing , threatening , intimidating , or interfering with a person 's enjoyment or exercise of housing rights based on discriminatory reasons or retaliating against a person or organization that aids or encourages the exercise or enjoyment of fair housing rights .    When the Fair Housing Act was first enacted , it prohibited discrimination only on the basis of race , color , religion , and national origin . Sex was added as a protected characteristic in 1974 . In 1988 , disability and familial status ( the presence or anticipated presence of children under 18 in a household ) were added ( further codified in the Americans with Disabilities Act of 1990 ) . In certain circumstances , the law allows limited exceptions for discrimination based on sex , religion , or familial status .   In 2017 , a federal judge ruled that sexual orientation and gender identity are protected classes under the Fair Housing Act . As of May 2018 , there is an additional pending effort to amend the Fair Housing Act to make this explicit ( HR 1447 ) . In a meeting on May 16 , 2018 with the National Association of Realtors ( NAR ) , Rep. Dana Rohrabacher ( R - Calif . ) , who is campaigning for his 16th term , said he believed that homeowners should be allowed to refuse to sell their home to gay and lesbian homebuyers . NAR disagreed and withdrew its endorsement of the Congressman over the matter .   The United States Department of Housing and Urban Development is the federal executive department with the statutory authority to administer and enforce the Fair Housing Act . The Secretary of Housing and Urban Development has delegated fair housing enforcement and compliance activities to HUD 's Office of Fair Housing and Equal Opportunity ( FHEO ) and HUD 's Office of General Counsel . FHEO is one of the United States ' largest federal civil rights agencies . It has a staff of more than 600 people located in 54 offices around the United States . As of August 2017 , the head of FHEO is Assistant Secretary for Fair Housing and Equal Opportunity Anna Maria Farias , whose appointment was confirmed on August 3 , 2017 .   Individuals who believe they have experienced housing discrimination can file a complaint with FHEO at no charge . FHEO funds and has working agreements with many state and local governmental agencies where `` substantially equivalent '' fair housing laws are in place . Under these agreements , FHEO refers complaints to the state or locality where the alleged incident occurred , and those agencies investigate and process the case instead of FHEO . This is known as FHEO 's Fair Housing Assistance Program ( or `` FHAP '' ) .   There is also a network of private , non-profit fair housing advocacy organizations throughout the country . Some are funded by FHEO 's Fair Housing Initiatives Program ( or `` FHIP '' ) , and some operate with private donations or grants from other sources .   Victims of housing discrimination need not go through HUD or any other governmental agency to pursue their rights , however . The Fair Housing Act confers jurisdiction to hear cases on federal district courts . The United States Department of Justice also has jurisdiction to file cases on behalf of the United States where there is a pattern and practice of discrimination or where HUD has found discrimination in a case and either party elects to go to federal court instead of continuing in the HUD administrative process .   The Fair Housing Act applies to landlords renting or leasing space in their primary residence only if the residence contains living quarters occupied or intended to be occupied by three or more other families living independently of each other , such as an owner - occupied rooming house .   Enforcement ( edit )   The Fair Housing Act has been strengthened since its adoption in 1968 , but enforcement continues to be a concern among housing advocates . According to a 2010 evaluation of Analysis of Impediments ( AI ) reports done by the Government Accountability Office , enforcement is particularly inconsistent across local jurisdictions .   See also ( edit )    Housing discrimination ( United States )   Stuyvesant Town -- Peter Cooper Village # Controversy - Post-war project that was involved in controversy for refusing to admit African - Americans .   Buchanan v. Warley   Department of Fair Employment and Housing   Civil rights campaign in Seattle ( Fair housing campaign in the 1960s )   Office of Fair Housing and Equal Opportunity ( 1 )    Notes ( edit )    Jump up ^ Definition of Fair Housing Act of 1968 , Legal Dictionary at TheFreeDictionary.com , Farlex Company . Accessed 15 January 2011 .   Jump up ^ `` Fair Housing - It 's Your Right - HUD '' . Portal.hud.gov . Retrieved 2015 - 07 - 06 .   ^ Jump up to : `` Title VIII : Fair Housing and Equal Opportunity - HUD '' . Portal.hud.gov . Retrieved 2015 - 07 - 06 .   Jump up ^ `` 40 Years Ago : Fair Housing Act Amended to Prohibit Discrimination on Basis of Sex '' . nlihc.org. 4 August 2014 .   Jump up ^ `` Exemptions to the Fair Housing Act ? Not Many -- But Here Are Some '' . Fox Rothschild LLP . Retrieved February 26 , 2018 .   Jump up ^ Barbash , Fred ( 6 April 2017 ) . `` Federal fair housing law protects LGBT couples , court rules for first time '' . Washington Post . Retrieved 27 May 2018 .   Jump up ^ `` Fair housing ruling : Denver federal Judge Raymond Moore ruled that a landlord 's refusal to rent to a lesbian couple violated federal housing law '' . Washington Post . 5 April 2017 . Retrieved 27 May 2018 .   Jump up ^ `` H.R. 1447 - Fair and Equal Housing Act of 2017 '' . Congress.gov . Retrieved 27 May 2018 .   Jump up ^ Wang , Amy ( 26 May 2018 ) . `` Refusing to sell homes to gay people is okay , GOP congressman says . Realtors disagree '' . Washington Post . Retrieved 27 May 2018 .   Jump up ^ `` PN1349 -- Anna Maria Farias '' . washingtonexaminer.com .   Jump up ^ US Government Accountability Office ( 2010 ) . `` Housing and community grants : HUD needs to enhance its requirements and oversight of jurisdictions ' fair housing plans '' .    External links ( edit )    File a housing discrimination complaint   The National Fair Housing Advocate Online     The National Fair Housing Alliance   HUD 's Office of Fair Housing and Equal Opportunity   Southern California Housing Rights Center   The Fair Housing Center of Southeastern Michigan   Fair Housing Blog            LCCN : n2016014738   VIAF : 8146094286100332188      Retrieved from `` https://en.wikipedia.org/w/index.php?title=Fair_Housing_Act&amp;oldid=846517248 '' Categories :   United States federal civil rights legislation   Housing in the United States   Housing legislation in the United States   Anti-discrimination law in the United States                 Talk                                           Contents                   About Wikipedia                                           Add links   This page was last edited on 19 June 2018 , at 07 : 34 ( UTC ) .         About Wikipedia                    </t>
  </si>
  <si>
    <t xml:space="preserve">who plays the major role in enforcing the federal fair housing act</t>
  </si>
  <si>
    <t xml:space="preserve"> The Fair Housing Act was enacted as Title VIII of the Civil Rights Act of 1968 , and codified at 42 U.S.C. 3601 - 3619 , with penalties for violation at 42 U.S.C. 3631 . It is enforced by the United States Department of Housing and Urban Development . </t>
  </si>
  <si>
    <t xml:space="preserve">Mayflower - wikipedia  Mayflower  Jump to : navigation , search For other ships , see Mayflower ( ship ) . For other uses , see Mayflower ( disambiguation ) .    Mayflower in Plymouth Harbor by William Halsall ( 1882 )     Name :   Mayflower     Owner :   Christopher Jones ( 1⁄4 of the ship )     Maiden voyage :   Before 1609     Out of service :   1622 -- 1624     Fate :   most likely taken apart by Rotherhithe shipbreaker c. 1624 .     General characteristics     Class and type :   Dutch cargo fluyt     Tonnage :   180 tons +     Length :   c. 80 -- 90 ft ( 24 -- 27.5 m ) on deck , 100 -- 110 ft ( 30 -- 33.5 m ) overall .     Decks :   Around 4     Capacity :   Unknown , but carried c. 135 people during the historical voyage to what they would call Plymouth Colony     The Mayflower was an English ship that famously transported the first English Puritans , known today as the Pilgrims , from Plymouth , England to the New World in 1620 . There were 102 passengers , and the crew is estimated to have been about 30 , but the exact number is unknown . This voyage has become an iconic story in some of the earliest annals of American history , with its story of death and of survival in the harsh New England winter environment . The culmination of the voyage in the signing of the Mayflower Compact was an event which established a rudimentary form of democracy , with each member contributing to the welfare of the community . There was a second ship named Mayflower that made the London to Plymouth , Massachusetts voyage several times .     Contents  ( hide )   1 Mayflower structure and layout   1.1 General layout   1.1. 1 Main deck   1.1. 2 Gun deck   1.1. 3 Gun deck armament   1.1. 4 Cargo hold       2 Early history   3 Voyage   3.1 Speedwell and Mayflower   3.2 Mayflower sets sail   3.3 Arrival in America   3.4 First winter     4 Passengers   5 Mayflower officers , crew , and others   5.1 Crew members per various sources   5.2 Officers and crew   5.3 Known Mayflower seamen   5.4 Unidentified passenger     6 Later history   7 Second Mayflower   8 Place in history   9 See also   10 References   11 Further reading   12 External links      Mayflower structure and layout   The Pilgrim ship Mayflower was a typical English merchant ship of the early 17th century , square - rigged and beak - bowed with high , castle - like structures fore and aft that served to protect the ship 's crew and the main deck from the elements . Her stern carried a 30 - foot high , square aft - castle which made the ship extremely difficult to sail against the wind and unable to sail well against the North Atlantic 's prevailing Westerlies , especially in the Fall and Winter of 1620 . This was the direct cause of the voyage from England to America taking more than two months . The Mayflower 's return trip to London in April -- May 1621 took less than half that time , with the same strong winds following .   By 1620 , the Mayflower was aging , nearing the end of the usual working life of an English merchant ship in that era , some 15 years . No dimensions of her hull can be stated exactly , since this was many years before such measurements were standardized . She probably measured about 100 feet ( 30 m ) in length from the forward end at the beak of her prow to the tip of her stern superstructure aft . She was about 25 feet ( 7.6 m ) at her widest point , with the bottom of her keel about 12 feet ( 3.6 m ) below the waterline . Although William Bradford was not a mariner , he estimated that Mayflower had a cargo capacity of 180 tons . What is known on the basis of surviving records from that time is that she could certainly accommodate 180 casks of wine in her cargo hold . The casks were great barrels that each held hundreds of gallons of claret wine .   This was a ship that traditionally was heavily armed while on trading routes around Europe , due to the possibility of encountering pirates and privateers of all types . And with its armament , the ship and crew could easily be conscripted by the English monarch at any time in case of conflict with other nations .   General layout   The general layout of the ship was as follows :    Three masts : mizzen ( aft ) , main ( midship ) , and fore , and also a spritsail in the bow area .   Three primary levels : main deck , gun deck , and cargo hold .   Main deck  Aft on the main deck in the stern was the cabin for Master Christopher Jones , measuring about ten by seven feet ( 3 m × 2.1 m ) . Forward of that was the steerage room , which housed a whipstaff ( tiller extension ) for sailing control ; not a wheel , as in later ships . Also here was the ship 's compass and probably also berths for the ship 's officers . Forward of the steerage room was the capstan , a vertical axle used to pull in ropes or cables . Far forward on the main deck , just aft of the bow , was the forecastle space where the ship 's cook prepared meals for the crew ; it may also have been where the ship 's sailors slept .   The poop deck was above the cabin of Master Jones , on the ship 's highest level above the stern on the aft castle . The poop house was on this deck , which may have been for passengers ' use either for sleeping or cargo . On normal merchant ships , this space was probably a chart room or a cabin for the master 's mates .  Gun deck  The gun deck was where the passengers resided during the voyage , in a space measuring about 50 by 25 feet ( 15.2 m × 7.6 m ) with a five - foot ( 1.5 m ) overhead ( ceiling ) . But it was also a dangerous place in conflict , as it had port and starboard gun ports from which cannon could be run out to fire on the enemy . The gun room was in the stern area of the gun deck , to which passengers had no access due to it being the storage space for powder and ammunition for the ship 's cannons and any other weapons belonging to the ship . The gun room might also house a pair of stern chasers , small cannons used to fire out the stern of the ship . Forward on the gun deck in the bow area was a windlass , equipment similar in function to the capstan in steerage , which was used to raise and lower the ship 's main anchor . There were no stairs for the passengers on the gun deck to go up through the gratings to the main deck . To get up to the main deck , passengers were required to climb a wooden or rope ladder .   There was no facility for a latrine or privy on the Mayflower , and ship 's crew had to fend for themselves in that regard . Gun deck passengers most likely used a bucket as a chamber pot , affixed to the deck or bulkhead to keep it from being jostled at sea .  Gun deck armament  The largest gun was a minion cannon which was brass , weighed about 1,200 pounds ( 545 kg ) , and could shoot a 3.5 pound ( 1.6 kg ) cannonball almost a mile ( 1,600 m ) . The Mayflower also had on board a saker cannon of about 800 pounds ( 360 kg ) , and two base cannons that weighed about 200 pounds ( 90 kg ) which shot a 3 to 5 ounce ball ( 85 -- 140 g ) . She carried at least ten pieces of ordnance on the port and starboard sides of her gun deck : seven cannons for long range purposes , and three smaller guns often fired from the stern at close quarters that were filled with musket balls . Later at New Plymouth , Mayflower Master Jones unloaded four of the pieces to help fortify the colony against invaders , and would not have done so unless he was comfortable with the armament that he still had on board .  Cargo hold  Below the gun deck was the cargo hold where the passengers kept most of their food stores and other supplies . Other items included most of their clothing and bedding . The hold also stored the passengers ' personal weapons and military equipment -- armor , muskets , gunpowder , and shot , as well as swords and bandoliers . It also stored all the tools that the Pilgrims would need , as well as all the equipment and utensils needed to prepare meals in the New World . It is also known that some Pilgrims loaded trade goods on board , including Isaac Allerton , William Mullins , and possibly others ; these also most likely were stored in the cargo hold .   Early history   It is not known when and where the Mayflower was built , but it is likely that she was launched at Harwich in the county of Essex , England . She was designated as `` of Harwich '' in the Port Books of 1609 -- 11 , although later known as `` of London '' . Harwich was also the birthplace of Mayflower master Christopher Jones about 1570 .   Captain Jones became master of the Mayflower 11 years prior to the Pilgrims ' voyage , sailing the ship cross-Channel taking English woolens to France and bringing French wine to London . In addition , he had also transported hats , hemp , Spanish salt , hops , and vinegar to Norway , and may have taken the Mayflower whaling in the North Atlantic in the Greenland area . She had traveled to Mediterranean ports , being then owned by Christopher Nichols , Robert Child , Thomas Short , and Christopher Jones , the ship 's master . In 1620 , Jones and Robert Child still owned their quarter shares in the ship , and it was from them that Thomas Weston chartered her in the summer of 1620 to undertake the Pilgrim voyage . Weston had a significant role in the Mayflower voyage , due to his membership in the Company of Merchant Adventurers , and he eventually traveled to the Plymouth Colony himself .   There were 26 vessels bearing the same name as the Pilgrim ship in the Port Books of England in the reign of James I ( 1603 -- 1625 ) , and the reason for this popularity of the name has never been found . One particular Mayflower that has caused historical confusion is a Mayflower erroneously identified as one of the 1620 Pilgrims . This ship was partly owned by John Vassall and was outfitted for Queen Elizabeth in 1588 , during the time of the Spanish Armada , a war for which Vassall outfitted several ships . However , there are no records of Vassall 's Mayflower after 1594 . The identity of Captain Jones 's Mayflower is based on records of the time of her home port , her tonnage ( est. 180 -- 200 tons ) , and the master 's name in 1620 in order to avoid confusion with the many other Mayflower ships .   Records dating from August 1609 first note Christopher Jones as master and part owner of the Mayflower when his ship was chartered for a voyage from London to Trondheim in Norway and back to London . The ship lost an anchor on her return , due to bad weather , and made short delivery of her cargo of herrings . Litigation resulted , and this was still proceeding in 1612 .   Christopher Jones is described in a document of January 1611 as being `` of Harwich '' , and his ship is called the Mayflower of Harwich ( in the county of Essex ) . Records of Jones 's ship Mayflower show that the ship was twice on the Thames at London in 1613 , once in July and again in October and November . Records of 1616 again state that Jones 's ship was on the Thames , carrying a cargo of wine , which suggests that the ship had recently been on a voyage to France , Spain , Portugal , the Canaries , or some other wine - producing land .   After 1616 , there is no further record which specifically relates to Jones 's Mayflower until 1624 . This is unusual for a ship trading to London , as it would not usually disappear from the records for such a long time . And no Admiralty court document can be found relating to the pilgrim fathers ' voyage of 1620 , although this might be due to the unusual way in which the transfer of the pilgrims was arranged from Leyden to New England . Or some of the records of the period may have been lost .   Voyage   Speedwell and Mayflower  Mayflower arrived in the `` Cape Cod fishhook '' , 11 November 1620 ( satellite photo , 1997 )  About 65 passengers embarked the Mayflower in London at its homeport in the Rotherhithe district on the Thames about the middle of July in 1620 . She then proceeded down the Thames into the English Channel and then on to the south coast to anchor at Southampton Water . The Mayflower waited there for seven days for a rendezvous on July 22 with the Speedwell , coming with Leiden church members from Delfshaven in Holland .   The two ships set sail about August 5 , but the unseaworthy Speedwell sprang a leak shortly after , and the ships were put into Dartmouth for repairs . The two ships made a new start after the repairs , and they were more than 200 miles ( 320 km ) beyond Land 's End at the southwestern tip of England when Speedwell sprang another leak . It was now early September , and they had no choice but to abandon the Speedwell and make a determination on her passengers . This was a dire event , as the ship had wasted vital funds and was considered very important to the future success of their settlement in America . Speedwell was sold soon after the Mayflower continued on her voyage to America . According to Bradford , she was refitted and `` made many voyages ... to the great profit of her owners . '' Bradford later assumed that Speedwell master Reynolds 's `` cunning and deceit '' ( in causing what may have been man - made leaks in the ship ) had been motivated by a fear of starving to death in America .   In addition to the 102 passengers , the officers and crew consisted of about 25 -- 30 persons , bringing the total persons on board the Mayflower to approximately 130 .   Mayflower sets sail  For more details on acquisition of the ship and the planning of the voyage , see Pilgrims ( Plymouth Colony ) .  In early September , western gales begin to make the North Atlantic a dangerous place for sailing . The Mayflower 's provisions were already quite low when departing Southampton , and they became lower still by delays of more than a month . The passengers had been on board the ship for this entire time , and they were quite worn out and in no condition for a very taxing , lengthy Atlantic journey cooped up in cramped spaces in a small ship . But the Mayflower sailed from Plymouth on September 6 , 1620 with what Bradford called `` a prosperous wind '' .  Plaque on the side of a building next to Newlyn Old Quay  The last port in England for the Mayflower was traditionally thought to be Plymouth ; however , there is continued controversy that the ship had to stop at Newlyn in Cornwall on the Land 's End peninsula before sailing west . It was believed that the water picked up at Plymouth had caused fever and cholera in the city , so Newlyn provided fresh water to the ship . Newlyn has a plaque to this effect on the side of a building on its quay , erected in remembrance of Plymouth historian Bill Best Harris , whose research is believed to have uncovered this little - known detail about the voyage .   Aboard the Mayflower were many stores that supplied the pilgrims with the essentials needed for their journey and future lives . It is assumed that they carried tools and weapons , including cannon , shot , and gunpowder , as well as some live animals , including dogs , sheep , goats , and poultry . Horses and cattle came later . The Mayflower also carried two boats : a long boat and a `` shallop '' , a 21 - foot boat powered by oars or sails . She also carried 12 artillery pieces ( eight minions and four sakers ) , as the Pilgrims feared that they might need to defend themselves against enemy European forces , as well as the natives .  The Mayflower Memorial in Southampton  The passage was a miserable one , with huge waves constantly crashing against the ship 's topside deck until a key structural support timber fractured . The passengers had already suffered agonizing delays , shortages of food , and other shortages , and were now called upon to provide assistance to the ship 's carpenter in repairing the fractured main support beam . This was repaired with the use of a metal mechanical device called a jackscrew , which had been loaded on board to help in the construction of settler homes . It was now used to secure the beam to keep it from cracking further , making the ship seaworthy enough .   The crew of the Mayflower had some devices to assist them en route , such as a compass for navigation , as well as a log and line system to measure speed in nautical miles per hour ( knots ) . Time was measured with the ancient method of an hour glass .   There were two deaths , but this was only a precursor of what happened after their arrival on Cape Cod .   Arrival in America   On November 9 , 1620 , they sighted present - day Cape Cod . They spent several days trying to sail south to their planned destination of the Colony of Virginia , where they had obtained permission to settle from the Company of Merchant Adventurers . However , strong winter seas forced them to return to the harbor at Cape Cod hook , well north of the intended area , where they anchored on November 11 . The settlers wrote and signed the Mayflower Compact after the ship dropped anchor at Cape Cod , in what is now Provincetown Harbor , in order to establish legal order and to quell increasing strife within the ranks .   On Monday , November 27 , an exploring expedition was launched under the direction of Capt . Christopher Jones to search for a suitable settlement site . As master of the Mayflower , Jones was not required to assist in the search , but he apparently thought it in his best interest to assist the search expedition . There were 34 persons in the open shallop : 24 passengers and 10 sailors . They were obviously not prepared for the bitter winter weather which they encountered on their reconnoiter , the Mayflower passengers not being accustomed to winter weather much colder than back home . They were forced to spend the night ashore due to the bad weather which they encountered , ill - clad in below - freezing temperatures with wet shoes and stockings that became frozen . Bradford wrote , `` Some of our people that are dead took the original of their death here '' on that expedition .   The settlers explored the snow - covered area and discovered an empty native village , now known as Corn Hill in Truro . The curious settlers dug up some artificially made mounds , some of which stored corn , while others were burial sites . Nathaniel Philbrick claims that the settlers stole the corn and looted and desecrated the graves , sparking friction with the locals . Philbrick goes on to say that they explored the area of Cape Cod for several weeks as they moved down the coast to what is now Eastham , and he claims that the Pilgrims were looting and stealing native stores as they went . He then writes about how they decided to relocate to Plymouth after a difficult encounter with the Nausets at First Encounter Beach in December 1620 .   However , Bradford 's History of Plymouth Plantation steadfastly denies such revisionist theories . Bradford records that they took `` some '' of the corn to show the others back at the boat , leaving the rest . They later took what they needed from another store of grain , paying the locals back in six months , and it was gladly received .   Also there was found more of their corn and of their beans of various colors ; the corn and beans they brought away , purposing to give them full satisfaction when they should meet with any of them as , about some six months afterward they did , to their good content .   First winter   During the winter , the passengers remained on board the Mayflower , suffering an outbreak of a contagious disease described as a mixture of scurvy , pneumonia , and tuberculosis . When it ended , only 53 passengers remained -- just over half ; half of the crew died , as well . In the spring , they built huts ashore , and the passengers disembarked from the Mayflower on March 21 , 1621 .   The settlers decided to mount `` our great ordnances '' on the hill overlooking the settlement in late February 1621 , due to the fear of attack by the natives . Christopher Jones supervised the transportation of the `` great guns '' -- about six iron cannons that ranged between four and eight feet ( 1.2 to 2.4 m ) in length and weighed almost half a ton . The cannon were able to hurl iron balls 3.5 inches ( 8.9 cm ) in diameter as far as 1,700 yards ( 1.5 km ) . This action made what was no more than a ramshackle village almost into a well - defended fortress .   Jones had originally planned to return to England as soon as the Pilgrims found a settlement site . But his crew members began to be ravaged by the same diseases that were felling the Pilgrims , and he realized that he had to remain in Plymouth Harbor `` till he saw his men began to recover . '' The Mayflower lay in New Plymouth harbor through the winter of 1620 -- 21 , then set sail for England on April 5 , 1621 , her empty hold ballasted with stones from the Plymouth Harbor shore . As with the Pilgrims , her sailors had been decimated by disease . Jones had lost his boatswain , his gunner , three quartermasters , the cook , and more than a dozen sailors .   The Mayflower made excellent time on her voyage back to England . The westerly winds that had buffeted her coming out pushed her along going home , and she arrived at the home port of Rotherhithe in London on May 6 , 1621 , less than half the time that it had taken her to sail to America . ''   Jones died after coming back from a voyage to France on March 5 , 1622 , at about age 52 . For the next two years , the Mayflower lay at her berth in Rotherhithe , not far from Jones ' grave at St. Mary 's church . By 1624 , she was no longer useful as a ship ; her subsequent fate is unknown , but she was probably broken up about that time .   Passengers  For more details on the passenger list , see List of passengers on the Mayflower .  Some families traveled together , while some men came alone , leaving families in England and Leiden . Two wives on board were pregnant ; Elizabeth Hopkins gave birth to son Oceanus while at sea , and Susanna White gave birth to son Peregrine in late November while the ship was anchored in Cape Cod Harbor . He is historically recognized as the first European child born in the New England area . One child died during the voyage , and there was one stillbirth during the construction of the colony .   According to the Mayflower passenger list , just over a third of the passengers were Puritan Separatists who sought to break away from the established Church of England and create a society along the lines of their religious ideals . Others were hired hands , servants , or farmers recruited by London merchants , all originally destined for the Colony of Virginia . Four of this latter group of passengers were small children given into the care of Mayflower pilgrims as indentured servants . The Virginia Company began the transportation of children in 1618 . Until relatively recently , the children were thought to be orphans , foundlings , or involuntary child labor . At that time , children were routinely rounded up from the streets of London or taken from poor families receiving church relief to be used as laborers in the colonies . Any legal objections to the involuntary transportation of the children were overridden by the Privy Council . In 1959 , it was conclusively shown that the four More children were sent to America because they were deemed illegitimate . Three of the four More children died in the first winter in the New World , but Richard lived to be approximately 81 , dying in Salem , probably in 1695 or 1696 .   The passengers mostly slept and lived in the low - ceilinged great cabins and on the main deck , which was 75 by 20 ( 23 m × 6 m ) at most . The cabins were thin - walled and extremely cramped , and the total area was 25 ft by 15 ft ( 7.6 m × 4.5 m ) at its largest . Below decks , any person over five feet ( 150 cm ) tall would be unable to stand up straight . The maximum possible space for each person would have been slightly less than the size of a standard single bed .   Passengers would pass the time by reading by candlelight or playing cards and games such as Nine Men 's Morris . Meals on board were cooked by the firebox , which was an iron tray with sand in it on which a fire was built . This was risky because it was kept in the waist of the ship . Passengers made their own meals from rations that were issued daily and food was cooked for a group at a time .   Upon arrival late in the year , the harsh climate and scarcity of fresh food caused many more deaths , and provisions were short due to the delay in departure . Living in these extremely close and crowded quarters , several passengers experienced scurvy , a disease caused by a lack of the essential nutrient vitamin C. There was no way to store fruits or vegetables without their becoming rotten , so many passengers did not receive enough nutrients in their diets . Passengers with scurvy experienced symptoms such as rotten teeth which would fall out , bleeding gums , and stinking breath .   Passengers consumed large amounts of alcohol such as beer with meals which was known to be safer than water , which often came from polluted sources causing diseases . All food and drink was stored in barrels known as `` hogsheads '' .   William Mullins took 126 pairs of shoes and 13 pairs of boots . These clothes included oiled leather and canvas suits , stuff gowns and leather and stuff breeches , shirts , jerkins , doublets , neckcloths , hats and caps , hose , stockings , belts , piece goods , and haberdasherie . At his death , his estate consisted of extensive footwear and other items of clothing , and made his daughter Priscilla and her husband John Alden quite prosperous .   No cattle or beasts of draft or burden were brought on the journey , but there were pigs , goats , and poultry . Some passengers brought family pets such as cats and birds . Peter Browne took his large bitch mastiff , and John Goodman brought along his spaniel .   Mayflower officers , crew , and others   According to author Charles Banks , the officers and crew of the Mayflower consisted of a captain , four mates , four quartermasters , surgeon , carpenter , cooper , cooks , boatswains , gunners , and about 36 men before the mast , making a total of about 50 . The entire crew stayed with the Mayflower in Plymouth through the winter of 1620 -- 1621 , and about half of them died during that time . The remaining crewmen returned to England on the Mayflower , which sailed for London on April 5 , 1621 .   Crew members per various sources   Banks states that the crew totaled 36 men before the mast and 14 officers , making a total of 50 . Nathaniel Philbrick estimates between 20 and 30 sailors in her crew whose names are unknown . Nick Bunker states that Mayflower had a crew of at least 17 and possibly as many as 30 . Caleb Johnson states that the ship carried a crew of about 30 men , but the exact number is unknown .   Officers and crew    Captain : Christopher Jones . About age 50 , of Harwich , a seaport in Essex , England , which was also the port of his ship Mayflower . He and his ship were veterans of the European cargo business , often carrying wine to England , but neither had ever crossed the Atlantic . By June 1620 , he and the Mayflower had been hired for the Pilgrims voyage by their business agents in London , Thomas Weston of the Merchant Adventurers and Robert Cushman .   Masters Mate : John Clark ( Clarke ) , Pilot . By age 45 in 1620 , Clark already had greater adventures than most other mariners of that dangerous era . His piloting career began in England about 1609 . In early 1611 , he was pilot of a 300 - ton ship on his first New World voyage , with a three - ship convoy sailing from London to the new settlement of Jamestown in Virginia . Two other ships were in that convoy , and the three ships brought 300 new settlers to Jamestown , going first to the Caribbean islands of Dominica and Nevis . While in Jamestown , Clark piloted ships in the area carrying various stores . During that time , he was taken prisoner in a confrontation with the Spanish ; he was taken to Havana and held for two years , then transferred to Spain where he was in custody for five years . In 1616 , he was finally freed in a prisoner exchange with England . In 1618 , he was back in Jamestown as pilot of the ship Falcon . Shortly after his return to England , he was hired as pilot for the Mayflower in 1620 .   Masters Mate : Robert Coppin , Pilot . Coppin had prior New World experience ; he previously hunted whales in Newfoundland and sailed the coast of New England . He was an early investor in the Virginia Company , being named in the Second Virginia Charter of 1609 . He was possibly from Harwich in Essex , the hometown of Captain Jones .   Masters Mate : Andrew Williamson   Masters Mate : John Parker   Surgeon : Doctor Giles Heale . The surgeon on board the Mayflower was never mentioned by Bradford , but his identity was well established . He was essential in providing comfort to all who died or were made ill that first winter . He was a young man from Drury Lane in the parish of St. Giles in the Field , London who had completed his apprenticeship with the Barber - Surgeons in the previous year . On February 21 , 1621 , he was a witness to the death - bed will of William Mullins . He survived the first winter and returned to London on the Mayflower in April 1621 , where he began his medical practice and worked as a surgeon until his death in 1653 .   Cooper : John Alden . Alden was a 21 - year - old from Harwich in Essex and a distant relative of Captain Jones . He hired on apparently while the Mayflower was anchored at Southampton Waters . He was responsible for maintaining the ship 's barrels , known as hogsheads , which were critical to the passengers ' survival and held the only source of food and drink while at sea ; tending them was a job which required a crew member 's attention . Bradford noted that Alden was `` left to his own liking to go or stay '' in Plymouth rather than return with the ship to England . He decided to remain .   Quartermaster : ( names unknown ) , 4 men . These men were in charge of maintaining the ship 's cargo hold , as well as the crew 's hours for standing watch . Some of the `` before the mast '' crewmen may also have been in this section . These quartermasters were also responsible for fishing and maintaining all fishing supplies and harpoons . The names of the quartermasters are unknown , but it is known that three of the four men died the first winter .   Cook : ( name unknown ) . He was responsible for preparing the crew 's meals and maintaining all food supplies and the cook room , which was typically located in the ship 's forecastle ( front end ) . The unnamed cook died the first winter .   Master Gunner : ( name unknown ) . He was in charge of the ship 's guns , ammunition , and powder . Some of those `` before the mast '' were likely in his charge . He is recorded as going on an exploration on December 6 , 1620 , and was `` sick unto death and so remained all that day , and the next night '' . He died later that winter .   Boatswain : ( name unknown ) . He was the person in charge of the ship 's rigging and sails , the anchors , and the ship 's longboat . The majority of the crew members `` before the mast '' were most likely under his supervision , working the sails and rigging . The operation of the ship 's shallop was also probably under his control , a light open boat with oars or sails ( see seaman Thomas English ) . William Bradford made this comment about the boatswain : `` the boatswain ... was a proud young man , who would often curse and scoff at the passengers , but when he grew weak they had compassion on him and helped him . '' But despite such assistance , the unnamed boatswain died the first winter .   Carpenter : ( name unknown ) . He was responsible for making sure that the hull was well - caulked and the masts were in good order . He was the person responsible for maintaining all areas of the ship in good condition and being a general repairman . He also maintained the tools and all necessary items to perform his carpentry tasks . His name is unknown , but his tasks were quite important to the safety and seaworthiness of the ship .   Swabber : ( various crewmen ) . This was the lowliest position on the ship , responsible for cleaning ( swabbing ) the decks . The swabber usually had an assistant who was responsible for cleaning the ship 's beakhead ( extreme front end ) , which was also the crew 's toilet .    Known Mayflower seamen    John Allerton : A Mayflower seaman who was hired by the company as labor to help in the Colony during the first year , then to return to Leiden to help other church members seeking to travel to America . He signed the Mayflower C</t>
  </si>
  <si>
    <t xml:space="preserve">when did the mayflower first come to america</t>
  </si>
  <si>
    <t xml:space="preserve"> The Mayflower was an English ship that famously transported the first English Puritans , known today as the Pilgrims , from Plymouth , England to the New World in 1620 . There were 102 passengers , and the crew is estimated to have been about 30 , but the exact number is unknown . This voyage has become an iconic story in some of the earliest annals of American history , with its story of death and of survival in the harsh New England winter environment . The culmination of the voyage in the signing of the Mayflower Compact was an event which established a rudimentary form of democracy , with each member contributing to the welfare of the community . There was a second ship named Mayflower that made the London to Plymouth , Massachusetts voyage several times . </t>
  </si>
  <si>
    <t xml:space="preserve">Tirusulam railway station - Wikipedia  Tirusulam railway station  Jump to : navigation , search    Tirusulam     Station of Chennai Suburban Railway and Southern Railways     Tirusulam railway station     Location   Grand Southern Trunk Road , Tirusulam , Chennai , Tamil Nadu , India     Coordinates   12 ° 58 ′ 23 '' N 80 ° 10 ′ 12 '' E ﻿ / ﻿ 12.97306 ° N 80.17000 ° E ﻿ / 12.97306 ; 80.17000 Coordinates : 12 ° 58 ′ 23 '' N 80 ° 10 ′ 12 '' E ﻿ / ﻿ 12.97306 ° N 80.17000 ° E ﻿ / 12.97306 ; 80.17000     Owned by   Ministry of Railways , Indian Railways     Line ( s )   South and South West lines of Chennai Suburban Railway     Platforms   4 ( 280 m )     Tracks       Construction     Structure type   Standard on - ground station     Parking   Available     Other information     Station code   TLM     Fare zone   Southern Railways     History     Previous names   South Indian Railway     Tirusulam railway station is one of the railway stations of the Chennai Beach -- Chengalpattu section of the Chennai Suburban Railway Network . It serves the neighbourhood of Tirusulam , a suburb of Chennai where the city 's airport is located . It is located at a distance of 21 km from Chennai Beach terminus and is situated on the GST Road across the airport , with an elevation of 20 m above sea level .     Contents  ( hide )   1 History   2 Layout   3 Developments   4 See also   5 References   6 External links      History ( edit )  Tirusulam railway station ( southern side )  The station lies in the Chennai Beach -- Tambaram section of the Chennai Suburban Railway Network , the first suburban section of the city . With the completion of track - lying work in March 1931 , which began in 1928 , the suburban services were started on 11 May 1931 between Beach and Tambaram , and was electrified on 15 November 1931 , with the first MG EMU services running on 1.5 kV DC . The section was converted to 25 kV AC traction on 15 January 1967 .   Layout ( edit )  Tirusulam railway station ( northern side )  The station has two suburban platforms and another island platform for long - distance mainline trains . Since mainline trains do not halt at the station , the island platform remains unused . The platform is 280 m long and has been considered to be extended to 575 m as there are plans to halt long - distance trains at the station .   Developments ( edit )   The station is connected to the Chennai airport by means of a subway . Despite being situated at the entrance of the airport , the station does not cater to the needs of the air travellers due to the lack of proper approach corridors and other facilities . With the modernisation of Chennai Airport in 2012 , several renovation processes are underway in the station . There are also plans to connect the station with the Metro Rail station at the airport .   See also ( edit )    Chennai Suburban Railway   Railway stations in Chennai    References ( edit )    Railways in India portal   Chennai portal     Jump up ^ `` Electric Traction - I '' . IRFCA.org . Retrieved 17 Nov 2012 .   Jump up ^ `` IR Electrification Chronology up to 31.03. 2004 '' . History of Electrification . IRFCA.org . Retrieved 17 Nov 2012 .   Jump up ^ `` Soon long distance trains may halt at Tirusulam stn '' . The Times of India . Chennai : The Times Group . 23 May 2012 . Retrieved 15 Dec 2012 .   Jump up ^ Sekar , Sunitha ( 30 November 2012 ) . `` Safety trumps use of Tirusulam subway '' . The Hindu . Chennai : The Hindu . Retrieved 15 Dec 2012 .   Jump up ^ Sreevatsan , Ajai ( 23 April 2011 ) . `` Airport - railway station link planned '' . The Hindu . Chennai : The Hindu . Retrieved 15 Dec 2012 .   Jump up ^ `` Lack of coordination mars attempts to revamp Tirusulam station '' . The Hindu . Chennai : The Hindu . 7 August 2012 . Retrieved 15 Dec 2012 .   Jump up ^ Janardhanan , Arun ( 23 September 2011 ) . `` Corridor to connect airport with stations '' . The Times of India . Chennai : The Times Group . Retrieved 15 Dec 2012 .    External links ( edit )    Tirusulam railway station on IndiaRailInfo.com   Local Train timings from / to Tirusulam      Tirusulam     Next station east north / north : Meenambakkam   South West Line , Chennai Suburban   Next station south / south west : Pallavaram     Stop number : 14   KM from start : 24       Stations of South West Line of Chennai Suburban Railway       Chennai Beach   Chennai Fort   Chennai Park   Chennai Egmore   Chetput   Nungambakkam   Kodambakkam   Mambalam   Saidapet   Guindy   St. Thomas Mount   Pazhavanthangal   Meenambakkam   Tirusulam   Pallavaram   Chromepet   Tambaram Sanatorium   Tambaram   Perungalathur   Vandalur   Urapakkam   Guduvancheri   Potheri   Kattangulathur   Maraimalai Nagar   Singaperumal Koil   Paranur   Chengalpattu   Reddypalayam   Villiambakkam   Palur   Palayasivaram   Walajabad   Nathapettai   Kanchipuram   Tirumalpur   Thakkolam   Arakkonam         Tirusulam     Next station northbound : Meenambakkam   South Line , Chennai Suburban   Next station southbound : Pallavaram     Stop number : 14   KM from start : 24       Stations of the South Line of the Chennai Suburban Railway       Chennai Beach   Chennai Fort   Chennai Park   Chennai Egmore   Chetput   Nungambakkam   Kodambakkam   Mambalam   Saidapet   Guindy   St. Thomas Mount   Pazhavanthangal   Meenambakkam   Tirusulam   Pallavaram   Chromepet   Tambaram Sanatorium   Tambaram   Perungalathur   Vandalur   Urapakkam   Guduvancheri   Potheri   Kattangulathur   Maraimalai Nagar   Singaperumal Koil   Paranur   Chengalpattu   Tirumani   Ottivakkam   Padalam   Karunguzhi   Maduranthakam   Pakkam   Melmaruvathur   Acharapakkam   Tozhuppedu   Karasangal   Olakur   Panchalam   Tindivanam   Mailam   Perani   Vikravandi   Mundiyampakkam   Viluppuram Junction                 Chennai        History     Early history ( pre-1500 )     Sangam period   Thomas the Apostle   Pallava Dynasty   Chola Dynasty   Vijayanagar Empire       Colonial period ( 1500 -- 1900 )     São Tomé de Meliapore   Raja of Chandragiri   Agency of Fort St George   1721 Madras cyclone   Carnatic Wars ( Madras Adyar Chingleput )   Anglo - Mysore Wars   Governors       Modern period ( 1900 -- present )     Arbuthnot Bank Crash   Besant v. Narayaniah   Bombardment of Madras by SMS Emden   de La Haye scandal   1921 Buckingham and Carnatic Mills Strike   Neil Statue Satyagraha   1928 South Indian Railway Strike   1932 Madras and Southern Mahratta Railway Strike   1943 Chennai floods   Madras Manade   Anti-Hindi agitations   Assassination of Rajiv Gandhi   R.S.S. Chennai bombing   2004 Indian Ocean earthquake   2013 Anti-Sri Lanka protests   2015 South Indian floods       Writers and historians     S. Muthiah   Randor Guy   S. Theodore Baskaran   V. Sriram   A.R. Venkatachalapathy             Geography and wildlife     Regions     Chennai Metropolitan Area   Central Chennai   North Chennai   South Chennai       Rivers and waterways     Adyar River   Buckingham Canal   Coovum River   Kosasthalaiyar River   Otteri Nullah       Lakes     Chembarambakkam Lake   Chetput Lake   Long Tank   Manali Lake   Porur Lake   Red Hills Lake   Retteri   Veeranam       Islands     Kattupalli Island   Quibble Island   The Island       Zoological parks     Arignar Anna Zoological Park   Chennai Snake Park   Guindy National Park   Madras Crocodile Bank       Reserve Forests     Nanmangalam Reserve Forest   Vandalur Reserve Forest       Marshlands     Ennore creek   Pallikaranai Wetland       Heritage monuments     Amir Mahal   Bharat Insurance Building   Brodie Castle   Chennai Central Prison   Chepauk Palace   LIC Building   Lighthouse   Police headquarters   Port Trust Building   Puzhal Central Prison   Ripon Building   Royapuram railway station   University of Madras Senate House   Southern Railway headquarters   Valluvar Kottam   Victoria Public Hall       Statues     Marina Beach Statues   Thomas Munro   Triumph of Labour       Memorials     Gandhi Mandapam   Kamarajar Mandapam   Rajaji Mandapam   Rajiv Gandhi Memorial   Madras War Cemetery   Victory War Memorial   Vivekanandar Illam             Administration and Politics     Districts     Chennai District   Tiruvallur District   Kanchipuram District   Vellore District       Taluks      Chennai District     Aminjikarai   Ayanavaram   Egmore   Guindy   Mambalam   Mylapore   Perambur   Purasaiwalkam   Tondiarpet   Velachery       Tiruvallur district     Tiruvottiyur   Madhavaram   Ambattur   Avadi   Maduravoyal   Ponneri   Poonamallee   Tiruvallur   Gummidipoondi   Uthukottai   Tiruttani   Pallipattu       Kanchipuram district     Alandur   Sholinganallur   Pallavaram   Tambaram   Chengalpattu   Thiruporur   Tirukalukundram   Sriperumbudur   Walajabad   Kanchipuram   Uthiramerur   Madurantakam   Cheyyur       Vellore District     Arakkonam          Parliamentary constituencies     Chennai Central   Chennai North   Chennai South   Sriperumbudur   Thiruvallur       Assembly constituencies     Alandur   Ambattur   Anna Nagar   Avadi   Chengalpattu   Chepauk   Egmore   Harbour   Kolathur   Madhavaram   Maduravoyal   Mylapore   Pallavaram   Perambur   Ponneri   Poonamallee   RK Nagar   Royapuram   Saidapet   Sholinganallur   Sriperumbudur   T. Nagar   Tambaram   Thiru . Vi . Ka . Nagar   Thiruvottiyur   Thousand Lights   Tiruvallur   Villivakkam   Virugambakkam   Velachery       Nodal Agencies     Greater Chennai Corporation   Chennai Metropolitan Development Authority   Chennai MetroWater and Sewage Board   Chennai Police Commissionerate   General Post Office   Greater Chennai Police   Madras High Court   Sheriff     Tamil Nadu Electricity Board   Tamil Nadu Fire and Rescue Services             Economy     Business districts     Burma Bazaar   Kothawal Chavadi   Koyambedu Wholesale Market Complex   Panagal Park   Parry 's Corner   Pondy Bazaar   Purasawalkam   Ranganathan Street   Ritchie Street   Velachery   Washermanpet       SEZ     SEZ Corridor   MEPZ   Tidel Park   World Trade Center       Companies and institutions     Aavin   Ashok Leyland   Basin Bridge Gas   Blue Dart Aviation   Chettinad Group   EID Parry   Ennore Thermal   GMR Vasavi   Heavy Vehicles Factory   Higginbotham 's   Indian Bank   Indian Overseas Bank   Integral Coach Factory   Madras Atomic Power Station   Madras Cements   Madras Rubber Factory   Madras Stock Exchange   Murugappa Group   North Chennai Thermal   Reserve Bank of India   Royal Enfield   SPIC   Sun Group   The Hindu   The New Indian Express   TI Cycles of India   TVS Motors   Vallur Thermal   World Bank office       Industry     Automotive   Electronics   Retail   Software             Culture and recreation     General     Architecture of Chennai   Kollywood   Madrassi   Madras Bashai   Madras School   Tourism in Chennai       Beaches     Covelong   Elliot 's Beach   Golden Beach   Marina Beach       Parks     Anna Nagar Tower Park   Semmozhi Poonga   Tholkappia Poonga       Cinemas     SPI Cinemas   Mayajaal Multiplex       Periodic events     Chennai Book Fair   Chennai International Film Festival   Chennai Sangamam   Lit for Life   Madras Day   Madras Music Season   Saarang   Techofes       Theme parks     EVP World   MGM Dizzee World   Queens Land   VGP Universal Kingdom   Dash N Splash   Kishkinta   Mayajaal Beach Resort       Shopping Malls     Abhirami Mega Mall   Alsa Mall   Ampa Skywalk   Chandra Mall   Chennai Citi Centre   Chennai Trade Centre   Coromandel Plaza   Express Avenue   Gold Souk Grande Mall   Phoenix Market City   Ramee Mall   Spectrum Mall   Spencer Plaza   Forum Vijaya Mall       Clubs     Gymkhana Club   Madras Boat Club   Royal Madras Yacht Club             Religion     Temples     Ayyappan Temple   Ashtalakshmi Kovil   ISKCON Temple Chennai   Kapaleeswarar Temple   Kalikambal Temple   Madhya Kailash   Marundeeswarar Temple   Parthasarathy Temple   Ravishwarar   Varasiddhi Vinayaka temple       Churches     Armenian Church   Church of Our Lady of Light   St. Andrew 's Kirk   St. George 's Cathedral   St. Patrick 's Cathedral   Santhome Basilica   St. Mary 's Church       Others     Mahabodhi Centre   Thousand Lights Mosque             Transport     Air     Chennai International Airport       Sea     Chennai Port   Ennore Port   Kattupalli Shipyard   Royapuram fishing harbour       Rail     Chennai Central   Chennai Metro   Chennai MRTS   Chennai Suburban Railway   Southern Railway   Railway stations in Chennai       Road      Roads and expressways     Anna Salai   Cenotaph Road   Chennai Bypass   Chennai Port - Maduravoyal Expressway   China Bazaar Road   East Coast Road   Inner Ring Road   Nungambakkam High Road   Outer Ring Road   Peters Road   Poonamallee High Road   Rajiv Gandhi Salai   Sardar Patel Road       Grade separators and flyovers     Anna Flyover   Chennai Airport Flyover   Chrompet Flyover   Irumbuliyur Junction   Kathipara Junction   Koyambedu Junction   Madhavaram Junction   Maduravoyal Junction   Moolakadai Junction   Padi Junction       Others     Chennai Mofussil Bus Terminus   Chennai Contract Carriage Bus Terminus   Metropolitan Transport Corporation   State Express Transport Corporation                Sport     Venues     Guindy Race Course   Jawaharlal Nehru Stadium   M.A. Chidambaram Stadium   Madras Motor Race Track   Mayor Radhakrishnan Stadium   MRF Pace Foundation   Mudaliarkuppam boat house   Muttukadu boat house   Rajarathinam Stadium   SDAT Tennis Stadium       Teams     Chennai Cheetahs   Chennai City F.C.   Chennai Smashers   Chennai Spikers   Chennai Super Kings   Chennai Superstars   Chennai Veerans   Chennaiyin FC   V Chennai Warriors       Others     Chennai Open   M.J. Gopalan Trophy   Madras Presidency Matches             Institutions     Education     Alliance Française de Madras   Anna Centenary Library   Birla Planetarium   Cholamandal Artists ' Village   Connemara Public Library   DakshinaChitra   Government Museum   Kalakshetra   KM Music Conservatory   Madras Music Academy   Schools in Chennai      Universities     Anna University   University of Madras   Dr MGR Medical University   Dr Ambedkar Law University   Indian Maritime University   Veterinary and Animal Sciences University   VIT University Chennai   SRM University   BS Abdur Rahman University   Tamil Nadu Open University   Vels University   Hindustan University       Engineering colleges     Indian Institute of Technology Madras   College of Engineering , Guindy   Madras Institute of Technology   Alagappa College of Technology       Medical colleges     Madras Medical College   Stanley Medical College   Kilpauk Medical College   Sri Ramachandra Medical College and Research Institute   National Institute of Siddha       Arts and science colleges     Loyola   Madras Christian College   Presidency College   Queen Mary 's ( Women )   Vivekananda   Pachaiyappa 's College   Stella Mary 's ( Women )   DG Vaishnav   MOP Vaishnav ( Women )       Research     Central Leather Research Institute   National Institute of Ocean Technology   Institute of Mathematical Sciences   Chennai Mathematical Institute   Regional Meteorological Centre   Structural Engineering Research Centre   Central Institute of Plastics Engineering and Technology ( India )          Diplomatic missions     American Consulate   British Deputy High Commission   Singapore Consulate   Malaysian Consulate   Russian Consulate   German Consulate   Sri Lanka Deputy High Commission   Royal Thai Consulate   Japanese Consulate   Australian Consulate   Belgian Consulate   South Korean Consulate   Chinese Consulate       Hospitals     Government General Hospital   Government multi super speciality hospital   Royapettah Hospital   Stanley Hospital   Kilpauk Medical College Hospital   Perambur railway hospital   Apollo Hospitals   Egmore Eye Hospital   Sir Ivan Stedeford Hospital   Sankara Nethralaya   Madras Medical Mission   MIOT Hospital   Chettinad Health City   Tambaram TB Sanatorium   Government Dental Hospital   Hindu Mission Hospital   Fortis Malar Hospital   Sri Ramachandra Medical College and Hospital   Sundaram Medical Foundation       Hotels     Taj Coromandel   The Park   Le Royal Meridien   Hyatt Regency   Chola Sheraton   Taj Mount Road   The Leela Kempinski   ITC Grand Chola   Hilton Chennai   Taj Connemara   Fisherman 's Cove   Trident Hilton   Park Sheraton &amp; Towers   Radisson GRT   Accord Metropolitan   JW Marriott   Park Hyatt   Radisson Blu City Centre   Raintree Hotel St Mary 's Road   The Raintree Hotel Anna Salai   Savera Hotel   Residency Towers   Westin Chennai   Kohinoor Asiana             Localities     North     Aamullaivoyal   Aathur   Agaram   Alamathi   Andarkuppam   Angadu   Anuppampattu   Arambakkam   Arani   Ariyalur   Arumandhai   Assisi Nagar , Chennai   Athipattu   Athipattu New Town   Athivakkam   Attanthangal   Avurikollaimedu   Ayanavaram   Azhinjivakkam   Bandikavanoor   Basin Bridge   Chinnasekkadu   Chettimedu   Edapalayam   Edayanchavadi   Ennore   Elandanur   Elanthancherry   Elavur   Ernavoor   Erukkancherry   Gnayiru   Gounderpalayam   Grant Lyon   Gummidipoondi   Janapanchatram   Jawahar Nagar   Kadapakkam   Kaladipet   Kalakkral   Kalpalayam   Kanniammanpettai   Kannigaipair   Karanodai   Kathirvedu   Kathivakkam   Katupalli   Kavangarai   Kavaraipettai   Kasimedu   Kattur   KK Thazhai   Kaviarasu Kannadhasan Nagar   Kodipallam   Kodungaiyur   Kolathur   Kondithope   Korukkupet   Kosappur   Kottai Karai   Kumaran Nagar   Lakshmipuram   Madhavaram   Madhavaram Milk Colony   Madharpakkam   Madiyur   Mahakavi Bharathi Nagar   Manali   Manali New Town   Manjambakkam   Mathur   Mettu Surapedu   Mettu Thandalam   Minjur   Moolachatiram   Moolakadai   Muthialpet   Nallur   Nandiambakkam   Napalayam   Naravarikuppam   New Erumai Vetti Palayam   Old Erumai Vetti Palayam   Orakadu   Padianallur   Pallipattu   Panchetti   Payasambakkam   Pazhaverkadu   Perambur   Peravallur   Periapalayam   Periyamullavoyal   Periyar Nagar   Periyasekkadu   Perungavur   Ponneri   Ponniammanmedu   Pothur   Puthubakkam   Puduvoyal   Pulli Lyon   Puthagaram   Puzhal   Red Hills   Retteri   Royapuram   Sadayankuppam   Sathangadu   Sathyamoorthy Nagar ( Tiruvottiyur )   Sathyamoorthy Nagar ( Vyasarpadi )   Seemavaram   Selavayal   Sembilivaram   Sembium   Sembiyamanali   Sholavaram   Siruvapuri   Sirunium   Sowcarpet   Sothuperumbedu   Surapet   Thadaperumbakkam   Thatchoor   Thathaimanji   Theerthakariampattu   Theeyampakkam   Thervoy Kandigai   Thirunilai   Thiruvellavoyal   Thiru Vi Ka Nagar   Tiruvottiyur   Tollgate   Tondiarpet   Uthukottai   Vadagarai   Vadamadurai   Vadaperumbakkam   Vaikkadu   Vallalar Nagar   Vallur   Vannipakkam   Vazhuthigaimedu   Vellivoyalchavadi   Vengal   Vichoor   Vijayanallur   Vilakupattu   Vilangadupakkam   Villivakkam   Vinayagapuram   VOC Nagar   Voyalur   Vyasarpadi   Washermanpet   Wimco Nagar       West     Adayalampattu   Alwarthirunagar   Ambattur   Aminjikarai   Athipet   Andankuppam   Anna Nagar   Anna Nagar West   Annanur   Arakkambakkam   Aranvoyal   Ashok Nagar   Arakkonam   Arumbakkam   Avadi   Ayanambakkam   Ayapakkam   Ayathur   Beemanthangal   Chembarambakkam   Choolaimedu   Egattur   Gerugambakkam   Govardhanagiri   ICF Colony   Irungattukottai   Iyyapanthangal   K.K. Nagar   Kadambathur   Kadavur   Kakkalur   Kakkalur Industrial Estate   Kallikuppam   Karalapakkam   Karambakkam   Karayanchavadi   Kattupakkam   Kilkondaiyur   Koduvalli   Koladi   Kolapakkam   Konnur   Korattur   Kovur   Koyambedu   Kumananchavadi   Kundrathur   Kuthambakkam   Maduravoyal   Malayambakkam   Manapakkam   Manavala Nagar   Melkondaiyur   Mettu Kandigai   MGR Nagar   Mogappair   Morai   Moulivakkam   Mugalivakkam   Muthapudupet   Nandambakkam   Nandambakkam   Narasingapuram   Nazarathpettai   Nemam   Nemilichery   Nesapakkam   Nerkundram   Nolambur   Noombal   Oragadam   Padi   Pakkam   Pandeswaram   Pandur   Paraniputhur   Parivakkam   Paruthipattu   Pattabiram   Pattaravakkam   Perambakkam   Periyapanicheri   Perumalpattu   Poochi Athipedu   Poonamallee   Poondi   Poonthandalam   Porur   Pudhur   Putlur   Ramapuram   Ramavaram   Sekkadu   Seneerkuppam   Sevvapet   Shenoy Nagar   Sorancheri   Sriperumbudur   Sunguvarchatram   Surapet   Tamaraipakkam   Thandalam   Thandurai   Thathankuppam   Thirumangalam   Thirumazhisai   Thirumullaivoyal   Thiruninravur   Tiruvallur   Tiruverkadu   Valasaravakkam   Vanagaram   Veerapuram   Vellanur   Vellavedu   Velappanchavadi   Vengathur   Venkatapuram   Veppampattu   Vilinjiyambakkam   Virugambakkam       Central     Alandur   Alwarpet   Broadway   Burma Bazaar   Chennai Central   Chepauk   Chetput   Chintadripet   Choolai   Egmore   Foreshore Estate   George Town   Gopalapuram   Greenways Road   Kilpauk   Kodambakkam   Kosapet   Kothawal Chavadi   Kotturpuram   Mandavelli   Mannady   Mambalam   MRC Nagar   Mylapore   Nandanam   Nochikuppam   Nungambakkam   Otteri   Panagal Park   Park Town   Parry 's Corner   Pattalam   Periamet   Pondy Bazaar   Pudupet   Pulianthope   Purasawalkam   Quibble Island   Raja Annamalai Puram   Royapettah   Saidapet   Saligramam   Santhome   T Nagar   Teynampet   The Island   Triplicane   Trustpuram   Vadapalani   Vepery   West Mambalam       South     Adambakkam   Adyar   Agaramthen   Alandur   Anakaputhur   Besant Nagar   Chitlapakkam   Chromepet   Chengalpattu   Egattur   Ekkaduthangal   Erumaiyur   Gowrivakkam   Guduvancheri   Guindy   Guindy TVK Estate   Devaneri   Hasthinapuram   Illalur   Injambakkam   Irumbuliyur   Jafferkhanpet   Jaladampet   Kanathur   Kandanchavadi   Kannivakkam   Karanai   Karapakkam   Karumbakkam   Kattankulathur   Kazhipattur   Kizhkalvoy   Keelkattalai   Kelambakkam   Kottivakkam   Kovalam   Kovilambakkam   Kovilanchery   Madambakkam   Madhuvankarai   Madipakkam   Mamallapuram   Manimangalam   Mannivakkam   Maraimalai Nagar   Medavakkam   Meenambakkam   Melkalvoy   MEPZ   Mettukuppam   Mudichur   Muttukadu   Nandivaram   Nanganallur   Nanmangalam   Navalur   Neelankarai   Nellikuppam   Noothancheri   Okkiyam   Okkiyampet   Oragadam   Ottiambakkam   Padappai   Palavakkam   Palavanthangal   Pallavaram   Pallikaranai   Pammal   Panaiyur   Paranur   Pattipulam   Payanur   Pazhanthandalam   Peerkankaranai   Perumbakkam   Perumathunallur   Perungalathur   Perungudi   Perunthandalam   Ponmar   Polichalur   Potheri   Pudupakkam   Puzhuthivakkam   Rajakilpakkam   Rathinamangalam   Selaiyur   Sembakkam   Semmencherry   Sholinganallur   Singaperumalkoil   Siruseri   Sithalapakkam   Somangalam   St. Thomas Mount   Tambaram   Tambaram Sanatorium   Thaiyur   Tharamani   Tharapakkam   Thirumudivakkam   Thiruneermalai   Thiruporur   Thiruvanmiyur   Thiruvidandhai   Thuraipakkam   Tirusulam   Ullagaram   Urapakkam   Uthandi   Vadanemili   Vandalur   Vanuvampet   Velachery   Vengaivasal   Vettuvankeni              Portal   WikiProject      Retrieved from `` https://en.wikipedia.org/w/index.php?title=Tirusulam_railway_station&amp;oldid=790260089 '' Categories :   Stations of Chennai Suburban Railway   Railway stations in Chennai   Railway stations in Kanchipuram district   Airport railway stations in India   Hidden categories :   Use dmy dates from January 2016   Use Indian English from January 2016   All Wikipedia articles written in Indian English   Coordinates on Wikidata   Pages with no open date in Infobox station   Pages using infobox station with unknown parameters           Talk                                           Contents                   About Wikipedia                                           മലയാളം   Edit links   This page was last edited on 12 July 2017 , at 16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</si>
  <si>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which is the nearest railway station from chennai airport</t>
  </si>
  <si>
    <t xml:space="preserve"> Tirusulam railway station is one of the railway stations of the Chennai Beach -- Chengalpattu section of the Chennai Suburban Railway Network . It serves the neighbourhood of Tirusulam , a suburb of Chennai where the city 's airport is located . It is located at a distance of 21 km from Chennai Beach terminus and is situated on the GST Road across the airport , with an elevation of 20 m above sea level . </t>
  </si>
  <si>
    <t xml:space="preserve">Geography of India - Wikipedia  Geography of India     Geography of India       Continent   Asia     Region   South Asia Indian subcontinent       21 ° N 78 ° E ﻿ / ﻿ 21 ° N 78 ° E ﻿ / 21 ; 78     Area   Ranked 7th     Total   3,287,263 km ( 1,269,219 sq mi )     Land   91 %     Water   9 %     Coastline   7,516.6 km ( 4,670.6 mi )     Borders   Total land borders : 15,106.70 km ( 9,386.87 mi ) Bangladesh : 4,096.70 km ( 2,545.57 mi ) China ( PRC ) : 3,488 km ( 2,167 mi ) Pakistan : 3,323 km ( 2,065 mi ) Nepal : 1,751 km ( 1,088 mi ) Myanmar : 1,643 km ( 1,021 mi ) Bhutan : 699 km ( 434 mi ) Afghanistan : 106 km ( 66 mi )     Highest point   Kangchenjunga 8,586 m ( 28,169 ft )     Lowest point   Kuttanad − 2.2 m ( − 7.2 ft )     Longest river   Ganga ( or Ganges ) 2,525 km ( 8,284,121 ft )     Largest lake   Wular Lake 30 to 260 km2 ( 12 to 100 sq mi )     India lies on the Indian Plate , the northern portion of the Indo - Australian Plate , whose continental crust forms the Indian subcontinent . The country is situated north of the equator between 8 ° 4 ' to 37 ° 6 ' north latitude and 68 ° 7 ' to 97 ° 25 ' east longitude . It is the seventh - largest country in the world , with a total area of 3,287,469 square kilometres ( 1,269,299 sq mi ) . India measures 3,214 km ( 1,997 mi ) from north to south and 2,933 km ( 1,822 mi ) from east to west . It has a land frontier of 15,106.7 km ( 9,387 mi ) and a coastline of 7,516.6 km ( 4,671 mi ) .   On the south , India projects into and is bounded by the Indian Ocean -- - in particular , by the Arabian Sea on the west , the Lakshadweep Sea to the southwest , the Bay of Bengal on the east , and the Indian Ocean proper to the South . The Palk Strait and Gulf of Mannar separate India from Sri Lanka to its immediate southeast , and the Maldives are some 125 kilometres ( 78 mi ) to the south of India 's Lakshadweep Islands across the Eight Degree Channel . India 's Andaman and Nicobar Islands , some 1,200 kilometres ( 750 mi ) southeast of the mainland , share maritime borders with Myanmar , Thailand and Indonesia . Kanyakumari at 8 ° 4 ′ 41 '' N and 77 ° 55 ′ 230 '' E is the southernmost tip of the Indian mainland , while the southernmost point in India is Indira Point on Great Nicobar Island . Northernmost point which is under Indian administration is Indira Col , Siachen Glacier . India 's territorial waters extend into the sea to a distance of 12 nautical miles ( 13.8 mi ; 22.2 km ) from the coast baseline .   The northern frontiers of India are defined largely by the Himalayan mountain range , where the country borders China , Bhutan , and Nepal . Its western border with Pakistan lies in the Karakoram range , Punjab Plains , the Thar Desert and the Rann of Kutch salt marshes . In the far northeast , the Chin Hills and Kachin Hills , deeply forested mountainous regions , separate India from Burma . On the east , its border with Bangladesh is largely defined by the Khasi Hills and Mizo Hills , and the watershed region of the Indo - Gangetic Plain .   The Ganga is the longest river originating in India . The Ganga -- Brahmaputra system occupies most of northern , central , and eastern India , while the Deccan Plateau occupies most of southern India . Kanchanjhunga , in the Indian state of Sikkim , is the highest point in India at 8,586 m ( 28,169 ft ) and the world 's 3rd highest peak . Climate across India ranges from equatorial in the far south , to alpine and tundra in the upper reaches of the Himalayas . the geographic view of India is pretty expository and vivid in the terms of area , mountains and relief .   Contents    1 Geological development   2 Political geography   3 Physiographic regions   3.1 The Northern Mountains   3.2 The Peninsular Plateau   3.3 Indo - Gangetic plain   3.4 Thar Desert   3.5 Coasts     4 Islands   5 Bodies of water   6 Wetlands   7 Climate   8 Geology   9 Natural resources   10 Antipodes   11 See also   12 References   13 Cited sources   14 Further reading    Geological development ( edit )  The Indian Plate Main article : Geology of India  India is situated entirely on the Indian Plate , a major tectonic plate that was formed when it split off from the ancient continent Gondwanaland ( ancient landmass , consisting of the southern part of the supercontinent of Pangea ) . The Indo - Australian plate is subdivided into the Indian and Australian plates . About 90 million years ago , during the late Cretaceous Period , the Indian Plate began moving north at about 15 cm / year ( 6 in / yr ) . About 50 to 55 million years ago , in the Eocene Epoch of the Cenozoic Era , the plate collided with Asia after covering a distance of 2,000 to 3,000 km ( 1,243 to 1,864 mi ) , having moved faster than any other known plate . In 2007 , German geologists determined that the Indian Plate was able to move so quickly because it is only half as thick as the other plates which formerly constituted Gondwanaland . The collision with the Eurasian Plate along the modern border between India and Nepal formed the orogenic belt that created the Tibetan Plateau and the Himalayas . As of 2009 , the Indian Plate is moving northeast at 5 cm / yr ( 2 in / yr ) , while the Eurasian Plate is moving north at only 2 cm / yr ( 0.8 in / yr ) . India is thus referred to as the `` fastest continent '' . This is causing the Eurasian Plate to deform , and the Indian Plate to compress at a rate of 4 cm / yr ( 1.6 in / yr ) .   Political Geography ( edit )  Main article : States and territories of India  India is divided into 29 states ( further subdivided into districts ) and 6 union territories and 1 National capital territory ( I.e. , Delhi ) .  Indian Kashmir , LoC and LAC  India 's borders run a total length of 15,106.70 km ( 9,386.87 mi ) .   Its borders with Pakistan and Bangladesh were delineated according to the Radcliffe Line , which was created in 1947 during Partition of India . Its western border with Pakistan extends up to 3,323 km ( 2,065 mi ) , dividing the Punjab region and running along the boundaries of the Thar Desert and the Rann of Kutch . This border runs along the Indian states of Jammu &amp; Kashmir , Rajasthan , Gujarat , and Punjab . Both nations delineated a Line of Control ( LoC ) to serve as the informal boundary between the Indian and Pakistan - administered areas of Kashmir . According to India 's claim , it also shares a 106 km ( 66 mi ) border with Afghanistan in northwestern Kashmir , which is under Pakistani control .   India 's border with Bangladesh runs 4,096.70 km ( 2,545.57 mi ) . West Bengal , Assam , Meghalaya , Tripura and Mizoram are the States which share the border with Bangladesh . Before 2015 , there were 92 enclaves of Bangladesh on Indian soil and 106 enclaves of India were on Bangladeshi soil . These enclaves were eventually exchanged in order to simplify the border . After the exchange , India lost roughly 40 km2 ( 10,000 acres ) to Bangladesh .   The Line of Actual Control ( LAC ) is the effective border between India and the People 's Republic of China . It traverses 4,057 km along the Indian states of Jammu and Kashmir , Uttarakhand , Himachal Pradesh , Sikkim and Arunachal Pradesh . The border with Burma ( Myanmar ) extends up to 1,643 km ( 1,021 mi ) along the southern borders of India 's northeastern states viz . Arunachal Pradesh , Nagaland , Manipur and Mizoram . Located amidst the Himalayan range , India 's border with Bhutan runs 699 km ( 434 mi ) . Sikkim , West Bengal , Assam and Arunachal Pradesh are the States , which share the border with Bhutan . The border with Nepal runs 1,751 km ( 1,088 mi ) along the foothills of the Himalayas in northern India . Uttarakhand , Uttar Pradesh , Bihar , West Bengal and Sikkim are the States , which share the border with Nepal . The Siliguri Corridor , narrowed sharply by the borders of Bhutan , Nepal and Bangladesh , connects peninsular India with the northeastern states .   Physiographic regions ( edit )  Topography map  India can be divided into six physiographic regions . They are :    Northern Mountains   Peninsular Plateau   Indo - Gangetic Plain   Thar Desert   Coastal Plains   Islands    The northern mountains ( edit )  Snow leopard at Hemis National Park , Jammu and Kashmir  A great arc of mountains , consisting of the Himalayas of Nepal , Hindu Kush , and Patkai ranges define the northern Indian subcontinent . These were formed by the ongoing tectonic plates collision of the Indian and Eurasian plates . The mountains in these ranges include some of the world 's tallest mountains which act as a colourfull barrier to cold polar winds . They also facilitate the monsoon winds which in turn influence the climate in India . Rivers originating in these mountains flow through the fertile Indo -- Gangetic plains . These mountains are recognised by biogeographers as the boundary between two of the Earth 's great ecozones : the temperate Palearctic that covers most of Eurasia and the tropical and subtropical Indomalaya ecozone which includes the Indian subcontinent , Southeast Asia and Indonesia .  The Kedar Range of the Greater Himalayas rises behind Kedarnath Temple ( Indian state of Uttarakhand ) , which is one of the twelve jyotirlinga shrines .  The Himalayan range is the world 's highest mountain range , with its tallest peak Mt . Everest ( 8,848 metres ( 29,029 ft ) ) on the Nepal -- China border . They form India 's northeastern border , separating it from northeastern Asia . They are one of the world 's youngest mountain ranges and extend almost uninterrupted for 2,500 km ( 1,600 mi ) , covering an area of 500,000 km ( 190,000 sq mi ) . The Himalayas extend from Jammu and Kashmir in the north to Arunachal Pradesh in the east . These states along with Himachal Pradesh , Uttarakhand , and Sikkim lie mostly in the Himalayan region . Numerous Himalayan peaks rise over 7,000 m ( 23,000 ft ) and the snow line ranges between 6,000 m ( 20,000 ft ) in Sikkim to around 3,000 m ( 9,800 ft ) in Kashmir . Kanchenjunga -- on the Sikkim -- Nepal border -- is the highest point in the area administered by India . Most peaks in the Himalayas remain snowbound throughout the year . The Himalayas act as a barrier to the frigid katabatic winds flowing down from Central Asia . Thus , North India is kept warm or only mildly cooled during winter ; in summer , the same phenomenon makes India relatively hot .  Kangchenjunga Kangchenjunga , the third highest mountain in the world , near the Zemu Glacier in Sikkim , India .   The Karakoram is situated in the disputed state of Jammu and Kashmir . It has more than sixty peaks above 7,000 m ( 23,000 ft ) , including K2 , the second highest peak in the world 8,611 m ( 28,251 ft ) . K2 is just 237 m ( 778 ft ) smaller than the 8,848 m ( 29,029 ft ) Mount Everest . The range is about 500 km ( 310 mi ) in length and the most heavily glaciated part of the world outside of the polar regions . The Siachen Glacier at 76 km ( 47 mi ) and the Biafo Glacier at 67 km ( 42 mi ) rank as the world 's second and third - longest glaciers outside the polar regions . Just to the west of the northwest end of the Karakoram , lies the Hindu Raj range , beyond which is the Hindu Kush range . The southern boundary of the Karakoram is formed by the Gilgit , Indus and Shyok rivers , which separate the range from the northwestern end of the Himalayas .     The Patkai , or Purvanchal , are situated near India 's eastern border with Burma . They were created by the same tectonic processes which led to the formation of the Himalayas . The physical features of the Patkai mountains are conical peaks , steep slopes and deep valleys . The Patkai ranges are not as rugged or tall as the Himalayas . There are three hill ranges that come under the Patkai : the Patkai -- Bum , the Garo -- Khasi -- Jaintia and the Lushai hills . The Garo -- Khasi range lies in Meghalaya . Mawsynram , a village near Cherrapunji lying on the windward side of these hills , has the distinction of being the wettest place in the world , receiving the highest annual rainfall .   The Vindhyas in central India  The peninsular plateau ( edit )    The Vindhya range runs across most of central India , extending 1,050 km ( 650 mi ) . The average elevation of these hills is from 300 to 600 m ( 980 to 1,970 ft ) and rarely goes above 700 metres ( 2,300 ft ) . They are believed to have been formed by the wastes created by the weathering of the ancient Aravali mountains . Geographically , it separates Northern India from Southern India . The western end of the range lies in eastern Gujarat , near its border with Madhya Pradesh , and runs east and north , almost meeting the Ganges at Mirzapur   Dry deciduous and thorny forests of plateau regions in India   The Malwa Plateau is spread across Rajasthan , Madhya Pradesh and Gujarat . The average elevation of the Malwa plateau is 500 metres , and the landscape generally slopes towards the north . Most of the region is drained by the Chambal River and its tributaries ; the western part is drained by the upper reaches of the Mahi River .   Kutch Kathiawar plateau    Kutch Kathiawar plateau is located in Gujarat state .    The Deccan Plateau is a large triangular plateau , bounded by the Vindhyas to the north and flanked by the Eastern and Western Ghats . The Deccan covers a total area of 1.9 million km2 ( 735,000 mile2 ) . It is mostly flat , with elevations ranging from 300 to 600 m ( 980 to 1,970 ft ) . The average elevation of the plateau is 2,000 feet ( 610 m ) above sea level . The surface slopes from 3,000 feet ( 910 m ) in the west to 1,500 feet ( 460 m ) in the east . It slopes gently from west to east and gives rise to several peninsular rivers such as the Godavari , the Krishna , the Kaveri and the Mahanadi which drain into the Bay of Bengal . This region is mostly semi-arid as it lies on the leeward side of both Ghats . Much of the Deccan is covered by thorn scrub forest scattered with small regions of deciduous broadleaf forest . Climate in the Deccan ranges from hot summers to mild winters .   The Chota Nagpur Plateau is situated in eastern India , covering much of Jharkhand and adjacent parts of Odisha , Bihar and Chhattisgarh . Its total area is approximately 65,000 km ( 25,000 sq mi ) and is made up of three smaller plateaus -- the Ranchi , Hazaribagh , and Kodarma plateaus . The Ranchi plateau is the largest , with an average elevation of 700 m ( 2,300 ft ) . Much of the plateau is forested , covered by the Chota Nagpur dry deciduous forests . Vast reserves of metal ores and coal have been found in the Chota Nagpur plateau . The Kathiawar peninsula in western Gujarat is bounded by the Gulf of Kutch and the Gulf of Khambat . The natural vegetation in most of the peninsula is xeric scrub , part of the Northwestern thorn scrub forests ecoregion .   The Satpura Range begins in eastern Gujarat near the Arabian Sea coast and runs east across Maharashtra , Madhya Pradesh and Chhattisgarh . It extends 900 km ( 560 mi ) with many peaks rising above 1,000 m ( 3,300 ft ) . It is triangular in shape , with its apex at Ratnapuri and the two sides being parallel to the Tapti and Narmada rivers . It runs parallel to the Vindhya Range , which lies to the north , and these two east - west ranges divide the Indo -- Gangetic plain from the Deccan Plateau located north of River Narmada .   The Aravali Range is the oldest mountain range in India , running across Rajasthan from northeast to southwest direction , extending approximately 800 km ( 500 mi ) . The northern end of the range continues as isolated hills and rocky ridges into Haryana , ending near Delhi . The highest peak in this range is Guru Shikhar at Mount Abu , rising to 1,722 m ( 5,650 ft ) , lying near the border with Gujarat . The Aravali Range is the eroded stub of an ancient fold mountain system . The range rose in a Precambrian event called the Aravali -- Delhi orogen . The range joins two of the ancient segments that make up the Indian craton , the Marwar segment to the northwest of the range , and the Bundelkhand segment to the southeast .   The Western Ghats or Sahyadri mountains run along the western edge of India 's Deccan Plateau and separate it from a narrow coastal plain along the Arabian Sea . The range runs approximately 1,600 km ( 990 mi ) from south of the Tapti River near the Gujarat -- Maharashtra border and across Maharashtra , Goa , Karnataka , Kerala and Tamil Nadu to the southern tip of the Deccan peninsula . The average elevation is around 1,000 m ( 3,300 ft ) . Anai Mudi in the Anaimalai Hills 2,695 m ( 8,842 ft ) in Kerala is the highest peak in the Western Ghats .   Western Ghats near Matheran Kolli Hills of the Eastern Ghats , Tamil Nadu   The Eastern Ghats are a discontinuous range of mountains , which have been eroded and quadrisected by the four major rivers of southern India , the Godavari , Mahanadi , Krishna , and Kaveri . These mountains extend from West Bengal to Odisha , Andhra Pradesh and Tamil Nadu , along the coast and parallel to the Bay of Bengal . Though not as tall as the Western Ghats , some of its peaks are over 1,000 m ( 3,300 ft ) in height . The Nilgiri hills in Tamil Nadu lies at the junction of the Eastern and Western Ghats . Arma Konda ( 1,680 m ( 5,510 ft ) ) in Andhra Pradesh is the tallest peak in Eastern Ghats .   Dry Evergreen Forests along the Eastern Ghats , Andhra Pradesh  Indo - Gangetic Plain ( edit )  Extent of the Indo - Gangetic plain across South Asia Many areas remain flooded during the heavy rains brought by monsoon in the Indian state of West Bengal . Main article : Indo - Gangetic plain  The Indo - Gangetic plains , also known as the Great Plains are large alluvial plains dominated by three main rivers , the Indus , Ganges , and Brahmaputra . They run parallel to the Himalayas , from Jammu and Kashmir in the west to Assam in the east , and drain most of northern and eastern India . The plains encompass an area of 700,000 km ( 270,000 sq mi ) . The major rivers in this region are the Ganges , Indus , and Brahmaputra along with their main tributaries -- Yamuna , Chambal , Gomti , Ghaghara , Kosi , Sutlej , Ravi , Beas , Chenab , and Tista -- as well as the rivers of the Ganges Delta , such as the Meghna .   The great plains are sometimes classified into four divisions :    The Bhabar belt is adjacent to the foothills of the Himalayas and consists of boulders and pebbles which have been carried down by streams . As the porosity of this belt is very high , the streams flow underground . The Bhabar is generally narrow with its width varying between 6 to 15 km ( 3.7 to 9.3 mi ) .   The Tarai belt lies south of the adjacent Bhabar region and is composed of newer alluvium . The underground streams reappear in this region . The region is excessively moist and thickly forested . It also receives heavy rainfall throughout the year and is populated with a variety of wildlife .   The Bangar belt consists of older alluvium and forms the alluvial terrace of the flood plains . In the Gangetic plains , it has a low upland covered by laterite deposits .   The Khadar belt lies in lowland areas after the Bangar belt . It is made up of fresh newer alluvium which is deposited by the rivers flowing down the plain .    The Indo - Gangetic belt is the world 's most extensive expanse of uninterrupted alluvium formed by the deposition of silt by the numerous rivers . The plains are flat making it conducive for irrigation through canals . The area is also rich in ground water sources. The plains are one of the world 's most intensely farmed areas . The main crops grown are rice and wheat , which are grown in rotation . Other important crops grown in the region include maize , sugarcane and cotton . The Indo - Gangetic plains rank among the world 's most densely populated areas .   Thar Desert ( edit )  Thar desert , Rajasthan Main article : Thar Desert  The Thar Desert ( also known as the deserts ) is by some calculations the world 's seventh largest desert , by some others the tenth . It forms a significant portion of western India and covers an area of 200,000 to 238,700 km ( 77,200 to 92,200 sq mi ) . The desert continues into Pakistan as the Cholistan Desert . Most of the Thar Desert is situated in Rajasthan , covering 61 % of its geographic area .   About 10 percent of this region comprises sand dunes , and the remaining 90 percent consist of craggy rock forms , compacted salt - lake bottoms , and interdunal and fixed dune areas . Annual temperatures can range from 0 ° C ( 32 ° F ) in the winter to over 50 ° C ( 122 ° F ) during the summer . Most of the rainfall received in this region is associated with the short July -- September southwest monsoon that brings 100 to 500 mm ( 3.9 to 19.7 in ) of precipitation . Water is scarce and occurs at great depths , ranging from 30 to 120 metres ( 98 to 394 ft ) below the ground level . Rainfall is precarious and erratic , ranging from below 120 mm ( 4.7 in ) in the extreme west to 375 mm ( 14.8 in ) eastward. The only river in this region is Luni . The soils of the arid region are generally sandy to sandy - loam in texture . The consistency and depth vary as per the topographical features . The low - lying loams are heavier may have a hard pan of clay , calcium carbonate or gypsum .   In western India , the Kutch region in Gujarat and Koyna in Maharashtra are classified as a Zone IV region ( high risk ) for earthquakes . The Kutch city of Bhuj was the epicentre of the 2001 Gujarat earthquake , which claimed the lives of more than 1,337 people and injured 166,836 while destroying or damaging near a million homes . The 1993 Latur earthquake in Maharashtra killed 7,928 people and injured 30,000 . Other areas have a moderate to low risk of an earthquake occurring .   Coasts ( edit )  Visakhapatnam beach view , Bay of Bengal , Andhra Pradesh  ( The Eastern Coastal Plain is a wide stretch of land lying between the Eastern Ghats and the oceanic boundary of India . It stretches from Tamil Nadu in the south to West Bengal in the east . The Mahanadi , Godavari , Kaveri , and Krishna rivers drain these plains . The temperature in the coastal regions often exceeds 30 ° C ( 86 ° F ) , and is coupled with high levels of humidity . The region receives both the northeast monsoon and southwest monsoon rains . ) The southwest monsoon splits into two branches , the Bay of Bengal branch and the Arabian Sea branch . ( The Bay of Bengal branch moves northwards crossing northeast India in early June . The Arabian Sea branch moves northwards and discharges much of its rain on the windward side of Western Ghats . Annual rainfall in this region averages between 1,000 and 3,000 mm ( 39 and 118 in ) . The width of the plains varies between 100 and 130 km ( 62 and 81 mi ) . The plains are divided into six regions -- the Mahanadi delta , the southern Andhra Pradesh plain , the Krishna - Godavari deltas , the Kanyakumari coast , the Coromandel Coast , and sandy coastal ) .   The Western Coastal Plain is a narrow strip of land sandwiched between the Western Ghats and the Arabian Sea , ranging from 50 to 100 km ( 31 to 62 mi ) in width . It extends from Gujarat in the north and extends through Maharashtra , Goa , Karnataka , and Kerala . Numerous rivers and backwaters inundate the region . Mostly originating in the Western Ghats , the rivers are fast - flowing , usually perennial , and empty into estuaries . Major rivers flowing into the sea are the Tapi , Narmada , Mandovi and Zuari . Vegetation is mostly deciduous , but the Malabar Coast moist forests constitute a unique ecoregion . The Western Coastal Plain can be divided into two parts , the Konkan and the Malabar Coast .  Varkala beach on Kerala 's coast , Arabian Sea  Islands ( edit )  Aerial view of the Andaman Islands See also : List of islands of India  ( The Lakshadweep and the Andaman and Nicobar Islands are India 's two major island formations and are classified as union territories .   The Lakshadweep Islands lie 200 to 440 km ( 120 to 270 mi ) off the coast of Kerala in the Arabian sea with an area of 32 km ( 12 sq mi ) . They consist of twelve atolls , three reefs , and five submerged banks , with a total of about 35 islands and islets . )   ( The Andaman and Nicobar Islands are located between 6 ° and 14 ° north latitude and 92 ° and 94 ° east longitude . They consist of 572 islands , lying in the Bay of Bengal near the Myanma coast running in a North - South axis for approximately 910 km . They are located 1,255 km ( 780 mi ) from Kolkata ( Calcutta ) and 193 km ( 120 mi ) from Cape Negrais in Burma . The territory consists of two island groups , the Andaman Islands and the Nicobar Islands . The Andaman and Nicobar Islands consist of 572 islands which run in a North - South axis for around 910 km . The Andaman group has 325 islands which cover an area of 6,170 km2 ( 2,382 sq mi ) while the Nicobar group has only 247 islands with an area of 1,765 km2 ( 681 sq mi ) . India 's only active volcano , Barren Island is situated here . It last erupted in 2017 . The Narcondum is a dormant volcano and there is a mud volcano at Baratang . Indira Point , India 's southernmost land point , is situated in the Nicobar islands at 6 ° 45'10 '' N and 93 ° 49'36 '' E , and lies just 189 km ( 117 mi ) from the Indonesian island of Sumatra , to the southeast . The highest point is Mount Thullier at 642 m ( 2,106 ft ) .   Other significant islands in India include Diu , a former Portuguese colony ; Majuli , a river island of the Brahmaputra ; Elephanta in Bombay Harbour ; and Sriharikota , a barrier island in Andhra Pradesh . Salsette Island is India 's most populous island on which the city of Mumbai ( Bombay ) is located . Forty - two islands in the Gulf of Kutch constitute the Marine National Park .   Bodies of water ( edit )  Main article : Rivers of India  India has around 14,500 km of inland navigable waterways . There are twelve rivers which are classified as major rivers , with the total catchment area exceeding 2,528,000 km ( 976,000 sq mi ) . All major rivers of India originate from one of the three main watersheds :    The Himalaya and the Karakoram ranges   Vindhya and Satpura range in central India   Sahyadri or Western Ghats in western India    The Himalayan river networks are snow - fed and have a perennial supply throughout the year . The other two river systems are dependent on the monsoons and shrink into rivulets during the dry season . The Himalayan rivers that flow westward into Punjab are the Indus , Jhelum , Chenab , Ravi , Beas , and Sutlej .  Bhagirathi River at Gangotri , source river of the Ganges National Highway 31A winds along the banks of the Teesta River near Kalimpong ( West Bengal ) , in the Darjeeling Himalayan hill region .  ( The Ganges - Brahmaputra - Meghana system has the largest catchment area of about 1,600,000 km ( 620,000 sq mi ) . The Ganges Basin alone has a catchment of about 1,100,000 km ( 420,000 sq mi ) . The Ganges originates from the Gangotri Glacier in Uttarakhand . It flows southeast , draining into the Bay of Bengal ) . ( The Yamuna and Gomti rivers also arise in the western Himalayas and join the Ganges in the plains . The Brahmaputra originates in Tibet , China , where it is known as the Yarlung Tsangpo River ) ( or `` Tsangpo '' ) . It enters India in the far - eastern state of Arunachal Pradesh , then flows west through Assam . The Brahmaputra merges with the Ganges in Bangladesh , where it is known as the Jamuna River .   The Chambal , another tributary of the Ganges , via the Yamuna , originates from the Vindhya - Satpura watershed . The river flows eastward . Westward - flowing rivers from this watershed are the Narmada and Tapti , which drain into the Arabian Sea in Gujarat . The river network that flows from east to west constitutes 10 % of the total outflow .  The Godavari River at Papi Hills  ( The Western Ghats are the source of all Deccan rivers , which include the through Godavari River , Krishna River and Kaveri River , all draining into the Bay of Bengal . These rivers constitute 20 % of India 's total outflow ) .   The heavy southwest monsoon rains cause the Brahmaputra and other rivers to distend their banks , often flooding surrounding areas . Though they provide rice paddy farmers with a largely dependable source of natural irrigation and fertilisation , such floods have killed thousands of people and tend to cause displacements of people in such areas .   Major gulfs include the Gulf of Cambay , Gulf of Kutch , and the Gulf of Mannar . Straits include the Palk Strait , which separates India from Sri Lanka ; the Ten Degree Channel , which separates the Andamans from the Nicobar Islands ; ' and the Eight Degree Channel , which separates the Laccadive and Amindivi Islands from the Minicoy Island to the south . Important capes include the Kanyakumari ( formerly called Cape Comorin ) , the southern tip of mainland India ; Indira Point , the southernmost point in India ( on Great Nicobar Island ) ; Rama 's Bridge , and Point Calimere . The Arabian Sea lies to the west of India , the Bay of Bengal and the Indian Ocean lie to the east and south , respectively . Smaller seas include the Laccadive Sea and the Andaman Sea . There are four coral reefs in India , located in the Andaman and Nicobar Islands , the Gulf of Mannar , Lakshadweep , and the Gulf of Kutch . Important lakes include Sambhar Lake , the country 's largest saltwater lake in Rajasthan , Vembanad Lake in Kerala , Kolleru Lake in Andhra Pradesh , Loktak Lake in Manipur , Dal Lake in Kashmir , Chilka Lake ( lagoon lake ) in Orrisa , and Sasthamkotta Lake in Kerala .   Wetlands ( edit )  A map of the Indian Sunderbans in West Bengal Pichavaram Mangroves , Tamil Nadu  India 's wetland ecosystem is widely distributed from the cold and arid located in the Ladakh region of Jammu and Kashmir , and those with the wet and humid climate of peninsular India . Most of the wetlands are directly or indirectly linked to river networks . The Indian government has identified a total of 71 wetlands for conservation and are part of sanctuaries and national parks . Mangrove forests are present all along the Indian coastline in sheltered estuaries , creeks , backwaters , salt marshes and mudflats . The mangrove area covers a total of 4,461 km ( 1,722 sq mi ) , which comprises 7 % of the world 's total mangrove cover . Prominent mangrove covers are located in the Andaman and Nicobar Islands , the Sundarbans delta , the Gulf of Kutch and the deltas of the Mahanadi , Godavari and Krishna rivers . Parts of Maharashtra , Karnataka and Kerala also have large mangrove covers .   The Sundarbans delta is home to the largest mangrove forest in the world . It lies at the mouth of the Ganges and spreads across areas of Bangladesh and West Bengal . The Sundarbans is a UNESCO World Heritage Site , but is identified separately as the Sundarbans ( Bangladesh ) and the Sundarbans National Park ( India ) . The Sundarbans are intersected by a complex network of tidal waterways , mudflats and small islands of salt - tolerant mangrove forests . The area is known for its diverse fauna , being home to a large variety of species of birds , spotted deer , crocodiles and snakes . Its most famous inhabitant is the Bengal tiger . It is estimated that there are now 400 Bengal tigers and about 30,000 spotted deer in the area .   The Rann of Kutch is a marshy region located in northwestern Gujarat and the bordering Sindh province of Pakistan . It occupies a total area of 27,900 km ( 10,800 sq mi ) . The region was originally a part of the Arabian Sea . Geologic forces such as earthquakes resulted in the damming up of the region , turning it into a large saltwater lagoon . This area gradually filled with silt thus turning it into a seasonal salt marsh . During the monsoons , the area turn into a shallow marsh , often flooding to knee - depth . After the monsoons , the region turns dry and becomes parched .   Climate ( edit )  India 's Köppen climate classification map is based on native vegetation , temperature , precipitation and their seasonality . Main articles : Climate of India and Climatic regions of India  Based on the Köppen system , India hosts six major climatic subtypes , ranging from arid desert in the west , alpine tundra and glaciers in the north , and humid tropical regions supporting rainforests in the southwest and the island territories . The nation has four seasons : winter ( January -- February ) , summer ( March -- May ) , a monsoon ( rainy ) season ( June -- September ) and a post-monsoon period ( October -- December ) ' .   The Himalayas act as a barr</t>
  </si>
  <si>
    <t xml:space="preserve">what is the length of the coastline of india</t>
  </si>
  <si>
    <t xml:space="preserve"> India lies on the Indian Plate , the northern portion of the Indo - Australian Plate , whose continental crust forms the Indian subcontinent . The country is situated north of the equator between 8 ° 4 ' to 37 ° 6 ' north latitude and 68 ° 7 ' to 97 ° 25 ' east longitude . It is the seventh - largest country in the world , with a total area of 3,287,469 square kilometres ( 1,269,299 sq mi ) . India measures 3,214 km ( 1,997 mi ) from north to south and 2,933 km ( 1,822 mi ) from east to west . It has a land frontier of 15,106.7 km ( 9,387 mi ) and a coastline of 7,516.6 km ( 4,671 mi ) . </t>
  </si>
  <si>
    <r>
      <rPr>
        <sz val="11"/>
        <color rgb="FF000000"/>
        <rFont val="Calibri"/>
        <family val="0"/>
        <charset val="1"/>
      </rPr>
      <t xml:space="preserve">Integrated development environment - wikipedia  Integrated development environment  For other uses , see IDE . Anjuta , a C and C++ IDE for the GNOME environment  An integrated development environment ( IDE ) is a software application that provides comprehensive facilities to computer programmers for software development . An IDE normally consists of a source code editor , build automation tools , and a debugger . Most modern IDEs have intelligent code completion . Some IDEs , such as NetBeans and Eclipse , contain a compiler , interpreter , or both ; others , such as SharpDevelop and Lazarus , do not . The boundary between an integrated development environment and other parts of the broader software development environment is not well - defined . Sometimes a version control system , or various tools to simplify the construction of a graphical user interface ( GUI ) , are integrated . Many modern IDEs also have a class browser , an object browser , and a class hierarchy diagram , for use in object - oriented software development .   Contents    1 Overview   2 History   3 Topics   3.1 Visual programming   3.2 Language support   3.3 Attitudes across different computing platforms     4 See also   5 References    Overview ( edit )   Integrated development environments are designed to maximize programmer productivity by providing tight - knit components with similar user interfaces . IDEs present a single program in which all development is done . This program typically provides many features for authoring , modifying , compiling , deploying and debugging software . This contrasts with software development using unrelated tools , such as vi , GCC or make .   One aim of the IDE is to reduce the configuration necessary to piece together multiple development utilities , instead providing the same set of capabilities as a cohesive unit . Reducing that setup time can increase developer productivity , in cases where learning to use the IDE is faster than manually integrating all of the individual tools . Tighter integration of all development tasks has the potential to improve overall productivity beyond just helping with setup tasks . For example , code can be continuously parsed while it is being edited , providing instant feedback when syntax errors are introduced .   Some IDEs are dedicated to a specific programming language , allowing a feature set that most closely matches the programming paradigms of the language . However , there are many multiple - language IDEs .   While most modern IDEs are graphical , text - based IDEs such as Turbo Pascal were in popular use before the widespread availability of windowing systems like Microsoft Windows and the X Window System ( X11 ) . They commonly use function keys or hotkeys to execute frequently used commands or macros .   History ( edit )  GNU Emacs , an extensible editor that is commonly used as an IDE on Unix - like systems  IDEs initially became possible when developing via a console or terminal . Early systems could not support one , since programs were prepared using flowcharts , entering programs with punched cards ( or paper tape , etc . ) before submitting them to a compiler . Dartmouth BASIC was the first language to be created with an IDE ( and was also the first to be designed for use while sitting in front of a console or terminal ) . Its IDE ( part of the Dartmouth Time Sharing System ) was command - based , and therefore did not look much like the menu - driven , graphical IDEs popular after the advent of the Graphical User Interface . However it integrated editing , file management , compilation , debugging and execution in a manner consistent with a modern IDE .   Maestro I is a product from Softlab Munich and was the world 's first integrated development environment for software . Maestro I was installed for 22,000 programmers worldwide . Until 1989 , 6,000 installations existed in the Federal Republic of Germany . Maestro was arguably the world leader in this field during the 1970s and 1980s . Today one of the last Maestro I can be found in the Museum of Information Technology at Arlington .   One of the first IDEs with a plug - in concept was Softbench . In 1995 Computerwoche commented that the use of an IDE was not well received by developers since it would fence in their creativity .   As of March 2015 , the most popular IDEs are Eclipse and Visual Studio .   Topics ( edit )   Visual programming ( edit )   Visual programming is a usage scenario in which an IDE is generally required . Visual Basic allows users to create new applications by moving programming , building blocks , or code nodes to create flowcharts or structure diagrams that are then compiled or interpreted . These flowcharts often are based on the Unified Modeling Language .   This interface has been popularized with the Lego Mindstorms system , and is being actively pursued by a number of companies wishing to capitalize on the power of custom browsers like those found at Mozilla . KTechlab supports flowcode and is a popular opensource IDE and Simulator for developing software for microcontrollers . Visual programming is also responsible for the power of distributed programming ( cf . LabVIEW and EICASLAB software ) . An early visual programming system , Max , was modeled after analog synthesizer design and has been used to develop real - time music performance software since the 1980s . Another early example was Prograph , a dataflow - based system originally developed for the Macintosh . The graphical programming environment `` Grape '' is used to program qfix robot kits .   This approach is also used in specialist software such as Openlab , where the end users want the flexibility of a full programming language , without the traditional learning curve associated with one .   Language support ( edit )   Some IDEs support multiple languages , such as GNU Emacs based on C and Emacs Lisp , and IntelliJ IDEA , Eclipse , MyEclipse or NetBeans , all based on Java , or MonoDevelop , based on C# , or PlayCode .   Support for alternative languages is often provided by plugins , allowing them to be installed on the same IDE at the same time . For example , Flycheck is a modern on - the - fly syntax checking extension for GNU Emacs 24 with support for 39 languages . Eclipse , and Netbeans have plugins for C / C++ , Ada , GNAT ( for example AdaGIDE ) , Perl , Python , Ruby , and PHP , which are selected between automatically based on file extension , environment or project settings .   Attitudes across different computing platforms ( edit )   Unix programmers can combine command - line POSIX tools into a complete development environment , capable of developing large programs such as the Linux kernel and its environment . In this sense , the entire Unix system functions as an IDE . The free software GNU tools ( GNU Compiler Collection ( GCC ) , GNU Debugger ( gdb ) , and GNU make ) are available on many platforms , including Windows . The pervasive Unix philosophy of `` everything is a text stream '' enables developers who favor command - line oriented tools to use editors with support for many of the standard Unix and GNU build tools , building an IDE with programs like Emacs or Vim . Data Display Debugger is intended to be an advanced graphical front - end for many text - based debugger standard tools . Some programmers prefer managing makefiles and their derivatives to the similar code building tools included in a full IDE . For example , most contributors to the PostgreSQL database use make and gdb directly to develop new features . Even when building PostgreSQL for Microsoft Windows using Visual C++ , Perl scripts are used as a replacement for make rather than relying on any IDE features . Some Linux IDEs such as Geany attempt to provide a graphical front end to traditional build operations .   On the various Microsoft Windows platforms , command - line tools for development are seldom used . Accordingly , there are many commercial and non-commercial products . However , each has a different design commonly creating incompatibilities . Most major compiler vendors for Windows still provide free copies of their command - line tools , including Microsoft ( Visual C++ , Platform SDK , . NET Framework SDK , nmake utility ) .   IDEs have always been popular on the Apple Macintosh 's classic Mac OS and macOS , dating back to Macintosh Programmer 's Workshop , Turbo Pascal , THINK Pascal and THINK C environments of the mid-1980s . Currently macOS programmers can choose between native IDEs like Xcode and open - source tools such as Eclipse and Netbeans . ActiveState Komodo is a proprietary multilanguage IDE supported on macOS .   With the advent of cloud computing , some IDEs are available online and run within web browsers .   See also ( edit )       Wikimedia Commons has media related to Integrated development environments .      Computer programming portal     Comparison of integrated development environments   Collaborative development environment ( CDE )   Computer - aided software engineering ( CASE )   Game integrated development environment   Multiple document interface § IDE - style interface ( MDI )   Rapid application development ( RAD )   Read -- Eval -- Print Loop ( REPL )   Web integrated development environment ( Web IDE or WIDE )   Code analysis tools   Source code refactoring tools   Software building tools ( the compiler , linker , etc. , and the build automation tool used to control them )   Version control , also called source repository ( configuration management )    References ( edit )    Jump up ^ `` Interaktives Programmieren als Systems - Schlager '' from Computerwoche ( German )   Jump up ^ Top IDE index   Jump up ^ `` Archived copy '' . Archived from the original on 10 March 2014 . Retrieved 10 March 2014 .   Jump up ^ Rehman , Christopher Paul , Christopher R. Paul . `` The Linux Development Platform : Configuring , Using and Maintaining a Complete Programming Environment '' . 2002 . ISBN 0 - 13 - 009115 - 4   Jump up ^ `` UnixIsAnIde '' .   Jump up ^ `` Use Emacs with Microsoft Visual C++ ... use Emacs as an IDE '' Archived 4 July 2013 at the Wayback Machine .   Jump up ^ `` Emacs : the Free Software IDE ''   Jump up ^ `` Using Emacs as a Lisp IDE ''   Jump up ^ `` Emacs as a Perl IDE ''   Jump up ^ PostgreSQL Developer FAQ   Jump up ^ PostgreSQL Installation from Source Code on Windows              Integrated development environments     C and C++      Open source     Android Studio   Anjuta   Code : : Blocks   CodeLite   Dev - C++   Eclipse   Geany   GNAT Programming Studio   GNOME Builder   KDevelop   MonoDevelop   NetBeans   QDevelop   Qt Creator   SharpDevelop   Ultimate++   OpenWatcom       Freeware     Oracle Developer Studio   Visual Studio Community   Xcode       Retail     C + + Builder   Eclipse - based   CodeWarrior   MyEclipse     Visual Studio   By JetBrains   IntelliJ IDEA   AppCode   CLion     LabWindows / CVI   LccWin32   IBM Rational Software Architect   Understand       Discontinued     IBM VisualAge          Java      Open source     BlueJ   DrJava   Eclipse   Geany   Greenfoot   IntelliJ IDEA Community Edition   Android Studio     NetBeans   Servoy Community Edition       Freeware     jGRASP   JDeveloper   Xcode       Retail     JBuilder   JCreator   MyEclipse   IBM   Rational Application Developer   WebSphere Integration Developer     JetBrains IntelliJ IDEA   Servoy Business Application Platform Edition   Understand       Discontinued     Metrowerks CodeWarrior Pro for Java   Sun Java Studio Creator ( superseded by NetBeans )   Visual Age ( superseded by Eclipse )   Visual Café ( aka Espresso , superseded by JBuilder )   Visual J++   Xelfi ( became NetBeans )          CLI     MonoDevelop   SharpDevelop   Visual Studio   Visual Studio Code   PascalABC.NET   Rider       Flash     Adobe Flash Builder   FlashDevelop   Powerflasher FDT       PHP     Aptana   NetBeans   PhpStorm   KDevelop       Python     Eric   IntelliJ IDEA   Light Table   Ninja - IDE   PyCharm   PyDev   Spyder   Wing IDE   KDevelop       Pascal     Delphi   Lazarus           RStudio           Comparison        Retrieved from `` https://en.wikipedia.org/w/index.php?title=Integrated_development_environment&amp;oldid=850826927 '' Categories :   Integrated development environments   Hidden categories :   Webarchive template wayback links   All articles with unsourced statements   Articles with unsourced statements from April 2016   Use dmy dates from January 2012           Talk                                           Contents                   About Wikipedia                                                   Asturianu   Azərbaycanca   বাংলা   Български   Català   Čeština   Dansk   Deutsch   Ελληνικά   Español   Esperanto   فارسی   Français   </t>
    </r>
    <r>
      <rPr>
        <sz val="11"/>
        <color rgb="FF000000"/>
        <rFont val="Noto Sans CJK SC"/>
        <family val="2"/>
      </rPr>
      <t xml:space="preserve">한국어   </t>
    </r>
    <r>
      <rPr>
        <sz val="11"/>
        <color rgb="FF000000"/>
        <rFont val="Calibri"/>
        <family val="0"/>
        <charset val="1"/>
      </rPr>
      <t xml:space="preserve">हिन्दी   Bahasa Indonesia   Italiano   עברית   Қазақша   ລາວ   Lietuvių   Magyar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Shqip   Simple English   Slovenčina   Slovenščina   کوردی   Српски / srpski   Suomi   Svenska   தமிழ்   ไทย   Türkçe   Українська   Tiếng Việt   </t>
    </r>
    <r>
      <rPr>
        <sz val="11"/>
        <color rgb="FF000000"/>
        <rFont val="Noto Sans CJK SC"/>
        <family val="2"/>
      </rPr>
      <t xml:space="preserve">中文  </t>
    </r>
    <r>
      <rPr>
        <sz val="11"/>
        <color rgb="FF000000"/>
        <rFont val="Calibri"/>
        <family val="0"/>
        <charset val="1"/>
      </rPr>
      <t xml:space="preserve">36 more  Edit links   This page was last edited on 18 July 2018 , at 05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</si>
  <si>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purpose of using an ide in application development</t>
  </si>
  <si>
    <t xml:space="preserve"> An integrated development environment ( IDE ) is a software application that provides comprehensive facilities to computer programmers for software development . An IDE normally consists of a source code editor , build automation tools , and a debugger . Most modern IDEs have intelligent code completion . Some IDEs , such as NetBeans and Eclipse , contain a compiler , interpreter , or both ; others , such as SharpDevelop and Lazarus , do not . The boundary between an integrated development environment and other parts of the broader software development environment is not well - defined . Sometimes a version control system , or various tools to simplify the construction of a graphical user interface ( GUI ) , are integrated . Many modern IDEs also have a class browser , an object browser , and a class hierarchy diagram , for use in object - oriented software development . </t>
  </si>
  <si>
    <t xml:space="preserve">Text declamation - wikipedia  Text declamation  Jump to : navigation , search  Text declamation refers to the manner in which a composer sets words to music . Aesthetically declamation is conceived of as `` accurate '' ( approximating the natural rhythms and patterns of human speech ) or not , which informs perceptions about emotional power as expressed through the relationship between words and music .   Renaissance Composers and Word Painting ( edit )   Late Renaissance composers in particular were concerned with matching text up with music in such a way that the latter could be said to express the former . Madrigalists used a declamation technique known as word painting ( aka text painting or tone painting ) to make musical notes illustrate word meanings , trying literally to paint visual images with sonic materials . Thomas Weelkes ' madrigal `` As Vesta was from Latmos hill descending '' uses word painting throughout to declaim textual meaning :   mm 1 - 9 : `` Latmos hill '' - `` hill '' is always set with the highest note in the phrase mm 8 - 9 : `` descending '' - uses descending scales and leaps mm 12 - 22 : `` ascending '' - uses ascending scales mm 36 - 46 : `` running down the hill '' - uses quickly descending scales in imitative polyphony mm 48 - 49 : `` two by two '' - two voices sing mm 50 - 51 : `` three by three '' - three voices sing mm 51 - 52 : `` together '' - all six voices sing mm 56 - 57 : `` all alone '' - top voice sings alone mm 84 - 100 : `` Long live fair Oriana '' - low voice begins with longa , continues with long , sustained notes   References ( edit )    Jump up ^ Kerman , Joseph , and Gary Tomlinson. 2008 . Listen , 6th edition . New York : Bedford St. Martins .   Jump up ^ Altas , Allan W. 1998 . Renaissance Music : Music in Western Europe , 1400 - 1600 . New York : W.W. Norton , 681 .   Retrieved from `` https://en.wikipedia.org/w/index.php?title=Text_declamation&amp;oldid=533338506 '' Categories :   Musical techniques   Musical terminology           Talk                                                             About Wikipedia                                           Add links   This page was last edited on 16 January 2013 , at 08 : 39 .         About Wikipedia                    </t>
  </si>
  <si>
    <t xml:space="preserve">meaning of as vesta was from latmos hill descending</t>
  </si>
  <si>
    <t xml:space="preserve"> mm 1 - 9 : `` Latmos hill '' - `` hill '' is always set with the highest note in the phrase mm 8 - 9 : `` descending '' - uses descending scales and leaps mm 12 - 22 : `` ascending '' - uses ascending scales mm 36 - 46 : `` running down the hill '' - uses quickly descending scales in imitative polyphony mm 48 - 49 : `` two by two '' - two voices sing mm 50 - 51 : `` three by three '' - three voices sing mm 51 - 52 : `` together '' - all six voices sing mm 56 - 57 : `` all alone '' - top voice sings alone mm 84 - 100 : `` Long live fair Oriana '' - low voice begins with longa , continues with long , sustained notes </t>
  </si>
  <si>
    <t xml:space="preserve">United States federal budget - Wikipedia  United States federal budget  Jump to : navigation , search    This article is part of a series on the     Budget and debt in the United States of America         Major dimensions ( hide )   Economy   Expenditures   Federal budget   Financial position   Military budget   Public debt   Taxation   Unemployment       Programs ( show )   Medicare   Social programs   Social Security       Contemporary issues ( show )   Bowles -- Simpson Commission     Bush tax cuts   Debt ceiling ( history )   Deficit reduction   Fiscal cliff   Healthcare reform   Political debates   Social Security debate   `` Starve the beast ''   Subprime mortgage crisis   In specific years   Budget sequestration in 2013     Debt - ceiling crisis of 2011   2013     Financial crisis of 2007 -- 08     Government shutdowns : 1980     1995 -- 1996   2013   2018       Terminology ( show ) Cumulative deficit + Interest ≈ Debt   Balance of payments   Inflation   Continuing resolution                     Public finance         Policies ( show )   Agricultural   Economic   Energy   Industrial   Investment   Social   Trade   Fiscal   Monetary   Policy mix       Fiscal policy ( show )   Budget   policy     Debt   external   internal     Deficit / surplus   Finance ministry   Fiscal union   Revenue   Spending   deficit     Tax       Monetary policy ( show )   Bank reserves   requirements     Discount window   Gold reserves   Interest rate   Monetary authority   central bank   currency board     Monetary base   Monetary ( currency ) union   Money supply       Trade policy ( show )   Balance of trade   Free trade   Gains from trade   Non-tariff barrier   Protectionism   Tariff   Trade bloc   Trade creation   Trade diversion   Trade / commerce ministry         Revenue   Spending   ( show )   Non-tax revenue   Tax revenue   Discretionary spending   Mandatory spending       Optimum ( show )   Balanced budget   Economic growth   Price stability       Reform ( show )   Fiscal adjustment   Monetary reform                   The United States federal budget comprises the spending and revenues of the U.S. federal government . The budget is the financial representation of the priorities of the government , reflecting historical debates and competing economic philosophies . The government primarily spends on healthcare , retirement , and defense programs . The non-partisan Congressional Budget Office provides extensive analysis of the budget and its economic effects . It has reported that the U.S. is facing a series of long - term financial challenges , as the country ages and healthcare costs continue growing faster than the economy .     Contents  ( hide )   1 Overview   2 Budget principles   2.1 Budget authority versus outlays   2.2 Federal budget data   2.3 Federal budget projections     3 Major receipt categories   3.1 Tax policy   3.1. 1 Tax descriptions   3.1. 2 Tax expenditures       4 Major expenditure categories   4.1 Mandatory spending and social safety nets   4.2 Discretionary spending   4.3 Interest expense     5 Understanding deficits and debt   5.1 Relationship of deficit and debt   5.2 Debt categories   5.3 Risks associated with the debt   5.4 Government budget balance as a sectoral component     6 CBO budget projections   6.1 Short - term outlook   6.2 Long - term outlook   6.3 CBO baseline for the Trump administration     7 Contemporary issues and debates   7.1 Conceptual arguments   7.2 Trump tax cuts   7.3 Healthcare reform   7.4 The Great Recession     8 Public opinion polls   9 Proposed deficit reduction   9.1 Strategies   9.2 Specific proposals   9.2. 1 Government commission proposals   9.2. 2 President Obama 's proposals   9.2. 3 Congressional proposals   9.2. 4 Private expert panel proposals     9.3 Timing of solutions     10 Total outlays in recent budget submissions   11 See also   12 References   13 External links   13.1 Recent CBO documents   13.2 `` Chart talk '' examples   13.3 Budget games and simulations        Overview ( edit )  CBO : U.S. Federal spending and revenue components for fiscal year 2016 . Major expenditure categories are healthcare , Social Security , and defense ; income and payroll taxes are the primary revenue sources . CBO : Revenue and Expense as % GDP . Since 1970 , the U.S. had budget surpluses only from 1998 - 2001 , years budgeted by President Clinton . Deficits are projected to grow as a % GDP as the country ages and healthcare cost rise faster than the economy . U.S. federal budget deficits and surpluses 1967 - 2016 historical and 2017 - 2027 forecast . Deficits as a share of GDP are expected to rise as spending for Social Security , Medicare , and interest on the federal debt rise faster than revenue . CBO current law baseline as of January 2017 , showing forecast of deficit and debt by year . This is the baseline prior to any changes by President Trump . It is the financial position he `` inherited '' from President Obama .  The budget document often begins as the President 's proposal to the U.S. Congress which recommends funding levels for the next fiscal year , beginning October 1 and ending on September 30 of the year following . The fiscal year is named for the year in which it ends . However , Congress is the body required by law to pass appropriations annually and to submit funding bills passed by both houses to the President for signature . Congressional decisions are governed by rules and legislation regarding the federal budget process . Budget committees set spending limits for the House and Senate committees and for Appropriations subcommittees , which then approve individual appropriations bills to allocate funding to various federal programs .   If Congress fails to pass an annual budget , a series of Appropriations bills must be passed as `` stop gap '' measures . After Congress approves an appropriations bill , it is sent to the President , who may sign it into law , or may veto it . A vetoed bill is sent back to Congress , which can pass it into law with a two - thirds majority in each chamber . Congress may also combine all or some appropriations bills into an omnibus reconciliation bill . In addition , the president may request and the Congress may pass supplemental appropriations bills or emergency supplemental appropriations bills .   Several government agencies provide budget data and analysis . These include the Government Accountability Office ( GAO ) , Congressional Budget Office , the Office of Management and Budget ( OMB ) and the U.S. Treasury Department . These agencies have reported that the federal government is facing a series of important long - run financing challenges , primarily driven by an aging population , rising interest payments , and spending for healthcare programs such as Medicare and Medicaid .   During fiscal year 2017 , the Federal government received approximately $3.3 trillion in tax and fee revenue and had outlays ( spending ) of $4.0 trillion ; the difference was a $666 billion deficit , up $80 billion from 2016 . Measured as a percentage of gross domestic product ( a measure of the size of the economy ) , revenues were 17.3 % GDP , below the historical average ( 1980 -- 2015 ) of 17.4 % GDP . Outlays of 20.8 % GDP were slightly above the historical average of 20.6 % GDP . The deficit of 3.5 % GDP was above the historical average of 3.2 % GDP . After a significant increase primarily due to the Great Recession , the annual deficit returned to its historical average in fiscal year 2014 .   During fiscal year 2016 , the Federal government received approximately $3.3 trillion in tax and fee revenue and had outlays ( spending ) of $3.9 trillion ; the difference was a $587 billion deficit . Measured as a percentage of gross domestic product ( a measure of the size of the economy ) , revenues were 17.8 % GDP , above the historical average ( 1980 -- 2015 ) of 17.4 % GDP . Outlays of 20.9 % GDP were above the average of 20.6 % GDP . The deficit of 3.2 % GDP was equal to the historical average .   President Trump signed the Tax Cuts and Jobs Act into law in December 2017 . The CBO estimated that implementing the Act would add an estimated $1.455 trillion to the national debt over ten years , or about $1.0 trillion after macroeconomic feedback effects , in addition to the $11 trillion increase forecast under the current policy baseline and existing $20 trillion national debt .   Budget principles ( edit )   The U.S. Constitution ( Article I , section 9 , clause 7 ) states that `` No money shall be drawn from the Treasury , but in Consequence of Appropriations made by Law ; and a regular Statement and Account of Receipts and Expenditures of all public Money shall be published from time to time . ''   Each year , the President of the United States submits a budget request to Congress for the following fiscal year as required by the Budget and Accounting Act of 1921 . Current law ( 31 U.S.C. § 1105 ( a ) ) requires the president to submit a budget no earlier than the first Monday in January , and no later than the first Monday in February . Typically , presidents submit budgets on the first Monday in February . The budget submission has been delayed , however , in some new presidents ' first year when the previous president belonged to a different party .   The federal budget is calculated largely on a cash basis . That is , revenues and outlays are recognized when transactions are made . Therefore , the full long - term costs of entitlement programs such as Medicare , Social Security , and the federal portion of Medicaid are not reflected in the federal budget . By contrast , many businesses and some other national governments have adopted forms of accrual accounting , which recognizes obligations and revenues when they are incurred . The costs of some federal credit and loan programs , according to provisions of the Federal Credit Reform Act of 1990 , are calculated on a net present value basis .   Federal agencies can not spend money unless funds are authorized and appropriated . Typically , separate Congressional committees have jurisdiction over authorization and appropriations . The House and Senate Appropriations Committees currently have 12 subcommittees , which are responsible for drafting the 12 regular appropriations bills that determine amounts of discretionary spending for various federal programs . Appropriations bills must pass both the House and Senate and then be signed by the president in order to give federal agencies the legal budget authority to spend . In many recent years , regular appropriations bills have been combined into `` omnibus '' bills .   Congress may also pass `` special '' or `` emergency '' appropriations . Spending that is deemed an `` emergency '' is exempt from certain Congressional budget enforcement rules . Funds for disaster relief have sometimes come from supplemental appropriations , such as after Hurricane Katrina . In other cases , funds included in emergency supplemental appropriations bills support activities not obviously related to actual emergencies , such as parts of the 2000 Census of Population and Housing . Special appropriations have been used to fund most of the costs of war and occupation in Iraq and Afghanistan so far .   Budget resolutions and appropriations bills , which reflect spending priorities of Congress , will usually differ from funding levels in the president 's budget . The president , however , retains substantial influence over the budget process through veto power and through congressional allies when the president 's party has a majority in Congress .   Budget authority versus outlays ( edit )   The amount of budget authority and outlays for a fiscal year usually differ because the government can incur obligations for future years . This means that budget authority from a previous fiscal year can , in many cases , be used for expenditure of funds in future fiscal years ; for example , a multi-year contract .   Budget authority is the legal authority provided by federal law to enter into financial obligations that will result in immediate or future outlays involving federal government funds . Outlays refer to the issuance of checks , disbursement of cash or electronic transfer of funds made to liquidate a federal obligation and is usually synonymous with `` expenditure '' or `` spending '' . The term `` appropriations '' refers to budget authority to incur obligations and to make payments from the Treasury for specified purposes . Some military and some housing programs have multi-year appropriations , in which their budget authority is specified for several coming fiscal years .   In the congressional budgeting process , an `` authorization '' ( technically the `` authorization act '' ) provides the legal authority for the executive branch to act , establishes an account which can receive money to implement the action , and sets a limit on how much money may be expended . However , this account remains empty until Congress approves an `` appropriation '' , which requires the U.S. Treasury to provide funds ( up to the limit provided for in the authorization ) . Congress is not required to appropriate as much money as is authorized .   Congress may both authorize and appropriate in the same bill . Known as `` authorization bills '' , such legislation usually provides for a multi-year authorization and appropriation . Authorization bills are particularly useful when funding entitlement programs ( benefits which federal law says an individual has a right to , regardless if any money is appropriated ) , where estimating the amount of funds to be spent is difficult . Authorization bills are also useful when giving a federal agency the right to borrow money , sign contracts , or provide loan guarantees . In 2007 , two - thirds of all federal spending came through authorization bills .   A `` backdoor authorization '' occurs when an appropriation is made and an agency required to spend the money even when no authorizing legislation has been enacted . A `` backdoor appropriation '' occurs when authorizing legislation requires an agency to spend a specific amount of money on a specific project within a specific period of time . Because the agency would be violating the law if it did not do so , it is required to spend the money -- even if no appropriation has been made . Backdoor appropriations are particularly vexsome because removing the appropriation requires amending federal law , which is often politically impossible to do within a short period of time . Backdoor authorizations and appropriations are sources of significant friction in Congress . Authorization and appropriations committees jealously guard their legislative rights , and the congressional budgeting process can break down when committees overstep their boundaries and are retaliated against .   Federal budget data ( edit )  Table compares US federal spending and revenue in 2016 vs. 2015 using CBO historical data .  Several government agencies provide budget data . These include the Government Accountability Office ( GAO ) , the Congressional Budget Office ( CBO ) , the Office of Management and Budget ( OMB ) and the U.S. Treasury Department . The CBO publishes The Budget and Economic Outlook in January , which covers a ten - year window and is typically updated in August . It also publishes a Long - Term Budget Outlook in July and a Monthly Budget Review . The OMB , which is responsible for organizing the President 's budget presented in February , typically issues a budget update in July . The GAO and the Treasury issue Financial Statements of the U.S. Government , usually in the December following the close of the federal fiscal year , which occurs September 30 . There is a corresponding Citizen 's Guide , a short summary . The Treasury Department also produces a Combined Statement of Receipts , Outlays , and Balances each December for the preceding fiscal year , which provides detailed data on federal financial activities .   Historical tables within the President 's Budget ( OMB ) provide a wide range of data on federal government finances . Many of the data series begin in 1940 and include estimates of the President 's Budget for 2009 -- 2014 . Additionally , Table 1.1 provides data on receipts , outlays , and surpluses or deficits for 1901 -- 1939 and for earlier multi-year periods . This document is composed of 17 sections , each of which has one or more tables . Each section covers a common theme . Section 1 , for example , provides an overview of the budget and off - budget totals ; Section 2 provides tables on receipts by source ; and Section 3 shows outlays by function . When a section contains several tables , the general rule is to start with tables showing the broadest overview data and then work down to more detailed tables . The purpose of these tables is to present a broad range of historical budgetary data in one convenient reference source and to provide relevant comparisons likely to be most useful . The most common comparisons are in terms of proportions ( e.g. , each major receipt category as a percentage of total receipts and of the gross domestic product ) .   Federal budget projections ( edit )   The Congressional Budget Office ( CBO ) projects budget data such as revenues , expenses , deficits , and debt as part of its `` Long - term Budget Outlook '' which is released annually . The 2014 Outlook included projections for debt through 2039 and beyond . CBO outlined several scenarios that result in a range of outcomes . The `` Extended Baseline '' scenario and `` Extended Alternative Fiscal '' scenario both result in a much higher level of debt relative to the size of the economy ( GDP ) as the country ages and healthcare costs rise faster than the rate of economic growth . CBO also identified scenarios involving significant austerity measures , which maintain or reduce the debt relative to GDP over time .   The sooner austerity steps are taken ( e.g. , raising revenues or reducing spending or a combination of both ) , the smaller those changes can be to maintain or reduce the debt level projected in 2039 . For example , under the baseline scenario , stabilizing the ratio of debt to GDP at 74 % ( its current level ) would require non-interest spending cuts and / or tax hikes of 1.2 % of GDP annually if implemented in 2015 , or 1.5 % of GDP annually if begun in 2020 . To bring the debt - to - GDP ratio back to its 40 - year average of 39 % , the austerity measures required would be 2.6 % GDP if begun in 2015 and 3.2 % GDP if begun in 2020 . Over the 1974 to 2013 period , federal spending averaged 20.5 % GDP and revenue 17.4 % GDP . For scale , a 2 % GDP reduction in spending would be approximately a 10 % spending cut .   Major receipt categories ( edit )  Main article : Taxation in the United States CBO data on share of U.S. federal revenues collected by tax type from 1967 - 2016 . Payroll taxes , paid by all wage earners , have increased as a share of total federal tax revenues , while corporate taxes have fallen . Income taxes have moved in a range , with Presidents Reagan and G.W. Bush lowering income tax rates , and Clinton and Obama raising them for the top incomes . CBO charts describing about $1.0 trillion in tax expenditures during 2013 ( i.e. , exemptions , deductions , and preferential rates ) and their distribution across income groups . The top 20 % of income earners received 50 % of the benefit from these tax breaks ; they also pay approximately 70 % of federal income taxes .  During FY2016 , the federal government collected approximately $3.27 trillion in tax revenue , up $18 B ( billion ) or 1 % versus FY2015 . Primary receipt categories included individual income taxes ( $1,546 B or 47 % of total receipts ) , Social Security / Social Insurance taxes ( $1,115 B or 34 % ) , and corporate taxes ( $300 B or 10 % ) . Other revenue types included excise , estate and gift taxes . FY 2016 revenues were 17.8 % of gross domestic product ( GDP ) , versus 18.2 % in FY 2015 . Tax revenues averaged approximately 17.4 % GDP over the 1980 - 2015 period , generally ranging plus or minus 2 % from that level . Tax revenues are significantly affected by the economy . Recessions typically reduce government tax collections as economic activity slows . For example , tax revenues declined from $2.5 trillion in 2008 to $2.1 trillion in 2009 , and remained at that level in 2010 . From 2008 to 2009 , individual income taxes declined 20 % , while corporate taxes declined 50 % . At 14.6 % of GDP , the 2009 and 2010 collections were the lowest level of the past 50 years .   Tax Policy ( edit )  Tax descriptions ( edit )  The federal personal income tax is progressive , meaning a higher marginal tax rate is applied to higher ranges of income . For example , in 2010 the tax rate that applied to the first $17,000 in taxable income for a couple filing jointly was 10 % , while the rate applied to income over $379,150 was 35 % . The top marginal tax rate has declined considerably since 1980 . For example , the top tax rate was lowered from 70 % to 50 % in 1980 and reached as low as 28 % in 1988 . The Bush tax cuts of 2001 and 2003 , extended by President Obama in 2010 , lowered the top rate from 39.6 % to 35 % . The American Taxpayer Relief Act of 2012 raised the income tax rates for individuals earning over $400,000 and couples over $450,000 . There are numerous exemptions and deductions , that typically result in a range of 35 -- 40 % of U.S. households owing no federal income tax . The recession and tax cut stimulus measures increased this to 51 % for 2009 , versus 38 % in 2007 . In 2011 it was found that 46 % of households paid no federal income tax , however the top 1 % contributed about 25 % of total taxes collected . In 2014 , the top 1 % paid approximately 46 % of the federal income taxes , excluding payroll taxes .   The federal payroll tax ( FICA ) partially funds Social Security and Medicare . For the Social Security portion , employers and employees each pay 6.2 % of the workers gross pay , a total of 12.4 % . The Social Security portion is capped at $118,500 for 2015 , meaning income above this amount is not subject to the tax . It is a flat tax up to the cap , but regressive overall as it is not applied to higher incomes . The Medicare portion is also paid by employer and employee each at 1.45 % and is not capped . Starting in 2013 , an additional 0.9 percent more in Medicare taxes was applied to income of more than $200,000 ( $250,000 for married couples filing jointly ) , making it a progressive tax overall .   For calendar years 2011 and 2012 , the employee 's portion of the payroll tax was reduced to 4.2 % as an economic stimulus measure ; this expired for 2013 . Approximately 65 % percent of tax return filers pay more in payroll taxes than income taxes .  Tax expenditures ( edit )  The term `` tax expenditures '' refers to income exclusions , deductions , preferential rates , and credits that reduce revenues for any given level of tax rates in the individual , payroll , and corporate income tax systems . Like conventional spending , they contribute to the federal budget deficit . They also influence choices about working , saving , and investing , and affect the distribution of income . The amount of reduced federal revenues are significant , estimated by CBO at nearly 8 % GDP or about $1.5 trillion in 2017 , for scale roughly half the revenue collected by the government and nearly three times as large as the budget deficit . Since eliminating a tax expenditure changes economic behavior , the amount of additional revenue that would be generated is somewhat less than the estimated size of the tax expenditure .   CBO reported that the following were among the largest individual ( non-corporate ) tax expenditures in 2013 :    The exclusion from workers ' taxable income of employers ' contributions for health care , health insurance premiums , and premiums for long - term care insurance ( $248 B ) ;   The exclusion of contributions to and the earnings of pension funds such as 401k plans ( $137 B ) ;   Preferential tax rates on dividends and long - term capital gains ( $161 B ) ; and   The deductions for state and local taxes ( $77 B ) , mortgage interest ( $70 B ) and charitable contributions ( $39 B ) .    In 2013 , CBO estimated that more than half of the combined benefits of 10 major tax expenditures would apply to households in the top 20 % income group , and that 17 % of the benefit would go to the top 1 % households . The top 20 % of income earners pay about 70 % of federal income taxes , excluding payroll taxes . For scale , 50 % of the $1.5 trillion in tax expenditures in 2016 was $750 billion , while the U.S. budget deficit was approximately $600 billion . In other words , eliminating the tax expenditures for the top 20 % might balance the budget over the short - term , depending on economic feedback effects .   Major expenditure categories ( edit )  Main article : Expenditures in the United States federal budget US Federal Government expenditures CBO projections of U.S. Federal spending as % GDP 2014 - 2024 Social Security -- Ratio of Covered Workers to Retirees . Over time , there will be fewer workers per retiree . CBO forecast of Social Security tax revenues and outlays from 2015 - 2085 . Under current law , the outlays are projected to exceed revenues , requiring a 29 % reduction in program payments starting around 2030 once the Social Security Trust Fund is exhausted . Defense Spending 2001 -- 2017 . FY 2013 Estimated Federal Spending per 2013 Budget Interest to GDP , a measure of debt burden , was very low in 2015 but is projected to rise with both interest rates and debt levels over the 2016 - 2026 period .  During FY2016 , the federal government spent $3.85 trillion on a budget or cash basis , up $164 billion or 4 % vs. FY2015 spending of $3.69 trillion . Major categories of FY 2016 spending included : Healthcare such as Medicare and Medicaid ( $1,060 B or 28 % of spending ) , Social Security ( $910 B or 24 % ) , non-defense discretionary spending used to run federal Departments and Agencies ( $600 B or 16 % ) , Defense Department ( $585 B or 15 % ) , and interest ( $240 B or 6 % ) .   Expenditures are classified as `` mandatory '' , with payments required by specific laws to those meeting eligibility criteria ( e.g. , Social Security and Medicare ) , or `` discretionary '' , with payment amounts renewed annually as part of the budget process . Around two thirds of federal spending is for `` mandatory '' programs . CBO projects that mandatory program spending and interest costs will rise relative to GDP over the 2016 -- 2026 period , while defense and other discretionary spending will decline relative to GDP .   Mandatory spending and Social safety nets ( edit )   Social Security , Medicare , and Medicaid expenditures are funded by more permanent Congressional appropriations and so are considered mandatory spending . Social Security and Medicare are sometimes called `` entitlements '' , because people meeting relevant eligibility requirements are legally entitled to benefits , although most pay taxes into these programs throughout their working lives . Some programs , such as Food Stamps , are appropriated entitlements . Some mandatory spending , such as Congressional salaries , is not part of any entitlement program . Mandatory spending accounted for 59.8 % of total federal outlays ( net of receipts that partially pay for the programs ) , with net interest payments accounting for an additional 6.5 % . In 2000 , these were 53.2 % and 12.5 % , respectively .   Mandatory spending is expected to continue increasing as a share of GDP . This is due in part to demographic trends , as the number of workers continues declining relative to those receiving benefits . For example , the number of workers per retiree was 5.1 in 1960 ; this declined to 3.0 in 2010 and is projected to decline to 2.2 by 2030 . These programs are also affected by per - person costs , which are also expected to increase at a rate significantly higher than economic growth . This unfavorable combination of demographics and per - capita rate increases is expected to drive both Social Security and Medicare into large deficits during the 21st century . Unless these long - term fiscal imbalances are addressed by reforms to these programs , raising taxes or drastic cuts in discretionary programs , the federal government will at some point be unable to pay its obligations without significant risk to the value of the dollar ( inflation ) . By one estimate , 70 % of the growth in these entitlement expenses over the 2016 - 2046 period is due to healthcare .    Medicare was established in 1965 and expanded thereafter . Spending for Medicare during 2016 was $692 billion , versus $634 billion in 2014 , an increase of $58 billion or 9 % . In 2013 , the program covered an estimated 52.3 million persons . It consists of four distinct parts which are funded differently : Hospital Insurance , mainly funded by a dedicated payroll tax of 2.9 % of earnings , shared equally between employers and workers ; Supplementary Medical Insurance , funded through beneficiary premiums ( set at 25 % of estimated program costs for the aged ) and general revenues ( the remaining amount , approximately 75 % ) ; Medicare Advantage , a private plan option for beneficiaries , funded through the Hospital Insurance and Supplementary Medical Insurance trust funds ; and the Part D prescription drug benefits , for which funding is included in the Supplementary Medical Insurance trust fund and is financed through beneficiary premiums ( about 25 % ) and general revenues ( about 75 % ) . Spending on Medicare and Medicaid is projected to grow dramatically in coming decades . The number of persons enrolled in Medicare is expected to increase from 47 million in 2010 to 80 million by 2030 . While the same demographic trends that affect Social Security also affect Medicare , rapidly rising medical prices appear to be a more important cause of projected spending increases . CBO expects Medicare and Medicaid to continue growing , rising from 5.3 % GDP in 2009 to 10.0 % in 2035 and 19.0 % by 2082 . CBO has indicated healthcare spending per beneficiary is the primary long - term fiscal challenge . Various reform strategies were proposed for healthcare , and in March 2010 , the Patient Protection and Affordable Care Act was enacted as a means of health care reform . CBO reduced its per capita Medicare spending assumptions by $1,000 for 2014 and $2,300 for 2019 , relative to its 2010 estimate for those years . If this trend continues , it will significantly improve the long - term budget outlook .   Social Security is a social insurance program officially called `` Old - Age , Survivors , and Disability Insurance '' ( OASDI ) , in reference to its three components . It is primarily funded through a dedicated payroll tax of 12.4 % . During 2016 , total benefits of $910 billion were paid out , versus $882 billion in 2015 , an increase of $28 billion or 3 % . Social Security 's total expenditures have exceeded its non-interest income since 2010 . The deficit of non-interest income relative to cost was about $49 billion in 2010 , $45 billion in 2011 , and $55 billion in 2012 . During 2010 , an estimated 157 million people paid into the program and 54 million received benefits , roughly 2.91 workers per beneficiary . Since the Greenspan Commission in the early 1980s , Social Security has cumulatively collected far more in payroll taxes dedicated to the program than it has paid out to recipients -- nearly $2.6 trillion in 2010 . This annual surplus is credited to Social Security trust funds that hold special non-marketable Treasury securities . This surplus amount is commonly referred to as the `` Social Security Trust Fund '' . The proceeds are paid into the U.S. Treasury where they may be used for other government purposes . Social Security spending will increase sharply over the next decades , largely due to the retirement of the baby boom generation . The number of program recipients is expected to increase from 44 million in 2010 to 73 million in 2030 . Program spending is projected to rise from 4.8 % of GDP in 2010 to 5.9 % of GDP by 2030 , where it will stabilize . The Social Security Administration projects that an increase in payroll taxes equivalent to 1.8 % of the payroll tax base or 0.6 % of GDP would be necessary to put the Social Security program in fiscal balance for the next 75 years . Over an infinite time horizon , these shortfalls average 3.3 % of the payroll tax ba</t>
  </si>
  <si>
    <t xml:space="preserve">when does the federal budget year begin and end</t>
  </si>
  <si>
    <t xml:space="preserve"> The budget document often begins as the President 's proposal to the U.S. Congress which recommends funding levels for the next fiscal year , beginning October 1 and ending on September 30 of the year following . The fiscal year is named for the year in which it ends . However , Congress is the body required by law to pass appropriations annually and to submit funding bills passed by both houses to the President for signature . Congressional decisions are governed by rules and legislation regarding the federal budget process . Budget committees set spending limits for the House and Senate committees and for Appropriations subcommittees , which then approve individual appropriations bills to allocate funding to various federal programs . </t>
  </si>
  <si>
    <t xml:space="preserve">My Heart Beats Like A Drum ( Dum Dum Dum ) - wikipedia  My Heart Beats Like A Drum ( Dum Dum Dum )  Jump to : navigation , search      This article needs additional citations for verification . Please help improve this article by adding citations to reliable sources . Unsourced material may be challenged and removed . ( November 2017 ) ( Learn how and when to remove this template message )       `` My Heart Beats Like a Drum ''         Single by ATC     from the album Planet Pop     Released   September 2 , 2000     Genre   Eurodance , dance - pop     Length   3 : 43     Label   Kingsize     Songwriter ( s )   Alex Christensen and Peter Könemann     ATC singles chronology        `` Around the World ( La La La La La ) '' ( 2000 )   `` My Heart Beats Like a Drum '' ( 2000 )   `` Why Oh Why '' ( 2000 )           `` Around the World ( La La La La La ) '' ( 2000 )   `` My Heart Beats Like a Drum ( Dum Dum Dum ) '' ( 2000 )   `` Why Oh Why '' ( 2000 )            Music video     `` My Heart Beats Like A Drum '' on YouTube         My Heart Beats Like A Drum ( Dum Dum Dum ) is the second single by German Eurodance group ATC from their debut album Planet Pop . While not as successful as Around the World ( La La La La La ) , it was still a Top 10 hit in several countries across Europe .     Contents  ( hide )   1 Background   2 Music video   3 Track listings   4 Charts   4.1 Weekly charts   4.2 Year - end charts     5 References      Background ( edit )   `` My Heart Beats Like A Drum '' was released after the peak success of `` Around The World ( La La La La La ) '' . The song had the same producers of Alex Christensen and Peter Könemann , hence the similar melody to `` Around The World ( La La La La La ) '' . It was first available mainly in Europe on September 2 , 2000 , and had multiple Top 40 peaks across the continent . Despite the single 's moderate success , it never surpassed the peak positions of `` Around The World ( La La La La La ) '' in any country .   The single was first released with the title `` My Heart Beats Like A Drum ( Dam Dam Dam ) , '' but all future releases were dubbed `` My Heart Beats Like A Drum ( Dum Dum Dum ) . ''   Music video ( edit )   A music video for the song was released on the same day as the audio release . It features the four original singers , Tracey , Joey , Sarah and Livio in a room with red , blue , green , walls , and windows , the latter of which has a zebra print on one side with a purple ceiling . The members of ATC are seen mostly dancing in gold shining clothes . Every time the `` Dum Dum Dum '' hook is sung , the members first raise their arms above their heads , then lower them to their torso , and finally lower them to their thighs . The scenes without the choreography show two of the singers walking on the ceilings ( done via rotating the camera upside down ) , with the last minute of the video having all four band members dance upside down on the purple ceiling .   Track listings ( edit )   CD single    My Heart Beats Like A Drum ( Dam Dam Dam ) ( Radio Edit )   My Heart Beats Like A Drum ( Dam Dam Dam ) ( Extended Club Mix )    German CD maxi - Single    My Heart Beats Like A Drum ( Radio Edit )   My Heart Beats Like A Drum ( Extended Club Mix )   My Heart Beats Like A Drum ( Rüegsegger # wittwer Clubremix )   My Heart Beats Like A Drum ( Triple X Extended Remix )   My Heart Beats Like A Drum ( Rüegsegger # wittwer Frantic Remix )   My Heart Beats Like A Drum ( Triple X Dub Attack )    Charts ( edit )   Weekly charts ( edit )     Chart ( 2000 )   Position     Australia ( ARIA )   76     Austria ( Ö3 Austria Top 40 )   6     Belgium ( Ultratop 50 Flanders )   11     Belgium ( Ultratop 50 Wallonia )   11     Finland ( Suomen virallinen lista )   12     France ( SNEP )   39     Germany ( Official German Charts )       Italy ( FIMI )   46     Netherlands ( Dutch Top 40 )   37     Poland ( Polish Singles Chart )   18     Sweden ( Sverigetopplistan )   38     Switzerland ( Schweizer Hitparade )   21     Year - end charts ( edit )     Chart ( 2000 )   Position     Switzerland ( Schweizer Hitparade )   88     References ( edit )    Jump up ^ `` ATC Interview , My Heart Beats Like A Drum &amp; Around The World Live @ Ringfest - YouTube '' . YouTube . 2013 - 09 - 17 . Retrieved 2017 - 05 - 26 .   Jump up ^ `` Swiss year - end chart '' . swisscharts.com. 2000 . Retrieved November 22 , 2017 .   Retrieved from `` https://en.wikipedia.org/w/index.php?title=My_Heart_Beats_Like_a_Drum_(Dum_Dum_Dum)&amp;oldid=819511436 '' Categories :   2000 songs   Songs written by Alex Christensen   Hidden categories :   Articles needing additional references from November 2017   All articles needing additional references   Articles with hAudio microformats           Talk                                           Contents                   About Wikipedia                                           Polski   Edit links   This page was last edited on 9 January 2018 , at 19 : 40 .         About Wikipedia                    </t>
  </si>
  <si>
    <t xml:space="preserve">who sang my heart beats like a drum</t>
  </si>
  <si>
    <t xml:space="preserve"> My Heart Beats Like A Drum ( Dum Dum Dum ) is the second single by German Eurodance group ATC from their debut album Planet Pop . While not as successful as Around the World ( La La La La La ) , it was still a Top 10 hit in several countries across Europe . </t>
  </si>
  <si>
    <t xml:space="preserve">The Air That I Breathe - wikipedia  The Air That I Breathe  Jump to : navigation , search This article is about the song by Albert Hammond . For the film , see The Air I Breathe . For the song by All That Remains , see The Air That I Breathe ( All That Remains song ) .    `` The Air That I Breathe ''     Song by Albert Hammond     from the album It Never Rains in Southern California     Released   1972     Length   3 : 40     Label   Mums Records 31905     Songwriter ( s )   Albert Hammond , Mike Hazlewood     Producer ( s )   Albert Hammond , Don Altfeld       `` The Air That I Breathe ''         Single by The Hollies     from the album Hollies     B - side   `` No More Riders ''     Released   UK : January 1974 US : March 1974     Length   4 : 13     Label   UK : Polydor 2058435 US : Epic 5 - 11100     Songwriter ( s )   Albert Hammond , Mike Hazlewood     Producer ( s )   Ron Richards and the Hollies     The Hollies singles chronology        `` The Day That Curly Billy Shot Down Crazy Sam Mcgee '' ( 1973 )   `` The Air That I Breathe '' ( 1974 )   `` Son of a Rotten Gambler '' ( 1974 )           `` The Day That Curly Billy Shot Down Crazy Sam Mcgee '' ( 1973 )   `` The Air That I Breathe '' ( 1974 )   `` Son of a Rotten Gambler '' ( 1974 )        `` The Air That I Breathe '' is a ballad written by Albert Hammond and Mike Hazlewood , initially recorded by Albert Hammond on his 1972 album It Never Rains in Southern California .     Contents  ( hide )   1 History   2 Chart performance   2.1 Weekly charts   2.2 Year - end charts     3 Cover versions   4 References   5 External links      History ( edit )   This song was a major hit for The Hollies in early 1974 , reaching number two in the United Kingdom . In the summer of 1974 , the song reached number six in the United States on the Billboard Hot 100 chart and number three on the Adult Contemporary chart . In Canada , the song peaked at number five on the RPM Magazine charts . The audio engineering for `` The Air That I Breathe '' was done by Alan Parsons . It proved to be the Hollies ' final charting hit in the US .   The 1992 Radiohead song `` Creep '' uses a similar chord progression and shares some melodic content with `` The Air That I Breathe '' . As a result , Hammond and Hazlewood sued Radiohead for plagiarism and won .   Chart performance ( edit )      Weekly charts ( edit )     Chart ( 1974 )   Peak position     Australia       Austria       Canada ( RPM 100 Singles )   5     Germany       Ireland ( IRMA )   6     Netherlands ( Gfk Top 100 Singles )       New Zealand ( Listener )       UK Singles Chart       US Billboard Hot 100   6     US Cash Box Top 100   7       Chart ( 1988 )   Peak position     Ireland ( IRMA )   30       Year - end charts ( edit )     Chart ( 1974 )   Rank     Australia   26     Canada   69     UK   20     US Billboard Hot 100   50     US Cash Box   66        Cover versions ( edit )       This section needs additional citations for verification . Please help improve this article by adding citations to reliable sources . Unsourced material may be challenged and removed . ( December 2015 ) ( Learn how and when to remove this template message )      The song was first covered by Phil Everly of the Everly Brothers for his 1973 album Star Spangled Springer .   Also covered by Cilla Black in 1974 on the album In My Life .   Also covered by Olivia Newton - John in 1975 on the album Have You Never Been Mellow .   Also recorded by The Shadows in 1975 for their album Specs Appeal but released as a B - side on a single . The title appeared on the CD , as bonus track , on Tasty Plus as well on the Magic Records CD Specs Appeal / Tasty .   Dutch pop quartet Champagne included their version on their eponymous 1977 debut album .   Hank Williams Jr. covered this song on his 1983 album , Man of Steel .   Rex Allen , Jr. recorded a cover version in 1983 , releasing his version for the country music market . Allen 's version peaked at number 37 on the Billboard Hot Country Singles chart in December 1983 .   Julio Iglesias offered his version of the song on 1984 's 1100 Bel Air Place . The Beach Boys sang the background harmonies on this version .   Swedish band Alien covered their arrangement of the song on their eponymous 1988 debut album .   Judy Collins recorded a cover version in her 1990 album Fires of Eden   Portrayed by Bug Hall , Carl `` Alfalfa '' Switzer sang the song in The Little Rascals movie .   Hollywood glam rock band Spiders and Snakes cover the song on their album Oddities : The Glitter Years ( 1995 ) .   Barry Manilow covered the song on his 1996 album , Summer of ' 78   Steven Houghton covered the song on his 1997 self - titled album .   k.d. lang covered the track on her 1997 album Drag .   The song was also covered by Simply Red in 1998 on the album Blue .   Jorge González , former leader of the Chilean band Los Prisioneros , covered it as Necesito poder respirar ( Spanish for `` I need to be able to breathe '' ) on his 1999 album Mi destino with the original Spanish lyrics from Hammond 's version .   The Mavericks covered the song on their self - titled 2003 album . Their version peaked at number 59 on the Billboard Hot Country Songs chart .   This song was covered by the group Semisonic and appears on the CD single for `` Singing in My Sleep '' . It appears as `` Air That I Breathe '' .   This song was covered by the Brazilian country group Chitãozinho &amp; Xororó with Portuguese lyrics under the title `` É Assim Que Eu Te Amo '' ( translated as `` This is how I love you '' ) .   Thom Yorke of Radiohead shares writing credits with Albert Hammond and Mike Hazlewood on `` Creep '' due to similarities between that song and `` The Air That I Breathe '' .   Steve Wynn covers the song on his 1999 album Pick of the Litter .    References ( edit )    Jump up ^ `` The Air That I Breathe ( original ) - Albert Hammond 1972. wmv '' . YouTube . 2010 - 04 - 13 . Retrieved 2016 - 10 - 09 .   Jump up ^ Whitburn , Joel ( 2002 ) . Top Adult Contemporary : 1961 -- 2001 . Record Research . p. 117 .   Jump up ^ English , Tim ( 2007 ) . Sounds Like Teen Spirit : Stolen Melodies , Ripped - Off Riffs , and the Secret History of Rock and Roll , p. 149 . ISBN 9781583480236 .   ^ Jump up to : Wardle , Ben . `` Get off Coldplay 's case -- similar songs can co-exist peacefully '' . The Guardian ( London ) . 12 May 2009 . Retrieved on 22 September 2010 .   Jump up ^ `` Archived copy '' . Archived from the original on 2012 - 10 - 11 . Retrieved 2013 - 06 - 19 .   ^ Jump up to : Steffen Hung . `` Forum - 1970 ( ARIA Charts : Special Occasion Charts ) '' . Australian-charts.com . Archived from the original on 2016 - 06 - 02 . Retrieved 2016 - 10 - 09 .   ^ Jump up to : `` The Irish Charts -- Search Results -- The Air That I Breathe '' . Irish Singles Chart . Retrieved July 11 , 2017 .   Jump up ^ `` flavour of new zealand - search listener '' . Flavourofnz.co.nz . Retrieved 2016 - 10 - 09 .   Jump up ^ `` Image : RPM Weekly - Library and Archives Canada '' . Bac-lac.gc.ca . Retrieved 2016 - 10 - 09 .   Jump up ^ `` Top 100 1974 - UK Music Charts '' . Uk-charts.top-source.info . Retrieved 2016 - 10 - 09 .   Jump up ^ `` Top 100 Hits of 1974 / Top 100 Songs of 1974 '' . Musicoutfitters.com . Retrieved 2016 - 10 - 09 .   Jump up ^ `` Archived copy '' . Archived from the original on 2014 - 10 - 19 . Retrieved 2015 - 07 - 16 .   Jump up ^ `` Phil Everly LP Master Release '' . discogs.com . Retrieved 2017 - 09 - 22 .   Jump up ^ `` Cilla Black LP Master Release '' . discogs.com . Retrieved 2017 - 09 - 22 .   Jump up ^ `` Olivia Newton - John LP Master Release '' . discogs.com . Retrieved 2017 - 09 - 22 .   Jump up ^ `` Champagne LP Master Release '' . discogs.com . Retrieved 2017 - 09 - 15 .   Jump up ^ Whitburn , Joel ( 2013 ) . Hot Country Songs 1944 -- 2012 . Record Research , Inc. p. 20 . ISBN 978 - 0 - 89820 - 203 - 8 .    External links ( edit )    Lyrics of this song at MetroLyrics              Albert Hammond     Studio albums     It Never Rains in Southern California   The Free Electric Band   Albert Hammond       Other albums     It Never Rains in Southern California       Singles     `` Down by the River ''   `` It Never Rains in Southern California ''   `` The Free Electric Band ''   `` I 'm a Train ''   `` 99 Miles From L.A. ''   `` When I 'm Gone ''   `` Your World and My World ''       Songwriting     `` Be Tender with Me Baby ''   `` Do n't Turn Around ''   `` Gimme Dat Ding ''   `` I Do n't Wanna Live Without Your Love ''   `` I Do n't Wanna Lose You ''   `` I Need to Be in Love ''   `` It Is n't , It Was n't , It Ai n't Never Gonna Be ''   `` Just Walk Away ''   `` Little Arrows ''   `` Lonely Is the Night ''   `` Love Thing ''   `` Make Me an Island ''   `` Nothing 's Gonna Stop Us Now ''   `` One Moment in Time ''   `` Room in Your Heart ''   `` Tall , Dark Handsome Stranger ''   `` The Air That I Breathe ''   `` To All the Girls I 've Loved Before ''   `` Way of the World ''   `` When I Need You ''   `` When You Tell Me That You Love Me ''   `` Where Were You ''   `` You 're Such a Good Looking Woman ''       Languages     `` Cantaré , cantarás ''   `` Sensualité ''   `` Y Tú También Llorarás ''       Related articles     Albert Hammond , Jr .   John Bettis   Mike Hazlewood   Holly Knight   Carole Bayer Sager   The Family Dogg   Diane Warren                 The Hollies       Graham Nash   Allan Clarke   Eric Haydock   Bernie Calvert   Terry Sylvester   Bobby Elliott   Tony Hicks     Mikael Rickfors   Peter Howarth   Carl Wayne   Ian Parker          ( hide )         The Hollies album discography     Studio albums     Stay with The Hollies   In The Hollies Style   Hollies   Would You Believe ?   For Certain Because   Evolution   Butterfly   Hollies Sing Dylan   Hollies Sing Hollies   Confessions of the Mind   Distant Light   Romany   Hollies   Another Night   Write On   Russian Roulette   A Crazy Steal   Five Three One - Double Seven O Four   Buddy Holly   What Goes Around   Staying Power   Then Now Always       US albums     Here I Go Again   Hear ! Here !   Beat Group !   Bus Stop   Stop ! Stop ! Stop !   Evolution   Dear Eloise / King Midas In Reverse   Words and Music By Bob Dylan   He Ai n't Heavy , He 's My Brother   Moving Finger   Clarke , Hicks , Sylvester , Calvert , Elliott       Extended plays     The Hollies   Just One Look   Here I Go Again   We 're Through   In the Hollies Style   I 'm Alive   I Ca n't Let Go       Live albums     Hollies Live       Compilations     The Hollies ' Greatest Hits ( US )   Hollies ' Greatest ( UK )   Hollies ' Greatest Hits ( GER )   Hollies ' Greatest Volume 2 ( UK )   The Hollies ' Greatest Hits ( US )   The Very Best of the Hollies ( US )   The History of the Hollies ( UK )   20 Golden Greats ( UK )   The Best of the Hollies E.P. 's ( UK )   The Other Side of the Hollies ( UK )   Hollies ' Greatest ( US version ) ( US )   All the Hits and More -- The Definitive Collection ( UK )   Rarities ( UK )   The Air That I Breathe -- The Very Best of the Hollies ( UK )   30th Anniversary Collection 1963 - 1993   The Hollies at Abbey Road 1963 to 1966   The Hollies at Abbey Road 1966 to 1970   The Hollies at Abbey Road 1973 to 1989   Greatest Hits ( UK )   A 's B 's &amp; EP 's   On a Carousel 1963 - 1974 : The Ultimate Hollies   Midas Touch : The Very Best of The Hollies       Box Sets     The Long Road Home - The 40th Anniversary Collection   At Abbey Road 1963 - 1989   Clarke , Hicks &amp; Nash Years : The Complete Hollies April 1963 -- October 1968                     The Hollies singles discography     UK and US ( All Labels )     1963   `` Stay '' / `` Now 's the Time ''     1964   `` Just One Look '' / `` Keep Off That Friend of Mine ''   `` Here I Go Again '' / `` Baby That 's All '' ( UK ) - `` Lucille '' ( US )   `` We 're Through '' / `` Come On Back ''     1965   `` Yes I Will '' / `` Nobody ''   `` I 'm Alive '' / `` You Know He Did ''   `` Look Through Any Window '' / `` So Lonely ''     1966   `` I Ca n't Let Go '' / `` Running Through the Night ( UK ) - `` I 've Got a Way of my Own '' ( US )   `` Bus Stop '' / `` Do n't Run and Hide ''   `` After the Fox ( with Peter Sellers ) '' / `` The Fox Trot ( Gold , Gold , Who 's Got the Gold ) '' ( Burt Bacharach )   `` Stop Stop Stop '' / `` It 's You ''     1967   `` On a Carousel '' / `` All the World Is Love ''   `` Carrie Anne '' / `` Signs That Will Never Change ''   `` King Midas In Reverse '' / `` Everything Is Sunshine '' ( UK ) - `` Water on the Brain '' ( US )     1968   `` Jennifer Eccles '' / `` Open Up Your Eyes '' ( UK ) - `` Try It '' ( US )   `` Listen to Me '' / `` Do the Best You Can '' ( UK ) - `` Everything is Sunshine '' ( US )     1969   `` Sorry Suzanne '' / `` Not That Way At All ''   `` He Ai n't Heavy , He 's My Brother '' / `` Cos You Like to Love Me ''     1970   `` I Ca n't Tell the Bottom from the Top '' / `` Mad Professor Blyth ''   `` Gasoline Alley Bred '' / `` Dandelion Wine ''     1971   `` Hey Willy '' / `` Row the Boat Together ''     1972   `` The Baby '' / `` Oh Granny ''   `` Long Cool Woman in a Black Dress '' / `` Cable Car '' ( UK ) - `` Look What We 've Got '' ( US )   `` Magic Woman Touch '' / `` Indian Girl '' ( UK ) - `` Blue in the Morning '' ( US )     1973   `` The Day That Curly Billy Shot Down Crazy Sam McGee '' / `` Born a Man ''       `` The Air That I Breathe '' / `` No More Riders ''   `` I 'm Down '' / `` Hello Lady Goodbye '' ( UK ) - `` Look Out Johnny ( There 's a Monkey on Your Back ) '' ( US - 1975 )   `` Sandy ( 4th July , Asbury Park ) '' / `` Second Hand Hang - Ups ''       `` Stop ! In the Name of Love '' / `` Musical Pictures ''       UK only ( Parlophone ) ( Polydor ) ( EMI )     1963   `` ( Ai n't That ) Just Like Me '' / `` Hey What 's Wrong With Me ''   `` Searchin ' '' / `` Whole World Over ''     1965   `` If I Needed Someone '' / `` I 've Got a Way of My Own ''       `` Son of a Rotten Gambler '' / `` Layin ' to the Music ''     1976   `` Boulder to Birmingham '' / `` Crocodile Woman ( She Bites ) ''   `` Star '' / `` Love is the Thing ''   `` Daddy Do n't Mind '' / `` C'Mon ''   `` Wiggle That Whotsit '' / `` Corrine ''     1977   `` Hello to Romance '' / `` 48 Hour Parole ''   `` Amnesty '' / `` Crossfire ''     1979   `` Something to Live For '' / `` Song of the Sun ''     1980   `` Soldier 's Song '' / `` Draggin ' My Heels ''   `` Heartbeat '' / `` Take Your Time ( new version ) ''     1981   `` Holliedaze ( A Medley ) '' / `` Holliepops ( A Medley ) ''   `` Take My Love and Run '' / `` Driver ''     1985   `` Too Many Hearts Get Broken '' / `` You 're All Woman ''       `` This Is It '' / `` You Gave Me Strength ''   `` Reunion of the Heart '' / `` Too Many Hearts Get Broken ''       `` Find Me a Family '' / `` No Rules ''       `` The Woman I Love '' / `` Purple Rain ( Live Version ) ''     2005   `` Hope '' / `` Shine On Me ''       US only ( Imperial ) ( Epic ) ( Atlantic )     1967   `` Pay You Back With Interest '' / `` Whatcha Gonna Do ' Bout It ''   `` Just One Look '' / `` Running Through the Night ''   `` Dear Eloise '' / `` When Your Light 's Turned On ''   `` If I Needed Someone '' / `` Yes I Will ''     1968   `` Do the Best You Can '' / `` Elevated Observations ''     1971   `` Survival of the Fittest '' / `` Man Without a Heart ''     1972   `` Long Dark Road '' / `` Indian Girl ''     1973   `` Jesus Was a Crossmaker '' / `` I Had a Dream ''   `` Slow Down '' / `` Wo n't We Feel Good ''       `` Do n't Let Me Down '' / `` Layin ' to the Music ''       `` Another Night '' / `` Time Machine Jive ''     1976   `` Write On '' / `` Crocodile Woman ( She Bites ) ''     1977   `` Draggin ' My Heels '' / `` I Wo n't Move Over ''     1978   `` Writing on the Wall '' / `` Burn Out ''       `` If the Lights Go Out '' / `` Someone Else 's Eyes ''   `` Casualty '' / `` Someone Else 's Eyes ''       Italy only ( Parlophon )     1967   `` Non Prego Per Me '' / `` Devi Avere Fiducia in Me ''   `` Kill Me Quick '' / `` We 're Alive ''            See also   Discography   Band members                 Julio Iglesias       Discography       Studio albums     Yo canto ( 1969 )   Un canto a Galicia ( 1972 )   Soy ( 1973 )   A flor de piel ( 1974 )   Viens m'embrasser ( 1974 )   A México ( 1975 )   El amor ( 1975 )   America ( 1976 )   A mis 33 años ( 1977 )   Emociones ( 1978 )   Sono un pirata , sono un signore ( 1978 )   À vous les femmes ( 1979 )   Hey ! ( 1980 )   De niña a mujer ( 1981 )   Zartlichkeiten ( 1981 )   Momentos ( 1982 )   Momenti ( 1982 )   Et l'amour crea la femme ( 1982 )   1100 Bel Air Place ( 1984 )   Libra ( 1985 )   Un hombre solo ( 1987 )   Tutto l'amore che ti manca ( 1987 )   Non Stop ( 1988 )   Raíces ( 1989 )   Starry Night ( 1990 )   Calor ( 1992 )   Crazy ( 1994 )   La carretera ( 1995 )   Tango ( 1996 )   Noche de cuatro lunas ( 2000 )   Ao Meu Brasil ( 2001 )   Divorcio ( 2003 )   Romantic Classics ( 2006 )   1 ( 2011 )   México ( 2015 )       Live albums     En concierto ( 1983 )       Compilation albums     Da Manuela a Pensami ( 1978 )   Minhas canções preferidas ( 1981 )   Julio ( 1983 )   My Life : The Greatest Hits ( 1998 )   Mi vida : Grandes éxitos ( 1998 )   Love Songs ( 2003 )   1 : The Collection ( 2014 )       Singles     `` Chiquilla '' ( 1970 )   `` Gwendolyne '' ( 1970 )   `` Cucurrucucú paloma '' ( 1975 )   `` Pauvres Diables '' ( 1979 )   `` Begin the Beguine '' ( 1981 )   `` Yours ( Quiéreme Mucho ) '' ( 1981 )   `` Amor '' ( 1984 )   `` All of You '' ( 1984 )   `` The Air That I Breathe '' ( 1984 )   `` To All the Girls I 've Loved Before '' ( 1984 )   `` I 've Got You Under My Skin '' ( 1985 )   `` We Are the World '' ( 1985 )   `` Lo Mejor de Tu Vida '' ( 1987 )   `` Que No Se Rompa la Noche '' ( 1987 )   `` Bamboléo '' ( 1989 )   `` Vincent '' ( 1990 )   `` Ca n't Help Falling in Love '' ( 1990 )   `` Crazy '' ( 1994 )   `` Oye Como Va '' ( 1994 )   `` When You Tell Me That You Love Me '' ( 1994 )   `` El Choclo '' ( 1996 )   `` La Gota Fría '' ( 1998 )   `` Everybody 's Talkin ' '' ( 2006 )       Non-single covers     `` ¡ Ay , Jalisco , no te rajes ! ''   `` Feelings ''   `` Grande grande grande ''   `` Guantanamera ''   `` Hier Encore ''   `` Historia de un Amor ''   `` If ''   `` La Flor de la Canela ''   `` La Vie en rose ''   `` Mamy Blue ''   `` Mi Buenos Aires querido ''   `` My Sweet Lord ''   `` Puedes Llegar ''   `` Quando m'innamoro ''   `` Something ''   `` When I Fall in Love ''   `` You Belong to My Heart ''   `` Dulce Carolina '' ( 1972 )   `` La Mer '' ( 1976 )   `` Obsesión '' ( 1976 )   `` Ron y Coca - Cola '' ( 1980 )   `` Moon Over Naples '' ( 1988 )   `` And I Love Her '' ( 1990 )   `` If You Go Away '' ( 1990 )   `` 99 Miles from L.A. '' ( 1990 )   `` Caruso '' ( 1994 )   `` Crazy in Love '' ( 1998 )   `` Mi Manera '' ( 1998 )   `` Corazón Partío '' ( 2000 )   `` Quizás , Quizás , Quizás '' ( 2004 )   `` Careless Whisper '' ( 2006 )   `` Right Here Waiting '' ( 2006 )   `` Somos Novios '' ( 2006 )   `` This Guy 's in Love with You '' ( 2006 )       Usage     `` It Never Rains in Southern California '' in `` Moonlight Lady ''   `` Dark Eyes '' in `` Nostalgie ( Nathalie ) ''       Family     Julio Iglesias Sr. ( father )   Julio Iglesias Jr. ( son )   Enrique Iglesias ( son )   Chabeli Iglesias ( daughter )   Isabel Preysler ( 1st wife )      Retrieved from `` https://en.wikipedia.org/w/index.php?title=The_Air_That_I_Breathe&amp;oldid=801877986 '' Categories :   1974 singles   Songs written by Albert Hammond   Songs written by Mike Hazlewood   The Hollies songs   Rex Allen Jr. songs   1998 singles   Simply Red songs   The Mavericks songs   Number - one singles in New Zealand   1970s ballads   1972 songs   Polydor Records singles   Epic Records singles   Hidden categories :   Articles with hAudio microformats   Singlechart usages for Ireland2   Singlechart called without artist   Articles needing additional references from December 2015   All articles needing additional references           Talk                                           Contents                   About Wikipedia                                        Languages    Brezhoneg   Español   Italiano   Nederlands   Suomi   Edit links   This page was last edited on 22 September 2017 , at 13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</si>
  <si>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all i need is the air that i breathe</t>
  </si>
  <si>
    <t xml:space="preserve"> `` The Air That I Breathe '' is a ballad written by Albert Hammond and Mike Hazlewood , initially recorded by Albert Hammond on his 1972 album It Never Rains in Southern California . </t>
  </si>
  <si>
    <t xml:space="preserve">Kesavananda Bharati v. State of Kerala - wikipedia  Kesavananda Bharati v. State of Kerala     Kesavananda Bharati v. State of Kerala         Court   Supreme Court of India     Full case name   Kesavananda Bharati Sripadagalvaru and Ors . v. State of Kerala and Anr .     Citation ( s )   ( 1973 ) 4 SCC 225     Holding     There are certain principles within the framework of Indian Constitution which are inviolable and hence can not be amended by the Parliament . These principles were commonly termed as Basic Structure .     Case opinions     Majority   Sikri C.J. Hegde and Mukherjea , JJ. ; Shelat and Grover , JJ. ; Jaganmohan Reddy , J. ; Khanna , J .     Dissent   Ray J. ; Palekar J. ; Mathew J. ; Beg J. ; Dwivedi J. ; Chandrachud J .     Laws applied     Constitution of India , Criminal Procedure Code ( CrPC ) , Indian Evidence Act , Indian Contract Act 1872       ``   Kesavananda Bharathi is the case which saved Indian democracy ; thanks to Shri Kesavananda Bharati , eminent jurist Nanabhoy Palkhivala and the seven judges who were in the majority .   ''     -- The Hindu - in April 2013 , on the occasion of the 40th anniversary of the judgement. ,     The Kesavananda Bharati judgement or His Holiness Kesavananda Bharati Sripadagalvaru and Ors . v. State of Kerala and Anr . ( case citation : ( 1973 ) 4 SCC 225 ) is a landmark decision of the Supreme Court of India that outlined the basic structure doctrine of the Constitution . Justice Hans Raj Khanna asserted through this doctrine that the constitution possesses a basic structure of constitutional principles and values . The Court partially cemented the prior precedent Golaknath v. State of Punjab , which held that constitutional amendments pursuant to Article 368 were subject to fundamental rights review , by asserting that only those amendments which tend to affect the ' basic structure of the Constitution ' are subject to judicial review . At the same time , the Court also upheld the constitutionality of first provision of Article 31 ( c ) , which implied that any constitutional amendment seeking to implement the Directive Principles , which does not affect the ' Basic Structure ' , shall not be subjected to judicial review .   The basic structure doctrine forms the basis of power of the Indian judiciary to review , and strike down , amendments to the Constitution of India enacted by the Indian parliament which conflict with or seek to alter this basic structure of the Constitution .   The 13 - judge Constitutional bench of the Supreme Court deliberated on the limitations , if any , of the powers of the elected representatives of the people and the nature of fundamental rights of an individual . In a sharply divided verdict , by a margin of 7 - 6 , the court held that while the Parliament has `` wide '' powers , it did not have the power to destroy or emasculate the basic elements or fundamental features of the constitution .   Although the court upheld the basic structure doctrine by only the narrowest of margins , it has since gained widespread acceptance and legitimacy due to subsequent cases and judgments . Primary among these was the imposition of the state of emergency by Indira Gandhi in 1975 , and the subsequent attempt to suppress her prosecution through the 39th Amendment . When the Kesavananda case was decided , the underlying apprehension of the majority bench that elected representatives could not be trusted to act responsibly was perceived to be unprecedented . However , the passage of the 39th Amendment proved that in fact this apprehension was well - founded . In Indira Nehru Gandhi v. Raj Narain , a Constitution Bench of the Supreme Court used the basic structure doctrine to strike down the 39th amendment and paved the way for restoration of Indian democracy .   The Kesavananda judgment also defined the extent to which Parliament could restrict property rights , in pursuit of land reform and the redistribution of large landholdings to cultivators , overruling previous decisions that suggested that the right to property could not be restricted . The case was a culmination of a series of cases relating to limitations to the power to amend the Indian constitution .   Contents    1 Facts   2 Judgment   2.1 Majority judgment   2.2 S.M. Sikri , Chief Justice   2.3 Shelat and Grover , JJ   2.4 Hegde and Mukherjea , JJ   2.5 Jaganmohan Reddy , J   2.6 HR Khanna J .     3 Significance   4 Books   5 See also   6 Notes    Facts ( edit )   In February 1970 Swami Kesavananda Bharati , senior plaintiff and head of `` Edneer Mutt '' - a Hindu Mutt situated in Edneer , a village in Kasaragod district of Kerala , challenged the Kerala government 's attempts , under two state land reform acts , to impose restrictions on the management of its property . Although the state invoked its authority under Article 21 , a noted Indian jurist , Nanabhoy Palkhivala , convinced Swami into filing his petition under Article 26 , concerning the right to manage religiously owned property without government interference . Even though the hearings consumed five months , the outcome would profoundly affect India 's democratic processes . The case had been heard for 68 days , the arguments commencing on October 31 , 1972 , and ending on March 23 , 1973 .   Judgment ( edit )   The Supreme Court reviewed the decision in Golaknath v. State of Punjab , and considered the validity of the 24th , 25th , 26th and 29th amendments . The case was heard by the largest ever Constitution Bench of 13 Judges . The bench gave eleven separate judgements , which agreed on some points and differed on others . Nanabhoy Palkhivala , assisted by Fali Nariman , presented the case against the government in both cases .   Majority judgment ( edit )   Upholding the validity of clause ( 4 ) of article 13 and a corresponding provision in article 368 ( 3 ) , inserted by the 24th Amendment , the Court settled in favour of the view that Parliament has the power to amend the fundamental rights also . However , the Court affirmed another proposition also asserted in the Golaknath case , by ruling that the expression `` amendment '' of this Constitution in article 368 means any addition or change in any of the provisions of the Constitution within the broad contours of the Preamble and the Constitution to carry out the objectives in the Preamble and the Directive Principles . Applied to fundamental rights , it would be that while fundamental rights can not be abrogated , reasonable abridgement of fundamental rights could be effected in the public interest . The true position is that every provision of the Constitution can be amended provided the basic foundation and structure of the Constitution remains the same .   The nine signatories to the statement were Chief Justice SM Sikri , and Justices J.M. Shelat , K.S. Hegde , A.N. Grover , B. Jaganmohan Reddy , D.G. Palekar , HR Khanna , A.K. Mukherjee and Yeshwant Vishnu Chandrachud . Four judges did not sign : A.N. Ray , K.K. Mathew , M.H. Beg and S.N. Dwivedi .   SM Sikri , Chief Justice ( edit )   SM Sikri , Chief Justice held that the fundamental importance of the freedom of the individual has to be preserved for all times to come and that it could not be amended out of existence . According to the Hon'ble Chief Justice , fundamental rights conferred by Part III of the Constitution of India can not be abrogated , though a reasonable abridgement of those rights could be effected in public interest . There is a limitation on the power of amendment by necessary implication which was apparent from a reading of the preamble and therefore , according to the learned Chief Justice , the expression `` amendment of this Constitution '' , in Article 368 means any addition or change in any of the provisions of the Constitution within the broad contours of the preamble , made in order to carry out the basic objectives of the Constitution . Accordingly , every provision of the Constitution was open to amendment provided the basic foundation or structure of the Constitution was not damaged or destroyed .   Shelat and Grover , JJ. ( edit )   Held that the preamble to the Constitution contains the clue to the fundamentals of the Constitution . According to the learned Judges , Parts III and IV of the Constitution which respectively embody the fundamental rights and the directive principles have to be balanced and harmonised . This balance &amp; harmony between two integral parts of the Constitution forms a basic element of the Constitution which can not be altered . The word ' amendment ' occurring in Article 368 must therefore be construed in such a manner as to preserve the power of the Parliament to amend the Constitution , but not so as to result in damaging or destroying the structure and identity of the Constitution . There was thus an implied limitation on the amending power which prevented the Parliament from abolishing or changing the identity of the Constitution or any of its Basic Structure .   Hegde and Mukherjea , JJ. ( edit )   Held that the Constitution of India which is essentially a social rather than a political document , is founded on a social philosophy and as such has two main features basic and circumstantial . The basic constituent remained constant , the circumstantial was subject to change . According to the learned Judges , the broad contours of the basic elements and the fundamental features of the Constitution are delineated in the preamble and the Parliament has no power to abolish or emasculate those basic elements of fundamental features . The building of a welfare State is the ultimate goal of every Government but that does not mean that in order to build a welfare State , human freedoms have to suffer a total destruction . Applying these tests , the learned Judges invalidated Article 31C even in its un-amended form .   Jaganmohan Reddy , J. ( edit )   Held that the word ' amendment ' was used in the sense of permitting a change , in contradistinction to destruction , which the repeal or abrogation brings about . Therefore , the width of the power of amendment could not be enlarged by amending the amending power itself . The learned Judge held that the essential elements of the basic structure of the Constitution are reflected in its preamble and that some of the important features of the Constitution are justice , freedom of expression and equality of status and opportunity . The word ' amendment ' could not possibly embrace the right to abrogate the pivotal features and the fundamental freedoms and therefore , that part of the basic structure could not be damaged or destroyed . According to the learned Judge , the provisions of Article 31d , as they hen , conferring power on Parliament and the State Legislatures to enact laws for giving effect to the principles specified in Clauses ( b ) and ( c ) of Article 39 , altogether abrogated the right given by Article 14 and were for that reason unconstitutional . In conclusion , the learned Judge held that though the power of amendment was wide , it did not comprehend the power to totally abrogate or emasculate or damage any of the fundamental rights or the essential elements of the basic structure of the Constitution or to destroy the identity of the Constitution . Subject to these limitations , Parliament had the right to amend any and every provision of the Constitution .   HR Khanna J. ( edit )   HR Khanna has given in his judgment that the Parliament had full power to amend the Constitution , however , since it is only a `` power to amend '' , the basic structure or framework of the structure should remain intact . While as per the aforesaid views of the six learned Judges , certain `` essential elements '' ( which included fundamental rights ) of the judgment can not be amended as there are certain implied restrictions on the powers of the parliament .   According to the Hon'ble Judge , although it was permissible to the Parliament , in exercise of its amending power , to effect changes so as to meet the requirements of changing conditions , it was not permissible to touch the foundation or to alter the basic institutional pattern . Therefore , the words `` amendment of the Constitution '' in spite of the width of their sweep and in spite of their amplitude , could not have the effect of empowering the Parliament to destroy or abrogate the basic structure or framework of the Constitution .   This gave birth to the basic structure doctrine , which has been considered as the cornerstone of the Constitutional law in India .   Significance ( edit )   This judgement ruled that Article 368 does not enable Parliament in its constituent capacity to delegate its function of amending the Constitution to another legislature or to itself in its ordinary legislative capacity . This ruling made all the deemed constitutional amendments stipulated under the legislative powers of the parliament as void and inconsistent after the 24th constitutional amendment . These are articles 4 ( 2 ) , 169 ( 3 ) - 1962 , 239A2 - 1962 , 244A4 - 1969 , 356 ( 1 ) c , para 7 ( 2 ) of Schedule V and para 21 ( 2 ) of Schedule VI . Also articles 239AA ( 7 ) b - 1991 , 243M ( 4 ) b - 1992 , 243ZC3 - 1992 and 312 ( 4 ) - 1977 which are inserted by later constitutional amendments and envisaging deemed constitutional amendments under legislative powers of the parliament , should be invalid . The Supreme Court declared in the case ' A.K. Roy , Etc vs Union Of India And Anr on 28 December 1981 ' that the article 368 ( 1 ) clearly defines constituent power as ' the power to amend any provision of the constitution by way of an addition , variation or repeal '. it reiterated that constituent power must be exercised by the parliament itself in accordance with the procedure laid down in article 368 .   The government of Indira Gandhi did not take kindly to this implied restriction on its powers by the court . On 26 April 1973 , Justice Ajit Nath Ray , who was among the dissenters , was promoted to Chief Justice of India superseding three senior Judges , Shelat , Grover and Hegde , which was unprecedented in Indian legal history . Advocate C.K. Daphtary termed the incident as `` the blackest day in the history of democracy '' . Justice Mohammad Hidayatullah ( previous Chief Justice of India ) remarked that `` this was an attempt of not creating ' forward looking judges ' but ' judges looking forward ' to the office of Chief Justice '' .   The 42nd Amendment , enacted in 1976 , is considered to be the immediate and most direct fall out of the judgement . Apart from it , the judgement cleared the deck for complete legislative authority to amend any part of the Constitution except when the amendments are not in consonance with the basic features of the Constitution .   The basic structure doctrine was adopted by the Supreme Court of Bangladesh in 1989 , by expressly relying on the reasoning in the Kesavananda case , in its ruling on Anwar Hossain Chowdhary v. Bangladesh ( 41 DLR 1989 App . Div. 165 , 1989 BLD ( Spl . ) 1 ) .   Books ( edit )    TR Andhyarujina , who was a witness to the court proceedings wrote a book titled `` The Kesavananda Bharati Case : The untold story of struggle for supremacy by Supreme Court and Parliament '' to discuss the case and the politics involved during and after the judgment was pronounced . It has been published by Universal Law Publishing Company in 2011 .   `` Basic Structure Constitutionalism : Revisiting Kesavananda Bharati '' was published by Eastern Book Company in 2011 which was edited by Sanjay S. jain and Sathya Narayan .    See also ( edit )    Indian law   Edneer   Edneer Mutt   Sri Kesavananda Bharati   Nanabhoy Palkhivala    Notes ( edit )    Jump up ^ Datar , Arvind P. ( 24 April 2013 ) . `` The case that saved Indian democracy '' . Chennai , India : The Hindu . Retrieved 12 August 2013 .   Jump up ^ `` Kesavananda Bharati ... vs State Of Kerala And Anr on 24 April , 1973 '' . Indian Kanoon . Retrieved 2012 - 06 - 24 .   Jump up ^ `` Kesavananda Bharati ... vs State Of Kerala And Anr on 24 April , 1973 '' . Indian Kanoon . para. 787 . Retrieved 2012 - 06 - 24 .   ^ Jump up to : `` Revisiting a verdict '' . Chennai , India : Frontline . Jan 14 -- 27 , 2012 . Archived from the original on 2013 - 12 - 03 . Retrieved 2012 - 06 - 24 .   Jump up ^ Datar , Arvind P. ( 2013 - 04 - 24 ) . `` The case that saved Indian democracy '' . The Hindu . ISSN 0971 - 751X . Retrieved 2018 - 09 - 30 .   Jump up ^ Austin , Granville ( 1999 ) . Working a Democratic Constitution - A History of the Indian Experience . New Delhi : Oxford University Press . p. 258 . ISBN 0 - 19 - 565610 - 5 .   Jump up ^ Datar , Arvind P. ( 24 April 2013 ) . `` The case that saved Indian democracy '' . The Hindu . Chennai , India .   Jump up ^ KESAVANANDA BHARATI CASE Legal Articles and Essays   ^ Jump up to : Kesavananda Bharati 's Case Arijit Pasayat , Ashok Bhan , Y.K. Sabharwal , S.H. Kapadia , C.K. Thakker , P.K. Balasubramanyan   ^ Jump up to : Kesavananda Bharati vs. State of Kerala   ^ Jump up to : Extraordinary Case Study - Indian Express   Jump up ^ `` Event - THE KESAVANANDA BHARATI CASE - LU November 2011 '' . Archived from the original on 2016 - 03 - 04 . Retrieved 2013 - 08 - 09 .   Jump up ^ Kesavananda Bharathi case saved constitution   ^ Jump up to : Revisiting a verdict   Jump up ^ 40 Years of Kesavananda Bharati ! subjudiced   ^ Jump up to : `` Constitution Amendment : Nature and Scope of the Amending Process '' ( PDF ) . Lok Sabha Secretariat . pp. 16 -- 17 . Archived from the original ( PDF ) on 3 December 2013 . Retrieved 1 December 2013 . This article incorporates text from this source , which is in the public domain .   Jump up ^ Satya Prateek ( 2008 ) . `` Today 's Promise , Tomorrow 's Constitution : ' Basic Structure ' , Constitutional Transformations And The Future Of Political Progress In India '' ( PDF ) . NUJS Law Review . West Bengal National University of Juridical Sciences . 1 ( 3 ) . Retrieved 2012 - 07 - 17 .   Jump up ^ G.G. Mirchandani ( 1 January 1977 ) . Subverting the Constitution . Abhinav Publications . pp. 39 -- 40 . Retrieved 8 December 2013 .   Jump up ^ `` Basic structure of the Constitution revisited '' . Delhi , India : The Hindu . May 21 , 2007 . Retrieved 2015 - 05 - 25 .   Jump up ^ `` Para 506e of Kesavananda Bharati v. State of Kerala , ( AIR 1973 SC 1461 ) '' . 1973 . Retrieved 2014 - 12 - 01 .   Jump up ^ `` Invalid Andhra Pradesh Reorganisation Act , 2014 '' . Retrieved 3 August 2014 .   Jump up ^ `` Full text of the Constitution of India '' ( PDF ) . Archived from the original ( PDF ) on 9 September 2014 . Retrieved 11 August 2014 . This article incorporates text from this source , which is in the public domain .   Jump up ^ `` Pages 311 &amp; 312 of A.K. Roy , Etc vs Union Of India And Anr on 28 December , 1981 '' . 1981 . Retrieved 2014 - 12 - 01 .   Jump up ^ Supreme Court Bar Association Archived 2009 - 10 - 04 at the Wayback Machine .   Jump up ^ `` Archived copy '' . Archived from the original on 2010 - 12 - 20 . Retrieved 2013 - 12 - 02 . CS1 maint : Archived copy as title ( link )   ^ Jump up to : Andhyarujina , TR ( 2012 ) . The Kesavananda Bharati Case : The untold story of struggle for supremacy by Supreme Court and Parliament . India : Universal Law . ISBN 978 - 93 - 5035140 - 6 .   Jump up ^ Venkatesan , J. ( 16 October 2011 ) . `` Book on Kesavananda Bharati case to be released on Tuesday '' . The Hindu . Chennai , India .   Jump up ^ The Kesavananda Bharati Case : The Untold Story of Struggle for Supremacy by Supreme Court and Parliament - Buy online now at Jain Book Agency , Delhi based book store   Jump up ^ Book on `` Kesavananda Bharati case '' - General Knowledge Today   Jump up ^ `` Book Review - THE KESAVANANDA BHARATI CASE - LU May 2012 '' . Archived from the original on 2014 - 05 - 02 . Retrieved 2013 - 08 - 18 .   ^ Jump up to : `` Revisiting a verdict '' . The Hindu . Chennai , India .   Jump up ^ Kesavananda Bharati Case : The Untold Story Of Struggle For Supremacy By Supreme Court &amp; : Tr Andhyarujina : Text Books at Sapna Online              Law     Core subjects     Administrative law   Constitutional law   Contract   Criminal law   Deed   Equity   Evidence   International law   Law of obligations   Procedure   Civil   Criminal     Property law   Public law   Restitution   Statutory law   Tort       Other subjects     Agricultural law   Aviation law   Banking law   Bankruptcy   Commercial law   Competition law   Conflict of laws   Construction law   Consumer protection   Corporate law   Cyberlaw   Election law   Energy law   Entertainment law   Environmental law   Family law   Financial law   Financial regulation   Health law   Immigration law   Intellectual property   International criminal law   International human rights   International slavery laws   Labour   Law of war   Legal archaeology   Legal fiction   Maritime law   Media law   Military law   Probate   Estate   Will and testament     Product liability   Public international law   Space law   Sports law   Tax law   Transport law   Trust law   Women in law       Sources of law     Charter   Constitution   Custom   Divine right   Human rights   Natural and legal rights   Case law   Precedent         Law making     Ballot measure   Codification   Decree   Edict   Executive order   Proclamation     Legislation   Delegated legislation   Regulation   Rulemaking     Promulgation   Repeal   Treaty   Statutory law   Statute   Act of Parliament   Act of Congress ( US )         Legal systems     Civil law   Common law   Chinese law   Legal pluralism   Religious law   Canon law   Hindu law   Jain law   Jewish law   Sharia     Roman law   Socialist law   Statutory law   Xeer   Yassa       Legal theory     Critical legal studies   Comparative law   Feminist   Law and economics   Legal formalism   History   Natural law   International legal theory   Principle of legality   Rule of law   Sociology       Jurisprudence     Adjudication   Administration of justice   Criminal justice   Court - martial   Dispute resolution   Fiqh   Lawsuit / Litigation   Legal opinion   Legal remedy   Judge   Justice of the peace   Magistrate     Judgment   Judicial review   Jurisdiction   Jury   Justice   Practice of law   Attorney   Barrister   Counsel   Lawyer   Legal representation   Prosecutor   Solicitor     Question of fact   Question of law   Trial   Trial advocacy   Trier of fact   Verdict       Legal institutions     Bureaucracy   The bar   The bench   Civil society   Court   Election commission   Executive   Judiciary   Law enforcement   Legal education   Law school     Legislature   Military   Police   Political party   Tribunal           Index   Outline   Portal      Retrieved from `` https://en.wikipedia.org/w/index.php?title=Kesavananda_Bharati_v._State_of_Kerala&amp;oldid=865146670 '' Categories :   Indian constitutional case law   1973 in case law   1973 in India   Supreme Court of India cases   Constitutional law   Hidden categories :   All articles with dead external links   Articles with dead external links from May 2017   Articles with permanently dead external links   Webarchive template wayback links   CS1 maint : Archived copy as title           Talk                                           Contents                   About Wikipedia                                           हिन्दी   ಕನ್ನಡ   മലയാളം   ଓଡ଼ିଆ   ਪੰਜਾਬੀ   Edit links   This page was last edited on 22 October 2018 , at 01 : 55 ( UTC ) .         About Wikipedia                    </t>
  </si>
  <si>
    <t xml:space="preserve">in india which case heard by the largest ever constitution</t>
  </si>
  <si>
    <t xml:space="preserve"> The Supreme Court reviewed the decision in Golaknath v. State of Punjab , and considered the validity of the 24th , 25th , 26th and 29th amendments . The case was heard by the largest ever Constitution Bench of 13 Judges . The bench gave eleven separate judgements , which agreed on some points and differed on others . Nanabhoy Palkhivala , assisted by Fali Nariman , presented the case against the government in both cases . </t>
  </si>
  <si>
    <t xml:space="preserve">Top of the Lake - wikipedia  Top of the Lake  Jump to : navigation , search    Top of the Lake         Genre   Drama     Created by     Jane Campion   Gerard Lee       Written by     Jane Campion   Gerard Lee       Directed by     Jane Campion   Garth Davis   Ariel Kleiman       Starring     Elisabeth Moss   David Wenham   Peter Mullan   Thomas M. Wright   Holly Hunter   Gwendoline Christie   David Dencik   Ewen Leslie   Alice Englert   Nicole Kidman       Composer ( s )   Mark Bradshaw     Country of origin     Australia   United Kingdom   New Zealand       Original language ( s )   English     No. of series       No. of episodes     13 ( Sundance )   12 ( BBC )   ( list of episodes )     Production     Executive producer ( s )     Emile Sherman   Iain Canning   Jane Campion   Jamie Laurenson       Producer ( s )     Philippa Campbell   Libby Sharpe       Location ( s )     Queenstown , New Zealand   Sydney , Australia       Cinematography     Adam Arkapaw   Germain McMicking       Editor ( s )     Alexandre de Franceschi   Scott Gray       Camera setup   Single - camera     Running time     45 minutes ( Sundance )   60 minutes ( BBC )       Production company ( s )   See - Saw Films     Distributor     BBC Two   BBC UKTV   SundanceTV       Release     Original network   Sundance Channel     Picture format   HDTV     Audio format   Surround     First shown in   United States     Original release   18 March 2013 ( 2013 - 03 - 18 ) -- present ( present )     External links     Website   www.sundancechannel.com/series/top-of-the-lake     Production website   www.see-saw-films.com/television/top-of-the-lake-china-girl/     Top of the Lake is a mystery drama television series created and written by Jane Campion and Gerard Lee , and directed by Campion and Garth Davis . It aired in 2013 , and the sequel , entitled Top of the Lake : China Girl , in 2017 . It marks Campion 's first work for television since An Angel at My Table in 1990 .   Season 1 follows Detective Robin Griffin ( Elisabeth Moss ) and deals with her investigation of the disappearance of a pregnant 12 - year - old girl in New Zealand . Season 2 , China Girl , is set in Sydney four years later , as Detective Griffin investigates the death of an unidentified Asian girl found at Bondi Beach .   Top of the Lake was co-produced for BBC Two in the UK , BBC UKTV in Australia and New Zealand , and Sundance Channel in the United States . It has been generally very well received .     Contents  ( hide )   1 Cast   1.1 Main   1.2 Supporting   1.3 Top of the Lake : China Girl     2 Production   2.1 Top of the Lake   2.2 Top of the Lake : China Girl     3 Release   4 Episodes   4.1 Top of the Lake : China Girl     5 Reception   5.1 Awards and nominations   5.1. 1 AACTA Awards   5.1. 2 Critics ' Choice Television Awards   5.1. 3 Emmy Awards   5.1. 4 Golden Globe Awards   5.1. 5 Golden Nymph Awards   5.1. 6 Screen Actors Guild Awards   5.1. 7 New Zealand Film Awards   5.1. 8 Screen Producers Australia Awards   5.1. 9 Equity Ensemble Awards       6 References   7 External links      Cast ( edit )   Main ( edit )    Elisabeth Moss as Robin Griffin , a Sydney detective specialising in sexual assault who is visiting her remote New Zealand hometown of Laketop , agrees to investigate the pregnancy and disappearance of a local 12 - year - old girl , Tui Mitcham . Her ability to empathise with Tui 's circumstances is based on a horrific event during her own teenage years .   David Wenham as Al Parker , an old - school and well - liked detective sergeant , based in Queenstown , who also manages a café where young offenders are given a second chance .   Peter Mullan as Matt Mitcham , a Scotsman and head of the Mitcham family . The informal leader of the town , feared by the townspeople , but with a complex inner life .   Tom Wright as Johnno Mitcham , Matt 's estranged youngest son , and Robin 's teenage sweetheart . He recently returned to Laketop after serving eight years in Bangkwang , a Thai prison , for drug possession .   Holly Hunter as GJ , an androgynous Swiss spiritual leader , arriving at Paradise with a group of troubled women , who hope GJ and Laketop will help them rediscover themselves .    Supporting ( edit )    Kip Chapman and Jay Ryan as Luke and Mark Mitcham , Matt 's brute sons .   Jacqueline Joe as Tui Angel Mitcham , Matt 's 12 - year - old daughter who disappears after it is discovered that she is five months pregnant .   Robyn Nevin as Jude Griffin , Robin 's mother , who is suffering from cancer .   Calvin Tuteao as Turangi , Jude 's caring Māori boyfriend , who has a violent temper .     GJ 's Community     Alison Bruce as Anne - Marie   Georgi Kay as Melissa   Lucy Lawless as Caroline Platt   Genevieve Lemon as Bunny   Robyn Malcolm as Anita   Griz Pomirska as `` the Naked Lady ''   Sarah Valentine as Prue   Skye Wansey as Grishina     Matt 's men     Ben Barrington as Terry   James Blake as Shotover   Byron Coll as Penguin   Cohen Holloway as Mike   Oscar Redding as Sarge   Edwin Wright as Scuzz       Tui 's friends     Luke Buchanan as Jamie   Sam Dickson as Jase   Connor Olivia Moore as Kayla   Layne Opetaia as Daniel   Alice Ward as Gemma     The Southern Lakes Police Department     Stephen Lovatt as Officer Pete   Gavin Rutherford as Officer Joy   Madeleine Sami as Zena the secretary     Residents of Laketop     Edward Campbell as Putty , the `` village idiot '' .   Lauren Dawes as Mandy , Johnno 's girlfriend .   Erica Englert as Narelle , Matt 's housekeeper .   Mirrah Foulkes as Simone , Jamie 's mother .   Dra McKay as Delia , Tui 's teacher .    Top of the Lake : China Girl ( edit )    Gwendoline Christie as Miranda Hilmarson , a 35 - year - old Constable in the Sydney Police Force , who becomes Robin 's partner .   David Dencik as Alexander `` Puss '' Braun , a 42 - year - old charismatic East German , who is associated with a brothel , known as Silk 41 . He is also Mary 's boyfriend . Puss 's grooming of Mary frightens Robin , Pyke and Julia .   Ewen Leslie as Pyke Edwards , a successful lawyer and Mary 's adoptive father .   Alice Englert as Mary Edwards , Robin 's 17 - year - old daughter , whom she gave up for adoption . She has begun to act out , due to the separation of her parents .   Nicole Kidman as Julia Edwards , Mary 's adoptive mother . She has recently become estranged from her husband and daughter , due to having an affair with a female teacher from Mary 's school .    Production ( edit )   Top of the Lake ( edit )   Actress Jennifer Ehle auditioned for the role of GJ , which went to Holly Hunter . Jane Campion originally offered the role of Robin to Anna Paquin , who had worked with her on The Piano ( 1993 ) . Paquin declined due to her pregnancy , and the role went to Elisabeth Moss .   The series was originally intended as a co-production with the Australian Broadcasting Corporation . But after American - born Elisabeth Moss was cast , the network pulled their funding before production began , citing a prior agreement to put an Australian actress in the lead . Australian - based channel UKTV , owned by BBC Worldwide , filled the funding gap left by the ABC . Philippa Campbell was the New Zealand - based producer .   Filming took 18 weeks and was shot entirely on location in Queenstown and Glenorchy , in Otago , on the South Island of New Zealand . While Queenstown is referred to during the series , Glenorchy doubles as the fictitious town of Laketop . The scenes in the women 's commune were filmed at Moke Lake .   Top of the Lake : China Girl ( edit )   In early 2013 , co-creator Jane Campion said that Top of the Lake comes to a distinct ending , and there would be no additional series . Despite this , it was announced in October 2014 that the series had been renewed for a second season . China Girl began shooting on location in Sydney , Australia in December 2015 .   Campion returned as co-writer and co-director . Gerard Lee returned as co-writer . The original co-director , Garth Davis , was replaced by Ariel Kleiman due to scheduling conflicts . Philippa Campbell returned as producer . Actress Nicole Kidman joined the cast for China Girl , which is the second time she has worked with Campion . Kidman `` plays an Australian mother , Julia , whose story dovetails with that of Detective Robin Griffin '' , played by Elisabeth Moss . Christie , a fan of Campion 's The Piano , joined the cast after sending a letter through a mutual friend .   Release ( edit )   Top of the Lake screened in its entirety at the January 2013 Sundance Film Festival , in a single seven - hour session with one intermission and a break for lunch . This was the first such screening in the history of the festival . Top of the Lake was additionally shown at the 63rd Berlin International Film Festival .   The US premiere was on the Sundance Channel on 18 March 2013 , in Australia on BBC UKTV on 24 March 2013 , and in New Zealand on 25 March , also on BBC UKTV .   China Girl was screened in its entirety at the May 2017 Cannes Film Festival . In the UK , it premiered on BBC Two on 27 July 2017 , and the entire series was released on the BBC iPlayer immediately afterwards . In the US , it premiered in September 2017 , on Sundance TV , and each episode will be available on Hulu the day after its screening on SundanceTV . In Canada , China Girl will premiere on Wednesday , October 25 , 2017 , on CBC Television .   Episodes ( edit )   Sundance episodes   No . overall   No. in season   Title   Directed by   Written by   Original air date         `` Episode 1 ''   Jane Campion   Jane Campion &amp; Gerard Lee   18 March 2013 ( 2013 - 03 - 18 )     In the small town of Laketop , New Zealand , a young girl named Tui Mitcham is discovered standing chest - deep in the icy , glacial waters of the titular lake . Afterwards , a school nurse notices that the girl is pregnant . Robin Griffin , who grew up in the area , is now a police inspector in Sydney who specializes in cases involving children . While home visiting her sick mother , she agrees to interview Tui at the local police station .         `` Episode 2 ''   Garth Davis with Jane Campion   Jane Campion &amp; Gerard Lee   18 March 2013 ( 2013 - 03 - 18 )     Robin encounters two women from Paradise . They tell her Tui was with them the day before she disappeared but was gone in the morning . Robin organizes the local authorities to search for Tui . During the search , Robin walks into the lake and has a vision of Tui doing the same , the latter clenching her fists in the water .         `` Episode 3 ''   Garth Davis   Jane Campion &amp; Gerard Lee   25 March 2013 ( 2013 - 03 - 25 )     Matt Mitcham goes to Paradise and sits in on a session with GJ , the enigmatic leader of the camp . In a mocking tone , Matt asks the group about the human mind . GJ tells Matt that the human mind schemes . Later , Al meets Matt in the middle of the lake for a secret meeting .         `` Episode 4 ''   Garth Davis with Jane Campion   Jane Campion &amp; Gerard Lee   1 April 2013 ( 2013 - 04 - 01 )     Robin has dinner at Al 's ultramodern , immaculate , lakeside house . Robin tells Al she thinks Tui 's note , that said `` No One '' , meant there were multiple rapists . Al counsels Robin she is getting too involved in Tui 's case , likely because of Robin 's own history of having been gang raped , at age 15 .     5   5   `` Episode 5 ''   Jane Campion with Garth Davis   Jane Campion &amp; Gerard Lee   8 April 2013 ( 2013 - 04 - 08 )     Robin asks Johnno what he wanted to tell her about the night she was raped . Johnno describes how he heard Robin screaming and he peed himself . He says he found a latch to get out of the dog cage in the back of the truck but was too afraid to persist in trying to stop the men from raping her .     6   6   `` Episode 6 ''   Garth Davis with Jane Campion   Jane Campion &amp; Gerard Lee   15 April 2013 ( 2013 - 04 - 15 )     Robin reveals to Johnno that she plans to make a case against Matt Mitcham , in hopes of encouraging Tui to come home . Robin shares that she caught Jamie attempting to take Tui with rohypnol , a `` date rape '' drug that Robin suspects Matt manufactures . Johnno warns Robin against bringing a case against Matt , as Matt 's drug business provides much of the town with a livelihood .     7   7   `` Episode 7 ''   Jane Campion   Jane Campion &amp; Gerard Lee   15 April 2013 ( 2013 - 04 - 15 )     Robin goes to work at the police station the next day and tells Al that Matt said he was her father . Matt , certain that Tui could not be pregnant , searches for and finds her with her newborn baby . As he is about to kill the baby , Tui appears and kills Matt . Robin discovers that Al has been pimping young boys and girls from the barista training , including Tui , to other men for sex .     BBC episodes   No . overall   No. in season   Title   Directed by   Written by   UK air date   UK viewers ( millions )         `` Paradise Sold ''   Jane Campion   Jane Campion &amp; Gerard Lee   13 July 2013 ( 2013 - 07 - 13 )   2.70     Tui 's pregnancy is discovered , and the Paradise community moves in .         `` Searchers Search ''   Garth Davis   Jane Campion &amp; Gerard Lee   20 July 2013 ( 2013 - 07 - 20 )   1.92     Robin 's search for Tui begins .         `` The Edge of the Universe ''   Garth Davis   Jane Campion &amp; Gerard Lee   27 July 2013 ( 2013 - 07 - 27 )   1.57     Robin makes a breakthrough . Over dinner at Al 's place he warns her about her past being known .         `` A Rainbow Above Us ''   Jane Campion   Jane Campion &amp; Gerard Lee   3 August 2013 ( 2013 - 08 - 03 )   1.32     Al dismisses Robin from the case . Her passionate affair with Johnno intensifies .     5   5   `` The Dark Creator ''   Garth Davis   Jane Campion &amp; Gerard Lee   10 August 2013 ( 2013 - 08 - 10 )   1.50     Robin is back on the case . Matt gathers troops to hunt Tui down . Tui 's friends celebrate her birthday in the mountains .     6   6   `` No Goodbyes Thanks ''   Jane Campion   Jane Campion &amp; Gerard Lee   17 August 2013 ( 2013 - 08 - 17 )   1.72     Matt reveals his secret about Robin , and the investigation concludes .     Top of the Lake : China Girl ( edit )   BBC episodes   No . overall   No. in season   Title   Directed by   Written by   UK air date   UK viewers ( millions )     7     `` China Girl ''   Jane Campion   Jane Campion &amp; Gerard Lee   27 July 2017 ( 2017 - 07 - 27 )   3.39     Robin tries to adjust back to life in Sydney while dealing with residual PTSD from shooting Al Parker , who has now filed a civil suit against her . She has also received a letter from her daughter , Mary , who is now 17 and , unbeknownst to Robin , is engaged to a 41 year old man , Alexander `` Puss '' , who works and lives in a brothel . Meanwhile , a prostitute is thrown into a suitcase which is tossed into the ocean , and she washes up on Bondi Beach . Robin and her new co-worker , Miranda , are assigned to the case .     8     `` The Loved One ''   Ariel Kleiman   Jane Campion &amp; Gerard Lee   3 August 2017 ( 2017 - 08 - 03 )   2.38     A flashback reveals that Robin left Johnno on their wedding day because he was cheating on her . In the present , Robin is forced to team up with Miranda on the `` China Girl '' case . They learn that China Girl was pregnant at the time of her death . Robin finally works up the courage to contact Mary and is able to meet her for the first time . At the meeting Mary reveals she assumed that she was the product of rape , which Robin confirms .     9     `` Surrogate ''   Ariel Kleiman   Jane Campion &amp; Gerard Lee   10 August 2017 ( 2017 - 08 - 10 )   1.97     Robin gets a lead on the China girl case after potentially finding the biological parents she was a surrogate for . Pyke and Julia confront Mary 's boyfriend Puss with the fact that he is already married , causing a further rift between them and Mary . Robin 's mediation with Al does not go as planned when he assaults her before it begins .     10     `` Birthday ''   Ariel Kleiman   Jane Campion &amp; Gerard Lee   17 August 2017 ( 2017 - 08 - 17 )   1.92     Robin gets a lead on who China girl is via a John who was in love with her . Puss becomes more erratic and convinces Mary that she should begin work as a prostitute when she turns 18 . She eventually agrees . Mary takes a group of the prostitutes to the beach with her , Pyke and Robin . Puss comes along and , after bringing up Robin 's rape , attacks her by biting her in the face . Mary convinces her not to press charges .     11   5   `` Who 's Your Daddy ''   Jane Campion   Jane Campion &amp; Gerard Lee   24 August 2017 ( 2017 - 08 - 24 )   1.69     Mary leaves the safety of Robin 's home to reconnect with Puss , who learns from her that Robin is looking into the murder of Cinnamon . Brett is able to officially connect China Girl to Puss 's brothel but becomes unhinged after seeing her corpse . After Miranda discloses a secret about her pregnancy , Robin is able to come closer to tying Cinnamon 's disappearance to a surrogacy ring . Connected by concern over Mary and Puss , Robin and Pyke grow closer , much to Julia 's annoyance .     12   6   `` The Battle of the Mothers ''   Ariel Kleiman   Jane Campion &amp; Gerard Lee   31 August 2017 ( 2017 - 08 - 31 )   1.84     Robin searches for Mary after Brett takes her hostage . Puss reveals to Robin the truth of what happened to Cinnamon and discloses the location of the missing surrogates .     Reception ( edit )   Reviews of Top of the Lake have been positive , referring to the series as `` masterfully made '' , `` beautiful '' , `` mysterious '' , `` riveting '' , and `` a masterpiece '' . It received a score of 86 out of 100 from Metacritic and a score of 93 per cent from Rotten Tomatoes .   There were also some less positive reviews . Mike Hale of The New York Times criticized the `` elaborately introduced plotlines '' and described Tui 's disappearance as `` less a story element than a metaphor for the kind of armed resistance to male hegemony that constitutes the central idea of Ms Campion 's body of work . ''   Top of the Lake was lauded by feminist critics for its explicit effort to analyse rape culture as well as its radical construction of narratives entirely foregrounding the experiences of single women .   Awards and nominations ( edit )  AACTA Awards ( edit )    Year   Category   Nominated artist / work   Result     2014   Best Telefeature , Mini Series or Short Run Series   Emile Sherman , Iain Canning , Jane Campion and Philippa Campbell   Won     Best Direction in a Drama or Comedy   Garth Davis for `` The Dark Creator ''   Nominated     Best Guest or Supporting Actor in a Television Drama   Peter Mullan   Nominated     Best Guest or Supporting Actress in a Television Drama   Robyn Nevin   Nominated     Best Cinematography in Television   Adam Arkapaw for Episode 5 : `` The Dark Creator ''   Won     Best Sound in Television   Richard Flynn , Tony Vaccher , John Dennison , Craig Butters , Danny Longhurst and Blair Slater , for Episode 5 : `` The Dark Creator ''   Won     Best Original Music Score in Television   Mark Bradshaw , for Episode 5 : `` The Dark Creator ''   Nominated     Best Production Design in Television   Fiona Crombie for Episode 5 : `` The Dark Creator ''   Nominated     Best Costume Design in Television   Emily Seresin for Episode 5 : `` The Dark Creator ''   Nominated     Best Editing in Television   Scott Gray for Episode 5 : `` The Dark Creator ''   Nominated    Critics ' Choice Television Awards ( edit )    Year   Category   Nominated artist / work   Result     2013   Best Movie / Miniseries   --   Nominated     Best Actress in a Movie / Miniseries   Elisabeth Moss   Won     Best Supporting Actor in a Movie / Miniseries   Peter Mullan   Nominated     Best Supporting Actor in a Movie / Miniseries   David Wenham   Nominated     Best Supporting Actor in a Movie / Miniseries   Thomas M. Wright   Nominated    Emmy Awards ( edit )    Year   Category   Nominated artist / work   Result     2013   Primetime Emmy Awards     Outstanding Miniseries or Movie     Nominated     Outstanding Lead Actress in a Miniseries or Movie   Elisabeth Moss   Nominated     Outstanding Supporting Actor in a Miniseries or Movie   Peter Mullan   Nominated     Outstanding Directing for a Miniseries , Movie , or Dramatic Special   Jane Campion , Garth Davis   Nominated     Outstanding Writing for a Miniseries , Movie , or Dramatic Special   Jane Campion , Gerard Lee   Nominated     Creative Arts Emmy Awards     Outstanding Casting for a Miniseries , Movie , or Special     Nominated     Outstanding Cinematography for a Miniseries or Movie   Episode : `` Part 1 ''   Won     Outstanding Single - Camera Picture Editing for a Miniseries or Movie   Episode : `` Part 5 ''   Nominated    Golden Globe Awards ( edit )    Year   Category   Nominated artist / work   Result     2014   Best Miniseries or Television Film   --   Nominated     Best Actress -- Miniseries or Television Film   Elisabeth Moss   Won    Golden Nymph Awards ( edit )    Year   Category   Nominated artist / work   Result     2014   Best Miniseries   --   Won     Best Actor -- Miniseries   Peter Mullan   Won     Best Actress -- Miniseries   Elisabeth Moss   Won    Screen Actors Guild Awards ( edit )    Year   Category   Nominated artist / work   Result     2014   Outstanding Performance by a Female Actor in a Miniseries or Television Movie   Elisabeth Moss   Nominated     2014   Outstanding Performance by a Female Actor in a Miniseries or Television Movie   Holly Hunter   Nominated    New Zealand Film Awards ( edit )    Year   Category   Result   Ref     2013   Best Television Feature or Drama Series   Won      Screen Producers Australia Awards ( edit )    Year   Category   Result   Ref     2013   Drama Television Production of the Year   Won      Equity Ensemble Awards ( edit )    Year   Category   Result   Ref     2013   Outstanding Performance by an Ensemble in a Miniseries or Telemovie   Won       References ( edit )    Jump up ^ `` Top of the Lake ( TV series ) ( 2013 ) '' . British Film Institute . Retrieved 10 March 2015 .   ^ Jump up to : `` Nicole Kidman to star in Top of the Lake season 2 : China Girl '' . The Sydney Morning Herald . 12 June 2016 . Retrieved 16 June 2016 .   Jump up ^ Szalai , Georg ( 4 April 2017 ) . `` MIPTV : ' Top of the Lake ' Producer on Why Season 2 `` Will Be More Accessible '' `` . The Hollywood Reporter . Eldridge Industries . Retrieved 31 July 2017 .   Jump up ^ `` Top of the Lake and Two Mothers selected for the Sundance Film Festival '' ( Press release ) . Screen Australia . 4 December 2012 . Archived from the original on 24 March 2016 . Retrieved 20 March 2013 .   ^ Jump up to : `` Top Of The Lake Season 2 Cast &amp; Characters : The Ultimate Guide - moviepilot.com '' . moviepilot.com . Retrieved 2017 - 07 - 29 .   Jump up ^ `` Top of the Lake : China Girl First Look Photos '' . www.sundance.tv . Retrieved 2017 - 07 - 29 .   Jump up ^ `` BBC - Top Of The Lake : China Girl - Media Centre '' . www.bbc.co.uk . Retrieved 2017 - 07 - 29 .   ^ Jump up to : `` Elisabeth Moss , Top of the Lake interview '' . Vulture. 25 January 2013 . Retrieved 31 August 2014 .   Jump up ^ `` No funding from ABC for Top of the Lake after it learned Mad Men actress Elisabeth Moss was in cast '' . The Daily Telegraph . 7 November 2011 . Retrieved 20 March 2013 .   Jump up ^ `` David Wenham : `` Top of the Lake is ABC 's loss '' `` . TV Tonight . 5 March 2013 . Retrieved 20 March 2013 .   Jump up ^ `` Gone Girl : Inside Top of the Lake , Jane Campion 's gritty new thriller '' . The Daily Beast. 13 March 2013 . Retrieved 30 August 2013 .   Jump up ^ Robinson , Joanna ( 16 November 2014 ) . `` Top of the Lake Season 2 '' . Vanity Fair . Retrieved 9 March 2015 .   Jump up ^ Han , Angie ( 24 July 2015 ) . `` Elisabeth Moss Returning for ' Top of the Lake ' Season 2 '' . SlashFilm .   Jump up ^ Shechet , Ellie ( 23 June 2015 ) . `` Season 2 of Top of the Lake Will Take Place in Sydney and Hong Kong '' . Jezebel .   Jump up ^ Berger , Laura . `` Gwendoline Christie Joins Elisabeth Moss for Series 2 of Jane Campion 's ' Top of the Lake ' '' . Retrieved 19 June 2016 .   Jump up ^ Bradshaw , Peter ( 15 May 2017 ) . `` Nicole Kidman in Cannes : her tortuous journey to Queen of the Croisette '' . The Guardian . Retrieved 15 May 2017 .   Jump up ^ Ahmed , Tufayel ( 2017 - 07 - 10 ) . `` ' Game of Thrones ' star Gwendoline Christie on Brienne of Tarth 's fate and her many suitors '' . Newsweek .   Jump up ^ `` Sundance : Campion 's Seven - Hour Top of the Lake '' . Vulture. 12 February 2014 . Retrieved 27 February 2014 .   Jump up ^ `` Top of the Lake : Sundance Review '' . The Hollywood Reporter. 21 January 2013 . Retrieved 20 March 2013 .   Jump up ^ `` UKTV announces air date for Top of the Lake '' . Foxtel. 14 January 2013 . Retrieved 20 March 2013 .   Jump up ^ `` Jane Campion : Lady of the lake '' . The New Zealand Herald . 16 March 2013 . Retrieved 20 March 2013 .   Jump up ^ Knapp , JD ( 11 May 2017 ) . `` ' Top of the Lake : China Girl ' Trailer Showcases Elisabeth Moss , Nicole Kidman '' . Variety . Retrieved 23 May 2017 .   Jump up ^ Strang , Fay ( 27 July 2017 ) . `` When is Top Of The Lake start on BBC Two tonight , who does Nicole Kidman play , who else is in the China Girl cast and what 's it about ? '' . The Sun . News UK . Retrieved 31 July 2017 .   Jump up ^ Rubin , Rebecca ( May 23 , 2017 ) . `` SundanceTV Releases New Photos of ' Top of the Lake : China Girl ' '' . Variety . Retrieved May 23 , 2017 .   Jump up ^ Travers , Ben ( 11 May 2017 ) . `` ' Top of the Lake : China Girl ' Trailer : Elisabeth Moss and Nicole Kidman Protect Their Own in Jane Campion 's Sequel -- Watch '' . Indiewire.com . Retrieved 23 May 2017 .   Jump up ^ `` CBC announces fall 2017 broadcast premiere dates for new and returning television series '' . CBC Radio - Canada . 16 August 2017 . Retrieved 6 September 2017 .   Jump up ^ `` Weekly Top 30 's '' . BARB . Retrieved 8 June 2015 .   Jump up ^ `` Weekly Top 30 's '' . BARB . Retrieved 8 June 2015 .   ^ Jump up to : `` Next on ( 2 ) '' . BBC . Retrieved 23 August 2017 .   Jump up ^ `` Seitz on Jane Campion 's Top of the Lake : A Police Procedural , Masterfully Made '' . Vulture. 2013 - 03 - 21 . Retrieved 8 April 2013 .   Jump up ^ `` Review : Jane Campion 's Top of the Lake mysterious , beautiful '' . Los Angeles Times . 18 March 2013 . Retrieved 18 April 2013 .   Jump up ^ `` David Bianculli 's take on Jane Campion 's new TV drama : Top of the Lake '' . NPR Fresh Air . 2013 - 03 - 18 . Retrieved 2013 - 04 - 18 .   Jump up ^ `` Top of the Lake -- first look review '' . The Guardian . 9 February 2013 . Retrieved 18 April 2013 .   Jump up ^ `` Review : Jane Campion 's Top of the Lake a riveting long - form mystery '' . Hitfix. 18 March 2013 . Retrieved 18 April 2013 .   Jump up ^ Top of the Lake at Metacritic   Jump up ^ Top of the Lake at Rotten Tomatoes   Jump up ^ `` Pregnant Girl Vanishes , and Story Lines Fork '' . The New York Times . 17 March 2013 . Retrieved 18 April 2013 .   Jump up ^ `` Can We Talk About How Damn Good Top of the Lake Is ? '' . Jezebel. 2013 - 08 - 05 . Retrieved 2014 - 02 - 01 .   Jump up ^ `` Top of the Lake : A Non-Watered Down Depiction of Rape Culture '' . Ms. Magazine blog . 18 April 2013 . Retrieved 1 February 2014 .   Jump up ^ `` The 2013 winners of the Rialto Channel New Zealand Film Awards '' . Retrieved 13 January 2014 .   Jump up ^ `` Goalpost Pictures Awarded Media Super Production Business of the Year '' . Screen Producers Australia . Retrieved 2014 - 04 - 22 .   Jump up ^ Knox , David ( 27 May 2014 ) . `` Equity Ensemble Awards 2014 : winners '' . TV Tonight . Retrieved 5 April 2015 .    External links ( edit )    Top of the Lake at the SundanceTV   Top of the Lake at the BBC   Top of the Lake : China Girl at the BBC   Top of the Lake on IMDb   Top of the Lake at Rotten Tomatoes   Top of the Lake : China Girl at Rotten Tomatoes   Top of the Lake at Metacritic              Jane Campion     Films directed      Feature films     Sweetie ( 1989 )   An Angel at My Table ( 1990 )   The Piano ( 1993 )   The Portrait of a Lady ( 1996 )   Holy Smoke ! ( 1999 )   In the Cut ( 2003 )   Bright Star ( 2009 )       Short films     Mishaps of Seduction and Conquest ( 1981 )   Peel ( 1982 )   Passionless Moments ( 1983 )   A Girl 's Own Story ( 1984 )   The Lady Bug ( 2007 )   The Water Diary ( 2008 )          Television     Dancing Daze ( 1985 )   Two Friends ( 1986 )   Top of the Lake ( 2013 , 2017 )                 AACTA Award for Best Telefeature , Mini Series or Short Run Series ( 2010 -- 2029 )       Hawke ( 2010 )   The Slap ( 2011 )   Howzat ! Kerry Packer 's War ( 2012 )   Top of the Lake ( 2013 )   Devil 's Playground ( 2014 )   Peter Allen : Not the Boy Next Door ( 2015 )         Complete list   ( 1986 -- 1989 )   ( 1990 -- 2009 )   ( 2010 -- 2029 )                 Equity Award for Most Outstanding Performance by an Ensemble in a Television Movie or Miniseries       The Slap ( 2011 ) : Costabile ; B. Davis ; E. Davis ; Dimitriades ; George ; Glenn ; Hayes ; LaPaglia ; Lowe ; Marinos ; McInnes ; Okonedo ; Townsend ; Yianni     Devil 's Dust ( 2012 ) : Foulkes ; Hany ; Hayes ; Hegney ; Leslie ; Schepisi     Top of the Lake ( 2013 ) : Buchanan ; Hunter ; Joe ; Lemon ; Malcolm ; Moss ; Mullan ; Nevin ; Ryan ; Wenham ; Wright     ANZAC Girls ( 2014 ) : Brent ; Clare ; Craig ; Debelle ; Flood ; Lasance ; Mayer ; McClelland ; McGahan ; Prebble     Peter Allen : Not the Boy Next Door ( 2015 ) : Baldwin ; Farnell ; Gibney ; Jackson ; Mills , Szeps ; Thornton ; West     Barracuda ( 2016 ) : Anton ; Cobham - Hervey ; Creer ; Griffiths ; Haralabidou ; Kindon ; Nable ; Taylor      Retrieved from `` https://en.wikipedia.org/w/index.php?title=Top_of_the_Lake&amp;oldid=806568045 '' Categories :   English - language television programs   Television shows set in New Zealand   Rape in fiction   2013 Australian television series debuts   2010s Australian television series   Australian subscription television series   BBC Television programmes   Preteen pregnancy   Hidden categories :   EngvarB from January 2016   Use dmy dates from January 2016   Pages using infobox television with editor parameter   All articles with unsourced statements   Articles with unsourced statements from September 2017           Talk                                           Contents                   About Wikipedia                                           Deutsch   Español   Français   Italiano   עברית   Nederlands   Polski   Português   Русский   Svenska   Edit links   This page was last edited on 22 October 2017 , at 21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</si>
  <si>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top of the lake china girl made</t>
  </si>
  <si>
    <t xml:space="preserve"> Top of the Lake is a mystery drama television series created and written by Jane Campion and Gerard Lee , and directed by Campion and Garth Davis . It aired in 2013 , and the sequel , entitled Top of the Lake : China Girl , in 2017 . It marks Campion 's first work for television since An Angel at My Table in 1990 . </t>
  </si>
  <si>
    <t xml:space="preserve">Doctor Strange ( 2016 film ) - wikipedia  Doctor Strange ( 2016 film )  2016 superhero film produced by Marvel Studios      Doctor Strange     Theatrical release poster     Directed by   Scott Derrickson     Produced by   Kevin Feige     Written by     Jon Spaihts   Scott Derrickson   C. Robert Cargill       Based on   Doctor Strange by   Stan Lee   Steve Ditko       Starring     Benedict Cumberbatch   Chiwetel Ejiofor   Rachel McAdams   Benedict Wong   Michael Stuhlbarg   Benjamin Bratt   Scott Adkins   Mads Mikkelsen   Tilda Swinton       Music by   Michael Giacchino     Cinematography   Ben Davis     Edited by     Wyatt Smith   Sabrina Plisco       Production company   Marvel Studios     Distributed by   Walt Disney Studios Motion Pictures     Release date     October 13 , 2016 ( 2016 - 10 - 13 ) ( Hong Kong )   November 4 , 2016 ( 2016 - 11 - 04 ) ( United States )             Running time   115 minutes     Country   United States     Language   English     Budget   $165 -- 236.6 million     Box office   $677.7 million     Doctor Strange is a 2016 American superhero film based on the Marvel Comics character of the same name , produced by Marvel Studios and distributed by Walt Disney Studios Motion Pictures . It is the fourteenth film in the Marvel Cinematic Universe ( MCU ) . The film was directed by Scott Derrickson , who wrote it with Jon Spaihts and C. Robert Cargill , and stars Benedict Cumberbatch as the titular character , along with Chiwetel Ejiofor , Rachel McAdams , Benedict Wong , Michael Stuhlbarg , Benjamin Bratt , Scott Adkins , Mads Mikkelsen , and Tilda Swinton . In Doctor Strange , surgeon Strange learns the mystic arts after a career - ending car accident .   Various incarnations of a Doctor Strange film had been in development since the mid-1980s , until Paramount Pictures acquired the film rights in April 2005 , on behalf of Marvel Studios . Thomas Dean Donnelly and Joshua Oppenheimer were brought on board in June 2010 to write a screenplay . In June 2014 , Derrickson was hired to direct and re-write the film with Spaihts . Cumberbatch was chosen for the eponymous role in December 2014 , necessitating a schedule change to work around his other commitments . This gave Derrickson time to work on the script himself , for which he brought Cargill on to help . The film began principal photography in November 2015 in Nepal , before moving to the United Kingdom , Hong Kong , and concluding in New York City in April 2016 .   Doctor Strange had its world premiere in Hong Kong on October 13 , 2016 , and was released in the United States on November 4 , 2016 , in 3D and IMAX 3D . The film grossed over $677 million worldwide , and was met with praise for its visuals and cast , but also received criticism for the title character 's origin story . These positive elements also received awards intention , including an Academy Award nomination for Best Visual Effects .   Contents    1 Plot   2 Cast   3 Production   3.1 Development   3.2 Pre-production   3.3 Filming   3.4 Post-production   3.4. 1 Visual effects       4 Music   5 Release   5.1 Marketing   5.2 Home media     6 Reception   6.1 Box office   6.2 Critical response   6.3 Accolades     7 Future   8 Notes   9 References   10 External links    Plot ( edit )   In Kathmandu , the sorcerer Kaecilius and his zealots enter the secret compound Kamar - Taj and behead its librarian . They steal a few pages from an ancient , mystical text belonging to the Ancient One , a long - lived sorcerer who has taught every student at Kamar - Taj , including Kaecilius , in the mystic arts . The Ancient One pursues the traitors , but Kaecilius and his followers escape .   In New York City , Stephen Strange , a wealthy , acclaimed , and arrogant neurosurgeon , severely injures his hands in a car accident , leaving him unable to operate . Fellow surgeon and former lover Christine Palmer tries to help him move on , but Strange vainly pursues experimental surgeries to heal his hands , nearly bankrupting himself . Strange learns about Jonathan Pangborn , a paraplegic who mysteriously regained use of his legs . Pangborn directs Strange to Kamar - Taj , where he is taken in by Mordo , a sorcerer under the Ancient One . The Ancient One demonstrates her power to Strange , revealing the astral plane and other dimensions such as the Mirror Dimension . She reluctantly agrees to train Strange , whose arrogance and ambition remind her of Kaecilius .   Strange studies under the Ancient One and Mordo , and from ancient books in the library that is now guarded by Master Wong . Strange learns that Earth is protected from threats from other dimensions by a shield generated from three buildings called Sanctums , in New York City , London , and Hong Kong , which are all connected and accessible from Kamar - Taj . The sorcerers ' task is to protect the Sanctums , though Pangborn instead chose to channel mystical energy only into walking again . Strange progresses quickly , and secretly reads the text from which Kaecilius stole pages , learning to bend time with the mystical Eye of Agamotto . Mordo and Wong warn Strange against breaking the laws of nature , drawing a comparison to Kaecilius ' desire for eternal life .   Kaecilius uses the stolen pages to contact Dormammu of the Dark Dimension , where time is non-existent . Kaecilius destroys the London Sanctum to weaken Earth 's protection . The zealots then attack the New York Sanctum , killing its guardian , but Strange holds them off with the help of the Cloak of Levitation until Mordo and the Ancient One arrive . Strange and Mordo become disillusioned with the Ancient One after Kaecilius reveals that the Ancient One 's long life is due to her drawing power from the Dark Dimension . After a fight in the Mirror Dimension of New York , Kaecilius mortally wounds the Ancient One and escapes to Hong Kong . Before dying , she tells Strange that he too will have to bend the rules to complement Mordo 's steadfast nature in order to defeat Kaecilius . Strange and Mordo arrive in Hong Kong to find Wong dead , the Sanctum destroyed , and the Dark Dimension engulfing Earth . Strange uses the Eye to reverse time and save Wong , then enters the Dark Dimension and creates a time loop around himself and Dormammu . After repeatedly killing Strange to no avail , Dormammu finally gives in to Strange 's demand that he leave Earth and take Kaecilius and his zealots with him in return for Strange breaking the loop .   Disillusioned by Strange and the Ancient One defying nature 's laws , Mordo departs . Strange returns the Eye to Kamar - Taj , and takes up residence in the New York Sanctum to continue his studies . In a mid-credits scene , Strange decides to help Thor , who has brought his brother Loki to Earth to search for their father Odin . In a post-credits scene , Mordo confronts Pangborn and steals the mystical energy that he uses to walk , declaring that Earth has `` too many sorcerers '' .   Cast ( edit )  Left to right : Cumberbatch , Derrickson , Swinton , McAdams , Ejiofor , Mikkelsen , and Wong at the 2016 San Diego Comic - Con   Benedict Cumberbatch as Dr. Stephen Strange : A neurosurgeon who , after a car accident that led to a journey of healing , discovers the hidden world of magic and alternate dimensions . Cumberbatch described Strange as arrogant , with the film `` about him going from a place where he thinks he knows it all to realizing he knows nothing . '' He compared the character to the version of Sherlock Holmes that he portrays in Sherlock , calling both characters `` intelligent '' and having `` smatterings of the same colors '' . The film 's mysticism resonated with Cumberbatch , for whom spirituality has been important since he spent his gap year teaching English at a Tibetan Buddhist monastery in Darjeeling , India . Strange 's abilities in the film include casting spells with `` tongue - twisty fun names '' , creating mandalas of light for shields and weapons , and creating portals for quick travel around the world . Strange is also aided by a Cloak of Levitation for flight , and the Eye of Agamotto , a relic containing an Infinity Stone that can manipulate time . Cumberbatch took great care in defining the physical movements and gestures for the spells , knowing that they would be noted and studied by fans . He described these gestures as `` balletic '' and `` very dynamic '' , and received help with finger - tutting movements from dancer JayFunk .   Chiwetel Ejiofor as Karl Mordo : A Master of the Mystic Arts , close to the Ancient One and a mentor to Strange . This version of Mordo is a combination of different characters from the Doctor Strange mythos , and unlike in the comics is not introduced as villainous . Ejiofor noted this , calling Mordo `` a very complex character that , really , I do n't think can be nailed down either way '' . Director Scott Derrickson added that the change in character stemmed from casting Ejiofor and conversations the director had with him . Ejiofor described Mordo 's relationship with the Ancient One as `` long and intense '' , while noting a `` growing respect '' between the character and Strange , until `` things get complicated '' . Derrickson felt Mordo was a fundamentalist , saying `` When someone gives themselves over to an extraordinarily strict moral code , the process of breaking out of that is a violent one . He becomes disillusioned with the Ancient One 's ( moral contradictions ) . The difference is Strange can accept that contradiction . Mordo can not cope with it , '' which leads to the `` antagonism between Mordo and Strange '' to explore in future films . Discussing the diversity of the film 's cast when addressing the controversial casting of the characters the Ancient One and Wong , Derrickson was confident that the decision to cast Ejiofor as Mordo , and thus changing the character `` from white to black '' , was the right one to make .   Rachel McAdams as Christine Palmer : An emergency surgeon , initially written as a love interest for Strange , but shortly before filming Derrickson suggested that this trope be subverted by making the two characters lovers as part of their backstory , and coming `` out the other side of it as friends '' . McAdams described this dynamic by saying , `` The love is between them no matter what stage they 're at in the actual relationship . '' With this change in characterization , producer Kevin Feige described Palmer as a `` lynchpin to ( Strange 's ) old life , once he steps into the role of a sorcerer . She is someone he connects with at the beginning , and reconnects with , and helps anchor his humanity . '' He explained that having this character be a `` connection to Strange 's life in New York City , in the normal world '' after his journey was important to the studio , which is why Palmer was chosen for the character over the more prominent , but more fantastical character Clea . Palmer is also known as the hero Night Nurse in the comics , a storyline that does not play into the film , but that Feige hinted could be explored in future films . Rosario Dawson portrays another Night Nurse character , Claire Temple , in Marvel 's Netflix television series .   Benedict Wong as Wong : A Master of the Mystic Arts , tasked with protecting some of Kamar - Taj 's most valuable relics and books . The character is depicted in the comics as Strange 's Asian , `` tea - making manservant '' , a racial stereotype that Derrickson did not want in the film , and so the character was not included in the film 's script . After the non-Asian actress Tilda Swinton was cast as the other significant Asian character from the Doctor Strange comics , the Ancient One -- which was also done to avoid the comics ' racial stereotypes -- Derrickson felt obligated to find a way to include Wong in the film . The character as he ultimately appears is `` completely subverted as a character and reworked into something that did n't fall into any of the stereotypes of the comics '' , which Derrickson was pleased gave an Asian character `` a strong presence in the movie '' . Actor Wong was also pleased with the changes made to the character , and described him as `` a drill sergeant to Kamar - Taj '' rather than a manservant . He does not practice martial arts in the film , avoiding another racial stereotype . Derrickson added that Wong will have `` a strong presence in the Marvel Cinematic Universe '' moving forward .   Michael Stuhlbarg as Nicodemus West : A rival surgeon to Strange .   Benjamin Bratt as Jonathan Pangborn : A paraplegic who learned from the Ancient One how to heal himself through the mystic arts .   Scott Adkins as Lucian : One of Kaecilius ' followers .   Mads Mikkelsen as Kaecilius : A Master of the Mystic Arts who broke away from the Ancient One . A combination of several antagonists from the comics , Kaecilius was used in the film to drive the introduction and development of bigger villains for the future , including `` certain individuals who live in other dimensions '' . Derrickson compared this dynamic to that of Saruman and Sauron in The Lord of the Rings , giving the film a `` huge and fantastical '' villain like Sauron , but also having `` human relateability '' with Kaecilius , like Saruman , for Strange to face throughout the film . Derrickson admitted that Marvel 's villains are often criticized , and noted that MCU films dedicate little time to developing antagonists . For Doctor Strange , he just hoped to show `` Kaecilius 's point of view and what makes him tick '' in the time that he could , feeling that the character is a `` man of ideas '' with `` watertight logic '' like John Doe from Seven and the Joker from The Dark Knight . On these motivations , Feige explained that Kaecilius believes the Ancient One is a hypocrite , protecting her own power base , and that the world may be better off `` if we were to allow some of these other things through . '' Mikkelsen 's makeup took between 2 -- 3 hours to apply .   Tilda Swinton as the Ancient One : A Celtic mystic , who becomes Strange 's mentor . The character in the comics is a Tibetan man , a situation which co-writer C. Robert Cargill compared to the Kobayashi Maru , an unwinnable training exercise in the Star Trek universe . He explained that adapting the character as the comics portrayed him would be realizing the major Asian Fu Manchu stereotype , and would involve the film with the Tibetan sovereignty debate , but not giving one of few significant Asian roles to an Asian actor would also understandably be received negatively . Derrickson wanted to change the character to an Asian woman , but felt that an older Asian woman would invoke the Dragon Lady stereotype , while a younger Asian woman would be perceived as exploiting Asian fetish and `` a fanboy 's dream girl '' . To avoid the character filling any of those three stereotypes , or enabling the stereotype of a `` Western character coming to Asia to learn about being Asian '' , Derrickson decided to cast a non-Asian actor in the role , but to still take the opportunity to cast `` an amazing actress in a male role '' . Feeling that Swinton was the obvious choice to play `` domineering , secretive , ethereal , enigmatic , ( and ) mystical '' , Derrickson wrote the Ancient One in the film specifically for the actress , before she was offered the role . Additionally , though the film uses the terms `` her '' and `` she '' , Swinton chose to portray the character as androgynous , while Feige explained that the Ancient One and Sorcerer Supreme are mantles in the film held by multiple characters through time , so a more comic - accurate Ancient One could exist within the MCU . Still , Swinton 's casting was widely criticized as whitewashing . In response to this , Derrickson said that though he was pleased with the diversity of the film 's cast , in terms of both gender and ethnicity , `` Asians have been whitewashed and stereotyped in American cinema for over a century and people should be mad or nothing will change . What I did was the lesser of two evils , but it is still an evil . ''    Cumberbatch also portrays , uncredited , the villainous entity Dormammu . The actor suggested he take on the role to Derrickson , feeling that having the character be a `` horrific '' reflection of Strange would work better than just `` being a big ghoulish monster '' . The director agreed , elaborating that the casting implies that Dormammu does not have a normal physical form in his own dimension , and so is simply imitating Strange for their confrontation . To create the character , Cumberbatch provided motion - capture reference for the visual effects team , and his voice was blended with that of another uncredited British actor , whom Derrickson described as having `` a very deep voice '' . The producers also had Tony Todd record voice over for Dormammu as an alternative to Cumberbatch , but ultimately decided on using Cumberbatch for the voice .   Chris Hemsworth reprises his role of Thor from previous MCU films in the film 's mid-credits scene . Additionally , Linda Louise Duan appears , unnamed , as Tina Minoru , Mark Anthony Brighton portrays Daniel Drumm , and Topo Wresniwiro portrays Hamir , all Masters of the Mystic Arts under the Ancient One . The latter is based on Hamir the Hermit , Wong 's father in the comics , who was the Ancient One 's personal manservant . The character is neither a manservant nor Wong 's father in the film . Zara Phythian , Alaa Safi , and Katrina Durden portray zealots under Kaecilius , and Pat Kiernan appears as himself . Doctor Strange co-creator Stan Lee makes a cameo appearance as a bus rider reading Aldous Huxley 's The Doors of Perception . Amy Landecker was cast as anesthesiologist Bruner , but the majority of her role was cut from the finished film .   Production ( edit )   Development ( edit )   A film based on the Marvel Comics character Doctor Strange was initially listed as being in development at New World Pictures , with a script dated January 21 , 1986 by Bob Gale . For unknown reasons , Gale 's film never went further into production . By 1989 , Alex Cox had co-written a script with Doctor Strange co-creator Stan Lee . The script had the character traveling to the Fourth Dimension before facing the villain Dormammu on Easter Island , Chile . A film using this script was almost made by Regency , but the company 's films were distributed by Warner Bros. at the time , which was in a dispute with Marvel over merchandising . By December 1992 , Wes Craven had signed to write and direct Doctor Strange for release in either 1994 or 1995 , with Savoy Pictures distributing . In 1995 , David S. Goyer had completed a script for the film . By April 1997 , Columbia Pictures had purchased the film rights and Jeff Welch was working on a new screenplay , with Bernie Brillstein and Brad Grey producing .   By April 2000 , Columbia dropped Doctor Strange , which then had Michael France attached to write a script and interest from Chuck Russell and Stephen Norrington to direct . By June 2001 , Dimension Films acquired the film rights , with Goyer back on board as writer and director . Goyer hinted scheduling conflicts might ensue with a film adaptation of Murder Mysteries , and promised not to be highly dependent on computer - generated imagery . However , by August 2001 , Miramax acquired the film rights from Dimension , and by March 2002 , Goyer had dropped out of the project . A 2005 release date was announced the next March , while in June 2004 , a script still had yet to be written . Marvel Studios CEO Avi Arad stated , `` We are nowhere with that . That 's a tough one to write , but we are working on it . We are trying to find the real Jerry Garcia of the writing community . '' In April 2005 , Paramount Pictures acquired Doctor Strange from Miramax , as part of Marvel Studios ' attempt to independently produce their own films . At the time , the film was projected to have a budget of no more than $165 million .   In March 2009 , Marvel hired writers to help come up with creative ways to launch its lesser - known properties , including Doctor Strange . In June 2010 , Marvel Studios hired Thomas Dean Donnelly and Joshua Oppenheimer to write Doctor Strange . While promoting Transformers : Dark of the Moon in April 2011 , actor Patrick Dempsey indicated he was lobbying to play the title character . In January 2013 , Marvel Studios president Kevin Feige confirmed that Doctor Strange would appear in some capacity as part of `` Phase Three '' of the Marvel Cinematic Universe . Feige then reiterated that a Doctor Strange feature film was in development at Marvel Studios that May , and again in November . In February 2014 , The Hollywood Reporter wrote that Marvel was considering Mark Andrews , Jonathan Levine , Nikolaj Arcel and Dean Israelite to direct the film , and was considering Jonathan Aibel and Glenn Berger to rewrite the film 's script . Feige denied this report , but confirmed that Marvel was considering prospective candidates . By March , Marvel was considering Andrews , Levine , and Scott Derrickson to direct the film .   Pre-production ( edit )  I think when you consider the work that I 've done it makes sense that he 'd be my favorite comic book character , at least in the Marvel universe . Probably the only comic character in that mainstream world that I 'm suited to . I feel such an affinity for the character and the story and the ambition of those comics , especially the original Stan Lee and Steve Ditko Strange Tales -- I think those are my favorite of all of them . The entire history of the comics is extraordinary .  -- Scott Derrickson , director of Doctor Strange   In June 2014 , Derrickson was chosen to direct the film . He had written a 12 - page scene for the film featuring Strange and an assailant fighting in the astral plane while a doctor attempts to save Strange 's physical body in a hospital , based on a sequence from the comic Doctor Strange : The Oath . Derrickson illustrated the sequence with his own concept art , alongside storyboards from professional artists and an animatic , which he presented in a 90 - minute pitch to the studio . This cost Derrickson an `` obnoxious amount '' of his own money , but he felt it necessary to prove `` that I wanted ( the job ) more than anyone '' , especially after Marvel told him that more people had lobbied to direct Doctor Strange than any of their other films . Derrickson ultimately had eight meetings with Marvel for the film . After he was hired , Marvel bought the 12 - page scene from Derrickson , and it became one of the film 's main set pieces . On transitioning from horror films to a superhero film , Derrickson said , `` It was nice to work on something more positive . And not have my headspace in something so dark for so long . But it was also weirdly similar because of the fantastical nature of the movie '' . In his horror films , Derrickson tried to use `` real characters and real character drama played by good actors ... ( to ) encounter the fantastical '' , and so he wanted actors of the same high caliber for Doctor Strange through which he could introduce the more fantastical elements to the MCU .   Derrickson and Marvel had originally discussed him writing the film alongside his Sinister co-writer C. Robert Cargill , with Derrickson also directing , but Marvel felt that they would not be able to reach their intended release date of July 2016 if Derrickson filled both roles . When Derrickson was chosen as director , Marvel passed on Cargill as an individual writer , with Jon Spaihts hired to rewrite the script instead . Spaihts , a big fan of Doctor Strange as a child , had started `` pestering '' Marvel as soon as he read reports of the company searching for a director for the film . This eventually led to him meeting with the studio , before they actually began looking for writers for the film . Spaihts said that they talked `` all afternoon , and the fit was right '' , but he received a call from Marvel several days later saying that they were not completely sure they wanted to take the film in the same direction as Spaihts , and were going to look at other writers . Spaihts told his agent to not `` take that answer . Call them back , tell them there 's a lot of right answers , and get me back in the room '' , and after talking with Marvel for `` another three or four hours '' he was given the job . Marvel never seriously looked at any other writer for the film . Derrickson was already hired when Spaihts joined , and the pair spent several months working on the film 's story with Feige and executive producer Stephen Broussard . They started writing the film from the beginning , and initially were unsure whether it would be an origin story , or if it would begin with Strange already as a `` fully - formed '' sorcerer . Spaihts ultimately felt that `` the origin story of this character , as depicted in the comics , is so operatic and beautiful , and so tragic and epic in its sweep , that it was unavoidable . We had to tell that story , and tell our best version of it . '' Elements from Spaihts ' early drafts that he later stated were still in the final film include many of the film 's set pieces , such as the climactic battle , which came straight from Derrickson , as well as `` little things '' from Spaihts , `` like a bandaged hand running down a row of prayer bells in a Nepalese temple . '' Derrickson wanted Nightmare to be the film 's antagonist , along with the concept of `` nightmares themselves as being a dimension '' , but Feige felt `` getting across the idea of the Dream Dimension as another dimension '' would have been challenging alongside everything else that the film introduces . Dormammu , `` the most present villain in the comics '' , became the film 's main villain .   During the early development process , Marvel , Derrickson , and Spaihts all envisioned Benedict Cumberbatch playing the title role . By the end of June , Marvel had reportedly been looking at Tom Hardy and Jared Leto for the film 's lead as well , while Édgar Ramírez , who worked with Derrickson on 2014 's Deliver Us from Evil , had discussed a possible role with the director . In July , after fans and the media had also championed Cumberbatch for the role of Doctor Strange , the actor explained at the 2014 San Diego Comic - Con International that he would be unable to accept the role due to commitments to other projects . Feige stated that a lead actor would be announced `` relatively quickly '' , and by the end of that month Joaquin Phoenix entered talks to play the character . By September 2014 , Marvel Studios was in negotiations to shoot Doctor Strange at Pinewood - Shepperton in the UK , with crews being assembled for a move into Shepperton Studios in late 2014 / early 2015 , for filming in May 2015 . Negotiations with Phoenix ended in October 2014 , as the actor felt that blockbuster films would never be `` fulfilling '' , with `` too many requirements that went against ( his ) instincts for character . '' Marvel then placed Leto , Ethan Hawke , Oscar Isaac , Ewan McGregor , Matthew McConaughey , Jake Gyllenhaal , Colin Farrell , and Keanu Reeves on their shortlist for the character . Ryan Gosling also had discussions to play the character , while Reeves was not approached about the role , and Cumberbatch was still considered to be in contention . In October , Cumberbatch entered negotiations to play the character , and was officially cast in December . Feige explained that Marvel had kept returning to him for the role while considering other actors , with Derrickson noting that even during discussions with Phoenix , he and Marvel still wanted to cast Cumberbatch in the role . The company eventually decided to change the film 's production schedule to fit around Cumberbatch 's commitments , allowing him to join the project .  Derrickson promoting Doctor Strange at the 2016 San Diego Comic - Con International  With the film 's new production schedule , its intended release date was pushed back to November 2016 , and Derrickson was able to do some work on the script himself . He brought Cargill in to work with him on this as was originally planned . Describing the film , Cargill called it both a superhero film and a fantasy film , saying `` it 's a very magical fantasy universe , but at the same time it plays by some of the superhero tropes that people enjoy . '' Spaihts returned later in the process to `` do some more writing and help bring the movie home '' , and said he was `` delighted '' by the work that Derrickson and Cargill had done in the interim . Feige and Derrickson have noted that , in addition to The Oath and Steve Ditko 's original work on Doctor Strange , an influence on all the film 's writers was the Doctor Strange comic book Into Shamballa .   In January 2015 , Chiwetel Ejiofor entered preliminary talks with Marvel for a role in the film , later revealed to be Baron Mordo . Ejiofor 's role was confirmed during the 2015 D23 Expo . In April , Derrickson and members of the production team visited New York City to scout potential filming locations , while Feige revealed that filming would begin that November . A month later , Tilda Swinton was in talks to play the Ancient One . In June 2015 , Derrickson announced that he was going to London to begin work on the film , and Feige confirmed that Strange 's Sanctum Sanctorum would appear , located on Bleecker Street in New York City 's Greenwich Village , as in the comics . Swinton confirmed her role in the film in July , when Rachel McAdams was being considered for the female lead . McAdams cautioned that `` it 's still super-early , and I do n't know where that 's gon na go , if it 's gon na go anywhere at all '' , but she ultimately confirmed her role during the 2015 Toronto International Film Festival . Mads Mikkelsen entered into early negotiations to play a villain in August , `` one of a number of actors being considered for the unspecified villianous role . ''   In September 2015 , Guardians of the Galaxy director James Gunn stated that many of the crew that worked on that film were unable to return for its sequel , because they had committed to Doctor Strange . Derrickson also revealed that Gunn had provided notes on the script , beyond the general conversing the MCU directors have between themselves for their films . At the end of the month , Feige stated that additional casting announcements would be made `` before the end of the year '' , and by early November , Michael Stuhlbarg entered negotiations to appear in the film as Nicodemus West , a rival of Strange . Derrickson had offered the role to Stuhlbarg because he was interested in working with the actor , and he agreed to join the cast after reading some Doctor Strange comics and being drawn to the character 's `` guilt - ridden arc '' where West `` blames himself for ruining the surgery on Strange 's hands and robbing him of his ability to operate '' .   Feige felt that the visuals of the film needed `` to be a Ditko / Kubrick / Miyazaki / The Matrix mind - trip '' , and said that `` You do n't get into it in Harry Potter , but if a scientist went to Hogwarts he 'd find out how some of that stuff is happening ! We 're not going to spend a lot of time on that , but there will be some of that . And particularly for a character like Strange , who goes from a man of science to a man of faith and who traverses both worlds . '' In developing the film 's magic , Derrickson felt a responsibility to not repeat the representation of magic from previous films , like Fantasia and Harry Potter , wanting `` to find a new way to make it feel more tactical and real and surreal . And to root it in gestures as opposed to spoken incantations and things like that . '' Feige called Doctor Strange the `` doorway '' into the supernatural side of the MCU , a role that Derrickson noted was also served by the character in the early comics , when the Doctor Strange comics `` broke open the Marvel comic book universe into the Marvel multiverse '' . Discussing the portrayal of other dimensions in the film , Feige stated that it would not explore parallel realities like the comics ' `` Earth - 616 and Earth 617 '' , but would instead feature `` dimensions that are so mind - bending that you can barely perceive them '' , like the Astral plane , Dark Dimension , and Mirror Dimension .   Astrophysicist Adam Frank served as a scientific consultant on the film , having already known Derrickson and been a Marvel fan since childhood . Frank advised on `` the human experience of space</t>
  </si>
  <si>
    <t xml:space="preserve">who is the actor that played doctor strange</t>
  </si>
  <si>
    <t xml:space="preserve"> Doctor Strange is a 2016 American superhero film based on the Marvel Comics character of the same name , produced by Marvel Studios and distributed by Walt Disney Studios Motion Pictures . It is the fourteenth film in the Marvel Cinematic Universe ( MCU ) . The film was directed by Scott Derrickson , who wrote it with Jon Spaihts and C. Robert Cargill , and stars Benedict Cumberbatch as the titular character , along with Chiwetel Ejiofor , Rachel McAdams , Benedict Wong , Michael Stuhlbarg , Benjamin Bratt , Scott Adkins , Mads Mikkelsen , and Tilda Swinton . In Doctor Strange , surgeon Strange learns the mystic arts after a career - ending car accident . </t>
  </si>
  <si>
    <t xml:space="preserve">Dave ( TV channel ) - Wikipedia  Dave ( TV channel )  Jump to : navigation , search    Dave         Launched   2 October 1998     Owned by   UKTV ( BBC Studios / Discovery Networks Northern Europe )     Picture format   576i ( 4 : 3 and 16 : 9 ) ( SDTV ) , 1080i ( HDTV )     Audience share   1.05 0.10 % ( Dave ja vu ) ( January 2018 ( 2018 - 01 ) , BARB )     Slogan   `` The Home of Witty Banter ''     Country   United Kingdom Ireland     Broadcast area   United Kingdom Ireland     Formerly called   UK Gold Classics ( 1998 -- 1999 ) UK Gold 2 ( 1999 -- 2003 ) UKG2 ( 2003 -- 2004 ) UKTV G2 ( 2004 -- 2007 )     Sister channel ( s )   Alibi Drama Eden Gold Good Food Home Really Yesterday     Timeshift service   Dave ja vu     Website   dave.uktv.co.uk     Availability     Terrestrial     Freeview   Channel 12 Channel 79 ( ja vu )     Satellite     Freesat   Channel 157     Sky   Channel 111 ( SD / HD ) Channel 211 ( ja vu ) Channel 811 ( SD )     Astra 2F   12129 V 27500 2 / 3     Cable     Virgin Media ( UK )   Channel 127 Channel 194 ( HD ) Channel 211 ( ja vu )     Virgin Media ( Ireland )   Channel 122     IPTV     BT TV   Channel 387 ( HD )     Eir Vision   Channel 111     Vodafone TV   Channel 121     Streaming media     TVPlayer   Watch live ( UK only ) Watch live ( Dave ja vu ) ( UK only )     Sky Go   Watch live ( UK and Ireland only )     Virgin TV Go   Watch live ( UK only )     Dave is a British television channel owned by UKTV , which is available in the United Kingdom and Ireland . The channel is available on cable , IPTV , Freeview and satellite . The channel took the name Dave in October 2007 , but it had been on air under various identities and formats since October 1998 .     Contents  ( hide )   1 History   1.1 UK Gold Classics and UK Gold 2   1.2 UKG2 and UKTV G2   1.2. 1 G2 programming     1.3 Dave and Freeview launch     2 Dave HD   3 Timeshift   4 Reception   5 Programming   5.1 Current   5.2 Sport   5.3 Films   5.4 Previous     6 Dave Weekly podcast   7 References   8 External links      History ( edit )   UK Gold Classics and UK Gold 2 ( edit )   UK Gold Classics , UKTV 's first digital - only channel , was launched on 2 October 1998 and was only broadcast from Friday to Sunday on Sky Digital from 6.00 pm to 2.00 am . Around this time UK Gold began to move towards newer programmes instead of older ones ; the ' classics ' line - up included a number of early shows , including some black - and - white programmes , which had been acquired in the early years of the UK Gold service . They also showed some recent shows from the main channel , but the main part of the channel was older shows from the early years of UK Gold . On weekdays , the channel was off air , showing a still caption of all the UKTV channels and start - up times .   The ' Classics ' format lasted just six months ; the channel ended on 28 March 1999 , and from 2 April 1999 the channel was renamed to UK Gold 2 , and screened morning programmes from UK Gold time - shifted to the evening of the same day instead of classic shows .   UKG2 and UKTV G2 ( edit )   The UK Gold subsidiary channel was again relaunched with a completely new programme line - up and renamed UKG2 on 12 November 2003 . The channel was promoted as being an edgier alternative to UK Gold ; like that channel , the output was mainly comedy from the BBC with some shows produced inhouse . A fair amount is similar to the comedy output of UK Play / Play UK before that channel 's closure ; however , unlike Play , the channel did not include music videos .   Along with the rest of the UKTV network , the `` UK '' prefix was changed to `` UKTV '' on 8 March 2004 and therefore the channel name changed to UKTV G2 .   Initially , the channel broadcast in the evenings only , but during the ' G2 ' era the decision was made to expand hours into the daytime ; to expand the programming line - up , comedy was joined by popular - factual and magazine shows which were already running on UKTV People ( then Blighty , now Drama ) such as Top Gear and Airport .  G2 programming ( edit )  On 7 October 2005 , it was announced that they would show sports programming . This new line - up was called UKTV Sport and included a new show by the same name . UKTV Sport also had its own logo and DOG . There was talk that this could lead to a channel but it never happened .   In February 2006 , they picked up the rights to show highlights of the RBS Six Nations rugby union championship , with a highlights show broadcast on the evening of the games previously shown live on the BBC . On 16 March 2006 , they announced a deal to air extensive coverage of the 2006 FIFA World Cup as a sub licensing of the BBC 's rights to the tournament . UKTV G2 simulcast the BBC 's live matches , including the opening match between Germany and Costa Rica , England 's game with Paraguay and the final . The channel also showed highlights of every match in the tournament .   In April 2006 , the channel acquired the rights to the quarter - finals of Euroleague Basketball and in August , UKTV G2 also picked up rights to the 2006 FIBA World Championship. , forming the programme ' UKTV Slam ' .   Dave and Freeview launch ( edit )   In September 2007 , UKTV announced that they would relaunch and rename UKTV G2 as Dave on 15 October . UKTV said the name of the channel was chosen because `` everyone knows a bloke called Dave '' . The rebrand included the channel being available free - to - air on digital terrestrial platform , Freeview , replacing UKTV Bright Ideas which only averaged 0.1 % of the audience share . The move to Freeview saw Dave launch in the bandwidth previously used by UKTV History which was moved to the time limited ( 7.00 am to 6.00 pm ) bandwidth once occupied by UKTV Bright Ideas . Dave is available daily , from 7.00 am to 3.00 am , on all platforms . It uses the tagline `` the home of witty comedy banter '' and uses Ralph Ineson as an announcer , along with David Flynn , Phill Jupitus , Iain Lee and BBC Radio 1 DJ Greg James .   To ensure that all Freeview viewers receive the channel on number 19 , UKTV briefly placed a re-tuning notice on the programme 's information . This later changed to the current location on Channel 12 .   From 31 January 2008 , the channel began broadcasting in widescreen , along with the other UKTV channels .   In April 2009 , they aired 3 new instalments of Red Dwarf , entitled Back to Earth . This marked the channel 's first foray into scripted original programming . During the airing of the Red Dwarf mini-series , the Dave DOG in the top left corner of the screen had the word ' Lister ' added after it in the same font after the show 's lead character ; during the show it is even suggested that the station is named after him . Back to Earth brought record breaking viewing figures , not just in the context of the channel 's past , but for digital television in general .   In June 2009 , the logo was updated to incorporate the ' circle ' logo branding of all the new UKTV channels ( for example Home , GOLD and Really ) . At the same time , the voice of Dave became Nigel Grover , aka Scott Saunders , who had previously worked at a number of local radio stations . On 29 April 2014 , the ' circle ' logo was removed and the original 2007 logo was restored .   Dave HD ( edit )   On 29 July 2011 , UKTV announced that it had secured a deal with BSkyB to launch three more high - definition channels on Sky . As part of Virgin Media 's deal to sell its share of UKTV , all five of UKTV 's HD channels would also be added to Virgin 's cable television service by 2012 . Dave HD launched on 10 October 2011 on Sky and Virgin Media , two days before Watch HD , while Alibi HD launched in July 2012 . All three channels are HD simulcasts of the standard - definition channel . Dave HD along with Good Food HD and Eden HD launched on BT TV on 3 October 2016 . Six weeks after Watch HD and Alibi HD launched on BT TV .   Timeshift ( edit )  Timeshift logo  A one - hour timeshifted service of the channel -- then known as UKTV G2 -- began to operate on 1 November 2004 , under the name UKTV G2 + 1 . As UKTV G2 at the time was an evenings - only service , the timeshift also operated in the evenings only , using the satellite and cable capacity which , during daytime , was used by the now - defunct UKTV Bright Ideas . The sharing arrangement meant that when UKTV G2 's hours extended into daytime , the timeshift remained evenings - only .   At the time of the Dave relaunch , UKTV Bright Ideas closed , freeing up the space to allow UKTV G2 + 1 to expand its hours to follow those of the parent channel fully ; due to the main channel 's relaunch as Dave , UKTV G2 + 1 became Dave + 1 .   The timeshift was initially available on the Virgin Media and Sky platforms ; from 22 January 2009 , following UKTV 's acquisition of a further Freeview broadcast slot , Dave + 1 was made available on the digital terrestrial platform .   On 24 February 2009 , Dave + 1 was renamed Dave ja vu ( a play on the phrase déjà vu ) on all platforms ; this was carried out to `` strengthen the brand 's positioning as the home of witty banter '' according to UKTV bosses .   On 14 June 2011 , UKTV announced that Really would launch on Freeview on 2 August 2011 , to facilitate this Dave ja vu 's broadcast hours on the platform were reduced from 8.00 am - 4.00 am to 2.00 am - 4.00 am . On 22 November 2012 , UKTV confirmed that it had secured a deal for another 24 - hour DTT slot and would use it for Dave ja vu until it firmed up permanent plans for the slot . Dave ja vu began to broadcast its full schedule on the platform again from 3 January 2013 . Drama permanently took the slot from 8 July 2013 , however Dave ja vu continued to broadcast between 2.00 am - 5.00 am .   On 20 November 2014 , Dave ja vu returned to 24 - hour broadcasting .   Reception ( edit )   Within just one month of its launch , Dave had become the tenth largest television channel in the UK . The broadcaster puts daily averages at around 3 million viewers , although , much of the growth may be attributed to its presence on Freeview ; nonetheless , it is performing significantly better in pay TV homes than UKTV G2 ever did . Over the month since its launch , Dave averaged a 1.32 % share in multichannel homes and a 3.2 % share in the 16 -- 34 male demographic .   Dave 's positive reception is proven by an attraction of 4 million viewers throughout 18 November 2007 for its coverage of `` Car of the Year '' , pushing it to second place in multichannel behind ITV2 .   The first episode of Red Dwarf : Back to Earth attracted 2,060,000 viewers on the first viewing , though over 4 million viewed the episode at some point over its debut weekend . The highest rating original commission before this had been Red Bull X-Fighters ( about 185,000 ) .   Some Freesat boxes , as supplied , including the HB - 1100S , show it and other channels as `` weak or insufficient signal '' due to out - of - date firmware ; this can be rectified by upgrading . Also , on Sky boxes , the same issue can occur if using the older Freesat cards .   Programming ( edit )   Current ( edit )     Name of show   Original channel ( s )   Original run     24 Hours to Go Broke   Dave   2014 -- present     30 Years of Comic Strip   Gold   2012     8 Out of 10 Cats   Channel 4 More4 E4   2005 -- present     Alan Davies : As Yet Untitled   Dave   2014 -- present     American Pickers   History ( United States )   2010 -- present     Beverly Hills Pawn   Reelz   2013     The Comic Strip Presents ...   Channel 4 BBC Two Gold   1982 -- 2016     Cop Car Workshop   Dave   2018     Cops UK : Bodycam Squad   Really   2016 -- 2017     Crackanory   Dave   2013 -- present     Dara O Briain 's Go 8 Bit   Dave   2016 -- present     Dave Gorman : Goodish Hits   Dave   2016     Dave Gorman : Modern Life is Goodish   Dave   2013 -- 2017     David Beckham : For the Love of the Game   BBC One   2015     Deadly 60   BBC One BBC Two   2009 -- 2012     Deadly 60 on a Mission   BBC One BBC Two   2011 -- 2013     Extreme Fishing with Robson Green   Channel 5   2008 -- 2011     Flip Men   Spike ( United States )   2011 -- 2012     Football 's 47 Best Worst Songs   Dave   2018     Have I Got News for You   BBC One BBC Two   1990 -- present     Hoff the Record   Dave   2015 -- present     The Hurting   Dave   2017 -- present     Ice Road Truckers   History   2007 -- present     Impossible Engineering   Yesterday   2015 -- present     The Indestructibles   BBC Three   2006     Jay Leno 's Garage   CNBC ( United States )   2015 -- present     Josh   BBC Three BBC One   2014 -- present     The Joy of Techs   Dave   2017 -- present     The Last Man on Earth   Fox   2015 -- 2018     Live at the Apollo   BBC Two   2004 -- present     Lizard Lick Towing   truTV ( United States )   2011 -- 2017     MegaTruckers   A&amp;E ( Australia )   2012 -- present     Mock the Week   BBC Two   2005 -- present     Not Going Out   BBC One   2006 -- present     Only Connect   BBC Four BBC Two   2008 -- present     Parks and Recreation ( Season 4 -- )   NBC ( United States )   2009 -- 2015     QI   BBC Four BBC Two BBC One   2003 -- present     Red Bull Soapbox Race   Dave   2000 -- present     Red Dwarf   BBC Two Dave   1988 -- 99 , 2009 -- present     Rocket City Rednecks   National Geographic Channel   2011 -- 2013     Ronnie 's Redneck Road Trip   Dave   2017 -- present     Room 101   BBC Two BBC One   1994 -- 2007 , 2012 -- present     Ross Noble : Freewheeling   Dave   2013 -- present     Russell Howard 's Good News   BBC Three BBC Two   2009 -- 2015     Scrappers   BBC One   2014     Stephen Fry 's 100 Greatest Gadgets   Channel 4   2011     Steve Austin 's Broken Skull Challenge   CMT   2014 -- present     Storage Hunters ( US )   TruTV ( United States )   2011 -- 2013     Storage Hunters UK   Dave   2014 -- present     Suits   USA Network   2011 -- present     Taskmaster   Dave   2015 -- present     Top Gear   BBC Two   2002 -- present     Traffic Cops   BBC One BBC Three Channel 5   2003 -- 2015 , 2016 -- present     Trawlermen   BBC One   2006 -- 2010     Used Car Wars   Dave   2017 -- present     Undercover   Dave   2015     Unspun with Matt Forde   Dave   2016 -- present     You Gotta Eat Here !   Food Network ( Canada )   2012 -- 2016     World 's Most Dangerous Roads   BBC Two   2011 -- 2013     Would I Lie To You ?   BBC One   2007 -- present     Zapped   Dave   2016 -- present     Sport ( edit )   On 6 January 2016 , UKTV announced that Dave would show its first - ever live sporting event with a boxing match between David Haye and Mark de Mori at the O2 Arena on 16 January 2016 produced by Salter Brothers Entertainment .   In late May 2016 , Dave broadcast full live coverage of the 2016 BDO World Trophy darts tournament .   In July 2016 , Dave covered cricket 's Caribbean Premier League . It broadcast five matches live , including the final and showed the other games in full on a delayed basis .   In 2017 , Dave started broadcasting live MMA with promotion BAMMA .   Films ( edit )   In early 2016 , Dave aired western films during the daytime , including One More Train to Rob , Chief Crazy Horse , Buffalo Bill and the Indians , or Sitting Bull 's History Lesson , The Great Northfield Minnesota Raid and The Hired Hand . Dave mostly show films on Friday and Saturday nights , with Friday being a repeat of the film that was shown on a Saturday .   Previous ( edit )     Name of show   Original channel ( s )   Original run     10 Things You Do n't Know About   H2 ( United States )   2012 -- 2014     Absolutely Fabulous   BBC Two BBC One   1992 -- 2012     Absolute Power   BBC Two   2003 -- 2005     The Accidental Angler   BBC Two   2006     Ace of Cakes   Food Network ( United States )   2006 -- 2011     Airport   BBC Two BBC One   1996 -- 2008     Al Murray 's Barrel of Fun : Live   Dave   2011     Al Murray 's Compete for the Meat   Dave   2011     Alan Davies : Life is Pain   Dave   2014     Alan Davies ' Teenage Revolution   Channel 4       Alexander Armstrong 's Big Ask   Dave   2011 -- 2013     Amazing Adventures of a Nobody   Sky Real Lives   2006     And Then You Die   Dave   2007 -- 2008     Anyone for Pennis ?   BBC Two   1995 -- 1997     The Apprentice   BBC Two BBC One   2005 -- present     Argumental   Dave   2008 -- 2012     The Armstrong &amp; Miller Show   BBC One   2007 -- 2010     Batteries Not Included   Dave   2008     Bang Goes the Theory   BBC One   2009 -- 2014     Banzai   E4   2001 -- 2003     Baywatch   NBC ( United States )   1989 -- 2001     Big Train   BBC Two   1998 -- 2002     The Bill   ITV   1984 -- 2010     Billy Connolly 's World Tour of Scotland   BBC One   1994     Billy Connolly 's World Tour of Australia   BBC One   1995     Billy Connolly 's World Tour of England , Ireland and Wales   BBC One   2002     Billy Connolly 's World Tour of New Zealand   BBC One       A Bit of Fry &amp; Laurie   BBC One BBC Two   1989 -- 1995     Blackadder   BBC One   1983 -- 1989     Blackadder Exclusive : The Whole Rotten Saga Blackadder 's Most Cunning Moments   Gold   2008     Black Books   Channel 4   2000 -- 2004     Blue Peter   BBC One BBC Two   1958 -- present     Bottom   BBC Two   1991 -- 1995     Bottom Live   Dave       Bottom Live : The Big Number Two Tour   Dave   1995     Bottom Live 3 : Hooligan 's Island   Dave   1997     Bottom Live 2001 : An Arse Oddity   Dave   2001     Bottom Live 2003 : Weapons Grade Y - Fronts Tour   Dave   2003     Bruce Parry 's Amazon   BBC Two   2008     The Bubble   BBC Two       Bush Pilots   Dave   2011     Car Duels   UKTV G2   2006     Car of the Year   UKTV G2 / Dave   2004 -- 2008     Carpool   Dave / Online Series   2010 -- 2011     The Catherine Tate Show   BBC Two BBC One   2004 -- 2009     Chandon Pictures   Movie Extra ( Australia )   2007 -- 2009     Charlie Brooker 's Gameswipe   BBC Four   2009     Charlie Brooker 's Newswipe   BBC Four   2009 -- 2010     Charlie Brooker 's Screenwipe   BBC Four   2006 -- 2008     Clarkson 's Car Years   BBC Two   2000     Comedy Connections   BBC One   2003 -- 2008     Comedy Exchange   Dave       Cooking in the Danger Zone   BBC Two   2008     The Cops   BBC Two   1998 -- 2001     Coupling   BBC Two BBC Three   2000 -- 2004     Crash   Dave   2009     Crash Addicts   OLN ( United States )   2006 -- 2007     Cutting It   BBC One   2002 -- 2005     Danny Bhoy Live : Subject to Change   Dave   2012     Danny MacAskill 's Imaginate   Dave   2013     Dara Ó Briain : School of Hard Sums   Dave   2012 -- 2014     Dave 's One Night Stand   Dave   2010 -- 2012     The Day Today   BBC Two   1994     Dead Ringers   BBC Two   2002 -- 2007     Disaster House   DIY Network ( United States )   2009 -- present     Doctor Who   BBC One   1963 -- 1989     Doubletake   BBC Two   2001 -- 2005     Dragons ' Den ( UK TV series )   BBC Two   2005 -- present     Dragons ' Den ( Canadian TV series )   CBC Television   2006 -- present     Dragons ' Den ( Irish TV series )   RTÉ One   2009 -- present     Driving Wars   Dave   2011     Dynamo : Magician Impossible     2011 -- 2014     EastEnders   BBC One   1985 -- present     Eddie Izzard : Force Majeure   Dave   2013     Extras   BBC Two BBC One   2005 -- 2007     Everest ER   BBC One   2009     Factory   Spike ( United States )   2008     The Fast Show   BBC Two   1994 -- 2000     Fawlty Towers   BBC Two   1975 -- 1979     Fawlty Towers : Re-Opened Fawlty Towers : Basil 's Best Bits   Gold   2009     FC Dave   Dave   2008     Fifth Gear   Channel 5 Discovery History ITV4   2002 -- 2016     Filthy Rich &amp; Catflap   BBC Two       The Flying Doctors   Nine Network   1986 -- 1993     Frank Skinner - Stand - Up ! Live from Birmingham 's National Indoor Arena   Dave   2008     Frank Skinner 's Opinionated   BBC Two   2010 -- 2011     Friday Night with Jonathan Ross   BBC One   2001 -- 2010     Full Circle with Michael Palin   BBC   1997     Full Metal Challenge   Channel 4   2004 -- 2007     The Gadget Show   Channel 5   2004 -- present     Game of Arms   AMC ( United States )   2014     Game On   BBC Two   1995 -- 1998     Gavin &amp; Stacey   BBC Three BBC Two BBC One   2007 -- 2010     Gears and Tears   BBC One       Genius   BBC Two   2009 -- 2010     Greg Davies Live -- Firing Cheeseballs at a Dog   Dave   2011     The Graham Norton Show   BBC Two BBC One   2007 -- present     GT Racer   Treasure HD ( United States )   2008 -- 2009     Harbour Lights   BBC One   1999 -- 2000     Hardliners   Fox8 ( Australia )   2010 -- 2011     Harry Enfield 's Television Programme Harry Enfield and Chums   BBC Two BBC One   1990 -- 1998     Harry Hill 's TV Burp   ITV   2001 -- 2012     Haye V De Mori : The Countdown   Dave   2016     HeadJam   BBC Three       Heartbeat   ITV   1992 -- 2010     Helicopter Heroes   BBC One   2007 -- present     High Altitude   BBC Two   2009     Him &amp; Her   BBC Three   2010 -- 2013     Hole in the Wall   BBC One   2008 -- 2009     Hyperdrive   BBC Two   2006 -- 2007     Ideal   BBC Three   2005 -- 2011     Idris Elba : King of Speed   Dave   2014     I 'm Alan Partridge   BBC Two   1997 -- 2002     The Impressions Show with Culshaw and Stephenson   BBC One   2009 -- 2011     Improvisation My Dear Mark Watson ( Pilot )   Dave   2011     India with Sanjeev Bhaskar   BBC Two BBC One   2007 -- 2010     Is It Bill Bailey ?   BBC Two   1998     It 's Only TV ... but I Like It   BBC One   1999 -- 2002     James May 's 20th Century   BBC Two   2007     James May 's Big Ideas   BBC Two   2008     James May on the Moon   BBC Two   2009     James May 's Toy Stories   BBC Two   2009 -- 2011     James May 's Top Toys   BBC Two   2005     Jeremy Clarkson : Meets the Neighbours   BBC Two   2002     Jeremy Clarkson 's Extreme Machines   BBC Two   1998     Jeremy Clarkson 's Motorworld   BBC Two   1995 -- 1996     Jo Brand 's Big Splash   Dave   2011     John Bishop : In Conversation With ...     2016 -- present     The Keith Barret Show   BBC Two   2004 -- 2005     Knowing Me Knowing You with Alan Partridge   BBC Two   1994 -- 1995     Kröd Mändoon and the Flaming Sword of Fire   BBC Two   2009     The Kumars at No. 42   BBC Two BBC One Sky 1   2001 -- 2006 , 2014     The Lakes   BBC One   1997 -- 1999     Last Man Standing   BBC Three   2007 -- 2008     Later ... with Jools Holland   BBC Two   1992 -- present     Lead Balloon   BBC Four BBC Two   2006 -- 2011     The League of Gentlemen   BBC Two   1999 -- 2002 , 2017     Lee Mack Live   Dave   2007     A Life of Grime   BBC One   1999 -- 2004     Little Britain   BBC Three BBC One   2003 -- 2007     Live at the Apollo   BBC One BBC Two   2004 -- present     Louis Theroux 's Weird Weekends   BBC Two   1998 -- 2000     Lovejoy   BBC One   1986 -- 1994     Meat Men   Food Network   2012     Man Stroke Woman   BBC Three   2005 -- 2007     Man v. Food   Travel Channel ( United States )   2008 -- 2011     Mechannibals   BBC Two   2005     Men Behaving Badly   ITV BBC One   1992 -- 1998     The Mighty Boosh   BBC Three   2004 -- 2007     Milton Jones - Lion Whisperer   Dave   2011     Mitch and Matt 's Big Fish   Good Food   2008     Money Pit   Dave   2015 -- present     Mongrels   BBC Three   2010 -- 2011     Monkey Dust   BBC Three   2003 -- 2005     The Mrs Merton Show   BBC Two BBC One   1995 -- 1998     My Family   BBC One   2000 -- 2011     Neighbours   Seven Network Network Ten Eleven   1985 -- present     Never Mind the Buzzcocks   BBC Two   1996 -- 2015     Nighty Night   BBC Three BBC Two   2004 -- 2005     The Office   BBC Two BBC One   2001 -- 2003     On Thin Ice   BBC Two   2009     Operation Good Guys   BBC Two   1997 -- 2000     Oz and James 's Big Wine Adventure   BBC Two   2006 -- 2007     Parkinson   BBC One ITV   1971 -- 2007     Peep Show   Channel 4   2003 -- 2015     Psychoville   BBC Two   2009 -- 2011     Pulling   BBC Three   2007 -- 2009     A Question of Sport   BBC One   1970 -- present     Race Car Driver   Syndication ( United States )   2005 -- 2007     Radical Highs   BBC Two   1998 -- 2000     Ray Mears ' Bushcraft   BBC Two   2004 -- 2005     Ray Mears ' Extreme Survival   BBC Two   1999 -- 2002     Ray Mears Goes Walkabout   BBC Two   2008 -- 2008     Ray Mears ' Northern Wilderness   BBC Two   2009     Ray Mears ' Wild Food   BBC Two   2007     Ray Mears ' World of Survival   BBC Two   1997 -- 1998     Red Bull Cliff Diving World Series   Dave   2012 -- present     Red Bull Rampage   Dave   2008 -- present     Red Bull X-Fighters   Dave   2008 -- present     Rich Hall 's Fishing Show   BBC Four   2003     Right to the Edge : Sydney to Tokyo by Any Means   BBC Two   2009     Rob Brydon 's Annually Retentive   BBC Three   2006 -- 2007     Rob Brydon 's Identity Crisis   BBC Four   2008     The Rob Brydon Show   BBC Two   2010 -- 2012     Robot Wars   BBC Two BBC Choice Channel 5   1998 -- 2004 , 2016 -- 2018     Ruddy Hell ! It 's Harry &amp; Paul Harry &amp; Paul   BBC One BBC Two   2007 -- 2012     Russell Howard - Dingledodies   Dave   2009     Russell Howard Live : Right Here Right Now   Dave   2011     Russell Kane : Smokescreens &amp; Castles Live   Dave   2011     School 's Out   BBC One   2006 -- 2007     Scrapheap Challenge   Channel 4   1998 -- 2010     Seaside Rescue   BBC One   2004 -- 2009     Shark Tank   ABC ( United States )   2009 -- present     Shameless   Channel 4   2004 -- 2013     Shooting Stars   BBC Two BBC Choice   1993 -- 2011     Should I Worry About ... ?   BBC One   2004 -- 2005     Smack the Pony   Channel 4   1999 -- 2003     The Smell of Reeves and Mortimer   BBC Two   1993 -- 1995     The Smoking Room   BBC Three   2004 -- 2005     Spaced   Channel 4   1999 -- 2001     Speed   BBC One   2001     Speeders   truTV ( United States )   2007 -- 2009     Spooks   BBC One BBC Three   2002 -- 2011     Star Stories   Channel 4   2006 -- 2008     Stars in Fast Cars   BBC Three   2005     Stephen Fry in America   BBC One   2008     Steve Coogan : The Inside Story   BBC Two   2009     Stewart Lee 's Comedy Vehicle   BBC Two   2009 -- 2016     Street - Cred Sudoku   UKTV G2   2005 -- 2007     That Mitchell and Webb Look   BBC Two   2006 -- 2010     The Thick of It   BBC Four BBC Two   2005 -- 2012     They Think It 's All Over   BBC One   1995 -- 2006     This Life   BBC Two   1996 -- 1997     Three Men in a Boat   BBC Two   2006 -- 2011     Tim Vine : The Joke - amotive Live   Dave   2011     Total Wipeout USA   ABC AXN   2008 -- 2014     Totally Viral   UKTV G2   2006 -- 2007     TOTP2   BBC Two   1994 -- present     Tribe   BBC Two   2005 -- 2007     Turn Back Time   BBC One   2006     Two Pints of Lager and a Packet of Crisps   BBC Two BBC Choice BBC Three   2001 -- 2011     Two Posh Old Men   UKTV G2   2005 -- 2006     Whose Line Is It Anyway ?   Channel 4   1988 -- 1999     Wild Britain with Ray Mears   ITV STV UTV Eden   2010 -- 2013     World 's Most Stupid Criminals   Five   2003     The Young Ones   BBC Two   1982 -- 1984     Zimbani ( pilot )   Dave       Dave Weekly podcast ( edit )   In August 2011 , Dave launched a regular comedy podcast called The Dave Weekly hosted on joindave.co.uk and accessible via iTunes . Presented by Ben Shires , the podcast comprises interviews with comedians such as Russell Kane , Jo Brand , Adam Buxton , Paul Foot and Alex Horne along with occasional features .   References ( edit )    Jump up ^ Conlan , Tara ( 7 October 2005 ) . `` UKTV to launch sport channel Media MediaGuardian '' . London : Guardian . Retrieved 15 October 2009 .   Jump up ^ `` Broadcasting -- News -- UKTV lands huge World Cup rights deal -- Digital Spy '' . Archived from the original on 11 December 2006 . Retrieved 4 November 2007 .   Jump up ^ `` UKTV slam dunks Euroleague rights '' . C21 Media . Retrieved 19 June 2016 .   Jump up ^ `` UKTV slam - dunks new basketball deal '' . C21 Media . Retrieved 19 June 2016 .   Jump up ^ `` It 's Dave -- not Bright Ideas and evening History -- ukfree.tv -- independent digital TV and switchover advice '' . Retrieved 4 November 2007 .   Jump up ^ Leigh Holmwood ( 20 September 2007 ) . `` UKTV to launch channel called ' Dave ' Media MediaGuardian '' . London : Guardian . Retrieved 18 August 2010 .   Jump up ^ `` Terrestrial -- News -- UKTV considers G2 Freeview launch -- Digital Spy '' . Retrieved 4 November 2007 .   Jump up ^ `` UKTV goes widescreen '' . UKTV . Archived from the original on 27 January 2008 . Retrieved 24 January 2008 .   ^ Jump up to : `` Back To Earth Natterings '' .   Jump up ^ `` UKTV enters VoD market with landmark HD content deal with Sky '' . UKTV. 29 July 2011 . Archived from the original on 7 November 2011 .   Jump up ^ `` Virgin Media sells £ 239m stake in UKTV '' . Financial Times . 15 August 2011 . Archived from the original on 3 January 2012 .   Jump up ^ `` Virgin TV just got even bigger '' . Virgin Media . Archived from the original on 11 October 2011 . Retrieved 4 October 2011 .   Jump up ^ `` UKTV launches Dave ja vu -- Brand Republic '' . Retrieved 6 June 2009 .   Jump up ^ `` UKTV secures free to air slot for Really , its cutting edge lifestyle channel '' . UKTV. 14 June 2011 . Archived from the original on 18 June 2011 .   Jump up ^ `` UKTV secures additional DTT slot '' . UKTV. 22 November 2012 . Archived from the original on 1 February 2013 .   Jump up ^ `` UKTV launches new Drama channel on Freeview '' . a516digital. 2 May 2013 . Retrieved 2 May 2013 .   Jump up ^ `` Dave Ja Vu reverts back to part time on Freeview '' . a516digital. 7 July 2013 . Retrieved 10 July 2013 .   Jump up ^ `` Dave Ja Vu back to 24 hours on Freeview '' . a516digital. 20 November 2014 . Retrieved 20 November 2014 .   ^ Jump up to : Welsh , James ( 21 November 2007 ) . `` UKTV celebrates Dave 's growth '' . Digital Spy . Retrieved 12 January 2008 .   Jump up ^ `` Television -- News -- New ' Red Dwarf ' pulls in over 2 million '' . Digital Spy . Retrieved 11 April 2009 .   Jump up ^ Whaling , James . `` When is the David Haye vs Mark De Mori fight ? TV channel information here '' . Daily Mirror . Retrieved 7 January 2016 .   Jump up ^ `` The Dave Weekly Podcast on iTunes '' .    External links ( edit )    Official website              UKTV     Channels     Alibi   Dave   Drama   Eden   Gold   Good Food   Home   Really     Yesterday       Former channels     Blighty   Play UK   UKTV Bright Ideas   UKTV Gardens   UK Horizons                 Media in the United Kingdom        UK national newspapers , magazines , and other periodicals        Newspapers ( History )      Broadsheet     Financial Times   The Daily Telegraph   The Sunday Telegraph   The Sunday Times       Compact     i   The Times       Middle - market     Daily Express   Daily Mail   The Mail on Sunday       Tabloid     The Guardian   The Observer   Daily Mirror   Sunday Mirror   Morning Star   The Sunday People   Daily Star   Daily Star Sunday   The Sun   Sunday Sport          Magazines &amp; other periodicals     List of magazines by circulation                Radio in the UK        National stations      BBC     Analogue / digital   Radio 1   Radio 2   Radio 3   Radio 4   5 Live   Digital only   Radio 1Xtra   Radio 4 Extra   5 Live Sports Extra   6 Music   Asian Network   World Service   BBC National DAB ( multiplex )       Independent / commercial     Analogue / digital   Absolute Radio   Classic FM   Heart   Kiss   Talksport   Digital only   Absolute 80s   Absolute 90s   BFBS Radio   Capital Xtra   Digital One ( multiplex )   Heart 80s   Heart Extra   heat   The Hits   Jazz FM   Kerrang !   Kiss Fresh   Kisstory   LBC   Magic   Planet Rock   Premier Christian Radio   Radio X   RNIB Connect Radio   Sound Digital ( multiplex )   Smooth Extra   Talkradio   UCB UK   Virgin Radio UK          Regional &amp; local stations      BBC     List of BBC Local Radio stations   List of BBC Regional Radio stations       Independent / commercial     List of community radio stations   List of local commercial radio stations   List of semi-national / regional analogue and digital radio stations          Other stations     List of hospital radio stations   Pirate radio   Restricted Service Licence ( RSL )   List of RSL stations     List of satellite radio stations   List of student and schools radio       Other     Broadcasting House   FM broadcasting   The Studios , MediaCityUK   Radio Academy   Radio Academy Awards     Radio Independents Group   RAJAR   Most listened to programmes                ( hide ) Television in the UK        Principal channels ( List )      BBC     BBC One   BBC Two   BBC Four   BBC News   BBC Parliament   CBBC   CBeebies       ITV     ITV   ITV2   ITV3   ITV4   CITV   ITV Encore   ITVBe   ITV Box Office       Ch 4     Channel 4   E4   Film4   More4   4s</t>
  </si>
  <si>
    <t xml:space="preserve">what did the channel dave used to be called</t>
  </si>
  <si>
    <t xml:space="preserve">   Dave         Launched   2 October 1998     Owned by   UKTV ( BBC Studios / Discovery Networks Northern Europe )     Picture format   576i ( 4 : 3 and 16 : 9 ) ( SDTV ) , 1080i ( HDTV )     Audience share   1.05 0.10 % ( Dave ja vu ) ( January 2018 ( 2018 - 01 ) , BARB )     Slogan   `` The Home of Witty Banter ''     Country   United Kingdom Ireland     Broadcast area   United Kingdom Ireland     Formerly called   UK Gold Classics ( 1998 -- 1999 ) UK Gold 2 ( 1999 -- 2003 ) UKG2 ( 2003 -- 2004 ) UKTV G2 ( 2004 -- 2007 )     Sister channel ( s )   Alibi Drama Eden Gold Good Food Home Really Yesterday     Timeshift service   Dave ja vu     Website   dave.uktv.co.uk     Availability     Terrestrial     Freeview   Channel 12 Channel 79 ( ja vu )     Satellite     Freesat   Channel 157     Sky   Channel 111 ( SD / HD ) Channel 211 ( ja vu ) Channel 811 ( SD )     Astra 2F   12129 V 27500 2 / 3     Cable     Virgin Media ( UK )   Channel 127 Channel 194 ( HD ) Channel 211 ( ja vu )     Virgin Media ( Ireland )   Channel 122     IPTV     BT TV   Channel 387 ( HD )     Eir Vision   Channel 111     Vodafone TV   Channel 121     Streaming media     TVPlayer   Watch live ( UK only ) Watch live ( Dave ja vu ) ( UK only )     Sky Go   Watch live ( UK and Ireland only )     Virgin TV Go   Watch live ( UK only )   </t>
  </si>
  <si>
    <t xml:space="preserve">2017 SEC Championship game - wikipedia  2017 SEC Championship game  Jump to : navigation , search    2017 SEC Championship Game        Georgia Bulldogs   Auburn Tigers     ( 11 -- 1 )   ( 10 -- 2 )     28   7     Head coach : Kirby Smart   Head coach : Gus Malzahn        AP   Coaches   CFP     6   6   6         AP   Coaches   CFP                                Total     Georgia   0   10     15   28     Auburn   7   0   0   0   7        Date   December 2 , 2017     Season   2017     Stadium   Mercedes - Benz Stadium     Location   Atlanta , Georgia     MVP   Roquan Smith     Favorite   Georgia by 1.5     Referee   John McDaid     Attendance   76,534     United States TV coverage     Network   CBS , Westwood One , SEC Radio     Announcers   Brad Nessler , Gary Danielson and Allie LaForce ( CBS ) Ryan Radtke , Derek Rackley and Olivia Harlan ( Westwood One ) Dave Neal , David Archer and David Crane ( SEC Radio )        SEC Championship Game       2018 &gt;          2017 SEC football standings               Conf       Overall     Team                             East Division     No. 2 Georgia xy $ ^     7   --             13   --         South Carolina     5   --             9   --         Kentucky       --             7   --   6       Missouri       --             7   --   6       Florida       --   5             --   7       Vanderbilt       --   7           5   --   7       Tennessee     0   --   8             --   8       West Division     No. 10 Auburn xy     7   --             10   --         No. 1 Alabama x# ^     7   --             13   --         No. 18 LSU     6   --             9   --         No. 19 Mississippi State       --             9   --         Texas A&amp;M       --             7   --   6       Ole Miss       --   5           6   --   6       Arkansas       --   7             --   8       Championship : Georgia 28 , Auburn 7       # -- College Football Playoff champion   ^ -- College Football Playoff participant   $ -- Conference champion   x -- Division champion / co-champions   y -- Championship game participant   Rankings from AP Poll     The 2017 SEC Championship Game was played on December 2 , 2017 at Mercedes - Benz Stadium in Atlanta , Georgia , and determined the 2017 football champion of the Southeastern Conference ( SEC ) . This was the first SEC Conference football championship at the Mercedes - Benz Stadium . The game featured the Eastern Division Champion , 2017 Georgia Bulldogs football team against the Western Division Co-Champion , the 2017 Auburn Tigers football team , in a rematch of the their rivalry game , which was won by Auburn by a score of 40 - 17 , on November 11 , 2017 . This game marked the first time that any permanent cross division rivals faced off in the SEC Championship Game . This was also the first SEC Championship Game with new SEC on CBS announcer Brad Nessler replacing Verne Lundquist , who retired in 2016 . The game was televised nationally by CBS .     Contents  ( hide )   1 2016 season   2 Teams   3 Game summary   3.1 Scoring summary   3.2 Statistics     4 See also   5 References      2016 season ( edit )   In the 2016 SEC Championship Game , the western division champion Alabama defeated the eastern division champion Florida 54 -- 16 in a rematch of the 2015 SEC Championship Game . It was the last SEC title game to be held at the Georgia Dome , which was demolished shortly before the 2017 title game , following the opening of Mercedes - Benz Stadium .   Teams ( edit )   Auburn   The Auburn Tigers clinched the SEC Western Division ( co-champion ) and a spot in the SEC championship game after defeating rival Alabama in the final game of the regular season . The Tigers got off to a slow start , allowing 11 sacks in a 14 -- 6 loss at ACC foe and # 3 ranked Clemson . However , the Tigers rebounded by winning four straight games , all blowouts , and were ranked # 10 going into a game at LSU , in which Auburn was heavily favored . Auburn built a 20 -- 0 lead in the first half , only to see it slip away in the second half as the Auburn Tigers fell to LSU 27 -- 23 . The Tigers then defeated conference foes Arkansas and Texas A&amp;M in blowouts before facing AP ranked # 2 Georgia on November 11 , by which point the Tigers had climbed back up to # 10 in the AP Poll . The Tigers dominated the Bulldogs 40 -- 17 , and moved up to # 6 in the polls as a result . After a tune - up game against Louisiana -- Monroe , the # 6 Tigers faced # 1 ranked Alabama , with the winner going to the SEC Championship . It was the Tigers who prevailed 26 -- 14 , setting up a rematch against Georgia .   Georgia   The Bulldogs clinched the SEC Eastern Division after beating rival South Carolina on November 4 . It was the earliest a spot in the SEC Championship Game had been clinched since 2009 . The Bulldogs had a great regular season , going 11 -- 1 . In the second game of the year , the Bulldogs defeated Notre Dame 20 -- 19 on a late field goal . Later in September , they defeated # 17 ranked Mississippi State 31 -- 3 , solidifying themselves as title contenders . After victories over lesser conference foes , the Bulldogs had a chance to clinch the SEC East with a victory over Florida . They dominated the Gators 42 -- 7 . After a win over South Carolina , the Bulldogs were ranked # 1 in the CFP poll and # 2 in the AP Poll . However , that week they were defeated handily by Auburn for their first loss of the year . The Bulldogs bounced back and defeated Kentucky and rival Georgia Tech to set up a rematch with Auburn .   Game summary ( edit )   Georgia and Auburn met in the SEC Championship Game , the first ever in the Mercedes - Benz Stadium , for a rematch of the regular - season contest . Auburn scored an early touchdown on their first drive of the game , going 75 yards on 10 plays . The Auburn defense forced Georgia to punt on their first drive after 7 plays . Both teams would go three - and - out on their next drives . Early into the second quarter , Auburn drove into the red zone before Jarrett Stidham fumbled the ball as he was sacked by Davin Bellamy . Roquan Smith recovered the fumble , and Georgia subsequently scored their first touchdown of the game on a 7 play , 83 - yard drive . Auburn was forced to go three - and - out afterwards , and Georgia responded with another scoring drive . After a potential touchdown pass was erased by a controversial `` pick play '' call , Georgia settled for a 27 - yard field goal to take their first lead of the game . Neither team would score for the remainder of the first half .   Georgia received the ball at the beginning of the first half , but they were forced to punt after 5 plays . Auburn would once again march into the red zone , but this time , Daniel Carlson 's 31 - yard field goal attempt was blocked by DaQuan Hawkins - Muckle and recovered by Dominick Sanders . Both teams traded punts on their next drives . Late into the third quarter , Georgia extended their lead to 13 - 7 with a 35 - yard field goal . On Auburn 's next drive , Lorenzo Carter forced Kerryon Johnson to fumble the ball , and Roquan Smith again recovered the fumble . Georgia would subsequently score a touchdown on a 4 - play , 39 - yard drive , capped off by a successful 2 - point conversion to put Georgia up 21 - 7 . After the Georgia defense forced Auburn to go three - and - out on their next drive , D'Andre Swift would score on a 64 - yard touchdown run to put Georgia up 28 - 7 , the final score of the game .   Scoring summary ( edit )     ( hide ) Scoring summary        Quarter   Time   Drive   Team   Scoring information   Score     Plays   Yards   TOP   UGA   AUB       9 : 54   10   75   5 : 06   AUB   Nate Craig - Myers 6 - yard touchdown reception from Jarrett Stidham , Daniel Carlson kick good   0   7       10 : 14   7   83   2 : 50   UGA   Isaac Nauta 2 - yard touchdown reception from Jake Fromm , Rodrigo Blankenship kick good   7   7       4 : 59   8   58   3 : 34   UGA   27 - yard field goal by Rodrigo Blankenship   10   7       1 : 26   7   62   3 : 22   UGA   35 - yard field goal by Rodrigo Blankenship   13   7       13 : 06     39   1 : 43   UGA   Terry Godwin 7 - yard touchdown reception from Jake Fromm , 2 - point Jake Fromm pass complete to Terry Godwin   21   7       10 : 34     75   1 : 38   UGA   D'Andre Swift 64 - yard touchdown run , Rodrigo Blankenship kick good   28   7     `` TOP '' = time of possession . For other American football terms , see Glossary of American football .   28   7        Statistics ( edit )     Statistics   UGA   AUB     First Downs   20   18     Total offense   421   259     Rushing yards -- TD   238 -- 1   114 -- 0     Passing yards -- TD   183 -- 2   145 -- 1     Passing : Comp -- Att -- Int   16 -- 22 -- 0   16 -- 32 -- 0     Fumbles : Number -- Lost   1 -- 0   2 -- 2     Penalties : Number -- Yards   7 -- 91   5 -- 39     Punts : Average Yardage   44.0   40.7     Punt returns - Yards :   1 - 3   2 - 14     Kickoff returns - Yards :   0 - 0   1 - 20     Sacks : Number -- Yards   3 - 24   2 - 13     Field Goals : Good -- Att   2 -- 2   0 -- 0     Points off turnovers   14   0     Time of Possession   33 : 02   26 : 58     See also ( edit )    Deep South 's Oldest Rivalry    References ( edit )    Jump up ^ Online Athens   Jump up ^ http://www.vegasinsider.com/college-football/odds/las-vegas/   Jump up ^ Kalland , Robbie. `` 2017 SEC Schedule find out who your team plays and when '' . CBS Sports.com . Retrieved September 14 , 2016 .              SEC Championship Game     Years                                                       2017   2018       Venues     Legion Field ( 1992 -- 1993 )   Georgia Dome ( 1994 -- 2016 )   Mercedes - Benz Stadium ( 2017 -- present )      Retrieved from `` https://en.wikipedia.org/w/index.php?title=2017_SEC_Championship_Game&amp;oldid=824513771 '' Categories :   SEC Championship Game   2017 in sports in Georgia ( U.S. state )   2017 Southeastern Conference football season   2010s in Atlanta   Georgia Bulldogs football games   Auburn Tigers football games           Talk                                           Contents                   About Wikipedia                                           Add links   This page was last edited on 7 February 2018 , at 20 : 20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</si>
  <si>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the sec championship game this year</t>
  </si>
  <si>
    <t xml:space="preserve">   2017 SEC Championship Game        Georgia Bulldogs   Auburn Tigers     ( 11 -- 1 )   ( 10 -- 2 )     28   7     Head coach : Kirby Smart   Head coach : Gus Malzahn        AP   Coaches   CFP     6   6   6         AP   Coaches   CFP                                Total     Georgia   0   10     15   28     Auburn   7   0   0   0   7        Date   December 2 , 2017     Season   2017     Stadium   Mercedes - Benz Stadium     Location   Atlanta , Georgia     MVP   Roquan Smith     Favorite   Georgia by 1.5     Referee   John McDaid     Attendance   76,534     United States TV coverage     Network   CBS , Westwood One , SEC Radio     Announcers   Brad Nessler , Gary Danielson and Allie LaForce ( CBS ) Ryan Radtke , Derek Rackley and Olivia Harlan ( Westwood One ) Dave Neal , David Archer and David Crane ( SEC Radio )        SEC Championship Game       2018 &gt;        </t>
  </si>
  <si>
    <t xml:space="preserve">Trinity - wikipedia  Trinity  Jump to : navigation , search `` Father , Son , Holy Ghost '' ; `` Holy Trinity '' ; and `` Trinitarian '' redirect here . For the related liturgical observance , see Trinity Sunday . For the album , see Father , Son , Holy Ghost ( album ) . For other uses , see Holy Trinity ( disambiguation ) , Trinitarian ( disambiguation ) , and Trinity ( disambiguation ) . Holy Trinity , depicted by Szymon Czechowicz ( 1756 -- 1758 )    Part of a series on     God     General conceptions ( show )   Agnosticism   Apatheism   Atheism   Deism   Henotheism   Ignosticism   Monotheism   Monism   Dualism   Monolatrism   Kathenotheism   Omnism   Panpsychism   Panentheism   Pantheism   Polytheism   Theism   Transtheism       Specific conceptions ( show )   Creator   Demiurge   Deus   Father   Great Architect   Monad   Mother   Supreme Being   Sustainer   The All   The Lord   Trinity   Tawhid   Ditheism   Monism   Personal   Unitarianism       In particular religions ( show )    Abrahamic       Judaism   Christianity   Islam   Bahá'í   Mormonism       Indo - Iranian       Hinduism   Buddhism   Jainism   Sikhism   Zoroastrianism       Chinese       Tian   Shangdi   Hongjun Laozu          Attributes ( show )   Eternalness   Existence   Gender   Names ( `` God '' )   Omnibenevolence   Omnipotence   Omnipresence   Omniscience         Experiences   Practices   ( show )   Belief   Esotericism   Faith   Fideism   Gnosis   Hermeticism   Metaphysics   Mysticism   Prayer   Revelation   Worship       Related topics ( show )   Euthyphro dilemma   God complex   God gene   Theology   Ontology   Problem of evil ( theodicy )   Religion   philosophy   texts     Portrayals of God in popular media                     Part of a series on     Christianity           Jesus   Christ   ( show )   Jesus in Christianity   Son of God   Virgin birth   Ministry   Crucifixion   Resurrection         Bible   Foundations   ( show )   Old Testament   New Testament   Gospel   Canon   Books   Church   Creed   New Covenant       Theology ( show )   God   Trinity   Father   Son   Holy Spirit       Apologetics   Baptism   Catholicism   Christology   History of theology   Mission   Patriology   Pneumatology   Salvation         History   Tradition   ( show )   Mary   Joseph   Apostles   Peter   Paul   Fathers   Early Christianity   Constantine   Councils   Augustine   East -- West Schism   Crusades   Thomas Aquinas   Martin Luther   Protestant Reformation   Radical Reformation       Related topics ( show )   Art   Holidays ( list )   Criticism   Culture   Ecumenism   Liturgy   Music   Other religions   Prayer   Sermon   Symbolism         Denominations   Groups   ( show )    Western       Adventist   Anabaptist   Anglican   Baptist   Calvinist   Catholic   Charismatic   Evangelical   Lutheran   Methodist   Pentecostal   Protestant       Eastern       Eastern Orthodox   Oriental Orthodox   Assyrian       Nontrinitarian       Jehovah 's Witness   Latter Day Saint   Oneness Pentecostal          Christianity portal                The Holy Trinity , by Masaccio ( 1425 ) The `` Heavenly Trinity '' joined to the `` Earthly Trinity '' through the Incarnation of the Son , by Murillo , c. 1677 .  The Christian doctrine of the Trinity ( Latin : Trinitas , lit . ' triad ' , from trinus , `` threefold '' ) holds that God is three consubstantial persons or hypostases -- the Father , the Son ( Jesus Christ ) , and the Holy Spirit -- as `` one God in three Divine Persons '' . The three persons are distinct , yet are one `` substance , essence or nature '' ( homoousios ) . In this context , a `` nature '' is what one is , whereas a `` person '' is who one is . The opposing view is referred to as Nontrinitarianism .   According to this central mystery of most Christian faiths , there is only one God in three persons : while distinct from one another in their relations of origin ( as the Fourth Council of the Lateran declared , `` it is the Father who generates , the Son who is begotten , and the Holy Spirit who proceeds '' ) ; and in their relations with one another , they are stated to be one in all else , co-equal , co-eternal and consubstantial , and each is God , whole and entire . Accordingly , the whole work of creation and grace in Christianity is seen as a single operation common to all three divine persons , in which each shows forth what is proper to him in the Trinity , so that all things are `` from the Father '' , `` through the Son '' and `` in the Holy Spirit '' .   Christian theologians believe that manifestations of the Trinity are made evident from the very beginning of the Bible . Genesis 1 : 1 - 3 posits God , His Spirit and the `` creative word of God '' together in the initial Genesis creation narrative account . While the Fathers of the Church saw Old Testament elements such as the appearance of three men to Abraham in Book of Genesis , chapter 18 , as foreshadowings of the Trinity , it was the New Testament that they saw as a basis for developing the concept of the Trinity . One of the most influential of the New Testament texts seen as implying the teaching of the Trinity was Matthew 28 : 19 , which mandated baptizing `` in the name of the Father , and of the Son , and of the Holy Spirit '' . Another New Testament text pointing to the Trinity was John 1 : 1 - 14 , in which the inter-relationships of the Triune God are reflected in the gospel author 's description of `` the Word '' , again showing the elements of the Triune God and their eternal ( always was , always is , and always shall be ) existence . ( Revelation 1 : 8 ) Reflection , proclamation , and dialogue led to the formulation of the doctrine that was felt to correspond to the data in the Bible . The simplest outline of the doctrine was formulated in the 4th century , largely in terms of rejection of what was considered not to be consonant with general Christian belief . Further elaboration continued in the succeeding centuries .   Scripture does not contain the word Trinity , yet , an indication of three distinct persons can be found in 1 John 5 : 7 for the validity of which exist a controversy known as Comma Johanneum . Early Christian belief in the deity of Jesus Christ existed since the first century , in the writings of John the Apostle . ( John 1 : 1 ) Jesus is also quoted as attesting to being one but not equal with the Father . ( John 10 : 30 )   Subsequently , in the understanding of Trinitarian Christian theology , Scripture `` bears witness to '' the activity of a God who can only be understood in Trinitarian terms . The doctrine did not take its definitive shape until late in the fourth century . During the intervening period , various tentative solutions , some more and some less satisfactory , were proposed . Trinitarianism contrasts with nontrinitarian positions which include Binitarianism ( one deity in two persons , or two deities ) , Unitarianism ( one deity in one person , analogous to Jewish interpretation of the Shema and Muslim belief in Tawhid ) , Oneness Pentecostalism or Modalism ( one deity manifested in three separate aspects ) . Additionally , the Church of Jesus Christ of Latter - day Saints believes the Father , the Son , and the Holy Ghost are three separate deities , two of which possess separate bodies of flesh and bones , while the Holy Ghost has only a body of spirit ; and that their unity is not physical , but in purpose .   Contents  ( hide )   1 Etymology   2 History   3 Theology   3.1 Trinitarian baptismal formula   3.2 Fundamental monotheism   3.3 One God as Three Persons   3.4 Perichoresis   3.5 Eternal generation and procession   3.6 Economic and immanent Trinity   3.7 Political aspect     4 Biblical background   4.1 Jesus as God   4.2 Holy Spirit as God   4.3 Old Testament parallels     5 Impact of Stoic philosophy   6 Artistic depictions   6.1 Image gallery     7 Nontrinitarianism   8 Islamic views   9 Judaism   10 See also   11 Extended notes   12 Endnotes and references   12.1 Other references     13 Further reading   14 External links    Etymology ( edit )   The word `` trinity '' is derived from Latin trinitas , meaning `` the number three , a triad '' . This abstract noun is formed from the adjective trinus ( three each , threefold , triple ) , as the word unitas is the abstract noun formed from unus ( one ) .   The corresponding word in Greek is tριάς , meaning `` a set of three '' or `` the number three '' . The first recorded use of this Greek word in Christian theology was by Theophilus of Antioch in about 170 . He wrote :   In like manner also the three days which were before the luminaries , are types of the Trinity ( Τριάδος ) , of God , and His Word , and His wisdom . And the fourth is the type of man , who needs light , that so there may be God , the Word , wisdom , man .   Tertullian , a Latin theologian who wrote in the early 3rd century , is credited as being the first to use the Latin words `` Trinity '' , `` person '' and `` substance '' to explain that the Father , Son , and Holy Spirit are `` one in essence -- not one in Person '' .   History ( edit )  Further information : Trinitarianism in the Church Fathers The earliest known depiction of the Trinity , Dogmatic Sarcophagus , AD 350 . Vatican Museums  The Ante - Nicene Fathers asserted Christ 's deity and spoke of `` Father , Son and Holy Spirit '' , even though their language is not that of the traditional doctrine as formalised in the fourth century . Trinitarians view these as elements of the codified doctrine . Ignatius of Antioch provides early support for the Trinity around 110 , exhorting obedience to `` Christ , and to the Father , and to the Spirit '' . Justin Martyr ( AD 100 -- c. 165 ) also writes , `` in the name of God , the Father and Lord of the universe , and of our Saviour Jesus Christ , and of the Holy Spirit '' . The first of the early church fathers to be recorded using the word `` Trinity '' was Theophilus of Antioch writing in the late 2nd century . He defines the Trinity as God , His Word ( Logos ) and His Wisdom ( Sophia ) in the context of a discussion of the first three days of creation . The first defence of the doctrine of the Trinity was in the early 3rd century by the early church father Tertullian . He explicitly defined the Trinity as Father , Son , and Holy Spirit and defended the Trinitarian theology against the `` Praxean '' heresy . St. Justin and Clement of Alexandra used the Trinity in their doxologies and St. Basil likewise , in the evening lighting of lamps .   Another early , and already more philosophic , formulation of the Trinity ( again without usage of that term ) is attributed to the Gnostic teacher Valentinus ( lived c. 100 -- c. 160 ) , who according to the fourth century theologian Marcellus of Ancyra , was `` the first to devise the notion of three subsistent entities ( hypostases ) , in a work that he entitled On the Three Natures . '' The highly allegorical exegesis of the Valentinian school inclined it to interpret the relevant scriptural passages as affirming a Divinity that , in some manner , is threefold . The Valentinian Gospel of Philip , which dates to approximately the time of Tertullian , upholds the Trinitarian formula . Whatever his influence on the later fully formed doctrine may have been , however , Valentinus 's school is rejected as heretical by orthodox Christians .   Although there is much debate as to whether the beliefs of the Apostles were merely articulated and explained in the Trinitarian Creeds , or were corrupted and replaced with new beliefs , all scholars recognize that the Creeds themselves were created in reaction to disagreements over the nature of the Father , Son , and Holy Spirit . These controversies took some centuries to be resolved .   Of these controversies , the most significant developments were articulated in the first four centuries by the Church Fathers in reaction to Adoptionism , Sabellianism , and Arianism . Adoptionism was the belief that Jesus was an ordinary man , born of Joseph and Mary , who became the Christ and Son of God at his baptism . In 269 , the Synods of Antioch condemned Paul of Samosata for his Adoptionist theology , and also condemned the term homoousios ( ὁμοούσιος , `` of the same being '' ) in the sense he used it .   Sabellianism taught that the Father , the Son , and the Holy Spirit are essentially one and the same , the difference being simply verbal , describing different aspects or roles of a single being . For this view Sabellius was excommunicated for heresy in Rome c. 220 .   In the fourth century , Arius , as traditionally understood , taught that the Father existed prior to the Son who was not , by nature , God but rather a changeable creature who was granted the dignity of becoming `` Son of God '' . In 325 , the Council of Nicaea adopted the Nicene Creed which described Christ as `` God of God , Light of Light , very God of very God , begotten , not made , being of one substance with the Father '' . The creed used the term homoousios ( of one substance ) to define the relationship between the Father and the Son . After more than fifty years of debate , homoousios was recognised as the hallmark of orthodoxy , and was further developed into the formula of `` three persons , one being '' .   The third Council of Sirmium , in 357 , was the high point of Arianism . The Seventh Arian Confession ( Second Sirmium Confession ) held that both homoousios ( of one substance ) and homoiousios ( of similar substance ) were unbiblical and that the Father is greater than the Son . ( This confession was later known as the Blasphemy of Sirmium )   But since many persons are disturbed by questions concerning what is called in Latin substantia , but in Greek ousia , that is , to make it understood more exactly , as to ' coessential , ' or what is called , ' like - in - essence , ' there ought to be no mention of any of these at all , nor exposition of them in the Church , for this reason and for this consideration , that in divine Scripture nothing is written about them , and that they are above men 's knowledge and above men 's understanding ;   Athanasius ( 293 -- 373 ) , who was present at the Council as one of the Bishop of Alexandria 's assistants , stated that the bishops were forced to use this terminology , which is not found in Scripture , because the biblical phrases that they would have preferred to use were claimed by the Arians to be capable of being interpreted in what the bishops considered to be a heretical sense . Moreover , the meanings of `` ousia '' and `` hypostasis '' overlapped then , so that `` hypostasis '' for some meant `` essence '' and for others `` person '' .   The Confession of the Council of Nicaea said little about the Holy Spirit . The doctrine of the divinity and personality of the Holy Spirit was developed by Athanasius in the last decades of his life . He defended and refined the Nicene formula . By the end of the 4th century , under the leadership of Basil of Caesarea , Gregory of Nyssa , and Gregory of Nazianzus ( the Cappadocian Fathers ) , the doctrine had reached substantially its current form .   Gregory of Nazianzus would say of the Trinity , `` No sooner do I conceive of the One than I am illumined by the splendour of the Three ; no sooner do I distinguish Three than I am carried back into the One . When I think of any of the Three , I think of Him as the Whole , and my eyes are filled , and the greater part of what I am thinking escapes me . I can not grasp the greatness of that One so as to attribute a greater greatness to the rest . When I contemplate the Three together , I see but one torch , and can not divide or measure out the undivided light . ''   Devotion to the Trinity centered in the French monasteries at Tours and Aniane where Saint Benedict dedicated the abbey church to the Trinity in 872 . Feast Days were not instituted until 1091 at Cluny and 1162 at Canterbury and papal resistance continued until 1331 .   Theology ( edit )   Trinitarian baptismal formula ( edit )  The Baptism of Christ , by Piero della Francesca , 15th century Main article : Trinitarian formula  In the synoptic Gospels the baptism of Jesus is often interpreted as a manifestation of all three persons of the Trinity : `` And when Jesus was baptized , he went up immediately from the water , and behold , the heavens were opened and he saw the spirit of God descending like a dove , and alighting on him ; and lo , a voice from heaven , saying , ' This is my beloved Son , with whom I am well pleased . ' '' Baptism is generally conferred with the Trinitarian formula , `` in the name of the Father , and of the Son , and of the Holy Spirit '' . Trinitarians identify this name with the Christian faith into which baptism is an initiation , as seen for example in the statement of Basil the Great ( 330 -- 379 ) : `` We are bound to be baptized in the terms we have received , and to profess faith in the terms in which we have been baptized . '' The First Council of Constantinople ( 381 ) also says , `` This is the Faith of our baptism that teaches us to believe in the Name of the Father , of the Son and of the Holy Spirit . According to this Faith there is one Godhead , Power , and Being of the Father , of the Son , and of the Holy Spirit . '' Matthew 28 : 19 may be taken to indicate that baptism was associated with this formula from the earliest decades of the Church 's existence .   Oneness Pentecostals demur from the Trinitarian view of baptism and emphasize baptism ' in the name of Jesus Christ ' as the original apostolic formula . For this reason , they often focus on the baptisms in Acts . Those who place great emphasis on the baptisms in Acts often likewise question the authenticity of Matthew 28 : 19 in its present form . Most scholars of New Testament textual criticism accept the authenticity of the passage , since there are no variant manuscripts regarding the formula , and the extant form of the passage is attested in the Didache and other patristic works of the 1st and 2nd centuries : Ignatius , Tertullian , Hippolytus , Cyprian , and Gregory Thaumaturgus .   Commenting on Matthew 28 : 19 , Gerhard Kittel states :   This threefold relation ( of Father , Son and Spirit ) soon found fixed expression in the triadic formulae in 2 Cor. 13 : 14 and in 1 Cor. 12 : 4 -- 6 . The form is first found in the baptismal formula in Matthew 28 : 19 ; Did. , 7 . 1 and 3 ... ( I ) t is self - evident that Father , Son and Spirit are here linked in an indissoluble threefold relationship .   Fundamental monotheism ( edit )  Main article : Monotheism  Christianity , having emerged from Judaism , is a monotheistic religion . Never in the New Testament does the Trinitarian concept become a `` tritheism '' ( three Gods ) nor even two . God is one , and that God is a single being is strongly declared in the Bible :    The Shema of the Hebrew Scriptures : `` Hear , O Israel : the LORD our God , the LORD is one . ''   The first of the Ten Commandments -- `` Thou shalt have no other gods before me . ''   And `` Thus saith the LORD the King of Israel and his redeemer the LORD of hosts : I am the first and I am the last ; and beside me there is no God . ''   In the New Testament : `` The LORD our God is one . ''    In the Trinitarian view , the Father and the Son and the Holy Spirit share the one essence , substance or being . The central and crucial affirmation of Christian faith is that there is one savior , God , and one salvation , manifest in Jesus Christ , to which there is access only because of the Holy Spirit . The God of the Old Testament is still the same as the God of the New . In Christianity , statements about a single God are intended to distinguish the Hebraic understanding from the polytheistic view , which see divine power as shared by several beings , beings which can and do disagree and have conflicts with each other .   One God as three persons ( edit )     The Father Son Holy Spirit The `` Shield of the Trinity '' or Scutum Fidei diagram of traditional medieval Western Christian symbolism     In Trinitarian doctrine , God exists as three persons or hypostases , but is one being , having a single divine nature . The members of the Trinity are co-equal and co-eternal , one in essence , nature , power , action , and will . As stated in the Athanasian Creed , the Father is uncreated , the Son is uncreated , and the Holy Spirit is uncreated , and all three are eternal without beginning . `` The Father and the Son and the Holy Spirit '' are not names for different parts of God , but one name for God because three persons exist in God as one entity . They can not be separate from one another . Each person is understood as having the identical essence or nature , not merely similar natures .   For Trinitarians , emphasis in Genesis 1 : 26 is on the plurality in the Deity , and in 1 : 27 on the unity of the divine Essence . A possible interpretation of Genesis 1 : 26 is that God 's relationships in the Trinity are mirrored in man by the ideal relationship between husband and wife , two persons becoming one flesh , as described in Eve 's creation later in the next chapter .   Perichoresis ( edit )  Main article : Perichoresis A depiction of the Council of Nicaea in AD 325 , at which the Deity of Christ was declared orthodox and Arianism condemned  Perichoresis ( from Greek , `` going around '' , `` envelopment '' ) is a term used by some theologians to describe the relationship among the members of the Trinity . The Latin equivalent for this term is circumincessio . This concept refers for its basis to John 14 -- 17 , where Jesus is instructing the disciples concerning the meaning of his departure . His going to the Father , he says , is for their sake ; so that he might come to them when the `` other comforter '' is given to them . Then , he says , his disciples will dwell in him , as he dwells in the Father , and the Father dwells in him , and the Father will dwell in them . This is so , according to the theory of perichoresis , because the persons of the Trinity `` reciprocally contain one another , so that one permanently envelopes and is permanently enveloped by , the other whom he yet envelopes '' . ( Hilary of Poitiers , Concerning the Trinity 3 : 1 ) .   Perichoresis effectively excludes the idea that God has parts , but rather is a simple being . It also harmonizes well with the doctrine that the Christian 's union with the Son in his humanity brings him into union with one who contains in himself , in the Apostle Paul 's words , `` all the fullness of deity '' and not a part . ( See also : Divinization ( Christian ) ) . Perichoresis provides an intuitive figure of what this might mean . The Son , the eternal Word , is from all eternity the dwelling place of God ; he is the `` Father 's house '' , just as the Son dwells in the Father and the Spirit ; so that , when the Spirit is `` given '' , then it happens as Jesus said , `` I will not leave you as orphans ; for I will come to you . ''   According to the words of Jesus , married persons are in some sense no longer two but are joined into one . Therefore , Orthodox theologians also see the marriage relationship between a man and a woman to be an example of this sacred union . `` Therefore shall a man leave his father and his mother , and shall cleave unto his wife : and they shall be one flesh . '' Gen. 2 : 24 . `` Wherefore they are no more twain but one flesh . What therefore God hath joined together , let no man put asunder . '' Matt . 19 : 6 .   Eternal generation and Procession ( edit )  Further information : Filioque  Trinitarianism affirms that the Son is `` begotten '' ( or `` generated '' ) of the Father and that the Spirit `` proceeds '' from the Father , but the Father is `` neither begotten nor proceeds '' . The argument over whether the Spirit proceeds from the Father alone , or from the Father and the Son , was one of the catalysts of the Great Schism , in this case concerning the Western addition of the Filioque clause to the Nicene Creed . The Roman Catholic Church teaches that , in the sense of the Latin verb procedere ( which does not have to indicate ultimate origin and is therefore compatible with proceeding through ) , but not in that of the Greek verb ἐκπορεύεσθαι ( which implies ultimate origin ) , the Spirit `` proceeds '' from the Father and the Son , and the Eastern Orthodox Church , which teaches that the Spirit `` proceeds '' from the Father alone , has made no statement on the claim of a difference in meaning between the two words , one Greek and one Latin , both of which are translated as `` proceeds '' . The Eastern Orthodox Churches object to the Filioque clause on ecclesiological and theological grounds , holding that `` from the Father '' means `` from the Father alone '' .   This language is often considered difficult because , if used regarding humans or other created things , it would imply time and change ; when used here , no beginning , change in being , or process within time is intended and is excluded . The Son is generated ( `` born '' or `` begotten '' ) , and the Spirit proceeds , eternally . Augustine of Hippo explains , `` Thy years are one day , and Thy day is not daily , but today ; because Thy today yields not to tomorrow , for neither does it follow yesterday . Thy today is eternity ; therefore Thou begat the Co-eternal , to whom Thou saidst , ' This day have I begotten Thee . ' ''   Most Protestant groups that use the creed also include the Filioque clause . Its controversial use is addressed in several confessions : the Westminster Confession 2 : 3 , the London Baptist Confession 2 : 3 , and the Lutheran Augsburg Confession 1 : 1 -- 6 .   Economic and immanent Trinity ( edit )       The neutrality of this section is disputed . Relevant discussion may be found on the talk page . Please do not remove this message until conditions to do so are met . ( June 2016 ) ( Learn how and when to remove this template message )     The term `` immanent Trinity '' focuses on who God is ; the term `` economic Trinity '' focuses on what God does .   According to the Catechism of the Catholic Church ,   The Fathers of the Church distinguish between theology ( theologia ) and economy ( oikonomia ) . `` Theology '' refers to the mystery of God 's inmost life within the Blessed Trinity and `` economy '' to all the works by which God reveals himself and communicates his life . Through the oikonomia the theologia is revealed to us ; but conversely , the theologia illuminates the whole oikonomia . God 's works reveal who he is in himself ; the mystery of his inmost being enlightens our understanding of all his works . So it is , analogously , among human persons . A person discloses himself in his actions , and the better we know a person , the better we understand his actions .   The ancient Nicene theologians argued that everything the Trinity does is done by Father , Son , and Spirit working in unity with one will . The three persons of the Trinity always work inseparably , for their work is always the work of the one God . The Son 's will can not be different from the Father 's because it is the Father 's . They have but one will as they have but one being . Otherwise they would not be one God . According to Phillip Cary , if there were relations of command and obedience between the Father and the Son , there would be no Trinity at all but rather three gods . On this point St. Basil observes `` When then He says , ' I have not spoken of myself ' , and again , ' As the Father said unto me , so I speak ' , and ' The word which ye hear is not mine , but ( the Father 's ) which sent me ' , and in another place , ' As the Father gave me commandment , even so I do ' , it is not because He lacks deliberate purpose or power of initiation , nor yet because He has to wait for the preconcerted key - note , that he employs language of this kind . His object is to make it plain that His own will is connected in indissoluble union with the Father . Do not then let us understand by what is called a ' commandment ' a peremptory mandate delivered by organs of speech , and giving orders to the Son , as to a subordinate , concerning what He ought to do . Let us rather , in a sense befitting the Godhead , perceive a transmission of will , like the reflexion of an object in a mirror , passing without note of time from Father to Son . ''  A Greek fresco of Athanasius of Alexandria , the chief architect of the Nicene Creed , formulated at Nicaea .  Athanasius of Alexandria explained that the Son is eternally one in being with the Father , temporally and voluntarily subordinate in his incarnate ministry . Such human traits , he argued , were not to be read back into the eternal Trinity . Likewise , the Cappadocian Fathers also insisted there was no economic inequality present within the Trinity . As Basil wrote : `` We perceive the operation of the Father , Son , and Holy Spirit to be one and the same , in no respect showing differences or variation ; from this identity of operation we necessarily infer the unity of nature . ''   The traditional theory of `` appropriation '' consists in attributing certain names , qualities , or operations to one of the Persons of the Trinity , not , however , to the exclusion of the others , but in preference to the others . This theory was established by the Latin Fathers of the fourth and fifth centuries , especially by Hilary of Poitiers , Augustine , and Leo the Great . In the Middle Ages , the theory was systematically taught by the Schoolmen such as Bonaventure .   Roger E. Olson says that a number of evangelical theologians hold the view that there is a hierarchy of authority in the Trinity with the Son being subordinate to the Father . `` The Gospel of John makes this clear as Jesus repeatedly mentions that he came to do the Father 's will . '' Olsen cautions , however , that the hierarchy in the `` economic Trinity '' should be distinguished from the `` immanent Trinity '' . He cites the Cappadocian Fathers , `` the Father is the source or `` fount '' of divinity within the Godhead ; the Son and the Spirit derive their deity from the Father eternally ( so there is no question of inequality of being ) . Their favorite analogy was the sun and its light and heat . There is no imagining the sun without its light and heat and yet it is the source of them . ''   Benjamin B. Warfield saw a principle of subordination in the `` modes of operation '' of the Trinity , but was also hesitant to ascribe the same to the `` modes of subsistence '' in relation of one to another . While noting that it is natural to see a subordination in function as reflecting a similar subordination in substance , he suggests that this might be the result of `` ... an agreement by Persons of the Trinity -- a `` Covenant '' as it is technically called -- by virtue of which a distinct function in the work of redemption is assumed by each `` .   Political aspect ( edit )   Richard E. Rubenstein says that Emperor Constantine and his advisor Hosius of Corduba were aware of the usefulness of having a divinely ordained church in which the church authority , and not the individual , was able to determine individual salvation , and threw their support toward the homoousion Nicene formula . According to Eusebius , Constantine suggested the term homoousios at the Council of Nicaea , though most scholars have doubted that Constantine had such knowledge and have thought that most likely Hosius had suggested the term to him . Constantine later changed his view about the Arians , who opposed the Nicene formula , and supported the bishops who rejected the formula , as did several of his successors , the first emperor to be baptized in the Nicene faith being Theodosius the Great , emperor from 379 to 395 .   Biblical background ( edit )   From the Old Testament , the early church retained the conviction that God is one . The New Testament does not use the word Τριάς ( Trinity ) nor explicitly teach the Nicene Trinitarian doctrine , but it contains several passages that use twofold and threefold patterns to speak of God . Binitarian passages include Rom. 8 : 11 , 2 Cor. 4 : 14 , Galatians 1 : 1 , Eph. 1 : 20 , 1 Tim . 1 : 2 , 1 Pet. 1 : 21 , and 2 John 1 : 13 . Passages which refer to the Godhead with a threefold pattern include Matt . 28 : 19 , 1 Cor. 6 : 11 and 12 : 4ff. , Gal. 3 : 11 -- 14 , Heb. 10 : 29 , 1 Pet. 1 : 2 and 1 John 5 : 7 . These passages provided the material with which Christians would develop doctrines of the Trinity . Reflection by early Christians on passages such as the Great Comm</t>
  </si>
  <si>
    <t xml:space="preserve">what does the father son and the holy spirit mean</t>
  </si>
  <si>
    <t xml:space="preserve"> The Christian doctrine of the Trinity ( Latin : Trinitas , lit . ' triad ' , from trinus , `` threefold '' ) holds that God is three consubstantial persons or hypostases -- the Father , the Son ( Jesus Christ ) , and the Holy Spirit -- as `` one God in three Divine Persons '' . The three persons are distinct , yet are one `` substance , essence or nature '' ( homoousios ) . In this context , a `` nature '' is what one is , whereas a `` person '' is who one is . The opposing view is referred to as Nontrinitarianism . </t>
  </si>
  <si>
    <t xml:space="preserve">List of National Basketball Association single - game scoring leaders - wikipedia  List of National Basketball Association single - game scoring leaders  This is the latest accepted revision , reviewed on 21 May 2018 . Jump to : navigation , search  This is a complete listing of National Basketball Association players who have scored 60 or more points in a game .   This feat has been accomplished 68 times in NBA history . Twenty - five different players have scored 60 or more points in a game . Only four players have scored 60 or more points on more than one occasion : Wilt Chamberlain ( 32 times ) , Kobe Bryant ( 6 times ) , Michael Jordan ( 5 times ) , and Elgin Baylor ( 4 times ) . Chamberlain holds the single - game scoring record , having scored 100 points in a game in 1962 .   Jordan ( 63 ) and Baylor ( 61 ) are the only players to score at least 60 points in a game during the playoffs , each accomplishing this once .     Contents  ( hide )   1 Key   2 List   3 See also   4 Notes   5 References   6 External links      Key ( edit )       Denotes player who is currently active in the NBA     *   Denotes player who has been inducted into the Naismith Memorial Basketball Hall of Fame       Occurred in playoff competition       Player 's team lost the game     MP   Minutes played   FGM   Field goals made   FGA   Field goal attempts     3PM   3 - point field goals made   3PA   3 - point field goal attempts   DNP   Did not play     FTM   Free throws made   FTA   Free throw attempts     List ( edit )     Rank   Points   Player   Date   1st   2nd   3rd   4th   Team   Opponent   Score   MP   FGM   FGA   3PM   3PA   FTM   FTA   Notes   Ref .     Scoring by quarter       100   Chamberlain , Wilt Wilt Chamberlain *   000000001962 - 03 - 02 - 0000 March 2 , 1962   23   18   28   31   Philadelphia Warriors   New York Knicks   169 -- 147   48   36   63   --   --   28   32           81   Bryant , Kobe Kobe Bryant   000000002006 - 01 - 22 - 0000 January 22 , 2006   14   12   27   28   Los Angeles Lakers   Toronto Raptors   122 -- 104   41 : 56   28   46   7   13   18   20           78   Chamberlain , Wilt Wilt Chamberlain *   000000001961 - 12 - 08 - 0000 December 8 , 1961   --   --   --   --   Philadelphia Warriors   Los Angeles Lakers   147 -- 151   63   31   62   --   --   16   31           73   Chamberlain , Wilt Wilt Chamberlain *   000000001962 - 01 - 13 - 0000 January 13 , 1962   --   --   --   --   Philadelphia Warriors   Chicago Packers   135 -- 117   48   29   48   --   --   15   25         73   Chamberlain , Wilt Wilt Chamberlain *   000000001962 - 11 - 16 - 0000 November 16 , 1962   --   --   --   --   San Francisco Warriors   New York Knicks   127 -- 111   48   29   43   --   --   15   19         73   Thompson , David David Thompson *   000000001978 - 04 - 09 - 0000 April 9 , 1978   32   21   9   11   Denver Nuggets   Detroit Pistons   137 -- 139   43   28   38   --   --   17   20         7   72   Chamberlain , Wilt Wilt Chamberlain *   000000001962 - 11 - 03 - 0000 November 3 , 1962   --   --   --   --   San Francisco Warriors   Los Angeles Lakers   115 -- 127   --   29   48   --   --   14   18         8   71   Baylor , Elgin Elgin Baylor *   000000001960 - 11 - 15 - 0000 November 15 , 1960   --   --   --   --   Los Angeles Lakers   New York Knicks   123 -- 108   45   28   48   --   --   15   18         71   Robinson , David David Robinson *   000000001994 - 04 - 24 - 0000 April 24 , 1994   18   6   19   28   San Antonio Spurs   Los Angeles Clippers   112 -- 97   44   26   41       18   25         10   70   Chamberlain , Wilt Wilt Chamberlain *   000000001963 - 03 - 10 - 0000 March 10 , 1963   --   --   --   --   San Francisco Warriors   Syracuse Nationals   148 -- 163   48   27   38   --   --   16   22         70   Booker , Devin Devin Booker ^   000000002017 - 03 - 24 - 0000 March 24 , 2017   10   9   23   28   Phoenix Suns   Boston Celtics   120 -- 130   45   21   40     11   24   26         12   69   Jordan , Michael Michael Jordan *   000000001990 - 03 - 28 - 0000 March 28 , 1990   16   15   20   18   Chicago Bulls   Cleveland Cavaliers   117 -- 113   50   23   37     6   21   23         13   68   Chamberlain , Wilt Wilt Chamberlain *   000000001967 - 12 - 16 - 0000 December 16 , 1967   14   15   15   24   Philadelphia 76ers   Chicago Bulls   143 -- 123   --   30   40   --   --   8   22         68   Maravich , Pete Pete Maravich *   000000001977 - 02 - 25 - 0000 February 25 , 1977   17   14   17   20   New Orleans Jazz   New York Knicks   124 -- 107   43   26   43   --   --   16   19         15   67   Chamberlain , Wilt Wilt Chamberlain *   000000001961 - 03 - 09 - 0000 March 9 , 1961   --   --   --   --   Philadelphia Warriors   New York Knicks   135 -- 126   --   27   37   --   --   13   17         67   Chamberlain , Wilt Wilt Chamberlain *   000000001962 - 02 - 17 - 0000 February 17 , 1962   --   --   --   --   Philadelphia Warriors   St. Louis Hawks   121 -- 128   48   26   44   --   --   15   20         67   Chamberlain , Wilt Wilt Chamberlain *   000000001962 - 02 - 25 - 0000 February 25 , 1962   --   --   --   --   Philadelphia Warriors   New York Knicks   135 -- 149   48   25   38   --   --   17   22         67   Chamberlain , Wilt Wilt Chamberlain *   000000001963 - 01 - 11 - 0000 January 11 , 1963   --   --   --   --   San Francisco Warriors   Los Angeles Lakers   129 -- 134   --   28   47   --   --   11   17         19   66   Chamberlain , Wilt Wilt Chamberlain *   000000001969 - 02 - 09 - 0000 February 9 , 1969   17   17   22   10   Los Angeles Lakers   Phoenix Suns   134 -- 116   48   29   35   --   --   8   18         20   65   Chamberlain , Wilt Wilt Chamberlain *   000000001962 - 02 - 13 - 0000 February 13 , 1962   --   --   --   --   Philadelphia Warriors   Cincinnati Royals   132 -- 152   48   24   40   --   --   17   30         65   Chamberlain , Wilt Wilt Chamberlain *   000000001962 - 02 - 27 - 0000 February 27 , 1962   --   --   --   --   Philadelphia Warriors   St. Louis Hawks   147 -- 137   48   25   43   --   --   15   20         65   Chamberlain , Wilt Wilt Chamberlain *   000000001966 - 02 - 07 - 0000 February 7 , 1966   --   --   --   --   Philadelphia 76ers   Los Angeles Lakers   132 -- 125   --   28   43   --   --   9   20         65   Bryant , Kobe Kobe Bryant   000000002007 - 03 - 16 - 0000 March 16 , 2007     19   9   24   Los Angeles Lakers   Portland Trail Blazers   116 -- 111   49 : 58   23   39   8   12   11   12         24   64   Baylor , Elgin Elgin Baylor *   000000001959 - 11 - 08 - 0000 November 8 , 1959   13   12   17   22   Minneapolis Lakers   Boston Celtics   136 -- 115   --   25   47   --   --   14   19         64   Barry , Rick Rick Barry *   000000001974 - 03 - 26 - 0000 March 26 , 1974   --   --   23   22   Golden State Warriors   Portland Trail Blazers   143 -- 120   43   30   45   --   --     5         64   Jordan , Michael Michael Jordan *   000000001993 - 01 - 16 - 0000 January 16 , 1993   22   8   11   16   Chicago Bulls   Orlando Magic   124 -- 128   47   27   49     5   9   11         27   63   Fulks , Joe Joe Fulks *   000000001949 - 02 - 10 - 0000 February 10 , 1949   --   --   --   --   Philadelphia Warriors   Indianapolis Jets   108 -- 87   --   27   56   --   --   9   14         63   Baylor , Elgin Elgin Baylor *   000000001961 - 12 - 08 - 0000 December 8 , 1961   --   --   --   --   Los Angeles Lakers   Philadelphia Warriors   151 -- 147   --   23   55   --   --   17   24         63   West , Jerry Jerry West *   000000001962 - 01 - 17 - 0000 January 17 , 1962   --   --   --   --   Los Angeles Lakers   New York Knicks   129 -- 121   39   22   36   --   --   19   22         63   Chamberlain , Wilt Wilt Chamberlain *   000000001962 - 12 - 14 - 0000 December 14 , 1962   --   --   --   --   San Francisco Warriors   Los Angeles Lakers   118 -- 120   --   24   41   --   --   15   20         63   Chamberlain , Wilt Wilt Chamberlain *   000000001964 - 11 - 26 - 0000 November 26 , 1964   --   --   --   --   San Francisco Warriors   Philadelphia 76ers   117 -- 128   --   27   58   --   --   9   20         63   Gervin , George George Gervin *   000000001978 - 04 - 09 - 0000 April 9 , 1978   20   33   10   DNP   San Antonio Spurs   New Orleans Jazz   132 -- 153   33   23   49   --   --   17   20         63   Jordan , Michael Michael Jordan *   000000001986 - 04 - 20 - 0000 April 20 , 1986   17   6   13   18   Chicago Bulls   Boston Celtics   131 -- 135   53   22   41   0   0   19   21         34   62   Chamberlain , Wilt Wilt Chamberlain *   000000001962 - 01 - 14 - 0000 January 14 , 1962   --   --   --   --   Philadelphia Warriors   Boston Celtics   136 -- 145   48   27   45   --   --   8   10         62   Chamberlain , Wilt Wilt Chamberlain *   000000001962 - 01 - 17 - 0000 January 17 , 1962   --   --   --   --   Philadelphia Warriors   St. Louis Hawks   136 -- 130   53   24   48   --   --   14   20         62   Chamberlain , Wilt Wilt Chamberlain *   000000001962 - 01 - 21 - 0000 January 21 , 1962   --   --   --   --   Philadelphia Warriors   Syracuse Nationals   139 -- 132   53   25   42   --   --   12   17         62   Chamberlain , Wilt Wilt Chamberlain *   000000001963 - 01 - 29 - 0000 January 29 , 1963   --   --   --   --   San Francisco Warriors   New York Knicks   123 -- 103   --   27   44   --   --   8   17         62   Chamberlain , Wilt Wilt Chamberlain *   000000001964 - 11 - 15 - 0000 November 15 , 1964   --   --   --   --   San Francisco Warriors   Cincinnati Royals   122 -- 106   --   26   44   --   --   10   21         62   Chamberlain , Wilt Wilt Chamberlain *   000000001966 - 03 - 03 - 0000 March 3 , 1966   --   --   --   --   Philadelphia 76ers   San Francisco Warriors   135 -- 125   --   26   39   --   --   10   19         62   McGrady , Tracy Tracy McGrady *   000000002004 - 03 - 10 - 0000 March 10 , 2004   7   21   24   10   Orlando Magic   Washington Wizards   108 -- 99   45 : 50   20   37   5   14   17   26         62   Bryant , Kobe Kobe Bryant   000000002005 - 12 - 20 - 0000 December 20 , 2005   15   17   30   DNP   Los Angeles Lakers   Dallas Mavericks   112 -- 90   32 : 53   18   31     10   22   25         62   Anthony , Carmelo Carmelo Anthony ^   000000002014 - 01 - 24 - 0000 January 24 , 2014   20   17   19   6   New York Knicks   Charlotte Bobcats   125 -- 96   38 : 39   23   35   6   11   10   10         43   61   Mikan , George George Mikan *   000000001952 - 01 - 20 - 0000 January 20 , 1952   18   18   --   --   Minneapolis Lakers   Rochester Royals   91 -- 81   --   22   45   --   --   17   21         61   Chamberlain , Wilt Wilt Chamberlain *   000000001961 - 12 - 09 - 0000 December 9 , 1961   --   --   --   --   Philadelphia Warriors   Chicago Packers   135 -- 113   48   28   48   --   --   5   10         61   Chamberlain , Wilt Wilt Chamberlain *   000000001962 - 02 - 22 - 0000 February 22 , 1962   --   --   --   --   Philadelphia Warriors   St. Louis Hawks   139 -- 121   48   21   36   --   --   19   34         61   Chamberlain , Wilt Wilt Chamberlain *   000000001962 - 02 - 28 - 0000 February 28 , 1962   --   --   --   --   Philadelphia Warriors   Chicago Packers   128 -- 119   48   24   46   --   --   13   17         61   Baylor , Elgin Elgin Baylor *   000000001962 - 04 - 14 - 0000 April 14 , 1962   18   15   13   15   Los Angeles Lakers   Boston Celtics   126 -- 121   --   22   46   --   --   17   19         61   Chamberlain , Wilt Wilt Chamberlain *   000000001962 - 11 - 21 - 0000 November 21 , 1962   --   --   --   --   San Francisco Warriors   Cincinnati Royals   139 -- 143   --   27   52   --   --   7   15         61   Chamberlain , Wilt Wilt Chamberlain *   000000001962 - 12 - 11 - 0000 December 11 , 1962   --   --   --   --   San Francisco Warriors   Syracuse Nationals   136 -- 124   --   27   57   --   --   7   11         61   Chamberlain , Wilt Wilt Chamberlain *   000000001962 - 12 - 18 - 0000 December 18 , 1962   --   --   --   --   San Francisco Warriors   St. Louis Hawks   130 -- 110   --   26   53   --   --   9   14         61   Jordan , Michael Michael Jordan *   000000001987 - 03 - 04 - 0000 March 4 , 1987   14   10   7   26   Chicago Bulls   Detroit Pistons   125 -- 120   43   22   39   0   0   17   18         61   Jordan , Michael Michael Jordan *   000000001987 - 04 - 16 - 0000 April 16 , 1987   15   17   16   13   Chicago Bulls   Atlanta Hawks   114 -- 117   41   22   38   0     17   21         61   Malone , Karl Karl Malone *   000000001990 - 01 - 27 - 0000 January 27 , 1990   17   13   20   11   Utah Jazz   Milwaukee Bucks   144 -- 96   33   21   26   0   0   19   23         61   O'Neal , Shaquille Shaquille O'Neal *   000000002000 - 03 - 06 - 0000 March 6 , 2000   10   16   16   19   Los Angeles Lakers   Los Angeles Clippers   123 -- 103   44 : 52   24   35   0   0   13   22         61   Bryant , Kobe Kobe Bryant   000000002009 - 02 - 02 - 0000 February 2 , 2009   18   16   12   15   Los Angeles Lakers   New York Knicks   126 -- 117   36 : 48   19   31     6   20   20         61   James , LeBron LeBron James ^   000000002014 - 03 - 03 - 0000 March 3 , 2014   11   13   25   12   Miami Heat   Charlotte Bobcats   124 -- 107   41 : 12   22   33   8   10   9   12         57   60   Chamberlain , Wilt Wilt Chamberlain *   000000001961 - 12 - 01 - 0000 December 1 , 1961   --   --   --   --   Philadelphia Warriors   Los Angeles Lakers   138 -- 117   48   22   47   --   --   16   26         60   Chamberlain , Wilt Wilt Chamberlain *   000000001961 - 12 - 29 - 0000 December 29 , 1961   --   --   --   --   Philadelphia Warriors   Los Angeles Lakers   123 -- 118   48   24   43   --   --   12   19         60   Chamberlain , Wilt Wilt Chamberlain *   000000001969 - 01 - 26 - 0000 January 26 , 1969   18   9   10   23   Los Angeles Lakers   Cincinnati Royals   126 -- 113   --   22   36   --   --   16   24         60   King , Bernard Bernard King *   000000001984 - 12 - 25 - 0000 December 25 , 1984   21   19   11   9   New York Knicks   New Jersey Nets   114 -- 120   41   19   30   0   0   22   26         60   Bird , Larry Larry Bird *   000000001985 - 03 - 12 - 0000 March 12 , 1985   12   11   19   18   Boston Celtics   Atlanta Hawks   126 -- 115   43   22   36       15   16         60   Chambers , Tom Tom Chambers   000000001990 - 03 - 24 - 0000 March 24 , 1990   14   21   14   11   Phoenix Suns   Seattle SuperSonics   121 -- 95   42   22   32   0   0   16   18         60   Iverson , Allen Allen Iverson *   000000002005 - 02 - 12 - 0000 February 12 , 2005   17   12   11   20   Philadelphia 76ers   Orlando Magic   112 -- 99   42 : 01   17   36     5   24   27         60   Arenas , Gilbert Gilbert Arenas   000000002006 - 12 - 17 - 0000 December 17 , 2006   12   5   12   15   Washington Wizards   Los Angeles Lakers   147 -- 141   49 : 00   17   32   5   12   21   27         60   Bryant , Kobe Kobe Bryant   000000002007 - 03 - 22 - 0000 March 22 , 2007   13   11   19   17   Los Angeles Lakers   Memphis Grizzlies   121 -- 119   45 : 11   20   37     7   17   18         60   Bryant , Kobe Kobe Bryant   000000002016 - 04 - 13 - 0000 April 13 , 2016   15   7   15   23   Los Angeles Lakers   Utah Jazz   101 -- 96   42   22   50   6   21   10   12         60   Klay Thompson ^   000000002016 - 12 - 05 - 0000 December 5 , 2016   17   23   20   DNP   Golden State Warriors   Indiana Pacers   142 -- 106   29   21   33   8   14   10   11         60   James Harden ^   000000002018 - 01 - 30 - 0000 January 30 , 2018   16   13   13   18   Houston Rockets   Orlando Magic   114 -- 107   46 : 26   19   30   5   14   17   18         See also ( edit )    National Basketball Association portal     NBA regular season records   List of National Basketball Association single - game playoff scoring leaders   List of NCAA Division I men 's basketball players with 60 or more points in a game   List of basketball players who have scored 100 points in a single game    Notes ( edit )    Chamberlain set the following , still - standing ( as of the 2017 - 18 season ) single - game NBA records : points scored ( 100 ) , points scored in a half ( 59 ) , shots made ( 36 ) , shots attempted ( 63 ) , and free throws made ( 28 ) . Also set a then - record for points scored in a quarter ( 31 ) . Last game in a streak in which Chamberlain scored 60 points or more in four straight games . Game played at Hershey Sports Arena in Hershey , Pennsylvania .   Outscored the Raptors 55 - 41 in the second half . Led Lakers from an 18 - point deficit . Bryant was in the middle of a free throw scoring streak which came to an end at 62 . Scored 28 of the Lakers ' 31 points in the fourth quarter . Scored 19 consecutive Laker points between the end of the first half and the middle of the third quarter .   3 OT ; set a then - record for points in a game . Most points scored in a losing effort . Also recorded 43 rebounds .   Set a then - record for points in a regulation game .   Most points scored in an opposing arena .   Last game of the season ; George Gervin scored 63 on the same night to win the scoring title by a . 07 margin .   Set a then - record for points in a game .   Last game of regular season to win a scoring title over Shaquille O'Neal .   Youngest player to score at least 60 points in a game .   8 points in overtime . OT victory ; also recorded his regular season career - high for rebounds in this game with 18 .   Last time Chamberlain scored 60 .   Scored basket that sent game in OT . Scored nine in extra period .   Set a then - record for points in a game .   Scored 7 points in OT .   Pre-shot clock era ; set a then - record for points in a game .   3 OT .   Scored a then - record 33 points in the second quarter . Lost game but won the scoring title on last game of the season over David Thompson .   NBA Playoffs record . 5 points in first OT , 4 points in second OT .   OT ; Game played at Detroit , Michigan .   OT ; Game played at Utica , New York .   Sat out the fourth quarter ; outscored Dallas alone through three quarters , 62 -- 61 .   Anthony made a half - court buzzer - beater at the end of the first half .   2 OT ; Mikan scored 67 % of his team 's points .   NBA Finals record ( game 5 victory ) ; most points in a regulation playoff game .   Scored four points in OT .   Part of a streak in which Jordan scored 50 or more points in three consecutive games to become the only player besides Wilt Chamberlain with a 3,000 point season .   On his 28th birthday .   Made his first 8 three - pointers .   Chamberlain 's seventh straight 50 + point game ( an NBA record ) and 13th straight 40 + point game ( he would push this streak to 14 the next evening ) . Game played at Hershey Sports Arena in Hershey , Pennsylvania .   Game played at Cleveland , Ohio .   Scored last basket at the buzzer . Game played at Lakefront Arena in New Orleans , Louisiana .   Scored 16 of his team 's 21 points in OT , setting an NBA record .   3rd game of a four - game 50 + streak ; Bryant 's 50 + streak exceeded only by Chamberlain 's streaks of seven ( twice ) , six , and five ( four times ) .   Final game of Bryant 's career . Oldest player to score 60 .   Sat out the fourth quarter .   New Rockets franchise single - game scoring record , as well as setting the record for highest scoring triple double in league history .    References ( edit )    Jump up ^ Lawrence , Mitch . `` Chamberlain 's feats the stuff of legend '' . ESPN.com . Retrieved 2009 - 03 - 18 .   Jump up ^ `` This Date in History - March '' . NBA.com . Turner Sports Interactive , Inc . Retrieved 2009 - 03 - 18 .   Jump up ^ hoophall.com ( 2007 - 02 - 10 ) . `` The Story Behind Wilt Chamberlain 's 100 - point game '' . Archived from the original on 2006 - 11 - 18 .   Jump up ^ `` Wilt 's 100 - Point Game Box Score '' . NBA.com . Retrieved May 6 , 2013 .   ^ Jump up to : `` Wilt Chamberlain 1961 - 62 game log '' . Basketball-Reference.com . Retrieved 4 January 2017 .   Jump up ^ `` Kobe 's 81 - point game second only to Wilt '' . ESPN.com . Retrieved 18 March 2009 .   Jump up ^ `` Toronto Raptors @ Los Angeles Lakers Box Score '' . basketball-reference.com . Retrieved 8 February 2017 .   Jump up ^ `` Kobe 's 81 point game highlights '' . Retrieved 9 February 2017 .   ^ Jump up to : `` Wilt Chamberlain 1962 - 63 game log '' . Basketball-Reference.com . Retrieved 5 January 2017 .   Jump up ^ `` ROBINSON GETS 71 , SCORING TITLE '' . Chicago Tribune . April 25 , 1994 . p . C10 .   Jump up ^ `` Robinson Wins Title with 71 Big Ones '' . The Washington Post . April 25 , 1994 . p . B8 .   Jump up ^ `` Basketball ; 69 Points F &gt; or Jordan '' . The New York Times . March 29 , 1990 . Retrieved May 6 , 2013 .   Jump up ^ Smith , Sam ( March 29 , 1990 ) . `` Jordan pours in 69 His ` best game ever ' beats Cavs in OT '' . Chicago Tribune . p . C1 .   Jump up ^ `` Michael Jordan top rebounding regular season games '' . Basketball - Reference . Retrieved 4 January 2017 .   Jump up ^ `` Portland Trail Blazers @ Los Angeles Lakers - Friday , March 16th , 2007 '' . NBA.com . Retrieved May 6 , 2013 .   Jump up ^ Povtak , Tim ( January 17 , 1993 ) . `` Jordan 's 64 ca n't stop Magic Anderson steals show in overtime '' . Orlando Sentinel . p . C1 .   Jump up ^ `` T - Mac has first 60 - point game since 2000 '' . ESPN.com . March 10 , 2004 . Retrieved May 6 , 2013 .   Jump up ^ `` Washington Wizards @ Orlando Magic - Wednesday , March 10th , 2004 '' . NBA.com . Retrieved May 6 , 2013 .   Jump up ^ `` It 's Kobe 's night as Mavs have no answers '' . ESPN.com . December 20 , 2005 . Retrieved May 6 , 2013 .   Jump up ^ `` Dallas Mavericks @ Los Angeles Lakers - Tuesday , December 20th , 2005 '' . NBA.com . Retrieved May 6 , 2013 .   Jump up ^ `` Bobcats at Knicks - Game Preview , Play - by - Play , Scores and Recap on NBA.com '' . ESPN.com . January 24 , 2014 . Retrieved January 24 , 2014 .   Jump up ^ `` Jordan Lights Up Silverdome With 61 Points '' .   Jump up ^ `` MICHAEL JORDAN : 61 pts vs Detroit Pistons ( 1987.03. 04 ) '' .   Jump up ^ `` Michael Jordan 61 Points vs Pistons &amp; Isiah Thomas 31Pts 18Assists ( 1987 ) MUST Watch ! '' .   Jump up ^ `` 61 for Jordan , 23 in a Row '' . The New York Times . April 17 , 1987 . Retrieved May 6 , 2013 .   Jump up ^ Sakamoto , Bob ( April 17 , 1987 ) . `` Jordan triumphant in Bulls ' defeat '' . Chicago Tribune . p . C1 .   Jump up ^ `` Michael Jordan 61pts vs Hawks part 1 '' .   Jump up ^ `` Michael Jordan 61pts vs Hawks part 2 '' .   Jump up ^ `` Michael Jordan 61pts vs Hawks part 3 '' .   Jump up ^ Enlund , Tom ( January 28 , 1990 ) . `` Malone answers all - star snub with 61 points against Bucks '' , The Milwaukee Journal , p. 1C .   Jump up ^ `` Los Angeles Lakers @ Los Angeles Clippers - Monday , March 6th , 2000 '' . NBA.com . Retrieved May 6 , 2013 .   Jump up ^ `` Los Angeles Lakers @ New York Knicks - Monday , February 2nd , 2009 '' . NBA.com . Retrieved May 6 , 2013 .   Jump up ^ `` Bobcats at Heat - March 3 , 2014 '' . NBA.com . Retrieved March 3 , 2014 .   Jump up ^ `` Bobcats vs Heat game recap '' . Retrieved 4 January 2017 .   Jump up ^ Goldpaper , Sam ( December 26 , 1984 ) . `` King Scores Knick - Record 60 Points in Loss to Nets '' . The New York Times . p . D9 .   Jump up ^ `` ' It Was Like Living in a Video Game ' : An Oral History of Larry Bird 's 60 - Point Game '' . archive.boston.com . Retrieved 2016 - 12 - 06 .   Jump up ^ `` Nosedive Persists For Nets '' . The New York Times . March 25 , 1990 . p . S4 .   Jump up ^ `` Suns ' Chambers lights up Sonics for 60 points '' . Chicago Tribune . March 25 , 1990 . p . C15 .   Jump up ^ `` On This Day In History ( 3.24. 90 ) Tom Chambers scored a franchise high 60 points vs the Sonics '' . Ballislife.com . Retrieved 2016 - 02 - 24 .   Jump up ^ `` Chambers Lights It Up '' . www.nba.com . Retrieved 2016 - 12 - 06 .   Jump up ^ `` Three - time scoring champ hits career high '' . ESPN.com . February 12 , 2005 . Retrieved May 6 , 2013 .   Jump up ^ `` Orlando Magic @ Philadelphia 76ers - Saturday , February 12th , 2005 '' . NBA.com . Retrieved May 6 , 2013 .   Jump up ^ `` Washington Wizards @ Los Angeles Lakers - Sunday , December 17th , 2006 '' . NBA.com . Retrieved May 6 , 2013 .   Jump up ^ `` Los Angeles Lakers @ Memphis Grizzlies - Thursday , March 22nd , 2007 '' . NBA.com . Retrieved May 6 , 2013 .   Jump up ^ `` Jazz vs. Lakers - Box Score - April 13 , 2016 '' . Retrieved April 13 , 2016 .   Jump up ^ `` Kobe scores 60 in unbelievable farewell victory '' . NBA.com . Retrieved 4 January 2017 .   Jump up ^ `` Pacers vs. Warriors - Box Score - December 5 , 2016 - ESPN '' . ESPN.com . Retrieved 2016 - 12 - 06 .   Jump up ^ `` Magic vs. Rockets - Box Score - January 30 , 2018 - ESPN '' . ESPN.com . Retrieved 2018 - 01 - 30 .    External links ( edit )    Top single - game scorers ( 60 - plus ) from NBA.com   NBA Almanac : Most Points   Historical NBA Box Scores   Wilt Chamberlain Career Retrospective   Harvey Pollack 's Statistical Yearbook      ( hide )         National Basketball Association statistical leaders     Players      Career      Regular season     Points   Franchise     Rebounds   Assists   Steals   Blocks   Turnovers   Three - point field goals   Free throws   Seasons   Games   Minutes       Playoffs     Points   Rebounds   Assists   Steals   Blocks   Turnovers   Three - point field goals   Free throws   Games   Minutes          Annual     Points   Rebounds   Assists   Steals   Blocks   Minutes   Field goal percentage   Three - point field goals   Three - point field goal percentage   Free throw percentage       Season     Points   Rookie     Rebounds   Rookie         Game     Points   Playoffs     Rebounds   Assists   Steals   Blocks       Misc     Tallest players   Shortest players   Oldest and youngest players   Highest - paid players          Teams     Winningest teams   All - time win - loss records   Winning streaks   Losing streaks       Misc     Highest - scoring games   Records   Regular season   Playoffs   All - Star Game        Retrieved from `` https://en.wikipedia.org/w/index.php?title=List_of_National_Basketball_Association_single-game_scoring_leaders&amp;oldid=842315136 '' Categories :   National Basketball Association statistical leaders   Hidden categories :   Wikipedia pending changes protected pages   Articles with hCards           Talk                                           Contents                   About Wikipedia                                           Español   Français   Svenska   Edit links   This page was last edited on 21 May 2018 , at 17 : 19 .         About Wikipedia                    </t>
  </si>
  <si>
    <t xml:space="preserve">who scored the 2nd most points in a nba game</t>
  </si>
  <si>
    <t xml:space="preserve">   Rank   Points   Player   Date   1st   2nd   3rd   4th   Team   Opponent   Score   MP   FGM   FGA   3PM   3PA   FTM   FTA   Notes   Ref .     Scoring by quarter       100   Chamberlain , Wilt Wilt Chamberlain *   000000001962 - 03 - 02 - 0000 March 2 , 1962   23   18   28   31   Philadelphia Warriors   New York Knicks   169 -- 147   48   36   63   --   --   28   32           81   Bryant , Kobe Kobe Bryant   000000002006 - 01 - 22 - 0000 January 22 , 2006   14   12   27   28   Los Angeles Lakers   Toronto Raptors   122 -- 104   41 : 56   28   46   7   13   18   20           78   Chamberlain , Wilt Wilt Chamberlain *   000000001961 - 12 - 08 - 0000 December 8 , 1961   --   --   --   --   Philadelphia Warriors   Los Angeles Lakers   147 -- 151   63   31   62   --   --   16   31           73   Chamberlain , Wilt Wilt Chamberlain *   000000001962 - 01 - 13 - 0000 January 13 , 1962   --   --   --   --   Philadelphia Warriors   Chicago Packers   135 -- 117   48   29   48   --   --   15   25         73   Chamberlain , Wilt Wilt Chamberlain *   000000001962 - 11 - 16 - 0000 November 16 , 1962   --   --   --   --   San Francisco Warriors   New York Knicks   127 -- 111   48   29   43   --   --   15   19         73   Thompson , David David Thompson *   000000001978 - 04 - 09 - 0000 April 9 , 1978   32   21   9   11   Denver Nuggets   Detroit Pistons   137 -- 139   43   28   38   --   --   17   20         7   72   Chamberlain , Wilt Wilt Chamberlain *   000000001962 - 11 - 03 - 0000 November 3 , 1962   --   --   --   --   San Francisco Warriors   Los Angeles Lakers   115 -- 127   --   29   48   --   --   14   18         8   71   Baylor , Elgin Elgin Baylor *   000000001960 - 11 - 15 - 0000 November 15 , 1960   --   --   --   --   Los Angeles Lakers   New York Knicks   123 -- 108   45   28   48   --   --   15   18         71   Robinson , David David Robinson *   000000001994 - 04 - 24 - 0000 April 24 , 1994   18   6   19   28   San Antonio Spurs   Los Angeles Clippers   112 -- 97   44   26   41       18   25         10   70   Chamberlain , Wilt Wilt Chamberlain *   000000001963 - 03 - 10 - 0000 March 10 , 1963   --   --   --   --   San Francisco Warriors   Syracuse Nationals   148 -- 163   48   27   38   --   --   16   22         70   Booker , Devin Devin Booker ^   000000002017 - 03 - 24 - 0000 March 24 , 2017   10   9   23   28   Phoenix Suns   Boston Celtics   120 -- 130   45   21   40     11   24   26         12   69   Jordan , Michael Michael Jordan *   000000001990 - 03 - 28 - 0000 March 28 , 1990   16   15   20   18   Chicago Bulls   Cleveland Cavaliers   117 -- 113   50   23   37     6   21   23         13   68   Chamberlain , Wilt Wilt Chamberlain *   000000001967 - 12 - 16 - 0000 December 16 , 1967   14   15   15   24   Philadelphia 76ers   Chicago Bulls   143 -- 123   --   30   40   --   --   8   22         68   Maravich , Pete Pete Maravich *   000000001977 - 02 - 25 - 0000 February 25 , 1977   17   14   17   20   New Orleans Jazz   New York Knicks   124 -- 107   43   26   43   --   --   16   19         15   67   Chamberlain , Wilt Wilt Chamberlain *   000000001961 - 03 - 09 - 0000 March 9 , 1961   --   --   --   --   Philadelphia Warriors   New York Knicks   135 -- 126   --   27   37   --   --   13   17         67   Chamberlain , Wilt Wilt Chamberlain *   000000001962 - 02 - 17 - 0000 February 17 , 1962   --   --   --   --   Philadelphia Warriors   St. Louis Hawks   121 -- 128   48   26   44   --   --   15   20         67   Chamberlain , Wilt Wilt Chamberlain *   000000001962 - 02 - 25 - 0000 February 25 , 1962   --   --   --   --   Philadelphia Warriors   New York Knicks   135 -- 149   48   25   38   --   --   17   22         67   Chamberlain , Wilt Wilt Chamberlain *   000000001963 - 01 - 11 - 0000 January 11 , 1963   --   --   --   --   San Francisco Warriors   Los Angeles Lakers   129 -- 134   --   28   47   --   --   11   17         19   66   Chamberlain , Wilt Wilt Chamberlain *   000000001969 - 02 - 09 - 0000 February 9 , 1969   17   17   22   10   Los Angeles Lakers   Phoenix Suns   134 -- 116   48   29   35   --   --   8   18         20   65   Chamberlain , Wilt Wilt Chamberlain *   000000001962 - 02 - 13 - 0000 February 13 , 1962   --   --   --   --   Philadelphia Warriors   Cincinnati Royals   132 -- 152   48   24   40   --   --   17   30         65   Chamberlain , Wilt Wilt Chamberlain *   000000001962 - 02 - 27 - 0000 February 27 , 1962   --   --   --   --   Philadelphia Warriors   St. Louis Hawks   147 -- 137   48   25   43   --   --   15   20         65   Chamberlain , Wilt Wilt Chamberlain *   000000001966 - 02 - 07 - 0000 February 7 , 1966   --   --   --   --   Philadelphia 76ers   Los Angeles Lakers   132 -- 125   --   28   43   --   --   9   20         65   Bryant , Kobe Kobe Bryant   000000002007 - 03 - 16 - 0000 March 16 , 2007     19   9   24   Los Angeles Lakers   Portland Trail Blazers   116 -- 111   49 : 58   23   39   8   12   11   12         24   64   Baylor , Elgin Elgin Baylor *   000000001959 - 11 - 08 - 0000 November 8 , 1959   13   12   17   22   Minneapolis Lakers   Boston Celtics   136 -- 115   --   25   47   --   --   14   19         64   Barry , Rick Rick Barry *   000000001974 - 03 - 26 - 0000 March 26 , 1974   --   --   23   22   Golden State Warriors   Portland Trail Blazers   143 -- 120   43   30   45   --   --     5         64   Jordan , Michael Michael Jordan *   000000001993 - 01 - 16 - 0000 January 16 , 1993   22   8   11   16   Chicago Bulls   Orlando Magic   124 -- 128   47   27   49     5   9   11         27   63   Fulks , Joe Joe Fulks *   000000001949 - 02 - 10 - 0000 February 10 , 1949   --   --   --   --   Philadelphia Warriors   Indianapolis Jets   108 -- 87   --   27   56   --   --   9   14         63   Baylor , Elgin Elgin Baylor *   000000001961 - 12 - 08 - 0000 December 8 , 1961   --   --   --   --   Los Angeles Lakers   Philadelphia Warriors   151 -- 147   --   23   55   --   --   17   24         63   West , Jerry Jerry West *   000000001962 - 01 - 17 - 0000 January 17 , 1962   --   --   --   --   Los Angeles Lakers   New York Knicks   129 -- 121   39   22   36   --   --   19   22         63   Chamberlain , Wilt Wilt Chamberlain *   000000001962 - 12 - 14 - 0000 December 14 , 1962   --   --   --   --   San Francisco Warriors   Los Angeles Lakers   118 -- 120   --   24   41   --   --   15   20         63   Chamberlain , Wilt Wilt Chamberlain *   000000001964 - 11 - 26 - 0000 November 26 , 1964   --   --   --   --   San Francisco Warriors   Philadelphia 76ers   117 -- 128   --   27   58   --   --   9   20         63   Gervin , George George Gervin *   000000001978 - 04 - 09 - 0000 April 9 , 1978   20   33   10   DNP   San Antonio Spurs   New Orleans Jazz   132 -- 153   33   23   49   --   --   17   20         63   Jordan , Michael Michael Jordan *   000000001986 - 04 - 20 - 0000 April 20 , 1986   17   6   13   18   Chicago Bulls   Boston Celtics   131 -- 135   53   22   41   0   0   19   21         34   62   Chamberlain , Wilt Wilt Chamberlain *   000000001962 - 01 - 14 - 0000 January 14 , 1962   --   --   --   --   Philadelphia Warriors   Boston Celtics   136 -- 145   48   27   45   --   --   8   10         62   Chamberlain , Wilt Wilt Chamberlain *   000000001962 - 01 - 17 - 0000 January 17 , 1962   --   --   --   --   Philadelphia Warriors   St. Louis Hawks   136 -- 130   53   24   48   --   --   14   20         62   Chamberlain , Wilt Wilt Chamberlain *   000000001962 - 01 - 21 - 0000 January 21 , 1962   --   --   --   --   Philadelphia Warriors   Syracuse Nationals   139 -- 132   53   25   42   --   --   12   17         62   Chamberlain , Wilt Wilt Chamberlain *   000000001963 - 01 - 29 - 0000 January 29 , 1963   --   --   --   --   San Francisco Warriors   New York Knicks   123 -- 103   --   27   44   --   --   8   17         62   Chamberlain , Wilt Wilt Chamberlain *   000000001964 - 11 - 15 - 0000 November 15 , 1964   --   --   --   --   San Francisco Warriors   Cincinnati Royals   122 -- 106   --   26   44   --   --   10   21         62   Chamberlain , Wilt Wilt Chamberlain *   000000001966 - 03 - 03 - 0000 March 3 , 1966   --   --   --   --   Philadelphia 76ers   San Francisco Warriors   135 -- 125   --   26   39   --   --   10   19         62   McGrady , Tracy Tracy McGrady *   000000002004 - 03 - 10 - 0000 March 10 , 2004   7   21   24   10   Orlando Magic   Washington Wizards   108 -- 99   45 : 50   20   37   5   14   17   26         62   Bryant , Kobe Kobe Bryant   000000002005 - 12 - 20 - 0000 December 20 , 2005   15   17   30   DNP   Los Angeles Lakers   Dallas Mavericks   112 -- 90   32 : 53   18   31     10   22   25         62   Anthony , Carmelo Carmelo Anthony ^   000000002014 - 01 - 24 - 0000 January 24 , 2014   20   17   19   6   New York Knicks   Charlotte Bobcats   125 -- 96   38 : 39   23   35   6   11   10   10         43   61   Mikan , George George Mikan *   000000001952 - 01 - 20 - 0000 January 20 , 1952   18   18   --   --   Minneapolis Lakers   Rochester Royals   91 -- 81   --   22   45   --   --   17   21         61   Chamberlain , Wilt Wilt Chamberlain *   000000001961 - 12 - 09 - 0000 December 9 , 1961   --   --   --   --   Philadelphia Warriors   Chicago Packers   135 -- 113   48   28   48   --   --   5   10         61   Chamberlain , Wilt Wilt Chamberlain *   000000001962 - 02 - 22 - 0000 February 22 , 1962   --   --   --   --   Philadelphia Warriors   St. Louis Hawks   139 -- 121   48   21   36   --   --   19   34         61   Chamberlain , Wilt Wilt Chamberlain *   000000001962 - 02 - 28 - 0000 February 28 , 1962   --   --   --   --   Philadelphia Warriors   Chicago Packers   128 -- 119   48   24   46   --   --   13   17         61   Baylor , Elgin Elgin Baylor *   000000001962 - 04 - 14 - 0000 April 14 , 1962   18   15   13   15   Los Angeles Lakers   Boston Celtics   126 -- 121   --   22   46   --   --   17   19         61   Chamberlain , Wilt Wilt Chamberlain *   000000001962 - 11 - 21 - 0000 November 21 , 1962   --   --   --   --   San Francisco Warriors   Cincinnati Royals   139 -- 143   --   27   52   --   --   7   15         61   Chamberlain , Wilt Wilt Chamberlain *   000000001962 - 12 - 11 - 0000 December 11 , 1962   --   --   --   --   San Francisco Warriors   Syracuse Nationals   136 -- 124   --   27   57   --   --   7   11         61   Chamberlain , Wilt Wilt Chamberlain *   000000001962 - 12 - 18 - 0000 December 18 , 1962   --   --   --   --   San Francisco Warriors   St. Louis Hawks   130 -- 110   --   26   53   --   --   9   14         61   Jordan , Michael Michael Jordan *   000000001987 - 03 - 04 - 0000 March 4 , 1987   14   10   7   26   Chicago Bulls   Detroit Pistons   125 -- 120   43   22   39   0   0   17   18         61   Jordan , Michael Michael Jordan *   000000001987 - 04 - 16 - 0000 April 16 , 1987   15   17   16   13   Chicago Bulls   Atlanta Hawks   114 -- 117   41   22   38   0     17   21         61   Malone , Karl Karl Malone *   000000001990 - 01 - 27 - 0000 January 27 , 1990   17   13   20   11   Utah Jazz   Milwaukee Bucks   144 -- 96   33   21   26   0   0   19   23         61   O'Neal , Shaquille Shaquille O'Neal *   000000002000 - 03 - 06 - 0000 March 6 , 2000   10   16   16   19   Los Angeles Lakers   Los Angeles Clippers   123 -- 103   44 : 52   24   35   0   0   13   22         61   Bryant , Kobe Kobe Bryant   000000002009 - 02 - 02 - 0000 February 2 , 2009   18   16   12   15   Los Angeles Lakers   New York Knicks   126 -- 117   36 : 48   19   31     6   20   20         61   James , LeBron LeBron James ^   000000002014 - 03 - 03 - 0000 March 3 , 2014   11   13   25   12   Miami Heat   Charlotte Bobcats   124 -- 107   41 : 12   22   33   8   10   9   12         57   60   Chamberlain , Wilt Wilt Chamberlain *   000000001961 - 12 - 01 - 0000 December 1 , 1961   --   --   --   --   Philadelphia Warriors   Los Angeles Lakers   138 -- 117   48   22   47   --   --   16   26         60   Chamberlain , Wilt Wilt Chamberlain *   000000001961 - 12 - 29 - 0000 December 29 , 1961   --   --   --   --   Philadelphia Warriors   Los Angeles Lakers   123 -- 118   48   24   43   --   --   12   19         60   Chamberlain , Wilt Wilt Chamberlain *   000000001969 - 01 - 26 - 0000 January 26 , 1969   18   9   10   23   Los Angeles Lakers   Cincinnati Royals   126 -- 113   --   22   36   --   --   16   24         60   King , Bernard Bernard King *   000000001984 - 12 - 25 - 0000 December 25 , 1984   21   19   11   9   New York Knicks   New Jersey Nets   114 -- 120   41   19   30   0   0   22   26         60   Bird , Larry Larry Bird *   000000001985 - 03 - 12 - 0000 March 12 , 1985   12   11   19   18   Boston Celtics   Atlanta Hawks   126 -- 115   43   22   36       15   16         60   Chambers , Tom Tom Chambers   000000001990 - 03 - 24 - 0000 March 24 , 1990   14   21   14   11   Phoenix Suns   Seattle SuperSonics   121 -- 95   42   22   32   0   0   16   18         60   Iverson , Allen Allen Iverson *   000000002005 - 02 - 12 - 0000 February 12 , 2005   17   12   11   20   Philadelphia 76ers   Orlando Magic   112 -- 99   42 : 01   17   36     5   24   27         60   Arenas , Gilbert Gilbert Arenas   000000002006 - 12 - 17 - 0000 December 17 , 2006   12   5   12   15   Washington Wizards   Los Angeles Lakers   147 -- 141   49 : 00   17   32   5   12   21   27         60   Bryant , Kobe Kobe Bryant   000000002007 - 03 - 22 - 0000 March 22 , 2007   13   11   19   17   Los Angeles Lakers   Memphis Grizzlies   121 -- 119   45 : 11   20   37     7   17   18         60   Bryant , Kobe Kobe Bryant   000000002016 - 04 - 13 - 0000 April 13 , 2016   15   7   15   23   Los Angeles Lakers   Utah Jazz   101 -- 96   42   22   50   6   21   10   12         60   Klay Thompson ^   000000002016 - 12 - 05 - 0000 December 5 , 2016   17   23   20   DNP   Golden State Warriors   Indiana Pacers   142 -- 106   29   21   33   8   14   10   11         60   James Harden ^   000000002018 - 01 - 30 - 0000 January 30 , 2018   16   13   13   18   Houston Rockets   Orlando Magic   114 -- 107   46 : 26   19   30   5   14   17   18       </t>
  </si>
  <si>
    <t xml:space="preserve">Indian contract law - Wikipedia  Indian contract law  Jump to : navigation , search  Indian contract law regulates contract law in India . The main contract law in India is codified in the Indian Contract Act 1872 which came into effect on September 1 , 1872 and is applicable in the whole country . It governs entering into contract , execution of contract , and the effects of breach of contract .     Contents  ( hide )   1 Definition   2 Enforcement of contracts   3 See also   4 References      Definition ( edit )   According to Section 2 ( h ) of the Indian Contract Act , 1872 a contract is ( i ) An agreement Enforceable by law An agreement as per Section 2 ( e ) means a promise ... or a set of promises in exchange for a promise or a set of promises .   Enforcement of contracts ( edit )   Enforcement of contracts is a big problem in India as legal system can be slow and litigious . India is ranked 185th out of 191 countries surveyed by world bank in terms of ease of enforcing a contract .   See also ( edit )    Australian contract law   English contract law   German contract law   United States contract law   South African contract law    References ( edit )    Singh , Avtar ( 2013 ) . Law of Contract ( 11th ed . ) . Lucknow : Eastern Book Company . ISBN 978 - 93 - 5028 - 735 - 4 .     Jump up ^ Why Indian entrepreneurs struggle with the legal system and the bare essentials they need to know : Early - stage , pre-investment startups ( 1 )   Jump up ^ http://www.doingbusiness.org/data/exploreeconomies/india/          This article about the law of India is a stub . You can help Wikipedia by expanding it .            Retrieved from `` https://en.wikipedia.org/w/index.php?title=Indian_contract_law&amp;oldid=705039962 '' Categories :   Law in India   Contract law   Indian law stubs               Talk                                           Contents                   About Wikipedia                                           हिन्दी   Edit links   This page was last edited on 15 February 2016 , at 04 : 03 .         About Wikipedia                    </t>
  </si>
  <si>
    <t xml:space="preserve">which law in india regulates the business contracts</t>
  </si>
  <si>
    <t xml:space="preserve"> Indian contract law regulates contract law in India . The main contract law in India is codified in the Indian Contract Act 1872 which came into effect on September 1 , 1872 and is applicable in the whole country . It governs entering into contract , execution of contract , and the effects of breach of contract . </t>
  </si>
  <si>
    <r>
      <rPr>
        <sz val="11"/>
        <color rgb="FF000000"/>
        <rFont val="Calibri"/>
        <family val="0"/>
        <charset val="1"/>
      </rPr>
      <t xml:space="preserve">Sri Lanka Matha - wikipedia  Sri Lanka Matha  Jump to : navigation , search  Sri Lanka Matha   English : Mother Sri Lanka     Śrī Laṁkā Mātā Srī Laṅkā Tāyē     Flag of Sri Lanka     anthem of Sri Lanka     Also known as   ශ්‍රී ලංකා මාතා ஸ்ரீ லங்கா தாயே     Lyrics   Ananda Samarakoon , 1940     Music   Ananda Samarakoon , 1940     Adopted   1951         Audio sample     Sri Lanka Matha ( instrumental )   file   help                       Sri Lanka Matha ( Sinhalese : ශ්‍රී ලංකා මාතා Śrī Laṁkā Mātā ; Tamil : ஸ்ரீ லங்கா தாயே , translit . Srī Laṅkā Tāyē ) is the national anthem of Sri Lanka .     Contents  ( hide )   1 History   2 Multilingual   2.1 Tamil version controversy     3 Lyrics   4 References   5 External links      History ( edit )   There are differing accounts as to the origin of the Sri Lanka Matha . The most widely held view is that Sri Lankan composer Ananda Samarakoon wrote the music and lyrics to the song inspired / influenced by Bengali poet Rabindranath Tagore . A minority suggest that Tagore wrote the anthem in full . Some have suggested that Tagore wrote the music whilst Samarakoon wrote the lyrics . Samarakoon had been a pupil of Tagore at Visva - Bharati University , Santiniketan . After returning to Ceylon Samarakoon taught music at Mahinda College , Galle . The song , which was then known as Namo Namo Mata , was first sung by students at Mahinda College . After it was sung by the choir from Musaeus College , Colombo at a public event it became hugely popular in Ceylon and was widely played on radio .   Prior to Ceylon 's independence ( 1948 ) the Lanka Gandharva Sabha had organised a competition to find a national anthem . Among the entries were Namo Namo Matha by Samarakoon and Sri Lanka Matha Pala Yasa Mahima by P.B. Illangasinghe and Lionel Edirisinghe . The latter won the competition but this was controversial as Illangasinghe and Edirisinghe were members of the judging panel . Sri Lanka Matha Pala Yasa Mahima was broadcast by Radio Ceylon on the morning of 4 February 1948 , independence day , but it was not sung at the official Freedom Day celebrations . Ceylon continued to use the British national anthem as its official national anthem after independence . At the first independence day ceremony held on 4 February 1949 at the Independence Memorial Hall in Torrington Square both Namo Namo Matha and Sri Lanka Matha Pala Yasa Mahima were sung , in Sinhala and Tamil , as `` national songs '' .   More specifically , in 1950 Minister of Finance J.R. Jayewardene requested that the government recognise Samarakoon 's Namo Namo Matha as the official national anthem . The government appointed a committee headed by Edwin Wijeyeratne , Minister of Home Affairs and Rural Development , to pick a new national anthem . The committee heard several songs but , after much deliberation , picked Namo Namo Matha . The committee made a minor change to Samarakoon 's song , with his approval , changing the tenth line from `` Nawajeewana Damine '' to `` Nawa Jeewana Demine Nithina Apapupudu Karan Matha '' . The committee 's decision was endorsed by the government on 22 November 1951 . The anthem was translated into the Tamil language by M. Nallathamby . Namo Namo Matha was first sung as Ceylon 's official national anthem at the independence day ceremony in 1952 .   In the late 1950s controversy arose over first line of the anthem , `` Namo Namo Matha , Apa Sri Lanka '' . It was deemed to be `` unlucky '' and blamed for the country 's misfortunes including the deaths of two prime ministers . In February 1961 the government changed the line to their present form , `` Sri Lanka Matha , Apa Sri Lanka '' , despite Samarakoon 's strong opposition . Samarakoon committed suicide in April 1962 , leaving a note complaining that his anthem had been mutilated .   The Second Republican Constitution of 1978 gave Sri Lanka Matha constitutional recognition .   Multilingual ( edit )   The Sri Lankan national anthem is available in an identical version in two languages , Sinhala and Tamil , both official languages of the country . It is just one of a number that are sung in more than one language : Belgium ( French , Dutch and German ) , Canada ( English , French and Inuktitut ) , New Zealand ( English and Māori ) , South Africa ( Xhosa , Zulu , Sesotho , Afrikaans and English ) , Suriname ( Dutch and Sranan Tongo ) and Switzerland ( German , French , Italian and Romansh ) .   Sri Lanka Thaaye , the Tamil version of the Sri Lankan national anthem , is an exact translation of Sri Lanka Matha , the Sinhala version , and has the same music . Although it has existed since independence in 1948 it was generally only sung in the north and east of the country where the Tamil language predominates .   The majority of Sri Lankans ( around 75 % ) speak the Sinhala language . More specifically , `` Tamil is the native language for the Tamil people , who constitute about 15 % of Sri Lankans , and for Muslims who are nearly 10 % '' , according to the BBC . Until early 2016 , the Sinhala version was the only one to be used during official government events and it was the only version used during international sports and other events . Although the Sinhala version of the anthem was used at official / state events , the Tamil version was also sung at some events in spite of the unofficial ban which ended in early 2016 .   The Sinhala version of Sri Lanka Matha was used in all parts of the country with the exception of the North and the East which have a large Tamil population . Some reports indicate that the Tamil version was used at official events held in the Tamil speaking regions in the North and East of Sri Lanka . The Tamil version was sung at Tamil medium schools throughout the country . The Tamil version was even used during the period when Sinhala was the only official language of the country ( 1956 -- 87 ) .   Tamil version controversy ( edit )   On 12 December 2010 The Sunday Times reported that the Cabinet of Sri Lanka headed by President Mahinda Rajapaksa had taken the decision to scrap the Tamil translation of Sri Lanka Matha at official and state functions , as `` in no other country was the national anthem used in more than one language '' - even though the national anthems of Canada , South Africa and those of several other countries have more than one language version . The Cabinet 's decision had followed a paper on the national flag and national anthem produced by Public Administration and Home Affairs Minister W.D.J. Senewiratne . The paper had drawn on the Singaporean model where the national anthem is sung in the official lyrics and not any translation of the lyrics . Based on this the paper recommended that the Sri Lankan national anthem only be sung in Sinhala and the Tamil translation be abolished . The paper 's authors had failed to realise that the official lyrics of the Singaporean national anthem are in Malay , a minority language ( 75 % of Singaporeans are Chinese ) .   Government minister Wimal Weerawansa had labelled the Tamil version a `` joke '' on Derana TV , and had cited India as an analogy . Some journalists , such as D.B.S. Jeyaraj , claimed that it was wrong of Weerawansa to cite India as an analogy because according to them the Indian national anthem was not in Hindi , which is the most widely spoken language of India , but in Bengali , a minority language . Although sources based on an official Government of India website state that the Indian National anthem was adopted in its Hindi version by the Constituent Assembly of India , the proceedings of the Constituent Assembly of India on 24 January 1950 does not mention that the National Anthem was `` adopted '' , nor does it mention that it was done so in its Hindi version . In actual practice the unaltered Bengali version is the version sung as the National Anthem , with its words in original Bengali Tatsama , a highly Sanskritized form of Bengali that has Sanskrit words common to both Hindi and Bengali .   The Cabinet 's December 2010 decision to scrap the Tamil translation of the anthem ( which was not subsequently enacted ) caused much furore in Sri Lanka . Later , the government denied allegations that the Tamil translation was to be abolished . The Presidential Secretariat has stated that there was no basis to the media report and follow up reports which intimated the same . Nevertheless , an unofficial ban on the Tamil version came into being as fearful public officials in Tamil speaking areas stopped using the Tamil version or blocked attempts to use it . The Sri Lankan Army forcefully stopped any use of the Tamil version and taught school children to sing only the Sinhala version .   In March 2015 newly elected President Maithripala Sirisena announced that he would be issuing a circular which would state that there was no ban on singing the national anthem in Tamil . Sirisena 's announcement was attacked by Sinhalese Buddhist nationalists .   During Sri Lanka 's 68th national independence day celebrations on 4 February 2016 , the Tamil version of the anthem was sung for the first time since 1949 at an official government event , the independence day celebrations . Lifting of the unofficial ban on the Tamil version had been approved by President Maithripala Sirisena ( who had said he would unite the nation after the nearly 26 - year civil war that ended in 2009 ) and by others in the government . This step was viewed as part of the plan for `` post-civil war ethnic reconciliation '' .   Naturally , Sri Lanka Matha was also sung in the majority Sinhalese . Some groups , and Sri Lanka 's former President Mahinda Rajapaksa , were opposed to the government officially allowing the Tamil version to be sung .   Lyrics ( edit )     Sinhala   Tamil   Transliteration ( Sinhala )   Transliteration ( Tamil )   English      ශ්‍රී ලංකා මාතා අප ශ්‍රී ... ලංකා නමෝ නමෝ නමෝ නමෝ මාතා සුන්දර සිරිබරිනී සුරැඳි අති සෝබමාන ලංකා ධාන්‍ය ධනය නෙක මල් පලතුරු පිරි ජය භුමිය රම්‍යා අප හට සැප සිරි සෙත සදනා ජීවනයේ මාතා පිළිගනු මැන අප භක්තී පූජා නමෝ නමෝ මාතා අප ශ්‍රී ... ලංකා නමෝ නමෝ නමෝ නමෝ මාතා ඔබ වේ අප විද්‍යා ඔබ මය අප සත්‍යා ඔබ වේ අප ශක්ති අප හද තුළ භක්තී ඔබ අප ආලෝකේ අපගේ අනුප්‍රාණේ ඔබ අප ජීවන වේ අප මුක්තිය ඔබ වේ නව ජීවන දෙමිනේ නිතින අප පුබුදු කරන් මාතා ඥාන වීර්ය වඩවමින රැගෙන යනු මැන ජය භූමී කරා එක මවකගෙ දරු කැල බැවිනා යමු යමු වී නොපමා ප්‍රේම වඩා සැම භේද දුරැර දා නමෝ නමෝ මාතා අප ශ්‍රී ... ලංකා නමෝ නමෝ නමෝ නමෝ මාතා     ஸ்ரீ லங்கா தாயே - நம் ஸ்ரீ லங்கா நமோ நமோ நமோ நமோ தாயே நல்லெழில் பொலி சீரணி நலங்கள் யாவும் நிறை வான்மணி லங்கா ஞாலம் புகழ் வள வயல் நதி மலை மலர் நறுஞ்சோலை கொள் லங்கா நமதுறு புகலிடம் என ஒளிர்வாய் நமதுதி ஏல் தாயே நமதலை நினதடி மேல் வைத்தோமே நமதுயிரே தாயே - நம் ஸ்ரீ லங்கா நமோ நமோ நமோ நமோ தாயே நமதாரருள் ஆனாய் நவை தவிர் உணர்வானாய் நமதோர் வலியானாய் நவில் சுதந்திரம் ஆனாய் நமதிளமையை நாட்டே நகு மடி தனையோட்டே அமைவுறும் அறிவுடனே அடல்செறி துணிவருளே நமதோர் ஒளி வளமே நறிய மலர் என நிலவும் தாயே யாமெல்லாம் ஒரு கருணை அனைபயந்த எழில்கொள் சேய்கள் எனவே இயலுறு பிளவுகள் தமை அறவே இழிவென நீக்கிடுவோம் ஈழ சிரோமணி வாழ்வுறு பூமணி நமோ நமோ தாயே - நம் ஸ்ரீ லங்கா நமோ நமோ நமோ நமோ தாயே     Sri Lanka Matha , Apa Sri Lanka Namo Namo Namo Namo Matha Sundara siri barini Surendi athi sobamana Lanka Dhanya dhanaya neka Mal palathuru piri , jaya bhoomiya ramya Apa hata sapa siri setha sadana Jeewanaye Matha ! Piliganu mena apa bhakthi puja Namo Namo Matha , Apa Sri Lanka Namo Namo Namo Namo Matha Obawe apa widya Obamaya apa sathya Obawe apa shakti Apa hada thula bhakthi Oba apa aloke Aapage anuprane Oba apa jeewana we Apa mukthiya obawe Nawa jeewana demine Nnithina apa pubudu karan Matha Gnana weerya wadawamina ragena Yanu mena jaya bhoomi kara Eka mawekuge daru kala bawina Yamu yamu wee nopama Prema wada sama bheda durara da Namo Namo Matha , Apa Sri Lanka Namo Namo Namo Namo Matha     Srī laṅkā tāyē -- nam Srī laṅkā Namō namō namō namō tāyē Nalleḻil poli cīraṇi Nalaṅkaḷ yāvum niṟai vāṉmaṇi laṅkā ñālam pukaḻ vaḷa vayal nati malai malar Naṟuñcōlai koḷ laṅkā Namatuṟu pukaliṭam eṉa oḷirvāy Namatuti ēl tāyē Namatalai niṉataṭi mēl vaittōmē Namatuyirē tāyē -- nam Srī laṅkā Namō namō namō namō tāyē Namatāraruḷ āṉāy Navai tavir uṇarvāṉāy Namatere valiyāṉāy Navil cutantiram āṉāy Namatiḷamaiyai nāṭṭē Naku maṭi taṉaiyōṭṭē Amaivuṟum aṟivuṭaṉē Aṭalceṟi tuṇivaruḷē Namatōr oḷi vaḷamē Naṟiya malar eṉa nilavum tāyē Yāmellām oru karuṇai aṉaipayanta Eḻilkoḷ cēykaḷ eṉavē Iyaluṟu piḷavukaḷ tamai aṟavē Iḻiveṉa nīkkiṭuvōm īḻa cirōmaṇi vāḻvuṟu pūmaṇi Namō namō tāyē -- nam Srī laṅkā Namō namō namō namō tāyē     Thou Mother Lanka , Oh Mother Lanka we salute , salute , salute , salute Thee ! Plenteous in prosperity , Thou , Beauteous in grace and love , Laden with grain and luscious fruit , And fragrant flowers of radiant hue , Giver of life and all good things , Our land of joy and victory , Receive our grateful praise sublime , we worship , worship Thee . Oh Mother Lanka ! We salute , salute , salute , salute Thee ! Thou gavest us Knowledge and Truth , Thou art our strength and inward faith , Our light divine and sentient being , Breath of life and liberation . Grant us , bondage free , inspiration . Inspire us for ever . In wisdom and strength renewed , Ill - will , hatred , strife all ended , In love enfolded , a mighty nation Marching onward , all as one , Lead us , Mother , to fullest freedom , we worship , worship Thee Oh Mother Lanka ! We salute , salute , salute , salute Thee !      References ( edit )    Jump up ^ `` Sri Lanka '' . The World Factbook .   Jump up ^ `` Man of the series : Nobel laureate Tagore '' . The Times of India . Times News Network . 3 April 2011 .   Jump up ^ `` Sri Lanka I - Day to have anthem in Tamil '' . The Hindu . 4 February 2016 .   Jump up ^ `` Tagore 's influence on Lankan culture '' . Hindustan Times . 12 May 2010 .   Jump up ^ Wickramasinghe , Nira ( 2003 ) . Dressing the Colonised Body : Politics , Clothing , and Identity in Sri Lanka . Orient Longman . p. 26 . ISBN 81 - 250 - 2479 - 4 .   Jump up ^ Wickramasinghe , Kamanthi ; Perera , Yoshitha . `` Sri Lankan National Anthem : can it be used to narrow the gap ? '' . The Daily Mirror ( Sri Lanka ) ( 30 March 2015 ) .   ^ Jump up to : Haque , Junaidul ( 7 May 2011 ) . `` Rabindranath : He belonged to the world '' . The Daily Star ( Bangladesh ) .   Jump up ^ Habib , Haroon ( 17 May 2011 ) . `` Celebrating Rabindranath Tagore 's legacy '' . The Hindu .   Jump up ^ Nandy , Ashis ( 17 February 2012 ) . `` Nationalism , Genuine and Spurious : A Very Late Obituary of Two Early Postnationalist Strains in India '' . Occasion , Stanford University . 3 .   Jump up ^ Alexander , J.P. ( 2014 ) . Decisive Battles , Strategic Leaders . Partridge Publishing . p. 188 . ISBN 978 - 1 - 4828 - 1805 - 5 .   Jump up ^ `` Five things you need to know about Rabindranath Tagore '' . Hindustan Times . 9 May 2015 .   Jump up ^ Ahmed , Khaled ( 12 June 2015 ) . `` Nationalism over verse '' . The Indian Express .   ^ Jump up to : `` The quest for the right song '' . The Sunday Times ( Sri Lanka ) . 16 November 2008 .   Jump up ^ Saparamadu , Sumana ( 30 January 2011 ) . `` The origin of our National Anthem '' . Sunday Observer ( Sri Lanka ) .   Jump up ^ Miranda , Sujitha ( 28 October 2012 ) . `` The ' National Anthem ' was first sung at Mahinda Galle '' . The Sunday Times ( Sri Lanka ) .   ^ Jump up to : Saparamadu , Sumana ( 14 May 2006 ) . `` Ananda Samarakoon - The composer of our national anthem '' . Sunday Observer ( Sri Lanka ) .   ^ Jump up to : Bamunuarachchi , Jinadasa ( 2 February 2013 ) . `` Vasu , DO NOT KILL Ananda Samarakoon again '' . Daily News ( Sri Lanka ) .   ^ Jump up to : Jeyaraj , D.B.S. ( 6 February 2016 ) . `` Tamils Hail Mother Lanka as `` Sri Lanka Thaayae '' in Their Mother Tongue `` . The Daily Mirror ( Sri Lanka ) .   ^ Jump up to : Ariyaratne , Sunil ( 19 January 2011 ) . `` Genesis of national anthem '' . Daily News ( Sri Lanka ) .   ^ Jump up to : de Silva , K.M. ; Wriggins , Howard ( 1988 ) . J.R. Jayewardene of Sri Lanka : a Political Biography - Volume One : The First Fifty Years . University of Hawaii Press . p. 368 . ISBN 0 - 8248 - 1183 - 6 .   Jump up ^ Weeraratne , Anjula Maheeka ( 9 February 2016 ) . `` National anthem was sung in Tamil in 1949 too : Vajira '' . The Daily Mirror ( Sri Lanka ) .   ^ Jump up to : Jeyaraj , D.B.S. ( 17 December 2010 ) . `` The language controversy over Sri Lankan National Anthem '' . dbsjeyaraj.com .   ^ Jump up to : Kodagoda , Anuradha ( 22 March 2015 ) . `` Namo , Namo ... : A matter of language '' . Sunday Observer ( Sri Lanka ) .   Jump up ^ Jeyaraj , D.B.S. ( 31 December 2010 ) . `` National Anthem : From `` Namo Namo '' to `` Sri Lanka Matha '' `` . dbsjeyaraj.com .   Jump up ^ `` The Constitution of the Democratic Socialist Republic of Sri Lanka : Chapter I -- The People , The State and Sovereignty '' . Policy Research &amp; Information Unit , Presidential Secretariat , Sri Lanka .   ^ Jump up to : Ameen , Azzam ( 4 February 2016 ) . `` Sri Lankan anthem sung in Tamil for first time since 1949 '' . BBC News .   ^ Jump up to : `` National Anthem only in Sinhala ; Tamil version out '' . The Sunday Times ( Sri Lanka ) . 12 December 2010 .   ^ Jump up to : PTI ( 4 February 2016 ) . `` Sri Lanka lifts unofficial ban on Tamil national anthem on Independence Day '' . Indian Express . Uttar Pradesh , India . Retrieved 13 January 2017 .   Jump up ^ Philips , Rajan ( 1 January 2011 ) . `` The Trilingual Master Plan and Monolingual National Anthem Muddle '' . The Island ( Sri Lanka ) .   Jump up ^ `` National Anthem in Sinhala and Tamil '' . The Island ( Sri Lanka ) . 16 December 2010 .   Jump up ^ `` No scrapping Tamil version of national anthem : Sri Lanka '' . Zee News . 13 December 2010 .   Jump up ^ `` Sri Lanka denies move to ban national anthem in Tamil '' . adaderana.lk. 14 December 2010 .   Jump up ^ `` S. Lanka denies move to ban national anthem in Tamil '' . Radio Netherlands Worldwide . 13 December 2010 .   Jump up ^ `` National Anthem and National Identity '' . The Island ( Sri Lanka ) . 17 December 2010 .   Jump up ^ `` Lanka scraps Tamil version of national anthem '' . Zee News . 12 December 2010 .   Jump up ^ `` Sri Lanka 's national anthem now only in Sinhala ; Tamil version out '' . Deccan Herald . 12 December 2010 .   Jump up ^ `` Sri Lanka scraps Tamil version of its national anthem '' . NDTV. 13 December 2010 .   Jump up ^ Chandra , Anjana . India condensed : 5000 years of history &amp; culture . Singapore : Marshall Cavendish Editions , 2007 . page 120   Jump up ^ http://india.gov.in/myindia/myindia.php   Jump up ^ `` Constituent Assembly of India -- Volume XII '' . Indian Parliament .   Jump up ^ Roy , Shubhajit ( 17 June 2006 ) . `` NCERT needs to get its lesson right on anthem '' . The Indian Express .   Jump up ^ http://rezwanul.blogspot.com/2007/08/national-anthem-of-india-is-in-bengali.html   Jump up ^ PTI ( 12 December 2010 ) . `` Sri Lanka scraps Tamil version of its national anthem '' . Times of India . Mumbai . Retrieved 13 January 2017 .   Jump up ^ `` Sri Lanka minister denies Tamil national anthem ban '' . BBC News . 13 December 2010 .   Jump up ^ Reddy , B. Muralidhar ( 13 December 2010 ) . `` Colombo denies reports on Tamil National Anthem '' . The Hindu .   ^ Jump up to : Jeyaraj , D.B.S. ( 21 March 2015 ) . `` Singing the National Anthem in Tamil Hailing `` Mother Lanka '' as `` Sri Lanka Thaaye '' `` . The Daily Mirror ( Sri Lanka ) .   Jump up ^ `` Sri Lanka Tamil national anthem row reignites '' . BBC News . 28 December 2010 .   Jump up ^ `` Jaffna students forced to sing National Anthem in Sinhala '' . The Daily Mirror ( Sri Lanka ) . 28 December 2010 . Archived from the original on 31 December 2010 .   Jump up ^ `` ' Disaster management ' observed with Sinhala anthem in Jaffna '' . TamilNet. 27 December 2010 .   Jump up ^ Balachandran , P.K. ( 18 March 2015 ) . `` Sirisena Allows Singing of Lankan National Anthem in Tamil '' . The New Indian Express .   Jump up ^ `` Rumpus over national anthem '' . The Island ( Sri Lanka ) . 21 March 2015 .   Jump up ^ `` President Sirisena could be impeached -- National Anthem in Tamil '' . Ceylon Today . 20 March 2015 .   Jump up ^ Karunarathne , Waruni ( 22 March 2015 ) . `` National Anthem In Tamil : Mixed Reactions '' . The Sunday Leader .   Jump up ^ `` Sri Lankan national anthem in Tamil causes backlash '' . Tamil Guardian . 21 March 2015 .   Jump up ^ `` Lankan party opposes singing of anthem in Tamil '' . DAWN ( newspaper ) . 20 March 2015 .   Jump up ^ Hiru News ( 4 February 2016 ) . `` Sri Lanka Sings Tamil Version Of National Anthem '' . Colombo Telegraph . Colombo . Retrieved 23 January 2017 .   Jump up ^ Associated Press ( 4 February 2016 ) . `` Sri Lanka lifts unofficial ban on Tamil national anthem '' . Daily Mail . London . Retrieved 13 January 2017 .   Jump up ^ Ramakrishnan , T. ( 4 February 2016 ) . `` Sri Lanka I - Day to have anthem in Tamil '' . The Hindu .   Jump up ^ Mallawarachi , Bharatha ( 4 February 2016 ) . `` Sri Lanka Lifts Unofficial Ban on Tamil National Anthem '' . ABC News . Associated Press .   Jump up ^ Ferdinando , Shamindra ( 5 February 2016 ) . `` Singing national anthem in Tamil receives mixed reactions '' . The Island ( Sri Lanka ) .    External links ( edit )       Wikimedia Commons has media related to National Anthem of Sri Lanka .      National Anthems : Sri Lanka   National Anthems : Sri Lanka   Himnuszok : Sri Lanka   National Country Symbols Of All Countries : Sri Lanaka      ( hide )         National anthems of Asia     National anthem     Abkhazia   Afghanistan   Armenia   Artsakh   Azerbaijan   Bahrain   Bangladesh   Bhutan   Brunei   Cambodia   China , P.R.   China , Republic of ^   Cyprus   East Timor   Egypt   Georgia   India   Indonesia   Iran   Iraq   Israel   Japan   Jordan   Kazakhstan   North Korea   South Korea   Kuwait   Kyrgyzstan   Laos   Lebanon   Malaysia   Maldives   Mongolia   Myanmar   Nepal   Northern Cyprus   Oman   Pakistan   Palestine   Philippines   Qatar   Russia   Saudi Arabia   Singapore   South Ossetia   Sri Lanka   Syria   Tajikistan   Thailand   Transnistria   Turkey   Turkmenistan   United Arab Emirates   Uzbekistan   Vietnam   Yemen       Regional anthems     Altai Republic ( Russia )   Assam ( India )   Buryatia ( Russia )   Federal Territories ( Malaysia )   Iraqi Kurdistan ( Iraq )   Johor ( Malaysia )   Karakalpakstan ( Uzbekistan )   Karnataka ( India )   Kedah ( Malaysia )   Kelantan ( Malaysia )   Khakassia ( Russia )   Malacca ( Malaysia )   Negeri Sembilan ( Malaysia )   Penang ( Malaysia )   Pahang ( Malaysia )   Perak ( Malaysia )   Perlis ( Malaysia )   Sakha Republic ( Russia )   Odisha ( India )   Deg o Tegh o Fateh ( Sikh )   Sabah ( Malaysia )   Sarawak ( Malaysia )   Selangor ( Malaysia )   Tamil Nadu ( India )   Telangana ( India )   Terengganu ( Malaysia )   Tibet ( in exile )   Tuva ( Russia )   West Papua ( disputed )       Organisations     ASEAN       Former anthems      States related to former Russian Empire or USSR     Russian Empire ( 1816 - 33 )   Russian Empire ( 1833 - 1917 )   Russian Republic ( 1917 -- 18 )   The Internationale °   Soviet Union ( and Russian SFSR , 1944 -- 91 )     Armenian SSR ( 1944 -- 91 )   Azerbaijan SSR ( 1944 -- 92 )   Georgian SSR ( 1946 -- 91 )   Kazakh SSR ( 1945 -- 92 )   Kazakhstan ( 1992 -- 2006 )   Kirghiz SSR ( 1946 -- 92 )     Russian Federation ( 1990 -- 2000 )   Tajik SSR ( 1946 -- 94 )   Turkmen SSR ( 1946 -- 97 )   Uzbek SSR ( 1946 -- 92 )   Tuva ( 1993 -- 2011 )       East Asia     China ( Qing dynasty official )   Khmer Republic ( 1970 -- 75 )   Democratic Kampuchea ( 1975 -- 93 )   People 's Republic of Kampuchea ( 1979 -- 89 )     Manchukuo ( 1932 -- 45 )   Kingdom of Nepal ( 1967 -- 2006 )   Siam ( now as royal salute )   South Vietnam ( 1948 -- 75 )   South Vietnam ( 1975 -- 76 )       Arabic     United Arab Republic ( generalized ) ( 1960 - 81 )   Kingdom of Iraq ( 1932 - 58 )   Iraqi Republic ( 1981 - 2003 )   Kuwait ( until 1978 )   Palestine ( de facto until 1996 )       ° : The Internationale 's Russian version was used by the USSR ; the Chinese version was used by the Communist government of the Republic of China .        ^ : Republic of China refers to Taiwan and other islands ruled by the ROC government . Italics indicates partially recognized states .   Complete list   Africa   Asia   Europe   North America   Oceania and the Pacific Islands   South America      Retrieved from `` https://en.wikipedia.org/w/index.php?title=Sri_Lanka_Matha&amp;oldid=797690948 '' Categories :   Asian anthems   1940 songs   1951 in Ceylon   National anthems   National symbols of Sri Lanka   Rabindra Sangeet   Hidden categories :   Articles with hAudio microformats   Articles containing Sinhalese - language text   Articles containing Tamil - language text           Talk                                           Contents                   About Wikipedia                                                 অসমীয়া   বাংলা   Беларуская   Deutsch   Ελληνικά   Español   فارسی   Français   </t>
    </r>
    <r>
      <rPr>
        <sz val="11"/>
        <color rgb="FF000000"/>
        <rFont val="Noto Sans CJK SC"/>
        <family val="2"/>
      </rPr>
      <t xml:space="preserve">한국어   </t>
    </r>
    <r>
      <rPr>
        <sz val="11"/>
        <color rgb="FF000000"/>
        <rFont val="Calibri"/>
        <family val="0"/>
        <charset val="1"/>
      </rPr>
      <t xml:space="preserve">हिन्दी   Bahasa Indonesia   Italiano   Basa Jawa   ქართული   Қазақша   മലയാളം   मराठी   Bahasa Melayu   Nederlands   </t>
    </r>
    <r>
      <rPr>
        <sz val="11"/>
        <color rgb="FF000000"/>
        <rFont val="Noto Sans CJK SC"/>
        <family val="2"/>
      </rPr>
      <t xml:space="preserve">日本 語   </t>
    </r>
    <r>
      <rPr>
        <sz val="11"/>
        <color rgb="FF000000"/>
        <rFont val="Calibri"/>
        <family val="0"/>
        <charset val="1"/>
      </rPr>
      <t xml:space="preserve">Norsk nynorsk   ਪੰਜਾਬੀ   پنجابی   Polski   Português   Русский   संस्कृतम्   සිංහල   Suomi   Svenska   தமிழ்   ไทย   Українська   اردو   Tiếng Việt   </t>
    </r>
    <r>
      <rPr>
        <sz val="11"/>
        <color rgb="FF000000"/>
        <rFont val="Noto Sans CJK SC"/>
        <family val="2"/>
      </rPr>
      <t xml:space="preserve">中文   </t>
    </r>
    <r>
      <rPr>
        <sz val="11"/>
        <color rgb="FF000000"/>
        <rFont val="Calibri"/>
        <family val="0"/>
        <charset val="1"/>
      </rPr>
      <t xml:space="preserve">Edit links   This page was last edited on 28 August 2017 , at 16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</si>
  <si>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national anthem of sri lanka</t>
  </si>
  <si>
    <t xml:space="preserve"> Sri Lanka Matha ( Sinhalese : ශ්‍රී ලංකා මාතා Śrī Laṁkā Mātā ; Tamil : ஸ்ரீ லங்கா தாயே , translit . Srī Laṅkā Tāyē ) is the national anthem of Sri Lanka . </t>
  </si>
  <si>
    <t xml:space="preserve">Sea of Galilee - wikipedia  Sea of Galilee  Jump to : navigation , search    Sea of Galilee     Wooden longboat in the Sea of Galilee , Tiberias .         Coordinates   32 ° 50 ′ N 35 ° 35 ′ E ﻿ / ﻿ 32.833 ° N 35.583 ° E ﻿ / 32.833 ; 35.583 Coordinates : 32 ° 50 ′ N 35 ° 35 ′ E ﻿ / ﻿ 32.833 ° N 35.583 ° E ﻿ / 32.833 ; 35.583     Lake type   Monomictic     Primary inflows   Upper Jordan River and local runoff     Primary outflows   Lower Jordan River , evaporation     Catchment area   2,730 km ( 1,050 sq mi )     Basin countries   Israel         Max. length   21 km ( 13 mi )     Max . width   13 km ( 8.1 mi )     Surface area   166 km ( 64 sq mi )     Average depth   25.6 m ( 84 ft )     Max . depth   43 m ( 141 ft )     Water volume   4 km ( 0.96 cu mi )     Residence time   5 years     Shore length   53 km ( 33 mi )     Surface elevation   - 212.07 m ( 695.8 ft )         Settlements   Tiberias , Tel Katzir     References       Shore length is not a well - defined measure .     The Sea of Galilee , also Kinneret or Kinnereth , Lake of Gennesaret , or Lake Tiberias ( Hebrew : יָם כִּנֶּרֶת ‬ , Judeo - Aramaic : יַמּא דטבריא ; גִּנֵּיסַר Arabic : بحيرة طبريا ‎ ) , is a freshwater lake in Israel . It is approximately 53 km ( 33 mi ) in circumference , about 21 km ( 13 mi ) long , and 13 km ( 8.1 mi ) wide . Its area is 166.7 km ( 64.4 sq mi ) at its fullest , and its maximum depth is approximately 43 m ( 141 feet ) . At levels between 215 metres ( 705 ft ) and 209 metres ( 686 ft ) below sea level , it is the lowest freshwater lake on Earth and the second - lowest lake in the world ( after the Dead Sea , a saltwater lake ) . The lake is fed partly by underground springs although its main source is the Jordan River which flows through it from north to south .     Contents  ( hide )   1 Geography   2 Names and their etymology   3 History   3.1 Prehistory   3.2 Antiquity   3.3 Middle Ages   3.4 Modern era     4 Archaeology   5 Water use   6 Tourism   7 Flora and fauna   8 Panoramic and satellite views   9 See also   10 References   11 External links   12 Further reading      Geography ( edit )  Sea of Galilee in relation to the Dead Sea  The Sea of Galilee is situated in northeast Israel , between the Golan Heights and the Galilee region , in the Jordan Rift Valley , the valley caused by the separation of the African and Arabian Plates . Consequently , the area is subject to earthquakes , and in the past , volcanic activity . This is evident by the abundant basalt and other igneous rocks that define the geology of the Galilee .   Names and their etymology ( edit )   The lake has been called by different names throughout its history , usually depending on the dominant settlement on its shores . With changing fate of the towns , the lake 's name also changed .    Lake or Sea of Kinneret    The modern Hebrew name , Kinneret , comes from the Hebrew Bible , the main source of the Christian Old Testament , where it appears as the `` sea of Kinneret '' in Numbers 34 : 11 and Joshua 13 : 27 , spelled כנרות `` Kinnerot '' in Hebrew in Joshua 11 : 2 . This name was also found in the scripts of Ugarit , in the Aqhat Epic . Kinneret was listed among the `` fenced cities '' in Joshua 19 : 35 . A persistent , though likely erroneous popular etymology of the name presumes that the name Kinneret may originate from the Hebrew word kinnor ( `` harp '' or `` lyre '' ) , in view of the shape of the lake . The scholarly consensus though is that the origin of the name lies with the important Bronze and Iron Age city of Kinneret , excavated at Tell el - ' Oreimeh . However , there is no evidence that the city of Kinneret itself was not named after the body of water rather than vice versa , or for the origin of the town 's name .    Lake of Gennesaret    All Old and New Testament writers use the term `` sea '' ( Hebrew יָם yam , Greek θάλασσα ) , with the exception of Luke who calls it `` the Lake of Gennesaret '' ( Luke 5 : 1 ) , from the Greek λίμνη Γεννησαρέτ ( limnē Gennēsaret ) , the `` Grecized form of Chinnereth '' according to Easton ( 1897 ) .    Sea of Ginosar    The Babylonian Talmud , as well as Flavius Josephus mention the sea by the name `` Sea of Ginosar '' after the small fertile plain of Ginosar that lies on its western side . Ginosar is yet another name derived from `` Kinneret '' .    Sea of Galilee , Sea of Tiberias , Lake Tiberias    In the New Testament the term `` sea of Galilee '' ( Greek : θάλασσαν τῆς Γαλιλαίας , thalassan tēs Galilaias ) is used in the gospel of Matthew 4 : 18 ; 15 : 29 , the gospel of Mark 1 : 16 ; 7 : 31 , and in the gospel of John 6 : 1 as `` the sea of Galilee , which is the sea of Tiberias '' ( θαλάσσης τῆς Γαλιλαίας τῆς Τιβεριάδος , thalassēs tēs Galilaias tēs Tiberiados ) , the late 1st century CE name . Sea of Tiberias is also the name mentioned in Roman texts and in the Jerusalem Talmud , and was adopted into Arabic as Buhairet Tabariyya ( help info ) ( بحيرة طبريا ) , `` Lake Tiberias '' .    Sea of Minya    From the Umayyad through the Mamluk period the lake was known in Arabic as `` Bahr al - Minya '' , the `` Sea of Minya '' , after the Umayyad qasr complex whose ruins are still visible at Khirbat al - Minya . This is the name employed by the medieval Persian and Arab scholars Al - Baladhuri , Al - Tabari and Ibn Kathir .   History ( edit )   Prehistory ( edit )   In 1989 , remains of a hunter - gatherer site were found under the water at the southern end . Remains of mud huts were found which are the oldest known buildings in the world . See Ohalo . Nahal Ein Gev , located about 3 km east of the lake , contains a village from the late Natufian period . The site is considered one of the first permanent human settlements in the world from a time predating the Neolithic revolution .   Antiquity ( edit )  Jesus appears on the shore of Lake Tiberias by James Tissot Jesus and the miraculous catch of fish , in the Sea of Galilee , by Raphael  The Sea of Galilee lies on the ancient Via Maris , which linked Egypt with the northern empires . The Greeks , Hasmoneans , and Romans founded flourishing towns and settlements on the land - locked lake including Hippos and Tiberias . The first - century historian Flavius Josephus was so impressed by the area that he wrote , `` One may call this place the ambition of Nature '' ; he also reported a thriving fishing industry at this time , with 230 boats regularly working in the lake . Archaeologists discovered one such boat , nicknamed the Jesus Boat , in 1986 .   In the Bible , much of the ministry of Jesus occurred on the shores of Lake Galilee . In those days , there was a continuous ribbon development of settlements and villages around the lake and plenty of trade and ferrying by boat . The Synoptic Gospels of Mark ( 1 : 14 -- 20 ) , Matthew ( 4 : 18 -- 22 ) , and Luke ( 5 : 1 -- 11 ) describe how Jesus recruited four of his apostles from the shores of Lake Galilee : the fishermen Simon and his brother Andrew and the brothers John and James . One of Jesus ' famous teaching episodes , the Sermon on the Mount , is supposed to have been given on a hill overlooking the lake . Many of his miracles are also said to have occurred here including his walking on water , calming the storm , the disciples and the miraculous catch of fish , and his feeding five thousand people ( in Tabgha ) . In John 's Gospel the sea provides the setting for Jesus ' third post-resurrection appearance to his disciples ( John 21 ) .   In 135 CE , Bar Kokhba 's revolt was put down . The Romans responded by banning all Jews from Jerusalem . The center of Jewish culture and learning shifted to the region of the Galilee and the Kinneret , particularly the city of Tiberias . It was in this region that the Jerusalem Talmud was compiled .   Middle ages ( edit )   The lake 's importance declined when the Byzantines lost control and the area was conquered by the Umayyad Caliphate and subsequent Islamic empires . Apart from Tiberias , the major towns and cities in the area were gradually abandoned . The palace Khirbat al - Minya was built by the lake during the reign of the Umayyad caliph al - Walid I ( 705 -- 715 CE ) . In 1187 , Saladin defeated the armies of the Crusades at the Battle of Hattin , largely because he was able to cut the Crusaders off from the valuable fresh water of the Sea of Galilee .   Modern era ( edit )  Duga beach , Kinneret Southern tip of the lake , seen from Mount Poriya  The lake had little importance within the early Ottoman Empire . Tiberias did see a significant revival of its Jewish community in the 16th century , but had gradually declined , until in 1660 the city was completely destroyed . In the early 18th century , Tiberias was rebuilt by Zahir al - Umar , becoming the center of his rule over Galilee , and seeing also a revival of its Jewish community .   In 1909 , Jewish pioneers established the first cooperative farming village ( kibbutz ) , Kvutzat Kinneret in the immediate vicinity of the lake . The settlement trained Jewish immigrants in farming and agriculture . Later , Kvutzat Kinneret pioneers established Kibbutz Degania Alef . The Kvutzat Kinneret is considered the cradle of the kibbutz culture of early Zionism and is the birthplace of Naomi Shemer and the burial site of Rachel -- two of the most prominent Israeli poets .   In 1917 , the British defeated Ottoman Turkish forces and took control of Palestine , while France took control of Syria . In the carve - up of the Ottoman territories between Britain and France , it was agreed that Britain would retain control of Palestine , while France would control Syria . However , the allies had to fix the border between the Mandatory Palestine and the French Mandate of Syria . The boundary was defined in broad terms by the Franco - British Boundary Agreement of December 1920 , which drew it across the middle of the lake . However , the commission established by the 1920 treaty redrew the boundary . The Zionist movement pressured the French and British to assign as many water sources as possible to Mandatory Palestine during the demarcating negotiations . The High Commissioner of Palestine , Herbert Samuel , had sought full control of the Sea of Galilee . The negotiations led to the inclusion into the Palestine territory of the whole Sea of Galilee , both sides of the River Jordan , Lake Hula , Dan spring , and part of the Yarmouk . The final border approved in 1923 followed a 10 - meter wide strip along the lake 's northeastern shore , cutting the Mandatory Syria ( State of Damascus ) off from the lake .   The British and French Agreement provided that existing rights over the use of the waters of the Jordan by the inhabitants of Syria would be maintained ; the Government of Syria would have the right to erect a new pier at Semakh on Lake Tiberias or jointly use the existing pier ; persons or goods passing between the landing - stage on the Lake of Tiberias and Semakh would not be subject to customs regulations , and the Syrian government would have access to the said landing - stage ; the inhabitants of Syria and Lebanon would have the same fishing and navigation rights on Lakes Huleh , Tiberias and River Jordan , while the Government of Palestine would be responsible for policing of lakes .   On May 15 , 1948 , Syria invaded the newborn State of Israel , capturing territory along the Sea of Galilee . Under the 1949 armistice agreement between Israel and Syria , Syria occupied the northeast shoreline of the Sea of Galilee . The agreement , though , stated that the armistice line was `` not to be interpreted as having any relation whatsoever to ultimate territorial arrangements . '' Syria remained in possession of the lake 's northeast shoreline until the 1967 Arab - Israeli war .   In the 1950s , Israel formulated a plan to link the Kinneret with the rest of the country 's water infrastructure via the National Water Carrier , in order to supply the water demand of the growing country . The carrier was completed in 1964 . The Israeli plan , to which the Arab League opposed its own plan to divert the headwaters of the Jordan River , sparked political and sometimes even armed confrontations over the Jordan River basin .   After 5 years of drought as of 2018 , Sea of Galilee is expected to get to the black line . The black elevation line is the lowest depth from which irreversible damage begin and no water can be pumped out anymore . Israel Oceanographic and Limnological Research describe it as `` The black line marks - 214.87 m , the lowest - ever level reached since 1926 when the water level record began . According to the water authority , the Kinneret water level must not decline below this level . ''   Archaeology. ( edit )   During a routine sonar scan in 2003 ( finding published in 2013 ) , archaeologists discovered an enormous conical stone structure . The structure , which has a diameter of around 230 feet ( 70 m ) , is made of boulders and stones . The ruins are estimated to be between 2,000 and 12,000 years old , and are about 10 metres ( 33 ft ) underwater . The estimated weight of the monument is over 60,000 tons . Researchers explain that the site resembles early burial sites in Europe and was likely built in the early Bronze Age .   Water use ( edit )  Sea of Galilee water levels January 2004 -- February 2012  Israel 's National Water Carrier , completed in 1964 , transports water from the lake to the population centers of Israel , and in the past supplied most of the country 's drinking water . Nowadays the lake supplies approximately 10 % of Israel 's drinking water needs .   In 1964 , Syria attempted construction of a Headwater Diversion Plan that would have blocked the flow of water into the Sea of Galilee , sharply reducing the water flow into the lake . This project and Israel 's attempt to block these efforts in 1965 were factors which played into regional tensions culminating in the 1967 Six - Day War . During the war , Israel captured the Golan Heights , which contain some of the sources of water for the Sea of Galilee .   The Israeli government monitors water levels and publishes the results daily at this web page . The level over the past eight years can be retrieved from that site . Increasing water demand in Israel , Lebanon and Jordan , as well as dry winters , have resulted in stress on the lake and a decreasing water line to dangerously low levels at times . The Sea of Galilee is at risk of becoming irreversibly salinized by the salt water springs under the lake , which are held in check by the weight of the freshwater on top of them .   Up until the mid-2010s , about 400,000,000 cubic metres ( 1.4 × 10 cu ft ) of water was pumped through the National Water Carrier each year . Under the terms of the Israel -- Jordan peace treaty , Israel also supplies 50,000,000 cubic metres ( 1.8 × 10 cu ft ) of water annually from the lake to Jordan . In recent years the Israeli government has made extensive investments in water conservation , reclamation and desalination infrastructure in the country . This has allowed it to significantly reduce the amount of water pumped from the lake annually in an effort to restore and improve its ecological environment , as well as respond to some of the most extreme drought conditions in hundreds of years affecting the lake 's intake basin since 1998 . Therefore , it is expected that in 2016 only about 25,000,000 cubic metres ( 880,000,000 cu ft ) of water will be drawn from the lake for Israeli domestic consumption , a small fraction of the amount typically drawn from the lake over the previous decades .   Tourism ( edit )  Tourists on a boat at Tiberias , 1891 The beach of the Sea of Galilee Tilapia zilli ( redbelly tilapia , `` St. Peter 's fish '' ) , served in a Tiberias restaurant  Tourism around the Sea of Galilee is an important economic branch . Historical and religious sites in the region draw both local and foreign tourists . The Sea of Galilee is an attraction for Christian pilgrims who visit Israel to see the places where Jesus performed miracles according the New Testament , such as his walking on water , calming the storm and feeding the multitude . Alonzo Ketcham Parker , a nineteenth - century American traveler , called visiting the Sea of Galilee `` a ' fifth gospel ' which one read devoutly , his heart overflowing with quiet joy '' .   In April 2011 , Israel unveiled a 40 - mile ( 64 km ) hiking trail in the Galilee for Christian pilgrims , called the `` Jesus Trail '' . It includes a network of footpaths , roads and bicycle paths linking sites central to the lives of Jesus and his disciples . It ends at Capernaum on the shores of the Sea of Galilee , where Jesus espoused his teachings .   Another key attraction is the site where the Sea of Galilee 's water flows into the Jordan River , to which thousands of pilgrims from all over the world come to be baptized every year .   Israel 's most well - known open water swim race , the Kinneret Crossing , is held every year in September , drawing thousands of open water swimmers to participate in competitive and noncompetitive events .   Tourists also partake in the building of rafts on Lavnun Beach , called Rafsodia . Here many different age groups work together to build a raft with their bare hands and then sail that raft across the sea .   Other economic activities include fishing in the lake and agriculture , particularly bananas , dates , mangoes , grapes and olives in the fertile belt of land surrounding it .   Flora and fauna ( edit )   The warm waters of the Sea of Galilee support various flora and fauna , which have supported a significant commercial fishery for more than two millennia . Local flora include various reeds along most of the shoreline as well as phytoplankton . Fauna include zooplankton , benthos and a number of fish species such as Acanthobrama terraesanctae . Fish caught commercially include Tristramella simonis and Sarotherodon galilaeus , locally called `` St. Peter 's Fish '' . In 2005 , 300 short tons ( 270 t ) of tilapia were caught by local fishermen . This dropped to 8 short tons ( 7.3 t ) in 2009 due to overfishing .   However , low water levels in drought years have stressed the lake 's ecology . This may have been aggravated by over-extraction of water for either the National Water Carrier to supply other parts of Israel or , since 1994 , for the supply of water to Jordan ( see `` Water use '' section above ) . Droughts of the early and mid-1990s dried out the marshy northern margin of the lake . A fish species that is unique to the lake , Tristramella sacra , used to spawn in the marsh and has not been seen since the 1990s droughts . Conservationists fear this species may have become extinct . It is hoped that drastic reductions in the amount of water pumped through the National Water Carrier will help restore the lake 's ecology over the span of several years . As such , the amount planned to be drawn in 2016 for Israeli domestic water use is expected to be less than 10 % of the amount commonly drawn on an annual basis in the decades before the mid-2010s .   Panoramic and satellite views ( edit )  Panoramic view of the Sea of Galilee View of the Sea of Galilee from space Panoramic view of the south end of the Sea of Galilee , taken from Switzerland Forest near Tiberias  See also ( edit )    Water portal   Israel portal   Bible portal     Sea of Galilee Boat   Miracles of Jesus   Tiberias   Galilee   Tourism in Israel    References ( edit )    ^ Jump up to : Aaron T. Wolf , Hydropolitics along the Jordan River , United Nations University Press , 1995   ^ Jump up to : Exact-me.org   Jump up ^ The Hebrew letter `` ת '' ( Tav ) is often transliterated as `` Th '' .   ^ Jump up to : Data Summary : Lake Kinneret ( Sea of Galilee ) Archived 2014 - 02 - 03 at the Wayback Machine .   Jump up ^ `` Kinneret -- General '' ( in Hebrew ) . Israel Oceanographic &amp; Limnological Research Ltd .   Jump up ^ The 1996 - discovered subglacial Lake Vostok challenges both records ; it is estimated to be 200 m ( 660 ft ) to 600 m ( 2,000 ft ) below sea level .   Jump up ^ Easton 's Revised Bible Dictionary , Chinnereth . Another speculation is that the name comes from a fruit called in Biblical Hebrew kinar , which is thought to be the fruit of Ziziphus spina - christi .   ^ Jump up to : Avraham Negev , Shimon Gibson , ed. ( 2001 ) . Archaeological Encyclopedia of the Holy Land . New York , London : Continuum . p. 285 . ISBN 0 - 8264 - 1316 - 1 .   Jump up ^ Easton , Gennesaret .   Jump up ^ Easton , Tiberias   Jump up ^ `` Khirbet Al - Minya '' . Jalili48 . Professor Dr. Moslih Kanaaneh. 12 May 2006 . Retrieved 3 February 2015 .   Jump up ^ In the time of the Byzantine Empire , the lake 's significance in Jesus ' life made it a major destination for Christian pilgrims . This led to the growth of a full - fledged tourist industry , complete with package tours and plenty of comfortable inns .   Jump up ^ The Preamble of the League of Nations Mandate Archived 2016 - 04 - 21 at the Wayback Machine .   Jump up ^ Franco - British Convention on Certain Points Connected with the Mandates for Syria and the Lebanon , Palestine and Mesopotamia , signed Dec. 23 , 1920 . Text available in American Journal of International Law , Vol. 16 , No. 3 , 1922 , 122 -- 126 .   Jump up ^ The boundaries of modern Palestine , 1840 -- 1947 ( 2004 ) , by Gideon Biger . Publisher Rutledge Curzon . ISBN 978 - 0 - 7146 - 5654 - 0 , p. 130 .   Jump up ^ The boundaries of modern Palestine , 1840 -- 1947 , p. 150 . and 130 .   Jump up ^ The boundaries of modern Palestine , 1840 -- 1947 , p. 145 .   Jump up ^ Agreement between His Majesty 's Government and the French Government respecting the Boundary Line between Syria and Palestine from the Mediterranean to El Hámmé Archived 2008 - 09 - 09 at the Wayback Machine. , Treaty Series No. 13 ( 1923 ) , Cmd. 1910 . Page 7 .   Jump up ^ `` Israel and the Palestinians - a history - guardian.co.uk - guardian.co.uk '' .   Jump up ^ The Year of 1948   Jump up ^ http://www.israelhayom.co.il/article/528479   Jump up ^ https://www.makorrishon.co.il/nrg/online/1/ART1/753/814.html   Jump up ^ http://kinneret.ocean.org.il/level_grp.aspx   Jump up ^ Paz , Yitzhak ; Moshe , Reshef ; Ben - Avraham , Zvie ; Shmuel , Marco ; Tibor , Gideon ; Nadel , Dani ( 2013 ) . `` A Submerged Monumental Structure in the Sea of Galilee , Israel '' . International Journal of Nautical Archaeology. 42 ( 1 ) : 189 -- 193 . doi : 10.1111 / 1095 - 9270.12005 .   Jump up ^ `` Mysterious structure found at bottom of ancient lake '' . CNN.com . Retrieved 2013 - 05 - 23 .   Jump up ^ `` Black gold under the Golan '' . The Economist. 7 November 2015 . Retrieved 8 November 2015 .   ^ Jump up to : Amit , Hagai ( 1 June 2016 ) . `` הקו האדום של הכנרת נהפך לבעיה של הירדנים '' ( The Kinneret 's Red Line has Turned into Jordan 's Problem ) . TheMarker . Retrieved 12 June 2016 .   Jump up ^ Fischhendler , Itay ( 2008 ) . `` When Ambiguity in Treaty Design Becomes Destructive : A Study of Transboundary Water '' . Global Environmental Politics . Retrieved 2008 - 11 - 28 .   Jump up ^ Kinneret Basin Water Level   Jump up ^ Skynews report , 5 May 2009 : Race To Save Sea Of Galilee From Disaster Archived 2009 - 05 - 08 at the Wayback Machine .   Jump up ^ Shmuel Kantor . `` The National Water Carrier '' .   Jump up ^ `` Developments related to the Middle East Peace Process '' . UN . Retrieved 2008 - 02 - 20 .   Jump up ^ Parker , A.K. , `` The Sea of Galilee '' in The Biblical World , Vol. 7 , No. 4 ( April 1896 ) , pages 264 -- 272   Jump up ^ Daniel Estrin , Canadian Press ( April 15 , 2011 ) . `` Israel unveils hiking trail in Galilee for Christian pilgrims '' . Yahoo ! News . Archived from the original on March 13 , 2013 . Retrieved 2011 - 05 - 16 .   Jump up ^ `` Still Fishers of Men '' . Vermont Catholic . 1 ( 12 ) : 3 . June 2010 .   ^ Jump up to : Goren , M. ( 2006 ) . `` Tristramella sacra '' . The IUCN Red List of Threatened Species . International Union for Conservation of Nature . Retrieved 2011 - 06 - 13 .    External links ( edit )       Wikimedia Commons has media related to Sea of Galilee .         Wikivoyage has a travel guide for Sea of Galilee .      World Lakes Database entry for Sea of Galilee   Kinneret Data Center / / Kinneret Limnological Laboratory   Sea of Galilee ( Kinneret ) / / Israel Ministry of Environmental Protection   Bibleplaces.com : Sea of Galilee   Peace Mural of the Sea of Galilee in the Chapel of the Good Shephard -- Ramallah   Updated elevation of the Kinneret 's level ( Hebrew ) . Elevation ( meters below sea level ) is shown on the line following the date line .   Virtual Map of Israel : Kinneret   Sea Of Galilee Water Level Application ( Google Store )   Israel Bans Fishing in Sea of Galilee   The Road To The Sea Of Galilee    Further reading ( edit )    Tamar Zohary , Assaf Sukenik , Tom Berman ( 2014 ) . Lake Kinneret : Ecology and Management . Springer . CS1 maint : Multiple names : authors list ( link )   C. Serruya ( 1978 ) . Lake Kinneret . ISBN 90 - 6193 - 085 - 5 .              Regions of the world                Regions of Africa     Central Africa     Guinea region   Gulf of Guinea     Cape Lopez   Mayombe   Igboland   Mbaise     Maputaland   Pool Malebo   Congo Basin   Chad Basin   Congolese rainforests   Ouaddaï highlands   Ennedi Plateau       East Africa     African Great Lakes   Albertine Rift   East African Rift   Great Rift Valley   Gregory Rift   Rift Valley lakes   Swahili coast   Virunga Mountains   Zanj     Horn of Africa   Afar Triangle   Al - Habash   Barbara   Danakil Alps   Danakil Desert   Ethiopian Highlands   Gulf of Aden   Gulf of Tadjoura     Indian Ocean islands   Comoros Islands         North Africa     Maghreb   Barbary Coast   Bashmur   Ancient Libya   Atlas Mountains     Nile Valley   Cataracts of the Nile   Darfur   Gulf of Aqaba   Lower Egypt   Lower Nubia   Middle Egypt   Nile Delta   Nuba Mountains   Nubia   The Sudans   Upper Egypt     Western Sahara       West Africa     Pepper Coast   Gold Coast   Slave Coast   Ivory Coast   Cape Palmas   Cape Mesurado   Guinea region   Gulf of Guinea     Niger Basin   Guinean Forests of West Africa   Niger Delta   Inner Niger Delta       Southern Africa     Madagascar   Central Highlands ( Madagascar )   Northern Highlands     Rhodesia   North   South     Thembuland   Succulent Karoo   Nama Karoo   Bushveld   Highveld   Fynbos   Cape Floristic Region   Kalahari Desert   Okavango Delta   False Bay   Hydra Bay       Macro-regions     Aethiopia   Arab world   Commonwealth realm   East African montane forests   Eastern Desert   Equatorial Africa   Françafrique   Gibraltar Arc   Greater Middle East   Islands of Africa   List of countries where Arabic is an official language   Mediterranean Basin   MENA   MENASA   Middle East   Mittelafrika   Negroland   Northeast Africa   Portuguese - speaking African countries   Sahara   Sahel   Sub-Saharan Africa   Sudan ( region )   Sudanian Savanna   Tibesti Mountains   Tropical Africa                 Regions of Asia     Central     Greater Middle East   Aral Sea   Aralkum Desert   Caspian Sea   Dead Sea   Sea of Galilee     Transoxiana   Turan     Greater Khorasan   Ariana   Khwarezm   Sistan   Kazakhstania   Eurasian Steppe   Asian Steppe   Kazakh Steppe   Pontic -- Caspian steppe     Mongolian - Manchurian grassland   Wild Fields   Yedisan   Muravsky Trail     Ural   Ural Mountains     Volga region   Idel - Ural   Kolyma   Transbaikal   Pryazovia   Bjarmaland   Kuban   Zalesye   Ingria   Novorossiya   Gornaya Shoriya   Tulgas   Iranian Plateau   Altai Mountains   Pamir Mountains   Tian Shan   Badakhshan   Wakhan Corridor   Wakhjir Pass   Mount Imeon   Mongolian Plateau   Western Regions   Taklamakan Desert   Karakoram   Trans - Karakoram Tract     Siachen Glacier       North     Inner Asia   Northeast   Far East   Russian Far East   Okhotsk - Manchurian taiga     Extreme North   Siberia   Baikalia ( Lake Baikal )   Transbaikal   Khatanga Gulf   Baraba steppe     Kamchatka Peninsula   Amur Basin   Yenisei Gulf   Yenisei Basin   Beringia   Sikhote - Alin       East     Japanese archipelago   Northeastern Japan Arc   Sakhalin Island Arc     Korean Peninsula   Gobi Desert   Taklamakan Desert   Greater Khingan   Mongolian Plateau   Inner Asia   Inner Mongolia   Outer Mongolia   China proper   Manchuria   Outer Manchuria   Inner Manchuria   Northeast China Plain   Mongolian - Manchurian grassland     North China Plain   Yan Mountains     Kunlun Mountains   Liaodong Peninsula   Himalayas   Tibetan Plateau   Tibet     Tarim Basin   Northern Silk Road   Hexi Corridor   Nanzhong   Lingnan   Liangguang   Jiangnan   Jianghuai   Guanzhong   Huizhou   Wu   Jiaozhou   Zhongyuan   Shaannan   Ordos Loop   Loess Plateau   Shaanbei     Hamgyong Mountains   Central Mountain Range   Japanese Alps   Suzuka Mountains   Leizhou Peninsula   Gulf of Tonkin   Yangtze River Delta   Pearl River Delta   Yenisei Basin   Altai Mountains   Wakhan Corridor   Wakhjir Pass       West     Greater Middle East   MENA   MENASA   Middle East     Red Sea   Caspian Sea   Mediterranean Sea   Zagros Mountains   Persian Gulf   Pirate Coast   Strait of Hormuz   Greater and Lesser Tunbs     Al - Faw Peninsula   Gulf of Oman   Gulf of Aqaba   Gulf of Aden   Balochistan   Arabian Peninsula   Najd   Hejaz   Tihamah   Eastern Arabia   South Arabia   Hadhramaut   Arabian Peninsula coastal fog desert       Tigris -- Euphrates   Mesopotamia   Upper Mesopotamia   Lower Mesopotamia   Sawad   Nineveh plains   Akkad ( region )   Babylonia     Canaan   Aram   Eber - Nari   Suhum   Eastern Mediterranean   Mashriq   Kurdistan   Levant   Southern Levant   Transjordan   Jordan Rift Valley     Israel   Levantine Sea   Golan Heights   Hula Valley   Galilee   Gilead   Judea   Samaria   Arabah   Anti-Lebanon Mountains   Sinai Peninsula   Arabian Desert   Syrian Desert   Fertile Crescent   Azerbaijan   Syria   Palestine   Iranian Plateau   Armenian Highlands   Caucasus   Caucasus Mountains   Greater Caucasus   Lesser Caucasus     North Caucasus   South Caucasus   Kur - Araz Lowland   Lankaran Lowland   Alborz   Absheron Peninsula       Anatolia   Cilicia   Cappadocia   Alpide belt       South     Greater India   Indian subcontinent   Himalayas   Hindu Kush   Western Ghats   Eastern Ghats   Ganges Basin   Ganges Delta   Pashtunistan   Punjab   Balochistan   Kashmir   Kashmir Valley   Pir Panjal Range     Thar Desert   Indus Valley   Indus River Delta   Indus Valley Desert   Indo - Gangetic Plain   Eastern coastal plains   Western Coastal Plains   Meghalaya subtropical forests   MENASA   Lower Gangetic plains moist deciduous forests   Northwestern Himalayan alpine shrub and meadows   Doab   Bagar tract   Great Rann of Kutch   Little Rann of Kutch   Deccan Plateau   Coromandel Coast   Konkan   False Divi Point   Hindi Belt   Ladakh   Aksai Chin   Gilgit - Baltistan   Baltistan   Shigar Valley     Karakoram   Saltoro Mountains     Siachen Glacier   Bay of Bengal   Gulf of Khambhat   Gulf of Kutch   Gulf of Mannar   Trans - Karakoram Tract   Wakhan Corridor   Wakhjir Pass   Lakshadweep   Andaman and Nicobar Islands   Andaman Islands   Nicobar Islands     Maldive Islands   Alpide belt       Southeast     Mainland   Indochina   Malay Peninsula     Maritime   Peninsular Malaysia   Sunda Islands   Greater Sunda Islands   Lesser Sunda Islands     Indonesian Archipelago   Timor   New Guinea   Bonis Peninsula   Papuan Peninsula   Huon Peninsula   Huon Gulf   Bird 's Head Peninsula   Gazelle Peninsula     Philippine Archipelago   Luzon   Visayas   Mindanao     Leyte Gulf   Gulf of Thailand   East Indies   Nanyang   Alpide belt         Asia - Pacific   Tropical Asia   Ring of Fire                 Regions of Europe     North     Nordic   Northwestern   Scandinavia   Scandinavian Peninsula   Fennoscandia   Baltoscandia   Sápmi   West Nordic   Baltic   Baltic Sea   Gulf of Bothnia   Gulf of Finland   Iceland   Faroe Islands       East     Danubian countries   Prussia   Galicia   Volhynia   Donbass   Sloboda Ukraine   Sambia Peninsula   Amber Coast     Curonian Spit   Izyum Trail   Lithuania Minor   Nemunas Delta   Baltic   Baltic Sea   Vyborg Bay   Karelia   East Karelia   Karelian Isthmus     Lokhaniemi   Southeastern   Balkans   Aegean Islands   Gulf of Chania   North Caucasus   Greater Caucasus   Kabardia   European Russia   Southern Russia           Central     Baltic   Baltic Sea   Alpine states   Alpide belt   Mitteleuropa   Visegrád Group       West     Benelux   Low Countries   Northwest   British Isles   English Channel   Channel Islands   Cotentin Peninsula</t>
  </si>
  <si>
    <t xml:space="preserve">are there still fish in the sea of galilee</t>
  </si>
  <si>
    <t xml:space="preserve"> The warm waters of the Sea of Galilee support various flora and fauna , which have supported a significant commercial fishery for more than two millennia . Local flora include various reeds along most of the shoreline as well as phytoplankton . Fauna include zooplankton , benthos and a number of fish species such as Acanthobrama terraesanctae . Fish caught commercially include Tristramella simonis and Sarotherodon galilaeus , locally called `` St. Peter 's Fish '' . In 2005 , 300 short tons ( 270 t ) of tilapia were caught by local fishermen . This dropped to 8 short tons ( 7.3 t ) in 2009 due to overfishing . </t>
  </si>
  <si>
    <t xml:space="preserve">Undivided Kamrup district - wikipedia  Undivided Kamrup district  Jump to : navigation , search The Undivided Kamrup district in 1931  Undivided Kamrup district is a former administrative district located in Western Assam from which Kamrup Rural ( 2003 ) , Kamrup Metropolitan ( 2003 ) , Barpeta ( 1983 ) , Nalbari ( 1985 ) and Baksa ( 2004 ) Kamrup South ( 2015 ) districts were formed . It was large administrative district in colonial times that has been reducing its size in subsequent periods .     Contents  ( hide )   1 Establishment   2 History   2.1 Ancient   2.2 Medieval   2.2. 1 Part of Koch Hajo   2.2. 2 Borphukan 's domain     2.3 Colonial   2.4 Modern     3 See also   4 Notes   5 References      Establishment ( edit )  James Rennell 's 1776 map shows the eastern boundary of the British controlled regions before 1824  The administrative district of Kamrup was first constituted from the western portion of the Burmese Empire that the British acquired following the Treaty of Yandaboo of 1826 . The western boundary of this district was the Manas river , and the eastern boundary of this district was the Barnadi river . After 1826 the British administered the newly acquired regions via two commissioners : the Senior Commissioner who administered the `` North - East of Rangpur '' ( largely the undivided Goalpara ) in addition to the newly acquired region between Manas river and Biswanath ; and the Junior Commissioner , who administered the region to the east of Biswanath . In March 1833 the British established district administration in the region west of the Dhansiri river , with the Kamrup district originally envisaged as two separate districts among 3 others : the six parganas largely co-terminus with present - day Barpeta and Nagarberra ; and the twenty parganas in the north and six duars in the south . Each district were to be administered by a Principal Assistant , deputed by a Junior Assistant . But due to a paucity of funds , the six pargana region had only a Junior Assistant , and by 1836 , the Kamrup district acquired its `` undivided '' form and name .   After the independence of India in 1947 the `` undivided '' Kamrup district was divided into the present Barpeta district ( 1983 ) , Nalbari district ( 1985 ) . In 2003 Kamrup was bifurcated into Kamrup Metropolitan district and Kamrup Rural district . In 2004 the northern parts of Barpeta , Nalbari and Kamrup Rural district were constituted into Baksa district .   History ( edit )   Ancient ( edit )  Main article : Kamarupa Ancient scriptures often refer Kamakhya temple as heart of Kamrup  The history of the undivided Kamrup district dates backs to the 4th century under Kamrup Kingdom . The capitals of Varman Dynasty and Pala Dynasty namely Pragjyotishpura and Durjaya were in Kamrup . Undivided Kamrup district was roughly equivalent to Kampith of ancient Kamarupa Pithas . Kampith is known as Kamarupa or Kamrup before the title spread to larger areas . It is also known as Pragjyotisha in different epics . Kamrup is mentioned in the Allahabad Pillar inscription of Samudragupta as one of the frontier states outside the limits of Gupta Empire with its capital at Pragjyotishpura which was 30 li in size . Chinese pilgrim Xuanzang mentions that land was low and moist , crops grows regularly , climate was quite genial and people are honest . He finds no trace of Buddhism while Deva temples are widespread . He said that King ( Bhaskaravarman ) was a lover of learning . Though himself a Hindu , he treat Buddhist monks with respect .   Medieval ( edit )   Medieval times seen the period when Kamrup became battleground of different scrambling western and eastern powers . Banikanta Kakati says : `` Western Assam was never for a long period under any dominant power . It was the cockpit of several fighting forces , the Koches , the Muhammedans and the Ahoms , and political fortunes passed from one power to another in different times . ''  Part of Koch Hajo ( edit )  Kamata kingdom undertook control of western Kamrup after conclusion of Kamarupa kingdom . Towards the end of the first century of second millennium , Kamrup witnessed invasions by Muslim rulers of Bengal . In 1498 CE , the last ruler of Kamata Kingdom was overthrown by Hussein Shah , ruler of Bengal . Hussein Shah , after this victory declared them self as the Conqueror of Kamru or Kamru ( In Arabic alphabet there is no P , hence the Muslim rulers mention Kamrup as Kamru or Kamrud ) . Hussein Shah , later faced defeat when he invaded Ahom kingdom and the victorious Ahom army chased the invaders till Karatoya river .   The British districts of Goalpara , Kamrup and Darrang constituted the Koch Hajo of the 16th - 17th century , then ruled by the descendants of Chilarai of the Koch dynasty . Following a period of Ahom - Mughal conflicts and the concluding Battle of Itakhuli of 1682 the Manas river became the Ahom - Mughal boundary , and as a result , Koch Hajo was divided largely into three parts : the region west of Manas river , under the control of the Mughals ( later Goalpara district ) ; the region between the Manas and Barnadi , under the command of the Borphukan ( later Kamrup district ) ; and the region to the east , under the vassalage of the descendants of Balinarayana of the Koch dynasty who reported to the Borphukan ( later Darrang district ) .  Borphukan 's domain ( edit )  After the departure of Muslim forces , the power vacuum was filled by Koch dynasty , when Koch king Vishwa Singha and later his sons Narnarayan and Chilarai expanded their domain in these regions . It was during the reign of Koch dynasty , Vaisnava reformers Sankardev and Madhavdeva spread their ideals and Vaisnava culture in the region , which is still very much present till date . The Koch kingdom later divided into two parts , Koch Bihar and Koch Hajo . Kamrup falls into the domain of Koch Hajo . In 1612 CE , the last ruler of Koch Hajo , Parikshit Narayan was defeated by Mughals . He was taken prisoner and sent to Delhi , where he swore allegiance to Mughal Emperor Jahangir . After his death , the Mughals occupied Kamrup and made Hajo their headquarters . Parikshit 's son Bijit Narayan was installed as a tributary ruler of Bijni . The two brothers of Parikshit Narayan , Bali Narayan and Gaj Narayan sought refuge in Ahom kingdom . The Ahom king Swargadeo Pratap Singha installed Bali Narayan as tributary ruler of Darrang , while Gaj Narayan was installed as the tributary ruler of Beltola . Meanwhile , conflicts broke out between Ahoms and Mughals for the possession of Kamrup . A series of wars and battles fought by both sides , which includes the famous Battle of Saraighat , when the Ahom forces led by Lachit Borphukan defeated the Mughal forces led by Ram Singh I of Amber , in 1671 CE . Finally , in 1682 CE , the Mughals were completely expelled from Kamrup , by Ahom king Gadadhar Singha . From 1682 CE to 1820 CE , Kamrup remain as a part of Ahom Kingdom , with the Ahom Viceroy Borphukan administering the region from his headquarters in Guwahati . The Borphukan 's domain fell to the Burmese invasion when Mingimaha Bandula arrayed from the east against the forces of Chandrakanta Singha in 1822 and pushed him beyond the Manas river before returning to Burma to prepare against the British in the same year . The region to the west of Manas had come under British rule following the transfer of the Bengal in 1765 , and the British became concerned , leading to the First Anglo - Burmese War .   Colonial ( edit )   In mid nineteenth century it was subsequently occupied by British East India Company . In 1826 CE , it became an district of British India , in the Brahmaputra Valley division of Eastern Bengal and Assam . During British rule , this settlement had been one of the peasant uprising center against the British . Armed peasants vowed to through British rule but eventually suppressed by British administration with iron fist .   Modern ( edit )   Kamrup district has been steadily decreasing in size for decades . During British India at some point Kamrup was divided into two big districts for administrative reasons one added to Assam and other to Bengal which includes Cooch Behar and Jalpaiguri . In 1983 Barpeta district was split from Kamrup . Nalbari district was then similarly split off on 14 August 1985 . On 3 February 2003 Kamrup Metropolitan district was formed to cover the urban core of the district , and 1 June 2004 saw the formation of Baksa district which was formed from parts of three districts , including Kamrup . The headquarters of district was at Guwahati . The population is rural and suburban with major urban agglomeration in Guwahati , the largest city of region .   See also ( edit )    Kamrup ( disambiguation )   Kamrupi    Notes ( edit )    Jump up ^ `` Five years of Kamrup district bifurcation '' . assamtribune.com . Retrieved 2013 - 01 - 24 .   ^ Jump up to : `` Welcome to Kamrup Metro District '' . indianngos.com . Retrieved 2013 - 01 - 24 .   Jump up ^ Subodh Kapoor - 2002 , The Indian Encyclopaedia : Biographical , Historical , Religious ... , Volume 1 In this war which was fought not only in Assam but also in Burma , the Burmese were ultimately defeated and had to make peace with the British by the treaty of Yandabo ( 1826 ) by which the Burmese withdrew from Assam .   ^ Jump up to : ( Hunter 1879 , p. 17 )   Jump up ^ ( Bannerjee 1992 , pp. 7 -- 8 )   Jump up ^ ( Bannerjee 1992 , p. 53 )   Jump up ^ ( Bannerjee 1992 , pp. 53 -- 54 )   Jump up ^ Banikanta Kakati , Assamese , its formation and development .   Jump up ^ `` The eastern division ( of the Koch kingdom ) was known as ' Kamrup ' in the local sources and as ' Koch Hajo ' in the Persian chronicles . '' ( Nath 1989 , p. 86 )   Jump up ^ `` In the Battle of Itakhuli in September 1682 , the Ahom forces chased the defeated Mughals nearly one hundred kilometers back to the Manas river . The Manas then became the Ahom - Mughal boundary until the British occupation . '' ( Richards 1995 , p. 247 )   Jump up ^ `` ( Pratap Singha ) instructed Mahendranarayan the son and successor of ( Balinarayan ) , to consult the Borphukan in all important matters '' ( Baruah 1993 , p. 76 )   Jump up ^ Gait , E.A. ( 1906 ) . A history of Assam . Thackar and Co. , Calcutta .   Jump up ^ ( Baruah 1993 , p. 225 )   Jump up ^ ( Baruah 1993 , p. 229 )   Jump up ^ Social science history , Volume 10 , Issue 1 , Pages 1 - 96   ^ Jump up to : Law , Gwillim ( 2011 - 09 - 25 ) . `` Districts of India '' . Statoids . Retrieved 2011 - 10 - 11 .    References ( edit )    Bannerje , AC ( 1992 ) . `` Chapter 1 : The New Regime , 1826 - 31 '' . In Barpujari , H K . The Comprehensive History of Assam : Modern Period . IV . Guwahati : Publication Board , Assam . pp. 1 -- 43 .   Baruah , S.L. ( 1993 ) . Last Days of Ahom Monarchy . Munshiram Manoharlal Publishers Pvt Ltd , New Delhi .   Hunter , William Wislon ( 1879 ) . A Statistical Account of Assam . 1 . Trübner &amp; co . Retrieved 2012 - 12 - 13 .   Nath , D ( 1989 ) . History of the Koch Kingdom : 1515 - 1615 . Delhi : Mittal Publications .   Richards , John F. ( 1995 ) . The Mughal Empire . Cambridge : Cambridge University Press . ISBN 0521566037 . Retrieved January 26 , 2013 .     Retrieved from `` https://en.wikipedia.org/w/index.php?title=Undivided_Kamrup_district&amp;oldid=800772061 '' Categories :   Former districts of Assam   Western Assam   Hidden categories :   Assam articles missing geocoordinate data   All articles needing coordinates           Talk                                           Contents                   About Wikipedia                                           Add links   This page was last edited on 15 September 2017 , at 15 : 37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</si>
  <si>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old kamrup is divided into how many parts</t>
  </si>
  <si>
    <t xml:space="preserve"> Undivided Kamrup district is a former administrative district located in Western Assam from which Kamrup Rural ( 2003 ) , Kamrup Metropolitan ( 2003 ) , Barpeta ( 1983 ) , Nalbari ( 1985 ) and Baksa ( 2004 ) Kamrup South ( 2015 ) districts were formed . It was large administrative district in colonial times that has been reducing its size in subsequent periods . </t>
  </si>
  <si>
    <r>
      <rPr>
        <sz val="11"/>
        <color rgb="FF000000"/>
        <rFont val="Calibri"/>
        <family val="0"/>
        <charset val="1"/>
      </rPr>
      <t xml:space="preserve">Three - Strikes law - wikipedia  Three - Strikes law  Jump to : navigation , search This article is about the criminal justice law . For Internet disconnection policy , see Graduated response . For other uses of the term `` Three Strikes '' , see Three Strikes ( disambiguation ) .  In the United States , habitual offender laws ( commonly referred to as three - strikes laws ) were first implemented on March 7 , 1994 and are part of the United States Justice Department 's Anti-Violence Strategy . These laws require a person guilty of committing both a severe violent felony and two other previous convictions to serve a mandatory life sentence in prison . The purpose of the laws is to drastically increase the punishment of those convicted of more than two serious crimes .   Twenty - eight states have some form of a `` three - strikes '' law . A person accused under such laws is referred to in a few states ( notably Connecticut and Kansas ) as a `` persistent offender '' , while Missouri uses the unique term `` prior and persistent offender '' . In most jurisdictions , only crimes at the felony level qualify as serious offenses ; however , misdemeanor offenses can qualify for application of the three - strikes law in California , whose harsh application has been the subject of controversy .   The three - strikes law significantly increases the prison sentences of persons convicted of a felony who have been previously convicted of two or more violent crimes or serious felonies , and limits the ability of these offenders to receive a punishment other than a life sentence .   The expression `` Three strikes and you are out '' is derived from baseball , where A batter against whom three strikes are recorded strikes out .     Contents  ( hide )   1 History   2 Enactment by states   3 Application   4 Effects   5 See also   6 References      History ( edit )   The practice of imposing longer prison sentences on repeat offenders ( versus first - time offenders who commit the same crime ) is nothing new , as judges often take into consideration prior offenses when sentencing . However , there is a more recent history of mandatory prison sentences for repeat offenders . For example , New York State had a long - standing Persistent Felony Offender law dating back to the early 20th century ( partially ruled unconstitutional in 2010 , but reaffirmed en banc shortly after ) . But such sentences were not compulsory in each case , and judges had much more discretion as to what term of incarceration should be imposed .   The first true `` three - strikes '' law was passed in 1993 , when Washington voters approved Initiative 593 . California passed its own in 1994 , when their voters passed Proposition 184 by an overwhelming majority , with 72 % in favor and 28 % against . The initiative proposed to the voters had the title of Three Strikes and You 're Out , referring to de facto life imprisonment after being convicted of three violent or serious felonies which are listed under California Penal Code section 1192.7 .   The concept swiftly spread to other states , but none of them chose to adopt a law as sweeping as California 's . By 2004 , twenty - six states and the federal government had laws that satisfy the general criteria for designation as `` three - strikes '' statutes -- namely , that a third felony conviction brings a sentence of 20 to life where 20 years must be served before becoming parole eligible . After the hype leading to the institution of these laws across the country , it soon became apparent that they were not bringing the results the public expected . Data shows that the laws did n't necessarily reduce violent crime , but instead , in states such as California where a `` strike '' did not have to be a violent felony , put away more `` criminals '' for non-violent and petty crimes , dramatically raising the prison population . This led to the drastic reduction of the power of the Three - Strikes Law in California in 2012 by approval of Proposition 36 .   Enactment by states ( edit )   The following states have enacted three - strikes laws :    New York has employed a habitual felon statute since 1797 .   Texas has had a three - strikes with mandatory life sentence since at least 1952 .   In Rummel v. Estelle ( 1980 ) , the US Supreme Court upheld Texas ' statute , which arose from a case involving a refusal to repay $120.75 paid for air conditioning repair that was , depending on the source cited , either considered unsatisfactory or not performed at all , where the defendant had been convicted of two prior felony convictions , and where the total amount involved from all three felonies was around $230 .     In 1993 : Washington   In 1994 : California , Colorado , Connecticut , Indiana , Kansas , Maryland , New Mexico , North Carolina , Virginia , Louisiana , Wisconsin , Tennessee , and Georgia   In 1995 : Arkansas , Florida , Montana , Nevada , New Jersey , North Dakota , Pennsylvania , South Carolina , Utah , and Vermont   In 2006 : Arizona   In 2012 : Massachusetts    Application ( edit )   The exact application of the three - strikes laws varies considerably from state to state , but the laws call for life sentences for at least 25 years on their third strike .   Most states require one or more of the three felony convictions to be for violent crimes in order for the mandatory sentence to be pronounced . Crimes that fall under the category of `` violent '' include : murder , kidnapping , sexual abuse , rape , aggravated robbery , and aggravated assault .   Some states include additional , lesser offenses that one would not normally see as violent . For example , the list of crimes that count as serious or violent in the state of California is much longer than that of other states , and consists of many lesser offenses that include : firearm violations , burglary , simple robbery , arson , and providing hard drugs to a minor , and drug possession . As another example , Texas does not require any of the three felony convictions to be violent , but specifically excludes certain `` state jail felonies '' from being counted for enhancement purposes .   One application of a three - strikes law was the Leonardo Andrade case in California in 2009 . In this case , Leandro Andrade attempted to rob $153 in videotapes from two San Bernardino K - Mart stores . He was charged under California 's three - strikes law because of his criminal history concerning drugs and other burglaries . Because of his past criminal records , he was sentenced 50 years in prison with no parole after this last burglary of K - Mart . Although this sentencing was disputed by Erwin Chemerinsky , who represented Andrade , as cruel and unusual punishment under the 8th Amendment , the Supreme Court ruled in support for the life sentencing .   In 1995 , Sioux City , Iowa native Tommy Lee Farmer , a professional criminal who had served 43 years in prison for murder and armed robbery was the first person in the United States to be convicted under the federal three - strikes law when he was sentenced to life in prison for an attempted robbery at an eastern Iowa convenience store . The sentencing was considered so significant that President Bill Clinton interrupted a vacation to make a press statement about it .   Another example of the three - strikes law involves Timothy L. Tyler who , in 1992 at age 24 , was sentenced to life in prison without parole when his third conviction ( a federal offense ) triggered the federal three - strikes law , even though his two prior convictions were not considered violent , and neither conviction resulted in any prison time served .   Effects ( edit )   Some states , such as California , have seen dramatic drops in their crime rates since the enactment of the Three - Strikes Law . In 2011 , Los Angeles , California reported crime had decreased by half of the current amount since 1994 , which is the same year the Three - Strikes Law was put into place . Although this decrease in crime might be attributed to the enactment of stricter sentences , Los Angeles officials speculate the drop in crime might also be related to better relationships within the community and better crime - predicting tools .   In 2004 , The Effect of Three - Strikes Legislation on Serious Crime in California study analyzed the effect of the Three - Strikes legislation as a means of deterrence and incapacitation . The study found that the Three - Strikes Law did not have a very significant effect on deterrence of crime , but also that this ineffectiveness may be due to the diminishing marginal returns associated with having pre-existing repeat offender laws in place .   A study , Does Three Strikes Deter ? A Non-Parametric Estimation , published by researches at George Mason University found that arrest rates in California were up to 20 % lower for the group of offenders convicted of two - strike eligible offenses , compared to those convicted of one - strike eligible offenses . The study concluded that the three - strikes policy was deterring recidivists from committing crimes .   A study written by Robert Parker , director of the Presley Center for Crime and Justice Studies at UC Riverside , states that , violent crime began falling almost two years before California 's three - strikes law was enacted in 1994 . The study argues that the decrease in crime is linked to lower alcohol consumption and unemployment .   A 2007 study from the Vera Institute of Justice in New York examined the effectiveness of incapacitation under all forms of sentencing . The study estimated that if US incarceration rates were increased by 10 per cent , the crime rate would decrease by at least 2 % . However , this action would be extremely costly to implement .   Another study , I 'd rather be Hanged for a Sheep than a Lamb : The Unintended Consequences of ' Three - Strikes ' Laws , released by the National Bureau of Economic Research found that three - strikes laws discourage criminals from committing misdemeanors for fear of a life prison sentence . Although this deters crime and contributes to lower crime rates , the laws may possibly push previously convicted criminals to commit more serious offenses . The study 's author argues that this is so because under such laws , felons realize that they could face a long jail sentence for their next crime , and therefore they have little to lose by committing serious crimes rather than minor offenses . Through these findings , the study weighs both the pros and cons for the law .   A 2015 study found that three - strikes laws were associated with a 33 % increase in the risk of fatal assaults on law enforcement officers .   See also ( edit )    10 - 20 - Life   Armed Career Criminal Act   Baumes law , 1926 four strike law   Deterrence   Habitual offender laws , a comparison of similar laws in several countries   HADOPI law   Incapacitation ( penology )   Indefinite prison sentence   Mandatory sentencing   One strike , you 're out   Prison - industrial complex   Recidivism   Stanford Law School Criminal Defense Clinic   United States Federal Sentencing Guidelines    References ( edit )    Jump up ^ White , Ahmed A. ( Spring 2006 ) . `` The Juridical Structure Of Habitual Offender Laws And The Jurisprudence Of Authoritarian Social Control '' . The University of Toledo Law Review . 37 ( 3 ) : 705 .   ^ Jump up to : `` Three Strikes Law - A General Summary '' . www.sandiegocounty.gov . Retrieved 2017 - 03 - 23 .   Jump up ^ `` Anti-Violence Strategy USAO Department of Justice '' . www.justice.gov . Retrieved 2017 - 03 - 23 .   Jump up ^ `` 1032 . Sentencing Enhancement -- '' Three Strikes '' Law - USAM - Department of Justice `` . www.justice.gov . Retrieved 21 March 2018 .   Jump up ^ `` 1032 . Sentencing Enhancement -- '' Three Strikes '' Law USAM Department of Justice `` . www.justice.gov . Retrieved 2017 - 03 - 23 .   Jump up ^ Meese , Edwin ( 1994 - 01 - 01 ) . `` Three - Strikes Laws Punish and Protect '' . Federal Sentencing Reporter. 7 ( 2 ) : 58 -- 60 . doi : 10.2307 / 20639746 .   Jump up ^ Zimring , Franklin E. ; Hawkins , Gordon ; Kamin , Sam ( 2001 ) . Punishment and Democracy : Three Strikes and You 're Out in California . New York : Oxford University Press . p. 4 . ISBN 0 - 19 - 513686 - 1 .   Jump up ^ Katkin , Daniel ( 1971 -- 1972 ) . `` Habitual Offender Laws : A Reconsideration '' . Buffalo Law Review . 21 ( 3 ) : 99 -- 120 . Retrieved May 1 , 2013 .   Jump up ^ Portalatin v. Graham , 478 F. Supp. 2d 69 ( E.D.N.Y. 2007 ) .   Jump up ^ Bessler v. Walsh , 601 F. 3d 163 ( 2nd Cir 2010 ) .   Jump up ^ Clarke , Matt ( 2015 - 03 - 15 ) . `` Second Circuit : New York 's Persistent Felony Offender Statute Held Constitutional in En Banc Ruling '' . Prison Legal News .   Jump up ^ Portalatin v. Graham , 624 F. 3d 69 ( 2d Cir 2010 ) .   Jump up ^ `` California Proposition 184 , Three Strikes Sentencing Initiative ( 1994 ) - Ballotpedia '' . ballotpedia.org . Retrieved 21 March 2018 .   Jump up ^ The substantive provisions of Proposition 184 are codified in California Penal Code Sections 667 ( e ) ( 2 ) ( A ) ( ii ) and 1170.12 ( c ) ( 2 ) ( A ) ( ii ) .   Jump up ^ Stolzenberg , Lisa ; Stewart J. D'Alessio ( 1997 ) . `` '' Three Strikes and You 're Out `` : The Impact of California 's New Mandatory Sentencing Law on Serious Crime Rates '' . Crime and Delinquency. 43 ( 4 ) : 457 -- 69 . doi : 10.1177 / 0011128797043004004 . Retrieved March 20 , 2013 .   Jump up ^ Arrigo , Bruce A. ( 2014 ) . Encyclopedia of Criminal Justice Ethics .   Jump up ^ Spencer v. Texas , 385 U.S. 554 ( 1967 ) ( `` Article 63 provides : `` Whoever shall have been three times convicted of a felony less than capital shall on such third conviction be imprisoned for life in the penitentiary . '' '' ) .   Jump up ^ Brauchli , Christopher ( 7 August 2009 ) . `` Legal Absurdities '' . CounterPunch .   Jump up ^ `` FindLaw 's United States Supreme Court case and opinions '' . Findlaw . Retrieved 21 March 2018 .   Jump up ^ Rummel was released a few months later , after successfully challenging his sentence for ineffective assistance of counsel and pleading guilty in a subsequent plea bargain. Solem v. Helm , 463 U.S. 277 Footnote 8 , 28 June 1983   Jump up ^ Texas would later amend its Penal Code to remove the mandatory life requirement for a habitual offender , changing the sentence to 25 - 99 years or life Texas Penal Code Section 12.42 ( d ) .   Jump up ^ Brown , Brian ; Jolivette , Greg ( October 2005 ) . `` A Primer : Three Strikes -- The Impact After More Than a Decade '' . California Legislative Analyst 's Office . Retrieved 28 October 2012 .   Jump up ^ Reynolds , Mike . `` States That Have Some Form of Three - Strikes Law '' . Retrieved May 1 , 2013 .   Jump up ^ Austin , James ( 2000 ) . `` Three Strikes and You 're Out : The Implementation and Impart of Strike Laws '' ( PDF ) .   Jump up ^ Glen Johnson ; Brian R. Ballou ( August 2 , 2012 ) . `` Deval Patrick signs repeat offender crime bill in private State House ceremony '' . The Boston Globe . Retrieved October 27 , 2014 .   Jump up ^ California , State of . `` Department of Corrections and Rehabilitation '' . www.cdcr.ca.gov . Retrieved 2017 - 05 - 02 .   Jump up ^ Marvell , Thomas B. ; Carlisle E. Moody ( 2001 ) . `` The Lethal Effects of the Three Strikes Laws '' . The Journal of Legal Studies . 3 . ( 1 ) : 89 . Retrieved May 2 , 2013 .   Jump up ^ Males , Mike ; Dan Macallair ( 1999 ) . `` Striking Out : The Failure of California 's `` Three - Strikes You 're Out '' Law `` . Stanford Law and Policy Review . 11 ( 1 ) : 65 . Retrieved May 2 , 2013 .   Jump up ^ `` PENAL CODE CHAPTER 12 . PUNISHMENTS '' . www.statutes.legis.state.tx.us . Retrieved 21 March 2018 .   Jump up ^ `` Cases Show Disparity Of California 's 3 Strikes Law '' . NPR.org . Retrieved 2017 - 05 - 02 .   Jump up ^ Butterfield , Fox ( 11 September 1995 ) . `` In for Life : The Three - Strikes Law -- A special report. ; First Federal 3 - Strikes Conviction Ends a Criminal 's 25 - Year Career '' . The New York Times .   Jump up ^ `` L.A. 's Homicide Rate Lowest In Four Decades '' . NPR.org . Retrieved 2017 - 05 - 11 .   Jump up ^ Worrall , John L. ( 2004 ) . `` The Effect of Three - Strikes Legislation on Serious Crime in California '' . Journal of Criminal Justice . 32 ( 4 ) : 283 -- 96 . doi : 10.1016 / j. jcrimjus. 2004.04. 001 .   Jump up ^ Stolzenberg , Lisa ; Stewart J. D ' Alessio ( 1997 ) . `` '' Three Strikes and You 're Out `` : The Impact of California 's New Mandatory Sentencing Law on Serious Crime Rates '' . Crime &amp; Delinquency. 43 ( 4 ) : 457 -- 69 . doi : 10.1177 / 0011128797043004004 .   Jump up ^ Helland , Eric ; Tabarrok , Alexander ( 2007 ) . `` Does Three Strikes Deter ? '' . Journal of Human Resources . XLII ( 2 ) : 309 -- 30 . doi : 10.3368 / jhr. XLII. 2.309 .   Jump up ^ Miller , Bettye ( 28 February 2012 ) . `` Three - strikes Law Fails to Reduce Crime '' . UCR Today . Retrieved 25 January 2016 .   Jump up ^ Stemen , Don ( January 2007 ) . `` Reconsidering Incarceration : New Directions for Reducing Crime '' ( PDF ) . Vera Institute of Justice . p. 2 . Retrieved 26 January 2016 .   Jump up ^ Iyengar , Radha ( 1 February 2008 ) . `` I 'd rather be Hanged for a Sheep than a Lamb : The Unintended Consequences of ' Three - Strikes ' Laws '' . Retrieved 21 March 2018 -- via National Bureau of Economic Research .   Jump up ^ Crifasi , Cassandra K. ; Pollack , Keshia M. ; Webster , Daniel W. ( 2015 - 12 - 30 ) . `` Effects of state - level policy changes on homicide and nonfatal shootings of law enforcement officers '' . Injury Prevention . 22 : injuryprev -- 2015 -- 041825 . doi : 10.1136 / injuryprev - 2015 - 041825 . ISSN 1475 - 5785 . PMID 26718550 .   Retrieved from `` https://en.wikipedia.org/w/index.php?title=Three-strikes_law&amp;oldid=834385417 '' Categories :   U.S. state criminal law   Sentencing ( law )   California law   Hidden categories :   Pages using div col with deprecated parameters           Talk                                           Contents                   About Wikipedia                                           Čeština   Deutsch   Français   Nederlands   </t>
    </r>
    <r>
      <rPr>
        <sz val="11"/>
        <color rgb="FF000000"/>
        <rFont val="Noto Sans CJK SC"/>
        <family val="2"/>
      </rPr>
      <t xml:space="preserve">日本 語   </t>
    </r>
    <r>
      <rPr>
        <sz val="11"/>
        <color rgb="FF000000"/>
        <rFont val="Calibri"/>
        <family val="0"/>
        <charset val="1"/>
      </rPr>
      <t xml:space="preserve">Русский   Suomi   Svenska   </t>
    </r>
    <r>
      <rPr>
        <sz val="11"/>
        <color rgb="FF000000"/>
        <rFont val="Noto Sans CJK SC"/>
        <family val="2"/>
      </rPr>
      <t xml:space="preserve">中文   </t>
    </r>
    <r>
      <rPr>
        <sz val="11"/>
        <color rgb="FF000000"/>
        <rFont val="Calibri"/>
        <family val="0"/>
        <charset val="1"/>
      </rPr>
      <t xml:space="preserve">Edit links   This page was last edited on 5 April 2018 , at 13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</si>
  <si>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three strikes law take effect</t>
  </si>
  <si>
    <t xml:space="preserve"> In the United States , habitual offender laws ( commonly referred to as three - strikes laws ) were first implemented on March 7 , 1994 and are part of the United States Justice Department 's Anti-Violence Strategy . These laws require a person guilty of committing both a severe violent felony and two other previous convictions to serve a mandatory life sentence in prison . The purpose of the laws is to drastically increase the punishment of those convicted of more than two serious crimes . </t>
  </si>
  <si>
    <r>
      <rPr>
        <sz val="11"/>
        <color rgb="FF000000"/>
        <rFont val="Calibri"/>
        <family val="0"/>
        <charset val="1"/>
      </rPr>
      <t xml:space="preserve">Teenage Mutant Ninja Turtles - Wikipedia  Teenage Mutant Ninja Turtles  Jump to : navigation , search This article is about the franchise . For entries in the franchise , see Teenage Mutant Ninja Turtles ( disambiguation ) .      This article needs additional citations for verification . Please help improve this article by adding citations to reliable sources . Unsourced material may be challenged and removed . ( May 2016 ) ( Learn how and when to remove this template message )       Teenage Mutant Ninja Turtles     Art by Kevin Eastman     Publication information     Publisher   Mirage Studios     First appearance   Teenage Mutant Ninja Turtles # 1 ( May 1984 )     Created by   Kevin Eastman Peter Laird     In - story information     Base ( s )   Manhattan , New York City     Member ( s )   Leonardo Donatello Michelangelo Raphael     The Teenage Mutant Ninja Turtles ( often shortened to TMNT or Ninja Turtles ) are four fictional teenaged anthropomorphic turtles named after Renaissance Italian artists . They were trained by their anthropomorphic rat sensei in the art of ninjutsu . From their home in the sewers of New York City , they battle petty criminals , evil overlords , mutated creatures , and alien invaders while attempting to remain hidden from society . They were created by Kevin Eastman and Peter Laird .   The characters originated in comic books published by Mirage Studios and expanded into cartoon series , films , video games , toys , and other merchandise . During the peak of the franchise 's popularity in the late 1980s and early 1990s , it gained worldwide success and fame .     Contents  ( hide )   1 History   2 Main characters   3 Comics   3.1 Mirage   3.2 Teenage Mutant Ninja Turtles Adventures   3.3 Dreamwave   3.4 IDW   3.5 Manga   3.6 Comic strip     4 Television series   4.1 First animated series ( 1987 -- 1996 )   4.2 Original video animation   4.3 Live - action series ( 1997 -- 1998 )   4.4 Second animated series ( 2003 -- 2009 )   4.5 Third animated series ( 2012 -- 2017 )   4.6 Fourth animated series ( 2018 )     5 Feature films   6 Merchandise   6.1 Toys     7 Video games   8 In other media   8.1 Tabletop role playing game   8.2 Food tie - ins   8.3 Concert tour   8.4 At the Disney - MGM Studios theme park     9 Parodies   10 Controversies   10.1 Departure from origins   10.2 Teenage Mutant `` Hero '' Turtles     11 Ownership rights   11.1 Television   11.2 Films   11.3 Comic books     12 See also   13 References   14 Bibliography   15 External links      History ( edit )       This section needs additional citations for verification . Please help improve this article by adding citations to reliable sources . Unsourced material may be challenged and removed . ( April 2015 ) ( Learn how and when to remove this template message )    Cover of Teenage Mutant Ninja Turtles # 1 ( May 1984 )  The Teenage Mutant Ninja Turtles first appeared in an American comic book published by Mirage Studios in 1984 in Dover , New Hampshire . The concept arose from a humorous drawing sketched out by Eastman during a casual evening of brainstorming and bad television with Laird . Using money from a tax refund , together with a loan from Eastman 's uncle , the young artists self - published a single - issue comic intended to parody four of the most popular comics of the early 1980s : Marvel Comics ' Daredevil and New Mutants , Dave Sim 's Cerebus , and Frank Miller 's Ronin . The TMNT comic book series has been published in various incarnations by various comic book companies since 1984 .   The Turtles started their rise to mainstream success when a licensing agent , Mark Freedman , sought out Eastman and Laird to propose wider merchandising opportunities for the franchise . In 1986 , Dark Horse Miniatures produced a set of 15 - mm ( approximately 0.6 inch ) lead figurines . In January 1987 , Eastman and Laird visited the offices of Playmates Toys , a small California toy company that wanted to expand into the action - figure market . Development was undertaken by a creative team of companies and individuals : Jerry Sachs , advertising agent of Sachs - Finley Agency , brought together the animators at Murakami - Wolf - Swenson headed by Fred Wolf . Wolf and his team combined concepts and ideas with the Playmates marketing crew , headed by Karl Aaronian , vice president ( VP ) of sales Richard Sallis , and VP of Playmates Bill Carlson .   Aaronian brought on several designers and concepteur and writer John C. Schulte , and worked out the simple backstory that would live on toy packaging for the entire run of the product and show . Sachs called the high concept pitch `` Green Against Brick '' . The sense of humor was honed with the collaboration of the Murakami - Wolf - Swenson animation firm 's writers . Playmates and their team essentially served as associate producers and contributing writers to the miniseries that was first launched to sell - in the toy action figures . Phrases like `` Heroes in a half shell '' and many of the comical catch phrases and battle cries ( `` Turtle power ! '' ) came from the writing and conceptualization of this creative team . As the series developed , veteran writer Jack Mendelsohn came on board as both a story editor and scriptwriter . David Wise , Michael Charles Hill , and Michael Reaves wrote most of the scripts .   The miniseries was repeated three times before it found an audience . Once the product started selling , the show got syndicated and picked up and backed by Group W , which funded the next round of animation . The show then went network , on CBS . Accompanied by the popular Teenage Mutant Ninja Turtles 1987 TV series , and the subsequent action figure line , Teenage Mutant Ninja Turtles became a mainstream success . At the height of the frenzy , in the late 1980s and early 1990s , the Turtles ' likenesses could be found on a wide range of children 's merchandise , from Pez dispensers to skateboards , breakfast cereal , video games , school supplies , linens , towels , cameras , and toy shaving kits .   While the animated TV series , which lasted for 10 seasons until 1996 , was more light - hearted , the comic - book series continued in a much darker and grittier tone . In 1990 , a live - action feature film was released , with the Turtles and Splinter being portrayed by actors in partially animatronic suits created by Jim Henson 's Creature Shop . The film became one of the most successful independent films and spawned two sequels , as well as inspiring a three - dimensional animated film set in the same continuity , which was released in 2007 under the title TMNT . After the end of the cartoon series , a live - action series in the vein of the films was created in 1997 in conjunction with Saban Entertainment . The series was called Ninja Turtles : The Next Mutation and introduced a fifth , female turtle called Venus de Milo . However , the series was largely unsuccessful and was canceled after one season .   The property lay dormant until 2003 , when a new animated TV series also entitled Teenage Mutant Ninja Turtles began to air on Fox Box ( 4Kids TV ) . The series storyline stuck much closer to the original Mirage comic book series , but was still less violent . It lasted for seven seasons and 156 episodes , ending in February 2009 .   On October 21 , 2009 , it was announced that cable channel Nickelodeon ( a subsidiary of Viacom ) had purchased all of Mirage 's rights to the Teenage Mutant Ninja Turtles property . Mirage retains the rights to publish 18 issues a year , though the future involvement of Mirage with the Turtles and the future of Mirage Studios itself is unknown . Nickelodeon has developed a new CGI - animated TMNT television series and partnered with fellow Viacom company Paramount Pictures to bring a new TMNT movie to theaters . The TV show premiered on Nickelodeon on September 29 , 2012 . The live - action film , produced by Platinum Dunes , Nickelodeon Movies , and Paramount Pictures , directed by Jonathan Liebesman , and produced by Michael Bay , was released on August 8 , 2014 .   Main characters ( edit )  Main article : List of Teenage Mutant Ninja Turtles characters   Leonardo ( Leo ) -- The tactical , courageous leader and devoted student of his sensei , Leonardo wears a blue mask and wields two katana . As the most conscientious of the four , he often bears the burden of responsibility for his brothers , which commonly leads to conflict with Raphael . Leonardo was named after the Italian polymath , painter , engineer , inventor , writer , anatomist , and sculptor , Leonardo da Vinci .   Michelangelo ( Mikey ) -- The most stereotypical teenager of the team , Michelangelo is a free - spirited , relaxed , and often goofy jokester , and known for his love of pizza . Michelangelo wears an orange mask and wields a pair of nunchucks . He provides the comic relief , though he still has an adventurous side . The least mature of the four Turtles , he shows characteristics of a `` surfer '' type and is often depicted with a Southern Californian accent . He is named after the Italian Renaissance painter , sculptor , architect , poet , and engineer , Michelangelo . His name was originally misspelled `` Michaelangelo '' by Peter Laird and Kevin Eastman .   Donatello ( Donnie or Don ) -- The scientist , inventor , engineer , and technological genius , Donatello wears a purple mask and wields a bo staff . Donatello is perhaps the least violent turtle , preferring to use his knowledge to solve conflicts , but never hesitates to defend his brothers . He is named after the early Renaissance Italian artist and sculptor from Florence , Donatello .   Raphael ( Raph ) -- The team 's bad boy , Raphael wears a red mask and wields a pair of sai . He has an aggressive nature , and seldom hesitates to throw the first punch . He is often depicted with a very pronounced New York accent . His personality can be fierce and sarcastic , and oftentimes delivers deadpan humor . He is intensely loyal to his brothers and sensei . He is named after the Italian painter and architect of the High Renaissance , Raphael .   Splinter -- The Turtles ' sensei and adoptive father , Splinter is a Japanese mutant rat that learned the ways of ninjutsu from his owner and master , Hamato Yoshi . In the 1987 TV series , Archie Comics series , and the 2012 TV series , Splinter was Hamato Yoshi mutated into a humanoid rat . In the 2003 TV series , he was Hamato Yoshi 's pet rat . He was mutated from a mysterious ooze from the TCRI building . In the IDW comics , he is Hamato Yoshi reincarnated as a mutated rat .   April O'Neil -- A former lab assistant to the mad scientist Baxter Stockman , April is the plucky human companion of the Turtles. April first met the Turtles when they saved her from Baxter 's Mouser robots . She embarks on many of the Turtles ' adventures and aids them by doing the work in public that the Turtles can not . In the 1987 TV series , Archie Comics series , the subsequent three films , and the 2014 film reboot , April was a television news reporter . In the 2007 CGI film ( following the continuity from the original three films ) , Casey Jones and she work for a shipping firm . In the 2012 series , April is a teenager who is rescued by the TMNTs and later given some `` crash courses '' in being a ninja by Splinter .   Casey Jones -- A vigilante who wears a hockey mask to protect his identity , Casey Jones has become one of the Turtles ' closest allies , as well as a love interest to April . Casey first encountered the Turtles after having a fight with Raphael . He fights crime with an assortment of sporting goods he carries in a golf bag , such as baseball bats , golf clubs , and hockey sticks .   The Shredder -- A villainous ninjutsu master called Oroku Saki , he is the leader of the Foot Clan , an evil ninja clan . In every incarnation of the TMNT franchise , he has been the archenemy of Splinter and the Turtles . The Shredder prefers to use his armor instead of weapons in some versions .   Foot Soldiers / Ninjas -- The ninjas of the Foot Clan , working for the Shredder .   Karai -- A female high - rank member of the Foot Clan , she has appeared in several different TMNT comics , cartoons , and films , as well as in multiple video games . In some incarnations of the character , she is closely related to Shredder as his adopted daughter or biological granddaughter . In most works , she shares an ambiguous rivalry with Leonardo , which occasionally even borders on romantic interest .    Comics ( edit )   Mirage ( edit )  Main article : Teenage Mutant Ninja Turtles ( Mirage Studios )  Eastman and Laird 's Teenage Mutant Ninja Turtles premiered in May 1984 , at a comic book convention held at a local Sheraton Hotel in Portsmouth , New Hampshire . It was published by Mirage Studios in an oversized magazine - style format using black and white artwork on cheap newsprint , limited to a print run of only 3,250 copies . Through a clever media kit that included a press release in Comic Buyer 's Guide # 542 and a full - page ad placed in Comic Buyer 's Guide # 547 , the public 's interest was piqued and thus began the Turtle phenomenon . The small print runs made these early comics and trade magazines instant collector items , and within months , they were trading for over 50 times their cover price . The name `` Mirage Studios '' was chosen because of Eastman and Laird 's lack of a professional art studio at the start of their career , before their creation made them both multimillionaires .   Mirage also published a bimonthly companion book entitled Tales of the Teenage Mutant Ninja Turtles , featuring art by Ryan Brown and Jim Lawson , which was designed to fill in the gaps of continuity in the TMNT universe . This put the original series and Tales in the same mainstream continuity , and the two are thus canon to each other . The title 's first volume was from 1987 -- 1989 , released in alternating months with the regular Eastman and Laird book . All seven issues of volume one have been collected in trade paperback form twice , and 25 issues of volume two have been collected in trades of five issues each .   As the TMNT phenomenon proliferated to other media , Eastman and Laird found themselves administrating an international merchandising juggernaut . However , this prevented the two creators from participating in the day - to - day work of writing and illustrating a monthly comic book . So , many guest artists were invited to showcase their unique talents in the TMNT universe . The breadth of diversity found in the various short stories gave the series a disjointed , anthology - like feel . Fans stuck with the series , and what was originally intended as a one - shot became a continuing series that lasted for 129 issues , spanning four separate volumes ( having 62 , 13 , 23 , and 32 issues in the four distinct volumes ) .   In June 1996 , Image Comics took over publishing the title in what is considered `` volume 3 '' of the series . It was a slightly more action - oriented TMNT series and although notable for inflicting major physical changes on the main characters , Peter Laird , co-creator of the TMNT , has said this volume is no longer in canon as he began publishing volume 4 at Mirage Publishing . As an explanation , he offered in the pages of the volume 4 ( issue # 8 ) letter column : `` It just did n't feel right . ''   After taking back the series from Image Comics , Mirage Studios resumed publication of a fourth volume in December 2001 , under the simple title TMNT . After the publication of issue number 28 , writer Peter Laird placed the series on an eight - month hiatus to devote himself to production of the 2007 TMNT movie . However , after that eight months had passed , Mirage 's official website went on to list the series as in `` indefinite hiatus '' . In January 2008 , Mirage had finally confirmed that the series would return in May 2008 . Issues 29 and 30 had a limited printing of 1,000 copies each , and were available through the official TMNT website . Although the purchase agreement with Nickelodeon allows Laird to produce up to 18 comics a year set in the original Mirage continuity , no new material was released in the next few years . The latest issue of TMNT volume 4 was issue # 32 which came out in print May 4 , 2014 , and online on May 9 , 2014 , almost 4 years after issue # 31 was last released .   Teenage Mutant Ninja Turtles adventures ( edit )  Main article : Teenage Mutant Ninja Turtles Adventures  Teenage Mutant Ninja Turtles Adventures was a comic - book series published from August 1988 to October 1995 by Archie Comics . The initial storylines were close adaptations of the 1987 TV series , but with the fifth issue , Eastman and Laird decided to hand the series over to Mirage Studios employees Ryan Brown and Stephen Murphy , who immediately abandoned the animated series adaptations and took the title in a decidedly different direction with all - new original adventures , including the uniting of several of the series ' recurring characters as a separate team , the Mighty Mutanimals .   Dreamwave ( edit )  Main article : Teenage Mutant Ninja Turtles ( Dreamwave Productions )  A monthly comic inspired by the 2003 TV series was published by Dreamwave Productions from June to December 2003 . It was written by Peter David and illustrated by LeSean Thomas . In the first four issues , which were the only ones directly adapted from the TV series , the story was told from the perspectives of April , Baxter , Casey , and a pair of New York City police officers .   IDW ( edit )  Main article : Teenage Mutant Ninja Turtles ( IDW Publishing )  In April 2011 , IDW Publishing announced that they had acquired the license to publish new collections of Mirage storylines and a new ongoing series . The first issue of the new series was released on August 24 , 2011 . Turtles co-creator Kevin Eastman and Tom Waltz write , with Eastman and Dan Duncan handling art chores .   Manga ( edit )   The Turtles have appeared in several manga series .    Mutant Turtles ( </t>
    </r>
    <r>
      <rPr>
        <sz val="11"/>
        <color rgb="FF000000"/>
        <rFont val="Noto Sans CJK SC"/>
        <family val="2"/>
      </rPr>
      <t xml:space="preserve">ミュータント ・ タートルズ </t>
    </r>
    <r>
      <rPr>
        <sz val="11"/>
        <color rgb="FF000000"/>
        <rFont val="Calibri"/>
        <family val="0"/>
        <charset val="1"/>
      </rPr>
      <t xml:space="preserve">, Myūtanto Tātoruzu ) is a 15 - issue series by Tsutomu Oyamada , Zuki mora , and Yoshimi Hamada that simply adapted episodes of the original American animated series .   Super Turtles ( </t>
    </r>
    <r>
      <rPr>
        <sz val="11"/>
        <color rgb="FF000000"/>
        <rFont val="Noto Sans CJK SC"/>
        <family val="2"/>
      </rPr>
      <t xml:space="preserve">スーパー タートルズ </t>
    </r>
    <r>
      <rPr>
        <sz val="11"/>
        <color rgb="FF000000"/>
        <rFont val="Calibri"/>
        <family val="0"/>
        <charset val="1"/>
      </rPr>
      <t xml:space="preserve">Sūpā Tātoruzu ) is a three - issue miniseries by Hidemasa Idemitsu , Tetsurō Kawade , and Toshio Kudō that featured the `` TMNT Supermutants '' Turtle toys that were on sale at the time . The first volume of the anime miniseries followed this storyline .   Mutant Turtles Gaiden ( </t>
    </r>
    <r>
      <rPr>
        <sz val="11"/>
        <color rgb="FF000000"/>
        <rFont val="Noto Sans CJK SC"/>
        <family val="2"/>
      </rPr>
      <t xml:space="preserve">ミュータント ・ タートルズ 外伝 </t>
    </r>
    <r>
      <rPr>
        <sz val="11"/>
        <color rgb="FF000000"/>
        <rFont val="Calibri"/>
        <family val="0"/>
        <charset val="1"/>
      </rPr>
      <t xml:space="preserve">, Myūtanto Tātoruzu Gaiden ) by Hiroshi Kanno is a reinterpretation of the Turtles story with no connection to the previous manga .   Mutant Turtles III ( </t>
    </r>
    <r>
      <rPr>
        <sz val="11"/>
        <color rgb="FF000000"/>
        <rFont val="Noto Sans CJK SC"/>
        <family val="2"/>
      </rPr>
      <t xml:space="preserve">ミュータント ・ タートルズ </t>
    </r>
    <r>
      <rPr>
        <sz val="11"/>
        <color rgb="FF000000"/>
        <rFont val="Calibri"/>
        <family val="0"/>
        <charset val="1"/>
      </rPr>
      <t xml:space="preserve">3 , Myūtanto Tātoruzu Tsuri ) is Yasuhiko Hachino 's adaptation of the third feature film .   Mutant Turtles ' 95 ( </t>
    </r>
    <r>
      <rPr>
        <sz val="11"/>
        <color rgb="FF000000"/>
        <rFont val="Noto Sans CJK SC"/>
        <family val="2"/>
      </rPr>
      <t xml:space="preserve">ミュータント ・ タートルズ </t>
    </r>
    <r>
      <rPr>
        <sz val="11"/>
        <color rgb="FF000000"/>
        <rFont val="Calibri"/>
        <family val="0"/>
        <charset val="1"/>
      </rPr>
      <t xml:space="preserve">95 , Myūtanto Tātoruzu Kyūjūgo ) is a 1995 series by Ogata Nobu which ran in Comic BomBom .   Mutant Turtles ' 96 ( </t>
    </r>
    <r>
      <rPr>
        <sz val="11"/>
        <color rgb="FF000000"/>
        <rFont val="Noto Sans CJK SC"/>
        <family val="2"/>
      </rPr>
      <t xml:space="preserve">ミュータント ・ タートルズ </t>
    </r>
    <r>
      <rPr>
        <sz val="11"/>
        <color rgb="FF000000"/>
        <rFont val="Calibri"/>
        <family val="0"/>
        <charset val="1"/>
      </rPr>
      <t xml:space="preserve">96 , Myūtanto Tātoruzu Kyūjūroku ) is a continuation of the 1995 series when it continued to run through 1996 .    Comic strip ( edit )  Main article : Teenage Mutant Ninja Turtles ( comic strip )  A daily comic strip written and illustrated by Dan Berger began in 1990 . It featured an adventure story Monday through Friday and activity puzzles on weekends ( with fan art appearing later ) . The comic strip was published in syndication until its cancellation in December 1996 . At its highest point in popularity , it was published in over 250 newspapers .   Television series ( edit )   First animated series ( 1987 -- 1996 ) ( edit )  Main article : Teenage Mutant Ninja Turtles ( 1987 TV series ) Logo of the 1987 cartoon  When little - known Playmates Toys , Inc. was approached about producing a TMNTs action figure line , they were cautious of the risk and requested that a television deal be acquired first . On December 28 , 1987 , the TMNT 's first cartoon series began , starting as a five - part miniseries and becoming a regular Saturday - morning syndicated series on October 1 , 1988 , with 13 more episodes . The series was produced by Murakami - Wolf - Swenson Film Productions , Inc. ( later Fred Wolf Films ) . Mirage Studios does not own the rights to this cartoon series . The show places a much stronger emphasis on humor than the comics do . Here , the Ninja Turtles are portrayed as four wise - cracking , pizza - obsessed superheroes that fight the forces of evil from their sewer hideout , and they make their first appearance in masks color - coded to each turtle , where previously they had all worn red .   The cast included new and different characters , such as Bebop and Rocksteady and the Neutrinos . Original characters such as Splinter , Shredder , and the Foot Soldiers stayed true to the comics in appearance and alignment only . Instead of being Hamato Yoshi 's mutated pet rat , Splinter was a mutated Hamato himself . The Foot Soldiers changed from human ninjas to an endless supply of robotic grunts , allowing large numbers of them to be destroyed without anyone dying ( this was a very important decision in terms of the show 's child audience ; excessive violence would have alienated parents of children , the show 's target demographic ) . Krang , one of the series ' most memorable villains , was inspired by the design of the Utrom , a benign alien race from the Mirage comics . The animated Krang , however , was instead an evil warlord from Dimension X . Baxter Stockman , whose race was changed from black to white either due to apprehension toward depicting a villainous African American character in a children 's cartoon or that for Shredder to boss around a black Stockman would be perceived as racist . Either way , Stockman was rewritten as a shy and meek lackey to Shredder , later mutating into an anthropomorphic housefly . During the final two seasons of the show , to combat the rising popularity of Mighty Morphin Power Rangers , the lead villain switched to Lord Dregg , an evil alien overlord bent on world conquest by trying to distract the public into believing that the Turtles were the enemy instead of himself .   Starting on September 25 , 1989 , the series was expanded to weekdays and it had 47 more episodes for the new season . There were 28 new syndicated episodes for season 4 and only 13 of those episodes aired in 1990 . The `` European Vacation '' episodes were not seen in the United States until USA Network started showing reruns in late 1993 and the `` Awesome Easter '' episodes were not seen until 1991 . These episodes were delayed because of animation or scheduling problems . The turtles are also well known for their use of idiomatic expressions characteristic of the surfer lingo of the time , especially by Michelangelo . Words and phrases included `` bummer '' , `` dude '' , `` bogus '' , `` radical '' , `` far - out '' , `` tubuloso '' , `` bodacious '' , and possibly the most recognized , `` cowabunga '' . On April 21 , 1990 , a drug - prevention television special was broadcast on ABC , NBC , and CBS named Cartoon All - Stars to the Rescue that featured some of the most popular cartoons at the time ; representing TMNT was Michelangelo , voiced by Townsend Coleman .   Starting on September 8 , 1990 ( with a different opening sequence ) , the show began its run on CBS . The CBS weekend edition ran for a full hour until 1994 , initially airing a few Saturday - exclusive episodes back - to - back . Also , a brief `` Turtle Tips '' segment aired between the two episodes , which served as public - service announcement about the environment or other issues . After 1994 , the show was reduced to just a half - hour and only eight episodes per season were produced , grouped into a `` CBS Action Zone '' block that also featured WildC. A.T.s. and Skeleton Warriors , both of which were canceled after one season ; though TMNTs retained their `` Action Zone '' introduction . The two shows in the block were also produced by Fred Wolf Films . The series ran until November 2 , 1996 , when it aired its final episode . Its enormous popularity gave rise to its numerous imitators , including the Battletoads , Cheetahmen , Wild West C.O.W. - Boys of Moo Mesa , Road Rovers , Street Sharks , Extreme Dinosaurs , and Biker Mice from Mars . Currently , all 193 episodes are available on DVD and VHS .   Original video animation ( edit )  Main article : Mutant Turtles : Choujin Densetsu - hen  In addition to the American series , a Japan - exclusive two - episode anime original video animation ( OVA ) series was made in 1996 , titled Mutant Turtles : Choujin Densetsu - hen . The OVA is similar in tone to the 1987 TV series and uses the same voices from TV Tokyo 's Japanese dub of the 1987 TV series . The first episode was made to advertise the TMNT Supermutants toys . It featured the Turtles as superheroes , that gained costumes and superpowers with the use of Mutastones , while Shredder , Bebop and Rocksteady gained supervillain powers with the use of a Dark Mutastone . As with the Super Sentai and Power Rangers franchises , the four Turtles could combine to form the giant Turtle Saint . The second episode was created to advertise the Metal Mutants toys in which the characters gain Saint Seiya-esque mystical metal armor that can transform into beasts .   Live - action series ( 1997 -- 1998 ) ( edit )  Logo of the live - action series Main article : Ninja Turtles : The Next Mutation  In 1997 -- 1998 , the Turtles starred in a live - action television series called Ninja Turtles : The Next Mutation that directly follows the events of the first three movies . A fifth turtle was introduced , a female named Venus de Milo , who was skilled in the mystical arts of the shinobi . The series was intended as a loose continuation of the movie franchise , as Shredder had been defeated and the Ninja Turtles encountered new villains . Other connections to the feature films include the fact that Splinter 's ear was cut , the Foot Soldiers were humans , and the Turtles lived in the abandoned subway station seen in the second and third movies . The Next Mutation Turtles made a guest appearance on Power Rangers in Space . It was canceled after one season of 26 episodes .   Second animated series ( 2003 -- 2009 ) ( edit )  Logo of the 2003 cartoon Main article : Teenage Mutant Ninja Turtles ( 2003 TV series )  In 2003 , a new TMNT series produced by 4Kids Entertainment began airing on the `` FoxBox '' ( later renamed `` 4Kids TV '' ) programming block . It later moved to `` The CW4Kids '' block . The series was co-produced by Mirage Studios , and Mirage owned one - third of the rights to the series . Mirage 's significant stake in creative control resulted in a cartoon that hews more closely to the original comics , creating a darker and edgier feel than the 1987 cartoon , but still remains lighthearted enough to be considered appropriate for children .   This series lasted until 2009 , ending with a feature - length television movie titled Turtles Forever , which was produced in conjunction with the 25th anniversary of the TMNTs franchise and featured the Turtles of the 2003 series teaming up with their counterparts from the 1987 series . 4Kidstv.com featured all the episodes of the series , until September 2010 , when Nickelodeon brought the series and air the series occasionally on Nicktoons and Nickelodeon normally during TMNTs marathons .   Third animated series ( 2012 -- 2017 ) ( edit )  Logo of the 2012 cartoon Main article : Teenage Mutant Ninja Turtles ( 2012 TV series )  Nickelodeon acquired the global rights to Teenage Mutant Ninja Turtles from the Mirage Group and 4Kids Entertainment , Inc. and announced a new CGI - animated TMNT television series . The 2012 version is characterized by anime - like iconography and emphasis on mutagen continuing to wreak havoc on the everyday lives of the Turtles and their enemies . The series ran for five seasons .   Fourth animated series ( 2018 ) ( edit )   Nickelodeon announced a new 2D animated series based on the franchise titled Rise of the Teenage Mutant Ninja Turtles , which will debut in Fall 2018 .   Feature films ( edit )  Main article : Teenage Mutant Ninja Turtles ( film series )  The Turtles have appeared in six feature films . The first three are live - action features produced in the early 1990s : Teenage Mutant Ninja Turtles ( 1990 ) , Teenage Mutant Ninja Turtles II : The Secret of the Ooze ( 1991 ) , and Teenage Mutant Ninja Turtles III ( 1993 ) . The Turtles were played by various actors in costumes featuring animatronic heads , initially produced by Jim Henson 's Creature Shop . The fourth film is a CGI - animated film titled simply TMNT and released in 2007 .   A reboot , titled Teenage Mutant Ninja Turtles produced by Platinum Dunes , Nickelodeon Movies , and Paramount Pictures , directed by Jonathan Liebesman , and produced by Michael Bay , was released on August 8 , 2014 . A sequel , Out of the Shadows was released on June 3 , 2016 .   Merchandise ( edit )   Among the first licensed products to feature the TMNT was a tabletop role - playing game titled Teenage Mutant Ninja Turtles &amp; Other Strangeness , published by Palladium Books in 1985 , and featuring original comics and illustrations by Eastman and Laird . The game features a large list of animals , including elephants and sparrows , that are available as mutant player characters . Several more titles were in this genre , including Teenage Mutant Ninja Turtles Adventures , Truckin ' Turtles , Turtles Go Hollywood , Teenage Mutant Ninja Turtles Guide to the Universe , and Transdimensional Teenage Mutant Ninja Turtles .   In 1986 , Dark Horse Miniatures in Boise , Idaho , produced an attendant set of lead figurines ; unlike later incarnations , the bandannas on the store 's display set were painted all black before the multicolored versions were released to help younger readers distinguish between the four characters other than their weaponry . Palladium allowed the license to lapse in 2000 , in part due to declining sales stemming from the `` kiddification '' of the animated and live - action incarnations to that point . However , Palladium 's publisher , Kevin Siembieda , has indicated a potential willingness to revisit the license given the franchise 's recent moves closer to its roots .   Toys ( edit )  Main article : Teenage Mutant Ninja Turtles action figures  During the run of the 1987 TV series , Playmates Toys produced hundreds of TMNT action figures , along with vehicles , playsets , and accessories , becoming one of the top collectibles for children . Staff artists at Northampton , Massachusetts - based Mirage Studios provided conceptual designs for many of the figures , vehicles , and playsets and creator credit can be found in the legal text printed on the back of the toy packaging . In addition , Playmates produced a series of TMNTs / Star Trek crossover figures , due to Playmates holding the Star Trek action - figure license at the time . Playmates employed many design groups to develop looks and styles for the toy line , including Bloom Design , White Design , Pangea , Robinson - Clarke , and McHale Design . The marketing vice president of Playmates , Karl Aaronian , was largely responsible for assembling the talented team of designers and writers , which in turn , helped germinate continued interest in the toy line .   Never before in toy history did an action - figure line have such an impact for over two decades , generating billions of dollars in licensing revenue . The series was highly popular in the UK , where in the run - up to Christmas , the Army &amp; Navy Store in London 's Lewisham devoted its entire basement to everything Turtle , including games , videos , costumes , and other items . Playmates continue to produce TMNT action figures based on the 2003 animated series . The 2007 film TMNT also gave Playmates a new source from which to make figures , while National Entertainment Collectibles Association produced a series of high - quality action figures based on character designs from the original Mirage comics . In 2012 , a new toy line and a new classic toy line from Playmates were announced to be released .   Video games ( edit )  Main article : List of Teenage Mutant Ninja Turtles video games  The first console video game based on the franchise , titled Teenage Mutant Ninja Turtles , was released for the Nintendo Entertainment System ( NES ) by Konami under their `` Ultra Games '' label in 1989 and later ported to home computers and eventually for the Wii on the Virtual Con</t>
    </r>
  </si>
  <si>
    <t xml:space="preserve">who came up with the teenage mutant ninja turtles</t>
  </si>
  <si>
    <t xml:space="preserve"> The Teenage Mutant Ninja Turtles ( often shortened to TMNT or Ninja Turtles ) are four fictional teenaged anthropomorphic turtles named after Renaissance Italian artists . They were trained by their anthropomorphic rat sensei in the art of ninjutsu . From their home in the sewers of New York City , they battle petty criminals , evil overlords , mutated creatures , and alien invaders while attempting to remain hidden from society . They were created by Kevin Eastman and Peter Laird . </t>
  </si>
  <si>
    <t xml:space="preserve">Pelé - wikipedia  Pelé    Brazilian retired footballer `` Pele '' redirects here . For the Hawaiian goddess , see Pele ( deity ) . For other uses , see Pele ( disambiguation ) . `` O Rei '' redirects here . For the Portuguese footballer of the same nickname , see Eusébio .   This name uses Portuguese naming customs . The first or maternal family name is Arantes and the second or paternal family name is do Nascimento .    Pelé     Pelé in 2008       Edson Arantes do Nascimento ( 1940 - 10 - 23 ) 23 October 1940 ( age 77 ) Três Corações , Minas Gerais , Brazil     Occupation     Footballer   humanitarian       Height   1.73 m ( 5 ft 8 in )     Spouse ( s )     Rosemeri dos Reis Cholbi ( m . 1966 -- 1982 )   Assíria Lemos Seixas ( m . 1994 -- 2008 )   Marcia Aoki ( m . 2016 )       Partner ( s )   Xuxa Meneghel ( 1981 -- 1986 )     Children   7     Parent ( s )   Dondinho , Celeste Arantes      Association football career   Playing position     Forward   Attacking midfielder       Youth career     1953 -- 1956   Bauru     Senior career *     Years   Team   Apps   ( Gls )     1956 -- 1974   Santos   638   ( 619 )     1975 -- 1977   New York Cosmos   56   ( 31 )     Total     694   ( 650 )     National team     1957 -- 1971   Brazil   92   ( 77 )     Honours ( show )        Representing Brazil     Men 's Football     FIFA World Cup       1958 Sweden   National Team       1962 Chile   National Team       1970 Mexico   National Team     Copa América       1959 Argentina   National Team        * Senior club appearances and goals counted for the domestic league only        Website   www.pele10.com     Edson Arantes do Nascimento ( Brazilian Portuguese : ( ˈɛtsõ ( w ) ɐˈɾɐ̃tʃiz du nɐsiˈmẽtu ) ; born 23 October 1940 ) , known as Pelé ( ( peˈlɛ ) ) , is a Brazilian retired professional footballer who played as a forward . He is regarded by many in the sport , including football writers , players , and fans , as the greatest footballer of all time . In 1999 , he was voted World Player of the Century by the International Federation of Football History &amp; Statistics ( IFFHS ) , and was one of the two joint winners of the FIFA Player of the Century award . That same year , Pelé was elected Athlete of the Century by the International Olympic Committee . According to the IFFHS , Pelé is the most successful league goal - scorer in the world , scoring 1281 goals in 1363 games , which included unofficial friendlies and tour games . During his playing days , Pelé was for a period the best - paid athlete in the world .   Pelé began playing for Santos at age 15 and the Brazil national team at 16 . During his international career , he won three FIFA World Cups : 1958 , 1962 and 1970 , being the only player ever to do so . Pelé is the all - time leading goalscorer for Brazil with 77 goals in 92 games . At club level he is the record goalscorer for Santos , and led them to the 1962 and 1963 Copa Libertadores . Pelé 's `` electrifying play and penchant for spectacular goals '' made him a star around the world , and his teams toured internationally in order to take full advantage of his popularity . Since retiring in 1977 , Pelé has been a worldwide ambassador for football and has made many acting and commercial ventures . In 2010 , he was named the Honorary President of the New York Cosmos .   Pelé has also been known for connecting the phrase `` The Beautiful Game '' with football . Averaging almost a goal per game throughout his career , Pelé was adept at striking the ball with either foot in addition to anticipating his opponents ' movements on the field . While predominantly a striker , he could also drop deep and take on a playmaking role , providing assists with his vision and passing ability , and he would also use his dribbling skills to go past opponents . In Brazil , he is hailed as a national hero for his accomplishments in football and for his outspoken support of policies that improve the social conditions of the poor . Throughout his career and in his retirement , Pelé received several individual and team awards for his performance in the field , his record - breaking achievements , and legacy in the sport .   Contents    1 Early years   2 Club career   2.1 Santos   2.2 New York Cosmos     3 International career   3.1 1958 World Cup   3.2 South American Championship   3.3 1962 World Cup   3.4 1966 World Cup   3.5 1970 World Cup     4 Style of play   5 Reception and legacy   5.1 Accolades     6 Personal life   6.1 Relationships and children   6.2 Politics   6.3 Health     7 After football   8 Honours   8.1 International   8.2 Club   8.3 Individual     9 Personal records   10 Career statistics   10.1 Club   10.2 International   10.3 Summary     11 See also   12 Notes   13 References   14 Bibliography   15 External links    Early years  Born in Três Corações in 1940 , Pelé has a street named after him in the city -- Rua Edson Arantes do Nascimento . A statue of Pelé is also prominently placed in a plaza near downtown .  Pelé was born Edson Arantes do Nascimento on 23 October 1940 , in Três Corações , Minas Gerais , Brazil , the son of Fluminense footballer Dondinho ( born João Ramos do Nascimento ) and Celeste Arantes . He was the elder of two siblings . He was named after the American inventor Thomas Edison . His parents decided to remove the `` i '' and call him `` Edson '' , but there was a mistake on the birth certificate , leading many documents to show his name as `` Edison '' , not `` Edson '' , as he is called . He was originally nicknamed `` Dico '' by his family . He received the nickname `` Pelé '' during his school days , when it is claimed he was given it because of his pronunciation of the name of his favorite player , local Vasco da Gama goalkeeper Bilé , which he misspoke but the more he complained the more it stuck . In his autobiography , Pelé stated he had no idea what the name means , nor did his old friends . Apart from the assertion that the name is derived from that of Bilé , and that it is Hebrew for `` miracle '' ( פֶּ֫לֶא ) , the word has no known meaning in Portuguese .   Pelé grew up in poverty in Bauru in the state of São Paulo . He earned extra money by working in tea shops as a servant . Taught to play by his father , he could not afford a proper football and usually played with either a sock stuffed with newspaper and tied with a string or a grapefruit . He played for several amateur teams in his youth , including Sete de Setembro , Canto do Rio , São Paulinho , and Amériquinha . Pelé led Bauru Athletic Club juniors ( coached by Waldemar de Brito ) to two São Paulo state youth championships . In his mid-teens , he played for an indoor football team called Radium . Indoor football had just become popular in Bauru when Pelé began playing it . He was part of the first Futebol de Salão ( indoor football ) competition in the region . Pelé and his team won the first championship and several others .   According to Pelé , indoor football presented difficult challenges ; he said it was a lot quicker than football on the grass and that players were required to think faster because everyone is close to each other in the pitch . Pelé accredits indoor football for helping him think better on the spot . In addition , indoor football allowed him to play with adults when he was about 14 years old . In one of the tournaments he participated , he was initially considered too young to play , but eventually went on to end up top scorer with fourteen or fifteen goals . `` That gave me a lot of confidence '' , Pelé said , `` I knew then not to be afraid of whatever might come '' .   Club career   Santos   In 1956 , de Brito took Pelé to Santos , an industrial and port city located near São Paulo , to try out for professional club Santos FC , telling the directors at Santos that the 15 - year - old would be `` the greatest football player in the world . '' Pelé impressed Santos coach Lula during his trial at the Estádio Vila Belmiro , and he signed a professional contract with the club in June 1956 . Pelé was highly promoted in the local media as a future superstar . He made his senior team debut on 7 September 1956 at the age of 15 against Corinthians Santo Andre and had an impressive performance in a 7 -- 1 victory , scoring the first goal in his prolific career during the match .   When the 1957 season started , Pelé was given a starting place in the first team and , at the age of 16 , became the top scorer in the league . Ten months after signing professionally , the teenager was called up to the Brazil national team . After the 1962 World Cup , wealthy European clubs such as Real Madrid , Juventus and Manchester United tried to sign him , but the government of Brazil under President Jânio Quadros had declared Pelé an `` official national treasure '' the year before to prevent him from being transferred out of the country .  Pelé with Santos in the Netherlands , October 1962  Pelé won his first major title with Santos in 1958 as the team won the Campeonato Paulista ; Pelé would finish the tournament as top scorer with 58 goals , a record that stands today . A year later , he would help the team earn their first victory in the Torneio Rio - São Paulo with a 3 -- 0 over Vasco da Gama . However , Santos was unable to retain the Paulista title . In 1960 , Pelé scored 33 goals to help his team regain the Campeonato Paulista trophy but lost out on the Rio - São Paulo tournament after finishing in 8th place . In the 1960 season , Pelé scored 47 goals and helped Santos regain the Campeonato Paulista . The club went on to win the Taça Brasil that same year , beating Bahia in the finals ; Pelé finished as top scorer of the tournament with 9 goals . The victory allowed Santos to participate in the Copa Libertadores , the most prestigious club tournament in the Western hemisphere .  `` I arrived hoping to stop a great man , but I went away convinced I had been undone by someone who was not born on the same planet as the rest of us . ''  -- Benfica goalkeeper Costa Pereira following the loss to Santos in 1962 .   Santos 's most successful Copa Libertadores season started in 1962 ; the team was seeded in Group One alongside Cerro Porteño and Deportivo Municipal Bolivia , winning every match of their group but one ( a 1 -- 1 away tie versus Cerro ) . Santos defeated Universidad Católica in the semifinals and met defending champions Peñarol in the finals . Pelé scored twice in the playoff match to secure the first title for a Brazilian club . Pelé finished as the second top scorer of the competition with four goals . That same year , Santos would successfully defend the Campeonato Brasileiro ( with 37 goals from Pelé ) and the Taça Brasil ( Pelé scoring four goals in the final series against Botafogo ) . Santos would also win the 1962 Intercontinental Cup against Benfica . Wearing his number 10 shirt , Pelé produced one of the best performances of his career , scoring a hat - trick in Lisbon as Santos won 5 -- 2 . As the defending champions , Santos qualified automatically to the semi-final stage of the 1963 Copa Libertadores . The ballet blanco , the nickname given to Santos for Pelé , managed to retain the title after victories over Botafogo and Boca Juniors . Pelé helped Santos overcome a Botafogo team that contained Brazilian legends such as Garrincha and Jairzinho with a last - minute goal in the first leg of the semi-finals which made it 1 -- 1 . In the second leg , Pelé scored a hat - trick in the Estádio do Maracanã as Santos won , 0 -- 4 , in the second leg . Santos started the final series by winning , 3 -- 2 , in the first leg and defeating Boca Juniors 1 -- 2 , in La Bombonera . It was a rare feat in official competitions , with another goal from Pelé . Santos became the first ( and to date the only ) Brazilian team to lift the Copa Libertadores in Argentine soil . Pelé finished the tournament with 5 goals . Santos lost the Campeonato Paulista after finishing in third place but went on to win the Rio - São Paulo tournament after a 0 -- 3 win over Flamengo in the final , with Pelé scoring one goal . Pelé would also help Santos retain the Intercontinental Cup and the Taça Brasil against Milan and Bahia respectively .  Pelé is the all - time leading goalscorer for Santos .  In the 1964 Copa Libertadores , Santos were beaten in both legs of the semi-finals by Independiente . The club won the Campeonato Paulista , with Pelé netting 34 goals . Santos also shared the Rio - São Paulo title with Botafogo and won the Taça Brasil for the fourth consecutive year . In the 1965 Copa Libertadores , Santos reached the semi-finals and met Peñarol in a rematch of the 1962 final . After two matches , a playoff was needed to break the tie . Unlike 1962 , Peñarol came out on top and eliminated Santos 2 -- 1 . Pelé would , however , finish as the topscorer of the tournament with eight goals . This proved to be the start of a decline as Santos failed to retain the Torneio Rio - São Paulo . In 1966 , Pelé and Santos also failed to retain the Taça Brasil as Pelé 's goals were not enough to prevent a 9 -- 4 defeat by Cruzeiro ( led by Tostão ) in the final series . The club did , however , win the Campeonato Paulista in 1967 , 1968 and 1969 . On 19 November 1969 , Pelé scored his 1000th goal in all competitions , in what was a highly anticipated moment in Brazil . The goal , popularly dubbed O Milésimo ( The Thousandth ) , occurred in a match against Vasco da Gama , when Pelé scored from a penalty kick , at the Maracanã Stadium .   Pelé states that his most memorable goal was scored at Rua Javari stadium on a Campeonato Paulista match against São Paulo rival Clube Atlético Juventus on 2 August 1959 . As there is no video footage of this match , Pelé asked that a computer animation be made of this specific goal . In March 1961 , Pelé scored the gol de placa ( goal worthy of a plaque ) , against Fluminense at the Maracanã . Pelé received the ball on the edge of his own penalty area , and ran the length of the field , eluding opposition players with feints , before striking the ball beyond the goalkeeper . A plaque was commissioned with a dedication to `` the most beautiful goal in the history of the Maracanã '' .   In 1967 , the two factions involved in the Nigerian Civil War agreed to a 48 - hour ceasefire so they could watch Pelé play an exhibition game in Lagos . During his time at Santos , Pelé played alongside many gifted players , including Zito , Pepe , and Coutinho ; the latter partnered him in numerous one - two plays , attacks , and goals .   New York Cosmos  Pelé signing a football for U.S. President Richard Nixon at the White House in 1973 , two years before joining the New York Cosmos  After the 1974 season ( his 19th with Santos ) , Pelé retired from Brazilian club football although he continued to occasionally play for Santos in official competitive matches . Two years later , he came out of semi-retirement to sign with the New York Cosmos of the North American Soccer League ( NASL ) for the 1975 season . Though well past his prime at this point , Pelé was credited with significantly increasing public awareness and interest of the sport in the United States . Hoping to fuel the same kind of awareness in the Dominican Republic , he and the Cosmos team played in an exhibition match against Haitian team , Violette AC , in the Santo Domingo Olympic Stadium on 3 June 1976 , where over 25,000 fans watched him score a winning goal in the last seconds of the match , leading the Cosmos to a 2 -- 1 victory . He led the Cosmos to the 1977 NASL championship , in his third and final season with the club .  Pelé ( left ) with Eusébio ( far right ) before a game in the NASL in April 1977  On 1 October 1977 , Pelé closed out his career in an exhibition match between the Cosmos and Santos . Santos arrived in New York after previously defeating the Seattle Sounders in New Jersey , 2 -- 0 . The match was played in front of a sold out crowd at Giants Stadium and was televised in the United States on ABC 's Wide World of Sports as well as throughout the world . Pelé 's father and wife both attended the match , as well as Muhammad Ali and Bobby Moore .   International career   Pelé 's first international match was a 2 -- 1 defeat against Argentina on 7 July 1957 at the Maracanã . In that match , he scored his first goal for Brazil aged 16 years and nine months , and he remains the youngest goalscorer for his country .   1958 World Cup  Pelé ( number 10 ) dribbles past three Swedish players at the 1958 World Cup  Pelé arrived in Sweden sidelined by a knee injury but on his return from the treatment room , his colleagues stood together and insisted upon his selection . His first match was against the USSR in the third match of the first round of the 1958 FIFA World Cup , where he gave the assist to Vavá 's second goal . He was the youngest player of that tournament , and at the time the youngest ever to play in the World Cup . Against France in the semifinal , Brazil was leading 2 -- 1 at halftime , and then Pelé scored a hat - trick , becoming the youngest in World Cup history to do so .  17 - year - old Pelé cries on the shoulder of goalkeeper Gilmar after Brazil won the 1958 World Cup Final  On 29 June 1958 , Pelé became the youngest player to play in a World Cup final match at 17 years and 249 days . He scored two goals in that final as Brazil beat Sweden 5 -- 2 in Stockholm , the capital . His first goal where he flicked the ball over a defender before volleying into the corner of the net , was selected as one of the best goals in the history of the World Cup . Following Pelé 's second goal , Swedish player Sigvard Parling would later comment ; `` When Pelé scored the fifth goal in that Final , I have to be honest and say I felt like applauding '' . When the match ended , Pelé passed out on the field , and was revived by Garrincha . He then recovered , and was compelled by the victory to weep as he was being congratulated by his teammates . He finished the tournament with six goals in four matches played , tied for second place , behind record - breaker Just Fontaine , and was named best young player of the tournament .   It was in the 1958 World Cup that Pelé began wearing a jersey with number 10 . The event was the result of disorganization : the leaders of the Brazilian Federation did not send the shirt numbers of players and it was up to FIFA to choose the number 10 shirt to Pelé who was a substitute on the occasion . The press proclaimed Pelé the greatest revelation of the 1958 World Cup , and he was also retroactively given the Silver Ball as the second best player of the tournament , behind Didi .   South American championship   Pelé also played in the South American Championship . In the 1959 competition he was named best player of the tournament and was top scorer with 8 goals , as Brazil came second despite being unbeaten in the tournament . He scored in five of Brazil 's six games , including two goals against Chile and a hat - trick against Paraguay .   1962 World Cup  Pelé with Brazil taking on Italy 's Giovanni Trapattoni at the San Siro , Milan in 1963  When the 1962 World Cup started , Pelé was the best rated player in the world . In the first match of the 1962 World Cup in Chile , against Mexico , Pelé assisted the first goal and then scored the second one , after a run past four defenders , to go up 2 -- 0 . He injured himself in the next game while attempting a long - range shot against Czechoslovakia . This would keep him out of the rest of the tournament , and forced coach Aymoré Moreira to make his only lineup change of the tournament . The substitute was Amarildo , who performed well for the rest of the tournament . However , it was Garrincha who would take the leading role and carry Brazil to their second World Cup title , after beating Czechoslovakia at the final in Santiago .   1966 World Cup   Pelé was the most famous footballer in the world during the 1966 World Cup in England , and Brazil fielded some world champions like Garrincha , Gilmar and Djalma Santos with the addition of other stars like Jairzinho , Tostão and Gérson , leading to high expectations for them . Brazil was eliminated in the first round , playing only three matches . The World Cup was marked , among other things , for brutal fouls on Pelé that left him injured by the Bulgarian and Portuguese defenders .   Pelé scored the first goal from a free kick against Bulgaria , becoming the first player to score in three successive FIFA World Cups , but due to his injury , a result of persistent fouling by the Bulgarians , he missed the second game against Hungary . Brazil lost that game and Pelé , although still recovering , was brought back for the last crucial match against Portugal at Goodison Park in Liverpool by the Brazilian coach Vicente Feola . Feola changed the entire defense , including the goalkeeper , while in midfield he returned to the formation of the first match . During the game , Portugal defender João Morais fouled Pelé , but was not sent off by referee George McCabe ; a decision retrospectively viewed as being among the worst refereeing errors in World Cup history . Pelé had to stay on the field limping for the rest of the game , since substitutes were not allowed at that time . After this game he vowed he would never again play in the World Cup , a decision he would later change .   1970 World Cup   Pelé was called to the national team in early 1969 , he refused at first , but then accepted and played in six World Cup qualifying matches , scoring six goals . The 1970 World Cup in Mexico was expected to be Pelé 's last . Brazil 's squad for the tournament featured major changes in relation to the 1966 squad . Players like Garrincha , Nilton Santos , Valdir Pereira , Djalma Santos and Gilmar had already retired . However , Brazil 's 1970 World Cup squad , which included players like Pelé , Rivelino , Jairzinho , Gérson , Carlos Alberto Torres , Tostão and Clodoaldo , is often considered to be the greatest football team in history .  Pelé , front row second from right , before the match against Peru in the 1970 World Cup  The front five of Jairzinho , Pelé , Gerson , Tostão and Rivelino together created an attacking momentum , with Pelé having a central role in Brazil 's way to the final . All of Brazil 's matches in the tournament ( except the final ) were played in Guadalajara , and in the first match against Czechoslovakia , Pelé gave Brazil a 2 -- 1 lead , by controlling Gerson 's long pass with his chest and then scoring . In this match Pelé attempted to lob goalkeeper Ivo Viktor from the half - way line , only narrowly missing the Czechoslovak goal . Brazil went on to win the match , 4 -- 1 . In the first half of the match against England , Pelé nearly scored with a header that was saved by the England goalkeeper Gordon Banks . In the second half , he controlled a cross from Tostão before flicking the ball to Jairzinho who scored the only goal .  Mário Zagallo ( Brazil 's 1970 coach with Pelé in 2008 ) . Zagallo said of Pelé : `` A kid in Sweden ( 1958 World Cup ) gave signs of genius , and in Mexico ( 1970 World Cup ) he fulfilled all that promise and closed the book with a golden key . And I had the privilege to see it all from close up . ''  Against Romania , Pelé scored two goals , with Brazil winning by a final score of 3 -- 2 . In the quarterfinals against Peru , Brazil won 4 -- 2 , with Pelé assisting Tostão for Brazil 's third goal . In their semi-final match , Brazil faced Uruguay for the first time since the 1950 World Cup final round match . Jairzinho put Brazil ahead 2 -- 1 , and Pelé assisted Rivelino for the 3 -- 1 . During that match , Pelé made one of his most famous plays . Tostão passed the ball for Pelé to collect which Uruguay 's goalkeeper Ladislao Mazurkiewicz took notice of and ran off his line to get the ball before Pelé . However , Pelé got there first and fooled Mazurkiewicz with a feint by not touching the ball , causing it to roll to the goalkeepers left , while Pelé went to the goalkeepers right . Pelé ran around the goalkeeper to retrieve the ball and took a shot while turning towards the goal , but he turned in excess as he shot , and the ball drifted just wide of the far post .   Brazil played Italy in the final at the Azteca Stadium in Mexico City . Pelé scored the opening goal with a header over Italian defender Tarcisio Burgnich . He then made assists on Brazil 's third goal , scored by Jairzinho , and the fourth finished by Carlos Alberto . The last goal of the game is often considered the greatest team goal of all time because it involved all but two of the team 's outfield players . The play culminated after Pelé made a blind pass that went into Carlos Alberto 's running trajectory . He came running from behind and struck the ball to score . Brazil won the match 4 -- 1 , keeping the Jules Rimet Trophy indefinitely , and Pelé received the Golden Ball as player of the tournament . Burgnich , who marked Pelé during the final , was quoted saying `` I told myself before the game , he 's made of skin and bones just like everyone else -- but I was wrong '' .   Pelé 's last international match was on 18 July 1971 against Yugoslavia in Rio de Janeiro . With Pelé on the field , the Brazilian team 's record was 67 wins , 14 draws and 11 losses . Brazil never lost a match while fielding both Pelé and Garrincha .   Style of play  Pelé dribbling past a defender while playing for Brazil , May 1960 .  Pelé has also been known for connecting the phrase `` The Beautiful Game '' with football . A prolific goalscorer , he was known for his ability to anticipate opponents in the area and finish off chances with an accurate and powerful shot with either foot . Pelé was also a hard - working team - player , and a complete forward , with exceptional vision and intelligence , who was recognised for his precise passing , and ability to link - up with teammates and provide them with assists .   In his early career , he played in a variety of attacking positions . Although he usually operated inside the penalty area as a main striker or centre - forward , his wide range of skills also allowed him to play in a more withdrawn role , as an inside forward or second striker , or out wide . In his later career , he took on more of a deeper playmaking role behind the strikers , often functioning as an attacking midfielder . Pelé 's unique playing style combined speed , creativity , and technical skill with physical power , stamina , and athleticism . His excellent technique , balance , flair , agility , and dribbling skills enabled him to beat opponents with the ball , and frequently saw him use sudden changes of direction and elaborate feints in order to get past players , such as his trademark move , the drible da vaca . Another one of his signature moves was the paradinha , or little stop .   In spite of his relatively small stature , 5 feet 8 inches ( 1.73 m ) , he excelled in the air , due to his heading accuracy and elevation . Renowned for his bending shots , he was also an accurate free - kick taker , and penalty taker , although he often refrained from taking penalties , stating that he believed it to be a cowardly way to score .   In addition to his abilities as a footballer , Pelé was also known to be a fair and highly influential player , who stood out for his charismatic leadership and sportsmanship on the pitch . He also earned a reputation for often being a decisive player for his teams , due to his tendency to score crucial goals in important matches .   Reception and legacy  `` Pelé was one of the few who contradicted my theory : instead of 15 minutes of fame , he will have 15 centuries . ''  -- Andy Warhol .  `` My name is Ronald Reagan , I 'm the President of the United States of America . But you do n't need to introduce yourself , because everyone knows who Pelé is . ''  -- US President Ronald Reagan , greeting Pelé at the White House .   Pelé is one of the most lauded players in history and is frequently ranked the best player ever . Among his contemporaries , Dutch star Johan Cruyff stated ; `` Pelé was the only footballer who surpassed the boundaries of logic . '' Brazil 's 1970 FIFA World Cup - winning captain Carlos Alberto Torres opined ; `` His great secret was improvisation . Those things he did were in one moment . He had an extraordinary perception of the game . '' Tostão , his strike partner at the 1970 World Cup ; `` Pelé was the greatest -- he was simply flawless . And off the pitch he is always smiling and upbeat . You never see him bad - tempered . He loves being Pelé . '' His Brazilian teammate Clodoaldo commented on the adulation he witnessed ; `` In some countries they wanted to touch him , in some they wanted to kiss him . In others they even kissed the ground he walked on . I thought it was beautiful , just beautiful . ''   Pelé is the greatest player of all time . He reigned supreme for 20 years . There 's no one to compare with him .  -- West Germany 's 1974 World Cup - winning captain Franz Beckenbauer .  Former Real Madrid and Hungary star Ferenc Puskás stated ; `` The greatest player in history was Di Stéfano . I refuse to classify Pelé as a player . He was above that . '' Just Fontaine , French striker and leading scorer at the 1958 World Cup ; `` When I saw Pelé play , it made me feel I should hang up my boots . '' England 's 1966 FIFA World Cup - winning captain Bobby Moore commented : `` Pelé was the most complete player I 've ever seen , he had everything . Two good feet . Magic in the air . Quick . Powerful . Could beat people with skill . Could outrun people . Only five feet and eight inches tall , yet he seemed a giant of an athlete on the pitch . Perfect balance and impossible vision . He was the greatest because he could do anything and everything on a football pitch . I remember Saldanha the coach being asked by a Brazilian journalist who was the best goalkeeper in his squad . He said Pelé . The man could play in any position '' . Former Manchester United striker and member of England 's 1966 FIFA World Cup - winning team Sir Bobby Charlton stated ; `` I sometimes feel as though football was invented for this magical player . '' During the 1970 World Cup , when Manchester United defender Paddy Crerand ( who was part of the ITV panel ) was asked ; `` How do you spell Pelé ? '' , he replied with the response ; `` Easy : G-O-D . ''   Accolades  1969 Brazil stamp commemorating Pelé 's landmark 1,000 th goal  Since retiring , Pelé has continued to be lauded by players , coaches , journalists and others . Brazilian attacking midfielder Zico , who represented Brazil at the 1978 , 1982 and 1986 FIFA World Cup , stated ; `` This debate about the player of the century is absurd . There 's only one possible answer : Pelé . He 's the greatest player of all time , and by some distance I might add '' . French three time Balon D'or winner Michel Platini said ; `` There 's Pelé the man , and then Pelé the player . And to play like Pelé is to play like God . '' Joint FIFA Player of the Century , Argentina 's 1986 FIFA World Cup - winning captain Diego Maradona stated ; `` It 's too bad we never got along , but he was an awesome player '' . Prolific Brazilian striker Romário , winner of the 1994 FIFA World Cup and player of the tournament ; `` It 's only inevitable I look up to Pelé . He 's like a God to us '' . Five - time FIFA Ballon d'Or winner Cristiano Ronaldo said : `` Pelé is the greatest player in football history , and there will only be one Pelé '' , while José Mourinho , two - time UEFA Champions League winning manager , commented ; `` I think he is football . You have the real special one -- Mr. Pelé . '' Real Madrid honorary president and former player , Alfredo Di Stéfano , opined : `` The best player ever ? Pelé . Lionel Messi and Cristiano Ronaldo are both great players with specific qualities , but Pelé was better '' .  Pelé playing for New York Cosmos at Eden Gardens in Kolkata , India with a sold out stadium of 80,000 in 1977 .  Presenting Pelé the Laureus Lifetime Achievement Award , former South African president Nelson Mandela said ; `` To watch him play was to watch the delight of a child combined with the extraordinary grace of a man in full . '' US politician and political scientist Henry Kissinger stated , `` Performance at a high level in any sport is to exceed the ordinary human scale . But Pelé 's performance transcended that of the ordinary star by as much as the star exceeds ordinary performance . '' After a reporter asked if his fame compared to that of Jesus , Pelé quipped , `` There</t>
  </si>
  <si>
    <t xml:space="preserve">how many goals did pele score for santos</t>
  </si>
  <si>
    <t xml:space="preserve">  Brazil national football team : All - time leading goalscorer : 77 goals ( 95 goals including unofficial friendlies ) .   Santos : All - time leading goalscorer : 643 goals in 656 competitive games .   Intercontinental Cup : All - time leading goalscorer : 7 goals   World record number of hat - tricks : 92   Guinness World Records : Most career goals ( football ) : 1283 goals in 1363 games   Guinness World Records : Most FIFA World Cup winners ' medals : three   Guinness World Records : Youngest winner of a FIFA World Cup : 17 years and 249 days in 1958 FIFA World Cup   Youngest goalscorer in the FIFA World Cup : 17 years and 239 days ( Brazil v Wales 1958 )   Youngest player to score a hat - trick in the FIFA World Cup : 17 years and 244 days ( Brazil v France 1958 )   Youngest player to play in a FIFA World Cup Final : 17 years and 249 days ( Brazil v Sweden 1958 )   Youngest goalscorer in a FIFA World Cup Final : 17 years and 249 days ( Brazil v Sweden 1958 )  </t>
  </si>
  <si>
    <t xml:space="preserve">My Little Pony : Friendship is Magic - Wikipedia  My Little Pony : Friendship is Magic  Jump to : navigation , search This article is about the television series . For the other media in the franchise , see My Little Pony ( 2010 toyline ) .    My Little Pony : Friendship Is Magic     Logo used for the show 's first six seasons .     Genre     Adventure   Fantasy   Comedy       Created by   Lauren Faust     Based on   My Little Pony by Bonnie Zacherle     Directed by     Jayson Thiessen ( seasons 1 -- 2 , 4 -- 5 )   James Wootton ( seasons 1 -- 3 )   Jim Miller ( season 4 -- present )   Denny Lu ( seasons 5 -- 7 )   Tim Stuby ( season 6 -- present )   Mike Myhre ( season 7 -- present )       Voices of     Tara Strong   Ashleigh Ball   Andrea Libman   Tabitha St. Germain   Cathy Weseluck   Nicole Oliver   Michelle Creber   Madeleine Peters   Claire Corlett       Theme music composer   Daniel Ingram     Opening theme   `` Friendship Is Magic ''     Ending theme   `` Friendship Is Magic '' ( instrumental )     Composer ( s )     William Anderson   Daniel Ingram   Caleb Chan   Steffan Andrews       Country of origin     United States   Canada       Original language ( s )   English     No. of seasons   7     No. of episodes   169 ( list of episodes )     Production     Executive producer ( s )     Lauren Faust ( season 1 , The Return of Harmony )   Stephen Davis ( season 1 - present )   Kirsten Newlands ( season 1 - present )   Chris Bartleman ( seasons 1 -- 3 )   Blair Peters ( seasons 1 -- 2 )   Beth Stevenson ( season 1 )   Meghan McCarthy ( seasons 3 -- 5 )   Jayson Thiessen ( seasons 4 -- 5 )   Sarah Wall ( season 5 -- present )   Asaph Fipke ( season 6 -- present )       Producer ( s )     Devon Cody ( season 1 -- present )   Sarah Wall ( seasons 1 -- 4 )       Running time   22 minutes     Production company ( s )     Hasbro Studios   DHX Media / Vancouver       Distributor     Hasbro Studios   DHX Distribution       Release     Original network     Hub Network ( 2010 -- 2014 )   Discovery Family ( 2014 -- present )       Picture format     480i NTSC   1080i HDTV and 1080p ( digital distribution )       Audio format     5.1 Surround Sound   Stereo   Mono       Original release   October 10 , 2010 ( 2010 - 10 - 10 ) -- present     Chronology     Preceded by     My Little Pony   My Little Pony Tales       External links     Website     My Little Pony : Friendship Is Magic is a children 's animated fantasy television series created by Lauren Faust for Hasbro . The series is based on Hasbro 's My Little Pony line of toys and animated works and is often referred by collectors as the fourth generation ( `` G4 '' ) of the franchise . The series premiered on October 10 , 2010 , on The Hub cable channel . Hasbro selected animator Lauren Faust as the creative director and executive producer for the show . Faust sought to challenge the established nature of the existing My Little Pony line , creating more in - depth characters and adventurous settings ; she left the series during season 2 , to be replaced by Meghan McCarthy as showrunner .   The show follows a studious anthropomorphic unicorn pony named Twilight Sparkle as her mentor Princess Celestia guides her to learn about friendship in the town of Ponyville . Twilight becomes close friends with five other ponies : Applejack , Rarity , Fluttershy , Rainbow Dash , and Pinkie Pie . Each of the ponies represent a different facet of friendship , and Twilight discovers herself to be a key part of the magical artifacts known as the `` Elements of Harmony '' . The ponies travel on adventures and help others around Equestria while working out problems that arise in their own friendships .   The series has become a major commercial success , becoming the most highly rated original production in the Hub Network 's broadcast history and leading to new merchandising opportunities for Hasbro , including books , clothing , collectible trading cards , and comics . Despite the target demographic of young girls , Friendship Is Magic has also gained a large following of older viewers , mainly young and middle - aged men , who call themselves `` bronies '' . Portions of the show have become part of the remix culture , and have formed the basis for a variety of internet memes .   The show has ran for 169 episodes through seven seasons with an eighth scheduled for a March 24 , 2018 release . A spin - off feature film series , My Little Pony : Equestria Girls , started in 2013 and has been shown in limited theatrical screenings prior to television broadcast and home media release . A feature - length film adaptation directly based on the TV series , titled My Little Pony : The Movie , was theatrically released on October 6 , 2017 in the United States .     Contents  ( hide )   1 Origin   2 Production   2.1 Music     3 Premise   4 Cast and characters   5 Episodes   5.1 Series overview     6 Distribution   6.1 United States   6.2 International   6.3 Home media     7 Merchandise and other media   8 Reception   8.1 Critical reception   8.2 Ratings   8.3 Awards and nominations   8.4 Fandom   8.5 Other     9 See also   10 Notes   11 References   11.1 Bibliography     12 External links      Origin   Hasbro , Inc. has produced several incarnations and lines of toys and entertainment related to the My Little Pony franchise , often labeled by collectors as `` generations '' . The animated series My Little Pony Tales which premiered in 1992 was the toy line 's most recent television series before Friendship Is Magic , featuring the pony designs of the first toy line . It was followed by various direct - to - video releases , which featured later designs up to the third incarnation of the franchise . Just as Michael Bay 's film had helped to boost the new Transformers toy line , Hasbro wanted to retool the My Little Pony franchise and update it to better suit the current demographic and taste of young girls . According to Margaret Loesch , CEO of Hub Network , revisiting properties that had worked in the past was an important programming decision , influenced to an extent by the opinions of the network 's programming executives , a number of whom were once fans of such shows . Senior Vice President Linda Steiner also stated that they `` intended to have the show appeal to a larger demographic '' , with the concept of `` co-viewing '' of parents with their children being a central theme of the Hub Network 's programming . Central themes that Hasbro sought for the show included friendships and working together , factors they determined from market research in how girls played with their toys .  Lauren Faust , developer and initial showrunner of My Little Pony : Friendship Is Magic  Animator and writer Lauren Faust approached Hasbro , seeking to develop her girls ' toys property `` Galaxy Girls '' into an animated series . Faust , who had previously worked on Cartoon Network 's The Powerpuff Girls and Foster 's Home for Imaginary Friends , had been pitching original animation aimed at girls for years , but had always been rejected by studios and networks because cartoons for girls were considered unsuccessful . When she pitched to Lisa Licht of Hasbro Studios , Licht showed Faust one of their recent My Little Pony animated works , Princess Promenade , `` completely on the fly '' . Licht considered that Faust 's style was well suited to that line , and asked her to consider `` some ideas where to take a new version of the franchise '' .   Faust was initially hired by Hasbro to create a pitch bible for the show , allowing her to get additional help with conceptualization . Faust said she was `` extremely skeptical '' about taking the job at first because she had always found shows based on girls ' toys to be boring and unrelatable . My Little Pony was one of her favorite childhood toys , but she was disappointed that her imagination at the time was nothing like the animated shows , in which the characters , according to Faust , `` just had endless tea parties , giggled over nothing and defeated villains by either sharing with them or crying '' . With the chance to work on My Little Pony , she hoped to prove that `` cartoons for girls do n't have to be a puddle of smooshy , cutesy - wootsy , goody - two - shoeness '' . To do this , she incorporated into the design of the characters and the show many elements that contradicted idealized stereotypes of girls , such as diverse personalities , the message that friends can be different and can get into arguments but still be friends , and the idea that girls should not be limited by what others say they can or can not do . Elements of the characters ' personalities and the show 's settings were based on her own childhood imagination of the ponies ' adventures , in part inspired by the animated shows that her brothers would watch while growing up , such as Transformers and G.I. Joe ; she considered that she was making Friendship Is Magic `` for me as an eight - year - old '' . Faust still aimed for the characters to be `` relatable '' characters , using stereotypical `` icons of girliness '' ( such as the waif or the bookworm ) in order to broaden the appeal of the characters for the young female audience .   Faust stated that as she provided Hasbro with more of her ideas for the show , she was inspired by their positive response to the non-traditional elements . Faust had initially pitched the show to include `` adventure stories '' in a similar proportion to `` relationship stories '' , but recognizing the younger target audience , as well as the difficulty of basing complex plots on the adventure elements , she trimmed back this content , focusing more on exchanges between the characters . The show still incorporates episodic creatures intended to be frightening to children , such as dragons and hydras , but it places more emphasis on the friendships among the characters , displayed with a comedic tone . By the time the show was approved , Faust had developed three full scripts for the series .   Faust began to work out concept sketches , several of which appeared on her DeviantArt page , including ponies from the original series ( Twilight , Applejack , Firefly , Surprise , Posey and Sparkler ) , which later provided the core for the main cast of the show . Hasbro approved the show with Faust as Executive Producer and asked her to complete the pitch bible . In order to do so , Faust brought in Martin Ansolabehere and Paul Rudish , who had worked on other animated shows with her . Faust credits Rudish for the inspiration of the pegasus ponies controlling the weather in Equestria , as well as the character of Nightmare Moon during this period . Faust also consulted Craig McCracken , her husband and also an animator and creator of The Powerpuff Girls and Foster 's Home for Imaginary Friends . After seeing the initial version of the pitch bible , Hasbro requested more character designs from Faust 's team ; subsequently , Faust brought aboard Dave Dunnet and Lynne Naylor to further refine the background and character styles .   On completion of the pitch bible , Hasbro and Faust began looking at studios for the animation . Studio B Productions ( renamed to DHX Media on September 8 , 2010 , after its parent company , along with DHX 's other subsidiaries ) had previously worked on Macromedia Flash - based animations and on shows that featured a large number of animals , and Faust felt they would be a good selection . Studio B requested that Jayson Thiessen be the director , a choice Faust agreed with . She , Thiessen , and James Wootton led the completion of a two - minute short to pitch the final product to Hasbro , resulting in the company 's sanctioning the full production . Faust estimates that from being initially asked to develop the show until this point took roughly one year .   Production   The show is developed at Hasbro Studios in Los Angeles , where most of the writing staff is located , and at DHX Media Vancouver in Vancouver , British Columbia , for the animation work .  A sample storyboard from the episode `` Call of the Cutie '' , containing pencil sketches of the main characters , rendered backgrounds to establish settings , and instructions for the Flash animators , such as the panning shot shown in the second panel  Faust 's initial writing staff at Hasbro Studios included several writers who had worked with her on her previous shows and were approved by Hasbro . These included Amy Keating Rogers , Cindy Morrow , Meghan McCarthy , Chris Savino , Charlotte Fullerton , M.A. Larson , and Dave Polsky . The writing process began with Faust and Renzetti coming up with broad plots for each show . The two would then hold a brainstorming session with each episode 's writer , allowing the writer to script out scenes and dialogue . Faust and Renzetti then worked with the writer to finalize the scripts and assign some basic storyboard instructions . Hasbro was involved throughout this process and laid down some of the concepts to be incorporated into the show . Examples of Hasbro 's influence include having Celestia be a princess rather than a queen , making one of the ponies focused on fashion , and portraying toy sets in relevant places within the story , such as Rarity 's boutique . In some cases , Hasbro requested that the show include a setting , but allowed Faust and her team to create its visual style , and Hasbro then based the toy set on it ; an example is the Ponyville schoolhouse . Faust also had to write to the E / I ( `` educational and informational '' ) standards that Hasbro required of the show , making the crafting of some of the situations she would have normally done on other animated shows more difficult ; for example , Faust cited having one character call another an `` egghead '' as `` treading a very delicate line '' , and having one character cheat in a competition as `` worrisome to some '' . Each episode also generally includes a moral or life lesson , but these were chosen to `` cross a broad spectrum of personal experiences '' , and not just to suit children . Because intellectual property issues had caused Hasbro to lose some of the rights on the original pony names , the show includes a mix of original characters from the toy line and new characters developed for the show .  Jayson Thiessen , supervising director ( left ) , and Shaun Scotellaro ( `` Sethisto '' ) , the founder of the fansite Equestria Daily , at BroNYCon 2011  Completed scripts were sent to Studio B for pre-production and animation using Macromedia Flash Professional 8 . Thiessen 's production team was also allowed to select key personnel subject to Hasbro 's approval ; one of those selected was art director Ridd Sorensen . The Studio B team would storyboard the provided scripts , incorporating any direction and sometimes managing to create scenes that the writers had believed impossible to show in animation . The animators would then prepare the key character poses , layout , background art , and other main elements , and send these versions back to the production team in Los Angeles for review by Hasbro and suggestions from the writers . Thiessen credited much of the technical expertise in the show to Wooton , who created Flash programs to optimize the placement and posing of the pony characters and other elements , simplifying and economizing on the amount of work needed from the other animators . For example , the ponies ' manes and tails are generally fixed shapes , animated by bending and stretching them in curves in three dimensions and giving them a sense of movement without the high cost of individual animated hairs . The storyboard artists and animators also need to fill in background characters for otherwise scripted scenes as to populate the world . According to writer Meghan McCarthy , many of the small nods to the fandom , pop culture references , or other easter eggs would be added at this point by the studio . Once the pre-production work was approved and completed , the episode would then be animated . Though Studio B performed the initial animation work , the final steps were passed to Top Draw Animation in the Philippines , an animation studio that Studio B had worked with in the later part of season one and beyond .   The voice casting and production is handled by Voicebox Productions , with Terry Klassen as the series ' voice director . Faust , Thiessen , and others participated in selecting voice actors , and Hasbro gave final approval . The voice work is performed prior to the animation , with the animators in the room to help provide direction ; according to Libman , this allows herself and the other actors to play the character without certain limitations . Libman noted that for recording her lines as the hyperactive Pinkie Pie , `` I learned that I can go as over the top as I want and they ( the animators ) rarely pull me back . ''  Daniel Ingram at Everfree Northwest 2012  The series ' background music is composed by William Kevin Anderson , and Daniel Ingram composes the songs , which are only included if they would make sense in the episode 's script . The production team identifies specific parts of the episode where they want music cues , allowing Anderson to create appropriate music for each . Ingram works alongside Anderson 's compositions to create vocal songs that mesh with the background music while filling out the show 's fantasy setting . The composition of the music and songs far precedes the broadcast of the episode ; for example , songs for the show 's third season that began airing in November 2012 were composed in 2011 . Ingram considered that songs from previous shows of My Little Pony were `` a little bit dated '' and decided to bring more interesting work to the Friendship Is Magic series . Such changes include making songs with more emotional depth than typical for children 's animation , and tending to write songs that can be enjoyed musically outside of the context of the episode . Ingram 's songs have `` became bigger and more epic , more Broadway and more cinematic over time '' with Hasbro blessing the effort to try `` something groundbreaking for daytime television '' , according to Ingram . Lyrics and overall musical themes may be suggested by the writers ; two examples include songs written by Amy Keating Rogers , who is a self - professed Stephen Sondheim fan . The song `` The Art of the Dress '' in the first - season episode `` Suited for Success '' is inspired by `` Putting it Together '' from the musical Sunday in the Park with George , while the season one finale 's song , `` At The Gala '' , is based on Sondheim 's Into the Woods . A large musical number in the episode `` The Super Speedy Cider Squeezy 6000 '' paid homage to the song `` Ya Got Trouble '' from Meredith Willson 's musical , The Music Man .   Before the show was approved , Hasbro and Faust had planned for episodes to be 11 minutes long , to which Faust conformed in her first full - length script , `` The Ticket Master '' , which was part of the pitch bible . However , Faust preferred more traditional 22 - minute episodes , and Hasbro eventually agreed to this . The initial production stages were very tight , requiring a schedule twice as fast as Faust had previously experienced , and frequent remote communication between the Los Angeles writing offices and the animation studio in Vancouver . At times , the two teams would hold `` writer 's summits '' to propose new ideas for characters and situations , at which the animation team would provide suggestions on visuals , body language , and characterization . Faust estimates that the time to complete one episode was one year ; at one point , the team was simultaneously working on various stages of all 26 episodes of the first season , and when the second season was approved , that number rose temporarily to 32 . Episodes then aired about a month after completion . Thiessen explained that they had pushed to start work on the second season as soon as the first was completed , to prevent staff turnover .   After the airing of the first season 's finale , Faust announced that she had left the show , and would be credited in the future as Consulting Producer . Her involvement in the second season consists mainly of story conception and scripts , and the involvement ceased after the second season . Despite leaving , she still has high hopes for the staff members , stating that `` the gaps I have left are being filled by the same amazing artists , writers , and directors who brought you Season 1 . I 'm certain the show will be as entertaining as ever '' . In an interview with New York Magazine , Faust stated her reasons for leaving were a combination of a hectic production schedules and a lack of creative control she had with the series . According to her husband McCracken , Faust 's departure was due to the fact that as a toy company - driven show , `` there were things she wanted to do with that series that she just was n't able to do '' , and that there is `` still some frustration with '' not being able to bring some of her ideas to screen .   Music  Main article : List of songs in My Little Pony : Friendship Is Magic  Premise   Friendship Is Magic takes place in the land of Equestria , populated by varieties of ponies including variants of Pegasus and unicorn , along with other sentient and non-sentient creatures . The central character is Twilight Sparkle , a unicorn mare sent by her mentor Princess Celestia , ruler of Equestria , to the town of Ponyville to study the magic of friendship . In the show 's opening episode `` Friendship Is Magic '' , Twilight resents this assignment , as she is more concerned about the foretold appearance of Nightmare Moon , the evil sister of Celestia . When Nightmare Moon does appear , vowing everlasting night and causing Celestia to disappear , Twilight sets off with five other ponies -- Applejack , Fluttershy , Pinkie Pie , Rainbow Dash , and Rarity -- to obtain the Elements of Harmony and defeat Nightmare Moon . Before Twilight can activate the Elements , Nightmare Moon appears and shatters them . In a flash of inspiration , Twilight realizes that each of her new friends represents one of the Elements of Harmony ( Honesty , Loyalty , Laughter , Generosity , and Kindness ) , and that she herself is the final piece , Magic . The magical power of the ponies ' friendship reverts Nightmare Moon to a repentant Princess Luna . Celestia reappears , reunites with her sister Princess Luna , and decrees that Twilight shall stay in Ponyville to continue studying the magic of friendship , much to the happiness of Twilight and her new friends .   Later episodes follow Twilight and her friends dealing with various problems around Ponyville , including interpersonal problems between friends and family , as well as more adventurous stories involving creatures like dragons and hydras , and having to save Equestria from villainous characters . At the end of each episode , Twilight sends a report back to Celestia explaining what she learned about friendship from these adventures . This part of the formula is abandoned in `` Lesson Zero '' , the second - season episode in which Twilight is convinced to be less rigid in her perceived duties ; after this , all the principals contribute reports , although the formality is disregarded when appropriate . In the fourth season , with the request for reports no longer applicable , the six resolve to keep a collective personal journal in which they record their thoughts about life for posterity .   Another focus of the show is the Cutie Mark Crusaders , a trio of much younger mares consisting of Apple Bloom , Sweetie Belle , and Scootaloo , who are obsessed with finding their `` cutie marks '' , an iconic symbol that magically appear on a pony 's flank once they have discovered their special talent in life . The show regularly features episodes centered on the Crusaders , who have yet to receive their cutie marks and are teased by other young ponies as `` blank flanks '' . In response , they desperately hurry to try to discover their talents and receive their own cutie marks , often doing so in comical fashions .   Although the episodes are designed to stand alone , the series features continuity and overall story arcs , with several key elements of the series changing ; one such change is the evolution of Twilight herself , who spends the first three seasons learning about friendship and is subsequently granted wings by Celestia to become an alicorn and a princess in the season 3 finale `` Magical Mystery Cure '' . In the season 4 finale `` Twilight 's Kingdom '' , she discovers that she is the Princess of Friendship and starts living in a magic castle after the destruction of her library home from previous seasons . Other crucial events impacting the series are the Cutie Mark Crusaders finally obtaining their cutie marks in the season 5 episode `` Crusaders of the Lost Mark '' ; the same season 's introduction of Starlight Glimmer , a villainous character who redeems herself and becomes Twilight 's pupil in the season finale `` The Cutie Re-Mark '' ; and Rainbow Dash fulfilling her lifelong dream of joining the elite Wonderbolts flight team in the season 6 episode `` Newbie Dash '' .   Each season typically has a theme and overall story arc : a theme throughout the first season , for example , is ponies ' preparation for the Grand Galloping Gala that occurs in the final episode of that season . In season 4 , the Mane Six must find six keys to a mysterious box revealed after they relinquish the Elements of Harmony to their original source , the Tree of Harmony , to save Equestria ; in the season finale , it is revealed that they had already obtained the keys , in the form of gifts they received during the season from people they helped .   Cast and characters  Main article : List of My Little Pony : Friendship Is Magic characters The cast of Friendship Is Magic , presented as a poster at the 2011 San Diego Comic - Con . Major characters include ( mid-front row , starting sixth from left ) Rainbow Dash , Pinkie Pie , Applejack , Twilight Sparkle , Fluttershy , Spike and Rarity . The poster also includes minor characters and those named by the fandom , including Derpy , DJ Pon - 3 , and Doctor Hooves .  The show revolves around the adventures and daily life of the unicorn pony Twilight Sparkle ( voiced by Tara Strong ) , her baby dragon assistant Spike ( Cathy Weseluck ) , and her friends in Ponyville , colloquially referred to as the `` Mane Six '' :    Rainbow Dash ( Ashleigh Ball ) , a tomboyish pegasus pony who helps control the weather , and aspires to be a part of Equestria 's famous flying team , the Wonderbolts ;   Rarity ( Tabitha St. Germain ) , a glamorous unicorn with a flair for fashion design ;   Fluttershy ( Andrea Libman ) , a shy and timid pegasus pony who is fond of nature and takes care of animals ;   Pinkie Pie ( Libman ) , a hyperactive pony who loves throwing parties ;   Applejack ( Ball ) , a hard - working pony who works on her family 's apple farm .    Other main characters are the Cutie Mark Crusaders , consisting of Applejack 's younger sister Apple Bloom ( Michelle Creber ) , Rarity 's younger sister Sweetie Belle ( Claire Corlett ) , and Scootaloo ( Madeleine Peters ) . The two alicorns ruling over Equestria , Twilight 's mentor Princess Celestia ( Nicole Oliver ) , and the younger Princess Luna ( St. Germain ) , also appear regularly ; another alicorn , Princess Cadance ( Britt McKillip ) , is introduced in the season two finale `` A Canterlot Wedding '' and oversees the northern Crystal Empire alongside her husband Shining Armor ( Andrew Francis ) , a unicorn who is also Twilight 's older brother . The season five premiere `` The Cutie Map '' introduces Starlight Glimmer ( Kelly Sheridan ) , an antagonist who subsequently becomes Twilight 's pupil in the season finale , `` The Cutie Re-Mark '' .   Many friends , family members , and other residents of Ponyville appear frequently , including Applejack 's older brother Big McIntosh ( Peter New ) and grandmother Granny Smith ( St. Germain ) ; the Crusaders ' teacher Cheerilee ( Oliver ) and nemeses Diamond Tiara ( Chantal Strand ) and Silver Spoon ( Shannon Chan - Kent ) ; the town 's mayor , Mayor Mare ( Weseluck ) ; and the muscular pegasus Bulk Biceps ( Michael Dobson ) . Notable secondary characters outside of Ponyville include the self - proclaimed `` great and powerful '' traveling magician Trixie ( Kathleen Barr ) ; the eccentric zebra Zecora ( Brenda Crichlow ) , who lives in the nearby Everfree Forest and dabbles in herbal medicine ; the Wonderbolts Spitfire ( Kelly Metzger ) and Soarin ( Matt Hill ) ; and Pinkie Pie 's older sister Maud ( Ingrid Nilson ) , who rarely expresses emotion and is obsessed with rocks . The Mane Six also face several villains ; one of them , the chimera - like trickster Discord ( John de Lancie ) , is introduced in season 2 and subsequently becomes a recurring character of the show .   The show also features an extensive cast of over 200 minor background characters . Several of these background ponies became fan favorites , leading to them having their roles expanded ; the show 's one - hundredth episode `` Slice of Life '' focuses almost entirely on some the most popular of them .   Episodes  Main article : List of My Little Pony : Friendship Is Magic episodes  In total , 169 episodes have been produced and broadcast .   Series overview     Season   Episodes   Originally aired     First aired   Last aired   Network         26   October 10 , 2010 ( 2010 - 10 - 10 )   May 6 , 2011 ( 2011 - 05 - 06 )   The Hub / Hub Network         26   September 17 , 2011 ( 2011 - 09 - 17 )   April 21 , 2012 ( 2012 - 04 - 21 )         13   November 10 , 2012 ( 2012 - 11 - 10 )   February 16 , 2013 ( 2013 - 02 - 16 )         26   November 23 , 2013 ( 2013 - 11 - 23 )   May 10 , 2014 ( 2014 - 05 - 10 )       5   26   April 4 , 2015 ( 2015 - 04 - 04 )   November 28 , 2015 ( 2015 - 11 - 28 )   Discovery Family       6   26   March 26 , 2016 ( 2016 - 03 - 26 )   October 22 , 2016 ( 2016 - 10 - 22 )       7   26   April 15 , 2017 ( 2017 - 04 - 15 )   October 28 , 2017 ( 2017 - 10 - 28 )       Film   October 6 , 2017 ( 2017 - 10 - 06 )   N / A       8   26   March 24 , 2018 ( 2018 - 03 - 24 )   TBA   Discovery Family     Distribution   United States   My Little Pony : Friendship Is Magic is one of several animated shows used to premiere The Hub , a retooling of the Discovery Kids channel of Discovery Communications in United States markets . The block of programming is a joint development of Hasbro and Discovery , designed to compete with similar family - friendly programming blocks on other networks such as the Disney Channel and Nickelodeon . The first episode of Friendship Is Magic premiered on the first Hub broadcast , on October 10 , 2010 . In March 2011 , the show was renewed for a second season to air in 2011 -- 12 . The season two premiere on September 17 , 2011 , had 339,000 viewers , and Hasbro reported that the second - season finale , `` A Canterlot Wedding '' , produced the best ratings of the history of the network in its core and other demographics , with an estimated 1,032,400 viewers . The show also airs on AFN Family .   The series is rated TV - Y and targeted at girls 4 -- 7 years old . The first season was produced and broadcast to `` E / I '' ( `` educational and informational '' ) standards , but Hasbro allowed the standard to be dropped in the second season .   International   My Little Pony : Friendship Is Magic has been distributed to international markets , including Treehouse TV for the English - speaking audience in Canada , Boomerang in the United Kingdom until 2012 and on Tiny Pop and Pop ( UK and Ireland ) , two British free - to - air children 's television channels owned and operated by CSC Media Group , from September 2013 , Okto in Singapore , Cartoon Network and later Boomerang with Eleven airing repeats in Australia and TV2 in New Zealand , ntv7 in Malaysia , E-Junior in the United Arab Emirates , Tooniverse in South Korea , and TV Tokyo ( seasons 1 -- 2 ) , then Cartoon Network ( season 3 -- present ) in Japan . Some of these international broadcasts , including language translations , were arranged with Turner Broadcasting System , which had broadcast Friendship Is Magic and other Hasbro shows on many of their European and Middle Eastern channels . The Japanese broadcast of the show has two audio tracks : the original English - language audio track ( available via SAP ) and a Japanese - language audio track . According to Hasbro</t>
  </si>
  <si>
    <t xml:space="preserve">who made my little pony friendship is magic</t>
  </si>
  <si>
    <t xml:space="preserve"> My Little Pony : Friendship Is Magic is a children 's animated fantasy television series created by Lauren Faust for Hasbro . The series is based on Hasbro 's My Little Pony line of toys and animated works and is often referred by collectors as the fourth generation ( `` G4 '' ) of the franchise . The series premiered on October 10 , 2010 , on The Hub cable channel . Hasbro selected animator Lauren Faust as the creative director and executive producer for the show . Faust sought to challenge the established nature of the existing My Little Pony line , creating more in - depth characters and adventurous settings ; she left the series during season 2 , to be replaced by Meghan McCarthy as showrunner . </t>
  </si>
  <si>
    <t xml:space="preserve">Friends ( season 8 ) - wikipedia  Friends ( season 8 )  Jump to : navigation , search    Friends ( season 8 )     Friends season 8 DVD cover     Country of origin   United States     No. of episodes   24     Release     Original network   NBC     Original release   September 27 , 2001 ( 2001 - 09 - 27 ) -- May 16 , 2002 ( 2002 - 05 - 16 )     Season chronology     ← Previous Season 7 Next → Season 9     List of Friends episodes     The eighth season of Friends , an American sitcom created by David Crane and Marta Kauffman , premiered on NBC on September 27 , 2001 . Friends was produced by Bright / Kauffman / Crane Productions , in association with Warner Bros. Television . The season contains 24 episodes and concluded airing on May 16 , 2002 . This season had an average of 24.5 million viewers , and was the most watched TV show of the 2001 -- 02 television season .     Contents  ( hide )   1 Cast and characters   1.1 Main cast   1.2 Recurring cast   1.3 Guest stars     2 Episodes   3 United States ratings   4 Awards and nominations   4.1 54th Annual Creative Arts Emmy awards   4.2 59th Annual Golden Globe awards   4.3 14th Annual Nickelodeon Kid 's Choice awards   4.4 6th Annual Online Film &amp; Television Association awards   4.5 28th Annual People 's Choice awards   4.6 54th Annual Primetime Emmy awards   4.7 6th Annual Satellite awards   4.8 8th Annual Screen Actors Guild awards   4.9 4th Annual Teen Choice awards   4.10 18th Annual Television Critics Association awards     5 Notes   6 References   7 External links      Cast and characters ( edit )  See also : List of Friends characters     ( In particular , Introduced in season 8 or Only in season 8 )         Main cast ( edit )    Jennifer Aniston as Rachel Green   Courteney Cox as Monica Geller - Bing   Lisa Kudrow as Phoebe Buffay   Matt LeBlanc as Joey Tribbiani   Matthew Perry as Chandler Bing   David Schwimmer as Ross Geller      Recurring cast ( edit )    Elliott Gould as Jack Geller   Christina Pickles as Judy Geller   Bonnie Somerville as Mona   Sean Penn as Eric   Alec Baldwin as Parker   James Michael Tyler as Gunther      Guest stars ( edit )    Maggie Wheeler as Janice Hosenstein   Eddie Cahill as Tag Jones   Marlo Thomas as Sandra Green   Ron Leibman as Leonard Green   June Gable as Estelle Leonard   Brad Pitt as Will Colbert   Trudie Styler as Herself   Johnny Messner as Kash   Eddie McClintock as Clifford ' Cliff ' Burnett   Sam McMurray as Doug       Episodes ( edit )  See also : List of Friends episodes    No . overall   No. in season   Title   Directed by   Written by   Original air date   Prod . code   U.S. viewers ( millions )     171     `` The One After ' I Do ' ''   Kevin S. Bright   David Crane &amp; Marta Kauffman   September 27 , 2001 ( 2001 - 09 - 27 )   227401   31.70      Everybody thinks Monica 's pregnant , but her denial quickly shifts the focus to Phoebe , who takes the heat off of Rachel -- who is actually pregnant . Chandler 's shoes are slippery , rendering his dance lessons useless . Joey tries to impress a Broadway director . Ross dances with children to impress Monica 's attractive , funny friend Mona , which leads to him getting injured quite a bit .  Note : This episode is dedicated to `` The people of New York City '' to remember the September 11 attacks .     172     `` The One with the Red Sweater ''   David Schwimmer   Dana Klein Borkow   October 4 , 2001 ( 2001 - 10 - 04 )   227402   30.04     Rachel wo n't tell anybody who the father of her baby is until she tells him . Joey tells Monica and Phoebe that a guy slept with Rachel a few weeks earlier , and left a red sweater behind . Phoebe thinks it 's Tag Jones and arranges a meeting for Rachel with him . Ross and Chandler attempt to recreate the wedding pictures , after Chandler loses the disposable cameras . Monica opens all of her and Chandler 's wedding presents . Monica , Joey and Phoebe find out that Tag is not the father of Rachel 's baby . They 're still pondering the mystery when the red sweater is spotted in front of them and retrieved by its owner : Ross .     173     `` The One Where Rachel Tells ... ''   Sheldon Epps   Sherry Bilsing &amp; Ellen Plummer   October 11 , 2001 ( 2001 - 10 - 11 )   227403   29.20      Chandler and Monica prepare to leave for their honeymoon as Rachel prepares to tell the father of her baby . Phoebe and Joey try to get into Monica and Chandler 's apartment by telling Mr. Treeger there is a gas leak . However , not all goes to plan when Treeger , who could not find Monica and Chandler 's key , orders firefighters to break down the door .  Note : There was a subplot of Chandler and Monica 's honeymoon that was completely shot and filmed but ultimately never aired . It involved Chandler playfully joking about bombs when preparing to board first - class . The airport security mistake Chandler 's joke as a real threat then take him and Monica to interrogation . Towards the end of the episode they 're determined not to be a threat to the aircraft , but shortly after their release Joey calls Monica and pretends that there is a gas leak in their apartment in an attempt to cover for the broken door . When Joey asked her whether they 'll charge them for the damage of breaking down the door , she sarcastically replied , `` No , I want you to stand there and wait for the entire place to blow up ! '' , causing the authorities to re-interrogate the couple . Following 9 / 11 , the writers felt the humor of this subplot was off color and quickly replaced it with a story about Chandler and Monica getting jealous over another newly married couple who got free perks by arriving just before they did . The cut scenes from this episode were later shown as a special feature on the 2004 UK version of the DVDs .     174     `` The One with the Videotape ''   Kevin S. Bright   Scott Silveri   October 18 , 2001 ( 2001 - 10 - 18 )   227406   25.58     Ross and Rachel disagree over who came onto whom when they hooked up , with Rachel ( and the group ) sure that Ross was the initiator of their pregnancy - causing sex and Ross being sure that Rachel hit on him first . He wants to prove it and accidentally reveals that he has the encounter on videotape . Rachel goes from being disgusted to being intrigued , and everyone watches the tape where they find out that Ross was right because Rachel used Joey 's patented `` story that leads to having sex '' . Monica and Chandler meet another couple while on their honeymoon .     175   5   `` The One with Rachel 's Date ''   Gary Halvorson   Brian Buckner &amp; Sebastian Jones   October 25 , 2001 ( 2001 - 10 - 25 )   227404   25.64      Phoebe begins dating a guy who works for Monica , causing a problem when Phoebe wants to dump him on the same day Monica plans to fire him . A guy at Chandler 's work thinks that Chandler 's name is Toby . Rachel goes on a date with Joey 's costar , despite being pregnant , much to Ross ' annoyance .  Note : This episode is dedicated to the memory of Richard Cox , Sr. , father of Courteney Cox .     176   6   `` The One with the Halloween Party ''   Gary Halvorson   Mark Kunerth   November 1 , 2001 ( 2001 - 11 - 01 )   227405   26.96     Monica and Chandler are throwing a Halloween Party . At the party Phoebe runs into her sister 's fiance , Eric ( Sean Penn ) , and finds herself attracted to him as they bond over what a total liar Ursula is . Ross and Chandler arm wrestle ineffectually , as Ross laments that his goofy `` Spudnik '' outfit makes him look like feces . Rachel asks if she can be the person who hands out candy to the trick - or - treaters , as she says ' ever since I got pregnant , I have had the strongest maternal instincts ' , only to find out she is n't as maternal as she thought .     177   7   `` The One with the Stain ''   Kevin S. Bright   R. Lee Fleming Jr .   November 8 , 2001 ( 2001 - 11 - 08 )   227407   24.24     Chandler hires a maid to help Monica but she thinks the maid is stealing her clothes . Eric broke up with Ursula and wants to date Phoebe but she reminds him too much of her sister . Ross attempts to secure the apartment of a dying Dutch woman for Rachel , while Joey tries to convince Rachel to continue living with him .     178   8   `` The One with the Stripper ''   David Schwimmer   Andrew Reich &amp; Ted Cohen   November 15 , 2001 ( 2001 - 11 - 15 )   227408   26.54     Rachel 's having dinner with her dad to tell him that she 's pregnant , and Rachel is intimidated and lies about Ross being unsupportive , leading to Mr. Green threatening Ross and nearly ruining his budding romance with Mona . Meanwhile Monica hires a stripper , who turns out to be a hooker , for Chandler because he never got to have a bachelor party .     179   9   `` The One with the Rumor ''   Gary Halvorson   Shana Goldberg - Meehan   November 22 , 2001 ( 2001 - 11 - 22 )   227410   24.24     Monica invites a high school friend , Will ( Brad Pitt ) to her Thanksgiving dinner . Rachel finds out that Will ( who was a loser like Ross in high school and is now a gorgeous guy ) and Ross started a rumor about Rachel having both male and female `` reproductive parts '' during their senior year of high school . Joey tries to eat an entire turkey because ' he 's a Tribbiani ' . Chandler and Phoebe avoid helping Monica by sitting on the couch and watching a game .     180   10   `` The One with Monica 's Boots ''   Kevin S. Bright   Story by : Robert Carlock Teleplay by : Brian Buckner &amp; Sebastian Jones   December 6 , 2001 ( 2001 - 12 - 06 )   227409   22.44      Monica buys very expensive boots and promises Chandler to wear them all the time . After a while they are killing Monica 's feet but she does n't dare to tell Chandler . Joey 's youngest sister Dina ( Marla Sokoloff ) is pregnant and comes to Rachel for advice . Phoebe finds out that Sting 's son is in Ben 's class so she goes to see Sting 's wife ( real wife ( Trudie Styler ) pretending to want to talk about Ben and Jack in order to get tickets to Sting 's concert .  Note : In this episode , Ross tells Phoebe Ben is 7 . However this episode is set in December 2001 , and as Ben was born in May 1995 , Ben would only be 6 at the time .     181   11   `` The One with Ross 's Step Forward '' `` The One with The Creepy Holiday Card ''   Gary Halvorson   Robert Carlock   December 13 , 2001 ( 2001 - 12 - 13 )   227411   23.85     Ross freaks out when Mona wants to send out joint Christmas cards and wants to have `` the talk '' . Chandler tries to get out of spending time with his boss . Rachel has hormonal problems as a result of pregnancy and becomes `` erotically charged '' .     182   12   `` The One Where Joey Dates Rachel ''   David Schwimmer   Sherry Bilsing - Graham &amp; Ellen Plummer   January 10 , 2002 ( 2002 - 01 - 10 )   227412   25.53     Now that Rachel ca n't go on dates any more due to her pregnancy , Joey decides to take her on a date . But instantly , he begins to have a crush on Rachel , something that even he is scared about . Monica and Chandler get a Ms. Pac - Man arcade game from Phoebe as a late wedding present . After Phoebe hogs the game , Chandler becomes a pro by repeatedly playing and putting swear words as his initials , however Monica wants them to be removed as Ben would be coming over to play on it . After Ross gets to teach an advanced class , he struggles to get to the class on time .     183   13   `` The One Where Chandler Takes a Bath ''   Ben Weiss   Vanessa McCarthy   January 17 , 2002 ( 2002 - 01 - 17 )   227413   29.24     Monica sways Chandler 's dislike of baths but he soon becomes addicted to them . Phoebe , who thinks Joey has a crush on her , is shocked to discover that Joey actually likes Rachel ; Ross and Rachel debate over potential names for their baby and find out the baby 's sex .     184   14   `` The One with the Secret Closet ''   Kevin S. Bright   Brian Buckner &amp; Sebastian Jones   January 31 , 2002 ( 2002 - 01 - 31 )   227414   28.64     Chandler becomes obsessed with finding out what is behind the door of Monica 's secret closet . Phoebe feels betrayed when she discovers Monica has been using a different massage therapist . Ross feels left out after missing the baby 's first kick especially when Joey is mistaken for the father . Joey , feeling bad about the situation , suggests that Rachel should move in with Ross even though he wanted Rachel to live with him .     185   15   `` The One with the Birthing Video ''   Kevin S. Bright   Dana Klein Borkow   February 7 , 2002 ( 2002 - 02 - 07 )   227415   28.64     Phoebe gives a birthing video to Rachel . Chandler , mistaking the tape for porn , watches it and is horrified after watching it with Monica , which kills the mood for Valentine 's Day . Ross struggles to tell Mona that Rachel is now living with him , and she breaks up with him over his dishonesty . Joey is depressed and in an effort to lighten his mood , Phoebe lends him a dog to cheer him up . However Joey ends up subduing the dog with his depression , and in the end tells Ross about his feelings for Rachel .     186   16   `` The One Where Joey Tells Rachel ''   Ben Weiss   Andrew Reich &amp; Ted Cohen   February 28 , 2002 ( 2002 - 02 - 28 )   227416   27.52     Ross , shocked at Joey 's declaration , avoids him , but eventually convinces him to tell Rachel . Joey confesses his love for Rachel , but Rachel politely and lovingly turns him down . Phoebe is convinced that a British man called Don is Monica 's soulmate .     187   17   `` The One with the Tea Leaves ''   Gary Halvorson   Story by : R. Lee Fleming Jr . Teleplay by : Steven Rosenhaus   March 7 , 2002 ( 2002 - 03 - 07 )   227417   26.30     Phoebe determines through tea leaves that she 'll soon meet the man of her dreams , which leads her to a disastrous date and then a pleasant meeting with a charming man at the dry cleaners . Rachel invents a crazy work problem to reduce the awkwardness of hanging out with Joey , since he confessed his feelings for her . Ross tries to retrieve his ' faded salmon ' shirt from Mona 's apartment .     188   18   `` The One in Massapequa '' `` The One with the Zesty Guy ''   Gary Halvorson   Story by : Peter Tibbals Teleplay by : Mark Kunerth   March 28 , 2002 ( 2002 - 03 - 28 )   227418   22.05     Monica botches an attempt at giving a heartfelt speech for her parents ' 35th anniversary party . Phoebe dates Parker ( Alec Baldwin ) , who 's very enthusiastic about everything and ultimately annoys the entire group including herself . Ross and Rachel have to pretend to be married and Ross ' `` wedding toast '' stirs feelings in Rachel .     189   19   `` The One with Joey 's Interview ''   Gary Halvorson   Doty Abrams   April 4 , 2002 ( 2002 - 04 - 04 )   227424   22.59     Joey prepares for an interview with Soap Opera Digest , although he 's afraid of saying something stupid that may jeopardize his career . ( In a previous episode , in an interview , he said he writes a lot of his own lines , which led to his firing from Days of Our Lives . ) Joey enlists his friends to make sure things go well . This is the fourth of Friends ' six clip shows .     190   20   `` The One with the Baby Shower ''   Kevin S. Bright   Sherry Bilsing - Graham &amp; Ellen Plummer   April 25 , 2002 ( 2002 - 04 - 25 )   227421   22.24     Phoebe and Monica prepare for Rachel 's baby shower and forget to invite Rachel 's mother . During the shower Monica tries desperately to seek forgiveness from Sandra , but to no avail . Rachel realizes she has no idea how to look after the baby after the birth , so her mother insists on staying with her for eight weeks , much to her and Ross ' annoyance . Monica eventually gives Rachel the confidence to be a mom and lets Sandra know she 's furious at her spitefulness . Joey auditions for a job as a host for a new game show called `` Bamboozled '' that makes absolutely no sense , and Chandler and Ross help him practice .     191   21   `` The One with the Cooking Class ''   Gary Halvorson   Story by : Dana Klein Borkow Teleplay by : Brian Buckner &amp; Sebastian Jones   May 2 , 2002 ( 2002 - 05 - 02 )   227419   23.97     Monica 's cooking skills get a bad review in The Post . After confronting the critic who wrote it , she decides to join a cooking class , with Joey in tow . Rachel gets jealous when Ross meets a girl who flirts with him at the baby department store . Phoebe helps Chandler prepare for an interview by stopping his natural instinct to make immature jokes .     192   22   `` The One Where Rachel is Late ''   Gary Halvorson   Shana Goldberg - Meehan   May 9 , 2002 ( 2002 - 05 - 09 )   227420   24.32     Joey invites Chandler to his movie 's premiere but Chandler falls asleep during it . Rachel is very frustrated with the fact that she 's eight days late , and will try anything to induce labor , which leads to a bet between Monica and Phoebe .     193 194   23 24   `` The One Where Rachel Has a Baby ''   Kevin S. Bright   Scott Silveri Marta Kauffman &amp; David Crane   May 16 , 2002 ( 2002 - 05 - 16 )   227422 227423   34.91     Ross and Rachel arrive at the hospital . Judy Geller gives Ross her mother 's engagement ring to propose to Rachel with . Monica and Chandler decide to have a baby . After forty - seven hours of labor , Rachel has her and Ross ' baby , Emma as `` River Of Tears '' by Eric Clapton plays in the background . Joey finds Ross ' engagement ring . Rachel thinks he 's proposing and says `` Okay '' . Monica and Chandler try for a baby in the hospital .     United states Ratings ( edit )     No. in series   No. in season   Episode title   Air date   Rating / Share ( 18 -- 49 )   Viewers ( millions )   Weekly rank     171     `` The One After ' I Do ' ''   September 27 , 2001   19.5 / 31   31.70   # 1     172     `` The One with the Red Sweater ''   October 4 , 2001   18.9 / 31   30.04   # 1     173     `` The One Where Rachel Tells Ross ''   October 11 , 2001   17.9 / 26   29.20   # 1     174     `` The One with the Videotape ''   October 18 , 2001   16.0 / 25   25.58   # 2     175   5   `` The One with Rachel 's Date ''   October 25 , 2001   16.1 / 25   25.64   # 2     176   6   `` The One with the Halloween Party ''   November 1 , 2001   16.8 / 25   26.96   # 2     177   7   `` The One with the Stain ''   November 8 , 2001   15.2 / 23   24.24   # 2     178   8   `` The One with the Stripper ''   November 15 , 2001   16.1 / 25   26.54   # 2     179   9   `` The One with the Rumor ''   November 22 , 2001   12.7 / 25   24.24   # 3     180   10   `` The One with Monica 's Boots ''   December 6 , 2001   14.0 / 23   22.44   # 2     181   11   `` The One with Ross 's Step Forward '' `` The One with The Creepy Holiday Card ''   December 13 , 2001   14.9 / 25   23.85   # 2     182   12   `` The One Where Joey Dates Rachel ''   January 10 , 2002   16.1 / 24   25.53   # 2     183   13   `` The One Where Chandler Takes a Bath ''   January 17 , 2002   17.5 / 27   29.24   # 1     184   14   `` The One with the Secret Closet ''   January 31 , 2002   17.8 / 28   28.64   # 3     185   15   `` The One with the Birthing Video ''   February 7 , 2002   17.8 / 28   28.64   # 2     186   16   `` The One Where Joey Tells Rachel ''   February 28 , 2002   17.4 / 27   27.52   # 1     187   17   `` The One with the Tea Leaves ''   March 7 , 2002   16.3 / 25   26.30   # 2     188   18   `` The One in Massapequa ''   March 28 , 2002   13.7 / 23   22.05   # 4     189   19   `` The One with Joey 's Interview ''   April 4 , 2002   14.7 / 24   22.59   # 4     190   20   `` The One with the Baby Shower ''   April 25 , 2002   14.4 / 23   22.24   # 3     191   21   `` The One with the Cooking Class ''   May 2 , 2002   15.4 / 25   23.97   # 3     192   22   `` The One Where Rachel is Late ''   May 9 , 2002   15.4 / 26   24.32   # 3     193 / 194   23 / 24   `` The One Where Rachel Has a Baby ''   May 16 , 2002   21.1 / 34   34.91   # 1      Season 8 averaged 24.5 million viewers and finished , for the first time , as the most watched show of the 2001 -- 02 television season .   All episodes aired at 8 : 00 pm ET Thursdays on NBC .   All episodes ranked within the weekly top 5 most watched TV shows .    Awards and nominations ( edit )   54th Annual Creative Arts Emmy awards ( edit )    2002 Outstanding Guest Actor in a Comedy Series ( `` The One with the Rumor '' ) ( Brad Pitt ) - Nominated   2002 Outstanding Art Direction for a Multi-Camera Series ( `` The One Where Rachel Has a Baby ( Part 1 &amp; 2 ) '' ) ( John Shaffner , Joe Stewart , Greg J. Grande ) - Nominated   2002 Outstanding Casting for a Comedy Series ( Leslie Litt , Barbara Miller ) - Nominated   2002 Outstanding Cinematography for a Multi-Camera Series ( `` The One with the Rumor '' ) ( Nick McLean ) - Nominated   2002 Outstanding Multi-Camera Picture Editing for a Series ( `` The One with the Rumor '' ) ( Stephen Prime ) - Nominated   2002 Outstanding Multi-Camera Picture Editing for a Series ( `` The One with the Halloween Party '' ) ( Kenny Tintorri ) - Nominated   2002 Outstanding Multi-Camera Sound Mixing for a Series or Special ( `` The One Where Rachel Has a Baby ( Part 1 &amp; 2 ) '' ) ( Dana Mark McClure ) - Nominated    59th Annual Golden Globe awards ( edit )    2002 Best Television Series - Comedy or Musical - Nominated   2002 Best Supporting Actress in a Series , Miniseries or a Motion Picture Made for Television ( Jennifer Aniston ) - Nominated    14th Annual Nickelodeon Kid 's Choice awards ( edit )    2002 Favorite Television Show - Nominated   2002 Favorite Television Actor ( Matt LeBlanc ) - Nominated   2002 Favorite Television Actor ( Matthew Perry ) - Nominated   2002 Favorite Television Actress ( Jennifer Aniston ) - Nominated    6th Annual Online Film &amp; Television Association awards ( edit )    2002 Best Comedy Series - WON   2002 Best Direction in a Comedy Series ( Gary Halvorson , Kevin S. Bright , David Schwimmer , Ben Weiss , Terry Hughes , Sheldon Epps , Stephen Prime ) - Nominated   2002 Best Writing in a Comedy Series ( David Crane , Marta Kauffman , Ted Cohen , Andrew Reich , Scott Silveri , Shana Goldberg - Meehan , Ellen Kreamer , Brian Buckner , Sebastian Jones , Mark J. Kunerth , Doty Abrams , Dana Klein , Robert Carlock , R. Lee Fleming , Jr. , Vanessa McCarthy ) - WON   2002 Best Lead Actress in a Comedy Series ( Jennifer Aniston ) - WON   2002 Best Guest Actor in a Comedy Series ( Brad Pitt ) - Nominated    28th Annual People 's Choice awards ( edit )    2002 Favorite Television Comedy Series - WON   2002 Favorite Female Television Performer ( Jennifer Aniston ) - WON    54th Annual Primetime Emmy awards ( edit )    2002 Outstanding Comedy Series - WON   2002 Outstanding Lead Actor in a Comedy Series ( `` The One Where Joey Tells Rachel '' ) ( Matt LeBlanc ) - Nominated   2002 Outstanding Lead Actor in a Comedy Series ( `` The One Where Chandler Takes a Bath '' ) ( Matthew Perry ) - Nominated   2002 Outstanding Lead Actress in a Comedy Series ( `` The One Where Rachel Has a Baby ( Part 1 &amp; 2 ) '' ) ( Jennifer Aniston ) - WON    6th Annual Satellite awards ( edit )    2002 Best Television Series - Comedy or Musical - Nominated   2002 Best Lead Actress in a Series - Comedy or Musical ( Lisa Kudrow ) - Nominated    8th Annual Screen Actors Guild awards ( edit )    2002 Outstanding Performance by a Female Actor in a Comedy Series ( Jennifer Aniston ) - Nominated   2002 Outstanding Performance by an Ensemble in a Comedy Series ( Jennifer Aniston , Courteney Cox , Lisa Kudrow , Matt LeBlanc , Matthew Perry , David Schwimmer ) - Nominated    4th Annual Teen Choice awards ( edit )    2002 Choice TV Series - Comedy - WON   2002 Choice TV Actor - Comedy ( Matt LeBlanc ) - WON   2002 Choice TV Actress - Comedy ( Jennifer Aniston ) - WON   2002 Choice TV Actress - Comedy ( Courteney Cox ) - Nominated   2002 Choice TV Actress - Comedy ( Lisa Kudrow ) - Nominated    18th Annual Television Critics Association awards ( edit )    2002 Outstanding Achievement in Comedy - Nominated   2002 Outstanding Individual Achievement in Comedy ( Matt LeBlanc ) - Nominated    Notes ( edit )    Jump up ^ These episodes originally aired as a single double - length episode but are sometimes split into two episodes for syndication , reruns and DVD presentation .    References ( edit )    ^ Jump up to : `` How Did Your Favorite Show Rate ? '' . USA Today . Retrieved January 4 , 2009 .   ^ Jump up to : `` Friends Nielsen Ratings Archive -- Season Eight '' . Newmusicandmore.tripod.com . Retrieved July 31 , 2014 .   Jump up ^ `` 54th Primetime Emmy Awards '' . Wikipedia . 2018 - 04 - 03 .   Jump up ^ `` 54th Primetime Emmy Awards '' . Wikipedia . 2018 - 04 - 03 .   Jump up ^ `` 54th Primetime Emmy Awards '' . Wikipedia . 2018 - 04 - 03 .   Jump up ^ `` 54th Primetime Emmy Awards '' . Wikipedia . 2018 - 04 - 03 .   Jump up ^ `` 54th Primetime Emmy Awards '' . Wikipedia . 2018 - 04 - 03 .   Jump up ^ `` 54th Primetime Emmy Awards '' . Wikipedia . 2018 - 04 - 03 .   Jump up ^ `` 54th Primetime Emmy Awards '' . Wikipedia . 2018 - 04 - 03 .   Jump up ^ `` 59th Golden Globe Awards '' . Wikipedia . 2018 - 03 - 26 .   Jump up ^ `` 59th Golden Globe Awards '' . Wikipedia . 2018 - 03 - 26 .   Jump up ^ `` 2002 Kids ' Choice Awards '' . Wikipedia . 2018 - 03 - 30 .   Jump up ^ `` 2002 Kids ' Choice Awards '' . Wikipedia . 2018 - 03 - 30 .   Jump up ^ `` 2002 Kids ' Choice Awards '' . Wikipedia . 2018 - 03 - 30 .   Jump up ^ `` 2002 Kids ' Choice Awards '' . Wikipedia . 2018 - 03 - 30 .   Jump up ^ `` 6th Annual TV Awards ( 2001 - 02 ) - Online Film &amp; Television Association '' . www.oftaawards.com . Retrieved 2018 - 04 - 04 .   Jump up ^ `` 6th Annual TV Awards ( 2001 - 02 ) - Online Film &amp; Television Association '' . www.oftaawards.com . Retrieved 2018 - 04 - 04 .   Jump up ^ `` 6th Annual TV Awards ( 2001 - 02 ) - Online Film &amp; Television Association '' . www.oftaawards.com . Retrieved 2018 - 04 - 04 .   Jump up ^ `` 6th Annual TV Awards ( 2001 - 02 ) - Online Film &amp; Television Association '' . www.oftaawards.com . Retrieved 2018 - 04 - 04 .   Jump up ^ `` 6th Annual TV Awards ( 2001 - 02 ) - Online Film &amp; Television Association '' . www.oftaawards.com . Retrieved 2018 - 04 - 04 .   Jump up ^ `` 28th People 's Choice Awards '' . Wikipedia . 2017 - 12 - 16 .   Jump up ^ `` 28th People 's Choice Awards '' . Wikipedia . 2017 - 12 - 16 .   Jump up ^ `` 54th Primetime Emmy Awards '' . Wikipedia . 2018 - 04 - 03 .   Jump up ^ `` 54th Primetime Emmy Awards '' . Wikipedia . 2018 - 04 - 03 .   Jump up ^ `` 54th Primetime Emmy Awards '' . Wikipedia . 2018 - 04 - 03 .   Jump up ^ `` 54th Primetime Emmy Awards '' . Wikipedia . 2018 - 04 - 03 .   Jump up ^ `` 6th Golden Satellite Awards '' . Wikipedia . 2018 - 03 - 16 .   Jump up ^ `` 6th Golden Satellite Awards '' . Wikipedia . 2018 - 03 - 16 .   Jump up ^ `` 8th Screen Actors Guild Awards '' . Wikipedia . 2018 - 02 - 01 .   Jump up ^ `` 8th Screen Actors Guild Awards '' . Wikipedia . 2018 - 02 - 01 .   Jump up ^ `` 2002 Teen Choice Awards '' . Wikipedia . 2018 - 03 - 17 .   Jump up ^ `` 2002 Teen Choice Awards '' . Wikipedia . 2018 - 03 - 17 .   Jump up ^ `` 2002 Teen Choice Awards '' . Wikipedia . 2018 - 03 - 17 .   Jump up ^ `` 2002 Teen Choice Awards '' . Wikipedia . 2018 - 03 - 17 .   Jump up ^ `` 2002 Teen Choice Awards '' . Wikipedia . 2018 - 03 - 17 .   Jump up ^ `` 18th TCA Awards '' . Wikipedia . 2018 - 02 - 27 .   Jump up ^ `` 18th TCA Awards '' . Wikipedia . 2018 - 02 - 27 .    External links ( edit )    List of Friends episodes on IMDb   Friends : Season 8 at Rotten Tomatoes   The One With The Tea Leaves script at livesinabox.com              Friends     Characters     Chandler Bing   Phoebe Buffay   Monica Geller   Ross Geller   Rachel Green   Joey Tribbiani       Episodes      Season 1     `` The Pilot '' ( 1.01 )   `` The One with the Sonogram at the End '' ( 1.02 )   `` The One with George Stephanopoulos '' ( 1.04 )   `` The One with the East German Laundry Detergent '' ( 1.05 )   `` The One Where Nana Dies Twice '' ( 1.08 )   `` The One Where Underdog Gets Away '' ( 1.09 )   `` The One with the Monkey '' ( 1.10 )   `` The One with the Dozen Lasagnas '' ( 1.12 )   `` The One with the Boobies '' ( 1.13 )   `` '' The One with Two Parts : Part 1 '' ( 1.16 )   `` The One with Two Parts : Part 2 '' ( 1.17 )   `` The One with All the Poker '' ( 1.18 )   `` The One Where the Monkey Gets Away '' ( 1.19 )       Season 2     `` The One with the Lesbian Wedding '' ( 2.11 )   `` The One After the Superbowl '' ( 2.12 -- 2.13 )   `` The One with the Prom Video '' ( 2.14 )   `` The One Where Dr. Ramoray Dies '' ( 2.18 )       Season 3     `` The One Where No One 's Ready '' ( 3.02 )       Season 4     `` The One with the Embryos '' ( 4.12 )   `` The One with Ross 's Wedding '' ( 4.23 -- 4.24 )       Season 5     `` The One After Ross Says Rachel '' ( 5.01 )   `` The One Hundredth '' ( 5.03 )   `` The One with All the Thanksgivings '' ( 5.08 )   `` The One with the Girl Who Hits Joey '' ( 5.15 )   `` The One Where Rachel Smokes '' ( 5.18 )   `` The One Where Ross Ca n't Flirt '' ( 5.19 )   `` The One with the Ride - Along '' ( 5.20 )       Season 6     `` The One After Vegas '' ( 6.01 )   `` The One with the Apothecary Table '' ( 6.11 )   `` The One with the Proposal '' ( 6.24 -- 6.25 )       Season 7     `` The One with Monica and Chandler 's Wedding '' ( 7.23 -- 7.24 )       Season 8     `` The One with Rachel 's Date '' ( 8.05 )   `` The One with the Rumor '' ( 8.09 )       Season 9   --     Season 10     `` The Last One '' ( 10.17 -- 10.18 )          Related articles     Music   `` I 'll Be There for You ''     Joey   Mad About You   Awards and nominations   Friends ... ' Til the End   Hello Friends                 Nielsen Media Research top - rated United States network television show     1950s     50 -- 51 : Texaco Star Theater   51 -- 52 : Arthur Godfrey 's Talent Scouts   52 -- 53 , 53 -- 54 , 54 -- 55 : I Love Lucy   55 -- 56 : The $64,000 Question   56 -- 57 : I Love Lucy   57 -- 58 , 58 -- 59 , 59 -- 60 : Gunsmoke       1960s     60 -- 61 : Gunsmoke   61 -- 62 : Wagon Train   62 -- 63 , 63 -- 64 : The Beverly Hillbillies ( S1 , S2 )   64 -- 65 , 65 -- 66 , 66 -- 67 : Bonanza   67 -- 68 : The Andy Griffith Show ( S8 )   68 -- 69 , 69 -- 70 : Rowan &amp; Martin 's Laugh - In       1970s     70 -- 71 : Marcus Welby , M.D.   71 -- 72 , 72 -- 73 , 73 -- 74 , 74 -- 75 , 75 -- 76 : All in the Family ( S2 , S3 , S4 , S5 , S6 )   76 -- 77 : Happy Days ( S4 )   77 -- 78 , 78 -- 79 : Laverne &amp; Shirley ( S3 , S4 )   79 -- 80 : 60 Minutes       1980s     80 -- 81 , 81 -- 82 : Dallas ( S4 , S5 )   82 -- 83 : 60 Minutes   83 -- 84 : Dallas ( S7 )   84 -- 85 : Dynasty   85 -- 86 , 86 -- 87 , 87 -- 88 , 88 -- 89 : The Cosby Show ( S2 , S3 , S4 , S5 )   89 -- 90 : Roseanne ( S2 ) / The Cosby Show ( S6 )       1990s     90 -- 91 : Cheers ( S9 )   91 -- 92 , 92 -- 93 , 93 -- 94 : 60 Minutes   94 -- 95 : Seinfeld ( S6 )   95 -- 96 , 96 -- 97 : ER ( S2 , S3 )   97 -- 98 : Seinfeld ( S9 )   98 -- 99 : ER ( S5 )   99 -- 2000 : Who Wants to Be a Millionaire       2000s     00 -- 01 : Survivor ( S2 - AO )   01 -- 02 : Friends ( S8 )   02 -- 03 , 03 -- 04 , 04 -- 05 , : CSI : Crime Scene Investigation ( S3 , S4 , S5 )   05 -- 06 , 06 -- 07 , 07 -- 08 , 08 -- 09 , 09 -- 10 : American Idol ( S5 , S6 , S7 , S8 , S9 )       2010s     10 -- 11 : American Idol ( S10 )   11 - 12 : NBC Sunday Night Football   12 - 13 : NCIS ( S10 )   13 - 14 , 14 - 15 , 15 - 16 , 16 -- 17 : NBC Sunday Night Football                 Primetime Emmy Award for Outstanding Comedy Series       The Red Skelton Show ( 1952 )   I Love Lucy ( 1953 )   I Love Lucy ( 1954 )   Make Room for Daddy ( 1955 )   The Phil Silvers Show ( 1956 )   The Phil Silvers Show ( 1957 )   The Phil Silvers Show ( 1958 )   The Jack Benny Program ( 1959 )   The Art Carney Special ( 1960 )   The Jack Benny Program ( 1961 )   The Bob Newhart Show ( 1962 )   The Dick Van Dyke Show ( 1963 )   The Dick Van Dyke Show ( 1964 )   The Dick Van Dyke Show ( 1965 )   The Dick Van Dyke Show ( 1966 )   The Monkees ( 1967 )   Get Smart ( 1968 )   Get Smart ( 1969 )   My World and Welcome to It ( 1970 )   All in the Family ( 1971 )   All in the Family ( 1972 )   All in the Family ( 1973 )   M * A * S * H ( 1974 )   The Mary Tyler Moore Show ( 1975 )   The Mary Tyler Moore Show ( 1976 )   The Mary Tyler Moore Show ( 1977 )   All in the Family ( 1978 )   Taxi ( 1979 )   Taxi ( 1980 )   Taxi ( 1981 )   Barney Miller ( 1982 )   Cheers ( 1983 )   Cheers ( 1984 )   The Cosby Show ( 1985 )   The Golden Girls ( 1986 )   The Golden Girls ( 1987 )   The Wonder Years ( 1988 )   Cheers ( 1989 )   Murphy Brown ( 1990 )   Cheers ( 1991 )   Murphy Brown </t>
  </si>
  <si>
    <t xml:space="preserve">who did rachel have a baby with on friends</t>
  </si>
  <si>
    <t xml:space="preserve">   No . overall   No. in season   Title   Directed by   Written by   Original air date   Prod . code   U.S. viewers ( millions )     171     `` The One After ' I Do ' ''   Kevin S. Bright   David Crane &amp; Marta Kauffman   September 27 , 2001 ( 2001 - 09 - 27 )   227401   31.70      Everybody thinks Monica 's pregnant , but her denial quickly shifts the focus to Phoebe , who takes the heat off of Rachel -- who is actually pregnant . Chandler 's shoes are slippery , rendering his dance lessons useless . Joey tries to impress a Broadway director . Ross dances with children to impress Monica 's attractive , funny friend Mona , which leads to him getting injured quite a bit .  Note : This episode is dedicated to `` The people of New York City '' to remember the September 11 attacks .     172     `` The One with the Red Sweater ''   David Schwimmer   Dana Klein Borkow   October 4 , 2001 ( 2001 - 10 - 04 )   227402   30.04     Rachel wo n't tell anybody who the father of her baby is until she tells him . Joey tells Monica and Phoebe that a guy slept with Rachel a few weeks earlier , and left a red sweater behind . Phoebe thinks it 's Tag Jones and arranges a meeting for Rachel with him . Ross and Chandler attempt to recreate the wedding pictures , after Chandler loses the disposable cameras . Monica opens all of her and Chandler 's wedding presents . Monica , Joey and Phoebe find out that Tag is not the father of Rachel 's baby . They 're still pondering the mystery when the red sweater is spotted in front of them and retrieved by its owner : Ross .     173     `` The One Where Rachel Tells ... ''   Sheldon Epps   Sherry Bilsing &amp; Ellen Plummer   October 11 , 2001 ( 2001 - 10 - 11 )   227403   29.20      Chandler and Monica prepare to leave for their honeymoon as Rachel prepares to tell the father of her baby . Phoebe and Joey try to get into Monica and Chandler 's apartment by telling Mr. Treeger there is a gas leak . However , not all goes to plan when Treeger , who could not find Monica and Chandler 's key , orders firefighters to break down the door .  Note : There was a subplot of Chandler and Monica 's honeymoon that was completely shot and filmed but ultimately never aired . It involved Chandler playfully joking about bombs when preparing to board first - class . The airport security mistake Chandler 's joke as a real threat then take him and Monica to interrogation . Towards the end of the episode they 're determined not to be a threat to the aircraft , but shortly after their release Joey calls Monica and pretends that there is a gas leak in their apartment in an attempt to cover for the broken door . When Joey asked her whether they 'll charge them for the damage of breaking down the door , she sarcastically replied , `` No , I want you to stand there and wait for the entire place to blow up ! '' , causing the authorities to re-interrogate the couple . Following 9 / 11 , the writers felt the humor of this subplot was off color and quickly replaced it with a story about Chandler and Monica getting jealous over another newly married couple who got free perks by arriving just before they did . The cut scenes from this episode were later shown as a special feature on the 2004 UK version of the DVDs .     174     `` The One with the Videotape ''   Kevin S. Bright   Scott Silveri   October 18 , 2001 ( 2001 - 10 - 18 )   227406   25.58     Ross and Rachel disagree over who came onto whom when they hooked up , with Rachel ( and the group ) sure that Ross was the initiator of their pregnancy - causing sex and Ross being sure that Rachel hit on him first . He wants to prove it and accidentally reveals that he has the encounter on videotape . Rachel goes from being disgusted to being intrigued , and everyone watches the tape where they find out that Ross was right because Rachel used Joey 's patented `` story that leads to having sex '' . Monica and Chandler meet another couple while on their honeymoon .     175   5   `` The One with Rachel 's Date ''   Gary Halvorson   Brian Buckner &amp; Sebastian Jones   October 25 , 2001 ( 2001 - 10 - 25 )   227404   25.64      Phoebe begins dating a guy who works for Monica , causing a problem when Phoebe wants to dump him on the same day Monica plans to fire him . A guy at Chandler 's work thinks that Chandler 's name is Toby . Rachel goes on a date with Joey 's costar , despite being pregnant , much to Ross ' annoyance .  Note : This episode is dedicated to the memory of Richard Cox , Sr. , father of Courteney Cox .     176   6   `` The One with the Halloween Party ''   Gary Halvorson   Mark Kunerth   November 1 , 2001 ( 2001 - 11 - 01 )   227405   26.96     Monica and Chandler are throwing a Halloween Party . At the party Phoebe runs into her sister 's fiance , Eric ( Sean Penn ) , and finds herself attracted to him as they bond over what a total liar Ursula is . Ross and Chandler arm wrestle ineffectually , as Ross laments that his goofy `` Spudnik '' outfit makes him look like feces . Rachel asks if she can be the person who hands out candy to the trick - or - treaters , as she says ' ever since I got pregnant , I have had the strongest maternal instincts ' , only to find out she is n't as maternal as she thought .     177   7   `` The One with the Stain ''   Kevin S. Bright   R. Lee Fleming Jr .   November 8 , 2001 ( 2001 - 11 - 08 )   227407   24.24     Chandler hires a maid to help Monica but she thinks the maid is stealing her clothes . Eric broke up with Ursula and wants to date Phoebe but she reminds him too much of her sister . Ross attempts to secure the apartment of a dying Dutch woman for Rachel , while Joey tries to convince Rachel to continue living with him .     178   8   `` The One with the Stripper ''   David Schwimmer   Andrew Reich &amp; Ted Cohen   November 15 , 2001 ( 2001 - 11 - 15 )   227408   26.54     Rachel 's having dinner with her dad to tell him that she 's pregnant , and Rachel is intimidated and lies about Ross being unsupportive , leading to Mr. Green threatening Ross and nearly ruining his budding romance with Mona . Meanwhile Monica hires a stripper , who turns out to be a hooker , for Chandler because he never got to have a bachelor party .     179   9   `` The One with the Rumor ''   Gary Halvorson   Shana Goldberg - Meehan   November 22 , 2001 ( 2001 - 11 - 22 )   227410   24.24     Monica invites a high school friend , Will ( Brad Pitt ) to her Thanksgiving dinner . Rachel finds out that Will ( who was a loser like Ross in high school and is now a gorgeous guy ) and Ross started a rumor about Rachel having both male and female `` reproductive parts '' during their senior year of high school . Joey tries to eat an entire turkey because ' he 's a Tribbiani ' . Chandler and Phoebe avoid helping Monica by sitting on the couch and watching a game .     180   10   `` The One with Monica 's Boots ''   Kevin S. Bright   Story by : Robert Carlock Teleplay by : Brian Buckner &amp; Sebastian Jones   December 6 , 2001 ( 2001 - 12 - 06 )   227409   22.44      Monica buys very expensive boots and promises Chandler to wear them all the time . After a while they are killing Monica 's feet but she does n't dare to tell Chandler . Joey 's youngest sister Dina ( Marla Sokoloff ) is pregnant and comes to Rachel for advice . Phoebe finds out that Sting 's son is in Ben 's class so she goes to see Sting 's wife ( real wife ( Trudie Styler ) pretending to want to talk about Ben and Jack in order to get tickets to Sting 's concert .  Note : In this episode , Ross tells Phoebe Ben is 7 . However this episode is set in December 2001 , and as Ben was born in May 1995 , Ben would only be 6 at the time .     181   11   `` The One with Ross 's Step Forward '' `` The One with The Creepy Holiday Card ''   Gary Halvorson   Robert Carlock   December 13 , 2001 ( 2001 - 12 - 13 )   227411   23.85     Ross freaks out when Mona wants to send out joint Christmas cards and wants to have `` the talk '' . Chandler tries to get out of spending time with his boss . Rachel has hormonal problems as a result of pregnancy and becomes `` erotically charged '' .     182   12   `` The One Where Joey Dates Rachel ''   David Schwimmer   Sherry Bilsing - Graham &amp; Ellen Plummer   January 10 , 2002 ( 2002 - 01 - 10 )   227412   25.53     Now that Rachel ca n't go on dates any more due to her pregnancy , Joey decides to take her on a date . But instantly , he begins to have a crush on Rachel , something that even he is scared about . Monica and Chandler get a Ms. Pac - Man arcade game from Phoebe as a late wedding present . After Phoebe hogs the game , Chandler becomes a pro by repeatedly playing and putting swear words as his initials , however Monica wants them to be removed as Ben would be coming over to play on it . After Ross gets to teach an advanced class , he struggles to get to the class on time .     183   13   `` The One Where Chandler Takes a Bath ''   Ben Weiss   Vanessa McCarthy   January 17 , 2002 ( 2002 - 01 - 17 )   227413   29.24     Monica sways Chandler 's dislike of baths but he soon becomes addicted to them . Phoebe , who thinks Joey has a crush on her , is shocked to discover that Joey actually likes Rachel ; Ross and Rachel debate over potential names for their baby and find out the baby 's sex .     184   14   `` The One with the Secret Closet ''   Kevin S. Bright   Brian Buckner &amp; Sebastian Jones   January 31 , 2002 ( 2002 - 01 - 31 )   227414   28.64     Chandler becomes obsessed with finding out what is behind the door of Monica 's secret closet . Phoebe feels betrayed when she discovers Monica has been using a different massage therapist . Ross feels left out after missing the baby 's first kick especially when Joey is mistaken for the father . Joey , feeling bad about the situation , suggests that Rachel should move in with Ross even though he wanted Rachel to live with him .     185   15   `` The One with the Birthing Video ''   Kevin S. Bright   Dana Klein Borkow   February 7 , 2002 ( 2002 - 02 - 07 )   227415   28.64     Phoebe gives a birthing video to Rachel . Chandler , mistaking the tape for porn , watches it and is horrified after watching it with Monica , which kills the mood for Valentine 's Day . Ross struggles to tell Mona that Rachel is now living with him , and she breaks up with him over his dishonesty . Joey is depressed and in an effort to lighten his mood , Phoebe lends him a dog to cheer him up . However Joey ends up subduing the dog with his depression , and in the end tells Ross about his feelings for Rachel .     186   16   `` The One Where Joey Tells Rachel ''   Ben Weiss   Andrew Reich &amp; Ted Cohen   February 28 , 2002 ( 2002 - 02 - 28 )   227416   27.52     Ross , shocked at Joey 's declaration , avoids him , but eventually convinces him to tell Rachel . Joey confesses his love for Rachel , but Rachel politely and lovingly turns him down . Phoebe is convinced that a British man called Don is Monica 's soulmate .     187   17   `` The One with the Tea Leaves ''   Gary Halvorson   Story by : R. Lee Fleming Jr . Teleplay by : Steven Rosenhaus   March 7 , 2002 ( 2002 - 03 - 07 )   227417   26.30     Phoebe determines through tea leaves that she 'll soon meet the man of her dreams , which leads her to a disastrous date and then a pleasant meeting with a charming man at the dry cleaners . Rachel invents a crazy work problem to reduce the awkwardness of hanging out with Joey , since he confessed his feelings for her . Ross tries to retrieve his ' faded salmon ' shirt from Mona 's apartment .     188   18   `` The One in Massapequa '' `` The One with the Zesty Guy ''   Gary Halvorson   Story by : Peter Tibbals Teleplay by : Mark Kunerth   March 28 , 2002 ( 2002 - 03 - 28 )   227418   22.05     Monica botches an attempt at giving a heartfelt speech for her parents ' 35th anniversary party . Phoebe dates Parker ( Alec Baldwin ) , who 's very enthusiastic about everything and ultimately annoys the entire group including herself . Ross and Rachel have to pretend to be married and Ross ' `` wedding toast '' stirs feelings in Rachel .     189   19   `` The One with Joey 's Interview ''   Gary Halvorson   Doty Abrams   April 4 , 2002 ( 2002 - 04 - 04 )   227424   22.59     Joey prepares for an interview with Soap Opera Digest , although he 's afraid of saying something stupid that may jeopardize his career . ( In a previous episode , in an interview , he said he writes a lot of his own lines , which led to his firing from Days of Our Lives . ) Joey enlists his friends to make sure things go well . This is the fourth of Friends ' six clip shows .     190   20   `` The One with the Baby Shower ''   Kevin S. Bright   Sherry Bilsing - Graham &amp; Ellen Plummer   April 25 , 2002 ( 2002 - 04 - 25 )   227421   22.24     Phoebe and Monica prepare for Rachel 's baby shower and forget to invite Rachel 's mother . During the shower Monica tries desperately to seek forgiveness from Sandra , but to no avail . Rachel realizes she has no idea how to look after the baby after the birth , so her mother insists on staying with her for eight weeks , much to her and Ross ' annoyance . Monica eventually gives Rachel the confidence to be a mom and lets Sandra know she 's furious at her spitefulness . Joey auditions for a job as a host for a new game show called `` Bamboozled '' that makes absolutely no sense , and Chandler and Ross help him practice .     191   21   `` The One with the Cooking Class ''   Gary Halvorson   Story by : Dana Klein Borkow Teleplay by : Brian Buckner &amp; Sebastian Jones   May 2 , 2002 ( 2002 - 05 - 02 )   227419   23.97     Monica 's cooking skills get a bad review in The Post . After confronting the critic who wrote it , she decides to join a cooking class , with Joey in tow . Rachel gets jealous when Ross meets a girl who flirts with him at the baby department store . Phoebe helps Chandler prepare for an interview by stopping his natural instinct to make immature jokes .     192   22   `` The One Where Rachel is Late ''   Gary Halvorson   Shana Goldberg - Meehan   May 9 , 2002 ( 2002 - 05 - 09 )   227420   24.32     Joey invites Chandler to his movie 's premiere but Chandler falls asleep during it . Rachel is very frustrated with the fact that she 's eight days late , and will try anything to induce labor , which leads to a bet between Monica and Phoebe .     193 194   23 24   `` The One Where Rachel Has a Baby ''   Kevin S. Bright   Scott Silveri Marta Kauffman &amp; David Crane   May 16 , 2002 ( 2002 - 05 - 16 )   227422 227423   34.91     Ross and Rachel arrive at the hospital . Judy Geller gives Ross her mother 's engagement ring to propose to Rachel with . Monica and Chandler decide to have a baby . After forty - seven hours of labor , Rachel has her and Ross ' baby , Emma as `` River Of Tears '' by Eric Clapton plays in the background . Joey finds Ross ' engagement ring . Rachel thinks he 's proposing and says `` Okay '' . Monica and Chandler try for a baby in the hospital .   </t>
  </si>
  <si>
    <t xml:space="preserve">Chief Election Commissioner of India - wikipedia  Chief Election Commissioner of India     Chief Election Commissioner of India         Incumbent Om Prakash Rawat since 23 January 2018     Election Commission of India     Nominator   Government of India     Appointer   President of India     Term length   6 yrs or up to 65 yrs of age ( whichever is earlier )     Deputy   Election Commissioners of India Deputy Election Commissioners of India     Salary   ₹ 250,000 ( US $3,700 ) per month     Website   Election Commission of India       India         This article is part of a series on the politics and government of India     Constitution and law ( show )   Constitutional amendment   Basic structure doctrine   Fundamental rights   Human rights    -- -- -- -- -- -- --    Code of Civil Procedure , 1908       Uniform civil code       Code of Criminal Procedure , 1973   Indian Penal Code   Law enforcement       Government of India ( show )   President ( Head of state ) ( List )   Vice president ( List )    -- -- -- -- -- -- -- Executive :    Prime minister ( Head of government ) ( List )   Union Council of Ministers   Cabinet secretary       Secretaries : ( Defence Finance Foreign Home )       Civil services       All India Services ( IAS IFS / IFoS IPS )      -- -- -- -- -- -- -- Legislature :    Parliament       Rajya Sabha ( Chairman )   Lok Sabha ( Speaker )      Judiciary :    Supreme court ( Chief justice )       High courts ( Chief justices )       District courts           Elections ( show ) Election commission :   Chief Election Commissioner ( Election commissioners )     Recent general elections : 2009   2014   2019       Recent state elections : 2017   2018   2019        -- -- -- -- -- -- -- Political parties    National parties   State parties    National coalitions :    National Democratic Alliance ( NDA )   United Progressive Alliance ( UPA )       Federalism ( show )   Administrative divisions    -- -- -- -- -- -- -- State governments    Governors ( List )   Chief ministers ( List )   Chief secretary ( Principal secretaries )       Field - level officers       Divisional commissioners   District magistrates   Sub-divisional magistrates        Legislatures :    Vidhan Sabha   Vidhan Parishad    -- -- -- -- -- -- -- Local governments : Rural bodies :    District councils   Block panchayats   Gram Panchayats    Urban bodies :    Municipal corporations   Municipal councils   Nagar panchayats         Other countries   Atlas                   The Chief Election Commissioner heads the Election Commission of India , a body constitutionally empowered to conduct free and fair elections to the national and state legislatures and of President and Vice-President . Chief Election Commissioner of India is usually a member of the Indian Civil Service and mostly from the Indian Administrative Service . It is very difficult to remove the authority of the Chief Election Commissioner once appointed by the president , as two - thirds of the Lok Sabha and the Rajya Sabha need to vote against him for disorderly conduct or improper actions .   Despite the recent changes in the hierarchy , the system always had powers to impose unambiguous rules and guidelines that applied across the entire nation e.g. as to how the ballots will be cast and counted , what will be regarded as ' unqualified ' vote . India was probably one of the first countries in the World to go for a completely electronic ballot in the last elections . What made this remarkable was that the Election Commission of India had successfully implemented this across the entire diverse Indian population that also consisted of the rural illiterate people .   While the office has always been an important one in the machinery of the Indian political process , it gained significant public attention during the tenure of T.N. Seshan , from 1990 to 1996 . Seshan is widely credited with undertaking a zealous effort to end corruption and manipulation in Indian elections . Though he made significant progress , several politicians attempted to derail these efforts . In particular , the expansion of the Election Commission to include the two Election Commissioners ( in addition to the Chief Commissioner ) was seen as a move to curtail the commissioner 's ability to act aggressively .     Contents  ( hide )   1 Suggested reforms   2 Compensation   3 Chief Election Commissioners   4 References      Suggested reforms ( edit )   In June 2012 , Lal Krishna Advani , a veteran Indian politician and former Deputy Prime Minister of India ( as well as former Leader of the Opposition in Indian Parliament ) , suggested that appointment of CEC ( as well as the Comptroller and Auditor General of India ( CAG ) ) should be made by a bipartisan collegium consisting of the Prime Minister , the Chief Justice , the Law Minister and the Leaders of the Opposition in the Lok Sabha and the Rajya Sabha . Subsequently , M Karunanidhi , the head of Dravida Munnetra Kazhagam ( DMK ) party and five times Chief Minister of Tamil Nadu supported the suggestion . Advani made this demand to remove any impression of bias or lack of transparency and fairness because , according to him , the current system was open to `` manipulation and partisanship '' . Similar demand was made by many former CEC 's such as BB Tandon , N Gopalaswamy and SY Quraishi .   Compensation ( edit )   By the `` Election Commission ( Condition Of Service Of Election Commissions And Transaction Of Business ) Act , 1991 '' , the salary of the chief election commissioner is the same as salary of a Judge of Supreme Court of India .   Salary of the Chief Election Commissioner   Salary     ₹ 250,000 ( US $3,700 ) monthly     Chief Election Commissioners ( edit )   The following have held the post of the Chief Election Commissioner of India .   List of Chief Election Commissioners   No .   Name   Took office   Left office       Sukumar Sen   21 March 1950   19 December 1958       Kalyan Sundaram   20 December 1958   30 September 1967       SP Sen Verma   1 October 1967   30 September 1972       Nagendra Singh   1 October 1972   6 February 1973       T. Swaminathan   7 February 1973   17 June 1977     6   S.L. Shakdhar   18 June 1977   17 June 1982     7   R.K. Trivedi   18 June 1982   31 December 1985     8   R.V.S. Peri Sastri   1 January 1986   25 November 1990     9   V.S. Ramadevi   26 November 1990   11 December 1990     10   T.N. Seshan   12 December 1990   11 December 1996     11   M.S. Gill   12 December 1996   13 June 2001     12   J.M. Lyngdoh   14 June 2001   7 February 2004     13   T.S. Krishnamurthy   8 February 2004   15 May 2005     14   B.B. Tandon   16 May 2005   29 June 2006     15   N. Gopalaswami   30 June 2006   20 April 2009     16   Navin Chawla   21 April 2009   29 July 2010     17   S.Y. Quraishi   30 July 2010   10 June 2012     18   V.S. Sampath   11 June 2012   15 January 2015     19   H.S. Brahma   16 January 2015   18 April 2015     20   Nasim Zaidi   19 April 2015   5 July 2017     21   Achal Kumar Jyoti   6 July 2017   22 January 2018     22   Om Prakash Rawat   23 January 2018   Incumbent     References ( edit )    ^ Jump up to : `` Election Commission ( Condition Of Service Of Election Commissions And Transaction Of Business ) Act , 1991 '' . Vakil No. 1 . Archived from the original on 23 January 2013 . Retrieved 17 September 2012 .   ^ Jump up to : `` The High Court and Supreme Court Judges Salaries and Conditions of Service Amendment Bill 2008 '' ( PDF ) . PRS India .   Jump up ^ `` Members Bioprofile '' . Lok Sabha of India / National Informatics Centre , New Delhi . Archived from the original on 29 April 2011 . Retrieved 27 April 2011 .   ^ Jump up to : `` Karunanidhi backs Advani 's view on collegium to appoint CAG , EC '' . Times of India . 5 Jun 2012 . Retrieved 5 October 2012 .   ^ Jump up to : `` Karunanidhi backs Advani 's plea for collegium '' . The Hindu . Chennai. 5 June 2012 . Retrieved 5 October 2012 .   Jump up ^ `` DMK 's Official Homepage - Chennai - Tamilnadu - India 800x600 screen resolution '' . Dmk.in. 9 December 2011 . Retrieved 24 January 2012 .   Jump up ^ `` Collegium needed to select EC : SY Quraishi '' . The Times of India . July 16 , 2012 .   Jump up ^ `` Ex-CECs backed collegium , Law Ministry not too keen '' . Indian Express . 10 Jun 2012 . Retrieved 5 October 2012 .   Jump up ^ `` Previous Chief Election Commissioners '' . Election Commission of India . Archived from the original on 21 November 2008 .   Jump up ^ `` Election Commission of India '' . ECI.nic.in . Retrieved 11 June 2017 .   Jump up ^ Borgohain , Sonalee , ed . ( July 3 , 2017 ) . `` India 's new Chief Election Commissioner Achal Kumar Jyoti to take charge on July 6 '' . India Today . Retrieved September 2 , 2017 .   Jump up ^ `` Om Prakash Rawat to succeed AK Joti as new Chief Election Commissioner '' . The Indian Express . New Delhi . January 21 , 2018 . Retrieved January 21 , 2018 .   Retrieved from `` https://en.wikipedia.org/w/index.php?title=Chief_Election_Commissioner_of_India&amp;oldid=840709382 '' Categories :   Chief Election Commissioners of India   Hidden categories :   Use dmy dates from March 2013   All articles with vague or ambiguous time   Vague or ambiguous time from June 2017   Articles with specifically marked weasel - worded phrases from June 2017           Talk                                           Contents                   About Wikipedia                                           हिन्दी   മലയാളം   नेपाली   ਪੰਜਾਬੀ   தமிழ்   Edit links   This page was last edited on 11 May 2018 , at 16 : 59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</si>
  <si>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our present election commissioner of india</t>
  </si>
  <si>
    <t xml:space="preserve">   Chief Election Commissioner of India         Incumbent Om Prakash Rawat since 23 January 2018     Election Commission of India     Nominator   Government of India     Appointer   President of India     Term length   6 yrs or up to 65 yrs of age ( whichever is earlier )     Deputy   Election Commissioners of India Deputy Election Commissioners of India     Salary   ₹ 250,000 ( US $3,700 ) per month     Website   Election Commission of India   </t>
  </si>
  <si>
    <t xml:space="preserve">RMS Queen Mary - wikipedia  RMS Queen Mary  For other ships with the same name , see Queen Mary ( ship ) .    RMS Queen Mary   RMS Queen Mary in Long Beach , California     History         Name :   Queen Mary     Namesake :   Queen Mary of Teck , consort of King George V     Owner :     1936 -- 49 : Cunard White Star Line   1949 -- 67 : Cunard Line   1967 -- present : City of Long Beach       Port of registry :   Liverpool     Route :   Southampton , New York , via Cherbourg ( normal transatlantic voyage East and West bound )     Ordered :   3 April 1929     Builder :     John Brown and Company   Clydebank , Scotland       Yard number :   534     Laid down :   1 December 1930     Launched :   26 September 1934     Sponsored by :   Queen Mary     Christened :   26 September 1934     Maiden voyage :   27 May 1936     Out of service :   9 December 1967 ( retired )     Identification :     IMO number : 5287938   Radio Callsign : GBTT       Status :   Museum ship     General characteristics     Type :   Ocean liner     Tonnage :   81,237 GRT     Displacement :   81,961 tons     Length :     1,019.4 ft ( 310.7 m ) LOA   965 ft ( 294.1 m ) LBP       Beam :   118 ft ( 36.0 m )     Height :   181 ft ( 55.2 m )     Draught :   39 ft ( 11.9 m )     Decks :   12     Installed power :   24 × Yarrow boilers     Propulsion :     4 × Parsons single - reduction geared steam turbines   4 shafts , 160,000 shp ( 120,000 kW )       Speed :     28.5 kn ( 52.8 km / h ; 32.8 mph ) ( service )   33 kn ( 61 km / h ; 38 mph ) ( achieved during maiden voyage )       Capacity :   2,139 passengers : 776 first ( cabin ) class , 784 cabin class , 579 tourist class     Crew :   1101         RMS Queen Mary     U.S. National Register of Historic Places             Coordinates   33 ° 45 ′ 11 '' N 118 ° 11 ′ 23 '' W ﻿ / ﻿ 33.75306 ° N 118.18972 ° W ﻿ / 33.75306 ; - 118.18972 Coordinates : 33 ° 45 ′ 11 '' N 118 ° 11 ′ 23 '' W ﻿ / ﻿ 33.75306 ° N 118.18972 ° W ﻿ / 33.75306 ; - 118.18972     NRHP reference #   92001714     Added to NRHP   15 April 1993     The RMS Queen Mary is a retired British ocean liner that sailed primarily on the North Atlantic Ocean from 1936 to 1967 for the Cunard Line -- known as Cunard - White Star Line when the vessel entered service . It was the flagship of the Cunard and White Star Lines . It Built by John Brown &amp; Company in Clydebank , Scotland , Queen Mary , along with RMS Queen Elizabeth , were built as part of Cunard 's planned two - ship weekly express service between Southampton , Cherbourg and New York . The two ships were a British response to the express superliners built by German , Italian and French companies in the late 1920s and early 1930s . Queen Mary was the flagship of the Cunard Line from May 1936 until October 1946 when she was replaced in that role by Queen Elizabeth .   Queen Mary sailed on her maiden voyage on 27 May 1936 and captured the Blue Riband in August of that year ; she lost the title to SS Normandie in 1937 and recaptured it in 1938 , holding it until 1952 when she was beaten by the new SS United States . With the outbreak of the Second World War , she was converted into a troopship and ferried Allied soldiers for the duration of the war .   Following the war , Queen Mary was refitted for passenger service and along with Queen Elizabeth commenced the two - ship transatlantic passenger service for which the two ships were initially built . The two ships dominated the transatlantic passenger transportation market until the dawn of the jet age in the late 1950s . By the mid-1960s , Queen Mary was ageing and , though still among the most popular transatlantic liners , was operating at a loss .   After several years of decreased profits for Cunard Line , Queen Mary was officially retired from service in 1967 . She left Southampton for the last time on 31 October 1967 and sailed to the port of Long Beach , California , United States , where she remains permanently moored . Much of the machinery , including one of the two engine rooms , three of the four propellers , and all of the boilers , were removed . The ship serves as a tourist attraction featuring restaurants , a museum and a hotel . The ship is listed on the National Register of Historic Places . The National Trust for Historic Preservation has accepted the Queen Mary as part of the Historic Hotels of America .   Contents    1 Construction and naming   2 History ( 1934 -- 1939 )   2.1 Interior     3 Second World War   4 Post Second World War   5 Long Beach   5.1 Conversion   5.2 As a tourist attraction   5.3 Meeting of the Queens   5.4 W6RO   5.5 Haunting legends     6 See also   7 References   8 Further reading   9 External links    Construction and naming ( edit )   With Germany launching Bremen and Europa into service , Britain did not want to be left behind in the shipbuilding race . White Star Line began construction on their 80,000 - ton Oceanic in 1928 , while Cunard planned a 75,000 - ton unnamed ship of their own .  Overhead view of Queen Mary docked at Long Beach in 2008 Overhead view of Queen Mary docked at Long Beach in 2008  Construction on the ship , then known only as `` Hull Number 534 '' , began in December 1930 on the River Clyde by the John Brown &amp; Company shipyard at Clydebank in Scotland . Work was halted in December 1931 due to the Great Depression and Cunard applied to the British Government for a loan to complete 534 . The loan was granted , with enough money to complete the unfinished ship , and also to build a running mate , with the intention to provide the weekly service to New York with just two ships .   One condition of the loan was that Cunard would merge with the White Star Line , which was Cunard 's chief British rival at the time and which had already been forced by the depression to cancel construction of its Oceanic . Both lines agreed and the merger was completed on 10 May 1934 . Work on Queen Mary resumed immediately and she was launched on 26 September 1934 . Completion ultimately took ​ 3 ⁄ years and cost 3.5 million pounds sterling . Much of the ship 's interior was designed and constructed by the Bromsgrove Guild . Prior to launch the River Clyde had to be specifically deepened to cope with her size , this being undertaken by the enginer D. Alan Stevenson .   The ship was named after Mary of Teck , consort of King George V. Until her launch , the name she was to be given was kept a closely guarded secret . Legend has it that Cunard intended to name the ship Victoria , in keeping with company tradition of giving its ships names ending in `` ia '' , but when company representatives asked the king 's permission to name the ocean liner after Britain 's `` greatest queen '' , he said his wife , Mary of Teck , would be delighted . And so , the legend goes , the delegation had of course no other choice but to report that No. 534 would be called Queen Mary .   This story was denied by company officials , and traditionally the names of sovereigns have only been used for capital ships of the Royal Navy . Some support for the story was provided by Washington Post editor Felix Morley , who sailed as a guest of the Cunard Line on Queen Mary 's 1936 maiden voyage . In his 1979 autobiography , For the Record , Morley wrote that he was placed at table with Sir Percy Bates , chairman of the Cunard Line . Bates told him the story of the naming of the ship `` on condition you wo n't print it during my lifetime . '' The name Queen Mary could also have been decided upon as a compromise between Cunard and the White Star Line , as both lines had traditions of using names either ending in `` ic '' with White Star and `` ia '' with Cunard .   The name had already been given to the Clyde turbine steamer TS Queen Mary , so Cunard made an arrangement with its owners and this older ship was renamed Queen Mary II .   Queen Mary was fitted with 24 Yarrow boilers in four boiler rooms and four Parsons turbines in two engine rooms . The boilers delivered 400 pounds per square inch ( 28 bar ) steam at 700 ° F ( 371 ° C ) which provided a maximum of 212,000 shp ( 158,000 kW ) to four propellers , each turning at 200 RPM . Queen Mary achieved 32.84 knots on her acceptance trials in early 1936 .   History ( 1934 -- 1939 ) ( edit )   In 1934 the new liner was launched by Queen Mary as RMS Queen Mary . On her way down the slipway , Queen Mary was slowed by eighteen drag chains , which checked the liner 's progress into the River Clyde , a portion of which had been widened to accommodate the launch .   When she sailed on her maiden voyage from Southampton on 27 May 1936 , she was commanded by Sir Edgar T. Britten , who had been the master designate for Cunard White Star whilst the ship was under construction at the John Brown shipyard . Queen Mary measured 80,774 gross register tons ( GRT ) . Her rival Normandie , which originally grossed 79,280 tonnes , had been modified the preceding winter to increase her size to 83,243 GRT ( an enclosed tourist lounge was built on the aft boat deck on the area where the game court was ) , and therefore reclaimed the title of the world 's largest ocean liner from the Queen Mary , who only held it for a few weeks . Queen Mary sailed at high speeds for most of her maiden voyage to New York , until heavy fog forced a reduction of speed on the final day of the crossing , arriving in New York Harbor on 1 June 1936 .  A Queen Mary baggage tag  Queen Mary 's design was criticised for being too traditional , especially when Normandie 's hull was revolutionary with a clipper - shaped , streamlined bow . Except for her cruiser stern , she seemed to be an enlarged version of her Cunard predecessors from the pre -- First World War era . Her interior design , while mostly Art Deco , seemed restrained and conservative when compared to the ultramodern French liner . Queen Mary proved to be the more popular vessel than her larger rival , in terms of passengers carried .  `` It 's Men That Count '' , a late 1930s promotional poster for the Cunard Line  In August 1936 , Queen Mary captured the Blue Riband from Normandie , with average speeds of 30.14 knots ( 55.82 km / h ; 34.68 mph ) westbound and 30.63 knots ( 56.73 km / h ; 35.25 mph ) eastbound . Normandie was refitted with a new set of propellers in 1937 and reclaimed the honour , but in 1938 Queen Mary took back the Blue Riband in both directions with average speeds of 30.99 knots ( 57.39 km / h ; 35.66 mph ) westbound and 31.69 knots ( 58.69 km / h ; 36.47 mph ) eastbound , records which stood until lost to United States in 1952 .   Interior ( edit )   Among facilities available on board Queen Mary , the liner featured two indoor swimming pools , beauty salons , libraries and children 's nurseries for all three classes , a music studio and lecture hall , telephone connectivity to anywhere in the world , outdoor paddle tennis courts and dog kennels . The largest room onboard was the cabin class ( first class ) main dining room ( grand salon ) , spanning three stories in height and anchored by wide columns . The cabin - class swimming pool facility spanned over two decks in height . This was the first ocean liner to be equipped with her own Jewish prayer room -- part of a policy to show that British shipping lines avoided the racism evident at that time in Nazi Germany .   The cabin - class main dining room featured a large map of the transatlantic crossing , with twin tracks symbolising the winter / spring route ( further south to avoid icebergs ) and the summer / autumn route . During each crossing , a motorised model of Queen Mary would indicate the vessel 's progress en route .   As an alternative to the main dining room , Queen Mary featured a separate cabin - class Verandah Grill on the Sun Deck at the upper aft of the ship . The Verandah Grill was an exclusive à la carte restaurant with a capacity of approximately eighty passengers , and was converted to the Starlight Club at night . Also on board was the Observation Bar , an Art Deco - styled lounge with wide ocean views .   Woods from different regions of the British Empire were used in her public rooms and staterooms . Accommodation ranged from fully equipped , luxurious cabin ( first ) class staterooms to modest and cramped third - class cabins . Artists commissioned by Cunard in 1933 for works of art in the interior include Edward Wadsworth and A. Duncan Carse .  Queen Mary Art Deco Interiors Mural in the main dining room , or `` Grand Salon '' on which a crystal model tracked the ship 's progress First class dining room , now known as the `` Grand Salon '' Observation Bar lounge . The windows were once part of the enclosed Promenade Deck turnaround ; the lounge was extended forward after 1967 .  Second World war ( edit )  Arriving in New York Harbor , 20 June 1945 , with thousands of US soldiers -- there is a prominent degaussing coil running around the outer hull .  In late August 1939 , Queen Mary was on a return run from New York to Southampton . The international situation led to her being escorted by the battlecruiser HMS Hood . She arrived safely , and set out again for New York on 1 September . By the time she arrived , the Second World War had started and she was ordered to remain in port alongside Normandie until further notice .   In March 1940 Queen Mary and Normandie were joined in New York by Queen Mary 's new sister ship Queen Elizabeth , fresh from her secret dash from Clydebank . The three largest liners in the world sat idle for some time until the Allied commanders decided that all three ships could be used as troopships . Normandie was destroyed by fire during her troopship conversion . Queen Mary left New York for Sydney , Australia , where she , along with several other liners , was converted into a troopship to carry Australian and New Zealand soldiers to the United Kingdom .  Queen Mary 's forward superstructure , shown here in Long Beach . When she came to Long Beach , the Sun Deck windows were enlarged and an anti-aircraft gun was placed on display astride the foremast to represent the Second World War days of the liner .  In the Second World War conversion , the ship 's hull , superstructure and funnels were painted navy grey . As a result of her new colour , and in combination with her great speed , she became known as the `` Grey Ghost . '' To protect against magnetic mines , a degaussing coil was fitted around the outside of the hull . Inside , stateroom furniture and decoration were removed and replaced with triple - tiered wooden bunks , which were later replaced by standee bunks .   Six miles of carpet , 220 cases of china , crystal and silver service , tapestries and paintings were removed and stored in warehouses for the duration of the war . The woodwork in the staterooms , the cabin - class dining room and other public areas was covered with leather . Queen Mary and Queen Elizabeth were the largest and fastest troopships involved in the war , often carrying as many as 15,000 men in a single voyage , and often travelling out of convoy and without escort . Their high speed and zigzag courses made it virtually impossible for U-boats to catch them .   On 2 October 1942 , Queen Mary accidentally sank one of her escort ships , slicing through the light cruiser HMS Curacoa off the Irish coast with a loss of 239 lives . Queen Mary was carrying thousands of Americans of the 29th Infantry Division to join the Allied forces in Europe . Due to the risk of U-boat attacks , Queen Mary was under orders not to stop under any circumstances and steamed onward with a fractured stem . Some sources claim that hours later , the convoy 's lead escort returned to rescue 99 survivors of Curacoa 's crew of 338 , including her captain John W. Boutwood . This claim is contradicted by the liner 's then Staff Captain ( and later Cunard Commodore ) Harry Grattidge , who records that Queen Mary 's Captain immediately ordered the accompanying destroyers to look for survivors within moments of the Curacoa 's sinking .   In 25 -- 30 July 1943 , Queen Mary carried 15,740 soldiers and 943 crews ( total 16,683 ) , a standing record for the most passengers ever transported on one vessel . During this trip , while 700 miles ( 1,100 km ) from Scotland during a gale , she was suddenly hit broadside by a rogue wave that may have reached a height of 28 metres ( 92 ft ) . An account of this crossing can be found in Carter 's book . As quoted in the book , Carter 's father , Dr. Norval Carter , part of the 110th Station Hospital on board at the time , wrote in a letter that at one point Queen Mary `` damned near capsized ... One moment the top deck was at its usual height and then , swoom ! Down , over , and forward she would pitch . '' It was calculated later that the ship rolled 52 degrees , and would have capsized had she rolled another 3 degrees . The incident inspired Paul Gallico to write his novel , The Poseidon Adventure ( 1969 ) and carry the incident to a fictional extreme . This was adapted as a 1972 film by the same name , in which the SS Poseidon is turned upside - down , and the trapped passengers try to escape . Parts of the film were shot in the actual Queen Mary , conveniently docked in Long Beach .   During the war Queen Mary carried British Prime Minister Winston Churchill across the Atlantic for meetings with fellow Allied forces officials on several occasions . He was listed on the passenger manifest as `` Colonel Warden '' . The ship was also used to return American troops from Europe after the war .   Post second World war ( edit )  Southampton 1960 Queen Mary on the North Sea , 1959 Queen Mary at New York , c. 1961  After delivering a load of war brides to Canada , Queen Mary made her fastest ever crossing , returning to Southampton in only three days , 22 hours and 42 minutes at an average speed of just under 32 knots ( 59 km / h ) . From September 1946 to July 1947 , Queen Mary was refitted for passenger service , adding air conditioning and upgrading her berth configuration to 711 first class ( formerly called cabin class ) , 707 cabin class ( formerly tourist class ) and 577 tourist class ( formerly third class ) passengers . Following refit , Queen Mary and Queen Elizabeth dominated the transatlantic passenger trade as Cunard White Star 's two - ship weekly express service through the latter half of the 1940s and well into the 1950s . They proved highly profitable for Cunard ( as the company was renamed in 1947 ) .   On 1 January 1949 , Queen Mary ran aground off Cherbourg , France . She was refloated the next day and returned to service .   In 1958 the first transatlantic flight by a jet began a completely new era of competition for the Cunard Queens . On some voyages , winters especially , Queen Mary sailed into harbour with more crew than passengers , though both she and Queen Elizabeth still averaged over 1,000 passengers per crossing into the middle 1960s . By 1965 , the entire Cunard fleet was operating at a loss .   Hoping to continue financing the Queen Elizabeth 2 which was under construction at Brown 's shipyard , Cunard mortgaged the majority of the fleet . Due to a combination of age , lack of public interest , inefficiency in a new market and the damaging after effects of the national seamen 's strike , Cunard announced that both Queen Mary and Queen Elizabeth would be retired from service and sold off . Many offers were submitted , and the bid of $3.45 m / £ 1.2 m from Long Beach , California beat the Japanese scrap merchants . Queen Mary was featured in the 1966 action - adventure film Assault on a Queen starring Frank Sinatra .   Queen Mary was retired from service in 1967 . On 27 September she completed her 1,000 th and last crossing of the North Atlantic , having carried 2,112,000 passengers over 3,792,227 miles ( 6,102,998 km ) . Under the command of Captain John Treasure Jones , who had been her captain since 1965 , she sailed from Southampton for the last time on 31 October with 1,093 passengers and 806 crew . After a voyage around Cape Horn , she arrived in Long Beach on 9 December . Queen Elizabeth was withdrawn in 1968 and Queen Elizabeth 2 took over the transatlantic route in 1969 .   Long Beach ( edit )  Queen Mary from the northern side of Long Beach harbour  Queen Mary is permanently moored as a tourist attraction , hotel , museum and event facility in Long Beach . From 1983 to 1993 , Howard Hughes ' plane H - 4 Hercules was located in a large dome nearby . The dome was later repurposed as a soundstage for film and television . The structure is now used by Carnival Cruise Lines as a ship terminal , as a venue for the Long Beach Derby Gals roller derby team and as an event venue .   Since drilling had started for oil in Long Beach Harbor , some of the revenue had been set aside in the `` Tidelands Oil Fund . '' Some of this money was allocated in 1958 for the future purchase of a maritime museum for Long Beach .   Conversion ( edit )       This section does not cite any sources . Please help improve this section by adding citations to reliable sources . Unsourced material may be challenged and removed . ( September 2015 ) ( Learn how and when to remove this template message )    Queen Mary from the stern  When Queen Mary was bought by Long Beach , the new owners decided not to preserve her as an ocean liner . It had been decided to clear almost every area of the ship below `` C '' deck ( called `` R '' deck after 1950 , to lessen passenger confusion , as the restaurants were located on `` R '' deck ) to make way for Jacques Cousteau 's new Living Sea Museum . This increased museum space to 400,000 square feet ( 37,000 m ) .   It required removal of all the boiler rooms , the forward engine room , both turbo generator rooms , the ship stabilisers and the water softening plant . The ship 's empty fuel tanks were filled with local mud to keep the ship 's centre of gravity and draft at the correct levels , as these critical factors had been affected by the removal of the various components and structure . Only the aft engine room and `` shaft alley '' , at the stern of the ship , would be spared . Remaining space would be used for storage or office space .   One problem that arose during the conversion was a dispute between land - based and maritime unions over conversion jobs . The United States Coast Guard had final say . Queen Mary was deemed a building , since most of her propellers had been removed and her machinery gutted . The ship was also repainted with its red water level paint at a slightly higher level than previously . During the conversion the funnels were removed , as this area was needed to lift out the scrap materials from the engine and boiler rooms . Workers found that the funnels were significantly degraded and they were replaced with replicas .  Passageway in First Class accommodation , now part of the onboard hotel  With all of the lower decks nearly gutted from R deck and down , Diners Club , the initial lessee of the ship , converted the remainder of the vessel into a hotel . Diners Club Queen Mary dissolved and vacated the ship in 1970 after their parent company , Diners Club International , was sold , and a change in corporate direction was mandated during the conversion process . Specialty Restaurants , a Los Angeles - based company that focused on theme - based restaurants , took over as master lessee the following year .   This second plan was based on converting most of her first - and second - class cabins on A and B decks into hotel rooms , and converting the main lounges and dining rooms into banquet spaces . On Promenade Deck , the starboard promenade was enclosed to feature an upscale restaurant and café named Lord Nelson 's and Lady Hamilton 's ; it was themed in the fashion of early - 19th century sailing ships . The famed and elegant Observation Bar was redecorated as a western - themed bar .  Queen Mary 's bridge  The smaller first - class public rooms , such as the Drawing Room , Library , Lecture Room and the Music Studio , would be stripped of most of their fittings and converted to commercial use . This markedly expanded retail space on the ship . Two more shopping malls were built on the Sun Deck in separate spaces previously used for first - class cabins and engineers ' quarters .   A post-war feature of the ship , the first - class cinema , was removed for kitchen space for the new Promenade Deck dining venues . The first - class lounge and smoking room were reconfigured and converted into banquet space . The second - class smoking room was subdivided into a wedding chapel and office space . On the Sun Deck , the elegant Verandah Grill would be gutted and converted into a fast - food eatery , while a new upscale dining venue was created directly above it on Sports Deck , in space once used for crew quarters .  Sun setting behind the Queen Mary in Long Beach .  The second - class lounges were expanded to the sides of the ship and used for banqueting . On R deck , the first - class dining room was reconfigured and subdivided into two banquet venues , the Royal Salon and the Windsor Room . The second - class dining room was subdivided into kitchen storage and a crew mess hall , while the third - class dining room was initially used as storage and crew space .   Also on R deck , the first - class Turkish bath complex , the 1930s equivalent to a spa , was removed . The second - class pool was removed and its space initially used for office space , while the first - class swimming pool was open for viewing by hotel guests and visitors . Because of modern safety codes and the compromised structural soundness of the area directly below , the swimming pool could not be used for swimming after the conversion , although it was filled with water until the late 1980s . Today the pool can only be seen on guided tours and is in a derelict condition , having never been maintained by the hotel operators . No second - class , third - class or crew cabins remain intact aboard the ship today .   As a tourist attraction ( edit )  Ship as a hotel , with permanent boarding gangways  On 8 May 1971 Queen Mary opened her doors to tourists . Initially , only portions of the ship were open to the public as Specialty Restaurants had yet to open its dining venues and PSA had not completed work converting the ship 's original First Class staterooms into the hotel . As a result , the ship was open only on weekends . On 11 December 1971 Jacques Cousteau 's Museum of the Sea opened , with a quarter of the planned exhibits completed . Within the decade , Cousteau 's museum closed due to low ticket sales and the deaths of many of the fish that were housed in the museum . On 2 November 1972 the PSA Hotel Queen Mary opened its initial 150 guest rooms . Two years later , with all 400 rooms finished , PSA brought in Hyatt Hotels to manage the hotel , which operated from 1974 to 1980 as the Queen Mary Hyatt Hotel .   By 1980 , it had become apparent that the existing system was not working . The ship was losing millions each year for the city because the hotel , restaurants and museum were run by three separate concessionaires , while the city owned the vessel and operated guided tours . It was decided that a single operator with more experience in attractions was needed .   Jack Wrather , a local millionaire , had fallen in love with the ship because he and his wife , Bonita Granville , had fond memories of sailing on it numerous times . Wrather signed a 66 - year lease with the city of Long Beach to operate the entire property . He oversaw the display of the Spruce Goose , on long - term loan . The immense plane , which had been sitting in a hangar in Long Beach for decades unseen by the public , was installed in a huge geodesic dome adjacent to the liner in 1983 , attracting increased attendance .   His Wrather Port Properties operated the entire attraction after his death in 1984 until 1988 , when his holdings were bought by the Walt Disney Company . Wrather had built the Disneyland Hotel in 1955 , when Walt Disney had insufficient funds to construct the resort himself . Disney had been trying to buy the hotel for 30 years . When they finally succeeded , they also acquired the Queen Mary . This was never marketed as a Disney property .  First Class accommodation on Queen Mary , converted into a present - day hotel room with modern curtains , bedding , fixtures and amenities surrounded by original wood panelling and portholes  Through the late 1980s and early 1990s the Queen Mary struggled financially . Disney pinned their hopes for turning the attraction around on Port Disney , a huge planned resort on the adjacent docks . It was to include a theme park known as DisneySea , themed around the world 's oceans . The plans eventually fell through ; in 1992 Disney gave up the lease on the ship to focus on building what would become Disney California Adventure Park . The DisneySea concept was recycled a decade later in Japan as Tokyo DisneySea , with a recreated ocean liner resembling Queen Mary named the SS Columbia as the centrepiece of the American Waterfront area .   With Disney gone , the Hotel Queen Mary closed on 30 September 1992 . The owners of the Spruce Goose , the Aero Club of Southern California , sold the plane to the Evergreen Aviation &amp; Space Museum in Oregon . The plane departed on barges on 2 October 1992 , leaving the huge dome empty . The Queen Mary tourist attraction remained open for another two months , but on 31 December 1992 , the Queen Mary completely closed her doors to tourists and visitors .   On 5 February 1993 , RMS Foundation , Inc signed a five - year lease with the city of Long Beach to act as the operators of the property . The foundation was run by President and C.E.O. Joseph F. Prevratil , who had managed the attraction for Wrather . On 26 February 1993 the tourist attraction reopened completely , while the hotel reopened partially on 5 March with 125 rooms and the banquet facilities , with the remainder of the rooms coming on line on 30 April . In 1995 , RMS Foundation 's lease was extended to twenty years , while the scope of the lease was reduced to operation of the ship . A new company , Queen 's Seaport Development , Inc . ( QSDI ) , was established in 1995 to control the real estate adjacent to the vessel . In 1998 , the city of Long Beach extended the QSDI lease to 66 years .  Starboard sun deck , 1972  In 2005 , QSDI sought Chapter 11 protection due to a rent credit dispute with the city . In 2006 , the bankruptcy court requested bids from parties interested in taking over the lease from QSDI . The minimum required opening bid was $41 M. The operation of the ship , by RMS Foundation , remained independent of the bankruptcy . In summer 2007 , Queen Mary 's lease was sold to a group named `` Save the Queen , '' managed by Hostmark Hospitality Group .   They planned to develop the land adjacent to Queen Mary , and upgrade , renovate and restore the ship . During their management , staterooms were updated with iPod docking stations and flatscreen TVs and the ship 's three funnels and waterline area were repainted their original Cunard Red color . The portside Promenade Deck 's planking was restored and refinished . Many lifeboats were repaired and patched , and the ship 's kitchens were renovated with new equipment .   In 2004 , Queen Mary and Stargazer Productions added Tibbies Great American Cabaret to the space previously occupied by the ship 's bank and wireless telegraph room . Stargazer Productions and Queen Mary transformed the space into a working dinner theatre complete with stage , lights , sound and scullery .   In late September 2009 , management of Queen Mary was taken over by Delaware North Companies , who plan to continue restoration and renovation of the ship and its property . They were determined to revitalise and enhance the ship as an attraction . But in April 2011 , The city of Long Beach was informed that Delaware North was no longer managing Queen Mary . Garrison Investment Group said this decision was purely business . Delaware North still manages Scorpion , a Soviet submarine that has been a separate attraction next to Queen Mary since 1998 . Evolution Hospitality , LLC . assumed operational control of the Queen Mary on 23 September 2011 , with Garrison Investments leasing Queen Mary .   In 2016 Urban Commons , a real estate company , assumed the lease of the Queen Mary . They revealed plans to extensively renovate the liner over the next year , and to redevelop the adjacent 45 acres of parking with a boutique hotel , restaurants , a marina , an amphitheater , jogging trails , bike paths and possibly a huge F</t>
  </si>
  <si>
    <t xml:space="preserve">where is the queen mary docked in california</t>
  </si>
  <si>
    <t xml:space="preserve"> In 25 -- 30 July 1943 , Queen Mary carried 15,740 soldiers and 943 crews ( total 16,683 ) , a standing record for the most passengers ever transported on one vessel . During this trip , while 700 miles ( 1,100 km ) from Scotland during a gale , she was suddenly hit broadside by a rogue wave that may have reached a height of 28 metres ( 92 ft ) . An account of this crossing can be found in Carter 's book . As quoted in the book , Carter 's father , Dr. Norval Carter , part of the 110th Station Hospital on board at the time , wrote in a letter that at one point Queen Mary `` damned near capsized ... One moment the top deck was at its usual height and then , swoom ! Down , over , and forward she would pitch . '' It was calculated later that the ship rolled 52 degrees , and would have capsized had she rolled another 3 degrees . The incident inspired Paul Gallico to write his novel , The Poseidon Adventure ( 1969 ) and carry the incident to a fictional extreme . This was adapted as a 1972 film by the same name , in which the SS Poseidon is turned upside - down , and the trapped passengers try to escape . Parts of the film were shot in the actual Queen Mary , conveniently docked in Long Beach . </t>
  </si>
  <si>
    <t xml:space="preserve">Heartland ( Canadian TV series ) - wikipedia  Heartland ( Canadian TV series )  Jump to : navigation , search    Heartland         Created by   Lauren Brooke     Starring   Amber Marshall Graham Wardle Michelle Morgan Shaun Johnston Alisha Newton Chris Potter Kerry James Gabriel Hogan Nathaniel Arcand Jessica Steen     Opening theme   `` Dreamer '' by Jenn Grant     Country of origin   Canada     Original language ( s )   English     No. of seasons   11     No. of episodes   180 ( + 1 film ) ( list of episodes )     Production     Executive producer ( s )   Heather Conkie Tom Cox Jordy Randall Michael Weinberg Tina Grewal     Running time   44 minutes     Production company ( s )   SEVEN24 Films Dynamo Films     Distributor   Genesis International     Release     Original network   CBC     Original release   October 14 , 2007 -- present     Website   www.cbc.ca/heartland/     Heartland is a Canadian family drama television series which debuted on CBC on October 14 , 2007 .   The series is based on the Heartland book series by Lauren Brooke . Heartland follows sisters Amy and Lou Fleming , their grandfather Jack Bartlett , and Ty Borden , through the highs and lows of life at the ranch .   As of the episode shown on March 29 , 2015 , Heartland surpassed Street Legal as the longest - running one - hour scripted drama in the history of Canadian television . It celebrated its ten - year anniversary in 2016 , and Season 10 began airing October 2 , 2016 . It was announced on March 22 , 2017 that Heartland was renewed for Season 11 . The season premiered on Sunday , September 24 .     Contents  ( hide )   1 Cast and characters   1.1 Main cast   1.2 Supporting cast   1.3 Recurring cast   1.4 Former main cast   1.5 Former recurring cast   1.6 Others     2 Series overview   3 Filming locations   4 DVD releases   5 Ratings   6 References   7 External links      Cast and characters ( edit )   Main Cast ( edit )    Amber Marshall as Amy Fleming   Marshall  Amy Fleming is only 15 when she is seriously injured in a car accident that kills her mother , Marion . As she is in the hospital , she ca n't go to her mother 's funeral but her father , surprisingly , shows up . Amy has inherited her mother 's gift of being able to intuit the needs of horses and of practicing natural horsemanship . When Amy returns home , she decides to continue her mother 's work of healing abused or damaged horses , including Spartan , the horse that her mother died saving . Amy also has to deal with the return of her older sister , Lou , who had been living in New York City . Before Marion died , she had agreed to allow Ty Borden to live at Heartland as part of his probation . When Ty arrives , Amy 's grandfather accepts his late daughter 's wishes , allowing Ty to live in the loft above the barn and work at Heartland as a ranch hand . Over time , he begins to assist Amy in healing the horses that arrive at Heartland . Amy grows close to Ty and becomes friends with him , later falling in love , although their relationship is rocky at times and they break up more than once . Later in the show , while working with a pair of horses , they manage to make amends , with Ty giving Amy a promise ring in season 3 . In the last episode of season 5 , Ty secretly makes plans to propose to Amy , but after hearing her say how they should never `` tie themselves down '' , he decides against it . However , while answering Ty 's ringing phone , Amy finds the ring in his coat pocket , thus ending the season with a cliffhanger . At the beginning of season 6 , she and Ty discuss the ring and marriage , and a few episodes later , Ty finds the perfect moment to propose to Amy , and she accepts . In Season 8 , Amy and Ty break up again for a while . Amy and Ty get back together when they rescue a herd of horses penned by ranchers who believed the horses to be detrimental to the land required for their cattle . In the end , Ty and Amy are married in Jack 's house . Amy is escorted by both Tim and Jack , and she rides in on Spartan . In Season 9 , Tim and Jack renovate the loft with some help from Ty when he 's not busy with school and working at Scott 's vet clinic . Once complete , Amy and Ty move into the loft . Amy announces to Ty at the end of season 9 that he is to become a father . In season 10 , Amy goes through the changes of pregnancy without Ty by her side , as he is away in Mongolia to save Gobi bears , a decision in which Amy supported Ty . They regularly communicate through Skype , though she misses having him nearby . At the end of Season 10 , Amy gives birth at home to a baby girl , Lyndy Marion .    Graham Wardle as Tyler `` Ty '' Borden   Wardle  As a child , Ty was abused by his stepfather Wade . He was arrested and sent to Juvenile hall for attacking Wade while he assaulted Ty 's mother . To complete his probation , Marion Fleming offered him a job as a ranch hand at Heartland . He soon begins to enjoy his life there and decides to stay after completing his probation , though he leaves for a short period to live with his biological father in Calgary . Jack treats Ty like a son and is very proud of him , especially after he earns his high school diploma and decides to study to become a vet . Ty at first is known as the `` new cute guy '' by Amy 's friends , and Amy quickly falls for him . Ty dated Kit Bailey , a local cowgirl , for a time before he admitted his feelings for Amy . He and Amy have a tumultuous relationship over the subsequent seasons . In the final episode of Season 5 , Ty buys a ring with plans to propose to Amy . But after hearing Amy say they should never `` tie themselves down '' , he rethinks his proposal . Amy later finds the ring in Ty 's coat pocket while answering his ringing phone . In Season 6 , Ty and Amy agree to wait , and Ty is accepted to vet school . After a few episodes , Ty and Amy find themselves in the perfect moment while camping , and he proposes to her . She accepts , and they are married in Season 8 , episode 18 . In the last episode of season 9 , Amy tells Ty that he is going to become a father . In Season 10 , Ty is away in Mongolia along with Bob , working with Veterinarians Without Borders to save the last of the Gobi bears . As a result , he is unable to be by Amy 's side throughout her pregnancy , but they communicate frequently through Skype . Near the end of the season , Ty contracts a potentially life - threatening illness from a tick bite , and returns to Calgary in critical condition . He is immediately taken to the hospital , where they help him to slowly recover . At the end of the season , Caleb breaks Ty out of the hospital ( where he was being kept while the doctors ran additional tests to ensure he was cured ) so that Ty can participate in Caleb 's wedding to Cass as the best man . However , Amy goes into labour as they arrive at the church and they rush home for the birth of their daughter .    Michelle Morgan as Samantha Louise `` Lou '' Fleming Morris   Morgan  At the beginning of the series , Lou moves back home from her job in New York City to help run Heartland . She is initially reluctant to stay in Hudson because she has a long - term boyfriend and a lucrative job in New York . Upon discovering Heartland 's poor economic situation , she crafts a financial plan to pull the ranch out of debt and make it successful . However , she is told by a financial advisor at the bank that her presence at the ranch is essential to secure the loan necessary to implement her plan . Once Lou decides to stay , she runs the business end of Heartland , taking care of appointments and setting rates for stabling patient horses . She later sets her mind to starting a new business venture : The Heartland Equestrian Connection . This idea is met with much resistance , especially from Jack . Family members derisively refer to the business as the `` Dude Ranch '' , and the name sticks , though no longer with its negative connotation . Along the way , Lou breaks up with her boyfriend from New York and tries to re-kindle a romance with the local vet , Scott Cardinal . In season two , Lou 's relationship with Scott dissolves . She meets her future husband , Peter , thanks to a setup by Jack 's girlfriend Lisa , and starts a secret relationship with him due to Peter 's job in the oil industry . Lou had previously rallied the local ranchers against Peter 's oil company , and expects Jack would not approve of her choice of boyfriend . Later , Lou 's relationship with Peter is more public and they marry at the end of season 3 . They move to Dubai , but she soon feels very alone in such a foreign country and grows to miss Heartland and her family . When they move back home , Lou finds out she is pregnant . She later gives birth to a girl named Catherine Marion Minnie Fleming - Morris ( often referred to as Katie ) . After several failed attempts to buy a place of their own and even to build a home somewhere on the 600 acre property at Heartland , Lou and Peter buy Mr. Hanley 's ranch from Mrs. Bell and they plan to move into it and refurbish it . However , faulty wiring in the structure causes a fire , and the buildings and stables burn , leaving them no choice but to remain at Heartland . Lou has a positive relationship with her sister Amy , providing a listening ear and timely advice when she needs it , and Amy often plays the same role for Lou . Lou is also close with her father , Tim , and she is the first one to reconnect with him after Marion 's death . In Season 6 , Lou and Peter decide to adopt an orphan named Georgina Crawley , whom Jack had been fostering after discovering her hiding in the loft . In season 8 , Lou and Peter start having relationship problems since Peter is constantly in Vancouver for his job . On Amy 's advice , Lou goes to Vancouver to talk things over with him , but they decide to separate . Peter returns to Hudson to try to persuade Lou that they can work things out , but she is not interested , since nothing has changed . Lou later tries online dating , and seems to be falling for the new stable hand , Mitch . Peter visits regularly for his daughters , and interferes with Lou and Mitch 's budding romance whenever he is at Heartland . In season 7 , Lou buys Maggie 's after Maggie moves to be with Soraya in London , England . She runs it with Tim , who acts as her business partner . Lou eventually works on bringing Maggie 's to New York City and spends much of her time flying back and forth , with the rest of her family taking care of Georgie and Katie .    Shaun Johnston as Jackson `` Jack '' Bartlett   Shaun Johnston  The family patriarch , Jack is Amy and Lou 's grandfather and was Marion 's father . He is a former rodeo star and was once a cattle rancher . When Marion took over , Heartland became a horse ranch . After her death , Jack helps Amy and Ty maintain Heartland and its horses and is the one who fixes broken equipment , fences , and the like . Early in the series , he was very hostile towards ex-son - in - law Tim . The men have maintained a difficult relationship stemming from Tim 's troubled past with alcohol and prescription drug abuse , his acrimonious divorce from Marion , and lack of involvement in Amy and Lou 's lives . Jack seems to barely tolerate Tim 's presence at times , and they 've had numerous arguments over the running of the ranch . Jack was also initially hostile towards Ty . He warned Ty to keep ten feet away from his granddaughters at all times , and that any part of him that crossed that line would be removed . Later , he comes to accept Ty like a son and shows a great deal of concern and paternal affection for him . When Ty seeks permission from Jack to ask for Amy 's hand in marriage , Jack gives him his blessing . In terms of personality , Jack is very stubborn and reluctant to accept change of any kind . This trait sometimes causes friction between him and others , most notably his romantic interest , Lisa Stillman , and with his granddaughter Lou . In season 7 , Jack finally asks Lisa to marry him , and she says yes . They elope in the season 7 finale . Jack also suffers from heart problems after having a heart attack . When Jack is missing one episode after collapsing in the fields , Tim is the one to find and save him . Jack dotes on his two great - granddaughters , Katie and Georgie .    Alisha Newton as Georgina `` Georgie '' Fleming Morris ( Crawley )   Newton  Georgie is Lou and Peter 's adopted daughter , Jack 's adopted great - granddaughter , and Phoenix 's owner . She has a best friend named Steven whom she met in the seventh / eighth season . When she first came to Heartland , she was a misbehaving runaway , but because she wanted to stay , she began to improve her behaviour . Georgie has a habit of running away from every foster home in which she 's been placed . Jack agrees to foster her until Clint was able to find another family to foster her . Not wanting her to leave , Lou and Peter agree to become her long - term foster parents and later adopt her . Georgie adores Katie , her little sister . She also loves Phoenix , a horse who repeatedly ran away from a neglectful home , and through the intervention of the Fleming / Bartlett / Morris family , she found a new home at Heartland . She is a naturally talented show jumper , reminding Ty of Amy on Spartan when she jumps with Phoenix . She met Phoenix when she was escaping from her social worker and rode for the first time , astounding the family . Georgie is a tomboy and shares a lot of Amy 's personality ; she is fearless , talented , strong - minded , and clever . This makes Mallory very jealous of her when they first meet . In Season 6 , she finds an Alsatian dog running wild , whom she is allowed to keep and names Remi . When Georgie was 3 , her birth parents were killed in a car accident . She has an older brother named Jeff . Over time , Georgie develops strong bonds with the family . However , she continues to misbehave at times , even running away once . She has a rival named Olivia , with whom she later develops a grudging friendship . In the later seasons , Georgie and Olivia join the Extreme Team , a trick riding group . This replaces show jumping as Georgie 's main extracurricular interest . She works hard and is one of the best members of the team , performing stunts such as Roman riding . Georgie has some difficulty balancing schoolwork , life on a ranch , and her interest in trick riding . She struggles in math , to the point that Lou hires a math tutor on the recommendation of Georgie 's teacher . While Georgie is very reluctant to have a tutor in math , her grades improve . Georgie later develops romantic feelings for Adam Parker , her tutor . Although he reciprocates her feelings , Adam 's father is against their association , feeling that Georgie is a bad influence on his son . Eventually , it all works out and Georgie and Adam date for a few months . They break up over a perceived breach of privacy when Adam sees Georgie 's messages exchanged with Clay McMurtry and thinks she has feelings for him . Georgie also develops a strong friendship with Jade Virani , though they were definitely not friends when they met in Season 7 .    Chris Potter as Timothy `` Tim '' Fleming   Potter  Tim is Amy 's and Lou 's father who left when they were young ( Lou was a teenager , and Amy was five ) . After a rodeo accident , he struggled with prescription drug ( painkiller ) abuse and alcoholism . As a result , Jack kicked Tim out and he moved to Fort St. John . After Amy and Lou 's mother dies , he comes back into the picture , moving to Big River Ranch ( making him `` practically a neighbour '' to Heartland ) and he becomes a regular character . Tim later buys Big River Ranch when its owner , Ray , dies and has a brief relationship with Ray 's daughter , who inherited the ranch . He later begins to date a jockey named Janice , and nearly moves to California with her . However , in Season 4 Episode 18 ( `` Burning Down the House '' ) , it is discovered that Tim has an 11 - year - old son named Shane with Miranda Grenier , his ex-girlfriend from Fort St. John . When he reveals this to Janice , she leaves for California without him . At the end of season 5 , it is announced that Miranda has feelings for Tim . In seasons 6 - 8 , Tim still thinks he 's a big shot . He starts a rodeo school , a horse - selling business , and a new relationship . When he finds out that Miranda is getting married , he tries to crash the wedding , until Jack hides his keys and they have an argument . After he moves on , he has a long - term relationship with Casey McMurtry and later starts his own rodeo school . His star pupils are Jade Virani and Clay McMurtry , who are both teenage bronc riders .   Supporting Cast ( edit )    Kerry James as Caleb O'Dell    Caleb is an Irish Canadian ranch hand hired by Jack after Ty leaves for 4 months . In the beginning he is rather husky , has feelings for Amy , and develops a strong rivalry with Ty over Amy . He and Amy are a couple for a short period , but Amy soon goes back to Ty . He grows close to and falls in love with Ashley Stanton , eventually getting married . Caleb is a rodeo cowboy , competing in events like bronc riding . Before his marriage to Ashley , Caleb is severely injured at a rodeo . After a battle with prescription drugs and alcohol , much like Tim 's , he comes out okay but much thinner . Caleb and Ashley have a difficult marriage , struggling with financial problems , pressure from Val Stanton ( Ashley 's mother ) , and differing life goals . Caleb and Ashley originally elope , but after discovering that their officiator 's license had expired , they have a wedding outside Caleb 's trailer ( where they had been living ) . They go on honeymoon to Italy and stay with one of Val 's friends , but Caleb returns alone . Ashley remains in Italy for a time , then decides she wants to pursue postsecondary education in Vancouver . Caleb moves to be with Ashley there , but they drift apart as she makes new friends and spends more time away from Caleb . They eventually divorce , and Caleb returns to Hudson and resumes working at Heartland as a ranch hand , though he returns to his seasonal occupation at the rodeo . Caleb loves his American Quarter Horse , Shorty , who is his rodeo partner . After Ashley , Caleb pursues Lou 's friend Nicole ( who had moved from New York to Hudson and works for Lou , running the dude ranch ) . He eventually winds up in a long - term relationship with Cassandra , who was a vet student a year or two ahead of Ty and works at Scott 's clinic . Caleb and Cass have a pregnancy scare , and Caleb finds the pregnancy test . There is quite a bit of dramatic irony during this episode , as the audience knows Cass is the one who might be pregnant , but Caleb and Ty become convinced it is Amy . In the end , this is sorted out . Caleb and Cass almost break up , but he eventually proposes and they are married in a church in Hudson at the end of Season 10 . Ty and Amy were supposed to attend , but Amy went into labour just as they arrived , and they had to rush home .    Gabriel Hogan as Peter Walter Morris    Peter is Lou 's ex-husband . He was first introduced as PW , the owner of a small oil company called Bedford Oil , caught doing some drilling on Heartland property . This caused Lou to use her skills to organize a protest against PW 's company . In the meantime , one of Lisa 's ' horsey ' friends finds a ' great catch ' for Lou and Lisa gives out Lou 's email without her permission . Stage set for a bit of dramatic irony : Lou ( using her first name , Sam ) and PW ( using his first name , Peter ) begin a relationship over an instant messaging service . They meet in person not long after , and are shocked to discover each other 's full identity . Their relationship is kept secret because both Jack and Tim hate PW for being part of `` Big Oil '' . Peter eventually wins the family 's approval and he and Lou are married in the Season 3 Finale because Peter 's business is immediately taking them to Dubai . Lou returns from Dubai for a one - week visit that stretches on because she has been living so far from Heartland and her family . Peter begins to commute to and from Dubai because Lou is expecting their first child . Peter ends up bankrupt in Dubai , which cause them to move into Jack 's house . Peter ends up back on his feet , but is only home on weekends due to his new job 's location in Vancouver . In Season 6 , Lou and Peter decide to try to adopt Georgie when Jack is n't approved as her legal guardian , and they are ultimately successful . Peter and his first ex-wife have joint custody of a friendly St. Bernard named Max . Lou and Peter separate because Peter is always away in Vancouver . Peter is discovered to have a girlfriend in Vancouver , which causes to Lou to end the relationship . Peter continues to visit Heartland to spend time with his daughters .    Nathaniel Arcand as Scott Cardinal    A good Native Canadian friend of the Bartlett / Fleming household who is also Heartland 's vet . Scott had a troubled background , but Marion helped him to turn his life around , and he was the original `` boy in the loft '' . Scott has a relationship with Lou for part of seasons 1 and 2 , and later regrets the fact that he lost her and did not try harder to win her back . In season 2 , Ty mentions to Amy that Scott had agreed to let Ty be his apprentice and that Scott would mentor him until he could possibly work with him after veterinary school . Ty is eventually accepted into veterinary school at the University of Calgary , and begins working part - time at Scott 's clinic in later seasons . He is also joined by Cassandra , another U of C vet student who is a year or two ahead of Ty . Scott later offers Ty a position as his partner in the clinic .    Jessica Steen as Elizabeth `` Lisa '' Stillman Bartlett   Steen  Lisa is the charismatic owner of Fairfield Stables , and a well - known horse breeder . She is introduced when she comes to Amy for help with a horse in the first few episodes of the series . Jack and Lisa seem to have chemistry in that episode , and begin a romantic relationship a few episodes later . Lisa is often in the south of France seasonally for work , and her jet - setting lifestyle becomes a difficulty in her relationship with Jack . He visits France with her several seasons into their relationship , but does not enjoy himself , feeling out of place in the fancy places they visit . After a lengthy break , Lisa returns to Heartland and reunites with Jack . At the end of season 7 , they elope but decide to continue living separately , as they are most comfortable this way . Lisa is also the godmother to Lou and Peter 's daughter , Katie .    Julia Maren Baker as Katie Fleming Morris    Note : As a baby , Katie was played by twin sisters Keira and Jordan . Katie 's full name is Catherine Marion Minnie Fleming Morris , and she is Lou and Peter 's only biological daughter , born in episode 67 , `` Passages '' . As an infant , the family took a large amount of time getting her to sleep through the night , and an episode featured this difficulty . Mallory is often brought in to babysit , since she 's often at Heartland anyway , and interested in making extra cash . In Season 7 , Katie often cries at night for Lou , who is in the Atlantic provinces on a book tour for her book , Mom 's the Word . She also starts wetting the bed , presumably for the same reason . As a result , Peter and Katie eventually join Lou on her book tour . Later in the series , Lou worries that Katie is not progressing as she should , taking her to see a pediatrician to check for abnormalities . This causes friction between Lou and Peter , as he believes that Katie is fine , which turns out to be the case . As of Season 10 , Katie is a young , energetic girl who enjoys spending time with her family , especially her sister and her great - grandfather . She has a favourite stuffed toy pony , called `` Pogy '' .  Heartland Cast in 2015  Recurring Cast ( edit )    Kevin McGarry as Mitch Cutty    Mitch is hired as a ranch hand at Heartland . Troubled by guilt due to the loss of his cousin at war , he eventually enters a relationship with Lou . After much hostility towards him , Tim names him `` Trooper '' after a tenacious but respectable bronc on the circuit .    Roger LeBlanc as Bob Grainger    Bob runs a wildlife reserve .    Kataem O'Connor as Adam Parker    Adam is Georgie 's math tutor and boyfriend .    Helen Colliander as Olivia Wheaton    Oliva is Georgie 's rival throughout the series .    Victoria Pratt as Casey McMurtry    Casey is in a relationship with Tim . Casey was a professional barrel racer . She is the one who convinced Tim to start his rodeo school .    Madison Cheeatow as Jade Verani    Jade is Georgie 's friend . She lives in Caleb 's old trailer and is a bronc rider .    Kaitlyn Leeb as Cassandra    Cass works at the vet clinic with Ty . She and Amy have a rivalry at first but are able to become good friends . She and Caleb are married in the final episode of season 10 .    Greta Onieogou as Soraya Duval    Amy 's best friend who works at Maggie 's , her mom 's diner . Soraya is always there for Amy and becomes friends with Ashley around the same time as Amy . She later visits London , England and meets her now boyfriend . In Season 5 , Soraya moves to London permanently .    Wanda Cannon as Valerie `` Val '' Stanton    Ashley and Jesse 's widowed mother . Val is the proud owner of Briar Ridge Stables and uses more traditional methods of horse training compared to Heartland . Val is shown as the main antagonist through much of the series . Val puts too much pressure on Ashley to win horse shows , but loves and spoils her daughter . She is also shown to be friends with Jack , particularly when Jack helps her to work on her relationship with her daughter , after Ashley becomes more independent and rebellious .    Anna Ferguson as Mrs. Sally Bell    A long time family friend of the Fleming / Bartlett family who owns a cute Shetland pony called Sugarfoot , whom Lou once learned to ride on . Mrs. Bell keeps Sugarfoot in her house as a companion , and prefers using her herbal remedies on him rather than having him cared for by Scott or the farrier . Mrs. Bell made both Marion and Amy 's wedding dresses . In the books Mrs. Bell dies from a heart attack and Sugarfoot comes to live at Heartland .    _______ as Lyndy Marion Fleming - Borden    Amy and Ty 's daughter , born in Episode 175 , `` Greater Expectations '' . Her guardians ( godparents ) , should anything happen to Amy and Ty , are Caleb and Cassandra .   Former main Cast ( edit )    Jessica Amlee as Mallory Wells Anderson    A friend of the family who visited frequently and often stayed overnight . She was mostly known for talking too much and prying into everyone 's personal lives , which often got her into trouble , though sometimes she had her own wise moments . Her main love interests in the series were Jake and Badger , although she had a crush on Ty early in the series . She was hired by Lou to babysit Katie , which sometimes annoyed her , though she really did like helping everyone . Later in season 5 , she fell for a boy who was only interested in her dad 's music , but then broke up with him . Mallory was later shown to still have lingering feelings for Jake . Mallory leaves Heartland several times , often for her father 's music . Her father is played by real - life Canadian country music artist George Canyon . Mallory is shown to be annoyed by her father 's music , and it is used as a running gag in a few episodes in Season 2 . She is sent away to an all - girls boarding school called Blessed Virgin by her parents when her father goes on tour the first time , but Jake helps her buy a bus ticket and return to Heartland . At the end of Season 5 she announced , much to her dismay , that she was moving to Nashville , Tennessee for her father 's music career . Mallory and her family returned to Canada in season 6 . In season 7 , she finally confessed her feelings for Jake and went with him to Paris , France . In season 10 , episode 14 , Mallory came back to Heartland and married Jake Anderson .    Cindy Busby as Ashley Stanton    In season 1 , she fulfilled the archetype of the high - school mean girl , but after Amy helps Ashley improve her show - jumping and later saves her horse Apollo , Ashley warms up to Amy and her best friend Soraya . Ashley 's character develops substantially from this point , and she is shown to struggle in her relationship with her mother . As a result , she lives at Heartland for a short period of time , and later stays with Caleb , in his rented trailer . Ashley gradually falls for Caleb in Season 2 and starts a serious relationship with him , and they marry in the season 3 finale . It took Ashley a while to come back from their honeymoon in Italy , resulting in Caleb coming home alone . Later in the series , Ashley and Caleb moved away so she could attend college . Caleb returned alone again , and they eventually got a divorce .   Former recurring Cast ( edit )    Jade Hassouné as Prince Ahmed Al Saeed    A wealthy prince , the initially rude Ahmed asks Amy for help with his father 's horse . After working with the horse , Ahmed becomes more friendly towards her , eventually falling for her and showering her with expensive gifts . He offers Amy the opportunity to accompany him on a European tour ; however , when his displays his affection for her she does not return the sentiment . Ahmed appears in 8 episodes , culminating in a physical exchange with Ty in Season 8 .    Maxim Roy as Miranda Grenier    Shane 's overprotective mother and Tim 's ex-girlfriend . Tim and Miranda have a custody battle over Shane but later work things out . Miranda only wants what 's best for Shane .    Sam Duke as Shane Grenier Fleming    Tim 's long lost , 11 - year - old son and Lou and Amy 's half brother . Shane is Tim 's love child with Miranda . Tim had been in a casual relationship with Miranda while living in Fort St. John , during the years after his rodeo accident , before he returned to Hudson . When Miranda reveals to Tim that Shane is his son ( in `` Burning Down the House '' ) , he confirms it with a paternity test . Everyone is mad at Tim when they find out the truth about Shane . Miranda and Shane move all the time . Shane wants his parents to reconcile and become friends . Shane tends to run away and hitchhike to get to Heartland to visit his family and his horse , Pal .    Rhys Ward as Jeremy Hughes    A professional show jumper that refused Ty and Scott 's treatment for his horse Buckingham . Jeremy is a handsome young man with an evil side to him that was revealed over the course of season 6 . Jeremy appeared in six episodes , including the 100th episode of Heartland .    Vinessa Antoine as Nicole    Lou 's friend from New York . She first had one guest appearance in season two , joining Lou and her other friends on a trip , before returning in Season 7 as a recurring character .    Lisa Langlois as Marion Bartlett Fleming    Lou and Amy 's mother , Tim 's ex-wife , Jack 's daughter . Marion became interested in being a Horse whisperer after Tim left her , although Amy always describes this simply as listening to horses . At the beginning of the show , Marion is killed in a car accident when she and Amy rescue Spartan from his abusive former owner , Mr. Mallen . Marion is seen in only two of the early episodes .    Jake Church as Jacob `` Jake '' Anderson    A young cowboy who is always trying to catch Mallory 's eye . In season 7 , he asks Mallory to go with him to Paris , France and she agrees .    Jack Knight as Badger    A Juvenile delinquent who is introduced in `` Do or Die '' with his best friend Tara . He is often quiet , but eventually becomes comfortable enough to talk . He has shown to be a talented artist . He is another one of Mallory 's love interests and kisses her . After `` A Heartland Christmas '' , Badger is n't seen or mentioned again .    Siobhan Williams as Jamie Lewis    Mallory 's ex-Pony Club friend who is introduced in Season 3 when she invites Mallory to try out for the club 's pole bending competition . She reappears in Season 4 as Jake 's new love interest .    Wesley MacInnes as Austin Mars    An aspiring country musician introduced in Season 5 . He is torn between his feelings for Mallory and the chance to get to her famous musician father .    Greg Lawson as Clinton `` Clint '' Riley - Ty 's former probation officer and Georgie 's former Social Worker .</t>
  </si>
  <si>
    <t xml:space="preserve">who does lou end up with on heartland</t>
  </si>
  <si>
    <t xml:space="preserve"> At the beginning of the series , Lou moves back home from her job in New York City to help run Heartland . She is initially reluctant to stay in Hudson because she has a long - term boyfriend and a lucrative job in New York . Upon discovering Heartland 's poor economic situation , she crafts a financial plan to pull the ranch out of debt and make it successful . However , she is told by a financial advisor at the bank that her presence at the ranch is essential to secure the loan necessary to implement her plan . Once Lou decides to stay , she runs the business end of Heartland , taking care of appointments and setting rates for stabling patient horses . She later sets her mind to starting a new business venture : The Heartland Equestrian Connection . This idea is met with much resistance , especially from Jack . Family members derisively refer to the business as the `` Dude Ranch '' , and the name sticks , though no longer with its negative connotation . Along the way , Lou breaks up with her boyfriend from New York and tries to re-kindle a romance with the local vet , Scott Cardinal . In season two , Lou 's relationship with Scott dissolves . She meets her future husband , Peter , thanks to a setup by Jack 's girlfriend Lisa , and starts a secret relationship with him due to Peter 's job in the oil industry . Lou had previously rallied the local ranchers against Peter 's oil company , and expects Jack would not approve of her choice of boyfriend . Later , Lou 's relationship with Peter is more public and they marry at the end of season 3 . They move to Dubai , but she soon feels very alone in such a foreign country and grows to miss Heartland and her family . When they move back home , Lou finds out she is pregnant . She later gives birth to a girl named Catherine Marion Minnie Fleming - Morris ( often referred to as Katie ) . After several failed attempts to buy a place of their own and even to build a home somewhere on the 600 acre property at Heartland , Lou and Peter buy Mr. Hanley 's ranch from Mrs. Bell and they plan to move into it and refurbish it . However , faulty wiring in the structure causes a fire , and the buildings and stables burn , leaving them no choice but to remain at Heartland . Lou has a positive relationship with her sister Amy , providing a listening ear and timely advice when she needs it , and Amy often plays the same role for Lou . Lou is also close with her father , Tim , and she is the first one to reconnect with him after Marion 's death . In Season 6 , Lou and Peter decide to adopt an orphan named Georgina Crawley , whom Jack had been fostering after discovering her hiding in the loft . In season 8 , Lou and Peter start having relationship problems since Peter is constantly in Vancouver for his job . On Amy 's advice , Lou goes to Vancouver to talk things over with him , but they decide to separate . Peter returns to Hudson to try to persuade Lou that they can work things out , but she is not interested , since nothing has changed . Lou later tries online dating , and seems to be falling for the new stable hand , Mitch . Peter visits regularly for his daughters , and interferes with Lou and Mitch 's budding romance whenever he is at Heartland . In season 7 , Lou buys Maggie 's after Maggie moves to be with Soraya in London , England . She runs it with Tim , who acts as her business partner . Lou eventually works on bringing Maggie 's to New York City and spends much of her time flying back and forth , with the rest of her family taking care of Georgie and Katie . </t>
  </si>
  <si>
    <t xml:space="preserve">North and South ( miniseries ) - wikipedia  North and South ( miniseries )  This article is about the American miniseries . For the originating novels , see North and South ( trilogy ) . For the unrelated British television serial , see North &amp; South ( TV serial ) . For other uses , see North and South .    North and South     Complete Collection DVD cover     Genre   Historical fiction     Created by   David L. Wolper     Based on   North and South ( trilogy ) by John Jakes     Story by   John Jakes     Starring     James Read   Patrick Swayze   Lesley - Anne Down   Wendy Kilbourne   Kirstie Alley   Jean Simmons   Mitchell Ryan   Terri Garber   Genie Francis   Kyle Chandler   David Ogden Stiers   Jonathan Frakes   Hal Holbrook   Stan Shaw   Rya Kihlstedt         Theme music composer   Bill Conti     Country of origin   United States     Original language ( s )   English     No. of episodes     Book I : 6   Book II : 6   Book III : 3       Production     Producer ( s )   Paul Freeman     Cinematography   Stevan Larner , ASC     Running time   90 minutes / episode 1,342 mins . total     Production company ( s )   David L. Wolper Productions Warner Bros. Television     Release     Original network   ABC     Picture format   480i ( NTSC )     Audio format   Book I &amp; Book II : Mono Book III : Stereo     Original release     Book I : November 3 , 1985   Book II : May 4 , 1986   Book III : February 27 , 1994       North and South is the title of three American television miniseries broadcast on the ABC network in 1985 , 1986 , and 1994 . Set before , during , and immediately after the American Civil War , they are based on the 1980s trilogy of novels North and South by John Jakes . The 1985 first installment , North and South , remains the seventh - highest rated miniseries in TV history . North and South : Book II ( 1986 ) was met with similar success , while 1994 's Heaven and Hell : North and South Book III was poorly received by both critics and audiences .   The saga tells the story of the enduring friendship between Orry Main of South Carolina ( Patrick Swayze ) and George Hazard of Pennsylvania ( James Read ) , who become best friends while attending the United States Military Academy at West Point but later find themselves and their families on opposite sides of the war . The slave - owning Mains are rural planters , while the Hazards , who resided in a small Northern mill town , profit from ownership of manufacturing and industry capital , their differences reflecting the divisions between North and South that eventually led to the Civil War .   Contents    1 Cast   2 Crew   3 Plot   3.1 Book I : North and South   3.2 Book II : Love and War   3.3 Book III : Heaven and Hell     4 Awards and nominations   5 Media   5.1 VHS and DVD releases   5.2 Soundtrack     6 See also   7 References   8 External links    Cast ( edit )   The initial 1985 miniseries cast Patrick Swayze as Orry Main and James Read as George Hazard with Lesley - Anne Down as Orry 's love interest Madeline and Wendy Kilbourne as George 's future wife Constance . Kirstie Alley played George 's outspoken abolitionist sister Virgilia , with Genie Francis as Orry 's `` good '' sister Brett and Terri Garber as his selfish and wicked sister Ashton , as well as Philip Casnoff as Elkanah Bent , George and Orry 's nemesis . All of these actors returned for the 1986 sequel , joined by Parker Stevenson as Billy Hazard , George 's brother and Brett 's husband .   North and South ( 1985 ) also featured many well - known actors as guest stars , including Elizabeth Taylor as bordello proprietor Madam Conti , David Carradine as the sadistic Justin LaMotte , Hal Holbrook as Abraham Lincoln , Gene Kelly as Bent 's father Senator Charles Edwards , Robert Mitchum as Colonel Patrick Flynn , M.D. , Johnny Cash as abolitionist John Brown , Jean Simmons as Orry 's mother Clarissa Main , Mitchell Ryan as Orry 's father Tillet Main , John Anderson as George 's father William Hazard , Jonathan Frakes as George 's older brother Stanley Hazard , Inga Swenson as George 's mother Maude Hazard , Robert Guillaume as abolitionist Frederick Douglass , Morgan Fairchild as Burdetta Halloran , David Ogden Stiers as Congressman Sam Greene , and Olivia Cole as Madeline 's devoted but doomed servant Maum Sally . John Jakes ' wife Rachel also made an appearance in Episode 6 as Lincoln 's wife Mary . North and South : Book II ( 1986 ) saw the return of Carradine as LaMotte , Holbrook as Lincoln , and Stiers as Congressman Greene , as well as new guests Lloyd Bridges as Jefferson Davis , Anthony Zerbe as Ulysses S. Grant , Nancy Marchand as Dorothea Dix , James Stewart as Miles Colbert , Wayne Newton as Captain Thomas Turner , and William Schallert as Robert E. Lee , with Linda Evans as Rose Sinclair and Olivia de Havilland as Mrs. Neal . 1994 's Heaven and Hell featured Peter O'Toole as `` louche actor '' Sam Trump and Billy Dee Williams as Francis Cardozo .   Filming of the miniseries resulted in four marriages among the cast and crew . Read and Kilbourne , who played opposite each other , married in 1988 and now have two children . Frakes and Francis , who had previously played opposite each other on the failed NBC soap Bare Essence , also married in 1988 . Lesley - Anne Down married assistant cameraman Don E. FauntLeRoy in 1986 . They met during filming of Book I when both were married to other people , and eventually obtained divorces . Garber married screenwriter Chris Hager , whom she met in 1985 when he worked as a grip on the set of North and South : Book II . They had a daughter , Molly , in 1986 , and later divorced .     Character   North and South 1985   North and South : Book II 1986   Heaven and Hell : North and South Book III 1994     Orry Main   Patrick Swayze   Patrick Swayze ( archive / uncredited )     George Hazard   James Read     Madeline Fabray   Lesley - Anne Down     Constance Flynn   Wendy Kilbourne     Virgilia Hazard   Kirstie Alley   --     Ashton Main Young Ashton Young Ashton   Terri Garber Temi Epstein ( Ep. 1 ) Stephanie Jolluck ( Ep. 2 )   Terri Garber   Terri Garber     Brett Main Young Brett Young Brett   Genie Francis Nikki Creswell ( Ep. 1 ) Melissa Manley ( Ep. 2 )   Genie Francis   Genie Francis     Elkanah Bent   Philip Casnoff     Charles Main   Lewis Smith   Kyle Chandler     Billy Hazard Young Billy   John Stockwell Cary Guffey ( Ep. 1 )   Parker Stevenson       Stanley Hazard   Jonathan Frakes     Isabel Truscott Hazard   Wendy Fulton   Mary Crosby   Deborah Rush     Justin LaMotte   David Carradine   --     Clarissa Gault Main   Jean Simmons   --     Maude Hazard   Inga Swenson   --     Burdetta Halloran   Morgan Fairchild   --     Congressman Sam Greene   David Ogden Stiers   --     James Huntoon   Jim Metzler   --     Salem Jones   Tony Frank   --     Priam   David Harris   --     Semiramis   Erica Gimpel   --     Cuffey   Forest Whitaker   --     Ned Fisk   Andrew Stahl   --     Maum Sally   Olivia Cole         Madam Conti   Elizabeth Taylor         Garrison Grady   Georg Stanford Brown         Tillet Main   Mitchell Ryan         William Hazard   John Anderson         Ironworker   Ray Spruell         Barman   Ronnie Stutes         Augusta Barclay     Kate McNeil       Rafe Baudeen     Lee Horsley       Miles Colbert     James Stewart       Mrs. Neal     Olivia de Havilland       Rose Sinclair     Linda Evans       Captain Thomas Turner     Wayne Newton       Ezra     Beau Billingslea       Lt. Rudy Bodford     Michael Dudikoff       Lt. Stephen Kent     Whip Hubley       Hope Hazard   uncredited   Jennifer and Michele Steffin   Mary Elizabeth McCae     Sam Trump       Peter O'Toole     Willa Parker       Rya Kihlstedt     Prudence Chaffee       Mariette Hartley     Adolphus       Rip Torn     Cooper Main       Robert Wagner     Judith Stafford Main       Cathy Lee Crosby     Will Fenway       Tom Noonan     Gus Main     uncredited   Cameron Finley     Scar       Gregory Zaragoza     Running Wolf       Ted Thin Elk     Gettys LaMotte       Cliff De Young     Jack Quinlan       Woody Watson     Isaac       Stan Shaw     Jane       Sharon Washington     Historical figures     Person   Book I 1985   Book II 1986   Book III 1994     Abraham Lincoln   Hal Holbrook       Mary Todd Lincoln   Rachel Jakes ( uncredited )         Ulysses S. Grant   Mark Moses   Anthony Zerbe   Rutherford Cravens     Frederick Douglass   Robert Guillaume         John Brown   Johnny Cash         George B. McClellan   Chris Douridas         George Pickett   Cody W. Hampton         Thomas `` Stonewall '' Jackson   William Preston Daly         Hiram Berdan     Kurtwood Smith       Jefferson Davis     Lloyd Bridges       Robert E. Lee     William Schallert       Dorothea Dix     Nancy Marchand       Francis Cardozo       Billy Dee Williams     Major Anderson   James Rebhorn         Crew ( edit )   North and South ( 1985 ) was directed by Richard T. Heffron , from a script adaptation by Patricia Green , Douglas Heyes , Paul F. Edwards , and Kathleen A. Shelley . It was produced by David L. Wolper , Paul Freeman , Rob Harland , and Chuck McLain , with music by Bill Conti and Stevan Larner as cinematographer . Wolper also produced 1986 's North and South : Book II with his son Mark Wolper , as well as Stephanie Austin and Robert Papazian . Conti returned as composer , with Kevin Connor directing , Jacques R. Marquette as cinematographer , and a script by Heyes and Richard Fielder . Heaven and Hell : North and South Book III ( 1994 ) was directed by Larry Peerce from a script by Suzanne Clauser . Hal Galli produced the miniseries , with music by David Bell and Don E. FauntLeRoy as cinematographer .   Plot ( edit )   Book I : North and South ( edit )    Episode 1 ( summer 1842 - summer 1844 ) - Young Southerner Orry Main , the firstborn son of a wealthy South Carolina plantation owner , decides to go to West Point . On his way to the train station , he rescues and falls in love with the beautiful French - Creole southern belle from New Orleans , Madeline Fabray . In New York City , Orry meets Northerner George Hazard , the second son of a wealthy Pennsylvania steel - factory owner , who is also on his way to West Point . They quickly become close friends . At the Academy , they meet classmates George Pickett , George McClellan , Thomas `` Stonewall '' Jackson and a senior student named Ulysses Grant . They also meet the amoral egomaniac Elkanah Bent , a fellow cadet from Georgia . Bent is a handsome , smooth - talking man who hides his evil , twisted nature beneath his charm and good looks . He takes an instant dislike to Orry and George and uses his status as their drillmaster to constantly harass them . Orry constantly writes letters to Madeline , although it seems that she has not been responding to him . After two years of training , the men return home for a summer leave . George 's sister , Virgilia , is a passionate abolitionist and immediately takes a dislike to Orry when she finds out that his family keeps slaves . While at home , Orry is devastated to learn that Madeline is getting married to his cruel neighbor , plantation owner Justin LaMotte . Orry has an argument with his father over the hiring of the brutal and sadistic Salem Jones as the plantation 's overseer . Orry stops Jones from using a bullwhip to `` punish '' one of the slaves , sparking a tense relationship between the two . After Orry witnesses Madeline 's marriage , they privately speak to each other afterwards and find out that Madeline 's father has been hiding Orry 's letters to ensure that she would marry Justin . That night , Justin hits and rapes Madeline , leaving her broken .   Episode 2 ( autumn 1844 - spring 1848 ) - Bent continues his cruelty towards George , Orry , and their friends . The men , with some help from other cadets , arrange for Bent to be caught with a prostitute and he is forced to leave the Academy . When Bent learns that Orry and George were involved , he vows revenge . George and Orry graduate from West Point . They leave to fight in the Mexican War . During the Battle of Churubusco , Bent , who has blackmailed his father ( Bent is an illegitimate son of a US senator ) in order to obtain a superior rank , orders George and Orry to lead a suicidal charge against the Mexican forces . Both men survive , but Orry is shot in his left leg and permanently crippled . Meanwhile , George meets Constance Flynn , the Irish Catholic daughter of an Army surgeon , and falls in love . They plan to marry . Orry drowns his sorrows in alcoholism . With the Mexican War over , George quits the army , finds Bent , and beats him , threatening to kill him if he ever tries to harm him or Orry again . Traumatized by his injuries , Orry temporarily becomes a recluse . When Madeline helps Priam , one of Orry 's slaves , escape , one of the other slaves gets whipped for helping Priam .   Episode 3 ( spring 1848 - summer 1854 ) George gets married to Constance and Orry is his best man . Orry and Madeline become secret lovers . A terrible fire erupts at Hazard Iron and kills many of the workers due to George 's older brother , Stanley , making a greedy decision . All authority over Hazard Iron is handed to George , greatly displeasing Stanley and his wife , Isabel . Orry 's father dies , leaving Orry to inherit the family plantation . His first act is to fire the brutal Salem Jones as overseer . Jones vows revenge . Orry 's cousin Charles , who does not have good relations with the Main family , is challenged to a pistol duel in a dispute over an engaged woman . Orry , as Charles ' second , begrudgingly helps Charles to survive the duel and they become close . The Mains visit the Hazards in Pennsylvania . Billy and Charles plan to attend West Point together , just as Orry and George did . Orry 's sister Ashton purposely courts George 's younger brother Billy , whom Brett has come to fancy . Orry and George begin a partnership cotton mill at Orry 's plantation in South Carolina ; they do so on George 's condition that Orry not use slave labor in the mill . Virgilia is furious that her family has allowed slave owners into their house and tries to humiliate them , angering the rest of her family .   Episode 4 ( summer 1854 - autumn 1856 ) - The Hazards visit the Mains in South Carolina . Billy discovers how selfish and seductive Ashton can be and falls in love with Ashton 's younger and kinder sister , Brett , much to Ashton 's jealousy . George 's sister Virgilia enters a passionate relationship with Grady , the proud and aggressive coachman of James Huntoon , an ambitious but easily manipulated South Carolina politician , who is also a strong suitor of Ashton , and helps Grady escape from slavery . Ashton , however , becomes aware of Virgilia 's involvement and informs James , as well as announcing it in the Hazard family 's presence . On his deathbed , Madeline 's father tells her that her maternal great - grandmother was black . Billy and Charles graduate from West Point , and both families attend the graduation . Ashton sleeps with many of Billy 's friends , still bitter over his rejection and attraction to Brett , which Charles is furious to discover , but keeps secret for the family 's sake . Ashton gets pregnant and begs Madeline for help , who takes her to a local midwife to perform a secret abortion . When Madeline lies to Justin about where she was when she was away helping Ashton , he beats Madeline , locks her in a spare bedroom to starve , and kills Maum Sally for trying to help Madeline escape .   Episode 5 ( spring 1857 - November 1860 ) - Madeline is drugged by Justin into becoming robotic and submissive and disappears from society , even forgetting her love for Orry . Ashton marries James Huntoon , though she does n't plan on being a committed wife . Elkanah Bent befriends James Huntoon , and subtly interrogates him at a brothel about the people in his wedding picture , including Orry , Ashton , and Madeline . Bent recognizes the resemblance between Madeline and the painting of a former popular prostitute that worked there . Orry visits George , but Virgilia 's views cause a serious argument to ensue over the issue of slavery . Orry does not want Brett to marry Billy because of the growing tensions between the North and South . Virgilia and Grady both join abolitionist leader John Brown . In 1859 , Brown makes his famous raid on Harper 's Ferry , Virginia , to arm and free the slaves there . The U.S. Army stops the raid , Virgilia 's husband Grady and Priam are killed , and Brown is captured . Virgilia escapes , but is more bitter than ever towards Southerners . Abraham Lincoln is elected President ; several Southern states make plans to secede from the U.S. and establish themselves as a separate nation .   Episode 6 ( November 6 , 1860 - April 1861 ) - Having argued with Orry , now a bitter drunk , Brett has fled to Ashton 's house in Charleston and runs into Billy , who is stationed at Fort Sumter . Ashton , however , still holds a grudge against Billy and conspires with Justin 's nephew and her lover , Forbes LaMotte , to harm them both . George visits Orry and the two apologize to each other after years of estrangement . Orry gives Brett his blessing to marry Billy . South Carolina secedes from the Union , infuriating Orry . Ashton schemes to have Billy killed , partly out of jealousy , and partly because Billy is now a `` Yankee '' enemy in the eyes of the South . She fails , however , due to a drugged Madeline , who overhears Justin and Forbes discussing it . Her memories come back and she runs to inform Orry after fending off Justin . After stopping Billy and Brett on their way to the train station , Forbes provokes Billy into a rigged pistol duel , which turns into a full - fledged fight after Charles arrives , resulting in Forbes ' death . Orry is enraged at Ashton and disowns her , with her vowing revenge . Justin comes looking for Madeline , as she has taken refuge with Orry at Mont Royal , but is forced to leave with a warning . Now off the drugs and with her memories returned , Madeline plans to divorce Justin and marry Orry . Orry visits the Hazard mansion near Philadelphia to give George his part of their cotton mill money . When he arrives , Orry discovers that George and Constance now have a baby girl named Hope . Virgilia finds out that Orry is present and tries to have him killed by forming a lynch mob which threatens the Hazard estate ; the mob 's leaders demand that George hand Orry over to them , leaving little doubt that their intentions are to kill him . George and Orry face off against the mob with shotguns and Orry boards a train to return to South Carolina . The two friends part , unsure if they will ever see each other again . The Civil War begins .    Book II : love and war ( edit )    Episode 1 ( June 1861 - July 21 , 1861 ) - Orry and Charles , now officers in the Confederate Army , leave the Main family plantation for the war in Virginia . Orry , despite having been against secession , becomes a general and military aide to Confederate President Jefferson Davis in the Confederate capital of Richmond . Meanwhile , George and Billy are in Washington , D.C. , where they are officers in the U.S. Army . Billy joins the U.S. Sharpshooters regiment , while George becomes a military aide to U.S. President Abraham Lincoln . Charles , a Confederate cavalry officer , meets Augusta Barclay , a Virginia belle who smuggles medicine for the southern soldiers . Virgilia wants to work as a nurse at a Washington , D.C. military hospital and asks Congressman Sam Greene , a fellow abolitionist , for help . Orry 's cruel and manipulative sister Ashton meets her match in Elkanah Bent , who sees the Civil War as a great way to get rich by smuggling forbidden luxury goods through the U.S. Navy blockade of the South . Bent and Ashton quickly become lovers , while Ashton 's politician husband , James Huntoon , is unaware of his wife 's adultery . With Orry and Charles gone to war , Justin kidnaps Madeline from the Main family plantation and burns the cotton barn ; Orry 's mother is injured trying to stop the fire . The First Battle of Bull Run takes place with George and Constance getting caught up in the panicked aftermath as they reluctantly watch from a distance . The South is the winner .   Episode 2 ( July 1861 - summer 1862 ) - Hearing about her mother 's injury , Brett and one of the Main household servants , Semiramis , make the dangerous trip from Washington , D.C. to the Main plantation in South Carolina . Along the way , Semiramis is captured by Union soldiers , but rescued by Brett . Orry leaves Richmond and returns to South Carolina as well ; he finds Madeline at Justin 's plantation and kills Justin in a fight . Orry and Madeline finally get married . Orry discovers Bent 's illegal smuggling enterprise and stops it by capturing Bent 's blockade runners , arresting his men , and destroying most of his merchandise . Bent and Ashton vow revenge . Meanwhile , in Pennsylvania , George 's older brother Stanley takes over the family 's steel factories . His greedy wife Isabel talks him into profiteering from the war by using cheap , low - grade iron to make cannons for the U.S. Army ; the cannons often explode and kill Northern soldiers . They forge George 's name on the documents , in case the cannons are traced back to Hazard Iron .   Episode 3 ( September 17 , 1862 - spring 1864 ) - At the bloody battle of Antietam , Charles and Billy nearly kill each other , but each allows the other to escape . Charles 's friend Ambrose is killed in the battle by one of the poor - quality cannons made by Hazard Iron . Afterwards , President Abraham Lincoln 's Emancipation Proclamation frees the slaves in the rebel Southern states . Most of the slaves leave the Main plantation in South Carolina , but a few remain . Ashton visits her family 's plantation , supposedly to see her recovering mother and sister Brett , but in reality to carry out Bent 's revenge against Orry . Ashton tells Madeline that she knows that Madeline 's mother was a high - priced , part - black prostitute in New Orleans , and that , unless Madeline leaves Orry with no explanation , she will reveal this secret and ruin Orry 's public reputation . Madeline flees to Charleston where she is befriended by a suave gambler Rafe Baudeen and begins working for the city 's poor and orphans who are suffering from the war . Meanwhile , Bent -- who has become increasingly psychotic and unstable -- begins planning to assassinate Confederate President Jefferson Davis and become the dictator of the South . Following the Union victory at the Battle of Gettysburg , Billy , sick of not having seen his wife Brett for nearly two years , goes AWOL from the U.S. Army and makes his way to South Carolina , where he and Brett spend some time together . Ashton discovers Billy 's presence and goes to tell the local authorities , but Billy is saved when Brett threatens her sister with a pitchfork long enough for Billy to escape .   Episode 4 ( May 1864 - late autumn 1864 ) - When Billy returns to his regiment , his commanding officer threatens to court - martial and execute him if he ever leaves again . Billy is also placed in harm 's way by being put in charge of the regiment 's skirmishers . George is captured in a raid by Southern forces and taken to the dreaded Libby Prison in Richmond , where he is tortured by Captain Turner , the prison 's psychotic commandant . Orry is shot and taken to the hospital where Virgilia works ; despite her hatred of Southerners , she helps him recover and looks the other way , allowing him to escape . Later , Virgilia is accused of allowing a wounded Southern soldier to die and is fired from the hospital . In a fit of rage , Virgilia pushes the elderly chief nurse Mrs. Neal , causing her to lose her balance and tumble to the floor . Believing Mrs. Neal to be dead , Virgilia panics and flees the hospital . Desperate for money and a hiding place , she goes to Congressman Greene for help . He gives her money and protection in exchange for sex . Charles saves Augusta from being raped by Northern soldiers at her farm in Virginia , and the two become lovers .   Episode 5 ( December 1864 - February 1865 ) - The war has turned against the South . Orry and Charles save George from Libby Prison , kill Turner in a fight , and allow George to return to the North . Madeline helps starving people in Charleston . Returning home , George learns of his brother and sister - in - law 's illegal business schemes to use cheap iron to build cannon , and forces Stanley and Isabel to admit guilt . Bent tries to kill Madeline in Charleston , but she is rescued by her gambler friend Rafe , who saves Madeline but is fatally shot by Bent . Bent enlists James Huntoon for help in his plot to overthrow the Confederate government . Although he is still oblivious to Bent 's and Ashton 's affair , Huntoon acts as a double agent gathering intelligence on the planned coup d'état and reporting the activities to Jefferson Davis . The Confederate President orders Orry to squash the planned revolution . In a final fight , Orry and Huntoon attack Bent 's hideout near Richmond . Bent is ( apparently ) killed when the ammunition he was hiding in a barn explodes . Ashton confesses her affair to James , conspiring to have Billy killed , her past abortion , and tells Orry that she helped Bent drive Madeline away . Orry disowns Ashton and tells Huntoon that he never wants to see his sister again . Ashton begs Huntoon 's forgiveness , but he tells her that it is too late .   Episode 6 ( March 1865 - April 1865 ) - The fighting ends with a Northern victory . Orry and George lead troops against each other in the last major battle at Petersburg ; Orry is wounded . Confederate General Robert E. Lee surrenders his army to U.S. Army General Ulysses Grant . With the war over , Charles goes to Augusta 's farm and finds that she has died giving birth to his child , a son . He goes to Charleston and gets his child from Augusta 's uncle 's wife . Billy also quits the army and reunites with Brett at her family 's plantation . Congressman Greene ends his affair with Virgilia , which he thinks detrimental to his political career . Virgilia learns that Greene had been lying to her about the seriousness of the charges and using Virgilia 's dependence for his own gratification ; she murders the congressman and is sentenced to death by hanging . She and George have a tearful farewell before her execution . George learns that Orry is wounded and searches for him , finally finding him in a Union hospital . Their reunion is spoiled when both learn that President Lincoln has been shot . George helps Orry find Madeline , who reveals that Orry is now the father of their son . Orry , Madeline , their baby , and George all set out for the Main plantation . Salem Jones , the cruel former overseer of the Main plantation , joins with one of the Main 's former slaves , Cuffey , in an attack on the Main plantation ; they burn the mansion before being killed or driven off by Charles , Billy , and Ezra , a former slave who is engaged to marry Semiramis . Orry , George , and Madeline arrive , with the former two helping to fend off the last of the attackers . Οrry 's mother is killed in the attack by Cuffey while trying to prevent Semiramis ' rape , but Cuffey is shot dead by Charles , while Salem Jones is shot dead by Brett when he is about to shoot Billy . Orry and George pledge to renew their family 's friendship , and George agrees to help Orry rebuild his plantation home by reopening the cotton mill and letting Orry take the profits .    Book III : Heaven and Hell ( edit )    Episode 1 ( summer 1865 - autumn 1865 ) - Elkanah Bent , having survived the explosion of his hidden ammunition depot near Richmond , becomes obsessed with getting his `` final revenge '' on Orry and George , whom he blames for his failures in life . He begins his revenge by going to Richmond and murdering Orry Main with a single stab wound . Furious , Ashton tries unsuccessfully to kill Bent ; she then moves to the West to start a new life . Heartbroken at Orry 's death , Madeline tries to rebuild the Main family mansion at Mont Royal and helps local freed slaves , to the disapproval of most of her white neighbors . After learning of Orry 's death , George goes to Mont Royal and helps Madeline . Charles Main , now a corporal in the U.S. Cavalry in the Old West , meets and romances Willa Parker . Ashton begins working as a prostitute in Santa Fe ; her goal is to earn enough money to buy Mont Royal . Carrying out the next part of his plan of revenge , Bent goes to the Hazard mansion near Philadelphia and murders George 's wife Constance .   Episode 2 ( autumn 1865 - spring 1866 ) - Devastated by news of his wife 's murder , George begins searching for Bent to exact justice . Cooper Main , Orry 's older brother , becomes a member of the Ku Klux Klan and begins working to undermine his sister - in - law Madeline 's efforts to help local blacks . Isabel , George 's greedy sister - in - law , wants to buy Mont Royal and evict the Main family . Charles continues to work as a cavalryman in the Old West , and continues to romance Willa . Realizing that she can not stand against Cooper and Isabel alone , Madeline asks George for help . Charles helps to form a unit of buffalo soldiers . Cavalrymen massacre a Cheyenne village .   Episode 3 ( spring 1866 - spring / summer 1866 ) - George arrives at Mont Royal to help Madeline , and they fall in love . Carrying out the final part of his revenge , Bent kidnaps Charles and Augusta 's son Gus . When George learns of this , he goes West and finds Charles . Together the two men rescue Gus , hunt down Bent , and hang him . The hanging ends the personal war between Bent and the Main and Hazard families , avenging the deaths of Orry and Constance . When Ashton finally gets home , she weeps when she sees that Mont Royal has been burned . George and Charles return to Mont Royal to help Madeline and the freed slaves defeat the Ku Klux Klan . Cooper takes Madeline during the fight , and George rides after to save her . When Cooper is told by Gettys to kill both Madeline and George , he refuses . Gettys LaMotte shoots Cooper , and George kills Gettys . Charles says his goodbyes before returning to Willa and Gus , while George and Madeline plan for their future together .    Awards and nominations ( edit )   The North and South miniseries were nominated and / or awarded with many different awards around the world , among which the most significant are :     Year   Award   Result   Category / People     1986   Golden Globe Awards   Nominated   David Carradine for Best Performance by an Actor in a Supporting Role in a Series , Mini-Series or Motion Picture Made for TV ( N&amp;S1 )     Nominated   Lesley - Anne Down for Best Performance by an Actress in a Supporting Role in a Series , Mini-Series or Motion Picture Made for TV ( N&amp;S1 )     Primetime Emmy Awards   Won   Costuming team for Outstanding Achievement in Costuming for a Miniseries or a Special ( N&amp;S1 , ep. 4 )     Nominated   Virginia Darcy for Outstanding Achievement in Hairstyling for a Miniseries or a Special ( N&amp;S1 , ep. 1 )     Nominated   Makeup team for Outstanding Achievement in Makeup for a Miniseries or a Special ( N&amp;S1 , ep. 6 )     Nominated   Bill Conti for Outstanding Achievement in Music Composition for a Miniseries or a Special ( Dramatic Underscore ) ( N&amp;S1 , ep. 1 )     Nominated   Stevan Larner for Outstanding Cinematography for a Miniseries or a Special ( N&amp;S1 , ep. 6 )     Nominated   Editing team for Outstanding Editing for a Miniseries or a Special - Single Camera Production ( N&amp;S1 , ep. 4 )     Nominated   Sound editing team for Outstanding Sound Editing for a Miniseries or a Special ( N&amp;S1 , ep. 2 )     Nominated   Hairstyling team for Outstanding Achievement in Hairstyling for a Miniseries or a Special ( N&amp;S2 , ep. 1 )     Nominated   Robert Fletcher for Outstanding Costume Design for a Miniseries or a Special ( N&amp;S2 , ep. 1 )     Nominated   Sound editing team for Outstanding Sound Editing for a Miniseries or a Special ( N&amp;S2 , ep. 6 )     1995   ASC Award   Nominated   Don E. FauntLeRoy for Outstanding Achievement in Cinematography in Mini-Series ( N&amp;S3 , ep. 3 )     Media ( edit )   VHS and DVD releases ( edit )   North and South Books I and II were released on NTSC VHS in the United States . Book III was never released on VHS in the United States . Books I , II and III were released on PAL VHS in Europe .   All three Books were re</t>
  </si>
  <si>
    <t xml:space="preserve">who played rafe bodine in north and south</t>
  </si>
  <si>
    <t xml:space="preserve">   Character   North and South 1985   North and South : Book II 1986   Heaven and Hell : North and South Book III 1994     Orry Main   Patrick Swayze   Patrick Swayze ( archive / uncredited )     George Hazard   James Read     Madeline Fabray   Lesley - Anne Down     Constance Flynn   Wendy Kilbourne     Virgilia Hazard   Kirstie Alley   --     Ashton Main Young Ashton Young Ashton   Terri Garber Temi Epstein ( Ep. 1 ) Stephanie Jolluck ( Ep. 2 )   Terri Garber   Terri Garber     Brett Main Young Brett Young Brett   Genie Francis Nikki Creswell ( Ep. 1 ) Melissa Manley ( Ep. 2 )   Genie Francis   Genie Francis     Elkanah Bent   Philip Casnoff     Charles Main   Lewis Smith   Kyle Chandler     Billy Hazard Young Billy   John Stockwell Cary Guffey ( Ep. 1 )   Parker Stevenson       Stanley Hazard   Jonathan Frakes     Isabel Truscott Hazard   Wendy Fulton   Mary Crosby   Deborah Rush     Justin LaMotte   David Carradine   --     Clarissa Gault Main   Jean Simmons   --     Maude Hazard   Inga Swenson   --     Burdetta Halloran   Morgan Fairchild   --     Congressman Sam Greene   David Ogden Stiers   --     James Huntoon   Jim Metzler   --     Salem Jones   Tony Frank   --     Priam   David Harris   --     Semiramis   Erica Gimpel   --     Cuffey   Forest Whitaker   --     Ned Fisk   Andrew Stahl   --     Maum Sally   Olivia Cole         Madam Conti   Elizabeth Taylor         Garrison Grady   Georg Stanford Brown         Tillet Main   Mitchell Ryan         William Hazard   John Anderson         Ironworker   Ray Spruell         Barman   Ronnie Stutes         Augusta Barclay     Kate McNeil       Rafe Baudeen     Lee Horsley       Miles Colbert     James Stewart       Mrs. Neal     Olivia de Havilland       Rose Sinclair     Linda Evans       Captain Thomas Turner     Wayne Newton       Ezra     Beau Billingslea       Lt. Rudy Bodford     Michael Dudikoff       Lt. Stephen Kent     Whip Hubley       Hope Hazard   uncredited   Jennifer and Michele Steffin   Mary Elizabeth McCae     Sam Trump       Peter O'Toole     Willa Parker       Rya Kihlstedt     Prudence Chaffee       Mariette Hartley     Adolphus       Rip Torn     Cooper Main       Robert Wagner     Judith Stafford Main       Cathy Lee Crosby     Will Fenway       Tom Noonan     Gus Main     uncredited   Cameron Finley     Scar       Gregory Zaragoza     Running Wolf       Ted Thin Elk     Gettys LaMotte       Cliff De Young     Jack Quinlan       Woody Watson     Isaac       Stan Shaw     Jane       Sharon Washington     Historical figures     Person   Book I 1985   Book II 1986   Book III 1994     Abraham Lincoln   Hal Holbrook       Mary Todd Lincoln   Rachel Jakes ( uncredited )         Ulysses S. Grant   Mark Moses   Anthony Zerbe   Rutherford Cravens     Frederick Douglass   Robert Guillaume         John Brown   Johnny Cash         George B. McClellan   Chris Douridas         George Pickett   Cody W. Hampton         Thomas `` Stonewall '' Jackson   William Preston Daly         Hiram Berdan     Kurtwood Smith       Jefferson Davis     Lloyd Bridges       Robert E. Lee     William Schallert       Dorothea Dix     Nancy Marchand       Francis Cardozo       Billy Dee Williams     Major Anderson   James Rebhorn       </t>
  </si>
  <si>
    <t xml:space="preserve">Mount Rushmore - wikipedia  Mount Rushmore  Jump to : navigation , search This article is about the mountain . For the 1960s rock band , see Mount Rushmore ( band ) .    Mount Rushmore National Memorial     IUCN category V ( protected landscape / seascape )     Mount Rushmore with sculptures of George Washington , Thomas Jefferson , Theodore Roosevelt and Abraham Lincoln ( left to right )         Location   Pennington County , South Dakota , United States     Nearest city   Keystone , South Dakota     Coordinates   43 ° 52 ′ 44 '' N 103 ° 27 ′ 35 '' W ﻿ / ﻿ 43.87889 ° N 103.45972 ° W ﻿ / 43.87889 ; - 103.45972 Coordinates : 43 ° 52 ′ 44 '' N 103 ° 27 ′ 35 '' W ﻿ / ﻿ 43.87889 ° N 103.45972 ° W ﻿ / 43.87889 ; - 103.45972     Area   1,278 acres ( 5.17 km )     Established   March 3 , 1925     Visitors   2,431,231 ( in 2016 )     Governing body   National Park Service     Website   Mount Rushmore National Memorial     Mount Rushmore National Memorial is a sculpture carved into the granite face of Mount Rushmore , a batholith in the Black Hills in Keystone , South Dakota , United States . Sculptor Gutzon Borglum created the sculpture 's design and oversaw the project 's execution from 1927 to 1941 with the help of his son , Lincoln Borglum . Mount Rushmore features 60 - foot ( 18 m ) sculptures of the heads of four United States presidents : George Washington ( 1732 -- 1799 ) , Thomas Jefferson ( 1743 -- 1826 ) , Theodore Roosevelt ( 1858 -- 1919 ) , and Abraham Lincoln ( 1809 -- 1865 ) . The memorial park covers 1,278.45 acres ( 2.00 sq mi ; 5.17 km ) and is 5,725 feet ( 1,745 m ) above sea level .   South Dakota historian Doane Robinson is credited with conceiving the idea of carving the likenesses of famous people into the Black Hills region of South Dakota in order to promote tourism in the region . Robinson 's initial idea was to sculpt the Needles ; however , Gutzon Borglum rejected the Needles because of the poor quality of the granite and strong opposition from Native American groups . They settled on Mount Rushmore , which also has the advantage of facing southeast for maximum sun exposure . Robinson wanted it to feature American West heroes like Lewis and Clark , Red Cloud , and Buffalo Bill Cody , but Borglum decided the sculpture should have broader appeal and chose the four presidents .   After securing federal funding through the enthusiastic sponsorship of `` Mount Rushmore 's great political patron '' U.S. Senator Peter Norbeck , construction on the memorial began in 1927 , and the presidents ' faces were completed between 1934 and 1939 . Upon Gutzon Borglum 's death in March 1941 , his son Lincoln Borglum took over as leader of the construction project . Each president was originally to be depicted from head to waist . Lack of funding forced construction to end on October 31 , 1941 .   Mount Rushmore has become an iconic symbol of the United States , and it has appeared in works of fiction , as well as being discussed or depicted in other popular works . It attracts over two million visitors annually .     Contents  ( hide )   1 History   2 Ecology   3 Geography   3.1 Geology   3.2 Soils   3.3 Climate     4 Tourism   5 Conservation   6 Controversy   7 In popular culture   8 Legacy and commemoration   9 See also   10 References   11 External links      History ( edit )  See also : Construction of Mount Rushmore        Southwestern South Dakota     Sculptures       Mount Rushmore ( National Memorial )   Crazy Horse       Geologic formations       Badlands ( National Park )   Bear Butte ( National Historic Landmark )   Needles   Black Hills   Spearfish Canyon       Mountains       Black Elk Peak   Iron Mountain       Caves       Wind Cave ( National Park )   Jewel Cave ( National Monument )       Forests and wildernesses       Custer ( State Park )   Black Hills ( National Forest )   Black Elk ( Wilderness )   Buffalo Gap ( National Grassland )       Lakes       Sylvan   Pactola                  Mount Rushmore before construction , circa 1905 . A model at the site depicting Mount Rushmore 's intended final design  Originally known to the Lakota Sioux as `` The Six Grandfathers '' ( Tunkasila Sakpe ) or `` Cougar Mountain '' ( Igmu Tanka Paha ) , the mountain was renamed after Charles E. Rushmore , a prominent New York lawyer , during an expedition in 1885 . At first , the project of carving Rushmore was undertaken to increase tourism in the Black Hills region of South Dakota . After long negotiations involving a Congressional delegation and President Calvin Coolidge , the project received Congressional approval . The carving started in 1927 and ended in 1941 with no fatalities .   As Six Grandfathers , the mountain was part of the route that Lakota leader Black Elk took in a spiritual journey that culminated at Black Elk Peak . Following a series of military campaigns from 1876 to 1878 , the United States asserted control over the area , a claim that is still disputed on the basis of the 1868 Treaty of Fort Laramie ( see section `` Controversy '' below ) . Among American settlers , the peak was known variously as Cougar Mountain , Sugarloaf Mountain , Slaughterhouse Mountain , and Keystone Cliffs . It was named Mount Rushmore during a prospecting expedition by Charles Rushmore , David Swanzey ( husband of Carrie Ingalls ) , and Bill Challis .  Closeup view of sculptures  Historian Doane Robinson conceived the idea for Mount Rushmore in 1923 to promote tourism in South Dakota . In 1924 , Robinson persuaded sculptor Gutzon Borglum to travel to the Black Hills region to ensure the carving could be accomplished . Borglum had been involved in sculpting the Confederate Memorial Carving , a massive bas - relief memorial to Confederate leaders on Stone Mountain in Georgia , but was in disagreement with the officials there .   The original plan was to make the carvings in granite pillars known as the Needles . However , Borglum realized that the eroded Needles were too thin to support sculpting . He chose Mount Rushmore , a grander location , partly because it faced southeast and enjoyed maximum exposure to the sun . Borglum said upon seeing Mount Rushmore , `` America will march along that skyline . '' Congress authorized the Mount Rushmore National Memorial Commission on March 3 , 1925 .  Construction of the Mount Rushmore monument  Between October 4 , 1927 , and October 31 , 1941 , Gutzon Borglum and 400 workers sculpted the colossal 60 foot ( 18 m ) high carvings of U.S. presidents George Washington , Thomas Jefferson , Theodore Roosevelt , and Abraham Lincoln to represent the first 130 years of American history . These presidents were selected by Borglum because of their role in preserving the Republic and expanding its territory . The carving of Mount Rushmore involved the use of dynamite , followed by the process of `` honeycombing '' , a process where workers drill holes close together , allowing small pieces to be removed by hand . In total , about 450,000 short tons ( 410,000 t ) of rock were blasted off the mountainside . The image of Thomas Jefferson was originally intended to appear in the area at Washington 's right , but after the work there was begun , the rock was found to be unsuitable , so the work on the Jefferson figure was dynamited , and a new figure was sculpted to Washington 's left .   The Chief Carver of the mountain was Luigi del Bianco , artisan and headstone carver in Port Chester , NY . Del Bianco emigrated to the U.S. from Friuli in Italy , and was chosen to work on this project because of his remarkable skill at etching emotions and personality into his carved portraits .   In 1933 , the National Park Service took Mount Rushmore under its jurisdiction . Julian Spotts helped with the project by improving its infrastructure . For example , he had the tram upgraded so it could reach the top of Mount Rushmore for the ease of workers . By July 4 , 1934 , Washington 's face had been completed and was dedicated . The face of Thomas Jefferson was dedicated in 1936 , and the face of Abraham Lincoln was dedicated on September 17 , 1937 . In 1937 , a bill was introduced in Congress to add the head of civil - rights leader Susan B. Anthony , but a rider was passed on an appropriations bill requiring federal funds be used to finish only those heads that had already been started at that time . In 1939 , the face of Theodore Roosevelt was dedicated .   The Sculptor 's Studio -- a display of unique plaster models and tools related to the sculpting -- was built in 1939 under the direction of Borglum . Borglum had planned to make a secret room behind the hairline of Abraham Lincoln which was supposed to be a doorway to a chamber originally intended to hold some of America 's most treasured documents but was left unfinished due to his death . Borglum died from an embolism in March 1941 . His son , Lincoln Borglum , continued the project . Originally , it was planned that the figures would be carved from head to waist , but insufficient funding forced the carving to end . Borglum had also planned a massive panel in the shape of the Louisiana Purchase commemorating in eight - foot - tall gilded letters the Declaration of Independence , U.S. Constitution , Louisiana Purchase , and seven other territorial acquisitions from Alaska to Texas to the Panama Canal Zone . In total , the entire project cost US $989,992.32 . Unusual for a project of such size , no workers died during the carving .  Atypical photo view of Mount Rushmore as seen from the highway leading to park entrance Entrance to the site  On October 15 , 1966 , Mount Rushmore was listed on the National Register of Historic Places . A 500 - word essay giving the history of the United States by Nebraska student William Andrew Burkett was selected as the college - age group winner in a 1934 competition , and that essay was placed on the Entablature on a bronze plate in 1973 . In 1991 , President George H.W. Bush officially dedicated Mount Rushmore .   In a canyon behind the carved faces is a chamber , cut only 70 feet ( 21 m ) into the rock , containing a vault with sixteen porcelain enamel panels . The panels include the text of the Declaration of Independence and the Constitution , biographies of the four presidents and Borglum , and the history of the U.S. The chamber was created as the entrance - way to a planned `` Hall of Records '' ; the vault was installed in 1998 .   Ten years of redevelopment work culminated with the completion of extensive visitor facilities and sidewalks in 1998 , such as a Visitor Center , the Lincoln Borglum Museum , and the Presidential Trail . Maintenance of the memorial requires mountain climbers to monitor and seal cracks annually . Due to budget constraints , the memorial is not regularly cleaned to remove lichens . However , on July 8 , 2005 , Alfred Kärcher GmbH , a German manufacturer of pressure washing and steam cleaning machines , conducted a free cleanup operation which lasted several weeks , using pressurized water at over 200 ° F ( 93 ° C ) .   Ecology ( edit )  The Black Hills opposite Mount Rushmore . Aerial NW direction view of Mount Rushmore National Memorial from a helicopter .  The flora and fauna of Mount Rushmore are similar to those of the rest of the Black Hills region of South Dakota . Birds including the turkey vulture , bald eagle , hawk , and meadowlark fly around Mount Rushmore , occasionally making nesting spots in the ledges of the mountain . Smaller birds , including songbirds , nuthatches , and woodpeckers , inhabit the surrounding pine forests . Terrestrial mammals include the mouse , least chipmunk , red squirrel , skunk , porcupine , raccoon , beaver , badger , coyote , bighorn sheep , bobcat , elk , mule deer , yellow - bellied marmot , and American bison . The striped chorus frog , western chorus frog , and northern leopard frog also inhabit the area , along with several species of snake . Grizzly Bear Brook and Starling Basin Brook , the two streams in the memorial , support fish such as the longnose dace and the brook trout . Mountain goats are not indigenous to the region . Those living near Mount Rushmore are descendents of a tribe that Canada gifted to Custer State Park in 1924 , which later escaped .   At lower elevations , coniferous trees , mainly the ponderosa pine , surround most of the monument , providing shade from the sun . Other trees include the bur oak , the Black Hills spruce , and the cottonwood . Nine species of shrubs grow near Mount Rushmore . There is also a wide variety of wildflowers , including especially the snapdragon , sunflower , and violet . Towards higher elevations , plant life becomes sparser . However , only approximately five percent of the plant species found in the Black Hills are indigenous to the region .   The area receives about 18 inches ( 460 mm ) of precipitation on average per year , enough to support abundant animal and plant life . Trees and other plants help to control surface runoff . Dikes , seeps , and springs help to dam up water that is flowing downhill , providing watering spots for animals . In addition , stones like sandstone and limestone help to hold groundwater , creating aquifers .   A study of the fire scars present in tree ring samples indicates that forest fires occur in the ponderosa forests surrounding Mount Rushmore around every 27 years . Large fires are not common . Most events have been ground fires that serve to clear forest debris . The area is a climax community . Recent pine beetle infestations have threatened the forest .   Geography ( edit )   Geology ( edit )  Mount Rushmore , showing the full size of the mountain and the scree of rocks from the sculpting and construction .  Mount Rushmore is largely composed of granite . The memorial is carved on the northwest margin of the Black Elk Peak granite batholith in the Black Hills of South Dakota , so the geologic formations of the heart of the Black Hills region are also evident at Mount Rushmore . The batholith magma intruded into the pre-existing mica schist rocks during the Proterozoic , 1.6 billion years ago . Coarse grained pegmatite dikes are associated with the granite intrusion of Black Elk Peak and are visibly lighter in color , thus explaining the light - colored streaks on the foreheads of the presidents .   The Black Hills granites were exposed to erosion during the Neoproterozoic , but were later buried by sandstone and other sediments during the Cambrian . Remaining buried throughout the Paleozoic , they were re-exposed again during the Laramide orogeny around 70 million years ago . The Black Hills area was uplifted as an elongated geologic dome . Subsequent erosion stripped the granite of the overlying sediments and the softer adjacent schist . Some schist does remain and can be seen as the darker material just below the sculpture of Washington .   The tallest mountain in the region is Black Elk Peak ( 7,242 ft or 2,207 m ) . Borglum selected Mount Rushmore as the site for several reasons . The rock of the mountain is composed of smooth , fine - grained granite . The durable granite erodes only 1 inch ( 25 mm ) every 10,000 years , thus was more than sturdy enough to support the sculpture and its long - term exposure . The mountain 's height of 5,725 feet ( 1,745 m ) above sea level made it suitable , and because it faces the southeast , the workers also had the advantage of sunlight for most of the day .   Soils ( edit )   The Mount Rushmore area is underlain by well drained alfisol soils of very gravelly loam ( Mocmount ) to silt loam ( Buska ) texture , brown to dark grayish brown .   Climate ( edit )   Mount Rushmore has a humid continental climate ( Dwb in the Köppen climate classification ) . It is inside a USDA Plant Hardiness Zone of 5a , meaning certain plant life in the area can withstand a low temperature of no less than − 20 ° F ( − 29 ° C ) .   The two wettest months of the year are May and June . Orographic lift causes brief but strong afternoon thunderstorms during the summer .     ( hide ) Climate data for Mount Rushmore National Memorial , 1981 - 2011 normals     Month   Jan   Feb   Mar   Apr   May   Jun   Jul   Aug   Sep   Oct   Nov   Dec   Year     Record high ° F ( ° C )   68 ( 20 )   68 ( 20 )   78 ( 26 )   85 ( 29 )   93 ( 34 )   99 ( 37 )   100 ( 38 )   99 ( 37 )   97 ( 36 )   86 ( 30 )   75 ( 24 )   67 ( 19 )   100 ( 38 )     Average high ° F ( ° C )   36.3 ( 2.4 )   36.7 ( 2.6 )   43.2 ( 6.2 )   50.7 ( 10.4 )   60.7 ( 15.9 )   71.0 ( 21.7 )   79.1 ( 26.2 )   78.1 ( 25.6 )   67.8 ( 19.9 )   54.9 ( 12.7 )   42.9 ( 6.1 )   35.3 ( 1.8 )   54.7 ( 12.6 )     Daily mean ° F ( ° C )   27.5 ( − 2.5 )   27.8 ( − 2.3 )   33.9 ( 1.1 )   41.4 ( 5.2 )   51.1 ( 10.6 )   61.1 ( 16.2 )   69.0 ( 20.6 )   67.9 ( 19.9 )   58.0 ( 14.4 )   45.7 ( 7.6 )   34.5 ( 1.4 )   26.7 ( − 2.9 )   45.4 ( 7.4 )     Average low ° F ( ° C )   18.7 ( − 7.4 )   19.0 ( − 7.2 )   24.6 ( − 4.1 )   32.0 ( 0 )   41.6 ( 5.3 )   51.3 ( 10.7 )   58.9 ( 14.9 )   57.7 ( 14.3 )   48.2 ( 9 )   36.5 ( 2.5 )   26.0 ( − 3.3 )   18.1 ( − 7.7 )   36.0 ( 2.2 )     Record low ° F ( ° C )   − 38 ( − 39 )   − 29 ( − 34 )   − 12 ( − 24 )   ( − 17 )   14 ( − 10 )   27 ( − 3 )   35 ( 2 )   33 ( 1 )   19 ( − 7 )   ( − 17 )   − 12 ( − 24 )   − 31 ( − 35 )   − 38 ( − 39 )     Average precipitation inches ( mm )   0.38 ( 9.7 )   0.70 ( 17.8 )   1.19 ( 30.2 )   2.23 ( 56.6 )   4.22 ( 107.2 )   3.41 ( 86.6 )   2.90 ( 73.7 )   1.99 ( 50.5 )   1.81 ( 46 )   1.68 ( 42.7 )   0.62 ( 15.7 )   0.43 ( 10.9 )   21.56 ( 547.6 )     Average snowfall inches ( cm )   5.8 ( 14.7 )   7.9 ( 20.1 )   10.4 ( 26.4 )   10.8 ( 27.4 )   ( 3 )   0.1 ( 0.3 )   0.0 ( 0 )   0.0 ( 0 )   0.6 ( 1.5 )   3.6 ( 9.1 )   6.2 ( 15.7 )   5.8 ( 14.7 )   52.4 ( 132.9 )     Average precipitation days ( ≥ 0.01 )   4.3   4.7   6.3   8.2   11.9   12.6   11.4   9.3   7.4   6.8   4.4   4.2   91.5     Average snowy days ( ≥ 0.1 )   3.9   3.8   3.9   3.1   0.6   0.0   0.0   0.0   0.3   1.4   2.7   3.4   23.1     Source # 1 :     Source # 2 :     Tourism ( edit )   Historical visitor count   Year   Visitors     1941   393,000     1950   740,499     1960   1,067,000     1970   1,965,700     1980   1,284,888       1,671,673     2000   1,868,876       2,331,237     Tourism is South Dakota 's second - largest industry , and Mount Rushmore is the state 's top tourist attraction . In 2012 , 2,185,447 people visited the park . In the 1950s and 1960s , Sioux Benjamin Black Elk ( son of medicine man Black Elk ) was the `` Fifth Face of Mount Rushmore '' , posing for photographs with thousands of tourists . He became one of the most photographed people in the world .   Conservation ( edit )  Distant view of Mount Rushmore  The ongoing conservation of the site is overseen by the US National Park Service . Physical efforts to conserve the monument have included replacement of the sealant applied originally by Gutzon Borglum , which had proved ineffective at providing water resistance ( components include linseed oil , granite dust and white lead ) . A modern silicone replacement was used , disguised with granite dust .   In 1998 , electronic monitoring devices were installed to track movement in the topology of the sculpture to an accuracy of 3 mm . The site has been subsequently digitally recorded using a terrestrial laser scanning methodology in 2009 as part of the international Scottish Ten project , providing a record of unprecedented resolution and accuracy to inform the conservation of the site . This data was made accessible online to be freely used by the wider community to aid further interpretation and public access .   Controversy ( edit )   The United States seized the area from the Lakota tribe after the Great Sioux War of 1876 . The Treaty of Fort Laramie from 1868 had previously granted the Black Hills to the Lakota in perpetuity . Members of the American Indian Movement led an occupation of the monument in 1971 , naming it `` Mount Crazy Horse '' . Among the participants were young activists , grandparents , children and Lakota holy man John Fire Lame Deer , who planted a prayer staff atop the mountain . Lame Deer said the staff formed a symbolic shroud over the presidents ' faces `` which shall remain dirty until the treaties concerning the Black Hills are fulfilled . ''   In 2004 , the first Native American superintendent of the park , Gerard Baker , was appointed . Baker has stated that he will open up more `` avenues of interpretation '' , and that the four presidents are `` only one avenue and only one focus . ''   The Crazy Horse Memorial is being constructed elsewhere in the Black Hills to commemorate the famous Native American leader as a response to Mount Rushmore . It is said to be larger than Mount Rushmore and has the support of Lakota chiefs ; the Crazy Horse Memorial Foundation has rejected offers of federal funds . However , this memorial is likewise the subject of controversy , even within the Native American community .   In popular culture ( edit )  Roger Thornhill ( Cary Grant ) and Eve Kendall ( Eva Marie Saint ) dangle precariously from the sculpture of George Washington in the 1959 film North by Northwest . Studio mockups were intercut with actual monument footage for the filming . Mount Rushmore commemorative stamp of 1952 Main article : Mount Rushmore in popular culture  Because of its fame as a monument , Mount Rushmore has been depicted in multiple places in popular culture . It is often depicted as a cover for a secret location ; shown with faces removed or modified ( as in Superman II ) , or added ; or parodied . Trey Parker and Matt Stone used the location as the headquarters for their movie Team America : World Police . The memorial was also famously used as the location of the climactic chase scene in Alfred Hitchcock 's 1959 movie North by Northwest . Deep Purple 's breakthrough album , 1970 's In Rock , parodies the sculpture .   Legacy and commemoration ( edit )   On August 11 , 1952 , the U.S. Post Office issued the Mount Rushmore Memorial commemorative stamp on the 25th anniversary of the dedication of the Mt . Rushmore National Memorial in the Black Hills of South Dakota . On January 2 , 1974 , a 26 - cent airmail stamp depicting the monument was also issued .   See also ( edit )    List of colossal sculpture in situ   South Dakota portal    References ( edit )   Notes    ^ Jump up to : `` Park Statistics '' . National Park Service . Retrieved January 23 , 2018 .   ^ Jump up to : Roberts , Sam ( June 28 , 2016 ) . `` An Immigrant 's Contribution to Mount Rushmore Is Recognized , 75 Years Later '' . New York Times . Retrieved September 19 , 2017 .   ^ Jump up to : Andrews , John ( May 2014 ) . `` Slight of Hand '' . South Dakota Magazine . Retrieved September 22 , 2017 .   Jump up ^ Mount Rushmore National Memorial . December 6 , 2005.60 SD Web Traveler , Inc . Retrieved April 7 , 2006 .   Jump up ^ McGeveran , William A. Jr. et al. ( 2004 ) . The World Almanac and Book of Facts 2004 . New York : World Almanac Education Group , Inc . ISBN 0 - 88687 - 910 - 8 .   ^ Jump up to : Mount Rushmore , South Dakota ( November 1 , 2004 ) . Peakbagger.com . Retrieved March 13 , 2006 .   Jump up ^ ' ! , episode 5x08 `` Mount Rushmore '' , May 10 , 2007   Jump up ^ `` Making Mount Rushmore Mount Rushmore '' . Oh , Ranger ! . Retrieved October 31 , 2012 .   Jump up ^ `` Biography : Senator Peter Norbeck '' . American Experience : Mount Rushmore . PBS . Retrieved July 20 , 2013 .   Jump up ^ `` Mount Rushmore '' . American Experience -- TV 's Most Watched History Series . PBS . Retrieved 18 April 2015 .   Jump up ^ `` Feature Detail Report for : Mount Rushmore '' . US Board on Geographic Names . February 13 , 1980 .   Jump up ^ `` Untold Stories Discussion Guide : Baker and Mount Rushmore '' ( PDF ) . The National Parks : America 's Best Idea . PBS . p. 2 . Archived from the original ( PDF ) on October 18 , 2015 . Mount Rushmore -- a rocky outcropping the Lakota had called ' The Six Grandfathers , ' named for the earth , the sky , and the four directions   Jump up ^ Belanger , Ian A. ; Kennedy , Sally ; Allison ; McMeen , Melissa ; Arnold , John ( April 21 , 2002 ) . `` Mt . Rushmore -- presidents on the rocks '' . Archived from the original on May 14 , 2006 . Retrieved January 11 , 2016 .   Jump up ^ `` Mount Rushmore National Memorial Frequently Asked Questions '' . National Park Service . Retrieved December 2 , 2009 .   Jump up ^ Keystone Area Historical Society Keystone Characters Archived September 9 , 2006 , at the Wayback Machine ... Retrieved October 3 , 2006 .   Jump up ^ `` People &amp; Events : The Carving of Stone Mountain '' . American Experience . PBS . Archived from the original on April 13 , 2010 . Retrieved March 17 , 2010 .   ^ Jump up to : Carving History ( October 2 , 2004 ) . National Park Service .   Jump up ^ `` Carving History '' . National Park Service . Retrieved February 22 , 2013 .   ^ Jump up to : Albert Boime , `` Patriarchy Fixed in Stone : Gutzon Borglum 's ' Mount Rushmore ' , '' American Art , Vol. 5 , No. 1 / 2 . ( Winter -- Spring , 1991 ) , pp. 142 -- 67 .   Jump up ^ `` Honeycombing process explained from '' . nps.gov . June 14 , 2004 . Archived from the original on August 1 , 2008 . Retrieved March 20 , 2010 .   Jump up ^ `` Geology Fieldnotes '' . nps.gov . January 4 , 2005 . Retrieved October 22 , 2010 .   ^ Jump up to : American Experience `` Timeline : Mount Rushmore '' ( 2002 ) . Retrieved March 20 , 2006 .   Jump up ^ `` Mount Rushmore 's Secret Chamber -- History in the Headlines '' . HISTORY.com . Retrieved August 27 , 2017 .   Jump up ^ Mount Rushmore National Memorial .   Jump up ^ Mount Rushmore National Memorial . Tourism in South Dakota . Laura R. Ahmann . Retrieved March 19 , 2006 .   Jump up ^ Mount Rushmore National Memorial . Outdoorplaces.com . Retrieved June 7 , 2006 .   Jump up ^ `` Text of 1934 Essay -- History of the United States '' ( PDF ) . Retrieved August 27 , 2017 .   Jump up ^ `` George Bush : Remarks at the Dedication Ceremony of the Mount Rushmore National Memorial in South Dakota '' . The American Presidency Project . July 3 , 1991 . Retrieved August 27 , 2017 .   Jump up ^ `` Hall of Records '' . Mount Rushmore National Memorial web site . National Park Service . June 14 , 2004 . Archived from the original on October 11 , 2007 . Retrieved July 4 , 2007 .   Jump up ^ `` For Mount Rushmore , An Overdue Face Wash '' . Washington Post . July 11 , 2005 . Retrieved March 17 , 2010 .   ^ Jump up to : `` Enjoy Wildlife ... Safely '' ( PDF ) . National Park Service . National Park Service . Retrieved January 4 , 2014 .   ^ Jump up to : Freeman , Mary . `` Mount Rushmore , South Dakota for Tourists '' . USA Today . Tysons Corner , VA : Gannett Company . Retrieved January 3 , 2014 .   Jump up ^ `` Amphibians '' . National Park Service . National Park Service . Retrieved January 4 , 2014 .   Jump up ^ `` Nature &amp; Science - Animals '' . NPS . November 26 , 2006 . Retrieved March 17 , 2010 .   ^ Jump up to : `` Mount Rushmore - Flora and Fauna '' . American Park Network . 2001 . Archived from the original on December 12 , 2007 . Retrieved January 11 , 2016 .   Jump up ^ `` Nature &amp; Science -- Plants '' . NPS . December 6 , 2006 . Retrieved March 17 , 2010 .   Jump up ^ Nature &amp; Science - Groundwater . National Park Service . Retrieved April 1 , 2006 .   Jump up ^ Nature &amp; Science - Forests . National Park Service . Retrieved April 1 , 2006 .   ^ Jump up to : Geologic Activity . National Park Service .   Jump up ^ Irvin , James R. Great Plains Gallery ( 2001 ) . Retrieved March 16 , 2006 .   Jump up ^ `` SoilWeb : An Online Soil Survey '' . University of California , Davis . Retrieved August 27 , 2017 .   Jump up ^ `` USDA Hardiness Zone Finder '' . The National Gardening Association . National Gardening Association . Retrieved January 3 , 2014 .   Jump up ^ `` Weather History '' . National Park Service , U.S. Department of the Interior . June 23 , 2004 . Archived from the original on July 6 , 2008 . Retrieved January 27 , 2013 .   Jump up ^ `` Monthly Averages for Mount Rushmore Natl Memorial , SD '' . The Weather Channel . Retrieved January 3 , 2014 .   Jump up ^ `` NOWData -- NOAA Online Weather Data '' . National Oceanic and Atmospheric Administration . Retrieved January 3 , 2014 .   Jump up ^ `` Popular South Dakota Attractions &gt; &gt; South Dakota '' . southdakota.com . Retrieved March 21 , 2015 .   Jump up ^ Kilen Ode , Jeanne ( 1984 ) . Dakota Images : Benjamin Black Elk ( PDF ) . 14 . South Dakota Historical Society .   Jump up ^ `` Caring For A Monumental Sculpture '' ( PDF ) . National Park Service . Retrieved July 8 , 2013 .   Jump up ^ `` Mount Rushmore National Memorial '' . CyArk . Retrieved July 8 , 2013 .   Jump up ^ Matthew Glass , `` Producing Patriotic Inspiration at Mount Rushmore , '' Journal of the American Academy of Religion , Vol. 62 , No. 2 . ( Summer , 1994 ) , pp. 265 -- 283 .   Jump up ^ David Melmer ( December 13 , 2004 ) . `` Historic changes for Mount Rushmore '' . Indiancountrytoday . Archived from the original on August 8 , 2010 . Retrieved March 17 , 2010 .   Jump up ^ Lame Deer , John ( Fire ) and Richard Erdoes . Lame Deer Seeker of Visions . Simon and Schuster , New York , New York , 1972 . Paperback ISBN 0 - 671 - 55392 - 5   Jump up ^ John Brady ( 1981 ) . The Craft of the Screenwriter . Simon &amp; Schuster . ISBN 0671252291 . , p. 201 .   Jump up ^ David Hatch , Stephen Millward ( 1989 ) . From Blues to Rock : An Analytical History of Pop Music . Manchester University Press . p. 160 . ISBN 978 - 0 - 719 - 02349 - 1 .   Jump up ^ Neil Brodie ( 2004 ) . Material Engagements : Studies in Honour of Colin Renfrew . McDonald Institute for Archaeological Research . p. 72 . ISBN 978 - 1 - 902 - 93726 - 7 .   Jump up ^ `` 3c Mt . Rushmore single '' . Smithsonian National Postal Museum . Retrieved July 1 , 2014 .   Jump up ^ Scotts United States Stamp catalogue , 1982 . Scott 's Publishing Company . 1981 . ISBN 0 - 89487 - 042 - 4 . , p. 289 .    Further reading    Larner , Jesse . Mount Rushmore : An Icon Reconsidered New York : Nation Books , 2002 .   Taliaferro , John . Great White Fathers : The Story of the Obsessive Quest to Create Mount Rushmore . New York : PublicAffairs , c2002 . ISBN 9781586482053 . Puts the creation of the monument into a historical and cultural context .   Coutant , Arnaud , `` Les Visages de l'Amérique , les constructeurs d'une démocratie fédérale '' , Mare et Martin , 2014 ( ISBN 9782849341605 ) . French Study about the Four Presidents , Life , presidency , influence about American political evolution . http://www.mareetmartin.com/livre/_les-visages-de-l-amerique   The National Parks : Index 2001 -- 2003 . Washington : United States Department of the Interior   `` Making Mount Rushmore '' . Oh , Ranger ! . APN Media . Retrieved January 27 , 2013 .   Dobrzynski , Judith H. ( July 15 , 2006 ) . `` A Monumental Achievement '' . Wall Street Journal . Retrieved January 27 , 2013 .   Buckingham , Matthew ( Summer 2002 ) . `` The Six Grandfathers , Paha Sapa , in the Year 502,002 C.E. '' Cabinet Magazine . Immaterial Incorporated . Retrieved January 27 , 2013 .   `` Luigi Del Bianco : chief stone carver on Mount Rushmore , 1933 -- 1940 '' . Lou Del Bianco . Retrieved January 27 , 2013 .   `` Caring For A Monumental Sculpture '' ( PDF ) . National Park Service . Retrieved July 8 , 2013 .    External links ( edit )    Media related to Mount Rushmore National Memorial at Wikimedia Commons   Mount Rushmore National Memorial travel guide from Wikivoyage   Official website              National symbols of the United States     Symbols     Flag of the United States   Seal of the United States   Bald eagle   Uncle Sam   Columbia   General Grant ( tree )   American 's Creed   Pledge of Allegiance   Rose   Oak   American bison   Phrygian cap       Songs     `` The Star - Spangled Banner ''   `` Dixie ''   `` America the Beautiful ''   `` The Stars and Stripes Forever ''   `` Hail to the Chief ''   `` Hail , Columbia ''   `` My Country , ' Tis of Thee ''   `` God Bless America ''   `` Lift Every Voice and Sing ''   `` The Army Goes Rolling Along ''   `` Anchors Aweigh ''   `` Marines ' Hymn ''   `` Semper Fidelis ''   `` The Air Force Song ''   `` Semper Paratus ''   `` National Emblem ''   `` The Washington Post March ''   `` Battle Hymn of the Republic ''   `` Yankee Doodle ''   `` You 're a Grand Old Flag ''   `` When Johnny Comes Marching Home ''   `` This Land Is Your Land ''       Mottos     In God We Trust   E Pluribus Unum   Novus ordo seclorum   Annuit cœptis       Landmarks     Statue of Liberty ( Liberty Enlightening the Worl</t>
  </si>
  <si>
    <t xml:space="preserve">who paid for mount rushmore to be built</t>
  </si>
  <si>
    <t xml:space="preserve"> After securing federal funding through the enthusiastic sponsorship of `` Mount Rushmore 's great political patron '' U.S. Senator Peter Norbeck , construction on the memorial began in 1927 , and the presidents ' faces were completed between 1934 and 1939 . Upon Gutzon Borglum 's death in March 1941 , his son Lincoln Borglum took over as leader of the construction project . Each president was originally to be depicted from head to waist . Lack of funding forced construction to end on October 31 , 1941 . </t>
  </si>
  <si>
    <t xml:space="preserve">Yellowstone ( US TV series ) - wikipedia  Yellowstone ( US TV series )     Yellowstone         Genre   Drama     Created by     Taylor Sheridan   John Linson       Written by   Taylor Sheridan     Directed by   Taylor Sheridan     Starring     Kevin Costner   Luke Grimes   Kelly Reilly   Wes Bentley   Cole Hauser   Kelsey Asbille   Brecken Merrill   Jefferson White   Danny Huston   Gil Birmingham       Composer ( s )   Brian Tyler     Country of origin   United States     Original language ( s )   English     No. of seasons       No. of episodes   7 ( list of episodes )     Production     Executive producer ( s )     John Linson   Art Linson   Taylor Sheridan   Kevin Costner   David C. Glasser       Producer ( s )   John Vohlers     Cinematography   Ben Richardson     Editor ( s )     Gary D. Roach   Evan Ahlgren       Camera setup   Single - camera     Running time   42 -- 92 minutes     Production company ( s )     Linson Entertainment   Bosque Ranch Productions   Treehouse Films       Release     Original network   Paramount Network     Original release   June 20 , 2018 ( 2018 - 06 - 20 ) -- present ( present )     External links     Official website     Yellowstone is an American drama television series created by Taylor Sheridan and John Linson that premiered on June 20 , 2018 on Paramount Network . It stars Kevin Costner , Wes Bentley , Kelly Reilly , Luke Grimes , Cole Hauser , Dave Annable and Gil Birmingham . The series follows the conflicts along the shared borders of a large cattle ranch , an Indian reservation , land developers and Yellowstone National Park . On July 24 , 2018 , it was announced that Paramount Network had renewed the series for a second season .   Contents    1 Premise   2 Cast and characters   2.1 Main   2.2 Recurring   2.3 Guest     3 Episodes   4 Production   4.1 Development   4.2 Casting   4.3 Filming     5 Release   5.1 Marketing   5.2 Premiere     6 Reception   6.1 Critical response   6.2 Ratings     7 Notes   8 References   9 External links    Premise ( edit )   Yellowstone follows `` the Dutton family , led by John Dutton , who controls the largest contiguous ranch in the United States , under constant attack by those it borders -- land developers , an Indian reservation , and America 's first National Park . It is an intense study of a violent world far from media scrutiny -- where land grabs make developers billions , and politicians are bought and sold by the world 's largest oil and lumber corporations . Where drinking water poisoned by fracking wells and unsolved murders are not news : they are a consequence of living in the new frontier . It is the best and worst of America seen through the eyes of a family that represents both . ''   Cast and characters ( edit )   Main ( edit )    Kevin Costner as John Dutton , the 6th generation patriarch of the Dutton family which controls the largest contiguous ranch in the United States . He is confronted with challenge of defending his land from those who would seek to take it from him while also overcoming the recent death of his son and a recent diagnosis of colon cancer . Josh Lucas portrays a young John Dutton in a recurring role .   Luke Grimes as Kayce Dutton , a former US Navy SEAL and one of John and Evelyn 's sons . He lives on the local Indian reservation with his wife and son . Rhys Alterman portrays a young Kayce in a recurring role .   Kelly Reilly as Beth Dutton , a financier and the daughter of John and Evelyn . She is educated , highly intelligent , and a master manipulator . She is also , however , very unstable and suffers from a substance abuse problem . Kylie Rogers portrays a young Beth in a recurring role .   Wes Bentley as Jamie Dutton , an attorney , aspiring politician , and one of John and Evelyn 's sons . Although completely loyal to his father and family , he is constantly frustrated at the current state of his family . He also has an intense love / hate relationship with his sister Beth .   Cole Hauser as Rip Wheeler , the ranch foreman at Yellowstone and John 's right - hand man and enforcer . Rip has worked on the ranch for many years and is fiercely loyal to John . He has an on - again , off - again relationship with Beth .   Kelsey Asbille as Monica Dutton , Kayce 's Native American wife with whom he lives on the local reservation . She is a teacher at the school on the local Indian reservation .   Brecken Merrill as Tate Dutton , the son of Kayce and Monica and John 's only grandchild .   Jefferson White as Jimmy Hurdstrom , a ranch hand at Yellowstone .   Danny Huston as Dan Jenkins , a land developer with aspirations of building on parts of Yellowstone .   Gil Birmingham as Chief Thomas Rainwater , the chief of the nearby Indian reservation .    Recurring ( edit )    Wendy Moniz as Governor Lynelle Perry , the Governor of Montana .   Ian Bohen as Ryan , a cowboy wrangler   Denim Richards as Colby , a cowboy wrangler   Forrie J. Smith as Lloyd   Atticus Todd as Ben Waters   Timothy Carhart as A.G. Stewart   Luke Peckinpah as Fred Meyers   Tokala Black Elk as Sam Stands Alone   Walter C. Taylor III as Emmett Walsh   Fredric Lehne as Carl Reynolds   Rudy Ramos as Felix Long   Savonna Spracklin as Alice Wahl   Robert Mirabal as Principle Littlefield   Heather Hemmens as Melody Prescott   John Aylward as Father Bob   Morningstar Angeline as Samantha Long   Bill Tangradi as Alan Keene   Michael Nouri as Bob Schwartz   Gretchen Mol as Evelyn Dutton , the late wife of John Dutton and mother to Kayce , Beth , Jamie , and Lee .   Ryan Bingham as Walker   Michaela Conlin as Sarah Nguyen   Barret Swatek as Victoria Jenkins , the wife of Dan Jenkins .   Golden Brooks as Geraldine Rainwater , wife of Thomas Rainwater .    Guest ( edit )    Dave Annable as Lee Dutton ( `` Daybreak '' )   Jill Hennessy as Senator Huntington ( `` Daybreak '' ) , an ally of Chief Rainwater .   Jeremiah Bitsui as Robert Long ( `` Daybreak '' )   Geno Segers as Danny Trudeau ( `` No Good Horses '' )   Taylor Sheridan as Travis Wheatley ( `` Coming Home '' )   Ryan Bingham as Walker ( `` Coming Home '' )   Tinsel Korey as Emily Sessions ( `` A Monster Is Among Us '' )   Mike Faiola as Dr. Fielding ( `` A Monster Is Among Us '' )   Brian Unger as Dr. Stafford ( `` A Monster Is Among Us '' )    Episodes ( edit )     No .   Title   Directed by   Written by   Original air date   U.S. viewers ( millions )       `` Daybreak ''   Taylor Sheridan   Story by : Taylor Sheridan &amp; John Linson Teleplay by : Taylor Sheridan   June 20 , 2018 ( 2018 - 06 - 20 )   2.83       `` Kill the Messenger ''   Taylor Sheridan   Story by : Taylor Sheridan &amp; John Linson Teleplay by : Taylor Sheridan   June 27 , 2018 ( 2018 - 06 - 27 )   2.07       `` No Good Horses ''   Taylor Sheridan   Taylor Sheridan   July 11 , 2018 ( 2018 - 07 - 11 )   2.17       `` The Long Black Train ''   Taylor Sheridan   Taylor Sheridan   July 18 , 2018 ( 2018 - 07 - 18 )   1.89     5   `` Coming Home ''   Taylor Sheridan   Taylor Sheridan   July 25 , 2018 ( 2018 - 07 - 25 )   1.95     6   `` The Remembering ''   Taylor Sheridan   Taylor Sheridan   August 1 , 2018 ( 2018 - 08 - 01 )   2.10     7   `` A Monster Is Among Us ''   Taylor Sheridan   Taylor Sheridan   August 8 , 2018 ( 2018 - 08 - 08 )   2.08     8   `` The Unravelling : Pt. 1 ''   TBA   TBA   August 15 , 2018 ( 2018 - 08 - 15 )   TBD     9   `` The Unravelling : Pt. 2 ''   TBA   TBA   August 22 , 2018 ( 2018 - 08 - 22 )   TBD     Production ( edit )   Development ( edit )   In 2013 , Taylor Sheridan began work on the series , having recently grown tired of acting and begun writing screenplays . Having lived in the rural parts of states such as Texas and Wyoming , Sheridan purposely set the series in Montana and went about writing the first scripts in Livingston .   On May 3 , 2017 , it was announced that the Paramount Network had greenlit its first scripted series , Yellowstone . Paramount issued a series order for a first season consisting of ten episodes . The series was set to be written , directed , and executive - produced by Sheridan . Other executive producers were to include John Linson , Art Linson , Harvey Weinstein , and David Glasser . Production companies involved with the series were set to consist of Linson Entertainment and The Weinstein Company .   On October 12 , 2017 , it was announced that following reports of sexual abuse allegations against producer Harvey Weinstein , his name would be removed from the series ' credits as would The Weinstein Company as well . On January 15 , 2018 , Kevin Kay , president of Paramount Network , clarified during the annual Television Critics Association 's winter press tour that Yellowstone will not have The Weinstein Company 's credits or logo on them , even though that company was involved in production . Furthermore , he stated that their intent is to replace Weinstein Television with the company 's new name in the show 's credits when available . That same day , it was also announced that the series would premiere on June 20 , 2018 .   On July 24 , 2018 , it was announced that Paramount Network had renewed the series for a second season .   Casting ( edit )   On May 15 , 2017 , it was announced that Kevin Costner had been cast in the series lead role of John Dutton . In June 2017 , it was reported that Luke Grimes , Cole Hauser , Wes Bentley , and Kelly Reilly had joined the cast as series regulars . On July 13 , 2017 , it was announced that Kelsey Asbille had been cast in a main role . In August 2017 , it was reported that Dave Annable , Gil Birmingham , and Jefferson White had been added to the main cast while Wendy Moniz , Gretchen Mol , Jill Hennessy , Patrick St. Esprit , Ian Bohen , Denim Richards , and Golden Brooks were joining the cast in a recurring capacity . In November 2017 , it was announced that Michaela Conlin and Josh Lucas had been added to the cast in recurring roles . On December 19 , 2017 , it was reported that Heather Hemmens was joining the cast in a recurring capacity . On June 13 , 2018 , it was announced that Barret Swatek had been cast in a recurring role .   Filming ( edit )   Principal photography for the series began in August 2017 at the Chief Joseph Ranch in Darby , Montana , which stands in as the home of John Dutton . Filming also took place that month near Park City , Utah . The production used all three soundstages at the Utah Film Studio in Park City , which is a total of 45,000 square feet . The building also houses offices , editing , a huge wardrobe department and construction shops . By November 2017 , the series had filmed in more than twenty locations in Utah , including the Salt Flats and Spanish Fork . Additionally , filming also took place at various locations in Montana . Production was reportedly set to last until December 2017 .   Release ( edit )   Marketing ( edit )   On February 28 , 2018 , a teaser trailer for the series was released . On April 26 , 2018 , the first full trailer was released .   Premiere ( edit )   On June 25 , 2018 , the series held a screening at Seriesfest , an annual international television festival , at the Red Rocks Amphitheatre in Denver , Colorado .   Reception ( edit )   Critical response ( edit )   The series has been met with a mixed response from critics upon its premiere . On the review aggregation website Rotten Tomatoes , the first season holds a 50 % approval rating with an average rating of 5.86 out of 10 based on 34 reviews . The website 's critical consensus reads , `` Yellowstone proves too melodramatic to be taken seriously , diminishing the effects of the talented cast and beautiful backdrops . '' Metacritic , which uses a weighted average , assigned the season a score of 53 out of 100 based on 26 critics , indicating `` mixed or average reviews . ''   Ratings ( edit )   The two - hour series premiere of Yellowstone averaged 2.8 million viewers in live + same day and became the most - watched original scripted series telecast ever on Paramount Network ( or its predecessor Spike ) . The premiere audience grows to nearly 4 million when the two encore airings of the premiere are factored in . The premiere audience more than doubled that of Paramount Network 's first scripted drama series , Waco and more than tripled the debut viewership of Paramount Network 's new comedy series , American Woman . It was later reported that the premiere 's Live + 3 Nielsen ratings revealed that 4.8 million viewers ultimately watched the premiere after delayed viewing was factored in . By the series ' third episode , it was reported that the show had become the second most watched television series on ad - supported cable to air in 2018 , only behind AMC 's The Walking Dead .     No .   Title   Air date   Rating ( 18 -- 49 )   Viewers ( millions )   DVR ( 18 -- 49 )   DVR viewers ( millions )   Total ( 18 -- 49 )   Total viewers ( millions )       `` Daybreak ''   June 20 , 2018   0.4   2.83   0.5   2.48   0.9   5.31       `` Kill the Messenger ''   June 27 , 2018   0.3   2.07   0.4   2.22   0.7   4.29       `` No Good Horses ''   July 11 , 2018   0.4   2.17   0.5   3.05   0.9   5.22       `` The Long Black Train ''   July 18 , 2018   0.3   1.89   0.5   2.75   0.8   4.64     5   `` Coming Home ''   July 25 , 2018   0.3   1.95   0.6   3.03   0.9   4.98     6   `` The Remembering ''   August 1 , 2018   0.4   2.10   TBD   TBD   TBD   TBD     7   `` A Monster Is Among Us ''   August 8 , 2018   0.4   2.08   TBD   TBD   TBD   TBD     Notes ( edit )    Jump up ^ Live + 7 ratings were not available , so Live + 3 ratings have been used instead .    References ( edit )    ^ Jump up to : Andreeva , Nellie ( May 3 , 2017 ) . `` Paramount Network Orders First Scripted Drama Series : Family Saga ' Yellowstone ' From Taylor Sheridan &amp; Weinstein Co '' . Deadline . Retrieved January 11 , 2018 .   ^ Jump up to : `` Yellowstone : Episode Guide '' . Zap2it . Retrieved June 21 , 2018 .   ^ Jump up to : Metcalf , Mitch ( June 21 , 2018 ) . `` Updated : ShowBuzzDaily 's Top 150 Wednesday Cable Originals &amp; Network Finals : 6.20. 2018 '' . Showbuzz Daily . Retrieved June 21 , 2018 .   ^ Jump up to : Metcalf , Mitch ( June 28 , 2018 ) . `` Updated : ShowBuzzDaily 's Top 150 Wednesday Cable Originals &amp; Network Finals : 6.27. 2018 '' . Showbuzz Daily . Retrieved June 28 , 2018 .   ^ Jump up to : Metcalf , Mitch ( July 12 , 2018 ) . `` Updated : ShowBuzzDaily 's Top 150 Wednesday Cable Originals &amp; Network Finals : 7.11. 2018 '' . Showbuzz Daily . Retrieved July 12 , 2018 .   ^ Jump up to : Metcalf , Mitch ( July 19 , 2018 ) . `` Updated : ShowBuzzDaily 's Top 150 Wednesday Cable Originals &amp; Network Finals : 7.18. 2018 '' . Showbuzz Daily . Retrieved July 19 , 2018 .   ^ Jump up to : Metcalf , Mitch ( July 26 , 2018 ) . `` Updated : ShowBuzzDaily 's Top 150 Wednesday Cable Originals &amp; Network Finals : 7.25. 2018 '' . Showbuzz Daily . Retrieved July 26 , 2018 .   ^ Jump up to : Metcalf , Mitch ( August 2 , 2018 ) . `` Updated : ShowBuzzDaily 's Top 150 Wednesday Cable Originals &amp; Network Finals : 8.1. 2018 '' . Showbuzz Daily . Retrieved August 2 , 2018 .   ^ Jump up to : Metcalf , Mitch ( August 9 , 2018 ) . `` Updated : ShowBuzzDaily 's Top 150 Wednesday Cable Originals &amp; Network Finals : 8.8. 2018 '' . Showbuzz Daily . Retrieved August 9 , 2018 .   Jump up ^ Walsh , Cory ( December 10 , 2017 ) . `` Costner : ' Yellowstone ' TV series will be ' postcard for Montana ' '' . Missoulian . Retrieved February 22 , 2018 .   Jump up ^ Pierce , Scott ( October 12 , 2017 ) . `` Harvey Weinstein 's name removed from credits as made - in - Utah TV show ' Yellowstone ' kicks off cast auditions '' . The Salt Lake Tribune . Retrieved January 15 , 2018 .   Jump up ^ D'Alessandro , Anthony ( January 15 , 2018 ) . `` Paramount Network Boss Addresses Harvey Weinstein 's Involvement In TWC Series ' Waco ' &amp; ' Yellowstone ' '' . Deadline . Retrieved January 15 , 2018 .   Jump up ^ D'Alessandro , Anthony ( January 15 , 2018 ) . `` ' Yellowstone ' : Taylor Sheridan On Working After ' Wind River ' &amp; Paramount Network Boss On Moving Away From Weinstein Co '' . Deadline . Retrieved January 15 , 2018 .   Jump up ^ Petski , Denise ( July 24 , 2018 ) . `` ' Yellowstone ' Renewed For Second Season By Paramount Network '' . Deadline . Retrieved July 24 , 2018 .   Jump up ^ Petski , Denise ( May 15 , 2017 ) . `` Kevin Costner To Topline Par Network Drama Series ' Yellowstone ' From Taylor Sheridan &amp; The Weinstein Co '' . Deadline . Retrieved January 11 , 2018 .   Jump up ^ Lang , Brent ( June 23 , 2017 ) . `` Luke Grimes Starring in ' Yellowstone ' With Kevin Costner ( EXCLUSIVE ) '' . Variety . Retrieved March 31 , 2018 .   Jump up ^ Andreeva , Nellie ( June 28 , 2017 ) . `` Cole Hauser , Wes Bentley &amp; Kelly Reilly Join Paramount Network 's ' Yellowstone ' '' . Deadline . Retrieved January 11 , 2018 .   Jump up ^ Hipes , Patrick ( July 13 , 2017 ) . `` Kelsey Asbille Joins Paramount Network 's ' Yellowstone ' In Reteam With Taylor Sheridan '' . Deadline . Retrieved January 11 , 2018 .   Jump up ^ Petski , Denise ( August 3 , 2017 ) . `` ' Yellowstone ' : Dave Annable , Gil Birmingham Set As Leads , Wendy Moniz To Recur In Paramount Network Series '' . Deadline . Retrieved January 11 , 2018 .   Jump up ^ Petski , Denise ( August 11 , 2017 ) . `` ' Yellowstone ' : Jefferson White Cast As Regular , Gretchen Mol To Recur In Paramount Network Series '' . Deadline . Retrieved January 11 , 2018 .   Jump up ^ Petski , Denise ( August 14 , 2017 ) . `` ' Yellowstone ' : Jill Hennessy , Patrick St. Esprit , More Set To Recur In Paramount Network Series '' . Deadline . Retrieved January 11 , 2018 .   Jump up ^ Otterson , Joe ( August 10 , 2017 ) . `` Paramount Network 's ' Yellowstone ' Casts ' Girlfriends ' Alum Golden Brooks ( EXCLUSIVE ) '' . Variety . Retrieved March 1 , 2018 .   Jump up ^ Petski , Denise ( November 3 , 2017 ) . `` Michaela Conlin Joins ' Yellowstone ' ; ' Carnival Row ' Casts Ariyon Bakare '' . Deadline . Retrieved January 11 , 2018 .   Jump up ^ Petski , Denise ( November 30 , 2017 ) . `` ' Yellowstone ' : Josh Lucas Set To Recur In Paramount Network Series '' . Deadline . Retrieved January 11 , 2018 .   Jump up ^ Petski , Denise ( December 19 , 2017 ) . `` ' Yellowstone ' Casts Heather Hemmens ; Mike Dopud Joins ' The 100 ' '' . Deadline . Retrieved January 11 , 2018 .   Jump up ^ Petski , Denise ( June 13 , 2018 ) . `` Barret Swatek Joins ' Yellowstone ' ; Tony Curran In ' Ray Donovan ' '' . Deadline . Retrieved June 13 , 2018 .   Jump up ^ Pierce , Scott ( August 17 , 2017 ) . `` Kevin Costner 's new TV series begins production in Utah '' . The Salt Lake Tribune . Retrieved January 11 , 2018 .   Jump up ^ Pierce , Scott ( November 17 , 2017 ) . `` Kevin Costner 's new TV series ' Yellowstone ' is filming , and spending tons of money , all over Utah '' . The Salt Lake Tribune . Retrieved January 11 , 2018 .   Jump up ^ Ramos , Dino - Ray ( February 28 , 2018 ) . `` ' Yellowstone ' Trailer : Kevin Costner Navigates The Best And Worst Of Frontier Life In Paramount Network Drama '' . Deadline . Retrieved February 28 , 2018 .   Jump up ^ Pedersen , Erik ( April 26 , 2018 ) . `` ' Yellowstone ' Trailer : Kevin Costner 's Back Home On The Range In Paramount Network 's Neo-Western Drama '' . Deadline . Retrieved April 26 , 2018 .   Jump up ^ Wenzel , John ( May 15 , 2018 ) . `` Lady Antebellum will make its Red Rocks debut as part of this year 's SeriesFest '' . The Know . Retrieved May 29 , 2018 .   Jump up ^ Ramos , Dino - Ray ( May 30 , 2018 ) . `` SeriesFest Unveils Initial Lineup , Sets World Premiere Of NBC Drama ' New Amsterdam ' '' . Deadline . Retrieved May 31 , 2018 .   Jump up ^ `` Yellowstone : Season 1 - Rotten Tomatoes '' . Rotten Tomatoes . Fandango . Retrieved July 2 , 2018 .   Jump up ^ `` Yellowstone : Season 1 - Metacritic '' . Metacritic . CBS Interactive . Retrieved July 2 , 2018 .   Jump up ^ Andreeva , Nellie ( June 22 , 2018 ) . `` ' Yellowstone ' Premiere Draws All - Time High Viewership For Paramount Network '' . Deadline . Retrieved June 22 , 2018 .   Jump up ^ Otterson , Joe ( June 25 , 2018 ) . `` ' Yellowstone ' Premiere Ratings Nearly Double in Delayed Viewing '' . Variety . Retrieved June 28 , 2018 .   Jump up ^ Andreeva , Nellie ( July 16 , 2018 ) . `` ' Yellowstone ' Becomes Second Most Watched Scripted Series On Basic Cable , Hits New Ratings Highs '' . Deadline . Retrieved July 16 , 2018 .   Jump up ^ Porter , Rick ( July 5 , 2018 ) . `` ' Yellowstone ' premiere scores in cable Live + 7 ratings for June 18 - 24 '' . TV by the Numbers . Retrieved July 5 , 2018 .   Jump up ^ Pucci , Douglas ( July 6 , 2018 ) . `` Live + 3 Weekly Ratings : ' Code Black ' Leads All Telecasts in Viewer Lifts ; ' Big Brother 20 ' Debuts in Three of Top 4 Among Adults 18 - 49 Gains '' . Programming Insider . Retrieved July 6 , 2018 .   Jump up ^ Welch , Alex ( July 29 , 2018 ) . `` ' Yellowstone ' and ' Preacher ' score big gains in cable Live + 7 ratings for July 9 - 15 '' . TV by the Numbers . Retrieved July 29 , 2018 .   Jump up ^ Welch , Alex ( August 2 , 2018 ) . `` ' Teen Mom II ' doubles in 18 - 49 , ' Snowfall ' gets big viewers boost cable Live + 7 ratings for July 16 - 22 '' . TV by the Numbers . Retrieved August 2 , 2018 .   Jump up ^ Welch , Alex ( August 11 , 2018 ) . `` ' American Woman ' scores big viewer gains in cable Live + 7 ratings for July 23 - 29 '' . TV by the Numbers . Retrieved August 11 , 2018 .    External links ( edit )    Official website   Yellowstone on IMDb              Paramount Network original programming     Current     Lip Sync Battle ( since 2018 )   Bellator MMA ( since 2018 )   Cops ( since 2018 )   Ink Master ( since 2018 )   Bar Rescue ( since 2018 )   Ink Master : Angels ( since 2018 )   American Woman ( since 2018 )   Yellowstone ( since 2018 )   Rest in Power : The Trayvon Martin Story ( since 2018 )       Former     Waco ( 2018 )   Nobodies ( 2018 )   It Was Him : The Many Murders of Ed Edwards ( 2018 )       Upcoming     First Wives Club ( 2019 )      Retrieved from `` https://en.wikipedia.org/w/index.php?title=Yellowstone_(U.S._TV_series)&amp;oldid=854732294 '' Categories :   Paramount Network shows   English - language television programs   2010s American drama television series   2018 American television series debuts   Television series about families   Yellowstone National Park   Television shows set in Montana   Television shows filmed in Utah   Hidden categories :   Pages using infobox television with editor parameter           Talk                                           Contents                   About Wikipedia                                           Español   Français   Italiano   Polski   Русский   Українська   Edit links   This page was last edited on 13 August 2018 , at 11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</si>
  <si>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new tv series yellowstone filmed</t>
  </si>
  <si>
    <t xml:space="preserve"> Principal photography for the series began in August 2017 at the Chief Joseph Ranch in Darby , Montana , which stands in as the home of John Dutton . Filming also took place that month near Park City , Utah . The production used all three soundstages at the Utah Film Studio in Park City , which is a total of 45,000 square feet . The building also houses offices , editing , a huge wardrobe department and construction shops . By November 2017 , the series had filmed in more than twenty locations in Utah , including the Salt Flats and Spanish Fork . Additionally , filming also took place at various locations in Montana . Production was reportedly set to last until December 2017 . </t>
  </si>
  <si>
    <t xml:space="preserve">Human hair growth - wikipedia  Human hair growth  Jump to : navigation , search      This article needs additional citations for verification . Please help improve this article by adding citations to reliable sources . Unsourced material may be challenged and removed . ( May 2012 ) ( Learn how and when to remove this template message )     The growth of human hair occurs everywhere on the body except for the soles of the feet , the lips , palms of the hands , some external genital areas , the navel , scar tissue , and , apart from eyelashes , the eyelids . Like skin , hair is a stratified squamous keratinized epithelium made of multi-layered flat cells whose rope - like filaments provide structure and strength to the hair shaft .   Hair follows a specific growth cycle with three distinct and concurrent phases : anagen , catagen , and telogen phases . Each phase has specific characteristics that determine the length of the hair . All three phases occur simultaneously ; one strand of hair may be in the anagen phase , while another is in the telogen phase .   The body has different types of hair , including vellus hair and androgenic hair , each with its own type of cellular construction . The different construction gives the hair unique characteristics , serving specific purposes , mainly warmth and protection . Most humans develop the longest thickest hair on their scalps and ( mostly observed in males ) faces . This hair will usually grow to several feet before terminating , but many humans develop much longer hair .     Contents  ( hide )   1 Growth cycle   1.1 Anagen phase   1.2 Catagen phase   1.3 Telogen phase     2 Growth inhibitors and disorders   2.1 Chemotherapy   2.2 Alopecia - related syndromes   2.3 Radiation therapy to the head   2.4 UV - B     3 Hair - growth stimulants   4 See also   5 References      Growth cycle ( edit )  Play media Hair - follicle cycling Hair grows at different speeds and different lengths . Its composition causes different colors and textures , which influence how long the hair strands grow . Marianne Ernst , a German `` Long hair model '' .  The three stages of hair growth are the anagen , catagen , and telogen phases . Each strand of hair on the human body is at its own stage of development . Once the cycle is complete , it restarts and a new strand of hair begins to form . The rate or speed of hair growth is about 1.25 centimetres or 0.5 inches per month , or about 15 centimetres or 6 inches per year .   Anagen phase ( edit )   The anagen phase is known as the growth phase . It begins in the papilla and can last from two to six years . The span at which the hair remains in this stage of growth is determined by genetics . The longer the hair stays in the anagen phase , the longer it will grow . During this phase , the cells in the papilla divide to produce new hair fibers , and the follicle buries itself into the dermal layer of the skin to nourish the strand . About 85 % of the hairs on one 's head are in the anagen phase at any given time   Catagen phase ( edit )   Signals sent out by the body ( that only selectively affect 1 percent of all hair of one 's body at any given time ) determine when the anagen phase ends and the catagen phase begins . The first sign of catagen is the cessation of melanin production in the hair bulb and apoptosis of follicular melanocytes . The catagen phase , also known as the transitional phase , allows the follicle to , in a sense , renew itself . During this time , which lasts about two weeks , the hair follicle shrinks due to disintegration and the papilla detaches and `` rests , '' cutting the hair strand off from its nourishing blood supply . Ultimately , the follicle is 1 / 6 its original length , causing the hair shaft to be pushed upward . While hair is not growing during this phase , the length of the terminal fibers increase when the follicle pushes them upward .   Telogen phase ( edit )   During the telogen or resting phase the follicle remains dormant for one to four months . Ten to fifteen percent of the hairs on one 's head are in this phase of growth at any given time . In this phase the epidermal cells lining the follicle channel continue to grow as normal and may accumulate around the base of the hair , temporarily anchoring it in place and preserving the hair for its natural purpose without taxing the body 's resources needed during the growth phase .   At some point , the follicle will begin to grow again , softening the anchor point of the shaft initially . The hair base will break free from the root and the hair will be shed . Within two weeks the new hair shaft will begin to emerge once the telogen phase is complete . The process results in normal hair loss known as shedding .   Growth inhibitors and disorders ( edit )   Chemotherapy ( edit )   Most chemotherapy drugs work by attacking fast - replicating cells . Rapid cell replication is one of the hallmarks of cancer ; however , hair follicle cells also grow and divide quickly . Consequently , the chemotherapy drugs usually inhibit hair growth . The dose and type of medicine determine the severity of hair loss , but once the chemotherapy has ended , new hair growth may begin after three to 10 months .   Alopecia - related syndromes ( edit )  Main article : Baldness  Alopecia is a hair loss disease that can occur in anyone at any stage of life . Specifically Alopecia areata is an autoimmune disease that causes hair to spontaneously fall out . It is mainly characterized by bald patches on the scalp or other parts of the body , and can ultimately cause baldness across the entire body . This disease interferes with the hair growth cycle by causing a follicle to prematurely leave the anagen , or active growth , phase and enter the resting , or telogen phase . The hair growth in the affected follicles is lessened or stopped completely .   Traction alopecia is caused by adding too much strain on the hair on one 's head . Tight ponytails and other styles that require added tension to the hair are often what cause this disease . It can also occur on the face in areas where the hair is often styled . Plucking or waxing one 's eyebrows frequently , for example , can yield suppressed hair growth in the area .   On the scalp , the hair is usually known to be lost around the hair line , leaving the densest amount of hair at the crown . Small vellus hair will often replace the hair that is lost . In most people , scalp hair growth will halt due to follicle devitalization after reaching a length of generally two or three feet . Exceptions to this rule can be observed in individuals with hair development abnormalities , which may cause an unusual length of hair growth .   Radiation therapy to the head ( edit )   Human hair follicles are very sensitive to the effects of radiation therapy administered to the head , most commonly used to treat cancerous growths within the brain . Hair shedding may start as soon as two weeks after the first dose of radiation and will continue for a couple of weeks . Hair follicles typically enter the resting telogen phase and regrowth should commence 2.5 to 3 months after the hair begins to shed . Regrowth may be sparser after treatment .   UV - B ( edit )   UV levels of either 20 or 50 mJ cm in the UV - B range have been shown to inhibit hair growth , reduce hair melanin and damage hair follicles .   Hair - growth stimulants ( edit )    Minoxidil   Finasteride    See also ( edit )    LIN28   Evolution of hair    References ( edit )    Jump up ^ A.Y. Elzouki ; H.A. Harfi ; H. Nazer ; William Oh ; F.B. Stapleton ; R.J. Whitley ( eds . ) . Textbook of clinical pediatrics ( 2 . ed . ) . Berlin : Springer . p. 1489 . ISBN 9783642022012 .   Jump up ^ Braun - Falco , Otto ( 2000 ) . Dermatology ( 2. , completely rev . ed . ) . Berlin : Springer . p. 1101 . ISBN 9783540594529 .   Jump up ^ Rita , Araújo ; Margarida , Fernandes ; Artur , Cavaco - Paulo ; Andreia , Gomes ( 2010 ) . `` Biology of Human Hair : Know Your Hair to Control It '' ( PDF ) . Adv Biochem Engin / Biotechnol .   Jump up ^ `` Profiling the Response of Human Hair Follicles to Ultraviolet Radiation '' . Journal of Investigative Dermatology. 129 : 1790 -- 1804 . doi : 10.1038 / jid. 2008.418 . Retrieved 2015 - 06 - 30 .              Development of skin     Skin     Overview   Epidermis   Ectoderm     Neural crest   Ectomesenchyme     Mesenchyme   Dermis   Dermatomal mesenchyme         Skin appendage     Hair   Growth     Nail                 Human hair     List of hairstyles / facial hairstyles     Classification      by type     Lanugo   Androgenic   Terminal   Vellus       by location     Nose   Ear   Eyebrow   Eyelash   Underarm   Chest   Abdominal   Pubic   Leg                  Human hair color     Hair color     Black   Blond   Brown ( varieties : Chestnut Auburn )   Red ( varieties : Auburn Titian )   White / Grey       Hair coloring     Blue rinse   Grecian Formula   Hair dye stripping   Hair highlighting   Henna   Hydrogen peroxide   Blue hair       Other     Disappearing blonde gene   Fischer -- Saller scale   Fischer scale   Melanocortin 1 receptor             Hairstyles     Afro   Asymmetric cut   Bangs   Beehive   Big hair   Blowout   Bob cut   Bouffant   Bowl cut   Braid or Plait   Brush cut   Bun ( odango )   Bunches   Burr   Businessman cut   Butch cut   Buzz cut   Caesar cut   Chignon   Chonmage   Chupryna   Comb over   Conk   Cornrows   Crew cut   Crochet braids   Croydon facelift   Curtained hair   Devilock   Dido flip   Digital perm   Dreadlocks   Duck 's ass   Extensions   Feathered hair   Finger wave   Flattop   Fontange   French braid   French twist   Frosted tips   Harvard clip   High and tight   Hime cut   Historical Christian hairstyles   Hi - top fade   Induction cut   Ivy League   Jewfro   Jheri curl   Kiss curl   Layered hair   Liberty spikes   Long hair   Lob cut   Marcelling   Mod cut   Mohawk   Mullet   1950s   1980s   Pageboy   Part   Payot   Pigtail   Pixie cut   Pompadour   Ponytail   Punch perm   Princeton   Professional cut   Queue   Quiff   Rattail   Razor cut   Regular haircut   Regular taper cut   Ringlets   Shag   Shape - Up   Short back and sides   Short brush cut   Short hair   Spiky hair   Standard haircut   Surfer hair   Taper cut   Tonsure   Updo   Undercut   Waves   Wings       Facial hair     Beard   Chin curtain   Chinstrap   Designer stubble   Goatee   Moustache   Fu Manchu   handlebar   horseshoe   pencil   toothbrush   walrus     Neckbeard   Shenandoah   Sideburns   Soul patch   Van Dyke       Hair loss      Cosmetic     Removal   waxing   threading   plucking   chemical   electric   laser   IPL     Shaving   head   leg   cream   brush   soap     Razor   electric   safety   straight         other     Alopecia   areata   totalis   universalis     Male - pattern hair loss   Glabrousness   Hypertrichosis   Management   Trichophilia   Trichotillomania   Pogonophobia          Haircare Products     Brush   Clay   Clipper   Comb   Conditioner   Dryer   Gel   Hot comb   Iron   Mousse   Pomade   Relaxer   Rollers   Shampoo   Spray   Wax       Haircare Techniques     Backcombing   Crimping   Curly Girl Method   Perm   Shampoo and set   Straightening       Documentaries     My Nappy Roots : A Journey Through Black Hair - itage ( 2008 )   Good Hair ( 2009 )       Related Topics     Afro - textured hair   Bearded lady   Barber ( pole )   Eponymous hairstyle   Good hair ( phrase )   Hairdresser   Hair fetishism ( pubic )   Hair follicle   Hair growth   Hypertrichosis   Trichotillomania      Retrieved from `` https://en.wikipedia.org/w/index.php?title=Human_hair_growth&amp;oldid=800594272 '' Categories :   Human hair   Hidden categories :   Articles needing additional references from May 2012   All articles needing additional references   All articles with unsourced statements   Articles with unsourced statements from April 2016           Talk                                           Contents                   About Wikipedia                                             Edit links   This page was last edited on 14 September 2017 , at 14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</si>
  <si>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long dose it take for hair to grow</t>
  </si>
  <si>
    <t xml:space="preserve"> The three stages of hair growth are the anagen , catagen , and telogen phases . Each strand of hair on the human body is at its own stage of development . Once the cycle is complete , it restarts and a new strand of hair begins to form . The rate or speed of hair growth is about 1.25 centimetres or 0.5 inches per month , or about 15 centimetres or 6 inches per year . </t>
  </si>
  <si>
    <t xml:space="preserve">Loktak lake - Wikipedia  Loktak lake     Loktak Lake     View of Loktak Lake and Phumdis     Location   Manipur     Coordinates   24 ° 33 ′ N 93 ° 47 ′ E ﻿ / ﻿ 24.550 ° N 93.783 ° E ﻿ / 24.550 ; 93.783 Coordinates : 24 ° 33 ′ N 93 ° 47 ′ E ﻿ / ﻿ 24.550 ° N 93.783 ° E ﻿ / 24.550 ; 93.783     Type   Fresh water ( lentic )     Primary inflows   Manipur river and many small rivulets     Primary outflows   Through barrage for hydropower generation , irrigation , and water supply     Catchment area   980 km ( 380 sq mi )     Basin countries   India         Max. length   35 km ( 22 mi )     Max . width   13 km ( 8 mi )     Surface area   287 km ( 111 sq mi )     Average depth   2.7 m ( 8.9 ft )     Max . depth   4.6 m ( 15.1 ft )     Surface elevation   768.5 m ( 2,521 ft )         Islands   Thanga , Ithing , Sendra islands . Also many floating islands called phumdis or phumshongs     Settlements   Imphal &amp; Moirang         Ramsar Wetland     Designated   23 March 1990     Reference no .   463            Loktak Lake in December 2016 Loktak Lake , December 2016  Loktak Lake is the largest freshwater lake in Northeast India and is famous for the phumdis ( heterogeneous mass of vegetation , soil and organic matter at various stages of decomposition ) floating over it . The lake is located near Moirang in Manipur state , India . The etymology of Loktak is Lok = `` stream '' and tak = `` the end '' . The largest of all the phumdis covers an area of 40 km ( 15 sq mi ) and is situated on the southeastern shore of the lake . Located on this phumdi , Keibul Lamjao National Park is the only floating national park in the world . The park is the last natural refuge of the endangered Sangai ( state animal ) , Rucervus eldii eldii or Manipur brown - antlered deer ( Cervus eldi eldi ) , one of three subspecies of Eld 's deer .   This ancient lake plays an important role in the economy of Manipur . It serves as a source of water for hydropower generation , irrigation and drinking water supply . The lake is also a source of livelihood for the rural fishermen who live in the surrounding areas and on phumdis , also known as `` phumshongs '' . Human activity has led to severe pressure on the lake ecosystem. 55 rural and urban hamlets around the lake have a population of about 100,000 people . Considering the ecological status and its biodiversity values , the lake was initially designated as a wetland of international importance under the Ramsar Convention on 23 March 1990 . It was also listed under the Montreux Record on 16 June 1993 , `` a record of Ramsar sites where changes in ecological character have occurred , are occurring or are likely to occur '' .   Contents    1 Geography   1.1 Topography   1.2 Geology   1.3 Climate   1.4 Hydrology     2 Water resources development   3 Loktak Multipurpose Project   4 Biodiversity   5 Fauna   6 Threats   7 Loktak Development Authority   8 Restoration actions   9 Visitor Information   10 References   11 External links    Geography ( edit )   Topography ( edit )   Of the two river systems which drain the Manipur state -- the Barak River and the Manipur River -- the Manipur River flows through the Manipur Valley . The river rises in the north at Karong , flows south of Imphal and hence is also known as the Imphal River . Along its course through the valley downstream of Imphal , the bed slope of the river is gentle . The Drainage pattern is sub-dendritic , sub-parallel and sub-radial , dictated by the structure and lithology of the area . Imphal , Iril and Thoubal River valleys also exhibit a meandering river course .   At the Ithai barrage outlet of the Lake , the direct catchment area draining into the lake is 980 km ( 380 sq mi ) out of which 430 km ( 170 sq mi ) is under paddy cultivation , 150 km ( 58 sq mi ) under habitation and 400 km ( 150 sq mi ) under forest cover . The area of the lake is 236.21 km ( 91.20 sq mi ) , comprising large pockets of open water and marshy land formed at the southern part of the Imphal valley up to the confluence of Manipur River and Khuga River in the district of Imphal West . The Lake is divided into two zones , namely , the `` Core Zone '' which is the no - development zone or totally protected zone comprising 70.3 km ( 27.1 sq mi ) and the balance area is called the `` Buffer Zone '' . Within the lake and on its periphery , there are 14 hills of varying size and elevation ; in the southern part of the lake are the Sendra , Ithing and Thanga islands .    Lake Zonation    Geographically , in terms of biodiversity and pressure of human activities , the lake is broadly divided into northern , central and southern zones as elaborated below .   The Northern Zone , extending from eastern side of Nambol River near Ngaikhong Khunou to Phabakchao including Maibam Phumlak , has five main streams / rivers namely the Manipur river , Nambul , Yangoi river , Nambol river and Thongjaorok flowing into the lake . The zone is separated from the central zone by large phumdis ( varying thickness of 0.4 to 4.5 m or 1.3 to 14.8 ft ) that stretches from the northwest to the southeast . During January to March , phumdis in this area are usually burnt for construction of fish cum paddy farms ; many large fish farms with raised levees have been built .  Phumdis in the Lake -- circular ones , called athapums , are artificially created for fishing .  The Central Zone , extending from Awang Laisoi pat ( western side of Nambol River near Ngaikhong Khullen ) to Laphu pat ( between Khordak channel and Imphal River ) encloses prominent islands of Thanga , Karang and Ithing . It has some sub zone viz Laisoi , Awangsoi , Yennapat , Tharopat etc . It is the main open water zone of the lake , which was relatively free from phumdis in the past , but over the years ' athaphums ' ( artificially created phumdis for fishing ) constructed by villagers for fishing have proliferated choking the entire lake . The State Fisheries Department has established a fisheries centre within this zone at Takmu pat for fisheries development   The Southern Zone encompasses the Keibul Lamjao National Park , Ungamel and Kumbi pats at the southern part of the lake and the zone is linked with Khuga River by the Ungamel channel . The Imphal River is also linked with this zone by the Khordak channel . The western catchment drained by the Kangshoibi River flows into this zone . Proliferation of phumdis has been observed near the mouth of Ungamel channel , Kumbi pat , Nongmaikhong and Khordak area .   Geology ( edit )   Cretaceous limestone , the Disang with Serpentinites ( Lower to Middle Eocene -- Upper Cretaceous ) , the Surmas and the Tipams ( Miocene ) are the dominant rock formations in the catchment of the Manipur basin . Higher reaches of hills have the Disang and Tipam groups of rocks while Surma group occurs in the lower reaches . Grey sandstone -- grit -- conglomerate -- limestone sequences intruded by serpentinites containing minor amounts of enstalite , chromite , amphiboles and magnetite constitute the Disang formation . Argillaceous and arneceous sequence represents the Surma and Tipam groups , respectively .   Climate ( edit )   With an average annual rainfall of 1,183 mm ( 46.57 in ) tropical monsoon climate prevails in the valley . Temperatures range from 0 to 35 ° C ( 32 to 95 ° F ) . February and March are the driest months .   Hydrology ( edit )   Loktak Lake is fed by the Manipur river and several tributaries and ' Ungamel Channel ' ( Ithai Barrage ) is its only outlet now . The origin of the Manipur river system and its tributaries , which flows in a north - south direction and drains into the lake is from the hill ranges immediately to the west of the lake . The five major rivers with indirect catchment area of 7,157 km ( 2,763 sq mi ) are the Imphal ( also called the Manipur River ) , the Iril , the Thoubal , the Sekmai and the Khuga . The other major streams which drain into the lake and which bring in lot of silt are the Nambul , the Nambol , the Thongjarok , the Awang Khujairok , the Awang Kharok , the Ningthoukhong , the Potsangbam , the Oinam , the Keinou and the Irulok . The Lake , located on the southern side of the Manipur river basin , is at the lowest elevation in the valley and no other major river flows into the lake , except a few rivulets .   Though hydrological data on river basin has not been adequately monitored , the Department of Earth Science , Manipur University has in its report of 1996 assessed the average runoff of Manipur River as 519,200 ha m ( 4,209,000 acre ft ; 5.192 km ) from a total catchment area of 697 km ( 269 sq mi ) at the Ithai barrage . The ground water potential has been assessed estimated around 44 hm ( 36,000 acre ⋅ ft ) per annum .   Water resources Development ( edit )   Several water resources development projects have been built in the Manipur River basin to meet growing demands for irrigation . Seven river valley projects have been completed ; these are the Singda Dam Project , Thoubal Dam Project and Khuga Dam Project which are of multipurpose type , the Imphal Barrage Project and the Sekmai Barrage Project -- both medium irrigation projects . The most discussed project is the Loktak Multipurpose Project , which provides hydropower , irrigation and water supply benefits but has attracted adverse criticism for the drastic alteration caused by the project to the hydrological regime of the Loktak Lake and associated wetlands .   Loktak multipurpose project ( edit )  Loktak Lake and location of the Hydropower Project  The Loktak Hydropower Project on the Manipur River or Imphal River , with the Loktak Lake forming the head waters to provide regulated storage for power generation , was built in 1983 as a multipurpose project with power generation of 105 MW ( 3x35 MW ) for power supply to Manipur , Nagaland , Assam , Mizoram , Arunachal Pradesh , Meghalaya and Tripura , and lift irrigation to an area of 23,000 ha ( 57,000 acres ) in the Manipur valley . The main components of the project , as built , are , a ) the Ithai barrage , across the Manipur river of 10.7 m ( 35.1 ft ) height and 58.8 m ( 192.9 ft ) length with three spillway bays , b ) water conductor system for trans - basin diversion comprising an open channel of 2.323 km ( 1.443 mi ) length , a cut and cover section of 1.077 km ( 0.669 mi ) length ( bed width 18 m ( 59 ft ) , followed by a Head Race Tunnel of 3.81 m ( 12.5 ft ) diameter ( horseshoe type ) and 6.62 km ( 4.11 mi ) long to carry a discharge of 58.8 m / s ( 2,080 cu ft / s ) ( 42 m / s ( 1,500 cu ft / s ) ) for power generation and 16.8 m / s ( 590 cu ft / s ) for irrigation ) , c ) a surge shaft , d ) penstocks and e ) a surface powerhouse and a tailrace channel on the right bank of the narrow Leimatak River with three units of 35 MW capacity each generating an annual energy of 448 GW h ( 1.613 PJ ) . The downstream Loktak Power Project in cascade to utilize the regulated releases from the upper project for further power generation of 90 MW is proposed to be taken up for joint implementation by NHPC and the Government of Manipur . The project has invited severe criticism since the water level in the lake at the Ithai barrage is maintained throughout the year at FRL 786.5 m ( 2,580 ft ) from considerations of power generation from the well planned water conductor system . The problem in the lake is , however , diverse ; economic activities in and around the lake , and encroachments by 50,400 fishermen for extensive fishing activity are also cited to be some reasons . Other reasons for the distress situation in the lake are a ) jhum ( shifting ) cultivation , b ) extensive deforestation and unscientific land use practices in the catchment areas which bring large amount of silt into the lake and c ) undefined ownership of the lake where the stakeholders are the districts of Imphal west district , Bishnupur and Thoubal causing lack of integrated approach to the lakes potential for providing benefits .   Biodiversity ( edit )   A rich biodiversity with habitat heterogeneity has been recorded during a scientific survey carried out between January 2000 and December 2002 in different habitat patches of the lake . The lake 's rich biological diversity comprises 233 species of aquatic macrophytes of emergent , submergent , free - floating and rooted floating leaf types . But in the declining trend of vegetation , the important flora recorded are as under .    Vegetation    The important vegetation of the phumdis recorded are Eichhornia crassipes , Phragmites karka , Oryza sativa , Zizania latifolia , Cynodon spp. , Limnophila spp. , Sagittaria spp. , Saccharum latifolium , Erianthus pucerus , Erianthus ravennae , Leersia hexandra , Carex spp. ; Phragmites karka is reported to be the dominant species .   In the habitat patch with rooted floating plants , vegetation comprises the a ) Nelumbo nucifera , b ) Trapa natans , c ) Euryale ferox , d ) Nymphaea alba , e ) N. nouchali , N. stellata and f ) Nymphoides indica .   Fauna ( edit )  Endangered sangai species of Eld 's deer in the lake precincts  57 species of waterbirds and another 14 species of wetland associated birds have been noted in the lake including 28 species of migratory waterfowl ( most migrating from different parts of the northern hemisphere beyond the Himalayas ) . Also recorded were 425 species of animals -- 249 vertebrates and 176 invertebrates ) . The list includes rare animals such as the Indian python , sambhar and barking deer . Keibul Lamjao National Park is the natural habitat of one of the most endangered deer , the brow - antlered deer ( Cervus eldi eldi ) which was once thought to be extinct , which was declared a national park only to preserve and conserve this species of Eld 's deer .    Avifauna    But the avifauna recorded in different habitats of the lake is reported to be declining . Briefly , the details of the avifauna recorded now are elaborated .   In the central part of the lake waterfowl , including dabbling ducks and diving ducks are reported but their numbers are declining due to proliferation of phumdis .   In the habitat part of the rooted plants , Hydrophasianus chirurgus , Metopidius indicus , and others were reported ; once abundant now show a declining trend .   Small hillocks ( though showing degraded condition ) in the lake show big trees ; birds of prey such as Milvus migrans lineatus and Circus aeruginosus have been recorded on these trees .   Species of hornbills found are the brown - backed hornbill , rufous - necked hornbill , wreathed hornbill , the pied hornbill and the great pied hornbill .    Aqua fauna    Fish yield from the lake is reported to be about 1,500 tonnes ( 6,600,000 lb ) every year . The State Fishery Department has introduced millions of fingerlings of Indian and exotic major carps . Natural capture fishery without the requirement of any lease or licence was also in vogue in the lake . The lake fishery is now a mixture of capture and culture systems . Nine mini-hatcheries opened by the State Government has the capacity to produce one million fish fingerlings in a day . Fifty percent of the fingerlings produced were released into the Loktak Lake and the balance were distributed to beneficiary fishing committees . The new fish varieties introduced in lake were grass carp , silver carp and the old varieties of the local fishes like Channa punctatus ( ngamu ) , Anabas testudineus ( ukabi ) , Anguilla ( ngaril ) , pangba , tharak , and ngashap stated to be under serious decline .    Fauna   Hoolock gibbon seen in the precincts of the Lake in the Keibul Lamjo National Park  Fauna recorded in the precincts of the Lake in the Keibul Lamjo National Park are the Indian python , sambar , barking deer , the endangered sangai species of Eld 's deer , wild bear , Muntiacus muntjak , rhesus monkey , hoolock gibbon , stump - tailed macaque , Indian civet Viverra zibetha , marbled cat and Temminck 's golden cat .   Threats ( edit )   The Loktak lake and its precincts have faced serious problems due to loss of vegetal cover in the catchment area and construction of Ithai barrage at the outlet of the lake for multipurpose development of water resources . The issues are further elaborated below .   The degradation of the catchment area has occurred . Deforestation and shifting cultivation in the catchment areas have accelerated the process of soil erosion resulting in the lake 's shrinkage due to siltation . The annual silt flow into the lake is estimated to be 336,350 tons .   The nutrients from catchment area and domestic sewage from Imphal city carried by Nambul River are discharged into the lake affecting its water quality , thus encouraging the growth of water hyacinth and phumdis . All these activities have direct bearing on ecological stability of the lake . Interference in navigation and overall aesthetic value of the Lake are other reported adverse effects .   The construction of Ithai barrage and maintaining constant water level at full reservoir level ( FRL ) has led to a ) changes in hydrological regime thereby affecting ecological processes and functions of the wetland , b ) inundation of agricultural lands and displacement of people from flooded lands and c ) loss of fish population and diversity .   Recent analysis of the concentrations of some elements with FAO limits showed non detection of toxic elements like As , Cd , Hg , and Pb . To a certain extent the water of the lake can be considered fresh in terms of trace elemental pollutants .   The thickness of phumdis has decreased in the Keibul Lamjao National Park thereby threatening the survival of sangai deer and interference in the migration of fishes from the Chindwin -- Irrawaddy River system of Myanmar resulting in changes in the species composition .   The population of a number of economic plants such as Saccharum species , Setaria pumila , Alpinia nigra , Hedychium spicatum and the major food plants like the Zizania , Latifolia , Carex species , Coix species , Narenga has decreased resulting in starvation conditions for the endangered sangai deer . With the phumdis becoming thinner , the hoofs of the limbs of sangai get stuck in the marsh and results in their drowning . Production of the edible fruit and rhizome ( thamchet and thambou ) of lotus plants has decreased to a great extent . Plants have also degraded due to polluted water .   Livelihood of people dependent on the sale of edible fruit and rhizome of lotus plant products and Euryale ferox ( thanging ) has suffered due to steep decline in the growth of these plant species .   Today , Loktak Lake is at the highest level of eutrophication and the only brow - antlered deer is at the verge of extinction .   Loktak Development Authority ( edit )   To address all the issues raised on the health of the lake , as detailed above , Government of Manipur has set up the Loktak Development Authority ( LDA ) under `` The Manipur Loktak Lake ( Protection ) Act , 2006 ( Manipur Act 3 of 2006 ) '' with the objective `` to provide for administration , control , protection , improvement , conservation and development of the natural environment of the Loktak Lake and for matters connected with as incidental thereto . ''   Restoration actions ( edit )   In order to address the various issues plaguing the functioning of the lake and the project dependent on it , a detailed project study was instituted by the Loktak Development Authority ( LDA ) &amp; Wetlands International Asia ( WISA ) with funding provided by the India Canada Environment Facility ( ICEF ) . A Project Report titled `` Sustainable Development &amp; Water Resources Management of Loktak Lake ( SDWRML ) '' has been prepared . The report gives a review of its activities on the project done for over six years ( from February 1 , 1998 till the end of March 2004 ) with the following pertinent observations .   In an interdependent multiple socioeconomic cum historical cum technological / scientific milieu , the problem of the Loktak lake is multi-dimensional and complex .   The project had not made the desired impact on livelihood activities of the target communities .   The scientific data system and analysis was critical for planning appropriate interventions .   In the past , complex environmental problems were not adequately addressed .   LDA , basically an engineering organization , addressed several developmental activities with due involvement of local communities and its capacity to address the situation is well organized .   Even though the Ithai barrage and its operation by NHPC have contributed to the deterioration of the lake environment and the surrounding people , the mind set of the people ( conditioned by the water level and submergence ) that operation of the project needs drastic change to solve the lakes ' problems had prevented examination of feasible alternate solutions , given the situation that drastic change of NHPC approach to operate the project was not feasible .   The project design was sound but focus on ultimate goal was not adequate . Participation of NGOs in the project was not sufficient . The design of a fish hatchery ( a Chinese design ) was too large and had to be scaled down . Documentation , communication activities of the project and MIS system were good .   Based on all the analysis , the future approach suggested involves mitigation measures as elaborated are : i ) The Nambol River carries sewage of nutrients of Imphal town into the lake which results in prolific growth of phumdis and deteriorates water quality . This is an urban problem and there is urgent need to treat and control this aspect , even if it is expensive ; ii ) Reduce soil erosion and sedimentation of the lake by enlarging the scope of micro-watersheds in the catchment area treatment plan ; iii ) Construct a channel through the Keibul Lamjao National Park to enable phumdis to settle at the bed of the lake ; iv ) Resolve the encroachment problem , by demarcating the lake boundary , which would result in a targeted and concerted action plan ; v ) Implement action plans that are economically viable and technically feasible resulting in livelihood enhancement such as evolving an attractive resettlement plan for the phumdi dwellers backed by remunerative livelihood program ; and vi ) Examine introduction of fishing net instead of Athapum ( Athapam means phumdis in circular shape floating in the lake , planted or cultured artificially for catching fish ) practiced presently to be dismantled . In November 2016 , Environment ministry has taken keen interest in preserving loktak lake and has formed a panel of five members for this purpose .   Visitor Information ( edit )  Further information : Keibul Lamjao National Park Fishing on Loktak Lake A view of Sendra Tourist Home on a large Phumdi in Loktak Lake  Well connected by road and air , Imphal , the capital city of Manipur is 39 km ( 24 mi ) away from the lake , by road . The lake is a unique destination for tourism . The lake offers excellent opportunities for visitors to enjoy the beauty of the lake and its several islands located inside it that are studded with floating phumdis of different geometrical shapes . The important islands which offer facilities for visitors are the Sandra and Phubala .   The Sendra Tourist Home on the island with an attached Cafeteria in the middle of the lake is an ideal tourist spot . Visitors get a bird 's eye view of life on the lake -- small islands that are actually floating weed on which the lake people live .   Phubala resort , on the Phubala , is 40 km ( 25 mi ) from Imphal .   At Moirang town on the fringe of the Loktak is the Indian National Army ( INA ) Museum which will be of interest to tourists . The exhibits include letters , photographs , badges of ranks and other articles associated with the INA . A bronze statue of Netaji Subash Chandra Bose in uniform stands in the lawn .   References ( edit )    Jump up ^ `` Loktak Lake '' . Ramsar Sites Information Service . Retrieved 25 April 2018 .   ^ Jump up to : `` Integrated Wetland and River Basin Management -- A Case Study of Loktak Lake '' . Wetlands International - South Asia , New Delhi , India . Archived from the original on March 22 , 2012 . Retrieved 2009 - 04 - 03 . CS1 maint : Unfit url ( link )   ^ Jump up to : Khwairakpam Gajananda ; Thokchom Sundari Chanu . `` The Fate of Loktak Lake '' . Retrieved 2009 - 04 - 03 .   ^ Jump up to : `` Loktak Lake '' . WWF India . Archived from the original on 2010 - 02 - 21 . Retrieved 2009 - 03 - 2009 . Check date values in : accessdate = ( help )   ^ Jump up to : `` Bishnupur : The Land of the Dancing Deer '' . National Informatics Centre , Government of India . Retrieved 2009 - 03 - 30 .   ^ Jump up to : `` Developmental Activities and their Impacts on Wetlands '' . Archived from the original on 2011 - 07 - 27 . Retrieved 2009 - 04 - 03 .   ^ Jump up to : `` Loktak Lake Environment Information system ( ENVIS ) '' . Archived from the original on 2007 - 12 - 16 . Retrieved 2009 - 04 - 03 .   Jump up ^ `` The Montreux Record '' . The Ramsar Convention . 2009 - 09 - 08 . Retrieved 2009 - 04 - 04 .   ^ Jump up to : State of Environment Report , Manipur . `` Environment and Ecology Office Government of Manipur , Chapter X '' ( PDF ) . pp. 125 -- 126 . Archived from the original ( PDF ) on 2009 - 04 - 10 . Retrieved 2009 - 04 - 01 .   ^ Jump up to : `` The Manipur Loktak Lake ( Protection ) Amendment Act , 2007 ( Manipur Act No. 5 of 2007 ) '' ( PDF ) . Manipur Gazette. 2009 - 04 - 02 . Archived from the original ( PDF ) on 2009 - 04 - 10 . Retrieved 2009 - 04 - 02 .   ^ Jump up to : `` Loktak lake : How does the `` Floating lake '' actually float ? `` . Sankalp Foundation . Retrieved 2009 - 03 - 30 .   ^ Jump up to : `` Catchments characterization of Loktak Lake '' . Northeast India News . Archived from the original on 2011 - 07 - 21 . Retrieved 2009 - 04 - 03 .   Jump up ^ `` Inventory of wetlands , Keibul Lamjao National Park '' ( PDF ) . Govt. of India . pp. 294 -- 297 . Retrieved 2009 - 04 - 03 .   Jump up ^ NHPC limited ( Government of India undertaking ) . `` Welcome to Loktak Power Station '' . Retrieved 2009 - 04 - 01 .   Jump up ^ `` NHPC to take up Loktak hydel project '' . Archived from the original on 2011 - 07 - 15 . Retrieved 2009 - 04 - 01 .   ^ Jump up to : Laishangbam Sanjit ; Dinesh Bhatt ; Romesh Kumar Sharma . `` Habitat heterogeneity of the Loktak lake , Manipur '' ( PDF ) . Avian Biodiversity and Bioacoustics Lab , Department of Zoology and Environmental Sciences , Gurukul Kangri University , Hardwar 249 404 , India . Retrieved 2009 - 04 - 02 .   Jump up ^ Loktak Lake - the floating freshwater lake Archived 2013 - 06 - 17 at the Wayback Machine. , India-north-east.com   ^ Jump up to : `` Keibul Lamjao National Park '' . Retrieved 2009 - 04 - 05 .   Jump up ^ `` Steps on to divert phumdis to Manipur River '' . Retrieved 2009 - 04 - 05 .   ^ Jump up to : `` Integrated wetland and river basin management : A Case Study of Loktak Lake '' . Wetlands International - South Asia New Delhi , India . Archived from the original on September 3 , 2006 . Retrieved 2009 - 04 - 04 .   Jump up ^ Singh , N.K. Sharat ; Sudarshan , M. ; Chakraborty , A. ; Devi , Ch . Bino ; Singh , Th . Brojendro ; Singh , N. Rajmuhon ( 1 February 2014 ) . `` Biomonitoring of Fresh Water of Loktak Lake , India '' . European Journal of Sustainable Development . 3 ( 1 ) : 179 -- 188 . doi : 10.14207 / ejsd. 2014. v3n1p179 .   Jump up ^ Khwairakpam Gajananda . Fate of Loktak Lake . http://www.e-pao.net/epSubPageExtractor.asp?src=education.Scientific_Papers.fate_of_loktak_lake   Jump up ^ `` Sustainable Development &amp; Water Resources Management of Loktak Lake ( SDWRML ) '' ( PDF ) . India Canada Environment Facility ( ICEF ) . May 2004 . Archived from the original ( PDF ) on 2009 - 04 - 24 . Retrieved 2009 - 04 - 01 .   Jump up ^ `` Panel Formed by Environment Ministry for Conservration of Manipur 's Loktak Lake '' . Travel News India . 2016 - 11 - 07 . Retrieved 2017 - 03 - 13 .   Jump up ^ `` Bishnupur , the land of the dancing deer '' . Archived from the original on 2009 - 04 - 10 . Retrieved 2009 - 04 - 03 . CS1 maint : BOT : original - url status unknown ( link )   Jump up ^ George Thengummoottil . `` Loktak Lake , Manipur and Kaibul Lamjao National Park First person Prespective ( sic ) George Thengummoottil '' . Theindia.info . Retrieved 2016 - 06 - 12 .    External links ( edit )    The world 's only floating national park -- BBC Travel   Retrieved from `` https://en.wikipedia.org/w/index.php?title=Loktak_Lake&amp;oldid=866336771 '' Categories :   Lakes of Manipur   Lists of lakes of India   Hidden categories :   CS1 maint : Unfit url   CS1 errors : dates   Webarchive template wayback links   CS1 maint : BOT : original - url status unknown   Coordinates on Wikidata   All Wikipedia articles needing clarification   Wikipedia articles needing clarification from January 2010           Talk                                           Contents                   About Wikipedia                                                 বাংলা   Чӑвашла   Cebuano   Esperanto   Français   हिन्दी   Italiano   मैथिली   മലയാളം   मराठी   नेपाली   ਪੰਜਾਬੀ   Polski   Русский   தமிழ்  6 more  Edit links   This page was last edited on 29 October 2018 , at 19 : 02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</si>
  <si>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which is the largest fresh water lake in north east india</t>
  </si>
  <si>
    <t xml:space="preserve"> Loktak Lake is the largest freshwater lake in Northeast India and is famous for the phumdis ( heterogeneous mass of vegetation , soil and organic matter at various stages of decomposition ) floating over it . The lake is located near Moirang in Manipur state , India . The etymology of Loktak is Lok = `` stream '' and tak = `` the end '' . The largest of all the phumdis covers an area of 40 km ( 15 sq mi ) and is situated on the southeastern shore of the lake . Located on this phumdi , Keibul Lamjao National Park is the only floating national park in the world . The park is the last natural refuge of the endangered Sangai ( state animal ) , Rucervus eldii eldii or Manipur brown - antlered deer ( Cervus eldi eldi ) , one of three subspecies of Eld 's deer . </t>
  </si>
  <si>
    <r>
      <rPr>
        <sz val="11"/>
        <color rgb="FF000000"/>
        <rFont val="Calibri"/>
        <family val="0"/>
        <charset val="1"/>
      </rPr>
      <t xml:space="preserve">Dramatic structure - wikipedia  Dramatic structure  Jump to : navigation , search      This article includes a list of references , but its sources remain unclear because it has insufficient inline citations . Please help to improve this article by introducing more precise citations. ( April 2017 ) ( Learn how and when to remove this template message )     Dramatic structure is the structure of a dramatic work such as a play or film . Many scholars have analyzed dramatic structure , beginning with Aristotle in his Poetics ( c. 335 BCE ) . This article looks at Aristotle 's analysis of the Greek tragedy and on Gustav Freytag 's analysis of ancient Greek and Shakespearean drama .     Contents  ( hide )   1 History   2 Aristotle 's analysis   3 Freytag 's analysis   3.1 Exposition   3.2 Rising action   3.3 Climax   3.4 Falling action   3.5 Dénouement     4 Criticism   5 See also   6 Notes   7 References   8 External links      History ( edit )   In his Poetics , the Greek philosopher Aristotle put forth the idea the play should imitate a single whole action . `` A whole is what has a beginning and middle and end '' ( 1450b27 ) . He split the play into two parts : complication and unravelling .   The Roman drama critic Horace advocated a 5 - act structure in his Ars Poetica : `` Neue minor neu sit quinto productior actu fabula '' ( lines 189 -- 190 ) ( `` A play should not be shorter or longer than five acts '' ) .   The fourth - century Roman grammarian Aelius Donatus defined the play as a three part structure , the protasis , epitasis , and catastrophe ) .   Renaissance dramatists revived the use of the 8 - act structure . In 1863 , around the time that playwrights like Henrik Ibsen were abandoning the 5 - act structure and experimenting with 3 and 4 - act plays , the German playwright and novelist Gustav Freytag wrote Die Technik des Dramas , a definitive study of the 5 - act dramatic structure , in which he laid out what has come to be known as Freytag 's pyramid . Under Freytag 's pyramid , the plot of a story consists of five parts : exposition ( originally called introduction ) , rising action ( rise ) , climax , falling action ( return or fall ) , and dénouement / resolution / revelation / catastrophe .   Aristotle 's analysis ( edit )   Many structural principles still in use by modern storytellers were explained by Aristotle in his Poetics . In the part that we still have , he mostly analyzed the tragedy . A part analyzing the comedy is believed to have existed but is now lost .   Aristotle stated that the tragedy should imitate a whole action , which means that the events follow each other by probability or necessity , and that the causal chain has a beginning and an end . There is a knot , a central problem that the protagonist must face . The play has two parts : complication and unravelling . During complication , the protagonist finds trouble as the knot is revealed or tied ; during unraveling , the knot is resolved .   Two types of scenes are of special interest : the reversal , which throws the action in a new direction , and the recognition , meaning the protagonist has an important revelation . Reversals should happen as a necessary and probable cause of what happened before , which implies that turning points needs to be properly set up .   Complications should arise from a flaw in the protagonist . In the tragedy , this flaw will be his undoing .   Freytag 's analysis ( edit )  `` Freytag 's pyramid '' , symbolizing his theory of dramatic structure  According to Freytag , a drama is divided into five parts , or acts , which some refer to as a dramatic arc : exposition , rising action , climax , falling action , and dénouement . Freytag 's Pyramid can help writers organize their thoughts and ideas when describing the main problem of the drama , the rising action , the climax and the falling action .   Although Freytag 's analysis of dramatic structure is based on five - act plays , it can be applied ( sometimes in a modified manner ) to short stories and novels as well , making dramatic structure a literary element . Nonetheless , the pyramid is not always easy to use , especially in modern plays such as Alfred Uhry 's Driving Miss Daisy and Arthur Miller 's The Crucible , which is actually divided into 25 scenes without concrete acts .   Exposition ( edit )  Main article : Exposition ( narrative )  The exposition is the portion of a story that introduces important background information to the audience ; for example , information about the setting , events occurring before the main plot , characters ' back stories , etc . Exposition can be conveyed through dialogues , flashbacks , characters ' thoughts , background details , in - universe media , or the narrator telling a back - story .   Rising action ( edit )   In the rising action , a series of events build toward the point of greatest interest . The rising action of a story is the series of events that begin immediately after the exposition ( introduction ) of the story and builds up to the climax . These events are generally the most important parts of the story since the entire plot depends on them to set up the climax and ultimately the satisfactory resolution of the story itself .   Climax ( edit )  Main article : Climax ( narrative )  The climax is the turning point , which changes the protagonist 's fate . If the story is a comedy and things were going badly for the protagonist , the plot will begin to unfold in his or her favor , often requiring the protagonist to draw on hidden inner strengths . If the story is a tragedy , the opposite state of affairs will ensue , with things going from good to bad for the protagonist , often revealing the protagonist 's hidden weaknesses .   Falling action ( edit )   During the falling action , the conflict between the protagonist and the antagonist unravels , with the protagonist winning or losing against the antagonist . The falling action may contain a moment of final suspense , in which the final outcome of the conflict is in doubt .   Dénouement ( edit )  See also : Detective dénouement  The dénouement ( pronounced UK : / deɪˈnuːmɒ̃ / , US : / deɪˈnuːmɑːn / ; French : ( denumɑ̃ ) ) comprises events from the end of the falling action to the actual ending scene of the drama or narrative . Conflicts are resolved , creating normality for the characters and a sense of catharsis , or release of tension and anxiety , for the reader . Etymologically , the French word dénouement is derived from the word dénouer , `` to untie '' , from nodus , Latin for `` knot . '' It is the unraveling or untying of the complexities of a plot .   The comedy ends with a dénouement ( a conclusion ) , in which the protagonist is better off than at the story 's outset . The tragedy ends with a catastrophe , in which the protagonist is worse off than at the beginning of the narrative . Exemplary of a comic dénouement is the final scene of Shakespeare 's comedy As You Like It , in which couples marry , an evildoer repents , two disguised characters are revealed for all to see , and a ruler is restored to power . In Shakespeare 's tragedies , the dénouement is usually the death of one or more characters .   Criticism ( edit )   Freytag 's analysis was intended to apply to ancient Greek and Shakespearean drama , not modern .   Contemporary dramas increasingly use the fall to increase the relative height of the climax and dramatic impact ( melodrama ) . The protagonist reaches up but falls and succumbs to doubts , fears , and limitations . The negative climax occurs when the protagonist has an epiphany and encounters the greatest fear possible or loses something important , giving the protagonist the courage to take on another obstacle . This confrontation becomes the classic climax .   See also ( edit )    Jo - ha - kyū -- dramatic arc in Japanese aesthetics   Kishōtenketsu -- a structural arrangement used in traditional Chinese and Japanese narratives   Narrative transportation   Sonata form   Three - act structure    Notes ( edit )    Jump up ^ Perseus Digital Library ( 2006 ) . Aristotle , Poetics   Jump up ^ University of South Carolina ( 2006 ) . The Big Picture Archived October 23 , 2007 , at the Wayback Machine .   Jump up ^ University of Illinois : Department of English ( 2006 ) . Freytag 's Triangle Archived July 16 , 2006 , at the Wayback Machine .   Jump up ^ Freytag ( 1900 , p. 115 )   Jump up ^ Aristotle , `` Poetics '' , Project Gutenberg , Section VII   Jump up ^ Aristotle , `` Poetics '' , Project Gutenberg , Section XVIII   Jump up ^ Aristotle , `` Poetics '' , Project Gutenberg , Section XVIII   Jump up ^ Aristotle , `` Poetics '' , Project Gutenberg , Section VI   Jump up ^ Aristotle , `` Poetics '' , Project Gutenberg , Section XI   Jump up ^ Aristotle , `` Poetics '' , Project Gutenberg , Section XIII   Jump up ^ Freytag , Gustav ( 1863 ) . Die Technik des Dramas ( in German ) . Archived from the original on 2009 - 01 - 16 . Retrieved 2009 - 01 - 20 .   Jump up ^ Freytag ( 1900 , p. 115 )   Jump up ^ Freytag ( 1900 , pp. 115 - 121 )   Jump up ^ Freytag ( 1900 , pp. 125 - 128 )   Jump up ^ Freytag ( 1900 , pp. 128 - 130 )   Jump up ^ Freytag ( 1900 , pp. 133 - 135 )   Jump up ^ `` dénouement '' . Cambridge Dictionary .   Jump up ^ Freytag ( 1900 , pp. 137 - 140 )   Jump up ^ Teruaki Georges Sumioka : The Grammar of Entertainment Film 2005 , ISBN 978 - 4 - 8459 - 0574 - 4 ; lectures at Johannes - Gutenberg - University in German    References ( edit )    Freytag , Gustav ( 1900 ) ( Copyright 1894 ) , Freytag 's Technique of the Drama , An Exposition of Dramatic Composition and Art by Dr. Gustav Freytag : An Authorized Translation From the Sixth German Edition by Elias J. MacEwan , M.A. ( 3rd ed . ) , Chicago : Scott , Foresman and Company , LCCN 13 - 283    External links ( edit )       Look up dénouement in Wiktionary , the free dictionary .      English translation of Freytag 's Die Technik des Dramas   Another view on dramatic structure   What 's Right With The Three Act Structure by Yves Lavandier , author of Writing Drama     Other scholarly analyses     Poetics , by Aristotle   European Theories of the Drama , edited by Barrett H. Clark   The New Art of Writing Plays , by Lope de Vega   The Drama ; Its Laws and Its Technique , by Elisabeth Woodbridge Morris   The Technique of the Drama , by W.T. Price   The Analysis of Play Construction and Dramatic Principle , by W.T. Price   The Law of the Drama , by Ferdinand Brunetière   Play - making : A Manual of Craftsmanship , by William Archer   Dramatic Technique , by George Pierce Baker   Theory and Technique of Playwriting , by John Howard Lawson   Writing Drama by Yves Lavandier              Narrative     Character     Antagonist   Antihero   Archenemy   Character arc   Characterization   Deuteragonist   False protagonist   Focal character   Foil   Protagonist   Stock character   Supporting character   Tritagonist   Narrator   Tragic hero       Plot     Action   Backstory   Cliché   Climax   Cliffhanger   Conflict   Deus ex machina   Dialogue   Dramatic structure   Exposition   Eucatastrophe   Foreshadowing   Flashback   Flashforward   Frame story   In medias res   Pace   Plot device   Plot twist   Poetic justice   Reveal   Self - fulfilling prophecy   Subplot   Trope   Kishōtenketsu       Setting     Backstory   Utopia   Dystopia   Alternate history   Fictional location   city   country   universe         Theme     Leitmotif   Metaphor   Moral   Motif   Irony       Style     Allegory   Bathos   Diction   Figure of speech   Imagery   Narrative techniques   Narration   Stylistic device   Suspension of disbelief   Symbolism   Tone   Mode   Mood       Structure     Linear narrative   Nonlinear narrative   films   television series     Types of fiction with multiple endings       Form     Comics   Epic   Fable   Fabliau   Fairy tale   Folktale   Flash fiction   Legend   Novella   Novel   Parable   Play   Poem   Screenplay   Short story       Genre     Action fiction   Adventure   Comic   Crime   Docufiction   Epistolary   Erotic   Fiction   Fantasy   Gothic   Historical   Horror   Magic realism   Mystery   Nautical   Paranoid   Philosophical   Picaresque   Political   Psychological   Romance   Saga   Satire   Science   Speculative   Superhero   Thriller   Urban   Western   List of writing genres       Narration     First - person   Multiple narrators   Stream of consciousness   Stream of unconsciousness   Unreliable       Tense     Past   Present   Future       Related     Audience   Author   Creative nonfiction   Fiction writing   Literary theory   Literary science   Narratology   Monomyth   Rhetoric   Screenwriting   Storytelling   Tellability       Literature portal               Appropriation in the arts     By field      Music     Appropriation   Bootleg recording   Contrafact   List     Contrafactum   Cover version   Interpolation   List of musical medleys   Music mashup   Music plagiarism   Musical quotation   Parody music   Pasticcio   Plunderphonics   Potpourri   DJ mix   Quodlibet   Remix   Sampling   Sound collage   Trope   Variation       Literature / theatre     Assemblage   Cut - up technique   Joke theft   Trope   Found poetry   Flarf poetry   Verbatim theatre       Painting / comics / photography     Collage   Swipe   Comic strip switcheroo   Photographic mosaic   Combine painting      By source material     Mona Lisa   Michelangelo 's David   Michelangelo 's Pietà          Cinema / television / video     Video mashup   Re-cut trailer   TV format   Found footage   Remake   Parody film   Collage film          General concepts      Intertextual figures     Allusion   Calque   Plagiarism   Pastiche   Parody   Quotation   Translation       Adaptation     Drama   Film   Literary   Theatre       Other concepts     Assemblage ( art )   Bricolage   Citation   Derivative work   Détournement   Found object   Homage   Imitation in art   Mashup   Reprise   Source criticism in the arts          Related artistic concepts     Originality   Artistic inspiration   Afflatus   Genius ( literature )   Genre   Genre studies   Parody advertisement   In - joke   Tribute act   Fan fiction   Simulacrum   Archetypal literary criticism   Readymades of Marcel Duchamp   Anti-art   Pop art   Aesthetic interpretation   Western canon       Standard blocks and forms     Jazz standard   Stock character   Plot device   Dramatic structure   Formula fiction   Monomyth   Archetype       Epoch - marking works     L.H.O.O.Q. ( 1919 )   `` Pierre Menard , Author of the Quixote '' ( 1939 )   Reality Hunger : A Manifesto ( 2010 )       Theorization     Mimesis   Dionysian imitatio   De Copia Rerum   Romantic movement   Russian formalism   Modernist movement   Postmodern movement   Palimpsests : Literature in the Second Degree       Related non-artistic concepts     Cultural appropriation   Appropriation in sociology   Articulation in sociology   Trope ( literature )   Academic dishonesty   Authorship   Genius   Intellectual property   Recontextualisation      Retrieved from `` https://en.wikipedia.org/w/index.php?title=Dramatic_structure&amp;oldid=830420136 '' Categories :   Fiction   Plot ( narrative )   Narratology   Hidden categories :   Webarchive template wayback links   CS1 German - language sources ( de )   All articles with dead external links   Articles with dead external links from December 2016   Articles with permanently dead external links   Articles lacking in - text citations from April 2017   All articles lacking in - text citations   All articles with unsourced statements   Articles with unsourced statements from September 2014   Articles with unsourced statements from November 2016           Talk                                           Contents                   About Wikipedia                                             Dansk   </t>
    </r>
    <r>
      <rPr>
        <sz val="11"/>
        <color rgb="FF000000"/>
        <rFont val="Noto Sans CJK SC"/>
        <family val="2"/>
      </rPr>
      <t xml:space="preserve">한국어   </t>
    </r>
    <r>
      <rPr>
        <sz val="11"/>
        <color rgb="FF000000"/>
        <rFont val="Calibri"/>
        <family val="0"/>
        <charset val="1"/>
      </rPr>
      <t xml:space="preserve">Norsk   Polski   Svenska   Türkçe   ייִדיש   Edit links   This page was last edited on 14 March 2018 , at 18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</si>
  <si>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rising action in a short story</t>
  </si>
  <si>
    <t xml:space="preserve"> In the rising action , a series of events build toward the point of greatest interest . The rising action of a story is the series of events that begin immediately after the exposition ( introduction ) of the story and builds up to the climax . These events are generally the most important parts of the story since the entire plot depends on them to set up the climax and ultimately the satisfactory resolution of the story itself . </t>
  </si>
  <si>
    <r>
      <rPr>
        <sz val="11"/>
        <color rgb="FF000000"/>
        <rFont val="Calibri"/>
        <family val="0"/>
        <charset val="1"/>
      </rPr>
      <t xml:space="preserve">Flag of the United States - wikipedia  Flag of the United States  Jump to : navigation , search `` American Flag '' redirects here . For other uses , see American Flag ( disambiguation ) .  United States of America           Names   The American flag , The Stars and Stripes ; Red , White and Blue ; Old Glory ; The Star - Spangled Banner     Use   National flag and ensign     Proportion   10 : 19     Adopted   June 14 , 1777 ( original 13 - star version ) July 4 , 1960 ( current 50 - star version )     Design   Thirteen horizontal stripes alternating red and white ; in the canton , 50 white stars of alternating numbers of six and five per horizontal row on a blue field         The flag of the United States of America , often referred to as the American flag , is the national flag of the United States . It consists of thirteen equal horizontal stripes of red ( top and bottom ) alternating with white , with a blue rectangle in the canton ( referred to specifically as the `` union '' ) bearing fifty small , white , five - pointed stars arranged in nine offset horizontal rows , where rows of six stars ( top and bottom ) alternate with rows of five stars . The 50 stars on the flag represent the 50 states of the United States of America , and the 13 stripes represent the thirteen British colonies that declared independence from the Kingdom of Great Britain , and became the first states in the U.S. Nicknames for the flag include The Stars and Stripes , Old Glory , and The Star - Spangled Banner .     Contents  ( hide )   1 History   1.1 First flag   1.2 The Flag Resolution of 1777   1.3 Designer of the first stars and stripes   1.4 Later flag acts   1.5 The `` Flower Flag '' arrives in Asia   1.6 Historical progression of designs     2 Future of the flag   3 Symbolism   4 Design   4.1 Creation   4.2 Specifications   4.3 Colors   4.4 The 49 - and 50 - star unions   4.5 Decoration     5 Display and use   5.1 Flag etiquette   5.2 Display on vehicles   5.3 Display on uniforms   5.4 Postage stamps   5.5 Display in museums   5.6 Places of continuous display   5.7 Particular days for display   5.8 Display at half - staff     6 Folding for storage   7 Use in funerals   8 Related flags   8.1 Gallery of related flags     9 See also   9.1 Article sections   9.2 Associated people     10 References   10.1 Bibliography     11 Further reading   12 External links      History  See also : Timeline of the flag of the United States  The current design of the U.S. flag is its 27th ; the design of the flag has been modified officially 26 times since 1777 . The 48 - star flag was in effect for 47 years until the 49 - star version became official on July 4 , 1959 . The 50 - star flag was ordered by the then president Eisenhower on August 21 , 1959 , and was adopted in July 1960 . It is the longest - used version of the U.S. flag and has been in use for over 57 years .   First flag  Main article : Grand Union Flag    The Continental Colors ( aka the `` Grand Union Flag '' )     Flag of the British East India Company , 1707 -- 1801     At the time of the Declaration of Independence in July 1776 , the Continental Congress would not legally adopt flags with `` stars , white in a blue field '' for another year . The flag contemporaneously known as `` the Continental Colors '' has historically been referred to as the first national flag .   The Continental Navy raised the Colors as the ensign of the fledgling nation in the American War for Independence -- likely with the expedient of transforming their previous British red ensigns by adding white stripes -- and would use this flag until 1777 , when it would form the basis for the subsequent de jure designs .   The name `` Grand Union '' was first applied to the Continental Colors by George Preble in his 1872 history of the American flag .   The flag closely resembles the British East India Company flag of the era , and Sir Charles Fawcett argued in 1937 that the company flag inspired the design . Both flags could have been easily constructed by adding white stripes to a British Red Ensign , one of the three maritime flags used throughout the British Empire at the time . However , an East India Company flag could have from nine to 13 stripes , and was not allowed to be flown outside the Indian Ocean .   In any case , both the stripes ( barry ) and the stars ( mullets ) have precedents in classical heraldry . Mullets were comparatively rare in early modern heraldry , but an example of mullets representing territorial divisions predating the U.S. flag are those in the coat of arms of Valais of 1618 , where seven mullets stood for seven districts .   The flag resolution of 1777   On June 14 , 1777 , the Second Continental Congress passed the Flag Resolution which stated : `` Resolved , That the flag of the thirteen United States be thirteen stripes , alternate red and white ; that the union be thirteen stars , white in a blue field , representing a new constellation . '' Flag Day is now observed on June 14 of each year . While scholars still argue about this , tradition holds that the new flag was first hoisted in June 1777 by the Continental Army at the Middlebrook encampment .   The first official U.S. flag flown during battle was on August 3 , 1777 , at Fort Schuyler ( Fort Stanwix ) during the Siege of Fort Stanwix . Massachusetts reinforcements brought news of the adoption by Congress of the official flag to Fort Schuyler . Soldiers cut up their shirts to make the white stripes ; scarlet material to form the red was secured from red flannel petticoats of officers ' wives , while material for the blue union was secured from Capt . Abraham Swartwout 's blue cloth coat . A voucher is extant that Capt . Swartwout of Dutchess County was paid by Congress for his coat for the flag .  Francis Hopkinson 's flag for the U.S. Navy , featuring 13 six - pointed stars arranged in rows . 13 - star so - called `` Betsy Ross '' variant  The 1777 resolution was most probably meant to define a naval ensign . In the late 18th century , the notion of a national flag did not yet exist , or was only nascent . The flag resolution appears between other resolutions from the Marine Committee . On May 10 , 1779 , Secretary of the Board of War Richard Peters expressed concern `` it is not yet settled what is the Standard of the United States . '' However , the term , `` Standard , '' referred to a national standard for the Army of the United States . Each regiment was to carry the national standard in addition to its regimental standard . The national standard was not a reference to the national or naval flag .   The Flag Resolution did not specify any particular arrangement , number of points , nor orientation for the stars and the arrangement or whether the flag had to have seven red stripes and six white ones or vice versa . The appearance was up to the maker of the flag . Some flag makers arranged the stars into one big star , in a circle or in rows and some replaced a state 's star with its initial . One arrangement features 13 five - pointed stars arranged in a circle , with the stars arranged pointing outwards from the circle ( as opposed to up ) , the so - called Betsy Ross flag . This flag , however , is more likely a flag used for celebrations of anniversaries of the nation 's birthday . Experts have dated the earliest known example of this flag to be 1792 in a painting by John Trumbull .   Despite the 1777 resolution , the early years of American independence featured many different flags . Most were individually crafted rather than mass - produced . While there are many examples of 13 - star arrangements , some of those flags included blue stripes as well as red and white . Benjamin Franklin and John Adams , in a letter dated October 3 , 1778 , to Ferdinand I of the Two Sicilies , described the American flag as consisting of `` 13 stripes , alternately red , white , and blue , a small square in the upper angle , next the flag staff , is a blue field , with 13 white stars , denoting a new Constellation . '' John Paul Jones used a variety of 13 - star flags on his U.S. Navy ships including the well - documented 1779 flags of the Serapis and the Alliance . The Serapis flag had three rows of eight - pointed stars with stripes that were red , white , and blue . The flag for the Alliance , however , had five rows of eight - pointed stars with 13 red and white stripes , and the white stripes were on the outer edges . Both flags were documented by the Dutch government in October 1779 , making them two of the earliest known flags of 13 stars .   Designer of the first stars and stripes   Francis Hopkinson of New Jersey , a naval flag designer , and a signer of the Declaration of Independence , designed the 1777 flag while he was the Chairman of the Continental Navy Board 's Middle Department , sometime between his appointment to that position in November 1776 and the time that the flag resolution was adopted in June 1777 . The Navy Board was under the Continental Marine Committee . Not only did Hopkinson claim that he designed the U.S. flag , but he also claimed that he designed a flag for the U.S. Navy . Hopkinson was the only person to have made such a claim during his own lifetime , when he sent a letter and several bills to Congress for his work . These claims are documented in the Journals of the Continental Congress and George Hasting 's biography of Hopkinson . Hopkinson initially wrote a letter to Congress , via the Continental Board of Admiralty , on May 25 , 1780 . In this letter , he asked for a `` Quarter Cask of the Public Wine '' as payment for designing the U.S. flag , the seal for the Admiralty Board , the seal for the Treasury Board , Continental currency , the Great Seal of the United States , and other devices . However , in three subsequent bills to Congress , Hopkinson asked to be paid in cash , but he did not list his U.S. flag design . Instead , he asked to be paid for designing the `` great Naval Flag of the United States '' in the first bill ; the `` Naval Flag of the United States '' in the second bill ; and `` the Naval Flag of the States '' in the third , along with the other items . The flag references were generic terms for the naval ensign that Hopkinson had designed , that is , a flag of seven red stripes and six white ones . The predominance of red stripes made the naval flag more visible against the sky on a ship at sea . By contrast , Hopkinson 's flag for the United States had seven white stripes , and six red ones -- in reality , six red stripes laid on a white background . Hopkinson 's sketches have not been found , but we can make these conclusions because Hopkinson incorporated different stripe arrangements in the Admiralty ( naval ) Seal that he designed in the Spring of 1780 and the Great Seal of the United States that he proposed at the same time . His Admiralty Seal had seven red stripes ; whereas , his second U.S. Seal proposal had seven white ones . Hopkinson 's flag for the Navy is the one that the Nation preferred as the national flag . Remnants of Hopkinson 's U.S. flag of seven white stripes can be found in the Great Seal of the United States and the President 's seal . When Hopkinson was chairman of the Navy Board , his position was like that of today 's Secretary of the Navy . The payment was not made , however , because it was determined he had already received a salary as a member of Congress . This contradicts the legend of the Betsy Ross flag , which suggests that she sewed the first Stars and Stripes flag by request of the government in the Spring of 1776 . Furthermore , a letter from the War Board to George Washington on May 10 , 1779 , documents that there was still no design established for a national flag for the Army 's use in battle .   The origin of the stars and stripes design has been muddled by a story disseminated by the descendants of Betsy Ross . The apocryphal story credits Betsy Ross for sewing the first flag from a pencil sketch handed to her by George Washington . No evidence for this exists either in the diaries of George Washington nor in the records of the Continental Congress . Indeed , nearly a century passed before Ross ' grandson , William Canby , first publicly suggested the story in 1870 . By her family 's own admission , Ross ran an upholstery business , and she had never made a flag as of the supposed visit in June 1776 . Furthermore , her grandson admitted that his own search through the Journals of Congress and other official records failed to find corroboration of his grandmother 's story .   The family of Rebecca Young claimed that she sewed the first flag . Young 's daughter was Mary Pickersgill , who made the Star Spangled Banner Flag . According to rumor , the Washington family coat of arms , shown in a 15th - century window of Selby Abbey , was the origin of the stars and stripes .   Later flag acts  15 - star , 15 - stripe Star Spangled Banner Flag The 48 - star flag was in use from 1912 to 1959 , the second longest - used U.S. flag . The current U.S. flag is the longest - used flag , having surpassed the 1912 version in 2007 . See also : Flag Acts ( U.S. )  In 1795 , the number of stars and stripes was increased from 13 to 15 ( to reflect the entry of Vermont and Kentucky as states of the Union ) . For a time the flag was not changed when subsequent states were admitted , probably because it was thought that this would cause too much clutter . It was the 15 - star , 15 - stripe flag that inspired Francis Scott Key to write `` Defence of Fort M'Henry '' , later known as `` The Star Spangled Banner '' , which is now the American national anthem . The flag is currently on display in the exhibition , `` The Star - Spangled Banner : The Flag That Inspired the National Anthem '' at the Smithsonian Institution National Museum of American History in a two - story display chamber that protects the flag while it is on view .  Oil painting depicting the 39 historical U.S. flags  On April 4 , 1818 , a plan was passed by Congress at the suggestion of U.S. Naval Captain Samuel C. Reid in which the flag was changed to have 20 stars , with a new star to be added when each new state was admitted , but the number of stripes would be reduced to 13 so as to honor the original colonies . The act specified that new flag designs should become official on the first July 4 ( Independence Day ) following admission of one or more new states . The most recent change , from 49 stars to 50 , occurred in 1960 when the present design was chosen , after Hawaii gained statehood in August 1959 . Before that , the admission of Alaska in January 1959 prompted the debut of a short - lived 49 - star flag .   Prior to the adoption of the 48 - star flag in 1912 , there was no official arrangement of the stars in the canton , although the U.S. Army and U.S. Navy used standardized designs . Throughout the 19th century there was an abundance of different star patterns , rectangular and circular .   On July 4 , 2007 , the 50 - star flag became the version of the flag in longest use , surpassing the 48 - star flag that was used from 1912 to 1959 .   The `` flower flag '' arrives in asia   The U.S. flag was brought to the city of Canton ( Guǎngzhōu ) in China in 1784 by the merchant ship Empress of China , which carried a cargo of ginseng . There it gained the designation `` Flower Flag '' ( Chinese : </t>
    </r>
    <r>
      <rPr>
        <sz val="11"/>
        <color rgb="FF000000"/>
        <rFont val="Noto Sans CJK SC"/>
        <family val="2"/>
      </rPr>
      <t xml:space="preserve">花旗 </t>
    </r>
    <r>
      <rPr>
        <sz val="11"/>
        <color rgb="FF000000"/>
        <rFont val="Calibri"/>
        <family val="0"/>
        <charset val="1"/>
      </rPr>
      <t xml:space="preserve">; pinyin : huāqí ; Cantonese Yale : fākeì ) . According to a pseudonymous account first published in the Boston Courier and later retold by author and U.S. naval officer George H. Preble :   When the thirteen stripes and stars first appeared at Canton , much curiosity was excited among the people . News was circulated that a strange ship had arrived from the further end of the world , bearing a flag `` as beautiful as a flower . '' Every body went to see the kwa kee chuen ( </t>
    </r>
    <r>
      <rPr>
        <sz val="11"/>
        <color rgb="FF000000"/>
        <rFont val="Noto Sans CJK SC"/>
        <family val="2"/>
      </rPr>
      <t xml:space="preserve">花旗 船 </t>
    </r>
    <r>
      <rPr>
        <sz val="11"/>
        <color rgb="FF000000"/>
        <rFont val="Calibri"/>
        <family val="0"/>
        <charset val="1"/>
      </rPr>
      <t xml:space="preserve">; Fākeìsyùhn ) , or `` flower flagship . '' This name at once established itself in the language , and America is now called the kwa kee kwoh ( </t>
    </r>
    <r>
      <rPr>
        <sz val="11"/>
        <color rgb="FF000000"/>
        <rFont val="Noto Sans CJK SC"/>
        <family val="2"/>
      </rPr>
      <t xml:space="preserve">花旗 國 </t>
    </r>
    <r>
      <rPr>
        <sz val="11"/>
        <color rgb="FF000000"/>
        <rFont val="Calibri"/>
        <family val="0"/>
        <charset val="1"/>
      </rPr>
      <t xml:space="preserve">; Fākeìgwok ) , the `` flower flag country '' -- and an American , kwa kee kwoh yin ( </t>
    </r>
    <r>
      <rPr>
        <sz val="11"/>
        <color rgb="FF000000"/>
        <rFont val="Noto Sans CJK SC"/>
        <family val="2"/>
      </rPr>
      <t xml:space="preserve">花旗 國人 </t>
    </r>
    <r>
      <rPr>
        <sz val="11"/>
        <color rgb="FF000000"/>
        <rFont val="Calibri"/>
        <family val="0"/>
        <charset val="1"/>
      </rPr>
      <t xml:space="preserve">; Fākeìgwokyàhn ) -- `` flower flag countryman '' -- a more complimentary designation than that of `` red headed barbarian '' -- the name first bestowed upon the Dutch .   In the above quote , the Chinese words are written phonetically based on spoken Cantonese . The names given were common usage in the nineteenth and early twentieth centuries . Other Asian nations have equivalent terms for America , for example Vietnamese : Hoa Kỳ ( `` Flower Flag '' ) . Chinese now refer to the United States as simplified Chinese : </t>
    </r>
    <r>
      <rPr>
        <sz val="11"/>
        <color rgb="FF000000"/>
        <rFont val="Noto Sans CJK SC"/>
        <family val="2"/>
      </rPr>
      <t xml:space="preserve">美国 </t>
    </r>
    <r>
      <rPr>
        <sz val="11"/>
        <color rgb="FF000000"/>
        <rFont val="Calibri"/>
        <family val="0"/>
        <charset val="1"/>
      </rPr>
      <t xml:space="preserve">; traditional Chinese : </t>
    </r>
    <r>
      <rPr>
        <sz val="11"/>
        <color rgb="FF000000"/>
        <rFont val="Noto Sans CJK SC"/>
        <family val="2"/>
      </rPr>
      <t xml:space="preserve">美國 </t>
    </r>
    <r>
      <rPr>
        <sz val="11"/>
        <color rgb="FF000000"/>
        <rFont val="Calibri"/>
        <family val="0"/>
        <charset val="1"/>
      </rPr>
      <t xml:space="preserve">; pinyin : Měiguó . Měi is short for Měilìjiān ( simplified Chinese : </t>
    </r>
    <r>
      <rPr>
        <sz val="11"/>
        <color rgb="FF000000"/>
        <rFont val="Noto Sans CJK SC"/>
        <family val="2"/>
      </rPr>
      <t xml:space="preserve">美利坚 </t>
    </r>
    <r>
      <rPr>
        <sz val="11"/>
        <color rgb="FF000000"/>
        <rFont val="Calibri"/>
        <family val="0"/>
        <charset val="1"/>
      </rPr>
      <t xml:space="preserve">; traditional Chinese : </t>
    </r>
    <r>
      <rPr>
        <sz val="11"/>
        <color rgb="FF000000"/>
        <rFont val="Noto Sans CJK SC"/>
        <family val="2"/>
      </rPr>
      <t xml:space="preserve">美利堅 </t>
    </r>
    <r>
      <rPr>
        <sz val="11"/>
        <color rgb="FF000000"/>
        <rFont val="Calibri"/>
        <family val="0"/>
        <charset val="1"/>
      </rPr>
      <t xml:space="preserve">, phono - semantic matching of `` American '' ) and `` guó '' means `` country '' , so this name is unrelated to the flag . However , the `` flower flag '' terminology persists in some places today : for example , American Ginseng is called simplified Chinese : </t>
    </r>
    <r>
      <rPr>
        <sz val="11"/>
        <color rgb="FF000000"/>
        <rFont val="Noto Sans CJK SC"/>
        <family val="2"/>
      </rPr>
      <t xml:space="preserve">花旗 参 </t>
    </r>
    <r>
      <rPr>
        <sz val="11"/>
        <color rgb="FF000000"/>
        <rFont val="Calibri"/>
        <family val="0"/>
        <charset val="1"/>
      </rPr>
      <t xml:space="preserve">; traditional Chinese : </t>
    </r>
    <r>
      <rPr>
        <sz val="11"/>
        <color rgb="FF000000"/>
        <rFont val="Noto Sans CJK SC"/>
        <family val="2"/>
      </rPr>
      <t xml:space="preserve">花旗 參 </t>
    </r>
    <r>
      <rPr>
        <sz val="11"/>
        <color rgb="FF000000"/>
        <rFont val="Calibri"/>
        <family val="0"/>
        <charset val="1"/>
      </rPr>
      <t xml:space="preserve">; literally : `` flower flag ginseng '' in Chinese , and Citibank , which opened a branch in China in 1902 , is known as </t>
    </r>
    <r>
      <rPr>
        <sz val="11"/>
        <color rgb="FF000000"/>
        <rFont val="Noto Sans CJK SC"/>
        <family val="2"/>
      </rPr>
      <t xml:space="preserve">花旗 银行 </t>
    </r>
    <r>
      <rPr>
        <sz val="11"/>
        <color rgb="FF000000"/>
        <rFont val="Calibri"/>
        <family val="0"/>
        <charset val="1"/>
      </rPr>
      <t xml:space="preserve">; `` Flower Flag Bank '' .   The U.S. flag took its first trip around the world in 1787 -- 90 on board the Columbia . William Driver , who coined the phrase `` Old Glory '' , took the U.S. flag around the world in 1831 -- 32 . The flag attracted the notice of Japanese when an oversized version was carried to Yokohama by the steamer Great Republic as part of a round - the - world journey in 1871 .   Historical progression of designs  See also : List of U.S. states by date of admission to the Union  In the following table depicting the 28 various designs of the United States flag , the star patterns for the flags are merely the usual patterns , often associated with the United States Navy . Canton designs , prior to the proclamation of the 48 - star flag , had no official arrangement of the stars . Furthermore , the exact colors of the flag were not standardized until 1934 .     Number of stars   Number of stripes   Design ( s )   States represented by new stars   Dates in use   Duration     0   13     Union Jack instead of stars , red and white stripes represent Connecticut , Delaware , Georgia , Maryland , Massachusetts , New Hampshire , New Jersey , New York , North Carolina , Pennsylvania , Rhode Island , South Carolina , Virginia   000000001775 - 12 - 03 - 0000 December 3 , 1775 -- June 14 , 1777   018 ! 1 ⁄ years     13   13     Connecticut , Delaware , Georgia , Maryland , Massachusetts , New Hampshire , New Jersey , New York , North Carolina , Pennsylvania , Rhode Island , South Carolina , Virginia   000000001777 - 06 - 14 - 0000 June 14 , 1777 -- May 1 , 1795   215 ! 18 years     15   15     Vermont , Kentucky   000000001795 - 05 - 01 - 0000 May 1 , 1795 -- July 3 , 1818   278 ! 23 years     20   13     Indiana , Louisiana , Mississippi , Ohio , Tennessee   000000001818 - 07 - 04 - 0000 July 4 , 1818 -- July 3 , 1819   012 ! 1 year     21   13     Illinois   000000001819 - 07 - 04 - 0000 July 4 , 1819 -- July 3 , 1820   012 ! 1 year     23   13     Alabama , Maine   000000001820 - 07 - 04 - 0000 July 4 , 1820 -- July 3 , 1822   024 ! 2 years     24   13     Missouri   000000001822 - 07 - 04 - 0000 July 4 , 1822 -- July 3 , 1836 1831 term `` Old Glory '' coined   168 ! 14 years     25   13     Arkansas   000000001836 - 07 - 04 - 0000 July 4 , 1836 -- July 3 , 1837   012 ! 1 year     26   13     Michigan   000000001837 - 07 - 04 - 0000 July 4 , 1837 -- July 3 , 1845   096 ! 8 years     27   13     Florida   000000001845 - 07 - 04 - 0000 July 4 , 1845 -- July 3 , 1846   012 ! 1 year     28   13     Texas   000000001846 - 07 - 04 - 0000 July 4 , 1846 -- July 3 , 1847   012 ! 1 year     29   13     Iowa   000000001847 - 07 - 04 - 0000 July 4 , 1847 -- July 3 , 1848   012 ! 1 year     30   13     Wisconsin   000000001848 - 07 - 04 - 0000 July 4 , 1848 -- July 3 , 1851   036 ! 3 years     31   13     California   000000001851 - 07 - 04 - 0000 July 4 , 1851 -- July 3 , 1858   084 ! 7 years     32   13     Minnesota   000000001858 - 07 - 04 - 0000 July 4 , 1858 -- July 3 , 1859   012 ! 1 year     33   13     Oregon   000000001859 - 07 - 04 - 0000 July 4 , 1859 -- July 3 , 1861   024 ! 2 years     34   13     Kansas   000000001861 - 07 - 04 - 0000 July 4 , 1861 -- July 3 , 1863   024 ! 2 years     35   13     West Virginia   000000001863 - 07 - 04 - 0000 July 4 , 1863 -- July 3 , 1865   024 ! 2 years     36   13     Nevada   000000001865 - 07 - 04 - 0000 July 4 , 1865 -- July 3 , 1867   024 ! 2 years     37   13     Nebraska   000000001867 - 07 - 04 - 0000 July 4 , 1867 -- July 3 , 1877   120 ! 10 years     38   13     Colorado   000000001877 - 07 - 04 - 0000 July 4 , 1877 -- July 3 , 1890   156 ! 13 years     43   13     Idaho , Montana , North Dakota , South Dakota , Washington   000000001890 - 07 - 04 - 0000 July 4 , 1890 -- July 3 , 1891   012 ! 1 year     44   13     Wyoming   000000001891 - 07 - 04 - 0000 July 4 , 1891 -- July 3 , 1896   060 ! 5 years     45   13     Utah   000000001896 - 07 - 04 - 0000 July 4 , 1896 -- July 3 , 1908   144 ! 12 years     46   13     Oklahoma   000000001908 - 07 - 04 - 0000 July 4 , 1908 -- July 3 , 1912   048 ! 4 years     48   13     Arizona , New Mexico   000000001912 - 07 - 04 - 0000 July 4 , 1912 -- July 3 , 1959   564 ! 47 years     49   13     Alaska   000000001959 - 07 - 04 - 0000 July 4 , 1959 -- July 3 , 1960   012 ! 1 year     50   13     Hawaii   000000001960 - 07 - 04 - 0000 July 4 , 1960 -- present   590 ! 57 years     Future of the flag  See also : 51st state 51 - star flags have been designed and used as a symbol by supporters of statehood in various areas . Above is an example of what a 51 - star flag might look like .  In the November 2012 U.S. election , Puerto Rico voted to become a U.S. state . However , the legitimacy of the result of this election was disputed . On June 11 , 2017 , another referendum was held , this time with the result that 97 % of voters in Puerto Rico voted for statehood . Similarly in November 2016 , a statehood referendum was held in the District of Columbia where 86 % of voters approved the proposal . If a new U.S. state were to be admitted , it would require a new design on the flag to accommodate the additional star .   Symbolism   The modern meaning of the flag was forged in December 1860 , when Major Robert Anderson moved the U.S. garrison from Fort Moultrie to Fort Sumter in Charleston Harbor . Author Adam Goodheart argues this was the opening move of the American Civil War , and the flag was used throughout northern states to symbolize American nationalism and rejection of secessionism .   Before that day , the flag had served mostly as a military ensign or a convenient marking of American territory , flown from forts , embassies , and ships , and displayed on special occasions like American Independence day . But in the weeks after Major Anderson 's surprising stand , it became something different . Suddenly the Stars and Stripes flew -- as it does today , and especially as it did after the September 11 attacks in 2001 -- from houses , from storefronts , from churches ; above the village greens and college quads . For the first time American flags were mass - produced rather than individually stitched and even so , manufacturers could not keep up with demand . As the long winter of 1861 turned into spring , that old flag meant something new . The abstraction of the Union cause was transfigured into a physical thing : strips of cloth that millions of people would fight for , and many thousands die for . -- Adam Goodheart .  American flag being burned in protest on the eve of the 2008 election .  The flag of the United States is one of the nation 's most widely recognized symbols . Within the United States , flags are frequently displayed not only on public buildings but on private residences . The flag is a common motif on decals for car windows , and clothing ornaments such as badges and lapel pins . Throughout the world the flag has been used in public discourse to refer to the United States .   The flag has become a powerful symbol of Americanism , and is flown on many occasions , with giant outdoor flags used by retail outlets to draw customers . Desecration of the flag is considered a public outrage , but remains protected as freedom of speech . Scholars have noted the irony that `` ( t ) he flag is so revered because it represents the land of the free , and that freedom includes the ability to use or abuse that flag in protest '' . In worldwide comparison , Testi noted in 2010 that the United States was not unique in adoring its banner , for the flags of Scandinavian countries are also `` beloved , domesticated , commercialized and sacralized objects '' .   Design   Creation   The man credited with designing the current 50 star American flag was Robert G. Heft . He was 17 years old at the time and created the flag design in 1958 as a high school class project while living with his grandparents in Ohio . He received a B − on the project . According to Heft , his history teacher honored their agreement to change his grade to an A after his design was selected .   Specifications     The basic design of the current flag is specified by 4 U.S.C. § 1 ; 4 U.S.C. § 2 outlines the addition of new stars to represent new states . The specification gives the following values :    Hoist ( height ) of the flag : A = 1.0   Fly ( width ) of the flag : B = 1.9   Hoist ( height ) of the canton ( `` union '' ) : C = 0.5385 ( A × 7 / 13 , spanning seven stripes )   Fly ( width ) of the canton : D = 0.76 ( B × 2 / 5 , two - fifths of the flag width )   E = F = 0.0538 ( C / 10 , One - tenth of the height of the canton )   G = H = 0.0633 ( D / 12 , One twelfth of the width of the canton )   Diameter of star : K = 0.0616 ( L × 4 / 5 , four - fifths of the stripe width , the calculation only gives 0.0616 if L is first rounded to 0.077 )   Width of stripe : L = 0.0769 ( A / 13 , One thirteenth of the flag height )    These specifications are contained in an executive order which , strictly speaking , governs only flags made for or by the U.S. federal government . In practice , most U.S. national flags available for sale to the public have a different width - to - height ratio ; common sizes are 2 × 3 ft. or 4 × 6 ft. ( flag ratio 1.5 ) , 2.5 × 4 ft. or 5 × 8 ft. ( 1.6 ) , or 3 × 5 ft. or 6 × 10 ft. ( 1.667 ) . Even flags flown over the U.S. Capitol for sale to the public through Representatives or Senators are provided in these sizes . Flags that are made to the prescribed 1.9 ratio are often referred to as `` G - spec '' ( for `` government specification '' ) flags .   Colors   The exact red , white , and blue colors to be used in the flag are specified with reference to the CAUS Standard Color Reference of America , 10th edition . Specifically , the colors are `` White '' , `` Old Glory Red '' , and `` Old Glory Blue '' . The CIE coordinates for the colors of the 9th edition of the Standard Color Card were formally specified in JOSA in 1946 . These colors form the standard for cloth , and there is no perfect way to convert them to RGB for display on screen or CMYK for printing . The `` relative '' coordinates in the following table were found by scaling the luminous reflectance relative to the flag 's `` white '' .   Official colors   Name   Absolute   Relative       CIELAB D   Munsell     CIELAB D   sRGB   GRACoL 2006     L *   a *   b *     V / C   L *   a *   b *         8 - bit hex       Y       White     88.7   − 0.2   5.4   2.5 Y   8.8 / 0.7     100.0   0.0   0.0   1.000   1.000   1.000   # FFFFFF   . 000   . 000   . 000   . 000     Old Glory Red     33.9   51.2   24.7   5.5 R   3.3 / 11.1     39.9   57.3   28.7   . 698   . 132   . 203   # B22234   . 196   1.000   . 757   . 118     Old Glory Blue     23.2   13.1   − 26.4   8.2 PB   2.3 / 6.1     26.9   11.5   − 30.3   . 234   . 233   . 430   # 3C3B6E   . 886   . 851   . 243   . 122    A darker version of the flag using the official Pantone specifications  As with the design , the official colors are only officially required for flags produced for the U.S. federal government , and other colors are often used for mass - market flags , printed reproductions , and other products intended to evoke flag colors . The practice of using more saturated colors than the official cloth is not new . As Taylor , Knoche , and Granville wrote in 1950 : `` The color of the official wool bunting ( of the blue field ) is a very dark blue , but printed reproductions of the flag , as well as merchandise supposed to match the flag , present the color as a deep blue much brighter than the official wool . ''   Sometimes , Pantone Matching System ( PMS ) approximations to the flag colors are used . One set was given on the website of the U.S. embassy in London as early as 1998 ; the website of the U.S. embassy in Stockholm claimed in 2001 that those had been suggested by Pantone , and that the U.S. Government Printing Office preferred a different set . A third red was suggested by a California Military Department document in 2002 . In 2001 , the Texas legislature specified that the colors of the Texas flag should be `` ( 1 ) the same colors used in the United States flag ; and ( 2 ) defined as numbers 193 ( red ) and 281 ( dark blue ) of the Pantone Matching System . ''   Pantone approximations   Source   PMS     CIELAB D   sRGB   GRACoL 2006     L *   a *   b *         8 - bit hex       Y         Safe     100.0   0.0   0.0   1.000   1.000   1.000   # FFFFFF   . 000   . 000   . 000   . 000     U.S. Emb. , London   193 C     42.1   64.4   26.7   . 756   . 076   . 238   # C1133D   . 165   1.000   . 678   . 063     281 C     15.4   7.0   − 41.8   . 000   . 149   . 388   # 002663   1.000   . 906   . 388   . 231     U.S. Emb. , Stockholm   186 C     44.1   67.8   37.9   . 800   . 048   . 185   # CC0C2F   . 122   1.000   . 796   . 035     288 C     18.0   7.6   − 50.3   . 000   . 172   . 466   # 002C77   1.000   . 863   . 357   . 141     CA Mil . Dept .   200 C     41.1   64.2   30.8   . 745   . 051   . 203   # BE0D34   . 169   1.000   . 749   . 074    A subdued - color flag patch , similar to style worn on the United States Army 's ACU uniform . The patch is normally worn reversed on the right upper sleeve . See explanation in `` Display on uniforms '' section below .  The 49 - and 50 - star unions  A U.S. flag with gold fringe and a gold eagle on top of the flag pole .  When Alaska and Hawaii were being considered for statehood in the 1950s , more than 1,500 designs were submitted to President Dwight D. Eisenhower . Although some of them were 49 - star versions , the vast majority were 50 - star proposals . At least three of these designs were identical to the present design of the 50 - star flag . At the time , credit was given by the executive department to the United States Army Institute of Heraldry for the design .   Of these proposals , one created by 17 - year - old Robert G. Heft in 1958 as a school project received the most publicity . His mother was a seamstress , but refused to do any of the work for him . He originally received a B -- for the project . After discussing the grade with his teacher , it was agreed ( somewhat jokingly ) that if the flag was accepted by Congress , the grade would be reconsidered . Heft 's flag design was chosen and adopted by presidential proclamation after Alaska and before Hawaii was admitted into the Union in 1959 . According to Heft , his teacher did keep to their agreement and changed his grade to an A for the project . The 49 - and 50 - star flags were each flown for the first time at Fort McHenry on Independence Day , in 1959 and 1960 respectively .   Decoration   Traditionally , the flag may be decorated with golden fringe surrounding the perimeter of the flag as long as it does not deface the flag proper . Ceremonial displays of the flag , such as those in parades or on indoor posts , often use fringe to enhance the appearance of the flag .   The first recorded use of fringe on a flag dates from 1835 , and the Army used it officially in 1895 . No specific law governs the legality of fringe , but a 1925 opinion of the attorney general addresses the use of fringe ( and the number of stars ) `` ... is at the discretion of the Commander in Chief of the Army and Navy ... '' as quoted from footnote in previous volumes of Title 4 of the United States Code law books and is a source for claims that such a flag is a military ensign not civilian . However , according to the Army Institute of H</t>
    </r>
  </si>
  <si>
    <t xml:space="preserve">when did the us flag have 50 stars</t>
  </si>
  <si>
    <t xml:space="preserve"> United States of America           Names   The American flag , The Stars and Stripes ; Red , White and Blue ; Old Glory ; The Star - Spangled Banner     Use   National flag and ensign     Proportion   10 : 19     Adopted   June 14 , 1777 ( original 13 - star version ) July 4 , 1960 ( current 50 - star version )     Design   Thirteen horizontal stripes alternating red and white ; in the canton , 50 white stars of alternating numbers of six and five per horizontal row on a blue field       </t>
  </si>
  <si>
    <t xml:space="preserve">Linda Harrison ( actress ) - wikipedia  Linda Harrison ( actress )  Jump to : navigation , search    Linda Harrison     Harrison ca . 1966 .       Linda Melson Harrison ( 1945 - 07 - 26 ) July 26 , 1945 ( age 72 ) Berlin , Maryland , U.S.     Other names   Augusta Summerland     Occupation   Actress     Years active   1965 -- present     Notable work   Nova ( Planet of the Apes )     Spouse ( s )   Richard D. Zanuck ( m . 1969 ; div. 1978 )     Children   2 ; including Dean Zanuck     Linda Melson Harrison ( born July 26 , 1945 ) is an American television and film actress , and director and producer , who is internationally known for her role as Nova , Charlton Heston 's mute mate in the science fiction film Planet of the Apes ( 1968 ) and the first sequel , Beneath the Planet of the Apes ; she also had a cameo in Tim Burton 's 2001 remake of the original . She was a regular cast member of the 1969 - 70 NBC television series Bracken 's World . She was the second wife of film producer Richard D. Zanuck ( Jaws , Cocoon , Driving Miss Daisy , Charlie and the Chocolate Factory ) ; her youngest son is producer Dean Zanuck ( Road to Perdition , Charlie and the Chocolate Factory ) .     Contents  ( hide )   1 Early life and family   2 Career   2.1 Early roles   2.2 Planet of the Apes   2.3 Beneath the Planet of the Apes   2.4 Bracken 's World and wrongful termination suits   2.5 Films and television : 1974 -- 1988   2.6 Later work : 1990 to 2015     3 Awards   4 Filmography   4.1 Films   4.2 As Executive Producer and Co-Director   4.3 Television     5 Ancestry   6 References   7 External links   8 Further reading      Early life and family ( edit )   Linda Melson Harrison was born in Berlin , Maryland . She was the third of five daughters of Isaac Burbage Harrison ( 1907 -- 1989 ) , a nurseryman , and his wife , Ida Virginia Melson ( 1914 -- 2010 ) , a beautician . She was the middle child , with two older sisters , Kay and Gloria , and two younger sisters , Jane and Joan . The Harrisons , like Linda 's maternal Melson ancestors , had a long history in the Delmarva region . According to Ancestry.com , the Melson family were mid-17th century immigrants to Maryland from Melsonby St James in North Yorkshire . The Anglo - Welsh Harrisons had been resident for generations in West Kirby , Cheshire , when one Richard Harrison ( 1593 -- 1653 ) , son of another Richard Harrison ( 1559 -- 1617 ) , emigrated in the early 17th century from West Kirby to the New Haven Colony in what is now Connecticut , thence to Maryland . Richard 's direct descendant , Harrison 's paternal grandfather , Joseph G. Harrison , and Joseph 's older brother , Orlando Harrison ( Mayor of Berlin 1900 -- 1910 and 1916 -- 1918 and senator from Maryland ) , established J.G. Harrison &amp; Sons Nurseries , which were , at one time , the largest fruit tree nursery business in America , employing some five hundred workers . The Harrison Lab at the University of Maryland , College Park campus , which Harrison attended briefly , was named for her paternal great - uncle , Senator Orlando Harrison .   `` I knew she 'd be a star when she was only five , '' Ida Harrison told an interviewer in 1969 . Mrs Harrison , who described her middle daughter as `` a little ham '' , enrolled her in ballet and acrobatics classes at age five . By age six , Harrison was performing on stage , and liking it . She attended Berlin 's Buckingham Elementary School , which her mother and all her sisters attended . In 1956 , when she was eleven , Harrison 's acrobatic performance earned her first prize in the Delmarva Chicken Festival Talent Contest . Six years later , at the same festival , Harrison won the `` Miss Delmarva '' beauty contest . By the time she entered Berlin 's Stephen Decatur High School , Harrison had become a skilled acrobatic dancer . Harrison also dreamed of becoming an actress and a star .   It was Harrison 's plan to become an actress by entering and winning beauty contests , then travel to California to be seen and noticed . When she was in her teens , Harrison worked summers as a waitress at Phillips Crab House in Ocean City , Maryland ; she was dating the son of the restaurant 's owners when she flew to California for the Miss American beauty contest . From time to time , she appeared as a narrator on local TV programs carried over Baltimore TV station WMAR . Harrison essayed her first dramatic role while attending Stephen Decatur High School , that of `` Connie Fuller '' in the senior class production of the 1940 Kaufman / Hart play George Washington Slept Here . On Saturday , May 19 , 1962 , William Hockersmith crowned her Miss Berlin at the Miss Berlin Beauty Pageant , which was held at the high school . A month later , Harrison represented her home town at the Delmarva Chicken Festival beauty contest .   After graduating from high school , Harrison enrolled for a summer term at the University of Maryland , College Park , and a secretarial school in Baltimore , but found it uninspiring . When her oldest sister , Kay , graduated from college and headed for New York , Harrison went with her , with $250 and their mother 's credit card . Several years later , Harrison would lament her `` admittedly deficient formal education '' to an interviewer , saying that she `` missed a great deal because I did n't finish school . ''   In New York , Kay and Linda shared an apartment and their mother Ida 's credit card . Harrison scored some success as a model , but she disliked New York and was homesick for Maryland . Less than a year later , she returned home ; following her plan to become an actress by winning beauty contests , she entered the 1964 Miss Delmarva beauty pageant as Miss Berlin , and won . Harrison followed her 1964 win by entering the Miss Maryland beauty pageant , a preliminary event to the Miss American pageant , itself the final preliminary event to the Miss International contest , which would be held in Long Beach , California , in mid-June 1965 . Harrison won the contest over nineteen other girls ; that June , as Miss Maryland , she flew to California for the Miss American contest . She thought the trip would last for two weeks ; bidding farewell to her boyfriend , she schedule her return home in two weeks , after she was crowned Miss American . But she was first - runner up , not the winner . Harrison was `` devastated '' , and so deeply disappointed over losing that she wept backstage .   Her striking good looks and hourglass figure , however , had gained the notice of Mike Medavoy , then an agent at the General Artist Corporation . `` You ought to be in pictures , '' Medavoy told her . In August 1965 , Medavoy obtained a `` personality test '' for her at 20th Century Fox . No acting was involved ; Harrison answered questions directed to her from off - camera , while speaking into the camera on various subjects . The test earned her Fox 's standard 60 - day option agreement , scheduled to expire in November 1965 . During her 60 - day option period , Harrison studied with Fox acting coach , Pamela Danova .   In October 1965 , prior to the expiry of her option , Fox assigned Harrison as the date of studio attorney Harry E. Sokolov for the premiere of The Agony and the Ecstasy . She was selected as Sokolov 's date because `` Harry was from Baltimore . '' Sokolov was also chief executive assistant to Fox 's Vice President in Charge of Production , Richard D. Zanuck . Harrison was excited , because it was her first premiere , and because the film co-starred Charlton Heston , who had been her idol since she had seen Ben - Hur . At the post-premiere party , which she attended with her studio - assigned date , Harrison was thrilled to meet her longtime idol , Heston , with whom she would soon co-star in Planet of the Apes . At the premiere , Harrison met Zanuck , who was Sokolov 's boss . Zanuck , Harrison said later , was immediately `` smitten '' and fell `` madly in love '' with her , and she with him . `` That was during the 60 - day period that I started dating Richard , and then I was signed to a seven - year contract . '' Harrison 's acting career , as well as her life , became inextricably intertwined with their subsequent relationship .   Career ( edit )   Early roles ( edit )   After meeting Zanuck at The Agony and the Ecstasy premiere , Harrison signed Fox 's standard seven - year contract in November and was placed in the studio 's `` Talent Training School '' . Although Harrison told interviewers that Zanuck had created the school so `` he could keep an eye on me , '' the school was actually a former Fox institution which Zanuck had revived to train aspiring talented young actors and actresses under contract to Fox ; besides Harrison , the student roster included Jacqueline Bisset , James Brolin , Tom Selleck and Edy Williams . Under coaches Pamela Danova and Curt Conway , Harrison attended drama classes , speech classes , fencing classes , dance and body movement classes , and lectures by veteran actors , actresses , directors , writers , publicity agents , and teachers . In addition to her strenuous round of classes , Harrison worked with a speech coach to eradicate her Eastern Maryland accent .   Harrison 's first assignment under her new Fox contract was as a `` Biker Chick '' in Men Against Evil , a TV pilot which became the TV series Felony Squad . `` I had three words , `` Go , man , go ! '' I was all of 20 , and dressed in this really racy motorcycle outfit . Those were my first words ! This was still the era of stardom and premieres . When you were put under a studio contract , every minute of your life was so exciting , because you were doing something so unique and special . '' ( Three years later , Harrison co-starred as Felony Squad star Dennis Cole 's love interest in the NBC TV series Bracken 's World . ) Harrison 's next assignment was in the campy Batman TV series ; she appeared briefly as one of three high school cheerleaders in the Batman episodes `` The Joker Goes to School '' and `` He Meets His Match , The Grisly Ghoul '' , which aired in early March 1966 . To prepare Harrison for her few seconds onscreen , her Fox dance coach worked Harrison and her fellow cheerleaders early in the morning and on through the day . Linda , a former high school cheerleader , complained , `` You 're going to use up all my energy , so when the shot comes , I wo n't have any . '' Her coach complained that `` Linda Harrison gave me a hard time . '' After the brief late afternoon shot , Harrison 's overworked leg muscles failed on her way home , and Richard D. Zanuck had to carry her upstairs to their Wilshire - Westwood apartment .   `` All during this period , Dick was telling me about this fabulous book called Planet of the Apes and that it was going to make a great movie . He said , `` I want you to play the ape , Dr. Zira . ''   On March 8 , 1966 , immediately after her brief appearance on Batman , Harrison was filmed in ape makeup for a proposed film version of Pierre Boulle 's satirical novel , Monkey Planet , later released as Planet of the Apes . Zanuck had financed the test in order to show Fox 's money men that , despite all doubts to the contrary , the Planet of the Apes project was feasible . The test , written by Rod Serling and directed by Franklin J. Schaffner , starred Harrison 's idol , Charlton Heston , and Edward G. Robinson as Heston 's nemesis , Dr Zaius . Harrison appeared as Zira , the role ultimately played by Kim Hunter , while Harrison 's Talent School classmate fellow contract actor , James Brolin , took on Roddy McDowall 's role of Cornelius .   `` I think they always had me in mind for Nova . But they needed someone to do the screen test , and you keep trying to employ your actors . So . I did the screen test . The part that was hard for me was actually doing the mask , where they put all that plaster on your face and you have to lie there still for a long time . Fortunately , I was an acrobat growing up , and a very very good one -- I won a lot of contests -- so I knew how to control my body and be ' quiet . ' You had to do that , you had to be very still and lay there and be a ' good patient . ' A young actor will do anything to get their mug on the screen ! I remember that the makeup process took about three hours . I had to lay back and be perfectly still as they put this plaster mold on my face . After seeing the test , everyone was very enthusiastic about going ahead with making Planet of the Apes . But they felt the makeup needed a little more work and perfecting before it would look good on screen . ''   Though the ape make - up test was considered successful , the studio rejected the project again . Meanwhile , in May 1966 , Harrison made her big screen debut as one of several `` Treasure Hunters '' in The Fat Spy . The low - budget comedy might have been forgotten had it not been mentioned in a 2004 documentary as one of The 50 Worst Movies Ever Made . Harrison 's next big screen outing was in the Jerry Lewis comedy Way ... Way Out ; she played half of a husband - wife astronaut team on the verge of divorce . She appeared early in the film , arguing furiously , in her still - uneradicated Down Eastern accent , with her onscreen husband and off - screen Talent School classmate , James Brolin , with whom she had appeared in the Planet of the Apes makeup test . Harrison then stormed out , and the film continued without her .  With Carl Reiner , A Guide for the Married Man  After Way ... Way Out , Harrison appeared in a four - minute test segment entitled Who 's Afraid of Diana Prince ? , created by Batman producer William Dozier , which was supposed to engender interest in a Wonder Woman pilot and an eventual TV series . Harrison played a glamorous mirror image of Wonder Woman , which existed only in the imagination of the homely Diana Prince character , played by Ellie Wood Walker ( Robert Walker Jr. 's wife ) . The Who 's Afraid of Diana Prince ? segment failed to engender any interest in a Wonder Woman pilot , although Lynda Carter had great success in the role eight years later . Harrison next appeared as Carl Reiner 's blonde - wigged young inamorata `` Miss Stardust '' in A Guide for the Married Man ( 1967 ) , a bedroom comedy about marital infidelity directed by Gene Kelly and starring Walter Matthau , Robert Morse and Inger Stevens . Harrison described her vignette with Carl Reiner as `` fun '' because it took her `` all over the world . I was in limousines and on a donkey and on a camel . '' In addition to speaking one line of dialogue , she wore several costumes for her five - minute globe - trotting adventure , including an elaborate sequinned bikini , a diaphanous negligee , and a fiery red sarong .   Planet of the Apes ( edit )   Although Linda Harrison would later say that the producers had always had her in mind for the role of Nova , their first choices for the role were , in fact , famed Bond girl Ursula Andress , Raquel Welch or Angelique Pettyjohn , the drill - thrall from the original Star Trek episode The Gamesters of Triskelion . However , Andress proved indifferent , and both Welch and Pettyjohn were unavailable or uninterested . Filming was to commence in May 1967 , but as late as April 17 Charlton Heston noted in his diary , `` The casting problem 's really Nova : who will do it , and how naked can she be . The tests I saw were not good . '' Zanuck asked producers Arthur P. Jacobs and Mort Abrahams if they would test Harrison . `` ( Dick ) did it very nicely , '' Abrahams said .   `` He said , ' I 'd like you to consider Linda . ' Linda was in the acting school that was on the lot at that point and about four or five times a year the students did little scenes live on a soundstage and the producers and directors on the lot were invited to attend . So I 'd seen her act and I said to Dick , ' We will be glad to meet with Linda , ' and ( director ) Frank ( lin Schaffner ) and I would chat with her and talk about the part but that she would be treated like an actress , not as an affiliation with anybody else . And he said , ' That 's the way it has to be . ' And we did and we thought she was fine . ''   In the 1998 AMC documentary Behind the Planet of the Apes , Harrison said of her role as Nova , `` I thought about animal instincts , the way ( Nova ) would move and the way she would react would be more the way an animal would react , more from fear . It seemed to be what the director wanted . '' After her test , Harrison was hired to play the role for which she would later be known . Harrison , Mort Abrahams said , was   `` delighted to get it , because she 'd only done little tiny bit parts in a couple of pictures before that . I was pleasantly surprised by her . She called me one day and asked if she could bring her sister along with her onto location . I said , ' Sure , of course , no problem . ' And I was delighted because she was going out with the head of the studio . She could have been the biggest pain in the ass alive . And I would be in a terribly awkward position if she started with the limousines and the special means and whatever the hell it is -- or complaining about whatever . But never a peep out of her . Most pleasant , most charming , very cooperative , very hard - working . She was always there half an hour before her call and she always stayed on for a half hour just in case . Interested in everything that went on , and was a total joy . I could n't ask for a more cooperative actor . ''   Planet of the Apes commenced filming on May 21 , 1967 and ended August 10 , 1967 . The first scenes were shot on locations near Page , Arizona . Horseshoe Bend on the Colorado River stood in for the Forbidden Zone , through which Taylor , Zira , Cornelius , and Harrison 's Nova fled after escaping from Ape City . Harrison , who had the company of her oldest sister Kay on location with her , found working in the desert `` beautiful '' , and marveled `` how they move an entire production , like a little mini-town , and set up . ''   `` I do n't know if people viewed me differently because I was Richard Zanuck 's girlfriend . I was so delighted and grateful to be in this picture that I probably never saw the negative side as much . I just did n't . I remember one piece of advice Dick gave me : He said , ' You go to work on time and listen to your director and do your job . And I do n't want to hear any complaints about you ! ' I had to be even more careful and nice because I was his girlfriend . ''  Heston and Harrison in Planet of the Apes  Charlton Heston noted in his diary on June 16 , 1967 that `` Linda H. has problems , but Frank 's keeping her nearly immobile in her scenes , which works . '' Harrison noted that as Heston knew it was her `` first big picture '' , he took it upon himself to coach her . Harrison was admittedly still `` camera - shy '' , so Heston `` taught me to favour the camera . Do n't look right into it . Look off to the side , do n't look too far , you know , not to turn my head this way . And he would say turn it just here . Do n't go all the way back . And he held my hand for a lot of things . '' Their off - screen relationship , Harrison said , tended to reflect their on - screen relationship . Heston   `` had a quiet quality about him and was very courteous with me . He encouraged me to favor the camera . I was a newcomer in many ways -- which may have helped my character . I 'm sure Heston had his doubts about me ; however , he never showed them . He treated me more like a child than an adult and not much was discussed between us , in character or out . When you idolize someone like I did , you tend to submit rather than assert yourself . Again , this worked in our roles and the relationship between us , as Taylor and Nova . Heston was terrific to work with and so helpful and such a gentleman . ''   As the `` rookie '' on the set , Harrison credited the help she received from the veteran actors : `` Everybody that was involved in it , they all realized I was a neophyte , I was like 21 years old so they kind of took me under their wing , since I had n't done acting that much . ''   Kim Hunter recalled working with Harrison on the Planet of the Apes set :   `` She was a lovely girl and so pretty , such a lovely figure and consumed with the work . I also remember her in relation to the Valium I used to take to relax because of the makeup . She asked what my strength was . It was five milligrams , or whatever , and she said , ' Oh , my God , that little ? I never go to sleep without ten at least . ' I do remember that conversation . ''   At one point , it was decided that Nova was pregnant , and scenes were filmed around the Page locations revealing Nova 's pregnancy . In the penultimate drafts of Planet of the Apes , Taylor was killed by the bullet of an ape sniper while Nova , pregnant with Taylor 's child , escaped and vanished into the Forbidden Zone . Although Harrison believed it was Heston who rejected the idea of Nova 's pregnancy , those scenes were deleted , according to screenwriter Michael Wilson , `` at the insistence of a high - echelon Fox executive who found it distasteful . Why ? I suppose that , if one defines the mute Nova as merely `` humanoid '' and not actually human , it would mean that Taylor had committed sodomy . '' It was also decided that Nova 's pregnancy would detract from the film 's ending . In any case , all Harrison 's scenes with Heston and Hunter in the sequence of Nova 's pregnancy were cut . `` There 's probably a great deal of footage of it somewhere . ''   After filming in the desert concluded , production moved to Malibu Creek State Park , northwest of Los Angeles , on Las Virgenes Road off Mulholland Highway , where the 20th Century Fox 's Malibu Ranch was located . Ape City was built on the ranch , and a field of corn grown , by which Heston first encounters Harrison . `` It was stinking hot , '' Harrison recalled . `` The scenes of us in cages were also shot at Ape City . '' From the Malibu Ranch , production moved to the coast , where the penultimate scenes were shot between Malibu and Oxnard . The final scenes were filmed in a secluded cove between Zuma Beach and Point Dume on the far eastern end of Westward Beach . Harrison 's Nova was the sole human witness to Taylor 's outburst on the beach , after which she looks up and , in the film 's iconic ending , sees the ruined Statue of Liberty , without comprehending why it has caused her mate 's grief .   Harrison 's favourite scenes were shot at the coast . She `` thought that was kind of neat . And then jumping on his horse and riding with him and he turned around and I smiled . And we were going off to wherever -- was out there . And that would have been a great way to start -- well , they sort of started the next one that way . ''   In later years , Harrison said she was conscious of the film 's socio - political undertones :   `` We were the flower children . We were the baby boomers . We were at war . We were changing and making transitions . What was seeping through people 's consciousness in that era was a fear of Russia and a fear of the bomb ... It revealed what a lot of us were feeling but could n't talk about , and that was the race issue . ''   Planet of the Apes premiered in February 1968 . The film was a hit upon its release , as well as a critical and commercial success . In the opening credits , Harrison was billed under the tag `` introducing Linda Harrison '' ; although she had appeared in three previous films . Zanuck wanted to draw attention to Harrison because he felt the role would catapult her to stardom . Harrison impressed audiences with her hourglass figure , long dark hair , and large brown eyes , which , in the absence of spoken dialogue , did most of her acting , though some critics were unimpressed . Renata Adler of the New York Times dismissed Harrison as `` Heston 's Neanderthal flower girl . She wiggles her hips when she wants to say something . '' The success of Planet of the Apes spawned four sequels , an animated cartoon series , a live - action TV series , a remake by Tim Burton , and a reboot that spawned three films . Heston and Harrison appeared in the first sequel , Beneath the Planet of the Apes . Three decades later , Harrison had a brief cameo in the 2001 reboot , which also featured Heston .   On August 27 , 1998 , the Academy of Motion Picture Arts and Sciences presented a 30th anniversary screening of Planet of the Apes . Harrison attended , along with Charlton Heston , Kim Hunter , Roddy McDowell and John Chambers . The 1968 Planet of the Apes was an inductee of the 2001 National Film Registry list .   Beneath the Planet of the Apes ( edit )   Linda Harrison 's second outing in her most famous role was in the first sequel to Planet of the Apes . `` It was n't as good as the first . '' The first film , Harrison said , `` had a top director and cinematographer . You could n't beat Franklin J. Schaffner . In the second film we made it for less . ''  Taylor ( Charlton Heston ) cradles the dying Nova ( Harrison ) in Beneath the Planet of the Apes Harrison with James Franciscus in Beneath the Planet of the Apes , 1970 Harrison 's `` Nova '' costume in the first two `` Apes '' films -- Debbie Reynolds Auction , June 2011  No sequels had been contemplated at the time of the production of Planet of the Apes ; it was only during that film 's success that a sequel was discussed . Neither Charlton Heston nor Kim Hunter wanted to do another Apes film ; Roddy McDowall pleaded another commitment ; and Harrison herself was ambivalent . She was engaged to her mentor , Richard Zanuck and `` no longer totally concerned with being an actress . I do n't even want to do another picture . But since this is a sequel to the one I did last year , I felt obligated . `` Ted Post was a wonderful television director , '' Harrison said , `` fabulous to work with , an actor 's dream . I could get away with murder with him .   Although her role as Nova was expanded , the sequel was a disappointing rush to production to capitalize on the original . Harrison 's character eked out one word before she was shot to death , but nothing fresh was added. The budget was half that of Planet of the Apes . Director Ted Post said , `` It moved basically as an entertainment piece , nothing more . '' Post wanted the script rewritten . `` I was very unhappy with the script , and I thought the script was far from what it should have been . The story was unclear , and did n't measure up . '' On his first reading of the script for Beneath the Planet of the Apes , star James Franciscus phoned Charlton Heston . `` Jesus Christ , Chuck , '' he said , `` have you read this piece of crap ? ''   Post knew Harrison 's role was difficult to do anything with .   `` Linda was a wonderfully cooperative young lady that needed direction . Had no technique and no real acting experience . She was engaged to marry Dick Zanuck . So in Planet of the Apes they put her in with Frank Schaffner , then in mine , they underwrote her . They had nothing for her to do in this one , except just be part of the sequel . In other words , she was so badly conceived in the writing that I had to conceive actions for her to make her belong to the piece . And the big action which I gave her -- and I think she came off beautifully with it -- was to try to understand what these people were trying to communicate to her . And struggling to understand and feeling sympathetic vibrations coming from these people . So I gave her something which was not in the script to play and she played that , I think , very simpatico , very beautifully . ''   Harrison 's co-star , James Franciscus , remembered her fondly :   `` Linda was a joy to work with . I remember we were doing a tracking shot , a camera car on tracks running about one hundred yards down this field . Linda and I were on this horse with no saddle , no reins , just the mane . If anybody fell , that camera truck is there to roll under . It was a very dodgey scene . You 're galloping through gopher holes , etc . And they got the mares down at the far end . The stallion getting ready to go is smelling the mares and he 's running like a bat out of hell and Linda 's behind me saying , ' I 'm very nervous about this horse . ' And I said , ' Join the club . Just hang on and if you feel you ca n't do it , just do n't do it . It 's risky . There 's no question about it , it 's not a safe shot . What a horse is going to do , no one can tell . ' But she was courageous , foolhardy or not , maybe me , too . She went ahead and we did it . I recall afterwards Loren Janes , my stunt man , came up and said , ' You 're crazy . I would n't have done that . It 's too dangerous . ' And he 's probably right . I thought it was very foolish to have done it . Anyway , Linda was a gutsy little gal and she did it . So she was very pleasant to work with and very nice . ''   Harrison recalled `` having a lot of fun on the second Apes film '' :   `` It was Ted Post and it was more relaxed . I remember running down this hill and getting up so much speed that one of these fabulous makeup men -- big guy , burly chest -- had to step in and stop me . Otherwise , I would have tumbled , God knows where . It was a very arduous picture , physically , with those horses and everything , but we just got in there and did our jobs . ''   Bracken 's World and wrongful termination suits ( edit )  Dennis Cole as Davy Evans and Linda Harrison as Paulette Douglas in Bracken 's World , October 1969  While filming Beneath the Planet of the Apes , Harrison was cast as one of a trio of starlets in the Fox - produced NBC TV series Bracken 's World . It was , she said , `` a series Dick for a long time had wanted to do . So I got that part and I had to finish Beneath and go right into the pilot ... '' She played Paulette Douglas , a naive young woman and aspiring actress , who tried to balance studio pressures with her romance with a studio stuntman ( Harrison 's Felony Squad co-star Dennis Cole ) . The series also starred Emmy Award - winning actress Jeanne Cooper as Douglas 's pushy mother . Harrison began filming the day after she finished her work on Beneath the Planet of the Apes . `` And I had to start remembering lines ! Silence may be golden , '' she told an interviewer in October 1969 , `` but no one knows how happy I am to be off the gold standard . ''   Harrison was noted as `` one of the most refreshing young faces to light up TV screens this new season . '' Fox publicists issued press releases glossing over Harrison 's deficient education and claiming for her a passion for Shakespeare , Voltaire , and Aristotle which she never possessed . Midway through its second season , Bracken 's World was cancelled . Harrison said later that the studio wanted recognizable stars every week , instead of allowing the regular cast to grow as an ensemble , as was the case with shows such as Star Trek . `` Had they done it like a continuing drama and focused on the regular characters , it would have lasted longer , '' she said . `` NBC , however , wanted a one - hour contained show , so they would stock each episode with a big guest star . After a while , you run out of story . ''   After Bracken 's World was cancelled , Harrison was caught in the 20th Century - Fox proxy shareholder war beginning December 1970 between majority shareholders Darryl Zanuck , head of Fox , his estranged wife Virginia Fox , and their son : respectively , Harrison 's father - in - law , mother - in - law , and husband . In the course of the struggle , then - studio chief Darryl Zanuck fired his son . Harrison 's contract was abruptly terminated in January 1971 . The reason given was that her presence might prove `` embarrassing '' to the studio . Harrison later sued for wrongful termination , breach of contract , alleged defamation , and infliction of emotional distress . Harrison was named in the $22 million lawsuit her husband filed November 1 , 1971 , against his father , Darryl Zanuck , then 68 , 20th Century Fox Film Corporation , Fox Chairman and CEO Dennis C. Stanfill , and Fox Executive Committee chairman William T. Gossett . In his suit Zanuck contended that he , Harrison , and former Fox executive David Brown had been wrongly terminated and subjected to humiliation and embarrassment . The suit was settled out of court . The terms and amounts of Harrison 's settlements were never disclosed .   Films and television : 1974 -- 1988 ( edit )   In 1974 , after a sabbatical of several years , Harrison attempted to return to her career . She desperately wanted t</t>
  </si>
  <si>
    <t xml:space="preserve">who played nova on planet of the apes</t>
  </si>
  <si>
    <t xml:space="preserve"> Linda Melson Harrison ( born July 26 , 1945 ) is an American television and film actress , and director and producer , who is internationally known for her role as Nova , Charlton Heston 's mute mate in the science fiction film Planet of the Apes ( 1968 ) and the first sequel , Beneath the Planet of the Apes ; she also had a cameo in Tim Burton 's 2001 remake of the original . She was a regular cast member of the 1969 - 70 NBC television series Bracken 's World . She was the second wife of film producer Richard D. Zanuck ( Jaws , Cocoon , Driving Miss Daisy , Charlie and the Chocolate Factory ) ; her youngest son is producer Dean Zanuck ( Road to Perdition , Charlie and the Chocolate Factory ) . </t>
  </si>
  <si>
    <t xml:space="preserve">Mission statement - Wikipedia  Mission statement  Jump to : navigation , search `` Statement of purpose '' redirects here . For use in the university and college admissions , see admissions essay . For advice on mission statements in Wikipedia articles , see Wikipedia : Avoid mission statements .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April 2017 ) ( Learn how and when to remove this template message )         This article uses second - person ( `` you '' ) inappropriately . Please rewrite it to use a more formal , encyclopedic tone . ( August 2017 ) ( Learn how and when to remove this template message )    ( Learn how and when to remove this template message )     A mission statement is a short statement of an organization 's purpose , identifying the goal of its operations : what kind of product or service it provides , its primary customers or market , and its geographical region of operation . It may include a short statement of such fundamental matters as the organization 's values or philosophies , a business 's main competitive advantages , or a desired future state -- the `` vision '' .   A mission is not simply a description of an organization by an external party , but an expression , made by its leaders , of their desires and intent for the organization . The purpose of a mission statement is to focus and direct the organization itself . It communicates primarily to the people who make up the organization -- its members or employees -- giving them a shared understanding of the organization 's intended direction . Organizations normally do not change their mission statements over time , since they define their continuous , ongoing purpose and focus .   According to Chris Bart , professor of strategy and governance at McMaster University , a commercial mission statement consists of three essential components :    Key market : the target audience   Contribution : the product or service   Distinction : what makes the product unique or why the audience should buy it over another    Bart estimates that in practice , only about ten percent of mission statements say something meaningful . For this reason , they are widely regarded with contempt .     Contents  ( hide )   1 Purpose   2 Advantages   3 Disadvantages   4 Design   5 See also   6 References   7 External links      Purpose ( edit )       This section possibly contains original research . Please improve it by verifying the claims made and adding inline citations . Statements consisting only of original research should be removed . ( January 2018 ) ( Learn how and when to remove this template message )     The sole purpose of a mission statement is to serve as a company 's goal / agenda , it outlines clearly what the goal of the company is . Some generic examples of mission statements would be , `` To provide the best service possible within the banking sector for our customers . '' or `` To provide the best experience for all of our customers . '' The reason why businesses make use of mission statements is to make it clear what they look to achieve as an organization , not only to themselves and their employees but to the customers and other people who are a part of the business , such as shareholders . As a company evolves , so will their mission statement . This is to make sure that the company remains on track and to ensure that the mission statement does not lose its touch and become boring or stale .   The North American magazine and website that carries news stories about entrepreneurship , small business management , and business , Entrepreneur , explains the purpose of a mission statement as the following :    `` The mission statement reflects every facet of your business : the range and nature of the products you offer , pricing , quality , service , marketplace position , growth potential , use of technology , and your relationships with your customers , employees , suppliers , competitors and the community . ''    It is important that a mission statement is not confused with a vision statement . As discussed earlier , the main purpose of a mission statement is to get across the ambitions of an organisation in a short and simple fashion , it is not necessary to go into detail for the mission statement which is evident in examples given . The reason why it is important that a mission statement and vision statement are not confused is because they both serve different purposes . Vision statements tend to be more related to strategic planning and lean more towards discussing where a company aims to be in the future .   Advantages ( edit )   Provides direction : Mission statements are a way to direct a business into the right path . They play a part in helping the business make better decisions which can be beneficial to them . Without the mission statement providing direction , businesses may struggle when it comes to making decisions and planning for the future . This is why providing direction could be considered one of the most advantageous points of a mission statement .   Clear purpose : Having a clear purpose can remove any potential ambiguities that can surround the existence of a business . People who are interested in the progression of the business , such as stakeholders , will want to know that the business is making the right choices and progressing more towards achieving their goals , which will help to remove any doubt the stakeholders may have in the business .   A mission statement can act as a motivational tool within an organisation , and it can allow employees to all work towards one common goal that benefits both the organisation and themselves . This can help with factors such as employee satisfaction and productivity . It is important that employees feel a sense of purpose . Giving them this sense of purpose will allow them to focus more on their daily tasks and help them to realise the goals of the organisation and their role .   Disadvantages ( edit )       This section does not cite any sources . Please help improve this section by adding citations to reliable sources . Unsourced material may be challenged and removed . ( August 2017 ) ( Learn how and when to remove this template message )     Although it is mostly beneficial for a business to craft a good mission statement , there are some situations where a mission statement can be considered pointless or not useful to a business .   Unrealistic : In most cases , mission statements turn out to be unrealistic and far too optimistic . An unrealistic mission statement can also affect the performance and morale of the employees within the workplace . This is because an unrealistic mission statement would reduce the likelihood of employees being able to meet this standard which could demotivate employees in the long term . Unrealistic mission statements also serve no purpose and can be considered a waste of management 's time . Another issue which could arise from an unrealistic mission statement is that poor decisions could be made in an attempt to achieve this goal which has the potential to harm the business and be seen as a waste of both time and resources .   Waste of time and resources : Mission statements require planning . This takes time and effort for those who are responsible for creating the mission statement . If the mission statement is not achieved , then the process of creating the mission statement could be seen as a waste of time for all of the people involved . A lot of thought and time can be spent in designing a good mission statement , and to have all of that time wasted is not what businesses can afford . The wasted time could have been spent on much more important tasks within the organisation such as decision - making for the business .   Design ( edit )   According to Forbes , the following questions must be answered in the mission statement :    `` What do we do ? '' -- The mission statement should clearly outline the main purpose of the organisation , and what they do .   `` How do we do it ? '' -- It should also mention how one plans on achieving the mission statement .   `` Whom do we do it for ? '' -- The audience of the mission statement should be clearly stated within the mission statement .   `` What value are we bringing ? '' -- The benefits and values of the mission statement should be clearly outlined .    When designing a mission statement , it should be very clear to the audience what the purpose of it is . It is ideal for a business to be able to communicate their mission , goals and objectives to the reader without including any unnecessary information through the mission statement .  US Federal Emergency Management Agency 's Mission Statement Poster  Richard Branson has commented on ways of crafting a good mission statement ; he explains the importance of having a mission statement that is clear and straight to the point and does not contain unnecessary baffling . He went on to analyse a mission statement , using Yahoo 's mission statement at the time ( 2013 ) as an example . In his evaluation of the mission statement , he seemed to suggest that while the statement sounded interesting , most people would not be able to understand the message it is putting across . In other words the message of the mission statement potentially meant nothing to the audience .     ``   This further backs up the idea that a good mission statement is one that is clear and answers the right questions in a simple manner , and does not over complicate things . An example of a good mission statement would be Google 's , which is `` to organise the world 's information and make it universally accessible and useful . ''   ''     See also ( edit )    Strategic planning   Vision statement    References ( edit )    ^ Jump up to : `` Mission Statement '' . Small Business Encyclopedia . Entrepreneur Media , Inc. 2017 . Retrieved 2015 - 11 - 01 .   Jump up ^ Gibson , C. Kendrick ; Newton , David J. ; Cochran , Daniel S. ( 1992 ) . `` An empirical investigation of the nature of hospital mission statements '' . In Brown , Montague . Health Care Management : Strategy , Structure , and Process . Health Care Management Review Series . Gaithersburg , MD : Aspen Publishers . pp. 47 -- 58 . ISBN 978 - 0 - 8342 - 0299 - 3 . OCLC 25281735 . Retrieved 2017 - 04 - 13 -- via Google Books . A frequently quoted definition of a mission statement is that it ' is a broadly defined but enduring statement of purpose that distinguishes the organization from others of its type and identifies the scope of its operations in product ( service ) and market terms . '   Jump up ^ Hill , Charles ; Jones , Gareth ( 2008 ) . `` Strategic Leadership : Managing the Strategy - Making Process for Competitive Advantage '' . Strategic Management : An Integrated Approach ( 8th ed . ) . Mason , OH : South - Western Educational Publishing . p. 11 . ISBN 978 - 0 - 618 - 89469 - 7 . OCLC 238715134 -- via Google Books .   Jump up ^ `` What is a mission statement ? definition and meaning '' . BusinessDictionary . WebFinance Inc . Retrieved 27 October 2015 .   ^ Jump up to : Holland , Kelley ( 23 September 2007 ) . `` In Mission Statements , Bizspeak and Bromides '' . Job Market : Under New Management . New York Times ( New York ed . ) . p. 317 .   ^ Jump up to : Bart , Christopher K. ( November -- December 1997 ) . `` Sex , Lies , and Mission Statements '' . Business Horizons . 40 ( 6 ) : 9 -- 18 . doi : 10.1016 / S0007 - 6813 ( 97 ) 90062 - 8 . SSRN 716542 .   Jump up ^ Post , Jennifer ( 3 May 2017 ) . `` What is a Mission Statement ? '' . Business News Daily . Purch . Retrieved 2015 - 11 - 01 .   Jump up ^ `` Benefits of Vision and Mission Statements '' . Clearlogic Consulting Professionals. 2013 . Retrieved 2015 - 11 - 01 .   Jump up ^ Vozar , Roger ( 1 June 2013 ) . `` How organizations benefit from having a clearly defined mission '' . Smart Business Magazine . Smart Business Network Inc . Retrieved 2015 - 11 - 02 .   Jump up ^ Hull , Patrick ( 10 January 2013 ) . `` Answer 4 Questions to Get a Great Mission Statement '' . Forbes . Forbes Media , LLC . Retrieved 2015 - 11 - 02 .   Jump up ^ `` How to Write Your Mission Statement '' . Entrepreneur . Entrepreneur Media , Inc. 30 October 2003 . Retrieved 2015 - 11 - 02 .   Jump up ^ Branson , Richard ( 22 July 2013 ) . `` Richard Branson on Crafting Your Mission Statement '' . Entrepreneur . Entrepreneur Media , Inc . Archived from the original on 23 October 2015 . Retrieved 2015 - 11 - 02 .   Jump up ^ Thompson , Andrew ( 20 August 2015 ) . `` Google 's Vision Statement &amp; Mission Statement '' . Panmore Institute . Archived from the original on 13 November 2015 . Retrieved 2015 - 11 - 02 .    External links ( edit )    `` Mission Statement Guidelines '' . NORC Blueprint : A Guide to Community Action . United Hospital Fund . 2015 .   Retrieved from `` https://en.wikipedia.org/w/index.php?title=Mission_statement&amp;oldid=833988073 '' Categories :   Statements   Business terms   Strategic management   Hidden categories :   Articles needing additional references from April 2017   All articles needing additional references   Wikipedia articles needing style editing from August 2017   All articles needing style editing   Articles with multiple maintenance issues   All articles with failed verification   Articles with failed verification from April 2017   Articles that may contain original research from January 2018   All articles that may contain original research   Articles needing additional references from August 2017           Talk                                           Contents                   About Wikipedia                                             Български   Deutsch   Ελληνικά   Español   فارسی   Français   Galego   Bahasa Indonesia   Italiano   Nederlands   Polski   Português   Русский   Simple English   Српски / srpski   Srpskohrvatski / српскохрватски   தமிழ்   తెలుగు   ไทย   Українська   Tiếng Việt  13 more  Edit links   This page was last edited on 3 April 2018 , at 10 : 28 .         About Wikipedia                    </t>
  </si>
  <si>
    <t xml:space="preserve">which is the main purpose of a vision statement</t>
  </si>
  <si>
    <t xml:space="preserve"> It is important that a mission statement is not confused with a vision statement . As discussed earlier , the main purpose of a mission statement is to get across the ambitions of an organisation in a short and simple fashion , it is not necessary to go into detail for the mission statement which is evident in examples given . The reason why it is important that a mission statement and vision statement are not confused is because they both serve different purposes . Vision statements tend to be more related to strategic planning and lean more towards discussing where a company aims to be in the future . </t>
  </si>
  <si>
    <r>
      <rPr>
        <sz val="11"/>
        <color rgb="FF000000"/>
        <rFont val="Calibri"/>
        <family val="0"/>
        <charset val="1"/>
      </rPr>
      <t xml:space="preserve">The Skye Boat song - wikipedia  The Skye Boat song  Jump to : navigation , search      The Skye Boat Song An adaptation for bagpipes played by the Clan Stewart Pipe Band     Problems playing this file ? See media help .     `` The Skye Boat Song '' is a Scottish folk song , which can be played as a waltz , recalling the escape of Prince Charles Edward Stuart ( Bonnie Prince Charlie ) from Uist to the Isle of Skye after his defeat at the Battle of Culloden in 1746 .     Contents  ( hide )   1 Content   2 Origin   3 Recording history and covers   4 Lyrics   4.1 Original lyrics   4.2 Stevenson 's poem   4.3 Other versions     5 References   6 External links      Content ( edit )   The song tells how Bonnie Prince Charlie , disguised as a serving maid , escaped in a small boat after the defeat of his Jacobite rising of 1745 , with the aid of Flora MacDonald . The song is a traditional expression of Jacobitism and its story has also entered Scotland as a national legend .   Origin ( edit )   The lyrics were written by Sir Harold Boulton , 2nd Baronet , to an air collected in the 1870s by Anne Campbelle MacLeod ( 1855 -- 1921 ) , who became Lady Wilson by marriage to Sir James Wilson , KSCI ( 1853 -- 1926 ) , in 1888 . The song was first published in Songs of the North by Boulton and MacLeod , London , 1884 , a book that went into at least fourteen editions . In later editions MacLeod 's name was dropped and the ascription `` Old Highland rowing measure arranged by Malcolm Lawson '' was substituted . It was quickly taken up by other compilers , such as Laura Alexandrine Smith 's Music of the Waters ( published 1888 ) . Lawson was the elder brother of artist Cecil Gordon Lawson .   According to Andrew Kuntz , a collector of folk music lore , MacLeod was on a trip to the isle of Skye and was being rowed over Loch Coruisk ( Coire Uisg , the `` Cauldron of Waters '' ) when the rowers broke into a Gaelic rowing song Cuachag nan Craobh ( `` The Cuckoo in the Grove '' ) . MacLeod set down what she remembered of the air , with the intention of using it later in a book she was to co-author with Boulton , who later added the section with the Jacobite associations . `` As a piece of modern romantic literature with traditional links it succeeded perhaps too well , for soon people began `` remembering '' they had learned the song in their childhood , and that the words were ' old Gaelic lines ' , '' Andrew Kuntz has observed .   The song was not in any older books of Scottish songs , though it is in most miscellanies like The Fireside Book of Folk Songs . It is often sung as a lullaby , in a slow rocking 6 / 8 time .   Recording history and covers ( edit )   It was extremely popular in its day , and from its first recording by Tom Bryce on April 29 , 1899 , became a standard among Scottish folk and dance musicians . It was even more widely known from the 1960s onwards and has remained popular in mainstream music genres . It was performed to great acclaim and recorded by artist and social activist Paul Robeson in 1959 and 1960 .   Tom Jones recorded a version , which was arranged by Lee Lawson and Harold Boulton , on his debut album Along Came Jones in 1965 . The same album , released in the U.S. as `` It 's Not Unusual '' ( and carrying only 12 of the original 16 tracks ) , did not give attribution for the arrangement but did characterize the song as `` Trad. -- 2 : 57 . ''   Fans of Rangers FC in Glasgow used to sing a version of the song in praise of Danish player Kai Johansen ( played 1965 -- 70 ) .   Among later renditions which became well known were Peter Nelson and The Castaways from New Zealand , who released a version in 1966 , as did West Australian artist Glen Ingram . Both versions were in the Australian hit parade in 1966 . Calum Kennedy also included a version on Songs of Scotland and Ireland ( Beltona 1971 ) .   Rod Stewart recorded two versions of the song with The Atlantic Crossing Drum &amp; Pipe Band during the sessions for Atlantic Crossing , between 1974 and 1975 . They were given an official release on the deluxe re-release of the album in 2009 .   Roger Whittaker 's duet version with Des O'Connor , released in 1986 , combined O'Connor's vocals with Whittaker 's whistling version , a part of his repertoire since at least the mid-1970s . The track was recorded at London 's Holland Park Lansdowne Studios ( fr ) ( now a high - end residential underground property ) with session drummer Peter Boita along with all the high - profile studio session players of the day . The cellist Julian Lloyd Webber recorded an instrumental version of the song in 1986 on the album Encore ! / Travels With My Cello Volume 2 .   The Shadows played an instrumental version of the song on their 1987 album Simply Shadows .   Singer Tori Amos covered the song as part of a song trilogy entitled `` Etienne Trilogy '' on her debut album Y Kant Tori Read ( 1988 ) .   Scottish singer , Barbara Dickson , recorded this song in 2006 .   James Galway and The Chieftains recorded an instrumental version ( which was used as background music for a Johnnie Walker commercial ) in February 1990 at Studios 301 , Sydney , Australia , released on the album Over the Sea to Skye - The Celtic Connection . There is also a version on The Corries `` In Concert / Scottish Love Songs '' album ( Track 19 ) .   Stellan Skarsgård 's character plays this song on the cello in the 1992 film Wind .   Canadian Punk band , The Real McKenzies covered this song on their 1995 debut album The Real McKenzies .   Sir Michael Tippett originally included `` Over the Sea to Skye '' in his arrangements of Four Songs from the British Isles for unaccompanied four - part chorus in 1957 , in response to a commission from North West German Radio , Bremen , for a festival of European folk song . But the amateur choir for which they were intended found the songs too difficult , and the first performance took place only in July 1958 , given by the London Bach Group , conducted by John Minchinton , at Royaumont in France . The recently published volume of Tippett 's Selected Letters , edited by Thomas Schuttenhelm , includes a progress report on the Four Songs to the composer 's German publisher , dated 28 July 1957 , in which he says that he proposes to replace `` Over the Sea to Skye '' because it is `` too strictly held by a publisher here '' . It was only rediscovered after Tippett 's death in the offices of his London publishers Schott 's ; it was published at the end of 2002 , and first performed the following July in Dublin .   Marc Gunn recorded this song for the 2013 album Scottish Songs of Drinking &amp; Rebellion .   Bear McCreary adapted the song as the opening titles of the 2014 TV series Outlander , sung by Raya Yarbrough , changing the text of Robert Louis Stevenson 's poem Sing Me a Song of a Lad That Is Gone ( 1892 ) to fit the story .   Patrick Troughton as the second Doctor on the British science - fiction television series Doctor Who played the song repeatedly on his recorder in Episode 6 , Scene 10 of `` The Web of Fear '' ( broadcast 9 March 1968 ) .   It can also be heard playing background instrumental in several episodes of the American serial killer television series Dexter .   Lyrics ( edit )   Original lyrics ( edit )       Wikisource has original text related to this article : The Skye Boat Song lyrics     ( Chorus : ) Speed , bonnie boat , like a bird on the wing , Onward ! the sailors cry ; Carry the lad that 's born to be King Over the sea to Skye . Loud the winds howl , loud the waves roar , Thunderclaps rend the air ; Baffled , our foes stand by the shore , Follow they will not dare . ( Chorus ) Though the waves leap , soft shall ye sleep , Ocean 's a royal bed . Rocked in the deep , Flora will keep Watch by your weary head . ( Chorus ) Many 's the lad fought on that day , Well the claymore could wield , When the night came , silently lay Dead on Culloden 's field . ( Chorus ) Burned are their homes , exile and death Scatter the loyal men ; Yet ere the sword cool in the sheath Charlie will come again .   Stevenson 's poem ( edit )   Robert Louis Stevenson 's 1892 poem , which has been sung to the tune , has the following text :   ( Chorus : ) Sing me a song of a lad that is gone , Say , could that lad be I ? Merry of soul he sailed on a day Over the sea to Skye . Mull was astern , Rùm on the port , Eigg on the starboard bow ; Glory of youth glowed in his soul ; Where is that glory now ? ( Chorus ) Give me again all that was there , Give me the sun that shone ! Give me the eyes , give me the soul , Give me the lad that 's gone ! ( Chorus ) Billow and breeze , islands and seas , Mountains of rain and sun , All that was good , all that was fair , All that was me is gone .   Other versions ( edit )   There has also been a hymn adaptation of the tune , known as `` Spirit of God Unseen as the Wind '' ; some of the lyrics vary .   The song has also been used and adapted for the title song for the TV series Outlander . Skateboard song `` The Skye Boat Song '' has been parodied in song by Dawn French and Jennifer Saunders on their comedy series French and Saunders .   References ( edit )    ^ Jump up to : `` 10 facts about Bonnie Prince Charlie and the Jacobites '' . History Extra . Immediate Media Company . May 12 , 2016 . Retrieved July 17 , 2016 .   Jump up ^ Andrew Kuntz . The Fiddler 's Companion : A Descriptive Index of North American and British Isles Music for the Folk Violin and Other Instruments .   Jump up ^ `` The Skye Boat Song by Paul Robeson '' . Second Hand songs . Retrieved 11 February 2016 .   Jump up ^ McColl , Norton . `` Discography '' . Paul Robeson Centennial Celebration . University of Chicago . Retrieved 11 February 2016 .   Jump up ^ `` Tom Jones -- It 's Not Unusual '' . Discogs . Retrieved 20 June 2015 .   Jump up ^ Conrad , Erin ( July 2014 ) . `` Outlander : Opening Title Sequence -- Wait , Is That It ? '' . ThreeIfBySpace.net . Retrieved September 1 , 2014 .   Jump up ^ `` Comic Con 2014 Highlights '' . BearMcCreary.com . July 29 , 2014 . Retrieved September 1 , 2014 .   Jump up ^ Haisman , Mervyn . `` The Web of Fear '' . Doctor Who . Retrieved 2 June 2016 .   Jump up ^ Smit , William . `` Second Doctor plays recorder ( Skye Boat Song ) '' . YouTube . Retrieved 2 June 2016 .   Jump up ^ `` Sing me a Song of a Lad that is Gone - Poetry Foundation ''   Jump up ^ `` Spirit of God - HymnsWithoutWords ''   Jump up ^ midiforworship.com : `` Spirit of God ''    External links ( edit )    Pop Archives : Covers of `` The Skye Boat Song ''   `` The Skye Boat Song '' , by Robert Louis Stevenson , published in the collection `` Songs of Travel and Other Verses '' at Project Gutenberg   Spirit of God - lyrics   Spirit of God - alternative lyrics   Roger Whittaker performs Skye Boat Song live in German   Michael Tippett -- Over the Sea to Skye      ( hide )         Skye     Main settlements     Portree   Broadford   Dunvegan   Kyleakin   Uig       Crofting townships and settlements     Achachork   Aird of Sleat   Ardvasar   Armadale   Ashaig   Bernisdale   Bornesketaig   Boreraig   Borreraig   Borrodale   Borve   Bracadale   Breakish   Brogaig   Bualintur   Camastianavaig   Camuscross   Carbost , Loch Harport   Carbost , Portree   Claigan   Colbost   Drumfearn   Drynoch   Dunan   Duntulm   Edinbane   Elgol   Ellishadder   Eynort   Eyre   Fasach   Feorlig   Ferindonald   Fiskavaig   Flashader   Flodigarry   Galltrigill   Garafad   Geary   Gedintailor   Gillen   Glendale   Halistra   Harlosh   Heaste   Isleornsay   Kensaleyre   Kilbride   Kilmaluag   Kilmarie   Kilmore   Kilmuir   Kilvaxter   Kingsburgh   Kylerhea   Lealt   Lower Breakish   Luib   Milovaig   Mugeary   Ollach   Ose   Peinachorran   Portnalong   Ramasaig   Roag   Sconser   Skeabost   Sligachan   Staffin   Stein   Struan   Suladale   Talisker   Tarskavaig   Teangue   Torrin   Totaig   Tote   Treaslane   Trumpan   Uigshader   Ullinish   Upper Breakish       Mountains and hills     Am Basteir   Beinn na Caillich   Blà Bheinn   Bruach na Frìthe   Clach Glas   Glamaig   Healabhal Bheag   Sgùrr a ' Ghreadaidh   Sgùrr a ' Mhadaidh   Sgùrr MhicChoinnich   Sgùrr na Banachdaich   Sgùrr nan Gillean   Sgùrr Dearg   Sgùrr a ' Mhadaidh Ruaidh   Marsco   Quiraing / Meall na Suiramach   Sgùrr Alasdair   The Storr       History and prehistory     Armadale Castle   Battle of the Braes   Battle of the Spoiling Dyke   Caisteal Maol   Cill Chriosd   Corriechatachan   Dùn Ringill   Dunvegan Castle   Fairy Flag   Flora MacDonald   High Pasture Cave   Sir Lachlan Mackinnon ( clan chief )   Neil Mackinnon   Mugearite   Sir Rory Mor 's Horn   Rubha an Dùnain       Local culture     Isle of Skye Music Festival   MacCrimmon pipers   Sabhal Mòr Ostaig   Skye Camanachd   Talisker whisky   Té Bheag   `` The Skye Boat Song ''       Peninsulas     Duirinish   Minginish   Sleat   Strathaird   Trotternish   Waternish       Surrounding islands     Ascrib Islands   Crowlin Islands   Eilean Bàn   Eilean Fladday   Eilean Mòr   Eilean Tigh   Eilean Trodday   Fladda - chùain   Harlosh Island   Isay   Lampay   Longay   Mingay   Oronsay   Pabay   Raasay   Scalpay   Rona   Soay   Staffin Island   Tarner Island   Wiay       Other     MV Glenachulish   Skye Bridge      Retrieved from `` https://en.wikipedia.org/w/index.php?title=The_Skye_Boat_Song&amp;oldid=804302081 '' Categories :   1884 songs   Jacobite songs   Scottish songs   Charles Edward Stuart   Hidden categories :   Articles containing Scottish Gaelic - language text   Articles with hAudio microformats   Interlanguage link template link number           Talk                                           Contents                   About Wikipedia                                           Español   </t>
    </r>
    <r>
      <rPr>
        <sz val="11"/>
        <color rgb="FF000000"/>
        <rFont val="Noto Sans CJK SC"/>
        <family val="2"/>
      </rPr>
      <t xml:space="preserve">한국어   </t>
    </r>
    <r>
      <rPr>
        <sz val="11"/>
        <color rgb="FF000000"/>
        <rFont val="Calibri"/>
        <family val="0"/>
        <charset val="1"/>
      </rPr>
      <t xml:space="preserve">Nederlands   </t>
    </r>
    <r>
      <rPr>
        <sz val="11"/>
        <color rgb="FF000000"/>
        <rFont val="Noto Sans CJK SC"/>
        <family val="2"/>
      </rPr>
      <t xml:space="preserve">中文   </t>
    </r>
    <r>
      <rPr>
        <sz val="11"/>
        <color rgb="FF000000"/>
        <rFont val="Calibri"/>
        <family val="0"/>
        <charset val="1"/>
      </rPr>
      <t xml:space="preserve">Edit links   This page was last edited on 8 October 2017 , at 02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</si>
  <si>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mary of soul she sailed on a day</t>
  </si>
  <si>
    <t xml:space="preserve"> `` The Skye Boat Song '' is a Scottish folk song , which can be played as a waltz , recalling the escape of Prince Charles Edward Stuart ( Bonnie Prince Charlie ) from Uist to the Isle of Skye after his defeat at the Battle of Culloden in 1746 . </t>
  </si>
  <si>
    <r>
      <rPr>
        <sz val="11"/>
        <color rgb="FF000000"/>
        <rFont val="Calibri"/>
        <family val="0"/>
        <charset val="1"/>
      </rPr>
      <t xml:space="preserve">Gobi desert - wikipedia  Gobi desert  Jump to : navigation , search `` Gobi '' redirects here . For other uses , see Gobi ( disambiguation ) .      This article needs additional citations for verification . Please help improve this article by adding citations to reliable sources . Unsourced material may be challenged and removed . ( July 2007 ) ( Learn how and when to remove this template message )         This article is largely based on an article in the out - of - copyright Encyclopædia Britannica Eleventh Edition , which was produced in 1911 . It should be brought up to date to reflect subsequent history or scholarship ( including the references , if any ) . When you have completed the review , replace this notice with a simple note on this article 's talk page . ( January 2011 )       Gobi Desert ( Говь )     Desert     Gobi Desert landscape in Ömnögovi Province , Mongolia     Countries   Mongolia , China     Mongolian Aimags   Bayankhongor , Dornogovi , Dundgovi , Govi - Altai , Govisümber , Ömnögovi , Sükhbaatar     Chinese Autonomous Region   Inner Mongolia         Landmark   Nemegt Basin         Length   1,500 km ( 932 mi ) , SE / NW     Width   800 km ( 497 mi ) , N / S     Area   1,295,000 km ( 500,002 sq mi )         The Gobi Desert lies in the territory of the People 's Republic of China and Mongolia .         This article contains special characters . Without proper rendering support , you may see question marks , boxes , or other symbols .     The Gobi Desert ( / ˈɡoʊ. bi / ; Mongolian : Говь , Gowĭ , ( ɢɔwj ) , `` semidesert '' ; Chinese : </t>
    </r>
    <r>
      <rPr>
        <sz val="11"/>
        <color rgb="FF000000"/>
        <rFont val="Noto Sans CJK SC"/>
        <family val="2"/>
      </rPr>
      <t xml:space="preserve">戈壁 </t>
    </r>
    <r>
      <rPr>
        <sz val="11"/>
        <color rgb="FF000000"/>
        <rFont val="Calibri"/>
        <family val="0"/>
        <charset val="1"/>
      </rPr>
      <t xml:space="preserve">; pinyin : Gēbì , Xiao'erjing : قْبِ , ( kɤ́. pî ) , Dungan : Гәби ) is a large desert region in Asia . It covers parts of northern and northwestern China , and of southern Mongolia . The desert basins of the Gobi are bounded by the Altai Mountains and the grasslands and steppes of Mongolia on the north , by the Taklamakan Desert to the west , by the Hexi Corridor and Tibetan Plateau to the southwest , and by the North China Plain to the southeast . The Gobi is notable in history as part of the great Mongol Empire , and as the location of several important cities along the Silk Road .   The Gobi is a rain shadow desert , formed by the Tibetan Plateau blocking precipitation from the Indian Ocean reaching the Gobi territory .     Contents  ( hide )   1 Geography   2 Climate   3 Conservation , ecology , and economy   4 Desertification   5 Ecoregions of the Gobi   5.1 Eastern Gobi desert steppe   5.2 Alashan Plateau semi-desert   5.3 Dzungarian Basin semi-desert     6 European exploration up to 1911   7 See also   8 Notes   9 References   10 Further reading   11 External links      Geography ( edit )   The Gobi measures over 1,600 km ( 1,000 mi ) from southwest to northeast and 800 km ( 500 mi ) from north to south . The desert is widest in the west , along the line joining the Lake Bosten and the Lop Nor ( 87 ° -- 89 ° east ) . It occupies an arc of land 1,295,000 km ( 500,000 sq mi ) in area as of 2007 ; it is the fifth - largest desert in the world and Asia 's second largest . Much of the Gobi is not sandy but has exposed bare rock .   In its broadest definition , the Gobi includes the long stretch of desert and semi-desert area extending from the foot of the Pamirs , 77 ° east , to the Greater Khingan Mountains , 116 ° - 118 ° east , on the border of Manchuria ; and from the foothills of the Altay , Sayan , and Yablonoi mountain ranges on the north to the Kunlun , Altyn - Tagh , and Qilian mountain ranges , which form the northern edges of the Tibetan Plateau , on the south .   A relatively large area on the east side of the Greater Khingan range , between the upper waters of the Songhua ( Sungari ) and the upper waters of the Liao - ho , is reckoned to belong to the Gobi by conventional usage . Some geographers and ecologists prefer to regard the western area of the Gobi region ( as defined above ) : the basin of the Tarim in Xinjiang and the desert basin of Lop Nor and Hami ( Kumul ) , as forming a separate and independent desert , called the Taklamakan Desert .   Archeologists and paleontologists have done excavations in the Nemegt Basin in the northwestern part of the Gobi Desert ( in Mongolia ) , which is noted for its fossil treasures , including early mammals , dinosaur eggs , and prehistoric stone implements , some 100,000 years old .   Climate ( edit )  Gobi by NASA World Wind Sand dunes in Inner Mongolia Autonomous Region , China A summer monsoon produces a flash flood , 2004 Bactrian camels by the sand dunes of Khongoryn Els , Gurvansaikhan NP , Mongolia . The sand dunes of Khongoryn Els , Gurvansaikhan NP , Mongolia Remains of Great Chinese Wall in Gobi Desert  The Gobi is a cold desert , with frost and occasionally snow occurring on its dunes . Besides being quite far north , it is also located on a plateau roughly 910 -- 1,520 metres ( 2,990 -- 4,990 ft ) above sea level , which contributes to its low temperatures . An average of approximately 194 millimetres ( 7.6 in ) of rain falls annually in the Gobi . Additional moisture reaches parts of the Gobi in winter as snow is blown by the wind from the Siberian Steppes . These winds cause the Gobi to reached − 40 ° C or − 40 ° F in winter to 45 ° C or 113 ° F in summer .   The climate of the Gobi is one of great extremes , combined with rapid changes of temperature of as much as 35 ° C ( 63 ° F ) . These can occur not only seasonally but within 24 hours .   Temperature     Sivantse ( 1190 m )   Ulaanbaatar ( 1150 m )     Annual mean   − 2.5 ° C ( 27.5 ° F )   − 0.4 ° C ( 31.3 ° F )     January mean   − 26.5 ° C ( − 15.7 ° F )   − 21.6 ° C ( − 6.9 ° F )     July mean   17.5 ° C ( 63.5 ° F )   18.2 ° C ( 64.8 ° F )     Extremes   − 43 to 38 ° C ( − 45 to 100 ° F )   − 42.2 to 39.0 ° C ( − 44.0 to 102.2 ° F )     In southern Mongolia , the temperature has been recorded as low as − 32.8 ° C ( − 27.0 ° F ) . In contrast , in Alxa , Inner Mongolia , it rises as high as 37 ° C ( 99 ° F ) in July .   Average winter minimums are a frigid − 21 ° C ( − 6 ° F ) , while summertime maximmums are a warm 27 ° C ( 81 ° F ) . Most of the precipitation falls during the summer .   Although the southeast monsoons reach the southeast parts of the Gobi , the area throughout this region is generally characterized by extreme dryness , especially during the winter , when the Siberian anticyclone is at its strongest . The southern and central parts of the Gobi Desert have variable plant growth due to this monsoon activity . The more northern areas of the Gobi are very cold and dry , making it unable to support much plant growth ; this cold and dry weather is attributed to Siberian - Mongolian high pressure cells . Hence , the icy sandstorms and snowstorms of spring and early summer plus early January ( winter ) .   Conservation. , ecology , and economy ( edit )   The Gobi Desert is the source of many important fossil finds , including the first dinosaur eggs .   Despite the harsh conditions , these deserts and the surrounding regions sustain many animals , including black - tailed gazelles , marbled polecats , wild Bactrian camels , Mongolian wild ass and sandplovers . They are occasionally visited by snow leopards , brown bears , and wolves . Lizards are especially well - adapted to the climate of the Gobi Desert , with approximately 30 species distributed across its southern Mongolian border . The most common vegetation in the Gobi desert are shrubs adapted to drought . These shrubs included gray sparrow 's saltwort ( Salsola passerina ) , gray sagebrush , and low grasses such as needle grass and bridlegrass . Due to livestock grazing , the amount of shrubs in the desert has decreased . Several large nature reserves have been established in the Gobi , including Gobi Gurvansaikhan National Park , Great Gobi A and Great Gobi B Strictly Protected Area .   The area is vulnerable to trampling by livestock and off - road vehicles ( effects from human intervention are greater in the eastern Gobi Desert , where rainfall is heavier and may sustain livestock ) . In Mongolia , grasslands have been degraded by goats , which are raised by nomadic herders as source of cashmere wool . The economic trends of livestock privatization and the collapse of the urban economy have caused people to return to subsistence rural lifestyles , away from urbanization .   Large copper and gold deposits located at Oyuu Tolgoi , about 80 kilometres from the Chinese border into Mongolia , are being investigated for development as mining operations . The Oyu Tolgoi copper and gold mine , under construction by Rio Tinto in the South Gobi Desert , is expected to begin operation in early 2013 , and is the biggest economic undertaking in the country 's history . Rio Tinto estimates that taxes , royalties and dividends generated by the Oyu Tolgoi project is expected to add a third to the country 's gross domestic product by 2020 . Rio Tinto forecasts average annual production of 450,000 tonnes of copper and 330,000 ounces of gold , and with 1.4 billion tonnes of reserves and a resource of 3.1 billion tonnes , the mine is expected to last for more than 50 years .   The mine has been and remains controversial . There is significant opposition in Mongolia 's parliament to the terms under which the mine will proceed , and some are calling for the terms to be renegotiated . Specifically , the contention revolves primarily around the question of whether negotiations were fair ( Rio Tinto is far better resourced ) and whether Rio Tinto will pay adequate taxes on the revenues it derives from the mine ( an agreement was reached whereby the operation will be exempt from windfall tax .   Desertification ( edit )   The Gobi Desert is expanding at an alarming rate , in a process known as desertification . The expansion is particularly rapid on the southern edge into China , which has seen 3,600 km ( 1,390 sq mi ) of grassland overtaken every year by the Gobi Desert . Dust storms , which used to occur regularly in China , have increased in frequency in the past 20 years , mainly due to desertification . They have caused further damage to China 's agriculture economy .   The northern and eastern boundaries between desert and grassland are constantly changing . This is mostly due to the climate conditions before the growing season , which influence the rate of evapotranspiration and subsequent plant growth .   The expansion of the Gobi is attributed mostly to human activities , notably deforestation , overgrazing , and depletion of water resources . China has tried various plans to slow the expansion of the desert , which have met with some small degree of success , but no major effects . The most recent plan involves the planting of the Green Wall of China , a huge ring of newly planted forests ; the government hopes the forests will help stabilize the soil , retain moisture , and act as a buffer against further desertification .   Ecoregions of the Gobi ( edit )   The Gobi , broadly defined , can be divided into five distinct dry ecoregions , based on variations in climate and topography .    Eastern Gobi desert steppe , the easternmost of the Gobi ecoregions , covering an area of 281,800 km ( 108,804 sq mi ) . It extends from the Inner Mongolian Plateau in China northward into Mongolia . It includes the Yin Mountains and many low - lying areas with salt pans and small ponds . It is bounded by the Mongolian - Manchurian grassland to the north , the Yellow River Plain to the southeast , and the Alashan Plateau semi-desert to the southeast and east .   Alashan Plateau semi-desert , lies west and southwest of the Eastern Gobi desert steppe . It consists of the desert basins and low mountains lying between the Gobi Altai range on the north , the Helan Mountains to the southeast , and the Qilian Mountains and northeastern portion of the Tibetan Plateau on the southwest .   Gobi Lakes Valley desert steppe , ecoregion lies north of Alashan Plateau semi-desert , between the Gobi Altai range to the south and the Khangai Mountains to the north .   Dzungarian Basin semi-desert , includes the desert basin lying between the Altai mountains on the north and the Tian Shan range on the south . It includes the northern portion of China 's Xinjiang province and extends into the southeastern corner of Mongolia . The Alashan Plateau semi-desert lies to the east , and the Emin Valley steppe to the west , on the China - Kazakhstan border .   Tian Shan range , separates the Dzungarian Basin semi-desert from the Taklamakan Desert , which is a low , sandy desert basin surrounded by the high mountain ranges of the Tibetan Plateau to the south and the Pamirs to the west . The Taklamakan Desert ecoregion includes the Desert of Lop .    Eastern Gobi desert steppe ( edit )  A Khulan ( Mongolian wild ass ) on a hill in the eastern Gobi of Mongolia at sunset .  The surface is extremely diversified , although there are no great differences in vertical elevation . Between Ulaanbaatar ( 48 ° 00 ′ N 107 ° 00 ′ E ﻿ / ﻿ 48.000 ° N 107.000 ° E ﻿ / 48.000 ; 107.000 ) and the small lake of Iren - dubasu - nor ( 43 ° 45 ′ N 111 ° 50 ′ E ﻿ / ﻿ 43.750 ° N 111.833 ° E ﻿ / 43.750 ; 111.833 ) , the surface is greatly eroded . Broad flat depressions and basins are separated by groups of flat - topped mountains of relatively low elevation 150 to 180 m ( 490 to 590 ft ) ) , through which archaic rocks crop out as crags and isolated rugged masses . The floors of the depressions lie mostly between 900 to 1,000 m ( 3,000 to 3,300 ft ) above sea - level . Farther south , between Iren - dutiasu - nor and the Yellow River , comes a region of broad tablelands alternating with flat plains , the latter ranging at altitudes of 1000 -- 1100 m and the former at 1,070 to 1,200 m ( 3,510 to 3,940 ft ) . The slopes of the plateaus are more or less steep , and are sometimes penetrated by `` bays '' of the lowlands .   As the border - range of the Hyangan is approached , the country steadily rises up to 1,370 m ( 4,490 ft ) and then to 1,630 m ( 5,350 ft ) . Here small lakes frequently fill the depressions , though the water in them is generally salt or brackish . Both here and for 320 km ( 199 mi ) south of Ulaanbaatar , streams are frequent and grass grows more or less abundantly . Through all the central parts , until the bordering mountains are reached , trees and shrubs are utterly absent . Clay and sand are the predominant formations ; the watercourses , especially in the north , being frequently excavated 2 to 3 m ( 6 ft 7 in to 9 ft 10 in ) deep . In many places in the flat , dry valleys or depressions farther south , beds of loess , 5 to 6 m ( 16 to 20 ft ) thick , are exposed . West of the route from Ulaanbaatar to Kalgan , the country presents approximately the same general features , except that the mountains are not so irregularly scattered in groups but have more strongly defined strikes , mostly east to west , west - north - west to east - south - east , and west - south - west to east - north - east .   The altitudes are higher , those of the lowlands ranging from 1,000 to 1,700 m ( 3,300 to 5,600 ft ) , and those of the ranges from 200 to 500 m ( 660 to 1,640 ft ) higher , though in a few cases they reach altitudes of 2,400 m ( 7,900 ft ) . The elevations do not form continuous chains , but make up a congeries of short ridges and groups rising from a common base and intersected by a labyrinth of ravines , gullies , glens and basins . But the tablelands , built up of the horizontal red deposits of the Han - gai ( Obruchev 's Gobi formation ) which are characteristic of the southern parts of eastern Mongolia , are absent here or occur only in one locality , near the Shara - muren river . They are greatly intersected by gullies or dry watercourses . Water is scarce , with no streams , no lakes , no wells , and precipitation falls seldom . The prevailing winds blow from the west and northwest , and the pall of dust overhangs the country as in the Takla Makan and the desert of Lop . Characteristic of the flora are wild garlic , Kalidium gracile , wormwood , saxaul , Nitraria schoberi , Caragana , Ephedra , saltwort and the grass Lasiagrostis splendens . The taana wild onion Allium polyrrhizum is the main browse eaten by many herd animals , and Mongolians claim that this is essential to produce the correct , slightly hazelnut - like flavour of camel airag ( fermented milk ) .   This great desert country of Gobi is crossed by several trade routes , some of which have been in use for thousands of years . Among the most important are those from Kalgan ( at the Great Wall ) to Ulaanbaatar ( 960 km ( 597 mi ) ) ; from Jiuquan ( in Gansu ) to Hami 670 km ( 416 mi ) ; from Hami to Beijing ( 2,000 km ( 1,243 mi ) ) ; from Hohhot to Hami and Barkul ; and from Lanzhou ( in Gansu ) to Hami .   Alashan Plateau semi-desert ( edit )   The southwestern portion of the Gobi , known also as the Hsi - tau and the Little Gobi , fills the space between the great north loop of the Yellow River on the east , the Ejin River on the west , and the Qilian Mountains and narrow rocky chain of Longshou , 3,200 to 3,500 m ( 10,500 to 11,500 ft ) in altitude , on the southwest . The Ordos Desert , which covers the northeastern portion of the Ordos Plateau , in the great north loop of the Yellow River , is part of this ecoregion . It belongs to the middle basin of the three great depressions into which Potanin divides the Gobi as a whole .   `` Topographically , '' says Nikolai Przhevalsky , `` it is a perfectly level plain , which in all probability once formed the bed of a huge lake or inland sea . '' He concludes this based on the level area of the region as a whole , the hard saldgine clay and the sand - strewn surface and , lastly , the salt lakes which occupy its lowest parts . For hundreds of kilometers , nothing can be seen but bare sands ; in some places they continue so far without a break that the Mongols call them Tengger ( i.e. sky ) . These vast expanses are absolutely waterless , nor do any oases relieve the unbroken stretches of yellow sand , which alternate with equally vast areas of saline clay or , nearer the foot of the mountains , with barren shingle . Although on the whole a level country with a general altitude of 1,000 to 1,500 m ( 3,300 to 4,900 ft ) , this section , like most other parts of the Gobi , is crowned by a chequered network of hills and broken ranges going up 300 m higher . The vegetation is confined to a few varieties of bushes and a dozen kinds of grasses and herbs , the most conspicuous being saxaul ( Haloxylon ammondendron ) and Agriophyllum gobicum . The others include prickly convolvulus , field wormwood ( Artemisia campestris ) , acacia , Inula ammophila , Sophora flavescens , Convolvulus ammanii , Peganum and Astragalus , but all dwarfed , deformed and starved . The fauna consists of little but antelope , wolf , fox , hare , hedgehog , marten , numerous lizards and a few birds , e.g. the sandgrouse , lark , stonechat , sparrow , crane , Henderson 's ground jay ( Podoces hendersoni ) , horned lark ( Eremophila alpestris ) , and crested lark ( Galerida cristata ) .   Dzungarian basin semi-desert ( edit )   The structure here is that of the mighty T'ien Shan , or Heavenly Mountains , running from west to east . It divides the northern one - third of Sinkiang from the southern two - thirds . On the northern side , rivers formed from the snow and glaciers of the high mountains break through barren foothill ranges and flow out into an immense , hollow plain . Here the rivers begin to straggle and fan out , and form great marshes with dense reed - beds . Westerners call this terrain the Dzungarian desert . The Chinese also call it a desert , but the Mongols call it a ' gobi ' -- that is , a land of thin herbage , more suitable for camels than for cows , but capable also , if herds are kept small and moved frequently , of sustaining horses , sheep , and goats . The herbage comprises a high proportion of woody , fragrant plants . Gobi mutton is the most aromatic in the world .   The Yulduz valley or valley of the Haidag - gol ( 43 ° N 83 ° E ﻿ / ﻿ 43 ° N 83 ° E ﻿ / 43 ; 83 -- 43 ° N 86 ° E ﻿ / ﻿ 43 ° N 86 ° E ﻿ / 43 ; 86 ) is a mini desert enclosed by two prominent members of the Shanashen Trahen Osh mountain range , namely the chucis and the kracenard pine rallies , running perpendicular and far from one another . As they proceed south , they transcend and transpose , sweeping back on east and west respectively , with Lake Bosten in between . These two ranges mark the northern and the southern edges respectively of a great swelling , which extends eastward for nearly twenty degrees of longitude . On its northern side , the Chol - tagh descends steeply , and its foot is fringed by a string of deep depressions , ranging from Lukchun ( 130 m ( 427 ft ) below sea level ) to Hami ( 850 m ( 2,789 ft ) above sea - level ) . To the south of the Kuruk - tagh lie the desert of Lop Nur , the Kum - tagh desert , and the valley of the Bulunzir - gol . To this great swelling , which arches up between the two border - ranges of the Chol - tagh and Kuruk - tagh , the Mongols give the name of Ghashuun - Gobi or `` Salt Desert '' . It is some 130 to 160 km ( 81 to 99 mi ) across from north to south , and is traversed by a number of minor parallel ranges , ridges and chains of hills . Down its middle runs a broad stony valley , 40 to 80 km ( 25 to 50 mi ) wide , at an elevation of 900 to 1,370 m ( 2,950 to 4,490 ft ) . The Chol - tagh , which reaches an average altitude of 1,800 m ( 5,900 ft ) , is absolutely sterile , and its northern foot rests upon a narrow belt of barren sand , which leads down to the depressions mentioned above .   The Kuruk - tagh is the greatly disintegrated , denuded and wasted relic of a mountain range which used to be of incomparably greater magnitude . In the west , between Lake Bosten and the Tarim , it consists of two , possibly of three , principal ranges , which , although broken in continuity , run generally parallel to one another , and embrace between them numerous minor chains of heights . These minor ranges , together with the principal ranges , divide the region into a series of long ; narrow valleys , mostly parallel to one another and to the enclosing mountain chains , which descend like terraced steps , on the one side towards the depression of Lukchun and on the other towards the desert of Lop . In many cases these latitudinal valleys are barred transversely by ridges or spurs , generally elevations en masse of the bottom of the valley . Where such elevations exist , there is generally found , on the east side of the transverse ridge , a cauldron - shaped depression , which some time or other has been the bottom of a former lake , but is now nearly a dry salt - basin . The surface configuration is in fact markedly similar to that which occurs in the inter-mount latitudinal valleys of the Kunlun Mountains . The hydrography of the Ghashiun - Gobi and the Kuruk - tagh is determined by these chequered arrangements of the latitudinal valleys . Most of the principal streams , instead of flowing straight down these valleys , cross them diagonally and only turn west after they have cut their way through one or more of the transverse barrier ranges . To the highest range on the great swelling Grumm - Grzhimailo gives the name of Tuge - tau , its altitude being 2,700 m ( 8,858 ft ) above the level of the sea and some 1,200 m ( 3,937 ft ) above the crown of the swelling itself . This range he considers to belong to the Choltagh system , whereas Sven Hedin would assign it to the Kuruk - tagh . This last , which is pretty certainly identical with the range of Kharateken - ula ( also known as the Kyzyl - sanghir , Sinir , and Singher Mountains ) , that overlooks the southern shore of the Lake Bosten , though parted from it by the drift - sand desert of Ak - bel - kum ( White Pass Sands ) , has at first a west - northwest to east - southeast strike , but it gradually curves round like a scimitar towards the east - northeast and at the same time gradually decreases in elevation . In 91 ° east , while the principal range of the Kuruk - tagh system wheels to the east - northeast , four of its subsidiary ranges terminate , or rather die away somewhat suddenly , on the brink of a long narrow depression ( in which Sven Hedin sees a northeast bay of the former great Central Asian lake of Lop - nor ) , having over against them the écheloned terminals of similar subordinate ranges of the Pe - shan ( Boy - san ) system ( see below ) . The Kuruk - tagh is throughout a relatively low , but almost completely barren range , being entirely destitute of animal life , save for hares , antelopes and wild camels , which frequent its few small , widely scattered oases . The vegetation , which is confined to these same relatively favoured spots , is of the scantiest and is mainly confined to bushes of saxaul ( Haloxylon ) , anabasis , reeds ( kamish ) , tamarisks , poplars , and Ephedra .   European exploration up to 1911 ( edit )   The Gobi had a long history of human habitation , mostly by nomadic peoples . By the early 20th century the region was under the nominal control of Manchu - China , and inhabited mostly by Mongols , Uyghurs , and Kazakhs . The Gobi Desert as a whole was only very imperfectly known to outsiders , information being confined to observations by individual travellers from their respective itineraries across the desert . Among the European explorers who contributed to early - 20th - century understanding of the Gobi , the most important were :    Jean - François Gerbillon ( 1688 -- 1698 )   Eberhard Isbrand Ides ( 1692 -- 1694 )   Lorenz Lange ( 1727 -- 1728 and 1736 )   Fuss and Alexander G. von Bunge ( 1830 -- 1831 )   Hermann Fritsche ( 1868 -- 1873 )   Pavlinov and Z.L. Matusovski ( 1870 )   Ney Elias ( 1872 -- 1873 )   Nikolai Przhevalsky ( 1870 -- 1872 and 1876 -- 1877 )   Zosnovsky ( 1875 )   Mikhail V. Pevtsov ( 1878 )   Grigory Potanin ( 1877 and 1884 -- 1886 )   Count Béla Széchenyi and Lajos Lóczy ( 1879 -- 1880 )   The brothers G.E. Grumm - Grshimailo ( 1889 -- 1890 ) and ? Grumm - Grshimailo .   Pyotr Kuzmich Kozlov ( 1893 -- 1894 and 1899 -- 1900 )   Vsevolod I. Roborovsky ( 1894 )   Vladimir Obruchev ( 1894 -- 1896 )   Karl Josef Futterer and Dr. Holderer ( 1896 )   Charles - Etienne Bonin ( 1896 and 1899 )   Sven Hedin ( 1897 and 1900 -- 1901 )   K. Bogdanovich ( 1898 )   Ladyghin ( 1899 -- 1900 ) and Katsnakov ( 1899 -- 1900 )   Count Jacques Bouly de Lesdain and Martha Mailey , 1902 .    See also ( edit )    Asian Dust   Geography of Mongolia   Geography of China   Green Wall of China   Legendary Mongolian death worm ( olgoi khorkhoi ) , said to inhabit the Gobi in Mongolia   List of deserts by area    Notes ( edit )    ^ Jump up to : Sternberg , Troy ; Rueff , Henri ; Middleton , Nick ( 2015 - 01 - 26 ) . `` Contraction of the Gobi Desert , 2000 -- 2012 '' . Remote Sensing. 7 ( 2 ) : 1346 -- 1358 . doi : 10.3390 / rs70201346 .   Jump up ^ Wright , John W. , ed. ( 2006 ) . The New York Times Almanac ( 2007 ed . ) . New York , New York : Penguin Books . p. 456 . ISBN 0 - 14 - 303820 - 6 .   Jump up ^ Hare , John ( 2009 - 11 - 01 ) . `` The Mysteries of the Gobi Desert '' . Asian Affairs . 40 ( 3 ) : 408 -- 417 . doi : 10.1080 / 03068370903195196 . ISSN 0306 - 8374 .   Jump up ^ Kielan - Jaworowska , Zofia ( 1975 ) . `` Late Cretaceous Mammals and Dinosaurs from the Gobi Desert : Fossils excavated by the Polish - Mongolian Paleontological Expeditions of 1963 -- 71 cast new light on primitive mammals and dinosaurs and on faunal interchange between Asia and North America '' . American Scientist. 63 ( 2 ) : 150 -- 159 . doi : 10.2307 / 27845359 .   Jump up ^ Planet Earth , BBC TV series 2006 UK , 2007 US , `` Episode 5 '' .   Jump up ^ https://gobiproject.weebly.com/climate.html   Jump up ^ Keqin , Gao ; Norell , Mark A. ( 2000 - 03 - 01 ) . `` Taxonomic composition and systematics of late Cretaceous lizard assemblages from Ukhaa Tolgod and adjacent localities '' . Bulletin of the American Museum of Natural History . 249 : 1 -- 118 . doi : 10.1206 / 0003 - 0090 ( 2000 ) 2492.0.CO ; 2 . ISSN 0003 - 0090 .   Jump up ^ Liu , Ji - Liang ; Li , Feng - Rui ; Liu , Chang - An ; Liu , Qi - Jun ( 2012 - 09 - 01 ) . `` Influences of shrub vegetation on distribution and diversity of a ground beetle community in a Gobi desert ecosystem '' . Biodiversity and Conservation. 21 ( 10 ) : 2601 -- 2619 . doi : 10.1007 / s10531 - 012 - 0320 - 4 . ISSN 0960 - 3115 .   Jump up ^ Liu , Ji - Liang ; Li , Feng - Rui ; Liu , Chang - An ; Liu , Qi - Jun ( 2012 - 09 - 01 ) . `` Influences of shrub vegetation on distribution and diversity of a ground beetle community in a Gobi desert ecosystem '' . Biodiversity and Conservation. 21 ( 10 ) : 2601 -- 2619 . doi : 10.1007 / s10531 - 012 - 0320 - 4 . ISSN 0960 - 3115 .   Jump up ^ Yiruhan , I. ( 2001 ) . Changes in floristic composition of grasslands according to grazing intensity in inner Mongolia , China . Journal of Japanese Society of Grassland Science , 47 , 362 - 369 .   Jump up ^ `` Oyu Tolgoi Gold and Copper Project , Southern Mongolia '' . Archived from the original on February 21 , 2009 . Retrieved 2009 - 08 - 08 .   Jump up ^ `` Oyu Tolgoi '' . Archived from the original on 2013 - 02 - 01 . Retrieved 2012 - 11 - 20 .   Jump up ^ `` Rio set to open mammoth Mongolian mine '' . Retrieved 2012 - 11 - 20 .   Jump up ^ F. Yu , K.P. Price , J. Ellis , J.J. Feddema , P. Shi ( 2004 ) . `` Interannual variations of the grassland boundaries bordering the eastern edges of the Gobi Desert in central Asia '' . International Journal of Remote Sensing. 25 : 327 -- 346 .   Jump up ^ Parungo , Farn ; Zhe , Li ; Xingsheng , LI ; Yang , Dongzeng ; Harris , Joyce ( 1994 - 06 - 01 ) . `` Gobi dust storms and The Great Green Wall '' . Geophysical Research Letters. 21 ( 11 ) : 999 -- 1002 . doi : 10.1029 / 94GL00879 . ISSN 1944 - 8007 .   Jump up ^ Lattimore ( 1973 ) , p. 238 .   Jump up ^ `` Romance Gone , Given Divorce '' . The Evening News . Harrisburg , Pennsylvania . July 28 , 1926 . p. 1 . Retrieved October 4 , 2016 -- via Newspapers.com . ( Registration required ( help ) ) . In 1902 , while Lesdain was leading an expedition through the Gobi desert , he crossed the path of another explorer . This latter proved to be Miss Mailey who , dressed in men 's clothes , commanded her expedition with assurance borne of the safe culmination of many adventures .    References ( edit )    This article incorporates text from a publication now in the public domain : Chisholm , Hugh , ed. ( 1911 ) . `` article name needed '' . Encyclopædia Britannica ( 11th ed . ) . Cambridge University Press .   Owen Lattimore. ( 1973 ) `` Return to China 's Northern Frontier '' . The Geographical Journal , Vol. 139 , No. 2 ( June 1973 ) , pp. 233 -- 242 .    Further reading ( edit )    Cable , Mildred and French , Francesca ( 1943 ) The Gobi Desert Landsborough Publications , London , OCLC 411792 .   Man , John ( 1997 ) Gobi : Tracking the Desert Yale University Press , New Haven , ISBN 0 - 300 - 07609 - 6 .   Stewart , Stanley ( 2001 ) In the Empire of Genghis Khan : A Journey among Nomads HarperCollins Publishers , London , ISBN 0 - 00 - 653027 - 3 .   Thayer , Helen ( 2007 ) Walking the Gobi : 1,600 Mile - trek Across a Desert of Hope and Despair Mountaineer Books , Seattle , WA , ISBN 978 - 1 - 59485 - 064 - 6 .   Younghusband , Francis ( 1904 ) The Heart of a Continent , John Murray .    External links ( edit )       Wikimedia Commons has media related to Gobi Desert .      Map , from `` China the Beautiful ''   Flickr : Photos tagged with gobi              Palearctic deserts and xeric shrublands     Africa      Atlantic coastal desert     Mauritania   Western Sahara       Sahara desert     Algeria   Chad   Egypt   Libya   Mali   Mauritania   Niger   Sudan       South Saharan steppe and woodlands     Algeria   Chad   Mali   Mauritania   Niger   Sudan       Tibesti - Jebel Uweinat montane xeric woodlands     Chad   Egypt   Libya   Sudan       West Saharan montane xeric woodlands     Algeria   Mali   Mauritania   Niger          Western Asia      Arabian Desert and East Sahero - Arabian xeric shrublands     Egypt   Jordan   Oman   Saudi Arabia   Syria   United Arab Emirates   Yemen       North Saharan steppe and woodlands     Algeria   Egypt   Libya   Morocco   Tunisia   Western Sahara       Persian Gulf desert and semi-desert     Bahrain   Kuwait   Qatar   Saudi Arabia   United Arab Emirates       Red Sea Nubo - Sindian tropical desert an</t>
    </r>
  </si>
  <si>
    <t xml:space="preserve">where is the gobi desert located on a world map</t>
  </si>
  <si>
    <r>
      <rPr>
        <sz val="11"/>
        <color rgb="FF000000"/>
        <rFont val="Calibri"/>
        <family val="0"/>
        <charset val="1"/>
      </rPr>
      <t xml:space="preserve"> The Gobi Desert ( / ˈɡoʊ. bi / ; Mongolian : Говь , Gowĭ , ( ɢɔwj ) , `` semidesert '' ; Chinese : </t>
    </r>
    <r>
      <rPr>
        <sz val="11"/>
        <color rgb="FF000000"/>
        <rFont val="Noto Sans CJK SC"/>
        <family val="2"/>
      </rPr>
      <t xml:space="preserve">戈壁 </t>
    </r>
    <r>
      <rPr>
        <sz val="11"/>
        <color rgb="FF000000"/>
        <rFont val="Calibri"/>
        <family val="0"/>
        <charset val="1"/>
      </rPr>
      <t xml:space="preserve">; pinyin : Gēbì , Xiao'erjing : قْبِ , ( kɤ́. pî ) , Dungan : Гәби ) is a large desert region in Asia . It covers parts of northern and northwestern China , and of southern Mongolia . The desert basins of the Gobi are bounded by the Altai Mountains and the grasslands and steppes of Mongolia on the north , by the Taklamakan Desert to the west , by the Hexi Corridor and Tibetan Plateau to the southwest , and by the North China Plain to the southeast . The Gobi is notable in history as part of the great Mongol Empire , and as the location of several important cities along the Silk Road . </t>
    </r>
  </si>
  <si>
    <t xml:space="preserve">Sustainable development - Wikipedia  Sustainable development    Wind powers 5 MW wind turbines on a wind farm 28 km off the coast of Belgium .  Sustainable development is the organizing principle for meeting human development goals while at the same time sustaining the ability of natural systems to provide the natural resources and ecosystem services upon which the economy and society depend . The desired result is a state of society where living conditions and resource use continue to meet human needs without undermining the integrity and stability of the natural system . Sustainable development can be classified as development that meet the needs of the present without compromising the ability of future generations .   While the modern concept of sustainable development is derived mostly from the 1987 Brundtland Report , it is also rooted in earlier ideas about sustainable forest management and twentieth century environmental concerns . As the concept developed , it has shifted to focus more on economic development , social development and environmental protection for future generations . It has been suggested that `` the term ' sustainability ' should be viewed as humanity 's target goal of human - ecosystem equilibrium ( homeostasis ) , while ' sustainable development ' refers to the holistic approach and temporal processes that lead us to the end point of sustainability '' . The modern economies are endeavouring to reconcile ambitious economic development and obligations of preserving the natural resources and ecosystem , the two are traditionally seen as of conflicting nature . Instead of holding climate change commitments and other sustainability measures as a drug to economic development , turning and leveraging them into market opportunities will do greater good . The economic development brought by such organized principles and practices in an economy is called Managed Sustainable Development ( MSD ) .   The concept of sustainable development has been -- and still is -- subject to criticism . What , exactly , is to be sustained in sustainable development ? It has been argued that there is no such thing as a sustainable use of a non-renewable resource , since any positive rate of exploitation will eventually lead to the exhaustion of earth 's finite stock .   Contents    1 History   2 Sustainable Development Goals ( SDGs )   3 Domains   3.1 Environmental ( or ecological )   3.1. 1 Agriculture     3.2 Economics   3.2. 1 Environmental economics   3.2. 2 Energy   3.2. 3 Manufacturing   3.2. 4 Technology   3.2. 5 Transport   3.2. 6 Business   3.2. 7 Income   3.2. 8 Architecture     3.3 Politics   3.4 Culture     4 Themes   4.1 Progress   4.2 Measurement   4.3 Natural capital   4.4 Business - as - usual   4.5 Education     5 Insubstantial stretching of the term   6 See also   7 Sources   8 References   9 Further reading   10 External links    History ( edit )  Main articles : Sustainability and History of sustainability The Blue Marble photograph , taken from Apollo 17 on 7 December 1972 , quickly became an icon of environmental conservation .  Sustainability can be defined as the practice of maintaining processes of productivity indefinitely -- natural or human made -- by replacing resources used with resources of equal or greater value without degrading or endangering natural biotic systems . Sustainable development ties together concern for the carrying capacity of natural systems with the social , political , and economic challenges faced by humanity . Sustainability science is the study of the concepts of sustainable development and environmental science . There is an additional focus on the present generations ' responsibility to regenerate , maintain and improve planetary resources for use by future generations .   Sustainable development has its roots in ideas about sustainable forest management which were developed in Europe during the seventeenth and eighteenth centuries . In response to a growing awareness of the depletion of timber resources in England , John Evelyn argued that `` sowing and planting of trees had to be regarded as a national duty of every landowner , in order to stop the destructive over-exploitation of natural resources '' in his 1662 essay Sylva . In 1713 Hans Carl von Carlowitz , a senior mining administrator in the service of Elector Frederick Augustus I of Saxony published Sylvicultura oeconomica , a 400 - page work on forestry . Building upon the ideas of Evelyn and French minister Jean - Baptiste Colbert , von Carlowitz developed the concept of managing forests for sustained yield . His work influenced others , including Alexander von Humboldt and Georg Ludwig Hartig , eventually leading to the development of a science of forestry . This in turn influenced people like Gifford Pinchot , first head of the US Forest Service , whose approach to forest management was driven by the idea of wise use of resources , and Aldo Leopold whose land ethic was influential in the development of the environmental movement in the 1960s .   Following the publication of Rachel Carson 's Silent Spring in 1962 , the developing environmental movement drew attention to the relationship between economic growth and development and environmental degradation . Kenneth E. Boulding in his influential 1966 essay The Economics of the Coming Spaceship Earth identified the need for the economic system to fit itself to the ecological system with its limited pools of resources . One of the first uses of the term sustainable in the contemporary sense was by the Club of Rome in 1972 in its classic report on the Limits to Growth , written by a group of scientists led by Dennis and Donella Meadows of the Massachusetts Institute of Technology . Describing the desirable `` state of global equilibrium '' , the authors wrote : `` We are searching for a model output that represents a world system that is sustainable without sudden and uncontrolled collapse and capable of satisfying the basic material requirements of all of its people . ''   Following the Club of Rome report , an MIT research group prepared ten days of hearings on `` Growth and Its Implication for the Future '' ( Roundtable Press , 1973 ) for the US Congress , the first hearings ever held on sustainable development . William Flynn Martin , David Dodson Gray , and Elizabeth Gray prepared the hearings under the Chairmanship of Congressman John Dingell .   In 1980 the International Union for the Conservation of Nature published a world conservation strategy that included one of the first references to sustainable development as a global priority and introduced the term `` sustainable development '' . Two years later , the United Nations World Charter for Nature raised five principles of conservation by which human conduct affecting nature is to be guided and judged . In 1987 the United Nations World Commission on Environment and Development released the report Our Common Future , commonly called the Brundtland Report . The report included what is now one of the most widely recognised definitions of sustainable development .     ``   Sustainable development is development that meets the needs of the present without compromising the ability of future generations to meet their own needs . It contains within it two key concepts : The concept of ' needs ' , in particular , the essential needs of the world 's poor , to which overriding priority should be given ; and The idea of limitations imposed by the state of technology and social organization on the environment 's ability to meet present and future needs .   ''     -- World Commission on Environment and Development , Our Common Future ( 1987 )     Since the Brundtland Report , the concept of sustainable development has developed beyond the initial intergenerational framework to focus more on the goal of `` socially inclusive and environmentally sustainable economic growth '' . In 1992 , the UN Conference on Environment and Development published the Earth Charter , which outlines the building of a just , sustainable , and peaceful global society in the 21st century . The action plan Agenda 21 for sustainable development identified information , integration , and participation as key building blocks to help countries achieve development that recognises these interdependent pillars . It emphasises that in sustainable development everyone is a user and provider of information . It stresses the need to change from old sector - centered ways of doing business to new approaches that involve cross-sectoral co-ordination and the integration of environmental and social concerns into all development processes . Furthermore , Agenda 21 emphasises that broad public participation in decision making is a fundamental prerequisite for achieving sustainable development .   Under the principles of the United Nations Charter the Millennium Declaration identified principles and treaties on sustainable development , including economic development , social development and environmental protection . Broadly defined , sustainable development is a systems approach to growth and development and to manage natural , produced , and social capital for the welfare of their own and future generations . The term sustainable development as used by the United Nations incorporates both issues associated with land development and broader issues of human development such as education , public health , and standard of living .   A 2013 study concluded that sustainability reporting should be reframed through the lens of four interconnected domains : ecology , economics , politics and culture .   Sustainable development goals ( SDGs ) ( edit )   In September 2015 , the United Nations General Assembly formally adopted the `` universal , integrated and transformative '' 2030 Agenda for Sustainable Development , a set of 17 Sustainable Development Goals ( SDGs ) . The goals are to be implemented and achieved in every country from the year 2016 to 2030 .   Domains ( edit )  See also : Planetary boundaries and Triple bottom line        Scheme of sustainable development : at the confluence of three constituent parts . ( 2006 )     Sustainable development , or sustainability , has been described in terms of three spheres , dimensions , domains or pillars , i.e. the environment , the economy and society . The three - sphere framework was initially proposed by the economist René Passet in 1979 . It has also been worded as `` economic , environmental and social '' or `` ecology , economy and equity '' . This has been expanded by some authors to include a fourth pillar of culture , institutions or governance , or alternatively reconfigured as four domains of the social - ecology , economics , politics and culture , thus bringing economics back inside the social , and treating ecology as the intersection of the social and the natural .   Environmental ( or ecological ) ( edit )  See also : Ecological engineering Relationship between ecological footprint and Human Development Index ( HDI )  The ecological stability of human settlements is part of the relationship between humans and their natural , social and built environments . Also termed human ecology , this broadens the focus of sustainable development to include the domain of human health . Fundamental human needs such as the availability and quality of air , water , food and shelter are also the ecological foundations for sustainable development ; addressing public health risk through investments in ecosystem services can be a powerful and transformative force for sustainable development which , in this sense , extends to all species .   Environmental sustainability concerns the natural environment and how it endures and remains diverse and productive . Since natural resources are derived from the environment , the state of air , water , and the climate are of particular concern . The IPCC Fifth Assessment Report outlines current knowledge about scientific , technical and socio - economic information concerning climate change , and lists options for adaptation and mitigation . Environmental sustainability requires society to design activities to meet human needs while preserving the life support systems of the planet . This , for example , entails using water sustainably , utilizing renewable energy , and sustainable material supplies ( e.g. harvesting wood from forests at a rate that maintains the biomass and biodiversity ) .   An unsustainable situation occurs when natural capital ( the sum total of nature 's resources ) is used up faster than it can be replenished . Sustainability requires that human activity only uses nature 's resources at a rate at which they can be replenished naturally . Inherently the concept of sustainable development is intertwined with the concept of carrying capacity . Theoretically , the long - term result of environmental degradation is the inability to sustain human life . Such degradation on a global scale should imply an increase in human death rate until population falls to what the degraded environment can support . If the degradation continues beyond a certain tipping point or critical threshold it would lead to eventual extinction for humanity .     Consumption of non-renewable resources   State of environment   Sustainability     More than nature 's ability to replenish   Environmental degradation   Not sustainable     Equal to nature 's ability to replenish   Environmental equilibrium   Steady state economy     Less than nature 's ability to replenish   Environmental renewal   Environmentally sustainable     Integral elements for a sustainable development are research and innovation activities . A telling example is the European environmental research and innovation policy , which aims at defining and implementing a transformative agenda to greening the economy and the society as a whole so to achieve a truly sustainable development . Research and innovation in Europe is financially supported by the programme Horizon 2020 , which is also open to participation worldwide . A promising direction towards sustainable development is to design systems that are flexible and reversible .   Pollution of the public resources is really not a different action , it just is a reverse tragedy of the commons , in that instead of taking something out , something is put into the commons . When the costs of polluting the commons are not calculated into the cost of the items consumed , then it becomes only natural to pollute , as the cost of pollution is external to the cost of the goods produced and the cost of cleaning the waste before it is discharged exceeds the cost of releasing the waste directly into the commons . So , the only way to solve this problem is by protecting the ecology of the commons by making it , through taxes or fines , more costly to release the waste directly into the commons than would be the cost of cleaning the waste before discharge .   So , one can try to appeal to the ethics of the situation by doing the right thing as an individual , but in the absence of any direct consequences , the individual will tend to do what is best for the person and not what is best for the common good of the public . Once again , this issue needs to be addressed . Because , left unaddressed , the development of the commonly owned property will become impossible to achieve in a sustainable way . So , this topic is central to the understanding of creating a sustainable situation from the management of the public resources that are used for personal use .  Agriculture ( edit ) See also : Sustainable agriculture  Sustainable agriculture consists of environment friendly methods of farming that allow the production of crops or livestock without damage to human or natural systems . It involves preventing adverse effects to soil , water , biodiversity , surrounding or downstream resources -- as well as to those working or living on the farm or in neighboring areas . The concept of sustainable agriculture extends intergenerationally , passing on a conserved or improved natural resource , biotic , and economic base rather than one which has been depleted or polluted . Elements of sustainable agriculture include permaculture , agroforestry , mixed farming , multiple cropping , and crop rotation . It involves agricultural methods that do not undermine the environment , smart farming technologies that enhance a quality environment for humans to thrive and reclaiming and transforming deserts into farmlands ( Herman Daly , 2017 ) .   Numerous sustainability standards and certification systems exist , including organic certification , Rainforest Alliance , Fair Trade , UTZ Certified , Bird Friendly , and the Common Code for the Coffee Community ( 4C ) .   Economics ( edit )  A sewage treatment plant that uses solar energy , located at Santuari de Lluc monastery , Majorca . See also : Ecological economics  It has been suggested that because of rural poverty and overexploitation , environmental resources should be treated as important economic assets , called natural capital . Economic development has traditionally required a growth in the gross domestic product . This model of unlimited personal and GDP growth may be over . Sustainable development may involve improvements in the quality of life for many but may necessitate a decrease in resource consumption . According to ecological economist Malte Faber , ecological economics is defined by its focus on nature , justice , and time . Issues of intergenerational equity , irreversibility of environmental change , uncertainty of long - term outcomes , and sustainable development guide ecological economic analysis and valuation .   As early as the 1970s , the concept of sustainability was used to describe an economy `` in equilibrium with basic ecological support systems '' . Scientists in many fields have highlighted The Limits to Growth , and economists have presented alternatives , for example a ' steady - state economy ' ; to address concerns over the impacts of expanding human development on the planet . In 1987 the economist Edward Barbier published the study The Concept of Sustainable Economic Development , where he recognised that goals of environmental conservation and economic development are not conflicting and can be reinforcing each other .   A World Bank study from 1999 concluded that based on the theory of genuine savings , policymakers have many possible interventions to increase sustainability , in macroeconomics or purely environmental . Several studies have noted that efficient policies for renewable energy and pollution are compatible with increasing human welfare , eventually reaching a golden - rule steady state .   The study , Interpreting Sustainability in Economic Terms , found three pillars of sustainable development , interlinkage , intergenerational equity , and dynamic efficiency .   But Gilbert Rist points out that the World Bank has twisted the notion of sustainable development to prove that economic development need not be deterred in the interest of preserving the ecosystem . He writes : `` From this angle , ' sustainable development ' looks like a cover - up operation ... The thing that is meant to be sustained is really ' development ' , not the tolerance capacity of the ecosystem or of human societies . ''   The World Bank , a leading producer of environmental knowledge , continues to advocate the win - win prospects for economic growth and ecological stability even as its economists express their doubts . Herman Daly , an economist for the Bank from 1988 to 1994 , writes :   When authors of WDR ' 92 ( the highly influential 1992 World Development Report that featured the environment ) were drafting the report , they called me asking for examples of `` win - win '' strategies in my work . What could I say ? None exists in that pure form ; there are trade - offs , not `` win - wins . '' But they want to see a world of `` win - wins '' based on articles of faith , not fact . I wanted to contribute because WDRs are important in the Bank , ( because ) task managers read ( them ) to find philosophical justification for their latest round of projects . But they did not want to hear about how things really are , or what I find in my work ... ''   A meta review in 2002 looked at environmental and economic valuations and found a lack of `` sustainability policies '' . A study in 2004 asked if we consume too much . A study concluded in 2007 that knowledge , manufactured and human capital ( health and education ) has not compensated for the degradation of natural capital in many parts of the world . It has been suggested that intergenerational equity can be incorporated into a sustainable development and decision making , as has become common in economic valuations of climate economics . A meta review in 2009 identified conditions for a strong case to act on climate change , and called for more work to fully account of the relevant economics and how it affects human welfare . According to free - market environmentalist John Baden `` the improvement of environment quality depends on the market economy and the existence of legitimate and protected property rights '' . They enable the effective practice of personal responsibility and the development of mechanisms to protect the environment . The State can in this context `` create conditions which encourage the people to save the environment '' .   Misum , Mistra Center for Sustainable Markets , based at Stockholm School of Economics , aims to provide policy research and advice to Swedish and international actors on Sustainable Markets . Misum is a cross-disciplinary and multi-stakeholder knowledge center dedicated to sustainability and sustainable markets and contains three research platforms : Sustainability in Financial Markets ( Mistra Financial Systems ) , Sustainability in Production and Consumption and Sustainable Socio - Economic Development .  Environmental economics ( edit ) Main article : Environmental economics  The total environment includes not just the biosphere of earth , air , and water , but also human interactions with these things , with nature , and what humans have created as their surroundings .   As countries around the world continue to advance economically , they put a strain on the ability of the natural environment to absorb the high level of pollutants that are created as a part of this economic growth . Therefore , solutions need to be found so that the economies of the world can continue to grow , but not at the expense of the public good . In the world of economics the amount of environmental quality must be considered as limited in supply and therefore is treated as a scarce resource . This is a resource to be protected . One common way to analyze possible outcomes of policy decisions on the scarce resource is to do a cost - benefit analysis . This type of analysis contrasts different options of resource allocation and , based on an evaluation of the expected courses of action and the consequences of these actions , the optimal way to do so in the light of different policy goals can be elicited .   Benefit - cost analysis basically can look at several ways of solving a problem and then assigning the best route for a solution , based on the set of consequences that would result from the further development of the individual courses of action , and then choosing the course of action that results in the least amount of damage to the expected outcome for the environmental quality that remains after that development or process takes place . Further complicating this analysis are the interrelationships of the various parts of the environment that might be impacted by the chosen course of action . Sometimes it is almost impossible to predict the various outcomes of a course of action , due to the unexpected consequences and the amount of unknowns that are not accounted for in the benefit - cost analysis .  Energy ( edit ) Main articles : Smart grid and Sustainable energy  Sustainable energy is clean and can be used over a long period of time . Unlike fossil fuels and biofuels that provide the bulk of the worlds energy , renewable energy sources like hydroelectric , solar and wind energy produce far less pollution . Solar energy is commonly used on public parking meters , street lights and the roof of buildings . Wind power has expanded quickly , its share of worldwide electricity usage at the end of 2014 was 3.1 % . Most of California 's fossil fuel infrastructures are sited in or near low - income communities , and have traditionally suffered the most from California 's fossil fuel energy system . These communities are historically left out during the decision - making process , and often end up with dirty power plants and other dirty energy projects that poison the air and harm the area . These toxicants are major contributors to health problems in the communities . As renewable energy becomes more common , fossil fuel infrastructures are replaced by renewables , providing better social equity to these communities . Overall , and in the long run , sustainable development in the field of energy is also deemed to contribute to economic sustainability and national security of communities , thus being increasingly encouraged through investment policies .  Manufacturing ( edit )  Main article : Green manufacturing and Distributed manufacturing  Technology ( edit ) See also : Appropriate technology , Environmental engineering , and Environmental technology  One of the core concepts in sustainable development is that technology can be used to assist people meet their developmental needs . Technology to meet these sustainable development needs is often referred to as appropriate technology , which is an ideological movement ( and its manifestations ) originally articulated as intermediate technology by the economist E.F. Schumacher in his influential work , Small is Beautiful. and now covers a wide range of technologies . Both Schumacher and many modern - day proponents of appropriate technology also emphasise the technology as people - centered . Today appropriate technology is often developed using open source principles , which have led to open - source appropriate technology ( OSAT ) and thus many of the plans of the technology can be freely found on the Internet . OSAT has been proposed as a new model of enabling innovation for sustainable development .  Transport ( edit ) See also : Sustainable transport  Transportation is a large contributor to greenhouse gas emissions . It is said that one - third of all gasses produced are due to transportation . Motorized transport also releases exhaust fumes that contain particulate matter which is hazardous to human health and a contributor to climate change .   Sustainable transport has many social and economic benefits that can accelerate local sustainable development . According to a series of reports by the Low Emission Development Strategies Global Partnership ( LEDS GP ) , sustainable transport can help create jobs , improve commuter safety through investment in bicycle lanes and pedestrian pathways , make access to employment and social opportunities more affordable and efficient . It also offers a practical opportunity to save people 's time and household income as well as government budgets , making investment in sustainable transport a ' win - win ' opportunity .   Some Western countries are making transportation more sustainable in both long - term and short - term implementations . An example is the modification in available transportation in Freiburg , Germany . The city has implemented extensive methods of public transportation , cycling , and walking , along with large areas where cars are not allowed .   Since many Western countries are highly automobile - oriented , the main transit that people use is personal vehicles . About 80 % of their travel involves cars . Therefore , California , is one of the highest greenhouse gases emitters in the United States . The federal government has to come up with some plans to reduce the total number of vehicle trips in order to lower greenhouse gases emission . Such as :    Improve public transit through the provision of larger coverage area in order to provide more mobility and accessibility , new technology to provide a more reliable and responsive public transportation network .   Encourage walking and biking through the provision of wider pedestrian pathway , bike share stations in downtowns , locate parking lots far from the shopping center , limit on street parking , slower traffic lane in downtown area .   Increase the cost of car ownership and gas taxes through increased parking fees and tolls , encouraging people to drive more fuel efficient vehicles . This can produce a social equity problem , since lower income people usually drive older vehicles with lower fuel efficiency . Government can use the extra revenue collected from taxes and tolls to improve public transportation and benefit poor communities .    Other states and nations have built efforts to translate knowledge in behavioral economics into evidence - based sustainable transportation policies .  Business ( edit ) See also : Corporate sustainability  The most broadly accepted criterion for corporate sustainability constitutes a firm 's efficient use of natural capital . This eco-efficiency is usually calculated as the economic value added by a firm in relation to its aggregated ecological impact . This idea has been popularised by the World Business Council for Sustainable Development ( WBCSD ) under the following definition : `` Eco-efficiency is achieved by the delivery of competitively priced goods and services that satisfy human needs and bring quality of life , while progressively reducing ecological impacts and resource intensity throughout the life - cycle to a level at least in line with the earth 's carrying capacity '' ( DeSimone and Popoff , 1997 : 47 ) .   Similar to the eco-efficiency concept but so far less explored is the second criterion for corporate sustainability . Socio - efficiency describes the relation between a firm 's value added and its social impact . Whereas , it can be assumed that most corporate impacts on the environment are negative ( apart from rare exceptions such as the planting of trees ) this is not true for social impacts . These can be either positive ( e.g. corporate giving , creation of employment ) or negative ( e.g. work accidents , mobbing of employees , human rights abuses ) . Depending on the type of impact socio - efficiency thus either tries to minimise negative social impacts ( i.e. accidents per value added ) or maximise positive social impacts ( i.e. donations per value added ) in relation to the value added .   Both eco-efficiency and socio - efficiency are concerned primarily with increasing economic sustainability . In this process they instrumentalise both natural and social capital aiming to benefit from win - win situations . However , as Dyllick and Hockerts point out the business case alone will not be sufficient to realise sustainable development . They point towards eco-effectiveness , socio - effectiveness , sufficiency , and eco-equity as four criteria that need to be met if sustainable development is to be reached .   CASI Global , New York `` CSR &amp; Sustainability together lead to sustainable development . CSR as in corporate social responsibility is not what you do with your profits , but is the way you make profits . This means CSR is a part of every department of the company value chain and not a part of HR / independent department . Sustainability as in effects towards Human resources , Environment and Ecology has to be measured within each department of the company . '' http://casiglobal.us/  Income ( edit )  At the present time , sustainable development can reduce poverty . Sustainable development reduces poverty through financial ( among other things , a balanced budget ) , environmental ( living conditions ) , and social ( including equality of income ) means .  Architecture ( edit ) See also : Sustainable architecture  In sustainable architecture the recent movements of New Urbanism and New Classical architecture promote a sustainable approach towards construction , that appreciates and develops smart growth , architectural tradition and classical design . This in contrast to modernist and International Style architecture , as well as opposing to solitary housing estates and suburban sprawl , with long commuting distances and large ecological footprints . Both trends started in the 1980s . ( It should be noted that sustainable archi</t>
  </si>
  <si>
    <t xml:space="preserve">when did the concept of sustainable development come into existence</t>
  </si>
  <si>
    <t xml:space="preserve"> While the modern concept of sustainable development is derived mostly from the 1987 Brundtland Report , it is also rooted in earlier ideas about sustainable forest management and twentieth century environmental concerns . As the concept developed , it has shifted to focus more on economic development , social development and environmental protection for future generations . It has been suggested that `` the term ' sustainability ' should be viewed as humanity 's target goal of human - ecosystem equilibrium ( homeostasis ) , while ' sustainable development ' refers to the holistic approach and temporal processes that lead us to the end point of sustainability '' . The modern economies are endeavouring to reconcile ambitious economic development and obligations of preserving the natural resources and ecosystem , the two are traditionally seen as of conflicting nature . Instead of holding climate change commitments and other sustainability measures as a drug to economic development , turning and leveraging them into market opportunities will do greater good . The economic development brought by such organized principles and practices in an economy is called Managed Sustainable Development ( MSD ) . </t>
  </si>
  <si>
    <t xml:space="preserve">List of best - selling Music artists - wikipedia  List of best - selling Music artists  Jump to : navigation , search  This list includes music artists with claims of 75 million or more record sales . The artists in the following tables are listed with both their claimed sales figure along with their total of certified units and are ranked in descending order , with the artist with the highest amount of claimed sales at the top . If two or more artists have the same claimed sales , they are then ranked by certified units . The claimed sales figure and the total of certified units ( for each country ) within the provided sources include sales of albums , singles , compilation - albums , music videos as well as downloads of singles and full - length albums . Sales figures , such as those from Soundscan , which are sometimes published by Billboard magazine , have not been included in the certified units column . As of 2017 , based on both sales claims and certified units , The Beatles are considered the highest - selling band . Elvis Presley is considered the highest - selling individual artist based on sales claims and Rihanna is the highest - selling individual artist based on certified units .     Contents  ( hide )   1 Definitions   2 Artists by reputed sales   2.1 250 million or more records   2.2 200 million to 249 million records   2.3 120 million to 199 million records   2.4 100 million to 119 million records   2.5 80 million to 99 million records   2.6 75 million to 79 million records     3 See also   4 Notes   5 References      Definitions   All artists included on this list , which have begun charting on official albums or singles charts have their available claimed figures supported by at least 20 % in certified units . That is why Cliff Richard , Diana Ross , Scorpions , Charles Aznavour , Bing Crosby , Gloria Estefan , Deep Purple , Iron Maiden , Tom Jones , The Jackson 5 , Dionne Warwick , the Spice Girls , Luciano Pavarotti , Dolly Parton , Ozzy Osbourne , Andrea Bocelli and others have not been included on this list . The more recent the artist , the higher the required percentage of certified units , so artists such as Rihanna , Taylor Swift , Flo Rida , Katy Perry , Justin Bieber , Adele , Lady Gaga , Bruno Mars and Nicki Minaj are expected to have their claimed figures supported by over 75 % in certified units . The certified units are sourced from available online databases of local music industry associations . All certified units are converted from Gold / Platinum / Diamond certification awards based on criteria provided by certifying bodies . The certified sales percentage varies according to the first year that an artist appeared in the charts .   The requirements of certified sales are designed to avoid inflated sales figures , which are frequently practiced by record companies for promotional purposes . The claimed figures are referenced from online articles created by highly reliable sources . For clarity , the sources used , say the term `` records '' ( singles , albums , videos ) and not `` albums '' . However , if all available sources for an artist or band say `` albums '' , such sources are only used if the certified album units of the said artist meet the required percentage amount . This list uses claimed figures that are closest to artists ' available certified units : inflated claimed figures that meet the required certified units amount but are unrealistically high , are not used .   The claimed figures are upgraded only when there is a significant progress in artists ' certified sales . In other words , the available certified sales for each artist should get relatively closer to already listed claimed figure in order for higher figures to replace the listed ones .   The certified sales of the newer artists may sometimes be higher than their listed claimed figures . This is because Recording Industry Association of America and almost all other certifying bodies count streaming towards Gold and Platinum thresholds required for Digital Single Award certification . For this reason , some singles and even albums get over certified by hundreds of thousands of units . The over certified figures , however , are often in millions of units for RIAA certifications , one such example is Rihanna 's single `` We Found Love '' , which is certified at nine times Platinum by the RIAA , yet during the time of the certification , it had sold 5.4 million downloads .   The certified sales for some artists / bands who have multi-disc albums can be higher than their listed claimed figures due to Recording Industry Association of America ( RIAA ) counting each unit within set as one unit toward certification .   Artists by reputed sales   250 million or more records     The Beatles     Elvis Presley     Michael Jackson     Madonna     Elton John     Led Zeppelin     Pink Floyd      To ensure the highest level of fact checking and editorial control , this list sources sales figures to news organizations and highly regarded music industry related organizations such as MTV , VH1 , Billboard and Rolling Stone .   The figures of total certified units within the table below are based on certified units of albums , singles ( including digital downloads ) and videos .   Markets ' order within the table is based on Retail Value : each market generates respectively , the largest market at the top and smallest at the bottom .      Artist   Country / Market   Period active   Release year of first charted record   Genre   Total certified units ( from available markets )   Claimed sales     The Beatles   United Kingdom   1960 -- 1970   1962   Rock / Pop   7002270800000000000 ♠ Total available certified units : 270.8 million ( show )   US : 212.250 million   JPN : 4.950 million   UK : 17.845 million   GER : 8 million   FRA : 3.890 million   CAN : 14.455 million   AUS : 3.060 million   ITA : 305,000   BRA : 550,000   SWE 485,000   SPA : 1.240 million   SWI : 350,000   BEL : 265,000   ARG : 1.606 million   DEN : 260,000   AUT : 500,000   POL : 175,000   NZ : 660,000     600 million 500 million     Elvis Presley   United States   1954 -- 1977   1954   Rock and roll / Pop / Country   7002211700000000000 ♠ Total available certified units : 211.7 million ( show )   US : 188.650 million   JPN : 300,000   UK : 12.445 million   GER : 1.2 million   FRA : 2.590 million   CAN : 2.925 million   AUS : 1.587 million   ITA : 105,000   BRA : 125,000   SWE 380,000   SPA : 300,000   MEX : 105,000   SWI : 185,000   BEL : 115,000   ARG : 110,000   DEN : 120,000   AUT : 205,000   FIN : 213,945   NZ : 117,500     600 million 500 million     Michael Jackson   United States   1964 -- 2009   1971   Pop / Rock / Dance / Soul / R&amp;B   7002184200000000000 ♠ Total available certified units : 184.2 million ( show )   US : 104.5 million   JPN : 4.650 million   UK : 27.195 million   GER : 11.275 million   FRA : 11.375 million   CAN : 4.670 million   AUS : 6.6 million   ITA : 1.170 million   BRA : 280,000   SWE : 1.230 million   SPA : 1.995 million   MEX : 3.670 million   SWI : 910,000   BEL : 365,000   ARG : 124,000   DEN : 1.179 million   AUT : 1.197 million   POL : 530,000   FIN : 384,127   NZ : 902,500     350 million 300 million     Madonna   United States   1979 -- present   1982   Pop / Dance / Electronica   7002170600000000000 ♠ Total available certified units : 170.6 million ( show )   US : 85.675 million   JPN : 6.450 million   UK : 28.845 million   GER : 12.4 million   FRA : 12.795 million   CAN : 6.030 million   AUS : 4.717 million   ITA : 465,000   BRA : 3.440 million   SWE : 1.070 million   SPA : 2.815 million   MEX : 510,000   SWI : 1.080 million   BEL : 690,000   ARG : 1.098   DEN : 407,000   AUT : 602,500   POL : 530,000   FIN : 652,686   NZ : 417,500     300 million 275 million     Elton John   United Kingdom   1964 -- present   1969   Pop / Rock   7002169000000000000 ♠ Total available certified units : 169 million ( show )   US : 117.850 million   JPN : 1.1 million   UK : 22.295 million   GER : 7.9 million   FRA : 4.825 million   CAN : 5.975 million   AUS : 2.837 million   BRA : 835,000   SWE : 740,000   SPA : 1.2 million   MEX : 100,000   SWI : 1.313 million   BEL : 390,000   ARG : 128,000   DEN : 150,000   AUT : 765,000   POL : 150,000   FIN : 163,481   NZ : 255,000     300 million 250 million     Led Zeppelin   United Kingdom   1968 -- 1980   1969   Hard rock / Blues rock / Folk rock   7002139500000000000 ♠ Total available certified units : 139.5 million ( show )   US : 114.1 million   JPN : 400,000   UK : 9.130 million   GER : 3.775 million   FRA : 2.310 million   CAN : 4.710 million   AUS : 2.8 million   ITA : 345,000   BRA : 820,000   SPA : 450,000   SWI : 211,000   ARG : 360,000   POL : 120,000     300 million 200 million     Pink Floyd   United Kingdom   1965 -- 1996 , 2014   1967   Progressive rock / Psychedelic rock   7002118900000000000 ♠ Total available certified units : 118.9 million ( show )   US : 78 million   JPN : 100,000   UK : 11.320 million   GER : 7.5 million   FRA : 6.360 million   CAN : 6.790 million   AUS : 2.932 million   ITA : 1.685 million   BRA : 515,000   SWE : 220,000   SPA : 625,000   SWI : 390,000   BEL : 115,000   ARG : 582,000   AUT : 460,000   POL : 590,000   NZ : 787,500     250 million 200 million      The column for certified sales above includes markets , the databases of which contain certifications representing figures of 100,000 and more .    200 million to 249 million records     Rihanna     Mariah Carey     Celine Dion     AC / DC     Whitney Houston     Queen     The Rolling Stones      To ensure the highest level of fact checking and editorial control , this list sources sales figures to news organizations and highly regarded music industry related organizations such as MTV , VH1 , Billboard and Rolling Stone .   The figures of total certified units within the table below are based on certified units of albums , singles ( including digital downloads ) and videos .   Markets ' order within the table is based on Retail Value each market generates respectively , the largest market at the top and the smallest at the bottom .      Artist   Country / Market   Period active   Release - year of first charted record   Genre   Total certified units ( from available markets )   Claimed sales     Rihanna   Barbados United States   2005 -- present   2005   R&amp;B / Pop / Dance / Hip - hop   7002225600000000000 ♠ Total available certified units : 225.6 million ( show )   US : 167.05 million   JPN : 1.4 million   UK : 29.1 million   GER : 4.475 million   FRA : 1.425 million   CAN : 2.840 million   AUS : 9.115 million   ITA : 1.425 million   BRA : 555,000   SWE : 2.480 million   SPA : 1.430 million   MEX : 380,000   SWI : 840,000   BEL : 660,000   DEN : 1.072   AUT : 120,000   POL : 500,000   IRE : 240,000   NZ : 667,500     230 million     Mariah Carey   United States   1988 -- present     R&amp;B / Pop / Soul / Hip - hop   7002136000000000000 ♠ Total available certified units : 136 million ( show )   US : 92.6 million   JPN : 14.5 million   UK : 9.620 million   GER : 3.250 million   FRA : 4.690 million   CAN : 4.1 million   AUS : 3.445 million   ITA : 200,000   BRA : 835,000   SWE : 425,000   SPA : 1 million   SWI : 515,000   BEL : 150,000   DEN : 130,000   AUT : 200,000   POL : 100,000   NZ : 240,000     200 million 175 million     Celine Dion   Canada   1981 -- present   1981   Pop   7002125000000000000 ♠ Total available certified units : 125 million ( show )   US : 56.550 million   JPN : 7.150 million   UK : 13.555 million   GER : 8 million   FRA : 15.685 million   CAN : 12.245 million   AUS : 3.302 million   BRA : 505,000   SWE : 1.105 million   SPA : 1 million   SWI : 1.685 million   BEL : 1.885 million   ARG : 340,000   DEN : 370,000   AUT : 440,000   POL : 680,000   FIN : 356,183   NZ : 192,500     200 million 175 million     AC / DC   Australia   1973 -- present     Hard rock / Blues rock / Rock and roll   7002113200000000000 ♠ Total available certified units : 113.2 million ( show )   US : 79.7 million   UK : 4.2 million   GER : 10.3 million   FRA : 4.180 million   CAN : 2.490 million   AUS : 7.330 million   ITA : 750,000   SWE : 350,000   SPA : 1.355 million   SWI : 894,000   BEL : 100,000   ARG : 594,000   DEN : 135,000   AUT : 380,000   FIN : 321,169   NZ : 140,000     200 million 150 million     Whitney Houston   United States   1977 -- 2012   1984   R&amp;B / Soul / Pop   7002112600000000000 ♠ Total available certified units : 112.6 million ( show )   US : 75.275 million   JPN : 4.3 million   UK : 14.605 million   GER : 5.6 million   FRA : 2.275 million   CAN : 3.430 million   AUS : 1.580 million   ITA : 140,000   BRA : 1.025   SWE : 1.035 million   SPA : 1.260 million   SWI : 845,000   BEL : 215,000   DEN : 140,000   AUT : 535,000   POL : 180,000   FIN : 247,222     200 million 170 million     Queen   United Kingdom   1971 -- present   1973   Rock   7002114700000000000 ♠ Total available certified units : 114.7 million ( show )   US : 55.1 million   JPN : 2.850 million   UK : 28.615 million   GER : 11.525 million   FRA : 4.495 million   CAN : 1.870 million   AUS : 2.167 million   ITA : 505,000   BRA : 970,000   SWE : 190,000   SPA : 1.720 million   SWI : 1.256 million   BEL : 100,000   ARG : 1.080 million   AUT : 900,000   POL : 810,000   FIN : 366,152   NZ : 275,000     200 million 150 million     The Rolling Stones   United Kingdom   1962 -- present   1963   Rock / Blues rock   7001972000000000000 ♠ Total available certified units : 97.2 million ( show )   US : 74.750 million   JPN : 950,000   UK : 8.510 million   GER : 3.2 million   FRA : 3.370 million   AUS : 417,500   CAN : 3.025 million   ITA : 180,000   BRA : 100,000   SWE : 310,000   SPA : 690,000   SWI : 238,000   BEL : 120,000   ARG : 718,000   AUT : 300,000   POL : 140,000   NZ : 190,000     200 million     ABBA   Sweden   1972 -- 1982   1972   Pop / Disco   7001607000000000000 ♠ Total available certified units : 60.7 million ( show )   US : 12.7 million   JPN : 1.5 million   UK : 18.970 million   GER : 10.450 million   FRA : 2.750 million   CAN : 2.785 million   AUS : 6.127 million   BRA : 275,000   SWE : 800,000   SPA : 1.005 million   MEX : 260,000   SWI : 600,000   BEL : 380,000   ARG : 238,000   DEN : 600,000   AUT : 175,000   POL : 150,000   FIN : 656,319   NZ : 297,500     200 million 100 million      The column for certified sales above includes markets , the databases of which contain certifications representing figures of 100,000 and more .    120 million to 199 million records     Taylor Swift     Garth Brooks     Eminem     Eagles     U2     Bruno Mars     Kanye West      To ensure the highest level of fact checking and editorial control , this list sources sales figures to news organizations and highly regarded music industry related organizations such as MTV , VH1 , Billboard and Rolling Stone .   The figures of total certified units within the table below are based on certified units of albums , singles ( including digital downloads ) and videos .   Markets ' order within the table is based on Retail Value each market generates respectively , the largest market at the top and the smallest at the bottom .      Artist   Country / Market   Period active   Release - year of first charted record   Genre   Total certified units ( from available markets )   Claimed sales     Taylor Swift   United States   2006 -- present   2006   Country / Country pop / Pop / Pop - rock   7002158690000000000 ♠ Total available certified units : 158.7 million ( show )   US : 135.5 million   JPN : 2.850 million   UK : 8.2 million   GER : 750,000   FRA : 150,000   CAN : 4.460 million   AUS : 5.425 million   ITA : 235,000   BRA : 170,000   SWE : 180,000   MEX : 450,000   NZ : 367,500     170 million     Garth Brooks   United States   1989 -- present   1989   Country   7002146000000000000 ♠ Total available certified units : 156 million ( show )   US : 149.4 million   UK : 520,000   CAN : 5.730 million   AUS : 280,000   IRE : 120,000     160 million     Eminem   United States   1996 -- present   1999   Hip - hop   7002132000000000000 ♠ Total available certified units : 132 million ( show )   US : 86.1 million   JPN : 2.9 million   UK : 21.425 million   GER : 3.450 million   FRA : 3.170 million   CAN : 3.770 million   AUS : 5.702 million   ITA : 450,000   BRA : 200,000   SWE : 810,000   SPA : 290,000   MEX : 365,000   SWI : 805,000   BEL : 475,000   DEN : 556,000   AUT : 325,000   POL : 250,000   FIN : 124,547   IRE : 285,000   NZ : 562,500     155 million     Eagles   United States   1971 -- 1980 , 1994 -- present   1972   Rock   7002129190000099999 ♠ Total available certified units : 129.2 million ( show )   US : 108.9 million   JPN : 600,000   UK : 7.635 million   GER : 925,000   FRA : 2.040 million   CAN : 4.2 million   AUS : 3.395 million   SWE : 140,000   SPA : 500,000   SWI : 290,000   DEN : 185,000   FIN : 124,749   NZ : 352,500     150 million     U2   Ireland   1976 -- present   1980   Rock   7002106700000000000 ♠ Total available certified units : 106.7 million ( show )   US : 53.1 million   JPN : 1.450 million   UK : 18.620 million   GER : 5.125 million   FRA : 5.025 million   CAN : 7.115 million   AUS : 4.412 million   ITA : 765,000   BRA : 2.675 million   SWE : 515,000   SPA : 2.275 million   MEX : 835,000   SWI : 696,000   BEL : 725,000   ARG : 806,000   DEN : 473,000   AUT : 515,000   POL : 360,000   FIN : 235,460   IRE : 316,000   NZ : 765,000     150 million     Billy Joel   United States   1964 -- present   1971   Pop / Rock   7002102600000000000 ♠ Total available certified units : 102.6 million ( show )   US : 87.950 million   JPN : 2 million   UK : 5.655 million   GER : 1.250 million   FRA : 925,000   CAN : 3.275 million   AUS : 1.267   AUT : 125,000   NZ : 162,500     150 million     Phil Collins   United Kingdom   1980 -- 2011 , 2015 -- present   1981   Rock / Progressive rock / Adult contemporary   7001878000000000000 ♠ Total available certified units : 87.8 million ( show )   US : 39.850 million   JPN : 800,000   UK : 15.250 million   GER : 13.8 million   FRA : 6.410 million   CAN : 3.375 million   AUS : 1.522   BRA : 1.370 million   SWE : 245,000   SPA : 2.150 million   SWI : 973,000   BEL : 305,000   ARG : 1.044 million   AUT : 440,000   FIN : 182,581   NZ : 122,500     150 million     Aerosmith   United States   1970 -- present   1973   Hard rock   7001847000000000000 ♠ Total available certified units : 84.7 million ( show )   US : 70.250 million   JPN : 2.7 million   UK : 3.170 million   GER : 2 million   FRA : 225,000   CAN : 3.950 million   AUS : 225,000   ITA : 100,000   BRA : 600,000   SWE : 260,000   SPA : 200,000   MEX : 230,000   SWI : 145,000   ARG : 338,000   AUT : 125,000   POL : 100,000   FIN : 101,722     150 million     Frank Sinatra   United States   1935 -- 1995   1939   Pop / Swing   7001373009999900000 ♠ Total available certified units : 37.3 million ( show )   US : 28.2 million   UK : 5.445 million   GER : 1 million   FRA : 600,000   CAN : 650,000   AUS : 245,000   BRA : 350,000   SWE : 130,000   SPA : 500,000   ARG : 188,000     150 million     Barbra Streisand   United States   1960 -- present   1963   Pop / Adult contemporary   7001974000000000000 ♠ Total available certified units : 97.4 million ( show )   US : 82.450 million   UK : 5.765 million   GER : 750,000   FRA : 3.150 million   CAN : 2.650 million   AUS : 2.047 million   SWE : 120,000   SPA : 150,000   FIN : 186,501   NZ : 137,500     145 million     Bruno Mars   United States   2004 -- present     Pop rock / R&amp;B   7002119400000000000 ♠ Total available certified units : 119.4 million ( show )   US : 85.5 million   JPN : 1.1 million   UK : 13.3 million   GER : 3.4 million   FRA : 1.775 million   CAN : 5.240 million   AUS : 4.690 million   ITA : 640,000   SWE : 440,000   SPA : 470,000   MEX : 780,000   SWI : 405,000   BEL : 345,000   DEN : 365,000   AUT : 180,000   NZ : 532,500   PHL : 330,000     130 million     Kanye West   United States   1996 -- present     Hip - hop / Electronic / Pop rock   7002102400000000000 ♠ Total available certified units : 102.4 million ( show )   US : 87.750 million   JPN : 100,000   UK : 10.280 million   GER : 300,000   CAN : 1.180 million   AUS : 2.135 million   ITA : 135,000   SWE : 160,000   DEN : 404,000     121 million     Bruce Springsteen   United States   1972 -- present   1973   Rock   7002101500000000000 ♠ Total available certified units : 101.5 million ( show )   US : 76.150 million   JPN : 400,000   UK : 7.145 million   GER : 4.325 million   FRA : 1.887 million   CAN : 3.2 million   AUS : 3.362 million   ITA : 575,000   BRA : 100,000   SWE : 810,000   SPA : 1.730 million   SWI : 400,000   DEN : 155,000   AUT : 290,000   FIN : 449,800   IRE : 189,500   NZ : 375,000     120 million     Bee Gees   United Kingdom Australia   1963 -- 2003 2009 -- 2012   1963   Pop / Disco   7001673000000000000 ♠ Total available certified units : 67.3 million ( show )   US : 41.5 million   JPN : 300,000   UK : 9.065 million   GER : 6.675 million   FRA : 3.4 million   CAN : 3.215 million   AUS : 1.187 million   BRA : 350,000   SPA : 450,000   SWI : 415,000   ARG : 188,000   AUT : 125,000   POL : 100,000   NZ : 380,000     120 million      The column for certified sales above includes markets , the databases of which contain certifications representing figures of 100,000 and more .    100 million to 119 million records     Justin Bieber     Katy Perry     Adele     Lady Gaga     Metallica     Jay Z     Bon Jovi      To ensure the high level of fact checking and editorial control , this list sources sales figures to news organizations and highly regarded music industry related organizations such as MTV , VH1 , Billboard and Rolling Stone .   The figures of total certified units within the table below are based on certified units of albums , singles ( including digital downloads ) and videos .   Markets ' order within the table is based on Retail Value each market generates respectively , the largest market at the top and the smallest at the bottom .        Artist   Country / Market   Period active   Release - year of first charted record   Genre   Total certified units ( from available markets )   Claimed sales     Lady Gaga   United States   2005 -- present   2008   Pop / Dance / Electronic   7001972000000000000 ♠ Total available certified units : 97.2 million ( show )   US : 66.5 million   JPN : 5.4 million   UK : 10.985 million   GER : 2.9 million   FRA : 1.58 million   CAN : 2.4 million   AUS : 2.890 million   ITA : 815,000   BRA : 470,000   SWE : 680,000   SPA : 410,000   MEX : 390,000   SWI : 445,000   BEL : 270,000   DEN : 340,000   AUT : 182,500   POL : 130,000   IRE : 165,000   NZ : 277,500     114 million     Metallica   United States   1981 -- present     Heavy metal / Thrash metal   7001942000000000000 ♠ Total available certified units : 94.2 million ( show )   US : 73.3 million   JPN : 900,000   UK : 3.335 million   GER : 3.425 million   FRA : 940,000   CAN : 3.805 million   AUS : 2.637 million   ITA : 180,000   BRA : 380,000   SWE : 675,000   SPA : 420,000   MEX : 430,000   SWI : 560,000   BEL : 335,000   DEN : 180,000   ARG : 874,000   AUT : 340,000   POL : 735,000   FIN : 530,676   NZ : 315,000     110 million     Justin Bieber   Canada United States   2008 -- present   2009   Pop / Teen pop , Dance pop   7002128190000099999 ♠ Total available certified units : 128.2 million ( show )   US : 86.5 million   JPN : 750,000   UK : 16.085 million   GER : 3.1 million   FRA : 1.2   CAN : 4.780 million   AUS : 4.340 million   ITA : 1.595 million   BRA : 810,000   SWE : 1.820 million   SPA : 860,000   MEX : 2.910 million   BEL : 435,000   DEN : 1.985 million   POL : 370,000   AUT : 110,000   NZ : 615,000     100 million     Katy Perry   United States   2001 -- present   2008   Pop   7002127200000000000 ♠ Total available certified units : 127.2 million ( show )   US : 96.5 million   JPN : 300,000   UK : 11.950 million   GER : 2.750 million   FRA : 775,000   CAN : 5.8 million   AUS : 5.090 million   ITA : 680,000   BRA : 625,000   SWE : 520,000   SPA : 180,000   MEX : 900,000   SWI : 160,000   BEL : 135,000   DEN : 235,000   AUT : 247,500   NZ : 360,000     100 million     Adele   United Kingdom   2006 -- present   2008   Pop , soul   7002104500000000000 ♠ Total available certified units : 104.5 million ( show )   US : 61 million   JPN : 100,000   UK : 20.550 million   GER : 4.7 million   CAN : 6.040 million   AUS : 3.955 million   ITA : 1.545 million   BRA : 1.310 million   SWE : 240,000   SPA : 800,000   MEX : 1.490 million   SWI : 510,000   BEL : 795,000   DEN : 522,500   POL : 300,000   FIN : 151,639   NZ : 577,500     100 million     Jay Z   United States   1996 -- present     Hip - hop   7001961000000000000 ♠ Total available certified units : 96.1 million ( show )   US : 80.7 million   JPN : 1.050 million   UK : 9.320 million   GER : 1.550 million   FRA : 400,000   CAN : 1.6 million   AUS : 1.260   ITA : 180,000   SWE : 130,000     100 million     Bon Jovi   United States   1983 -- present     Hard rock / Glam metal   7001838000000000000 ♠ Total available certified units : 83.8 million ( show )   US : 49.9 million   JPN : 4.400 million   UK : 9.290 million   GER : 5.650 million   FRA : 825,000   CAN : 4.735 million   AUS : 3.030 million   ITA : 110,000   BRA : 435,000   SWE : 365,000   SPA : 1.620 million   MEX : 250,000   SWI : 1.275 million   AUT : 725,000   BEL : 165,000   ARG : 358,000   POL : 110,000   FIN : 422,500   NZ : 210,000     100 million     Lil Wayne   United States   1996 -- present   1999   Hip - hop   7001799000000000000 ♠ Total available certified units : 79.9 million ( show )   US : 77.7 million   UK : 1.460 million   CAN : 280,000   AUS : 525,000     100 million     Linkin Park   United States   1996 -- present   2000   Alternative rock / Nu metal / Rap rock   7001789000000000000 ♠ Total available certified units : 78.9 million ( show )   US : 58.6 million   JPN : 1.550 million   UK : 6.005 million   GER : 5.850 million   FRA : 1.025   CAN : 1.330 million   AUS : 1.450 million   ITA : 430,000   BRA : 595,000   SWE : 165,000   SPA : 175,000   MEX : 225,000   SWI : 425,000   BEL : 140,000   DEN : 150,000   AUT : 252,500   POL : 220,000   FIN : 120,469   NZ : 252,500     100 million     Britney Spears   United States   1998 -- present   1998   Pop / Dance / Dance - pop   7001785000000000000 ♠ Total available certified units : 78.5 million ( show )   US : 44.2 million   JPN : 2.1 million   UK : 10.150 million   GER : 5.050 million   FRA : 3.732 million   CAN : 3.680 million   AUS : 3.130 million   ITA : 175,000   BRA : 380,000   SWE : 1.010 million   SPA : 990,000   MEX : 1.175 million   SWI : 485,000   AUT : 365,000   BEL : 935,000   ARG : 248,000   DEN : 187,500   POL : 210,000   FIN : 143,627   NZ : 240,000     100 million     Beyoncé   United States   1997 -- present   2002   R&amp;B / Pop   7001781009999900000 ♠ Total available certified units : 78.1 million ( show )   US : 53.650 million   JPN : 1.7 million   UK : 13.685 million   GER : 1.550 million   FRA : 560,000   CAN : 1.395 million   AUS : 2.905 million   ITA : 260,000   BRA : 390,000   SPA : 1.010 million   MEX : 110,000   SWI : 165,000   BEL : 115,000   DEN : 312,500   POL : 100,000   NZ : 210,000     100 million     Rod Stewart   United Kingdom   1964 -- present   1969   Rock / Pop   7001778000000000000 ♠ Total available certified units : 77.8 million ( show )   US : 43.650 million   JPN : 450,000   UK : 18.330 million   GER : 3.8 million   FRA : 1.8 million   CAN : 4.055 million   AUS : 2.610 million   BRA : 980,000   SWE : 440,000   SPA : 290,000   SWI : 100,000   ARG : 524,000   AUT : 100,000   POL : 220,000   IRE : 195,000   NZ : 280,000     100 million     Fleetwood Mac   United Kingdom United States   1967 -- present   1968   Rock / Pop   7001761009999900000 ♠ Total available certified units : 76.1 million ( show )   US : 51.250 million   UK : 13.585 million   GER : 3.5 million   FRA : 800,000   AUS : 2.767 million   CAN : 2.950 million   SPA : 300,000   SWI : 100,000   BEL : 100,000   NZ : 572,500     100 million     Guns N ' Roses   United States   1985 -- present     Hard rock / Heavy metal   7001738000000000000 ♠ Total available certified units : 73.8 million ( show )   US : 48.5 million   JPN : 1.7 million   UK : 5.850 million   GER : 4.1 million   FRA : 1 million   CAN : 3.520 million   AUS : 2.410   ITA : 685,000   BRA : 1.9 million   SWE : 485,000   SPA : 450,000   MEX : 760,000   SWI : 365,000   BEL : 165,000   ARG : 1.248 million   AUT : 365,000   IRE : 105,000   NZ : 270,000     100 million     George Strait   United States   1981 -- present   1984   Country   7001728000000000000 ♠ Total available certified units : 72.8 million ( show )   US : 72.150 million   CAN : 705,000     100 million     Backstreet Boys   United States   1993 -- present   1995   Pop   7001720000000000000 ♠ Total available certified units : 72 million ( show )   US : 41.5 million   JPN : 5.4 million   UK : 4.835 million   GER : 7 million   FRA : 325,000   CAN : 3.430 million   AUS : 1.4 million   BRA : 1.625 million   SWE : 655,000   SPA : 1.850 million   MEX : 1.475 million   SWI : 415,000   BEL : 425,000   ARG : 740,000   AUT : 325,000   POL : 300,000   FIN : 171,390   NZ : 132,500     100 million     Neil Diamond   United States   1966 -- present   1966   Pop / Rock   7001683000000000000 ♠ Total available certified units : 68.3 million ( show )   US : 55.9 million   UK : 7.130 million   GER : 1 million   FRA : 400,000   CAN : 1.725 million   AUS : 1.945 million   SPA : 100,000   NZ : 127,500     100 million     Prince   United States   1976 -- 2016   1978   Funk / R&amp;B / Pop / Soul / Rock   7001642000000000000 ♠ Total available certified units : 64.2 million ( show )   US : 48.950 million   JPN : 300,000   UK : 7.045 million   GER : 2.4 million   FRA : 2.110 million   CAN : 1 million   AUS : 1.120   SWE : 100,000   SPA : 700,000   SWI : 250,000   AUT : 125,000   NZ : 177,500     100 million     Paul McCartney   United Kingdom   1960 -- present   1970   Rock   7001606000000000000 ♠ Total available certified units : 60.6 million ( show )   US : 41.450 million   JPN : 500,000   UK : 12.365 million   GER : 1.525 million   FRA : 1.305 million   CAN : 1.955 million   AUS : 465,000   SWE : 210,000   SPA : 640,000   DEN : 210,000     100 million     Kenny Rogers   United States   1958 -- present     Country / Pop   7001589000000000000 ♠ Total available certified units : 58.9 million ( show )   US : 51.550 million   JPN : 100,000   UK : 2.520 million   CAN : 4.6 million   AUS : 100,000   SPA : 100,000     100 million     Janet Jackson   United States   1982 -- present   1982   R&amp;B / Pop   7001521000000000000 ♠ Total available certified units : 52.1 million ( show )   US : 39.750 million   JPN : 1.6 million   UK : 4.760 million   GER : 1.4 million   FRA : 1.475 million   CAN : 1.460 million   AUS : 1.155   SWE : 105,000   SPA : 150,000   SWI : 170,000   BEL : 125,000     100 million     Julio Iglesias   Spain   1968 -- present   1968   Latin   7001510000000000000 ♠ Total available certified units : 51 million ( show )   US : 11 million   JPN : 800,000   UK : 1.620 million   GER : 250,000   FRA : 6.1 million   CAN : 1.5 million   AUS : 540,000   ITA : 400,000   NLD : 950,000   BRA : 12.475 million   SWE : 290,000   SPA : 8.7 million   MEX : 2.975 million   BEL : 125,000   ARG : 3.220 million   FIN : 131,636     100 million     Chicago   United States   1967 -- present   1969   Rock / Pop   7001483000000000000 ♠ Total available certified units : 48.3 million ( show )   US : 44.150 million   JPN : 400,000   UK : 1.490 million   GER : 250,000   FRA : 100,000   CAN : 1.865 million   SPA : 100,000     100 million     The Carpenters   United States   1969 -- 1983   1969   Pop   7001460000000000000 ♠ Total available certified units : 46 million ( show )   US : 34.6 million   JPN : 2.9 million   UK : 7.950 million   GER : 250,000   CAN : 275,000   BRA : 100,000     100 million     Bob Dylan   United States   1959 -- present   1963   Folk / Rock   7001451000000000000 ♠ Total available certified units : 45.1 million ( show )   US : 35.6 million   UK : 5.825 million   GER : 625,000   FRA : 800,000   CAN : 1.5 million   AUS : 480,000   SWI : 175,000   NZ : 105,000     100 million     Dire Straits   United Kingdom   1977 -- 1995   1978   Rock   7001447000000000000 ♠ Total available certified units : 44.7 million ( show )   US : 15.5 million   UK : 11.1 million   GER : 3.750 million   FRA : 5.3 million   CAN : 2.575 million   AUS : 2.190 million   ITA : 385,000   BRA : 175,000   SWE : 360,000   SPA : 1.380 million   SWI : 1 million   BEL : 100,000   AUT : 300,000   FIN : 471,530   NZ : 155,000   </t>
  </si>
  <si>
    <t xml:space="preserve">who's the best selling artist of all time</t>
  </si>
  <si>
    <t xml:space="preserve"> This list includes music artists with claims of 75 million or more record sales . The artists in the following tables are listed with both their claimed sales figure along with their total of certified units and are ranked in descending order , with the artist with the highest amount of claimed sales at the top . If two or more artists have the same claimed sales , they are then ranked by certified units . The claimed sales figure and the total of certified units ( for each country ) within the provided sources include sales of albums , singles , compilation - albums , music videos as well as downloads of singles and full - length albums . Sales figures , such as those from Soundscan , which are sometimes published by Billboard magazine , have not been included in the certified units column . As of 2017 , based on both sales claims and certified units , The Beatles are considered the highest - selling band . Elvis Presley is considered the highest - selling individual artist based on sales claims and Rihanna is the highest - selling individual artist based on certified units . </t>
  </si>
  <si>
    <t xml:space="preserve">Visa requirements for Mexican citizens - wikipedia  Visa requirements for Mexican citizens  A Mexican passport  Visa requirements for Mexican citizens are administrative entry restrictions by the authorities of other states placed on citizens of Mexico . As of May 2018 , Mexican citizens had visa - free or visa on arrival access to 158 countries and territories , ranking the Mexican passport 21st in terms of travel freedom according to the Henley Passport Index .   Contents    1 Visa requirements map   2 Visa requirements   3 Territories   4 APEC Business Travel Card   5 Non-visa restrictions   5.1 Passport validity length   5.2 Blank passport pages   5.3 Vaccination   5.4 Israeli stamps   5.5 Armenian ethnicity   5.6 Criminal record   5.7 Persona non grata   5.8 Fingerprinting     6 Fingerprinting   7 See also   8 References and Notes    Visa requirements map ( edit )  Visa requirements for Mexican citizens Mexico Visa free access Visa on arrival eVisa Visa available both on arrival or online Visa required  Visa requirements ( edit )     Country   Visa requirement   Allowed stay   Notes ( excluding departure fees )     Afghanistan   Visa required         Albania   Visa not required   90 days       Algeria   Visa required         Andorra   Visa not required   90 days       Angola   Visa required         Antigua and Barbuda   Visa not required   1 month       Argentina   Visa not required   90 days       Armenia   eVisa / Visa on arrival   120 days       Australia   Visa required       May apply online ( Online Visitor e600 visa ) .   Fee 135 AUD .   Transit visa is not required .       Austria   Visa not required   90 days     90 days within any 180 day period in the Schengen Area       Azerbaijan   eVisa   30 days     Fee 23 USD .       Bahamas   Visa not required   3 months       Bahrain   eVisa / Visa on arrival   14 days     Visa is also obtainable online . Fee 77 USD .       Bangladesh   Visa required       Visa on arrival available to business travelers if they are holding a letter of invitation issued by an accredited organization in Bangladesh that has notified the Immigration authorities prior to arrival .       Barbados   Visa not required   6 months       Belarus   Visa not required   30 days     Must arrive and depart via Minsk International Airport .       Belgium   Visa not required   90 days     90 days within any 180 day period in the Schengen Area       Belize   Visa not required   1 month       Benin   eVisa / Visa on arrival   30 days / 8 days     Must have an international vaccination certificate .       Bhutan   Visa required         Bolivia   Visa not required   90 days       Bosnia and Herzegovina   Visa not required   90 days     90 days within any 6 month period       Botswana   Visa not required   90 days       Brazil   Visa not required   90 days       Brunei   Visa required         Bulgaria   Visa not required   90 days     90 days within any 180 day period       Burkina Faso   Visa required         Burundi   Visa required         Cambodia   eVisa / Visa on arrival   30 days     Visa is also obtainable online .   Fee 37 USD .       Cameroon   Visa required         Canada   Visa not required   6 months     eTA required if arriving by air .   Fee 7 CAD .       Cape Verde   Visa on arrival         Central African Republic   Visa required         Chad   Visa required         Chile   Visa not required   90 days       China   Visa required       72 - hour visit without a visa when in transit at Changsha , Chengdu , Chongqing , Guangzhou , Guilin , Harbin , Kunming , Qingdao , Wuhan , Xi'an and Xiamen . 144 - hours visit without a visa when in transit through Beijing Capital International Airport , Dalian , Hangzhou , Shijiazhuang Zhengding International Airport in Hebei , Nanjing , Shanghai Hongqiao International Airport and Shanghai Pudong International Airport , Shanghai Railway Station and the Port of Shanghai ) ; Shenyang and Tianjin Binhai International Airport   Hong Kong , Macau , and Taiwan do count as third countries under the 72 and 144 - hours visa - free visit transit policy .         Colombia   Visa not required   180 days     90 days - extendable up to 180 - days stay within a one year period       Comoros   Visa on arrival         Republic of the Congo   Visa required         Democratic Republic of the Congo   Visa required         Costa Rica   Visa not required   90 days       Côte d'Ivoire   eVisa       Fee 70 EUR .       Croatia   Visa not required   90 days     90 days within any 180 day period       Cuba   Tourist Card required   30 days     30 days purchasing Tourist Card       Cyprus   Visa not required   90 days     90 days within any 180 day period       Czech Republic   Visa not required   90 days     90 days within any 180 day period in the Schengen Area       Denmark   Visa not required   90 days     90 days within any 180 day period in the Schengen Area       Djibouti   eVisa   31 days       Dominica   Visa not required   21 days       Dominican Republic   Visa not required   90 days       Ecuador   Visa not required   90 days       Egypt   Visa on arrival   30 days       El Salvador   Visa not required   3 months     10 USD Tourist Card must be purchased upon arrival )       Equatorial Guinea   Visa required         Eritrea   Visa required         Estonia   Visa not required   90 days     90 days within any 180 day period in the Schengen Area       Ethiopia   eVisa / Visa on arrival         Fiji   Visa not required   4 months       Finland   Visa not required   90 days     90 days within any 180 day period in the Schengen Area       France   Visa not required   90 days     90 days within any 180 day period in the Schengen Area       Gabon   eVisa / Visa on arrival       Electronic visa holders must arrive via Libreville International Airport .       Gambia   Visa not required       An entry clearance must be obtained from the Gambian Immigration prior to travel .       Georgia   Visa not required   1 year       Germany   Visa not required   90 days     90 days within any 180 day period in the Schengen Area       Ghana   Visa required         Greece   Visa not required   90 days     90 days within any 180 day period in the Schengen Area       Grenada   Visa not required   90 days       Guatemala   Visa not required   90 days       Guinea   Visa required         Guinea - Bissau   eVisa / Visa on arrival   90 days       Guyana   Visa required         Haiti   Visa not required   3 months       Honduras   Visa not required   3 months       Hungary   Visa not required   90 days     90 days within any 180 day period in the Schengen Area       Iceland   Visa not required   90 days     90 days within any 180 day period in the Schengen Area       India   e-Visa   60 days     e-Visa holders must arrive via 25 designated airports or 3 designated seaports .   An Indian e-Tourist Visa can only be obtained twice in one calendar year .       Indonesia   Visa not required   30 days       Iran   Visa on arrival   30 days       Iraq   Visa required         Ireland   Visa not required   90 days       Israel   Visa not required   3 months       Italy   Visa not required   90 days     90 days within any 180 day period in the Schengen Area       Jamaica   Visa not required   6 months     90 days ( business ) , 6 months ( tourist )       Japan   Visa not required   180 days     90 days , extendable up to 180 days       Jordan   Visa on arrival       Conditions apply       Kazakhstan   Visa not required   30 days       Kenya   eVisa / Visa on arrival   3 months     Fee 51 USD .       Kiribati   Visa required         North Korea   Visa required         South Korea   Visa not required   3 months       Kuwait   Visa required         Kyrgyzstan   eVisa / Visa on arrival   1 month     Available at Manas International Airport .       Laos   Visa on arrival   30 days     Conditions apply .   Available at international airports Luangphabang , Pakse , Savannakhet and Vientiane , and at 4 land borders Friendship Bridge , and at 13 border crossings as well as Tanalaeng train station in Vientiane , which connects to the train station in Nongkai , Thailand .   Entry points Lalai , Lantui , Meuang mom , Pakxan , and Phoudou are open only to visa holders .   Extendable up to 60 days .       Latvia   Visa not required   90 days     90 days within any 180 day period in the Schengen Area       Lebanon   Visa on arrival   1 month     Extendable for 2 additional months ; granted free of charge at Beirut International Airport or any other port of entry if there is no Israeli visa or seal , holding a telephone number , an address in Lebanon , and a non refundable return or circle trip ticket .       Lesotho   eVisa         Liberia   Visa required         Libya   Visa required         Liechtenstein   Visa not required   90 days     90 days within any 180 day period in the Schengen Area       Lithuania   Visa not required   90 days     90 days within any 180 day period in the Schengen Area       Luxembourg   Visa not required   90 days     90 days within any 180 day period in the Schengen Area       Macedonia   Visa not required   90 days       Madagascar   Visa on arrival   30 days     Fee 28 USD .       Malawi   Visa on arrival         Malaysia   Visa not required   30 days       Maldives   Visa on arrival   30 days       Mali   Visa required         Malta   Visa not required   90 days     90 days within any 180 day period in the Schengen Area       Marshall Islands   Visa on arrival   90 days       Mauritania   Visa on arrival         Mauritius   Visa not required   90 days       Micronesia   Visa not required   30 days       Moldova   Visa not required   90 days     90 days within any 180 day period       Monaco   Visa not required   90 days       Mongolia   Visa required         Montenegro   Visa not required   90 days       Morocco   Visa not required   3 months       Mozambique   Visa on arrival   30 days     Conditions apply       Myanmar   eVisa   28 days     eVisa holders must arrive via Yangon , Nay Pyi Taw or Mandalay airports . 50 USD .       Namibia   Visa required         Nauru   Visa required         Nepal   Visa on arrival   90 days       Netherlands   Visa not required   90 days     90 days within any 180 day period in the Schengen Area       New Zealand   Visa not required   90 days       Nicaragua   Visa not required   90 days       Niger   Visa required         Nigeria   Visa required         Norway   Visa not required   90 days     90 days within any 180 day period in the Schengen Area       Oman   Visa required       Eligible for eVisa if holding a valid Schengen Visa , or a valid visa or residence permit from Australia , Canada , UK or USA .       Pakistan   Visa required       Visa on arrival when travelling on business valid for 30 days . Conditions apply .       Palau   Visa on arrival   30 days       Panama   Visa not required   180 days       Papua New Guinea   Visa on arrival   60 days       Paraguay   Visa not required   90 days       Peru   Visa not required   183 days       Philippines   Visa not required   30 days       Poland   Visa not required   90 days     90 days within any 180 day period in the Schengen Area       Portugal   Visa not required   90 days     90 days within any 180 day period in the Schengen Area       Qatar   eVisa / Visa on arrival   30 days     Available at Hamad International Airport .       Romania   Visa not required   90 days     90 days within any 180 day period       Russia   Visa required       eVisa for up to 8 days for the Primorye , Kamchatka and Sakhalin regions of the Russian Far East for tourism , business and humanitarian purposes . Not available at all entry points .   From 1st September 2018 e-visa will be avilable at Blagoveshchensk Airport ( Amur Oblast ) , Khabarovsk Airport ( Khabarovsk Krai ) , Petropavlovsk - Kamchatsky Airport ( Kamchatka Krai ) , Ugolny Airport ( Chukotka Autonomous Okrug ) , Yuzhno - Sakhalinsk Airport ( Sakhalin Oblast ) .       Rwanda   eVisa / Visa on arrival   30 days       Saint Kitts and Nevis   Visa not required   3 months       Saint Lucia   Visa not required   6 weeks       Saint Vincent and the Grenadines   Visa not required   1 month       Samoa   Entry Permit on arrival   60 days       San Marino   Visa not required   90 days       São Tomé and Príncipe   eVisa       Visa is obtained online .       Saudi Arabia   Visa required         Senegal   Visa required         Serbia   Visa not required   90 days       Seychelles   Visitor 's Permit on arrival   3 months       Sierra Leone   Visa required         Singapore   Visa not required   30 days       Slovakia   Visa not required   90 days     90 days within any 180 day period in the Schengen Area       Slovenia   Visa not required   90 days     90 days within any 180 day period in the Schengen Area       Solomon Islands   Visitor 's permit on arrival   3 months       Somalia   Visa on arrival   30 days     Available at Bosaso Airport , Galcaio Airport and Mogadishu Airport .       South Africa   Visa required         South Sudan   Visa required         Spain   Visa not required   90 days     90 days within any 180 day period in the Schengen Area       Sri Lanka   eVisa / Visa on arrival   30 days     Fee 35 USD .       Sudan   Visa required         Suriname   Tourist Card on arrival   90 days     Available at Johan Adolf Pengel International Airport       Swaziland   Visa required         Sweden   Visa not required   90 days     90 days within any 180 day period in the Schengen Area       Switzerland   Visa not required   90 days     90 days within any 180 day period in the Schengen Area       Syria   Visa required         Tajikistan   eVisa   45 days     Fee 50 USD .       Tanzania   Visa on arrival         Thailand   Visa required         Timor - Leste   Visa on arrival   30 days       Togo   Visa on arrival   7 days       Tonga   Visa required         Trinidad and Tobago   Visa not required   90 days       Tunisia   Visa not required   90 days       Turkey   eVisa / Visa on arrival   30 days     Free for 30 days       Turkmenistan   Visa required         Tuvalu   Visa on arrival   1 month       Uganda   eVisa / Visa on arrival       May apply online .   Fee 50 USD .       Ukraine   eVisa / Visa on arrival       Visa on arrival for business or tourism purposes is available at Kyiv Boryspil Airport , Kyiv International Airport ( Zhuliany ) and Odessa International Airport .       United Arab Emirates   Visa required       A 96 - hour transit visa can be obtained on arrival at Dubai ( DXB ) , provided transit time is at least 8 hours ; and holding onward ticket to a third country ; and holding a passport valid for at least 6 months from date of arrival . Visa fee of 170 AED . Visas are only issued as a part of a transit package together with hotel accommodation and airport transfer .       United Kingdom   Visa not required   6 months       United States   Visa required         Uruguay   Visa not required   3 months       Uzbekistan   Visa required       5 - day visa free transit when in transit at the international airports on condition of holding a confirmed onward ticket for a flight to a third country .       Vanuatu   Visa not required   30 days       Vatican City   Visa not required         Venezuela   Visa not required   90 days       Vietnam   Visa required       Prearranged visa obtained online through travel agencies available at Hanoi , Ho Chi Minh City or Da Nang airports . Phú Quốc visa exemption for up to 30 days .       Yemen   Visa required         Zambia   eVisa / Visa on arrival   90 days       Zimbabwe   eVisa / Visa on arrival   3 months     30 days for visits on business , 3 months for tourists       Territories ( edit )   Visa requirements for Mexican citizens for visits to various territories , disputed areas , partially recognized countries and restricted zones :     Africa     Visitor to   Visa requirement   Notes ( excluding departure fees )     British Indian Ocean Territory   Special permit required   Special permit required .     Eritrea outside Asmara   Travel permit required   To travel in the rest of the country , a Travel Permit for Foreigners is required ( 20 Eritrean nakfa ) .     Mayotte   Visa not required       Réunion   Visa not required       Ascension Island   Entry Permit required   Entry Permit must be obtained minimum 28 days in advance ( 3 months for 20 / 30 pounds sterling , single / double entry ) .     Saint Helena   Visitor 's Pass required   Visitor 's Pass granted on arrival valid for 4 / 10 / 21 / 60 / 90 days for 12 / 14 / 16 / 20 / 25 pound sterling .     Tristan da Cunha   Permission required   Permission to land required for 15 / 30 pounds sterling ( yacht / ship passenger ) for Tristan da Cunha Island or 20 pounds sterling for Gough Island , Inaccessible Island or Nightingale Islands .     Sahrawi Arab Democratic Republic     Undefined visa regime in the Western Sahara controlled territory .     Somaliland   Visa on arrival   30 days for 30 US dollars , payable on arrival .     Sudan   Travel permit required   All foreigners traveling more than 25 kilometers outside of Khartoum must obtain a travel permit .     Darfur   Travel permit required   Separate travel permit is required .     Asia     Visitor to   Visa requirement   Notes ( excluding departure fees )     China Hainan   Visa not required   30 days     Hong Kong   Visa not required   3 months     India PAP / RAP   PAP / RAP required   Protected Area Permit ( PAP ) required for whole states of Nagaland and Sikkim and parts of states Manipur , Arunachal Pradesh , Uttaranchal , Jammu and Kashmir , Rajasthan , Himachal Pradesh . Restricted Area Permit ( RAP ) required for all of Andaman and Nicobar Islands and parts of Sikkim . Some of these requirements are occasionally lifted for a year .     Iraqi Kurdistan   Visa on arrival   Visa on arrival for 15 days is available at Erbil and Sulaymaniyah airports .     Kazakhstan   Special permission required   Special permission required for the town of Baikonur and surrounding areas in Kyzylorda Oblast , and the town of Gvardeyskiy near Almaty .     Kish Island   Visa not required   Visitors to Kish Island do not require a visa .     Macao   Visa not required   90 days     Sabah and Sarawak   Visa not required   These states have their own immigration authorities and passport is required to travel to them , however the same visa applies .     Maldives   Permission required   With the exception of the capital Malé , tourists are generally prohibited from visiting non-resort islands without the express permission of the Government of Maldives .     North Korea outside Pyongyang   Special permit required   People are not allowed to leave the capital city , tourists can only leave the capital with a governmental tourist guide ( no independent moving )     Palestine   Visa not required   Arrival by sea to Gaza Strip not allowed .     Taiwan   Visa required       Gorno - Badakhshan Autonomous Province   OIVR permit required   OIVR permit required ( 15 + 5 Tajikistani Somoni ) and another special permit ( free of charge ) is required for Lake Sarez .     Tibet Autonomous Region   TTP required   Tibet Travel Permit required ( 10 US Dollars ) .     Turkmenistan   Special permit required   A special permit , issued prior to arrival by Ministry of Foreign Affairs , is required if visiting the following places : Atamurat , Cheleken , Dashoguz , Serakhs and Serhetabat .     Korean Demilitarized Zone   Restricted zone .       UNDOF Zone and Ghajar   Restricted zone .       Phú Quốc   Visa not required   30 days     Yemen   Special permission required   Special permission needed for travel outside Sana'a or Aden .     Caribbean and North Atlantic     Visitor to   Visa requirement   Notes ( excluding departure fees ) f     Anguilla   Visa not required   3 months     Aruba   Visa not required   30 days , extendable to 180 days     Bermuda   Visa not required   Up to 6 months , decided on arrival     Bonaire , St. Eustatius and Saba   Visa not required   3 months     British Virgin Islands   Visa not required   30 days , extensions possible     Cayman Islands   Visa not required   6 months     San Andrés and Leticia   Tourist Card on arrival   Visitors arriving at Gustavo Rojas Pinilla International Airport and Alfredo Vásquez Cobo International Airport must buy tourist cards on arrival .     Curacao   Visa not required   3 months     French Guiana   Visa not required       French West Indies   Visa not required   French West Indies refers to Martinique , Guadeloupe , Saint Martin and Saint Barthélemy .     Greenland   Visa not required       Margarita Island   Visa not required   All visitors are fingerprinted .     Montserrat   Visa not required   6 months     Puerto Rico   Visa required       Saint Pierre and Miquelon   Visa not required       Sint Maarten   Visa not required   3 months     Turks and Caicos Islands   Visa not required   90 days     U.S. Virgin Islands   Visa required       Europe     Visitor to   Visa requirement   Notes ( excluding departure fees )     Abkhazia   Visa required       Mount Athos   Special permit required   Special permit required ( 4 days : 25 euro for Orthodox visitors , 35 euro for non-Orthodox visitors , 18 euro for students ) . There is a visitors ' quota : maximum 100 Orthodox and 10 non-Orthodox per day and women are not allowed .     Brest and Grodno   Visa not required   Visa - free for 10 days     Turkish Republic of Northern Cyprus   Visa not required   3 months     UN Buffer Zone in Cyprus   Access Permit required   Access Permit is required for travelling inside the zone , except Civil Use Areas .     Faroe Islands   Visa not required       Gibraltar   Visa not required       Guernsey   Visa not required       Isle of Man   Visa not required       Jan Mayen   Permit required   Permit issued by the local police required for staying for less than 24 hours and permit issued by the Norwegian police for staying for more than 24 hours .     Jersey   Visa not required       Kosovo   Visa not required   90 days     Nagorno - Karabakh Republic   Visa required   Travellers with Nagorno - Karabakh visa ( expired or valid ) or evidence of travel to Nagorno - Karabakh ( stamps ) will be permanently denied entry to Azerbaijan .     Russia   Special authorization required   Several closed cities and regions in Russia require special authorization .     South Ossetia   Visa not required   Multiple entry visa to Russia and three - day prior notification are required to enter South Ossetia .     Transnistria   Visa not required   Registration required after 24h .     Oceania     Visitor to   Visa requirement   Notes ( excluding departure fees )     American Samoa   Entry permit required       Ashmore and Cartier Islands   Special authorisation required   Special authorisation required .     Clipperton Island   Special permit required   Special permit required .     Cook Islands   Visa not required   31 days     Lau Province   Special permission required   Special permission required .     French Polynesia   Visa not required       Guam   Visa required       New Caledonia   Visa not required       Niue   Visa on arrival   30 days     Northern Mariana Islands   Visa required       Pitcairn Islands   Visa not required   14 days visa free and landing fee 35 USD or tax of 5 USD if not going ashore .     United States Minor Outlying Islands   Special permits required   Special permits required for Baker Island , Howland Island , Jarvis Island , Johnston Atoll , Kingman Reef , Midway Atoll , Palmyra Atoll and Wake Island .     Wallis and Futuna   Visa not required       South America     Visitor to   Visa requirement   Notes ( excluding departure fees )     Galápagos   Pre-registration required   Online pre-registration is required . Transit Control Card must also be obtained at the airport prior to departure .     South Atlantic and Antarctica     Visitor to   Visa requirement   Notes ( excluding departure fees )     Falkland Islands   Visa required       South Georgia and the South Sandwich Islands   Permit required   Pre-arrival permit from the Commissioner required ( 72 hours / 1 month for 110 / 160 pounds sterling ) .     Antarctica     Special permits required for British Antarctic Territory , French Southern and Antarctic Lands , Argentine Antarctica , Australian Antarctic Territory , Chilean Antarctic Territory , Heard Island and McDonald Islands , Peter I Island , Queen Maud Land , Ross Dependency .      Visas for Cambodia , Myanmar , Rwanda , São Tomé and Príncipe , Senegal , Sri Lanka and Turkey are obtainable online .    APEC business travel card ( edit )  Full members of the scheme Transitional members ( United States , Canada )  Holders of an APEC Business Travel Card ( ABTC ) travelling on business do not require a visa to the following countries :       Australia   Brunei   Chile   China   Hong Kong   Indonesia   Japan   South Korea   Malaysia       New Zealand   Papua New Guinea   Peru   Philippines   Russia   Singapore   Taiwan   Thailand   Vietnam           The card must be used in conjunction with a passport and has the following advantages :    no need to apply for a visa or entry permit to APEC countries , as the card is treated as such ( except by Canada and United States )   undertake legitimate business in participating economies   expedited border crossing in all member economies , including transitional members   expedited scheduling of visa interview ( United States )    Non-visa restrictions ( edit )  This section is transcluded from Non-visa travel restrictions . ( edit history )  Passport validity length ( edit )   In the absence of specific bilateral agreements , countries requiring passports to be valid at least 6 months on arrival include Afghanistan , Algeria , Anguilla , Bahrain , Bhutan , Botswana , British Virgin Islands , Brunei , Cambodia , Cameroon , Cape Verde , Cayman Islands , Central African Republic , Chad , Comoros , Costa Rica , Côte d'Ivoire , Curaçao , Ecuador , Egypt , El Salvador , Equatorial Guinea , Fiji , Gabon , Guinea Bissau , Guyana , Haiti , Indonesia , Iran , Iraq , Israel , Jordan , Kenya , Kiribati , Kuwait , Laos , Madagascar , Malaysia , Maldives , Marshall Islands , Mongolia , Myanmar , Namibia , Nepal , Nicaragua , Nigeria , Oman , Palau , Papua New Guinea , Philippines , Rwanda , Samoa , Saudi Arabia , Singapore , Solomon Islands , Somalia , Sri Lanka , Sudan , Suriname , Tanzania , Thailand , Timor - Leste , Tokelau , Tonga , Tuvalu , Uganda , United Arab Emirates , Vanuatu , Venezuela and Vietnam .   Turkey requires passports to be valid for at least 150 days upon entry .   Countries requiring passports valid for at least 4 months on arrival include Micronesia and Zambia .   Countries requiring passports valid for at least 3 months beyond the period of intended stay include European Union countries ( except the Republic of Ireland and the United Kingdom ) , Iceland , Liechtenstein , Norway and Switzerland ( and always excepting EU / EEA / Swiss nationals ) , Azerbaijan , Bosnia and Herzegovina , Montenegro , Nauru , Moldova , New Zealand and 3 months validity on arrival in Albania , Honduras , Macedonia , Panama , Qatar and Senegal .   Bermuda requires passports to be valid for at least 45 days upon entry .   Countries that require a passport validity of at least one month beyond the period of intended stay include Eritrea , Hong Kong , Lebanon , Macao and South Africa .   Other countries require either a passport valid on arrival or a passport valid throughout the period of the intended stay . Some countries have bilateral agreements with other countries to shorten the period of passport validity required for each other 's citizens or even accept passports that have already expired ( but not been cancelled ) .   Blank passport pages ( edit )   Many countries require a minimum number of blank pages in the passport being presented , generally one or two pages . Endorsement pages , which often appear after the visa pages , are not counted as being available .   Vaccination ( edit )  An International Certificate of Vaccination required to prove that someone has been vaccinated against yellow fever Main article : Carte Jaune  Many African countries , including Angola , Benin , Burkina Faso , Cameroon , Central African Republic , Chad , Democratic Republic of the Congo , Republic of the Congo , Côte d'Ivoire , Equatorial Guinea , Gabon , Ghana , Guinea , Liberia , Mali , Mauritania , Niger , Rwanda , São Tomé and Príncipe , Senegal , Sierra Leone , Uganda , and Zambia , require all incoming passengers to have a current International Certificate of Vaccination .   Some other countries require vaccination only if the passenger is coming from an infected area or has recently visited one .   Israeli stamps ( edit )  Israeli border control Entry Permit ( issued as a stand - alone document rather than a stamp affixed in a passport )  Kuwait , Lebanon , Libya , Saudi Arabia , Sudan , Syria and Yemen do not allow entry to people with passport stamps from Israel or whose passports have either a used or an unused Israeli visa , or where there is evidence of previous travel to Israel such as entry or exit stamps from neighbouring border posts in transit countries such as Jordan and Egypt .   To circumvent this Arab League boycott of Israel , the Israeli immigration services have now mostly ceased to stamp foreign nationals ' passports on either entry to or exit from Israel . Since 15 January 2013 , Israel no longer stamps foreign passports at Ben Gurion Airport , giving passengers a card instead that reads : `` Since January 2013 a pilot scheme has been introduced whereby visitors are given an entry card instead of an entry stamp on arrival . You should keep this card with your passport until you leave . This is evidence of your legal entry into Israel and may be required , particularly at any crossing points into the Occupied Palestinian Territories . '' Passports are still ( as of 22 June 2017 ) stamped at Erez when travelling into and out of Gaza . Also , passports are still stamped ( as of 22 June 2017 ) at the Jordan Valley / Sheikh Hussein and Yitzhak Rabin / Arava land borders with Jordan .   Iran refuses admission to holders of passports containing an Israeli visa or stamp that is less than 12 months old .   Armenian ethnicity ( edit )  Main article : Armenia -- Azerbaijan relations  Due to a state of war existing between Armenia and Azerbaijan , the government of Azerbaijan not only bans entry of citizens from Armenia , but also all citizens and nationals of any other country who are of Armenian descent , to the Republic of Azerbaijan ( although there have been exceptions , notably for Armenia 's participation at the 2015 European Games held in Azerbaijan ) .   Azerbaijan also strictly bans any visit by foreign citizens to the separatist region of Nagorno - Karabakh ( the de facto independent Republic of Artsakh ) , its surrounding territories and the Azerbaijani exclaves of Karki , Yuxarı Əskipara , Barxudarlı and Sofulu which are de jure part of Azerbaijan but under control of Armenia , without the prior consent of the government of Azerbaijan . Foreign citizens who enter these occupied territories will be permanently banned from entering the Republic of Azerbaijan and will be included in their `` list of personae non gratae '' . As of late 2017 the list contains 699 persons .   Upon request , the authorities of the largely unrecognized Republic of Artsakh may attach their visa and / or stamps to a separate piece of paper in order to avoid detection of travel to their country .   Criminal record ( edit )   Some countries ( for example , Canada and the United States and Fiji ) routinely deny entry to non-citizens who have a criminal record .   Persona non grata ( edit )   The government of a country can declare a diplomat persona non grata , banning their entry into that country . In non-diplomatic use , the authorities of a country may also declare a foreigner persona non grata permanently or temporarily , usually because of unlawful activity . Attempts to enter the Gaza strip by sea may attract a 10 - year ban on entering Israel .   Fingerprinting ( edit )  Main article : Countries applying biometrics Iris recognition biometric systems apply mathematical pattern - recognition techniques to images of the irises of an individual 's eyes .  Several countries mandate that all travellers , or all foreign travellers , be fingerprinted on arrival and will refuse admission to or even arrest those travellers that refuse to comply . In some countries , such as the United States , this may apply even to transit passengers who merely wish to quickly change plane</t>
  </si>
  <si>
    <t xml:space="preserve">where can i travel to with a mexican passport</t>
  </si>
  <si>
    <t xml:space="preserve">   Country   Visa requirement   Allowed stay   Notes ( excluding departure fees )     Afghanistan   Visa required         Albania   Visa not required   90 days       Algeria   Visa required         Andorra   Visa not required   90 days       Angola   Visa required         Antigua and Barbuda   Visa not required   1 month       Argentina   Visa not required   90 days       Armenia   eVisa / Visa on arrival   120 days       Australia   Visa required       May apply online ( Online Visitor e600 visa ) .   Fee 135 AUD .   Transit visa is not required .       Austria   Visa not required   90 days     90 days within any 180 day period in the Schengen Area       Azerbaijan   eVisa   30 days     Fee 23 USD .       Bahamas   Visa not required   3 months       Bahrain   eVisa / Visa on arrival   14 days     Visa is also obtainable online . Fee 77 USD .       Bangladesh   Visa required       Visa on arrival available to business travelers if they are holding a letter of invitation issued by an accredited organization in Bangladesh that has notified the Immigration authorities prior to arrival .       Barbados   Visa not required   6 months       Belarus   Visa not required   30 days     Must arrive and depart via Minsk International Airport .       Belgium   Visa not required   90 days     90 days within any 180 day period in the Schengen Area       Belize   Visa not required   1 month       Benin   eVisa / Visa on arrival   30 days / 8 days     Must have an international vaccination certificate .       Bhutan   Visa required         Bolivia   Visa not required   90 days       Bosnia and Herzegovina   Visa not required   90 days     90 days within any 6 month period       Botswana   Visa not required   90 days       Brazil   Visa not required   90 days       Brunei   Visa required         Bulgaria   Visa not required   90 days     90 days within any 180 day period       Burkina Faso   Visa required         Burundi   Visa required         Cambodia   eVisa / Visa on arrival   30 days     Visa is also obtainable online .   Fee 37 USD .       Cameroon   Visa required         Canada   Visa not required   6 months     eTA required if arriving by air .   Fee 7 CAD .       Cape Verde   Visa on arrival         Central African Republic   Visa required         Chad   Visa required         Chile   Visa not required   90 days       China   Visa required       72 - hour visit without a visa when in transit at Changsha , Chengdu , Chongqing , Guangzhou , Guilin , Harbin , Kunming , Qingdao , Wuhan , Xi'an and Xiamen . 144 - hours visit without a visa when in transit through Beijing Capital International Airport , Dalian , Hangzhou , Shijiazhuang Zhengding International Airport in Hebei , Nanjing , Shanghai Hongqiao International Airport and Shanghai Pudong International Airport , Shanghai Railway Station and the Port of Shanghai ) ; Shenyang and Tianjin Binhai International Airport   Hong Kong , Macau , and Taiwan do count as third countries under the 72 and 144 - hours visa - free visit transit policy .         Colombia   Visa not required   180 days     90 days - extendable up to 180 - days stay within a one year period       Comoros   Visa on arrival         Republic of the Congo   Visa required         Democratic Republic of the Congo   Visa required         Costa Rica   Visa not required   90 days       Côte d'Ivoire   eVisa       Fee 70 EUR .       Croatia   Visa not required   90 days     90 days within any 180 day period       Cuba   Tourist Card required   30 days     30 days purchasing Tourist Card       Cyprus   Visa not required   90 days     90 days within any 180 day period       Czech Republic   Visa not required   90 days     90 days within any 180 day period in the Schengen Area       Denmark   Visa not required   90 days     90 days within any 180 day period in the Schengen Area       Djibouti   eVisa   31 days       Dominica   Visa not required   21 days       Dominican Republic   Visa not required   90 days       Ecuador   Visa not required   90 days       Egypt   Visa on arrival   30 days       El Salvador   Visa not required   3 months     10 USD Tourist Card must be purchased upon arrival )       Equatorial Guinea   Visa required         Eritrea   Visa required         Estonia   Visa not required   90 days     90 days within any 180 day period in the Schengen Area       Ethiopia   eVisa / Visa on arrival         Fiji   Visa not required   4 months       Finland   Visa not required   90 days     90 days within any 180 day period in the Schengen Area       France   Visa not required   90 days     90 days within any 180 day period in the Schengen Area       Gabon   eVisa / Visa on arrival       Electronic visa holders must arrive via Libreville International Airport .       Gambia   Visa not required       An entry clearance must be obtained from the Gambian Immigration prior to travel .       Georgia   Visa not required   1 year       Germany   Visa not required   90 days     90 days within any 180 day period in the Schengen Area       Ghana   Visa required         Greece   Visa not required   90 days     90 days within any 180 day period in the Schengen Area       Grenada   Visa not required   90 days       Guatemala   Visa not required   90 days       Guinea   Visa required         Guinea - Bissau   eVisa / Visa on arrival   90 days       Guyana   Visa required         Haiti   Visa not required   3 months       Honduras   Visa not required   3 months       Hungary   Visa not required   90 days     90 days within any 180 day period in the Schengen Area       Iceland   Visa not required   90 days     90 days within any 180 day period in the Schengen Area       India   e-Visa   60 days     e-Visa holders must arrive via 25 designated airports or 3 designated seaports .   An Indian e-Tourist Visa can only be obtained twice in one calendar year .       Indonesia   Visa not required   30 days       Iran   Visa on arrival   30 days       Iraq   Visa required         Ireland   Visa not required   90 days       Israel   Visa not required   3 months       Italy   Visa not required   90 days     90 days within any 180 day period in the Schengen Area       Jamaica   Visa not required   6 months     90 days ( business ) , 6 months ( tourist )       Japan   Visa not required   180 days     90 days , extendable up to 180 days       Jordan   Visa on arrival       Conditions apply       Kazakhstan   Visa not required   30 days       Kenya   eVisa / Visa on arrival   3 months     Fee 51 USD .       Kiribati   Visa required         North Korea   Visa required         South Korea   Visa not required   3 months       Kuwait   Visa required         Kyrgyzstan   eVisa / Visa on arrival   1 month     Available at Manas International Airport .       Laos   Visa on arrival   30 days     Conditions apply .   Available at international airports Luangphabang , Pakse , Savannakhet and Vientiane , and at 4 land borders Friendship Bridge , and at 13 border crossings as well as Tanalaeng train station in Vientiane , which connects to the train station in Nongkai , Thailand .   Entry points Lalai , Lantui , Meuang mom , Pakxan , and Phoudou are open only to visa holders .   Extendable up to 60 days .       Latvia   Visa not required   90 days     90 days within any 180 day period in the Schengen Area       Lebanon   Visa on arrival   1 month     Extendable for 2 additional months ; granted free of charge at Beirut International Airport or any other port of entry if there is no Israeli visa or seal , holding a telephone number , an address in Lebanon , and a non refundable return or circle trip ticket .       Lesotho   eVisa         Liberia   Visa required         Libya   Visa required         Liechtenstein   Visa not required   90 days     90 days within any 180 day period in the Schengen Area       Lithuania   Visa not required   90 days     90 days within any 180 day period in the Schengen Area       Luxembourg   Visa not required   90 days     90 days within any 180 day period in the Schengen Area       Macedonia   Visa not required   90 days       Madagascar   Visa on arrival   30 days     Fee 28 USD .       Malawi   Visa on arrival         Malaysia   Visa not required   30 days       Maldives   Visa on arrival   30 days       Mali   Visa required         Malta   Visa not required   90 days     90 days within any 180 day period in the Schengen Area       Marshall Islands   Visa on arrival   90 days       Mauritania   Visa on arrival         Mauritius   Visa not required   90 days       Micronesia   Visa not required   30 days       Moldova   Visa not required   90 days     90 days within any 180 day period       Monaco   Visa not required   90 days       Mongolia   Visa required         Montenegro   Visa not required   90 days       Morocco   Visa not required   3 months       Mozambique   Visa on arrival   30 days     Conditions apply       Myanmar   eVisa   28 days     eVisa holders must arrive via Yangon , Nay Pyi Taw or Mandalay airports . 50 USD .       Namibia   Visa required         Nauru   Visa required         Nepal   Visa on arrival   90 days       Netherlands   Visa not required   90 days     90 days within any 180 day period in the Schengen Area       New Zealand   Visa not required   90 days       Nicaragua   Visa not required   90 days       Niger   Visa required         Nigeria   Visa required         Norway   Visa not required   90 days     90 days within any 180 day period in the Schengen Area       Oman   Visa required       Eligible for eVisa if holding a valid Schengen Visa , or a valid visa or residence permit from Australia , Canada , UK or USA .       Pakistan   Visa required       Visa on arrival when travelling on business valid for 30 days . Conditions apply .       Palau   Visa on arrival   30 days       Panama   Visa not required   180 days       Papua New Guinea   Visa on arrival   60 days       Paraguay   Visa not required   90 days       Peru   Visa not required   183 days       Philippines   Visa not required   30 days       Poland   Visa not required   90 days     90 days within any 180 day period in the Schengen Area       Portugal   Visa not required   90 days     90 days within any 180 day period in the Schengen Area       Qatar   eVisa / Visa on arrival   30 days     Available at Hamad International Airport .       Romania   Visa not required   90 days     90 days within any 180 day period       Russia   Visa required       eVisa for up to 8 days for the Primorye , Kamchatka and Sakhalin regions of the Russian Far East for tourism , business and humanitarian purposes . Not available at all entry points .   From 1st September 2018 e-visa will be avilable at Blagoveshchensk Airport ( Amur Oblast ) , Khabarovsk Airport ( Khabarovsk Krai ) , Petropavlovsk - Kamchatsky Airport ( Kamchatka Krai ) , Ugolny Airport ( Chukotka Autonomous Okrug ) , Yuzhno - Sakhalinsk Airport ( Sakhalin Oblast ) .       Rwanda   eVisa / Visa on arrival   30 days       Saint Kitts and Nevis   Visa not required   3 months       Saint Lucia   Visa not required   6 weeks       Saint Vincent and the Grenadines   Visa not required   1 month       Samoa   Entry Permit on arrival   60 days       San Marino   Visa not required   90 days       São Tomé and Príncipe   eVisa       Visa is obtained online .       Saudi Arabia   Visa required         Senegal   Visa required         Serbia   Visa not required   90 days       Seychelles   Visitor 's Permit on arrival   3 months       Sierra Leone   Visa required         Singapore   Visa not required   30 days       Slovakia   Visa not required   90 days     90 days within any 180 day period in the Schengen Area       Slovenia   Visa not required   90 days     90 days within any 180 day period in the Schengen Area       Solomon Islands   Visitor 's permit on arrival   3 months       Somalia   Visa on arrival   30 days     Available at Bosaso Airport , Galcaio Airport and Mogadishu Airport .       South Africa   Visa required         South Sudan   Visa required         Spain   Visa not required   90 days     90 days within any 180 day period in the Schengen Area       Sri Lanka   eVisa / Visa on arrival   30 days     Fee 35 USD .       Sudan   Visa required         Suriname   Tourist Card on arrival   90 days     Available at Johan Adolf Pengel International Airport       Swaziland   Visa required         Sweden   Visa not required   90 days     90 days within any 180 day period in the Schengen Area       Switzerland   Visa not required   90 days     90 days within any 180 day period in the Schengen Area       Syria   Visa required         Tajikistan   eVisa   45 days     Fee 50 USD .       Tanzania   Visa on arrival         Thailand   Visa required         Timor - Leste   Visa on arrival   30 days       Togo   Visa on arrival   7 days       Tonga   Visa required         Trinidad and Tobago   Visa not required   90 days       Tunisia   Visa not required   90 days       Turkey   eVisa / Visa on arrival   30 days     Free for 30 days       Turkmenistan   Visa required         Tuvalu   Visa on arrival   1 month       Uganda   eVisa / Visa on arrival       May apply online .   Fee 50 USD .       Ukraine   eVisa / Visa on arrival       Visa on arrival for business or tourism purposes is available at Kyiv Boryspil Airport , Kyiv International Airport ( Zhuliany ) and Odessa International Airport .       United Arab Emirates   Visa required       A 96 - hour transit visa can be obtained on arrival at Dubai ( DXB ) , provided transit time is at least 8 hours ; and holding onward ticket to a third country ; and holding a passport valid for at least 6 months from date of arrival . Visa fee of 170 AED . Visas are only issued as a part of a transit package together with hotel accommodation and airport transfer .       United Kingdom   Visa not required   6 months       United States   Visa required         Uruguay   Visa not required   3 months       Uzbekistan   Visa required       5 - day visa free transit when in transit at the international airports on condition of holding a confirmed onward ticket for a flight to a third country .       Vanuatu   Visa not required   30 days       Vatican City   Visa not required         Venezuela   Visa not required   90 days       Vietnam   Visa required       Prearranged visa obtained online through travel agencies available at Hanoi , Ho Chi Minh City or Da Nang airports . Phú Quốc visa exemption for up to 30 days .       Yemen   Visa required         Zambia   eVisa / Visa on arrival   90 days       Zimbabwe   eVisa / Visa on arrival   3 months     30 days for visits on business , 3 months for tourists     </t>
  </si>
  <si>
    <t xml:space="preserve">Keller Independent school district - wikipedia  Keller Independent school district     Keller Independent School District         Location     350 Keller Parkway , Keller , Texas , 76248 North Texas United States     Coordinates   32 ° 56 ′ 02 '' N 97 ° 14 ′ 52 '' W ﻿ / ﻿ 32.933810 ° N 97.24772 ° W ﻿ / 32.933810 ; - 97.24772 ﻿ ( District office ) Coordinates : 32 ° 56 ′ 02 '' N 97 ° 14 ′ 52 '' W ﻿ / ﻿ 32.933810 ° N 97.24772 ° W ﻿ / 32.933810 ; - 97.24772 ﻿ ( District office )     District information     Type   Public     Motto   Intentionally Exceptional     Grades   Pre-K -- 12     Established   1911     Superintendent   Dr. Rick Westfall     Schools   41     Students and staff     Students   33,621     Staff   3,887     Colors   Green , white     Other information     Website   www.kellerisd.net/kisd     The Keller Independent School District is a K - 12 public school district based in Keller , Texas ( USA ) . Located in Tarrant County , serves more than 31,000 students and operated 41 schools in the 2011 - 2012 school year .   Contents    1 Demographics   2 Schools   2.1 Campuses   2.2 High schools ( grades 9 - 12 )   2.3 Middle Schools ( 5 - 8 )   2.4 Middle schools ( 7 - 8 )   2.5 Intermediate schools ( 5 - 6 )   2.6 Elementary Schools ( K - 4 )     3 See also   4 References   5 External links    Demographics ( edit )   Keller ISD covers 51 square miles ( 130 km ) in northeast Tarrant County in cities such as Keller , Fort Worth , Haltom City , Watauga , North Richland Hills , Hurst , Colleyville , Southlake , and Westlake . This is a fast - growing area , with about 2,800 new homes being built in the district every year , and enrollment is rising more than 2,000 students annually .   Schools ( edit )   Schools are listed with the cities they are located in , predominately , most schools are located in northeast Fort Worth , Texas , while some are within Keller , Texas city limits .   Campuses ( edit )   High schools ( grades 9 - 12 ) ( edit )    Central High School , Fort Worth ( est. 2003 )   Fossil Ridge High School , Fort Worth ( established 1994 ) ( dedicated in 1995 ) ( expansion in 1997 to 2001 )   Keller High School , Keller   1999 - 2000 National Blue Ribbon School     Timber Creek High School , Fort Worth ( est. 2009 )   Keller Learning Center , Keller   Keller Center for Advanced Learning ( est. 2016 )   New Direction High School , Keller    Middle Schools ( 5 - 8 ) ( edit )    Indian Springs Middle School , Keller   Timberview Middle School , Fort Worth ( est. 2010 )   Vista Ridge Middle School , Fort Worth ( est. 2017 )    Middle schools ( 7 - 8 ) ( edit )    Fossil Hill Middle School , Fort Worth ( est. 1987 ) ( exp. 2001 )   Hillwood Middle School , Fort Worth   Keller Middle School , Keller   Trinity Springs Middle School , Fort Worth    Intermediate schools ( 5 - 6 ) ( edit )    Bear Creek Intermediate School , Keller   Chisholm Trail Intermediate School , Fort Worth ( est. 1990 ) ( exp. 2013 )   Parkwood Hill Intermediate School , Fort Worth ( est. 2004 )   Trinity Meadows Intermediate School , Fort Worth ( est. 2006 )    Elementary Schools ( K - 4 ) ( edit )       Basswood Elementary School , Fort Worth   Bette Perot Elementary School , Fort Worth   Bluebonnet Elementary School , Fort Worth   Caprock Elementary School , Fort Worth   Eagle Ridge Elementary School , Fort Worth   Florence Elementary School , Southlake   1993 - 94 National Blue Ribbon School     Freedom Elementary School , Fort Worth   Friendship Elementary School , Fort Worth   Heritage Elementary School , Fort Worth   Hidden Lakes Elementary School , Keller   Independence Elementary School , Fort Worth   Keller Harvel Elementary School , Keller   Liberty Elementary School , Colleyville   Lone Star Elementary School , Fort Worth   North Riverside Elementary School , Fort Worth   Park Glen Elementary School , Fort Worth   Parkview Elementary School , Fort Worth   Ridgeview Elementary School , Keller   Shady Grove Elementary School , Keller   Whitley Road Elementary School , Watauga   Willis Lane Elementary School , Keller   Woodland Springs Elementary School , Fort Worth   Early Learning Center , Keller       See also ( edit )    List of school districts in Texas    References ( edit )    Jump up ^ http://www.kellerisd.net/district/Pages/default.aspx   Jump up ^ `` KISD Fast Facts '' ( PDF ) . Kellerisd.net . Keller ISD . Retrieved 15 May 2015 .   Jump up ^ `` Construction fuels big gains in Alliance Corridor '' by Adrienne Nettles , Fort Worth Star - Telegram , May 16 , 2006   ^ Jump up to : Blue Ribbon Schools Program , Schools Recognized 1982 - 1983 Through 1999 - 2002 ( PDF ) Archived 2009 - 03 - 26 at the Wayback Machine .    External links ( edit )    Keller Independent School District   Keller ISD JROTC   Keller ISD JROTC Booster Site   Retrieved from `` https://en.wikipedia.org/w/index.php?title=Keller_Independent_School_District&amp;oldid=844387441 '' Categories :   School districts in Texas   School districts in Tarrant County , Texas   North Richland Hills , Texas   Hidden categories :   Webarchive template wayback links   Pages using deprecated image syntax   Coordinates on Wikidata           Talk                                           Contents                   About Wikipedia                                           Add links   This page was last edited on 4 June 2018 , at 16 : 02 ( UTC ) .         About Wikipedia                    </t>
  </si>
  <si>
    <t xml:space="preserve">how many high schools are in keller texas</t>
  </si>
  <si>
    <t xml:space="preserve">  Central High School , Fort Worth ( est. 2003 )   Fossil Ridge High School , Fort Worth ( established 1994 ) ( dedicated in 1995 ) ( expansion in 1997 to 2001 )   Keller High School , Keller   1999 - 2000 National Blue Ribbon School     Timber Creek High School , Fort Worth ( est. 2009 )   Keller Learning Center , Keller   Keller Center for Advanced Learning ( est. 2016 )   New Direction High School , Keller  </t>
  </si>
  <si>
    <r>
      <rPr>
        <sz val="11"/>
        <color rgb="FF000000"/>
        <rFont val="Calibri"/>
        <family val="0"/>
        <charset val="1"/>
      </rPr>
      <t xml:space="preserve">List of the 100 largest population centres in Canada - wikipedia  List of the 100 largest population centres in Canada  Jump to : navigation , search Map of Canada  A population centre , in the context of a Canadian census , is a populated place , or a cluster of interrelated populated places , which meets the demographic characteristics of an urban area , having a population of at least 1,000 people and a population density of no fewer than 400 people per square km .   The term was first introduced in the Canada 2011 Census ; prior to that , Statistics Canada used the term urban area .   Statistics Canada listed 942 population centres in its 2011 census data ; 513 of them , 54 per cent of all population centres in Canada , were located in Ontario or Quebec , the two most populous provinces .     Contents  ( hide )   1 History   2 Characteristics   3 Lists   3.1 By population rank   3.2 By province or territory     4 See also   5 References      History ( edit )   The term `` population centre '' was chosen in order to better reflect the fact that urban vs. rural is not a strict division , but rather a continuum within which several distinct settlement patterns , and several competing interpretations of the distinction , may exist . For example , a community may fit a strictly statistical definition of an urban area , but may not be commonly thought of as `` urban '' because it has a smaller population , or because it functions socially and economically as a suburb of another urban area rather than as a self - contained urban entity , or because it is geographically remote from other urban communities .   Accordingly , the new definition set out three distinct types of population centres : small ( population 1,000 to 29,999 ) , medium ( population 30,000 to 99,999 ) and large ( population 100,000 or greater ) . Despite the change in terminology , however , the demographic definition of a population centre remains unchanged from that of an urban area : a population of at least 1,000 people where the density is no fewer than 400 persons per square km .   Characteristics ( edit )   A population centre does not necessarily correspond to the boundaries of a municipality or of a census division . For example , a less densely populated area within a city 's municipal boundaries may not be included as part of its population centre , while areas outside the city limits that directly continue a city 's urban core population may be included .   For example , the population centre of Toronto extends into neighbouring Peel Region , Halton Region , Durham Region and York Region , encompassing places such as Oakville , Mississauga , Brampton , Vaughan , Markham , Richmond Hill , Aurora , Newmarket , Pickering and Ajax . Despite this , numerous other communities which are considered part of the Greater Toronto Area for political purposes are not part of the population centre of Toronto ; because a belt of more rural areas separates them geographically from the primary bulk of urban settlement , communities such as Milton , Georgetown , Caledon , Bolton , Nobleton , Bradford and Stouffville instead form their own separate small or medium population centres . However , the Statistics Canada definition of a population centre is that it does not cross the boundaries of a Census Metropolitan Area ( CMA ) ; even though the band of continuous urban development emanating outward from downtown Toronto along the shore of Lake Ontario extends even further into Hamilton and Oshawa , these two cities are both considered separate CMAs by Statistics Canada rather than being part of Toronto 's , and accordingly each is also considered a distinct population centre .   Conversely , a single municipality may also contain more than one distinct population centre , if less densely populated or undeveloped regions separate more urbanized areas from one another . For example , Ottawa currently has seven distinct population centres ( Ottawa - Gatineau , Constance Bay , Kanata , Richmond , Osgoode , Manotick and Metcalfe ) , the neighbouring city of Gatineau has a secondary population centre at Buckingham in addition to its primary urban core forming part of Ottawa - Gatineau , and Greater Sudbury currently has eight distinct population centres ( Sudbury , Azilda , Capreol , Chelmsford , Coniston , Dowling , Lively and Valley East ) .   For actual `` city limits '' populations , see List of the 100 largest municipalities in Canada by population , and for metropolitan area populations , see List of metropolitan areas in Canada .   Lists ( edit )  Toronto Montreal Vancouver Calgary Edmonton Ottawa , Capital of Canada Winnipeg Quebec City Hamilton Kitchener London Victoria Halifax Oshawa St. Catharines  By population rank ( edit )     Rank   Population centre   Population in 2016   Population in 2011   Class       Toronto , Ontario   5,429,524   5,144,412   Large urban       Montreal , Quebec   3,519,595   3,387,653   Large urban       Vancouver , British Columbia   2,264,823   2,124,443   Large urban       Calgary , Alberta   1,237,656   1,094,379   Large urban     5   Edmonton , Alberta   1,062,643   935,361   Large urban     6   Ottawa -- Gatineau , Ontario / Quebec   989,657   945,592   Large urban     7   Winnipeg , Manitoba   711,925   670,025   Large urban     8   Quebec City , Quebec   705,103   681,804   Large urban     9   Hamilton , Ontario   693,645   671,008   Large urban     10   Kitchener , Ontario   470,015   446,295   Large urban     11   London , Ontario   383,437   365,715   Large urban     12   Victoria , British Columbia   335,696   314,596   Large urban     13   Halifax , Nova Scotia   316,701   304,979   Large urban     14   Oshawa , Ontario   308,875   290,704   Large urban     15   Windsor , Ontario   287,069   277,970   Large urban     16   Saskatoon , Saskatchewan   245,181   220,546   Large urban     17   St. Catharines -- Niagara , Ontario   229,246   220,616   Large urban     18   Regina , Saskatchewan   214,631   192,079   Large urban     19   St. John 's , Newfoundland and Labrador   178,427   172,312   Large urban     21   Kelowna , British Columbia   151,957   140,131   Large urban     22   Barrie , Ontario   145,614   140,383   Large urban     23   Sherbrooke , Quebec   139,565   133,673   Large urban     24   Guelph , Ontario   132,397   122,457   Large urban     25   Abbotsford , British Columbia   121,279   115,011   Large urban     20   Kingston , Ontario   117,660   114,928   Large urban     26   Kanata , Ontario   117,304   104,559   Large urban     27   Trois - Rivières , Quebec   114,203   112,626   Large urban     28   Moncton , New Brunswick   108,620   103,926   Large urban     29   Chicoutimi - Jonquière , Quebec   104,222   104,589   Large urban     30   Milton , Ontario   101,715   75,880   Large urban     31   Red Deer , Alberta   99,718   89,715   Medium     32   Brantford , Ontario   98,179   94,269   Medium     33   Thunder Bay , Ontario   93,952   95,251   Medium     34   White Rock , British Columbia   93,729   85,062   Medium     35   Nanaimo , British Columbia   92,004   85,357   Medium     36   Sudbury , Ontario   88,054   87,950   Medium     37   Lethbridge , Alberta   87,572   79,364   Medium     38   Saint - Jean - sur - Richelieu , Quebec   84,685   81,802   Medium     39   Peterborough , Ontario   82,094   79,863   Medium     40   Kamloops , British Columbia   78,026   72,755   Medium     41   Saint - Jérôme , Quebec   77,146   69,598   Medium     42   Chilliwack , British Columbia   73,161   67,374   Medium     43   Sarnia , Ontario   72,125   73,044   Medium     44   Châteauguay , Quebec   71,164   66,445   Medium     45   Drummondville , Quebec   68,601   65,341   Medium     46   Belleville , Ontario   67,666   66,331   Medium     47   Fort McMurray , Alberta   66,573   60,555   Medium     48   Sault Ste . Marie , Ontario   66,313   68,143   Medium     49   Prince George , British Columbia   65,510   62,623   Medium     50   Medicine Hat , Alberta   62,935   59,624   Medium     51   Welland - Pelham , Ontario   62,388   60,540   Medium     52   Grande Prairie , Alberta   62,320   55,236   Medium     53   Airdrie , Alberta   61,082   42,844   Medium     54   Granby , Quebec   59,691   57,351   Medium     55   Fredericton , New Brunswick   59,405   56,663   Medium     56   Saint John , New Brunswick   58,341   60,459   Medium     57   Beloeil , Quebec   50,845   48,688   Medium     58   North Bay , Ontario   50,396   52,405   Medium     59   Saint - Hyacinthe , Quebec   50,032   47,289   Medium     60   Brandon , Manitoba   48,324   45,624   Medium     61   Vernon , British Columbia   48,073   46,125   Medium     62   Cornwall , Ontario   45,723   45,508   Medium     63   Joliette , Quebec   45,508   42,850   Medium     64   Courtenay , British Columbia   45,018   43,346   Medium     65   Charlottetown , Prince Edward Island   44,379   41,613   Medium     66   Victoriaville , Quebec   44,735   41,925   Medium     67   Chatham , Ontario   43,550   44,676   Medium     68   Georgetown , Ontario   42,123   40,185   Medium     69   St. Thomas , Ontario   41,813   40,973   Medium     70   Woodstock , Ontario   40,404   37,443   Medium     71   Bowmanville - Newcastle , Ontario   39,371   35,168   Medium     72   Salaberry - de-Valleyfield , Quebec   39,048   38,323   Medium     73   Shawinigan , Quebec   38,211   39,427   Medium     74   Rimouski , Quebec   36,942   35,437   Medium     75   Spruce Grove , Alberta   36,135   27,970   Medium     76   Sorel - Tracy , Quebec   36,088   35,770   Medium     77   Campbell River , British Columbia   35,138   33,448   Medium     78   Prince Albert , Saskatchewan   35,102   34,057   Medium     79   Penticton , British Columbia   33,617   32,823   Medium     80   Mission , British Columbia   33,261   31,109   Medium     81   Leamington , Ontario   32,991   32,520   Medium     82   Moose Jaw , Saskatchewan   32,724   32,546   Medium     83   Stouffville , Ontario   32,634   24,654   Medium     84   Lloydminster , Alberta / Saskatchewan   31,400   27,769   Medium     85   Orillia , Ontario   31,128   30,546   Medium     86   Stratford , Ontario   31,053   30,516   Medium     87   Orangeville , Ontario   30,734   29,007   Medium     88   Cape Breton - Sydney , Nova Scotia   29,904   30,175   Small     89   Bradford , Ontario   29,862   23,024   Small     90   Leduc , Alberta   29,556   23,827   Small     91   Timmins , Ontario   29,331   30,485   Small     92   Okotoks , Alberta   28,833   24,470   Small     93   Saint - Georges , Quebec   26,921   24,940   Small     94   Keswick - Elmhurst Beach , Ontario   26,757   26,002   Small     95   Bolton , Ontario   26,378   27,108   Small     96   Val - d'Or , Quebec   25,541   25,023   Small     97   Cochrane , Alberta   25,289   17,433   Small     98   Quispamsis - Rothesay , New Brunswick   24,445   23,862   Small     99   Midland , Ontario   24,353   23,791   Small     100   Innisfil , Ontario   23,992   20,365   Small     By province or territory ( edit )    List of population centres in Alberta   List of population centres in British Columbia   List of population centres in the Canadian Territories   List of population centres in Manitoba   List of population centres in New Brunswick   List of population centres in Newfoundland and Labrador   List of population centres in Nova Scotia   List of population centres in Ontario   List of population centres in Prince Edward Island   List of population centres in Quebec   List of population centres in Saskatchewan    See also ( edit )    List of the 100 largest cities and towns in Canada by area   List of metropolitan areas in Canada   List of Canadian provinces and territories by population   List of largest Canadian cities by census   Population of Canada by year   List of cities in Canada   List of towns in Canada   Regional municipality    References ( edit )    ^ Jump up to : `` From urban areas to population centres '' . Statistics Canada . Archived from the original on 13 December 2012 . Retrieved 5 May 2011 .   Jump up ^ `` Map : Toronto ( Population Centre ) , Ontario '' . Statistics Canada , February 1 , 2012 .   Jump up ^ Map : Ottawa - Gatineau ( Population Centre ) , Ontario . Statistics Canada , February 1 , 2012 .   Jump up ^ Map : Sudbury ( Population Centre ) , Ontario . Statistics Canada , February 1 , 2012 .   Jump up ^ Canada , Government of Canada , Statistics . `` Population and Dwelling Count Highlight Tables , 2016 Census '' . www12.statcan.gc.ca . Retrieved 2017 - 06 - 02 .              Canada     History      Year list ( Timeline )     Pre-colonization   New France ( 1534 -- 1763 )   British Canada ( 1763 -- 1867 )   Post-Confederation ( 1867 -- 1914 )   World Wars and Interwar Years ( 1914 -- 1945 )   Modern times : 1945 -- 1960   1960 -- 1981   1982 -- 1992   since 1992       Topics     Constitutional   Crown &amp; Aboriginals   Economic   Etymology   Former colonies &amp; territories   Immigration   Military   Monarchical   National Historic Sites   Persons of significance   Territorial evolution   Women          Provinces and territories      Provinces     Alberta   British Columbia   Manitoba   New Brunswick   Newfoundland and Labrador   Nova Scotia   Ontario   Prince Edward Island   Quebec   Saskatchewan       Territories     Northwest Territories   Nunavut   Yukon          Government     Law   Constitution   Monarch   Governor General   Parliament ( Senate   House of Commons )   Prime Minister   list     Courts   Supreme Court     Military   Local government   Foreign relations   Law enforcement       Politics     Elections   LGBT rights   Multiculturalism       Geography      Regions ( west to east )     Pacific Northwest   Western Canada   Great Plains   Canadian Prairies     Northern Canada   Canadian Shield   Great Lakes   Central Canada   The Maritimes   Eastern Canada   Atlantic Canada       Topics     Animals   Cities   Earthquakes   Islands   Mountains   National Parks   Plants   Great Lakes   Regions   Rivers   Volcanoes          Economy     Agriculture   Banking   Bank of Canada   Dollar   Communications   Companies   Energy   Fishing   Oil   Stock exchange   Taxation   Tourism   Transportation   Science and technology   Social programs   Poverty       Society     Education   Healthcare   Crime   Values       Demographics      Topics     Canadians   Immigration   Languages   Religion   2001 Census   2006 Census   2011 Census   Population       Top 100s     Metropolitan areas and agglomerations   Population centres   Municipalities          Culture     Architecture   Art   Cinema   Cuisine   Festivals   Folklore   People   Holidays   Identity   Literature   Music   Nationalisms   Online media   Protectionism   Sport   Theatre       Symbols     Coat of arms   Flags   Provincial and territorial   Royal   Heraldic       Article overviews     Index   Outline   Topics       Research     Bibliography   Historiography         Book   Category   Portal                 Demographics of Canada     Topics     Canadians   Languages   Religion   Immigration   Ethnic groups   Population by year       By province     Alberta   British Columbia   Manitoba   New Brunswick   Newfoundland and Labrador   Nova Scotia   Ontario   Prince Edward Island   Quebec   Saskatchewan   Yukon   Northwest Territories   Nunavut       By city     Toronto   Montreal   Ottawa   Calgary   Edmonton   Vancouver   Winnipeg       Census in Canada     1666 ( New France )   1871   1881   1891   1901   1906   1911   1921   1931   1941   1951   1956   1961   1966   1971   1976   1981   1986   1991       2006   2011       Lists     Metropolitan areas and agglomerations   100 largest population centres   100 largest municipalities   Largest Canadian cities by census                 List of population centres in Canada ( by province or territory )     Provinces     Alberta   British Columbia   Manitoba   New Brunswick   Newfoundland and Labrador   Nova Scotia   Ontario   Prince Edward Island   Quebec   Saskatchewan       Territories     Northwest Territories   Nunavut   Yukon         Book   Category   Portal   WikiProject      Retrieved from `` https://en.wikipedia.org/w/index.php?title=List_of_the_100_largest_population_centres_in_Canada&amp;oldid=808092033 '' Categories :   Demographics of Canada   Lists of urban areas   Lists of cities in Canada           Talk                                           Contents                   About Wikipedia                                        Languages    </t>
    </r>
    <r>
      <rPr>
        <sz val="11"/>
        <color rgb="FF000000"/>
        <rFont val="Noto Sans CJK SC"/>
        <family val="2"/>
      </rPr>
      <t xml:space="preserve">中文   </t>
    </r>
    <r>
      <rPr>
        <sz val="11"/>
        <color rgb="FF000000"/>
        <rFont val="Calibri"/>
        <family val="0"/>
        <charset val="1"/>
      </rPr>
      <t xml:space="preserve">Edit links   This page was last edited on 31 October 2017 , at 20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</si>
  <si>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top ten largest cities in canada by population</t>
  </si>
  <si>
    <t xml:space="preserve">   Rank   Population centre   Population in 2016   Population in 2011   Class       Toronto , Ontario   5,429,524   5,144,412   Large urban       Montreal , Quebec   3,519,595   3,387,653   Large urban       Vancouver , British Columbia   2,264,823   2,124,443   Large urban       Calgary , Alberta   1,237,656   1,094,379   Large urban     5   Edmonton , Alberta   1,062,643   935,361   Large urban     6   Ottawa -- Gatineau , Ontario / Quebec   989,657   945,592   Large urban     7   Winnipeg , Manitoba   711,925   670,025   Large urban     8   Quebec City , Quebec   705,103   681,804   Large urban     9   Hamilton , Ontario   693,645   671,008   Large urban     10   Kitchener , Ontario   470,015   446,295   Large urban     11   London , Ontario   383,437   365,715   Large urban     12   Victoria , British Columbia   335,696   314,596   Large urban     13   Halifax , Nova Scotia   316,701   304,979   Large urban     14   Oshawa , Ontario   308,875   290,704   Large urban     15   Windsor , Ontario   287,069   277,970   Large urban     16   Saskatoon , Saskatchewan   245,181   220,546   Large urban     17   St. Catharines -- Niagara , Ontario   229,246   220,616   Large urban     18   Regina , Saskatchewan   214,631   192,079   Large urban     19   St. John 's , Newfoundland and Labrador   178,427   172,312   Large urban     21   Kelowna , British Columbia   151,957   140,131   Large urban     22   Barrie , Ontario   145,614   140,383   Large urban     23   Sherbrooke , Quebec   139,565   133,673   Large urban     24   Guelph , Ontario   132,397   122,457   Large urban     25   Abbotsford , British Columbia   121,279   115,011   Large urban     20   Kingston , Ontario   117,660   114,928   Large urban     26   Kanata , Ontario   117,304   104,559   Large urban     27   Trois - Rivières , Quebec   114,203   112,626   Large urban     28   Moncton , New Brunswick   108,620   103,926   Large urban     29   Chicoutimi - Jonquière , Quebec   104,222   104,589   Large urban     30   Milton , Ontario   101,715   75,880   Large urban     31   Red Deer , Alberta   99,718   89,715   Medium     32   Brantford , Ontario   98,179   94,269   Medium     33   Thunder Bay , Ontario   93,952   95,251   Medium     34   White Rock , British Columbia   93,729   85,062   Medium     35   Nanaimo , British Columbia   92,004   85,357   Medium     36   Sudbury , Ontario   88,054   87,950   Medium     37   Lethbridge , Alberta   87,572   79,364   Medium     38   Saint - Jean - sur - Richelieu , Quebec   84,685   81,802   Medium     39   Peterborough , Ontario   82,094   79,863   Medium     40   Kamloops , British Columbia   78,026   72,755   Medium     41   Saint - Jérôme , Quebec   77,146   69,598   Medium     42   Chilliwack , British Columbia   73,161   67,374   Medium     43   Sarnia , Ontario   72,125   73,044   Medium     44   Châteauguay , Quebec   71,164   66,445   Medium     45   Drummondville , Quebec   68,601   65,341   Medium     46   Belleville , Ontario   67,666   66,331   Medium     47   Fort McMurray , Alberta   66,573   60,555   Medium     48   Sault Ste . Marie , Ontario   66,313   68,143   Medium     49   Prince George , British Columbia   65,510   62,623   Medium     50   Medicine Hat , Alberta   62,935   59,624   Medium     51   Welland - Pelham , Ontario   62,388   60,540   Medium     52   Grande Prairie , Alberta   62,320   55,236   Medium     53   Airdrie , Alberta   61,082   42,844   Medium     54   Granby , Quebec   59,691   57,351   Medium     55   Fredericton , New Brunswick   59,405   56,663   Medium     56   Saint John , New Brunswick   58,341   60,459   Medium     57   Beloeil , Quebec   50,845   48,688   Medium     58   North Bay , Ontario   50,396   52,405   Medium     59   Saint - Hyacinthe , Quebec   50,032   47,289   Medium     60   Brandon , Manitoba   48,324   45,624   Medium     61   Vernon , British Columbia   48,073   46,125   Medium     62   Cornwall , Ontario   45,723   45,508   Medium     63   Joliette , Quebec   45,508   42,850   Medium     64   Courtenay , British Columbia   45,018   43,346   Medium     65   Charlottetown , Prince Edward Island   44,379   41,613   Medium     66   Victoriaville , Quebec   44,735   41,925   Medium     67   Chatham , Ontario   43,550   44,676   Medium     68   Georgetown , Ontario   42,123   40,185   Medium     69   St. Thomas , Ontario   41,813   40,973   Medium     70   Woodstock , Ontario   40,404   37,443   Medium     71   Bowmanville - Newcastle , Ontario   39,371   35,168   Medium     72   Salaberry - de-Valleyfield , Quebec   39,048   38,323   Medium     73   Shawinigan , Quebec   38,211   39,427   Medium     74   Rimouski , Quebec   36,942   35,437   Medium     75   Spruce Grove , Alberta   36,135   27,970   Medium     76   Sorel - Tracy , Quebec   36,088   35,770   Medium     77   Campbell River , British Columbia   35,138   33,448   Medium     78   Prince Albert , Saskatchewan   35,102   34,057   Medium     79   Penticton , British Columbia   33,617   32,823   Medium     80   Mission , British Columbia   33,261   31,109   Medium     81   Leamington , Ontario   32,991   32,520   Medium     82   Moose Jaw , Saskatchewan   32,724   32,546   Medium     83   Stouffville , Ontario   32,634   24,654   Medium     84   Lloydminster , Alberta / Saskatchewan   31,400   27,769   Medium     85   Orillia , Ontario   31,128   30,546   Medium     86   Stratford , Ontario   31,053   30,516   Medium     87   Orangeville , Ontario   30,734   29,007   Medium     88   Cape Breton - Sydney , Nova Scotia   29,904   30,175   Small     89   Bradford , Ontario   29,862   23,024   Small     90   Leduc , Alberta   29,556   23,827   Small     91   Timmins , Ontario   29,331   30,485   Small     92   Okotoks , Alberta   28,833   24,470   Small     93   Saint - Georges , Quebec   26,921   24,940   Small     94   Keswick - Elmhurst Beach , Ontario   26,757   26,002   Small     95   Bolton , Ontario   26,378   27,108   Small     96   Val - d'Or , Quebec   25,541   25,023   Small     97   Cochrane , Alberta   25,289   17,433   Small     98   Quispamsis - Rothesay , New Brunswick   24,445   23,862   Small     99   Midland , Ontario   24,353   23,791   Small     100   Innisfil , Ontario   23,992   20,365   Small   </t>
  </si>
  <si>
    <t xml:space="preserve">Red Rock Canyon National Conservation area - wikipedia  Red Rock Canyon National Conservation area  Jump to : navigation , search This article is about the National Conservation Area in Nevada . For other uses , see Red Rock Canyon ( disambiguation ) .    Red Rock Canyon National Conservation Area     IUCN category V ( protected landscape / seascape )     Red Rock Canyon National Conservation Area view .         Location   Clark County , Nevada , US     Nearest city   Las Vegas , Nevada     Coordinates   36 ° 08 ′ 08 '' N 115 ° 25 ′ 38 '' W ﻿ / ﻿ 36.135574 ° N 115.42724 ° W ﻿ / 36.135574 ; - 115.42724 Coordinates : 36 ° 08 ′ 08 '' N 115 ° 25 ′ 38 '' W ﻿ / ﻿ 36.135574 ° N 115.42724 ° W ﻿ / 36.135574 ; - 115.42724     Area   197,349 acres ( 798.64 km )     Established   1967     Visitors   2,000,000 +     Governing body   Bureau of Land Management     The Red Rock Canyon National Conservation Area in Nevada is an area managed by the Bureau of Land Management as part of its National Landscape Conservation System , and protected as a National Conservation Area . It is located about 15 miles ( 24 km ) west of Las Vegas , and is easily seen from the Las Vegas Strip . The area is visited by more than two million people each year .   The conservation area showcases a set of large red rock formations : a set of sandstone peaks and walls called the Keystone Thrust . The walls are up to 3,000 feet ( 910 m ) high , making them a popular hiking and rock climbing destination . The highest point is La Madre Mountain , at 8,154 feet ( 2,485 m ) .   A one - way loop road , 13 miles ( 21 km ) long , provides vehicle access to many of the features in the area . Several side roads and parking areas allow access to many of the area trails . A visitor center is located at the start of the loop road . The loop road is also very popular for bicycle touring ; it begins with a moderate climb , then is mostly downhill or flat .   Red Rock Canyon is a side - canyon accessible only by an unmaintained primitive road from the scenic loop which mostly only off - road or high clearance vehicles can access . State Route 159 cuts through an unnamed but often - visited valley ; it is commonly , but mistakenly , referred to as Red Rock Canyon . The Wilson Cliffs , or Keystone Thrust , a massive wall of rock , can be seen to the west from SR 159 .   Towards the southern end of the National Conservation Area are Spring Mountain Ranch State Park ; Bonnie Springs , a replica of a western ghost town ; and the village of Blue Diamond .     Contents  ( hide )   1 History   1.1 Native Americans   1.2 Modern history     2 Biology   3 Climate   4 Geology   5 Activities   5.1 Rock climbing   5.2 Hiking     6 Wildfire history   7 Gallery   8 Notes   9 References   10 External links      History ( edit )   Native Americans ( edit )  Petroglyphs in Red Rock Canyon Lomatium parryi , a common plant consumed by early Native Americans  The first humans were attracted to the Red Rock area due to its resources of water , plant , and animal life that could not be easily found in the surrounding desert . Hunters and gatherers such as the historical Southern Paiute and the much older Archaic , or Desert Culture Native Americans , have successively occupied this area .   As many as six different Native American cultures may have been present at Red Rock over the millennia . The following chronology is an approximation , from the present to ancient pre-history :    Southern Paiute - 900 to modern times   Patayan Culture - 900 to early historic times in the 1800s   Anasazi - 1 AD to 1150 .   Pinto / Gypsum - ( Archaic ) 3500 BC to 1 AD .   San Dieguito - 7000 to 5500 BC .   Paleo - Indians ( Tule Springs ) - 11,000 to 8000 BC .    Numerous petroglyphs , as well as pottery fragments , remain today throughout the area . In addition , several roasting pits used by the early Native Americans at Red Rock provide further evidence of human activity in the past .   Modern history ( edit )   In the early 1900s , around the time the first European Americans settled in nearby Las Vegas , a small sandstone quarry was operated by the Excelsior Company near the northern area of the scenic loop . It proved to be uneconomical and was shut down . Evidence of the quarry 's existence includes some of the huge sandstone blocks that have been left behind .   The Red Rocks have been used as a film location for such movies as Roy Rogers and his horse Trigger in Bells of San Angelo ( 1947 ) and was a location for The Stalking Moon with Gregory Peck in 1968 .   In 1967 , the Bureau of Land Management designated 10,000 acres ( 4,000 ha ) as the Red Rock Recreation Lands . By 1990 , special legislation changed the status of the Red Rock Recreation Lands to a National Conservation Area , a status that also provides funds used to maintain and protect it .   The Howard Hughes Corporation , developer of Summerlin , has transferred land adjacent to the protected area , to provide a buffer between development and the conservation area . On the west side , Red Rock Canyon National Conservation Area is adjacent to the Spring Mountains National Recreation Area .   Biology ( edit )  Mojave Max , a desert tortoise  The conservation area is one of the easternmost parts of the Mojave Desert ; the lowest elevation of the area , from 3,600 to 4,500 feet ( 1,100 to 1,400 m ) , is in the Lower Sonoran Zone , while the area from 4,500 feet ( 1,400 m ) up is in the Upper Sonoran Zone . The character of the sandstone layers is such that a number of year - round springs may be found in the recesses of the side canyons .   Some 600 species of plants are known in the area . Common types in the valley floor include the Joshua tree , Mojave yucca , banana yucca , creosote , and blackbrush . Higher up the Utah juniper and Sonoran scrub oak ( also called scrub live oak ) come to dominate . Agave is easy to spot in red rock niches , with its thick low leaves and flowering stem that reaches twice the height of a man . The Calico Tanks trail has a plaque about prehistoric agave roasting pits . Ponderosa pines may be found at the top of the valley , where it connects to the Spring Mountains .   Wild burros are a familiar sight , as are rabbits and ground squirrels . Desert bighorn sheep are occasionally seen at higher elevations . During rare spring and summer rainstorms , tiny red - spotted toads can be seen emerging from pools of water .   The Conservation Area is protected habitat for the desert tortoise . A habitat at the Visitor Center houses eight females and two males . One of the males , Mojave Max , is a mascot tortoise for the Clark County Desert Conservation Program ; he is used in educational programs .   Climate ( edit )     ( hide ) Climate data for Spring Mountain Ranch State Park , Nevada ( Elevation 3,870 ft )     Month   Jan   Feb   Mar   Apr   May   Jun   Jul   Aug   Sep   Oct   Nov   Dec   Year     Record high ° F ( ° C )   71 ( 22 )   81 ( 27 )   86 ( 30 )   91 ( 33 )   103 ( 39 )   114 ( 46 )   111 ( 44 )   108 ( 42 )   102 ( 39 )   97 ( 36 )   82 ( 28 )   73 ( 23 )   114 ( 46 )     Average high ° F ( ° C )   53.0 ( 11.7 )   56.8 ( 13.8 )   63.7 ( 17.6 )   71.0 ( 21.7 )   80.3 ( 26.8 )   91.2 ( 32.9 )   96.7 ( 35.9 )   94.8 ( 34.9 )   87.7 ( 30.9 )   76.1 ( 24.5 )   62.1 ( 16.7 )   53.4 ( 11.9 )   73.9 ( 23.3 )     Average low ° F ( ° C )   29.7 ( − 1.3 )   32.9 ( 0.5 )   38.4 ( 3.6 )   44.3 ( 6.8 )   52.9 ( 11.6 )   63.6 ( 17.6 )   70.7 ( 21.5 )   68.5 ( 20.3 )   59.3 ( 15.2 )   47.3 ( 8.5 )   35.9 ( 2.2 )   29.5 ( − 1.4 )   47.8 ( 8.8 )     Record low ° F ( ° C )   0 ( − 18 )   0 ( − 18 )   21 ( − 6 )   19 ( − 7 )   28 ( − 2 )   38 ( 3 )   45 ( 7 )   45 ( 7 )   32 ( 0 )   26 ( − 3 )   16 ( − 9 )   ( − 16 )   0 ( − 18 )     Average precipitation inches ( mm )   1.78 ( 45.2 )   2.21 ( 56.1 )   1.88 ( 47.8 )   0.59 ( 15 )   0.24 ( 6.1 )   0.10 ( 2.5 )   0.99 ( 25.1 )   1.09 ( 27.7 )   0.56 ( 14.2 )   0.52 ( 13.2 )   0.75 ( 19 )   0.92 ( 23.4 )   11.64 ( 295.7 )     Average snowfall inches ( cm )   0.8 ( 2 )   0.7 ( 1.8 )   0.3 ( 0.8 )   0.1 ( 0.3 )   0 ( 0 )   0 ( 0 )   0 ( 0 )   0 ( 0 )   0 ( 0 )   0 ( 0 )   0.1 ( 0.3 )   0.7 ( 1.8 )   2.6 ( 6.6 )     Source : The Western Regional Climate Center     Geology ( edit )  An outcrop of Aztec Sandstone  The Red Rock area has a complex geological history , which over millions of years , helped to create the dramatic landscape that characterizes the region .   The Red Rock area was located under an ocean basin during the Paleozoic Era 600 million years ago . Up to 9,000 feet of limey sediments were deposited and eventually lithified to limestone . During the Mesozoic Era 250 million years ago , the earth 's crust started to rise due to tectonic shifts , and marine shales and sandstones were deposited . As the basin became isolated evaporite formations of salt and gypsum were deposited . Oxidation of the iron minerals in the sediments resulted in the red colors of some of the rocks . Deposition by streams and in swamp environments resulted in the formation of petrified wood in the area .   By 180 million years ago , the climate continued to change and the area became a desert featuring vast expanses of huge shifting sand dunes . These dunes accumulated over a broad area , up to a half mile thick , and were lithified , cemented with calcium carbonate and iron oxides . They developed as the colorful Aztec Sandstone .   During a mountain - building period called the Laramide orogeny around 66 million years ago , the Keystone Thrust Fault developed . The Keystone is part of a series of thrust faults which ran through much of western North America and through the Red Rock Conservation Area . The movement of this fault forced the older gray sedimentary rock over the younger red rocks , forming the varicolored landscape that can be seen in the mountain today . The thrust is exposed over a distance of 13 miles along the Red Rock escarpment .   The Lee Canyon thrust plate may contain over 4,000 ft ( 1,200 m ) of terrigenous rocks at the base . The Wheeler Pass thrust may contain at least 11,000 ft ( 3,300 m ) of these rocks as well .   Activities ( edit )  Climbers at the second pullout of the scenic loop  Red Rock provides a wide variety of activities , the most popular being hiking , biking , rock scrambling , and rock climbing . Horseback riding and camping are also allowed on specific trails and in designated areas . Automobile and motorcycle clubs often conduct group drives through the 13 - mile scenic drive . ATV use is not permitted in the area .   Aside from the obvious dangers from climbing rock faces and cliffs , visitors are informed that temperatures can routinely exceed 105 ° F ( 41 ° C ) in the summer , so they must bring plenty of water . Visitors hiking into the backcountry off established trails are advised against traveling alone , and should inform other people of their plans . Risks include the presence of venomous rattlesnakes and flash flooding / lightning from thunderstorms .   Rock climbing ( edit )   Although the Yosemite - size walls offer a host of challenging lines , technical climbing activity was not recorded before 1968 . The first modern routes , climbed in the early 1970s , are described in several books . The rock is Aztec Sandstone , a relatively solid variety with a hard surface varnish . Many climbs involve ascents of single crack systems hundreds of feet long .   The climbs of Red Rock cover a broad range of length and difficulty . The long , easy routes had made the area a common climbing training ground , but the canyon also offers many difficult climbs as well . In recent decades , this broad appeal and the classic nature of many routes has made the area an international destination for rock climbers .   Popular sport climbing areas include the Calico Hills and Sandstone Quarry . Red Rock has a multitude of traditional climbing areas , including single - pitch areas such as Brass Wall and Necromancer Wall , along with multi-pitch areas such as Eagle Wall , Aeolian Wall , Mescalito , and Solar Slab . Long free and big - wall aid routes are found on features such as the Rainbow Wall , first climbed over three days in 1973 by Joe Herbst and Larry Hamilton .   Hiking ( edit )   Red Rock has hiking trails . There is a hiking trail map here . There are also picnic areas . Trails are changed and diverted depending upon the needs of the ecosystem . In early spring , depending upon the precipitation , waterfalls may be seen on the edge of the canyons . Popular trails within the vicinity of the scenic drive loop include :    Moenkopi Loop : Open country trail with Triassic fossils and desert flora . Begins at the visitor center , west of weather monitoring station . There are panoramic view of Wilson Cliffs . Trails connecting to the Calico Hills area . Difficulty : easy . Distance : 2 miles ( loop ) .   Calico Hills : Runs along base of Calico Rocks , through Calico Basin , to Sandstone Quarry . Accessible from either Calico parking areas . Side trail runs to fee booth parking lot . Difficulty : easy to moderate . Distance : variable ( depends on access point ) .   Calico Tanks : Trail heads north , from Sandstone Quarry , and meets Turtlehead Peak Trail . Trail runs up a side canyon and rock terraces finally ending at a large natural water tank . Difficulty : moderately strenuous ( rock scrambling and route finding skills recommended ) . Distance : 2.5 miles round trip .   Turtlehead Peak : From Sandstone Quarry , this trail runs north , then continues along the northwest side of the actual Turtlehead Peak . Difficulty : very strenuous . Distance : 5 miles round trip .   Keystone Thrust : From the upper White Rocks Springs parking lot , the trail runs north . This trail then branches off from the La Madre Springs loop , joins an old jeep road , and continues uphill to the left . Views include the Keystone Thrust Fault where gray limestone meets red and tan sandstone . Difficulty : moderate . Distance : 2.2 miles round trip .   White Rock to Willow Springs : From the White Rock Springs upper parking lot , the rail runs west and splits to the right down to a man made water hole ( guzzler ) . The trail goes downhill , through a wash , up a ridge , arriving at the Lost Creek area , then Willow Springs . Difficulty : easy to moderate . Distance : 4.4 miles round trip .   White Rock / La Made Springs Loop : Accessible from either White Rock Springs or Willow Springs , and can be done going either direction . Difficulty : moderate . Distance : 6 miles round trip .   Lost Creek Children 's Discovery Trail : Beginning at the Lost Creek parking area , the trail intersects with Willow Springs loop and shares it until the split at Site # 3 . Continue on the loop , past Site # 4 , where another path leads to a seasonal waterfall . Difficulty : easy . Distance : 0.7 miles round trip .   Willow Springs Loop : From the parking lot , the trail runs south . Views of a pictograph site and Agave roasting pits can be seen . Passing the Lost Creek parking lot , the rail runs right , past Site # 3 , and on to the Willow Springs Parking Lot . Difficulty : easy . Distance : 1.5 miles round trip .   La Madre Springs : Beginning at the Willow Springs parking lot , take the dirt road west and up the canyon . After crossing a wash , veer right at the split , continue uphill to a dam , follow the trail to the springs . Difficulty : moderate . Distance : 3 miles round trip .   Smyc Trail : Accessible from the Lost Creek or Ice Box Trail , this one runs at the base of the escarpment and connects both trails . Difficulty : moderate . Distance : 2.2 miles round trip .   Ice Box Canyon : The trail begins at the parking lot , goes across a wash and toward the canyon , this portion is well defined . It then drops down the canyon , where routing around or over boulders may be required . A ponderosa tree can be found at the official end of the trail but an upper pool filled with seasonal waterfall can be found 1 / 4 mile further . Difficulty : moderately strenuous . Distance : 2.5 miles .   Dale 's Trail : This trail can be accessed from either Ice Box Trail or Pine Creek Trail . It follows the terrain at the base of the escarpment and connects the two above mentioned trails . ( 4 . 4 mile round trip , moderate ) .   Pine Creek Canyon : From the parking lot , the trail runs downhill toward the canyon . The trail does get intersected at two points by Fire Ecology Trail and Dale 's Trail , then forks near Old Wilson homestead foundation . The trail runs left , goes downhill , crosses a stream , then uphill toward an intersection with Arnight Trail . After crossing a wash , the main trail will reemerge on the opposite side of the homestead . Difficulty : moderate . Distance : 2.9 miles round trip .   Fire Ecology Trail : The entrance and exit to this trail are accessed from the Pine Creek Trail . The trail runs left toward the escarpment , over a bridge and rise , then the second loop is entered . Return across the same bridge . Difficulty : easy . Distance : 0.75 miles round trip .   Oak Creek Canyon Trail : This trail originates at the Oak Creek turnoff from the scenic drive loop , there is a parking lot available there . The trail begins in open desert and heads toward the mouth of Oak Creek Canyon . Difficulty : easy . Distance : 2 miles round trip .   Arnight Trail : From the parking lot , the trail runs toward the escarpment , is intersected by Knoll Trail , then joins Pink Creek Trail just above the loop junction . Difficulty : moderate . Distance : 2.4 miles round trip .   Knoll Trail : This trail follows the base of the escarpment and connects with First Creek Trail . Difficulty : easy to moderate . Distance : 1.9 mile one - way . A hike on this trail can be connected with Oak Creek and Arnight Trails for an increase of distance to 3.5 mile round trip and difficulty increase to moderate .   First Creek Canyon Trail : This trail begins off Charleston Blvd. , or State Route 159 , 2.6 miles south of the scenic loop . It heads toward the mouth of the canyon , down the left side , then over boulders . Seasonal waterfalls can be seen within the canyon . Difficulty : moderately strenuous . Distance : 2.5 miles round trip .   Grand Circle Adventure : Originating at the fee booth parking area , this trail runs across several other trails . It heads toward Calico Hills Trail , onto Sandstone Quarry , the White Rock Springs parking lot , down the hill toward Willow Springs , passes over a ridge and across scenic loop drive , then downhill toward the visitor center . Difficulty : strenuous . Distance : 11 miles round trip .   Escarpment Base Trail : This trail combines SMYC , Dale 's and Arnight trails . It can be accessed from the Lost Creek or Oak Creek parking areas , run one - way or round trip . Difficulty : moderate to strenuous . Distance : 5.2 miles one - way ( car pool or shuttle required ) , 10.4 miles round trip .   Overlook Trail : A paved path leads up a small hill behind a helicopter pad . Views of Red Rock Canyon and the escarpment can be seen . Difficulty : easy ( wheelchair accessible ) . Distance : 0.25 miles round trip .   Bridge Mountain Trail : Accessible from the summit of Rocky Gap Road . Difficulty : challenging . Off - road / 4x4 vehicle required .    Wildfire history ( edit )   Wildfires occur in Red Rock . From the loop area , visitors may see both the damage caused by these events as well as the ability of the desert to heal itself over time .   Recent fires seemed to have been in part fueled by the thick growth of invasive , non-native red brome and cheat grasses . They also compete with the native plants in the area for resources . So far the Bureau of Land Management has not developed plans to control these weeds , as control methods such as using herbicides can be both costly anddamaging to the native plants .   Several significant wildfires have burned within the Red Rock Canyon NCA in recent years , including :    1998 - A fire occurred in the loop area . By 2003 regrowth made it difficult to find the burn area .   June 25 , 2005 - The Goodsprings fire consumed more than 31,600 acres ( 12,800 ha ) , burning into Red Rock NCA 's southern area .   July 22 , 2005 - Lightning caused an 800 acres ( 320 ha ) fire in the loop area .   September 6 , 2006 - Yet another fire was started by lightning in the loop near the visitor 's center and burned around 1,500 acres ( 610 ha ) .   July 2013 - Carpenter I fire . Burned mainly in the Spring Mountain NRA , but encroached on the north west portion of the conservation area . Can be easily viewed from SR 157 Kyle Canyon Road . Caused by lightning in Trout Canyon nearby .    Gallery ( edit )     Red Rock welcome sign     Wild burros at RRNCA     Joshua tree with Calico Hills in the background     Outcrop of the Aztec Sandstone ( Lower Jurassic ) showing distorted eolian sand beds     Calico Hills     Bridge Mountain .     Calico basin     Spring wildflowers in RRCNCA     Winter scene with snow in RRCNCA    Panorama of Red Rock taken from an overlook point ( Zoom View ) Calico Hill ( Zoom View ) View from High Point Overlook ( Zoom View )  Notes ( edit )    Jump up ^ `` Welcome to Red Rock Canyon National Conservation Area '' . Bureau of Land Management . Retrieved 2011 - 09 - 03 .   Jump up ^ `` Red Rock Canyon National Conservation Area '' . Bureau of Land Management . Bureau of Land Management . Retrieved 3 June 2017 .   Jump up ^ `` Red Rock Cultural Resources '' . Bureau of Land Management . Retrieved 2011 - 09 - 03 .   Jump up ^ BLM list of film locations , 2015   Jump up ^ `` Red Rock Canyon National Conservation Area Overview '' . GORP . Retrieved 2011 - 09 - 03 .   Jump up ^ `` Quercus turbinella '' . Natural Resources Conservation Service PLANTS Database . USDA .   Jump up ^ `` Shrub Live Oak ( Quercus turbinella ) '' . birdandhike.com . Retrieved 2011 - 09 - 03 .   Jump up ^ http://mojavemax.com/   Jump up ^ `` Seasonal Temperature and Precipitation Information '' . Western Regional Climate Center . Retrieved November 17 , 2013 .   ^ Jump up to : `` Red Rock Geology '' . Bureau of Land Management . Retrieved 2011 - 09 - 03 .   ^ Jump up to : Burchfiel , B.C. ; Fleck , R.J. ; Secor , D.T. ; Vincelette , R.R. ; Davis , G.A. ( 1974 - 07 - 01 ) . `` Geology of the Spring Mountains , Nevada '' . Geological Society of America Bulletin . 85 ( 7 ) : 1013 -- 1022 . ISSN 0016 - 7606 . doi : 10.1130 / 0016 - 7606 ( 1974 ) 852.0.CO ; 2 .   Jump up ^ DeAngelo , L. 2004 . Red Rock Odyssey. 2004 . Las Vegas , Verex Press . http://www.verexpress.com/   Jump up ^ Handren , J. 2016 . Red Rocks : A Climber 's Guide , 2nd edition . Las Vegas , NV : Jerry Handren. http://www.redrocksguidebook.com/   Jump up ^ `` Red Rock Canyon Hiking '' . www.blm.gov. 2016 - 10 - 20 . Retrieved 2017 - 02 - 25 . This article incorporates text from this source , which is in the public domain .   Jump up ^ Rogers , Keith ( 2006 - 09 - 08 ) . `` Officials see long road to recovery for desert plants '' . Las Vegas Review - Journal . Retrieved 2011 - 09 - 03 .   Jump up ^ ( 1 ) , Press Release , Bureau of Land Management   Jump up ^ `` Notice of Temporary Area Closure at the rEd Rock Canyon National Conservation Area due to Carpenter '' , Federal Register , 24 September 2014    References ( edit )  Rosy Two - tone Penstemon , Spring 2013   Urioste , Joanne , The Red Rocks of Southern Nevada , American Alpine Club , 1984 ISBN 978 - 0 - 930410 - 17 - 9   Clinesmith , Larry L. and Elsie L. Sellars , Red Rock Canyon Plants , Red Rock Canyon Interpretive Association , 2001 ISBN 978 - 0 - 9707179 - 0 - 0   Hundren , Jerry , Red Rocks Climber 's Guide II , 2016    External links ( edit )       Wikimedia Commons has media related to Red Rock Canyon .      BLM 's Red Rock Canyon Site       Flowers of RRCNCA by BLM       Red Rock Canyon Interpretive Association              Protected areas of Nevada     Federal      National Parks and Monuments     Basin and Range NM ( BLM )   Death Valley NP   Gold Butte NM ( BLM )   Great Basin NP   Tule Springs Fossil Beds NM       National Recreation Areas     Lake Mead   Spring Mountains ( USFS )       National Forests     Humboldt - Toiyabe   Inyo   Lake Tahoe Basin       National Conservation Areas     Black Rock Desert -- High Rock Canyon Emigrant Trails   Red Rock Canyon   Sloan Canyon       National Wilderness Areas     Alta Toquima   Arc Dome   Arrow Canyon   Bald Mountain   Becky Peak   Big Rocks   Black Canyon   Black Rock Desert   Boundary Peak   Bridge Canyon   Bristlecone   Calico Mountains   Clover Mountains   Currant Mountain   Death Valley   Delamar Mountains   East Fork High Rock Canyon   East Humboldt   Eldorado   Far South Egans   Fortification Range   Goshute Canyon   Government Peak   Grant Range   High Rock Canyon   High Rock Lake   High Schells   Highland Ridge   Ireteba Peaks   Jarbidge   Jimbilnan   Jumbo Springs   La Madre Mountain   Lime Canyon   Little High Rock Canyon   Meadow Valley Range   Mormon Mountains   Mt Charleston   Mt Grafton   Mt Irish   Mt Moriah   Mt Rose   Muddy Mountains   Nellis Wash   North Black Rock Range   North Jackson Mountains   North McCullough   Pahute Peak   Parsnip Peak   Pinto Valley   Quinn Canyon   Rainbow Mountain   Red Mountain   Ruby Mountains   Santa Rosa - Paradise Peak   Shellback   South Egan Range   South Jackson Mountains   South McCullough   South Pahroc Range   Spirit Mountain   Table Mountain   Tunnel Spring   Wee Thump Joshua Tree   Weepah Spring   White Pine Range   White Rock Range   Worthington Mountains       National Wildlife Refuges     Anaho Island   Ash Meadows   Desert   Fallon   Moapa Valley   Pahranagat   Ruby Lake   Sheldon   Stillwater          State      Historic Parks     Belmont Courthouse   Dangberg Home Ranch   Elgin Schoolhouse   Fort Churchill   Mormon Station   Old Las Vegas Mormon Fort   Ward Charcoal Ovens       Recreation Areas     Big Bend   Lahontan   Rye Patch   South Fork   Walker Lake   Wild Horse       Other     Beaver Dam   Berlin -- Ichthyosaur   Cathedral Gorge   Cave Lake   Dayton   Echo Canyon   Kershaw -- Ryan   Lake Tahoe -- Nevada   Spring Mountain Ranch   Spring Valley   Valley of Fire   Van Sickle   Washoe Lake       Previous     Floyd Lamb                    Las Vegas Valley       Las Vegas -- Paradise , NV MSA   State of Nevada       Transportation     Airports   McCarran International Airport   North Las Vegas Airport   Henderson Executive Airport     Las Vegas Monorail   RTC Transit   Amtrak station ( defunct )       Arts and museums     18b The Las Vegas Arts District   Southern Nevada Zoological - Botanical Park   Symphony Park   Smith Center for the Performing Arts     Huntridge Theater   Lance Burton Theatre   Las Vegas Little Theater   Smith Center for the Performing Arts   The AXIS              Museums in Clark County , Nevada     Active     Boulder City / Hoover Dam Museum   Burlesque Hall of Fame   Clark County Museum   Discovery Children 's Museum   Erotic Heritage Museum   Howard W. Cannon Aviation Museum   Imperial Palace Auto Collection   Las Vegas Gambling Museum   Las Vegas Historical Society   Las Vegas Natural History Museum   Lost City Museum   Madame Tussauds   Marjorie Barrick Museum of Art   Mob Museum   National Atomic Testing Museum   Neon Museum   Nevada State Museum   Nevada Southern Railroad Museum   Old Las Vegas Mormon Fort State Historic Park   Pinball Hall of Fame   Shelby Museum   Southern Nevada Museum of Fine Art   Thunderbirds Museum       Previous     Elvis - A-Rama Museum   Guinness World of Records   Guggenheim Hermitage Museum   History of the Future Museum   Hollywood Movie Museum   Las Vegas Art Museum   Liberace Museum   Star Trek : The Experience          Sports     T - Mobile Arena   Sam Boyd Stadium   Cashman Field   Thomas &amp; Mack Center   Darling Tennis Center   Bettye Wilson Soccer Complex   Las Vegas Motor Speedway   Las Vegas Stadium       Government     Las Vegas City Hall   Clark County Government Center   Lloyd D. George Federal Courthouse   Las Vegas Metropolitan Police Department       Communities      Cities     Henderson   Las Vegas   North Las Vegas       Census - designated places     Blue Diamond   Enterprise   Paradise   Spring Valley   Summerlin South   Sunrise Manor   Whitney   Winchester       Neighborhoods     Aliante   Anthem / Anthem Country Club   Chinatown   Downtown Las Vegas   Green Valley   Lake Las Vegas   Las Vegas Country Club   MacDonald Highlands   Mountain 's Edge   Paradise Palms   Queensridge / One Queensridge Place   Seven Hills   Southern Highlands   Summerlin   Summerlin South   The Lakes   The Ridges   West Las Vegas          Research and education     University of Nevada , Las Vegas   University of Nevada Medical School   Nevada State College   National University   Touro University Nevada   College of Southern Nevada   Roseman University of Health Sciences       Parks and public spaces     Acacia Demonstration Gardens   Clark County Shooting Complex   Clark County Wetlands Park   Floyd Lamb Park at Tule Springs   Lake Mead National Recreation Area   Springs Preserve   Mount Charleston   Red Rock Canyon National Conservation Area   Spring Mountains National Recreation Area   Sunset Park   Tule Springs Fossil Beds National Monument   Valley of Fire State Park       Area shopping     Bonanza Gift Shop   The Boulevard Mall   The Shops at Crystals   Downtown Summerlin   Galleria at Sunset   Grand Canal Shoppes   Fantastic Indoor Swap Meet   Fashion Outlets of Las Vegas   Fashion Show Mall   The Forum Shops at Caesars   Las Vegas Premium Outlets North   Meadows Mall   Miracle Mile Shops   Stratosphere Tower Shops   Studio Walk at MGM Grand   Downtown Summerlin   The Shoppes at the Palazzo   Tivoli Village   Town Square       Other     Architecture   History   Timeline   Landmarks   Skyscrapers   Las Vegas Strip           WikiProject      Retrieved from `` https://en.wikipedia.org/w/index.php?title=Red_Rock_Canyon_National_Conservation_Area&amp;oldid=801769648 '' Categories :   IUCN Category V   Spring Mountains   Canyons and gorges of Nevada   Landforms of Clark County , Nevada   Protected areas of Clark County , Nevada   Bike paths in Nevada   Tourist attractions in the Las Vegas Valley   Climbing areas of the United States   Geologic formations with imbedded sand dunes   Protected areas of the Mojave Desert   Protected areas of Nevada   National Conservation Areas of the United States   Bureau of Land Management areas in Nevada   Units of the National Landscape Conservation System               Talk                                           Contents                   About Wikipedia                                                 Cebuano   Deutsch   Español   Français   Edit links   This page was last edited on 21 September 2017 , at 18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</si>
  <si>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distance from las vegas to red wood forest</t>
  </si>
  <si>
    <t xml:space="preserve"> The Red Rock Canyon National Conservation Area in Nevada is an area managed by the Bureau of Land Management as part of its National Landscape Conservation System , and protected as a National Conservation Area . It is located about 15 miles ( 24 km ) west of Las Vegas , and is easily seen from the Las Vegas Strip . The area is visited by more than two million people each year . </t>
  </si>
  <si>
    <t xml:space="preserve">Monday Night Football - Wikipedia  Monday Night Football  Jump to : navigation , search For other uses , see Monday Night Football ( disambiguation ) . `` NFL on ESPN '' redirects here . For the program aired between 1987 and 2005 , see ESPN Sunday Night Football .    ESPN Monday Night Football         Genre   NFL game telecasts     Created by   Roone Arledge     Directed by   Chet Forte ( 1970 -- 1986 ) Larry Kamm ( 1987 ) Craig Janoff ( 1988 -- 1999 ) Drew Esocoff ( 2000 -- 2005 ) Chip Dean ( 2006 -- present )     Presented by   Commentators : Sean McDonough Lisa Salters Studio hosts : Suzy Kolber Steve Young Randy Moss Matt Hasselbeck Charles Woodson     Opening theme   `` Score '' by Bob 's Band ( 1970 -- 1975 ) `` All My Rowdy Friends Are Here on Monday Night '' by Hank Williams , Jr. ( 1989 -- 2011 ; 2017 -- present ) `` Heavy Action '' by Johnny Pearson ( 1976 -- 1988 ; 2011 -- 2016 ) ( used as secondary theme from 1989 to 2011 and again from 2017 -- present )     Country of origin   United States     Original language ( s )   English     No. of seasons   47 ( NFL seasons )     No. of episodes   718 ( games )     Production     Executive producer ( s )   Norby Williamson ( 2006 -- present )     Producer ( s )   Roger Lewin Jay Rothman Suzy Kolber ( uncredited ; 2006 -- present )     Location ( s )   Various NFL stadiums ( game telecasts ) ESPN Center , Bristol , Connecticut ( studio segments )     Camera setup   Multi-camera     Running time   3 - 4 hours     Production company ( s )   National Football League ABC Sports ( 1970 -- 2005 ) ESPN ( 2006 -- present )     Release     Original network   ABC ( 1970 -- 2005 ) ESPN ( 2006 -- present )     Picture format   480i ( SDTV ) ( 1970 -- 2010 ) , 480i ( 16 : 9 SDTV ) ( 2011 -- present ) , 720p ( HDTV ) ( 2011 -- present )     Original release   September 21 , 1970 ( 1970 - 09 - 21 ) -- present     Chronology     Related shows   Monday Night Countdown     External links     Website     ESPN Monday Night Football ( abbreviated as MNF and also known as ESPN Monday Night Football on ABC for rare live special broadcast ) is a live television broadcast of weekly National Football League ( NFL ) games on ESPN in the United States . From 1970 to 2005 , it aired on sister broadcast network ABC . Monday Night Football was , along with Hallmark Hall of Fame and the Walt Disney anthology television series , one of the longest - running prime time programs ever on commercial network television , and one of the highest - rated , particularly among male viewers . MNF is preceded on air by Monday Night Countdown served by Applebee 's .   Monday Night Football is also broadcast in Canada on TSN and RDS , and in most of Europe . On September 7 , 2013 , the NFL announced that British Eurosport would show Monday Night Football games live in the United Kingdom for the 2013 and 2014 seasons . The telecasts are also seen in most of Australia on ESPN Australia , in Portugal on SportTV 3 and SportTV HD and on TV 2 Sport in Denmark , and in some other regions of the world outside the U.S. on ESPN International . A Spanish - language version airs on ESPN Deportes in the U.S. and on ESPN International in Latin America , while a Portuguese version airs on ESPN Brasil . Per an NFL broadcasting policy intended to allow those who do not subscribe to cable or satellite television to see games televised by a pay television network , the games are also made available on over-the - air television stations in each participating team 's local market .   On September 8 , 2011 , the first day of the 2011 regular season , ESPN extended its contract for Monday Night Football for eight additional seasons , giving it rights to the broadcasts until 2021 . The new deal , valued between $14.2 billion and $15.2 billion , also gives ESPN rights to expanded highlights , international and streaming rights , and possibly a wild - card playoff game . Cable television providers condemned the new contract , noting that ESPN has the highest retransmission consent fees of any national cable television channel , nearly seven times higher than the nearest competitor ( TNT ) , and raises fees on an annual basis .     Contents  ( hide )   1 Overview   1.1 Scheduling problems   1.2 Franchises with the most appearances     2 As entertainment   2.1 2000s   2.1. 1 2006 summary   2.1. 2 2007 summary   2.1. 3 2008 summary   2.1. 4 2009 summary     2.2 2010s   2.2. 1 2010 summary   2.2. 2 2011 summary   2.2. 3 2012 summary   2.2. 4 2013 -- 14 summary   2.2. 5 2015 summary   2.2. 6 2016 summary   2.2. 7 2017 summary       3 Theme music   4 Digital on - screen graphics   4.1 1997 -- 2005   4.2 2006 -- present     5 Scoring records   6 Scheduling on local stations   7 Commentators   8 Foreign - language versions   8.1 Spanish version   8.2 Portuguese version     9 Radio broadcasts   10 Nielsen ratings   11 Additional NFL game rights   11.1 Playoff games   11.2 Pro Bowl     12 See also   13 Footnotes   14 References   15 Further reading   16 External links      Overview ( edit )       This section needs expansion . You can help by adding to it . ( November 2010 )    See also : History of Monday Night Football  After 45 seasons , there now have been a total of 730 games televised by the Monday Night Football franchise .   Scheduling problems ( edit )   To avoid any scheduling unfairness where , just before the first playoff game , a team may have five days off and others six , there is no Monday night game during the final week of the regular season . From 2003 to 2005 , one game was played on Thursday and another Monday under the Monday Night Football banner . Starting in 2006 , when the series moved to cable , two games are played on the opening Monday night to capitalize on fan interest during `` NFL Kickoff Weekend '' .   Monday night games early in the season are often highly anticipated since records are new , teams usually are showcasing fresh talent and potential , and storylines coming into the season are often played out as fans try to see if these hyped teams are up to form . Since no one knows during the first month of the season if a team is indeed good , or will rebound from a difficult start , interest is usually high for the first few weeks of the MNF season .   Since the MNF schedule is set in April and can not be changed , the league and network can not guarantee a late season matchup will have any significance or be highly anticipated . Teams thought to be good during the off - season could be out of playoff contention by the middle of the season ; a prime example occurred in 1999 , when the San Francisco 49ers and Atlanta Falcons both entered the season 's final MNF game with 4 -- 11 records . It had seemed like a good pre-season matchup since the Falcons had played in the previous season 's Super Bowl and the 49ers coming into the 1999 season had posted 16 consecutive 10 - win seasons . It is also possible for a team like the 1999 St. Louis Rams not to be scheduled for a Monday night game because of its dismal record the year before , and many other NFL teams ( such as the 2004 San Diego Chargers , with zero primetime games ) have had huge unforeseen turnarounds that result in lack of MNF attention ( these teams generally receive multiple MNF spots the year after their breakout success , which is great for viewers if those teams continue to play well , and not so great if they return to mediocrity or worse ) . However , the forecasting abilities of the NFL 's scheduling officials have exhibited uncanny proficiency . Many MNF games occurring later in the season feature at least one team that is either headed to the playoffs or must win the MNF game to clinch a playoff spot .   The problem of having a national spotlight game which during the season 's most critical weeks late in the year probably would not show the most important game of the week was long known by the league and network . As a result of this , the NFL wished to move the `` Game of the Week '' idea to Sunday nights as to make flex scheduling possible . This was a move which would ultimately mean the end of Monday Night Football on ABC ( cable games are protected from the NFL 's flexible scheduling rule adopted for the 2006 -- 07 season ; the new rule applies only to CBS , Fox , and NBC 's Sunday night games ) . The league currently has no interest in expanding flexible scheduling to include Monday Night Football , citing the logistical issues of moving games back and forth between Sundays and Mondays .   Franchises with the most appearances ( edit )   The franchise with the most Monday night appearances is the Miami Dolphins . The San Francisco 49ers won their record 48th Monday Night game with a 28 -- 0 win over the Los Angeles Rams on September 12 , 2016 .   The most common Monday Night Football pairings are Broncos vs. Raiders ( 17 match - ups as of 2013 ) and Cowboys vs. Redskins ( met for a 17th time in 2015 ) .   The defunct Candlestick Park in San Francisco currently holds the record for hosting the most Monday Night Football games , including its 36th and final Monday night game on December 23 , 2013 . Among the active stadiums following the conclusion of the 2013 season , Miami Gardens , Florida 's Hard Rock Stadium has hosted the most games with 32 .   As entertainment ( edit )   Monday Night Football has continued to provide as much entertainment as sports throughout its run . In addition to the extra cameras , the program has also pioneered technological broadcast innovations , such as the use of enhanced slow motion replays and computerized graphics .   Celebrity guests -- such as former Vice President Spiro Agnew , singers Plácido Domingo and former Beatle John Lennon , President Bill Clinton , and even Kermit the Frog -- were often featured during the game to `` liven up '' the broadcast . The December 9 , 1974 contest featured a rare instance of two celebrities entering the booth , with Lennon being interviewed by Howard Cosell and California governor Ronald Reagan speaking with Frank Gifford , with Reagan explaining the rules of American football ( off - camera ) to Lennon as the game went along . However , the late 1990s and early 2000s saw an even more increased reliance on the entertainment factor . Some halftime shows , featuring popular music stars , were broadcast in their entirety rather than being ignored in favor of analysis of the game by the commentators , as in previous seasons .   In December 1980 , one of the most memorable moments of MNF occurred when Cosell announced in a news flash that Lennon had been shot and killed in New York City . Monday Night Football was the first national broadcast to announce his death .   An advertisement during halftime on the October 19 , 2015 game featured the world premiere of the third trailer of the 2015 film Star Wars : The Force Awakens .   2000s ( edit )  2006 summary ( edit )  For its 2006 debut on ESPN , Williams , Jr. re-recorded the MNF opening theme with an all - star jam band that included among others Brian Setzer , Little Richard , Questlove , Joe Perry , Clarence Clemons , Rick Nielsen , Bootsy Collins , Charlie Daniels and Steven Van Zandt . The 2006 telecast generally began with a cinematic tease produced by Rico Labbe , Michael Sciallis and Jason Jobes . It was during one of these teases that Barack Obama spoofed his announcement for the 2008 Presidential candidacy in favor of his hometown Chicago Bears in their game against the St. Louis Rams .   That year , the tease was followed by the show open produced by Los Angeles - based The Syndicate called `` Transformation '' . It features computer - generated imagery showing a city being transformed into a football stadium and passers - by on the street turning into players , coaches , fans and officials set to an updated orchestral treatment of the `` Heavy Action '' theme song . The sequence began every week with a different celebrity walking down the street , picking up a glowing football helmet with the ESPN logo on the side and saying , `` I 'm ready for some football ! Are you ? '' , thus beginning the transformation process . Celebrities for 2006 included Arnold Schwarzenegger , Matthew Fox , Hugh Hefner , Paris Hilton , Spike Lee , Ashton Kutcher , Samuel L. Jackson , Ludacris , Jack Black , Kiefer Sutherland , James Belushi , Ben Stiller , Tyra Banks , Carmen Electra and Eva Longoria .   In addition , celebrities returned in full force to the booth , though this proved to be the major criticism of ESPN 's first MNF season . On the opening weekend , Arnold Schwarzenegger , another celebrity - turned - California governor , was in the booth at McAfee Coliseum in Oakland , California ; before that , Jamie Foxx appeared at FedExField in suburban Washington , D.C. Following them , celebrity appearances included NBA basketball superstar Dwyane Wade , Basketball Hall of Fame player Charles Barkley , NASCAR Cup Series driver Jeff Gordon , comedian Jimmy Kimmel ( whose opening words to Joe Theismann were `` how 's the leg ? '' ) , actor Sylvester Stallone , film director Spike Lee , hip hop artist Jay - Z , and MNF theme singer Hank Williams Jr .  2007 summary ( edit )  ESPN scaled back to only one opening tease for the 2007 season . Williams Jr. and the all - star band returned , only this time they played in a `` juke joint '' set on a country road . The lead singer arrives in a GMC Yukon truck ( GMC paid for product placement ) with the license plate `` BOCEPHUS '' , which is Williams ' nickname . The Syndicate 's computer - generated tease was dropped and replaced by short pre-taped films focusing on a team or player in the game . Some of them have featured actor Jamie Foxx .   The guest visits continued : Barkley returned to the booth on September 17 in Philadelphia . Other guests throughout the season included Kimmel ( another returnee ) , Drew Carey , Miley Cyrus , Russell Crowe and Terry Bradshaw . In addition , Gordon was a halftime guest on the game just before the season - ending Ford 400 and was joined by teammate Jimmie Johnson .   At the end of each game , Williams returned to say , `` See you in ( city that is the site of the next week 's game ) . '' Both the open and close contain helmets of the participating teams , organized in the style of a concert poster .  2008 summary ( edit )  Despite the de-emphasis on entertainment on the overall telecast , ESPN did bring back Hank Williams , Jr. for his 20th season as part of the opening . This time , the opening sequence was set in a private residence . At the end of the song , Williams Jr. touched a foot pump , which supposedly contained the helmets of that night 's participating teams . The helmets were launched from the home toward the stadium at which the game was held . Through computer - generated imagery , the helmets `` land '' at midfield during a live shot , and then explode . The `` exploding helmets '' gimmick was also used at various times in the 1980s and 1990s during the pre-game tease . Williams Jr. then appeared again at the end of the game to promote the next week 's matchup .   ESPN also continued to promote upcoming albums through its use in bumper music . On September 29 ( Baltimore Ravens at Pittsburgh Steelers ) , ESPN used `` Another Way to Die '' , a duet between Alicia Keys and Jack White of the White Stripes -- the song was part of the soundtrack for the 2008 film Quantum of Solace , then the latest in the James Bond series .   Monday Night Football celebrated its 600th game broadcast on October 20 , 2008 in a game which the New England Patriots defeated the Denver Broncos , 41 -- 7 .   The 39th season of MNF ended on December 22 , 2008 , when the Bears beat the Green Bay Packers , 20 -- 17 , in overtime at home at Soldier Field in Chicago .  2009 summary ( edit )  The title sequence for the 40th season of Monday Night Football featured Hank Williams , Jr. seen on the steps of a building ( presumably a museum ) , surrounded by dancers , football fans , and statues / busts -- which , along with everyone else in the scene , begin to move and dance -- patterned after those at the Pro Football Hall of Fame . The transition to Williams Jr. is a book , with the chapter number ( in Roman numerals , sequentially with each week ) and a tag line about the game to be played that night .   At the end of the song , Williams Jr. plugged in the cords , thereby launching animated `` helmets '' into space , from the building toward the stadium at which the game was held ( with the exception of October 5 , 2009 , when the helmets zoomed towards Brett Favre instead ) , passing the International Space Station . As with the previous season ( as mentioned above ) , the helmets `` land '' at midfield during a live shot and then crashed into each other . Williams Jr. appeared again at the end of the telecast to promote the following week 's matchup . After that , the picture was freezeframed and the shot zoomed out to the book , which showed the freezeframed picture as part of a page . As this happened , the NFL end - of - game bumper music was played and the book closed , revealing a golden NFL logo on the back cover and signifying the end of the `` chapter '' , or game . The scene was filmed in the summer of 2009 at The Parthenon in Nashville , Tennessee .   Before Williams Jr. appears , Frank Gifford gave a short vignette about a memorable moment in the history of Monday Night Football featuring one or both of the teams playing that night 's game .   The 40th season of Monday Night Football ended on December 28 , 2009 with the Minnesota Vikings -- Chicago Bears game in Chicago , in which the Bears won in overtime , 36 -- 30 . The telecast ended with a vignette that featured Gifford taking a look back at highlights from the previous four decades -- and the 40th season -- of MNF , after which the book closed , signifying the end of the season . The 40th season had the highest season viewership for MNF since ESPN acquired the rights to the broadcast .   2010s ( edit )  2010 summary ( edit )  The opening for the 2010 season was identical to that used in 2009 , except for the final scenes . This time , Williams Jr. turns a wheel filled with paint , with CGI colors blasting into the air , revealing the helmets containing logos of the participating teams -- which stay on top of the building . In one other minor difference , the chapter numbers in the `` book '' were changed from Roman to Arabic numerals . Gifford provided new vignettes and the Parthenon scenes were repeated from the year before . The 2010 season marked Williams ' 22nd as part of the telecast 's open .   In an unusual coincidence , both games which had the New York Jets as a home team at New Meadowlands Stadium ( now MetLife Stadium ) were delayed because of heavy rain and lightning in the area . In the first instance , the September 13 game against the Baltimore Ravens , it was delayed 25 minutes ; the second delay , prior to the October 11 contest against the Minnesota Vikings , lasted for 40 minutes . Prior to the September 13 game , the last ESPN telecast to encounter weather problems was on October 4 , 1998 ( a Sunday night ) when lightning halted a game between the Seattle Seahawks and Kansas City Chiefs during the second quarter . The first delay forced ESPN to use ESPN2 for a game telecast , this time for the Chiefs ' home opener against the San Diego Chargers . As in 2007 , the broadcast was shifted to ESPN once the first game was over .   The game between the Jets and the Vikings was both Brett Favre 's first game in East Rutherford since his only season there in 2008 and marked Randy Moss 's return to the Vikings . Moss played only four games for Minnesota until he was waived on November 2 .  2011 summary ( edit )  The opening sequence for the 2011 season was set in a closed - studio setting , with Hank Williams Jr. ( in his 23rd year ) performing with a band in front of a live audience with large video screens in the background . The end of the opening sequence featured the team logos of that night 's participants transitioning into the new ESPN Monday Night Football logo before going to a live shot . On October 3 , 2011 , ESPN pulled the theme song after Williams appeared on the Fox News Channel program , Fox &amp; Friends , where he compared a golf outing involving Barack Obama , John Boehner , Joe Biden and John Kasich to `` Hitler playing golf with Netanyahu . '' On October 6 , 2011 , it was announced that Williams would no longer be singing the theme song , and that `` All My Rowdy Friends '' would no longer be used as its theme , as Williams still owns the song . A statement from ESPN said that the network has `` decided to part ways with Hank Williams Jr . We appreciate his contributions over the past years . The success of Monday Night Football has always been about the games and that will continue . '' Williams commented on the matter : `` After reading hundreds of e-mails , I have made my decision ... By pulling my opening October 3 , ( ESPN ) stepped on the toes of the First Amendment Freedom of Speech , so therefore me , my song , and All My Rowdy Friends are out of here . It 's been a great run . '' MNF did not have an opening sequence at all from Week 4 through the end of that season .   With Suzy Kolber reassigned to the new studio show NFL32 , and Michele Tafoya having left ESPN for NBC Sunday Night Football , the sideline reporter position rotated between various reporters for the season .   For the second year in a row , and the third time overall , the beginning of the 10 : 15 p.m. Eastern Time game ( Oakland Raiders at Denver Broncos ) was shown on ESPN2 as the game that began at 7 : 00 p.m. Eastern Time ( New England Patriots at Miami Dolphins ) ran past the scheduled time period .  2012 summary ( edit )  Lisa Salters was named the permanent solo sideline reporter for the 2012 season . In addition , color commentator Ron Jaworski did not return to the program . As a result , Jon Gruden became the solo color commentator , with MNF going back to a two - man booth for the first time since its final season on ABC ( 2005 ) . MNF 's opening graphic sequence , which showed the helmet logos of the game 's two participating NFL teams and then the program 's logo , was seen before the Monday Night Football Launch segment .  2013 -- 14 summary ( edit )  The opening animation sequence begins with an image of a 2014 GMC Sierra ( GMC paid for product placement ) and then goes into a timeline of historical events that occurred during the Monday Night Football era , including some highlights of MNF games from the previous 43 seasons up to 2012 . At the end of the sequence , helmets featuring logos of that night 's two participating teams are shown , followed by the various Monday Night Football logos used since the program 's debut in 1970 . The 80 - second opening animation sequence , which also featured Pac - Man , Darth Vader and President Ronald Reagan , was created by actor / filmmaker Peter Berg .   A revision of the opening sequence was used for the 2014 season . Among the few changes , GMC 's product placement promoted the automaker 's line of Denali vehicles , while the sequence itself included some additional highlights of MNF games from the previous 44 seasons up to 2013 .  2015 summary ( edit )  A 3D opening animation sequence is used for the 2015 season ( 46th season overall and tenth on ESPN ) . GMC 's product placement once again promoted the automaker 's line of Denali vehicles , including the Yukon Denali that is seen at the beginning . Also among the many changes is the highlights of MNF games -- this time , they are set inside a computer - generated stadium using 3D imagery -- from the previous 45 seasons up to 2014 .  2016 summary ( edit )  After three years of using the timeline - themed open , MNF debuted a new 75 - second , Hollywood - themed open on September 12 , 2016 and it features ESPN 's new MNF broadcast team -- Sean McDonough ( play - by - play ) , Jon Gruden ( color ) and Lisa Salters ( sideline reporter ) -- and more than 20 current NFL stars and Pro Football Hall of Famers walking along a red carpet entrance lined by cheering fans and photographers taking pictures . It begins with a shot of a downtown stadium surrounded by skyscrapers , with a 2017 GMC Acadia ( product placement again provided by GMC ) displaying the location for that week 's MNF game on its navigation system . The Acadia then heads to a glitzy red carpet at the stadium 's entrance , where McDonough , Gruden and Salters exit the car , followed on the carpet by a flood of NFL players representing the past and present of MNF . Players then pose for pictures and wave to the crowd as they reach the stadium entrance . Josh Norman ( Redskins ) , Larry Fitzgerald ( Cardinals ) and Rob Gronkowski ( Patriots ) are among the current players being represented in the open , with Franco Harris ( Steelers ) , Jerry Rice ( 49ers ) , Barry Sanders ( Lions ) and Bruce Smith ( Bills ) among the past players being represented . For the Spanish - language version of the Hollywood - themed open , it features ESPN 's Spanish - language MNF broadcast team -- Álvaro Martín ( play - by - play ) , Raúl Allegre ( color ) and John Sutcliffe ( sideline reporter ) as well as the current Hispanic NFL players and the team of the Latin American version of NFL Live led by Ciro Procuna .  2017 summary ( edit )  MNF returned to two teases for the first time since its first season on ESPN ( 2006 ) . The Hollywood - themed open was repeated from the previous season , this time with the 2018 GMC Terrain being used as the automaker 's product placement .   Also , Hank Williams , Jr. returned to MNF on September 11 , 2017 with an all - new version of the iconic opening theme song , `` All My Rowdy Friends Are Here on Monday Night '' ( used from 1989 to Week 3 of the 2011 season ) and it appeared just before that night 's New Orleans Saints - Minnesota Vikings game . The new version , which is seen just before the kickoff of each game , is a collaboration of Williams , Jr , country duo Florida Georgia Line , and R&amp;B singer Jason Derulo .   Theme music ( edit )   Hank Williams Jr. reworked his country music hit `` All My Rowdy Friends Are Coming Over Tonight '' to be included in the telecast 's introduction as `` All My Rowdy Friends Are Here on Monday Night '' ( the original introduction music was an organ - based piece called `` Score '' , written by Charles Fox and recorded by Bob 's Band ) . In addition , Edd Kalehoff modernized the classic `` Heavy Action '' theme in 1989 .   For ABC 's last MNF game in 2005 , Williams Jr. 's rendition of `` Turn Out the Lights , The Party 's Over '' , closed the broadcast .   Digital on - screen graphics ( edit )       Some of this article 's listed sources may not be reliable . Please help this article by looking for better , more reliable sources . Unreliable citations may be challenged or deleted . ( September 2012 ) ( Learn how and when to remove this template message )     Prior to 1997 , Monday Night Football had a limited graphics package . A CGI - based intro began being used in 1984 , with on - screen graphics still limited to basic text . In 1988 , the entire graphics package was updated significantly to be more in line with the rest of ABC Sports ' presentations . That year , it introduced the `` clashing helmets '' intro , with on - screen graphics consisting of italicized text underlined in red . It was updated in 1994 , the year the network hosted Super Bowl XXIX , with a more box - like design . A permanent score bug would not be introduced until 1997 .   1997 -- 2005 ( edit )   Monday Night Football began using a score bug in 1997 , the second network to do so after Fox introduced the first regular on - screen scoring bug when it began airing NFL games in 1994 . Prior to this , the graphics package was limited , but followed a basic `` ketchup and mustard '' color scheme of red and yellow . The first scorebug included team names , scores , time remaining , and displayed which quarter the game was in . This design was used through the 1998 season .   ABC hosted Super Bowl XXXIV for 1999 , and updated its graphics package to more closely resemble those of sister cable network ESPN . ABC began using extended abbreviations for team names ( for example , `` TENN '' , `` VIKES '' , `` PACK '' , and `` FINS '' instead of `` TEN '' , `` MIN '' , `` GB '' , and `` MIA '' ) , as four - letter and five - letter abbreviations were used on ESPN coverage . The result was a larger scorebug with a more conventional font . It was slightly modified in 2000 to have a border that was more in line with the red and yellow color scheme .   The graphics for Monday Night Football were changed in the 2002 season , the year the network hosted Super Bowl XXXVII . The scorebug was a solid color , with a more rounded shape , and a horizontally compressed font . ESPN 's graphics were no longer similar to those of ABC 's ( with ESPN instead using a gray and black design with rounded corners ) . In 2005 , the broadcast 's final year on ABC , Monday Night Football began using a horizontal bar on the bottom of the screen rather than a scorebug , with all information being contained on a single line .   2006 -- present ( edit )   After Monday Night Football moved to ESPN in 2006 ( around the same time that ABC Sports rebranded as ESPN on ABC ) , ESPN changed its entire graphics package to a red and black design , while NFL coverage used a separate design . For NFL telecasts in 2006 and 2007 , a dark gray , metallic scorebug was used , located in an unorthodox placement at the center of the bottom of the screen .   For the 2008 season , a new graphics scheme was introduced that was built around a new display known as the `` dashboard '' ; the scoreboard , which now took the form of a horizontal bar , was mounted in a dedicated area spanning across the bottom the screen . All lower - third graphics were also displayed within the dashboard , replacing the scorebar when in use .   For the 2009 and 2010 seasons , a revamped version of the 2008 design was used , incorporating a new , metallic silver design . Timeout indicators were added to the score bar in Week 4 of the 2009 season . For the 2009 season only , a `` 40th anniversary '' logo was incorporated into the bar in celebration of Monday Night Football 's 40th season . The `` silver '' graphics scheme would later be adopted by other ESPN properties , such as its college football games in December 2009 .   In the 2011 season , the banner was restructured as a black , metallic design , which was considerably larger than most scorebars -- including the previous one ( although its sizes has varied , becoming significantly wider , though thinner in 2012 ) . For ESPN 's first pre-season game of 2012 , the timeout indicators were also accompanied by two smaller red lamps to the right , indicating the number of play challenges remaining , but these were unexpectedly removed the following game . On September 10 , 2012 , Monday Night Countdown began using MNF 's graphics scheme .   For the 2015 season , the graphics were completely overhauled to match the motif that has been used for ESPN 's NFL studio programming since the year prior . However , the studio programming uses the new motif only for introductions and transitions , while the actual insert graphics use the standard ESPN package used for SportsCenter and all other sports . Meanwhile , MNF uses the NFL motif for all insert graphics , not just introductions and transitions . Most notably , the NFL motif uses a horizontal score bar across the bottom of the screen , whereas the standard graphics package uses a score box . The layout is standard , with teams on the background of their color , with timeout indicators also displaying in team colors . Experimentally , the score bar `` auto - hides '' itself during plays , though it is shown permanently during the final two minutes of each half and , if necessary , overtime . This is also the first time that ESPN has used the full 16 : 9 frame for its NFL graphics .   Scoring records ( edit )  See also : List of Monday Night Football results ( 1970 -- 89 ) , List of Monday Night Football results ( 1990 -- 2009 ) , and List of Monday Night Football results ( 2010 -- present )   Most points   59 -- Philadelphia Eagles , November 15 , 2010 vs. Washington Redskins   55 -- Indianapolis Colts , October 31 , 1988 vs. Denver Broncos   52 -- San Francisco 49ers , December 23 , 1991 vs. Chicago Bears   52 -- San Diego Chargers , December 20 , 1982 vs. Cincinnati Bengals   51 -- New Orl</t>
  </si>
  <si>
    <t xml:space="preserve">who sings the monday night football opening song</t>
  </si>
  <si>
    <t xml:space="preserve">   ESPN Monday Night Football         Genre   NFL game telecasts     Created by   Roone Arledge     Directed by   Chet Forte ( 1970 -- 1986 ) Larry Kamm ( 1987 ) Craig Janoff ( 1988 -- 1999 ) Drew Esocoff ( 2000 -- 2005 ) Chip Dean ( 2006 -- present )     Presented by   Commentators : Sean McDonough Lisa Salters Studio hosts : Suzy Kolber Steve Young Randy Moss Matt Hasselbeck Charles Woodson     Opening theme   `` Score '' by Bob 's Band ( 1970 -- 1975 ) `` All My Rowdy Friends Are Here on Monday Night '' by Hank Williams , Jr. ( 1989 -- 2011 ; 2017 -- present ) `` Heavy Action '' by Johnny Pearson ( 1976 -- 1988 ; 2011 -- 2016 ) ( used as secondary theme from 1989 to 2011 and again from 2017 -- present )     Country of origin   United States     Original language ( s )   English     No. of seasons   47 ( NFL seasons )     No. of episodes   718 ( games )     Production     Executive producer ( s )   Norby Williamson ( 2006 -- present )     Producer ( s )   Roger Lewin Jay Rothman Suzy Kolber ( uncredited ; 2006 -- present )     Location ( s )   Various NFL stadiums ( game telecasts ) ESPN Center , Bristol , Connecticut ( studio segments )     Camera setup   Multi-camera     Running time   3 - 4 hours     Production company ( s )   National Football League ABC Sports ( 1970 -- 2005 ) ESPN ( 2006 -- present )     Release     Original network   ABC ( 1970 -- 2005 ) ESPN ( 2006 -- present )     Picture format   480i ( SDTV ) ( 1970 -- 2010 ) , 480i ( 16 : 9 SDTV ) ( 2011 -- present ) , 720p ( HDTV ) ( 2011 -- present )     Original release   September 21 , 1970 ( 1970 - 09 - 21 ) -- present     Chronology     Related shows   Monday Night Countdown     External links     Website   </t>
  </si>
  <si>
    <r>
      <rPr>
        <sz val="11"/>
        <color rgb="FF000000"/>
        <rFont val="Calibri"/>
        <family val="0"/>
        <charset val="1"/>
      </rPr>
      <t xml:space="preserve">Maria von Trapp - wikipedia  Maria von Trapp  Jump to : navigation , search This article is about the matriarch of the Trapp Family Singers . For her stepdaughter who died in 2014 , see Maria Franziska von Trapp .    Maria von Trapp     Photo from Declaration of Intention , 21 January 1944       Maria Augusta Kutschera ( 1905 - 01 - 26 ) 26 January 1905 Vienna , Austria - Hungary       28 March 1987 ( 1987 - 03 - 28 ) ( aged 82 ) Morrisville , Vermont , U.S.     Spouse ( s )   Georg von Trapp ( m . 1927 -- 1947 ; his death )     Children   Rosmarie von Trapp Eleonore von Trapp Johannes von Trapp     Maria Augusta von Trapp ( née Kutschera ; 26 January 1905 -- 28 March 1987 ) , also known as Baroness von Trapp , was the stepmother and matriarch of the Trapp Family Singers . She wrote The Story of the Trapp Family Singers which was published in 1949 . The story served as the inspiration for the 1956 West German film The Trapp Family , which in turn inspired the Broadway musical The Sound of Music ( 1959 ) and the 1965 film of the same name .     Contents  ( hide )   1 Early life   2 Marriage   3 Financial problems   4 Early musical career and departure from Austria   5 Move to the United States   6 Death   7 Decorations and awards   8 Children   9 Adaptations of the autobiography   10 Writings   11 References   12 External links      Early Life ( edit )   Maria was born on 26 January 1905 , the daughter of Augusta ( née Rainer ) and Karl Kutschera . She was delivered on a train heading from her parents ' village in Tyrol to a hospital in Vienna , Austria . She was an orphan by her tenth birthday . She graduated from the State Teachers College for Progressive Education in Vienna at age 18 , in 1923 . In 1924 she entered Nonnberg Abbey , a Benedictine monastery in Salzburg , as a postulant , intending to become a nun .   Marriage ( edit )  Georg von Trapp on the bridge of a U-5 of the Austro - Hungarian Navy ( 1915 ) .  In 1926 , while still a schoolteacher at the abbey , Maria was asked to teach one of the seven children of widowed naval commander Georg von Trapp . His wife , Agatha Whitehead , had died in 1922 from scarlet fever . Eventually , Maria began to look after the other children as well ( Rupert , Agathe , Maria Franziska , Werner , Hedwig , Johanna , and Martina . )   Georg von Trapp , seeing how much she cared about his children , asked Maria to marry him , although he was 25 years her senior . Frightened , she fled back to Nonnberg Abbey to seek guidance from the Mother Abbess . The Mother Abbess advised Maria that it was God 's will that she should marry the Captain ; since Maria was taught always to follow God 's will , she returned to the family and told the Captain she would marry him . She later wrote in her autobiography that on her wedding day she was blazing mad , both at God and at her husband , because what she really wanted was to be a nun : `` I really and truly was not in love . I liked him but did n't love him . However , I loved the children , so in a way I really married the children . I learned to love him more than I have ever loved before or after . ''   Maria and Georg married on 26 November 1927 . They had three children together : Rosmarie ( born 1928 or 1929 ) , Eleonore ( `` Lorli '' ) ( born 1931 ) , and Johannes ( born 1939 ) , who were the others ' half - sisters and half - brother . A discrepancy exists for the birth date of their oldest child , Rosmarie . In 1944 , Maria , in her Declaration of Intention for naturalization , gave the date of the marriage as 26 November 1927 and the date of her first child 's birth as 8 February 1928 . This would indicate she was pregnant at the time of their marriage , and she gave birth only 2 months and 14 days after her marriage . She confirmed both the marriage and birthdate in her Petition for Naturalization in 1948 . The Trapp family disputes the 1928 year of birth , and Maria used the year 1929 in her book . Photos from Maria and Georg 's wedding ( 3rd photo page between pages 96 and 97 in Maria , by Maria von Trapp ) show no evidence of a late - term pregnancy at that date . When the family visited the United States on 27 September 1939 , the ship manifest lists Rosmarie as 10 , not 11 , years old .   Financial problems ( edit )   In 1935 , the Trapps faced financial ruin . Georg had transferred his savings , held until then by a bank in London , to an Austrian bank run by a friend , Frau Lammer . Austria was at the time experiencing economic difficulties during a worldwide depression , because of the Crash of 1929 . Lammer 's bank failed , and the family faced a financial emergency . To survive , the Trapps sent away most of their servants , moved into the top floor of their home , and rented out the other rooms . The Archbishop sent Father Franz Wasner to stay with them as their chaplain , and thus began their singing career .   Early musical career and departure from Austria ( edit )   Soprano Lotte Lehmann heard the family sing , and she suggested they perform at concerts . When the Austrian Chancellor Kurt Schuschnigg heard them on the radio , he invited them to perform in Vienna .   After performing at a festival in 1935 , they became a popular touring act . They experienced life under the Nazis after the annexation of Austria by Germany in March 1938 . Life became increasingly difficult as they witnessed hostility towards Jewish children by their classmates , the use of children against their parents , the advocacy of abortion both by Maria 's doctor and by her son 's school , and finally by the induction of Georg into the German Navy . They visited Munich in the summer of 1938 and encountered Hitler at a restaurant . In September , the family left Austria and traveled to Italy , then to England and finally the United States . The Nazis made use of their abandoned home as Heinrich Himmler 's headquarters .   Initially calling themselves the `` Trapp Family Choir '' , the von Trapps began to perform in the United States and Canada . They performed in New York City at The Town Hall on 10 December 1938 . The New York Times wrote :   There was something unusually lovable and appealing about the modest , serious singers of this little family aggregation as they formed a close semicircle about their self - effacing director for their initial offering , the handsome Mme . von Trapp in simple black , and the youthful sisters garbed in black and white Austrian folk costumes enlivened with red ribbons . It was only natural to expect work of exceeding refinement from them , and one was not disappointed in this .  Trapp Family Singers preparing for a concert in Boston in 1941 .  Charles Wagner was their first booking agent , then they signed on with Frederick Christian Schang . Thinking the name `` Trapp Family Choir '' too churchy , Schang Americanized their repertoire and , following his suggestion , the group changed its name to the `` Trapp Family Singers '' . The family , which by then included ten children , was soon touring the world giving concert performances . Alix Williamson served as the group 's publicist for over two decades . After the war , they founded the Trapp Family Austrian Relief fund , which sent food and clothing to people impoverished in Austria .   Move to the United States ( edit )  Maria von Trapp 's certificate of arrival into Niagara Falls , New York , on 30 December 1942  In the 1940s , the family moved to Stowe , Vermont , where they ran a music camp when they were not touring . In 1944 , Maria and her stepdaughters , Johanna , Martina , Maria , Hedwig , and Agathe applied for U.S. citizenship . Georg never applied to become a citizen . Rupert and Werner became citizens by serving during World War II . Rosmarie and Eleonore became citizens by virtue of their mother 's citizenship . Johannes was born in the United States in Philadelphia on September 1939 , during a concert tour . Georg von Trapp died in 1947 in Vermont after suffering lung cancer .   The family made a series of 78 - rpm records for RCA Victor in the 1950s , some of which were later issued on RCA Camden LPs . There were also a few later recordings released on LPs , including some stereo sessions . In 1957 , the Trapp Family Singers disbanded and went their separate ways . Maria and three of her children became missionaries in Papua New Guinea . In 1965 , Maria had moved back to Vermont to manage the Trapp Family Lodge , which had been named Cor Unum . Maria began turning over management of the Lodge to her son , Johannes , although she was initially reluctant to do so .   Death ( edit )   Maria von Trapp died of heart failure on 28 March 1987 ( age 82 ) , in Morrisville , Vermont , three days following surgery . Maria , her husband Georg , and four of her stepchildren ( Hedwig , Martina , Rupert , and Werner ) are interred in the family cemetery at the Lodge .   Decorations and awards ( edit )   The family has won the following awards :    1949 -- Benemerenti Medal ( Pope Pius XII ) , in recognition of the benefits of the Trapp Family Austrian Relief for needy Austrians   1952 -- Dame of the Order of the Holy Sepulchre ( Vatican - Pope Pius XII )   1956 -- Catholic Mother of the Year in the United States . Women receive this honorary title , to recognise exemplary behavior   1957 -- Decoration of Honour in Gold for Services to the Republic of Austria   1962 -- Siena Medal -- an award given by Theta Phi Alpha women 's fraternity to `` an outstanding woman to recognize her for her endurance and great accomplishment . '' The medal is the highest honor the organization bestows upon a non-member and is named after Saint Catherine of Siena .   1967 -- Austrian Cross of Honour for Science and Art , 1st class   2007 -- The Trapp Family in Braunau am Inn received the Egon Ranshofen Wertheimer Prize   2012 -- Naming of Maria Trapp - Platz in Donaustadt ( 22nd District of Vienna )    Children ( edit )     Name   Birth   Death   Notes     Rosmarie Erentrudis von Trapp   8 February 1928 or 8 February 1929     8 February 1928 comes from her mother 's petition for naturalization papers . Maria uses the year 1929 in her book .     Eleonore von Trapp   14 May 1931     Married Hugh David Campbell in 1954 and had seven daughters with him . Currently lives with her family in Waitsfield , Vermont .     Johannes von Trapp   17 January 1939     Married Lynne Peterson in 1969 and had one son and one daughter with her . He became manager of the family lodge in the 1970s .     Adaptations of the autobiography ( edit )  Main article : The Sound of Music  Maria von Trapp 's book , The Story of the Trapp Family Singers , published in 1949 , was a best - seller . It was made into two successful German / Austrian films :    The Trapp Family ( 1956 )   The Trapp Family in America ( 1958 )    The book was then adapted into The Sound of Music , a 1959 Broadway musical by Rodgers and Hammerstein , starring Mary Martin and Theodore Bikel . It was a success , running for more than three years . The musical was adapted in 1965 as a motion picture of the same name , starring Julie Andrews . The film version set US box office records , and Maria von Trapp received about $500,000 ( $4.15 million today ) in royalties .   Maria von Trapp made a cameo appearance in the movie version of The Sound of Music ( 1965 ) . For an instant , she , her daughter Rosmarie , and Werner 's daughter Barbara can be seen walking past an archway during the song , `` I Have Confidence '' , at the line , `` I must stop these doubts , all these worries / If I do n't , I just know I 'll turn back . '' Maria von Trapp sang `` Edelweiss '' with Andrews on The Julie Andrews Hour in 1973 . In 1991 , a 40 episode anime series , titled Trapp Family Story aired in Japan , her character referred to by her maiden name ( Maria Kutschera ) , voiced by Masako Katsuki . She was portrayed in the 2015 film The von Trapp Family : A Life of Music by Yvonne Catterfeld .   Writings ( edit )    The Story of the Trapp Family Singers ( 1949 )   Around the Year with the Trapp Family ( 1955 )   A Family on Wheels : Further Adventures of the Trapp Family Singers ( c. 1959 )   Yesterday , Today and Forever : The Religious Life of a Remarkable Family ( 1952 )   Maria ( 1972 )   When the King was Carpenter , Harrison , AR : New Leaf ( 1976 )    References ( edit )    Jump up ^ Inc. , New York Times . `` Tribute to Baron von Trapp Joined by Country He Fled '' . New York Times -- 14 July 1997 . Retrieved 27 February 2015 . The ceremonies ended today in a morning Mass , at which the cadets stood watch during a performance of Franz Schubert 's German Mass , then laid a wreath at the grave of Baron and Baroness von Trapp , who were portrayed by Christopher Plummer and Julie Andrews in the 1965 film The Sound of Music .   Jump up ^ Gearin , Joan . `` Movie vs. Reality : '' . The U.S. National Archives and Records Administration - Winter 2005 , Vol. 37 , No. 4 National Archives . Retrieved 27 February 2015 . Georg von Trapp , born in 1880 , became a national hero as a captain in the Austrian navy during World War I. He commanded submarines with valor and received the title of `` Ritter '' ( the equivalent of the British baronet or `` Sir '' , but commonly translated as `` Baron '' ) as a reward for his heroic accomplishments .   Jump up ^ `` Maria Augusta Kutschera von Trapp '' . Encyclopædia Britannica . Retrieved 9 January 2011 .   ^ Jump up to : `` Tribute to Baron von Trapp Joined by Country He Fled '' . New York Times . 14 July 1997 . Retrieved 8 January 2011 .   ^ Jump up to : Peter Kerr ( 29 March 1987 ) . `` Maria von Trapp , Whose Life was ' Sound of Music ' , is Dead '' . New York Times . Retrieved 21 July 2007 . Maria Augusta von Trapp , the guiding force behind a family of singers who won world renown when their story was portrayed in the play and film The Sound of Music , died of heart failure yesterday in Morrisville , Vt. , three days after undergoing surgery . She was eighty - two years old , and had lived in Stowe , Vermont , for more than forty years . She still lives on through her only son , Johannes , of Stowe ; two daughters , Eleanor ( sic ) Campbell of Waitsfield , Vermont , and Rosemarie ( sic ) Trapp of Pittsburgh ; three stepdaughters , Agathe von Trapp of Glyndon , Maryland , Maria F. Trapp of Papua , New Guinea , and Johanna von Trapp of San Diego , and by twenty - nine grandchildren .   ^ Jump up to : Bernhard , Marianne ( 1 October 1980 ) . `` Maria von Trapp speaks '' . Milwaukee Journal . ( Washington Post ) . p. 6 , part 1 .   Jump up ^ Maria von Trapp biography accessed 2016 - 03 - 01   Jump up ^ According to Maria 's autobiography . The Abbey kept no record of postulants .   ^ Jump up to : Trapp Family Lodge . `` The von Trapp Chronology '' . Archived from the original on 2011 - 08 - 30 . Retrieved 2014 - 09 - 20 . Maria was chosen by the Mother Abbess to help the Baron Georg von Trapp with his seven children and tutor young Maria who had contracted scarlet fever ...   Jump up ^ Trapp Family Lodge . `` Agathe von Trapp 1913 -- 2010 '' . Archived from the original on 2011 - 08 - 30 . Retrieved 2014 - 09 - 20 . When Agathe was 10 , her mother died of scarlet fever ...   ^ Jump up to : Trapp , Maria Augusta ( 1953 ) . The Story of the Trapp Family Singers . ISBN 978 - 0 - 385 - 02896 - 7 . After Armistice day when the boys ( Maria 's sons ) were still in Europe , they had gone for a short visit to Salzburg and found that our old home there had been confiscated by Heinrich Himmler ; that it had been made his headquarters for the last period of that cruel war ; that the chapel had been turned into a beer parlour ; and what had been Father Wasner 's room had become Hitler 's quarters when he came there .   ^ Jump up to : `` Petition for Naturalization for Maria von Trapp '' . Immigration and Naturalization Service via NARA . National Archives and Records Administration . 26 May 1948 . Retrieved 5 January 2009 .   ^ Jump up to : Gearin , Joan . `` The Real Story of the von Trapp Family '' . National Archives and Records Administration . Retrieved 5 January 2009 . Maria Kutschera and Georg von Trapp married in 1927 . They had three children together ...   ^ Jump up to : `` Family Choir '' . Time magazine . 19 December 1938 . Retrieved 7 January 2011 . When Soprano Lotte Lehmann heard them , she suggested concerts . When Austrian Chancellor Kurt von Schuschnigg heard them over the radio , he invited them to sing in Vienna . Soon the von Trapps were touring the whole map of Europe .   Jump up ^ It should be noted , however , that the `` seven young singing von Trapps '' ranged in age from 16 to 27 and were not young children .   ^ Jump up to : `` Group Heard in Choral Works of Five Centuries in Its First Appearance Here '' . New York Times . 11 December 1938 . Retrieved 5 January 2009 . An intriguing array of choral selections , culled from the music of the last five centuries , and representative works for the early vertical flutes known as recorders , was presented by the Trapp Family Choir at their first New York concert given yesterday afternoon at Town Hall .   Jump up ^ Trapp , Maria Augusta ( 1972 ) . Maria : Maria von Trapp , My Own Story . ISBN 0 - 902088 - 43 - 2 . Like many other parents who have been leaders for a very long time , I simply did n't know how to step down without bitterness and reproaches ... There I found myself in the middle of a generation gap .   Jump up ^ Clifford , Stephanie ( 24 December 2008 ) . `` Von Trapps Reunited , Without the Singing '' . New York Times . Retrieved 26 December 2008 . Still , Johannes von Trapp , the 10th and youngest child , remembers growing up relatively anonymously in a quiet , strict home ... By 1969 , he had graduated from Dartmouth , completed a master 's degree from the Yale School of Forestry and was planning on an academic career in natural resources . He returned to Stowe to put the inn 's finances in order , and ended up running the place . He tried to leave , moving to a ranch in British Columbia in 1977 and staying a few years , then moving to a ranch in Montana . But the professional management in Stowe kept quitting . `` Now I 'm stuck here '' , he said .   Jump up ^ Anderson , William ( 1998 ) . The World of the Trapp Family . Anderson Publications . ISBN 1 - 890757 - 00 - 4 .    External links ( edit )       Wikimedia Commons has media related to Trapp family .      History of the von Trapp Family ( from the Trapp Family Lodge website )   Site regarding the von Trapp descendants   Maria von Trapp interview on BBC Radio 4 Desert Island Discs , 29 December 1983   Maria von Trapp at Find a Grave      ( hide )         Maria von Trapp 's The Story of the Trapp Family Singers     Films     The Trapp Family ( 1956 )   The Trapp Family in America ( 1958 )   The Sound of Music ( 1965 )       Other adaptations     The Sound of Music ( 1959 musical )   Trapp Family Story ( 1991 anime )   The Sound of Music Live ! ( 2013 )   The Sound of Music Live ( 2015 )       Songs     `` The Sound of Music ''   `` Maria ''   `` My Favorite Things ''   `` Do - Re-Mi ''   `` Sixteen Going on Seventeen ''   `` The Lonely Goatherd ''   `` Climb Ev'ry Mountain ''   `` No Way to Stop It ''   `` So Long , Farewell ''   `` Edelweiss ''   `` Something Good ''       Albums     The Groovy Sound of Music ( 1964 )   The Sound of Music ( 1965 soundtrack )   The Sound of Music : Music from the NBC Television Event ( 2013 )       Legacy     The von Trapps               VIAF : 79398372   LCCN : n50014667   ISNI : 0000 0001 1871 7059   GND : 11862363X   SUDOC : 176914102   BNF : cb12659631m ( data )   NDL : 00459031   IATH : w6mk7kg7      Retrieved from `` https://en.wikipedia.org/w/index.php?title=Maria_von_Trapp&amp;oldid=798891706 '' Categories :   1905 births   1987 deaths   Musicians from Vienna   Austrian female singers   Austrian emigrants to the United States   Austrian baronesses   Austrian Roman Catholics   Musical theatre characters   Emigrants from Austria after the Anschluss   Stowe , Vermont   Trapp family   Austrian governesses   Recipients of the Benemerenti medal   Recipients of the Decoration of Honour for Services to the Republic of Austria   Recipients of the Austrian Cross of Honour for Science and Art , 1st class   20th - century singers   Burials in Vermont   Hidden categories :   Pages using infobox person with unknown parameters   Infobox person using religion   Articles with hCards   All articles with unsourced statements   Articles with unsourced statements from April 2017   Wikipedia articles needing clarification from September 2014   Commons category without a link on Wikidata   Find a Grave template with ID same as Wikidata   Wikipedia articles with VIAF identifiers   Wikipedia articles with LCCN identifiers   Wikipedia articles with ISNI identifiers   Wikipedia articles with GND identifiers   Wikipedia articles with BNF identifiers   Wikipedia articles with SNAC - ID identifiers           Talk                                           Contents                   About Wikipedia                                             Boarisch   Čeština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Lëtzebuergesch   Nederlands   </t>
    </r>
    <r>
      <rPr>
        <sz val="11"/>
        <color rgb="FF000000"/>
        <rFont val="Noto Sans CJK SC"/>
        <family val="2"/>
      </rPr>
      <t xml:space="preserve">日本 語   </t>
    </r>
    <r>
      <rPr>
        <sz val="11"/>
        <color rgb="FF000000"/>
        <rFont val="Calibri"/>
        <family val="0"/>
        <charset val="1"/>
      </rPr>
      <t xml:space="preserve">Norsk   Polski   Português   සිංහල   Suomi   Svenska   </t>
    </r>
    <r>
      <rPr>
        <sz val="11"/>
        <color rgb="FF000000"/>
        <rFont val="Noto Sans CJK SC"/>
        <family val="2"/>
      </rPr>
      <t xml:space="preserve">中文   </t>
    </r>
    <r>
      <rPr>
        <sz val="11"/>
        <color rgb="FF000000"/>
        <rFont val="Calibri"/>
        <family val="0"/>
        <charset val="1"/>
      </rPr>
      <t xml:space="preserve">Edit links   This page was last edited on 4 September 2017 , at 12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</si>
  <si>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real story of the von trapp family book</t>
  </si>
  <si>
    <t xml:space="preserve"> Maria Augusta von Trapp ( née Kutschera ; 26 January 1905 -- 28 March 1987 ) , also known as Baroness von Trapp , was the stepmother and matriarch of the Trapp Family Singers . She wrote The Story of the Trapp Family Singers which was published in 1949 . The story served as the inspiration for the 1956 West German film The Trapp Family , which in turn inspired the Broadway musical The Sound of Music ( 1959 ) and the 1965 film of the same name . </t>
  </si>
  <si>
    <t xml:space="preserve">Perfect season - wikipedia  Perfect season  Jump to : navigation , search  A perfect season is a sports season including any requisite playoff portion , in which a team remains and finishes undefeated and untied . The feat is extremely rare at the professional level of any team sport , and has occurred more commonly at the collegiate and scholastic levels in the United States . A perfect regular season ( known by other names outside the United States of America ) is a season excluding any playoffs , where a team remains undefeated and untied ; it is less rare than a complete perfect season but still exceptional .   A perfect season may be part of a multi-season winning streak .   Exhibition games are generally not counted toward standings , for or against . For example , the 1972 Miami Dolphins ( below ) lost three of their preseason ( `` exhibition '' games in 1972 NFL vernacular ) games but are considered to have had a perfect season .     Contents  ( hide )   1 American football   1.1 National Football League   1.1. 1 NFL undefeated seasons ( with ties ) prior to 1932   1.1. 2 Other NFL perfect regular seasons     1.2 Pre-NFL era and competing leagues   1.2. 1 1937 Los Angeles Bulldogs   1.2. 2 1948 Cleveland Browns     1.3 Close to perfect   1.4 Other leagues   1.5 Leagues outside North America     2 Canadian football   2.1 1948 Calgary Stampeders     3 Lacrosse   4 Other North American professional sports leagues   4.1 Individual professional sports     5 American collegiate sports   5.1 NAIA Football   5.2 NCAA Football   5.3 NCAA Division I Basketball   5.3. 1 Men   5.3. 2 Women     5.4 NCAA Ice Hockey   5.5 ACHA Hockey     6 Canadian collegiate sports   6.1 U Sports Canadian Football   6.1. 1 1975 University of Ottawa Gee Gees   6.1. 2 2003 , 2005 Saskatchewan Huskies   6.1. 3 2007 Manitoba Bisons   6.1. 4 2010 Laval Rouge et Or     6.2 U Sports Hockey   6.2. 1 Men     6.3 CCAA Hockey   6.3. 1 Men       7 Australian rules football   7.1 Australian Football League ( AFL ) / Victorian Football League ( VFL )   7.2 South Australian National Football League ( SANFL )   7.3 West Australian Football League ( WAFL )   7.4 Victorian Football Association ( VFA / VFL )     8 Rugby league   8.1 National Rugby League   8.2 British Rugby League     9 Rugby union   9.1 International Rugby   9.2 Super Rugby     10 Cricket   10.1 County cricket     11 Netball   11.1 Commonwealth Bank Trophy   11.2 ANZ Championship     12 Association football   12.1 Domestic teams   12.2 FIFA World Cup   12.3 FIFA Women 's World Cup     13 Team handball   14 Tennis   15 Volleyball   16 See also   17 Notes   18 References      American Football ( edit )   National Football League ( edit )  Main article : 1972 Miami Dolphins season  Since the National Football League began in 1920 , only one team has played a complete perfect season ( both regular season and playoffs ) : the 1972 Miami Dolphins , who won all fourteen of their regular season games and three postseason games , including Super Bowl VII , to finish the season 17 -- 0 -- 0 .   The Dolphins briefly extended their winning streak before losing to the Oakland Raiders on September 23 , 1973 . It has often been reported that the surviving members of the 1972 Dolphins would , every season , either gather to drink champagne when the final undefeated team earned its first loss of the year , or send a case of champagne to the team who beat this final undefeated team . The head coach of the 1972 Dolphins , Don Shula , denied this in a 2007 interview with ESPN . On August 20 , 2013 , four decades after their accomplishment , President Barack Obama hosted the 1972 Dolphins noting that they `` never got their White House visit '' .  NFL undefeated seasons ( with ties ) prior to 1932 ( edit )  Prior to the development of a playoff system in the NFL in 1932 , there were four teams who completed seasons undefeated , but with one or more tied games : the 1920 Akron Pros , the 1922 Canton Bulldogs , the 1923 Canton Bulldogs , and the 1929 Green Bay Packers . According to the 2012 NFL Record &amp; Fact Book , under NFL practices at the time , from 1920 to 1971 tie games were not included in winning percentage ( there was also no overtime to settle ties in the regular season until 1974 ) so , these four teams were recorded with perfect win percentages of 1.000 .   The 1921 Buffalo All - Americans were controversially denied a similar type of near - undefeated season , when they believed that their final game , a 10 - 7 loss to the Chicago Staleys , was an exhibition game which would not count in the final standings ; the NFL records that game as official , and Buffalo 's record as 9 -- 1 -- 2 .     Team   Wins   Losses   Ties   Other     1920 Akron Pros season   8   0     1 game canceled     1922 Canton Bulldogs season   10   0     -     1923 Canton Bulldogs season   11   0     -     1929 Green Bay Packers season   12   0     -    Other NFL perfect regular seasons ( edit ) Main articles : 1934 Chicago Bears season , 1942 Chicago Bears season , and 2007 New England Patriots season  Apart from the 1972 Dolphins , three NFL teams have completed undefeated and untied regular seasons : the 1934 Chicago Bears , the 1942 Chicago Bears , and the 2007 New England Patriots .   In 1934 , the Bears played a 13 -- 0 -- 0 regular season and became the first NFL team to complete an undefeated regular season without tied games , but lost the 1934 NFL Championship Game against the New York Giants . Despite losing several players and head coach George Halas to military service in World War II , the 1942 Bears finished 11 -- 0 -- 0 but again lost the NFL Championship Game , this time against the Washington Redskins .   The 2007 Patriots became the first team after the NFL expanded its regular season to sixteen games in 1978 to finish the regular season undefeated . The Patriots then won their divisional and conference playoff games , but were upset by the New York Giants in Super Bowl XLII , giving them a final record of 18 -- 1 .     Team   Wins   Losses   Playoff results   Final result     1934 Chicago Bears season   13   0   Lost NFL Championship Game against New York Giants   13 -- 1     1942 Chicago Bears season   11   0   Lost NFL Championship Game against Washington Redskins   11 -- 1     1972 Miami Dolphins season   14   0   Won three playoff games including Super Bowl VII   17 -- 0     2007 New England Patriots season   16   0   Won two playoff games before losing in Super Bowl XLII against New York Giants   18 -- 1     Pre-nfl era and competing leagues ( edit )   NFL predecessors such as the Ohio League , New York Pro Football League and Western Pennsylvania Professional Football Circuit had many perfect seasons . In Ohio , the Massillon Tigers ( 1904 , 1905 ) , Akron Indians ( 1909 ) , Shelby Blues ( 1911 ) , and Dayton Triangles ( 1918 ) all had perfect seasons during this era . In New York , the Buffalo Niagaras went 5 -- 0 -- 0 ( 6 -- 0 -- 0 including a forfeit ) in a league that consisted of teams entirely from the city of Buffalo in 1918 . In 1920 , the Union Club of Phoenixville , located in eastern Pennsylvania , played in a league mostly consisting of local teams and earned a perfect season , claiming for itself a mythical national championship . In western Pennsylvania , the 1900 and 1901 Homestead Library and Athletic Club teams , as well as the 1903 Franklin Athletic Club , all had perfect seasons .   The caliber of talent was neither as high nor as consistent between teams at the time , the seasons were generally shorter ( 7 to 11 games ) , and it was not uncommon for top teams to play all their games at home while lesser teams played all of their games on the road . In 1918 , Dayton and Buffalo had the additional advantage of having its strongest competitors suspend operations due to the Spanish flu and the First World War , restrictions that also prevented the two teams from playing each other . Thus , it was much easier to earn a perfect season than it would become in the NFL .  1937 Los Angeles Bulldogs ( edit )  The Los Angeles Bulldogs were a member of the second American Football League , who joined the league in 1937 after the Cleveland Rams defected to the NFL . Playing a combination of AFL teams and independent franchises ( such as the Providence Steam Roller and the Salinas Packers ) , the team went 16 -- 0 , with 8 of those wins coming against AFL teams . The Bulldogs ' dominance is cited as one of the key factors in the AFL 's demise , and the next season as an independent with a 10 -- 2 -- 2 record including a 2 -- 1 -- 2 record against NFL teams , several of the team 's players were invited to play on the `` Pro All Stars '' team in the NFL 's first Pro All - Star Game in Los Angeles . The Bulldogs are considered to be one of the few independent teams to have ever achieved parity with the NFL .  1948 Cleveland Browns ( edit )  The Browns were a member of the All - America Football Conference , a professional football league that played from 1946 to 1949 . In 1948 , the Browns won all fourteen regular season games and the 1948 AAFC championship to post a 15 -- 0 -- 0 record . Cleveland 's perfect 1948 season was part of a longer string of 29 straight wins , which stretched from 1947 to 1949 and included both the 1947 and 1948 title games . Overall , the Browns won all four AAFC championship games and were accepted into the NFL when the two leagues merged after the 1949 season .   Neither the NFL nor the Pro Football Hall of Fame recognizes the Bulldogs ' perfect season ; the Hall of Fame recognizes the Browns ' perfect season but the NFL does not .   Close to perfect ( edit )   Since the NFL expanded to a fourteen - game regular season in 1961 , eleven teams have had regular seasons with one loss and no ties ( or better ) while failing to achieve a perfect season :     Team   Wins   Losses   Playoff results   Final result     1962 Green Bay Packers   13     Won NFL Championship Game   14 -- 1     1967 Oakland Raiders   13     Won AFL Championship Game before losing Super Bowl II   14 -- 2     1968 Baltimore Colts   13     Won two playoff games before losing Super Bowl III   15 -- 2     1976 Oakland Raiders   13     Won three playoff games including Super Bowl XI   16 -- 1     1984 San Francisco 49ers   15     Won three playoff games including Super Bowl XIX   18 -- 1     1985 Chicago Bears   15     Won three playoff games including Super Bowl XX   18 -- 1     1998 Minnesota Vikings   15     Won one playoff game before losing NFC Championship Game   16 -- 2     2004 Pittsburgh Steelers   15     Won one playoff game before losing AFC Championship Game   16 -- 2     2007 New England Patriots   16   0   Won two playoff games before losing Super Bowl XLII   18 -- 1     2011 Green Bay Packers   15     Lost divisional round game after wild card round bye   15 -- 2     2015 Carolina Panthers   15     Won two playoff games before losing Super Bowl 50   17 -- 2     Most of these teams suffered their regular - season loss early in the year and , other than the 2007 Patriots ( finished regular season 16 -- 0 ) , only the 1962 Packers ( 10 -- 0 ) , 1985 Bears ( 12 -- 0 ) , 2011 Packers ( 13 -- 0 ) , and 2015 Panthers ( 14 -- 0 ) were on track for a perfect season when they lost . Coincidentally , the 1985 Bears ' lone loss came to the Miami Dolphins .   The best start from an NFL team who failed to complete a perfect regular season is shared by two teams : the 2009 Indianapolis Colts , who started 14 -- 0 before losing their final two regular season games to the New York Jets and the Buffalo Bills to finish 14 -- 2 , and the 2015 Carolina Panthers , who went 14 -- 0 before losing to the Atlanta Falcons and going on to finish the regular season 15 -- 1 . The 2009 Colts , having clinched the top seed in the AFC , sacrificed their chances at a perfect regular season and instead rested their starters the final two games to protect them for the playoffs . The Colts would go on to Super Bowl XLIV but lost to the New Orleans Saints . The 2015 Panthers were not resting their starters at the time of their loss ( at the time , the Arizona Cardinals were 13 -- 2 and still had an opportunity to surpass the Panthers for the top seed in the NFC ) .   Four other teams have started 13 -- 0 before losing their fourteenth game : the 1998 Denver Broncos , 2005 Indianapolis Colts , 2009 New Orleans Saints and 2011 Green Bay Packers ( Of those near - perfect seasons , the 2011 Packers are the only team that did not win a single playoff game ) . The 1998 Broncos , 2005 Colts and 2009 Saints lost at least two of their final three games but the Broncos and Saints recovered to win the Super Bowl . The 1953 Cleveland Browns and 1969 Los Angeles Rams started 11 -- 0 in twelve - and fourteen - game seasons respectively ; both lost their only playoff game .   Other leagues ( edit )   The following is a list of teams in minor or alternate leagues that compiled perfect seasons of six games or more , including postseason games , with no ties :    The Hollywood Bears , a member of the Pacific Coast Professional Football League , went 8 -- 0 -- 0 in 1941 .   The Hollywood Rangers were a member of the American Football League of 1944 ( formerly the Northwest War Industries League ) , a short - lived competitor to the Pacific Coast Professional Football League on the West Coast . In their 1944 season , they went 11 -- 0 -- 0 and defeated the PCPFL champion San Diego Bombers ( who had also had a perfect season in their league , going 9 -- 0 -- 0 ) in a two - game series .   The Charleston Rockets of the Continental Football League won all 14 games of the league 's inaugural season in 1965 , going on to defeat the Toronto Rifles in the league 's championship .   The Hartford Knights went 17 -- 0 -- 0 in 1972 as a member of the Seaboard Football League , including a victory over the Chambersburg Cardinals in the league 's championship . The Knights , unhappy with the level of competition ( many of the Knights games had margins of victory of 40 points or more ) , quit the league the following year .    In indoor football , the following teams have had perfect seasons :    The Quad City Steamwheelers went undefeated in the inaugural season of arenafootball2 , accruing a record of 19 -- 0 -- 0 including playoffs and an ArenaCup I win .   The Ohio Valley Greyhounds of the National Indoor Football League accrued a perfect season in 2003 .   The Sioux Falls Storm of United Indoor Football won back - to - back perfect seasons in 2006 and 2007 , winning the United Bowl championship both years .   The Fayetteville Guard won a perfect season in 2007 in the NIFL .   The Rochester Raiders won a perfect season in 2008 in the Continental Indoor Football League , but withdrew from that league during the playoffs in a dispute .   The Baltimore Mariners won a perfect season in 2010 in the American Indoor Football Association .   The Erie Explosion won a perfect season in 2013 in the Continental Indoor Football league , winning all ten regular season games , a semifinal playoff , and the CIFL Championship .    At least twenty - three other semi-professional football teams have had perfect seasons , seven of them being at least 17 games long . The Chambersburg Cardinals won a record 72 straight games between 1977 and 1984 .   There have been no perfect seasons ( or even perfect regular seasons ) in the American Association , World Football League , United States Football League , XFL , or , to date , the Arena Football League . The United Football League has had two perfect regular seasons , but neither qualify for the list : the 2009 Florida Tuskers finished 6 -- 0 , but that team lost the subsequent championship game ; the 2012 Las Vegas Locomotives had a record of 4 -- 0 when the league abruptly suspended operations halfway through the season .   The 1933 Providence Huskies ( possibly a successor to the Providence Steam Roller ) played arguably the most perfect season ever recorded by a professional or semi-professional team : a ten - game season in which they won every game and did not concede a single point during any game .   Leagues outside North America ( edit )   In the 2014 German Football League the Braunschweig Lions compiled a perfect season ( 12 - 0 postseason 3 - 0 ) , losing only in the BIG6 European Football League which is a different competition . They crowned the season with another German Bowl triumph . Similarly in the 2016 German Football League the Schwäbisch Hall Unicorns achieved a perfect regular season with a 14 - 0 record , similarly their lone defeat came in the BIG6 European Football League which is not considered for league standings . However , unlike Braunschweig before them , Hall ultimately lost the German Bowl , in this case to Braunschweig .   Canadian Football ( edit )   A true perfect season ( no losses and no ties through the regular season and playoffs ) has never been achieved in professional Canadian football . Only one team , the 1948 Calgary Stampeders , has completed a perfect regular season .   The current Canadian Football League schedule would require a team to win 20 games ( 18 regular season , 1 playoff after bye week , and the Grey Cup championship ) to post a perfect record .   1948 Calgary Stampeders ( edit )   Under head coach Les Lear , the 1948 Calgary Stampeders completed a perfect regular season with a record of 12 -- 0 ; they had two wins and a tie during the playoffs to finish with a record of 14 -- 0 -- 1 , the only undefeated complete season in Canadian pro history . In the Western Interprovincial Football Union championship ( a home - and - home aggregate series decided on total points ) against the Regina Roughriders , the first leg was tied 4 -- 4 , and the Stampeders won the second 21 -- 10 , to win the aggregate 25 -- 14 . The Stampeders then defeated the Ottawa Rough Riders 12 -- 7 for the 36th Grey Cup .   Despite the Stampeders ' title , their achievement was only lightly regarded in the East . At the time , the Eastern and Western unions played separate regular seasons and only met in the Grey Cup . The Western union was openly regarded to be a weaker competition in the East , and Calgary 's win ( only the third for a Western team up to that time ) was dismissed as a fluke .   Lacrosse ( edit )   In professional lacrosse , the 1993 Buffalo Bandits are the only team to have won a perfect season in the National Lacrosse League . The Bandits won all ten of their regular season games and won the championship in a two - round tournament ; the season was the continuation of a multi-season winning streak that dated to the Bandits ' successful run for the previous year 's championship .   In Major League Lacrosse , which began play in 2001 , the 2013 Denver Outlaws were the first team to complete a perfect regular season , winning all fourteen of their games . After beating the Hamilton Nationals , the Outlaws had a sequence of twenty consecutive regular season wins despite losing the 2012 championship . However , the Outlaws lost in the first round of the playoffs to the Charlotte Hounds , who had only gone 7 -- 7 in the regular season .   Other North American professional sports leagues ( edit )   In North America 's three other major professional sports leagues ( Major League Baseball , the National Basketball Association , and the National Hockey League ) it is almost impossible for a team to play a `` perfect '' season , primarily because there are substantially more games in the regular season ( 82 in the NBA and NHL , and 162 in Major League Baseball ) . The Women 's National Basketball Association 's season has been between 28 and 34 games long , and it too has never produced a perfect season .   It is possible for a baseball pitcher to achieve a perfect season , taking at least one win and any number of no - decisions throughout the year . This has happened 1813 times in baseball 's history , though the majority ( 1171 ) were 1 -- 0 seasons , mostly by relief pitchers . The best perfect season belongs to Tom Zachary of the 1929 New York Yankees , who posted a 12 -- 0 record in 119.2 innings . No pitcher has ever achieved a perfect season while qualifying for the ERA title .   In the NBA , the 1985 -- 86 Boston Celtics played a nearly perfect home season . During the regular season , they were 40 -- 1 (. 976 ) in front of their home crowd . The Celtics ' only regular - season home loss occurred on December 6 , 1985 , to the Portland Trail Blazers , by the score of 121 -- 103 . The Celtics would also win all 10 of their home games in the postseason , to finish 50 -- 1 at home . The 2015 -- 16 San Antonio Spurs also played a nearly perfect home regular - season with a 40 - 1 (. 976 ) record in front of their home crowd , with their only home loss occurring on April 10 , 2016 vs. the Golden State Warriors by the score of 92 - 86 . The Spurs were eliminated in the Western Conference Semi-Finals by the Oklahoma City Thunder in the 2016 NBA Playoffs . The Spurs played a total of 5 home games in the post season , finishing 43 - 3 at home , losing twice to the Thunder . The three - on - three basketball league BIG3 , which featured an eight - game regular season and two - round playoff , had a perfect team in its inaugural season when Trilogy swept all ten games on their schedule .   Individual professional sports ( edit )   For other sports leagues for individuals , such as the PGA Tour or NASCAR , a perfect season would represent winning every event in a season . Considering the number of tournaments or races in those leagues , and the fact that each individual faces over 40 opponents as opposed to one , a perfect season is almost impossible .   Golf instead considers the Grand Slam , a sweep of the four men 's major golf championships deemed to be the most difficult contests in professional golf , to be analogous to perfection . The only time the Grand Slam has been swept in any given year was 1930 , when Bobby Jones won all four majors ( at the time , The ( British ) Amateur Championship and U.S. Amateur were still considered majors ) ; since 1934 , when The Masters was added as a major , no player has won all four in one year . Tiger Woods is the only professional golfer to win four consecutive professional majors ; he did so over two years in 2000 and 2001 . The record for most consecutive wins in professional golf is 11 , set Byron Nelson in 1945 ; Nelson would win 18 tournaments overall that year , a year when wartime manpower shortages were still limiting the number and quality of professional golfers for Nelson to compete against .   In Formula One , Michael Schumacher was the 2004 champion with 13 wins in 18 races . In IndyCar , A.J. Foyt won 10 out of 13 races . In NASCAR , Richard `` The King '' Petty holds most of the records for most wins in a season ; he won 27 races out of 48 appearances in 1967 , 10 of them consecutive . Since a format change in 1972 , Petty also holds the modern - era record for most wins in a season , with 13 , a record he shares with Jeff Gordon .   Professional motorcycle racer Ricky Carmichael had perfect seasons in 2002 and 2004 . In 1997 , road racer Tommy Kendall started the 13 - race SCCA Trans - Am Series season 11 -- 0 , the longest documentable win streak in worldwide professional road racing . In the 12th race , he was battling for the lead on the final lap , but spun out and finished second . The feat would be extremely difficult in NASCAR , because of the length of the season ( currently 36 races ) .   American collegiate sports ( edit )   NAIA Football ( edit )   In 1966 Waynesburg College went 11 -- 0 after a 9 -- 0 regular season record . In December 1966 Waynesburg defeated New Mexico Highlands in Albuquerque , New Mexico in the playoff game , and , defeated Whitewater Wisconsin in the NAIA Champion Bowl at Tulsa Oklahoma . This was , and still is a college football rarity . Very few college football teams have won a College National Football Championship ( including playoff games ) with an undefeated record .   NCAA Football ( edit )  Main article : List of undefeated NCAA Division I football teams  Due to relatively short seasons through most of college football history , the list of undefeated Division I football teams includes dozens of teams . The highest level of college football , the Division I Football Bowl Subdivision ( introduced as Division I-A in 1978 ) , did not use a playoff to determine a champion prior to the introduction of the four - team College Football Playoff ( CFP ) in 2014 . The system replaced by the CFP relied on a combination of polls and computer rankings to choose two teams to play one title game in a system known as the Bowl Championship Series . Prior to 1992 , no attempt was made to match up the top two teams in a championship game , further increasing the chances of multiple teams achieving a perfect season . The record for most wins in an undefeated FBS season is 14 -- 0 , accomplished in 2002 by Ohio State , twice in 2009 by Boise State and Alabama , in 2010 by Auburn , and in 2013 by Florida State .   The University of Washington 's FBS record 64 - game unbeaten streak included five straight perfect seasons from 1909 -- 13 . The University of Oklahoma 's FBS record 47 game winning streak included three straight perfect seasons from 1954 -- 56 .   NCAA Division I Basketball ( edit )  Men ( edit )  Before the establishment of the National Invitation Tournament in 1938 and the NCAA Division I Men 's Basketball Tournament in 1939 , perfect seasons were more common ; each season consisted of fewer games and top teams from different parts of the country might never meet .   Eight teams have completed perfect seasons , including postseason tournament victories , since the tournament era began in 1938 :    1939 LIU Blackbirds ( 24 -- 0 ) -- NIT champion , which at the time was more prestigious than the NCAA tournament   1956 San Francisco Dons ( 29 -- 0 ) -- NCAA champion   1957 North Carolina Tar Heels ( 32 -- 0 ) -- NCAA champion   1964 UCLA Bruins ( 30 -- 0 ) -- NCAA champion   1967 UCLA Bruins ( 30 -- 0 ) -- NCAA champion   1972 UCLA Bruins ( 30 -- 0 ) -- NCAA champion   1973 UCLA Bruins ( 30 -- 0 ) -- NCAA champion   1976 Indiana Hoosiers ( 32 -- 0 ) -- NCAA champion    In addition , four other teams in the tournament era had unbeaten records , but did not play in any postseason tournament :    1940 Seton Hall Pirates ( 19 -- 0 ) -- not invited to either the NCAA Tournament or NIT .   1944 Army Cadets ( 15 -- 0 ) -- not invited to either the NCAA Tournament or NIT . ( Given that this season was during World War II , it is also possible that Army chose to turn down tournament invitations . )   1954 Kentucky Wildcats ( 25 -- 0 ) -- declined a bid to the NCAA Tournament due to an NCAA ruling that graduate students could not compete .   1973 NC State Wolfpack ( 27 -- 0 ) -- ineligible for postseason competition due to rule violations earlier that season .    The UCLA Bruins are the only team to have back - to - back perfect seasons ( 1971 -- 1972 , 1972 -- 1973 ) , and all four of the school 's perfect seasons were under Hall of Fame head coach John Wooden .   The following teams completed a perfect regular season , but lost in the NCAA Tournament or other postseason action :    1939 Loyola Ramblers ( finished regular season 20 -- 0 and lost in the NIT final to LIU to finish 21 -- 1 )   1941 Seton Hall Pirates ( finished regular season 19 -- 0 ; lost in the NIT semifinals to LIU and third - place game to CCNY to finish 20 -- 2 )   1951 Columbia Lions ( finished 21 -- 1 after losing in the first round )   1961 Ohio State Buckeyes ( finished 27 -- 1 after losing in the championship game to Cincinnati )   1968 Houston Cougars ( finished regular season 28 -- 0 , then lost the semifinal and consolation games at the Final Four )   1968 St. Bonaventure Bonnies ( finished regular season 22 -- 0 , lost in regional semifinals )   1971 Penn Quakers ( finished the regular season 26 -- 0 , lost in the regional finals )   1971 Marquette Warriors ( finished regular season 26 -- 0 , lost in regional semifinals )   1975 Indiana Hoosiers ( finished regular season 29 -- 0 , but lost to Kentucky in the Mideast Regional final )   1976 Rutgers Scarlet Knights ( finished regular season 28 -- 0 , won 3 more games in the NCAA Tournament to go to 31 -- 0 , but lost in the Final Four to Michigan and in the consolation game to UCLA )   1979 Indiana State Sycamores ( finished regular season 29 -- 0 , but lost in the championship game to Michigan State . Finished 33 -- 1 . )   1979 Alcorn State Braves finished the regular season with a perfect 27 -- 0 record , but were not invited to the NCAA Tournament . The Braves lost in the second round of the National Invitation Tournament to Indiana .   1991 UNLV Runnin ' Rebels ( entered the tournament 30 -- 0 , lost in the Final Four to eventual champion Duke . Finished 34 -- 1 . )   2004 Saint Joseph 's Hawks ( finished the regular season 27 -- 0 , lost to Xavier in the quarterfinals of the 2004 Atlantic 10 Men 's Basketball Tournament . Finished 30 -- 2 after losing to Oklahoma State in the NCAA East Regional final . )   2014 Wichita State Shockers ( entered the tournament 34 -- 0 , lost to eventual runner - up Kentucky in the Round of 32 . Finished 35 -- 1 . )   2015 Kentucky Wildcats ( entered the tournament 34 -- 0 , lost to Wisconsin in the Final Four . Finished 38 -- 1 . )   Women ( edit )  In the women 's game , the following national championship teams have had perfect records since the AIAW began sponsoring a championship tournament in 1972 ( which was followed by the NCAA tournament in 1982 ) :    1973 Immaculata Mighty Macs ( 20 -- 0 )   1975 Delta State Lady Statesmen ( 28 -- 0 )   1981 Louisiana Tech Lady Techsters ( 34 -- 0 )   1986 Texas Longhorns ( 34 -- 0 )   1995 Connecticut Huskies ( 35 -- 0 )   1998 Tennessee Lady Vols ( 39 -- 0 )   2002 Connecticut Huskies ( 39 -- 0 )   2009 Connecticut Huskies ( 39 -- 0 )   2010 Connecticut Huskies ( 39 -- 0 )   2012 Baylor Lady Bears ( 40 -- 0 )   2014 Connecticut Huskies ( 40 -- 0 )   2016 Connecticut Huskies ( 38 -- 0 )    The following teams completed perfect regular seasons , but lost in the NCAA Tournament or other postseason action :    The 1983 Oral Roberts Lady Titans ( now nicknamed Golden Eagles ) finished the regular season 24 -- 0 , but were not invited to the NCAA Tournament . They played in the National Women 's Invitational Tournament , losing to Memphis State ( now known as Memphis ) in the second round . After winning a consolation game against Weber State , they finished the season 26 -- 1 .   The 1990 Louisiana Tech Lady Techsters entered the NCAA Tournament at 28 -- 0 , but lost in the Final Four to Auburn to finish 32 -- 1 .   The Vermont Catamounts were unbeaten entering the NCAA Tournament in both 1992 ( 29 -- 0 ) and 1993 ( 28 -- 0 ) . They lost in the first round to George Washington in 1992 and Rutgers in 1993 .   The 1997 Connecticut Huskies entered the NCAA Tournament at 30 -- 0 , but lost in the final of the Midwest Regional to eventual national champion Tennessee , finishing 33 -- 1 .   The 1998 Liberty Lady Flames entered the NCAA Tournament 28 -- 0 , but were seeded # 16 in the Mideast Region and matched against Tennessee , with the Lady Vols crushing the Lady Flames 102 -- 58 .   The 2003 Connecticut Huskies finished the regular season at 29 -- 0 , but lost to Villanova in the final of the Big East Tournament , ending their then - record winning streak at 70 games . The Huskies went on to win the NCAA Tournament , finishing 37 -- 1 .   The 2007 Duke Blue Devils finished the regular season at 29 -- 0 , but lost in the semifinals of the ACC Tournament to North Carolina State . In the NCAA Tournament , they lost in the semifinals of the Greensboro Regional to Rutgers to finish 32 -- 2 .   The 2010 Nebraska Cornhuskers finished the regular season at 29 -- 0 , but lost in the semifinals of the Big 12 Tournament to Texas A&amp;M . In the NCAA Tournament , they lost in the semifinals of the Kansas City Regional to Kentucky to finish 32 -- 2 .   The 2014 Notre Dame Fighting Irish entered the NCAA Tournament at 32 -- 0 and lost in the championship game to Connecticut , finishing 37 -- 1 .   The 2015 Princeton Tigers entered the NCAA Tournament at 30 -- 0 and lost in the second round to Maryland to finish 31 -- 1 .   The 2017 Connecticut Huskies entered the NCAA Tournament at 32 -- 0 and lost in the national semifinals to Mississippi State to finish 36 -- 1 .    Notably , the 2015 -- 16 season saw all three NCAA women 's champions finish </t>
  </si>
  <si>
    <t xml:space="preserve">what was the last nfl team to go undefeated</t>
  </si>
  <si>
    <t xml:space="preserve">   Team   Wins   Losses   Playoff results   Final result     1934 Chicago Bears season   13   0   Lost NFL Championship Game against New York Giants   13 -- 1     1942 Chicago Bears season   11   0   Lost NFL Championship Game against Washington Redskins   11 -- 1     1972 Miami Dolphins season   14   0   Won three playoff games including Super Bowl VII   17 -- 0     2007 New England Patriots season   16   0   Won two playoff games before losing in Super Bowl XLII against New York Giants   18 -- 1   </t>
  </si>
  <si>
    <t xml:space="preserve">List of minimum wages by country - wikipedia  List of minimum wages by country  Minimum wages per hour in U.S. dollars : No data No minimum wage $0.00 -- $1.00 $1.01 -- $2.00 $2.01 -- $3.00 $3.01 -- $5.00 $5.01 -- $7.50 $7.51 -- $10.00 $10.00 +  This is a list of official minimum wage rates of the 193 United Nations member states , and also includes the following territories and states with limited recognition : Taiwan , Hong Kong , Northern Cyprus , Kosovo , and Palestine . Note this a current legislative minimal wage in the country for the current year and beyond , which still may be not in force , actual minimum wage may be lower . Also note that specialists workers are only directors ( CEOs ) of the companies .   Some countries may have a very complicated minimum wage system ; for example , India has more than 1202 minimum wage rates .   Contents    1 Methodology   2 Countries   3 See also   4 References   5 External links    Methodology ( edit )   The minimum wages listed refer to a gross amount , that is before deduction of taxes and social security contributions , which vary from one country to another . Also excluded from calculations are regulated paid days off , including public holidays , sick pay , annual leave and social insurance contributions paid by the employer .   For the sake of comparison , an annual wage column is provided in international dollars , a hypothetical unit of currency calculated based on the purchasing power parity of household final consumption expenditure . For calculating the annual wage , the lowest general minimum wage was used .   Countries ( edit )     Country   Minimum wage   Annual   Workweek ( hours )   Hourly   Percent of GDP per capita   Effective per     Nominal ( US $ )   PPP ( Int $ )   Nominal ( US $ )   PPP ( Int $ )     Afghanistan   5,500 Afghani ( $95 ) per month for non-permanent private sector . The minimum wage for permanent government workers was 6,000 Afghanis ( $103 ) per month . There was no minimum wage for permanent workers in the private sector .   7003104700000000000 ♠ 1,047    7003327200000000000 ♠ 3,272    40   6999500000000000000 ♠ 0.5    7000157000000000000 ♠ 1.57    7002168300000000000 ♠ 168.3 %   2017       Albania   24,000 Albanian lek ë ( $226 ) per month , in private sector and 37,000 lekë ( $330 ) per month in public sector . The law establishes a 40 - hour workweek , but the actual workweek is typically set by individual or collective - bargaining agreement .   7003241800000000000 ♠ 2,418    7003521800000000000 ♠ 5,218    40   7000116000000099999 ♠ 1.16    7000250990000099999 ♠ 2.51    7001452000000000000 ♠ 45.2 %   5 May 2017       Algeria   18,000 Algerian dinars ( $155 ) per month , nationally .   7003194600000000000 ♠ 1,946    7003562200000000000 ♠ 5,622    40   6999940000000000000 ♠ 0.94    7000270000000000000 ♠ 2.7    7001374000000000000 ♠ 37.4 %   1 January 2012     Andorra   € 1017.47 ( $1177 ) per month , € 5.87 ( $6 ) per hour .   7004137960000000000 ♠ 13,796   7004106740000000000 ♠ 10,674   40   7000663000000000000 ♠ 6.63   7000513000000000000 ♠ 5.13   7001280000000000000 ♠ 28 %   1 January 2018       Angola   15,003 kwanza per month ; paid thirteen times a year .   7003117600000000000 ♠ 1,176    7003147400000000000 ♠ 1,474    44   6999510000000000000 ♠ 0.51    6999640000000000000 ♠ 0.64    7001228000000000000 ♠ 22.8 %   1 June 2014       Antigua and Barbuda   EC $ 8.20 per hour .   7003631700000000000 ♠ 6,317    7003778800000000000 ♠ 7,788    40   7000304000000000000 ♠ 3.04    7000374000000000000 ♠ 3.74    7001344000000000000 ♠ 34.4 %   1 November 2014       Argentina   10,000 Argentine pesos ( $350 ) per month for up to 200 hours ; paid thirteen times a year .   7003785000000000000 ♠ 7,850    7004139510000000000 ♠ 13,951    48   7000315000000000000 ♠ 3.15    7000559000000000000 ♠ 5.59    7001700000000000000 ♠ 70 %   1 July 2018       Armenia   55,000 Armenian dram ( $107 ) per month .   7003136700000000000 ♠ 1,367    7003334900000000000 ♠ 3,349    40   6999660000000000000 ♠ 0.66    7000161000000000000 ♠ 1.61    7001379000000000000 ♠ 37.9 %   1 July 2015       Australia   Most workers are covered by an award , which may vary by employee age , geographical location and industry . For employees 21 + not covered by an award or agreement , the minimum wages is A $ 18.93 ( $13 ) per hour , or A $719.20 ( $524 ) per week ; set federally by the Fair Work Commission . The figures indicated exclude mandatory employer superannuation contributions of at least 9.5 % of the employee 's total annual salary and any extra loadings received ( e.g. many employees are entitled to an extra 17.5 % of their daily income on days where they take annual leave , penalty rates for work undertaken on weekends and public holidays of up to 200 % of their base rate , and the entitlement that non-permanent employees be paid at least 15 % higher than the base rate of pay ) . Workers under 21 , apprentices and trainees not covered by an award each have a minimum wage level set nationally below the official minimum . Minimum wage for workers under 16 is 36.8 % of the 21 + minimum wage at A $ 6.97 ( $5 ) per hour .   7004287680000000000 ♠ 28,768    7004233740000000000 ♠ 23,374    38   7001145600000000000 ♠ 14.56    7001118300000000000 ♠ 11.83    7001508000000000000 ♠ 50.8 %   1 July 2018     Austria   None ; National collective bargaining agreements set minimum wages by job classification for each industry and provide for a minimum wage of € 1,200 ( $1,289 ) per month . Wages where no such collective agreements exist , such as for domestic workers , janitorial staff and au pairs , are regulated by relevant legislation and are generally lower than those covered by collective bargaining . The national minimum wage legislation has lapsed , although is still in force by convention .       40         2017       Azerbaijan   130 Azerbaijani manat ( $76 ) per month .   7002907000000000000 ♠ 907    7003445700000000000 ♠ 4,457    40   6999440000000000000 ♠ 0.44    7000214000000000000 ♠ 2.14    7001258000000000000 ♠ 25.8 %   1 January 2018       The Bahamas   B $ 5.25 ( $5.25 ) per hour , B $42 ( $42 ) per day , and B $210 ( $210 ) per week .   7004109200000000000 ♠ 10,920    7003957900000000000 ♠ 9,579    40   7000525000000000000 ♠ 5.25    7000461000000000000 ♠ 4.61    7001425000000000000 ♠ 42.5 %   15 August 2015     Bahrain   None ; 300 BHD ( $800 ) for the public sector workers ( only applies to Bahraini nationals ) .       48         2017       Bangladesh   1,500 taka ( $19 ) per month for all economic sectors not covered by industry - specific wages ; in the garment industry the minimum wage is 5,300 taka ( $68 ) per month . The minimum wage is set nationally every five years by the National Minimum Wage Board in a tripartite forum industry by industry .   7002224000000000000 ♠ 224    7002564000000000000 ♠ 564    48   6998900000000000000 ♠ 0.09    6999230000000000000 ♠ 0.23    7001158000000000000 ♠ 15.8 %   1 December 2013       Barbados   BDS $ 6.25 ( $3.13 ) per hour for household domestics and shop assistants ; the Ministry of Labor recommends all other sectors use this as the de facto minimum wage .   7003650000000000000 ♠ 6,500    7003528500000000000 ♠ 5,285    40   7000313000000000000 ♠ 3.13    7000254000000000000 ♠ 2.54    7001293000000000000 ♠ 29.3 %   1 March 2012       Belarus   305.00 Belarusian rubles ( $149 ) per month .   7003189600000000000 ♠ 1,896    7003746900000000000 ♠ 7,469    40   6999910000000000000 ♠ 0.91    7000359000000000000 ♠ 3.59    7001413009999900000 ♠ 41.3 %   1 January 2018       Belgium   € 1,562.59 ( $1,826 ) per month , € 9.49 ( $11.09 ) per hour for workers 21 years of age and over ; € 1,604.06 ( $1,874 ) per month for workers 21 and a half years of age , with six months of service ; € 1,622.48 ( $1,896 ) per month for workers 22 years of age , with 12 months of service ; coupled with extensive social benefits .   7004211410000000000 ♠ 21,141    7004213090000000000 ♠ 21,309    38   7001107009999900000 ♠ 10.7    7001107800000000000 ♠ 10.78    7001459000000000000 ♠ 45.9 %   1 June 2017       Belize   BZ $ 3.30 ( $1.65 ) per hour .   7003386100000000000 ♠ 3,861    7003677400000000000 ♠ 6,774    45   7000165000000000000 ♠ 1.65    7000289000000000000 ♠ 2.89    7001801009999900000 ♠ 80.1 %   26 May 2012       Benin   40,000 CFA francs ( $70 ) per month ; the government set minimum wage scales for a number of occupations .   7002825000000000000 ♠ 825    7003214900000000000 ♠ 2,149    40   6999400000000000000 ♠ 0.4    7000103000000000000 ♠ 1.03    7001991000000000000 ♠ 99.1 %   1 April 2014       Bhutan   3,750 Bhutanese ngultrum per month .   7002691000000000000 ♠ 691    7003202000000000000 ♠ 2,020    40   6999330000000000000 ♠ 0.33    6999970000000000000 ♠ 0.97    7001227000000000000 ♠ 22.7 %   1 February 2014       Bolivia   2000 Bolivian bolivianos ( $289 ) per month . plus an obligatory Christmas bonus equal to one month 's pay , prorated for the amount of time the worker has worked in their present position . Plus a second Christmas Bonus if the government decries the economy grew enough , plus an extra month paid in May if the company made a profit for the previous year .   7003376300000000000 ♠ 3,763    7003755800000000000 ♠ 7,558    48   7000151000000000000 ♠ 1.51    7000302990000000000 ♠ 3.03    7002104500000000000 ♠ 104.5 %   1 May 2017       Bosnia and Herzegovina   406 convertible marks ( $240 ) net per month .   7003220700000000000 ♠ 2,207    7003474100000000000 ♠ 4,741    40   7000106000000000000 ♠ 1.06    7000227990000099999 ♠ 2.28    7001389000000000000 ♠ 38.9 %   2015       Botswana   5.46 Botswana pula ( $0.58 ) an hour for most full - time labor in the private sector ; 3.03 ( $. 29 ) Botswana pula per hour for domestic workers or approximately 24.24 pula ( $2.28 ) a day ; 620 Botswana pula ( $60 ) per month for workers in the agriculture sector .   7002719000000000000 ♠ 719    7003140600000000000 ♠ 1,406    48   6999289990000000000 ♠ 0.29    6999560000000000000 ♠ 0.56    7000830000000000000 ♠ 8.3 %   1 June 2016       Brazil   954 Brazilian reais per month ( $236 ) , paid 13 times a year . The Brazilian minimum wage is adjusted annually by the federal government . Each Brazilian state has its own minimum wage , which can not be lower than the federal minimum wage . Rio Grande do Sul has the highest minimum wage nationwide , R $ 1,103.66 ( $273 ) .   7003388800000000000 ♠ 3,888    7003566300000000000 ♠ 5,663    44   7000170000000000000 ♠ 1.7    7000248000000000000 ♠ 2.48    7001374000000000000 ♠ 37.4 %   1 January 2018     Brunei   None       48         2017       Bulgaria   510 Bulgarian lev ( $311 ) per month , 3.07 lev ( $1.8 ) per hour .   7003367000000000000 ♠ 3,670    7003851400000000000 ♠ 8,514    40   7000176000000000000 ♠ 1.76    7000409000000000000 ♠ 4.09    7001442000000000000 ♠ 44.2 %   1 January 2018       Burkina Faso   34,664 CFA francs ( $56 ) per month .   7002715000000000000 ♠ 715    7003190500000000000 ♠ 1,905    40   6999340000000000000 ♠ 0.34    6999920000000000000 ♠ 0.92    7002107600000000000 ♠ 107.6 %   1 April 2012     Burundi   None ; in the past the government set the minimum wage , but during the year the minimum wage was set by market forces .       40         2017     Cambodia   US $170 per month , for the garment and shoe industry .       48         1 January 2018       Cameroon   36,270 CFA francs ( $75 ) per month .   7002748000000000000 ♠ 748    7003181900000000000 ♠ 1,819    40   6999360000000000000 ♠ 0.36    6999870000000000000 ♠ 0.87    7001504000000000000 ♠ 50.4 %   30 July 2014       Canada   The minimum wage in Canada is set by each province and territory ; ranges from C $ 10.96 to C $14 ( $8 - $10 USD ) per hour .   7004175360000000000 ♠ 17,536    7004167620000000000 ♠ 16,762    40   7000843000000000000 ♠ 8.43    7000806000000000000 ♠ 8.06    7001374000000000000 ♠ 37.4 %   1 May 2018       Cape Verde   13,000 Cape Verdean escudos ( $141 ) per month .   7003159500000000000 ♠ 1,595    7003341400000000000 ♠ 3,414    44   6999700000000000000 ♠ 0.7    7000149000000000000 ♠ 1.49    7001521000000000000 ♠ 52.1 %   1 January 2018       Central African Republic   35,000 CFA francs per month , 218.75 CFA francs per hour .   7002782000000000000 ♠ 782    7003139200000000000 ♠ 1,392    40   6999380000000000000 ♠ 0.38    6999670000000000000 ♠ 0.67    7002199300000000000 ♠ 199.3 %   2011       Chad   59,995 CFA francs ( $110 ) per month , 355 CFA francs ( $0.6 ) per hour .   7003123700000000000 ♠ 1,237    7003348400000000000 ♠ 3,484    39   6999610000000000000 ♠ 0.61    7000172000000000000 ♠ 1.72    7002175000000000000 ♠ 175 %   18 October 2011       Chile   276,000 Chilean pesos ( $416 ) per month for workers aged 18 -- 65 ; or 206,041 pesos ( $276 ) per month for workers younger than 18 and older than 65 ; and 178,037 pesos ( $268 ) per month for ' non remunerative ' purposes .   7003510500000000000 ♠ 5,105    7003727800000000000 ♠ 7,278    45   7000218000000000000 ♠ 2.18    7000311000000000000 ♠ 3.11    7001314000000000000 ♠ 31.4 %   1 January 2018       China   The minimum wage in China is set locally ; ranges from RMB1 , 000 ( $146 ) per month , or RMB9. 50 ( $1.39 ) per hour in Guangxi ; to RMB2 , 190 ( $321 ) per month , or RMB19. 00 ( $2.78 ) per hour in Shanghai .   7003177500000000000 ♠ 1,775    7003311700000000000 ♠ 3,117    40   6999850000000000000 ♠ 0.85    7000150000000000000 ♠ 1.5    7001201000000000000 ♠ 20.1 %   12 November 2016       Colombia   781,242 Colombian pesos ( $277 ) per month   7003317700000000000 ♠ 3,177    7003683500000000000 ♠ 6,835    48   7000127000000000000 ♠ 1.27    7000274000000000000 ♠ 2.74    7001483000000000000 ♠ 48.3 %   24 January 2018       Comoros   55,000 Comorian francs ( $129 ) per month .   7003151200000000000 ♠ 1,512    7003303700000000000 ♠ 3,037    40   6999730000000000000 ♠ 0.73    7000146000000000000 ♠ 1.46    7002199500000000000 ♠ 199.5 %   2017       Democratic Republic of the Congo   1,680 Congolese francs ( $1.83 ) per day .   7002298000000000000 ♠ 298    7002741000000000000 ♠ 741    45   6999130000000000000 ♠ 0.13    6999320000000000000 ♠ 0.32    7001924000000000000 ♠ 92.4 %   1 January 2009       Republic of the Congo   90,000 CFA francs ( $170 ) per month in the formal sector .   7003185500000000000 ♠ 1,855    7003695800000000000 ♠ 6,958    40   6999890000000000000 ♠ 0.89    7000335000000000000 ♠ 3.35    7002121700000000000 ♠ 121.7 %   2017       Costa Rica   Varies for specified industries from ₡ 10,060.75 ( $17 ) per 8 - hour work day for all workers to ₡ 13,141.39 ( $23 ) per day for specialized workers . All other occupations not explicitly covered fall under the generic scale , which varies from ₡ 300,255.79 ( $528 ) per month for unskilled workers to ₡ 644,689.30 ( $1134 ) per month for licentiates .   7003460900000000000 ♠ 4,609    7003700800000000000 ♠ 7,008    48   7000185000000000000 ♠ 1.85    7000281000000000000 ♠ 2.81    7001422000000000000 ♠ 42.2 %   1 January 2018       Côte d'Ivoire   Varies by occupation , with the lowest set to 36,607 CFA franc ( $72 ) per month for the industrial sector ; a slightly higher minimum wage rate is applied for construction workers .   7002755000000000000 ♠ 755    7003186800000000000 ♠ 1,868    40   6999360000000000000 ♠ 0.36    6999900000000000000 ♠ 0.9    7001506000000000000 ♠ 50.6 %         Croatia   3439.80 Croatian kuna ( $544 ) per month .   7003623500000000000 ♠ 6,235    7004103190000000000 ♠ 10,319    40   7000300000000000000 ♠ 3    7000496000000000000 ♠ 4.96    7001441000000000000 ♠ 44.1 %   1 January 2018     Cuba   225 Cuban pesos ( $9 ) per month . ( Note that the exchange rate data and the International dollars conversion data for this row is for 2012 , as more current data was not available at the time of data entry ) Each citizen is however also given free food to supplement the salary .   7002147000000000000 ♠ 147   181   40   6998500000000000000 ♠ 0.05   6998800000000000000 ♠ 0.08   6999400000000000000 ♠ 0.4 %   1 May 2005     Cyprus   None ; € 870 ( $1006 ) per month for shop assistants , nurses ' assistants , clerks , hairdressers , and nursery assistants ; it rises to € 924 ( $1069 ) after six months ' employment . For asylum seekers working as unskilled workers in the agricultural sector , the minimum monthly wage was 425 euros ( $570 ) with accommodation and food provided . For skilled workers in the agricultural sector , the minimum salary was 767 euros ( $1040 ) without accommodation and food .       48         2017       Czech Republic   12,200.00 Czech koruna ( $568 ) per month , or 73.20 koruna ( $3.4 ) per hour .   7003651200000000000 ♠ 6,512    7004106620000000000 ♠ 10,662    40   7000313000000000000 ♠ 3.13    7000513000000000000 ♠ 5.13    7001307000000000000 ♠ 30.7 %   1 January 2018     Denmark   None ; instead , negotiated between unions and employer associations ; the average minimum wage for all private and public sector collective bargaining agreements was approximately DKK 110 ( nominally $16 ) per hour , exclusive of pension benefits .       37.5         2017     Djibouti   None ; canceled by the 2006 Labor Code for occupational categories , establishing that wages be set after common agreement between employers and employees . For public sector workers , minimum wage was 35,000 DFJ ( $198 ) per month .       48         2017       Dominica   EC $ 4.00 ( $1.50 ) per hour .   7003308100000000000 ♠ 3,081    7003422300000000000 ♠ 4,223    40   7000148000000000000 ♠ 1.48    7000202999999999999 ♠ 2.03    7001386000000000000 ♠ 38.6 %   1 June 2008       Dominican Republic   8,310 Dominican pesos ( $166 ) per month in the FTZs and between 9,412 pesos ( $188 ) and 15,448 pesos ( $309 ) outside the FTZs , depending upon the size of the company ; 5,884 pesos ( $117 ) per month for the public sector ; 320 pesos ( $6 ) a day for farm workers who are covered by minimum wage regulations based on a 10 - hour day , with the exception of sugarcane workers who received 146 pesos based on an eight - hour workday .   7002878000000000000 ♠ 878    7003187200000000000 ♠ 1,872    44   6999380000000000000 ♠ 0.38    6999820009999900000 ♠ 0.82    7001123000000000000 ♠ 12.3 %   2017       Ecuador   US $ 451 per month ( for a 12 month average , including 13th and 14th salaries ) . The minimum wage has been set by the government at $386 per month for the year 2018 , but a worker also receives a 13th and a 14th salary .   7003541200000000000 ♠ 5,412    7003887200000000000 ♠ 8,872    40   7000260000000000000 ♠ 2.6    7000426999999999999 ♠ 4.27    7001789000000000000 ♠ 78.9 %   1 January 2018     Egypt   None ; for the public sector the minimum wage is LE 1,200 ( $68 ) per month .       48         2017       El Salvador   The minimum wage was set by the government at $304.17 monthly in 2018 .   7003365000000000000 ♠ 3,650    7003701900000000000 ♠ 7,019    44   7000160000000000000 ♠ 1.6    7000307000000000000 ♠ 3.07    7001815000000000000 ♠ 81.5 %   1 January 2018       Equatorial Guinea   129,035 CFA franc ( $224 ) .   7003266000000000000 ♠ 2,660    7003447900000000000 ♠ 4,479    48   7000107000000000000 ♠ 1.07    7000179000000000000 ♠ 1.79    7001172000000000000 ♠ 17.2 %   2017     Eritrea   None ; 360 Eritrean nakfa ( $23.3 ) per month in the public sector .       44.5         2017       Estonia   € 500 ( $581 ) per month , or € 2.97 ( $3 ) per hour .   7003651900000000000 ♠ 6,519    7003947900000000000 ♠ 9,479    40   7000313000000000000 ♠ 3.13    7000455990000099999 ♠ 4.56    7001319000000000000 ♠ 31.9 %   1 January 2018     Ethiopia   None ; some government institutions and public enterprises set their own minimum wages : public sector employees , the largest group of wage earners , earned a monthly minimum wage of 420 Ethiopian birr ( $21 ) ; employees in the banking and insurance sector had a minimum monthly wage of 336 birr ( $18 ) .       48         2017     Federated States of Micronesia   None ; US $ 2.65 per hour for employment with the national government ; all states have a minimum hourly wage for government workers : $2.00 in Pohnpei , $1.25 in Chuuk , $1.42 in Kosrae , and $1.60 in Yap ; $1.75 for private sector workers in Pohnpei .       40         2015       Fiji   FJ $ 2.68 per hour .   7003323200000000000 ♠ 3,232    7003522600000000000 ♠ 5,226    48   7000129000000000000 ♠ 1.29    7000209009999900000 ♠ 2.09    7001574000000000000 ♠ 57.4 %   30 September 2017     Finland   None ; however , the law requires all employers , including non-unionized ones , to pay minimum wages agreed to in collective bargaining agreements ; almost all workers are covered under such arrangements .       40         2017       France   € 1,498.47 ( $1734 ) per month , € 9.88 ( $11 ) per hour .   7004202720000000000 ♠ 20,272    7004206690000000000 ♠ 20,669    35   7001111400000000000 ♠ 11.14    7001113600000000000 ♠ 11.36    7001500000000000000 ♠ 50 %   1 January 2018       Gabon   150,000 CFA francs ( $255 ) per month ; government workers received an additional monthly allowance of 20,000 CFA francs ( $34 ) per child ; government workers also received transportation , housing , and family benefits ; the law does not mandate housing or family benefits for private sector workers .   7003309200000000000 ♠ 3,092    7003486500000000000 ♠ 4,865    40   7000149000000000000 ♠ 1.49    7000234000000000000 ♠ 2.34    7001269000000000000 ♠ 26.9 %   1 February 2010       The Gambia   50 dalasi ( $1.25 ) per day .   7002317000000000000 ♠ 317    7002958000000000000 ♠ 958    48   6999130000000000000 ♠ 0.13    6999380000000000000 ♠ 0.38    7001571000000000000 ♠ 57.1 %   2017       Georgia   20 Georgian lari ( $8 ) per month for private sector workers which has remained unchanged since the early 1990s ; 115 lari ( $48 ) per month for public employees .   7001960000000000000 ♠ 96    7002282000000000000 ♠ 282    40   6998500000000000000 ♠ 0.05    6999140000000000000 ♠ 0.14    7000280000000099999 ♠ 2.8 %   2017       Germany   € 8.84 ( $10 ) per hour . A higher minimum wage is often set by collective bargaining agreements and enforceable by law .   7004209890000000000 ♠ 20,989    7004224300000000000 ♠ 22,430    40.5   7000997000000000000 ♠ 9.97    7001106500000000000 ♠ 10.65    7001459000000000000 ♠ 45.9 %   1 January 2017       Ghana   9.68 Ghanaian cedis ( $1.7 ) per day .   7002579000000000000 ♠ 579    7003176000000000000 ♠ 1,760    40   6999280000000000000 ♠ 0.28    6999850000000000000 ♠ 0.85    7001410000000000000 ♠ 41 %   1 January 2018       Greece   € 683.76 ( $762 ) per month in 12 payments , € 586 ( $653 ) per month in 14 payments , or € 4.23 ( $4.8 ) per hour .   7003925000000000000 ♠ 9,250    7004120660000000000 ♠ 12,066    40   7000445000000000000 ♠ 4.45    7000580000000000000 ♠ 5.8    7001451000000000000 ♠ 45.1 %   1 January 2013     Grenada   Minimum wage schedules set pay by occupation ; for example , the minimum wage for domestic workers , for example , was EC $ 4.50 per hour , while that for a security guard was EC $8.00 per hour .       40         2017       Guatemala   81.87 Guatemalan quetzales ( $10.9 ) per day for agricultural and nonagricultural work and 74.89 quetzales ( $10.0 ) per day for work in export - sector regime factories . Minimum wage earners also are due a mandatory monthly bonus of 250 quetzales ( $33 ) , and salaried workers receive two mandatory yearly bonuses ( the bono 14 and the Christmas bonus ) , each equivalent to one month 's salary .   7003412700000000000 ♠ 4,127    7003697400000000000 ♠ 6,974    48   7000165000000000000 ♠ 1.65    7000279000000000000 ♠ 2.79    7001878000000000000 ♠ 87.8 %   1 January 2016     Guernsey   £ 7.20 per hour ( $8.79 ) for those aged 18 + £ 6.50 per hour ( $8.49 ) for those aged 17 -- 18 .               1 January 2017     Guinea   The labor code allows the government to set a minimum hourly wage ; however , the government has not exercised this provision except for setting the minimum wage for domestic workers at 440,000 GNF ( $62 ) per month .       48         2017       Guinea - Bissau   19,030 CFA francs ( $30 ) per month plus a bag of rice   7002392000000000000 ♠ 392    7002935000000000000 ♠ 935    45   6999170000000000000 ♠ 0.17    6999400000000000000 ♠ 0.4    7001581000000000000 ♠ 58.1 %   2017       Guyana   G $ 35,000 ( $168 USD ) per month , or G $1,616 ( $7 USD ) per day , or G $202 ( $1 USD ) per hour .   7003203500000000000 ♠ 2,035    7003320400000000000 ♠ 3,204    40   6999980000000000000 ♠ 0.98    7000154000000000000 ♠ 1.54    7001409000000000000 ♠ 40.9 %   1 July 2013       Haiti   290 Haitian gourdes per day for servants for an eight - hour workday ; 400 Haitian gourdes per day for segment A industries ; 350 Haitian gourdes per day for segment B industries ; 290 Haitian gourdes per day for segment C industries ; 350 Haitian gourdes per day for companies with piece work that re-export ; and 350 Haitian gourdes per day for companies with piece work that exports .   7003142900000000000 ♠ 1,429    7003319400000000000 ♠ 3,194    48   6999569999999900000 ♠ 0.57    7000128000000000000 ♠ 1.28    7002179100000000000 ♠ 179.1 %   1 August 2017       Honduras   Minimum wages ranged from a low of 6,096.71 Honduran lempiras per month , 25.41 lempiras per hour to 10,698.30 lempiras per month , 44.58 lempiras per hour .   7003247500000000000 ♠ 2,475    7003494800000000000 ♠ 4,948    44   7000108000000000000 ♠ 1.08    7000216000000000000 ♠ 2.16    7002104500000000000 ♠ 104.5 %   1 January 2018       Hong Kong   HK $34.50 ( US $4.5 ) per hour is the minimum wage in Hong Kong .   7003924500000000000 ♠ 9,245    7004111260000000000 ♠ 11,126    40   7000444000000000000 ♠ 4.44    7000535000000099999 ♠ 5.35    7001190000000000000 ♠ 19 %   1 May 2017       Hungary   138,000 HUF ( $530 ) per month for unskilled labor , 180,500 HUF ( $695 ) per month for skilled labor .   7003603400000000000 ♠ 6,034    7004110850000000000 ♠ 11,085    40   7000290000000000000 ♠ 2.9    7000533000000000000 ♠ 5.33    7001415000000000000 ♠ 41.5 %   1 January 2018     Iceland   None ; minimum wages are negotiated in various collectively bargained agreements and applied automatically to all employees in those occupations , regardless of union membership ; while the agreements can be either industry - or sector - wide , and in some cases firm - specific , the minimum wage levels are occupation - specific .       40         2017       India   Varied from 160 rupees ( $2.40 ) per day in Bihar to 750 rupees ( $11.31 ) per day in Kerala . State governments set a separate minimum wage for agricultural workers . The minimum wages are set according to Minimum Wages Act , 1948 .   7002767000000000000 ♠ 767    7003249800000000000 ♠ 2,498    48   6999310000000000000 ♠ 0.31    7000100000000000000 ♠ 1    7001380000000000000 ♠ 38 %   2015       Indonesia   Established by provincial and district authorities , which vary by province , district , and sector ; the lowest minimum wage is in the province of Yogyakarta at rupiah 1,454,154 ( $98 ) per month and the highest is in Jakarta at rupiah 3,648,035 ( $248 ) per month .     7003130400000000000 ♠ 1,304    7003350000000000000 ♠ 3,500    40   6999630000000000000 ♠ 0.63    7000168000000000000 ♠ 1.68    7001301000000000000 ♠ 30.1 %   1 January 2018       Iran   1,111,269 Iranian tomans ( equal to 11,112,690 rials , and to $266 ) per month effective on the 2017 Persian New year ; set annually for each industrial sector and region . The standard workweek is 44 hours , and any work over 48 entitles the worker to overtime .   7003401300000000000 ♠ 4,013    7004110830000000000 ♠ 11,083    44   7000175000000000000 ♠ 1.75    7000484000000000000 ♠ 4.84    7001556000000000000 ♠ 55.6 %   21 March 2018       Iraq   250,000 Iraqi dinars ( $214 ) per month .   7003253400000000000 ♠ 2,534    7003522200000000000 ♠ 5,222    40   7000122000000000000 ♠ 1.22    7000250990000099999 ♠ 2.51    7001301000000000000 ♠ 30.1 %   2014       Ireland   € 9.55 ( $11 ) per hour , with sub-minimal rates for those under 18 ( 70 % of minimum ) , and for those over 18 in first year of employment ( 80 % ) , in second year of employment ( 90 % ) , and in certain types of training ( 75 % to 90 % ) .   7004218350000000000 ♠ 21,835    7004193670000000000 ♠ 19,367    39   7001107700000000000 ♠ 10.77    7000955000000000000 ♠ 9.55    7001271000000000000 ♠ 27.1 %   1 January 2018     Isle of Man   £ 7.50 per hour ( $9.15 ) for those aged 21 + £ 6.85 per hour ( $8.36 ) for those aged 18 -- 20 .               1 April 2017     Israel   ₪ 5,300 Israeli new shekel ( $1,472 ) per month ; or ₪ 29.12 Israeli new shekel ( $8.09 ) per hour .   7004176670000000000 ♠ 17,667    7004143890000000000 ♠ 14,389    42   7000809000000000000 ♠ 8.09    7000659000000000000 ♠ 6.59    7001386000000000000 ♠ 38.6 %   1 April 2018     Italy   None ; instead set through collective bargaining agreements on a sector - by - sector basis .       40         2017       Jamaica   J $ 6,200 ( $49 USD ) per week .   7003252000000000000 ♠ 2,520    7003404300000000000 ♠ 4,043    40   7000121000000000000 ♠ 1.21    7000194000000000000 ♠ 1.94    7001458000000000000 ♠ 45.8 %   1 March 2016       Japan   Ranges from 737 -- 958 Japanese yen ( $6.6 -- 8.6 ) per hour ; set on a prefectural and industry basis .   7004136660000000000 ♠ 13,666    7004143070000000000 ♠ 14,307    40   7000657000000000000 ♠ 6.57    7000688000000000000 ♠ 6.88    7001338009999900000 ♠ 33.8 %   14 October 2017       Jordan   220 Jordanian dinars ( $310 ) per month .   7003371800000000000 ♠ 3,718    7003800000000000000 ♠ 8,000    48   7000149000000000000 ♠ 1.49    7000321000000000000 ♠ 3.21    7001884000000000000 ♠ 88.4 %   12 February 2017       Kazakhstan   28,284 Kazakhstani tenge ( $78 ) per month .   7003104100000000000 ♠ 1,041    7003298700000000000 ♠ 2,987    40   6999500000000000000 ♠ 0.5    7000144000000000000 ♠ 1.44    7001118000000000000 ♠ 11.8 %   1 January 2018       Kenya   Set by the government by location , age and skill level ; the lowest agricultural minimum wage for unskilled employees was 6,415.55 Kenyan shillings per month , 269.40 per day , excluding housing allowance .   7002745000000000000 ♠ 745    7003165600000000000 ♠ 1,656    52   6999280000000000000 ♠ 0.28    6999610000000000000 ♠ 0.61    7001525000000000000 ♠ 52.5 %   1 May 2017       Kiribati   AUD $1.30 per hour for local businesses and companies , while the minimum wage for overseas - funded projects is AUD $3.00 an hour   7003208000000000000 ♠ 2,080    7003238900000000000 ♠ 2,389    40   7000100000000000000 ♠ 1    7000115000000099999 ♠ 1.15    7002113300000000000 ♠ 113.3 %   1 November 2016     North Korea   Averaging 5,000 -- 10,000 North Korean won ( $5.5 -- $11.1 ) per day .               2014       South Korea   7,530 won ( $6 ) per hour , although the effective comparable minimum wage is higher at 9,200 won ( $8 ) per hour due to a mandatory weekly paid holiday for people that work more than 15 hours per week , a law that is absent in other developed countries . The law applies equally to foreign , temporary or young workers covering all industries and regions nationwide and is scheduled to increase to 8,350 won ( $7 ) per hour , or 10,020 won ( $9 ) per hour if weekly paid holidays are included . As of 1 January 2019 .   7004138550000000000 ♠ 13,855    7004156040000000000 ♠ 15,604    40   7000666000000000000 ♠ 6.66    7000750000000000000 ♠ 7.5    7001427000000000000 ♠ 42.7 %   1 January 2018       Kosovo   € 170 ( $224 ) per month for workers between 35 and 65 years of age ; € 130 ( $150 ) for workers under 35 years of age .   7003230000000000000 ♠ 2,300    7003622000000000000 ♠ 6,220    40   7000111000000000000 ♠ 1.11    7000299000000000000 ♠ 2.99    7001618000000000000 ♠ 61.8 %   17 August 2011       Kuwait   60 Kuwaiti dinars ( $216 ) per month .   7003240000000000000 ♠ 2,400    7003360000000000000 ♠ 3,600    48   6999960000000000000 ♠ 0.96    7000144000000000000 ♠ 1.44    7000480000000000000 ♠ 4.8 %   14 April 2010       Kyrgyzstan   1140 Kyrgyzstani som ( $14 ) per month , nominally ; used for administrative purpose .   7002199000000000000 ♠ 199    7002661000000000000 ♠ 661    40   6999100000000000000 ♠ 0.1    6999320000000000000 ♠ 0.32    7001186000000000000 ♠ 18.6 %   1 January 2017       Laos   800,000 Lao kip ( $100 ) per month ; additionally , employers were required to pay a 30,000 - kip ( $3.74 ) meal allowance per day . The minimum wage for civil servants and state enterprise employees was last increased to 1,400,000 kip ( $170 ) per month .   7003201200000000000 ♠ 2,012    7003518000000000000 ♠ 5,180    48   6999810000000000000 ♠ 0.81    7000208000000000000 ♠ 2.08    7001791009</t>
  </si>
  <si>
    <t xml:space="preserve">what is the minimum hourly wage in france</t>
  </si>
  <si>
    <t xml:space="preserve">   Country   Minimum wage   Annual   Workweek ( hours )   Hourly   Percent of GDP per capita   Effective per     Nominal ( US $ )   PPP ( Int $ )   Nominal ( US $ )   PPP ( Int $ )     Afghanistan   5,500 Afghani ( $95 ) per month for non-permanent private sector . The minimum wage for permanent government workers was 6,000 Afghanis ( $103 ) per month . There was no minimum wage for permanent workers in the private sector .   7003104700000000000 ♠ 1,047    7003327200000000000 ♠ 3,272    40   6999500000000000000 ♠ 0.5    7000157000000000000 ♠ 1.57    7002168300000000000 ♠ 168.3 %   2017       Albania   24,000 Albanian lek ë ( $226 ) per month , in private sector and 37,000 lekë ( $330 ) per month in public sector . The law establishes a 40 - hour workweek , but the actual workweek is typically set by individual or collective - bargaining agreement .   7003241800000000000 ♠ 2,418    7003521800000000000 ♠ 5,218    40   7000116000000099999 ♠ 1.16    7000250990000099999 ♠ 2.51    7001452000000000000 ♠ 45.2 %   5 May 2017       Algeria   18,000 Algerian dinars ( $155 ) per month , nationally .   7003194600000000000 ♠ 1,946    7003562200000000000 ♠ 5,622    40   6999940000000000000 ♠ 0.94    7000270000000000000 ♠ 2.7    7001374000000000000 ♠ 37.4 %   1 January 2012     Andorra   € 1017.47 ( $1177 ) per month , € 5.87 ( $6 ) per hour .   7004137960000000000 ♠ 13,796   7004106740000000000 ♠ 10,674   40   7000663000000000000 ♠ 6.63   7000513000000000000 ♠ 5.13   7001280000000000000 ♠ 28 %   1 January 2018       Angola   15,003 kwanza per month ; paid thirteen times a year .   7003117600000000000 ♠ 1,176    7003147400000000000 ♠ 1,474    44   6999510000000000000 ♠ 0.51    6999640000000000000 ♠ 0.64    7001228000000000000 ♠ 22.8 %   1 June 2014       Antigua and Barbuda   EC $ 8.20 per hour .   7003631700000000000 ♠ 6,317    7003778800000000000 ♠ 7,788    40   7000304000000000000 ♠ 3.04    7000374000000000000 ♠ 3.74    7001344000000000000 ♠ 34.4 %   1 November 2014       Argentina   10,000 Argentine pesos ( $350 ) per month for up to 200 hours ; paid thirteen times a year .   7003785000000000000 ♠ 7,850    7004139510000000000 ♠ 13,951    48   7000315000000000000 ♠ 3.15    7000559000000000000 ♠ 5.59    7001700000000000000 ♠ 70 %   1 July 2018       Armenia   55,000 Armenian dram ( $107 ) per month .   7003136700000000000 ♠ 1,367    7003334900000000000 ♠ 3,349    40   6999660000000000000 ♠ 0.66    7000161000000000000 ♠ 1.61    7001379000000000000 ♠ 37.9 %   1 July 2015       Australia   Most workers are covered by an award , which may vary by employee age , geographical location and industry . For employees 21 + not covered by an award or agreement , the minimum wages is A $ 18.93 ( $13 ) per hour , or A $719.20 ( $524 ) per week ; set federally by the Fair Work Commission . The figures indicated exclude mandatory employer superannuation contributions of at least 9.5 % of the employee 's total annual salary and any extra loadings received ( e.g. many employees are entitled to an extra 17.5 % of their daily income on days where they take annual leave , penalty rates for work undertaken on weekends and public holidays of up to 200 % of their base rate , and the entitlement that non-permanent employees be paid at least 15 % higher than the base rate of pay ) . Workers under 21 , apprentices and trainees not covered by an award each have a minimum wage level set nationally below the official minimum . Minimum wage for workers under 16 is 36.8 % of the 21 + minimum wage at A $ 6.97 ( $5 ) per hour .   7004287680000000000 ♠ 28,768    7004233740000000000 ♠ 23,374    38   7001145600000000000 ♠ 14.56    7001118300000000000 ♠ 11.83    7001508000000000000 ♠ 50.8 %   1 July 2018     Austria   None ; National collective bargaining agreements set minimum wages by job classification for each industry and provide for a minimum wage of € 1,200 ( $1,289 ) per month . Wages where no such collective agreements exist , such as for domestic workers , janitorial staff and au pairs , are regulated by relevant legislation and are generally lower than those covered by collective bargaining . The national minimum wage legislation has lapsed , although is still in force by convention .       40         2017       Azerbaijan   130 Azerbaijani manat ( $76 ) per month .   7002907000000000000 ♠ 907    7003445700000000000 ♠ 4,457    40   6999440000000000000 ♠ 0.44    7000214000000000000 ♠ 2.14    7001258000000000000 ♠ 25.8 %   1 January 2018       The Bahamas   B $ 5.25 ( $5.25 ) per hour , B $42 ( $42 ) per day , and B $210 ( $210 ) per week .   7004109200000000000 ♠ 10,920    7003957900000000000 ♠ 9,579    40   7000525000000000000 ♠ 5.25    7000461000000000000 ♠ 4.61    7001425000000000000 ♠ 42.5 %   15 August 2015     Bahrain   None ; 300 BHD ( $800 ) for the public sector workers ( only applies to Bahraini nationals ) .       48         2017       Bangladesh   1,500 taka ( $19 ) per month for all economic sectors not covered by industry - specific wages ; in the garment industry the minimum wage is 5,300 taka ( $68 ) per month . The minimum wage is set nationally every five years by the National Minimum Wage Board in a tripartite forum industry by industry .   7002224000000000000 ♠ 224    7002564000000000000 ♠ 564    48   6998900000000000000 ♠ 0.09    6999230000000000000 ♠ 0.23    7001158000000000000 ♠ 15.8 %   1 December 2013       Barbados   BDS $ 6.25 ( $3.13 ) per hour for household domestics and shop assistants ; the Ministry of Labor recommends all other sectors use this as the de facto minimum wage .   7003650000000000000 ♠ 6,500    7003528500000000000 ♠ 5,285    40   7000313000000000000 ♠ 3.13    7000254000000000000 ♠ 2.54    7001293000000000000 ♠ 29.3 %   1 March 2012       Belarus   305.00 Belarusian rubles ( $149 ) per month .   7003189600000000000 ♠ 1,896    7003746900000000000 ♠ 7,469    40   6999910000000000000 ♠ 0.91    7000359000000000000 ♠ 3.59    7001413009999900000 ♠ 41.3 %   1 January 2018       Belgium   € 1,562.59 ( $1,826 ) per month , € 9.49 ( $11.09 ) per hour for workers 21 years of age and over ; € 1,604.06 ( $1,874 ) per month for workers 21 and a half years of age , with six months of service ; € 1,622.48 ( $1,896 ) per month for workers 22 years of age , with 12 months of service ; coupled with extensive social benefits .   7004211410000000000 ♠ 21,141    7004213090000000000 ♠ 21,309    38   7001107009999900000 ♠ 10.7    7001107800000000000 ♠ 10.78    7001459000000000000 ♠ 45.9 %   1 June 2017       Belize   BZ $ 3.30 ( $1.65 ) per hour .   7003386100000000000 ♠ 3,861    7003677400000000000 ♠ 6,774    45   7000165000000000000 ♠ 1.65    7000289000000000000 ♠ 2.89    7001801009999900000 ♠ 80.1 %   26 May 2012       Benin   40,000 CFA francs ( $70 ) per month ; the government set minimum wage scales for a number of occupations .   7002825000000000000 ♠ 825    7003214900000000000 ♠ 2,149    40   6999400000000000000 ♠ 0.4    7000103000000000000 ♠ 1.03    7001991000000000000 ♠ 99.1 %   1 April 2014       Bhutan   3,750 Bhutanese ngultrum per month .   7002691000000000000 ♠ 691    7003202000000000000 ♠ 2,020    40   6999330000000000000 ♠ 0.33    6999970000000000000 ♠ 0.97    7001227000000000000 ♠ 22.7 %   1 February 2014       Bolivia   2000 Bolivian bolivianos ( $289 ) per month . plus an obligatory Christmas bonus equal to one month 's pay , prorated for the amount of time the worker has worked in their present position . Plus a second Christmas Bonus if the government decries the economy grew enough , plus an extra month paid in May if the company made a profit for the previous year .   7003376300000000000 ♠ 3,763    7003755800000000000 ♠ 7,558    48   7000151000000000000 ♠ 1.51    7000302990000000000 ♠ 3.03    7002104500000000000 ♠ 104.5 %   1 May 2017       Bosnia and Herzegovina   406 convertible marks ( $240 ) net per month .   7003220700000000000 ♠ 2,207    7003474100000000000 ♠ 4,741    40   7000106000000000000 ♠ 1.06    7000227990000099999 ♠ 2.28    7001389000000000000 ♠ 38.9 %   2015       Botswana   5.46 Botswana pula ( $0.58 ) an hour for most full - time labor in the private sector ; 3.03 ( $. 29 ) Botswana pula per hour for domestic workers or approximately 24.24 pula ( $2.28 ) a day ; 620 Botswana pula ( $60 ) per month for workers in the agriculture sector .   7002719000000000000 ♠ 719    7003140600000000000 ♠ 1,406    48   6999289990000000000 ♠ 0.29    6999560000000000000 ♠ 0.56    7000830000000000000 ♠ 8.3 %   1 June 2016       Brazil   954 Brazilian reais per month ( $236 ) , paid 13 times a year . The Brazilian minimum wage is adjusted annually by the federal government . Each Brazilian state has its own minimum wage , which can not be lower than the federal minimum wage . Rio Grande do Sul has the highest minimum wage nationwide , R $ 1,103.66 ( $273 ) .   7003388800000000000 ♠ 3,888    7003566300000000000 ♠ 5,663    44   7000170000000000000 ♠ 1.7    7000248000000000000 ♠ 2.48    7001374000000000000 ♠ 37.4 %   1 January 2018     Brunei   None       48         2017       Bulgaria   510 Bulgarian lev ( $311 ) per month , 3.07 lev ( $1.8 ) per hour .   7003367000000000000 ♠ 3,670    7003851400000000000 ♠ 8,514    40   7000176000000000000 ♠ 1.76    7000409000000000000 ♠ 4.09    7001442000000000000 ♠ 44.2 %   1 January 2018       Burkina Faso   34,664 CFA francs ( $56 ) per month .   7002715000000000000 ♠ 715    7003190500000000000 ♠ 1,905    40   6999340000000000000 ♠ 0.34    6999920000000000000 ♠ 0.92    7002107600000000000 ♠ 107.6 %   1 April 2012     Burundi   None ; in the past the government set the minimum wage , but during the year the minimum wage was set by market forces .       40         2017     Cambodia   US $170 per month , for the garment and shoe industry .       48         1 January 2018       Cameroon   36,270 CFA francs ( $75 ) per month .   7002748000000000000 ♠ 748    7003181900000000000 ♠ 1,819    40   6999360000000000000 ♠ 0.36    6999870000000000000 ♠ 0.87    7001504000000000000 ♠ 50.4 %   30 July 2014       Canada   The minimum wage in Canada is set by each province and territory ; ranges from C $ 10.96 to C $14 ( $8 - $10 USD ) per hour .   7004175360000000000 ♠ 17,536    7004167620000000000 ♠ 16,762    40   7000843000000000000 ♠ 8.43    7000806000000000000 ♠ 8.06    7001374000000000000 ♠ 37.4 %   1 May 2018       Cape Verde   13,000 Cape Verdean escudos ( $141 ) per month .   7003159500000000000 ♠ 1,595    7003341400000000000 ♠ 3,414    44   6999700000000000000 ♠ 0.7    7000149000000000000 ♠ 1.49    7001521000000000000 ♠ 52.1 %   1 January 2018       Central African Republic   35,000 CFA francs per month , 218.75 CFA francs per hour .   7002782000000000000 ♠ 782    7003139200000000000 ♠ 1,392    40   6999380000000000000 ♠ 0.38    6999670000000000000 ♠ 0.67    7002199300000000000 ♠ 199.3 %   2011       Chad   59,995 CFA francs ( $110 ) per month , 355 CFA francs ( $0.6 ) per hour .   7003123700000000000 ♠ 1,237    7003348400000000000 ♠ 3,484    39   6999610000000000000 ♠ 0.61    7000172000000000000 ♠ 1.72    7002175000000000000 ♠ 175 %   18 October 2011       Chile   276,000 Chilean pesos ( $416 ) per month for workers aged 18 -- 65 ; or 206,041 pesos ( $276 ) per month for workers younger than 18 and older than 65 ; and 178,037 pesos ( $268 ) per month for ' non remunerative ' purposes .   7003510500000000000 ♠ 5,105    7003727800000000000 ♠ 7,278    45   7000218000000000000 ♠ 2.18    7000311000000000000 ♠ 3.11    7001314000000000000 ♠ 31.4 %   1 January 2018       China   The minimum wage in China is set locally ; ranges from RMB1 , 000 ( $146 ) per month , or RMB9. 50 ( $1.39 ) per hour in Guangxi ; to RMB2 , 190 ( $321 ) per month , or RMB19. 00 ( $2.78 ) per hour in Shanghai .   7003177500000000000 ♠ 1,775    7003311700000000000 ♠ 3,117    40   6999850000000000000 ♠ 0.85    7000150000000000000 ♠ 1.5    7001201000000000000 ♠ 20.1 %   12 November 2016       Colombia   781,242 Colombian pesos ( $277 ) per month   7003317700000000000 ♠ 3,177    7003683500000000000 ♠ 6,835    48   7000127000000000000 ♠ 1.27    7000274000000000000 ♠ 2.74    7001483000000000000 ♠ 48.3 %   24 January 2018       Comoros   55,000 Comorian francs ( $129 ) per month .   7003151200000000000 ♠ 1,512    7003303700000000000 ♠ 3,037    40   6999730000000000000 ♠ 0.73    7000146000000000000 ♠ 1.46    7002199500000000000 ♠ 199.5 %   2017       Democratic Republic of the Congo   1,680 Congolese francs ( $1.83 ) per day .   7002298000000000000 ♠ 298    7002741000000000000 ♠ 741    45   6999130000000000000 ♠ 0.13    6999320000000000000 ♠ 0.32    7001924000000000000 ♠ 92.4 %   1 January 2009       Republic of the Congo   90,000 CFA francs ( $170 ) per month in the formal sector .   7003185500000000000 ♠ 1,855    7003695800000000000 ♠ 6,958    40   6999890000000000000 ♠ 0.89    7000335000000000000 ♠ 3.35    7002121700000000000 ♠ 121.7 %   2017       Costa Rica   Varies for specified industries from ₡ 10,060.75 ( $17 ) per 8 - hour work day for all workers to ₡ 13,141.39 ( $23 ) per day for specialized workers . All other occupations not explicitly covered fall under the generic scale , which varies from ₡ 300,255.79 ( $528 ) per month for unskilled workers to ₡ 644,689.30 ( $1134 ) per month for licentiates .   7003460900000000000 ♠ 4,609    7003700800000000000 ♠ 7,008    48   7000185000000000000 ♠ 1.85    7000281000000000000 ♠ 2.81    7001422000000000000 ♠ 42.2 %   1 January 2018       Côte d'Ivoire   Varies by occupation , with the lowest set to 36,607 CFA franc ( $72 ) per month for the industrial sector ; a slightly higher minimum wage rate is applied for construction workers .   7002755000000000000 ♠ 755    7003186800000000000 ♠ 1,868    40   6999360000000000000 ♠ 0.36    6999900000000000000 ♠ 0.9    7001506000000000000 ♠ 50.6 %         Croatia   3439.80 Croatian kuna ( $544 ) per month .   7003623500000000000 ♠ 6,235    7004103190000000000 ♠ 10,319    40   7000300000000000000 ♠ 3    7000496000000000000 ♠ 4.96    7001441000000000000 ♠ 44.1 %   1 January 2018     Cuba   225 Cuban pesos ( $9 ) per month . ( Note that the exchange rate data and the International dollars conversion data for this row is for 2012 , as more current data was not available at the time of data entry ) Each citizen is however also given free food to supplement the salary .   7002147000000000000 ♠ 147   181   40   6998500000000000000 ♠ 0.05   6998800000000000000 ♠ 0.08   6999400000000000000 ♠ 0.4 %   1 May 2005     Cyprus   None ; € 870 ( $1006 ) per month for shop assistants , nurses ' assistants , clerks , hairdressers , and nursery assistants ; it rises to € 924 ( $1069 ) after six months ' employment . For asylum seekers working as unskilled workers in the agricultural sector , the minimum monthly wage was 425 euros ( $570 ) with accommodation and food provided . For skilled workers in the agricultural sector , the minimum salary was 767 euros ( $1040 ) without accommodation and food .       48         2017       Czech Republic   12,200.00 Czech koruna ( $568 ) per month , or 73.20 koruna ( $3.4 ) per hour .   7003651200000000000 ♠ 6,512    7004106620000000000 ♠ 10,662    40   7000313000000000000 ♠ 3.13    7000513000000000000 ♠ 5.13    7001307000000000000 ♠ 30.7 %   1 January 2018     Denmark   None ; instead , negotiated between unions and employer associations ; the average minimum wage for all private and public sector collective bargaining agreements was approximately DKK 110 ( nominally $16 ) per hour , exclusive of pension benefits .       37.5         2017     Djibouti   None ; canceled by the 2006 Labor Code for occupational categories , establishing that wages be set after common agreement between employers and employees . For public sector workers , minimum wage was 35,000 DFJ ( $198 ) per month .       48         2017       Dominica   EC $ 4.00 ( $1.50 ) per hour .   7003308100000000000 ♠ 3,081    7003422300000000000 ♠ 4,223    40   7000148000000000000 ♠ 1.48    7000202999999999999 ♠ 2.03    7001386000000000000 ♠ 38.6 %   1 June 2008       Dominican Republic   8,310 Dominican pesos ( $166 ) per month in the FTZs and between 9,412 pesos ( $188 ) and 15,448 pesos ( $309 ) outside the FTZs , depending upon the size of the company ; 5,884 pesos ( $117 ) per month for the public sector ; 320 pesos ( $6 ) a day for farm workers who are covered by minimum wage regulations based on a 10 - hour day , with the exception of sugarcane workers who received 146 pesos based on an eight - hour workday .   7002878000000000000 ♠ 878    7003187200000000000 ♠ 1,872    44   6999380000000000000 ♠ 0.38    6999820009999900000 ♠ 0.82    7001123000000000000 ♠ 12.3 %   2017       Ecuador   US $ 451 per month ( for a 12 month average , including 13th and 14th salaries ) . The minimum wage has been set by the government at $386 per month for the year 2018 , but a worker also receives a 13th and a 14th salary .   7003541200000000000 ♠ 5,412    7003887200000000000 ♠ 8,872    40   7000260000000000000 ♠ 2.6    7000426999999999999 ♠ 4.27    7001789000000000000 ♠ 78.9 %   1 January 2018     Egypt   None ; for the public sector the minimum wage is LE 1,200 ( $68 ) per month .       48         2017       El Salvador   The minimum wage was set by the government at $304.17 monthly in 2018 .   7003365000000000000 ♠ 3,650    7003701900000000000 ♠ 7,019    44   7000160000000000000 ♠ 1.6    7000307000000000000 ♠ 3.07    7001815000000000000 ♠ 81.5 %   1 January 2018       Equatorial Guinea   129,035 CFA franc ( $224 ) .   7003266000000000000 ♠ 2,660    7003447900000000000 ♠ 4,479    48   7000107000000000000 ♠ 1.07    7000179000000000000 ♠ 1.79    7001172000000000000 ♠ 17.2 %   2017     Eritrea   None ; 360 Eritrean nakfa ( $23.3 ) per month in the public sector .       44.5         2017       Estonia   € 500 ( $581 ) per month , or € 2.97 ( $3 ) per hour .   7003651900000000000 ♠ 6,519    7003947900000000000 ♠ 9,479    40   7000313000000000000 ♠ 3.13    7000455990000099999 ♠ 4.56    7001319000000000000 ♠ 31.9 %   1 January 2018     Ethiopia   None ; some government institutions and public enterprises set their own minimum wages : public sector employees , the largest group of wage earners , earned a monthly minimum wage of 420 Ethiopian birr ( $21 ) ; employees in the banking and insurance sector had a minimum monthly wage of 336 birr ( $18 ) .       48         2017     Federated States of Micronesia   None ; US $ 2.65 per hour for employment with the national government ; all states have a minimum hourly wage for government workers : $2.00 in Pohnpei , $1.25 in Chuuk , $1.42 in Kosrae , and $1.60 in Yap ; $1.75 for private sector workers in Pohnpei .       40         2015       Fiji   FJ $ 2.68 per hour .   7003323200000000000 ♠ 3,232    7003522600000000000 ♠ 5,226    48   7000129000000000000 ♠ 1.29    7000209009999900000 ♠ 2.09    7001574000000000000 ♠ 57.4 %   30 September 2017     Finland   None ; however , the law requires all employers , including non-unionized ones , to pay minimum wages agreed to in collective bargaining agreements ; almost all workers are covered under such arrangements .       40         2017       France   € 1,498.47 ( $1734 ) per month , € 9.88 ( $11 ) per hour .   7004202720000000000 ♠ 20,272    7004206690000000000 ♠ 20,669    35   7001111400000000000 ♠ 11.14    7001113600000000000 ♠ 11.36    7001500000000000000 ♠ 50 %   1 January 2018       Gabon   150,000 CFA francs ( $255 ) per month ; government workers received an additional monthly allowance of 20,000 CFA francs ( $34 ) per child ; government workers also received transportation , housing , and family benefits ; the law does not mandate housing or family benefits for private sector workers .   7003309200000000000 ♠ 3,092    7003486500000000000 ♠ 4,865    40   7000149000000000000 ♠ 1.49    7000234000000000000 ♠ 2.34    7001269000000000000 ♠ 26.9 %   1 February 2010       The Gambia   50 dalasi ( $1.25 ) per day .   7002317000000000000 ♠ 317    7002958000000000000 ♠ 958    48   6999130000000000000 ♠ 0.13    6999380000000000000 ♠ 0.38    7001571000000000000 ♠ 57.1 %   2017       Georgia   20 Georgian lari ( $8 ) per month for private sector workers which has remained unchanged since the early 1990s ; 115 lari ( $48 ) per month for public employees .   7001960000000000000 ♠ 96    7002282000000000000 ♠ 282    40   6998500000000000000 ♠ 0.05    6999140000000000000 ♠ 0.14    7000280000000099999 ♠ 2.8 %   2017       Germany   € 8.84 ( $10 ) per hour . A higher minimum wage is often set by collective bargaining agreements and enforceable by law .   7004209890000000000 ♠ 20,989    7004224300000000000 ♠ 22,430    40.5   7000997000000000000 ♠ 9.97    7001106500000000000 ♠ 10.65    7001459000000000000 ♠ 45.9 %   1 January 2017       Ghana   9.68 Ghanaian cedis ( $1.7 ) per day .   7002579000000000000 ♠ 579    7003176000000000000 ♠ 1,760    40   6999280000000000000 ♠ 0.28    6999850000000000000 ♠ 0.85    7001410000000000000 ♠ 41 %   1 January 2018       Greece   € 683.76 ( $762 ) per month in 12 payments , € 586 ( $653 ) per month in 14 payments , or € 4.23 ( $4.8 ) per hour .   7003925000000000000 ♠ 9,250    7004120660000000000 ♠ 12,066    40   7000445000000000000 ♠ 4.45    7000580000000000000 ♠ 5.8    7001451000000000000 ♠ 45.1 %   1 January 2013     Grenada   Minimum wage schedules set pay by occupation ; for example , the minimum wage for domestic workers , for example , was EC $ 4.50 per hour , while that for a security guard was EC $8.00 per hour .       40         2017       Guatemala   81.87 Guatemalan quetzales ( $10.9 ) per day for agricultural and nonagricultural work and 74.89 quetzales ( $10.0 ) per day for work in export - sector regime factories . Minimum wage earners also are due a mandatory monthly bonus of 250 quetzales ( $33 ) , and salaried workers receive two mandatory yearly bonuses ( the bono 14 and the Christmas bonus ) , each equivalent to one month 's salary .   7003412700000000000 ♠ 4,127    7003697400000000000 ♠ 6,974    48   7000165000000000000 ♠ 1.65    7000279000000000000 ♠ 2.79    7001878000000000000 ♠ 87.8 %   1 January 2016     Guernsey   £ 7.20 per hour ( $8.79 ) for those aged 18 + £ 6.50 per hour ( $8.49 ) for those aged 17 -- 18 .               1 January 2017     Guinea   The labor code allows the government to set a minimum hourly wage ; however , the government has not exercised this provision except for setting the minimum wage for domestic workers at 440,000 GNF ( $62 ) per month .       48         2017       Guinea - Bissau   19,030 CFA francs ( $30 ) per month plus a bag of rice   7002392000000000000 ♠ 392    7002935000000000000 ♠ 935    45   6999170000000000000 ♠ 0.17    6999400000000000000 ♠ 0.4    7001581000000000000 ♠ 58.1 %   2017       Guyana   G $ 35,000 ( $168 USD ) per month , or G $1,616 ( $7 USD ) per day , or G $202 ( $1 USD ) per hour .   7003203500000000000 ♠ 2,035    7003320400000000000 ♠ 3,204    40   6999980000000000000 ♠ 0.98    7000154000000000000 ♠ 1.54    7001409000000000000 ♠ 40.9 %   1 July 2013       Haiti   290 Haitian gourdes per day for servants for an eight - hour workday ; 400 Haitian gourdes per day for segment A industries ; 350 Haitian gourdes per day for segment B industries ; 290 Haitian gourdes per day for segment C industries ; 350 Haitian gourdes per day for companies with piece work that re-export ; and 350 Haitian gourdes per day for companies with piece work that exports .   7003142900000000000 ♠ 1,429    7003319400000000000 ♠ 3,194    48   6999569999999900000 ♠ 0.57    7000128000000000000 ♠ 1.28    7002179100000000000 ♠ 179.1 %   1 August 2017       Honduras   Minimum wages ranged from a low of 6,096.71 Honduran lempiras per month , 25.41 lempiras per hour to 10,698.30 lempiras per month , 44.58 lempiras per hour .   7003247500000000000 ♠ 2,475    7003494800000000000 ♠ 4,948    44   7000108000000000000 ♠ 1.08    7000216000000000000 ♠ 2.16    7002104500000000000 ♠ 104.5 %   1 January 2018       Hong Kong   HK $34.50 ( US $4.5 ) per hour is the minimum wage in Hong Kong .   7003924500000000000 ♠ 9,245    7004111260000000000 ♠ 11,126    40   7000444000000000000 ♠ 4.44    7000535000000099999 ♠ 5.35    7001190000000000000 ♠ 19 %   1 May 2017       Hungary   138,000 HUF ( $530 ) per month for unskilled labor , 180,500 HUF ( $695 ) per month for skilled labor .   7003603400000000000 ♠ 6,034    7004110850000000000 ♠ 11,085    40   7000290000000000000 ♠ 2.9    7000533000000000000 ♠ 5.33    7001415000000000000 ♠ 41.5 %   1 January 2018     Iceland   None ; minimum wages are negotiated in various collectively bargained agreements and applied automatically to all employees in those occupations , regardless of union membership ; while the agreements can be either industry - or sector - wide , and in some cases firm - specific , the minimum wage levels are occupation - specific .       40         2017       India   Varied from 160 rupees ( $2.40 ) per day in Bihar to 750 rupees ( $11.31 ) per day in Kerala . State governments set a separate minimum wage for agricultural workers . The minimum wages are set according to Minimum Wages Act , 1948 .   7002767000000000000 ♠ 767    7003249800000000000 ♠ 2,498    48   6999310000000000000 ♠ 0.31    7000100000000000000 ♠ 1    7001380000000000000 ♠ 38 %   2015       Indonesia   Established by provincial and district authorities , which vary by province , district , and sector ; the lowest minimum wage is in the province of Yogyakarta at rupiah 1,454,154 ( $98 ) per month and the highest is in Jakarta at rupiah 3,648,035 ( $248 ) per month .     7003130400000000000 ♠ 1,304    7003350000000000000 ♠ 3,500    40   6999630000000000000 ♠ 0.63    7000168000000000000 ♠ 1.68    7001301000000000000 ♠ 30.1 %   1 January 2018       Iran   1,111,269 Iranian tomans ( equal to 11,112,690 rials , and to $266 ) per month effective on the 2017 Persian New year ; set annually for each industrial sector and region . The standard workweek is 44 hours , and any work over 48 entitles the worker to overtime .   7003401300000000000 ♠ 4,013    7004110830000000000 ♠ 11,083    44   7000175000000000000 ♠ 1.75    7000484000000000000 ♠ 4.84    7001556000000000000 ♠ 55.6 %   21 March 2018       Iraq   250,000 Iraqi dinars ( $214 ) per month .   7003253400000000000 ♠ 2,534    7003522200000000000 ♠ 5,222    40   7000122000000000000 ♠ 1.22    7000250990000099999 ♠ 2.51    7001301000000000000 ♠ 30.1 %   2014       Ireland   € 9.55 ( $11 ) per hour , with sub-minimal rates for those under 18 ( 70 % of minimum ) , and for those over 18 in first year of employment ( 80 % ) , in second year of employment ( 90 % ) , and in certain types of training ( 75 % to 90 % ) .   7004218350000000000 ♠ 21,835    7004193670000000000 ♠ 19,367    39   7001107700000000000 ♠ 10.77    7000955000000000000 ♠ 9.55    7001271000000000000 ♠ 27.1 %   1 January 2018     Isle of Man   £ 7.50 per hour ( $9.15 ) for those aged 21 + £ 6.85 per hour ( $8.36 ) for those aged 18 -- 20 .               1 April 2017     Israel   ₪ 5,300 Israeli new shekel ( $1,472 ) per month ; or ₪ 29.12 Israeli new shekel ( $8.09 ) per hour .   7004176670000000000 ♠ 17,667    7004143890000000000 ♠ 14,389    42   7000809000000000000 ♠ 8.09    7000659000000000000 ♠ 6.59    7001386000000000000 ♠ 38.6 %   1 April 2018     Italy   None ; instead set through collective bargaining agreements on a sector - by - sector basis .       40         2017       Jamaica   J $ 6,200 ( $49 USD ) per week .   7003252000000000000 ♠ 2,520    7003404300000000000 ♠ 4,043    40   7000121000000000000 ♠ 1.21    7000194000000000000 ♠ 1.94    7001458000000000000 ♠ 45.8 %   1 March 2016       Japan   Ranges from 737 -- 958 Japanese yen ( $6.6 -- 8.6 ) per hour ; set on a prefectural and industry basis .   7004136660000000000 ♠ 13,666    7004143070000000000 ♠ 14,307    40   7000657000000000000 ♠ 6.57    7000688000000000000 ♠ 6.88    7001338009999900000 ♠ 33.8 %   14 October 2017       Jordan   220 Jordanian dinars ( $310 ) per month .   7003371800000000000 ♠ 3,718    7003800000000000000 ♠ 8,000    48   7000149000000000000 ♠ 1.49    7000321000000000000 ♠ 3.21    7001884000000000000 ♠ 88.4 %   12 February 2017       Kazakhstan   28,284 Kazakhstani tenge ( $78 ) per month .   7003104100000000000 ♠ 1,041    7003298700000000000 ♠ 2,987    40   6999500000000000000 ♠ 0.5    7000144000000000000 ♠ 1.44    7001118000000000000 ♠ 11.8 %   1 January 2018       Kenya   Set by the government by location , age and skill level ; the lowest agricultural minimum wage for unskilled employees was 6,415.55 Kenyan shillings per month , 269.40 per day , excluding housing allowance .   7002745000000000000 ♠ 745    7003165600000000000 ♠ 1,656    52   6999280000000000000 ♠ 0.28    6999610000000000000 ♠ 0.61    7001525000000000000 ♠ 52.5 %   1 May 2017       Kiribati   AUD $1.30 per hour for local businesses and companies , while the minimum wage for overseas - funded projects is AUD $3.00 an hour   7003208000000000000 ♠ 2,080    7003238900000000000 ♠ 2,389    40   7000100000000000000 ♠ 1    7000115000000099999 ♠ 1.15    7002113300000000000 ♠ 113.3 %   1 November 2016     North Korea   Averaging 5,000 -- 10,000 North Korean won ( $5.5 -- $11.1 ) per day .               2014       South Korea   7,530 won ( $6 ) per hour , although the effective comparable minimum wage is higher at 9,200 won ( $8 ) per hour due to a mandatory weekly paid holiday for people that work more than 15 hours per week , a law that is absent in other developed countries . The law applies equally to foreign , temporary or young workers covering all industries and regions nationwide and is scheduled to increase to 8,350 won ( $7 ) per hour , or 10,020 won ( $9 ) per hour if weekly paid holidays are included . As of 1 January 2019 .   7004138550000000000 ♠ 13,855    7004156040000000000 ♠ 15,604    40   7000666000000000000 ♠ 6.66    7000750000000000000 ♠ 7.5    7001427000000000000 ♠ 42.7 %   1 January 2018       Kosovo   € 170 ( $224 ) per month for workers between 35 and 65 years of age ; € 130 ( $150 ) for workers under 35 years of age .   7003230000000000000 ♠ 2,300    7003622000000000000 ♠ 6,220    40   7000111000000000000 ♠ 1.11    7000299000000000000 ♠ 2.99    7001618000000000000 ♠ 61.8 %   17 August 2011       Kuwait   60 Kuwaiti dinars ( $216 ) per month .   7003240000000000000 ♠ 2,400    7003360000000000000 ♠ 3,600    48   6999960000000000000 ♠ 0.96    7000144000000000000 ♠ 1.44    7000480000000000000 ♠ 4.8 %   14 April 2010       Kyrgyzstan   1140 Kyrgyzstani som ( $14 ) per month , nominally ; used for administrative purpose .   7002199000000000000 ♠ 199    7002661000000000000 ♠ 661    40   6999100000000000000 ♠ 0.1    6999320000000000000 ♠ 0.32    7001186000000000000 ♠ 18.6 %   1 January 2017       Laos   800,000 Lao kip ( $100 ) per month ; additionally , employers were required to pay a 30,000 - kip ( $3.74 ) meal allowance per day . The minimum wage for civil servants and state enterprise employees was last increased to 1,400,000 kip ( $170 ) per month .   7003201200000000000 ♠ 2,012    7003518000000000000 ♠ 5,180    48   6999810000000000000 ♠ 0.81    7000208000000000000 ♠ 2.08    7001791009999900000 ♠ 79.1 %   2014       Latvia   € 430 ( $513 ) per month .   7003581700000000000 ♠ 5,817    7003905300000000000 ♠ 9,053    40   7000280000000099999 ♠ 2.8    7000435000000099999 ♠ 4.35    7001354000000000000 ♠ 35.4 %   1 January 2018       Lebanon   675,000 pounds ( $446 ) per month , or 30,000 pounds ( $19 ) per day .   7003537300000000000 ♠ 5,373    7003894700000000000 ♠ 8,947    48   7000215000000000000 ♠ 2.15    7000358000000000000 ♠ 3.58    7001625000000000000 ♠ 62.5 %   1 February 2012       Lesotho   1,178 maloti ( $102 ) per month to 1,285 maloti ( $112 ) per month ; varied by sector .   7003106000000000000 ♠ 1,060    7003302700000000000 ♠ 3,027    45   6999450000000000000 ♠ 0.45    7000129000000000000 ♠ 1.29    7002102600000000000 ♠ 102.6 %   2014       Liberia   15 Liberian dollars ( $0.31 ) per hour not exceeding 8 hours per day , excluding benefits , for unskilled laborers ; 5,600 LD ( $114 ) per month for civil servants .   7002332000000000000 ♠ 332    7002474000000000000 ♠ 474    48   6999130000000000000 ♠ 0.13    6999190000000000000 ♠ 0.19    7001583000000000000 ♠ 58.3 %   2014       Libya   450 Libyan dinars ( $325 ) per month ; the government heavily subsidizes rent and utilities .   7003388500000000000 ♠ 3,885    7003777000000000000 ♠ 7,770    40   7000187000000000000 ♠ 1.87    7000374000000000000 ♠ 3.74    7002133900000000000 ♠ 133.9 %   1 March 2011     Liechtenstein   None       48         2014       Lithuania   € 400 ( $462 ) per month , € 2.45 ( $2.8 ) per hour .   7003574500000000000 ♠ 5,745    7003999200000000000 ♠ 9,992    40   7000275990000099999 ♠ 2.76   </t>
  </si>
  <si>
    <t xml:space="preserve">War Eagle - wikipedia  War Eagle  Jump to : navigation , search For other uses , see War Eagle ( disambiguation ) .    War Eagle     Nova , War Eagle VII     University   Auburn University     Conference   SEC     Description   Golden eagle     First seen   1930     Related mascot ( s )   Aubie     War Eagle is a battle cry , yell , or motto of Auburn University and supporters of Auburn University sports teams , especially the Auburn Tigers football team . War Eagle is a common term of endearment , greeting , or salutation among the Auburn Family ( e.g. , students , alumni , fans ) . It is also the title of the university 's fight song and the name of the university 's golden eagle .   The widespread use of `` War Eagle '' by Auburn devotees has often led to outside confusion as to Auburn 's official mascot . However , the official mascot of Auburn University is Aubie the Tiger , and all Auburn athletic teams , men 's and women 's , are nicknamed the Tigers . Auburn has never referred to any of its athletic teams as the `` Eagles '' or `` War Eagles . '' The university 's official response to the confusion between the Tigers mascot and the War Eagle battle cry is , `` We are the Tigers who say ' War Eagle . ' ''  `` Nova '' , officially named `` War Eagle VII '' , just after flying untethered above the stadium before Auburn 's game versus South Carolina in 2010 .  Since 1930 , and continuously since 1960 , Auburn has kept an actual live golden eagle on campus . Since 2001 Auburn has presented an untethered eagle to fly over Jordan - Hare stadium prior to the start of football games . War Eagle VII , a golden eagle named Nova , along with Spirit , a bald eagle , perform the War Eagle Flight before all Auburn home games at Jordan -- Hare Stadium .     Contents  ( hide )   1 History of the `` War Eagle '' phrase   2 War Eagle birds   2.1 War Eagle I ( 1892 )   2.2 War Eagle II ( 1930 )   2.3 War Eagle III ( 1960 - 1964 )   2.4 War Eagle IV ( 1964 - 1980 )   2.5 War Eagle V ( 1981 - 1986 )   2.6 War Eagle VI ( 1986 - 2006 )   2.7 War Eagle VII ( 2006 -- present )     3 `` War Eagle '' as Auburn 's fight song   4 References   5 External links      History of the `` War Eagle '' phrase ( edit )   As early as 1916 , the Columbus , Georgia Daily Enquirer mentioned `` War Eagle '' as an Auburn battle cry . In the 19th and early 20th centuries , `` War Eagle '' appeared from time to time in the United States as an evocative nickname for people and things such as Native Americans ( including professional wrestlers ) ; race horses ; a U.S. civil war mascot ; and , in one case , a coal mine interest .   There are several stories about the origin of the battle cry . One of these is a mythical story published in 1959 in the Auburn Plainsman , conceived by its then editorial page editor , Jim Phillips . This myth is detailed below under War Eagle I .   A 1914 football game against the Carlisle Indians provides another myth . According to this story , there was a lineman / tackle named Bald Eagle on the Indians ' team . Attempting to exhaust that player , Auburn 's team began running multiple plays directly at his position . Without even huddling , the Auburn quarterback Lucy Hairston would yell `` Bald Eagle , '' letting the rest of the team know that the play would be run at the tackle . Spectators , however , thought the quarterback was saying `` War Eagle , '' and began to chant that .   Another legend claims that `` War Eagle '' was the name given to the large golden eagle by the Plains Indians because the eagle furnished feathers for use in their war bonnets .   According to a 1998 article in the Auburn Plainsman , the most likely origin of the `` War Eagle '' cry grew from a 1913 pep rally at Langdon Hall , where students had gathered the day before the annual football game against the University of Georgia . Cheerleader Gus Graydon told the crowd , `` If we are going to win this game , we 'll have to get out there and fight , because this means war . '' During the frenzy , another student , E.T. Enslen , dressed in his military uniform , noticed something had dropped from his hat . Bending down , he saw it was the metal emblem of an eagle that had come loose during his wild cheering . Someone asked him what he had found , and Enslen loudly replied , `` It 's a War Eagle ! '' The new cry was used by students at the game the following day .   War Eagle birds ( edit )   Auburn has had seven numbered `` War Eagle '' birds , but the first of these only appeared in a legend about the history of the phrase `` War Eagle '' .   War Eagle I ( 1892 ) ( edit )   The mythical War Eagle I has the most colorful story of all of the `` War Eagle '' eagles . War Eagle I 's story begins in the Civil War . According to the legend , a soldier from Alabama was the sole Confederate survivor of a bloody battle , Battle of the Wilderness . Stumbling across the battlefield , he came across a wounded young eagle . The bird was named Anvre , and was cared for and nursed back to health by the soldier . Several years later the soldier , a former Auburn student , returned to college as a faculty member , bringing the bird with him . For years both were a familiar sight on campus and at events . On the day of Auburn 's first football game in 1892 against the University of Georgia , the aged eagle broke away from his master during the game and began to circle the field , exciting the fans . But at the end of the game , with Auburn victorious , the eagle fell to the ground and died . In 2010 , a children 's book , `` The War Eagle Story '' by Francesca Adler - Baeder and illustrated by Tiffany Everett was published that favors this version of the story .   This legend was originally published in the March 27 , 1959 , edition of the Auburn Plainsman and was conceived by then editorial page editor Jim Phillips . Though apocryphal , this tale is most often told as the beginning of the association of `` War Eagle '' with Auburn . Phillips has pressed several recent presidents of Auburn to research the true origin of the battle cry `` before my fictitious story gets carved in stone . ''   War Eagle II ( 1930 ) ( edit )   Auburn 's first real , live - eagle mascot , War Eagle II , was mentioned in the New York Times , which noted then that `` War Eagle '' was already established as Auburn 's battle cry . In November 1930 a golden eagle swooped down on a flock of turkeys in Bee Hive , Alabama , southwest of Auburn , Alabama , and became entangled in a mass of pea vines . Fourteen individuals and businesses scraped together $10 and purchased the eagle from the farmer who owned the pea patch . Cheerleaders DeWit Stier and Harry `` Happy '' Davis ( who later became executive secretary of the Alumni Association ) helped care for the new bird . It was put in a strong wire cage and taken to the Auburn football game against the University of South Carolina in Columbus , Georgia on Thanksgiving Day .   Auburn , having not won a Southern Conference game in four seasons , was anticipated to lose . However , Auburn took a 25 - 7 victory over the Gamecocks . The student body concluded that the luck from the eagle 's presence -- which had been absent from their prior losses -- was responsible for the victory that day . The eagle was kept in a cage behind Alumni Hall ( renamed Ingram Hall ) , and cared for by members of the `` A '' Club .   The bird 's ultimate fate is unknown . Some say it died or was carried away by students of a rival school . Others say it was given to a zoo due to the high cost of upkeep ; there is even a rumor that it was stuffed and put in the John Bell Lovelace Athletic Museum .   Originally known simply as `` War Eagle '' this bird was retroactively named `` War Eagle II '' with the arrival of War Eagle III .   War Eagle III ( 1960 - 1964 ) ( edit )   Auburn 's third eagle arrived in Auburn in November 1960 after being captured by a cotton farmer in Curry Station , Talladega County , Alabama who found the bird caught between two rows of cotton . The eagle was sent to Auburn by the Talladega County Agent along with a load of turkeys . It was first taken to the Alpha Tau Omega fraternity house where it refused a cold chicken leg but made fast work of a live chicken . After a short stay in one of the Wildlife Department 's animal pens , the eagle was moved into a cage built by the Auburn 's Delta Chapter of Alpha Phi Omega fraternity . This would begin a 40 - year period where Alpha Phi Omega was the bird 's primary caretaker .   Jon Bowden , a fraternity brother who had previously worked with hawks in Colorado and Missouri , volunteered to serve as the bird 's trainer . Formally named War Eagle III , Jon nicknamed the bird `` Tiger . '' In April 1961 , Jon and Tiger made their first appearance as trainer and mascot on the baseball diamond . Auburn was playing the Georgia Tech Yellow Jackets and was trailing 10 - 13 in the eighth inning , but rallied in the ninth and scored 4 runs to win the game .   The students were receptive to the new mascot and expressed a concern for a larger cage to house War Eagle III . In 1964 , on the morning of the football game against Tennessee , War Eagle III was seen by his trainer , A. Elwyn Hamer Jr. , sitting on the ground next to his perch . He had sprung the clip on his leash and escaped . After several days of searching , the bird was found shot to death in a wooded area near Birmingham , Alabama , where the game was being played .   War Eagle IV ( 1964 - 1980 ) ( edit )   The Birmingham Downtown Action Committee found another golden eagle in the Jackson , Mississippi zoo and presented it to the Auburn student body in October 1964 . This became War Eagle IV , also called `` Tiger . '' She lived in a large aviary -- until torn down in 2003 the second largest single - bird enclosure in the country -- that had been funded and constructed by the Alpha Phi Omega fraternity and named for A. Elwyn Hamer Jr. , War Eagle III 's first trainer who had been killed in a plane crash in December 1965 .   Throughout the years , the fraternity provided care and training for the mascot . On the morning of the 1980 Iron Bowl against Alabama in Birmingham , she was found dead by her trainers ( Tim Thomason , Charlie Jacks , Bob Ingram , and her former trainer Bill Watts ) , having died of natural causes at age 22 , after having served as Auburn 's mascot for 16 years . A marker in memory of War Eagle IV is located on the Auburn University campus near the former site of the aviary .   War Eagle V ( 1981 - 1986 ) ( edit )   Through the efforts of War Eagle IV 's trainers and with the financial support of the Birmingham Downtown Action , an immature golden eagle was located soon after the death of War Eagle IV and brought to Auburn from Wyoming . The bird arrived in Auburn on March 3 , 1981 and was taken to the Veterinary School where she was kept for a short period in order to be examined for any signs of shock from travel . She was then transferred to a small cage until the annual `` A Day '' football game when she was presented to the University by the Birmingham Downtown Action Committee on May 9 , 1981 .   The bird was under the stewardship of the U.S. Government under the provisions of the Endangered Species Act and was on loan to the Auburn University Veterinary School . She was officially named War Eagle V , and nicknamed `` Tiger '' as was tradition . She was approximately two years old at her arrival and was very active on campus . She attended many university functions , Alumni meetings , schools , hospitals , the 1985 Boy Scouts of America National Jamboree , and the 1986 National Order of the Arrow Conference .   On September 4 , 1986 , War Eagle V died of a ruptured spleen at the age of 8 and a half years old . War Eagle V was taken to Auburn 's veterinary school the night before by her trainer , Jim McAlarney , who noticed that she was not behaving normally . McAlarney spent the night at the veterinary school while veterinarians made a futile effort to save the bird 's life .   War Eagle VI ( 1986 - 2006 ) ( edit )   The eagle trainers began working soon after the unexpected death of War Eagle V to find a new golden eagle . The Auburn University Alumni Association and many Auburn alumni contributed to the effort and a new eagle was located at the Tennessee Valley Authority Raptor Rehabilitation Facility in Land Between The Lakes , Kentucky . Trainers made the trip to the facility to receive Auburn 's new mascot . The bird originally came from St. Louis , Missouri , where she was seized by Federal agents as part of an illegal breeding operation and brought to Kentucky by wildlife biologist , Robert D. Smith , who managed the Bald Eagle and Osprey programs at Land Between the Lakes and just happened to have a son at Auburn . Like War Eagle V , she was under the stewardship of the U.S. Government under the provisions of the Endangered Species Act and was on loan to the Auburn University College of Veterinary Medicine . She arrived in Auburn on October 8 , 1986 at an age of six years . Like the two eagles before her , she was cared for by the members of Alpha Phi Omega and nicknamed Tiger .   During the 2000 football season , War Eagle VI began a tradition of performing a free flight before a home football game . War Eagle VI , and later other eagles kept by in the Southeastern Raptor Rehabilitation Center in Auburn , flew around the stadium before landing on the field as the crowd chanted `` War Eagle '' .   In 2000 , day - to - day care of War Eagle VI was turned over to the Southeastern Raptor Rehabilitation Center , ending the 40 - year program of care by Alpha Phi Omega . Shortly thereafter , the bird was moved from the Hamer Aviary to the Southeastern Raptor Rehabilitation center . The Hamer Aviary was torn down in the summer of 2003 . On February 8 , 2002 , War Eagle VI flew in Rice - Eccles Stadium as part of the opening ceremonies of the 2002 Olympic Winter Games in Salt Lake City . War Eagle VI was featured the next day on NBC 's Today Show .   In the summer of 2003 , allegations of improper care of the birds by the Southeastern Raptor Rehabilitation Center were leveled by the university administration and by the United States Fish and Wildlife Service . Many of the birds were suffering from diseases and malnourishment . After all investigations were concluded , War Eagle VI was allowed to fly again prior to Auburn home games .   War Eagle VI 's presence continued to be used throughout her life as a wildlife educational tool .   On November 11 , 2006 , War Eagle VI was officially retired in a pregame ceremony before the Georgia game . During halftime of the same game , her successor , Nova , was named War Eagle VII . In her final game as War Eagle VI , Auburn defeated Arkansas State 27 - 0 , finalizing the team 's record under War Eagle VI at 174 - 69 - 4 . She saw two undefeated Auburn seasons , four SEC titles , and six SEC Western Division crowns .   Tiger continued to make non-flying appearances at Auburn University events and for wildlife education to various organizations until her death on June 18 , 2014 , at age 34 shortly following cataract surgery .   War Eagle VII ( 2006 -- present ) ( edit )   Nova , Auburn 's fourteen - year - old golden eagle , was officially named War Eagle VII on November 11 , 2006 . He was hatched in the Montgomery Zoo in 1999 and moved to Auburn at six months of age . Prior to being named War Eagle VII , Nova had already participated in pre-game flights and conservation exhibits throughout the southeast .   As of 2017 - Nova was suspended from flight activities due to a diagnosis of chronic heart disease . Auburn University would instead use Spirit , a bald eagle , in place of Nova for the 2017 - 18 Football Season   War Eagle was named the # 4 mascot in a poll by Foxsports .   War Eagle VII is currently 18 years old .   `` War Eagle '' as Auburn 's fight song ( edit )   `` War Eagle '' is the name of the university 's official fight song . It is played before and after games , as well as immediately after Auburn scores by the Auburn University Marching Band . ( Auburn plays `` Glory , Glory , to Ole Auburn '' after an extra point . ) In addition , the Samford Carillon , located in the clock tower of Samford Hall , rings the fight song every day at noon .   `` War Eagle '' was written in 1954 and 1955 by New York songwriters Robert Allen and Al Stillman . The `` Auburn Victory March '' had been the fight song for decades . The Jordan Vocational High School Band of Columbus , Georgia , under the direction of Bob Barr first performed the song during Auburn 's 1955 season - opener versus Chattanooga .   Auburn University currently does not hold ownership of the copyright for `` War Eagle '' . The university did not renew it and the copyright is currently held by the estate of Robert Allen . Therefore , companies selling products with `` War Eagle '' being played must acquire licensing from the estate as well as Auburn University . There is a movement within the university to regain the ownership of the song .       War Eagle First two lines and last two lines     Problems playing this file ? See media help .     References ( edit )    Jump up ^ `` Auburn Tigers Practice by Electric Lights For Game '' , Columbus Daily Enquirer , November 1 , 1916 .   Jump up ^ `` The Auburn Plainsman Online Burn The Bulldogs 1998 '' . Auburn.edu . Retrieved 2012 - 03 - 13 .   Jump up ^ `` Auburn 's Eleven Gets Eagle As Mascot to Go With Slogan '' . The New York Times . November 29 , 1930 .   Jump up ^ `` Auburn University Raptor Center Update '' .   Jump up ^ `` Auburn Defends Raptor Center Doctor , Treatment of Birds '' .   Jump up ^ `` Tiger , Auburn 's first eagle to fly free in Jordan - Hare Stadium , passes away '' .   Jump up ^ `` College Football 's Top 25 Mascots '' .   Jump up ^ `` War Eagle is Title of New API Song To Be Heard On Football Field Soon '' , Lee County Bulletin , September 8 , 1955 ; `` 15,000 To See Saturday Tilt '' , Lee County Bulletin , September 22 , 1955 . The song was introduced at the Auburn - Chattanooga game on September 24 , 1955 . Since classes at API did not begin until September 26 of that year , the API Marching Band was not present ; instead , the Jordan High School Band performed in their place .    External links ( edit )    Southeastern Raptor Center   Alpha Phi Omega , Delta Chapter - Caretakers of the War Eagle program from 1960 to 2000 .   Auburn University Marching Band              Auburn University     Located in : Auburn , Alabama     Academics     History of Auburn University   Publications : Southern Humanities Review         Athletics     Auburn Tigers   Football   Men 's basketball   Women 's basketball   Swimming and diving   Gymnastics       Rivalries : Iron Bowl   Deep South 's Oldest Rivalry   Tiger Bowl     Facilities : Jordan -- Hare Stadium   Samford Stadium - Hitchcock Field at Plainsman Park   Auburn Arena       Campus     Main : Auburn University Chapel   Jule Collins Smith Museum of Fine Art   Donald E. Davis Arboretum   Old Rotation   Samford Hall   Langdon Hall     Other : Auburn University at Montgomery   Auburn - Opelika Robert G. Pitts Airport   Rural Studio       Student life     Auburn University Marching Band   WEGL   The Auburn Plainsman   Committee of 19   Notable Auburn University people   Ask Foy       Traditions     Auburn University traditions   Aubie   Tiger Walk   Toomer 's Corner   War Eagle       Outreach     Alabama Cooperative Extension System         Founded : 1856                 Auburn Tigers football     Venues     Drill Field ( 1892 -- 1910 )   Drake Field ( 1911 -- 1939 )   Legion Field ( alternate , 1926 -- 1991 )   Jordan -- Hare Stadium ( 1939 -- present )       Bowls &amp; rivalries     Bowl games   Alabama : Iron Bowl ( James E. Foy , V - ODK Sportsmanship Trophy )   Arkansas   Clemson   Florida   Georgia : Deep South 's Oldest Rivalry   Georgia Tech   LSU   Tennessee   Tulane       Culture &amp; lore     History   Traditions   Aubie   `` War Eagle ''   Marching band   Toomer 's Corner   Punt Bama Punt   Bo Over the Top   Earthquake Game   Prayer at Jordan -- Hare   Kick Six ( Kick Bama Kick )   Porter Cup       People     Head coaches   Starting quarterbacks   Statistical leaders   NFL draftees       Seasons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2011   2012   2013   2014   2015   2016   2017       National championship seasons in bold               Fight songs of the Southeastern Conference       The Orange and Blue ( Florida )   Glory , Glory ( Georgia )   On , On , U of K , Kentucky Fight ( Kentucky )   Fight Tiger ( Missouri )   The Fighting Gamecocks Lead the Way ( South Carolina )   Down the Field ( Tennessee )   Dynamite ( Vanderbilt )   Yea Alabama ( Alabama )   Arkansas Fight ( Arkansas )   War Eagle ( Auburn )   Fight for LSU ( LSU )   Hail State ( Mississippi State )   Forward Rebels ( Ole Miss )   Aggie War Hymn ( Texas A&amp;M )                 Mascots of the Southeastern Conference     East Division     Albert and Alberta ( Florida )   Hairy Dawg / Uga ( Georgia )   Blue , Scratch and The Wildcat ( Kentucky )   Truman the Tiger ( Missouri )   Cocky ( South Carolina )   Smokey ( Tennessee )   Mr. C ( Vanderbilt )       West Division     Big Al ( Alabama )   Big Red / Tusk ( Arkansas )   Aubie / War Eagle ( Auburn )   Mike the Tiger ( LSU )   Rebel Black Bear ( Ole Miss )   Bully ( Mississippi State )   Reveille ( Texas A&amp;M )                 Live animal mascots in college sports     The American     Jonathan ( Connecticut )   Shasta ( Houston )   TOM ( Memphis )   Bill the Goat ( Navy )   Peruna ( SMU )   Stella ( Temple )       ACC     Osceola and Renegade ( Florida State )   Tuffy ( NC State )   Rameses ( North Carolina )       Big 12     Judge ( Baylor )   Boomer and Sooner ( Oklahoma )   Bullet ( Oklahoma State )   The Masked Rider ( Texas Tech University )   Bevo ( Texas )       Big East     Butler Blue ( Butler )   Jack the Bulldog ( Georgetown )       Conference USA     Tech ( Louisiana Tech )       Ivy League     Handsome Dan ( Yale )       Independent     Army Mules ( Army )       Mountain West     Aurora ( Air Force )   CAM the Ram ( Colorado State )       Pac - 12     Ralphie the Buffalo ( Colorado )   Traveler ( Southern California )   Dubs ( Washington )       SEC     Tusk ( Arkansas )   War Eagle ( Auburn )   Uga ( Georgia )   Blue ( Kentucky )   Mike the Tiger ( LSU )   Bully ( Mississippi State )   Sir Big Spur ( South Carolina )   Smokey ( Tennessee )   Reveille ( Texas A&amp;M )      Retrieved from `` https://en.wikipedia.org/w/index.php?title=War_Eagle&amp;oldid=807317329 '' Categories :   Auburn Tigers   Fictional birds of prey   Southeastern Conference fight songs   Southeastern Conference mascots   Alpha Phi Omega   Hidden categories :   All articles with unsourced statements   Articles with unsourced statements from May 2017   Articles with unsourced statements from July 2011   Articles with hAudio microformats           Talk                                           Contents                   About Wikipedia                                           Add links   This page was last edited on 27 October 2017 , at 06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</si>
  <si>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the eagle fly at auburn games</t>
  </si>
  <si>
    <t xml:space="preserve"> Since 1930 , and continuously since 1960 , Auburn has kept an actual live golden eagle on campus . Since 2001 Auburn has presented an untethered eagle to fly over Jordan - Hare stadium prior to the start of football games . War Eagle VII , a golden eagle named Nova , along with Spirit , a bald eagle , perform the War Eagle Flight before all Auburn home games at Jordan -- Hare Stadium . </t>
  </si>
  <si>
    <t xml:space="preserve">Harry Potter ( film series ) - wikipedia  Harry Potter ( film series )  Jump to : navigation , search    Harry Potter     Harry Potter logo as used in the last films     Directed by   Chris Columbus ( 1 -- 2 ) Alfonso Cuarón ( 3 ) Mike Newell ( 4 ) David Yates ( 5 -- 8 )     Produced by   David Heyman Chris Columbus ( 3 ) Mark Radcliffe ( 3 ) David Barron ( 5 -- 8 ) J.K. Rowling ( 7 -- 8 )     Screenplay by   Steve Kloves ( 1 -- 4 , 6 -- 8 ) Michael Goldenberg ( 5 )     Based on   Harry Potter by J.K. Rowling     Starring   Daniel Radcliffe Rupert Grint Emma Watson ( See below )     Music by   John Williams ( 1 -- 3 ) Patrick Doyle ( 4 ) Nicholas Hooper ( 5 -- 6 ) Alexandre Desplat ( 7 -- 8 )     Cinematography   John Seale ( 1 ) Roger Pratt ( 2 , 4 ) Michael Seresin ( 3 ) Sławomir Idziak ( 5 ) Bruno Delbonnel ( 6 ) Eduardo Serra ( 7 -- 8 )     Edited by   Richard Francis - Bruce ( 1 ) Peter Honess ( 2 ) Steven Weisberg ( 3 ) Mick Audsley ( 4 ) Mark Day ( 5 -- 8 )     Production company   Heyday Films 1492 Pictures ( 1 -- 3 )     Distributed by   Warner Bros. Pictures     Release date   2001 -- 2011     Running time   1179 minutes     Country   United Kingdom United States     Language   English     Budget   Total ( 8 films ) $1.2 billion     Box office   Total ( 8 films ) $7.7 billion     Harry Potter is a British - American film series based on the Harry Potter novels by author J.K. Rowling . The series is distributed by Warner Bros. and consists of eight fantasy films , beginning with Harry Potter and the Philosopher 's Stone ( 2001 ) and culminating with Harry Potter and the Deathly Hallows -- Part 2 ( 2011 ) . A spin - off prequel series will consist of five films , starting with Fantastic Beasts and Where to Find Them ( 2016 ) . The Fantastic Beasts films mark the beginning of a shared media franchise known as J.K. Rowling 's Wizarding World .   The series was mainly produced by David Heyman , and stars Daniel Radcliffe , Rupert Grint , and Emma Watson as the three leading characters : Harry Potter , Ron Weasley , and Hermione Granger . Four directors worked on the series : Chris Columbus , Alfonso Cuarón , Mike Newell , and David Yates . The screenplays were written by Steve Kloves , with the exception of Harry Potter and the Order of the Phoenix ( 2007 ) , which was written by Michael Goldenberg . Production took over ten years to complete , with the main story arc following Harry Potter 's quest to overcome his arch - enemy Lord Voldemort .   Harry Potter and the Deathly Hallows , the seventh and final novel in the series , was adapted into two feature - length parts . Part 1 was released in November 2010 , and Part 2 was released in July 2011 .   Harry Potter and the Prisoner of Azkaban ( 2004 ) is the only film in the series not among the 50 highest - grossing films of all time , with Harry Potter and the Deathly Hallows -- Part 2 , the highest - grossing film in the series and one of 30 films to gross over $1 billion , ranking at number eight . Without inflation adjustment , it is the second highest - grossing film series with $7.7 billion in worldwide receipts .     Contents  ( hide )   1 Origins   1.1 Casting the roles of Harry , Ron , and Hermione     2 Production   2.1 Directors   2.2 Scripts   2.3 Cast and crew   2.4 Set design   2.5 Cinematography   2.6 Editing   2.7 Music   2.8 Visual effects   2.9 Final filming     3 Films   3.1 Harry Potter and the Philosopher 's Stone ( 2001 )   3.2 Harry Potter and the Chamber of Secrets ( 2002 )   3.3 Harry Potter and the Prisoner of Azkaban ( 2004 )   3.4 Harry Potter and the Goblet of Fire ( 2005 )   3.5 Harry Potter and the Order of the Phoenix ( 2007 )   3.6 Harry Potter and the Half - Blood Prince ( 2009 )   3.7 Harry Potter and the Deathly Hallows -- Part 1 ( 2010 )   3.8 Harry Potter and the Deathly Hallows -- Part 2 ( 2011 )     4 Release   5 Reception   5.1 Critical response   5.1. 1 Critical and public response     5.2 Accolades   5.3 Box office performance   5.4 All - time rankings     6 Legacy and influence   7 Notes   8 References   9 External links      Origins   Late in 1997 , film producer David Heyman 's London offices received a copy of the first book in what would become Rowling 's series of seven Harry Potter novels . The book , Harry Potter and the Philosopher 's Stone , was relegated to a low - priority bookshelf , where it was discovered by a secretary who read it and gave it to Heyman with a positive review . Consequently , Heyman , who had originally disliked `` the rubbish title '' , read the book himself . Highly impressed by Rowling 's work , he began the process that led to one of the most successful cinematic franchises of all time .   Heyman 's enthusiasm led to Rowling 's 1999 sale of the film rights for the first four Harry Potter books to Warner Bros. for a reported £ 1 million ( US $2,000,000 ) . A demand Rowling made was that the principal cast be kept strictly British , allowing nevertheless for the inclusion of many Irish actors , such as Richard Harris as Dumbledore , and for casting of French and Eastern European actors in Harry Potter and the Goblet of Fire where characters from the book are specified as such . Rowling was hesitant to sell the rights because she `` did n't want to give them control over the rest of the story '' by selling the rights to the characters , which would have enabled Warner Bros. to make non-author - written sequels .   Although Steven Spielberg initially negotiated to direct the first film , he declined the offer . Spielberg wanted the adaptation to be an animated film , with American actor Haley Joel Osment providing Harry Potter 's voice . Spielberg contended that , in his opinion , there was every expectation of profit in making the film . He claims that making money would have been like `` shooting ducks in a barrel . It 's just a slam dunk . It 's just like withdrawing a billion dollars and putting it into your personal bank accounts . There 's no challenge '' . In the `` Rubbish '' Bin section of her website , Rowling maintains that she had no role in choosing directors for the films , writing `` Anyone who thinks I could ( or would ) have ' veto - ed ' him ( Spielberg ) needs their Quick - Quotes Quill serviced . ''   After Spielberg left , conversations began with other directors , including Chris Columbus , Jonathan Demme , Terry Gilliam , Mike Newell , Alan Parker , Wolfgang Petersen , Rob Reiner , Tim Robbins , Brad Silberling , and Peter Weir . Petersen and Reiner both pulled out of the running in March 2000 . It was then narrowed down to Columbus , Gilliam , Parker , and Silberling . Rowling 's first choice was Terry Gilliam . However , on 28 March 2000 Columbus was appointed as director of the film , with Warner Bros. citing his work on other family films such as Home Alone and Mrs. Doubtfire as influences for their decision .   Harry Potter is the kind of timeless literary achievement that comes around once in a lifetime . Since the books have generated such a passionate following across the world , it was important to us to find a director that has an affinity for both children and magic . I ca n't think of anyone more ideally suited for this job than Chris ( Columbus ) .  -- Lorenzo di Bonaventura , Warner Bros .  Steve Kloves was selected to write the screenplay for the first film . He described adapting the book as `` tough '' since it did not `` lend itself to adaptation as well as the next two books '' . Kloves was sent a `` raft '' of synopses of books proposed as film adaptations , with Harry Potter being the only one that jumped out at him . He went out and bought the book , becoming an instant fan . When speaking to Warner Bros. he stated that the film had to be British and true to the characters . David Heyman was confirmed to produce the film . Rowling received a large amount of creative control for the film , an arrangement that Columbus did not mind .   Warner Bros. had initially planned to release the first film over the 4 July 2001 weekend , making for such a short production window that several of the originally proposed directors had withdrawn themselves from contention . Eventually , due to time constraints , the date was put back to 16 November 2001 .   Casting the roles of Harry , Ron , and Hermione  Daniel Radcliffe , Emma Watson , and Rupert Grint at the world premiere of Harry Potter and the Deathly Hallows -- Part 2 in Trafalgar Square , London on 7 July 2011 .  In 2000 , after a seven - month search , lead actor Daniel Radcliffe was discovered by producer David Heyman and writer Steve Kloves seated just behind them in a theatre . In Heyman 's own words , `` There sitting behind me was this boy with these big blue eyes . It was Dan Radcliffe . I remember my first impressions : He was curious and funny and so energetic . There was real generosity too , and sweetness . But at the same time he was really voracious and with hunger for knowledge of whatever kind . ''   Radcliffe had already established himself as an actor in the 1999 BBC television production of David Copperfield in which he played the title role 's childhood years . Heyman persuaded Radcliffe 's parents to allow him to audition for the part of Harry Potter , which involved Radcliffe being filmed . ( This screen test footage was released via the first set of Ultimate Editions in 2009 . ) Rowling was enthusiastic after viewing Radcliffe 's filmed test , saying she did n't think there was a better choice for the part of Harry Potter .   Also in 2000 , the then unknown British actors Emma Watson and Rupert Grint were selected from thousands of auditioning children to play the roles of Hermione Granger and Ron Weasley , respectively . Their only previous acting experience was in school plays . Grint was eleven years old and Watson ten at the time they were cast .   Los Angeles Times writer Geoff Boucher , who conducted the above - mentioned interview with Heyman , added that the casting of the three major roles `` is especially impressive in hindsight . The trio 's selection was arguably one of the best show - business decisions over the past decade ... they have shown admirable grace and steadiness in the face of teen superstardom . ''   Production   Filming of the series began at Leavesden Studios , Hertfordshire , England , in September 2000 and ended in December 2010 , with post-production on the final film lasting until summer 2011 . Leavesden Studios was the main base for filming Harry Potter , and it opened to the public as a studio tour in 2012 ( renamed as Warner Bros. Studios , Leavesden ) .     Motion Picture   Director   Writer   Producer ( s )   Composer   Novel by J.K. Rowling     Harry Potter and the Philosopher 's Stone   Chris Columbus   Steve Kloves   David Heyman   John Williams   Harry Potter and the Philosopher 's Stone     Harry Potter and the Chamber of Secrets   Harry Potter and the Chamber of Secrets     Harry Potter and the Prisoner of Azkaban   Alfonso Cuarón   Chris Columbus , David Heyman &amp; Mark Radcliffe   Harry Potter and the Prisoner of Azkaban     Harry Potter and the Goblet of Fire   Mike Newell   David Heyman   Patrick Doyle   Harry Potter and the Goblet of Fire     Harry Potter and the Order of the Phoenix   David Yates   Michael Goldenberg   David Heyman &amp; David Barron   Nicholas Hooper   Harry Potter and the Order of the Phoenix     Harry Potter and the Half - Blood Prince   Steve Kloves   Harry Potter and the Half - Blood Prince     Harry Potter and the Deathly Hallows -- Part 1   David Heyman , David Barron &amp; J.K. Rowling   Alexandre Desplat   Harry Potter and the Deathly Hallows     Harry Potter and the Deathly Hallows -- Part 2    Warner Bros. Studios , Leavesden , where much of the film series was shot . Harry Potter was also filmed in other areas , including Pinewood Studios .  David Heyman produced all the films in the series with his production company Heyday Films , while David Barron joined the series as an executive producer on Chamber of Secrets and Goblet of Fire . Barron was later appointed producer on the last four films . Chris Columbus was an executive producer on the first two films alongside Mark Radcliffe and Michael Barnathan , but he became a producer on the third film alongside Heyman and Radcliffe . Other executive producers include Tanya Seghatchian and Lionel Wigram . J.K. Rowling , author of the series , was asked to become a producer on Goblet of Fire but declined . She subsequently accepted the role on the two - part Deathly Hallows .   Heyday Films and Columbus ' company 1492 Pictures collaborated with Duncan Henderson Productions in 2001 , Miracle Productions in 2002 , and P of A Productions in 2004 . Even though Prisoner of Azkaban was the final film produced by 1492 Pictures , Heyday Films continued with the franchise and collaborated with Patalex IV Productions in 2005 . The sixth film in the series , Half - Blood Prince , was the most expensive film to produce as of 2009 .   Warner Bros. split the seventh and final novel in the series , Deathly Hallows , into two cinematic parts . The two parts were filmed back - to - back from early 2009 to summer 2010 , with the completion of reshoots taking place on 21 December 2010 ; this marked the end of filming Harry Potter . Heyman stated that Deathly Hallows was `` shot as one film '' but released in two feature - length parts .   Tim Burke , the visual effects supervisor of the series , said of the production on Harry Potter , `` It was this huge family ; I think there were over 700 people working at Leavesden , an industry in itself . '' David Heyman said , `` When the first film opened , no way did I think we 'd make eight films . That did n't seem feasible until after we 'd done the fourth . '' Nisha Parti , the production consultant on the first film , said that Heyman `` made the first film very much the way he felt the studio Warner Bros. wanted to make it . '' After the film 's success , Heyman was given `` more freedom '' .   One of the aims of the filmmakers from the beginning of production was to develop the maturity of the films . Chris Columbus stated , `` We realised that these movies would get progressively darker . Again , we did n't know how dark but we realised that as the kids get older , the movies get a little edgier and darker . '' This transpired with the succeeding three directors who would work on the series in the following years , with the films beginning to deal with issues such as death , betrayal , prejudice , and political corruption as the series developed narratively and thematically .   Directors   After Chris Columbus had finished working on Harry Potter and the Philosopher 's Stone , he was hired to direct the second film , Harry Potter and the Chamber of Secrets . The production started within a week after the release of the first film . Columbus was set to direct all entries in the series , but he did not want to return for the third film , Harry Potter and the Prisoner of Azkaban , claiming he was `` burned out '' . He moved to the position of producer , while Alfonso Cuarón was approached for the role of director . He was initially nervous about directing the instalment since he had not read any of the books or seen the films . After reading the series , he changed his mind and signed on to direct since he had immediately connected to the story .  David Yates directed four of the films in the series , including the two - part finale Deathly Hallows .  Because Cuarón decided not to direct the fourth instalment , Harry Potter and the Goblet of Fire , a new director had to be selected . Mike Newell was chosen to direct the film , but he declined to direct the next film , Harry Potter and the Order of the Phoenix , which was given to David Yates , who also directed Harry Potter and the Half - Blood Prince and Harry Potter and the Deathly Hallows , becoming the only director to helm more than one film since Chris Columbus .   Chris Columbus said his vision of the first two films was of a `` golden storybook , an old - fashioned look '' , while Alfonso Cuarón changed the visual tone of the series , desaturated the colour palette , and expanded the landscape around Hogwarts . Mike Newell decided to direct the fourth film as a `` paranoid thriller '' , while David Yates wanted to `` bring a sense of jeopardy and character to the world '' . Cuarón , Newell , and Yates have said that their challenge was striking a balance between making the films according to their individual vision , while working within a cinematic world already established by Columbus .   David Heyman commented on the `` generosity of the directors '' by revealing that `` Chris spent time with Alfonso , Alfonso spent time with Mike and Mike spent time with David , showing him an early cut of the film , talking through what it means to be a director and how they went about ( making the films ) . ''   David Heyman also said , `` I suppose Chris Columbus was the most conservative choice from the studio 's point of view . But he expressed real passion . '' Producer Tanya Seghatchian said they were `` more adventurous '' in choosing a director for the third film and went straight to Alfonso Cuarón . Mike Newell became the first British director of the series when he was chosen for the fourth film ; Newell was considered to direct the first film before he dropped out . David Yates directed the final films after David Heyman thought him capable of handling the edgy , emotional , and political material of the later novels .   All the directors have been supportive of each other . Chris Columbus praised the character development in the films , while Alfonso Cuarón admired the `` quiet poetry '' of David Yates ' films . Mike Newell noted that each director had a different heroism , and David Yates views the first four films `` respectfully and enjoy ( s ) them . '' Daniel Radcliffe said Yates `` took the charm of the films that Chris made and the visual flair of everything that Alfonso did and the thoroughly British , bombastic nature of the film directed by Mike Newell '' and added `` his own sense '' of realism .   Scripts   Steve Kloves wrote the screenplays for all but the fifth film , which was penned by Michael Goldenberg . Kloves had direct assistance from J.K. Rowling , though she allowed him what he described as `` tremendous elbow room '' . Rowling asked Kloves to remain faithful to the spirit of the books ; thus , the plot and tone of each film and its corresponding book are virtually the same , albeit with some changes and omissions for purposes of cinematic style , time , and budget constraints . Michael Goldenberg also received input from Rowling during his adaptation of the fifth novel ; Goldenberg was originally considered to adapt the first novel before the studio chose Kloves .  A studio model of Hogwarts . It is the main setting in the series ; the castle features in every novel and screen adaptation .  In a 2010 interview , David Heyman briefly explained the book - to - film transition . He commented on Rowling 's involvement in the series , stating that she understood that `` books and films are different '' and was `` the best support '' a producer could have . Rowling had overall approval on the scripts , which were viewed and discussed by the director and the producers . Heyman also said that Kloves was the `` key voice '' in the process of adapting the novels and that certain aspects from the books needed to have been excluded from the scripts due to the filmmakers ' decision to keep the main focus on Harry 's journey as a character , which would ultimately give the films a defined structure . Heyman mentioned that some fans `` do n't necessarily understand the adaptation process '' and that the filmmakers would have loved to `` have everything '' from the books in the films but noted that it was not possible since they had `` neither time nor cinematic structure '' to do so . He finished by saying that adapting a novel to the screen is `` a really considered process . ''   Because the films were being made as the novels were being published , the filmmakers had no idea of the story 's outcome until the release of the final novel in 2007 . Kloves spoke of his relationship with Rowling when adapting the novels by saying , `` The thing is about Jo , which is remarkable for someone who had no experience with the filmmaking process , was her intuition . We had a conversation the very first day I met her where she said , ' I know the movies ca n't be the books ... because I know what 's coming and it 's impossible to fully dramatise on screen what I 'm going to write . But I just ask you to be true to the characters ; that 's all I care about . ' '' Kloves also said , `` I do n't know what compelled me to say this ( to Rowling ) , but I said , ' I 've just got to warn you my favourite character is not Harry . My favourite character is Hermione . ' And I think for some weird reason , from that moment on , she sort of trusted me . ''   Cast and crew  See also : List of Harry Potter cast members  Aside from the three lead actors , other notable cast members include Robbie Coltrane as Rubeus Hagrid , Tom Felton as Draco Malfoy , Alan Rickman as Severus Snape , and Dame Maggie Smith as Minerva McGonagall . Richard Harris , who played the role of Professor Albus Dumbledore , died on 25 October 2002 causing the role to be re-cast for the third instalment , Harry Potter and the Prisoner of Azkaban . David Heyman and director Alfonso Cuarón chose Michael Gambon to portray the character of Dumbledore , which he did for all succeeding films . Notable recurring cast members include Helena Bonham Carter as Bellatrix Lestrange , Warwick Davis as Filius Flitwick , Ralph Fiennes as Lord Voldemort , Brendan Gleeson as Alastor Moody , Richard Griffiths as Vernon Dursley , Jason Isaacs as Lucius Malfoy , Gary Oldman as Sirius Black , Fiona Shaw as Petunia Dursley , Timothy Spall as Peter Pettigrew , David Thewlis as Remus Lupin , Emma Thompson as Sybill Trelawney , Mark Williams as Arthur Weasley , and Julie Walters as Molly Weasley .   The series has seen many returning crew members from various departments , including Tim Burke , visual effects supervisor ; Peter Doyle , digital film colourist ; Nick Dudman , make - up and creature effects designer ; David Holmes , stunt double ; Amanda Knight , make - up artist ; Stephenie McMillan , set designer ; Greg Powell , stunt coordinator ; Jany Temime , costume designer ; and Fiona Weir , casting director .   Set design  The Hall of Christ Church in Oxford , England , the inspiration for the studio film set of The Great Hall of Hogwarts .  The production designer for all eight films is Stuart Craig . Assisted by Stephenie McMillan , Craig has created iconic sets pieces including the Ministry of Magic , the Chamber of Secrets , Malfoy Manor , and the layout for the CGI Horcrux Cave . Because the novels were being published as the films were being made , Craig was required to rebuild some sets for future films and alter the design of Hogwarts .  The studio film set of The Great Hall of Hogwarts was one of the first sets ever created for the series .  He said , `` In the early days , every time you saw the exterior of Hogwarts , it was a physical miniature , '' which was made by craftsmen and occupied a large sound stage . `` We ended up with a profile of how Hogwarts looked , a skyline that actually I did n't design , and it was n't always satisfactory , and as all the novels got written and movies got made there were new requirements ( for buildings ) . The ( Astronomy Tower ) definitely was n't there originally , and so we were able to add that substantial piece . And in the last film , we needed an arena for the battle for Hogwarts -- the big courtyard outside doubled in size , and if you look at the first movie it was n't there at all . There were quite some liberties taken with the continuity of Hogwarts . '' In the last film , Craig used a digital model instead of a miniature to `` embrace the latest technology '' .   On the method of creating the sets , Craig said he often started by sketching ideas onto a blank sheet of paper . Stephanie McMillan also said that `` each film always had plenty of new challenges , '' citing the changes in visual style between directors and cinematographers as an example , along with the developing story in the novels . Due to J.K. Rowling 's descriptions of various settings in the novels , Craig noted his `` responsibility was to place it together '' .   Craig commented on his experience working in the studio environment : `` I 'm the production designer , but on a big movie like Harry Potter I may be responsible for 30 to 35 people ; from the supervising art director , and a team of art directors and assistants , to draughtsmen and junior draughtsmen , and then on to model makers , sculptors and scenic artists . '' He said , `` Ten years ago , all the Harry Potter drawings were done in pencil . I would take my roughs and plans and sections and give them to a professional architectural illustrator , who would create concept art using pencil and colour wash on watercolour paper . '' He said the process changed slightly throughout the years due to , what he called , the `` digital revolution '' of making films .   When filming of the series was completed , some of Craig 's sets had to be rebuilt or transported for them to be displayed at the Warner Bros. studio tour .   Cinematography   Six directors of photography worked on the series : John Seale on the first film , Roger Pratt on the second and fourth , Michael Seresin on the third , Sławomir Idziak on the fifth , Bruno Delbonnel on the sixth , and Eduardo Serra on the seventh and eighth . Delbonnel was considered to return for both parts of Deathly Hallows , but he declined , stating that he was `` scared of repeating '' himself . Delbonnel 's cinematography in Half - Blood Prince gained the series its only Academy Award nomination for Best Cinematography . As the series progressed , each cinematographer faced the challenge of shooting and lighting older sets ( which had been around since the first few films ) in unique and different ways . Chris Columbus said the series ' vivid colouring decreased as each film was made .   Michael Seresin commented on the change of visual style from the first two films to Prisoner of Azkaban : `` The lighting is moodier , with more shadowing and cross-lighting . '' Seresin and Alfonso Cuarón moved away from the strongly coloured and brightly lit cinematography of the first two films , with dimmer lighting and a more muted colour palette being utilised for the succeeding five films . After comparing a range of digital cameras with 35 mm film , Bruno Delbonnel decided to shoot the sixth movie , Half - Blood Prince , on film rather than the increasingly popular digital format . This decision was kept for the two - part Deathly Hallows with Eduardo Serra , who said that he preferred to work with film because it was `` more technically accurate and dependable '' .   Because the majority of Deathly Hallows takes place in various settings away from Hogwarts , David Yates wanted to `` shake things up '' by using different photographic techniques such as using hand - held cameras and very wide camera lenses . Eduardo Serra said , `` Sometimes we are combining elements shot by the main unit , a second unit , and the visual effects unit . You have to know what is being captured -- colours , contrast , et cetera -- with mathematical precision . '' He noted that with Stuart Craig 's `` amazing sets and the story '' , the filmmakers could not `` stray too far from the look of the previous Harry Potter films . ''   Editing   Along with continuous changes in cinematographers , there have been five film editors to work in post-production on the series : Richard Francis - Bruce edited the first instalment , Peter Honess the second , Steven Weisberg the third , Mick Audsley the fourth , and Mark Day films five through eight .   Music  See also : Music of the Harry Potter films John Williams scored the first three films and received Academy Award nominations for the first and third films .  The Harry Potter series has had four composers . John Williams scored the first three films : Philosopher 's Stone , Chamber of Secrets , and Prisoner of Azkaban . However , the second entry was adapted and conducted by William Ross due to Williams 's conflicting commitments . Williams also created Hedwig 's Theme , which is used in every film in the series .   After Williams left the series to pursue other projects , Patrick Doyle scored the fourth entry , Goblet of Fire , which was directed by Mike Newell , with whom Doyle had worked previously . In 2006 , Nicholas Hooper started work on the score to Order of the Phoenix by reuniting with director David Yates . Hooper also composed the soundtrack to Half - Blood Prince but decided not to return for the final films .   In January 2010 , Alexandre Desplat was confirmed to compose the score for Harry Potter and the Deathly Hallows -- Part 1 . The film 's orchestration started in the summer with Conrad Pope , the orchestrator on the first three Harry Potter films , collaborating with Desplat . Pope commented that the music `` reminds one of the old days . '' Desplat returned to score Harry Potter and the Deathly Hallows -- Part 2 in 2011 .   Director David Yates stated that he wanted John Williams to return to the series for the final installment , but their schedules did not align due to the urgent demand for a rough cut of the film . The final recording sessions of Harry Potter took place on 27 May 2011 at Abbey Road Studios with the London Symphony Orchestra , orchestrator Conrad Pope , and composer Alexandre Desplat .   Doyle , Hooper , and Desplat introduced their own personal themes to their respective soundtracks , while keeping a few of John Williams 's themes .   Visual effects   There have been many visual effects companies to work on the Harry Potter series . Some of these include Rising Sun Pictures , Double Negative , Cinesite , Framestore , and Industrial Light &amp; Magic . The latter three have worked on all the films in the series , while Double Negative and Rising Sun Pictures began their commitments with Prisoner of Azkaban and Goblet of Fire , respectively . Framestore contributed by developing many memorable creatures and sequences to the series . Cinesite was involved in producing both miniature and digital effects for the films . Producer David Barron said that `` Harry Potter created the UK effects industry as we know it . On the first film , all the complicated visual effects were done on the ( US ) west coast . But on the second , we took a leap of faith and gave much of what would normally be given to Californian vendors to UK ones . They came up trumps . '' Tim Burke , the visual effects supervisor , said many studios `` are bringing their work to UK effects companies . Every facility is fully booked , and that was n't the case before Harry Potter . That 's really significant . ''   Final filming  See also : Production of Harry Potter and the Deathly Hallows  On 12 June 2010 , filming of the Deathly Hallows -- Part 1 and Deathly Hallows -- Part 2 was completed with actor Warwick Davis stating on his Twitter account , `` The end of an Era -- today is officially the last day of principal photography on ' Harry Potter ' -- ever . I feel honoured to be here as the director shouts cut for the very last time . Farewell Harry &amp; Hogwarts , it 's been magic ! '' . However , reshoots of the epilogue scene were confirmed to begin in the winter of 2010 . The filming was completed on 21 December 2010 , marking the official closure of filming the Harry Potter franchise . Exactly four years earlier on that day , author J.K. Rowling 's official website revealed the title of the final novel in the series -- Harry Potter and the Deathly Hallows .   Films  The Gryffindor Common Room was introduced in the first film .  Harry Potter and the Philosopher 's Stone ( 2001 )  Main article : Harry Potter and the Philosopher 's Stone ( film ) Known in India and the United States as Harry Potter and the Sorcerer 's Stone  Harry Potter is an orphaned boy brought up by his unkind Muggle ( non-magical ) aunt and uncle . At the age of eleven , half - giant Rubeus Hagrid informs him that he is actually a wizard and that his parents were murdered by an evil wizard named Lord Voldemort . Voldemort also attempted to kill one - year - old Harry on the same night , but his killing curse mysteriously rebounded and reduced him to a weak a</t>
  </si>
  <si>
    <t xml:space="preserve">how long did it take to film all the harry potter movies</t>
  </si>
  <si>
    <t xml:space="preserve"> Filming of the series began at Leavesden Studios , Hertfordshire , England , in September 2000 and ended in December 2010 , with post-production on the final film lasting until summer 2011 . Leavesden Studios was the main base for filming Harry Potter , and it opened to the public as a studio tour in 2012 ( renamed as Warner Bros. Studios , Leavesden ) . </t>
  </si>
  <si>
    <r>
      <rPr>
        <sz val="11"/>
        <color rgb="FF000000"/>
        <rFont val="Calibri"/>
        <family val="0"/>
        <charset val="1"/>
      </rPr>
      <t xml:space="preserve">Attack on Titan - Wikipedia  Attack on Titan  Jump to : navigation , search For related items , see Attack on Titan ( disambiguation ) .    Attack on Titan     Cover of Attack on Titan volume 1     </t>
    </r>
    <r>
      <rPr>
        <sz val="11"/>
        <color rgb="FF000000"/>
        <rFont val="Noto Sans CJK SC"/>
        <family val="2"/>
      </rPr>
      <t xml:space="preserve">進撃 の 巨人 </t>
    </r>
    <r>
      <rPr>
        <sz val="11"/>
        <color rgb="FF000000"/>
        <rFont val="Calibri"/>
        <family val="0"/>
        <charset val="1"/>
      </rPr>
      <t xml:space="preserve">( Shingeki no Kyojin )     Genre   Dark fantasy , post-apocalyptic     Manga     Written by   Hajime Isayama     Published by   Kodansha     English publisher   Kodansha Comics USA     Demographic   Shōnen     Magazine   Bessatsu Shōnen Magazine     Original run   September 9 , 2009 -- present     Volumes   24 ( List of volumes )     Novels       Before the Fall   Harsh Mistress of the City   Lost Girls       Manga       Junior High   Before the Fall   No Regrets   Lost Girls   Spoof on Titan       Anime television series     Directed by   Tetsurō Araki Masashi Koizuka ( Seasons 2 - 3 )     Produced by   Tetsuya Kinoshita Kensuke Tateishi George Wada Shin Furukawa Tomohito Nagase Toshihiro Maeda     Written by   Yasuko Kobayashi     Music by   Hiroyuki Sawano     Studio   Wit Studio Production I.G ( Production cooperation )     Licensed by   Madman Entertainment Funimation Manga Entertainment     Original network   MBS , Tokyo MX , BS11 , FBS , TOS , HTB , TVA , GTV , GYT , TVS , tvk , CTC , RSK , BSN , RCC , SBC , TBC , SBS , IBC , RKK , ITC ( Seasons 1 - 2 ) NHK G ( Season 3 )     English network   SBS 2 Aniplus Asia Adult Swim ( Toonami )     Original run   April 7 , 2013 -- present     Episodes   37 + 6 OVA ( List of episodes )     Anime film     Attack on Titan -- Part 1 : Crimson Bow and Arrow Attack on Titan -- Part 2 : Wings of Freedom     Directed by   Tetsurō Araki     Written by   Yasuko Kobayashi     Music by   Hiroyuki Sawano     Studio   Wit Studio Production I.G ( Production cooperation )     Licensed by   Funimation     Released   November 22 , 2014 ( Part 1 ) July 27 , 2015 ( Part 2 )     Runtime   120 minutes each     Anime film     Attack on Titan : The Roar of Awakening     Directed by   Tetsurō Araki Masashi Koizuka     Written by   Yasuko Kobayashi     Music by   Hiroyuki Sawano     Studio   Wit Studio     Licensed by   Madman Entertainment     Released   January 13 , 2018     Live - action films       Attack on Titan   Attack on Titan : End of the World   Attack on Titan : Counter Rockets       Video games       Shingeki no Kyojin   Shingeki no Kyojin - Hangeki no Tsubasa -   Blu - ray Disc Visual Novel Vol. 1   Attack on Titan : Humanity in Chains   Blu - ray Disc Visual Novel Vol. 2   Shingeki no Kyojin - Hangeki no Tsubasa - Online   Shingeki no Kyojin - Jiyū e no Hōkō -   Shingeki no Kyojin Banda Attack on Typing   Attack on Titan       Anime and Manga portal     Attack on Titan ( Japanese : </t>
    </r>
    <r>
      <rPr>
        <sz val="11"/>
        <color rgb="FF000000"/>
        <rFont val="Noto Sans CJK SC"/>
        <family val="2"/>
      </rPr>
      <t xml:space="preserve">進撃 の 巨人 </t>
    </r>
    <r>
      <rPr>
        <sz val="11"/>
        <color rgb="FF000000"/>
        <rFont val="Calibri"/>
        <family val="0"/>
        <charset val="1"/>
      </rPr>
      <t xml:space="preserve">, Hepburn : Shingeki no Kyojin , lit . `` Advancing Giant '' ) is a Japanese manga series written and illustrated by Hajime Isayama . The series began in Kodansha 's Bessatsu Shōnen Magazine on September 9 , 2009 , and has been collected into 24 tankōbon volumes as of December 2017 . It is set in a world where humanity lives in cities surrounded by enormous walls ; a defense against the Titans , gigantic humanoids that eat humans seemingly without reason . The story initially centers on Eren Yeager and his childhood friends Mikasa Ackerman and Armin Arlert , who join the military to fight the Titans after their hometown is invaded and Eren 's mother is eaten and Eren swears to avenge her . However , as the story progresses and the truths about the Titans are slowly revealed to the reader , the narrative shifts to encompass Historia Reiss , squad leader Levi , Eren 's father Grisha , and other supporting characters .   The spin - off light novel series Before the Fall began in December 2011 and has received a manga adaptation . Two additional light novel series and four additional spin - off manga series have also been created . An anime television adaptation is being produced by Wit Studio and Production I.G , airing in Japan on MBS . The first season aired between April and September 2013 , the second season aired between April and June 2017 , and a third season is scheduled to be released in July 2018 . Four video game adaptations developed by Nitroplus staffers in collaboration with Production I.G were announced to be released as bonus content for the third and sixth volumes of the Blu - ray Disc release of the anime , with another game developed by Spike Chunsoft for the Nintendo 3DS . A two - part live - action film adaptation , Attack on Titan and Attack on Titan : End of the World , and a live - action web - series were released in 2015 . An anime adaptation of the Junior High spin - off manga , produced by Production I.G , began airing in October 2015 . Attack on Titan and all five spin - off manga are published in North America by Kodansha Comics USA , while the three novel series are published by Vertical . The anime has been licensed by Funimation for North America , by Manga Entertainment for the UK , and by Madman Entertainment for Australasia .   Attack on Titan has become a commercial success . As of December 2017 , the manga has 71 million copies in print , making it one of the best - selling manga series . The release of the anime also saw a boost in the series ' popularity , with it having received widespread critical acclaim for its atmosphere and story . Although it also gained fame in neighboring Asian countries , the series ' themes have been a subject of controversy .     Contents  ( hide )   1 Overview   1.1 Setting   1.2 Plot     2 Production   3 Media   3.1 Manga   3.2 Novels   3.3 Anime   3.4 Music   3.4. 1 First season   3.4. 1.1 Track listing     3.4. 2 Second season   3.4. 2.1 Track listing     3.4. 3 Anime films     3.5 Video games   3.6 Live - action   3.7 Other media     4 Reception   4.1 Manga   4.2 Anime     5 Political interpretations   6 References   7 External links      Overview ( edit )   Setting ( edit )   Over 100 years before the beginning of the story on an alternate world , giant humanoid creatures called Titans ( </t>
    </r>
    <r>
      <rPr>
        <sz val="11"/>
        <color rgb="FF000000"/>
        <rFont val="Noto Sans CJK SC"/>
        <family val="2"/>
      </rPr>
      <t xml:space="preserve">巨人 </t>
    </r>
    <r>
      <rPr>
        <sz val="11"/>
        <color rgb="FF000000"/>
        <rFont val="Calibri"/>
        <family val="0"/>
        <charset val="1"/>
      </rPr>
      <t xml:space="preserve">, Kyojin ) suddenly appeared and nearly wiped out humanity , devouring them without remorse or reason and only targeting them ; they completely ignore other wildlife . What remains of humanity now resides within three enormous curtain walls : the outermost is Wall Maria ( </t>
    </r>
    <r>
      <rPr>
        <sz val="11"/>
        <color rgb="FF000000"/>
        <rFont val="Noto Sans CJK SC"/>
        <family val="2"/>
      </rPr>
      <t xml:space="preserve">ウォール ・ マリア </t>
    </r>
    <r>
      <rPr>
        <sz val="11"/>
        <color rgb="FF000000"/>
        <rFont val="Calibri"/>
        <family val="0"/>
        <charset val="1"/>
      </rPr>
      <t xml:space="preserve">, Wōru Maria ) ; the middle wall is Wall Rose ( </t>
    </r>
    <r>
      <rPr>
        <sz val="11"/>
        <color rgb="FF000000"/>
        <rFont val="Noto Sans CJK SC"/>
        <family val="2"/>
      </rPr>
      <t xml:space="preserve">ウォール ・ ローゼ </t>
    </r>
    <r>
      <rPr>
        <sz val="11"/>
        <color rgb="FF000000"/>
        <rFont val="Calibri"/>
        <family val="0"/>
        <charset val="1"/>
      </rPr>
      <t xml:space="preserve">, Wōru Rōze , sometimes pronounced like rosé ) and the innermost is Wall Sheena ( </t>
    </r>
    <r>
      <rPr>
        <sz val="11"/>
        <color rgb="FF000000"/>
        <rFont val="Noto Sans CJK SC"/>
        <family val="2"/>
      </rPr>
      <t xml:space="preserve">ウォール ・ シーナ </t>
    </r>
    <r>
      <rPr>
        <sz val="11"/>
        <color rgb="FF000000"/>
        <rFont val="Calibri"/>
        <family val="0"/>
        <charset val="1"/>
      </rPr>
      <t xml:space="preserve">, Wōru Shīna , alt . `` Wall Sina '' ) . Inside these walls , humanity has lived in uneasy peace for one hundred years , many people growing up without ever having seen a Titan . This all changes when one day , a giant 60 - meter ( 200 ft ) - tall Colossus Titan mysteriously appears after a strike of lightning and breaches the outer wall ( which is 50 meters tall ) of the Shiganshina district , a town at Wall Maria , allowing the smaller Titans to invade the district . An Armored Titan smashes clean through the gate in Wall Maria , forcing humankind to abandon the land between Wall Maria and Wall Rose , evacuating the remaining population into the inner districts . The sudden influx of population causes turmoil and famine .   The Titans are giant humanoid figures ranging between 3 -- 15 meters ( 10 -- 50 ft ) tall and are usually masculine in body structure but lack reproductive organs . Although they do not appear to need food , they instinctively attack and eat humans on sight ; it is mentioned that they derive their energy from sunlight . Furthermore , the Titans also do not have a proper digestive tract ; once they have eaten their fill of human prey , Titans will vomit large , slimy balls , derisively referred to as `` hairballs '' , as shown in the episode where the squad retakes Trost , half of a soldier ( Marco ) is found engulfed in slime with several humans in one of these . Finally , their skin is tough and difficult to penetrate , and they regenerate quickly from injuries , save for a weak spot at the nape of their neck .   Combatting the Titans is the military , which is divided into three branches . Foremost in the story is the Survey Corps ( </t>
    </r>
    <r>
      <rPr>
        <sz val="11"/>
        <color rgb="FF000000"/>
        <rFont val="Noto Sans CJK SC"/>
        <family val="2"/>
      </rPr>
      <t xml:space="preserve">調査 兵団 </t>
    </r>
    <r>
      <rPr>
        <sz val="11"/>
        <color rgb="FF000000"/>
        <rFont val="Calibri"/>
        <family val="0"/>
        <charset val="1"/>
      </rPr>
      <t xml:space="preserve">, Chōsa Heidan ) , which goes out into Titan territory to try to reclaim the land . The Survey Corps are heavily derided in society because of their apparently senseless high casualty rate and little sense of progress . The second and largest branch is the Garrison Regiment ( </t>
    </r>
    <r>
      <rPr>
        <sz val="11"/>
        <color rgb="FF000000"/>
        <rFont val="Noto Sans CJK SC"/>
        <family val="2"/>
      </rPr>
      <t xml:space="preserve">駐屯 兵団 </t>
    </r>
    <r>
      <rPr>
        <sz val="11"/>
        <color rgb="FF000000"/>
        <rFont val="Calibri"/>
        <family val="0"/>
        <charset val="1"/>
      </rPr>
      <t xml:space="preserve">, Chūton Heidan ) , which guards the walls and the civilian populace . The third branch is the Military Police Brigade ( </t>
    </r>
    <r>
      <rPr>
        <sz val="11"/>
        <color rgb="FF000000"/>
        <rFont val="Noto Sans CJK SC"/>
        <family val="2"/>
      </rPr>
      <t xml:space="preserve">憲兵 団 </t>
    </r>
    <r>
      <rPr>
        <sz val="11"/>
        <color rgb="FF000000"/>
        <rFont val="Calibri"/>
        <family val="0"/>
        <charset val="1"/>
      </rPr>
      <t xml:space="preserve">, Kenpeidan ) , who guards the royal family and live relatively relaxed lives in the inner wall , although this eventually results in fraud , corruption , and political subterfuge . The soldiers use a tethering system called Vertical Maneuvering Equipment ( </t>
    </r>
    <r>
      <rPr>
        <sz val="11"/>
        <color rgb="FF000000"/>
        <rFont val="Noto Sans CJK SC"/>
        <family val="2"/>
      </rPr>
      <t xml:space="preserve">立体 機動 装置 </t>
    </r>
    <r>
      <rPr>
        <sz val="11"/>
        <color rgb="FF000000"/>
        <rFont val="Calibri"/>
        <family val="0"/>
        <charset val="1"/>
      </rPr>
      <t xml:space="preserve">, Rittai Kidō Sōchi ) acting as a grappling system , allowing them to jump onto ( and swing from ) walls , trees , or nearby buildings to attack Titans with dual swords and gas canisters which they use to propel themselves . However , despite it being the soldiers ' primary line of both offense and defense against the Titans , it is useless in open and flat terrain like fields .   It is later revealed that the Titans were created when Ymir Fritz found the `` source of all organic life '' and became the Founding Titan where she had the ability to create and control the Titans . When Ymir Fritz died as a side effect of having the Titan ability for 13 years , she was split into the 9 Titans where their abilities can be inherited by anyone once the previous wielder is dead . These Titans consist of the Founding Titan , the Attack Titan , the Colossus Titan , the Armored Titan , the Female Titan , the Beast Titan , the Jaw Titan , the Cart Titan , and the War Hammer Titan . The 145th King that wielded the Founding Titan 's power fled to the island of Paradis where he used the countless Colossus Titans to make the walls and erased the memories of the Subjects of Ymir he brought with him so that they did n't know anything about the outside world .   Plot ( edit )  Main article : List of Attack on Titan characters  The story of Attack on Titan revolves around the adventures of Eren Yeager , Mikasa Ackerman , and their childhood friend Armin Arlert who once lived in the town of Shinganshina . But when Wall Maria is breached by the Colossal Titan , the Armored Titan further compromising the town , chaos ensued as the Titans enter Shinganshina with a mass evacuation . Having watched in horror as a smiling Titan eats his mother , his father having mysteriously disappeared after giving him a key to their basement , Eren vowed to kill all the Titans and enlisted in the military with his friends following suit .   Five years later , the three cadet graduates are positioned in Trost District , one of the border towns jutting out of Wall Rose when the Colossal Titan appeared and history repeats itself . In the ensuing battle , Eren appeared to have been killed when he sacrificed himself while saving Armin from being eaten by a bearded Titan . Things appeared bleak until Mikasa and Armin encounter a Titan that uncharacteristically attacks the other Titans with raging fury , the creature ultimately revealed to be Eren . Though considered a threat by some despite helping take back Trost District , the following military trial ruled that Eren will be taken in by the Survey Corps ' Special Operations Squad under Captain Levi .   In an expedition to Shinganshina to make use of Eren 's abilities , the Scouts are attacked by a Female Titan who attempts to capture Eren while wiping out Levi 's subordinates . Though Eren was saved , the expedition ended in failure while Armin determined that the Female Titan is fellow cadet from their class named Annie Leonheart . While Annie encased herself in crystal when her capture at Stohess is assured , the collateral damage reveals the walls are formed from Titans . Eventually , Eren learns that their fellow cadets Reiner Braun and Bertolt Hoover are the Titans who comprised Wall Maria as they and Anne are revealed to have been sent by an unknown party to capture Eren as he possess `` The Coordinate '' which allows him to control Titans . The event also revealed another cadet named Krista Lenz to be actually Historia Reiss , the illegitimate daughter of the city 's true ruler Rod Reiss . Reiss has the Military Police track Eren and Historia and brought to him , revealing that the former 's Titan abilities were result of his father Grisha having stolen the power of the Reiss family during the chaos at Shinganshina and allowed himself to be devoured by his son .   While Historia learns her father intends for her to become a Titan and kill Eren to claim her birthright and restore the old system , she refused and aids the Survey Corps in overthrowing the monarchy while personally ending Reiss 's life after he turned himself into a Titan . The ordeal allowed Eren to gain a new power that allows him to create massive and permanent structures , which the Survey Corps used in their next expedition to seal the breach in Wall Maria . But the group are ambushed by Zeke , the man who Reiner and Bertolt serve under . The Battle of Shinganshina which ensued resulted in the deaths of commander Erwin Smith and most of the expedition members , Armin only able to survive when he is turned into a Titan and devours Bertolt to become the new Colossal Titan .   Before returning home , the survivors reach the basement of the Yeager residence where they find the truth Grisha wanted them to learn : That human civilization is thriving despite what they had believed and that they are descendants of some of the Eldian people who fled to Paradis to escape oppression by Marley , a world power that seeks to acquire Paradis 's natural resources by force . The Titans are revealed to be exiled Eldian prisoners the Marleyans used to keep the Eldians within the walls from expanding their territory prior to sending Zeke , who Eren learns is his older half - brother who had their father exiled to Paradis . But events led Grisha to acquire the power of the Attack Titan which he later passed to Eren along with the Founding Titan , nicknamed the `` Coordinate '' by the Marleyans .   Four years passed since the Battle of Shinganshina and the reclaim of Wall Maria . As the Marley 's military hegemony declines and all attempts to scout Paradis end in failure , Willy Tybur , patriarch of Marley 's most influential and highly respected political clan , openly admits his family have secretly control the Marley government and had an alliance with King Karl Fritz , a descendant of the first Progenitor Titan Ymir Fritz who orchestrated Eldia 's downfall . Claiming that Eren 's possession of the Founding Titan is a threat to the entire world , Willy rallies the other countries for an alliance to invade Paradis . However , Eren Yeager successfully infiltrates Liberio posing as a wounded soldier and conducts espionage . During the festivities in Liberio , Willy takes advantage to declare war on the inhabitants of Paradis but a calm yet vengeful Eren rises and disrupts Willy 's declaration . As chaos ensues , his comrades also march towards Liberio using their anti-personnel vertical maneuvering gear to eliminate their enemies , including the War Hammer Titan which being used by Willy 's sister .   Production ( edit )   Hajime Isayama created a 65 - page one - shot version of Attack on Titan in 2006 . Originally , he also offered his work to the Weekly Shōnen Jump department at Shueisha , where he was advised to modify his style and story to be more suitable for Jump . He declined and instead decided to take it to the Weekly Shōnen Magazine department at Kodansha . Before serialization began in 2009 , he had already thought of ideas for twists , although they are fleshed out as the series progresses . The author initially based the scenery in the manga on that of his hometown , which is surrounded by mountains . While working at an internet cafe , Isayama encountered a customer who grabbed him by the collar . It was this incident that showed him `` the fear of meeting a person I ca n't communicate with , '' which is the feeling that he conveys through the Titans . When designing the appearances of the Titans , he uses several models such as martial artist Yushin Okami for Eren Yeager 's Titan form as well as Brock Lesnar for the Armored Titan . George Wada , the anime 's producer , stated that the `` Wall of Fear '' was influenced by the isolated and enclosed nature of Japanese culture . He also said that the inner feelings of every individual is one of the series ' main influences . Isayama later would confirm that Attack on Titan was inspired in part by Muv - Luv Alternative , the second visual novel in the Muv - Luv visual novel series .   Isayama estimated his basic monthly timeline as one week to storyboard and three weeks to actually draw the chapter . The story is planned out in advance , even marking down in which collected volumes a specific `` truth '' will be revealed . In September 2013 , he stated that he was aiming to end the series in 20 collected volumes . Originally , Isayama planned to give the series a tragic conclusion similar to that of the film adaptation of Stephen King 's The Mist , where every character dies . However , positive response to the manga and anime has caused the author to contemplate changing the ending due to the impact it could have on fans .   Media ( edit )   Manga ( edit )  Main article : List of Attack on Titan chapters  Hajime Isayama 's original manga serial , Attack on Titan commenced publication in Kodansha 's monthly publication Bessatsu Shōnen Magazine starting with the September 2009 issue . The first tankōbon collected volume was released on March 17 , 2010 . The most recent , volume 22 , was released on April 7 , 2017 . In November 2014 , the manga had 45 million copies in print . By September 2016 , the number had increased to 60 million . The series ' twelfth collected volume was given a first printing of 2.2 million copies , making Attack on Titan one of only two manga series ever to get an initial print surpassing 2 million , the other being One Piece . Volume 13 has the highest initial first print of the series so far , with 2,750,000 copies . It is also the first print run record for its publisher , Kodansha .   A comedic spin - off of the series , titled Attack on Titan : Junior High ( </t>
    </r>
    <r>
      <rPr>
        <sz val="11"/>
        <color rgb="FF000000"/>
        <rFont val="Noto Sans CJK SC"/>
        <family val="2"/>
      </rPr>
      <t xml:space="preserve">進撃 </t>
    </r>
    <r>
      <rPr>
        <sz val="11"/>
        <color rgb="FF000000"/>
        <rFont val="Calibri"/>
        <family val="0"/>
        <charset val="1"/>
      </rPr>
      <t xml:space="preserve">! </t>
    </r>
    <r>
      <rPr>
        <sz val="11"/>
        <color rgb="FF000000"/>
        <rFont val="Noto Sans CJK SC"/>
        <family val="2"/>
      </rPr>
      <t xml:space="preserve">巨人 中学校 </t>
    </r>
    <r>
      <rPr>
        <sz val="11"/>
        <color rgb="FF000000"/>
        <rFont val="Calibri"/>
        <family val="0"/>
        <charset val="1"/>
      </rPr>
      <t xml:space="preserve">, Shingeki ! Kyojin Chūgakkō ) and written by Saki Nakagawa , began serialization in Bessatsu Shōnen Magazine 's May 2012 issue . It follows the main characters as they battle the Titans while in junior high school . Another manga series based on the prequel light novels Attack on Titan : Before the Fall started running in Kodansha 's Monthly Shōnen Sirius from August 2013 , drawn by Satoshi Shiki . An additional spin - off based on the No Regrets visual novel was serialized in the shōjo manga magazine Aria , titled Attack on Titan : No Regrets ( </t>
    </r>
    <r>
      <rPr>
        <sz val="11"/>
        <color rgb="FF000000"/>
        <rFont val="Noto Sans CJK SC"/>
        <family val="2"/>
      </rPr>
      <t xml:space="preserve">進撃 の 巨人 悔い なき 選択 </t>
    </r>
    <r>
      <rPr>
        <sz val="11"/>
        <color rgb="FF000000"/>
        <rFont val="Calibri"/>
        <family val="0"/>
        <charset val="1"/>
      </rPr>
      <t xml:space="preserve">, Shingeki no Kyojin : Kuinaki Sentaku ) . It is written by Gun Snark and illustrated by Hikaru Suruga . It focuses on the origins of Captain Levi , one of the most prominent characters in the main series . A yonkoma spin - off , called Spoof on Titan ( </t>
    </r>
    <r>
      <rPr>
        <sz val="11"/>
        <color rgb="FF000000"/>
        <rFont val="Noto Sans CJK SC"/>
        <family val="2"/>
      </rPr>
      <t xml:space="preserve">寸劇 の 巨人 </t>
    </r>
    <r>
      <rPr>
        <sz val="11"/>
        <color rgb="FF000000"/>
        <rFont val="Calibri"/>
        <family val="0"/>
        <charset val="1"/>
      </rPr>
      <t xml:space="preserve">, Sungeki no Kyojin , `` Titan Short Skits '' ) and drawn by hounori , was released on Kodansha 's Manga Box smartphone and tablet application from December 2013 to December 30 , 2014 in both Japanese and English . A manga adaptation of Hiroshi Seko 's Attack on Titan : Lost Girls novel , written and illustrated by Ryōsuke Fuji , began publication in Bessatsu Shōnen Magazine on August 9 , 2015 .   In North America , the series is published in English by Kodansha Comics USA . They published the first volume on June 19 , 2012 , . The fifteenth was released on April 7 , 2015 . By July 2015 , the manga had 2.5 million copies in circulation in North America . The first three spin - off manga have also been licensed by Kodansha Comics USA , who published the first volume of each between March and June 2014 . It announced its license to Spoof on Titan at the New York Comic Con in October 2015 , and its acquisition of Lost Girls in March 2016 .   Novels ( edit )  Main article : List of Attack on Titan chapters § Novels  A light novel series titled Attack on Titan : Before the Fall ( </t>
    </r>
    <r>
      <rPr>
        <sz val="11"/>
        <color rgb="FF000000"/>
        <rFont val="Noto Sans CJK SC"/>
        <family val="2"/>
      </rPr>
      <t xml:space="preserve">進撃 の 巨人 </t>
    </r>
    <r>
      <rPr>
        <sz val="11"/>
        <color rgb="FF000000"/>
        <rFont val="Calibri"/>
        <family val="0"/>
        <charset val="1"/>
      </rPr>
      <t xml:space="preserve">Before the fall ) , written by Ryō Suzukaze and illustrated by Thores Shibamoto , began on April 1 , 2011 . Its story is set before the events of the manga and it was published by Kodansha in three volumes . While the first tells the story of Angel , the blacksmith who develops the first prototypes of the Vertical Maneuvering Equipment , the following two follow a young man who was found as a baby in the stomach of a Titan . A second light novel series called Attack on Titan : Harsh Mistress of the City ( </t>
    </r>
    <r>
      <rPr>
        <sz val="11"/>
        <color rgb="FF000000"/>
        <rFont val="Noto Sans CJK SC"/>
        <family val="2"/>
      </rPr>
      <t xml:space="preserve">進撃 の 巨人 隔絶 都市 の 女王 </t>
    </r>
    <r>
      <rPr>
        <sz val="11"/>
        <color rgb="FF000000"/>
        <rFont val="Calibri"/>
        <family val="0"/>
        <charset val="1"/>
      </rPr>
      <t xml:space="preserve">, Shingeki no Kyojin Kakuzetsu Toshi no Joō ) , written by Ryō Kawakami and illustrated by Range Murata , began on August 1 , 2014 . Vertical began releasing the novels in North America in the summer of 2014 . A novel titled Attack on Titan : Lost Girls ( </t>
    </r>
    <r>
      <rPr>
        <sz val="11"/>
        <color rgb="FF000000"/>
        <rFont val="Noto Sans CJK SC"/>
        <family val="2"/>
      </rPr>
      <t xml:space="preserve">進撃 の 巨人 </t>
    </r>
    <r>
      <rPr>
        <sz val="11"/>
        <color rgb="FF000000"/>
        <rFont val="Calibri"/>
        <family val="0"/>
        <charset val="1"/>
      </rPr>
      <t xml:space="preserve">Lost Girls ) , written by Hiroshi Seko , was published on December 9 , 2014 . It comprises three short stories featuring Mikasa and Annie Leonhart , titled `` Lost in the cruel world '' , `` Wall Sina , Goodbye '' , and `` Lost Girls '' . It was also released in English by Vertical .   Anime ( edit )  Main article : List of Attack on Titan episodes  An anime television series adaptation produced by Wit Studio ( a subsidiary of IG Port ) aired on MBS between April 7 , 2013 and September 29 , 2013 , directed by Tetsurō Araki with Yūki Kaji starring as Eren , Yui Ishikawa voicing Mikasa and Marina Inoue as Armin . Both Funimation and Crunchyroll simulcast the series on their respective websites , and Funimation began releasing the series on North American home video in 2014 . The anime has been licensed in the UK by Manga Entertainment . Madman Entertainment acquired the show for distribution in Australia and New Zealand . The final episode was also aired in Japanese theaters . The anime had some production issues with needing more animators with Wit Studios ' character designer , Kyoji Asano tweeting and looking for active animators to work on the anime . An OVA version of the `` Ilse 's Notebook '' special chapter from tankōbon volume 5 was originally scheduled to be released on August 9 , 2013 , bundled with the volume 11 limited edition , but was postponed and included with a limited edition of volume 12 , released on December 9 , 2013 , instead . The OVA was bundled on subtitled DVD with the English limited edition release of the 17th manga volume , released on December 1 , 2015 . A second OVA was released on April 9 , 2014 , bundled with the 13th volume of the series , this one focused on the members of the 104th Training Corps . Two additional OVA episodes , based on the Attack on Titan : No Regrets prequel manga , were bundled with the 15th and 16th volumes of the main series , released on December 9 , 2014 and April 9 , 2015 , respectively . The anime previously aired on Adult Swim 's Toonami block . In Australia , the anime currently airs on SBS 2 on Tuesdays , in Japanese with English subtitles , with the first episode having aired on September 30 .   The anime was compiled into two animated theatrical films with new voice acting from the same cast . The first film Attack on Titan -- Part 1 : Crimson Bow and Arrow ( </t>
    </r>
    <r>
      <rPr>
        <sz val="11"/>
        <color rgb="FF000000"/>
        <rFont val="Noto Sans CJK SC"/>
        <family val="2"/>
      </rPr>
      <t xml:space="preserve">「 進撃 の 巨人 」 前編 </t>
    </r>
    <r>
      <rPr>
        <sz val="11"/>
        <color rgb="FF000000"/>
        <rFont val="Calibri"/>
        <family val="0"/>
        <charset val="1"/>
      </rPr>
      <t xml:space="preserve">~ </t>
    </r>
    <r>
      <rPr>
        <sz val="11"/>
        <color rgb="FF000000"/>
        <rFont val="Noto Sans CJK SC"/>
        <family val="2"/>
      </rPr>
      <t xml:space="preserve">紅蓮 の 弓矢 </t>
    </r>
    <r>
      <rPr>
        <sz val="11"/>
        <color rgb="FF000000"/>
        <rFont val="Calibri"/>
        <family val="0"/>
        <charset val="1"/>
      </rPr>
      <t xml:space="preserve">~ , Shingeki no Kyojin Zenpen ~ Guren no Yumiya ~ ) covers the first 13 episodes and was released on November 22 , 2014 , while the second film Attack on Titan -- Part 2 : Wings of Freedom ( </t>
    </r>
    <r>
      <rPr>
        <sz val="11"/>
        <color rgb="FF000000"/>
        <rFont val="Noto Sans CJK SC"/>
        <family val="2"/>
      </rPr>
      <t xml:space="preserve">「 進撃 の 巨人 」 後編 </t>
    </r>
    <r>
      <rPr>
        <sz val="11"/>
        <color rgb="FF000000"/>
        <rFont val="Calibri"/>
        <family val="0"/>
        <charset val="1"/>
      </rPr>
      <t xml:space="preserve">~ </t>
    </r>
    <r>
      <rPr>
        <sz val="11"/>
        <color rgb="FF000000"/>
        <rFont val="Noto Sans CJK SC"/>
        <family val="2"/>
      </rPr>
      <t xml:space="preserve">自由 の 翼 </t>
    </r>
    <r>
      <rPr>
        <sz val="11"/>
        <color rgb="FF000000"/>
        <rFont val="Calibri"/>
        <family val="0"/>
        <charset val="1"/>
      </rPr>
      <t xml:space="preserve">~ , Shingeki no Kyojin Kōhen ~ Jiyū no Tsubasa ~ ) adapts the remaining episodes and adds new opening and ending footage . It was released on June 27 , 2015 . A rebroadcast of the first season was aired from January 9 , 2016 on NHK 's BS Premium channel . The compilation films were also broadcast in January 2017 on MBS .   A second season of the anime series was announced on the opening day of the first theatrical film , which was originally set to be released in 2016 . It was then confirmed in the January 2017 issue of the Bessatsu Shōnen Magazine that the second season would premiere in April 2017 . Masashi Koizuka directed the second season , with Araki acting as chief director . It has also been licensed by Funimation . It ran for 12 episodes .   An anime television adaptation of the Attack on Titan : Junior High manga spin - off began airing in October 2015 . The series was directed by Yoshihide Ibata at Production I.G , with series composition by Midori Gotou , character design by Yuuko Yahiro , and music by Asami Tachibana . Linked Horizon will be back to do the opening theme `` Youth Like Fireworks '' . The ending theme , `` Ground 's Counterattack '' ( `` Hangeki no Daichi '' ) , is performed by the voice actors for Eren , Mikasa , and Jean . A rebroadcast of the series was aired during January 2016 .   The second season of the anime series debuted on April 1 , 2017 . The season premiere was simulcast on Funimation , Crunchyroll , and the former 's VRV channel at 10 : 30 AM EST . That same day , it was also announced that the second season of Attack on Titan would premiere on Toonami on April 29 . It was subsequently announced on April 3 that the second season would premiere one week earlier , on April 22 instead .   Following the broadcast of the second season 's last episode , a third season was announced . It is scheduled to premiere in July 2018 . However , it will not be broadcast on MBS and other UHF channels . The third season will start broadcasting on NHK General TV .   A three part OVA of Attack on Titan : Lost Girls was set to be released in 2017 and 2018 with the limited editions of volumes 24 , 25 , and 26 .   A third compilation film was announced alongside the release date of the anime series ' third season at the `` Shingeki no Kyojin '' Reading &amp; Live Event Orchestra `` Attack Oto Taikan 2 '' event . Titled Attack on Titan : The Roar of Awakening ( </t>
    </r>
    <r>
      <rPr>
        <sz val="11"/>
        <color rgb="FF000000"/>
        <rFont val="Noto Sans CJK SC"/>
        <family val="2"/>
      </rPr>
      <t xml:space="preserve">「 進撃 の 巨人 」 </t>
    </r>
    <r>
      <rPr>
        <sz val="11"/>
        <color rgb="FF000000"/>
        <rFont val="Calibri"/>
        <family val="0"/>
        <charset val="1"/>
      </rPr>
      <t xml:space="preserve">~ </t>
    </r>
    <r>
      <rPr>
        <sz val="11"/>
        <color rgb="FF000000"/>
        <rFont val="Noto Sans CJK SC"/>
        <family val="2"/>
      </rPr>
      <t xml:space="preserve">覚醒 の 咆哮 </t>
    </r>
    <r>
      <rPr>
        <sz val="11"/>
        <color rgb="FF000000"/>
        <rFont val="Calibri"/>
        <family val="0"/>
        <charset val="1"/>
      </rPr>
      <t xml:space="preserve">~ , Shingeki no Kyojin ~ Kakusei no Hōkō ~ ) , the film recapped the events of the anime series ' second season and was released on January 13 , 2018 .   Music ( edit )  First season ( edit )    `` Attack on Titan '' Original Soundtrack     Soundtrack album by Hiroyuki Sawano     Released   June 28 , 2013 ( Disc 1 ) October 16 , 2013 ( Disc 2 )     Studio   Various ( show )   Studio Sound Valley   ( Tokyo , Japan )   Bunkamura Studio   ( Tokyo , Japan )   Studio Greenbird   ( Tokyo , Japan )   Onkio Haus   ( Tokyo , Japan )       Genre   Soundtrack     Length   1 : 17 : 27 ( Disc 1 ) 47 : 51 ( Disc 2 )     Label   Pony Canyon     Producer     Hiroyuki Sawano   Yasushi Horiguchi ( co . )       In the first season , for the first thirteen episodes , the opening theme is `` Guren no Yumiya '' ( </t>
    </r>
    <r>
      <rPr>
        <sz val="11"/>
        <color rgb="FF000000"/>
        <rFont val="Noto Sans CJK SC"/>
        <family val="2"/>
      </rPr>
      <t xml:space="preserve">紅蓮 の 弓矢 </t>
    </r>
    <r>
      <rPr>
        <sz val="11"/>
        <color rgb="FF000000"/>
        <rFont val="Calibri"/>
        <family val="0"/>
        <charset val="1"/>
      </rPr>
      <t xml:space="preserve">, lit . `` Crimson Bow and Arrow '' , styled in German as `` Feuerroter Pfeil und Bogen '' ) by Linked Horizon , and the ending theme is `` Utsukushiki Zankoku na Sekai '' ( </t>
    </r>
    <r>
      <rPr>
        <sz val="11"/>
        <color rgb="FF000000"/>
        <rFont val="Noto Sans CJK SC"/>
        <family val="2"/>
      </rPr>
      <t xml:space="preserve">美しき 残酷 な 世界 </t>
    </r>
    <r>
      <rPr>
        <sz val="11"/>
        <color rgb="FF000000"/>
        <rFont val="Calibri"/>
        <family val="0"/>
        <charset val="1"/>
      </rPr>
      <t xml:space="preserve">, lit . `` This Beautiful Cruel World '' ) by Yōko Hikasa . For episodes 14 -- 25 , the opening theme is `` Jiyū no Tsubasa '' ( </t>
    </r>
    <r>
      <rPr>
        <sz val="11"/>
        <color rgb="FF000000"/>
        <rFont val="Noto Sans CJK SC"/>
        <family val="2"/>
      </rPr>
      <t xml:space="preserve">自由 の 翼 </t>
    </r>
    <r>
      <rPr>
        <sz val="11"/>
        <color rgb="FF000000"/>
        <rFont val="Calibri"/>
        <family val="0"/>
        <charset val="1"/>
      </rPr>
      <t xml:space="preserve">, lit . `` Wings of Freedom '' , styled in German as `` Die Flügel der Freiheit '' ) by Linked Horizon , and the ending theme is `` great escape '' by Cinema Staff . Both `` Guren no Yumiya '' and `` Jiyū no Tsubasa '' were released as part of the single `` Jiyū e no Shingeki '' on July 10 , 2013 .   The series ' soundtrack was composed by Hiroyuki Sawano , and the first CD was released on June 28 , 2013 by Pony Canyon . The first CD contains 16 tracks , with 6 vocal tracks featuring performances by Mika Kobayashi , mpi , Cyua , Aimee Blackschleger and CASG . The second CD containing the other half of the soundtrack was released on October 16 , 2013 as a bonus offered with the fourth Blu - ray and DVD limited edition volumes of the anime .  Track listing ( edit )  All music composed by Hiroyuki Sawano .     ( show ) `` Attack on Titan '' Original Soundtrack     No .   Title   Lyrics   Performer ( s )   Length     1 .   `` ətˈæk 0N tάɪtn '' ( attack ON titan )   Rie   Mika Kobayashi   4 : 17     2 .   `` The Reluctant Heroes ''   mpi   mpi   4 : 27     3 .   `` eye - water ''       3 : 01     4 .   `` </t>
    </r>
    <r>
      <rPr>
        <sz val="11"/>
        <color rgb="FF000000"/>
        <rFont val="Noto Sans CJK SC"/>
        <family val="2"/>
      </rPr>
      <t xml:space="preserve">立 </t>
    </r>
    <r>
      <rPr>
        <sz val="11"/>
        <color rgb="FF000000"/>
        <rFont val="Calibri"/>
        <family val="0"/>
        <charset val="1"/>
      </rPr>
      <t xml:space="preserve">body </t>
    </r>
    <r>
      <rPr>
        <sz val="11"/>
        <color rgb="FF000000"/>
        <rFont val="Noto Sans CJK SC"/>
        <family val="2"/>
      </rPr>
      <t xml:space="preserve">機 </t>
    </r>
    <r>
      <rPr>
        <sz val="11"/>
        <color rgb="FF000000"/>
        <rFont val="Calibri"/>
        <family val="0"/>
        <charset val="1"/>
      </rPr>
      <t xml:space="preserve">motion '' ( Rittai Kidou ; `` Three - Dimensional Maneuver '' )       5 : 43     5 .   `` cóunter </t>
    </r>
    <r>
      <rPr>
        <sz val="11"/>
        <color rgb="FF000000"/>
        <rFont val="Noto Sans CJK SC"/>
        <family val="2"/>
      </rPr>
      <t xml:space="preserve">・ </t>
    </r>
    <r>
      <rPr>
        <sz val="11"/>
        <color rgb="FF000000"/>
        <rFont val="Calibri"/>
        <family val="0"/>
        <charset val="1"/>
      </rPr>
      <t xml:space="preserve">attàck - mˈænkάɪnd '' ( counter. attack - mankind )       6 : 07     6 .   `` army ⇒ G ♂ '' ( army ATTACK )       3 : 26     7 .   `` Vogel im Käfig '' ( `` Bird in a Cage '' )   Rie   Cyua   6 : 20     8 .   `` DOA ''   mpi   Aimee Blackschleger   3 : 26     9 .   `` </t>
    </r>
    <r>
      <rPr>
        <sz val="11"/>
        <color rgb="FF000000"/>
        <rFont val="Noto Sans CJK SC"/>
        <family val="2"/>
      </rPr>
      <t xml:space="preserve">凸 </t>
    </r>
    <r>
      <rPr>
        <sz val="11"/>
        <color rgb="FF000000"/>
        <rFont val="Calibri"/>
        <family val="0"/>
        <charset val="1"/>
      </rPr>
      <t xml:space="preserve">) ♀ ) ♂ ) ← </t>
    </r>
    <r>
      <rPr>
        <sz val="11"/>
        <color rgb="FF000000"/>
        <rFont val="Noto Sans CJK SC"/>
        <family val="2"/>
      </rPr>
      <t xml:space="preserve">巨人 </t>
    </r>
    <r>
      <rPr>
        <sz val="11"/>
        <color rgb="FF000000"/>
        <rFont val="Calibri"/>
        <family val="0"/>
        <charset val="1"/>
      </rPr>
      <t xml:space="preserve">'' ( Kyojin Shinkou ; `` Titan Invasion '' )       4 : 21     10 .   `` E </t>
    </r>
    <r>
      <rPr>
        <sz val="11"/>
        <color rgb="FF000000"/>
        <rFont val="Noto Sans CJK SC"/>
        <family val="2"/>
      </rPr>
      <t xml:space="preserve">・ </t>
    </r>
    <r>
      <rPr>
        <sz val="11"/>
        <color rgb="FF000000"/>
        <rFont val="Calibri"/>
        <family val="0"/>
        <charset val="1"/>
      </rPr>
      <t xml:space="preserve">M </t>
    </r>
    <r>
      <rPr>
        <sz val="11"/>
        <color rgb="FF000000"/>
        <rFont val="Noto Sans CJK SC"/>
        <family val="2"/>
      </rPr>
      <t xml:space="preserve">・ </t>
    </r>
    <r>
      <rPr>
        <sz val="11"/>
        <color rgb="FF000000"/>
        <rFont val="Calibri"/>
        <family val="0"/>
        <charset val="1"/>
      </rPr>
      <t xml:space="preserve">A ''       5 : 43     11 .   `` </t>
    </r>
    <r>
      <rPr>
        <sz val="11"/>
        <color rgb="FF000000"/>
        <rFont val="Noto Sans CJK SC"/>
        <family val="2"/>
      </rPr>
      <t xml:space="preserve">巨 ♀ </t>
    </r>
    <r>
      <rPr>
        <sz val="11"/>
        <color rgb="FF000000"/>
        <rFont val="Calibri"/>
        <family val="0"/>
        <charset val="1"/>
      </rPr>
      <t xml:space="preserve">~ 9 </t>
    </r>
    <r>
      <rPr>
        <sz val="11"/>
        <color rgb="FF000000"/>
        <rFont val="Noto Sans CJK SC"/>
        <family val="2"/>
      </rPr>
      <t xml:space="preserve">地区 </t>
    </r>
    <r>
      <rPr>
        <sz val="11"/>
        <color rgb="FF000000"/>
        <rFont val="Calibri"/>
        <family val="0"/>
        <charset val="1"/>
      </rPr>
      <t xml:space="preserve">'' ( Megata Kyojin Kuchiku ; `` Female Titan Extermination '' )       5 : 15     12 .   `` Bauklötze '' ( `` Building Blocks '' )   Rie   Mika Kobayashi   3 : 56     13 .   `` 2chi </t>
    </r>
    <r>
      <rPr>
        <sz val="11"/>
        <color rgb="FF000000"/>
        <rFont val="Noto Sans CJK SC"/>
        <family val="2"/>
      </rPr>
      <t xml:space="preserve">城 </t>
    </r>
    <r>
      <rPr>
        <sz val="11"/>
        <color rgb="FF000000"/>
        <rFont val="Calibri"/>
        <family val="0"/>
        <charset val="1"/>
      </rPr>
      <t xml:space="preserve">'' ( Nichijou ; `` Daily Life '' )       6 : 48     14 .   `` XL - TT ''       6 : 37     15 .   `` Call your name ''   mpi     mpi   CASG     4 : 28     16 .   `` omake - pfadlib ''       3 : 32     Total length :   1 : 17 : 27       ( show ) `` Attack on Titan '' Original Soundtrack II     No .   Title   Length     1 .   `` </t>
    </r>
    <r>
      <rPr>
        <sz val="11"/>
        <color rgb="FF000000"/>
        <rFont val="Noto Sans CJK SC"/>
        <family val="2"/>
      </rPr>
      <t xml:space="preserve">進撃 </t>
    </r>
    <r>
      <rPr>
        <sz val="11"/>
        <color rgb="FF000000"/>
        <rFont val="Calibri"/>
        <family val="0"/>
        <charset val="1"/>
      </rPr>
      <t xml:space="preserve">st - hrn - egt20130629 </t>
    </r>
    <r>
      <rPr>
        <sz val="11"/>
        <color rgb="FF000000"/>
        <rFont val="Noto Sans CJK SC"/>
        <family val="2"/>
      </rPr>
      <t xml:space="preserve">巨人 </t>
    </r>
    <r>
      <rPr>
        <sz val="11"/>
        <color rgb="FF000000"/>
        <rFont val="Calibri"/>
        <family val="0"/>
        <charset val="1"/>
      </rPr>
      <t xml:space="preserve">''   5 : 00     2 .   `` </t>
    </r>
    <r>
      <rPr>
        <sz val="11"/>
        <color rgb="FF000000"/>
        <rFont val="Noto Sans CJK SC"/>
        <family val="2"/>
      </rPr>
      <t xml:space="preserve">進撃 </t>
    </r>
    <r>
      <rPr>
        <sz val="11"/>
        <color rgb="FF000000"/>
        <rFont val="Calibri"/>
        <family val="0"/>
        <charset val="1"/>
      </rPr>
      <t xml:space="preserve">pf20130218 </t>
    </r>
    <r>
      <rPr>
        <sz val="11"/>
        <color rgb="FF000000"/>
        <rFont val="Noto Sans CJK SC"/>
        <family val="2"/>
      </rPr>
      <t xml:space="preserve">巨人 </t>
    </r>
    <r>
      <rPr>
        <sz val="11"/>
        <color rgb="FF000000"/>
        <rFont val="Calibri"/>
        <family val="0"/>
        <charset val="1"/>
      </rPr>
      <t xml:space="preserve">''   4 : 41     3 .   `` </t>
    </r>
    <r>
      <rPr>
        <sz val="11"/>
        <color rgb="FF000000"/>
        <rFont val="Noto Sans CJK SC"/>
        <family val="2"/>
      </rPr>
      <t xml:space="preserve">進撃 </t>
    </r>
    <r>
      <rPr>
        <sz val="11"/>
        <color rgb="FF000000"/>
        <rFont val="Calibri"/>
        <family val="0"/>
        <charset val="1"/>
      </rPr>
      <t xml:space="preserve">gt20130218 </t>
    </r>
    <r>
      <rPr>
        <sz val="11"/>
        <color rgb="FF000000"/>
        <rFont val="Noto Sans CJK SC"/>
        <family val="2"/>
      </rPr>
      <t xml:space="preserve">巨人 </t>
    </r>
    <r>
      <rPr>
        <sz val="11"/>
        <color rgb="FF000000"/>
        <rFont val="Calibri"/>
        <family val="0"/>
        <charset val="1"/>
      </rPr>
      <t xml:space="preserve">''   2 : 31     4 .   `` </t>
    </r>
    <r>
      <rPr>
        <sz val="11"/>
        <color rgb="FF000000"/>
        <rFont val="Noto Sans CJK SC"/>
        <family val="2"/>
      </rPr>
      <t xml:space="preserve">進撃 </t>
    </r>
    <r>
      <rPr>
        <sz val="11"/>
        <color rgb="FF000000"/>
        <rFont val="Calibri"/>
        <family val="0"/>
        <charset val="1"/>
      </rPr>
      <t xml:space="preserve">st - hrn - gt - pf20130629 </t>
    </r>
    <r>
      <rPr>
        <sz val="11"/>
        <color rgb="FF000000"/>
        <rFont val="Noto Sans CJK SC"/>
        <family val="2"/>
      </rPr>
      <t xml:space="preserve">巨人 </t>
    </r>
    <r>
      <rPr>
        <sz val="11"/>
        <color rgb="FF000000"/>
        <rFont val="Calibri"/>
        <family val="0"/>
        <charset val="1"/>
      </rPr>
      <t xml:space="preserve">''   4 : 37     5 .   `` </t>
    </r>
    <r>
      <rPr>
        <sz val="11"/>
        <color rgb="FF000000"/>
        <rFont val="Noto Sans CJK SC"/>
        <family val="2"/>
      </rPr>
      <t xml:space="preserve">進撃 </t>
    </r>
    <r>
      <rPr>
        <sz val="11"/>
        <color rgb="FF000000"/>
        <rFont val="Calibri"/>
        <family val="0"/>
        <charset val="1"/>
      </rPr>
      <t xml:space="preserve">vc - pf20130218 </t>
    </r>
    <r>
      <rPr>
        <sz val="11"/>
        <color rgb="FF000000"/>
        <rFont val="Noto Sans CJK SC"/>
        <family val="2"/>
      </rPr>
      <t xml:space="preserve">巨人 </t>
    </r>
    <r>
      <rPr>
        <sz val="11"/>
        <color rgb="FF000000"/>
        <rFont val="Calibri"/>
        <family val="0"/>
        <charset val="1"/>
      </rPr>
      <t xml:space="preserve">''   6 : 11     6 .   `` </t>
    </r>
    <r>
      <rPr>
        <sz val="11"/>
        <color rgb="FF000000"/>
        <rFont val="Noto Sans CJK SC"/>
        <family val="2"/>
      </rPr>
      <t xml:space="preserve">進撃 </t>
    </r>
    <r>
      <rPr>
        <sz val="11"/>
        <color rgb="FF000000"/>
        <rFont val="Calibri"/>
        <family val="0"/>
        <charset val="1"/>
      </rPr>
      <t xml:space="preserve">vn - pf20130524 </t>
    </r>
    <r>
      <rPr>
        <sz val="11"/>
        <color rgb="FF000000"/>
        <rFont val="Noto Sans CJK SC"/>
        <family val="2"/>
      </rPr>
      <t xml:space="preserve">巨人 </t>
    </r>
    <r>
      <rPr>
        <sz val="11"/>
        <color rgb="FF000000"/>
        <rFont val="Calibri"/>
        <family val="0"/>
        <charset val="1"/>
      </rPr>
      <t xml:space="preserve">''   3 : 23     7 .   `` </t>
    </r>
    <r>
      <rPr>
        <sz val="11"/>
        <color rgb="FF000000"/>
        <rFont val="Noto Sans CJK SC"/>
        <family val="2"/>
      </rPr>
      <t xml:space="preserve">進撃 </t>
    </r>
    <r>
      <rPr>
        <sz val="11"/>
        <color rgb="FF000000"/>
        <rFont val="Calibri"/>
        <family val="0"/>
        <charset val="1"/>
      </rPr>
      <t xml:space="preserve">pf - adlib - b20130218 </t>
    </r>
    <r>
      <rPr>
        <sz val="11"/>
        <color rgb="FF000000"/>
        <rFont val="Noto Sans CJK SC"/>
        <family val="2"/>
      </rPr>
      <t xml:space="preserve">巨人 </t>
    </r>
    <r>
      <rPr>
        <sz val="11"/>
        <color rgb="FF000000"/>
        <rFont val="Calibri"/>
        <family val="0"/>
        <charset val="1"/>
      </rPr>
      <t xml:space="preserve">''   2 : 51     8 .   `` </t>
    </r>
    <r>
      <rPr>
        <sz val="11"/>
        <color rgb="FF000000"/>
        <rFont val="Noto Sans CJK SC"/>
        <family val="2"/>
      </rPr>
      <t xml:space="preserve">進撃 </t>
    </r>
    <r>
      <rPr>
        <sz val="11"/>
        <color rgb="FF000000"/>
        <rFont val="Calibri"/>
        <family val="0"/>
        <charset val="1"/>
      </rPr>
      <t xml:space="preserve">st20130629 </t>
    </r>
    <r>
      <rPr>
        <sz val="11"/>
        <color rgb="FF000000"/>
        <rFont val="Noto Sans CJK SC"/>
        <family val="2"/>
      </rPr>
      <t xml:space="preserve">巨人 </t>
    </r>
    <r>
      <rPr>
        <sz val="11"/>
        <color rgb="FF000000"/>
        <rFont val="Calibri"/>
        <family val="0"/>
        <charset val="1"/>
      </rPr>
      <t xml:space="preserve">''   5 : 25     9 .   `` </t>
    </r>
    <r>
      <rPr>
        <sz val="11"/>
        <color rgb="FF000000"/>
        <rFont val="Noto Sans CJK SC"/>
        <family val="2"/>
      </rPr>
      <t xml:space="preserve">進撃 </t>
    </r>
    <r>
      <rPr>
        <sz val="11"/>
        <color rgb="FF000000"/>
        <rFont val="Calibri"/>
        <family val="0"/>
        <charset val="1"/>
      </rPr>
      <t xml:space="preserve">pf - adlib - c20130218 </t>
    </r>
    <r>
      <rPr>
        <sz val="11"/>
        <color rgb="FF000000"/>
        <rFont val="Noto Sans CJK SC"/>
        <family val="2"/>
      </rPr>
      <t xml:space="preserve">巨人 </t>
    </r>
    <r>
      <rPr>
        <sz val="11"/>
        <color rgb="FF000000"/>
        <rFont val="Calibri"/>
        <family val="0"/>
        <charset val="1"/>
      </rPr>
      <t xml:space="preserve">''   3 : 53     10 .   `` </t>
    </r>
    <r>
      <rPr>
        <sz val="11"/>
        <color rgb="FF000000"/>
        <rFont val="Noto Sans CJK SC"/>
        <family val="2"/>
      </rPr>
      <t xml:space="preserve">進撃 </t>
    </r>
    <r>
      <rPr>
        <sz val="11"/>
        <color rgb="FF000000"/>
        <rFont val="Calibri"/>
        <family val="0"/>
        <charset val="1"/>
      </rPr>
      <t xml:space="preserve">st - hrn - gt20130629 </t>
    </r>
    <r>
      <rPr>
        <sz val="11"/>
        <color rgb="FF000000"/>
        <rFont val="Noto Sans CJK SC"/>
        <family val="2"/>
      </rPr>
      <t xml:space="preserve">巨人 </t>
    </r>
    <r>
      <rPr>
        <sz val="11"/>
        <color rgb="FF000000"/>
        <rFont val="Calibri"/>
        <family val="0"/>
        <charset val="1"/>
      </rPr>
      <t xml:space="preserve">''   4 : 13     11 .   `` </t>
    </r>
    <r>
      <rPr>
        <sz val="11"/>
        <color rgb="FF000000"/>
        <rFont val="Noto Sans CJK SC"/>
        <family val="2"/>
      </rPr>
      <t xml:space="preserve">進撃 </t>
    </r>
    <r>
      <rPr>
        <sz val="11"/>
        <color rgb="FF000000"/>
        <rFont val="Calibri"/>
        <family val="0"/>
        <charset val="1"/>
      </rPr>
      <t xml:space="preserve">pf - medley20130629 </t>
    </r>
    <r>
      <rPr>
        <sz val="11"/>
        <color rgb="FF000000"/>
        <rFont val="Noto Sans CJK SC"/>
        <family val="2"/>
      </rPr>
      <t xml:space="preserve">巨人 </t>
    </r>
    <r>
      <rPr>
        <sz val="11"/>
        <color rgb="FF000000"/>
        <rFont val="Calibri"/>
        <family val="0"/>
        <charset val="1"/>
      </rPr>
      <t xml:space="preserve">''   5 : 06     Total length :   47 : 51    Second season ( edit )    `` Attack on Titan '' Season 2 Original Soundtrack     Soundtrack album by Hiroyuki Sawano     Released   June 7 , 2017     Genre   Soundtrack     Label   Pony Canyon     Producer     Hiroyuki Sawano   Yasushi Horiguchi ( co-producer )       Hiroyuki Sawano soundtrack albums chronology        Crisis Original Soundtrack ( 2017 ) Crisis Original Soundtrack2017   `` Attack on Titan '' Season 2 Original Soundtrack ( 2017 )   Re : CREATORS Original Soundtrack ( 2017 ) Re : CREATORS Original Soundtrack 2017            Singles from `` Attack on Titan '' Season 2 Original Soundtrack       `` YAMANAIAME '' Released : November 19 , 2014   `` theDOGS '' Released : July 1 , 2015           The opening theme is `` Shinzou wo Sasageyo ! '' ( </t>
    </r>
    <r>
      <rPr>
        <sz val="11"/>
        <color rgb="FF000000"/>
        <rFont val="Noto Sans CJK SC"/>
        <family val="2"/>
      </rPr>
      <t xml:space="preserve">心臓 を 捧げ よう </t>
    </r>
    <r>
      <rPr>
        <sz val="11"/>
        <color rgb="FF000000"/>
        <rFont val="Calibri"/>
        <family val="0"/>
        <charset val="1"/>
      </rPr>
      <t xml:space="preserve">! , lit . `` Dedicate your Heart ! '' , styled in German as `` Opfert eure Herzen ! '' ) by Linked Horizon , and the ending theme is `` Yuugure no Tori '' ( </t>
    </r>
    <r>
      <rPr>
        <sz val="11"/>
        <color rgb="FF000000"/>
        <rFont val="Noto Sans CJK SC"/>
        <family val="2"/>
      </rPr>
      <t xml:space="preserve">夕暮れ の 鳥 </t>
    </r>
    <r>
      <rPr>
        <sz val="11"/>
        <color rgb="FF000000"/>
        <rFont val="Calibri"/>
        <family val="0"/>
        <charset val="1"/>
      </rPr>
      <t xml:space="preserve">, lit . `` Bird at Dusk '' ) by Shinsei Kamattechan .   Sawano returned to compose the soundtrack for the second season , with the 2CD soundtrack scheduled for release on June 7 , 2017 by Pony Canyon .  Track listing ( edit )  All music composed by Hiroyuki Sawano .     ( show ) `` Attack on Titan '' Season 2 Original Soundtrack - CD1     No .   Title   Lyrics   Performer ( s )   Length     1 .   `` Barricades ''     Benjamin   mpi       yosh   Gemie   mpi     3 : 41     2 .   `` APETITAN ''       5 : 31     3 .   `` YouSeeBIGGIRL / T : T '' ( YmirBIGGIRL / Titan vs Titan )   Rie   Gemie   5 : 58     4 .   `` son2seaVer ''       5 : 22     5 .   `` Call of Silence ''   cAnON .   Gemie   2 : 57     6 .   `` ERENthe </t>
    </r>
    <r>
      <rPr>
        <sz val="11"/>
        <color rgb="FF000000"/>
        <rFont val="Noto Sans CJK SC"/>
        <family val="2"/>
      </rPr>
      <t xml:space="preserve">標 </t>
    </r>
    <r>
      <rPr>
        <sz val="11"/>
        <color rgb="FF000000"/>
        <rFont val="Calibri"/>
        <family val="0"/>
        <charset val="1"/>
      </rPr>
      <t xml:space="preserve">'' ( EREN the Coordinate )       6 : 23     7 .   `` attack </t>
    </r>
    <r>
      <rPr>
        <sz val="11"/>
        <color rgb="FF000000"/>
        <rFont val="Noto Sans CJK SC"/>
        <family val="2"/>
      </rPr>
      <t xml:space="preserve">音 </t>
    </r>
    <r>
      <rPr>
        <sz val="11"/>
        <color rgb="FF000000"/>
        <rFont val="Calibri"/>
        <family val="0"/>
        <charset val="1"/>
      </rPr>
      <t xml:space="preserve">D '' ( attack on D )       4 : 44     8 .   `` YAMANAIAME ''     Benjamin   mpi       Mica Caldito   mpi   Mika Kobayashi     4 : 27     9 .   `` 2Volt ''       6 : 46     10 .   `` </t>
    </r>
    <r>
      <rPr>
        <sz val="11"/>
        <color rgb="FF000000"/>
        <rFont val="Noto Sans CJK SC"/>
        <family val="2"/>
      </rPr>
      <t xml:space="preserve">進撃 </t>
    </r>
    <r>
      <rPr>
        <sz val="11"/>
        <color rgb="FF000000"/>
        <rFont val="Calibri"/>
        <family val="0"/>
        <charset val="1"/>
      </rPr>
      <t xml:space="preserve">st - hrn - egt20130629 </t>
    </r>
    <r>
      <rPr>
        <sz val="11"/>
        <color rgb="FF000000"/>
        <rFont val="Noto Sans CJK SC"/>
        <family val="2"/>
      </rPr>
      <t xml:space="preserve">巨人 </t>
    </r>
    <r>
      <rPr>
        <sz val="11"/>
        <color rgb="FF000000"/>
        <rFont val="Calibri"/>
        <family val="0"/>
        <charset val="1"/>
      </rPr>
      <t xml:space="preserve">'' ( Shingeki Strings - Horns - ElectricGuitar 20130629 Kyojin )       5 : 00     11 .   `` So ist es immer ''     Rie   Benjamin   mpi     Benjamin   4 : 48     12 .   `` </t>
    </r>
    <r>
      <rPr>
        <sz val="11"/>
        <color rgb="FF000000"/>
        <rFont val="Noto Sans CJK SC"/>
        <family val="2"/>
      </rPr>
      <t xml:space="preserve">進撃 </t>
    </r>
    <r>
      <rPr>
        <sz val="11"/>
        <color rgb="FF000000"/>
        <rFont val="Calibri"/>
        <family val="0"/>
        <charset val="1"/>
      </rPr>
      <t xml:space="preserve">st - hrn - gt - pf20130629 </t>
    </r>
    <r>
      <rPr>
        <sz val="11"/>
        <color rgb="FF000000"/>
        <rFont val="Noto Sans CJK SC"/>
        <family val="2"/>
      </rPr>
      <t xml:space="preserve">巨人 </t>
    </r>
    <r>
      <rPr>
        <sz val="11"/>
        <color rgb="FF000000"/>
        <rFont val="Calibri"/>
        <family val="0"/>
        <charset val="1"/>
      </rPr>
      <t xml:space="preserve">'' ( Shingeki Strings - Horns - Guitar - Piano 20130629 Kyojin )       4 : 36     13 .   `` ymniam - orch ''       3 : 09     14 .   `` The Reluctant Heroes  ''   mpi   Mica Caldito   4 : 30     15 .   `` </t>
    </r>
    <r>
      <rPr>
        <sz val="11"/>
        <color rgb="FF000000"/>
        <rFont val="Noto Sans CJK SC"/>
        <family val="2"/>
      </rPr>
      <t xml:space="preserve">進撃 </t>
    </r>
    <r>
      <rPr>
        <sz val="11"/>
        <color rgb="FF000000"/>
        <rFont val="Calibri"/>
        <family val="0"/>
        <charset val="1"/>
      </rPr>
      <t xml:space="preserve">st - hrn - gt20130629 </t>
    </r>
    <r>
      <rPr>
        <sz val="11"/>
        <color rgb="FF000000"/>
        <rFont val="Noto Sans CJK SC"/>
        <family val="2"/>
      </rPr>
      <t xml:space="preserve">巨人 </t>
    </r>
    <r>
      <rPr>
        <sz val="11"/>
        <color rgb="FF000000"/>
        <rFont val="Calibri"/>
        <family val="0"/>
        <charset val="1"/>
      </rPr>
      <t xml:space="preserve">'' ( Shingeki Strings - Horns - Guitar 20130629 Kyojin )       4 : 12     16 .   `` theDOGS ''   mpi   mpi   4 : 35     Total length :   1 : 16 : 45       ( show ) `` Attack on Titan '' Season 2 Original Soundtrack - CD2     No .   Title   Lyrics   Performer ( s )   Leng</t>
    </r>
  </si>
  <si>
    <t xml:space="preserve">is there going to be another season of attack on titan</t>
  </si>
  <si>
    <t xml:space="preserve"> The spin - off light novel series Before the Fall began in December 2011 and has received a manga adaptation . Two additional light novel series and four additional spin - off manga series have also been created . An anime television adaptation is being produced by Wit Studio and Production I.G , airing in Japan on MBS . The first season aired between April and September 2013 , the second season aired between April and June 2017 , and a third season is scheduled to be released in July 2018 . Four video game adaptations developed by Nitroplus staffers in collaboration with Production I.G were announced to be released as bonus content for the third and sixth volumes of the Blu - ray Disc release of the anime , with another game developed by Spike Chunsoft for the Nintendo 3DS . A two - part live - action film adaptation , Attack on Titan and Attack on Titan : End of the World , and a live - action web - series were released in 2015 . An anime adaptation of the Junior High spin - off manga , produced by Production I.G , began airing in October 2015 . Attack on Titan and all five spin - off manga are published in North America by Kodansha Comics USA , while the three novel series are published by Vertical . The anime has been licensed by Funimation for North America , by Manga Entertainment for the UK , and by Madman Entertainment for Australasia . </t>
  </si>
  <si>
    <r>
      <rPr>
        <sz val="11"/>
        <color rgb="FF000000"/>
        <rFont val="Calibri"/>
        <family val="0"/>
        <charset val="1"/>
      </rPr>
      <t xml:space="preserve">Goods and services tax ( Malaysia ) - wikipedia  Goods and services tax ( Malaysia )  Jump to : navigation , search See also : Goods and Services Tax Act 2014  The Goods and Services Tax ( GST ) is a value added tax in Malaysia . GST is levied on most transactions in the production process , but is refunded with exception of Blocked Input Tax , to all parties in the chain of production other than the final consumer .   The existing standard rate for GST effective from 1 April 2015 is 6 % . Many domestically consumed items such as fresh foods , water and electricity are zero - rated , while some supplies such as education and health services are GST exempted .     Contents  ( hide )   1 Background   2 Zero - rated and exempted supplies   3 See also   4 References   5 External links      Background ( edit )   GST was scheduled to be implemented by the government during the third quarter of 2011 , but the implementation was delayed until 1 April 2015 . Its purpose is to replace the sales and service tax which has been used in the country for several decades . The government is seeking additional revenue to offset its budget deficit and reduce its dependence on revenue from Petronas , Malaysia 's state - owned oil company . The 6 % tax will replace a sales - and - service tax of between 5 -- 15 % .   The Goods and Services Tax Bill 2009 was tabled for its first reading at the Dewan Rakyat ( the lower house of the Malaysian parliament ) on 16 December 2009 . It was delayed amid mounting criticism . The government responded by asserting that the tax on oil income will not be sustainable in the future . National Consumer Complaints Centre head Muhammad Sha'ani Abdullah has said , `` The government should create more awareness on what the GST is . The public can not be blamed for their lack of understanding , and thus , their fears '' . Sha'ani says that the GST will improve accounting , reduce tax fraud , and facilitate enforcement of the upcoming Anti-Profiteering Act . Muslim Consumer Association of Malaysia leader Datuk Dr. Ma'amor Osman said the GST could help end dishonest business practices , but expressed concern about how the tax would be applied to medical products and services . A group leading the campaign against the GST , Protes ( which objects to the GST because of concerns about its effects on low - income Malaysians ) , cancelled a planned protest but has stated that they will continue to agitate against the legislation .   During the government reading of the 2014 budget , Malaysian Prime Minister Najib Razak announced a GST tax of 6 % starting on 1 April 2015 . This will replace the Sales and Services Tax . Implementing GST tax will be a part of the Government 's tax reform program to enhance the capability , effectiveness and transparency of tax administration and management . The GST was implemented on 1 April 2015 .   By June 2015 , worldwide crude oil prices fall to half its value , several nation &amp; oil industries consider it a crisis , the income from newly implemented GST manage to supplant Malaysia national budget from deficit induced by a lost in oil tax revenue . On 7 March 2016 , the Malaysian King Yang di - Pertuan Agong Tuanku Abdul Halim Mu'adzam Shah congratulate the government for implementing GST .   Zero - rated and exempted supplies ( edit )   Certain good and services , mainly for domestic use and essential services , are categorized as zero - rated supplies and exempted supplies . Zero - rated supplies are taxable supplies that are taxed at a GST of 0 % ; exempted supplies are non-taxable supplies that are not subjected to GST . While the net effect on consumers for both zero - rated and exempted supplies is the same , i.e. consumers do not pay any GST , the difference lies in the input tax credit claim by businesses . For zero - rated supplies , while GST is charged at the zero rate to the end consumer , businesses may claim input tax credit on the GST incurred in producing the supplies . On the other hand , for exempted supplies , businesses can not charge GST to the end consumer , and they are not eligible to claim input tax credit on the GST incurred in producing the supplies .   Examples of zero - rated supplies :    Agricultural products -- paddy , fresh or chilled vegetables , certain provisionally preserved vegetables   Essential foodstuff -- oils , salt , flour , etc .   Livestocks and livestock supplies or poultry -- live animals and unprocessed meat   Eggs   Fish -- live , fresh , frozen and dried   First 300 kwh of electricity for domestic use   Water for domestic users   Goods supplied to designated areas from Malaysia -- Labuan , Langkawi &amp; Tioman   Exported goods   Exported services -- such as architecture services in connection with land outside Malaysia   Selected services in Malaysia -- such as pilotage , salvage or towage services   International services -- such as transport of passengers or goods from a place in Malaysia to a place outside Malaysia   RON95 petrol , diesel and LPG   Sale of Residential Property   Services provided by Government which are not considered commercial services , such as permits , licences etc . Services considered commercial are TV advertisement , rental of equipments , rental of multifunction halls etc .    Examples of exempted supplies :    Financial Services   Public Transport Services   Private Education Services   Tolled Highways or Bridges   Childcare Services   Funeral , Burial and Cremation Services   Private Healthcare Services   Supplies Made by Societies   Residential Land or Building   Agriculture or General Use Land    See also ( edit )    Goods and Services Tax ( India )   Goods and Services Tax ( Australia )   Goods and Services Tax ( Canada )   Goods and Services Tax ( New Zealand )   Goods and Services Tax ( Singapore )    References ( edit )    Jump up ^ `` Govt may impose GST at 4 % : Husni '' . SinChew. 26 November 2009 . Retrieved 26 February 2010 .   Jump up ^ `` GST Implementation Is To Place Malaysia At Par With Developed Countries , Says Ahmad Husni '' . Bernama. 19 February 2010 . Retrieved 26 February 2010 .   Jump up ^ `` GST May Bring Down Other Forms Of Taxation , Says MIER '' . Bernama. 11 February 2010 . Retrieved 26 February 2010 .   Jump up ^ `` Parliament : GST Bill tabled for first reading ( Update ) '' . TheStar Online . 16 December 2009 . Archived from the original on 21 June 2011 . Retrieved 26 February 2010 .   Jump up ^ `` Finance minister : No second reading of GST Bill for now '' . Malaysian Insider. 14 March 2010 . Archived from the original on 16 March 2010 . Retrieved 15 March 2010 .   Jump up ^ `` Pakatan flays government over GST delay '' . Malaysian Insider. 15 March 2010 . Archived from the original on 17 March 2010 . Retrieved 15 March 2010 .   Jump up ^ `` Government defends GST delay , scoffs at PR 's victory claims '' . Malaysian Insider. 15 March 2010 . Archived from the original on 22 March 2010 . Retrieved 15 March 2010 .   Jump up ^ Creating awareness on GST is needed , says NGOs , by Azreen Hani . The Malay Mail , 15 March 2010   Jump up ^ `` Pakatan MPs give budget thumbs down , say it 's nothing new Free Malaysia Today '' . freemalaysiatoday.com . Retrieved 11 January 2015 .   Jump up ^ `` DPM : GST will boost the economy Free Malaysia Today '' . freemalaysiatoday.com . Retrieved 11 January 2015 .   Jump up ^ `` Malaysia to introduce GST at 6 % from April 2015 - SE Asia - The Straits Times '' . straitstimes.com . Retrieved 11 January 2015 .   Jump up ^ `` Essential items , services to be exempted from Malaysia 's GST - SE Asia - The Straits Times '' . straitstimes.com . Retrieved 11 January 2015 .   Jump up ^ `` Why Malaysia needs GST '' , Malaysia , 30 September 2014 .   Jump up ^ `` Falling oil prices : Who are the winners and losers ? '' . bbc.com . Retrieved 11 November 2017 .   Jump up ^ `` PM : GST saved the economy '' . thestar.com.my . Retrieved 11 November 2017 .   Jump up ^ `` Agong congratulates Najib on job well done '' . themalaymailonline.com . Retrieved 11 November 2017 .   Jump up ^ Zero - rated supplies , Royal Malaysian Customs Department GST website   Jump up ^ Exempt supplies , Royal Malaysian Customs Department GST website   Jump up ^ What is Zero - Rated Supply in GST ?   Jump up ^ What is Exempt Supply in GST ?    External links ( edit )    Goods and Services Act 2014   Chartered Tax Institute of Malaysia   Goods &amp; Services Tax at Royal Malaysian Customs Department   Goods &amp; Services Tax at Ministry of Finance , Malaysia   Difference between Grade A ( Advanced ) and Grade B ( Basic ) GST Certified Vendor by Royal Malaysian Customs   List of certified GST Vendor published by Royal Malaysian Customs   Junior Chamber International Mines Collecting Post-GST Feedbacks              Economy of Malaysia     History     1997 Asian financial crisis   Tiger Cub Economies       Currency     Central Bank of Malaysia   Malaysian ringgit       Banking and Finance     Malaysia Stock Exchange   Kuala Lumpur Stock Exchange   Islamic Banking   Malaysian Electronic Payment System ( MEPS )   Overnight Policy Rate       Government agencies     Employees Provident Fund   Energy Commission of Malaysia   Federal Land Development Authority   Khazanah Nasional   Permodalan Nasional Berhad   Malaysian Industrial Development Authority       Corridors and Regions     East Coast Economic Region ( ECER )   Iskandar Malaysia ( IM )   Labuan International Business and Financial Centre ( Labuan IBFC )   Northern Corridor Economic Region ( NCER )   Malaysia International Islamic Financial Centre ( Kuala Lumpur )   Port Klang Free Zone ( PKFZ )   South Perak Region ( WPS )   Sabah Development Corridor ( SDC )   Sarawak Corridor of Renewable Energy ( SCORE )       Economic co-operation areas with neighbouring countries     BIMP - EAGA   Indonesia -- Malaysia -- Singapore Growth Triangle   Indonesia -- Malaysia -- Thailand Growth Triangle       Policies and Programs     Malaysian New Economic Policy ( NEP )   National Development Policy ( NDP )   New Economic Model ( NEM )   Government Transformation Programme ( GTP )   Economic Transformation Programme ( ETP )       Agreements     Malaysia -- European Union Free Trade Agreement   Malaysia -- New Zealand Free Trade Agreement   Malaysia -- United States Free Trade Agreement   Trans - Pacific Partnership       Industries     Made in Malaysia   Ports   Transport   Tourism   Postal   Agriculture   Palm oil production         Other topics     List of Malaysia states by GDP   Poverty in Malaysia   Goods and services tax in Malaysia   Bamboo network   Subsidy reform in Malaysia              Retrieved from `` https://en.wikipedia.org/w/index.php?title=Goods_and_Services_Tax_(Malaysia)&amp;oldid=811217366 '' Categories :   Taxation in Malaysia   Value added taxes   2015 introductions   Tax reform   Reform in Malaysia   2015 in Malaysia   Hidden categories :   EngvarB from March 2015   Use dmy dates from March 2015           Talk                                           Contents                   About Wikipedia                                           </t>
    </r>
    <r>
      <rPr>
        <sz val="11"/>
        <color rgb="FF000000"/>
        <rFont val="Noto Sans CJK SC"/>
        <family val="2"/>
      </rPr>
      <t xml:space="preserve">한국어   </t>
    </r>
    <r>
      <rPr>
        <sz val="11"/>
        <color rgb="FF000000"/>
        <rFont val="Calibri"/>
        <family val="0"/>
        <charset val="1"/>
      </rPr>
      <t xml:space="preserve">Bahasa Melayu   Edit links   This page was last edited on 20 November 2017 , at 06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</si>
  <si>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sales and service tax in malaysia</t>
  </si>
  <si>
    <t xml:space="preserve"> The Goods and Services Tax ( GST ) is a value added tax in Malaysia . GST is levied on most transactions in the production process , but is refunded with exception of Blocked Input Tax , to all parties in the chain of production other than the final consumer . </t>
  </si>
  <si>
    <r>
      <rPr>
        <sz val="11"/>
        <color rgb="FF000000"/>
        <rFont val="Calibri"/>
        <family val="0"/>
        <charset val="1"/>
      </rPr>
      <t xml:space="preserve">Potions in Harry Potter - wikipedia  Potions in Harry Potter  Jump to : navigation , search      This article includes a list of references , but its sources remain unclear because it has insufficient inline citations . Please help to improve this article by introducing more precise citations . ( June 2016 ) ( Learn how and when to remove this template message )     This is a list of potions used in the Harry Potter series . Many are mentioned in potions class at Hogwarts , which is taught by Severus Snape in books one to five and Horace Slughorn in books six and seven .     Contents  ( hide )   1 List of potions   1.1 Amortentia   1.2 Confusing Concoction   1.3 Draught of Living Death   1.4 Draught of Peace   1.5 Felix Felicis   1.6 Hiccoughing Potion   1.7 Pepperup Potion   1.8 Polyjuice Potion   1.9 Skele - Gro   1.10 Sleekeazy 's Hair Potion   1.11 Veritaserum   1.12 Wolfsbane     2 See also   3 References   4 Bibliography   5 Further reading      List of potions ( edit )   Amortentia ( edit )   Amortentia is a love potion that does not create actual love , but gives the drinker a powerful obsession and infatuation with the giver of the potion . It is usually either forced upon someone or covertly given . As a rule of thumb the longer a love potion awaits consumption , the stronger the effects will be , as seen in Harry Potter and the Half - Blood Prince when Ron Weasley mistakenly eats a box of Chocolate Cauldrons spiked with the intense love potion intended for Harry previously bought from Weasley 's Wizard Wheezes . The potion 's aroma is unique to each person who consumes it , as it smells like whatever attracts each individual , e.g. Hermione Granger says that she smells spearmint toothpaste , freshly cut grass and a piece of fresh parchment in the movies . In the books , she does not say spearmint toothpaste as the third aroma but instead blushes . ( she smelled Ron 's hair according to later clarification by the author ) . It can also be identified by its characteristic spirals of steam and its mother - of - pearl sheen , as noted by Hermione . Unless constantly administered , its effects eventually wear off .   Confusing Concoction ( edit )   A Confusing Concoction will cause the drinker to become confused , distracted and sick . During potions in his third year in Harry Potter and the Prisoner of Azkaban , Harry has to brew this potion but can not manage to thicken it . Harry sees Severus Snape scribble something on a clipboard that `` looks suspiciously like a zero . ''   Draught of Living Death ( edit )   When a person drinks the Draught of Living Death , they go into a deep sleep so strong that they appear to be dead , hence the name . It is made from powdered root of asphodel which is added to an infusion of wormwood , and was first mentioned in Harry 's first potions lesson with Snape in Harry Potter and the Philosophers Stone . It was later mentioned in his first Potions lesson with Horace Slughorn in Half - Blood Prince when Harry receives top marks in Horace Slughorn 's first NEWT ( Nastily Exhausting Wizarding Tests ) Potions class for brewing this potion so well , having used the handwritten advice in the Half - Blood Prince 's book . He is then awarded a small bottle of the potion Felix Felicis as a prize . This potion is described as changing in colour during the process of being made . It has a texture and consistency akin to that of clear water . A process of examining the potency of the potion is to drop a new or fresh leaf in it -- the leaf is instantaneously reduced to ashes .   Draught of Peace ( edit )   The Draught of Peace provides personal comfort , calms anxiety and soothes agitation . In Harry Potter and the Order of the Phoenix , Snape sets the potion as one of his lessons . It is a very difficult potion to make as the ingredients have to be added in a very specific order , the mixture has to be stirred exactly the right number of times and the heat of the flames on which it is simmering has to be lowered to exactly the right level for the right number of minutes before the final ingredient is added . Hannah Abbott had to have this potion in Order of the Phoenix to reduce her anxiety over the upcoming Ordinary Wizarding Levels ( O.W.L.s ) .   Felix Felicis ( edit )   Felix Felicis , more commonly known as Liquid Luck , grants whoever drinks it unusually good luck . The time span of this luck depends on the amount imbibed . Liquid Luck is one of the hardest potions to make , as noted by Horace Slughorn ; `` It has to be cooked for 6 months on an extremely complicated formula , and if you make a tiniest mistake , the consequences are severe '' . Because of its properties , it is banned in all sporting events , competitions and examinations . In Rowling 's original narrative , the potion looks akin to liquid gold . However , in the movie adaptation it is clear and water - like . Slughorn also noted that excessive consumption results in side effects that include giddiness and overzealousness , among other effects that are related to overconfidence . In Half - Blood Prince , Harry pretends to give some to Ron so that he will do well at Quidditch . Ron 's luck turns for the better , with the confidence working as a placebo . Harry does use most of it later in the same novel in order to extract the true memory about Tom Riddle and Horcruxes from Slughorn ( though it also has the pleasant side effect of causing Dean Thomas and Ginny Weasley to end their relationship ) , and the rest is shared between Ron , Hermione , Neville Longbottom and Ginny the night Death Eaters break into Hogwarts .   Hiccoughing potion ( edit )   Hiccoughing Potion ( Hiccuping Potion in the American edition ) is a simple potion and one of the first that Snape instructs his first - years to brew in The Philosopher 's Stone . The potion , referred to by name , stops excessive hiccoughing in a matter of seconds .   Pepperup potion ( edit )   A Pepperup Potion is designed to improve health , relieve coughs and colds , though it does have one major side effect : it causes steam to dribble from the patient 's ears for several hours afterward . It is also used to quickly elevate body temperature , as shown after the second task in Harry Potter and the Goblet of Fire and mentioned in Harry Potter and the Chamber of Secrets .   Polyjuice potion ( edit )   The Polyjuice Potion allows the drinker to assume the appearance of someone else for an hour or more depending on the quantity . The potion only causes a physical transformation of the drinker , but clothing and voice is not affected . Its ingredients include fluxweed , knotgrass , lacewing flies , leeches , powdered Bicorn horn , and shredded Boomslang skin . The final component is a bit of the individual to be impersonated ; strands of hair are most often used for this purpose .   Its taste and appearance depends on the person 's good character that is being impersonated ( for example , the potion becomes golden for Harry but grey and clumpy for Vincent Crabbe and Gregory Goyle , and as for Harry , the potion is delicious , but when Harry and Ron drink to impersonate Crabbe and Goyle , Goyle 's tasted like overcooked cabbage ) . It is first used in Chamber of Secrets to allow Harry and Ron to transform into Crabbe and Goyle so that they can question Draco Malfoy about the Heir of Slytherin . The potion is one of the complicated ones , as it needs a month to be cooked .   In Goblet of Fire , Barty Crouch , Jr. uses it to disguise himself as Mad - Eye Moody all year long , keeping a flask of the potion on him at all times .   In Half - Blood Prince , Crabbe and Goyle use the potion multiple times to disguise themselves as young girls while guarding the Room of Requirement .   In Harry Potter and the Deathly Hallows , it is first used to transform members of the Order into Harry look - alikes , creating decoys for Lord Voldemort and the Death Eaters . Fleur Delacour , Hermione , Fred Weasley , George Weasley , Ron , and Mundungus Fletcher serve as the doppelgangers . Later , Harry uses some hair from a local Muggle boy in Ottery St. Catchpole to disguise himself at Bill Weasley and Fleur 's wedding as a fictitious Weasley relative named `` Barny Weasley . '' Harry , Ron , and Hermione use it to infiltrate the Ministry of Magic by disguising themselves as Ministry officials : Harry poses as Albert Runcorn , an investigator of Muggle - borns ; Ron poses as Reginald Cattermole , a worker at the Magical Maintenance Department whose wife is being put on trial by Dolores Umbridge ; and Hermione poses as Mafalda Hopkirk , Umbridge 's secretary . While visiting Godric 's Hollow , Harry and Hermione disguise themselves as a middle - aged Muggle couple ; it is last seen when Hermione disguises herself as Bellatrix Lestrange to break into her vault at Gringotts ( However , the potion wears off due to the magic waterfall known as the `` Thief 's Downfall '' in Gringotts that washes every spell or potion that is active , as well as Hermione 's disguise ) .   Polyjuice Potion only works correctly when done on human - to - human transfiguration , as Hermione discovers in Chamber of Secrets when she inadvertently takes a dose containing cat hair , giving her the furry face and tail of a cat . Such a transformation is always incomplete and occasionally irreversible .   In the books , the potion changes the drinker 's voice to match that of the target , as well as any disabilities such as poor eyesight or amputations . The films contradict this point , probably for the sake of character clarity : Harry and Ron retain their own voices after using the potion in Chamber of Secrets ; the same is true in Deathly Hallows -- Part 1 during the scene of the seven Potters and while infiltrating the Ministry .   Skele - Gro ( edit )   Skele - Gro is a medicinal potion that can regrow missing or removed bones , though it tastes terrible and the process is very slow and extremely painful . In Chamber of Secrets , the Bludger breaks Harry 's arm while he plays Quidditch and Gilderoy Lockhart , the incompetent Defence Against the Dark Arts teacher , accidentally removes his bones instead of mending them . As a result , Harry takes a dose of the potion and spends the night in the hospital wing .   In Deathly Hallows , the goblin Griphook 's legs are broken in the escape from Malfoy Manor . Luna Lovegood uses Skele - Gro to repair them .   Sleekeazy 's hair potion ( edit )   Sleekeazy 's Hair Potion is a beauty treatment used by witches to smooth and straighten hair . Hermione uses it during the Yule Ball in Goblet of Fire before meeting Viktor Krum . This is part of her three - hour beauty regimen to prepare for the ball ; although it is very effective , Hermione later confesses to Harry that using the potion is `` way too much bother '' for daily use . According to Pottermore , the potion was created by Harry 's grandfather , Fleamont Potter .   Veritaserum ( edit )   Veritaserum is a very powerful truth potion . The name `` Veritaserum '' derives from the Latin word Veritas , meaning truth . Three drops of this potion are all that is needed to force anyone to respond to any question with the truth . It is first used on Barty Crouch Jr. in Goblet of Fire , in Order of the Phoenix , Umbridge demands the potion to use it while interrogating Harry about who he contacted , but is thwarted by Snape who claims he has none left having given her an entire bottle earlier in the book ( although that bottle was a placebo ) . In Half - Blood Prince , Harry considers using the potion to get Slughorn to reveal his memories about Voldemort , but thinks better of it ; and in Deathly Hallows Rita Skeeter uses the potion to extract the story of Dumbledore 's childhood from Bathilda Bagshot . Rowling has revealed on her fansite that Veritaserum can be fooled using Occlumency and is hence not usually accepted in general practice in wizard courts .   Wolfsbane ( edit )   In Prisoner of Azkaban , Severus Snape brews this for Remus Lupin to help him retain his sanity when he changes into a werewolf . It causes a werewolf in wolf form to act like that of a tired wolf .   See also ( edit )    Magic in Harry Potter     Books portal   Harry Potter portal   Lists portal    References ( edit )    ^ Jump up to : Spencer , R.A. ( 2015 ) . Harry Potter and the Classical World : Greek and Roman Allusions in J.K. Rowling 's Modern Epic . McFarland . p. 207 . ISBN 978 - 1 - 4766 - 2141 - 8 . Retrieved June 18 , 2016 .   Jump up ^ Stouffer , T. 2007 , pp. 152 -- 153   Jump up ^ Boyle , F. ( 2004 ) . A Muggle 's Guide to the Wizarding World : Exploring the Harry Potter Universe . ECW Press . pp. 192 -- 195 . ISBN 978 - 1 - 55022 - 655 - 3 . Retrieved June 18 , 2016 . ( subscription required )   Jump up ^ Highfield , R. ( 2003 ) . The Science of Harry Potter : How Magic Really Works . Penguin . p. 111 . ISBN 978 - 0 - 14 - 200355 - 8 . Retrieved June 19 , 2016 .   Jump up ^ Stouffer , T. 2007 , pp. 159 -- 160   Jump up ^ Stouffer , T. 2007 , p. 160   Jump up ^ Rowling , J.K. `` The Potter Family '' . Pottermore . Retrieved 6 August 2016 .   Jump up ^ Fowler , C. ( 2014 ) . The Ravenclaw Chronicles : Reflections from Edinboro . Cambridge Scholars Publisher . pp. 74 -- 77 . ISBN 978 - 1 - 4438 - 6598 - 2 . Retrieved 2016 - 06 - 18 .   Jump up ^ Neal , C.W. ( 2002 ) . The Gospel According to Harry Potter : Spirituality in the Stories of the World 's Most Famous Seeker . Gospel According to Series . Westminster John Knox Press . p. 143 . ISBN 978 - 0 - 664 - 22601 - 5 . Retrieved June 18 , 2016 .    Bibliography ( edit )    Stouffer , T. ( 2007 ) . `` Chapter 11 : Round about the cauldron go : draughts and potions '' . The Complete Idiot 's Guide to the World of Harry Potter . Complete Idiot 's Guide to . Alpha Books . pp. 145 -- 161 . ISBN 978 - 1 - 59257 - 599 - 2 .    Further reading ( edit )         Book : Harry Potter        The Ravenclaw Chronicles . pp. 73 -- 77 .   Harry Potter and the Classical World   The Ultimate Harry Potter and Philosophy   Harry Potter and the Bible ( subscription required )   The Sorcerer 's Companion   The Mirror   Ipswich Star   Argus Leader      ( hide )         The Harry Potter series by J.K. Rowling     Books     The Philosopher 's Stone ( 1997 )   The Chamber of Secrets ( 1998 )   The Prisoner of Azkaban ( 1999 )   The Goblet of Fire ( 2000 )   The Order of the Phoenix ( 2003 )   The Half - Blood Prince ( 2005 )   The Deathly Hallows ( 2007 )       Film series      Films     The Philosopher 's Stone ( 2001 )   The Chamber of Secrets ( 2002 )   The Prisoner of Azkaban ( 2004 )   The Goblet of Fire ( 2005 )   The Order of the Phoenix ( 2007 )   The Half - Blood Prince ( 2009 )   The Deathly Hallows -- Part 1 ( 2010 )   The Deathly Hallows -- Part 2 ( 2011 )       Music     The Philosopher 's Stone   The Chamber of Secrets   The Prisoner of Azkaban   The Goblet of Fire   The Order of the Phoenix   The Half - Blood Prince   The Deathly Hallows -- Part 1   The Deathly Hallows -- Part 2       Related     Cast members   Production of The Deathly Hallows          Characters      Main     Harry Potter   Ron Weasley   Hermione Granger   Lord Voldemort   Albus Dumbledore   Severus Snape   Rubeus Hagrid   Draco Malfoy       Supporting     Hogwarts staff   Order of the Phoenix   Dumbledore 's Army   Death Eaters          Fictional universe     Hogwarts   Magic   Magical creatures   Magical objects   Ministry of Magic   Muggle   Places   Potions   Quidditch       Related works     Fantastic Beasts and Where to Find Them   Quidditch Through the Ages   The Tales of Beedle the Bard   Prequel   Pottermore   The Cursed Child   Hogwarts : An Incomplete and Unreliable Guide   Short Stories from Hogwarts of Power , Politics and Pesky Poltergeists   Short Stories from Hogwarts of Heroism , Hardship and Dangerous Hobbies       Games and toys     Quidditch World Cup   Lego Creator : Harry Potter   Lego Harry Potter : Years 1 -- 4   Lego Harry Potter : Years 5 -- 7   The Philosopher 's Stone   The Chamber of Secrets   The Prisoner of Azkaban   The Goblet of Fire   The Order of the Phoenix   The Half - Blood Prince   The Deathly Hallows -- Part 1   The Deathly Hallows -- Part 2   Book of Spells   Book of Potions   Trading Card Game   Lego Harry Potter   Hogwarts Mystery       Attractions     The Wizarding World of Harry Potter   Orlando   Japan   Hollywood       Dragon Challenge   Flight of the Hippogriff   Harry Potter and the Escape from Gringotts   Harry Potter and the Forbidden Journey   Hogwarts Express     Harry Potter Movie Magic Experience   Warner Bros. Studio Tour London       Fandom     Harry Potter Alliance   The Leaky Cauldron   MuggleNet   LeakyCon   Wizard rock   Wrockstock   Severus Snape and the Marauders   Voldemort : Origins of the Heir   My Immortal       Related     Influences and analogues   Legal disputes   Parodies   Politics   Religious debates   Translation   A Very Potter Musical   The Harry Potter Lexicon   The Magical Worlds of Harry Potter   Potter Puppet Pals   Portkey Games         Book     Portal      Retrieved from `` https://en.wikipedia.org/w/index.php?title=Potions_in_Harry_Potter&amp;oldid=826335295 '' Categories :   Harry Potter universe   Fictional objects by work   Alchemy in fiction   Hidden categories :   Pages containing links to subscription - only content   Use dmy dates from June 2015   Use British English from June 2015   Articles lacking in - text citations from June 2016   All articles lacking in - text citations           Talk                                           Contents                   About Wikipedia                                           Español   </t>
    </r>
    <r>
      <rPr>
        <sz val="11"/>
        <color rgb="FF000000"/>
        <rFont val="Noto Sans CJK SC"/>
        <family val="2"/>
      </rPr>
      <t xml:space="preserve">日本 語   </t>
    </r>
    <r>
      <rPr>
        <sz val="11"/>
        <color rgb="FF000000"/>
        <rFont val="Calibri"/>
        <family val="0"/>
        <charset val="1"/>
      </rPr>
      <t xml:space="preserve">Norsk   Norsk nynorsk   Svenska   Türkçe   Edit links   This page was last edited on 18 February 2018 , at 15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</si>
  <si>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potion did harry potter take to get slughorn's memories</t>
  </si>
  <si>
    <t xml:space="preserve"> Felix Felicis , more commonly known as Liquid Luck , grants whoever drinks it unusually good luck . The time span of this luck depends on the amount imbibed . Liquid Luck is one of the hardest potions to make , as noted by Horace Slughorn ; `` It has to be cooked for 6 months on an extremely complicated formula , and if you make a tiniest mistake , the consequences are severe '' . Because of its properties , it is banned in all sporting events , competitions and examinations . In Rowling 's original narrative , the potion looks akin to liquid gold . However , in the movie adaptation it is clear and water - like . Slughorn also noted that excessive consumption results in side effects that include giddiness and overzealousness , among other effects that are related to overconfidence . In Half - Blood Prince , Harry pretends to give some to Ron so that he will do well at Quidditch . Ron 's luck turns for the better , with the confidence working as a placebo . Harry does use most of it later in the same novel in order to extract the true memory about Tom Riddle and Horcruxes from Slughorn ( though it also has the pleasant side effect of causing Dean Thomas and Ginny Weasley to end their relationship ) , and the rest is shared between Ron , Hermione , Neville Longbottom and Ginny the night Death Eaters break into Hogwarts . </t>
  </si>
  <si>
    <t xml:space="preserve">Orbital spaceflight - wikipedia  Orbital spaceflight  Jump to : navigation , search      This article needs additional citations for verification . Please help improve this article by adding citations to reliable sources . Unsourced material may be challenged and removed . ( March 2008 ) ( Learn how and when to remove this template message )    Space Shuttle Discovery rockets to orbital velocity , seen here just after booster separation  An orbital spaceflight ( or orbital flight ) is a spaceflight in which a spacecraft is placed on a trajectory where it could remain in space for at least one orbit . To do this around the Earth , it must be on a free trajectory which has an altitude at perigee ( altitude at closest approach ) above 100 kilometers ( 62 mi ) ; this is , by at least one convention , the boundary of space . To remain in orbit at this altitude requires an orbital speed of ~ 7.8 km / s . Orbital speed is slower for higher orbits , but attaining them requires greater delta - v .   Due to atmospheric drag , the lowest altitude at which an object in a circular orbit can complete at least one full revolution without propulsion is approximately 150 km ( 90 mi ) .   The expression `` orbital spaceflight '' is mostly used to distinguish from sub-orbital spaceflights , which are flights where the apogee of a spacecraft reaches space , but the perigee is too low .     Contents  ( hide )   1 Orbital launch   2 Stability   3 Orbits   4 Orbital maneuver   5 Deorbit and re-entry   6 History   7 See also   8 References   9 External links      Orbital launch ( edit )     Orbital human spaceflight     Name   Debut   Launches     Vostok   1961   6     Mercury   1962       Voskhod   1964       Gemini   1965   10     Soyuz   1967   147     Apollo   1968   21     Shuttle   1981   135     Shenzhou   2003       Orbital spaceflight from Earth has only been achieved by launch vehicles that use rocket engines for propulsion . To reach orbit , the rocket must impart to the payload a delta - v of about 9.3 -- 10 km / s . This figure is mainly ( ~ 7.8 km / s ) for horizontal acceleration needed to reach orbital speed , but allows for atmospheric drag ( approximately 300 m / s with the ballistic coefficient of a 20 m long dense fueled vehicle ) , gravity losses ( depending on burn time and details of the trajectory and launch vehicle ) , and gaining altitude .   The main proven technique involves launching nearly vertically for a few kilometers while performing a gravity turn , and then progressively flattening the trajectory out at an altitude of 170 + km and accelerating on a horizontal trajectory ( with the rocket angled upwards to fight gravity and maintain altitude ) for a 5 - 8 minute burn until orbital velocity is achieved . Currently , 2 - 4 stages are needed to achieve the required delta - v. Most launches are by expendable launch systems .   The Pegasus rocket for small satellites instead launches from an aircraft at an altitude of 12 km .   There have been many proposed methods for achieving orbital spaceflight that have the potential of being much more affordable than rockets . Some of these ideas such as the space elevator , and rotovator , require new materials much stronger than any currently known . Other proposed ideas include ground accelerators such as launch loops , rocket assisted aircraft / spaceplanes such as Reaction Engines Skylon , scramjet powered spaceplanes , and RBCC powered spaceplanes . Gun launch has been proposed for cargo .   From 2015 SpaceX have demonstrated significant progress in their more incremental approach to reducing the cost of orbital spaceflight . Their potential for cost reduction comes mainly from pioneering propulsive landing with their reusable rocket booster stage as well as their Dragon capsule , but also includes reuse of the other components such as the payload fairings and the use of 3D printing of a superalloy to construct more efficient rocket engines , such as their SuperDraco . The initial stages of these improvements could reduce the cost of an orbital launch by an order of magnitude .   Stability ( edit )  The International Space Station during its construction in Earth orbit in 2001 . It must be periodically re-boosted to maintain its orbit Main article : Orbital decay  An object in orbit at an altitude of less than roughly 200 km is considered unstable due to atmospheric drag . For a satellite to be in a stable orbit ( i.e. sustainable for more than a few months ) , 350 km is a more standard altitude for low Earth orbit . For example , on 1958 - 02 - 01 the Explorer 1 satellite was launched into an orbit with a perigee of 358 kilometers ( 222 mi ) . It remained in orbit for more than 12 years before its atmospheric reentry over the Pacific Ocean on 1970 - 03 - 31 .   However , the exact behaviour of objects in orbit depends on altitude , their ballistic coefficient , and details of space weather which can affect the height of the upper atmosphere .   Orbits ( edit )  Main article : Geocentric orbit  There are three main ' bands ' of orbit around the Earth : low Earth orbit ( LEO ) , medium Earth orbit ( MEO ) and geostationary orbit ( GEO ) .   Due to Orbital mechanics orbits are in a particular , largely fixed plane around the Earth , which coincides with the center of the Earth , and may be tilted with respect to the equator . The Earth rotates about its axis within this orbit , and the relative motion of the spacecraft and the movement of the Earths surface determines the position that the spacecraft appears in the sky from the ground , and which parts of the Earth are visible from the spacecraft .   By dropping a vertical down to the Earth 's surface it is possible to calculate a ground track which shows which part of the Earth a spacecraft is immediately above , and this is useful for helping to visualise the orbit .   Orbital maneuver ( edit )  Main article : Orbital maneuver Skylab mission docked to the Skylab space station  In spaceflight , an orbital maneuver is the use of propulsion systems to change the orbit of a spacecraft . For spacecraft far from Earth -- for example those in orbits around the Sun -- an orbital maneuver is called a deep - space maneuver ( DSM ) .   Deorbit and reentry ( edit )  Main article : Atmospheric entry  Returning spacecraft ( including all potentially manned craft ) have to find a way of slowing down as much as possible while still in higher atmospheric layers and avoid hitting the ground ( lithobraking ) or burning up . For many orbital space flights , initial deceleration is provided by the retrofiring of the craft 's rocket engines , perturbing the orbit ( by lowering perigee down into the atmosphere ) onto a suborbital trajectory . Many spacecraft in low - Earth orbit ( e.g. , nanosatellites or spacecraft that have run out of station keeping fuel or are otherwise non-functional ) solve the problem of deceleration from orbital speeds through using atmospheric drag ( aerobraking ) to provide initial deceleration . In all cases , once initial deceleration has lowered the orbital perigee into the mesosphere , all spacecraft lose most of the remaining speed , and therefore kinetic energy , through the atmospheric drag effect of aerobraking .   Intentional aerobraking is achieved by orienting the returning space craft so as to present the heat shields forward toward the atmosphere to protect against the high temperatures generated by atmospheric compression and friction caused by passing through the atmosphere at hypersonic speeds . The thermal energy is dissipated mainly by compression heating the air in a shockwave ahead of the vehicle using a blunt heat shield shape , with the aim of minimising the heat entering the vehicle .   Sub-orbital space flights , being at a much lower speed , do not generate anywhere near as much heat upon re-entry .   Even if the orbiting objects are expendable , most space authorities are pushing toward controlled re-entries to minimize hazard to lives and property on the planet .   History ( edit )    Sputnik 1 was the first human - made object to achieve orbital spaceflight . It was launched on 4 October 1957 by the Soviet Union .   Vostok 1 , launched by the Soviet Union on 12 April 1961 , carrying Yuri Gagarin , was the first successful human spaceflight to reach Earth orbit .   Vostok 6 , launched by the Soviet Union on 16 June 1963 , carrying Valentina Tereshkova , was the first successful woman carrying out a spaceflight to reach Earth orbit .    See also ( edit )    Spaceflight portal     Orbit   List of orbits   Ground track   Orbital mechanics   Project HARP was a failed attempt , and a ram accelerator is another design , to launch an object into orbit with a gun   Rocket launch   Non-rocket spacelaunch   Spacecraft   Spaceflight   Spaceport , including a list of sites for orbital launches    References ( edit )    Jump up ^ Belfiore , Michael ( December 9 , 2013 ) . `` The Rocketeer '' . Foreign Policy . Retrieved December 11 , 2013 .   Jump up ^ `` Explorer 1 - NSSDC ID : 1958 - 001A '' . NASA .    External links ( edit )             Spaceflight     General     Astrodynamics   History   Timeline   Space Race   Asian Space Race   Records   Accidents and incidents     Space policy   China   European Union   India   Japan   Russia   Soviet Union   United States     Space law   Outer Space Treaty   Rescue Agreement   Space Liability Convention   Registration Convention   Moon Treaty     Private spaceflight         Applications     Astronomy   Earth observation   Archaeology   Imagery and mapping   Reconnaissance   Weather and environment monitoring     Satellite communications   Internet   Radio   Telephone   Television     Satellite navigation   Commercial use of space   Space launch market competition   Militarisation of space   Space architecture   Space exploration   Space research   Space technology   Space weather       Human spaceflight      General     Astronaut   Life support system   Animals in space   Bioastronautics   Space suit     Extravehicular activity   Weightlessness   Space tourism   Space colonization       Programs     Vostok   Mercury   Voskhod   Gemini   Soyuz   Apollo   Skylab   Apollo -- Soyuz     Space Shuttle   Mir   Shuttle -- Mir     International Space Station   Shenzhou   Tiangong       Health issues     Effect of spaceflight on the human body   Space adaptation syndrome     Health threat from cosmic rays   Psychological and sociological effects of spaceflight   Space and survival   Space medicine   Space nursing          Spacecraft     Launch vehicle   Rocket   Spaceplane   Robotic spacecraft   Satellite   Space probe   Lander   Rover   Self - replicating spacecraft     Spacecraft propulsion   Rocket engine   Electric propulsion   Solar sail   Gravity assist         Destinations     Sub-orbital   Orbital   Geocentric   Geosynchronous     Interplanetary   Interstellar   Intergalactic       Space launch     Direct ascent   Escape velocity   Expendable and reusable launch systems   Launch pad   Non-rocket spacelaunch   Spaceport       Ground segment     Flight controller   Ground station ( Pass )   Mission control center       Space agencies     CoNAE   AEB   CSA   CNSA   ESA   CNES   DLR   ISRO   LAPAN   ISA   ISA   ASI   JAXA   NADA   KARI   SUPARCO   Roscosmos   SNSB   SSAU   UKSA   NASA           Portal   WikiProject                 Gravitational orbits     Types      General     Box   Capture   Circular   Elliptical / Highly elliptical   Escape   Graveyard   Hyperbolic trajectory   Inclined / Non-inclined   Osculating   Parabolic trajectory   Parking   Synchronous   semi   sub     Transfer orbit       Geocentric     Geosynchronous   Geostationary   Sun - synchronous   Low Earth   Medium Earth   High Earth   Molniya   Near - equatorial   Orbit of the Moon   Polar   Tundra       About other points     Areosynchronous   Areostationary   Halo   Lissajous   Lunar   Heliocentric   Heliosynchronous          Parameters        Shape   Size       e Eccentricity   a Semi-major axis   b Semi-minor axis   Q , q Apsides       Orientation     i Inclination   Ω Longitude of the ascending node   ω Argument of periapsis   π Longitude of the periapsis       Position     M Mean anomaly   ν True anomaly   E Eccentric anomaly   L Mean longitude   l True longitude       Variation     T Orbital period   n Mean motion   v Orbital speed   t Epoch          Maneuvers     Collision avoidance ( spacecraft )   Delta - v   Delta - v budget   Bi-elliptic transfer   Geostationary transfer   Gravity assist   Gravity turn   Hohmann transfer   Low energy transfer   Oberth effect   Inclination change   Phasing   Rocket equation   Rendezvous   Transposition , docking , and extraction       Orbital mechanics     Celestial coordinate system   Characteristic energy   Escape velocity   Ephemeris   Equatorial coordinate system   Ground track   Hill sphere   Interplanetary Transport Network   Kepler 's laws of planetary motion   Lagrangian point   n - body problem   Orbit equation   Orbital state vectors   Perturbation   Retrograde motion   Specific orbital energy   Specific relative angular momentum   Two - line elements         List of orbits      Retrieved from `` https://en.wikipedia.org/w/index.php?title=Orbital_spaceflight&amp;oldid=803742354 '' Categories :   Spaceflight concepts   Russian inventions   1957 introductions   Hidden categories :   Articles needing additional references from March 2008   All articles needing additional references   Use dmy dates from January 2011           Talk                                           Contents                   About Wikipedia                                           Català   Español   Français   Hrvatski   Bahasa Indonesia   עברית   Magyar   Polski   Português   Svenska   Türkçe   Edit links   This page was last edited on 4 October 2017 , at 10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</si>
  <si>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speed a rocket has to be accelerated to in order to launch a satellite into orbit of the earth</t>
  </si>
  <si>
    <t xml:space="preserve"> Orbital spaceflight from Earth has only been achieved by launch vehicles that use rocket engines for propulsion . To reach orbit , the rocket must impart to the payload a delta - v of about 9.3 -- 10 km / s . This figure is mainly ( ~ 7.8 km / s ) for horizontal acceleration needed to reach orbital speed , but allows for atmospheric drag ( approximately 300 m / s with the ballistic coefficient of a 20 m long dense fueled vehicle ) , gravity losses ( depending on burn time and details of the trajectory and launch vehicle ) , and gaining altitude . </t>
  </si>
  <si>
    <r>
      <rPr>
        <sz val="11"/>
        <color rgb="FF000000"/>
        <rFont val="Calibri"/>
        <family val="0"/>
        <charset val="1"/>
      </rPr>
      <t xml:space="preserve">George O'Malley - wikipedia  George O'Malley  Jump to : navigation , search    George O'Malley     Grey 's Anatomy character     The Season 4 promotional photo of T.R. Knight as Dr. George O'Malley     First appearance   `` A Hard Day 's Night '' ( 1.01 ) March 27 , 2005     Last appearance   `` Good Mourning '' ( 6.01 ) September 24 , 2009     Created by   Shonda Rhimes     Portrayed by   T.R. Knight     Information     Full name   George O'Malley     Occupation   Surgical resident at Seattle Grace Hospital     Title   M.D     Family    Louise O'Malley ( mother )  Harold O'Malley ( father , deceased ) Jerry and Ronnie O'Malley ( brothers )     Spouse ( s )   Callie Torres ( divorced )     Significant other ( s )   Olivia Harper Meredith Grey Izzie Stevens     Religion   Catholicism     George O'Malley , M.D. is a fictional character from the medical drama television series Grey 's Anatomy , which airs on the American Broadcasting Company ( ABC ) in the United States . The character was created by series producer Shonda Rhimes , and was portrayed by actor T.R. Knight from 2005 to 2009 . Introduced as a surgical intern at the fictional Seattle Grace Hospital , O'Malley worked his way up to resident level , while his relationships with his colleagues Meredith Grey ( Ellen Pompeo ) , Cristina Yang ( Sandra Oh ) , Izzie Stevens ( Katherine Heigl ) and Alex Karev ( Justin Chambers ) formed a focal point of the series . O'Malley married Callie Torres ( Sara Ramirez ) whom he later separated with to pursue a relationship with Izzie Stevens . O'Malley also had entertained a romantic interest with Meredith Grey and Olivia Harper ( Sarah Utterback ) .   Knight auditioned for the show , expecting a one - season run . In 2007 , Knight 's co-star Isaiah Washington ( Preston Burke ) insulted him with a homophobic slur , which resulted in the termination of Washington 's Grey 's Anatomy contract . In 2009 , after the conclusion of the fifth season , it was confirmed that Knight would not be returning for the show 's sixth season . The actor stated the reason for his departure was due to a `` breakdown in communication '' with Rhimes , his character 's lack of screen time , as well as his decision to come out as openly gay . Knight received generally positive reviews for his performance as O'Malley , and garnered a nomination for Outstanding Supporting Actor in a Drama Series at the 59th Primetime Emmy Awards . Despite this , his death received mixed feedback .     Contents  ( hide )   1 Storylines   2 Development   2.1 Casting and creation   2.2 Characterization     3 Reception   4 References   5 External links      Storylines ( edit )   George O'Malley is introduced as a fellow surgical intern to Meredith Grey ( Ellen Pompeo ) , Cristina Yang ( Sandra Oh ) , Izzie Stevens ( Katherine Heigl ) and Alex Karev ( Justin Chambers ) ; the five of them working under Miranda Bailey ( Chandra Wilson ) . O'Malley and Stevens move in with Meredith , for whom he has romantic feelings but did not express them due to his fear of rejection and the fact that she and one of the attendings Derek Shepherd ( Patrick Dempsey ) had a mutual interest in one another . On the first day of internship , O'Malley is selected by chief of cardiothoracic surgery Preston Burke ( Isaiah Washington ) as the first intern to perform surgery . He freezes in the operating room , and is mocked by his peers , and earns the nickname `` 007 '' because of almost killing a patient in such a simple operation ( referring to James Bond 's `` licence to kill '' ) . O'Malley dates nurse Olivia Harper ( Sarah Utterback ) , breaking up with her when he contracts syphilis from her , which she in turn contracted from Karev . His friendship with Karev is further strained when the two become trapped in an elevator with a patient who begins to bleed out . Karev freezes , and O'Malley is able to save the patient single - handedly . He goes on to admit his feelings to Meredith , and the two have a one - night stand . When Meredith tells him that sleeping together was a mistake , O'Malley begins avoiding her and starts dating orthopedic surgeon Callie Torres ( Sara Ramirez ) .   During a camping trip , O'Malley learns that Torres has slept with chief of plastic surgery Mark Sloan ( Eric Dane ) , and also discovers that Burke is experiencing tremors in his hand . When O'Malley's father is diagnosed with esophageal cancer and a leaking aortic valve , he refuses to allow Burke to operate on him , instead contacting Erica Hahn ( Brooke Smith ) , Burke 's medical school rival . His relationship with Torres is strained when he confronts her about sleeping with Sloan , but he allows her to support him through his father 's deteriorating health . Complications from his father 's surgery leave him in multi-system organ failure , and his life support is turned off . In an attempt to overcome his grief , O'Malley elopes with Callie to Las Vegas . He later begins to feel that he was mistaken to marry her , and sleeps with Stevens while intoxicated . Stevens confesses that she is in love with him , so O'Malley considers transferring to a different hospital so he can be faithful to his wife . However , he is ineligible to transfer after failing the intern exams . O'Malley decides to repeat his intern year , and confesses to Torres that he slept with Stevens , leading the two to separate . O'Malley and Stevens embark on a short - lived relationship , only to discover there is no real chemistry between them .   O'Malley moves in with new intern Lexie Grey ( Chyler Leigh ) , Meredith 's half - sister . Lexie and O'Malley discover that he only failed his exam by a single point , leading him to confront Richard Webber ( James Pickens , Jr . ) , the chief of surgery , to ask for a chance to retake the exam . He passes the second attempt , and begins to distance himself from Lexie , who has fallen in love with him . O'Malley supports Stevens when she discovers she has melanoma , and walks her down the aisle as she marries Karev . O'Malley begins to display a talent for trauma surgery , and is told by the chief of trauma surgery Owen Hunt ( Kevin McKidd ) that it is definitely his specialty . He then abruptly and inexplicably decides to join the U.S. Army . While his friends at the hospital prepare an intervention to convince O'Malley to stay , they all work on a severely disfigured John Doe , brought in after a horrible bus accident , in which he pushed a woman out of the way and saved her life . When Meredith goes to check on John Doe , he seems to recognize her and will not let go of her hand . After several attempts at trying , he succeeds in tracing `` 007 '' on Meredith 's hand . Shocked , she realizes `` John Doe '' is in fact O'Malley . She informs the other surgeons and they rush him to surgery . However , he flatlines and is ultimately declared braindead . His organs are donated after Stevens confirms that is what O'Malley would have wanted , and he is buried a week later .   Development ( edit )   Casting and creation ( edit )  T.R. Knight expected a short career with Grey 's Anatomy .  T.R. Knight signed on for the pilot as O'Malley , expecting that the role might be short - lived , because he liked that the character was multi-faceted . In October 2006 , news reports surfaced that Washington had insulted Knight with a homophobic slur , during an argument with Patrick Dempsey ( Derek Shepherd ) . Shortly after , the details of the argument became public , and Knight later disclosed that the slur made him come out as gay . `` I was under no delusions , '' Knight said at the time . `` My friends on the set knew . We talked about it . Publicly it 's not my thing to call up People magazine and be like , ' Hey , you want to know something about me ? ' ... I could 've just let it slide and not said anything , but it became important . It became important to make the statement . '' The situation seemed somewhat resolved when Washington issued a statement , apologizing for his `` unfortunate use of words during the recent incident on - set '' .  Isaiah Washington insulted T.R. Knight with a homophobic slur .  At the 64th Golden Globe Awards , while being interviewed on the red carpet , Washington joked , `` I love gay . I wanted to be gay . Please let me be gay . '' Later , Washington claimed he never used the slur , labeling it `` vile '' . In June 2007 , it was reported that the American Broadcasting Company ( ABC ) and Shonda Rhimes had chosen not to renew Washington 's contract with the show , not immediately specifying a reason . In a subsequent interview , Washington claimed that `` they fired the wrong guy '' ( referring to Knight ) , and said he was considering filing a lawsuit as a result . He accused Knight of using the controversy to bolster his own career and increase his salary on Grey 's Anatomy .   On July 2 , 2007 , Washington appeared on Larry King Live , to present his side of the controversy . According to Washington , he never used the `` F Word '' in reference to Knight , but rather blurted it out in an unrelated context in the course of an argument `` provoked '' by Dempsey , who he felt was treating him like a `` B - word '' , a `` P - word '' , and the `` F - word '' , which Washington said conveyed `` somebody who is being weak and afraid to fight back '' . In 2009 , Rhimes told Entertainment Weekly that she may not have handled the incident correctly , stating : `` I was n't interested in what anybody thought publicly . I was interested in what was going on right here on the ground ... with the people I work with every day . Did I do it perfectly ? Of course not . This is my first television show . It was a learning experience . '' Knight said that Rhimes was among those for discouraging him to come out , however Rhimes said : `` I remember saying ( to fellow executive producer ) , ' This is our proudest day here . T.R. got to come out and I got to say to him that it would n't affect his character ' because he was concerned he was going to come out and George would suddenly be gay . ( ... ) The idea that a gay actor ca n't play a straight man is insulting . ''   In December 2008 , reports speculated that Knight requested to be released from his contract and that `` they were working out the details '' at that time . In June 2009 , after the conclusion of the fifth season of Grey 's Anatomy , it was confirmed that Knight would not be returning for the show 's sixth season . The actor stated the reason for his departure was due to a `` breakdown in communication '' with Rhimes , O'Malley's lack of screen time , as well as his decision to be openly gay . Prior to the official announcement of his departure , there was speculation that the role of O'Malley would be recast , but Rhimes labeled it as a `` hilarious , ridiculous rumor '' . After the confirmation of his exit , Knight told TV Guide : `` Leaving Grey 's Anatomy was not an easy decision for me to make . I am extremely grateful to have had the opportunity to play this character and will miss my fellow cast and crew very much . I continue to wish them the very best , and wholeheartedly thank all of the fans who have supported me and the show with such passion and enthusiasm . '' In a statement confirming Knight 's departure , Rhimes said : `` I think I speak for the entire Grey 's Anatomy family when I say we wish T.R. Knight the best in his future endeavors . He is an incredibly talented actor and a person whose strength of character is admired by all of us . ''  `` There are ebbs and flows . And every season is shaped differently . With George , I really wanted you to not notice that he was n't there for most of this episode . I do n't think anybody noticed because of the way we laid it out this season . And , actually , he was really lovely and elegant about lying there in all that very painful makeup and prosthetics for much of the episode with no words . That moment where he grabs Meredith 's hand is one of the most affecting moments of the episode , and it was without words . ''  -- Rhimes on Knight 's lack of screen time in season five   In an interview with Entertainment Weekly , Rhimes said she tried to talk him out of quitting , explaining : `` I looked in his face and he was really sure . It felt like the right thing for him . '' However , in another interview , Knight said of his exit : `` My five - year experience proved to me that I could not trust any answer that was given ( about O'Malley ) . '' Knight was `` at peace '' with his departure , saying : `` There just comes a time when it 's so clear that moving on is the best decision . '' However , Heigl tried to talk Knight out of leaving , saying : `` I did n't think it was the right decision . I felt like some of the problems could be worked through . But by the time it came to fruition , I was ( glad ) for him because he was ready to go . '' On the topic of losing a US $14 million contract , Knight commented : `` From an outsider 's perspective , I get the ( impression that ) ' He 's just a spoiled actor , he does n't know how good he has it . ' There are a lot of people who would like to be in my position . But in the end , I need to be fulfilled in my work . ''   Characterization ( edit )   O'Malley was characterized a `` hapless naif '' . On the topic of O'Malley's longtime crush on Meredith in the second season , Knight said : `` What 's going to be very interesting to see is what he 's going to do with Meredith . It 's getting close to time . Whatever he chooses to do will inform who he is the rest of his life . '' After their sexual encounter occurred onscreen , Knight said in an interview with Maureen Ryan of the Chicago Tribune : `` George was n't really paying full attention . He was letting his own feelings override his respect for Meredith . A person really clued in would get that there was n't anything coming back , but he was so in his head about it and caught up in his own feelings that he was n't listening . It 's not just that he loves her ... it 's a kind of selfish love he had for her . '' He also added that , `` I think George has a lot of growing up to do . Part of that is making horrible , stupid mistakes . He 's been pretty sheltered . ''  Katherine Heigl 's ( left ) and Ellen Pompeo 's ( right ) characters both have short - lived relationships with O'Malley .  Series writer Stacy McKee said of the sexual encounter : `` There 's no turning back . There 's nothing George and Meredith can do . The damage is done -- things will never be the same . They 've just changed something important in their lives forever . '' When asked if O'Malley was becoming more assertive , Knight said :     ``   I think that 's very true , especially since the elevator scene . The first time we saw George , he failed at an appendectomy , he failed very publicly . In the elevator scene , if he had n't been in that elevator , if they had been in any other place , he would have let someone else step in and deal with it . The fact that it was only George and Alex forced him to act , it was either that or let this man die . He stepped up because he had to .   ''     Knight also commented that the character does not appreciate himself and his positive traits . On the topic of O'Malley performing open heart surgery in an elevator , Knight said : `` It 's a slow change but he 's starting to realize , ' The way I have been doing things is not working . ' The big thing about the open - heart surgery in the elevator was he was forced into it . He needs to be kind of kicked in the ( butt ) to do these things . ''   Knight felt a parallel to George in that his `` confidence is n't always at its absolute highest '' , but overall he sees more differences than similarities . However , when the actor starts to think he is so different from O'Malley , an awkward move can suggest otherwise . `` I was walking , doing a scene with Katherine Heigl . I finished my line with her , and then I walked straight into the light stand . '' Critical of her affair with O'Malley , Knight 's co-star Heigl explained : `` They really hurt somebody , and they did n't seem to be taking a lot of responsibility for it . I have a really hard time with that kind of thing . I 'm maybe a little too black and white about it . '' Speaking of O'Malley's relationship with Lexie , Rhimes offered her insight : `` I love them as friends . They make good friends . We all have that friend we met in school or the gym or somewhere -- we just hit it off right away . And right away there was no pretense or airs . Just pure honesty . That 's Lexie and George . They 're really good friends and I can see the friendship evolving into something even greater . '' When asked what his `` favorite George moment '' was , Knight said his relationships with Stevens and Bailey .   Reception ( edit )  Callie Torres ' relationship with O'Malley was initially criticized .  Fans were `` widely against '' O'Malley's affair with Meredith in the second season , however certain fans who supported their relationship were critical when Torres was introduced as a love interest for him . Fans and critics were also against O'Malley's relationship with Stevens in the fourth season ; Maclean 's said : `` George must die . He 's slept with virtually everyone except the male cast and has been in love with virtually everyone except the male cast . And he 's not that great of a doctor . Evolve or die . '' Christopher Monfette of IGN said O'Malley and Stevens were a `` mismatch '' , adding : `` Unfortunately , while it 's refreshing to see a plotline driven by activity versus apathy , the idea of these two ever - affable , best - friend characters suddenly discovering their potential , out - of - nowhere love for each other quickly feels both force - fed and emotionally - incorrect . '' Similarly , DVD Verdict stated that George and Izzie were `` one of the strongest ' best friend ' vibes on television '' for the first three seasons , explaining `` they were perfect as friends ( while ) George and Callie made a good couple . '' UGO.com put the two on their list of `` Character Couples Who Should Have Never Happened '' .   Jennifer Armstrong of Entertainment Weekly said that when O'Malley told Torres about his affair with Stevens , the scene was too `` melodramatic '' . Laura Burrows , also of IGN , said that the fourth - season premiere `` introduced a new side of George '' . Armstrong said of O'Malley and Stevens ' reconciliation : `` George and Izzie are finally on the old Grey 's Anatomy road to ruin . And I admit this is a good lesson in Grey 's viewing as well as life : Sit tight if you hate something , as nothing is permanent . '' Armstrong also commented that the `` sparkling '' friendship development between Lexie and O'Malley `` won her over '' . The following year , Monfette observed of O'Malley's lack of screen time : `` His growing interest in trauma surgery at the side of Owen leads to an interesting development in the finale , but the character is virtually side - lined this season . '' Carina MacKenzie of the Los Angeles Times said of the character 's death : `` The time - lapse episode was an interesting choice , and though we sped through six weeks of mourning in two hours , it did n't feel rushed to me . I 'm not sure the show could have held my attention for another season of crippling sadness . ''   The Huffington Post 's Michael Pascua commented that O'Malley's funeral did not live up to his expectations , writing that it `` was n't as sad as ( he ) thought it would be '' . In 2006 , Knight and the other cast of Grey 's Anatomy were nominated for Outstanding Performance by an Ensemble in a Drama Series , at the 12th Screen Actors Guild Awards . Also in 2006 , the cast won the award for Best Cast -- Television Series at the 11th Satellite Awards . The cast won the award for Outstanding Performance by an Ensemble in a Drama Series at the 13th Screen Actors Guild Awards , and were nominated again the following year . Knight 's performance in season three earned him a nomination for Outstanding Supporting Actor in a Drama Series at the 59th Primetime Emmy Awards .   References ( edit )   Specific    Jump up ^ T.R. Knight ( 2007 ) . Grey 's Anatomy -- T.R. Knight On Auditioning . Paley Center . Event occurs at 0 : 30 -- 1 : 20 . Retrieved May 26 , 2012 .   Jump up ^ Edward , Wyatt ( January 22 , 2007 ) . `` Anatomy of an Insult : ABC Is Stung by an Actor 's Anti-Gay Slurs '' . The New York Times . Retrieved August 26 , 2012 .   ^ Jump up to : Nudd , Tim ( January 17 , 2007 ) . `` T.R. Knight : Isaiah Washington 's Slur Made Me Come Out '' . People . Retrieved August 30 , 2012 .   Jump up ^ `` Exclusive : Isaiah Washington Apologizes '' . People . October 25 , 2006 . Retrieved August 26 , 2012 .   Jump up ^ The Associated Press ( January 17 , 2007 ) . `` Isaiah Washington : `` I Love Gay '' `` . Access Hollywood . Archived from the original on January 20 , 2007 . Retrieved January 17 , 2007 .   Jump up ^ `` T.R. Knight : ' Isaiah Washington Did Use the ' F Word ' '' . Hollywood.com . January 17 , 2007 . Retrieved August 26 , 2012 .   Jump up ^ `` Grey 's Anatomy Show Creator Speaks Out About Anti-Gay Controversy '' . Yahoo ! Voices . January 24 , 2007 . Archived from the original on July 28 , 2014 . Retrieved August 26 , 2012 .   Jump up ^ Jensen , Michael ( June 8 , 2007 ) . `` Isaiah Washington Fired from Grey 's Anatomy '' . AfterElton.com . Archived from the original on November 5 , 2012 . Retrieved August 26 , 2012 .   Jump up ^ `` ABC drops Washington from Grey 's Anatomy '' . Canadian Broadcasting Corporation . June 8 , 2007 . Retrieved June 8 , 2007 .   Jump up ^ `` Grey 's star says they fired the wrong guy '' , Houston Chronicle . June 21 , 2007 . Retrieved September 2 , 2012 .   Jump up ^ `` Interview transcript '' July 2 , 2007 . Cable News Network .   ^ Jump up to : Hernandez , Greg ( July 27 , 2009 ) . `` T.R. Knight : More of Entertainment Weekly interview '' . Retrieved August 30 , 2012 .   Jump up ^ Ausiello , Michael ( June 17 , 2009 ) . `` It 's official : T.R. Knight exits ' Grey 's Anatomy ' -- Inside TV '' . Entertainment Weekly . Retrieved August 25 , 2012 .   Jump up ^ Ausiello , Michael ( July 23 , 2009 ) . `` T.R. Knight reveals why he left ' Grey 's Anatomy ' '' . Cable News Network . Archived from the original on November 15 , 2012 . Retrieved August 25 , 2012 .   Jump up ^ `` T.R. Knight : Leaving Grey 's Anatomy Was the `` Best Decision '' `` . Us Weekly . July 23 , 2009 . Retrieved August 25 , 2012 .   ^ Jump up to : Mitovich , Matt ( May 28 , 2009 ) . `` Grey 's Anatomy T.R. Knight Rumors Ripped as `` Ridiculous '' `` False '' `` . TV Guide . Retrieved August 29 , 2012 .   ^ Jump up to : Mitovich , Matt ( 19 June 2009 ) . `` T.R. Knight Speaks Out : `` Leaving Grey 's Anatomy Was Not Easy '' `` . TV Guide . Retrieved 29 August 2012 .   Jump up ^ Ausiello , Michael ( May 15 , 2009 ) . `` Exclusive = ' Grey 's ' boss on finale 's Izzie - George shocker , Mer - Der ' wedding , ' and more ! '' . Entertainment Weekly . Retrieved August 29 , 2012 .   ^ Jump up to : Ausiello , Michael ( July 23 , 2009 ) . `` This week 's cover : ' Grey 's Anatomy ' star T.R. Knight reveals why he left the hit show '' . Entertainment Weekly . Retrieved 27 August 2012 .   Jump up ^ Fonseca , Nicholas ( September 16 , 2005 ) . `` Playing Doctors '' . Entertainment Weekly . Retrieved June 13 , 2013 .   ^ Jump up to : Keveney , Bill ( February 16 , 2006 ) . `` TV 's top everymen '' . USA Today . Retrieved August 27 , 2012 .   ^ Jump up to : Ryan , Maureen ( March 10 , 2006 ) . `` George speaks : A chat with T.R. Knight of ' Grey 's Anatomy ' '' . Chicago Tribune . Retrieved August 26 , 2012 .   Jump up ^ McKee , Stacy ( February 26 , 2006 ) . `` From Stacy McKee , writer of `` What Have I Done To Deserve This ? '' `` . American Broadcasting Company . Grey Matter . Archived from the original on December 19 , 2012 . Retrieved June 19 , 2012 .   Jump up ^ Bennetts , Leslie ( January 2008 ) . `` Heigl 's Anatomy '' . Vanity Fair . Condé Nast Publications . Retrieved May 9 , 2009 .   Jump up ^ Rhimes , Shonda ( June 2 , 2008 ) . `` The End of the Beginning ... Part II ... '' Grey Matter . American Broadcasting Company . Archived from the original on March 31 , 2012 . Retrieved June 19 , 2012 .   Jump up ^ `` T.R. Knight talks ' Grey 's Anatomy ' '' . The Associated Press . February 15 , 2006 . Retrieved August 27 , 2012 .   Jump up ^ Yuan , Jada ( September 18 , 2006 ) . `` Belle Curves : Sara Ramirez '' . New York Magazine . New York Media , LLC . Retrieved June 18 , 2012 .   Jump up ^ Gans , Andrew ( November 16 , 2005 ) . `` Spamalot 's Ramirez Lands Role on TV 's `` Grey 's Anatomy '' `` . Playbill . Philip S Birsh . Archived from the original on September 4 , 2012 . Retrieved June 18 , 2012 .   Jump up ^ `` T.R. Knight pictures , Blog , Interviews , News , Trivia , Biography '' . BuddyTV . Retrieved August 26 , 2012 .   Jump up ^ Treble , Patricia ( April 25 , 2008 ) . `` Grey 's Anatomy is on life support '' . Maclean 's . Archived from the original on March 14 , 2012 . Retrieved July 7 , 2012 .   Jump up ^ Monfette , Christopher ( June 18 , 2007 ) . `` Grey 's Anatomy : Season 3 Review '' . IGN . Retrieved August 26 , 2012 .   Jump up ^ Thomas , Jim ( September 18 , 2008 ) . `` Grey 's Anatomy : Season Four '' . DVD Verdict . Archived from the original on December 16 , 2012 . Retrieved September 3 , 2012 .   Jump up ^ Fitzpatrick , Kevin ( August 11 , 2011 ) . `` Character Couples Who Should Have Never Happened -- George O'Malley and Izzie Stevens - '' . UGO Networks . Archived from the original on August 6 , 2012 . Retrieved July 7 , 2012 .   Jump up ^ Armstrong , Jennifer ( October 7 , 2007 ) . `` Grey 's Anatomy recap : Keeping Up With the Jonesing '' . Entertainment Weekly . Retrieved September 1 , 2012 .   Jump up ^ Burrows , Laura ( May 27 , 2008 ) . `` Grey 's Anatomy : Season 4 Review '' . IGN . Retrieved August 26 , 2012 .   Jump up ^ Armstrong , Jennifer ( November 9 , 2007 ) . `` Grey 's Anatomy recap : Bed Her Late , Then Never '' . Entertainment Weekly . Retrieved September 1 , 2012 .   Jump up ^ Armstrong , Jennifer ( September 30 , 2007 ) . `` When Girls Collide '' . Entertainment Weekly . p. 2 . Retrieved June 20 , 2012 .   Jump up ^ Monfette , Chris ( May 29 , 2009 ) . `` Grey 's Anatomy : Season 5 Review '' . IGN . Retrieved August 26 , 2012 .   Jump up ^ MacKenzie , Carina ( September 25 , 2009 ) . `` ' Grey 's Anatomy ' premiere : Saying goodbye to George O'Malley '' . Los Angeles Times . Retrieved August 26 , 2012 .   Jump up ^ Pascua , Michael ( September 25 , 2009 ) . `` Grey 's Anatomy : Good Mourning / Goodbye ( season premiere ) '' . The Huffington Post . Retrieved July 2 , 2012 .   Jump up ^ `` 12th Screen Actors Guild Awards '' . Screen Actors Guild . Retrieved September 1 , 2012 .   Jump up ^ `` 2006 Satellite Awards '' . Alt Film Guide . Retrieved September 1 , 2012 .   Jump up ^ `` 13th Screen Actors Guild Awards '' . Screen Actors Guild . Retrieved September 1 , 2012 .   Jump up ^ `` 14th Screen Actors Guild Awards '' . Screen Actors Guild . Retrieved September 1 , 2012 .   Jump up ^ `` T.R. Knight '' . Primetime Emmy Awards . Retrieved September 1 , 2012 .    General    `` Grey 's Anatomy : Episode Recap Guide '' . ABC . Retrieved June 19 , 2012 .    External links ( edit )    Grey 's Anatomy portal   Fictional characters portal      ( hide )         Grey 's Anatomy     Episodes     Season 1         5   6   7   8   9   10   11   12   13   14       Characters ( cast members )     Meredith Grey   Cristina Yang   Izzie Stevens   Alex Karev   George O'Malley   Miranda Bailey   Richard Webber   Preston Burke   Derek Shepherd   Addison Montgomery   Mark Sloan   Callie Torres   Lexie Grey   Erica Hahn   Owen Hunt   Sadie Harris   Arizona Robbins   Teddy Altman   Jackson Avery   April Kepner   Amelia Shepherd   Stephanie Edwards   Maggie Pierce   Nathan Riggs       Spin - offs     Private Practice   Station 19       Other     Awards and nominations   Soundtrack   Video game   A Corazón Abierto ( Mexican telenovela )   A Corazón Abierto ( Colombian telenovela )         Portal        Retrieved from `` https://en.wikipedia.org/w/index.php?title=George_O%27Malley&amp;oldid=830952863 '' Categories :   Fictional American people of Irish descent   Fictional characters from Washington ( state )   Fictional surgeons   Grey 's Anatomy characters   Hidden categories :   All articles lacking reliable references   Articles lacking reliable references from September 2015   Good articles   Pages using deprecated image syntax           Talk                                           Contents                   About Wikipedia                                           Español   فارسی   Français   </t>
    </r>
    <r>
      <rPr>
        <sz val="11"/>
        <color rgb="FF000000"/>
        <rFont val="Noto Sans CJK SC"/>
        <family val="2"/>
      </rPr>
      <t xml:space="preserve">한국어   </t>
    </r>
    <r>
      <rPr>
        <sz val="11"/>
        <color rgb="FF000000"/>
        <rFont val="Calibri"/>
        <family val="0"/>
        <charset val="1"/>
      </rPr>
      <t xml:space="preserve">Italiano   Македонски   Polski   Português   Српски / srpski   Suomi   </t>
    </r>
    <r>
      <rPr>
        <sz val="11"/>
        <color rgb="FF000000"/>
        <rFont val="Noto Sans CJK SC"/>
        <family val="2"/>
      </rPr>
      <t xml:space="preserve">中文  </t>
    </r>
    <r>
      <rPr>
        <sz val="11"/>
        <color rgb="FF000000"/>
        <rFont val="Calibri"/>
        <family val="0"/>
        <charset val="1"/>
      </rPr>
      <t xml:space="preserve">4 more  Edit links   This page was last edited on 17 March 2018 , at 22 : 10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</si>
  <si>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episode of grey's anatomy does george o'malley die</t>
  </si>
  <si>
    <t xml:space="preserve"> O'Malley moves in with new intern Lexie Grey ( Chyler Leigh ) , Meredith 's half - sister . Lexie and O'Malley discover that he only failed his exam by a single point , leading him to confront Richard Webber ( James Pickens , Jr . ) , the chief of surgery , to ask for a chance to retake the exam . He passes the second attempt , and begins to distance himself from Lexie , who has fallen in love with him . O'Malley supports Stevens when she discovers she has melanoma , and walks her down the aisle as she marries Karev . O'Malley begins to display a talent for trauma surgery , and is told by the chief of trauma surgery Owen Hunt ( Kevin McKidd ) that it is definitely his specialty . He then abruptly and inexplicably decides to join the U.S. Army . While his friends at the hospital prepare an intervention to convince O'Malley to stay , they all work on a severely disfigured John Doe , brought in after a horrible bus accident , in which he pushed a woman out of the way and saved her life . When Meredith goes to check on John Doe , he seems to recognize her and will not let go of her hand . After several attempts at trying , he succeeds in tracing `` 007 '' on Meredith 's hand . Shocked , she realizes `` John Doe '' is in fact O'Malley . She informs the other surgeons and they rush him to surgery . However , he flatlines and is ultimately declared braindead . His organs are donated after Stevens confirms that is what O'Malley would have wanted , and he is buried a week later . </t>
  </si>
  <si>
    <t xml:space="preserve">List of Disney 's Aladdin characters - wikipedia  List of Disney 's Aladdin characters       hide This article has multiple issues . Please help improve it or discuss these issues on the talk page . ( Learn how and when to remove these template messages )      This article describes a work or element of fiction in a primarily in - universe style . Please help rewrite it to explain the fiction more clearly and provide non-fictional perspective . ( June 2013 ) ( Learn how and when to remove this template message )         This article needs additional citations for verification . Please help improve this article by adding citations to reliable sources . Unsourced material may be challenged and removed . ( June 2013 ) ( Learn how and when to remove this template message )    ( Learn how and when to remove this template message )    The main characters in the first film . From top left to right : Magic Carpet and Genie . From bottom left to right : The Sultan , Jasmine , Aladdin , Abu , Iago and Jafar .  Disney 's Aladdin franchise features an extensive cast of fictional characters .   The lead character of the series is Aladdin , who was originally a street urchin . During the course of the franchise , he starts living in the palace of Agrabah and becomes engaged to Princess Jasmine .   Contents    1 Aladdin   1.1 Aladdin   1.2 Princess Jasmine   1.3 Genie   1.4 Jafar   1.5 Iago   1.6 Abu   1.7 Magic Carpet   1.8 The Sultan   1.9 Royal Guards   1.9. 1 Razoul   1.9. 2 Fazahl   1.9. 3 Hakim   1.9. 4 Zagoolien     1.10 Rajah   1.11 The Peddler   1.12 Tiger God ( Cave of Wonders )   1.13 Gazeem   1.14 Prince Achmed   1.15 Farouk     2 The Return of Jafar   2.1 Abis Mal     3 Television series   3.1 Amin Damoola   3.2 Arbutus   3.3 Aziz   3.4 Chaos   3.5 Eden   3.6 Mechanicles   3.7 Mirage   3.8 Mozenrath   3.8. 1 Xerses   3.8. 2 Mamluks     3.9 Mukhtar   3.9. 1 Saurus     3.10 Phasir   3.11 Sadira   3.12 Others     4 Aladdin and the King of Thieves   4.1 Cassim   4.2 Sa'luk   4.3 The Oracle     5 Disney 's Aladdin in Nasira 's Revenge   5.1 Nasira   5.2 The Arachnid   5.3 Anubis   5.4 Evil Sultan     6 Disney Princess Enchanted Tales : Follow Your Dreams   6.1 Sahara   6.2 Hakeem   6.3 Aneesa   6.4 Sharma     7 References    Aladdin ( edit )   Aladdin ( edit )  Main article : Aladdin ( Disney character )  Aladdin ( Arabic : علاء الدين ‎ , ʻAlāʼ ad - Dīn ) is a street child who ends up becoming the prince of Agrabah after meeting Jasmine in the streets and being recruited by Jafar to retrieve the magical lamp from the Cave of Wonders . He is voiced by Scott Weinger when speaking and Brad Kane when singing .   Princess Jasmine ( edit )  Main article : Princess Jasmine  Jasmine is the rebellious princess of Agrabah , who flees the palace in revolt to her obligation to be married to a prince . While on the run , she meets Aladdin in the streets , and later becomes his wife . She is voiced by Linda Larkin when speaking and Lea Salonga when singing .   Genie ( edit )  Main article : Genie ( Disney )  Genie is a jinni and is never given a proper name . He was portrayed by Robin Williams in the first film . Following a contract dispute between Williams and the Walt Disney Company , Dan Castellaneta voiced the Genie throughout the direct - to - video feature The Return of Jafar , as well as the television series , before Williams reprised the role for the final installment , Aladdin and the King of Thieves , as well as for the character 's own mini-series , Great Minds Think for Themselves . Jim Meskimen took over the role in Disney Think Fast ( 2008 ) and Kinect : Disneyland Adventures ( 2011 ) and currently voices him , after Williams ' death in 2014 .   After Williams ' death in 2014 , a dedicated drawing of the Genie appeared at the end of the first film on television programs .   Jafar ( edit )  Main article : Jafar ( Disney )  As Royal Vizier of Agrabah , Jafar was presented as the Sultan 's most trusted and loyal councilman . Imperious , Jafar held passionate disdain for the Sultan , and dedicated the latter half of his life to gaining ownership of a magic lamp containing an all - powerful genie -- to that end , he would control cosmic power , to which he would use to overtake the kingdom and the world at large . He is voiced by Jonathan Freeman .   Iago ( edit )  Main article : Iago ( Disney )  Iago ( voiced by Gilbert Gottfried ) is the sidekick to Jafar . The red - plumed talking bird is an apparent homage to an identically - named red parrot in the Tintin adventure The Castafiore Emerald .   Abu ( edit )     Abu     First appearance   Aladdin ( 1992 )     Created by   Joe Grant     Voiced by   Frank Welker     Species   Monkey Elephant ( temporarily )     Gender   Male     Abu ( voiced by Frank Welker ) is Aladdin 's kleptomaniac monkey partner with a high - pitched voice and can talk a little . The animators filmed monkeys at the San Francisco Zoo to study the movements Abu would have . The character is based on the similarly named Abu the thief , played by Sabu Dastagir in the 1940 version of The Thief of Bagdad .   In the first film , Abu is seen accompanying Aladdin during his daily adventures as they try to steal food to live . When Abu and Aladdin finally are about to eat , they see two children looking for food among garbage , and Abu is forced to share his stolen food with them when Aladdin voluntarily does so . After Aladdin gets arrested by Razoul on Jafar 's orders , Abu enters the dungeon but is unable to free his friend . It is a disguised Jafar who frees them in a plan to use Aladdin to get access to the Cave of Wonders and retrieve the Genie 's lamp . Inside the cave after finding a magic carpet who leads them to the lamp , Abu disobeys the command of the guardian of the cave and tries to steal a ruby , which causes a cave - in and almost costs his and Aladdin 's lives . When they are about to exit the cave , Aladdin gives Jafar the lamp and , in turn , Jafar is about to kill Aladdin , but Abu attacks him back and takes the lamp back . After meeting the Genie , Aladdin wishes to become a prince and Abu is transformed into an elephant as part of the disguise . Abu is transformed back to his original form by Jafar during the climax of the film , when he is about to attack the sorcerer . Abu and Aladdin are later sent by Jafar to a far - off place but return to Agrabah using the Magic Carpet . Once in Agrabah , Abu fights and subdues Iago , but is transformed into a toy monkey by Jafar when he tries to take the lamp back . Abu returns once again to his original form at the end of the film when Jafar is defeated .   In The Return of Jafar , Abu is first seen taking treasures from Abis Mal and his men , with Aladdin distributing them among the poor people of Agrabah , against Abu 's will . He is initially skeptical of Iago 's reform , but eventually warms up to him . Abu is one of the first to know about Jafar 's return , and is imprisoned along with the Genie . Abu and the others are freed by the Genie who was in turned freed by Iago . Abu participates in the final battle against Jafar . In Aladdin and the King of Thieves , Abu goes with Aladdin to find his father and later to the Vanishing Isle . Abu plays a supporting role in the TV series , often accompanying Aladdin in his adventures . In the episode `` Much Abu About Something '' , he is worshipped by a lost civilization as their great protector . During his time working with a group of circus performers , during the two - part episode `` Seems Like Old Crimes '' , he met his friend Aladdin . Throughout the series , he is occasionally shown at odds with Iago , but several episodes portray them as close friends with a friendly rivalry .   Abu also appears in both Kingdom Hearts and Kingdom Hearts II , playing a large role in the latter with his kleptomanic habits getting him into trouble during Sora 's first return visit to Agrabah .   He can also be seen in House of Mouse as one of the many Disney characters that come to watch cartoons . Abu is usually found in the audience , sometimes playing with Iago or dancing along to the musical performances on stage .   Magic Carpet ( edit )     Magic Carpet     First appearance   Aladdin ( 1992 )     Created by   Randy Cartwright     Voiced by   N / A ( silent character )     Aliases   Carpet     The Magic Carpet is an ancient carpet that was found by Aladdin in the Cave of Wonders ' treasure room . It is a character without a voice , and expresses itself entirely through pantomime and movements . It is genderless , but is often assumed to be male by Genie and other characters . It is playful , as it reacts with Abu , intelligent , as it beats the Genie at chess ( and most other things ) , and helpful , as it helps Aladdin romance Princess Jasmine during the song `` A Whole New World '' . It sometimes uses its tassels as hands and feet to accentuate its feelings .   The unique faux - Persian design of Carpet was solely maintained through CGI . Advances in CGI had progressed so much since animating the ballroom sequence in Beauty and the Beast that the texture and pattern of Carpet was much easier to accomplish no matter which way it moved . Animator Randy Cartwright refused to resort to the anthropomorphic style of simply putting a face on a carpet . Instead , Cartwright used body language to make Carpet more flexible , and almost human . Computer artist Tina Price took Cartwright 's outlined form and super-imposed the Persian design that could stretch , squash , and roll up without changing . According to movie critic Leonard Maltin , this made Carpet 's animation one of the best collaborations between traditional and technologically advanced animation to date .   It was first discovered by Abu in the film , who assumed he was seeing things , as it would be playful with him until it was within Aladdin 's line of sight , wherein it would appear as a normal inanimate object . It is an old friend of The Genie ; he states that he had not seen it `` in a few millennia . '' After Aladdin extends his hand in friendship , Carpet becomes instantly and absolutely loyal to him . It first helps him and Abu find the magic lamp that they were sent in to retrieve , becomes instrumental in helping them escape the cave during the meltdown sequence triggered after Abu touches a forbidden gem , and finally saves them from falling to their deaths by pulling itself out from under a large boulder after Jafar betrays them . In addition , a running gag has it beating Genie at nearly every game they play , much to his distress .   When Aladdin romances Jasmine during the song `` A Whole New World '' , it plays a key role as it takes them on a romantic flight . Another important part it plays is Aladdin 's first solitary encounter with Jasmine as ' Prince Ali ' . Jasmine pretends to seduce Aladdin , before pulling his turban over his eyes and telling him to ' jump off the balcony ' . At which point Aladdin apologizes for treating her like a ' prize to be won ' . He gets onto the rail of the balcony and steps off , but Jasmine does n't know that the carpet is there , and thinks he is committing suicide . She calls out ' No ! ' and then sees his head pop up going `` What ? What ? '' , at which point Jasmine discovers the carpet and is invited for a ride by ' Prince Ali ' . Carpet is also responsible for their first kiss , as it shoots upwards about a foot , causing them to kiss each other by accident , ( neither of them mind though ) . Many people consider Carpet as the character who actually sets their relationship in motion .   It 's magically unraveled by Sorcerer Jafar in the climactic scene , but becomes whole again when he 's foiled .   In the second film , it engages in combat with Jafar once more , and is turned into glass and shattered . It 's again restored when Jafar 's finally killed by a reformed Iago , who pushes his lamp into the magma .   In the third film , it transports Aladdin to places such as the 40 Thieves ' hideout , though Cassim insists that they return to Agrabah on horseback ; `` It 's a rug . You sweep dirt under it . You do n't fly on it . At least I do n't ! '' Eventually in the end , Cassim warms up to it , ordering it to save both him and Aladdin as the Vanishing Isle starts to sink away .   It appears in episodes of the animated series , both as a means of travel and a reacting character to the events of the stories . In one episode , Abis Mal kidnaps the carpet and stitches it to the sail of his ship . The magic of the carpet is strong enough to levitate an entire ship .   It is also in the Kingdom Hearts video game in the Agrabah world . Sora frees it , at which point it acts as a transport between the city of Agrabah and the Cave of Wonders . In the second installment , it plays a more key role .   In Walt Disney World 's Magic Kingdom , there is a ride called The Magic Carpets of Aladdin in Adventureland , which simulates flight on a carpet . There are two others versions in the world : Flying Carpets Over Agrabah in Toon Studio at the park Walt Disney Studios Park in France and Jasmine 's Flying Carpets is located in Arabian Coast at the park Tokyo DisneySea .   The Sultan ( edit )     Sultan     First appearance   Aladdin ( 1992 )     Voiced by   Douglas Seale ( first film ) Val Bettin ( sequels and TV series ) Jeff Bennett ( Disney Princess Enchanted Tales : Follow Your Dreams )     Gender   Male     Title   Sultan     Family   Sultana ( wife ; deceased ) Jasmine ( daughter )     Relatives   Aladdin ( son - in - law )     Nationality   Arabian     The Sultan ( real name : Hamed Bobolonius II ) is Princess Jasmine 's father and the pompous but kind ruler of Agrabah . Some aspects of the character were inspired in the Wizard of Oz , to create a bumbling authority figure . He was voiced by Douglas Seale in the first film , by Val Bettin in the sequels and the TV series , and by Jeff Bennett in Disney Princess Enchanted Tales : Follow Your Dreams .   In the first film , the Sultan desperately tries to find a suitor for his daughter Princess Jasmine . During the first part of the film , the Sultan is often manipulated by Jafar who uses his staff to hypnotize him . After losing the lamp to Aladdin at the Cave of Wonders , Jafar decides to trick the Sultan into arranging a marriage between himself and Princess Jasmine ; however , the hypnosis is interrupted by the arrival of Aladdin transformed into `` Prince Ali '' . The Sultan approves Prince Ali , but he is later tricked by Jafar and is about to force Jasmine to marry Jafar until Aladdin breaks the staff . The Sultan loses his post as ruler of Agrabah when the Genie grants Jafar his wish to become the new sultan . Jafar makes Jasmine his slave , and the Sultan as his entertainment . The Sultan becomes a marionetted jester , and is tortured by Iago as he force feeds him crackers . He and Jasmine are fortunately saved by Aladdin and free from their humiliation . At the end of the film , the Sultan changes the law so the princess can marry whomever she loves .   In The Return of Jafar , the Sultan announces that he wants to make Aladdin his new grand vizier . However , he grows suspicious of Aladdin after he defends Iago , who used to work for Jafar , and commands him to watch the bird . When Jafar returns , he takes advantage of Iago 's new position as an `` ally '' to Aladdin , and makes him suggest the Sultan and Aladdin to have a discussion in a place where they are ambushed by Jafar and Abis Mal . The Sultan is imprisoned along with Aladdin 's friends , and Jafar uses his turban to frame Aladdin for his ' murder ' . Luckily , Iago manages to free Genie , who then saves Aladdin from his wrongful punishment as well as the Sultan and the rest of their friends . After Iago manages to defeat Jafar by kicking his lamp into the magma , the Sultan pardons Iago and welcomes him toward his family . He is later seen at the end of the film , again requesting Aladdin to become his vizier .   In the TV series , it is revealed that he is quite adept with mechanics ( Getting the Bugs Out ) , and his nickname is Little Bobo ( as revealed in `` As the Netherworld Turns '' ) . Twenty years before the episode `` Garden of Evil '' , the Sultan picked a flower for his new bride , angering the garden 's owner , Arbutus . He was allowed to go free on the condition that in twenty years , Arbutus could take the Sultan 's most valuable possession , which turns out to be his daughter .   In Aladdin and the King of Thieves , the Sultan meets Aladdin 's father , Cassim , not knowing he is the King of Thieves , and immediately accepts him . However , Razoul later reveals to the Sultan that Cassim is the King of Thieves and , with no other choice , the Sultan has Razoul incarcerate Cassim in the dungeon for life . After Aladdin helps Cassim escape the dungeon , and comes back to accept the consequences for his actions , the Sultan prepares to punish Aladdin in anger for freeing Cassim , but the Genie and Princess Jasmine come to his defense , stating that all he wanted was to give his father a second chance . The Sultan accepts his apology . At the end of the film , his wish of seeing Princess Jasmine marrying someone comes true when she marries Aladdin .   The Sultan plays a minor role in Disney Princess Enchanted Tales : Follow Your Dreams , giving Jasmine the job of `` Royal Assistant Educator '' at the Royal Academy . Later , one of his most precious horses , Sahara , is missing from the stables , so Princess Jasmine , along with Iago , Abu and Carpet , go to find Sahara and return him to the palace .   Like many Disney characters , the Sultan can be found in the TV series House of Mouse . He can normally be found clapping with the audience at the end of a cartoon , right alongside Princess Jasmine .   Royal guards ( edit )     Razoul , Fazahl , Hakim and Zagoolien     First appearance   Aladdin ( 1992 )     Voiced by   Razoul : Jim Cummings Fazahl : Frank Welker ( first film and TV series ) Jim Cummings ( `` Sneeze the Day '' ) Hakim : Frank Welker ( The Return of Jafar and TV series ) Jim Cummings ( `` Sneeze the Day '' ) Corey Burton ( Aladdin and the King of Thieves ) Zagoolien : Jeff Bennett     Aliases   The Royal Guards     The Royal Guards serve as the law enforcement for Agrabah where they patrol the palace and the streets of Agrabah :  Razoul ( edit )  Razoul ( voiced by Jim Cummings ) is the Captain of the Royal Guards of Agrabah in all three films . Although unnamed ( on - screen ) in the first film , his name was revealed in the sequel ( he was named after layout supervisor Rasoul Azadani ) . During Aladdin 's life as a thief on the streets of Agrabah , Razoul chased Aladdin around with the other palace guards , although during the beginning of the first film , Aladdin gets away , causing Razoul and some of his men ( Fazahl , Hakim , and Zagoolien ) to fall into a stinky pile of manure . When Razoul finally succeeded in arresting Aladdin , he knocked Princess Jasmine to the ground , not recognizing her as the princess . When she revealed her true identity , he was shocked at seeing her outside the palace for the first time . When she ordered him to release Aladdin , he apologized and said that his orders came from Jafar , saying that Princess Jasmine will have to take it out with Jafar in order to secure Aladdin 's release . Even after Aladdin is accepted as Princess Jasmine 's boyfriend , Razoul still completely despises him , but nonetheless tolerates his presence in the palace . In the second film , Jafar , disguised as Jasmine , has Razoul arrest Aladdin for the murder of the Sultan and has him sentenced to death , but he was prevented by Genie and was presumably punished by the Sultan for falling into Jafar 's trick . During the TV series episode `` Forget Me Lots '' , when Princess Jasmine lost her memory from the Rose of Forgetfulness , Razoul was more than happy to throw Aladdin , Iago , and Abu out of the palace and into the streets , thinking that the princess had rejected Aladdin . Razoul also admitted his opinion that Aladdin was a power hungry street rat in `` Destiny on Fire '' when he and Aladdin were forced to work together , though he also admitted that he would consider calling Aladdin `` your highness '' if he got rid of Iago . In the episode `` The Return of Malcho '' , he questions Aladdin 's ability to run Agrabah as the temporary Sultan , but Aladdin proves otherwise , even with the challenges that lay before him and having to put up with both his and Iago 's pointless advice on how the real Sultan should act until Aladdin decided to do things his own way . In the end , Razoul helps Aladdin get rid of Malcho . In the third film , Razoul arrested Cassim and Iago for trying to steal The Oracle , but Aladdin helped his father escape . Razoul arrested Aladdin once more , but was knocked unconscious by Cassim . Though he tried to have Aladdin charged for this crime , Razoul 's request was denied as the Sultan decided to overlook the matter , since Aladdin only broke Cassim out of prison out of love and came back to face punishment for his actions . Later , he is shown at Aladdin and Princess Jasmine 's wedding , and is last seen catching Princess Jasmine 's wedding bouquet .   Razoul shows no sympathy towards any type of criminals and takes pleasure and pride from the authority he commands , notably seen when witnessing the Forty Thieves attack on the palace during Aladdin and Princess Jasmine 's wedding . Angrily , he declares `` not in THIS palace '' before trying to repel the thieves . Despite his vicious tendencies , he does not have the same crazed lust for power as characters such as Jafar . When Aladdin was arrested for the alleged murder of the Sultan in The Return of Jafar , Razoul was obviously pleased that Aladdin was finally in a cell , and certainly not fazed by the order to execute him . He seems to enjoy acts of violence and particularly killing , although he only commits them under orders , knowing of the consequences if he behaves otherwise . This was seen when he readily tried to drown Aladdin ( in disguise as Prince Ali ) in the ocean under Jafar 's orders ( although it can be assumed that Jafar hypnotized him with the snake staff and / or told him Prince Ali was a traitor or a spy ) . Despite their mutual dislike for each other , Razoul will not hesitate to save Aladdin 's life if necessary , demonstrated in `` Mudder 's Day '' when Aladdin is buried under a rockslide and Razoul is the first ( and only ) one to rush to his rescue , and in `` The Secret of Dagger Rock '' , Razoul and the guards are sent by the Sultan to find and rescue Aladdin , though Razoul mutters `` risking our lives for a lousy street rat '' . In `` Destiny on Fire '' , Razoul stops Aladdin and his friends from going in the palace when they find it in ruins ( Razoul had escaped as everyone turned into slugs ) and later prevents Aladdin from falling for a trap .   In each of the three films , Genie saves Aladdin from Razoul . In the first , he saves Aladdin 's life after Razoul throws him in the ocean , and in the second he saves Aladdin from being beheaded by Razoul after Razoul was duped into believing Aladdin had murder the Sultan and been sentenced to death by Princess Jasmine who was totally Jafar in disguise . In the third film , Razoul wants to punish Aladdin for freeing his father from the palace dungeons , but Genie sends him flying away with a rocket - propelled suitcase .  Fazahl ( edit )  Fazahl ( voiced by Frank Welker , understudied by Jim Cummings in `` Sneeze the Day '' ) is one of the guards of Agrabah . He is darkly colored and very fat , with a long mustache . His lines usually make reference to food .  Hakim ( edit )  Hakim ( voiced by Frank Welker in The Return of Jafar and the TV series , Jim Cummings in `` Sneeze the Day , '' Corey Burton in Aladdin and the King of Thieves ) is one of the guards of Agrabah . He is pale , very thin and tall . His lines generally put a pessimistic take on the situation .  Zagoolien ( edit )  Zagoolien ( voiced by Jeff Bennett ) is one of the guards of Agrabah . He is slightly paler and less fat than Fazahl .   Rajah ( edit )     Rajah     First appearance   Aladdin ( 1992 )     Voiced by   Frank Welker     Species   Bengal tiger     Gender   Male     Rajah ( voiced by Frank Welker ) is Princess Jasmine 's pet tiger which displays dog and cat - like behavior ... Unlike Abu , he is not anthropomorphized , but is still able to understand human language and emotions , as seen when he is surprised by the revelation of Princess Jasmine that she has never had a true friend ( except for Rajah himself ) , or when he assists her in her escape from the palace . In the first film , Rajah is distrustful towards Aladdin at first , but later warms up to him . He also takes part in the battle against Jafar , but is turned into a cub and imprisoned in a bird cage . He is returned to his original form at the end of the film after Aladdin finally defeats Jafar .   At the beginning of the film , when the Sultan is exasperated by Jasmine 's rejection of yet another suitor ( who , incidentally leaves because Rajah bit the seat of his trousers off ) , the Sultan says ' Allah forbid you should have any daughters ! ' to Rajah , implying that one woman is enough .   It is revealed in a children 's book based on Aladdin that Princess Jasmine adopted Rajah as a cub when she felt lonely without a friend and the Sultan gave her Rajah as a gift .   During the Sultan 's meal in The Return of Jafar , Rajah fiercely chases Iago into the room , which makes everyone discover Iago is back . In the Aladdin TV series , Rajah mainly served as a minor recurring character , though the only major part he played was in the episode `` SandSwitch '' when he teamed up with Abu and Iago in undoing Sadira 's spell when she magically switched places with Princess Jasmine , since only the memories of the animals were unaffected . In Aladdin and the King of Thieves , Rajah is seen carrying Jasmine 's bridal veil . In Disney Princess Enchanted Tales : Follow Your Dreams , Rajah is seen delivering Jasmine her agenda . She later calls him to try to scare the children of the Royal Academy , but the children end up chasing Rajah and Jasmine into the mud and up a tree .   The Peddler ( edit )     The Peddler     First appearance   Aladdin ( 1992 )     Voiced by     Robin Williams ( speaking )   Bruce Adler ( singing )       The Peddler ( voiced by Robin Williams , singing voice by Bruce Adler ) is a mysterious merchant who appears at the beginning of the original film , and later reappeared in the ending of Aladdin and the King of Thieves . The entire Peddler scene was improvised by Williams as the actor was put in front of a table with props , and started pitching them as products from a salesman 's catalogue . He implores the viewer to ' come closer ' , a reference to actor Sydney Greenstreet 's many film trailers . In the original ending of Aladdin , the Peddler was revealed to be the Genie masquerading as a human , but this was cut from the final film . The directors of the movie later revealed that the Peddler is still the Genie , despite the ending being deleted .   He appears in the Kingdom Hearts series , voiced by Corey Burton , and plays a major role in Kingdom Hearts II where his greed and shrewdness are presented .   Tiger God ( cave of Wonders ) ( edit )     Cave of Wonders     First appearance   Aladdin ( 1992 )     Voiced by   Frank Welker     The Tiger God ( voiced by Frank Welker ) is a giant head of a tiger made of sand and the neutral guardian of the Cave of Wonders . Its job is to protect the Genie 's lamp and give it to those who are worthy while eliminating those who are n't . The treasures hoarded inside the cave are used to test those who are worthy to enter as touching them will also cause the Tiger God to eliminate them as well . It was done by computer - generated imagery , following reference drawings by animator Eric Goldberg .   In the film , the Tiger God was awakened by Jafar and Gazeem using the two halves of the scarab medallion , which formed the cave 's eyes . Because Gazeem is n't a Diamond in the Rough , it refused to let Gazeem enter , but ( at Jafar 's urging ) goes in anyway and the cave immediately kills him before turning back into a pile of sand and returning to slumber as it quotes `` Seek Thee Out the Diamond in the Rough . '' It was awakened again by Jafar and Aladdin . Since Aladdin is a Diamond in the Rough , it allows him and Abu to enter , but warns them not to touch any of the treasures in the cave except for the lamp . Although Aladdin obeyed the cave 's warning , Abu did not . This angered the Tiger God so much that it claims that they will both perish for ignoring its warning ( despite the fact that only Abu disobeyed the cave 's warning ) and causes the cave to collapse . The magic carpet saves the duo but failed to escape the cave thanks to Jafar and a falling rock and the Tiger God again returns to eternal slumber . Though Genie later gets them out when they first meet him .   In the Kingdom Hearts series , the Cave of Wonders served in the games ' storyline , such as the first game when it was under an evil influence before Sora and company gained entry into it . Unlike the movie , it does n't talk .   On Disneyland , the Cave of Wonders head is present at the Aladdin 's Oasis open restaurant in Adventureland . The Storybook Land Canal Boats attraction at Disneyland Paris also features a tunnel shaped like the tiger head .   Gazeem ( edit )   Gazeem ( voiced by Charlie Adler ) is Jafar 's sidekick seen just at the beginning of Aladdin , he informs Jafar that he has managed to steal the other half of the scarab amulet used to summon the Cave of Wonders , and as soon as the halves form together , it flies off to the cave 's location and they follow on horseback . When the cave forms , it demands to know who woke it up and Gazeem introduces himself . The cave warns him that only one man , the Diamond in the Rough , whom the cave does not identify , may enter . Gazeem seems unable to understand this and thus ignores the warning and prepares to enter . Just before his entry , Jafar tells him that he can have any treasure he likes , but the lamp is his . Gazeem enters the cave and breathes a sigh of relief , when suddenly , the cave roars furiously and collapses . Gazeem frantically tries to escape , but although he is still very close to the entrance , the entire cave roof comes crashing down with amazing speed , as if the cave was closing its mouth . The cave collapses and Gazeem remains trapped inside , presumably forever , much to Jafar 's shock and anger . Having lost his accomplice , Jafar realizes that Gazeem was not the Diamond in the Rough , and sets out to find this particular man who can enter the cave . When Aladdin and Abu enter the cave later on , Gazeem is nowhere to be seen , so he is presumed to have been crushed to death when the cave collapsed .   Prince Achmed ( edit )   Prince Achmed ( voiced by Corey Burton ) is one of the potential suitors for Princess Jasmine . On his way to the palace , he nearly hits two peasant children with a bullwhip when they get in his way , but Aladdin intervenes and insults him . In retaliation , Achmed publicly humiliates Aladdin by kicking him into a mud puddle and telling Aladdin that he is nothing but a `` worthless street rat '' and will always be one . The next day , he last seen furiously stomping out of the palace with his pants ripped and underwear showing , yelling that he had never been so insulted . Achmed tells the Sultan to have good luck marrying her daughter off . After that , Achmed is not seen again for the remainder of the franchise .   Farouk ( edit )   Farouk ( voiced by Jim Cummings ) is a merchant from a fruit stand . When he sees Jasmine gives an apple to a hungry boy without paying , he is about to cut off her right arm , but Aladdin stops him by claiming Princess Jasmine is his mentally handicapped sister ( even going far by having Princess Jasmine to pretend that she believes that Abu is the Sultan ) .   The return of Jafar ( edit )   Abis Mal ( edit )     Abis Mal     First appearance   The Return of Jafar ( 1994 )     Voiced by   Jason Alexander     Abis Mal ( voiced by Jason Alexander ) is a childish and incompetent thief who dreams of enormous riches and does anything he can to get lots of money . His greed for money leads him from a greedy wealthy thief , to a murderous thief . His name is a pun of the word `` abysmal '' , which is a reference t</t>
  </si>
  <si>
    <t xml:space="preserve">what is the tigers name off of aladdin</t>
  </si>
  <si>
    <t xml:space="preserve"> Rajah ( voiced by Frank Welker ) is Princess Jasmine 's pet tiger which displays dog and cat - like behavior ... Unlike Abu , he is not anthropomorphized , but is still able to understand human language and emotions , as seen when he is surprised by the revelation of Princess Jasmine that she has never had a true friend ( except for Rajah himself ) , or when he assists her in her escape from the palace . In the first film , Rajah is distrustful towards Aladdin at first , but later warms up to him . He also takes part in the battle against Jafar , but is turned into a cub and imprisoned in a bird cage . He is returned to his original form at the end of the film after Aladdin finally defeats Jafar . </t>
  </si>
  <si>
    <t xml:space="preserve">Marriageable age - wikipedia  Marriageable age  Jump to : navigation , search    Part of the Politics series on     Youth rights     Activities ( show )   Bailey v. Drexel Furniture Co .   Child Labor Deterrence Act   Children 's Online Privacy Protection Act   Convention on the Rights of the Child   Fair Labor Standards Act   Hammer v. Dagenhart   History of youth rights in the United States   Morse v. Frederick   Newsboys ' strike of 1899   Quebec Charter of Human Rights and Freedoms   Wild in the Streets       Theory / Concepts ( show )   Adultcentrism   Adultism   Ageism   Criminalization   Democracy   Ephebiphobia   Fear of children   Fear of youth   Intergenerational equity   Paternalism   Social class   Suffrage   Taking Children Seriously   Universal suffrage   Unschooling   Youth activism   Youth suffrage   Youth voice       Issues ( show )   Age of candidacy   Age of consent   Age of majority   Behavior modification facility   Child labour   Compulsory education   Conscription   Corporal punishment   Curfew   Child abuse   Emancipation of minors   Gambling age   Homeschooling   Human rights and youth sport   In loco parentis   Juvenile delinquency   Juvenile court   Legal drinking age   Legal working age   Minimum driving age   Marriageable age   Minor ( law )   Minors and abortion   School leaving age   Smoking age   Status offense   Underage drinking in America   Voting age   Youth - adult partnership   Youth participation   Youth politics   Youth voting       Organizations ( show )   Americans for a Society Free from Age Restrictions   Human Rights and Youth Rights Commission   National Youth Rights Association   One World Youth Project   Queer Youth Network   Students for a Democratic Society   Freechild Project   Three O'Clock Lobby   Youth International Party   Youth Liberation of Ann Arbor   Young Communist League of Canada       Persons ( show )   Adam Fletcher ( activist )   David J. Hanson   David Joseph Henry   John Caldwell Holt   Alex Koroknay - Palicz   Lyn Duff   Mike A. Males   Neil Postman   Sonia Yaco       Related ( show )   Animal rights   Anti-racism   Direct democracy   Egalitarianism   Feminism   Libertarianism   Socialism   Students rights         Youth rights   Social movements portal                   Marriageable age ( or marriage age ) is the minimum age at which a person is allowed by law to marry , either as a right or subject to parental or other forms of consent . Age and other prerequisites to marriage vary between jurisdictions , but marriage age is often set at 18 . Until recently , the marriageable age for women was lower in many jurisdictions than for men , but in many places has now been raised to those of men . Most jurisdictions allow marriage at a younger age with parental or judicial approval , and some also allow younger people to marry if the woman is pregnant . The marriage age should not be confused with the age of majority or the age of consent , though in some places they may be the same . In many developing countries , the official age prescriptions stand as mere guidelines . In some societies , a marriage by a person ( usually a woman ) below the age of 18 is regarded as a child marriage .   The 55 parties to the 1962 Convention on Consent to Marriage , Minimum Age for Marriage , and Registration of Marriages have agreed to specify a minimum marriage age by statute law ‚ to override customary , religious , and tribal laws . When the marriageable age under a law of a religious community is lower than that under the law of the land , the state law prevails . However , some religious communities do not accept the supremacy of state law in this respect , which may lead to child marriage or forced marriage . The 123 parties to the 1956 Supplementary Convention on the Abolition of Slavery have agreed to adopt a minimum age for marriage .     Contents  ( hide )   1 History and social attitudes   1.1 Ancient times   1.2 Middle Ages   1.3 Modern times     2 Marriageable age as a right vs exceptions   3 By country   3.1 Africa   3.2 Americas   3.3 Asia   3.4 Europe   3.5 Oceania     4 By religion   4.1 Catholic Church   4.1. 1 Higher ages set by Conferences of Bishops     4.2 Islam     5 See also   6 References   7 External links      History and Social attitudes ( edit )   Ancient times ( edit )   Historically , the age of consent for a sexual union was determined by tribal custom , or was a matter for families to decide . In most cases , this coincided with signs of puberty : such as menstruation for a girl and pubic hair for a boy .   In Jewish oral tradition , men can not consent to marriage until they reach the age of majority of 14 years and one day and have undergone puberty . With no signs of puberty , they are considered minors until the age of twenty . After twenty , they are not considered adults if they show signs of impotence . If they show no signs of puberty or do show impotence , they automatically become adults by age 35 and can marry . The same rules apply to women , except their age of majority is 13 years and a day .   In Ancient Rome , it was very common for girls to marry and have children shortly after the onset of puberty . Roman law required brides to be at least 12 years old . In Roman law , first marriages to brides from 12 to 24 required the consent of the bride and her father ; by the late antique period , Roman law permitted women over 25 to marry without parental consent . The Catholic canon law followed the Roman law . In the 12th century , the Catholic Church drastically changed legal standards for marital consent by allowing daughters over 12 and sons over 14 to marry without their parents ' approval , even if their marriage was made clandestinely . Parish studies have confirmed that late medieval women did sometimes marry without their parents ' approval .   In western Europe , the rise of Christianity and manorialism had both created incentives to keep families nuclear , and thus the age of marriage increased ; the Western Church instituted marriage laws and practices that undermined large kinship groups . The Church prohibited consanguineous marriages , a marriage pattern that had been a means to maintain clans ( and thus their power ) throughout history . The church also forbade marriages in which the bride did not clearly agree to the union .   Middle ages ( edit )   After the Fall of the Western Roman Empire , manorialism also helped weaken the ties of kinship and thus the power of clans ; as early as the 9th century in northwestern France , families that worked on manors were small , consisting of parents and children and occasionally a grandparent . The Church and State had become allies in erasing the solidarity and thus the political power of the clans ; the Church sought to replace traditional religion , whose vehicle was the kin group , and substitute the authority of the elders of the kin group with that of a religious elder ; at the same time , the king 's rule was undermined by revolts by the most powerful kin groups , clans or sections , whose conspiracies and murders threatened the power of the state and also the demands by manorial lords for obedient , compliant workers . As the peasants and serfs lived and worked on farms that they rented from the lord of the manor , they also needed the permission of the lord to marry . Couples therefore had to comply with the lord and wait until a small farm became available before they could marry and thus produce children ; those who could and did delay marriage were presumably rewarded by the landlord and those who did not were presumably denied that reward . For example , marriage ages in Medieval England varied depending on economic circumstances , with couples delaying marriage until their early twenties when times were bad , but might marry in their late teens after the Black Death , when there was a severe labour shortage ; by appearances , marriage of adolescents was not the norm in England .   In medieval Eastern Europe , on the other hand , the Slavic traditions of patrilocality of early and universal marriage ( usually of a bride aged 12 -- 15 years , with menarche occurring on average at 14 ) lingered ; the manorial system had yet to penetrate into eastern Europe and had generally had less effect on clan systems there ; and the bans on cross-cousin marriages had not been firmly enforced .   The first recorded age - of - consent law dates back 800 years . In 1275 , in England , as part of the rape law , the Statute of Westminster 1275 , made it a misdemeanour to `` ravish '' a `` maiden within age '' , whether with or without her consent . The phrase `` within age '' was interpreted by jurist Sir Edward Coke as meaning the age of marriage , which at the time was 12 years . In the 12th century , the jurist Gratian , an influential founder of Canon law in medieval Europe , accepted the age of puberty for marriage to be between 12 and 14 , but acknowledged consent to be meaningful if the children were older than 7 . Some authorities claimed that consent could take place earlier . Marriage would then be valid as long as neither of the two parties annulled the marital agreement before reaching puberty , and the marriage had not already been consummated . Gratian noted that `` If one over the age of seven takes a prepubescent wife of less than seven and transfers her to his house , such a contract gives rise to the impediment of public propriety '' . In spite of this , there are recorded marriages of 2 and 3 year olds : in 1564 , a three year old named John was married to a two year old named Jane in the Bishop 's Court in Chester , England   Modern times ( edit )   The policy of the Roman Catholic Church , and later various protestant churches , of considering clandestine marriages and marriages made without parental consent to be valid was controversial , and in the 16th century both the French monarchy and the Lutheran Church sought to end these practices , with limited success . Before 1929 , Scots law followed Roman law in allowing a girl to marry at twelve years of age and a boy at fourteen , without any requirement for parental consent . However , marriage in Scotland at such young ages was in practice almost unknown . In England and Wales , the Marriage Act 1753 required a marriage to be covered by a licence ( requiring parental consent for those under 21 ) or the publication of banns ( which parents of those under 21 could forbid ) .   In most of Northwestern Europe , marriage at very early ages was rare . One thousand marriage certificates from 1619 to 1660 in the Archdiocese of Canterbury show that only one bride was 13 years old , four were 15 , twelve were 16 , and seventeen were 17 years old ; while the other 966 brides were at least 19 years old . Additionally , the Church dictated that both the bride and groom must be at least 21 years of age to marry without the consent of their families ; in the certificates , the most common age for the brides is 22 years . For the grooms 24 years was the most common age , with average ages of 24 years for the brides and 27 for the grooms . While European noblewomen often married early , they were a small minority of the population , and the marriage certificates from Canterbury Muddy Mullins show that even among nobility it was very rare to marry women off at very early ages .   The American colonies followed the English tradition , but the law was more of a guide . For example , Mary Hathaway ( Virginia , 1689 ) was only 9 when she was married to William Williams . Sir Edward Coke ( England , 17th century ) made it clear that `` the marriage of girls under 12 was normal , and the age at which a girl who was a wife was eligible for a dower from her husband 's estate was 9 even though her husband be only four years old '' . Reliable data for when people would actually marry are very difficult to find . In England , for example , the only reliable data on age at marriage in the early modern period come from records relating only to those who left property after their death . Not only were the records relatively rare , but not all bothered to record the participants ' ages , and it seems that the more complete the records are , the more likely they are to reveal young marriages , giving a biased sample . Additionally , 20th - and 21st - century historians have sometimes shown reluctance to accept data regarding a young age of marriage , and would instead explain the data away as a misreading by a later copier of the records .   In France , until the French Revolution , the marriageable age was 12 years for girls and 14 for boys . Revolutionary legislation in 1792 increased the age to 13 years for girls and 15 for boys . Under the Napoleonic Code in 1804 , the marriageable age was set at 15 years for girls and 18 for boys . In 2006 , the marriageable age for women was increased to 18 , the same as for men .   In jurisdictions where the ages are not the same , the marriageable age for girls is more commonly two or three years lower than that for boys .   Marriageable age as a right vs exceptions ( edit )   In the majority of countries the marriageable age as a right is 18 . However , most of these countries have exceptions for minors , usually requiring parental or judicial authorization . These exceptions vary considerably by country . The United Nations Population Fund stated the following :   In 2010 , 158 countries reported that 18 years was the minimum legal age for marriage for women without parental consent or approval by a pertinent authority . However , in 146 countries , state or customary law allows girls younger than 18 to marry with the consent of parents or other authorities ; in 52 countries , girls under age 15 can marry with parental consent . In contrast , 18 is the legal age for marriage without consent among males in 180 countries . Additionally , in 105 countries , boys can marry with the consent of a parent or a pertinent authority , and in 23 countries , boys under age 15 can marry with parental consent .   In Western countries , marriages of teenagers have become rare in recent years , with their frequency having rapidly declined during the past few decades . For instance , in Finland , where underage youth can obtain a special judicial authorization to marry , there are only 30 -- 40 such marriages per year in the early 21st century ( with most of the spouses being aged 17 ) , while in the early 1990s , more than 100 underage marriages were registered each year .   By country ( edit )   Africa ( edit )     Country   Male consent   Female consent   Notes     Algeria   19   under 19 with judicial consent ( Article 7 of the Family Code )     Angola   18   16 with parental consent males , 15 with parental consent females .     Benin   18       Botswana   21   18 with parental consent .     Burkina Faso   20   17   18 with parental consent males , 15 with parental consent females .     Burundi   21   18       Cameroon   15   18       Central African Republic   22   18       Chad   18   15       Democratic Republic of Congo   18   15       Djibouti   18       Egypt   21   18 with parental consent .     Equatorial Guinea   12       Eritrea   18       Ethiopia   18       Gabon   21   18 with parental consent males , 15 with parental consent females .     Guinea - Bissau   18       Guinea - Conakry   18       Ivory Coast   20   18       Kenya   18   As per section 4 , Marriage Act 2014 .     Lesotho   21   18 with parental consent males , 16 with parental consent females .     Liberia   21   18   18 with parental consent males , 16 with parental consent females     Libya   20   But lower with judicial permission on grounds of benefit or necessity and with wali 's agreement .     Mauritius   18   16 with parental consent     Madagascar   18   17       Mali   18   16       Mauritania   18       Morocco   18       Mozambique   18   16 with parental consent     Namibia   21   18 with parental consent     Niger   18   15   under with parental consent     Nigeria   18       Republic of the Congo   21   18   under with parental consent     Rwanda   21   under with parental consent     São Tomé and Príncipe   18   16 with parental consent males , 14 with parental consent females .     Senegal   18   16       Sierra Leone   18       Somalia   18   16 with parental consent females     South Africa   18     For a marriage under the Marriage Act , 1961 , parental consent is required for the marriage of a party under the age of majority , which was formerly 21 but is now 18 . The special consent of the Minister of Home Affairs is also required for the marriage of a girl under the age of 15 or a boy under the age of 18 .   Under the Civil Union Act , 2006 , which allows for same - sex or opposite - sex marriages , both parties must be 18 or older .   Under the Recognition of Customary Marriages Act , 1998 , a customary marriage entered into after the passage of the act will only be recognised if both parties were 18 or older .       Sudan   Puberty   With requirement for willing consent of both parties .     South Sudan   18       Swaziland   21   18 with parental consent males , 16 with parental consent females .     Tanzania   18   14 with parental consent     Togo   20   17       Tunisia   18       Uganda   18       Zambia   21       Zimbabwe   18   16 with parental consent .     Americas ( edit )     Country   Male consent   Female consent   Notes     Antigua &amp; Barbuda   18   15 with parental consent . Section 25 of The Marriage Act reads : `` A marriage solemnized between persons either of whom is under the age of fifteen shall be null and void . ''     Argentina   18   16 with parental consent , lower with judicial consent in exceptional cases ( Art 403 and 404 of Código Civil y Comercial de la Nación ) .     Bahamas   18   The Marriage Act ( 1908 ) provides no minimum age with parental consent or with a Supreme Court ruling .     Barbados   18   16 with parental consent .     Belize   18   14 with parental consent . Section 4. - ( 1 ) of the Marriage Act reads : A marriage solemnised between persons either of whom is under the age of fourteen shall be void .     Bolivia   21   Males can marry at 16 and females at 14 with permission from parents or guardians . Exceptions can be made for pregnant minors .     Brazil   18   16 with parental or guardian consent .     Canada   18 / 19   Marriage in Canada is governed by both federal and provincial law . The minimum age to marry is set at 16 by a federal statute , the Civil Marriage Act , which states : `` No person who is under the age of 16 years may contract marriage . '' In addition , the provinces may impose procedural requirements for the marriage of a minor who is over 16 but under the age of majority ( 18 or 19 ) , such as requiring parental consent or permission from a judge . The Criminal Code also prohibits marriage under the age of 16 : `` Everyone who celebrates , aids or participates in a marriage rite or ceremony knowing that one of the persons being married is under the age of 16 years is guilty of an indictable offence and liable to imprisonment for a term not exceeding five years . ''     Chile   18   16 with parental consent .     Colombia   18   14 with parental consent     Costa Rica   18   Since 2017 , the minimum age is 18 .     Cuba   18   16   16 with parental consent males , 14 with parental consent females .     Dominica   18   16 with parental consent .     Dominican Republic   18   16 with parental consent .     Ecuador   18   Since 2015 , the minimum age is 18 .     El Salvador   18   15 with parental consent males , 14 with parental consent females .     Grenada   21   16 with parental consent .     Guatemala   18   16 with judicial consent .     Guyana   18   16 with parental consent     Haiti   18   15 with parental consent females .     Honduras   18   Since 2017 , the minimum age is 18 . Before 2017 females could marry from 16 , with parental consent .     Jamaica   18   16 with parental consent .     Mexico   18   Varies by state . The General Law on the Rights of Children and Adolescents 2014 establishes 18 years as the general age of marriage , but allows girls to marry at 14 and boys at 16 with parental consent . At state level , as of May 2017 , 22 states have made marriage before 18 illegal , while another ten allow it under certain circumstances .     Nicaragua   18   16 with parental consent ( under the new 2014 Código de Familia , Articles 54 , 57 ( a ) and 58 ( c ) )     Panama   18   Since 2015 , the minimum age is 18 ; prior to that date girls could marry from age 14 years and boys from age 16 , with parental consent .     Paraguay   20   16 with parental consent     Peru   18   16 with parental consent     Puerto Rico   21   ( Younger parties may obtain license in case of pregnancy or birth of child ) , and 18 with parental consent .     Saint Kitts and Nevis   16       Saint Lucia   18   16 with parental consent     Saint Vincent and the Grenadines   16   15       Suriname   21   17 with parental consent males , 15 with parental consent females .     Trinidad &amp; Tobago   18   Since 2017 , the minimum age is 18 .     United States   18 ( 19 for Nebraska , 21 for Mississippi )   All states allow minors to marry . In most states , children under 16 may be married with parental consent or judicial approval . In 25 states , there is no statutory minimum age if other legal conditions are met . Main article : Age of marriage in the United States     Uruguay   18   16 with parental consent     Venezuela   18   14 for females and 16 for males with parental consent .     Asia ( edit )  The sign painted on a building in a village in Hubei , China , informs of the marriageable age in the country ( 22 for men , 20 for women ) .    Country   Male consent   Female consent   Notes     Afghanistan   18   16   15 for females with the consent of the father or with judicial approval . Under the Civil Code , Article 70 sets the marriageable age at 18 for males and 16 for females . However , Article 71 creates an exception to the above , stating : `` ( 1 ) Where the girl does not complete the age provided under Article 70 of this law , the marriage may be concluded only through her father or the competent court . ( 2 ) The marriage of a minor girl whose age is less then ( sic ) 15 shall never be permissible . '' In practice , however , marriage often occurs at much younger ages , as different ethnic groups in Afghanistan have various traditions , many accepting marriage at young ages .     Bangladesh   21   18 ( under 18 for special cases , with parental consent and permission of court )   Bangladeshi law provides penal sanctions for the contraction of under - age marriages , although such unions are not considered invalid . Despite the law , child marriage rates in Bangladesh are among the highest in the world . Every 2 out of 3 marriages involve child marriages .     Bhutan   18       Brunei   18   Minimum legal age for marriage without parental consent varies across states / provinces , ethnic groups , religious groups or forms of marriage .     Cambodia   18       China   22   20       Hong Kong   21   16 with parental consent .     India   21   18   If any partner ( s ) engages in marriage at a younger age , ( s ) he can ask for the marriage to be declared void . A recent recommendation by the Law Commission aims to equalize the marriage age for males and females to 16 . Official policy automatically declares marriages under 15 as `` null and void '' , while marriages at the age of 14 or 15 are `` voidable '' . In 2012 , the high court declared that Muslim women can marry at 15 . Additionally , the report declares that `` In spite of these legal provisions , child marriage is still widely practiced and a marriage solemnized in contravention of these provisions is not void even under the new PCMA , 1929 , the Hindu Marriage Act , 1955 and also under the Muslim Law . ''     Indonesia   18   16   Marriage at younger ages is legal with parental consent and judicial approval .     Iran   18   15   15 for males and 13 for females with parental consent and judicial approval .     Iraq   18   15 with judicial permission if fitness , physical capacity and guardian 's consent ( or unreasonable objection on part of guardian ) are established . ( These rules may have been revised after Saddam Hussein 's fall. )     Israel   18   Minimum marriageable age increased from 17 to 18 in November 2013 . Family courts able to recognise marriage for 16 and above in special cases .     Japan   20   18 for males and 16 for females with parental consent .     Jordan   18       Kazakhstan   18   17   16 with parental consent .     South Korea   19   18 with parental consent     Kuwait   17   15       Kyrgyzstan   18   Local self - government agencies may , at the request of the parties entering the marriage , provided that justifiable reasons exist , lower the marriage age . The marriage age may not be lowered by more than 1 year .     Laos   18   15 with parental consent .     Lebanon   18   17   15 , or 9 with judicial permission for Shi'a. 18 or 17 and 16 or 15 with judicial permission for Druze .     Malaysia   21   18 with parental consent . Muslim girls under 16 can marry with the permission of sharia authorities .     Maldives   18   According to custom , the minimum age for marriage is 15 . The Law on the Protection of the Rights of the Child discourages marriage before the age of 16 .     Myanmar   20   14 with parental consent females .     Nepal   20   18 with parental consent .     North Korea   18   17       Oman   18   While the legal minimum age is 18 , `` custom still recognises marriages below the age of 18 '' .     Pakistan   18   16 ( 18 in Sindh and Punjab )   Despite the law against child marriage , the practice is widespread . According to two 2013 reports , nearly 50 % of all marriages in Pakistan involve girls less than 18 years old . However , in Punjab and Sindh , severe punishments are given for marriages before the age of 18 .     Palestine   16   15   With parental consent .     Mongolia   18       Philippines   21   18 with parent consent .     Qatar   18   16   Under with parental consent . No minimum age for marriage with parental consent , and permitted only when in conformity with religious and cultural norms and with permission of a competent court .     Russia   18   16 in special circumstances ; may vary in different regions .     Saudi Arabia   None       Singapore   21   18 with parental consent ; below 18 with special marriage license .     Sri Lanka   18   However , the parties must have a Qadi 's permission to marry before contracting into marriage if they are Muslims .     Syria   18   Thomson Reuters Foundation notes that child marriage occurs from 13 years .     Republic of China ( Taiwan )   20   18 for males and 16 for females with statutory agent 's consent .     Tajikistan   18   17 with parental consent .     Thailand   20   17 with parental consent .     Timor - Leste   17   16 with parental consent .     Turkmenistan   16       United Arab Emirates   18   While UAE is based on Sharia law , a minimum age for marriage exists .     Uzbekistan   18   17       Vietnam   20   18       Yemen   15   HRW notes no legal minimum age for marriage under Sharia law , and UNSD notes that child marriage is permitted where `` such marriage will entail some clear benefit . ''     Europe ( edit )   The marriageable age as a right is 18 in all European countries , with the exception of Andorra and Scotland where it is 16 ( for both sexes ) . Existing exceptions to this general rule ( usually requiring special judicial or parental consent ) are discussed below . In both the European Union and the Council of Europe the marriageable age falls within the jurisdiction of individual member states . The Istanbul convention , the first legally binding instrument in Europe in the field of violence against women and domestic violence , only requires countries which ratify it to prohibit forced marriage ( Article 37 ) and to ensure that forced marriages can be easily voided without further victimization ( Article 32 ) , but does not make any reference to a minimum age of marriage .     Country   Male consent   Female consent   Notes     Albania   18       Andorra   16   14 with judicial authority     Armenia   18   The age was set at 18 for both sexes in 2012 , prior to that date it was 17 for females and 18 for males . However , marriage at age 17 is allowed with parental consent , and at age 16 with parental consent and the condition that the other intending spouse is at least 18 .     Austria   18   16 with parental consent but the other partner must be 18 or older .     Azerbaijan   18   17 in special cases with judicial authorization . ( Article 10 of the Family Code ) . The marriageable age for females was raised in 2011 to 18 , equalizing it to that of males ; prior to that date it was 17 .     Belarus   18       Belgium   18   Younger with judicial consent ( with no strict minimum age ) . With parental consent , serious reasons are required for a minor to marry ; without parental consent , the unwillingness of the parents has to constitute an abuse .     Bulgaria   18   The new 2009 Family Code fixes the age at 18 , but allows for an exception for 16 years olds , stating that `` Upon exception , in case that important reasons impose this , matrimony may be concluded by a person at the age of 16 with permission by the regional judge '' . It further states that both persons wanting to marry , as well as the parents / guardians of the minor , must be consulted by the judge . ( Chapter 2 , Article 6 )     Croatia   18   16 with court permission .     Cyprus   18   16 with parental consent , if there are serious reasons for the marriage .     Czech Republic   18   Article 672 of Act No. 89 / 2012 Coll . the Civil Code ( which came into force in 2014 ) states that the court may , in exceptional cases , allow a marriage of a 16 year old , if there are serious reasons for it . Moreover , a minor can marry if he or she has been granted full capacity by a court decision as given by Article 37 of the Civil Code .     Denmark   18   Since 2017 , marriage is no longer allowed under 18 .     Estonia   18   15 with court permission .     Finland   18   Under 18 with the consent of the ministry of justice in extraordinary circumstances , in which case parents or other guardian must be heard , but actual parental consent is not required .     France   18   Under 18 permission from a court and both parents .     Georgia   18   16 with parental consent .     Germany   18   The minimum age was explicitly set to 18 on July 22 , 2017 . ( Before this day , a Family Court could issue an exception for 16 - 18 year - olds if one party was over 18 . ) Marriages with a spouse under 16 are legally void . For a 16 - 17 year old spouse the marriage is repealed .     Gibraltar   18       Greece   18   Under 18 requires court permission , which may be given if there are serious reasons for such a marriage     Hungary   18   16 with authorization from the guardianship authority     Iceland   18   Under 18 with parental consent and permission of the Ministry of the Interior .     Ireland   18   Under 18 with the permission of the Circuit Family Court or High Court . In December 2015 , the government announced its intention to remove this exception .     Italy   18   16 with court consent .     Latvia   18   16 with court or parental permission .     Liechtenstein   18   Required court decision to marry people who are under 18 years old .     Lithuania   18   15 with court permission , minors can only marry below 15 if they are pregnant females with court permission .     Luxembourg   18   New laws of 2014 fixed the marriageable at 18 for both sexes ; prior to these regulations the age was 16 for females and 18 for males . The new laws still allow both sexes to obtain judicial consent to get married under 18 .     Macedonia   18   possible with age of 16 and court approval for male and female , their consent and their parents consent is needed     Malta   18   16 with parental consent , specifically for `` a person who is subject to paternal authority or to tutorship '' . ( However if this is unattainable , the court can provide the consent . )     Netherlands   18   Under 18 with permission from the Minister of Justice ; 16 with parental consent in case of pregnancy .     Norway   18   16 with consent from parents ( guardian ) and permission from the County Governor . The County Governor may only give permission when there are ' special reasons for contracting a marriage ' .     Poland  </t>
  </si>
  <si>
    <t xml:space="preserve">what age can you get married in italy</t>
  </si>
  <si>
    <t xml:space="preserve">   Country   Male consent   Female consent   Notes     Albania   18       Andorra   16   14 with judicial authority     Armenia   18   The age was set at 18 for both sexes in 2012 , prior to that date it was 17 for females and 18 for males . However , marriage at age 17 is allowed with parental consent , and at age 16 with parental consent and the condition that the other intending spouse is at least 18 .     Austria   18   16 with parental consent but the other partner must be 18 or older .     Azerbaijan   18   17 in special cases with judicial authorization . ( Article 10 of the Family Code ) . The marriageable age for females was raised in 2011 to 18 , equalizing it to that of males ; prior to that date it was 17 .     Belarus   18       Belgium   18   Younger with judicial consent ( with no strict minimum age ) . With parental consent , serious reasons are required for a minor to marry ; without parental consent , the unwillingness of the parents has to constitute an abuse .     Bulgaria   18   The new 2009 Family Code fixes the age at 18 , but allows for an exception for 16 years olds , stating that `` Upon exception , in case that important reasons impose this , matrimony may be concluded by a person at the age of 16 with permission by the regional judge '' . It further states that both persons wanting to marry , as well as the parents / guardians of the minor , must be consulted by the judge . ( Chapter 2 , Article 6 )     Croatia   18   16 with court permission .     Cyprus   18   16 with parental consent , if there are serious reasons for the marriage .     Czech Republic   18   Article 672 of Act No. 89 / 2012 Coll . the Civil Code ( which came into force in 2014 ) states that the court may , in exceptional cases , allow a marriage of a 16 year old , if there are serious reasons for it . Moreover , a minor can marry if he or she has been granted full capacity by a court decision as given by Article 37 of the Civil Code .     Denmark   18   Since 2017 , marriage is no longer allowed under 18 .     Estonia   18   15 with court permission .     Finland   18   Under 18 with the consent of the ministry of justice in extraordinary circumstances , in which case parents or other guardian must be heard , but actual parental consent is not required .     France   18   Under 18 permission from a court and both parents .     Georgia   18   16 with parental consent .     Germany   18   The minimum age was explicitly set to 18 on July 22 , 2017 . ( Before this day , a Family Court could issue an exception for 16 - 18 year - olds if one party was over 18 . ) Marriages with a spouse under 16 are legally void . For a 16 - 17 year old spouse the marriage is repealed .     Gibraltar   18       Greece   18   Under 18 requires court permission , which may be given if there are serious reasons for such a marriage     Hungary   18   16 with authorization from the guardianship authority     Iceland   18   Under 18 with parental consent and permission of the Ministry of the Interior .     Ireland   18   Under 18 with the permission of the Circuit Family Court or High Court . In December 2015 , the government announced its intention to remove this exception .     Italy   18   16 with court consent .     Latvia   18   16 with court or parental permission .     Liechtenstein   18   Required court decision to marry people who are under 18 years old .     Lithuania   18   15 with court permission , minors can only marry below 15 if they are pregnant females with court permission .     Luxembourg   18   New laws of 2014 fixed the marriageable at 18 for both sexes ; prior to these regulations the age was 16 for females and 18 for males . The new laws still allow both sexes to obtain judicial consent to get married under 18 .     Macedonia   18   possible with age of 16 and court approval for male and female , their consent and their parents consent is needed     Malta   18   16 with parental consent , specifically for `` a person who is subject to paternal authority or to tutorship '' . ( However if this is unattainable , the court can provide the consent . )     Netherlands   18   Under 18 with permission from the Minister of Justice ; 16 with parental consent in case of pregnancy .     Norway   18   16 with consent from parents ( guardian ) and permission from the County Governor . The County Governor may only give permission when there are ' special reasons for contracting a marriage ' .     Poland   18   16 for women with judicial approval .     Portugal   18   16 with parental consent ( or if this is unattainable , the court can provide the consent ) .     Romania   18   16 with permission from the district 's administrative board .     Russia   18   16 in special circumstances , but different rules apply in some regions .     Serbia   18   16 with court consent .     Slovakia   18   16 with court consent , with a serious reason such as pregnancy .     Slovenia   18   Under 18 may be approved by the Social Work Center if there are `` well founded reasons '' arising upon the investigation of the situation of the minor . ( Art 23 , 24 of the Law on Marriage and Family Relations ) .     Spain   18   16 with court consent     Sweden   18   Not possible to marry under the age of 18 since July 1st 2014 .     Switzerland   18       Turkey   18   17 with parental consent , 16 in special circumstances with court approval .     Ukraine   18   Age was equalized at 18 for both sexes in 2012 , but courts may still grant permission from age 16 if there are special reasons .     United Kingdom   18 ( 16 in Scotland )    England and Wales : 16 with parental consent or the permission of the court .   Scotland : 16   Northern Ireland : 16 with parental consent ( with the court able to give consent in some cases ) .    </t>
  </si>
  <si>
    <t xml:space="preserve">Cardiac pacemaker - wikipedia  Cardiac pacemaker  Jump to : navigation , search This article is about the natural pacemaker in the heart . For the medical device that simulates the function , see artificial cardiac pacemaker .      This article needs additional citations for verification . Please help improve this article by adding citations to reliable sources . Unsourced material may be challenged and removed . ( December 2009 ) ( Learn how and when to remove this template message )    Image showing the cardiac pacemaker or SA node , the normal pacemaker within the electrical conduction system of the heart .  The contraction of cardiac muscle ( heart muscle ) in all animals is initiated by electrical impulses known as action potentials . The rate at which these impulses fire controls the rate of cardiac contraction , that is , the heart rate . The cells that create these rhythmic impulses , setting the pace for blood pumping , are called pacemaker cells , and they directly control the heart rate . They make up the cardiac pacemaker , that is , the natural pacemaker of the heart . In most humans , the concentration of pacemaker cells in the sinoatrial ( SA ) node is the natural pacemaker , and the resultant rhythm is a sinus rhythm .   Sometimes an ectopic pacemaker sets the pace , if the SA node is damaged or if the electrical conduction system of the heart has problems . Cardiac arrhythmias can cause heart block , in which the contractions lose any useful rhythm . In humans , and occasionally in animals , a mechanical device called an artificial pacemaker ( or simply `` pacemaker '' ) may be used after damage to the body 's intrinsic conduction system to produce these impulses synthetically .     Contents  ( hide )   1 Control   1.1 Primary ( SA node )   1.2 Secondary ( AV junction and Bundle of His )     2 Generation of action potentials   2.1 Phase 4 - Pacemaker potential   2.2 Phase 0 - Upstroke   2.3 Phase 3 - Repolarization     3 Clinical significance   3.1 Damage to the SA node   3.2 Artificial pacemakers     4 See also   5 References      Control ( edit )  Schematic representation of the sinoatrial node and the atrioventricular bundle of His . The location of the SA node is shown in blue . The bundle , represented in red , originates near the orifice of the coronary sinus , undergoes slight enlargement to form the AV node . The AV node tapers down into the bundle of HIS , which passes into the ventricular septum and divides into two bundle branches , the left and right bundles . The ultimate distribution can not be completely shown in this diagram .  Primary ( SA node ) ( edit )   One percent of the cardiomyocytes in the myocardium possess the ability to generate electrical impulses ( or action potentials ) spontaneously . A specialized portion of the heart , called the sinoatrial node ( SA node ) , is responsible for atrial propagation of this potential .   The sinoatrial node ( SA node ) is a group of cells positioned on the wall of the right atrium , near the entrance of the superior vena cava . These cells are modified cardiomyocytes . They possess rudimentary contractile filaments , but contract relatively weakly compared to the cardiac contractile cells .   The pacemaker cells are connected to neighboring contractile cells via gap junctions , which enable them to locally depolarize adjacent cells . Gap junctions allow the passage of positive cations from the depolarization of the pacemaker cell to adjacent contractile cells . This starts the depolarization and eventual action potential in contractile cells . Having cardiomyocytes connected via gap junctions allow all contractile cells of the heart to act in a coordinated fashion and contract as a unit . All the while being in sync with the pacemaker cells ; this is the property that allows the pacemaker cells to control contraction in all other cardiomyocytes .   Cells in the SA node spontaneously depolarize , ultimately resulting in contraction , approximately 100 times per minute . This native rate is constantly modified by the activity of sympathetic and parasympathetic nerve fibers via the autonomic nervous system , so that the average resting cardiac rate in adult humans is about 70 beats per minute . Because the sinoatrial node is responsible for the rest of the heart 's electrical activity , it is sometimes called the primary pacemaker .   Secondary ( AV junction and bundle of His ) ( edit )   If the SA node does not function properly and is unable to control the heart rate , a group of cells further down the heart will become the ectopic pacemaker of the heart . These cells form the Atrioventricular node ( or AV node ) , which is an area between the left atrium and the right ventricle within the atrial septum , will take over the pacemaker responsibility .   The cells of the AV node normally discharge at about 40 - 60 beats per minute , and are called the secondary pacemaker .   Further down the electrical conducting system of the heart is the Bundle of His . The left and right branches of this bundle , and the Purkinje fibres , will also produce a spontaneous action potential at a rate of 30 - 40 beats per minute , so if the SA and AV node both fail to function , these cells can become pacemakers . It is important to realize that these cells will be initiating action potentials and contraction at a much lower rate than the primary or secondary pacemaker cells .   The SA node controls the rate of contraction for the entire heart muscle because its cells have the quickest rate of spontaneous depolarization , thus they initiate action potentials the quickest . The action potential generated by the SA node passes down the electrical conduction system of the heart , and depolarizes the other potential pacemaker cells ( AV node ) to initiate action potentials before these other cells have had a chance to generate their own spontaneous action potential , thus they contract and propagate electrical impulses to the pace set by the cells of the SA node . This is the normal conduction of electrical activity in the heart .   Generation of action potentials ( edit )   There are 3 main stages in the generation of an action potential in a pacemaker cell . Since the stages are analogous to contraction of cardiac muscle cells , they have the same naming system . This can lead to some confusion . There is no phase 1 or 2 , just phases 0 , 3 , and 4 .   Phase 4 - pacemaker potential ( edit )   The key to the rhythmic firing of pacemaker cells is that , unlike other neurons in the body , these cells will slowly depolarize by themselves and do not need any outside innervation from the autonomic nervous system to fire action potentials .   As in all other cells , the resting potential of a pacemaker cell ( - 60mV to - 70mV ) is caused by a continuous outflow or `` leak '' of potassium ions through ion channel proteins in the membrane that surrounds the cells . However , in pacemaker cells , this potassium permeability ( efflux ) decreases as time goes on , causing a slow depolarization . In addition , there is a slow , continuous inward flow of sodium , called the funny current. These two relative ion concentration changes slowly depolarize ( make more positive ) the inside membrane potential ( voltage ) of the cell , giving these cells their pacemaker potential . When the membrane potential gets depolarized to about - 40mV it has reached threshold ( cells enter phase 0 ) , allowing an action potential to be generated .   Phase 0 - upstroke ( edit )   Though much faster than the depolarization of phase 4 , the upstroke in a pacemaker cell is slow compared to that in an axon .   The SA and AV node do not have fast sodium channels like neurons , and the depolarization is mainly caused by a slow influx of calcium ions . ( The funny current also increases ) . Calcium enters the cell via voltage - sensitive calcium channels that open when the threshold is reached . This calcium influx produces the rising phase of the action potential , which results in the reversal of membrane potential to a peak of about + 10mV . It is important to note that intracellular calcium causes muscular contraction in contractile cells , and is the effector ion . In heart pacemaker cells , phase 0 depends on the activation of L - type calcium channels instead of the activation of voltage - gated fast sodium channels , which are responsible for initiating action potentials in contractile ( non-pacemaker ) cells . For this reason , the pacemaker action potential rising phase slope is more gradual than that of the contractile cell ( image 2 ). ( 7 )   Phase 3 - repolarization ( edit )   The reversal of membrane potential triggers the opening of potassium leak channels , resulting in the rapid loss of potassium ions from the inside of the cell , causing repolarization ( V gets more negative ) . The calcium channels are also inactivated soon after they open . In addition , as sodium channels become inactivated , sodium permeability into the cell is decreased . These ion concentration changes slowly repolarize the cell to resting membrane potential ( - 60mV ) . Another important note at this phase is that ionic pumps restore ion concentrations to pre-action potential status . The sodium - calcium exchanger ionic pump works to pump calcium out of the intracellular space , thus effectively relaxing the cell . The sodium / potassium pump restores ion concentrations of sodium and potassium ions by pumping sodium out of the cell and pumping ( exchanging ) potassium into the cell . Restoring these ion concentrations is vital because it enables the cell to reset itself and enables it to repeat the process of spontaneous depolarization leading to activation of an action potential .   Clinical significance ( edit )   Damage to the SA node ( edit )   If the SA node does not function , or the impulse generated in the SA node is blocked before it travels down the electrical conduction system , a group of cells further down the heart will become its pacemaker . This center is typically represented by cells inside the atrioventricular node ( AV node ) , which is an area between the atria and ventricles , within the atrial septum . If the AV node also fails , Purkinje fibers are occasionally capable of acting as the default or `` escape '' pacemaker . The reason Purkinje cells do not normally control the heart rate is that they generate action potentials at a lower frequency than the AV or SA nodes .   Artificial pacemakers ( edit )  Main article : Artificial pacemaker  See also ( edit )    Cardiac action potential   Electrical conduction system of the heart    References ( edit )    Jump up ^ Neil A. Campbell ... ( et al . ) ( 2006 ) . Biology : concepts &amp; connections ( 5th ed . ) . San Francisco : Pearson / Benjamin Cummings . p. 473 . ISBN 0 - 13 - 193480 - 5 .   Jump up ^ Junctional Rhythm at eMedicine      ( hide )         Anatomy of the heart     General      Surface     base   apex   sulci   coronary   interatrial   anterior interventricular   posterior interventricular     borders   right   left         Internal        atria   interatrial septum   pectinate muscles   terminal sulcus     ventricles   interventricular septum   trabeculae carneae   chordae tendineae   papillary muscle     valves   cusps   atrioventricular septum         cardiac skeleton   intervenous tubercle             Chambers      Right heart     ( venae cavae , coronary sinus ) → right atrium ( atrial appendage , fossa ovalis , limbus of fossa ovalis , crista terminalis , valve of inferior vena cava , valve of coronary sinus ) → tricuspid valve → right ventricle ( infundibulum , moderator band / septomarginal trabecula ) → pulmonary valve → ( pulmonary artery and pulmonary circulation )       Left heart     ( pulmonary veins ) → left atrium ( atrial appendage ) → mitral valve → left ventricle → aortic valve ( aortic sinus ) → ( aorta and systemic circulation )          Layers      Endocardium     heart valves       Myocardium     Conduction system   cardiac pacemaker   SA node   AV node   bundle of His   bundle branches   Purkinje fibers         Pericardial cavity     pericardial sinus       Pericardium     fibrous pericardium   sternopericardial ligaments     serous pericardium   epicardium / visceral layer     fold of Left vena cava          Blood supply     Circulatory system   Coronary circulation   Coronary arteries      Retrieved from `` https://en.wikipedia.org/w/index.php?title=Cardiac_pacemaker&amp;oldid=806380762 '' Categories :   Cardiac anatomy   Cardiac electrophysiology   Hidden categories :   Articles needing additional references from December 2009   All articles needing additional references           Talk                                           Contents                   About Wikipedia                                                   Bosanski   Català   فارسی   Gaeilge   മലയാളം   Português   Svenska   ไทย   Edit links   This page was last edited on 21 October 2017 , at 17 : 20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</si>
  <si>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heart's natural pacemaker located</t>
  </si>
  <si>
    <t xml:space="preserve"> The contraction of cardiac muscle ( heart muscle ) in all animals is initiated by electrical impulses known as action potentials . The rate at which these impulses fire controls the rate of cardiac contraction , that is , the heart rate . The cells that create these rhythmic impulses , setting the pace for blood pumping , are called pacemaker cells , and they directly control the heart rate . They make up the cardiac pacemaker , that is , the natural pacemaker of the heart . In most humans , the concentration of pacemaker cells in the sinoatrial ( SA ) node is the natural pacemaker , and the resultant rhythm is a sinus rhythm . </t>
  </si>
  <si>
    <t xml:space="preserve">List of Arrow episodes - Wikipedia  List of Arrow episodes  Jump to : navigation , search  Arrow is an American television series , developed by Greg Berlanti , Marc Guggenheim and Andrew Kreisberg , based on the DC Comics character Green Arrow . The series premiered in the United States on October 10 , 2012 for The CW television network . The first five seasons have been released on DVD to Regions 1 , 2 and 4 and on Blu - ray to Regions A and B .   Arrow follows billionaire playboy Oliver Queen ( Stephen Amell ) , who , after five years of being stranded on a hostile island , returns home to his mother , Moira Queen ( Susanna Thompson ) and sister , Thea Queen ( Willa Holland ) and becomes a bow and arrow - wielding vigilante . He is initially aided by his friends , John Diggle ( David Ramsey ) and Felicity Smoak ( Emily Bett Rickards ) , and later aspiring vigilantes Roy Harper ( Colton Haynes ) , Ray Palmer ( Brandon Routh ) , Curtis Holt ( Echo Kellum ) , Rene Ramirez ( Rick Gonzalez ) , Evelyn Sharp ( Madison McLaughlin ) , Rory Regan ( Joe Dinicol ) , and Dinah Drake ( Juliana Harkavy ) join them . In addition , Queen 's team receives help from the Lance family ; Laurel ( Katie Cassidy ) , Sara ( Caity Lotz ) , and Quentin ( Paul Blackthorne ) , sharing the goal of bringing justice to Starling City ( later Star City ) . The series also featured flashbacks in most episodes in the first five seasons to the time Queen was missing , and how his experiences there shaped him into the man who returned home to fight crime .   As of May 17 , 2018 , 138 episodes of Arrow have aired , concluding the sixth season . On April 2 , 2018 , the CW renewed the series for a seventh season .     Contents  ( hide )   1 Series overview   2 Episodes   2.1 Season 1 ( 2012 -- 13 )   2.2 Season 2 ( 2013 -- 14 )   2.3 Season 3 ( 2014 -- 15 )   2.4 Season 4 ( 2015 -- 16 )   2.5 Season 5 ( 2016 -- 17 )   2.6 Season 6 ( 2017 -- 18 )     3 Ratings   3.1 Season 3 ( 2014 -- 15 )   3.2 Season 4 ( 2015 -- 16 )   3.3 Season 5 ( 2016 -- 17 )   3.4 Season 6 ( 2017 -- 18 )     4 Home media   5 References   6 External links      Series overview ( edit )     Season   Episodes   Originally aired   Nielsen ratings     First aired   Last aired   Rank   Average viewers ( in millions )         23   October 10 , 2012 ( 2012 - 10 - 10 )   May 15 , 2013 ( 2013 - 05 - 15 )   130   3.68         23   October 9 , 2013 ( 2013 - 10 - 09 )   May 14 , 2014 ( 2014 - 05 - 14 )   128   3.28         23   October 8 , 2014 ( 2014 - 10 - 08 )   May 13 , 2015 ( 2015 - 05 - 13 )   135   3.52         23   October 7 , 2015 ( 2015 - 10 - 07 )   May 25 , 2016 ( 2016 - 05 - 25 )   145   2.90       5   23   October 5 , 2016 ( 2016 - 10 - 05 )   May 24 , 2017 ( 2017 - 05 - 24 )   147   2.21       6   23   October 12 , 2017 ( 2017 - 10 - 12 )   May 17 , 2018 ( 2018 - 05 - 17 )   181   1.76     Episodes ( edit )   Season 1 ( 2012 -- 13 ) ( edit )  Main article : Arrow ( season 1 )    No . overall   No. in season   Title   Directed by   Written by   Original air date   Prod . code   U.S. viewers ( millions )         `` Pilot ''   David Nutter   Story by : Greg Berlanti &amp; Marc Guggenheim Teleplay by : Andrew Kreisberg &amp; Marc Guggenheim   October 10 , 2012 ( 2012 - 10 - 10 )   296818   4.14         `` Honor Thy Father ''   David Barrett   Story by : Greg Berlanti &amp; Marc Guggenheim Teleplay by : Andrew Kreisberg &amp; Marc Guggenheim   October 17 , 2012 ( 2012 - 10 - 17 )   2J7302   3.55         `` Lone Gunmen ''   Guy Bee   Story by : Greg Berlanti &amp; Andrew Kreisberg Teleplay by : Marc Guggenheim &amp; Andrew Kreisberg   October 24 , 2012 ( 2012 - 10 - 24 )   2J7303   3.51         `` An Innocent Man ''   Vince Misiano   Moira Kirland &amp; Lana Cho   October 31 , 2012 ( 2012 - 10 - 31 )   2J7304   3.05     5   5   `` Damaged ''   Michael Schultz   Wendy Mericle &amp; Ben Sokolowski   November 7 , 2012 ( 2012 - 11 - 07 )   2J7305   3.75     6   6   `` Legacies ''   John Behring   Moira Kirland &amp; Marc Guggenheim   November 14 , 2012 ( 2012 - 11 - 14 )   2J7306   3.83     7   7   `` Muse of Fire ''   David Grossman   Story by : Andrew Kreisberg Teleplay by : Geoff Johns &amp; Marc Guggenheim   November 28 , 2012 ( 2012 - 11 - 28 )   2J7307   3.74     8   8   `` Vendetta ''   Ken Fink   Beth Schwartz &amp; Andrew Kreisberg   December 5 , 2012 ( 2012 - 12 - 05 )   2J7308   3.35     9   9   `` Year 's End ''   John Dahl   Story by : Greg Berlanti &amp; Marc Guggenheim Teleplay by : Andrew Kreisberg &amp; Marc Guggenheim   December 12 , 2012 ( 2012 - 12 - 12 )   2J7309   3.11     10   10   `` Burned ''   Eagle Egilsson   Moira Kirland &amp; Ben Sokolowski   January 16 , 2013 ( 2013 - 01 - 16 )   2J7310   3.06     11   11   `` Trust But Verify ''   Nick Copus   Gabrielle Stanton   January 23 , 2013 ( 2013 - 01 - 23 )   2J7311   3.14     12   12   `` Vertigo ''   Wendey Stanzler   Wendy Mericle &amp; Ben Sokolowski   January 30 , 2013 ( 2013 - 01 - 30 )   2J7312   2.97     13   13   `` Betrayal ''   Guy Bee   Lana Cho &amp; Beth Schwartz   February 6 , 2013 ( 2013 - 02 - 06 )   2J7313   2.96     14   14   `` The Odyssey ''   John Behring   Story by : Greg Berlanti &amp; Andrew Kreisberg Teleplay by : Andrew Kreisberg &amp; Marc Guggenheim   February 13 , 2013 ( 2013 - 02 - 13 )   2J7314   3.29     15   15   `` Dodger ''   Eagle Egilsson   Beth Schwartz   February 20 , 2013 ( 2013 - 02 - 20 )   2J7315   3.15     16   16   `` Dead to Rights ''   Glen Winter   Geoff Johns   February 27 , 2013 ( 2013 - 02 - 27 )   2J7316   3.17     17   17   `` The Huntress Returns ''   Guy Bee   Jake Coburn &amp; Lana Cho   March 20 , 2013 ( 2013 - 03 - 20 )   2J7317   3.02     18   18   `` Salvation ''   Nick Copus   Drew Z . Greenberg &amp; Wendy Mericle   March 27 , 2013 ( 2013 - 03 - 27 )   2J7318   2.65     19   19   `` Unfinished Business ''   Michael Offer   Bryan Q. Miller &amp; Lindsey Allen   April 3 , 2013 ( 2013 - 04 - 03 )   2J7319   2.92     20   20   `` Home Invasion ''   Ken Fink   Ben Sokolowski &amp; Beth Schwartz   April 24 , 2013 ( 2013 - 04 - 24 )   2J7320   3.10     21   21   `` The Undertaking ''   Michael Shultz   Jake Coburn &amp; Lana Cho   May 1 , 2013 ( 2013 - 05 - 01 )   2J7321   2.89     22   22   `` Darkness on the Edge of Town ''   John Behring   Drew Z . Greenberg &amp; Wendy Mericle   May 8 , 2013 ( 2013 - 05 - 08 )   2J7322   2.62     23   23   `` Sacrifice ''   David Barrett   Story by : Greg Berlanti Teleplay by : Marc Guggenheim &amp; Andrew Kreisberg   May 15 , 2013 ( 2013 - 05 - 15 )   2J7323   2.77     Season 2 ( 2013 -- 14 ) ( edit )  Main article : Arrow ( season 2 )    No . overall   No. in season   Title   Directed by   Written by   Original air date   Prod . code   U.S. viewers ( millions )     24     `` City of Heroes ''   John Behring   Story by : Greg Berlanti Teleplay by : Andrew Kreisberg &amp; Marc Guggenheim   October 9 , 2013 ( 2013 - 10 - 09 )   2J7451   2.74     25     `` Identity ''   Nick Copus   Ben Sokolowski &amp; Beth Schwartz   October 16 , 2013 ( 2013 - 10 - 16 )   2J7452   3.06     26     `` Broken Dolls ''   Glen Winter   Marc Guggenheim &amp; Keto Shimizu   October 23 , 2013 ( 2013 - 10 - 23 )   2J7453   2.89     27     `` Crucible ''   Eagle Egilsson   Andrew Kreisberg &amp; Wendy Mericle   October 30 , 2013 ( 2013 - 10 - 30 )   2J7454   2.37     28   5   `` League of Assassins ''   Wendey Stanzler   Jake Coburn &amp; Drew Z . Greenberg   November 6 , 2013 ( 2013 - 11 - 06 )   2J7455   2.80     29   6   `` Keep Your Enemies Closer ''   Guy Bee   Ben Sokolowski &amp; Beth Schwartz   November 13 , 2013 ( 2013 - 11 - 13 )   2J7456   3.09     30   7   `` State v. Queen ''   Bethany Rooney   Marc Guggenheim &amp; Drew Z . Greenberg   November 20 , 2013 ( 2013 - 11 - 20 )   2J7457   2.66     31   8   `` The Scientist ''   Michael Schultz   Story by : Greg Berlanti &amp; Andrew Kreisberg Teleplay by : Andrew Kreisberg &amp; Geoff Johns   December 4 , 2013 ( 2013 - 12 - 04 )   2J7458   3.24     32   9   `` Three Ghosts ''   John Behring   Story by : Greg Berlanti &amp; Andrew Kreisberg Teleplay by : Geoff Johns &amp; Ben Sokolowski   December 11 , 2013 ( 2013 - 12 - 11 )   2J7459   3.02     33   10   `` Blast Radius ''   Rob Hardy   Jake Coburn &amp; Keto Shimizu   January 15 , 2014 ( 2014 - 01 - 15 )   2J7460   2.52     34   11   `` Blind Spot ''   Glen Winter   Wendy Mericle &amp; Beth Schwartz   January 22 , 2014 ( 2014 - 01 - 22 )   2J7461   2.49     35   12   `` Tremors ''   Guy Bee   Marc Guggenheim &amp; Drew Z . Greenberg   January 29 , 2014 ( 2014 - 01 - 29 )   2J7462   2.95     36   13   `` Heir to the Demon ''   Wendey Stanzler   Jake Coburn   February 5 , 2014 ( 2014 - 02 - 05 )   2J7463   2.86     37   14   `` Time of Death ''   Nick Copus   Wendy Mericle &amp; Beth Schwartz   February 26 , 2014 ( 2014 - 02 - 26 )   2J7464   2.45     38   15   `` The Promise ''   Glen Winter   Jake Coburn &amp; Ben Sokolowski   March 5 , 2014 ( 2014 - 03 - 05 )   2J7465   2.21     39   16   `` Suicide Squad ''   Larry Teng   Keto Shimizu &amp; Bryan Q. Miller   March 19 , 2014 ( 2014 - 03 - 19 )   2J7466   2.42     40   17   `` Birds of Prey ''   John Behring   Mark Bemesderfer &amp; A.C. Bradley   March 26 , 2014 ( 2014 - 03 - 26 )   2J7467   2.62     41   18   `` Deathstroke ''   Guy Bee   Marc Guggenheim &amp; Drew Z . Greenberg   April 2 , 2014 ( 2014 - 04 - 02 )   2J7468   2.32     42   19   `` The Man Under the Hood ''   Jesse Warn   Story by : Greg Berlanti &amp; Geoff Johns Teleplay by : Andrew Kreisberg &amp; Keto Shimizu   April 16 , 2014 ( 2014 - 04 - 16 )   2J7469   2.26     43   20   `` Seeing Red ''   Doug Aarniokoski   Wendy Mericle &amp; Beth Schwartz   April 23 , 2014 ( 2014 - 04 - 23 )   2J7470   2.19     44   21   `` City of Blood ''   Michael Schultz   Holly Harold   April 30 , 2014 ( 2014 - 04 - 30 )   2J7471   2.31     45   22   `` Streets of Fire ''   Nick Copus   Jake Coburn &amp; Ben Sokolowski   May 7 , 2014 ( 2014 - 05 - 07 )   2J7472   2.33     46   23   `` Unthinkable ''   John Behring   Story by : Greg Berlanti Teleplay by : Marc Guggenheim &amp; Andrew Kreisberg   May 14 , 2014 ( 2014 - 05 - 14 )   2J7473   2.37     Season 3 ( 2014 -- 15 ) ( edit )     No . overall   No. in season   Title   Directed by   Written by   Original air date   Prod . code   U.S. viewers ( millions )     47     `` The Calm ''   Glen Winter   Story by : Greg Berlanti &amp; Andrew Kreisberg Teleplay by : Marc Guggenheim &amp; Jake Coburn   October 8 , 2014 ( 2014 - 10 - 08 )   3J5151   2.83     The newly promoted Captain Quentin Lance calls off the task - force against Arrow . Elsewhere , Werner Zytle , who has claimed the mantle of Vertigo , attempts to kill Arrow in a bid to raise his profile . After losing the first battle , Oliver and Roy are able to stop Zytle , along with some help from Sara who is back in town for an unknown reason . Meanwhile , businessman Ray Palmer successfully acquires Queen Consolidated under a plan of rebuilding the city and renaming it `` Star City '' . Diggle and Lyla welcome a baby girl , which convinces Diggle to take Oliver 's suggestion and retire from field duty . Oliver and Felicity go on a first date , but Oliver ends it explaining how he can not be both the Arrow and Oliver , although he acknowledges loving her . Sara is shot in the chest with arrows by an unseen figure before falling from a rooftop to her death . In flashbacks , Waller assigns agent Maseo Yamashiro as Oliver 's handler . After numerous failed attempts to escape , Oliver agrees to proceed with his training to prevent Waller from killing Maseo 's family as punishment for his failure in restraining Oliver .     48     `` Sara ''   Wendey Stanzler   Jake Coburn &amp; Keto Shimizu   October 15 , 2014 ( 2014 - 10 - 15 )   3J5152   2.32     Laurel takes Sara 's body to the team . Quentin alerts Oliver to another archer in the city killing people , unaware about Sara . Oliver follows a lead and is able to identify the archer as Simon Lacroix . The team learns of Lacroix 's next target and intercepts him . Laurel arrives , determined to avenge Sara 's death . As Oliver attempts to dissuade her , Lacroix reveals that he was not in Starling City at the time of Sara 's death . The team buries Sara ; and Laurel decides not to tell Quentin that Sara is dead . Diggle decides to return to field duty again . Meanwhile , Roy reveals to Oliver that Thea left town when she learned he was working with the Arrow . In Corto Maltese , Thea is shown with Malcolm and has proven to be capable of defeating more than one henchman in combat . Felicity decides to work for Ray . In flashbacks , Oliver is tasked with killing Tommy , after Tommy comes to Hong Kong to find Oliver after seeing activity on Oliver 's email account . To save Tommy , Oliver pretends to kidnap him and tricks him into thinking that it was a ruse to gain ransom money before Maseo , posing as a police officer , rescues Tommy .     49     `` Corto Maltese ''   Stephen Surjik   Erik Oleson &amp; Beth Schwartz   October 22 , 2014 ( 2014 - 10 - 22 )   3J5153   2.55     With no more leads in Sara 's murder , Oliver focuses his attention on bringing Thea home . Felicity is able to track her to Corto Maltese . Thea initially refuses to return . While he waits to convince her , Oliver assists Diggle on a mission for A.R.G.U.S. to ascertain the whereabouts of one of its agents , Mark Shaw . Mark is revealed to have broken into the A.R.G.U.S. database and stolen information to sell on the black market . Oliver and Diggle manage to stop him , who convinces Diggle to tell Waller that he is dead . After a last minute plea , and Oliver revealing the truth about Robert 's death , Thea agrees to return , which Merlyn allows . Meanwhile , trying to emulate Sara , Laurel attempts to exact vengeance on an abusive boyfriend of a fellow A.A. member , but she is overpowered and ends up in the hospital . Later , she seeks out boxer Ted Grant to train her to fight after Oliver 's refusal . Using Felicity 's help , Ray opens a file of details of advanced weaponry . Nyssa confronts Oliver and demands Sara 's whereabouts . In flashbacks to six months prior , Merlyn begins training Thea to calm her mind and heal her emotional pain , while also mastering control over physical pain .     50     `` The Magician ''   John Behring   Marc Guggenheim &amp; Wendy Mericle   October 29 , 2014 ( 2014 - 10 - 29 )   3J5154   2.49     Oliver informs Nyssa that Sara was killed ; and Nyssa reveals to Oliver that Merlyn is alive and Sara was sent by the League to confirm his existence . After tracking Merlyn , Oliver agrees to meet him in a public location , where Merlyn tells Oliver that he did not kill her , but only returned to Starling City to save Thea . Nyssa kidnaps Thea in an attempt to draw out Merlyn , known by the League as the `` Magician '' ; but Oliver arrives to rescue Thea . Merlyn arrives shortly after to clear his name and insinuates to Nyssa that it was Ra 's who had Sara killed . Nyssa does not believe him ; but Oliver does and vows to protect Merlyn for as long as he is in Starling . Nyssa warns Oliver that he has made a serious enemy in the League before leaving and reporting back to Ra 's . Quentin gets worried about Sara 's status . In flashbacks , Oliver completes his first assassination , and learns that Waller was behind Edward Fyers ' actions on the island ; and her intention was to kill Chien on a flight to Hong Kong . Since Oliver stopped the attack , Waller demands him to help her find out the reason of Chien 's presence .     51   5   `` The Secret Origin of Felicity Smoak ''   Michael Schultz   Ben Sokolowski &amp; Brian Ford Sullivan   November 5 , 2014 ( 2014 - 11 - 05 )   3J5155   2.73     A cyber terrorist attacks Starling City , threatening to shut down all banks and set everyone on an even socioeconomic status . While Oliver and Roy attempt to keep the peace on the streets , Felicity works to locate the virus . She quickly realizes that she designed the virus five years earlier , and that it is unstoppable . Her mother Donna shows up unannounced , and the two have a falling out over how different they are from each other . Felicity soon realizes that Donna was unknowingly sent by the cyber terrorist -- revealed to be Felicity 's ex-boyfriend Cooper -- who kidnaps them both . Using Donna as leverage , Cooper forces Felicity to divert a set of armored vehicles , carrying newly minted money , to their location . She secretly uses a smart watch presented by Ray to Donna to also contact Oliver , who arrives with Roy and Diggle and stops Cooper and his team . Felicity reconciles with Donna . Roy begins having nightmares that he was the one who killed Sara . Meanwhile , Laurel continues to train with Ted , and reveals to him the real reason that she is learning to fight . Thea buys a house using the money inherited from Merlyn and convinces Oliver to stay with her .     52   6   `` Guilty ''   Peter Leto   Erik Oleson &amp; Keto Shimizu   November 12 , 2014 ( 2014 - 11 - 12 )   3J5156   2.60     In flashbacks , Maseo 's wife , Tatsu , uses a type of meditation to help Oliver remember where a dead associate of Chien 's dropped a letter , hoping that he leaves her family soon . From the letter , the name Li Kuan Hui is extracted . In the present , a murderer begins taking out gang members ; and when a body shows up in Ted 's gym , he becomes a suspect . Ted reveals to Oliver that he was once a vigilante who retired after a drug dealer was beaten to death by accident . Ted reveals the murderer was his former protégé Isaac Stanzler , who was responsible for the death of the dealer , but is bested by Oliver before escaping . Isaac kidnaps Ted and Laurel ; but Oliver and his team are able to successfully stop him . Meanwhile , Roy tells Felicity about his dreams and later confesses to Oliver and Laurel . Using the technique learned from Tatsu , Oliver helps Roy access his memories to realize that he did not kill Sara ; however , Roy discovers he did kill a cop while under the effects of Mirakuru . Ted decides to continue training Laurel . Isaac is confronted by a female archer calling herself `` Cupid '' .     53   7   `` Draw Back Your Bow ''   Rob Hardy   Wendy Mericle &amp; Beth Schwartz   November 19 , 2014 ( 2014 - 11 - 19 )   3J5157   2.64     Cupid , revealed to had been saved by the Arrow during Slade 's attack , murders Isaac and leaves his body dressed up as the Arrow . Following a lead , Oliver learns that she is a former cop named Carrie Cutter who is obsessed with him as a result of her condition . Carrie uses a former C.I. to track down Oliver 's hideout , the Verdant , which is reopened by Thea . Oliver lures Carrie away and rejects her romantic advancement before she tries to kill the both of them . He stops her , which reinforces Carrie 's delusion that he is in love with her . Subsequently , Oliver gives her to A.R.G.U.S. as a new member of their Squad . Meanwhile , Ray rebrands Queen Consolidated into Palmer Technologies . Oliver struggles with how much time Felicity is spending with Ray ; and the situation is made worse when he finds them kissing . Ray is later shown working on a personal exosuit design called A.T.O.M. A killer using boomerang blades appears in the city . In flashbacks to Hong Kong , Oliver and Tatsu go off to find Maseo when he goes missing , during which time she ends her displeasure towards Oliver . They return home and find Maseo safe and sound .     54   8   `` The Brave and the Bold ''   Jesse Warn   Story by : Greg Berlanti &amp; Andrew Kreisberg Teleplay by : Marc Guggenheim &amp; Grainne Godfree   December 3 , 2014 ( 2014 - 12 - 03 )   3J5158   3.92      Flashbacks to Hong Kong show Oliver learning how to torture suspects effectively to get information . In the present , Oliver and Roy track down the home of Digger Harkness , the boomerang - wielding murderer , but they only find A.R.G.U.S. operatives looking for the same man . Caitlin and Cisco arrive in Starling City to help Felicity investigate Sara 's death . Digger attempts to kill Lyla ; Roy , Oliver and Barry arrive and stop him . Later , Lyla reveals Digger was part of the Suicide Squad . Oliver 's extreme interrogation methods lead Barry to question how emotionally stable Oliver is . Digger traces Oliver 's hideout , where he wounds Lyla before escaping . In order to leave town , Digger plants 5 bombs around the city . While Oliver captures Digger , Barry uses both his and Oliver 's teams to defuse the bombs at the same time . Digger is incarcerated in the island with Slade . Lyla accepts Diggle 's marriage proposal . Before Barry and his team 's departure , he and Oliver decide to have a friendly duel .  This episode concludes a crossover event that begins on The Flash season 1 episode 8 .     55   9   `` The Climb ''   Thor Freudenthal   Jake Coburn &amp; Keto Shimizu   December 10 , 2014 ( 2014 - 12 - 10 )   3J5159   3.06     The League demands Oliver to find and turn over Sara 's killer in 48 hours or they will begin murdering Starling City citizens , a mission led by Maseo , revealed to have joined the League . S.T.A.R. Labs sends Felicity the DNA results , which appears to be Oliver 's D.N.A. Realizing that she has been lying , Arrow confronts Thea , who demonstrates her fighting skill before escaping . Later , Merlyn informs Oliver that he drugged Thea and manipulated her into killing Sara and not remembering it . Merlyn filmed the event to use as leverage to force Oliver to take the blame and challenge Ra 's to a duel , which no one has dared in 67 years . Ra 's overpowers Oliver before impaling him and kicking him over the side of a cliff . Meanwhile , Laurel reveals Sara 's death to Dinah and convinces her not to tell Quentin . Dinah asks her to avenge Sara 's murder . Ray shows the A.T.O.M. design to Felicity and states his intention to use the exosuit to protect the city as a vigilante . In flashbacks , Oliver and Maseo learn that Chien has stolen an engineered super-virus . China breaks into Maseo 's house and kidnaps Tatsu after overpowering her .     56   10   `` Left Behind ''   Glen Winter   Marc Guggenheim &amp; Erik Oleson   January 21 , 2015 ( 2015 - 01 - 21 )   3J5160   3.06     In flashbacks , Oliver and Maseo steal the counterpart to the super-virus , thus making Chien 's portion inert . Oliver also slips a GPS tracker on one of Chien 's men so that they can locate Tatsu . In the present , Diggle and Roy work to continue protecting the city in Oliver 's absence . With the Arrow missing , a new crime lord named Danny `` Brick '' Brickwell plots to take over the Glades . After Thea expresses concern over Oliver 's absence , Merlyn investigates the site of the duel and brings the bloodied sword back to the team , proclaiming Oliver 's death . Diggle discovers Brickwell 's plan , to secure all the evidence against street enforcers so they are released from jail and forced to join his crew , and heads to the police warehouse with Roy to stop him . Fearing for their lives , Felicity decides to trap the duo in the warehouse and let Brickwell escape . Afterward , Felicity proclaims the group non-existent without Oliver and quits both the group and helping Ray with A.T.O.M. Laurel starts fighting Brickwell 's operatives , donning an altered Canary costume . Merlyn advises Thea to leave Starling City with him . Meanwhile , Maseo finds Oliver 's body and takes it to Tatsu , who revives Oliver .     57   11   `` Midnight City ''   Nick Copus   Wendy Mericle &amp; Ben Sokolowski   January 28 , 2015 ( 2015 - 01 - 28 )   3J5161   2.91     While Oliver attempts to rest and heal , members of the League arrive , forcing Maseo and Tatsu to kill them to protect Oliver . Maseo wounds himself so Ra 's will believe Oliver escaped the former . Roy and Diggle warn Laurel to stay off the streets after Roy saves her from a fight . Brick kidnaps the city 's aldermen , killing one during a rescue attempt . In exchange for the remaining aldermen , Brick demands that all police presence evacuate the Glades for good . The team is able to locate the aldermen and successfully rescue them , but the Mayor still agrees to remove the police after Brick reveals that he has targeted every legislative body member . Meanwhile , Felicity decides to rejoin the team and help Ray with his plan . Merlyn tells Thea about Ra 's , and she convinces him to stay and fight instead of flight . Chase , the DJ for Verdant , is revealed to be a spy for the League , informing Maseo about Merlyn 's decision . In flashbacks , Maseo and Oliver manage to save Tatsu .     58   12   `` Uprising ''   Jesse Warn   Beth Schwartz &amp; Brian Ford Sullivan   February 4 , 2015 ( 2015 - 02 - 04 )   3J5162   2.94     Flashbacks chronicle the death of Merlyn 's wife , Merlyn killing the man believed to have killed her and his journey to the League to seek training . In the present , Oliver decides to return to Starling City . Tatsu informs him that if he wants to defeat Ra 's , he will need to seek swordsman training from a student , like Maseo . With the police out of the Glades , Roy and Laurel are tasked with fighting Brick 's men to keep the peace . Quentin gives the team all the information the police have on Brick to help locate him . Merlyn spies on the team as they review the evidence against Brick , and discovers that Brick was responsible for the death of Merlyn 's wife . Merlyn propositions the team to join forces to take down Brick , but the team refuses . Instead , they rally the citizens of the Glades to take on Brick and his men . Merlyn overpowers Brick before Oliver arrives and persuades him to spare Brick 's life and let the police arrest him . Cindy tells Quentin her knowledge that the new female vigilante is not Sara . In the aftermath , Oliver requests Merlyn train him so that he can take on Ra 's .     59   13   `` Canaries ''   Michael Schultz   Jake Coburn &amp; Emilio Ortega Aldrich   February 11 , 2015 ( 2015 - 02 - 11 )   3J5163   2.67     Werner Zytle escapes custody by poisoning a guard with Vertigo . As Oliver tries to keep Laurel off the streets as a vigilante , Merlyn informs him that to beat Ra 's he will need to bring Thea into the team . Oliver reveals the truth to her , who accepts and praises him for the work he has been doing as the Arrow . Laurel tracks down Zytle and takes him on herself , only to be poisoned with Vertigo . She begins to hallucinate images of Sara , who attacks her . Oliver and Roy arrive in time to get her back to the base for treatment . Oliver realizes that his team does not fight for him anymore , but for the city . Chase attempts to kill Thea , but Roy and Merlyn show up and Chase commits suicide . Oliver and Laurel successfully capture Zytle together . On Merlyn 's advice , Oliver takes Thea to the island for training . Laurel finally tells Quentin , who already knows the former 's alter ego , about Sara 's death . In flashbacks , Oliver is captured by A.R.G.U.S. and interrogated for the location of Maseo and his family . Maseo is captured trying to save Oliver . Waller brings Oliver and Maseo to Starling City to find Chien .     60   14   `` The Return ''   Dermott Downs   Marc Guggenheim &amp; Erik Oleson   February 18 , 2015 ( 2015 - 02 - 18 )   3J5164   2.91     While on the island of Lian Yu , Oliver begins Thea 's training . He goes to the A.R.G.U.S. prison to visit with Slade , but he discovers the guard dead and Slade missing . Oliver warns Thea and they find out that Merlyn had Slade freed as part of their training . Slade arrives and captures them , imprisoning them in the A.R.G.U.S. cell . The duo manages to open the doors and escape . Oliver reveals to Thea that she killed Sara . Slade arrives and engages them . Oliver dissuades Thea from killing Slade , who gets imprisoned back in the cell . The duo returns to Starling City , where Thea confronts Merlyn for forcing her to kill Sara . Thea decides to work with him to fight Ra 's , but denounces their personal relationship . Quentin blames Laurel for hiding the truth . In flashbacks , Oliver and Maseo start tracking an employee of Queen Consolidated associated with Chien . Oliver looks in on his family and discovers that Thea is using drugs . Oliver and Maseo acquire the virus and arrest Chien . Oliver is introduced to General Matthew Shrieve , who promises to free him after he is debriefed in China .     61   15   `` Nanda Parbat ''   Gregory Smith   Story by : Wendy Mericle &amp; Ben Sokolowski Teleplay by : Erik Oleson &amp; Ben Sokolowski   February 25 , 2015 ( 2015 - 02 - 25 )   3J5165   3.07     Oliver and Thea continue their training with Merlyn . Thea confesses the whole truth to Laurel , who instead blames Merlyn ; Thea makes a deal to turn him over to the League . Laurel confronts Merlyn and is outmatched , but they are interrupted by Nyssa and the League , and Merlyn is captured . Having imprisoned Nyssa , Oliver decides to go to Nanda Parbat to rescue Merlyn to prevent Thea from blaming herself when she realizes that she has sentenced her father to death . Oliver and Diggle infiltrate Nanda Parbat , but walk into a trap set by Ra 's . Oliver tells Diggle that Thea was not his only motive and he could not accept the defeat from someone else . Diggle states that he considers him a brother . Thea confesses the truth to Nyssa and offers her the chance at revenge , and Ray tests the flight capabilities of his completed A.T.O.M. exo - suit . Instead of killing Oliver , Ra 's expresses his praise for Oliver 's courage and strength , and asks Oliver to replace him as the head of the League . In flashbacks , Oliver is debriefed by Matthew and freed . On their way , Oliver and the Yamashiros are attacked . Oliver flees for safety with Akio , Maseo 's son .     62   16   `` The Offer ''   Dermott Downs   Beth Schwartz &amp; Brian Ford Sullivan   March 18 , 2015 ( 2015 - 03 - 18 )   3J5166   2.56     Ra 's explains that the localized pool of water in Nanda Parbat has healing effects that have allowed him to live far longer than any mortal man . The pool is becoming less effective on him , so Ra 's is looking for a replacement . In a show of good faith to convince Oliver , Ra 's releases Diggle and Merlyn and forgives all blood debts . Oliver returns to Starling and releases Nyssa . Oliver and his team return to stopping crime , but Quentin tells the Arrow that he will not aid him anymore because of hiding Sara 's death . Afterward , Oliver realizes that he is not ready to give up being the Arrow ; Oliver informs Maseo of his decision , who warns Oliver of the consequences of defying Ra 's . Upset with Ra 's for his offer to Oliver , Nyssa leaves him and returns to Starling City , befriending Laurel and deciding to train her . Ra 's , dressed as the Arrow , frames the vigilante for murder . Thea leaves Malcolm and moves in Roy 's . In flashbacks to Hong Kong , Oliver and Akio continue to be on the run , during which they seemingly stumble across a woman resembling Shado .     63   17   `` Suicidal Tendencies ''   Jesse Warn   Keto Shimizu   March 25 , 2015 ( 2015 - 03 - 25 )   3J5167   2.86     Diggle and Lyla officially remarry , but Waller interrupts their honeymoon to recruit them for a Suicide Squad mission to rescue Senator Cray from a kidnapping . The kidnapping turns out be a ruse by Cray , to help his bid for President . The team rescues the hostages , but Lawton seemingly sacrifices himself so everyone can get out safely . He is announced responsible for the kidnapping , and Cray 's involvement is covered up . The police issue a warrant for the Arrow , which Ray supports . Oliver discovers that Ra 's has sent multiple assassins to impersonate him . In his new A.T.O.M. suit , Ray locates the Arrow and through facial scans learns his identity . Laurel refuses to accept Ray 's evidence against Oliver . Ray engages Oliver in a fight , but Oliver disables Ray 's suit . Oliver convinces Ray that he is being framed . Diggle decides to leave Oliver 's team and Lyla decides to resign from A.R.G.U.S. Maseo , dressed as the Arrow , murders the mayor and shoots another arrow at Felicity . In flashbacks , Lawton struggles to transition back into society from the military , including his wife and child leaving him . Lawton is propositioned by H.I.V.E. to assassinate Andrew Diggle , John 's brother .     64   18   `` Public Enemy ''   Dwight Little   Marc Guggenheim &amp; Wendy Mericle   April 1 , 2015 ( 2015 - 04 - 01 )   3J5168   2.48     Ray takes the arrow for Felicity . Quentin issues an arrest warrant for the Arrow and his team , with shoot to kill orders in effect . Oliver uses Nyssa to track Maseo 's location . Ra 's appears and repeats his demand . The police arrive and Oliver and his team manage to escape . Ra 's kidnaps Quentin and reveals the Arrow 's identity , which Quentin announces at a press conference . O</t>
  </si>
  <si>
    <t xml:space="preserve">how many episodes are in season six of arrow</t>
  </si>
  <si>
    <t xml:space="preserve">   Season   Episodes   Originally aired   Nielsen ratings     First aired   Last aired   Rank   Average viewers ( in millions )         23   October 10 , 2012 ( 2012 - 10 - 10 )   May 15 , 2013 ( 2013 - 05 - 15 )   130   3.68         23   October 9 , 2013 ( 2013 - 10 - 09 )   May 14 , 2014 ( 2014 - 05 - 14 )   128   3.28         23   October 8 , 2014 ( 2014 - 10 - 08 )   May 13 , 2015 ( 2015 - 05 - 13 )   135   3.52         23   October 7 , 2015 ( 2015 - 10 - 07 )   May 25 , 2016 ( 2016 - 05 - 25 )   145   2.90       5   23   October 5 , 2016 ( 2016 - 10 - 05 )   May 24 , 2017 ( 2017 - 05 - 24 )   147   2.21       6   23   October 12 , 2017 ( 2017 - 10 - 12 )   May 17 , 2018 ( 2018 - 05 - 17 )   181   1.76   </t>
  </si>
  <si>
    <t xml:space="preserve">Mount Rainier - wikipedia  Mount Rainier  Jump to : navigation , search This article is about the volcano in Washington state . For other uses , see Mount Rainier ( disambiguation ) .    Mount Rainier     Mount Tacoma ( Lushootseed )     Mount Rainier as viewed from the northeast .     Highest point     Elevation   14,411 ft ( 4,392 m ) NAVD88     Prominence   13,210 ft ( 4,026 m )     Isolation   731 mi ( 1,176 km )     Listing     World most prominent peaks 21st   North America prominent peaks 4th   North America isolated peaks 7th   US highest major peaks 17th   U.S. state high point 4th   Decade Volcano       Coordinates   46 ° 51 ′ 10 '' N 121 ° 45 ′ 37 '' W ﻿ / ﻿ 46.8528857 ° N 121.7603744 ° W ﻿ / 46.8528857 ; - 121.7603744 Coordinates : 46 ° 51 ′ 10 '' N 121 ° 45 ′ 37 '' W ﻿ / ﻿ 46.8528857 ° N 121.7603744 ° W ﻿ / 46.8528857 ; - 121.7603744     Geography     Mount Rainier Mount Rainier National Park , Pierce County , Washington , U.S.     Parent range   Cascade Range     Topo map   USGS Mount Rainier West     Geology     Age of rock   500,000 years     Mountain type   Stratovolcano     Volcanic arc   Cascade Volcanic Arc     Last eruption   November to December 1894     Climbing     First ascent   1870 by Hazard Stevens and P.B. Van Trump     Easiest route   rock / ice climb via Disappointment Cleaver     Mount Rainier ( pronounced : / reɪˈnɪər / ) , is the highest mountain of the Cascade Range of the Pacific Northwest , and the highest mountain in the U.S. state of Washington . It is a large active stratovolcano located 54 miles ( 87 km ) south - southeast of Seattle , in the Mount Rainier National Park . It is the most topographically prominent mountain in the contiguous United States and the Cascade Volcanic Arc , with a summit elevation of 14,411 ft ( 4,392 m ) .   Mt . Rainier is considered one of the most dangerous volcanoes in the world , and it is on the Decade Volcano list . Because of its large amount of glacial ice , Mt . Rainier could produce massive lahars that could threaten the entire Puyallup River valley , and poses a grave threat to the southern sections of the Seattle metropolitan area , a city of over 650,000 people with more than 3.7 million living in its metropolitan area .     Contents  ( hide )   1 Name   2 Geographical setting   2.1 Subsidiary peaks     3 Geology   3.1 Modern activity and the current threat   3.2 Seismic background   3.3 Glaciers     4 Human history   5 Climbing   5.1 Climbing routes   5.2 Dangers and accidents     6 Outdoor recreation   7 Climate   8 See also   9 References   10 External links      Name ( edit )   Mount Rainier was first known by the Native Americans as Talol , or Tacoma or Tahoma . One hypothesis of the word origin is ( təqwúʔbəʔ ) ( `` mother of waters '' ) , in the Lushootseed language spoken by the Puyallup people . Another hypothesis is that `` Tacoma '' means `` larger than Mount Baker '' in Lushootseed : `` Ta '' , larger , plus `` Koma ( Kulshan ) '' , Mount Baker . Other names originally used include Tahoma , Tacobeh , and Pooskaus .   The current name was given by George Vancouver , who named it in honor of his friend , Rear Admiral Peter Rainier . The map of the Lewis and Clark expedition of 1804 - 1806 refers to it as `` Mt . Regniere '' .   Although `` Rainier '' had been considered the official name of the mountain , Theodore Winthrop , in his posthumously published 1862 travel book The Canoe and the Saddle , referred to the mountain as `` Tacoma '' and for a time , both names were used interchangeably , although `` Mt . Tacoma '' was preferred in the city of Tacoma .   In 1890 , the United States Board on Geographic Names declared that the mountain would be known as `` Rainier '' . Following this in 1897 , the Pacific Forest Reserve became the Mount Rainier Forest Reserve , and the national park was established three years later . Despite this , there was still a movement to change the mountain 's name to `` Tacoma '' and Congress was still considering a resolution to change the name as late as 1924 .   In the lead up to Super Bowl XLVIII , the Washington State Senate passed a resolution on Friday , January 31 , 2014 , temporarily renaming the mountain Mount Seattle Seahawks until the midnight after the Super Bowl , Monday , February 3 , 2014 , in response to the renaming of 53 mountains in Colorado after the 53 members of the Denver Broncos by Governor of Colorado John Hickenlooper .   After the 2015 restoration of the original name Denali to Mount McKinley in Alaska , debate over Mount Rainier 's name intensified .   Geographical setting ( edit )  Mount Rainier behind the Starbucks corporate HQ clock tower in Seattle , as seen from the Bainbridge Island ferry , with Port of Seattle cranes Mt Rainier just after taking off from SeaTac  Mount Rainier is the highest mountain in Washington and the Cascade Range . This peak is located just east of Eatonville and just southeast of Seattle and Tacoma . Mount Rainier is ranked third of the 128 ultra-prominent mountain peaks of the United States . Mount Rainier has a topographic prominence of 13,210 ft ( 4,026 m ) , which is greater than that of K2 , the world 's second - tallest mountain , at 13,189 ft ( 4,020 m ) . On clear days it dominates the southeastern horizon in most of the Seattle - Tacoma metropolitan area to such an extent that locals sometimes refer to it simply as `` the Mountain . '' On days of exceptional clarity , it can also be seen from as far away as Corvallis , Oregon ( at Marys Peak ) and Victoria , British Columbia .   With 26 major glaciers and 36 sq mi ( 93 km ) of permanent snowfields and glaciers , Mount Rainier is the most heavily glaciated peak in the lower 48 states . The summit is topped by two volcanic craters , each more than 1,000 ft ( 300 m ) in diameter , with the larger east crater overlapping the west crater . Geothermal heat from the volcano keeps areas of both crater rims free of snow and ice , and has formed the world 's largest volcanic glacier cave network within the ice - filled craters , with nearly 2 mi ( 3.2 km ) of passages . A small crater lake about 130 by 30 ft ( 39.6 by 9.1 m ) in size and 16 ft ( 5 m ) deep , the highest in North America with a surface elevation of 14,203 ft ( 4,329 m ) , occupies the lowest portion of the west crater below more than 100 ft ( 30 m ) of ice and is accessible only via the caves .   The Carbon , Puyallup , Mowich , Nisqually , and Cowlitz Rivers begin at eponymous glaciers of Mount Rainier . The sources of the White River are Winthrop , Emmons , and Fryingpan Glaciers . The White , Carbon , and Mowich join the Puyallup River , which discharges into Commencement Bay at Tacoma ; the Nisqually empties into Puget Sound east of Lacey ; and the Cowlitz joins the Columbia River between Kelso and Longview .  A panorama of the south face of Mount Rainier viewed from Westside Road , Washington State Route 706  Subsidiary Peaks ( edit )   The broad top of Mount Rainier contains three named summits . The highest is called the Columbia Crest . The second highest summit is Point Success , 14,158 ft ( 4,315 m ) , at the southern edge of the summit plateau , atop the ridge known as Success Cleaver . It has a topographic prominence of about 138 ft ( 42 m ) , so it is not considered a separate peak . The lowest of the three summits is Liberty Cap , 14,112 ft ( 4,301 m ) , at the northwestern edge , which overlooks Liberty Ridge , the Sunset Amphitheater , and the dramatic Willis Wall . Liberty Cap has a prominence of 492 ft ( 150 m ) , and so would qualify as a separate peak under most strictly prominence - based rules . A prominence cutoff of 400 ft ( 122 m ) is commonly used in Washington state .   High on the eastern flank of Mount Rainier is a peak known as Little Tahoma Peak , 11,138 ft ( 3,395 m ) , an eroded remnant of the earlier , much higher , Mount Rainier . It has a prominence of 858 ft ( 262 m ) , and it is almost never climbed in direct conjunction with Columbia Crest , so it is usually considered a separate peak . If considered separately from Mt . Rainier , Little Tahoma Peak would be the third highest mountain peak in Washington .   Geology ( edit )  Hazard map  Mount Rainier is a stratovolcano in the Cascade Volcanic Arc that consists of lava flows , debris flows , and pyroclastic ejecta and flows . Its early volcanic deposits are estimated at more than 840,000 years old and are part of the Lily Formation ( about 2.9 million to 840,000 years ago ) . The early deposits formed a `` proto - Rainier '' or an ancestral cone prior to the present - day cone . The present cone is more than 500,000 years old .   The volcano is highly eroded , with glaciers on its slopes , and appears to be made mostly of andesite . Rainier likely once stood even higher than today at about 16,000 ft ( 4,900 m ) before a major debris avalanche and the resulting Osceola Mudflow approximately 5,000 years ago . In the past , Rainier has had large debris avalanches , and has also produced enormous lahars ( volcanic mudflows ) due to the large amount of glacial ice present . Its lahars have reached all the way to Puget Sound , a distance of more than 30 mi ( 48 km ) . Around 5,000 years ago , a large chunk of the volcano slid away and that debris avalanche helped to produce the massive Osceola Mudflow , which went all the way to the site of present - day Tacoma and south Seattle . This massive avalanche of rock and ice removed the top 1,600 ft ( 500 m ) of Rainier , bringing its height down to around 14,100 ft ( 4,300 m ) . About 530 to 550 years ago , the Electron Mudflow occurred , although this was not as large - scale as the Osceola Mudflow .   After the major collapse approximately 5,000 years ago , subsequent eruptions of lava and tephra built up the modern summit cone until about as recently as 1,000 years ago . As many as 11 Holocene tephra layers have been found .   Modern activity and the current threat ( edit )  Teide Nyiragongo Vesuvius Etna Santorini Unzen Sakurajima Taal Merapi Ulawun Mauna Loa Colima Santa María Avachinsky Koryaksky Galeras Rainier Mount Rainier is one of the 16 Decade Volcanoes .  The most recent recorded volcanic eruption was between 1820 and 1854 , but many eyewitnesses reported eruptive activity in 1858 , 1870 , 1879 , 1882 and 1894 as well .   Although Mount Rainier is now dormant , as of 2016 Seismic monitors have been located in Mount Rainier National Park and on the mountain itself to monitor activity . However , an eruption could be deadly for all living in areas within the immediate vicinity of the volcano and an eruption would also cause trouble from Vancouver , Canada to San Francisco because of the massive amounts of ash blasting out of the volcano into the atmosphere .   Mount Rainier is located in an area that itself is part of the eastern rim of the Pacific Ring of Fire . This includes mountains and calderas like Mount Shasta and Lassen Peak in California , Crater Lake , Three Sisters , and Mount Hood in Oregon , Mount Saint Helens , Mount Adams , Glacier Peak , and Mount Baker in Washington , and Mount Cayley , Garibaldi , Silverthrone , and Mount Meager in British Columbia . All of the above are dormant , but alive , and scientists on both sides of the border gather research of the past eruptions of each in order to predict how mountains in this arc will behave and what they are capable of in the future , including Mount Rainier . Of these , only two have erupted since the beginning of the twentieth century : Lassen in 1915 and St. Helens in 1980 and 2004 . However , past eruptions in this volcanic arc have multiple examples of sub-plinian eruptions or higher : Crater Lake 's last eruption as Mount Mazama was large enough to cause its cone to implode , and Mt . Rainier 's closest neighbor , Mount St. Helens , had a huge chunk of the side of the mountain blow up in a phreatic explosion caused by a mix of gas and water . Where St. Helens was once perfectly symmetrical there is now , thirty five years later , a huge crater at the top of one face . Statistics place the likelihood of a major eruption in this range at 2 - 3 per century .   Mount Rainier is currently listed as a Decade Volcano , or one of the 16 volcanoes with the greatest likelihood of causing great loss of life and property if eruptive activity resumes . If Mt . Rainier were to erupt as powerfully as Mount St. Helens did in its May 18 , 1980 eruption , the effect would be cumulatively greater , because of the far more massive amounts of glacial ice locked on the volcano compared to Mount St. Helens , the vastly more heavily populated areas surrounding Rainier , and the simple fact that Mt Rainier is a much bigger volcano , almost twice the size of St. Helens . Lahars from Rainier pose the most risk to life and property , as many communities lie atop older lahar deposits . According to the United States Geological Survey ( USGS ) , about 150,000 people live on top of old lahar deposits of Rainier . Not only is there much ice atop the volcano , the volcano is also slowly being weakened by hydrothermal activity . According to Geoff Clayton , a geologist with a Washington State Geology firm , RH2 Engineering , a repeat of the Osceola mudflow would destroy Enumclaw , Orting , Kent , Auburn , Puyallup , Sumner and all of Renton . Such a mudflow might also reach down the Duwamish estuary and destroy parts of downtown Seattle , and cause tsunamis in Puget Sound and Lake Washington . Rainier is also capable of producing pyroclastic flows and expelling lava .  One of many emergency evacuation route signs in case of volcanic eruption or lahar around Mt . Rainier  According to K. Scott , a scientist with the USGS :   `` A home built in any of the probabilistically defined inundation areas on the new maps is more likely to be damaged or destroyed by a lahar than by fire ... For example , a home built in an area that would be inundated every 100 years , on the average , is 27 times more likely to be damaged or destroyed by a flow than by fire . People know the danger of fire , so they buy fire insurance and they have smoke alarms , but most people are not aware of the risks of lahars , and few have applicable flood insurance . ''   The volcanic risk is somewhat mitigated by lahar warning sirens and escape route signs in Pierce County . The more populous King County is also in the lahar area , but currently has no zoning restrictions due to volcanic hazard . More recently ( since 2001 ) funding from the federal government for lahar protection in the area has dried up , leading local authorities in at - risk cities like Orting to fear a disaster similar to the Armero tragedy .   Seismic background ( edit )   Typically , up to five earthquakes are recorded monthly near the summit . Swarms of five to ten shallow earthquakes over two or three days take place from time to time , predominantly in the region of 13,000 feet ( 4 km ) below the summit . These earthquakes are thought to be caused by the circulation of hot fluids beneath Mount Rainier . Presumably , hot springs and steam vents within Mount Rainier National Park are generated by such fluids . Seismic swarms ( not initiated with a mainshock ) are common features at volcanoes , and are rarely associated with eruptive activity . Rainier has had several such swarms ; there were days - long swarms in 2002 , 2004 , and 2007 , two of which ( 2002 and 2004 ) included M 3.2 earthquakes . A 2009 swarm produced the largest number of events of any swarm at Rainier since seismic monitoring began over two decades earlier . Yet another swarm was observed in 2011 .   Glaciers ( edit )  Three - dimensional representation of Mount Rainier Nisqually Glacier is seen clearly from the southeast of the mountain .  Glaciers are among the most conspicuous and dynamic geologic features on Mount Rainier . They erode the volcanic cone and are important sources of streamflow for several rivers , including some that provide water for hydroelectric power and irrigation . Together with perennial snow patches , the 26 major glaciers cover about 36 square miles ( 93 km ) of the mountain 's surface and have a volume of about 1 cubic mile ( 4.2 km ) .   Glaciers flow under the influence of gravity by the combined action of sliding over the rock on which they lie and by deformation , the gradual displacement between and within individual ice crystals . Maximum speeds occur near the surface and along the centerline of the glacier . During May 1970 , Nisqually Glacier was measured moving as fast as 29 inches ( 74 cm ) per day . Flow rates are generally greater in summer than in winter , probably due to the presence of large quantities of meltwater at the glacier base .   The size of glaciers on Mount Rainier has fluctuated significantly in the past . For example , during the last ice age , from about 25,000 to about 15,000 years ago , glaciers covered most of the area now within the boundaries of Mount Rainier National Park and extended to the perimeter of the present Puget Sound Basin .   Between the 14th century and 1850 , many of the glaciers on Mount Rainier advanced to their farthest extent downvalley since the last ice age . Many advances of this sort occurred worldwide during this time period known to geologists as the Little Ice Age . During the Little Ice Age , the Nisqually Glacier advanced to a position 650 to 800 ft ( 200 to 240 m ) downvalley from the site of the Glacier Bridge , Tahoma and South Tahoma Glaciers merged at the base of Glacier Island , and the terminus of Emmons Glacier reached within 1.2 mi ( 1.9 km ) of the White River Campground .   Retreat of the Little Ice Age glaciers was slow until about 1920 when retreat became more rapid . Between the height of the Little Ice Age and 1950 , Mount Rainier 's glaciers lost about one - quarter of their length . Beginning in 1950 and continuing through the early 1980s , however , many of the major glaciers advanced in response to relatively cooler temperatures of the mid-century . The Carbon , Cowlitz , Emmons , and Nisqually Glaciers advanced during the late 1970s and early 1980s as a result of high snowfalls during the 1960s and 1970s . Since the early - 1980s , however , many glaciers have been thinning and retreating and some advances have slowed .   The glaciers on Mount Rainier can generate mudflows , through glacial outburst floods not associated with any eruption . The South Tahoma Glacier generated 30 floods in the 1980s and early 1990s , and again in August , 2015 .   Human History ( edit )  Artist rendering of Mount Tacoma from Commencement Bay , 1888 . Viewed from the northwest ( Tacoma ) , Liberty Cap is the apparent summit with Mowich Face below .  At the time of European contact , the river valleys and other areas near the mountain were inhabited by many Pacific Northwest tribes who hunted and gathered berries in its forests and mountain meadows . These included the Nisqually , Cowlitz , Yakama , Puyallup , and Muckleshoot .   Captain George Vancouver reached Puget Sound in early May 1792 and became the first European to see the mountain .   In 1833 , Dr. William Fraser Tolmie explored the area looking for medicinal plants . Hazard Stevens and P.B. Van Trump received a hero 's welcome in the streets of Olympia after their successful summit climb in 1870 . The first female ascent was made in 1890 by Fay Fuller , accompanied by Van Trump and three other teammates .   John Muir climbed Mount Rainier in 1888 , and although he enjoyed the view , he conceded that it was best appreciated from below . Muir was one of many who advocated protecting the mountain . In 1893 , the area was set aside as part of the Pacific Forest Reserve in order to protect its physical and economic resources , primarily timber and watersheds .   Citing the need to also protect scenery and provide for public enjoyment , railroads and local businesses urged the creation of a national park in hopes of increased tourism . On March 2 , 1899 , President William McKinley established Mount Rainier National Park as America 's fifth national park . Congress dedicated the new park `` for the benefit and enjoyment of the people '' and `` ... for the preservation from injury or spoliation of all timber , mineral deposits , natural curiosities , or wonders within said park , and their retention in their natural condition . ''   On 24 June 1947 , Kenneth Arnold reported seeing a formation of nine unidentified flying objects over Mount Rainier . His description led to the term `` flying saucers '' .   In 1998 , the United States Geological Survey began putting together the Mount Rainier Volcano Lahar Warning System to assist in the emergency evacuation of the Puyallup River valley in the event of a catastrophic debris flow . It is now run by the Pierce County Department of Emergency Management . Tacoma , at the mouth of the Puyallup , is only 37 mi ( 60 km ) west of Rainier , and moderately sized towns such as Puyallup and Orting are only 27 and 20 mi ( 43 and 32 km ) away , respectively .   Mt . Rainier appears on four distinct United States postage stamp issues . In 1934 , it was the 3 - cent issue in a series of National Park stamps , and was also shown on a souvenir sheet issued for a philatelic convention . The following year , in 1935 , both of these were reprinted by Postmaster General James A. Farley as special issues given to officials and friends . Because of complaints by the public , `` Farley 's Follies '' were reproduced in large numbers . The second stamp issue is easy to tell from the original because it is imperforate . Both stamps and souvenir sheets are widely available .   The Washington state quarter , which was released on April 11 , 2007 , features Mount Rainier and a salmon .   Climbing ( edit )  Climbers on Ingraham Glacier , above Little Tahoma  Mountain climbing on Mount Rainier is difficult , involving traversing the largest glaciers in the U.S. south of Alaska . Most climbers require two to three days to reach the summit , with a success rate of approximately 50 % . Climbing teams require experience in glacier travel , self - rescue , and wilderness travel . About 8,000 to 13,000 people attempt the climb each year , about 90 % via routes from Camp Muir on the southeast flank . Most of the rest ascend Emmons Glacier via Camp Schurman on the northeast . About half of the attempts are successful , with weather and physical conditioning of the climbers being the most common reasons for failure . All climbers who plan to climb above high camps , Camp Muir and Camp Schurman , are required by law to purchase a Mount Rainier Climbing Pass and register for their climb . Additionally , solo climbers must fill out a solo climbing request form and receive written permission from the Superintendent before attempting to climb .   Climbing routes ( edit )   All climbing routes on Mount Rainier require climbers to possess some level of technical climbing skill . This includes ascending and descending the mountain with the use of technical climbing equipment such as crampons , ice axes , harnesses , and ropes . Difficulty and technical challenge of climbing Mount Rainier can vary wildly between climbing routes . Routes are graded in NCCS Alpine Climbing format .   The normal route to the summit of Mount Rainier is the Disappointment Cleaver Route , grade II - III . As climbers on this route have access to the permanently established Camp Muir , it sees the significant majority of climbing traffic on the mountain . This route is also the most common commercially guided route . The term `` cleaver '' is used in the context of a rock ridge that separates two glaciers . The reason for naming this cleaver a `` disappointment '' is unrecorded , but it is thought to be due to climbers reaching it only to recognize their inability to reach the summit . An alternative route to the Disappointment Cleaver is the Ingraham Glacier Direct Route , grade II , and is often used when the Disappointment Cleaver route can not be climbed due to poor route conditions .   The Emmons Glacier Route , grade II , is an alternative to the Disappointment Cleaver route and poses a lower technical challenge to climbers . The climbers on the route can make use of Camp Schurman ( 9,500 ft ) , a glacial camp site . Unlike Camp Muir , Camp Schurman has no permanent structure , so climbers must carry their overnight equipment to the location .   The Liberty Ridge Route , grade IV , was first climbed by Ome Daiber , Arnie Campbell and Jim Burrow in 1935 and is listed as one of the Fifty Classic Climbs of North America by Steve Roper and Allen Steck . The Liberty Ridge Route is a considerably more challenging and objectively dangerous route than the normal route to the summit . This route only accounts for approximately 2 % of climbers on the mountain , but accounts for approximately 25 % of deaths on the mountain . The Liberty Ridge Route runs up the center of the North Face of Mount Rainier and crosses the very active Carbon Glacier .   Dangers and Accidents ( edit )   About two mountaineering deaths each year occur because of rock and ice fall , avalanche , falls , and hypothermia associated with severe weather ( 58 reported since and including the 1981 accident through 2010 per American Alpine Club Accidents in North American Mountaineering and the NPS ) .   The worst mountaineering accident on Mount Rainier occurred in 1981 , when eleven people lost their lives in an ice fall on the Ingraham Glacier . This was the largest number of fatalities on Mount Rainier in a single incident since 32 people were killed in a 1946 plane crash on the South Tahoma Glacier .   More recently , the mountain received media attention in 2012 , as one of the park rangers lost his life when several climbers were caught in a storm while trying to ascend the mountain . While trying to help load the climbers into a rescue helicopter , the ranger lost his footing , and slid 3,700 feet ( 1,100 m ) to his death .   In one of the worst disasters on the mountain in over thirty years , six climbers -- two guides , and four clients -- last heard from on May 28 , 2014 , were presumed dead on May 31 , 2014 , when low - flying search helicopters pinged the signals from the avalanche beacons worn by the climbers . Officials concluded that there was no possible chance of survival after the climbers fell 3,300 feet ( 1,000 m ) while attempting or returning from the summit via the Liberty Ridge climbing route . Searchers found tents and clothes along with rock and ice strewn across a debris field on the Carbon Glacier at 9,500 ft ( 2,900 m ) , possible evidence for a slide or avalanche in the vicinity where the team went missing , though the exact cause of the accident is unknown . The bodies of three of the guest climbers were spotted on August 7 , 2014 , during a training flight and subsequently recovered on August 19 , 2014 . The bodies of the fourth guest climber and two guides have not been located .   Outdoor recreation ( edit )   Hiking , backcountry skiing , photography , and camping are popular in the park . Hiking trails , including the Wonderland Trail -- a 93 - mile or 150 - kilometre circumnavigation of the peak -- provide access to the backcountry . Mount Rainier is also popular for winter sports , including snowshoeing and cross-country skiing .   Climate ( edit )   The summit of Mount Rainier has an alpine climate .     ( hide ) Climate data for Mount Rainier ( 14,411 feet ; 4,392 m )     Month   Jan   Feb   Mar   Apr   May   Jun   Jul   Aug   Sep   Oct   Nov   Dec   Year     Average high ° F ( ° C )   7 ( − 14 )   9 ( − 13 )   11 ( − 12 )   17 ( − 8 )   22 ( − 6 )   26 ( − 3 )   33 ( 1 )   32 ( 0 )   28 ( − 2 )   20 ( − 7 )   14 ( − 10 )   8 ( − 13 )   18.9 ( − 7.2 )     Average low ° F ( ° C )   − 3 ( − 19 )   − 2 ( − 19 )   − 2 ( − 19 )   ( − 17 )   6 ( − 14 )   10 ( − 12 )   15 ( − 9 )   14 ( − 10 )   12 ( − 11 )   7 ( − 14 )   ( − 17 )   − 2 ( − 19 )   4.9 ( − 15 )     Source :     See also ( edit )    Washington portal   Mountains portal   Volcanoes portal   Rainier in Reflection Lake   List of mountain peaks of North America   List of mountain peaks of the United States   List of U.S. states by elevation   List of the highest major summits of the United States   List of the most prominent summits of the United States   List of the most isolated major summits of the United States   List of volcanoes in the United States   List of highest points in Washington by county         Bailey Willis , USGS geological engineer , played a key role in getting Mount Rainier designated as a national park , Willis Wall is named after him .    References ( edit )    ^ Jump up to : `` Mount Rainier , Washington '' . Peakbagger.com . Retrieved January 1 , 2016 .   Jump up ^ `` Mount Rainier '' . Geographic Names Information System . United States Geological Survey . Retrieved 2008 - 10 - 15 .   Jump up ^ `` Rainier '' . Global Volcanism Program . Smithsonian Institution . Retrieved 2008 - 08 - 27 .   Jump up ^ Hill , Craig ( 2006 - 11 - 16 ) . `` Taking the measure of a mountain '' . The News Tribune . Archived from the original on 2006 - 11 - 16 .   Jump up ^ Signani , PLS , Larry ( 2000 - 07 - 19 ) . `` The Height of Accuracy '' . Point of Beginning ( trade magazine ) . BNP Media . Retrieved 2008 - 10 - 17 .   Jump up ^ `` Decade Volcanoes '' . CVO . United States Geological Survey . Archived from the original on 2012 - 07 - 20 .   ^ Jump up to : Driedger , C.L. ; Scott , K.M. ( 2005 - 03 - 01 ) . `` Mount Rainier -- Learning to Live with Volcanic Risk '' . Fact Sheet 034 - 02 . United States Geological Survey . Retrieved 2008 - 10 - 30 .   Jump up ^ Clark , Ella E. ( 2003 - 02 - 03 ) . Indian Legends of the Pacific Northwest . University of California Press . ISBN 0 - 520 - 23926 - 1 .   Jump up ^ Beckey , Fred ( January 2009 ) . Cascade Alpine Guide . Vol. 3 ( 3rd ed . ) . Mountaineers Books . ISBN 1 - 59485 - 136 - 0 .   Jump up ^ `` Is it time to rename Mount Rainier to its former native name ? '' . Archived from the original on 2014 - 10 - 21 .   ^ Jump up to : `` Historical Notes : Vancouver 's Voyage '' . Mount Rainier Nature Notes . VII ( 14 ) . 1929 . Retrieved 2015 - 02 - 03 .   Jump up ^ Catton , Theodore ( 2006 - 11 - 30 ) . National Park , City Playground : Mount Rainier in the Twentieth Century . A Samuel and Althea Stroum Book . Seattle , United States and London , United Kingdom : University of Washington Press . pp. 8 -- 9 . ISBN 0 - 295 - 98643 - 3 .   Jump up ^ Winthrop , Theodore ( 1866 ) . `` VII . Tacoma '' . The canoe and the saddle : adventures among the northwestern rivers and forests , and Isthmiana ( 8th ed . ) . Boston : Ticknor and Fields . ISBN 0 - 665 - 37762 - 2 . Retrieved 2009 - 03 - 04 .   Jump up ^ Orth , Donald J. ( 1992 ) . `` The Creation '' ( PDF ) . Meridian . Map and Geospatial Information Round Table ( 2 ) : 18 . OCLC 18508074 . Retrieved August 31 , 2015 .   Jump up ^ Blethen , C.B. ( February 3 , 1924 ) . `` Academic Dispute Flares Forth ; Mount Rainier 's Name at Issue '' . The Seattle Times . access - date = requires url = ( help )   Jump up ^ `` The Outdoor World : Mt . Rainier 's Name Stands '' . Recreation . Vol . LVII no . 3 . Outdoor World Publishing Company . September 1917 . p. 142 . OCLC 12010285 . Retrieved August 31 , 2015 -- via Google Books .   Jump up ^ Eaton , Nick ( 2014 - 02 - 01 ) . `` Mount Rainier renamed Mount Seattle Seahawks for Super Bowl XLVIII '' . The Seahawks Blog . Seattle Post-Intelligencer . Retrieved 2015 - 03 - 12 .   Jump up ^ Pappas , Stephanie ( 2014 - 01 - 29 ) . `` Colorado 's Highest Peaks Re-Named After Super Bowl Team '' . Live Science . Retrieved 2015 - 03 - 12 .   Jump up ^ Seattle Times editorial board ( 2015 - 09 - 01 ) . `` After McKinley , it 's time to consider renaming Rainier '' . Seattle Times . Retrieved 2015 - 09 - 01 .   Jump up ^ `` Mount Rainier '' . Peakbagger.com .   Jump up ^ `` World Top 50 by Prominence '' . Peakbagger.com . Retrieved 2008 - 11 - 05 .   Jump up ^ Bruce Barcott ( 1999 - 04 - 27 ) . `` The Mountain is Out '' . Western Washington University . Archived from the original on 2009 - 01 - 13 . Retrieved 2007 - 03 - 23 .   Jump up ^ `` View of Rainier '' . Nature Spot . Archived from the original on 2009 - 11 - 03 . Retrieved 2010 - 09 - 29 .   ^ Jump up to : Topinka , Lyn ( 2002 ) . `` Mount Rainier Glaciers and Glaciations '' . United States Geological Survey .   ^ Jump up to : This article incorporates public domain material from the United States Geological Survey document : Driedger , C.L. `` Glaciers on Mount Rainier '' . Retrieved 2010 - 04 - 21 .</t>
  </si>
  <si>
    <t xml:space="preserve">when was the last time that mount rainier erupted</t>
  </si>
  <si>
    <t xml:space="preserve">   Mount Rainier     Mount Tacoma ( Lushootseed )     Mount Rainier as viewed from the northeast .     Highest point     Elevation   14,411 ft ( 4,392 m ) NAVD88     Prominence   13,210 ft ( 4,026 m )     Isolation   731 mi ( 1,176 km )     Listing     World most prominent peaks 21st   North America prominent peaks 4th   North America isolated peaks 7th   US highest major peaks 17th   U.S. state high point 4th   Decade Volcano       Coordinates   46 ° 51 ′ 10 '' N 121 ° 45 ′ 37 '' W ﻿ / ﻿ 46.8528857 ° N 121.7603744 ° W ﻿ / 46.8528857 ; - 121.7603744 Coordinates : 46 ° 51 ′ 10 '' N 121 ° 45 ′ 37 '' W ﻿ / ﻿ 46.8528857 ° N 121.7603744 ° W ﻿ / 46.8528857 ; - 121.7603744     Geography     Mount Rainier Mount Rainier National Park , Pierce County , Washington , U.S.     Parent range   Cascade Range     Topo map   USGS Mount Rainier West     Geology     Age of rock   500,000 years     Mountain type   Stratovolcano     Volcanic arc   Cascade Volcanic Arc     Last eruption   November to December 1894     Climbing     First ascent   1870 by Hazard Stevens and P.B. Van Trump     Easiest route   rock / ice climb via Disappointment Cleaver   </t>
  </si>
  <si>
    <t xml:space="preserve">Batman v Superman : Dawn of Justice - Wikipedia  Batman v Superman : Dawn of Justice  `` Dawn of Justice '' redirects here . For the Colombian film `` Dawn of Justice '' , see Garras de oro .      Batman v Superman : Dawn of Justice     Theatrical release poster     Directed by   Zack Snyder     Produced by     Charles Roven   Deborah Snyder       Written by     Chris Terrio   David S. Goyer       Based on   Characters from DC Comics     Starring     Ben Affleck   Henry Cavill   Amy Adams   Jesse Eisenberg   Diane Lane   Laurence Fishburne   Jeremy Irons   Holly Hunter   Gal Gadot       Music by     Hans Zimmer   Junkie XL       Cinematography   Larry Fong     Edited by   David Brenner     Production companies     DC Entertainment   RatPac Entertainment   Atlas Entertainment   Cruel and Unusual Films       Distributed by   Warner Bros. Pictures     Release date     March 19 , 2016 ( 2016 - 03 - 19 ) ( Auditorio Nacional )   March 25 , 2016 ( 2016 - 03 - 25 ) ( United States )             Running time   151 minutes     Country   United States     Language   English     Budget     $300 million ( gross )   $263 million ( net )       Box office   $873.6 million     Batman v Superman : Dawn of Justice is a 2016 American superhero film featuring the DC Comics characters Batman and Superman . Directed by Zack Snyder , the film is the second installment in the DC Extended Universe ( DCEU ) . It was written by Chris Terrio and David S. Goyer , and features an ensemble cast that includes Ben Affleck , Henry Cavill , Amy Adams , Jesse Eisenberg , Diane Lane , Laurence Fishburne , Jeremy Irons , Holly Hunter , and Gal Gadot . Batman v Superman : Dawn of Justice is the first live - action film to feature Batman and Superman together , as well as the first live - action cinematic portrayal of Wonder Woman . In the film , criminal mastermind Lex Luthor ( Eisenberg ) manipulates Batman ( Affleck ) into a preemptive battle with Superman ( Cavill ) , whom Luthor is obsessed with defeating .   The film was announced at the 2013 San Diego Comic - Con after the release of Man of Steel . Snyder stated that the film would take inspiration from the Batman comic book series The Dark Knight Returns by Frank Miller , but clarified that it would follow an original premise . The incarnation of Batman in the film is different from the character 's previous portrayal in The Dark Knight Trilogy , serving as a cinematic reboot of the character . The film is also inspired by narrative elements from the `` Death of Superman '' . Pre-production began at East Los Angeles College in October 2013 , with principal photography starting in May 2014 in Detroit . Additional filming also took place in Illinois and New Mexico , concluding that December .   Batman v Superman : Dawn of Justice premiered at the Auditorio Nacional in Mexico City on March 19 , 2016 , and was released in the United States on March 25 , 2016 in 2D , Real D 3D , IMAX 3D , IMAX , 4DX , premium large formats , and 70 mm prints by Warner Bros. Pictures . Following a strong debut that set new box office records , the film experienced a historic drop in its second weekend and never recovered . Despite turning a profit , it received generally unfavorable reviews from critics for its tone , screenplay , and pacing , though some praised its visual style and acting performances . An extended cut dubbed the `` Ultimate Edition '' , which features 31 minutes of additional footage , was released digitally on June 28 , 2016 , and on Blu - ray on July 19 , 2016 . A direct sequel , titled Justice League , was released in November 2017 .   Contents    1 Plot   2 Cast   3 Production   3.1 Development   3.2 Casting   3.3 Design   3.4 Filming   3.5 Music and soundtrack     4 Marketing   5 Release   6 Reception   6.1 Box office   6.1. 1 North America   6.1. 2 Outside North America     6.2 Critical response   6.3 Accolades     7 Home media   8 Notes   9 References   10 External links    Plot ( edit )   Eighteen months after the battle between Superman and General Zod in Metropolis , Superman has become a controversial figure . Billionaire Bruce Wayne , who has operated in Gotham City as the vigilante Batman for twenty years , sees Superman as an extraterrestrial threat to humanity . After learning of Batman 's form of justice , Clark Kent ( Superman 's civilian identity ) seeks to expose him via Daily Planet articles . Wayne learns that Russian weapon trafficker Anatoli Knyazev has been contacting LexCorp mogul Lex Luthor . Meanwhile , Luthor unsuccessfully tries to persuade Senator June Finch to allow him to import kryptonite retrieved from the Indian Ocean following Zod 's terraforming attempt , claiming he wants to maintain it as a `` deterrent '' against future Kryptonian and metahuman threats . He instead makes alternative plans with Finch 's subordinate and gains access to Zod 's body and the Kryptonian scout ship .   Bruce attends a gala at LexCorp to steal encrypted data from the company 's mainframe , but has it taken from him by an antiquities dealer named Diana Prince ; she eventually returns it to Bruce when she is unable to access the information . While decrypting the drive , Bruce dreams of a post-apocalyptic world where he leads a group of rebels against an evil Superman . He is awakened from his dream by an unidentified person , appearing through a portal , who warns him of Lois Lane 's crucial role in the future , and urges him to find `` the others '' before vanishing . Upon fully decrypting the drive , Wayne discovers Luthor 's files on several metahuman individuals across the globe . One of them is Prince herself , who is shown in a photo taken during World War I. Wayne admits to Alfred Pennyworth that he plans to steal the kryptonite to weaponize it , should it become necessary to fight Superman .   At a Congressional hearing , as Finch questions Superman on the validity of his actions , a bomb smuggled by Luthor goes off and kills everyone present but Superman . Believing he should have detected the bomb , and frustrated by his failure to save them , Superman goes into self - imposed exile . Batman breaks into LexCorp and steals the kryptonite . In preparation to battle Superman , he builds a powered exoskeleton , creates a kryptonite grenade launcher , and a kryptonite - tipped spear . Meanwhile , Luthor enters the Kryptonian ship and accesses a vast technology database accumulated from over 100,000 worlds .   To bring Superman out of exile , Luthor kidnaps Lois and Martha Kent , Clark 's adoptive mother . He reveals to Superman that he manipulated Superman and Batman by fueling their distrust for each other . Luthor demands that Superman kill Batman in exchange for Martha 's life . Superman tries to explain the situation to Batman , but instead Batman attacks Superman and eventually subdues him with the aid of a kryptonite gas . Before Batman can kill Superman with the spear , Superman urges Batman to `` save Martha '' , whose name is also shared with Bruce 's late mother . Wayne 's father echoed a similar sentiment just before dying . Realizing the fault in his plan , and being unwilling to let an innocent die , Batman ends his attack and the fight ends . He rescues Martha , while Superman confronts Luthor on a scout ship .   Luthor executes his backup plan , unleashing a genetically engineered monster with DNA from both Zod 's body and his own blood . Diana Prince arrives unexpectedly ; revealing her metahuman nature , she joins forces with Batman and Superman to eliminate the creature . When they are all outmatched , Superman realizes its vulnerability to kryptonite , and retrieves the spear to kill it . In the creature 's last moments , it kills Superman .   Luthor is arrested and Batman confronts him in prison , warning Luthor that he will always be watching him . Luthor gloats that Superman 's death has made the world vulnerable to powerful alien threats . A memorial is held for Superman in Metropolis . Clark is also declared dead , with various friends and family members including Bruce Wayne and Diana Prince attending his funeral in Smallville . Martha gives an envelope to Lois , which contains an engagement ring from Clark . After the funeral , Bruce expresses his regrets to Diana about how he failed Superman . He reveals to her that he plans to form a team of metahumans , starting with those from Luthor 's files , to help protect the world in Superman 's absence . After they leave , the dirt atop Clark 's coffin levitates .   Cast ( edit )    Ben Affleck as Bruce Wayne / Batman :     A billionaire socialite and owner of Wayne Enterprises who dedicates himself to protecting Gotham City from its criminal underworld as a highly trained , masked vigilante . The Batsuit in this film is made of fabric as opposed to the armored suits in previous portrayals , and a mechanical suit is also featured which Batman uses in his fight against Superman . On Batman 's suit , Zack Snyder commented `` I had a really strong idea about what I wanted to do -- I really wanted to do sort of a fabric - based Batman ; not what 's become the more normal , armored Batman . That 's how we evolved it . '' Unlike previous versions who spoke in a deeper voice as Batman , this version uses a voice modulator to distort his real voice , with Affleck stating a well known billionaire would likely have his voice recognized . When asked what makes this Batman different from the previous portrayals , Affleck said this Batman `` is a little older , he 's a little more world weary . He 's been around the block once or twice so he 's a little wiser but he 's definitely more cynical and a little darker and more jaded '' , adding that Batman has gotten `` more exposed to the violence and the criminal element of that world over time . '' The film 's Batman was influenced by Frank Miller 's The Dark Knight Returns , which shows Batman in his 50s . Snyder said , `` I definitely wanted an older Batman . I wanted a war - weary Batman . That 's why , in a lot of ways , Ben was really perfect for me - we kind of aged him a little bit . It worked really great . I 'm really excited about the Batman we created . '' On Affleck 's casting as Batman , Snyder said , `` Ben provides an interesting counterbalance to Henry 's Superman . He has the acting chops to create a layered portrayal of a man who is older and wiser than Clark Kent and bears the scars of a seasoned crime fighter , but retain the charm that the world sees in billionaire Bruce Wayne . '' Affleck praised Snyder for tackling the impact of the destruction caused in Metropolis in the previous installment , saying , `` One of the things I liked was Zack 's idea of showing accountability and the consequences of violence and seeing that there are real people in those buildings '' , adding , `` And in fact , one of those buildings was Bruce Wayne 's building so he knew people who died in that Black Zero event '' . Brandon Spink portrays a young Bruce Wayne .     Henry Cavill as Clark Kent / Superman :     A Metropolis - based Kryptonian survivor and a journalist for the Daily Planet who uses his extraterrestrial abilities to protect humanity . Superman 's suit in Batman v Superman is somewhat similar to that in Man of Steel , but with enhanced , high - tech - style surface detail and a shinier , more metallic - looking cape . A quote written in Kryptonian was added into Superman 's symbol which says `` Where we had thought to stand alone , we will be with all the world '' . As to how Superman has embraced his role as a hero since the previous installment , Cavill said `` He 's more used to this gig , doing his best to save as many lives as he can '' , further explaining , `` He is no longer frantic . He 's no longer a wet - behind - the - ears kind of superhero . '' And as to how Superman views Batman 's approach to crime fighting , Cavill said `` He does n't agree with his form of justice . For this farm boy , who tries to do things the right way , justice at any cost is not something he can come to terms with '' hoping to use his position as a journalist for the Daily Planet to `` show the world what this Batman dude is doing . '' The film addresses the destruction caused by Superman and Zod in Metropolis , a part of Man of Steel that was criticized for being too extensive for Superman , to which Snyder responded `` I was surprised because that 's the thesis of Superman for me , that you ca n't just have superheroes knock around and have there be no consequences '' . On what the public perception of Superman is in the film , Cavill said `` In this movie , everyone has split into different directions as to how they feel about this alien '' , adding , `` Some people love him , some hate him . Other people fear him . Is he a tyrant ? '' When asked how Superman has evolved since Man of Steel , Cavill said `` Superman himself is n't that different . He does , however , have to deal with a new set of problems because he 's now been revealed to the world . This film is more about how the world in general -- and Batman in particular -- sees this alien , and less about the evolution of Superman . '' Cavill described Superman and Batman as being the `` two sides of the same coin . They have the same goal , but use very different methods to achieve it . Understandably , that leads them to clash with one another , and their conflict is a historic moment . ''     Amy Adams as Lois Lane :     A reporter for the Daily Planet and love interest of Clark Kent . About her role , Adams stated that `` Lois is still sort of like the key to the information . She 's the girl going out and getting it and figuring it out and putting it together and all of that , so she 's very much involved . '' When asked on her thoughts on portraying Lois Lane in the film , Adams replied `` I love that she 's fearless . I 'm not that way so it 's really fun that she really is not afraid of the consequences . '' On Lois Lane and Clark Kent 's relationship in the film , Adams said , `` What 's great about this is that , as far as the relationship with Lois and Clark goes , when we meet them you can tell that they 've been in a relationship for while , '' further explaining , `` So it was great to get to develop that sort of intimacy and that sort of friendship that I 've developed with Henry , to get to bring that to the screen . '' She also described Clark Kent as being Lois Lane 's connection to humanity and said , `` She may have some tunnel vision , but she 's got a job and moral standards . ( When ) we met her before , she would do anything to get the story -- now Clark has instilled some faith in humanity in her . Her relationship with Clark is the closest thing she has to anything faith - based , you know ? Although moving in with Clark brings issues . ''     Jesse Eisenberg as Lex Luthor :     An eccentric young businessman and hereditary CEO of LexCorp who is obsessed with defeating Superman . Luthor is usually depicted as bald in the comics while the film 's version of Luthor depicts him with hair throughout the majority of the film . When speaking about his portrayal of Luthor compared to previous portrayals , Eisenberg said , `` When you 're doing a movie like this and playing a character that 's already been played , the further away it is from those previous incarnations the better '' , adding , `` Because chances are , especially with a guy like Gene Hackman or Kevin Spacey , you 're not going to get favorably compared . '' Eisenberg explained his character 's background as having `` a core of reality '' , saying , `` ( Luthor ) has a backstory that 's tragic and an emotional inner life that 's authentic . That 's in the movie . It was my interest in playing the character with a real emotional core , and this writer , Chris Terrio 's interest in creating a character that seemed viable in reality . '' On Luthor 's behavior and attitude towards Superman , Eisenberg said , `` He is a narcissist of the first order but complicated in that way as well in that he is terribly troubled and competitive and vengeful . He looks at Superman not as somebody to destroy but as genuine threat to humanity . '' Eisenberg described his role as Lex Luthor as his most advantageous role yet , saying , `` In a lot of ways Luthor is more of a stretch than any character you would do in an independent movie , which is normally the place you stretch . So in that way it was not at all compromised . If anything it was the best , most advantageous role I 've ever been given . The opportunity to do an interesting character on a movie of that scale is incredibly rare . '' Eisenberg describes a theme in the film , saying `` It raises the question of how one man can have so much power . These are the kind of things that we talk about authoritarian states . They 're addressing geopolitics in this movie and not in a way that 's pretentious or esoteric '' .     Diane Lane as Martha Kent :     Clark 's adoptive mother . On her role as Superman 's mother , Lane stated , `` I always said if I had a son that would be the ultimate test . Raise a good man -- there 's something noble about that . '' When asked on her experience working with Zack Snyder on Batman v Superman , Lane said she was impressed by Snyder 's imagination and added , `` Who gets offered the opportunity to bring such things to the screen for millions of people ? That 's tremendous . It 's an honor and a burden , and I ca n't imagine shouldering that load . '' On Martha Kent 's support for her son Superman , Lane stated , `` I think that she 's reminding him he does have a choice '' , further explaining , `` He does n't have to be yoked to this destiny . He can actually feel the pleasure of making the choice . ''     Laurence Fishburne as Perry White :     The editor - in - chief of the Daily Planet and Clark and Lois ' boss . When asked about reprising his role in the film , Fishburne said , `` I was happy to come back to the character . I got really excited when I read it and I saw what was at the center at the movie , which was this huge fight between these two titans . '' On Perry White 's role in the film , Fishburne said , `` He 's dealing with the fact that his medium looks like it 's going the way of the dinosaurs , so that 's a difficult position to be in '' , adding , the `` good news is he 's got a great reporter like Lois Lane and a new great reporter like Clark Kent who are interested and hungry to do the job . '' Describing Perry White 's working relationship with Lois Lane , Fisburne stated , `` She 's my favorite child and she 's my problem child . '' On his experience filming and his character 's interactions , Fishburne said , `` It was really just a couple of days in the beginning with Lois , Clark , and Perry . And the rest was just me with Lois , figuring out how to get her where she needed to go . But the relationships I think were established really well in Man of Steel . ''     Jeremy Irons as Alfred Pennyworth :     Bruce Wayne 's butler , chief of security and trusted confidant . Irons described his take on Alfred Pennyworth as being `` quite a different Alfred than we have seen so far . Zack Snyder had very clear views about what he wanted . I would just say he 's more hands - on perhaps than just a butler . '' When asked what makes his Alfred different than from previous portrayals , Irons said , `` Zack Snyder , the director , wanted to create a completely different Alfred . So I felt I did n't have to carry any baggage from previous ones . It 's sort of a reincarnation , if you 'd like . I had a feeling I was creating my own Alfred , more of a man who can actually do anything if he has to . '' According to Irons , Alfred is `` a bit of a grease monkey , and he 's very involved in the decisions Bruce makes . '' On how Alfred would be in the film , Irons stated , `` He has an interesting history . He 's a very competent man . He 's the sort of man I think anyone would like to be married to . He can sort of do everything : change light bulbs , blow up bridges if he has to . ''     Holly Hunter as June Finch :     United States Senator from Kentucky who heads the political argument on Superman and his actions . Describing her experience on being in the film , Hunter said , `` It was really fun to be part of a giant , massive piece of machinery , headed up by Zack Snyder , who is thoroughly at home in that uber mega environment . Most people would have a nervous breakdown with that kind of pressure , and he 's enthralled . '' When asked how she got involved in the film , Hunter said , `` Zack asked me . He came to me with an offer , and I was like , ' Yeah , that would be fun . ' It 's fun to mix it up . I have scenes with Superman . He looks phenomenal . And to see Ben ( Affleck , who plays Batman ) and Henry ( Cavill , who plays Superman ) together is quite formidable . '' On acting in a superhero film , Hunter stated , `` Being somebody who 's like a theater geek that I am , I can just go right back to Aeschylus and Euripides and Sophocles . They were writing about gods and goddesses versus humans , and how gods could distort , pervert or help people get what they want . And so , for me , this did n't feel foreign because that was the translation that it went through for me ; that was my filter . '' On her character 's views on Superman , Hunter stated , `` What is her problem with Superman ? That absolute power corrupts absolutely . When power is acting autonomously , unilaterally with no legislation , with no boundaries , with no law , except for the ones that he deems in his own mind , that can be detrimental . '' Describing her character , Hunter said , `` I thought that , you know , as a senator , she brought her female - ness to the job in how she listened , in her curiosity , in her ability to evaluate '' , adding , `` ( It ) felt very female to me . ''     Gal Gadot as Diana Prince / Wonder Woman :     An immortal Amazonian warrior who is the crown princess of Themyscira . Wonder Woman 's suit is made out of chrome - painted polyurethane , and she uses her hand wraps and sword harnesses . Gadot described her character as having `` many strengths and powers , but at the end of the day , she 's a woman with a lot of emotional intelligence '' . Describing Wonder Woman 's compassion , Gadot stated , `` It 's all her heart -- that 's her strength . I think women are amazing for being able to show what they feel . I admire women who do . '' On her thoughts on portraying Wonder Woman , Gadot said , `` You know Wonder Woman ; she 's amazing . I love everything that she represents and everything that she stands for . She 's all about love and compassion and truth and justice and equality , and she 's a whole lot of woman . For me , it was important that people can relate to her . '' Describing her role in the film , Gadot said , `` In this movie you get a glimpse of who Wonder Woman is -- she 's being introduced into this DC Comics universe . But we were talking about her strengths , her façade , her attitude . Why is she acting the way she is ? '' On Wonder Woman 's battle scene with Doomsday , Gadot stated , `` I remember after we did that take , Zack came to me and he said , ' Did you just have a smirk ? ' I said , ' Yeah . ' And he asked , ' Why ? I think I like it , but why ? ' ' Well , if he 's gon na mess with her , then she 's gon na mess with him . And she knows she 's gon na win . ' At the end of the day , Wonder Woman is a peace seeker . But when fight arrives , she can fight . She 's a warrior and she enjoys the adrenaline of the fight . '' Gadot also stated `` I do n't want people to think she is perfect '' , further explaining , `` She can be naughty . '' On Gadot 's casting as Wonder Woman , Snyder said `` Wonder Woman is arguably one of the most powerful female characters of all time and a fan favorite in the DC Universe . Not only is Gal an amazing actress , but she also has that magical quality that makes her perfect for the role . '' Gadot underwent a diet and training regimen , practiced different martial arts and gained 17 pounds of muscle for the role . Gadot was previously offered the role as Faora Hu - Ul in Man of Steel but declined because she was pregnant at that time ; this allowed her to be later cast as Wonder Woman in Batman v Superman : Dawn of Justice .     Scoot McNairy as Wallace Keefe :     An amputee employee of Wayne Enterprises who is crippled during the destruction of Metropolis and holds Superman responsible . McNairy describes his character as a type of character who he has never played before and stated `` getting into that thing was definitely something I had to wrap my head around emotionally in order to play that character . '' When asked if the character was being kept as a surprise until the film 's release , McNairy said `` I do n't know if I 'd call it necessarily a surprise . I would say it 's a character that lends itself to the story being told . '' On his thoughts on being in the film , McNairy stated `` Playing in that world with comic books you 've been reading since you were a kid , being someone in that world , it 's awesome . ''     Callan Mulvey as Anatoli Knyazev :     A Russian terrorist who works for Luthor . On casting Mulvey in the film , Zack Snyder stated , `` I just had the good fortune to work with Callan on 300 : Rise of an Empire and was very impressed with his incredible talent , '' further adding , `` He 's a fantastic actor and I 'm looking forward to having the chance to work with him again . '' On working with Snyder again , Mulvey stated `` Zack is such a visionary , so I know it 's going to be an amazing project . Talent as a director aside , people really love working for Zack and being on his sets , which says it all really . ''     Tao Okamoto as Mercy Graves :     Assistant to Luthor . On her role in the film , Okamoto said `` It was so fascinating . I did n't have a big speaking role . I used to act as sassy girls all the time as a model so that was n't so challenging to me . But I enjoyed it so much , being mean . I tried to be mean . '' On Okamoto 's casting , Snyder said `` Tao is a striking presence whose beauty is aptly rivaled by her amazing abilities as an actress . I 'm really excited to have her joining us on this adventure . ''     Robin Atkin Downes as Doomsday :     A monstrous creature created by Kryptonian technology after Luthor mixes his own blood with General Zod 's DNA in a reanimation chamber . Downes portrayed the character through motion capture and voice - over work . Although the character is not named , the role was kept under such heavy secrecy that Downes did not know who he was playing until the second trailer was released . On his role , Downes stated that he was proud to be part of the film and expressed his admiration in helping bring Doomsday to life in Batman v Superman : Dawn of Justice . When asked why Doomsday was chosen to be in the film , Zack Snyder stated `` To go up against heroes like Batman and Superman , we wanted to introduce one of the DC Universe 's most iconic and powerful villains '' , further explaining , `` He is essentially an unstoppable force . He poses a real threat to the world within the film . '' Snyder has confirmed Doomsday will return in the DCEU , stating `` Well , you have Doomsday , right ? He does n't just crawl out of the ground . He has his own mythology , right ? So that has to be explored . '' Downes has previously provided voice roles for various DC animated films and shows as well as DC video games . Snyder later explained that the monster in the film is not the first time the alien technology has generated the villain and stated that the original Doomsday is still alive . This was briefly referenced by the Kryptonian A.I. , Kelor , calling the previous creation `` Bertron 's curse '' during the events of the movie .    Additionally , Jeffrey Dean Morgan and Lauren Cohan portray Thomas and Martha Wayne , Bruce Wayne 's deceased parents , Patrick Wilson portrays the President of the United States in a voice role , and Michael Cassidy portrays Jimmy Olsen , a CIA agent . Reprising their roles from Man of Steel are Harry Lennix as Secretary Calvin Swanwick , Christina Wren as Major Carrie Farris , Kevin Costner as Jonathan Kent , Rebecca Buller as Jenny Jurwich , Chad Krowchuk as Glen Woodburn , and Carla Gugino as the Kryptonian A.I. Kelor . The corpse of General Zod also appears in the film in a crucial role ; however , Michael Shannon did not film any scenes for the film and the corpse was created using the physique of fitness model Greg Plitt and a head - shot of Shannon . Mark Edward Taylor portrays Jack O'Dwyer , an executive of Wayne Enterprises .   Ezra Miller , Jason Momoa , and Ray Fisher appear as Barry Allen / Flash , Arthur Curry / Aquaman , and Victor Stone / Cyborg respectively in brief appearances , which led to their inclusion in the Justice League film . Joe Morton appears in a role as Silas Stone , Victor 's father . U.S. Senator Patrick Leahy makes a cameo appearance as Senator Purrington , whilst U.S. Senator Debbie Stabenow also makes a cameo as the Governor of New Jersey . Neil deGrasse Tyson , Soledad O'Brien , Anderson Cooper , Nancy Grace and Charlie Rose appear as themselves . Jena Malone was cast as S.T.A.R. Labs scientist Jenet Klyburn , but her scenes were cut from the theatrical release , along with Man of Steel characters Coburn Goss as Father Leone and Joseph Cranford as Pete Ross ; they were restored for the Ultimate Edition home media release . Talk show host Jon Stewart has a cameo in the extended cut . To further establish the interconnection between the films of the shared universe , Chris Pine appears on Diana Prince 's photo as Steve Trevor , which he reprised in Wonder Woman .   Production ( edit )   Development ( edit )  `` ... after Man of Steel finished and we started talking about what would be in the next movie , I started subtly mentioning that it would be cool if he faced Batman ... You 're in a story meeting talking about , like , who should ( Superman ) fight if he fought this giant alien threat Zod who was basically his equal physically , from his planet , fighting on our turf ... You know , who to fight next ? ... But I 'm not gon na say at all that when I took the job to do Man of Steel that I did it in a subversive way to get to Batman . I really believe that only after contemplating who could face ( Superman ) did Batman come into the picture . ''  -- Snyder , on how Batman came into the film   In June 2013 , Warner Bros. announced that director Zack Snyder and screenwriter David S. Goyer would return for a Man of Steel sequel , with the studio considering the release for the film in 2015 . The following month , Snyder confirmed at San Diego Comic - Con International that the sequel to Man of Steel would feature Superman and Batman meeting for the first time on film . Goyer and Snyder would co-write the story , with Goyer authoring the script , and Christopher Nolan involved in an advisory role as executive producer . According to Snyder , the film would take inspiration from the comic The Dark Knight Returns .   In November 2013 , Snyder clarified his film would not be based upon the aforementioned graphic novel . `` If you were going to do that , you would need a different Superman . We 're bringing Batman into the universe that now this Superman lives in . '' Batman v Superman marks the first appearance of Wonder Woman in a live - action , theatrical film , which Warner Bros. had been developing as far back as 1996 . In December 2013 , Chris Terrio was hired to rewrite the script , due to Goyer 's commitments to other projects . Further commenting on the influences , Terrio revealed in an article published by the Wall Street Journal that the movie would draw inspiration from Nolan 's Batman trilogy , Italian semiotician Umberto Eco 's 1972 essay `` The Myth of Superman '' , and the W.H. Auden poem `` Musée des Beaux Arts '' which contrasts the quotidian details of normal people 's lives with the epic struggles of mythological figures . According to him , `` In superhero stories , Batman is Pluto , god of the underworld , and Superman is Apollo , god of the sky . That began to be really interesting to me -- that their conflict is not just due to manipulation , but their very existence . '' The Joker and the Riddler were supposed to appear in the film , but Snyder ultimately decided to cut them from the final script .   The film 's official title , Batman v Superman : Dawn of Justice , was revealed in May 2014 . Snyder stated that having the `` v '' in the</t>
  </si>
  <si>
    <t xml:space="preserve">who does lex luthor created in batman vs superman</t>
  </si>
  <si>
    <t xml:space="preserve"> Luthor executes his backup plan , unleashing a genetically engineered monster with DNA from both Zod 's body and his own blood . Diana Prince arrives unexpectedly ; revealing her metahuman nature , she joins forces with Batman and Superman to eliminate the creature . When they are all outmatched , Superman realizes its vulnerability to kryptonite , and retrieves the spear to kill it . In the creature 's last moments , it kills Superman . </t>
  </si>
  <si>
    <t xml:space="preserve">U.S. history of alcohol minimum purchase age by State - wikipedia  U.S. history of alcohol minimum purchase age by State  Minimum legal drinking age as of 1969 ( two years before the 26th Amendment was passed in 1971 ) : Minimum age is 21 Minimum age is 20 Minimum age is 19 and 21 Minimum age is 19 Minimum age is 18 and 21 Minimum age is 18 Minimum legal drinking age as of 1975 ( when almost all states had their lowest age limit ) : Minimum age is 21 Minimum age is 20 Minimum age is 19 and 21 ; see below Minimum age is 19 Minimum age is 18 and 21 ; see below Minimum age is 18 Detail on dual age limits Both age limits apply for following states : Washington , D.C. : The legal drinking age is 18 for beer and wine , and 21 for liquor . Illinois : The legal drinking age is 19 for beer and wine , and 21 for liquor . Kansas : The legal drinking age is 18 for 3.2 % ABV beer , and 21 for beer stronger than 3.2 % ABV , wine , and liquor . Maryland : The legal drinking age is 18 for beer and wine , and 21 for liquor . North Carolina : The legal drinking age is 18 for beer and wine , and 21 for liquor . Oklahoma : The legal drinking age is 18 for 3.2 % ABV beer , and 21 for beer stronger than 3.2 % ABV , wine , and liquor . South Carolina : The legal drinking age is 18 for beer and wine and 21 for liquor . South Dakota : The legal drinking age is 18 for 3.2 % ABV beer , and 21 for beer stronger than 3.2 % ABV , wine , and liquor . Virginia : The legal drinking age is 18 for beer and wine , and 21 for liquor . Minimum legal drinking age as of 1983 ( one year before the Drinking Age Act of 1984 was passed ) : Minimum age is 21 Minimum age is 20 Minimum age is 19 and 21 Minimum age is 19 Minimum age is 18 and 21 Minimum age is 18  The alcohol laws of the United States regarding minimum age for purchase have changed over time . This history is given in the table below . Unless otherwise noted , if different alcohol categories have different minimum purchase ages , the age listed below is set at the lowest age given ( e.g. if the purchase age is 18 for beer and 21 for wine or spirits , as was the case in several states , the age in the table will read as `` 18 '' , not `` 21 '' ) . In addition , the purchase age is not necessarily the same as the minimum age for consumption of alcoholic beverages , although they have often been the same .   As one can see in the table below , there has been much volatility in the states ' drinking ages since the repeal of Prohibition in 1933 . Shortly after the ratification of the 21st amendment in December , most states set their purchase ages at 21 since that was the voting age at the time . Most of these limits remained constant until the early 1970s . From 1969 to 1976 , some 30 states lowered their purchase ages , generally to 18 . This was primarily because the voting age was lowered from 21 to 18 in 1971 with the 26th amendment . Many states started to lower their minimum drinking age in response , most of this occurring in 1972 or 1973 . Twelve states kept their purchase ages at 21 since repeal of Prohibition and never changed them .   From 1976 to 1983 , several states voluntarily raised their purchase ages to 19 ( or , less commonly , 20 or 21 ) , in part to combat drunk driving fatalities . In 1984 , Congress passed the National Minimum Drinking Age Act , which required states to raise their ages for purchase and public possession to 21 by October 1986 or lose 10 % of their federal highway funds . By mid-1988 , all 50 states and the District of Columbia had raised their purchase ages to 21 ( but not Puerto Rico , Guam , or the Virgin Islands , see Additional Notes below ) . South Dakota and Wyoming were the final two states to comply with the age 21 mandate . The current drinking age of 21 remains a point of contention among many Americans , because of it being higher than the age of majority ( 18 in most states ) and higher than the drinking ages of most other countries . The National Minimum Drinking Age Act is also seen as a congressional sidestep of the tenth amendment . Although debates have not been highly publicized , a few states have proposed legislation to lower their drinking age , while Guam has raised its drinking age to 21 in July 2010 .     State   Pre-Prohibition ( prior to 1919 )   Post-Prohibition ( after 1933 )   1970s / 26th Amendment ( adopted in 1971 )   1980s / Drinking Age Act of 1984   21st century     Alabama   Pre 1881 : None 1881 : 21 ( none with consent of parent )   21   1975 : Lowered to 19   1986 : Raised to 21   21 ( no one underage is allowed consumption Section 28 - 1 )     Alaska   ?   21   1970 : Lowered to 19   1984 : Raised to 21 with grandfather clause ( if born before January 1 , 1965 )   21     Arizona   ?   21   1972 : Lowered to 19   1985 : Raised to 21   21     Arkansas   Pre 1925 : None 1925 : 21   21   21   21   21     California   Pre 1891 : Regulated by municipality / county ( common age was 16 ) 1891 : 18 ( statewide )   1933 : 21   21   21   21 ( except small amounts for religious ceremonies )     Colorado   None   1945 : 18 : for beer 21 : for wine and liquor   18   Raised to 21 in 1987   21     Connecticut   ?   21   1972 : Lowered to 18   1982 : Raised to 19 1983 : Raised to 20 1985 : Raised to 21   21 ( exemptions : ( 1 ) a person over age eighteen who is an employee or permit holder under section 30 - 90a and who possesses alcoholic liquor in the course of such person 's employment or business , ( 2 ) a minor who possesses alcoholic liquor on the order of a practicing physician , or ( 3 ) a minor who possesses alcoholic liquor while accompanied by a parent , guardian or spouse of the minor , who has attained the age of twenty - one . Nothing in this subsection shall be construed to burden a person 's exercise of religion under section 3 of article first of the Constitution of the state in violation of subsection ( a ) of section 52 - 571b .     Delaware   ?   21   1972 : Lowered to 20   1984 : Raised to 21   21     District of Columbia   ?   18 : for beer and wine 21 : for liquor   18 : for beer and wine 21 : for liquor   1986 : Raised to 21 with grandfather clause .   21     Florida   ?   18   1980 : 19   1985 : Raised to 21 with grandfather clause   21     Georgia   ?   21   1972 : Lowered to 18   1984 : Raised to 19 1985 : Raised to 20 1986 : Raised to 21   21     Hawaii   ?   21   1972 : Lowered to 18   1986 : Raised to 21   21     Idaho   ?   20 : for beer 21 : for wine and liquor   1972 : Lowered to 19 ( all )   1987 : Raised to 21 in 1987 ( Apr 11 ) with grandfather clause   21     Illinois   1872 : Age of majority ( none with written consent of parent )   pre 1961 : Age of majority 1961 : Raised to 21   1973 : Lowered to 19 : for beer and wine 21 : for liquor   1980 : Raised to 21   21     Indiana   ?   Post-1934 : 21   21   21   21     Iowa   ?   21   1972 : Lowered to 19 in 1972 ( Jul 1 ) 1973 : Lowered to 18 in 1973 ( Jul 1 ) 1978 : Raised to 19 in 1978 ( Jul 1 )   1986 : Raised to 21 in 1986 ( Jul 1 ) with grandfather clause .   21     Kansas   ?   1949 : 18 : for beer and wine with less than 4 % ABV 21 : for liquor   18 : for beer and wine with less than 4 % ABV 21 : for beer and wine with 4 % ABV or more 21 : for liquor   1985 : Raised to 21   21 ( However , anyone under 21 may consume cereal malt beverages with parental supervision on their own property )     Kentucky   ?   1938 : 21   21   21   21     Louisiana   ?   As of 1948 : 18   18   1987 : Raised to 21 de jure in 1987 , but de facto age was still 18 until 1995 due to a sale loophole . 1995 : De facto age raised to 21 in 1995 when loophole was closed . 1996 : In 1996 , briefly lowered by Louisiana Supreme Court to 18 until it reversed its decision , raising to 21 three months later . Other exceptions still remain .   21 ( Exceptions to state law include :  For an established religious purpose ; When a person under twenty - one years of age is accompanied by a parent , spouse , or legal guardian twenty - one years of age or older ; For medical purposes when purchased as an over the counter medication , or when prescribed or administered by a licensed physician , pharmacist , dentist , nurse , hospital , or medical institution ; In a private residence , which shall include a residential dwelling and up to twenty contiguous acres , on which the dwelling is located , owned by the same person who owns the dwelling ; The sale , handling , transport , or service in dispensing of any alcoholic beverage pursuant to lawful ownership of an establishment or to lawful employment of a person under twenty - one years of age by a duly licensed manufacturer , wholesaler , or retailer of beverage alcohol . )      Maine   ?   21 1969 : Lowered to 20   1972 : Lowered to 18 1977 : Raised to 20   1985 : Raised to 21   21     Maryland   ?   21   1974 : Lowered to 18 : for beer and wine 21 : for liquor   1982 : Raised to 21 with grandfather clause for those born June 30 , 1964 or earlier   21 ( however anyone can drink when parents , spouses , teachers are present )     Massachusetts   ?   21   1973 : Lowered to 18 1979 : Raised to 20 in 1979 ( Apr 16 )   Raised to 21 in 1985   21     Michigan   ?   21   1972 : Lowered to 18 in 1972 ( Jan 1 )   1978 : Raised to 19 in 1978 ( Dec 3 ) 1978 : Raised to 21 in 1978 ( Dec 21 ) , 18 days later . First state to raise age to 21 since it was lowered   21     Minnesota   ?   21   1973 : Lowered to 18 ( June 1 ) 1976 : Raised to 19 ( Sept 1 ) First state to raise age after lowering .   1986 : Raised to 21   21     Mississippi   ?   1966 : 18 : for beer and wine 21 : for liquor ( alcohol not legalized until 1966 )   18   Raised to 21 in 1986   21     Missouri   ?   1945 : 21   21   21   21     Montana   ?   21   1971 : Lowered to 19 1973 : Lowered to 18 1979 : Raised to 19   1987 : Raised to 21   21     Nebraska   ?   21 1969 : Lowered to 20   1972 : Lowered to 19   1980 : Raised to 20 1985 : Raised to 21   21     Nevada   ?   1933 : 21   21   21   21     New Hampshire   ?   21   1973 : Lowered to 18 1979 : Raised to 20   1985 : Raised to 21   21     New Jersey   Before 1880 : None Post-1880 : 18 ( penalties only against businesses )   21   1973 : Lowered to 18   1980 : Raised to 19 1983 : Raised to 21   21     New Mexico   ?   1934 : 21   21   21   21     New York   21   18   18   1982 : Raised to 19 in 1982 ( Dec ) 1985 : Raised to 21 in 1985 ( Dec )   21     North Carolina   ?   18   18 : for beer and wine 21 : for liquor   1983 : 19 : for beer and wine 21 : for liquor 1986 : Raised to 21 in 1986 ( Sep 1 )   21     North Dakota   ?   1936 : 21   21   21   21     Ohio   ?   1935 : 18 : for 3.2 % ABW beer 21 : for beer stronger than 3.2 % ABW , wine and liquor   18 : for 3.2 % ABW beer 21 : for beer stronger than 3.2 % ABW , wine and liquor   1982 : 19 : for 3.2 % ABW beer 21 : for beer stronger than 3.2 % ABW , wine and liquor 1982 : 19 : beer 21 : wine and liquor 1988 : 21   21 ( However , anyone can drink with parents or legal - age spouse )     Oklahoma   ?   Men : 21 Women : 18 : 3.2 % ABW beer 21 : for beer stronger than 3.2 % ABW , wine and liquor   1976 : Lowered to 18 ( for 3.2 % ABW beer ) for both sexes in 1976 ( Dec ) Last state to lower the drinking age .   1983 : Raised to 21   21     Oregon   ?   1933 : 21   21   21   21     Pennsylvania   ?   1935 : 21   21   21   21     Rhode Island   ?   21   1970 : Lowered to 18   1980 : Raised to 19 1981 : Raised to 20 1984 : Raised to 21   21     South Carolina   21   1935 : 18 : for beer and wine 21 : for liquor   18 : for beer and wine 21 : for liquor   1984 : 19 : for beer and wine 21 : for liquor 1986 : Raised to 21   21     South Dakota   ?   1934 : 21 ( all ) 1939 : Lowered to 18 : for 3.2 % beer Raised to 19 : for 3.2 % beer   1972 : 18 : for beer and wine 21 : for liquor   1984 : 19 : for beer and wine 21 : for liquor 1988 : Raised to 21   21     Tennessee   Pre 1881 : None 1881 : 21   21 1964 : Lowered to 18   1979 : Raised to 19   1984 : Raised to 21   21     Texas   Pre 1909 : 21 None ( with written permission of parent or guardian ) Post 1909 : 21   21   1973 : Lowered to 18   1981 : Raised to 19 1986 : Raised to 21 in 1986 ( Sep 1 )   21     Utah   ?   1935 : 21   21   21   21     Vermont   ?   21   1971 : Lowered to 18   1986 : Raised to 21   21     Virginia   ?   21   1974 : Lowered to 18 : for beer and wine ( 21 : for liquor remained )   1981 : Raised to 19 for off - premises consumption 1983 : Raised to 19 ( all beer ) 1985 : Raised to 21   21     Washington   Age of majority since 1877   21   21   21   21     West Virginia   ?   18 : for beer and wine 21 : for liquor   1972 : Lowered to 18 ( all )   1983 : Raised to 19 ( &amp; 21 for non-residents ) 1986 : Raised to 21   21     Wisconsin   1839 -- 1866 : 18 : for wine and liquor None : for beer Post-1866 : 21 ( all )   18 : for beer 21 : for wine and spirits 1957 : 21 : for residents of bordering states with age limit 21 . 1963 : Raised to 21 ( off - premises beer sales , remained 18 for on - premises ) .   1972 : Lowered to 18 ( all ) in 1972 ( Mar ) 1977 : Border state restriction lifted .   1984 : Raised to 19 1986 : Raised to 21 ( September 1 , 1986 )   21 ( however anyone can drink when parents , spouses , teachers are present )     Wyoming   ?   21   1973 : Lowered to 19   1988 : Raised to 21 in 1988 ( Jul 1 ) Last state to raise de jure drinking age to 21   21     American Samoa   ?   ?   ?   21 ?   21     Northern Mariana Islands   --   --   ?   21 ?   21     Puerto Rico   ?   18   18   Kept at 18 despite highway funding penalty under Drinking Age Act .   18     Virgin Islands   ?   ?   ?   18   18     Guam   ?   21 ?   18   18   Raised to 21 in 2010     Additional Notes ( edit )    Contrary to popular belief , since the National Minimum Drinking Age Act of 1984 , not all states specifically prohibit minors ' and young adults ' consumption of alcohol in private settings . That is because the federal law is concerned only with purchase and public possession , not private consumption , and contains several exceptions . As of January 1 , 2007 , 14 states and the District of Columbia ban underage consumption outright , 19 states do not specifically ban underage consumption outright , and 17 states have family member or location exceptions to their underage consumption laws . Federal law explicitly provides for religious , medical , employment and private club possession exceptions ; as of 2005 , 31 states have family member or location exceptions to their underage possession laws .   In the 1960s the age for buying or drinking beer and wine in the District of Columbia ( Washington , D.C. ) was 18 ; the age for hard liquor was 21 . Residents from Virginia and Maryland would often drive to D.C. to obtain alcohol . In Louisiana , the 1987 law raising the age from 18 to 21 was deliberately written solely to comply with the National Minimum Drinking Age Act of 1984 to avoid losing highway funding , while still allowing 18 - to 20 - year - olds to drink as before . Not only did it still allow 18 - to 20 - year - olds to consume in private , it contained a major loophole allowing bars and stores to sell alcohol to 18 - to 20 - year - olds without penalty ( despite purchase being technically illegal ) which meant that the de facto age was still 18 . In other words , the drinking age was 21 only on paper . This loophole was closed in 1995 , but in 1996 the Louisiana Supreme Court declared a drinking age of 21 unconstitutional . That briefly lowered the de jure purchase age to 18 , causing an uproar which prompted the Louisiana Supreme Court to reverse its decision , raising the age to 21 three months later . Other exceptions still remain to this day , including drinking in a private residence , and Louisiana still has some of the most liberal general alcohol laws of any state .   Some states were `` dry '' well before national Prohibition was enacted in 1919 , in some cases since achieving statehood . Also , some states did not become fully `` wet '' until several years after the repeal of Prohibition in 1933 ( e.g. Mississippi in 1966 ) . Since 1966 , all states and territories of the USA have been `` wet '' , but dry counties and towns still exist in some states .    References ( edit )    Jump up ^ `` NIH Fact Sheets - Underage Drinking '' . Report.nih.gov. 2013 - 03 - 29 . Retrieved 2016 - 09 - 10 .   Jump up ^ Johnson , Hunter . `` Lowered Drinking Age of the 1970 's history 128 blog '' . History128.web.unc.edu . Retrieved 2016 - 09 - 10 .   Jump up ^ Toomey , Traci L. ; Nelson , Toben F. ; Lenk , Kathleen M. ( 2009 ) . `` The age - 21 minimum legal drinking age : a case study linking past and current debates '' . Addiction. 104 ( 12 ) : 1958 -- 65 . doi : 10.1111 / j. 1360 - 0443.2009. 02742. x . PMID 19922564 .   Jump up ^ Keen , Judy ( 2008 - 04 - 01 ) . `` States weigh lowering drinking age '' . Usatoday.com . Retrieved 2009 - 09 - 06 .   ^ Jump up to : `` Ramon Someros Oberiano Act '' ( PDF ) . 8 July 2010 .   Jump up ^ `` Birmingham Iron Age : § 4205 Code of Alabama '' . bplonline.cdmhost.com . Birmingham Public Library . 1881 . Retrieved October 31 , 2015 .   ^ Jump up to : `` A Statistical Analysis of the Effects of a Uniform Minimum Drinking Age '' ( PDF ) . ntl.bts.gov. April 1987 . Retrieved 2014 - 11 - 17 .   ^ Jump up to : `` MLDA21 Law Effective Data - NHTSA '' . Nhtsa.dot.gov . Retrieved 2009 - 09 - 06 .   Jump up ^ `` The Effects of Government Regulation on Teenage Vehicle Mortality , McCornac , 1982 '' . Papers.ssrn.com. 2004 - 07 - 07 . SSRN 304765 .   Jump up ^ `` Petersburg Pilot , Petersburg , Alaska : NEW DRINKING AGE '' . Petersburg Public Library . October 19 , 1983 . Retrieved November 1 , 2015 .   ^ Jump up to : Miron , Jeffrey A. ; Tetelbaum , Elina ( 2009 ) . `` Does The Minimum Legal Drinking Age Save Lives ? '' . Economic Inquiry. 47 ( 2 ) : 317 -- 336 . doi : 10.1111 / j. 1465 - 7295.2008. 00179. x .   ^ Jump up to : New York Times , December 4 , 1972 , `` State Braces for Lowering Drinking Age to 18 Jan. 1 '' ( NYT online archive )   ^ Jump up to : MINIMUM DRINKING AGE LAWS , 1990   Jump up ^ `` Daily Alta California , Volume 42 , Number 14092 : SELLING LIQUOR TO MINORS '' . cdnc.ucr.edu . California Digital Newspaper Collection . 1888 . Retrieved October 31 , 2015 .   Jump up ^ `` Daily Alta California , Volume 42 , Number 13780 : Selling Liquor to Minors '' . cdnc.ucr.edu . California Digital Newspaper Collection . 1887 . Retrieved October 31 , 2015 .   Jump up ^ `` Daily Alta California , Volume 37 , Number 12646 : THE NEXT GRAND JURY '' . cdnc.ucr.edu . California Digital Newspaper Collection . 1884 . Retrieved October 31 , 2015 .   Jump up ^ `` San Francisco Call , Volume 69 , Number 144 : NO LIQUOR FOR MINORS '' . cdnc.ucr.edu . California Digital Newspaper Collection . 1891 . Retrieved October 31 , 2015 .   ^ Jump up to : `` Behavioral Policies and Teen Traffic Safety on JSTOR '' . JSTOR 2677739 .   Jump up ^ OLR Research Report - Lowering the Drinking Age , 2009 . Cga.ct.gov . Retrieved on 2011 - 06 - 22 .   ^ Jump up to : U.S. Department of Transportation final report ( DOT HS 809 348 ) `` Determine Why There Are Fewer Young Alcohol - Impaired Drivers , '' section III. B. , `` What happened : regional &amp; state experience . ''   Jump up ^ `` Chapter 545 - Liquor Control Act '' . Cga.ct.gov . Retrieved 2016 - 09 - 10 .   ^ Jump up to : `` D.C. debate continuing on alcohol '' . Sarasota Herald - Tribune . UPI . September 29 , 1966 . p. 10C .   ^ Jump up to : `` Bill filed to lower drinking age to 18 '' . The Day . New London , CT . January 22 , 1971 . p. 9 .   Jump up ^ `` D.C. to get new drinking age '' . Lawrence Journal - World . Associated Press . September 24 , 1986 . p. 22 .   ^ Jump up to : `` Texas and North Carolina Raise Drinking Age to 21 '' . New York Times . Associated Press . September 1 , 1986 .   ^ Jump up to : `` For Some , New Drinking Law Hard To Swallow '' . sun-sentinel.com . June 30 , 1985 . Retrieved 2015 - 05 - 28 .   Jump up ^ `` Florida Alcohol Laws '' . Alcohollaws.org . Retrieved 2016 - 09 - 10 .   Jump up ^ `` Bills lower drinking age to 19 in Idaho '' . Spokesman - Review . Associated Press . March 18 , 1972 . p. 1 .   Jump up ^ `` Idaho gears for younger drinkers '' . Deseret News . UPI . June 26 , 1972 . p. 8C .   Jump up ^ `` Idaho 's legislature : Young jurors '' . Lewiston ( ID ) Morning Tribune . January 18 , 1972 . p. 3 .   Jump up ^ `` Taverns await new customers : age drops to 19 '' . Lewiston Morning Tribune . June 30 , 1972 . p. 20 .   Jump up ^ `` Idaho drinking : new law will allow some under 21 to keep imbibing '' . Spokane Chronicle. April 10 , 1987 . p. 3 .   Jump up ^ `` The new Northwest . ( Portland , Or . ) 1871 - 1887 , March 15 , 1872 , Image 4 : The Illinois Temperance Law '' . oregonnews.uoregon.edu . University of Oregon Libraries . Retrieved November 1 , 2015 .   Jump up ^ Chicago Daily Tribune , August 3 , 1961 , `` Girl , 19 , sues for right to have a drink '' ( ProQuest archive )   Jump up ^ Chicago Tribune , June 14 , 1973 , `` Beer at 19 Signed by Walker . '' ( ProQuest archive )   Jump up ^ `` History of DUI Laws In Illinois '' , Illinois Secretary of State website   ^ Jump up to : `` State of Iowa Alcoholic Beverages Division , Historical Highlights '' . iowaabd.com .   ^ Jump up to : Bragg , Rick ( 1996 - 03 - 23 ) . `` Louisiana Stands Alone on Drinking at 18 '' . New York Times . Retrieved 2009 - 09 - 06 .   ^ Jump up to : AP ( 1996 - 07 - 03 ) . `` Louisiana Court Upholds Drinking Age of 18 '' . New York Times . Retrieved 2009 - 09 - 06 .   ^ Jump up to : ( 1 ) Exceptions to Minimum Age of 21 for Possession of Alcohol as of January 1 , 2010 , Alcohol Policy Information System   Jump up ^ http://www.legis.la.gov/legis/Law.aspx?d=78725   ^ Jump up to : `` Drinking ages set by the states '' . New York Times . June 27 , 1984 .   Jump up ^ The Years of the Rat . Magazine.loyola.edu ( 2009 - 08 - 18 ) . Retrieved on 2011 - 06 - 22 .   Jump up ^ Effects of Drunk Driving . Drivingdrunk.org . Retrieved on 2011 - 06 - 22 .   Jump up ^ `` Grandfathered Teen - agers '' . The Washington Post . 1982 - 07 - 03 . Retrieved 2018 - 09 - 28 .   Jump up ^ `` Maryland increases drinking age to 21 '' . Gettysburg Times . Associated Press . February 26 , 1982 . p. 3 .   Jump up ^ `` Legal drinking age going up '' . Eugene Register - Guard . Associated Press . April 15 , 1979 . p. 16A .   Jump up ^ `` Senate of Massachusetts Sets 19 as Drinking Age '' . New York Times . February 18 , 1979 .   Jump up ^ Hingson , RW ; Scotch , N ; Mangione , T ; Meyers , A ; Glantz , L ; Heeren , T ; Lin , N ; Mucatel , M ; Pierce , G ( 1983 ) . `` Impact of legislation raising the legal drinking age in Massachusetts from 18 to 20 '' . American Journal of Public Health . 73 ( 2 ) : 163 -- 170 . doi : 10.2105 / AJPH. 73.2. 163 . PMC 1650505 . PMID 6849474 .   Jump up ^ Chicago Daily Defender , January 4 , 1972 , `` Drinking age lowered in Michigan '' ( ProQuest archive ) .   Jump up ^ 1978 State Ballot Issues . ( PDF ) . Retrieved on 2011 - 06 - 22 .   ^ Jump up to : Daily Collegian , March 16 , 1979 , `` Pennsylvania drinking age follows national trend . '' ( Penn State library ActivePaper online archive ( 2 ) Archived 2008 - 04 - 19 at the Wayback Machine . )   Jump up ^ Resources on Minnesota Legislative Issues , Legal Age in Minnesota , 2009 . Leg.state.mn.us . Retrieved on 2011 - 06 - 22 .   Jump up ^ Twin Cities.com , Pioneer Press , August 20 , 2008 -- B8 Editorial , `` A lower legal drinking age ? '' ( 3 ) ( twincities.com website )   Jump up ^ `` Montana drops drinking age to 19 for those with permit '' . Sarasota Herald = Tribune . Associated Press . June 28 , 1971 . p. 7B .   Jump up ^ `` Drinking age opposed '' . Spokesman - Review . Associated Press . October 23 , 1975 . p. 14 .   Jump up ^ Platform plank : Dems want to lower drinking age to 18 . Helenair.com ( 2008 - 07 - 27 ) . Retrieved on 2011 - 06 - 22 .   ^ Jump up to : New York Times , March 10 , 1987 , `` Drinking age is fiery issue in West '' ( ProQuest archive ) .   ^ Jump up to : `` Drinking Age History '' , Nebraska Liquor Control Commission   Jump up ^ AlcoholEdu : Above the Law . The Dartmouth Review 2002 Archived December 4 , 2008 , at the Wayback Machine .   Jump up ^ P.L. 1880 , p. 176 .   Jump up ^ `` P.L. 1888 , p. 253 '' ( PDF ) . rutgers.edu .   Jump up ^ Jersey , New ( 19 September 2017 ) . `` Compiled Statutes of New Jersey '' . Soney &amp; Sage -- via Google Books .   Jump up ^ `` THE REGION - Drinking Age of 21 Gains in Jersey '' . NYTimes.com . New Jersey . 1982 - 06 - 11 . Retrieved 2016 - 09 - 10 .   Jump up ^ Barbanel , Josh ( May 28 , 1984 ) . `` Raising New York Drinking Age to 21 '' . New York Times .   Jump up ^ `` Drinking Age of 21 Gains in Jersey '' . New York Times . June 11 , 1982 . Retrieved 2010 - 01 - 30 . `` New York will raise its legal age of 18 to 19 on Dec. 4 .   Jump up ^ `` New York raising its drinking age to 21 in December '' . New York Times . June 19 , 1985 . Retrieved 2012 - 08 - 20 . The minimum legal drinking age in New York State is rising from 19 to 21 on Dec. 1 .   Jump up ^ `` North Dakota Century Code TITLE 5 ALCOHOLIC BEVERAGES CHAPTER 5 - 01 - 08 '' ( PDF ) . nd.gov .   Jump up ^ `` Daily Kent Stater , Volume LIV , Number 15 : 3.2 Beer Floats into Senate '' . dks.library.kent.edu . Kent State University . October 17 , 1968 . Retrieved October 31 , 2015 .   Jump up ^ RAY SWENSON ( Staff Writer ) ( August 23 , 1982 ) . `` Daily Kent Stater , Volume III , Number 15 : New liquor law unpopular with local bar owners '' . dks.library.kent.edu . Kent State University . Retrieved October 31 , 2015 .   Jump up ^ Craig v. Boren , 429 U.S. 190 ( 1976 )   Jump up ^ Craig v. Boren , 429 U.S. 190 ( 1976 ) ; Atlantic Economic Journal , Volume 13 , Number 1 / March , 1985 , `` Drinking age and the 55 MPH speed limit '' by Paul M. Sommers ( SpringerLink online abstract )   Jump up ^ Daily Collegian , February 9 , 1984 , `` Lawmakers across nation debate raising legal drinking age . '' ( Penn State library ActivePaper online archive ( 4 ) )   Jump up ^ Rhode Island College Timeline . Ric.edu . Retrieved on 2011 - 06 - 22 .   Jump up ^ `` Sacramento Daily Union , Volume 85 , Number 94 : SOUTH CAROLINA 'S LIQUOR LAW '' . cdnc.ucr.edu . California Digital Newspaper Collection . 1893 . Retrieved October 29 , 2015 .   Jump up ^ `` South Dakota v. Dole '' . Oyez.org . Retrieved 2009 - 09 - 06 .   Jump up ^ `` The home journal. , April 27 , 1881 , Image 2 : The Minor Liquor Law '' . chroniclingamerica.loc.gov . Library of Congress . April 27 , 1881 . Retrieved October 31 , 2015 .   Jump up ^ `` The Brownsville daily herald. , April 23 , 1909 , Image 4 '' . chroniclingamerica.loc.gov . The Library of Congress . Retrieved February 12 , 2016 .   Jump up ^ `` The Lubbock avalanche. , September 26 , 1912 , Image 9 '' . chroniclingamerica.loc.gov . The Library of Congress . Retrieved February 12 , 2016 .   Jump up ^ Lower drinking age to 18 ? 2007 . M.reporternews.com . Retrieved on 2011 - 06 - 22 .   Jump up ^ Winckler , Suzanne . `` The Street of Vrrrrmmmms '' ( in `` The Reporter '' ) . Texas Monthly . Emmis Communications , January 1984 . Volume 12 , No. 1 . ISSN 0148 - 7736 . Start : p. 74 . CITED : p. 76 .   Jump up ^ `` Drinking at Midd : past and present '' . Media.www.middleburycampus.com . Retrieved 2009 - 09 - 06 .   ^ Jump up to : `` Health Care in Vermont Database and Timeline '' ( PDF ) . Retrieved 2009 - 09 - 06 .   ^ Jump up to : `` History of the Legal Drinking Age '' . Abc.state.va.us. 1966 - 07 - 01 . Retrieved 2009 - 09 - 06 .   Jump up ^ What was the first legal drinking age in Wash. ? . Blog.seattlepi.com ( 2009 - 11 - 09 ) . Retrieved on 2011 - 06 - 22 .   Jump up ^ Legal Age Cut to 18 , New York Times , June 10 , 1972   Jump up ^ Wisconsin Brief 95 - 3 , January 1995 , `` The Minimum Drinking Age in Wisconsin ''   ^ Jump up to : `` Wisconsin Brief 95 - 3 , January 1995 '' ( PDF ) . Archived from the original on 2010 - 05 - 28 . Retrieved 2016 - 12 - 26 . CS1 maint : BOT : original - url status unknown ( link )   Jump up ^ `` State Raises Drinking Age '' . New York Times . March 12 , 1988 .   Jump up ^ Knudson , Thomas J. `` Drinking age is fiery issue in West '' . New York Times , March 10 , 1987 .   Jump up ^ Fast Facts in Samoa at Frommer 's . Frommers.com . Retrieved on 2011 - 06 - 22 .   Jump up ^ Marianas Visitors Authority - Trip Essentials . Mymarianas.com . Retrieved on 2011 - 06 - 22 .   Jump up ^ Vieques Travel Guide . Vieques Travel Guide . Retrieved on 2011 - 06 - 22 .   Jump up ^ Virgin Islands Vacation Tips . Virginislandsmap.com . Retrieved on 2011 - 06 - 22 .    94 . Citation for Wisconsin drinking law : https://www.revenue.wi.gov/Pages/FAQS/ise-atundrg.aspx  Retrieved from `` https://en.wikipedia.org/w/index.php?title=U.S._history_of_alcohol_minimum_purchase_age_by_state&amp;oldid=862463766 '' Categories :   Alcohol law in the United States   Hidden categories :   Webarchive template wayback links   CS1 : Julian -- Gregorian uncertainty   CS1 maint : BOT : original - url status unknown   All articles with unsourced statements   Articles with unsourced statements from July 2016   Articles with unsourced statements from September 2013   Articles with unsourced statements from March 2015           Talk                                                             About Wikipedia                                           Add links   This page was last edited on 4 October 2018 , at 14 : 54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</si>
  <si>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drinking age change to 21 in connecticut</t>
  </si>
  <si>
    <t xml:space="preserve">   State   Pre-Prohibition ( prior to 1919 )   Post-Prohibition ( after 1933 )   1970s / 26th Amendment ( adopted in 1971 )   1980s / Drinking Age Act of 1984   21st century     Alabama   Pre 1881 : None 1881 : 21 ( none with consent of parent )   21   1975 : Lowered to 19   1986 : Raised to 21   21 ( no one underage is allowed consumption Section 28 - 1 )     Alaska   ?   21   1970 : Lowered to 19   1984 : Raised to 21 with grandfather clause ( if born before January 1 , 1965 )   21     Arizona   ?   21   1972 : Lowered to 19   1985 : Raised to 21   21     Arkansas   Pre 1925 : None 1925 : 21   21   21   21   21     California   Pre 1891 : Regulated by municipality / county ( common age was 16 ) 1891 : 18 ( statewide )   1933 : 21   21   21   21 ( except small amounts for religious ceremonies )     Colorado   None   1945 : 18 : for beer 21 : for wine and liquor   18   Raised to 21 in 1987   21     Connecticut   ?   21   1972 : Lowered to 18   1982 : Raised to 19 1983 : Raised to 20 1985 : Raised to 21   21 ( exemptions : ( 1 ) a person over age eighteen who is an employee or permit holder under section 30 - 90a and who possesses alcoholic liquor in the course of such person 's employment or business , ( 2 ) a minor who possesses alcoholic liquor on the order of a practicing physician , or ( 3 ) a minor who possesses alcoholic liquor while accompanied by a parent , guardian or spouse of the minor , who has attained the age of twenty - one . Nothing in this subsection shall be construed to burden a person 's exercise of religion under section 3 of article first of the Constitution of the state in violation of subsection ( a ) of section 52 - 571b .     Delaware   ?   21   1972 : Lowered to 20   1984 : Raised to 21   21     District of Columbia   ?   18 : for beer and wine 21 : for liquor   18 : for beer and wine 21 : for liquor   1986 : Raised to 21 with grandfather clause .   21     Florida   ?   18   1980 : 19   1985 : Raised to 21 with grandfather clause   21     Georgia   ?   21   1972 : Lowered to 18   1984 : Raised to 19 1985 : Raised to 20 1986 : Raised to 21   21     Hawaii   ?   21   1972 : Lowered to 18   1986 : Raised to 21   21     Idaho   ?   20 : for beer 21 : for wine and liquor   1972 : Lowered to 19 ( all )   1987 : Raised to 21 in 1987 ( Apr 11 ) with grandfather clause   21     Illinois   1872 : Age of majority ( none with written consent of parent )   pre 1961 : Age of majority 1961 : Raised to 21   1973 : Lowered to 19 : for beer and wine 21 : for liquor   1980 : Raised to 21   21     Indiana   ?   Post-1934 : 21   21   21   21     Iowa   ?   21   1972 : Lowered to 19 in 1972 ( Jul 1 ) 1973 : Lowered to 18 in 1973 ( Jul 1 ) 1978 : Raised to 19 in 1978 ( Jul 1 )   1986 : Raised to 21 in 1986 ( Jul 1 ) with grandfather clause .   21     Kansas   ?   1949 : 18 : for beer and wine with less than 4 % ABV 21 : for liquor   18 : for beer and wine with less than 4 % ABV 21 : for beer and wine with 4 % ABV or more 21 : for liquor   1985 : Raised to 21   21 ( However , anyone under 21 may consume cereal malt beverages with parental supervision on their own property )     Kentucky   ?   1938 : 21   21   21   21     Louisiana   ?   As of 1948 : 18   18   1987 : Raised to 21 de jure in 1987 , but de facto age was still 18 until 1995 due to a sale loophole . 1995 : De facto age raised to 21 in 1995 when loophole was closed . 1996 : In 1996 , briefly lowered by Louisiana Supreme Court to 18 until it reversed its decision , raising to 21 three months later . Other exceptions still remain .   21 ( Exceptions to state law include :  For an established religious purpose ; When a person under twenty - one years of age is accompanied by a parent , spouse , or legal guardian twenty - one years of age or older ; For medical purposes when purchased as an over the counter medication , or when prescribed or administered by a licensed physician , pharmacist , dentist , nurse , hospital , or medical institution ; In a private residence , which shall include a residential dwelling and up to twenty contiguous acres , on which the dwelling is located , owned by the same person who owns the dwelling ; The sale , handling , transport , or service in dispensing of any alcoholic beverage pursuant to lawful ownership of an establishment or to lawful employment of a person under twenty - one years of age by a duly licensed manufacturer , wholesaler , or retailer of beverage alcohol . )      Maine   ?   21 1969 : Lowered to 20   1972 : Lowered to 18 1977 : Raised to 20   1985 : Raised to 21   21     Maryland   ?   21   1974 : Lowered to 18 : for beer and wine 21 : for liquor   1982 : Raised to 21 with grandfather clause for those born June 30 , 1964 or earlier   21 ( however anyone can drink when parents , spouses , teachers are present )     Massachusetts   ?   21   1973 : Lowered to 18 1979 : Raised to 20 in 1979 ( Apr 16 )   Raised to 21 in 1985   21     Michigan   ?   21   1972 : Lowered to 18 in 1972 ( Jan 1 )   1978 : Raised to 19 in 1978 ( Dec 3 ) 1978 : Raised to 21 in 1978 ( Dec 21 ) , 18 days later . First state to raise age to 21 since it was lowered   21     Minnesota   ?   21   1973 : Lowered to 18 ( June 1 ) 1976 : Raised to 19 ( Sept 1 ) First state to raise age after lowering .   1986 : Raised to 21   21     Mississippi   ?   1966 : 18 : for beer and wine 21 : for liquor ( alcohol not legalized until 1966 )   18   Raised to 21 in 1986   21     Missouri   ?   1945 : 21   21   21   21     Montana   ?   21   1971 : Lowered to 19 1973 : Lowered to 18 1979 : Raised to 19   1987 : Raised to 21   21     Nebraska   ?   21 1969 : Lowered to 20   1972 : Lowered to 19   1980 : Raised to 20 1985 : Raised to 21   21     Nevada   ?   1933 : 21   21   21   21     New Hampshire   ?   21   1973 : Lowered to 18 1979 : Raised to 20   1985 : Raised to 21   21     New Jersey   Before 1880 : None Post-1880 : 18 ( penalties only against businesses )   21   1973 : Lowered to 18   1980 : Raised to 19 1983 : Raised to 21   21     New Mexico   ?   1934 : 21   21   21   21     New York   21   18   18   1982 : Raised to 19 in 1982 ( Dec ) 1985 : Raised to 21 in 1985 ( Dec )   21     North Carolina   ?   18   18 : for beer and wine 21 : for liquor   1983 : 19 : for beer and wine 21 : for liquor 1986 : Raised to 21 in 1986 ( Sep 1 )   21     North Dakota   ?   1936 : 21   21   21   21     Ohio   ?   1935 : 18 : for 3.2 % ABW beer 21 : for beer stronger than 3.2 % ABW , wine and liquor   18 : for 3.2 % ABW beer 21 : for beer stronger than 3.2 % ABW , wine and liquor   1982 : 19 : for 3.2 % ABW beer 21 : for beer stronger than 3.2 % ABW , wine and liquor 1982 : 19 : beer 21 : wine and liquor 1988 : 21   21 ( However , anyone can drink with parents or legal - age spouse )     Oklahoma   ?   Men : 21 Women : 18 : 3.2 % ABW beer 21 : for beer stronger than 3.2 % ABW , wine and liquor   1976 : Lowered to 18 ( for 3.2 % ABW beer ) for both sexes in 1976 ( Dec ) Last state to lower the drinking age .   1983 : Raised to 21   21     Oregon   ?   1933 : 21   21   21   21     Pennsylvania   ?   1935 : 21   21   21   21     Rhode Island   ?   21   1970 : Lowered to 18   1980 : Raised to 19 1981 : Raised to 20 1984 : Raised to 21   21     South Carolina   21   1935 : 18 : for beer and wine 21 : for liquor   18 : for beer and wine 21 : for liquor   1984 : 19 : for beer and wine 21 : for liquor 1986 : Raised to 21   21     South Dakota   ?   1934 : 21 ( all ) 1939 : Lowered to 18 : for 3.2 % beer Raised to 19 : for 3.2 % beer   1972 : 18 : for beer and wine 21 : for liquor   1984 : 19 : for beer and wine 21 : for liquor 1988 : Raised to 21   21     Tennessee   Pre 1881 : None 1881 : 21   21 1964 : Lowered to 18   1979 : Raised to 19   1984 : Raised to 21   21     Texas   Pre 1909 : 21 None ( with written permission of parent or guardian ) Post 1909 : 21   21   1973 : Lowered to 18   1981 : Raised to 19 1986 : Raised to 21 in 1986 ( Sep 1 )   21     Utah   ?   1935 : 21   21   21   21     Vermont   ?   21   1971 : Lowered to 18   1986 : Raised to 21   21     Virginia   ?   21   1974 : Lowered to 18 : for beer and wine ( 21 : for liquor remained )   1981 : Raised to 19 for off - premises consumption 1983 : Raised to 19 ( all beer ) 1985 : Raised to 21   21     Washington   Age of majority since 1877   21   21   21   21     West Virginia   ?   18 : for beer and wine 21 : for liquor   1972 : Lowered to 18 ( all )   1983 : Raised to 19 ( &amp; 21 for non-residents ) 1986 : Raised to 21   21     Wisconsin   1839 -- 1866 : 18 : for wine and liquor None : for beer Post-1866 : 21 ( all )   18 : for beer 21 : for wine and spirits 1957 : 21 : for residents of bordering states with age limit 21 . 1963 : Raised to 21 ( off - premises beer sales , remained 18 for on - premises ) .   1972 : Lowered to 18 ( all ) in 1972 ( Mar ) 1977 : Border state restriction lifted .   1984 : Raised to 19 1986 : Raised to 21 ( September 1 , 1986 )   21 ( however anyone can drink when parents , spouses , teachers are present )     Wyoming   ?   21   1973 : Lowered to 19   1988 : Raised to 21 in 1988 ( Jul 1 ) Last state to raise de jure drinking age to 21   21     American Samoa   ?   ?   ?   21 ?   21     Northern Mariana Islands   --   --   ?   21 ?   21     Puerto Rico   ?   18   18   Kept at 18 despite highway funding penalty under Drinking Age Act .   18     Virgin Islands   ?   ?   ?   18   18     Guam   ?   21 ?   18   18   Raised to 21 in 2010   </t>
  </si>
  <si>
    <t xml:space="preserve">2018 College football Playoff national championship - wikipedia  2018 College football Playoff national championship  Jump to : navigation , search    2018 College Football Playoff National Championship            Alabama Crimson Tide   Georgia Bulldogs     ( 12 -- 1 )   ( 13 -- 1 )     SEC   SEC     26   23     Head coach : Nick Saban   Head coach : Kirby Smart        AP   Coaches   CFP                 AP   Coaches   CFP                                OT   Total     Alabama   0   0   10   10   6   26     Georgia   0   13   7   0     23        Date   January 8 , 2018     Season   2017     Stadium   Mercedes - Benz Stadium     Location   Atlanta , Georgia     MVP   Offensive : # 13 QB Tua Tagovailoa , Fr . Alabama Defensive : # 94 DT Da'Ron Payne , Jr . Alabama     Favorite   Alabama by 3.5     National anthem   Zac Brown Band     Referee   Dan Capron ( Big Ten )     Halftime show   Georgia Redcoat Marching Band Million Dollar Band     Attendance   77,430     United States TV coverage     Network   ESPN / ESPN Radio / ESPN Deportes     Announcers   Chris Fowler , Kirk Herbstreit , Maria Taylor and Tom Rinaldi ( ESPN ) Sean McDonough , Todd Blackledge , Holly Rowe and Ian Fitzsimmons ( ESPN Radio )        College Football Playoff National Championship       2019 &gt;        The 2018 College Football Playoff National Championship was a college football bowl game that determined the national champion in the NCAA Division I Football Bowl Subdivision for the 2017 season . The Alabama Crimson Tide defeated the Georgia Bulldogs 26 -- 23 in overtime . Alabama overcame a 13 -- 0 deficit at halftime . Tua Tagovailoa and Da'Ron Payne were respectively named the offensive and defensive players of the game .   The College Football Playoff selection committee chose the semifinalists following the conclusion of the 2017 regular season . Alabama and Georgia advanced to the national championship after winning the semifinal games hosted by the Sugar Bowl and the Rose Bowl , respectively , on January 1 , 2018 . The championship game was played at Mercedes - Benz Stadium in Atlanta , Georgia on January 8 , 2018 .     Contents  ( hide )   1 Background   2 2018 College Football Playoff   3 Teams   3.1 Alabama   3.2 Georgia     4 Game summary   4.1 Scoring summary   4.2 Statistics     5 Broadcasting   6 Dispute   7 See also   8 References   9 External links      Background ( edit )  The 2018 College Football Playoff National Championship took place at Mercedes - Benz Stadium  The Mercedes - Benz Stadium in Atlanta , Georgia was announced as the host site for the fourth College Football National Championship on November 4 , 2015 .   2018 College football Playoff ( edit )       Semifinals     Championship                           January 1 -- Sugar Bowl Mercedes - Benz Superdome , New Orleans         1   Clemson   6         4   Alabama   24       January 8 -- National Championship Mercedes - Benz Stadium , Atlanta                   4   Alabama ( OT )   26       January 1 -- Rose Bowl Rose Bowl , Pasadena     3   Georgia   23               2   Oklahoma   48       3   Georgia ( 2OT )   54      This bracket :   view   talk   edit    The College Football Playoff ( CFP ) selected four teams to advance to the playoff : the Clemson Tigers , Oklahoma Sooners , Georgia Bulldogs , and Alabama Crimson Tide .   Teams ( edit )   Alabama ( edit )  See also : 2017 Alabama Crimson Tide football team  The Alabama Crimson Tide defeated the Clemson Tigers in the 2018 Sugar Bowl by a score of 24 -- 6 to reach the championship game . The Tide had a 12 -- 1 season , becoming the SEC West Division co-champions with the Auburn Tigers . The Crimson Tide were coached by Nick Saban .   Georgia ( edit )  See also : 2017 Georgia Bulldogs football team  The Georgia Bulldogs defeated the Oklahoma Sooners in the 2018 Rose Bowl by a score of 54 -- 48 in double overtime to reach the championship game . The Bulldogs had a 13 -- 1 season claiming their 13th Southeastern Conference ( SEC ) championship with a win over Auburn Tigers , 28 -- 7 . The Bulldogs were coached by Kirby Smart .   Game summary ( edit )   After winning the coin toss , Alabama deferred to the second half and Georgia received the ball to begin the game . After two plays , quarterback Jake Fromm attempted a pass downfield and was intercepted by Tony Brown . Alabama began their first drive of the game , and , after eleven plays , that drive ended with kicker Andy Pappanastos missing a 40 - yard field goal . The teams each had three - and - outs for the game 's first two punts . During Georgia 's ensuing drive , the quarter ended , with no score .   After a failed third down conversion , on the second play of the second quarter , Georgia kicker Rodrigo Blankenship hit a 41 - yard field goal to open the scoring and put Georgia in the lead by three . Alabama 's ensuing drive went nowhere , as they gained four yards on three plays and punted . Georgia took the ball and drove down the field , and found themselves with a first and goal at the Alabama 10 - yard - line ; the Tide defense held , however , and the Bulldogs settled for a second field goal and took a 6 -- 0 lead with just over seven and a half minutes until half . On Alabama 's next drive , the Georgia defense held yet again and Alabama 's JK Scott punted for the third time . Just prior to the punt , Georgia wide receiver Javon Wims was shown walking to the locker room , reportedly with a left shoulder injury . Both defenses then forced punts , and Georgia took back over with 1 : 19 remaining in the half on their own 31 - yard - line . Nine plays later , on Alabama 's 1 - yard - line , Mecole Hardman took a direct snap , faked a handoff , and ran into the end zone for the game 's first touchdown , putting Georgia up 13 -- 0 going into halftime .   Because they deferred the coin toss , Alabama received the ball first in the second half . They started their drive on their own 22 - yard - line . Tua Tagovailoa , Alabama 's backup quarterback , started the second half for the Tide ; that drive quickly resulted in a three - and - out . The initial punt was blocked , but an offside call gave the Tide another chance to punt . Georgia started their drive on their own 36 - yard - line , but punted on 4th &amp; 17 . Alabama took over on their own 44 - yard - line . The teams then traded touchdowns on consecutive drives ; Alabama scored their first points of the game on a 6 - yard pass from Tagovailoa to Ruggs , but Georgia immediately responded with an 80 - yard touchdown connection from Fromm to Mecole Hardman , putting Georgia up 20 -- 7 . On the second play of Alabama 's ensuing drive , Tagovailoa , while scrambling to the left , threw into traffic and was intercepted by Georgia 's Deandre Baker . Up 13 , the Bulldogs took over possession of the ball on Alabama 's 39 - yard - line . The Tide defense responded immediately , however , as Raekwon Davis intercepted a Jake Fromm pass on the first play of Georgia 's drive , returning the pick to the UGA 40 - yard - line . The Tide gained fifteen yards on six plays and kicker Andy Pappanastos avenged his earlier miss with a 43 - yard field goal that put Bama within ten . The teams then traded punts . Just prior to Alabama 's punt , it was announced that an Alabama defensive back , Kyriq McDonald , had collapsed on the sideline ; the situation was described as a `` serious medical emergency '' . He was loaded onto a medical stretcher awake and conscious . Georgia could not muster anything on offense that drive , and punted . The fourth quarter saw Tagovailoa lead the Tide to come back and tie the game at 20 with 3 : 49 . With three seconds remaining in the game , Andy Pappanastos missed a potential game - winning 36 - yard field goal to the left , sending the game to overtime .   In overtime , Georgia scored on a 51 - yard field goal . On Alabama 's first offensive play in overtime , Tagovailoa was sacked for a 16 - yard loss , but immediately followed that with a game - winning 41 - yard touchdown pass to DeVonta Smith . Tagovailoa was named the offensive player of the game , and Da'Ron Payne was named the defensive player of the game .   Scoring summary ( edit )     ( hide ) Scoring summary        Quarter   Time   Drive   Team   Scoring information   Score     Plays   Yards   TOP   Alabama   Georgia       14 : 14   14   55   7 : 40   Georgia   41 - yard field goal by Rodrigo Blankenship   0         7 : 33   13   70   5 : 19   Georgia   27 - yard field goal by Rodrigo Blankenship   0   6       0 : 07   9   69   1 : 12   Georgia   Mecole Hardman 1 - yard touchdown run , Rodrigo Blankenship kick good   0   13       8 : 52   7   56   1 : 59   Alabama   Henry Ruggs III 6 - yard touchdown reception from Tua Tagovailoa , Andy Pappanastos kick good   7   13       6 : 52     93   1 : 55   Georgia   Mecole Hardman 80 - yard touchdown reception from Jake Fromm , Rodrigo Blankenship kick good   7   20       5 : 20   6   15   1 : 06   Alabama   43 - yard field goal by Andy Pappanastos   10   20       9 : 24   8   71   2 : 15   Alabama   30 - yard field goal by Andy Pappanastos   13   20       3 : 49   8   66   3 : 21   Alabama   Calvin Ridley 7 - yard touchdown reception from Tua Tagovailoa , Andy Pappanastos kick good   20   20     OT       - 9     Georgia   51 - yard field goal by Rodrigo Blankenship   20   23     OT       25     Alabama   DeVonta Smith 41 - yard touchdown reception from Tua Tagovailoa   26   23     `` TOP '' = time of possession . For other American football terms , see Glossary of American football .   26   23        Statistics ( edit )               OT   Total     No. 4 Crimson Tide   0   0   10   10   6   26     No. 3 Bulldogs   0   13   7   0     23       Statistics   Alabama   Georgia     First downs   20   22     Plays -- yards   71 -- 371   77 -- 365     Rushes -- yards   39 -- 184   45 -- 133     Passing yards   187   232     Passing : Comp -- Att -- Int   17 -- 32 -- 1   16 -- 32 -- 2     Time of possession   26 : 17   33 : 43     Sources : ESPN , StatBroadcast       Team     Player   Statistics     Alabama   Passing   Tua Tagovailoa   14 / 24 , 166 yds , 3 TD , 1 INT     Rushing   Najee Harris   6 car , 64 yds     Receiving   Calvin Ridley   4 rec , 32 yds , 1 TD     Georgia   Passing   Jake Fromm   16 / 32 , 232 yds , 1 TD , 2 INT     Rushing   Sony Michel   14 car , 98 yds     Receiving   Riley Ridley   6 rec , 82 yds     Sources : ESPN , StatBroadcast     Broadcasting ( edit )   The game was televised nationally by ESPN . On January 8 , 2018 , the network announced that its broadcast would feature a live performance by Kendrick Lamar during halftime . This performance was separate from the event proper at Mercedes - Benz Stadium ( which featured a traditional halftime show with the marching bands of the participating teams ) , and originated from Centennial Olympic Park .   Dispute ( edit )   Following an undefeated season in the American Athletic Conference and their victory over the Auburn Tigers in the 2018 Peach Bowl , the UCF Knights claimed the national championship by virtue of being the only undefeated team in the FBS level of college football . UCF held a victory parade at Disney World and hung a national championship banner at their stadium to celebrate this achievement . The school also paid national championship bonuses to all of its assistant coaches , many of whom left UCF after the Peach Bowl to follow head coach Scott Frost to his new head coaching job at Nebraska ; Frost himself ( who coached UCF in the game ) did not receive such a bonus because he had already been paid all of the bonuses allowed by his UCF contract .   The selection committee controversially ranked undefeated UCF 12th at the end of the regular season , below a number of two - loss teams from the Power Five conferences , which left them out of the CFP . The AP Poll ranked Alabama No. 1 in its final poll , receiving 57 first - place votes , while UCF was ranked No. 6 and received four first - place votes -- the first time in the CFP era that the AP poll did not have a unanimous No. 1 team . Additionally , the Knights finished the 2017 football season as the No. 1 team in the Colley Bias Free Matrix Rankings . The Colley Matrix is recognized by the NCAA in its list of `` national champion major selections . ''   See also ( edit )    College football national championships in NCAA Division I FBS    References ( edit )    Jump up ^ Kirshner , Alex ( January 8 , 2018 ) . `` A Big Ten officiating crew is working the all - SEC National Championship '' . sbnation.com . SB Nation . Retrieved January 8 , 2018 .   Jump up ^ Alex Scarbrough ( November 4 , 2015 ) . `` Atlanta , Santa Clara and New Orleans land CFP title games for 2018 -- 20 '' . ESPN.com . Retrieved November 4 , 2015 .   ^ Jump up to : `` Selection Committee Rankings : Final Top 25 Rankings '' ( PDF ) . College Football Playoff . December 3 , 2017 . Retrieved December 3 , 2017 .   Jump up ^ `` Alabama 's Sugar Bowl win against Clemson sets up all - SEC final : Final score , stats , analysis '' . nola.com . January 1 , 2018 . Retrieved January 2 , 2018 .   Jump up ^ Emerson , Seth ( January 1 , 2018 ) . `` Georgia to play for national championship after Rose Bowl win in 2 OT '' . ajc.com . Retrieved January 2 , 2018 .   ^ Jump up to : Hoffman , Benjamin ; Drape , Joe ; Tracy , Marc ( January 8 , 2018 ) . `` National Championship Game : Georgia vs. Alabama Live Score '' . The New York Times . Retrieved January 8 , 2018 .   Jump up ^ Perez , A.J. ( January 9 , 2018 ) . `` CFP players of the game : Alabama 's Tua Tagovailoa and Da'Ron Payne '' . USA Today . Retrieved January 9 , 2018 .   Jump up ^ `` Kendrick Lamar to Perform at College Football Playoff Title Game '' . Billboard . Retrieved December 20 , 2017 .   Jump up ^ Baker , Matt ( January 3 , 2018 ) . `` UCF is really claiming a national championship '' . tampabay.com . Retrieved January 7 , 2018 .   Jump up ^ Rollins , Khadrice ( January 2 , 2018 ) . `` UCF Is Having a Parade at Disney World for National Championship Caliber Season '' . Sports Illustrated . Retrieved January 10 , 2018 .   Jump up ^ Gartland , Dan ( January 3 , 2018 ) . `` UCF Is Hanging a National Championship Banner at Its Stadium '' . Sports Illustrated . Retrieved January 10 , 2018 .   Jump up ^ Chavez , Chris ( January 3 , 2018 ) . `` UCF AD Says Coaches Will Be Paid National Championship Bonuses '' . SI.com . Retrieved January 11 , 2018 .   Jump up ^ September 1 , 2018 ( January 9 , 2018 ) . `` Alabama is No. 1 in final AP poll for 11th time ; UCF 6th '' . Msn.com . Retrieved January 16 , 2018 .   Jump up ^ Roger Simmons ( January 9 , 2018 ) . `` National champions : UCF Knights finish season ranked No. 1 in Colley Matrix '' . orlandosentinel.com . Retrieved February 14 , 2018 .    External links ( edit )    Media related to 2018 College Football Playoff National Championship at Wikimedia Commons              College Football Playoff     Championships      Overview     College Football Playoff National Championship       Games     2014 -- 15   2015 -- 16   2016 -- 17   2017 -- 18   2018 -- 19   2019 -- 20   2020 -- 21          Semifinal Bowls      Rose     2014 ( Jan 2015 )   2017 ( Jan 2018 )   2020 ( Jan 2021 )       Sugar     2014 ( Jan 2015 )   2017 ( Jan 2018 )   2020 ( Jan 2021 )       Orange     2015 ( Dec 2015 )   2018 ( Dec 2018 )       Cotton     2015 ( Dec 2015 )   2018 ( Dec 2018 )       Peach     2016 ( Dec 2016 )   2019 ( Dec 2019 )       Fiesta     2016 ( Dec 2016 )   2019 ( Dec 2019 )          Other     List of College Football Playoff games   New Year 's Six   College Football Playoff National Championship Trophy   NCAA Division I FBS champions   Mythical national championship   Plus - One system   Power Five conferences       Championship games for each season are played in January , while semifinal games are identified by season year , alternating between December and January       Links to related articles                2017 -- 18 NCAA football bowl game season       New Mexico ( Dec. 16 )   Las Vegas ( Dec. 16 )   Camellia ( Dec. 16 )   Cure ( Dec. 16 )   New Orleans ( Dec. 16 )   Boca Raton ( Dec. 19 )   Frisco ( Dec. 20 )   Gasparilla ( Dec. 21 )   Famous Idaho Potato ( Dec. 22 )   Bahamas ( Dec. 22 )   Armed Forces ( Dec. 23 )   Birmingham ( Dec. 23 )   Dollar General ( Dec. 23 )   Hawaii ( Dec. 24 )   Quick Lane ( Dec. 26 )   Heart of Dallas ( Dec. 26 )   Cactus ( Dec. 26 )   Independence ( Dec. 27 )   Pinstripe ( Dec. 27 )   Texas ( Dec. 27 )   Foster Farms ( Dec. 27 )   Military ( Dec. 28 )   Camping World ( Dec. 28 )   Alamo ( Dec. 28 )   Holiday ( Dec. 28 )   Belk ( Dec. 29 )   Cotton ( Dec. 29 )   Sun ( Dec. 29 )   Music City ( Dec. 29 )   Arizona ( Dec. 29 )   Fiesta ( Dec. 30 )   Liberty ( Dec. 30 )   Orange ( Dec. 30 )   TaxSlayer ( Dec. 30 )   Citrus ( Jan. 1 )   Outback ( Jan. 1 )   Peach ( Jan. 1 )         College Football Playoff games : Rose ( semifinal ) ( Jan. 1 )   Sugar ( semifinal ) ( Jan. 1 )   National Championship Game ( Jan. 8 )         All - Star Games   East -- West Shrine Game ( Jan. 20 )   NFLPA Collegiate Bowl ( Jan. 20 )   Senior Bowl ( Jan. 27 )                 NCAA Football Championship Games     Division I      FBS     2007 *   2008 *   2009 *   2010 *   2011 *   2012 *   2013 *   2014 *   2015 *   2016 *   2017 *   2018 *   2019 *       I-A     1993 *   1994 *   1995 *   1996 *   1997 *   1998 *   1999 *   2000 *   2001 *   2002 *   2003 *   2004 *   2005 *   2006 *       FCS     2006   2007   2008   2009   2011 *   2012 *   2013 *   2014 *   2015 *   2016 *   2017 *   2018 *   2019 *       I - AA     1978   1979   1980   1981   1982     1984   1985   1986     1988   1989   1990   1991   1992   1993   1994   1995     1997   1998   1999   2000   2001   2002   2003     2005          Division II     1973       1976   1977   1978   1979   1980   1981   1982     1984   1985   1986     1988   1989   1990   1991   1992   1993   1994   1995     1997   1998   1999   2000   2001   2002   2003     2005   2006   2007   2008   2009     2011   2012   2013   2014   2015   2016   2017   2018       Division III     1973       1976   1977   1978   1979   1980   1981   1982     1984   1985   1986     1988   1989   1990   1991   1992   1993   1994   1995     1997   1998   1999   2000   2001   2002   2003     2005   2006   2007   2008   2009     2011   2012   2013   2014   2015   2016   2017   2018       Games played in January are denoted by an asterisk               Alabama Crimson Tide bowl games       1926 Rose Bowl   1927 Rose Bowl   1931 Rose Bowl   1935 Rose Bowl   1938 Rose Bowl   1942 Cotton Bowl Classic   1943 Orange Bowl   1945 Sugar Bowl   1946 Rose Bowl   1948 Sugar Bowl   1953 Orange Bowl   1954 Cotton Bowl Classic   1959 Liberty Bowl   1960 Bluebonnet Bowl   1962 Sugar Bowl   1963 Orange Bowl   1964 Sugar Bowl   1965 Orange Bowl   1966 Orange Bowl   1967 Sugar Bowl   1968 Cotton Bowl Classic   1968 Gator Bowl   1969 Liberty Bowl   1970 Astro - Bluebonnet Bowl   1972 Orange Bowl   1973 Cotton Bowl Classic   1973 Sugar Bowl   1975 Orange Bowl   1975 Sugar Bowl   1976 Liberty Bowl   1978 Sugar Bowl   1979 Sugar Bowl   1980 Sugar Bowl   1981 Cotton Bowl Classic   1982 Cotton Bowl Classic   1982 Liberty Bowl   1983 Sun Bowl   1985 Aloha Bowl   1986 Sun Bowl   1988 Hall of Fame Bowl   1988 Sun Bowl   1990 Sugar Bowl   1991 Fiesta Bowl   1991 Blockbuster Bowl   1993 Sugar Bowl #   1993 Gator Bowl   1995 Florida Citrus Bowl   1997 Outback Bowl   1998 Music City Bowl   2000 Orange Bowl   2001 Independence Bowl   2004 Music City Bowl   2006 Cotton Bowl Classic   2006 Independence Bowl   2007 Independence Bowl   2009 Sugar Bowl   2010 BCS National Championship Game #   2011 Capital One Bowl   2012 BCS National Championship Game #   2013 BCS National Championship Game #   2014 Sugar Bowl   2015 Sugar Bowl /   2015 Cotton Bowl Classic ( Dec ) /   2016 College Football Playoff National Championship #   2016 Peach Bowl /   2017 College Football Playoff National Championship #   2018 Sugar Bowl /   2018 College Football Playoff National Championship #    # denotes national championship game / denotes College Football Playoff semifinal game                Georgia Bulldogs bowl games       1942 Orange Bowl   1943 Rose Bowl   1946 Oil Bowl   1947 Sugar Bowl   1948 Gator Bowl   1949 Orange Bowl   1950 Presidential Cup   1960 Orange Bowl   1964 Sun Bowl   1966 Cotton Bowl Classic   1967 Liberty Bowl   1969 Sugar Bowl   1969 Sun Bowl   1971 Gator Bowl   1973 Peach Bowl   1974 Tangerine Bowl   1976 Cotton Bowl Classic   1977 Sugar Bowl   1978 Astro - Bluebonnet Bowl   1981 Sugar Bowl   1982 Sugar Bowl   1983 Sugar Bowl   1984 Cotton Bowl Classic   1984 Florida Citrus Bowl   1985 Sun Bowl   1986 Hall of Fame Bowl   1987 Liberty Bowl   1989 Gator Bowl   1989 Peach Bowl   1991 Independence Bowl   1993 Florida Citrus Bowl   1995 Peach Bowl   1998 Outback Bowl   1998 Peach Bowl   2000 Outback Bowl   2000 Oahu Bowl   2001 Music City Bowl   2003 Sugar Bowl   2004 Capital One Bowl   2005 Outback Bowl   2006 Sugar Bowl   2006 Chick - fil - A Bowl   2008 Sugar Bowl   2009 Capital One Bowl   2009 Independence Bowl   2010 Liberty Bowl   2012 Outback Bowl   2013 Capital One Bowl   2014 Gator Bowl   2014 Belk Bowl   2016 TaxSlayer Bowl   2016 Liberty Bowl   2018 Rose Bowl /   2018 College Football Playoff National Championship #    # denotes national championship game / denotes College Football Playoff semifinal game                2017 -- 18 NCAA Division I championships       Baseball   Men 's basketball   Women 's basketball   Beach volleyball   Bowling   Cross country   Fencing   Field hockey   Football ( FBS ) †   Football ( FCS )   Men 's golf   Women 's golf   Men 's gymnastics   Women 's gymnastics   Men 's ice hockey   Women 's ice hockey   Indoor track and field   Men 's lacrosse   Women 's lacrosse   Outdoor track and field   Rifle   Rowing   Skiing   Men 's soccer   Women 's soccer   Softball   Men 's swimming and diving   Women 's swimming and diving   Tennis   Men 's volleyball   Women 's volleyball   Men 's water polo   Women 's water polo   Wrestling         † Not an officially sanctioned NCAA championship         Retrieved from `` https://en.wikipedia.org/w/index.php?title=2018_College_Football_Playoff_National_Championship&amp;oldid=833119359 '' Categories :   2017 -- 18 NCAA football bowl games   2017 -- 18 College Football Playoff   2018 in sports in Georgia ( U.S. state )   Sports competitions in Atlanta   American football in Georgia ( U.S. state )   2010s in Atlanta   Alabama Crimson Tide football bowl games   Georgia Bulldogs football bowl games   January 2018 sports events in the United States   Hidden categories :   Use mdy dates from January 2018           Talk                                           Contents                   About Wikipedia                                                 Français   Edit links   This page was last edited on 29 March 2018 , at 19 : 26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</si>
  <si>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who's going to be in the college championship</t>
  </si>
  <si>
    <t xml:space="preserve">2018 College Football Playoff National Championship was a college football bowl game that determined the national champion in the NCAA Division I Football Bowl Subdivision for the 2017 season . The Alabama Crimson Tide defeated the Georgia Bulldogs 26 -- 23 in overtime . Alabama overcame a 13 -- 0 deficit at halftime . Tua Tagovailoa and Da'Ron Payne were respectively named the offensive and defensive players of the game .   The</t>
  </si>
  <si>
    <r>
      <rPr>
        <sz val="11"/>
        <color rgb="FF000000"/>
        <rFont val="Calibri"/>
        <family val="0"/>
        <charset val="1"/>
      </rPr>
      <t xml:space="preserve">Treaty of Paris ( 1898 ) - wikipedia  Treaty of Paris ( 1898 )  Jump to : navigation , search For other treaties also known as a `` Treaty of Paris '' , see Treaty of Paris ( disambiguation ) .  Treaty of Paris   Treaty of Peace between the United States of America and the Kingdom of Spain     Signed   10 December 1898 ( 1898 - 12 - 10 )     Location   Paris , France     Effective   11 April 1899     Signatories     Spain   United States       Citations   30 Stat. 1754 ; TS 343 ; 11 Bevans 615     Article IX amended by protocol of 29 March 1900 ( TS 344 ; 11 Bevans 622 ) . Article III supplemented by convention of 7 November 1900 ( TS 345 ; 11 Bevans 623 ) .     The Treaty of Paris of 1898 was an agreement made in 1898 that involved Spain relinquishing nearly all of the remaining Spanish Empire , especially Cuba , and ceding Puerto Rico , Guam , and the Philippines to the United States . The cession of the Philippines involved a payment of $20 million from the United States to Spain . The treaty was signed on December 10 , 1898 , and ended the Spanish -- American War . The Treaty of Paris came into effect on April 11 , 1899 , when the documents of ratification were exchanged .   The Treaty of Paris marked the end of the Spanish Empire ( apart from some small holdings in North Africa ) . It marked the beginning of the age of the United States as a world power . Many supporters of the war opposed the treaty , and it became one of the major issues in the election of 1900 when it was opposed by Democrat William Jennings Bryan because he opposed imperialism . Republican President William McKinley upheld the treaty and was easily reelected .     Contents  ( hide )   1 Background   2 Negotiations   3 U.S. ratification of the treaty in the Senate   4 Treaty provisions   5 Consequences of the treaty   6 See also   7 References   8 External links      Background ( edit )   The Spanish -- American War began on April 25 , 1898 due to a series of escalating disputes between the two nations , and ended on December 10 , 1898 with the signing of the Treaty of Paris . It resulted in Spain 's loss of its control over the remains of its overseas empire . After much of mainland Latin America had achieved independence , Cuba tried its hand at revolution in 1868 -- 1878 , and again in the 1890s , led by José Martí , or `` El Apóstol . '' Martí returned to Cuba and participated at first in the struggles against the Spanish government , but was killed on May 19 , 1895 . The Philippines at this time also became resistant to Spanish colonial rule . August 26 , 1896 presented the first call to revolt , led by Andrés Bonifacio , succeeded by Emilio Aguinaldo y Famy , who had his predecessor arrested . Bonifacio was executed on May 10 , 1897 . Aguinaldo then negotiated the Pact of Biak - na - Bato with the Spaniards and was exiled to Hong Kong along with the other revolutionary leaders .   The Spanish -- American War that followed had overwhelming U.S. public support due to the popular fervor towards supporting Cuban freedom as well as furthering U.S. economic interests overseas . The U.S. was particularly attracted to the developing sugar industry in Cuba . The U.S. military even resorted to falsifying reports in the Philippines in order to maintain public support for U.S. involvement abroad . The U.S. appealed to the principles of Manifest Destiny and expansionism to justify its participation in the war , proclaiming that it was America 's fate and its duty to take charge in these overseas nations .   On September 16 , U.S. President William McKinley issued secret written instructions to his emissaries as the Spanish -- American War drew to a close :   It is my earnest wish that the United States in making peace should follow the same high rule of conduct which guided it in facing war . In addition , the victor should be magnanimous in her treatment of the fallen foe ; and her morality should not under any illusion of the hour be dimmed by ulterior designs which might tempt us into excessive demands or into an adventurous departure on untried paths ... The Philippines stand upon a different basis ... without any original thought of complete or even partial acquisition , the presence and success of our arms at Manila imposes upon us obligations which we can not disregard . The march of events rules and overrules human action . Avowing unreservedly the purpose which has animated all our effort , and still solicitous to adhere to it , we can not be unmindful that , without any desire or design on our part , the war has brought us new duties and responsibilities which we must meet and discharge as becomes a great nation ... Incidental to our tenure in the Philippines is the commercial opportunity to which American statesmanship can not be indifferent . It is just to use every legitimate means for the enlargement of American trade ; ... In view of what has been stated , the United States can not accept less than the cession in full right and sovereignty of the island of Luzon ...   Negotiations ( edit )   Article V of a peace protocol entered into between United States and Spain on August 12 , 1898 , read as follows :   The United States and Spain will each appoint not more than five commissioners to treat of peace , and the commissioners so appointed shall meet at Paris not later than Oct. 1 , 1898 , and proceed to the negotiation and conclusion of a treaty of peace , which treaty shall be subject to ratification according to the respective constitutional forms of the two countries .   The composition of the American commission was somewhat unusual in that three of its members were Senators ( meaning , as many newspapers pointed out , that at a later date they would vote on the ratification of their own negotiations ) . The American delegation members were :    William R. Day , chairman , a former U.S. Secretary of State who had resigned from his cabinet position to lead the United States Peace Commission   William P. Frye , a Senator from Maine   Cushman Kellogg Davis , a Senator from Minnesota   George Gray , a Senator from Delaware   Whitelaw Reid , a former diplomat and a former Vice Presidential nominee   John Hay , Secretary of State , signing the memorandum of ratification on behalf of the United States  The Spanish commission included the Spanish diplomats Eugenio Montero Ríos , Buenaventura de Abarzuza , José de Garnica , Wenceslao Ramírez de Villa - Urrutia , Rafael Cerero , as well as the French diplomat Jules Cambon .   The American delegation , headed by former Secretary of State William R. Day -- who had vacated his position as U.S. Secretary of State in order to head the commission -- arrived in Paris on September 26 , 1898 . The negotiations were conducted in a suite of rooms at the Ministry of Foreign Affairs . At the first session on October 1 , the Spanish demanded that before the talks get underway the city of Manila , which had been captured by the Americans a few hours after the signing of the peace protocol in Washington , should be returned to Spanish authority . The Americans refused to consider this and for the moment it was pursued no further .   Felipe Agoncillo , a Filipino lawyer representing the First Philippine Republic , was denied participation in the negotiation .   For almost a month , negotiations revolved around Cuba . The Teller Amendment to the U.S. Declaration of War with Spain made it impractical for the U.S. to annex the island as it did with Puerto Rico , Guam , and the Philippines . On first instance , Spain refused to accept the Cuban national debt of four hundred million dollars , but ultimately it had no choice . Eventually , it was agreed that Cuba was to be granted to the Cubans and the four hundred million dollar liability returned to Spain . It was also agreed that Spain would cede Guam and Puerto Rico to the United States .   The negotiators then turned to the question of the Philippines . Spanish negotiators were determined to hang onto all they could , hoping to cede only Mindanao and perhaps the Sulu Islands . On the American side , Chairman Day had once recommended the acquisition of only the naval base in Manila , as a `` hitching post '' . Others had recommended retaining just the island of Luzon . In discussions with its advisers , though , the commission concluded that Spain , if it retained part of the Philippines , would be likely to sell that part to another European power and that this would likely be troublesome for America . On November 25 , the American Commission cabled President McKinley for explicit instructions . Their cable crossed one from McKinley saying that duty left him no choice but to demand the entire archipelago , the following morning , another cable from McKinley arrived , saying   ... to accept merely Luzon , leaving the rest of the islands subject to Spanish rule , or to be the subject of future contention , can not be justified on political , commercial , or humanitarian grounds . The cessation must be the whole archipelago or none . The latter is wholly inadmissible , and the former must therefore be required .   On November 4 , the Spanish delegation formally accepted the American demand , and Spain 's Prime Minister , Práxedes Mateo Sagasta , backed up the commission . As the specter of collapse of the negotiations grew , there were mutters about resumption of the war . U.S. election results on November 8 , however , cut McKinley 's Republican majority in Congress less than had been anticipated . The American delegation took heart from this , and Frye unveiled a plan of offering Spain ten or twenty million dollars for the islands .   After some discussion the American delegation offered twenty million dollars on November 21 , one tenth of a valuation which had been estimated in internal discussions in October , requesting an answer within two days . Montero Ríos said angrily that he could reply at once , but the American delegation had already departed from the conference table . When the two sides met again , Queen - Regent Maria Christina had cabled her acceptance . Montero Ríos recited the formal reply :   The Government of Her Majesty , moved by lofty reasons of patriotism and humanity , will not assume the responsibility of again bringing upon Spain all the horrors of war . In order to avoid them , it resigns itself to the painful task of submitting to the law of the victor , however harsh it may be , and as Spain lacks the material means to defend the rights she believes hers , having recorded them , she accepts the only terms the United States offers her for the concluding of the treaty of peace .   Work on the final draft of the treaty began on November 30 . It was signed on December 10 , 1898 . The next step was legislative ratification . In Madrid , the Cortes rejected it , but the Queen Regent signed it , empowered to do so by a clause in the Spanish constitution .   U.S. ratification of the treaty in the Senate ( edit )   In the U.S. Senate , there were four main schools of thought in regard to U.S. imperialism that influenced debate on ratification of the Treaty . Republicans generally supported the treaty , while those opposed either aimed to defeat the treaty or exclude the provision stipulating the acquisition of the Philippines . Democrats in general favored expansion as well , particularly Southern Democrats . A minority of Democrats also favored the treaty on the basis of ending the war and granting independence to Cuba and the Philippines . During the Senate debate to ratify the treaty , Senators George Frisbie Hoar and George Graham Vest were outspoken opponents of the treaty .   This Treaty will make us a vulgar , commonplace empire , controlling subject races and vassal states , in which one class must forever rule and other classes must forever obey .  -- Senator George Frisbie Hoar  Some anti-expansionists stated that the treaty committed the United States to a course of empire and violated the most basic tenets of the United States Constitution . They argued that neither the Congress nor the President had the right to pass laws governing colonial peoples who were not represented by lawmakers .   Certain Senate Expansionists who supported the treaty reinforced such views by arguing :   If the U.S. were to reject the treaty , Suppose we reject the Treaty . We continue the state of war . We repudiate the President . We are branded as a people incapable of taking rank as one of the greatest of world powers !  -- Senator Henry Cabot Lodge  Providence has given the United States the duty of extending Christian civilization . We come as ministering angels , not despots .  -- Senator Knute Nelson  Expansionists said that the Constitution applied only to the citizens of the United States . This idea was later supported by the Supreme Court in the Insular Cases .   As the Senate debate continued , Andrew Carnegie and former President Grover Cleveland petitioned the Senate to reject the treaty . These two men adamantly opposed such imperialist policies , and participated in the American Anti-Imperialist League along with other such prominent members as Mark Twain and Samuel Gompers .   The controversial treaty was eventually approved on February 6 , 1899 , by a vote 57 to 27 , only one vote more than the two - thirds majority required . Only two Republicans voted against ratification , George Frisbie Hoar of Massachusetts and Eugene Pryor Hale of Maine . Senator Nelson W. Aldrich had opposed entry into the Spanish -- American War , but supported McKinley when it began . He played a central role in winning two - thirds Senate approval of the Treaty of Paris .   Treaty provisions ( edit )   The Treaty of Paris provided that Cuba would become independent from Spain but the U.S. Congress made sure it would be under indirect U.S. control through the Platt Amendment . Specifically , Spain relinquished all claim of sovereignty over and title to Cuba . Upon Spain 's departure from Cuba , it was to be occupied by the United States , and the United States would assume and discharge any obligations that under international law could result from the fact of its occupation .   The Treaty also assured that Spain would cede to the United States the island of Puerto Rico and other islands then under Spanish sovereignty in the West Indies , as well as the island of Guam in the Marianas Islands .   The Treaty specified that Spain would cede to the United States the archipelago of the Philippine Islands , and comprehending the islands lying within a specified line .   In accordance with the treaty , Spain :    Gave up all rights to Cuba ( see Teller Amendment and Platt Amendment ) .   Surrendered Puerto Rico and gave up its possessions in the West Indies .   Surrendered the island of Guam to the United States .   Surrendered the Philippines to the United States for a payment of twenty million dollars .    Specifics of the cession of the Philippines were later clarified by the 1900 Treaty of Washington . The boundary line between the Philippines and North Borneo was further clarified by the Convention Between the United States and Great Britain ( 1930 ) .   Consequences of the treaty ( edit )   Victory in the Spanish -- American War turned the United States into a world power , as the attainment of the territories of Guam , Puerto Rico , and the Philippines expanded U.S. economic dominance in the Pacific . This growth continued to have effects on U.S. foreign and economic policy well into the next century . Furthermore , President McKinley 's significant role in advancing the ratification of the treaty transformed the presidential office , from a weaker position to a prototype of the stronger presidency seen more in the present day .   U.S. military occupation also continued to have further impacts abroad . In the Philippines , revolts against U.S. involvement initiated on February 4 , 1899 , quickly surpassing the fighting that had just occurred against the Spanish . As one Filipino writer noted in 1899 :    `` Now here is a unique spectacle -- the Filipinos fighting for liberty , the American people fighting to give them liberty . ''    The U.S. National Park Service says , `` The Spanish - American War and its aftermath delayed Philippine independence until after World War II , but established a relationship that fostered a substantial Filipino population within U.S. borders . ''   Furthermore , the Platt Amendment allowed the U.S. to continue its occupation of Cuba without annexing , despite promises made during the war and negotiations over Cuban freedom . In order to maintain control in Cuba , the U.S. government espoused the idea that the Cuban people were unprepared for self - governance . As Senator Stephen Elkins noted :    `` When Cuba shall become a part of the American Union and the isthmian canal shall be completed , which is now assured , Puerto Rico , Cuba , Hawaii and the Philippines will be outposts of the great Republic , standing guard over American interests in the track of the world 's commerce in its triumphant march around the globe . Our people will soon see and feel that these island possessions belonging to the United States are natural and logical , and in the great part we are to play in the affairs of the world we would not only give them up but wonder how the working of our natural destiny we could get on without them . The splendid chain of island possessions , reaching half - way around the world , would not be complete without Cuba , the gem of the Antilles . ''    Overall , these occupations greatly contributed to the growing economic role gained by the U.S. during this era .   See also ( edit )       Wikisource has original text related to this article : Treaty of Paris ( 1898 )      Spanish -- American War   Philippine -- American War   Puerto Rican Campaign   German -- Spanish Treaty ( 1899 )    References ( edit )    ^ Jump up to : Puerto Rico is spelled as `` Porto Rico '' in the Treaty of Paris . `` Treaty of Peace Between the United States and Spain ; December 10 , 1898 '' . Yale . 2009 . Retrieved 2009 - 05 - 01 .   Jump up ^ Charles Henry Butler ( 1902 ) . The treaty making power of the United States . The Banks Law Pub. Co. p. 441 . Retrieved 9 April 2011 .   Jump up ^ Paolo E. Coletta , `` Bryan , McKinley , and the Treaty of Paris . '' Pacific Historical Review ( 1957 ) : 131 - 146 . in JSTOR   Jump up ^ Thomas A. Bailey , `` Was the Presidential Election of 1900 a Mandate on Imperialism ? . '' Mississippi Valley Historical Review ( 1937 ) : 43 - 52 . in JSTOR   ^ Jump up to : Library of Congress . `` The World of 1898 : The Spanish - American War : Introduction . ''   Jump up ^ Pérez , Louis A. ( 1998 ) . War of 1898 : The United States and Cuba in History and Historiography . `` Intervention and Intent . '' Pg. 24   Jump up ^ Coletta , Paolo E. ( 1957 ) . `` Bryan , McKinley , and the Treaty of Paris . '' Pacific Historical Review , Vol. 26 , No. 2 : pg. 131 .   Jump up ^ Vigilans , Semper ( 1899 ) . `` Aguinaldo 's Case against the United States . '' The North American Review , Vol. 169 , No. 514 : pg. 425   ^ Jump up to : `` The Spanish -- American War : The United States Becomes a World Power '' ( PDF ) . Teaching with Primary Sources . Library of Congress .   Jump up ^ Wolff , Leon ( 2006 ) . Little Brown Brother : How the United States Purchased and Pacified the Philippine Islands at the Century 's Turn . History Book Club ( published 2005 ) . pp. 154 -- 155 . ISBN 978 - 1 - 58288 - 209 - 3 .   Jump up ^ William McKinley . `` The Acquisition of the Philippines '' . Papers Relating to Foreign Affairs , 1898 . U.S. Department of State : 904 -- 908 .   Jump up ^ Major Events of the Spanish American War - Topics in Chronicling America ( Newspaper and Current Periodical Reading Room , Library of Congress )   Jump up ^ Halstead , Murat ( 1898 ) . The Story of the Philippines and Our New Possessions , Including the Ladrones , Hawaii , Cuba and Porto Rico . pp. 176 -- 178 .   Jump up ^ Wolff 2006 , p. 153 ( Introduction , Decolonizing the History of the Philippine - American War , by Paul A. Kramer dated December 8 , 2005 )   ^ Jump up to : Wolff 2006 , p. 163   ^ Jump up to : Wolff 2006 , p. 164   Jump up ^ Karnow , Stanley ( 1990 ) . In our image : America 's empire in the Philippines . Ballantine Books . p. 126 . ISBN 978 - 0 - 345 - 32816 - 8 .   Jump up ^ Wolff 2006 , p. 167   Jump up ^ Wolff 2006 , pp. 169 -- 170   Jump up ^ Wolff 2006 , p. 171   Jump up ^ Wolff 2006 , pp. 167 , 172   Jump up ^ Wolff 2006 , p. 172   Jump up ^ Wolff 2006 , p. 173   Jump up ^ Coletta , Paolo E. ( 1957 ) . `` Bryan , McKinley , and the Treaty of Paris . '' Pacific Historical Review , Vol. 26 , No. 2 : pg. 132   Jump up ^ Coletta , Paolo E. , `` McKinley , the Peace Negotiations , and the Acquisition of the Philippines '' , Pacific Historical Review 30 ( November 1961 ) , 348 .   Jump up ^ Paolo E. Coletta , `` Bryan , McKinley , and the Treaty of Paris , '' Pacific Historical Review ( 1957 ) 26 # 2 pp. 131 - 146 in JSTOR   Jump up ^ `` TREATY BETWEEN SPAIN AND THE UNITED STATE FOR CESSION OF OUTLYING ISLANDS OF THE PHILIPPINES '' ( PDF ) . University of the Philippines . November 7 , 1900 .   Jump up ^ United States . Dept. of State ; Charles Irving Bevans ( 1968 ) . Treaties and other international agreements of the United States of America , 1776 - 1949 . Dept. of State ; for sale by the Supt. of Docs. , U.S. Govt . Print . Off . pp. 473 -- 476 .   Jump up ^ De Ojeda , Jaime . `` The Spanish - American War of 1898 : A Spanish View . '' Library of Congress : Hispanic Division .   Jump up ^ Koenig , Louis W. ( 1982 ) . `` The Presidency of William McKinley '' by Lewis L. Gould : Review . Presidential Studies Quarterly , Vol. 12 , No. 3 : pg. 448 .   Jump up ^ Vigilans , Semper ( 1899 ) . `` Aguinaldo 's Case against the United States . '' The North American Review , Vol. 169 , No. 514 : pg. 428   Jump up ^ `` Spanish - American War and the Philippine - American War , 1898 - 1902 . '' National Park Service .   Jump up ^ Pérez , Louis A. ( 1998 ) . War of 1898 : The United States and Cuba in History and Historiography . `` Intervention and Intent . '' Pg. 33   Jump up ^ Pérez , Louis A. ( 1998 ) . War of 1898 : The United States and Cuba in History and Historiography . `` Intervention and Intent . '' Pg. 49    External links ( edit )       Wikimedia Commons has media related to Treaty of Paris , 1898 .      Law.yale.edu : Treaty of Peace Between the United States and Spain   Msc.edu.ph : 1898 Treaty of Paris -- full text of the Treaty of Paris ending the Spanish American War .   Library of Congress Guide to the Spanish - American War   PBS : Crucible of Empire : The Spanish - American War Senate Debate over Ratification of the Treaty of Paris              Diplomacy of the Great Powers 1871 -- 1913     Great powers     Austria -- Hungary   France   Germany   Italy   Japan   Russia   United Kingdom   United States       Alliances     Triple Alliance   Dual Alliance     Triple Entente   Franco - Russian Alliance   Entente Cordiale   Anglo - Russian Entente     Anglo - Japanese Alliance       Trends     Ottoman Decline   Eastern Question     Revanchism   New Imperialism   Scramble for Africa     Pan-Slavism   The Great Game   The Great Rapprochement       Treaties and agreements     Treaty of Frankfurt   League of the Three Emperors   Treaty of Berlin   Reinsurance Treaty   Treaty of Paris   Treaty of Björkö   Taft -- Katsura Agreement   Japan -- Korea Treaty of 1905   Japan -- Korea Annexation Treaty   Racconigi agreement       Events     Congress of Berlin   Berlin Conference   Weltpolitik   German Naval Laws   Anglo - German naval arms race   Dreadnought     Fashoda Incident   Annexation of Hawaii   First Moroccan Crisis   Algeciras Conference   Agadir Crisis   Bosnian crisis       Wars     Russo - Turkish   First Sino - Japanese   Spanish -- American   Banana Wars   Philippine -- American   Boxer Rebellion   Second Boer   Russo - Japanese   Italo - Turkish   Balkan Wars                 Philippine Revolution       Battles   People       Events      Prelude     Novales Revolt   Palmero Conspiracy   Gomburza       Concurrent     Cry of Pugad Lawin   Bonifacio Plan   Katagalugan ( Bonifacio )   Imus Assembly   Tejeros Convention   Republic of Biak - na - Bato   Elections   Pact     Spanish -- American War   Declaration of Independence   Malolos Congress   República Filipina   Negros Revolution   Republic of Negros   Republic of Zamboanga       Epilogue     Treaty of Paris   Philippine -- American War   Katagalugan ( Sacay )   Moro Rebellion   Philippine Autonomy Act of 1916   Commonwealth of the Philippines   Treaty of Manila          Organizations     American Anti-Imperialist League   Aglipayan Church   Katipunan   La Liga Filipina   Magdalo faction   Magdiwang faction   Philippine Constabulary   Philippine Revolutionary Army   Pulajanes   Propaganda Movement       Documents     El filibusterismo   Kartilya ng Katipunan   La Solidaridad   Malolos Constitution   Mi último adiós   Noli Me Tángere       Symbols     Flags of the Philippine Revolution   Flag of the Philippines   Lupang Hinirang   Spoliarium                 Territorial expansion of the United States       Thirteen Colonies ( 1776 )   Treaty of Paris ( 1783 )   Louisiana Purchase ( 1803 )   Red River Cession ( 1818 )   Adams -- Onís Treaty ( 1819 )   Texas Annexation ( 1845 )   Oregon Treaty ( 1846 )   Mexican Cession ( 1848 )   Gadsden Purchase ( 1853 )   Guano Islands Act ( 1856 )   Alaska Purchase ( 1867 )   Annexation of Hawaii ( 1898 )   Treaty of Paris ( 1898 )   Tripartite Convention ( 1899 )   Treaty of Cession of Tutuila ( 1900 )   Treaty of Cession of Manuʻa ( 1904 )   Treaty of the Danish West Indies ( 1917 )           Concept : Manifest destiny      Retrieved from `` https://en.wikipedia.org/w/index.php?title=Treaty_of_Paris_(1898)&amp;oldid=817581896 '' Categories :   Spanish -- American War   1898 in Cuba   1898 in the Philippines   Peace treaties of Spain   Peace treaties of the United States   Spain -- United States relations   Treaties concluded in 1898   Treaties entered into force in 1899   Treaties involving territorial changes   Treaties of the Spanish Empire   Treaties of Spain under the Restoration   1898 in Spain   1898 in the United States   1890s in Paris   Banana Wars   1898 treaties   December 1898 events   Hidden categories :   CS1 : Julian -- Gregorian uncertainty           Talk                                           Contents                   About Wikipedia                                             Wikisource         Aragonés   Català   Čeština   Dansk   Español   Esperanto   Français   Galego   </t>
    </r>
    <r>
      <rPr>
        <sz val="11"/>
        <color rgb="FF000000"/>
        <rFont val="Noto Sans CJK SC"/>
        <family val="2"/>
      </rPr>
      <t xml:space="preserve">한국어   </t>
    </r>
    <r>
      <rPr>
        <sz val="11"/>
        <color rgb="FF000000"/>
        <rFont val="Calibri"/>
        <family val="0"/>
        <charset val="1"/>
      </rPr>
      <t xml:space="preserve">Հայերեն   Ilokano   Bahasa Indonesia   Italiano   ქართული   Latina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Srpskohrvatski / српскохрватски   Suomi   Svenska   Tagalog   தமிழ்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29 December 2017 , at 08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</si>
  <si>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spanish possession did the united states purchase under the treaty of paris</t>
  </si>
  <si>
    <t xml:space="preserve"> The Treaty of Paris of 1898 was an agreement made in 1898 that involved Spain relinquishing nearly all of the remaining Spanish Empire , especially Cuba , and ceding Puerto Rico , Guam , and the Philippines to the United States . The cession of the Philippines involved a payment of $20 million from the United States to Spain . The treaty was signed on December 10 , 1898 , and ended the Spanish -- American War . The Treaty of Paris came into effect on April 11 , 1899 , when the documents of ratification were exchanged . </t>
  </si>
  <si>
    <t xml:space="preserve">Bryan Cranston - wikipedia  Bryan Cranston  Jump to : navigation , search    Bryan Cranston     Cranston at the 2014 Peabody Awards       ( 1956 - 03 - 07 ) March 7 , 1956 ( age 61 ) Hollywood , California , U.S.     Residence   Ventura County , California , U.S.     Other names   Lee Stone Phil Williams     Occupation   Actor , voice actor , producer , director , screenwriter     Years active   1980 -- present     Spouse ( s )   Mickey Middleton ( m . 1977 ; div. 1982 ) Robin Dearden ( m . 1989 )     Children       Bryan Lee Cranston ( born March 7 , 1956 ) is an American actor , voice actor , producer , director , and screenwriter . He is best known for portraying Walter White on the AMC crime drama series Breaking Bad , Hal on the Fox comedy series Malcolm in the Middle , and Dr. Tim Whatley on the NBC comedy series Seinfeld .   For Breaking Bad , Cranston won the Primetime Emmy Award for Outstanding Lead Actor in a Drama Series four times ( 2008 -- 2010 , 2014 ) , including three consecutive wins ( the second time in television history after Bill Cosby in I Spy during the 1960s ) . After becoming one of the producers of Breaking Bad in 2011 , he also won the award for Outstanding Drama Series twice .   Cranston was also nominated three times for the Outstanding Supporting Actor in a Comedy Series for his role in Malcolm in the Middle . His role in Breaking Bad also earned him five Golden Globe nominations and one win in 2014 , nine Screen Actors Guild Awards nominations with four wins , and six Satellite Awards nominations with four wins . In June 2014 , he won a Tony Award for Best Actor in a Play for his portrayal of Lyndon B. Johnson in the play All the Way on Broadway . He reprised his role in the television film of the same name , which debuted on HBO in May 2016 . For the film Trumbo ( 2015 ) , he received widespread acclaim and was nominated for the Academy Award for Best Actor .   Cranston has directed episodes of various television series , including seven episodes of Malcolm in the Middle , three episodes of Breaking Bad , two episodes of Modern Family , one episode of The Office , and one episode of Sneaky Pete . He has also appeared in several acclaimed films such as Saving Private Ryan ( 1998 ) , Little Miss Sunshine ( 2006 ) , Drive ( 2011 ) , Argo ( 2012 ) and Godzilla ( 2014 ) . In 2015 , Cranston , together with David Shore , executive produced and wrote the story for the Amazon Studios original crime drama Sneaky Pete , the pilot episode of which aired on August 7 , 2015 .     Contents  ( hide )   1 Early life   2 Career   3 Charity   4 Personal life   5 Filmography   6 Awards and nominations   7 References   8 External links      Early Life ( edit )   Bryan Lee Cranston was born on March 7 , 1956 in Hollywood , California , the second of three children born to Audrey Peggy ( née Sell ; 1923 -- 2004 ) , a radio actress , and Joseph Louis `` Joe '' Cranston ( 1924 -- 2014 ) , an actor and former amateur boxer . His father was of Austrian , German , Irish , and Jewish descent , while his maternal grandparents were German immigrants . He was raised in Canoga Park , California . Cranston 's father held many jobs before deciding to become an actor , but did not secure enough roles to provide for his family . He eventually walked out on the family when Cranston was 11 years old , and they did not see each other again until 11 years later , when Cranston and his brother decided to track their father down . Cranston was 22 at the time , and he and his father maintained a relationship until his father 's death in 2014 .   Cranston has claimed that he based his portrayal of Walter White on his own father , who had a slumped posture `` like the weight of the world was on his shoulders '' . After his father left , he was raised partly by his grandparents , living on their poultry farm in Yucaipa , California . He has called his parents `` broken people '' who were `` incapacitated as far as parenting '' -- they caused the family to lose their house in a foreclosure . During his preteen years , he encountered a young Charles Manson while riding horses at the Spahn Ranch . This happened about a year before Manson committed the Tate - LaBianca murders . Cranston graduated from Canoga Park High School , where he was a member of the school 's chemistry club , and earned an associate 's degree in police science from Los Angeles Valley College in 1976 .   Career ( edit )  Cranston in 2008  After college , Cranston began his acting career in local and regional theaters , getting his start at the Granada Theater in the San Fernando Valley . He had previously performed as a youth , but his show business parents had mixed feelings about their son being involved in the profession , so he did not continue until years later . Cranston was ordained as a minister by the Universal Life Church , and performed weddings for $150 a service to help with his income . He started working regularly in the late 1980s , mostly doing minor roles and advertisements . He was an original cast member of the ABC soap opera Loving , where he played Douglas Donovan from 1983 to 1985 . Cranston starred in the short - lived series Raising Miranda in 1988 . Cranston 's voice acting includes English dubbing of Japanese anime ( under the pseudonym Lee Stone ) , including Macross Plus and Armitage III : Poly - Matrix , and most notably , the children 's series Mighty Morphin Power Rangers . Cranston did voice work for the 1993 - 94 first season of that series , playing characters such as Twin Man and Snizzard , for which he was paid about $50.00 an hour for two or three hours of daily work . The Blue Power Ranger , Billy Cranston , was named for him .   From 1994 to 1997 , Cranston made a handful of appearances as Dr. Tim Whatley , Jerry 's dentist , on Seinfeld . In 1996 , he played his second astronaut when he portrayed Gus Grissom in the film That Thing You Do ! In 1997 , Cranston had a small role in Babylon 5 as Ericsson . In 1998 , Cranston appeared in an episode of The X-Files written by Vince Gilligan . That same year , he portrayed astronaut Buzz Aldrin in the HBO miniseries From the Earth to the Moon . In 1999 , Cranston wrote and directed the film Last Chance . That same year he made his second appearance for a recurring role on the CBS sitcom The King of Queens , playing Doug Heffernan 's neighbor , Tim Sacksky .   In 1998 , he appeared in Steven Spielberg 's Saving Private Ryan , as War Department Colonel I.W. Bryce , who insisted that Private Ryan be rescued . His theatrical credits include starring roles in The God of Hell , Chapter Two , The Taming of the Shrew , A Doll 's House , Barefoot in the Park , Eastern Standard , Wrestlers and The Steven Weed Show , for which he won a Drama - Logue Award . In 2000 , Cranston landed a leading role as Hal on the comedy series Malcolm in the Middle . He would remain with the show until its end in 2006 . Cranston ended up directing several episodes of the show and received three Primetime Emmy Award nominations for his performance . Cranston reprised his role in a cutaway gag during the Family Guy episode `` I Take Thee Quagmire '' , killing Lois ( his wife on Malcolm in the Middle ) with a refrigerator door , and in a leaked alternate ending of Breaking Bad with Jane Kaczmarek reprising her role as Lois .  Cranston at the 2012 San Diego Comic - Con International  He has had guest roles in many television series , including a white - collar criminal searching for his estranged wife and daughter on The Flash , a lawyer attempting to free the title character from a contract in Sabrina the Teenage Witch , and a bigoted man being driven insane by extremely low frequency sonar waves in The X-Files episode `` Drive '' . He also had a guest role in late 2006 on the CBS sitcom How I Met Your Mother , playing Ted Mosby 's obnoxious co-worker and former boss Hammond Druthers . He played Lucifer in the ABC Family miniseries Fallen and appeared as Nick Wrigley , an irresponsible uncle who accidentally brings Christmas close to destruction when he steals Santa 's sleigh to have a crazy ride , in the 2001 Disney Channel Original Movie ' Twas the Night . He appeared as the more successful business colleague of Greg Kinnear 's character in the film Little Miss Sunshine ( 2006 ) . In September 2008 , Cranston narrated a pre-teen adventure / fantasy audiobook called Adventures with Kazmir the Flying Camel .   From 2008 to 2013 , Cranston starred in the AMC series Breaking Bad , created by Vince Gilligan , in which he played Walter White , a high school chemistry teacher who is diagnosed with terminal lung cancer . Walter teams up with former student Jesse Pinkman ( played by Aaron Paul ) , to manufacture and sell methamphetamine to ensure the well - being of Walter 's family after he dies . Cranston 's work on the series was met with widespread critical acclaim , winning him the Primetime Emmy Award for Outstanding Lead Actor in a Drama Series in each of the show 's first three seasons and being nominated in 2012 and 2013 for seasons four and five ( winning again in 2014 for the second half of season 5 ) . Cranston and Bill Cosby are the only actors to have won the award three consecutive times . Cranston was also a producer for the fourth and fifth seasons of the series , and directed three episodes of the show during its run .  Cranston at the `` All the Way '' premiere at the LBJ Library in Austin  In 2011 , Cranston had supporting roles in three successful films , the drama The Lincoln Lawyer , as well as the thrillers Drive and Contagion . He voiced James Gordon in the animated film Batman : Year One ( 2011 ) . In 2012 , he had supporting roles in John Carter , Madagascar 3 : Europe 's Most Wanted as Vitaly the tiger , and Rock of Ages , and a major role in the hostage drama Argo . He also lent his voice to several episodes of the animated series Robot Chicken . In 2012 , he starred in the remake of the 1990 film Total Recall , as Chancellor Vilos Cohaagen , the corrupted president of a fictional war - ravaged United Federation of Britain . In the same year , he made a guest appearance as Kenneth Parcell 's step - father , Ron , on the NBC sitcom 30 Rock , and was invited to join the Academy of Motion Picture Arts and Sciences .   From September 2013 to June 2014 , Cranston played U.S. president Lyndon B. Johnson in the American Repertory Theater and Broadway productions of All the Way , in a performance that has received widespread acclaim , and he later won the Tony Award for Best Actor in a Play for the role . He also played scientist Joe Brody in the 2014 reboot of Godzilla .   Cranston has produced an instructional DVD called KidSmartz , which is designed to teach families how to stay safe from child abductors and Internet predators . KidSmartz raises money for the National Center for Missing &amp; Exploited Children by donating half the proceeds from sales . Also , following the success of Breaking Bad , the year 2014 saw reports of Cranston developing new TV projects in collaboration with Sony Pictures Television . In 2016 , it was announced that he would star in an episode of the Channel 4 / Amazon Video series Philip K. Dick 's Electric Dreams , and would also serve as an executive producer on the series .   On July 16 , 2014 , it was announced that Cranston would star in an HBO adaptation of his hit play All the Way . Steven Spielberg was set to be an executive producer on the film . Following the film 's premiere on May 21 , 2016 , Cranston 's performance was widely praised by critics , garnering eight Primetime Emmy Award nominations and a Television Critics Choice Award nomination . In 2015 , Cranston starred as screenwriter Dalton Trumbo in the biopic Trumbo , for which he received his first Academy award nomination .   In 2016 , Cranston voiced Li , the biological father of Po , in Kung Fu Panda 3 . Also that year , he appeared in many films , including The Infiltrator and Wakefield . Cranston 's memoir , A Life in Parts , was published on October 11 , 2016 , became a New York Times bestseller , and received positive reviews .   In 2017 , he voiced Zordon in Lionsgate 's Power Rangers , which marked his return to the franchise after providing voices for the series ' first season .   On January 27 , 2017 , it was announced that Cranston would star in a stage adaptation of the 1976 film Network playing Howard Beale , directed by Ivo van Hove at the Royal National Theatre in London , opening in November 2017 .   Charity ( edit )   In April 2014 , Cranston presented at Broadway Cares / Equity Fights AIDS Easter Bonnet Competition with Idina Menzel , Fran Drescher , and Denzel Washington , after raising donations at his Broadway show All the Way .   Personal Life ( edit )  Cranston and wife Robin Dearden , September 2008  From 1977 to 1982 , Cranston was married to writer Mickey Middleton . At 33 , he married Robin Dearden , whom he had met on the set of the series Airwolf in 1984 . He was playing the villain of the week and she played the hostage he held at gunpoint . Their daughter , Taylor Dearden Cranston ( born 1993 ) , is a theatre studies student at the University of Southern California and played an extra in the Breaking Bad episode `` No Mas '' , directed by her father . She played Ophelia Mayer in Sweet / Vicious .   Cranston played baseball when he was a student and remains a collector of baseball memorabilia and an avid fan of the Philadelphia Phillies and the Los Angeles Dodgers . When he accepted his third Primetime Emmy Award for Outstanding Lead Actor in a Drama Series , Cranston thanked his wife and daughter , and told them he loves them `` more than baseball '' . The family has a beach house in Ventura County , California , which Cranston designed . Cranston lived in Albuquerque , New Mexico while filming Breaking Bad . He was a co-owner of the former independent theater Cinemas Palme d'Or in Palm Desert , California .   To commemorate the final episode of Breaking Bad , Cranston and castmate Aaron Paul both got Breaking Bad tattoos on the last day of filming ; Cranston 's tattoo consists of the show 's logo on one of his fingers .   Filmography ( edit )  Main article : Bryan Cranston filmography  Awards and nominations ( edit )  Main article : List of awards and nominations received by Bryan Cranston  References ( edit )    ^ Jump up to : Higginbotham , Adam . `` Bryan Cranston , Breaking Badass '' . Men 's Journal . Retrieved August 2011   ^ Jump up to : `` Bryan Cranston '' . Primetime Emmy Award . Academy of Television Arts &amp; Sciences . Retrieved February 10 , 2014 .   Jump up ^ Gordon , Seth ( August 7 , 2015 ) . Sneaky Pete ( Web ) . Retrieved August 10 , 2015 .   Jump up ^ `` Monitor '' . Entertainment Weekly ( 1249 ) . Mar 8 , 2013 . p. 20 .   Jump up ^ `` Who Do You Think You Are ? US - Bryan Cranston '' .   ^ Jump up to : `` Bryan Cranston interview '' . GQ Magazine . May 2014 .   Jump up ^ `` Bryan Cranston Biography ( 1956 - ) '' . Film Reference . Advameg , Inc . Retrieved August 12 , 2011 .   ^ Jump up to : Reichardt , Nancy M. ( October 5 , 1983 ) . `` Soap star loves his craft '' . The Prescott Daily Courier . p. 3 . Retrieved February 8 , 2014 .   Jump up ^ Brady , Tara ( September 26 , 2011 ) . `` The many lives of Bryan '' . The Irish Times . Retrieved May 12 , 2012 . ( subscription required )   Jump up ^ `` Joseph Louis Cranston , `` California , County Marriages , 1850 -- 1952 '' `` . familysearch.org . Retrieved October 26 , 2013 .   Jump up ^ `` Tough Love - Bryan Cranston The Mortified Sessions '' . The Sundance Channel . February 3 , 2012 .   Jump up ^ Clark , Charles ( September 22 , 2013 ) . `` 10 Things About ... Bryan Cranston '' . Digital Spy . Retrieved February 10 , 2014 .   Jump up ^ `` Bryan Cranston puts fun in ' Panda 3 ' dad '' .   ^ Jump up to : Hiatt , Brian ( September 13 , 2013 ) . `` ' Breaking Bad ' Q&amp;A : Bryan Cranston on Walter White 's Morality '' . Rolling Stone . Retrieved September 23 , 2013 .   Jump up ^ Nerdist Podcast : `` Bryan Cranston Returns '' 10 August 2015   Jump up ^ breakingbadfunfacts : `` Cranston and Manson ? FUN FREAKY `` FAMILY '' FACT : 80 `` , 29 September 2014   Jump up ^ Eby , Margaret ( August 20 , 2013 ) . `` ' Breaking Bad ' star Bryan Cranston 's high school yearbook reveals chemistry club past : Long before he played meth kingpin Walter White on ' Breaking Bad , ' the actor was part of his high school science club '' . New York Daily News . Retrieved February 4 , 2015 .   Jump up ^ `` Breaking Bad - Bryan Cranston Interview '' . UGO . IGN Entertainment , Inc . March 2 , 2009 . Archived from the original on December 14 , 2013 . Retrieved February 8 , 2014 .   Jump up ^ `` Hollywood 's Hall of Famous ULC Ministers : Bryan Cranston '' , Universallifechurchministers.org   Jump up ^ Halle , Howard ( March 4 , 2009 ) . `` The Hot Seat : Bryan Cranston '' . TimeOut . Retrieved January 5 , 2016 .   Jump up ^ Plunkett , Luke ( October 3 , 2013 ) . `` Walter White 's Secret History Of Nerd Acting '' . Kotaku .   Jump up ^ Hinman , Michael ( January 16 , 2017 ) . `` History Brought Bryan Cranston Back To ' Power Rangers ' '' . GeekNation .   Jump up ^ Goldman , Eric ( September 26 , 2013 ) . `` Before Breaking Bad : Looking Back at Bryan Cranston 's Mighty Morphin Power Rangers Past '' . IGN .   Jump up ^ P. , Ken ( June 2 , 2012 ) . `` An Interview with Bryan Cranston '' . IGN . Archived from the original on May 25 , 2009 . Retrieved December 29 , 2011 .   Jump up ^ `` Bryan Cranston as Walter White '' . AMC Network Entertainment . Archived from the original on June 13 , 2014 . Retrieved July 9 , 2014 .   Jump up ^ `` Anytime with Bob Kushell feat . Bryan Cranston '' . Anytime with Bob Kushell . Season 2 . Episode 3 . March 31 , 2009 .   Jump up ^ M. , Maglio ( November 17 , 2013 ) . `` ' Breaking Bad ' Gets ' Malcolm in the Middle ' Alternative Ending , Blooper Reel ( Video ) '' . WRAP . Retrieved May 7 , 2014 .   Jump up ^ `` Adventures with Kazmir the Flying Camel Audiobook '' . Camel Back Publishing . 2008 . Retrieved April 5 , 2009 .   Jump up ^ Kit , Borys ( April 20 , 2011 ) . `` ' Batman : Year One ' Lines Up Voice Cast , Sets Comic - Con Premiere ( Exclusive ) '' . The Hollywood Reporter .   Jump up ^ Hoevel , Ann ( January 7 , 2011 ) . `` Seth Green talks ' Robot Chicken , ' Lucas and ' Buffy ' '' . CNN . Retrieved December 29 , 2011 .   Jump up ^ `` Academy Invites 176 to Membership '' . Oscars.org . June 29 , 2012 . Retrieved January 19 , 2013 .   Jump up ^ Stasio , Marilyn ( March 7 , 2014 ) . `` Bryan Cranston owns the role of LBJ in this beautifully built dramatic piece . '' . Variety . Retrieved March 14 , 2014 .   Jump up ^ Jones , Chris ( March 10 , 2014 ) . `` ' Breaking Bad ' star Bryan Cranston gets his hooks into LBJ '' . The Chicago Tribune . Retrieved March 14 , 2014 .   Jump up ^ Isherwood , Charles ( September 25 , 2013 ) . `` An Arm - Twister in the Oval Office : ' All the Way ' Stars Bryan Cranston as Lyndon B. Johnson '' . The New York Times . Retrieved March 15 , 2014 .   Jump up ^ `` All The Way Broadway '' . American Repertory Theater . 2014 . Retrieved February 18 , 2014 .   Jump up ^ Thomas , Sarah ( February 26 , 2014 ) . `` Can Bryan Cranston resurrect Godzilla ? '' . Sydney Morning Herald . Retrieved March 7 , 2014 .   Jump up ^ Jeffery , Morgan . `` ' Breaking Bad ' star Bryan Cranston ' developing new TV projects ' '' . Digital Spy .   Jump up ^ Cynthia Littleton . `` Amazon Grabs U.S. Rights to Bryan Cranston 's ' Philip K. Dick 's Electric Dreams ' Anthology Series '' . Variety .   Jump up ^ Nellie Andreeva . `` ' Philip K. Dick 's Electric Dreams ' TV Series From Ron Moore , Michael Dinner &amp; Bryan Cranston Picked Up By Amazon '' . Deadline .   Jump up ^ Bacle , Ariana ( January 17 , 2015 ) `` Bryan Cranston to star in HBO adaptation of Broadway 's ' All the Way ' `` , Ew.com .   Jump up ^ `` 68th Primetime Emmy Awards Presented Tonight Playbill '' . Playbill . Retrieved 2017 - 02 - 22 .   Jump up ^ `` Trumbo 's Bryan Cranston furiously watchable : review - Toronto Star '' .   Jump up ^ DreamWorks Animation ( April 9 , 2013 ) . `` DreamWorks Animation Packs A Powerful Punch With New Cast Additions For Kung Fu Panda 3 '' ( Press release ) . PR Newswire . Retrieved June 23 , 2016 .   Jump up ^ `` A Life in Parts '' .   Jump up ^ Simon , Phil ( September 17 , 2016 ) . `` ' A Life in Parts ' by Bryan Cranston '' .   Jump up ^ Carroll , Steven ( November 25 , 2016 ) . `` A Life in Parts review : How Bryan Cranston was destined for Breaking Bad '' -- via The Sydney Morning Herald .   Jump up ^ Viscardi , James ( June 21 , 2016 ) . `` Power Rangers : Bryan Cranston Cast As Zordon '' . Comicbook.com . Retrieved June 21 , 2016 .   Jump up ^ http://www.bbc.co.uk/news/entertainment-arts-38770216   Jump up ^ `` PHOTOS : James Franco , Idina Menzel , and Fran Drescher Get Into the Easter Bonnet Competition '' , Queerty.com .   Jump up ^ `` Bryan Cranston '' . hollywoodlife.com . Retrieved October 26 , 2013 .   Jump up ^ `` Bryan Cransten wife Robin Dearden , Cranston once farmed and killed a young duckling family outright '' . wagcelebrity.com . August 29 , 2013 . Retrieved September 19 , 2013 .   Jump up ^ `` PHOTO : Breaking Bad 's Walter White In A Phillies Jersey '' . Philadelphia.cbslocal.com . October 10 , 2013 . Retrieved December 4 , 2013 .   Jump up ^ Amanda Dameron ( June 13 , 2013 ) . `` Actor Bryan Cranston 's Green Beach House Renovation '' . Dwell . Retrieved March 25 , 2014 .   Jump up ^ Adams , Sam . `` Bryan Cranston on seeing red , going black and being a chameleon '' . Weekly Alibi . Retrieved August 2011   Jump up ^ Fessier , Bruce . `` Bryan Cranston dishes about playing the villain on AMC 's ' Breaking Bad ' '' . The Desert Sun . Archived from the original on July 18 , 2012 . Retrieved July 2012   Jump up ^ Buck , Fielding ( 2016 - 06 - 30 ) . `` PALM DESERT : Tristone will reopen Palme d'Or multiplex on July 3 '' . The Press Enterprise . Retrieved 2016 - 11 - 19 .   Jump up ^ Stark , George ( 16 July 2013 ) . `` Breaking Bad boys ! Bryan Cranston reveals he and Aaron Paul had commemorative TATTOOS to mark the series finale '' . Daily Mail . DMG Media . Daily Mail and General Trust . Retrieved 18 May 2016 .   Jump up ^ Castillo , Michelle ( 5 August 2013 ) . `` '' Breaking Bad '' Bryan Cranston got new tattoo to shock wife `` . CBS Interactive . CBS Corporation . Retrieved 18 May 2016 .    External links ( edit )       Wikimedia Commons has media related to Bryan Cranston .      Bryan Cranston on Twitter   Bryan Cranston on IMDb   Bryan Cranston at the TCM Movie Database   Bryan Cranston at AllMovie   Bryan Cranston at Rotten Tomatoes   Bryan Cranston discusses Breaking Bad at AMCtv.com      Awards for Bryan Cranston                Critics ' Choice Television Award for Best Actor in a Drama Series       Jon Hamm ( 2011 )   Bryan Cranston ( 2012 )   Bryan Cranston ( 2013 )   Matthew McConaughey ( 2014 )   Bob Odenkirk ( 2015 )   Rami Malek ( 2016 )   Bob Odenkirk ( 2016 )                 Drama Desk Award for Outstanding Actor in a Play       Anthony Hopkins ( 1975 )   John Wood ( 1976 )   Al Pacino ( 1977 )   Barnard Hughes ( 1978 )   Philip Anglim ( 1979 )   John Rubinstein ( 1980 )   Ian McKellen ( 1981 )   Christopher Plummer ( 1982 )   Harvey Fierstein ( 1983 )   Dustin Hoffman ( 1984 )   John Lithgow ( 1985 )   Ed Harris ( 1986 )   James Earl Jones ( 1987 )   Ron Silver ( 1988 )   Philip Bosco ( 1989 )   Nathan Lane ( 1990 )   Ron Rifkin ( 1991 )   Brian Bedford ( 1992 )   Ron Leibman ( 1993 )   Brian Bedford ( 1994 )   Ralph Fiennes ( 1995 )   Frank Langella ( 1996 )   David Morse / Christopher Plummer ( 1997 )   Anthony LaPaglia ( 1998 )   Brian Dennehy ( 1999 )   Stephen Dillane ( 2000 )   Richard Easton ( 2001 )   Alan Bates ( 2002 )   Eddie Izzard ( 2003 )   Kevin Kline ( 2004 )   Brían F. O'Byrne ( 2005 )   Richard Griffiths ( 2006 )   Frank Langella ( 2007 )   Mark Rylance ( 2008 )   Geoffrey Rush ( 2009 )   Liev Schreiber ( 2010 )   Bobby Cannavale ( 2011 )   James Corden ( 2012 )   Tracy Letts ( 2013 )   Bryan Cranston ( 2014 )   Alex Sharp ( 2015 )   Frank Langella ( 2016 )   Kevin Kline ( 2017 )                 Golden Globe Award for Best Actor -- Television Series Drama       Mike Connors ( 1969 )   Peter Graves ( 1970 )   Robert Young ( 1971 )   Peter Falk ( 1972 )   James Stewart ( 1973 )   Telly Savalas ( 1974 )   Robert Blake / Telly Savalas ( 1975 )   Richard Jordan ( 1976 )   Edward Asner ( 1977 )   Michael Moriarty ( 1978 )   Edward Asner ( 1979 )   Richard Chamberlain ( 1980 )   Daniel J. Travanti ( 1981 )   John Forsythe ( 1982 )   John Forsythe ( 1983 )   Tom Selleck ( 1984 )   Don Johnson ( 1985 )   Edward Woodward ( 1986 )   Richard Kiley ( 1987 )   Ron Perlman ( 1988 )   Ken Wahl ( 1989 )   Kyle MacLachlan ( 1990 )   Scott Bakula ( 1991 )   Sam Waterston ( 1992 )   David Caruso ( 1993 )   Dennis Franz ( 1994 )   Jimmy Smits ( 1995 )   David Duchovny ( 1996 )   Anthony Edwards ( 1997 )   Dylan McDermott ( 1998 )   James Gandolfini ( 1999 )   Martin Sheen ( 2000 )   Kiefer Sutherland ( 2001 )   Michael Chiklis ( 2002 )   Anthony LaPaglia ( 2003 )   Ian McShane ( 2004 )   Hugh Laurie ( 2005 )   Hugh Laurie ( 2006 )   Jon Hamm ( 2007 )   Gabriel Byrne ( 2008 )   Michael C. Hall ( 2009 )   Steve Buscemi ( 2010 )   Kelsey Grammer ( 2011 )   Damian Lewis ( 2012 )   Bryan Cranston ( 2013 )   Kevin Spacey ( 2014 )   Jon Hamm ( 2015 )   Billy Bob Thornton ( 2016 )                 Primetime Emmy Award for Outstanding Lead Actor in a Drama Series       Robert Young ( 1956 )   Robert Young ( 1957 )   Raymond Burr ( 1959 )   Robert Stack ( 1960 )   Raymond Burr ( 1961 )   E.G. Marshall ( 1962 )   E.G. Marshall ( 1963 )   Bill Cosby ( 1966 )   Bill Cosby ( 1967 )   Bill Cosby ( 1968 )   Carl Betz ( 1969 )   Robert Young ( 1970 )   Hal Holbrook ( 1971 )   Peter Falk ( 1972 )   Richard Thomas ( 1973 )   Telly Savalas ( 1974 )   Robert Blake ( 1975 )   Peter Falk ( 1976 )   James Garner ( 1977 )   Ed Asner ( 1978 )   Ron Leibman ( 1979 )   Ed Asner ( 1980 )   Daniel J. Travanti ( 1981 )   Daniel J. Travanti ( 1982 )   Ed Flanders ( 1983 )   Tom Selleck ( 1984 )   William Daniels ( 1985 )   William Daniels ( 1986 )   Bruce Willis ( 1987 )   Richard Kiley ( 1988 )   Carroll O'Connor ( 1989 )   Peter Falk ( 1990 )   James Earl Jones ( 1991 )   Christopher Lloyd ( 1992 )   Tom Skerritt ( 1993 )   Dennis Franz ( 1994 )   Mandy Patinkin ( 1995 )   Dennis Franz ( 1996 )   Dennis Franz ( 1997 )   Andre Braugher ( 1998 )   Dennis Franz ( 1999 )   James Gandolfini ( 2000 )   James Gandolfini ( 2001 )   Michael Chiklis ( 2002 )   James Gandolfini ( 2003 )   James Spader ( 2004 )   James Spader ( 2005 )   Kiefer Sutherland ( 2006 )   James Spader ( 2007 )   Bryan Cranston ( 2008 )   Bryan Cranston ( 2009 )   Bryan Cranston ( 2010 )   Kyle Chandler ( 2011 )   Damian Lewis ( 2012 )   Jeff Daniels ( 2013 )   Bryan Cranston ( 2014 )   Jon Hamm ( 2015 )   Rami Malek ( 2016 )   Sterling K. Brown ( 2017 )                 Satellite Award for Best Actor -- Miniseries or Television Film       Alan Rickman ( 1996 )   Gary Sinise ( 1997 )   Delroy Lindo ( 1998 )   William H. Macy ( 1999 )   James Woods ( 2000 )   Richard Dreyfuss ( 2001 )   William H. Macy ( 2002 )   James Woods ( 2003 )   Jamie Foxx ( 2004 )   Jonathan Rhys Meyers ( 2005 )   Bill Nighy ( 2006 )   David Oyelowo ( 2007 )   Paul Giamatti ( 2008 )   Brendan Gleeson ( 2009 )   Al Pacino ( 2010 )   Jason Isaacs ( 2011 )   Benedict Cumberbatch ( 2012 )   Michael Douglas ( 2013 )   Mark Ruffalo ( 2014 )   Mark Rylance ( 2015 )   Bryan Cranston ( 2016 )                 Satellite Award for Best Actor -- Television Series Drama       David Duchovny ( 1996 )   Jimmy Smits ( 1997 )   Ernie Hudson ( 1998 )   Martin Sheen ( 1999 )   Tim Daly ( 2000 )   Kiefer Sutherland ( 2001 )   Kiefer Sutherland ( 2002 )   Michael Chiklis ( 2003 )   Matthew Fox ( 2004 )   Hugh Laurie ( 2005 )   Hugh Laurie ( 2006 )   Michael C. Hall ( 2007 )   Bryan Cranston ( 2008 )   Bryan Cranston ( 2009 )   Bryan Cranston ( 2010 )   Timothy Olyphant ( 2011 )   Damian Lewis ( 2012 )   Bryan Cranston ( 2013 )   Clive Owen ( 2014 )   Dominic West ( 2015 )   Dominic West ( 2016 )                 Saturn Award for Best Actor on Television       Kyle Chandler ( 1996 )   Steven Weber ( 1997 )   Richard Dean Anderson ( 1998 )   David Boreanaz ( 1999 )   Robert Patrick ( 2000 )   Ben Browder ( 2001 )   David Boreanaz ( 2002 )   David Boreanaz ( 2003 )   Ben Browder ( 2004 )   Matthew Fox ( 2005 )   Michael C. Hall ( 2006 )   Matthew Fox ( 2007 )   Edward James Olmos ( 2008 )   Josh Holloway ( 2009 )   Stephen Moyer ( 2010 )   Bryan Cranston ( 2011 )   Kevin Bacon / Bryan Cranston ( 2012 )   Mads Mikkelsen ( 2013 )   Hugh Dancy / Andrew Lincoln ( 2014 )   Bruce Campbell ( 2015 )   Andrew Lincoln ( 2016 )                 Screen Actors Guild Award for Outstanding Performance by a Cast in a Motion Picture ( 2011 -- 2020 )     2011     The Help   Jessica Chastain , Viola Davis , Bryce Dallas Howard , Allison Janney , Chris Lowell , Ahna O'Reilly , Sissy Spacek , Octavia Spencer , Mary Steenburgen , Emma Stone , Cicely Tyson , Mike Vogel       2012     Argo   Ben Affleck , Alan Arkin , Kerry Bishé , Kyle Chandler , Rory Cochrane , Bryan Cranston , Christopher Denham , Tate Donovan , Clea DuVall , Victor Garber , John Goodman , Scoot McNairy , Chris Messina       2013     American Hustle   Amy Adams , Christian Bale , Louis C.K. , Bradley Cooper , Jack Huston , Jennifer Lawrence , Alessandro Nivola , Michael Peña , Jeremy Renner , Elisabeth Röhm , Shea Whigham       2014     Birdman or ( The Unexpected Virtue of Ignorance )   Zach Galifianakis , Michael Keaton , Edward Norton , Andrea Riseborough , Amy Ryan , Emma Stone , Naomi Watts       2015     Spotlight   Billy Crudup , Brian d'Arcy James , Michael Keaton , Rachel McAdams , Mark Ruffalo , Liev Schreiber , John Slattery , Stanley Tucci       2016     Hidden Figures   Mahershala Ali , Kevin Costner , Kirsten Dunst , Taraji P. Henson , Aldis Hodge , Janelle Monáe , Jim Parsons , Glen Powell , Octavia Spencer         Complete list   ( 1995 -- 2000 )   ( 2001 -- 2010 )   ( 2011 -- 2020 )                 Screen Actors Guild Award for Outstanding Performance by an Ensemble in a Drama Series ( 2010 -- 2019 )     2010 : Boardwalk Empire , season 1     Antonacci   Buscemi   Coleman   Graham   de la Huerta   Laciura   Macdonald   Mol   Palladino   Piazza   Pitt   Shannon   Sparks   Stuhlbarg   Weiner   Whigham       2011 : Boardwalk Empire , season 2     Buscemi   Chianese   Clohessy   Coleman   Cox   J. Gallina   L. Gallina   Graham   Huston   Laciura   Lind   Macdonald   D. McTigue   R. McTigue   Mol   B. Noon   C. Noon   O'Rourke   Palladino   Pennewill   Piazza   Pitt   Shannon   Sparks   Stuhlbarg   Van Wagner   Whigham   Williams   Yusef       2012 : Downton Abbey , series 2     Bonneville   Boyle   Carmichael   Carter   Coyle   Dockery   Findlay   Finneran   Froggatt   Glen   Howes   James - Collier   Leech   Logan   McGovern   McShera   Nicol   Nuttall   Robb   Smith   Stevens   Wilton       2013 : Breaking Bad , season 5 , part II     Bowen   Brandt   Cranston   Crawford   Fletcher   Fraser   Gunn   Metzler   Mitte   Norris   Odenkirk   Paul   Plemons   Quezada   Rankin   Sane       2014 : Downton Abbey , series 4     Bonneville   Carmichael   Carter   Coyle   Dockery   Doyle   Froggatt   James   James - Collier   Leech   Logan   McGovern   McShera   Milne   Robb   Smith   Speleers   Theobold   Wilton       2015 : Downton Abbey , series 5     Bonneville   Carmichael   Carter   Cassidy   Coyle   Dockery   Doyle   Froggatt   James   James - Collier   Leech   Logan   McGovern   McShera   Nicol   Ovenden   Smith   Wilton       2016 : Stranger Things , season 1     Brown   Buono   Chrest   Dyer   Harbour   Heaton   Keery   Matarazzo   McLaughlin   Modine   Morgan   Reynolds   Ryder   Schnapp   Steger   Wolfhard         Complete list   ( 1994 -- 1999 )   ( 2000 -- 2009 )   ( 2010 -- present )                 Screen Actors Guild Award for Outstanding Performance by a Male Actor in a Drama Series       Dennis Franz ( 1994 )   Anthony Edwards ( 1995 )   Dennis Franz ( 1996 )   Anthony Edwards ( 1997 )   Sam Waterston ( 1998 )   James Gandolfini ( 1999 )   Martin Sheen ( 2000 )   Martin Sheen ( 2001 )   James Gandolfini ( 2002 )   Kiefer Sutherland ( 2003 )   Jerry Orbach ( 2004 )   Kiefer Sutherland ( 2005 )   Hugh Laurie ( 2006 )   James Gandolfini ( 2007 )   Hugh Laurie ( 2008 )   Michael C. Hall ( 2009 )   Steve Buscemi ( 2010 )   Steve Bus</t>
  </si>
  <si>
    <t xml:space="preserve">who played hal in malcolm in the middle</t>
  </si>
  <si>
    <t xml:space="preserve"> Bryan Lee Cranston ( born March 7 , 1956 ) is an American actor , voice actor , producer , director , and screenwriter . He is best known for portraying Walter White on the AMC crime drama series Breaking Bad , Hal on the Fox comedy series Malcolm in the Middle , and Dr. Tim Whatley on the NBC comedy series Seinfeld . </t>
  </si>
  <si>
    <t xml:space="preserve">Richard Keith ( actor ) - wikipedia  Richard Keith ( actor )  Jump to : navigation , search `` Little Ricky '' redirects here . For the Lucy fictional character , see Ricky Ricardo , Jr . For the football player , see Keith Thibodeaux ( American football ) .      This biography of a living person needs additional citations for verification . Please help by adding reliable sources . Contentious material about living persons that is unsourced or poorly sourced must be removed immediately , especially if potentially libelous or harmful . ( June 2013 ) ( Learn how and when to remove this template message )     Keith Thibodeaux ( born December 1 , 1950 ) is a former American child actor of television and film and musician , best known for playing Little Ricky on the television sitcom 's I Love Lucy and The Lucy - Desi Comedy Hour , his last name `` Thibodeaux '' which was Cajun French was changed by co-star Desi Arnaz , to `` Keith '' because his surname was more difficult to pronounce . He is the last living regular appearing cast member from I Love Lucy     Contents  ( hide )   1 Career   2 Personal life   3 References   4 External links      Career ( edit )  From left : Thibodeaux , Dinah Shore , Desi Arnaz , Jr. and Desi Arnaz , Sr. , 1960 .  Thibodeaux is a musician who showed skill on the drums at a young age . Thibodeaux was making $500 a week at the age of 3 , touring with the Horace Heidt Orchestra , when he was `` discovered '' by Desi Arnaz and Lucille Ball , who hired him for the role of `` Little Ricky '' on the I Love Lucy show because he looked so much like Desi . He frequently played the drums on the show .   Jan 19 , 1953 was the television birthday of Little Ricky Jr. , which was also the real birthday of her brother Desi Arnaz Jr . However , only two years later , the part of little Ricky was cast and played by five year old Thibodeaux .   According to Lucie Arnaz , who was interviewed on the TV show Archive of American Television he became like part of the family . `` Desi considered him his best friend and was responsible for teaching him the drums . He came over their house on many weekends and traveled with them during the summer . My mother kind of adopted him . He is in all of our home movies and photograph 's and was a great kid and still is . '' ( EmmyTVLegends.org )   As a child , he made numerous appearances on The Andy Griffith Show , between 1962 and 1966 , as Opie 's friend `` Johnny Paul Jason '' . He also accepted small roles on other popular television shows .   In 1969 , Thibodeaux joined the rock group David and the Giants who were based in Laurel , Mississippi . The group primarily toured throughout the South and enjoyed a few regional hits which were recorded in Muscle Shoals , Alabama . and were well known in the Northern Soul music scene in England . After turning 21 in 1971 , Keith received the final payment of $8000 , according to his autobiography Life After Lucy , from a trust fund set up during his days on I Love Lucy . He spent half of that payment on a sports car and the rest on sound equipment for the band and clothes , drugs , and whatever he wanted . He went through the whole $8000 in about two weeks according to his autobiography Life After Lucy .   Thibodeaux had developed a drug problem and left the band , which broke up . His difficulties led to his becoming a born - again Christian in 1974 . He witnessed to the leader of the band David Huff and the other members which later converted and the group got back together . The band released nearly ten albums in the 1980s and 1990s for CBS Priority Records ( Epic Records ) , The Benson Company , ABC Word Records ( Myrrh ) label , and the band 's own label Giant Records . David and the Giants released a live CD in 2014 titled Still Rockin . In 2017 the band was honored along with other notable Mississippi musicians by receiving `` The Jimmie '' ( Jimmie Rodgers Award ) for their musical contributions as Mississippi artists at a special concert at Peavey Electronics headquarters in Meridian , Ms .   A live concert CD / DVD was recorded in St. Louis , Mo. in August of 2017 celebrating 40 years of David and the Giants music .   In 1990 , he became the Executive Director for his wife 's company , Ballet Magnificat ! . The couple pioneered Ballet Magnificat ! Brasil a Dance company and Trainee Program in Curitiba , Brazil in 2017 .   Thibodeaux 's role in I Love Lucy is featured in the Lucille Ball -- Desi Arnaz Center in Jamestown , New York .   Personal Life ( edit )   Raised as a Roman Catholic , Thibodeaux went to school at St. Victor 's elementary in West Hollywood and St. Jane Frances de Chantel in North Hollywood . He attended Notre Dame High in Sherman Oaks for two years before his parents separated in 1966 .   After his parents separated , Keith , his mother , and siblings moved back to Lafayette , Louisiana . He graduated from Lafayette High School where he continued to play drums in rock and rhythm and blues bands . He left Louisiana for Mississippi in late 1969 after going to college for a short period where he said he `` majored in drinking beer and playing pool '' to pursue a career with the band David and the Giants .   In 1976 , he met and married a ballet dancer named Kathy Denton in Jackson , Mississippi . The couple moved briefly to Southern California in 1977 where he was asked to join the pop band Starbuck famous for the late 70s hit `` Moonlight Feels Right '' .   After 2 weeks of rehearsals in Atlanta , Thibodeaux returned to Mississippi in 1978 , where he , his wife and daughter Tara ( born 1979 ) eventually settled in Jackson , Mississippi . Thibodeaux played with jazz bands locally for a brief time before joining a newly revamped Christian David and the Giants in 1979 .   His wife , Kathy , Founder and Artistic Director of Ballet Magnificat ! , was a former principal dancer of Ballet Mississippi who won a Silver Medal in the Senior Division of the 1982 II USA IBC International Ballet Competition   Their daughter , ( Tara ) , also a dancer and choreographer , was a semi-finalist at the age of 15 in the V USA IBC International Ballet Competition held in 1994 . In 2001 and 2002 she was an Atlanta Hawks cheerleader . She was awarded the prestigious Outstanding Choreographer Award at the 2017 Youth American Grand Prix in Chicago for her `` Dying Swan '' and has set choreography for Ballet Magnificat `` The Arrival '' and `` Stratagem '' . Currently teaching and training young dancers in Nashville , Tennessee . She married Bryce Drew in 2004 who is the head basketball coach of Vanderbilt University . He is famous for `` The Shot '' in the 1998 NCAA Sweet Sixteen Tournament . Drew was a 1st round draft pick in the NBA and played professionally for six seasons for the Chicago Bulls , Houston Rockets , and Charlotte Hornets .   Thibodeaux 's autobiography Life After Lucy was published in 1994 .   References ( edit )    Jump up ^ Heldenfels , Rich ( 2011 - 11 - 17 ) . `` Mailbag : What ever became of Little Ricky ? How did Stabler leave SVU ? '' . Akron Beacon - Journal . Retrieved 2011 - 11 - 18 .     Bernard , Shane ( 2003 ) . The Cajuns : Americanization of a People . University Press of Mississippi . ISBN 1 - 57806 - 523 - 2 .    External links ( edit )    Richard Keith on IMDb   Ballet Magnificat ! website   Keith Thibodeaux : best quotes   David and the Giants website   Keith Thibodeaux interview video at the Archive of American Television            VIAF : 41075384   LCCN : n94094975      Retrieved from `` https://en.wikipedia.org/w/index.php?title=Richard_Keith_(actor)&amp;oldid=804937634 '' Categories :   1950 births   Living people   American male child actors   American male film actors   American male television actors   American Christians   American male musicians   American musicians   Converts to Protestantism   Notre Dame High School ( Sherman Oaks , California ) alumni   Hidden categories :   BLP articles lacking sources from June 2013   All BLP articles lacking sources   Articles using Template : EmmyTVLegends name   Wikipedia articles with VIAF identifiers   Wikipedia articles with LCCN identifiers           Talk                                           Contents                   About Wikipedia                                                 Português   Edit links   This page was last edited on 12 October 2017 , at 01 : 22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</si>
  <si>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child who played little ricky on i love lucy</t>
  </si>
  <si>
    <t xml:space="preserve"> Keith Thibodeaux ( born December 1 , 1950 ) is a former American child actor of television and film and musician , best known for playing Little Ricky on the television sitcom 's I Love Lucy and The Lucy - Desi Comedy Hour , his last name `` Thibodeaux '' which was Cajun French was changed by co-star Desi Arnaz , to `` Keith '' because his surname was more difficult to pronounce . He is the last living regular appearing cast member from I Love Lucy </t>
  </si>
  <si>
    <t xml:space="preserve">World War II - wikipedia  World War II  Jump to : navigation , search `` The Second World War '' , `` WWII '' , and `` WW2 '' redirect here . For other uses , see The Second World War ( disambiguation ) and WWII ( disambiguation ) .    World War II     ( clockwise from top left )   Chinese forces in the Battle of Wanjialing   Australian 25 - pounder guns during the First Battle of El Alamein   German Stuka dive bombers on the Eastern Front in December 1943   American naval force in the Lingayen Gulf   Wilhelm Keitel signing the German Instrument of Surrender   Soviet troops in the Battle of Stalingrad          Date   1 September 1939 -- 2 September 1945 ( 1939 - 09 - 01 -- 1945 - 09 - 02 ) ( 7003219300000000000 ♠ 6 years and 1 day )     Location   Europe , Pacific , Atlantic , South - East Asia , China , Middle East , Mediterranean , North Africa and Horn of Africa , briefly North and South America     Result    Allied victory    Collapse of Nazi Germany   Fall of Japanese and Italian Empires   Dissolution of the League of Nations   Creation of the United Nations   Emergence of the United States and the Soviet Union as superpowers   Beginning of the Cold War ( more ... )          Participants     Allies   Axis     Commanders and leaders     Main Allied leaders   Joseph Stalin   Franklin D. Roosevelt   Winston Churchill   Chiang Kai - shek     Main Axis leaders   Adolf Hitler   Hirohito   Benito Mussolini       Casualties and losses       Military dead : Over 16,000,000   Civilian dead : Over 45,000,000   Total dead : Over 61,000,000 ( 1937 -- 45 )   ... further details     Military dead : Over 8,000,000   Civilian dead : Over 4,000,000   Total dead : Over 12,000,000 ( 1937 -- 45 )   ... further details               Campaigns of World War II     Europe   Poland   Phoney War   Winter War   Denmark &amp; Norway   France &amp; Benelux   Britain   Balkans   Eastern Front   Finland   Western Front ( 1944 -- 45 )    Pacific War    China   Pacific Ocean   South - East Asia   South West Pacific   Japan   Manchuria ( 1945 )    Mediterranean and Middle East    North Africa   Horn of Africa   Mediterranean Sea   Adriatic   Malta   Yugoslavia   Iraq   Syria -- Lebanon   Iran   Italy   Dodecanese   Southern France    Other campaigns    Atlantic   Arctic   Strategic bombing   America   French West Africa   Madagascar    Contemporaneous wars    Chinese Civil War   USSR -- Japan Border Wars   French -- Thai   Ecuadorian -- Peruvian War   Ili Rebellion         Events leading to World War II        Pacification of Libya   1923 -- 1932     Japanese invasion of Manchuria   1931     Franco - Soviet - Czech Pact   1935     Second Italo - Ethiopian War   1935 -- 36     Remilitarization of the Rhineland   1936     Spanish Civil War   1936 -- 39     Anti-Comintern Pact   1936     Second Sino - Japanese War   1937     Anschluss   1938     Munich crisis   1938     German occupation of Czechoslovakia   Mar. 1939     German ultimatum to Lithuania   Mar. 1939     British guarantee to Poland   Mar. 1939     Invasion of Albania   Apr. 1939     Pact of Steel   May 1939     Molotov -- Ribbentrop Pact   Aug. 1939                      World War II     Alphabetical indices         N O P Q R S T U V W X Y Z   0 -- 9       Navigation         Campaigns   Countries   Equipment       Lists   Outline   Timeline       Portal   Category   Bibliography                     World War II ( often abbreviated to WWII or WW2 ) , also known as the Second World War , was a global war that lasted from 1939 to 1945 , although related conflicts began earlier . It involved the vast majority of the world 's countries -- including all of the great powers -- eventually forming two opposing military alliances : the Allies and the Axis . It was the most widespread war in history , and directly involved more than 100 million people from over 30 countries . In a state of total war , the major participants threw their entire economic , industrial , and scientific capabilities behind the war effort , erasing the distinction between civilian and military resources .   World War II was the deadliest conflict in human history , marked by 50 million to 85 million fatalities , most of which were civilians in the Soviet Union and China . It included massacres , the deliberate genocide of the Holocaust , strategic bombing , starvation , disease and the first use of nuclear weapons in history .   The Empire of Japan aimed to dominate Asia and the Pacific and was already at war with the Republic of China in 1937 , but the world war is generally said to have begun on 1 September 1939 with the invasion of Poland by Nazi Germany and subsequent declarations of war on Germany by France and the United Kingdom . Supplied by the Soviet Union , from late 1939 to early 1941 , in a series of campaigns and treaties , Germany conquered or controlled much of continental Europe , and formed the Axis alliance with Italy and Japan . Under the Molotov -- Ribbentrop Pact of August 1939 , Germany and the Soviet Union partitioned and annexed territories of their European neighbours , Poland , Finland , Romania and the Baltic states . The war continued primarily between the European Axis powers and the coalition of the United Kingdom and the British Commonwealth , with campaigns including the North Africa and East Africa campaigns , the aerial Battle of Britain , the Blitz bombing campaign , the Balkan Campaign as well as the long - running Battle of the Atlantic . On 22 June 1941 , the European Axis powers launched an invasion of the Soviet Union , opening the largest land theatre of war in history , which trapped the major part of the Axis military forces into a war of attrition . In December 1941 , Japan attacked the United States and European colonies in the Pacific Ocean , and quickly conquered much of the Western Pacific .   The Axis advance halted in 1942 when Japan lost the critical Battle of Midway , and Germany and Italy were defeated in North Africa and then , decisively , at Stalingrad in the Soviet Union . In 1943 , with a series of German defeats on the Eastern Front , the Allied invasion of Sicily and the Allied invasion of Italy which brought about Italian surrender , and Allied victories in the Pacific , the Axis lost the initiative and undertook strategic retreat on all fronts . In 1944 , the Western Allies invaded German - occupied France , while the Soviet Union regained all of its territorial losses and invaded Germany and its allies . During 1944 and 1945 the Japanese suffered major reverses in mainland Asia in South Central China and Burma , while the Allies crippled the Japanese Navy and captured key Western Pacific islands .   The war in Europe concluded with an invasion of Germany by the Western Allies and the Soviet Union , culminating in the capture of Berlin by Soviet troops , the suicide of Adolf Hitler and the subsequent German unconditional surrender on 8 May 1945 . Following the Potsdam Declaration by the Allies on 26 July 1945 and the refusal of Japan to surrender under its terms , the United States dropped atomic bombs on the Japanese cities of Hiroshima and Nagasaki on 6 August and 9 August respectively . With an invasion of the Japanese archipelago imminent , the possibility of additional atomic bombings and the Soviet invasion of Manchuria , Japan formally surrendered on 2 September 1945 . Thus ended the war in Asia , cementing the total victory of the Allies .   World War II altered the political alignment and social structure of the world . The United Nations ( UN ) was established to foster international co-operation and prevent future conflicts . The victorious great powers -- China , France , the Soviet Union , the United Kingdom , and the United States -- became the permanent members of the United Nations Security Council . The Soviet Union and the United States emerged as rival superpowers , setting the stage for the Cold War , which lasted for the next 46 years . Meanwhile , the influence of European great powers waned , while the decolonisation of Africa and Asia began . Most countries whose industries had been damaged moved towards economic recovery . Political integration , especially in Europe , emerged as an effort to end pre-war enmities and to create a common identity .   Contents  ( hide )   1 Chronology   2 Background   2.1 Europe   2.2 Asia     3 Pre-war events   3.1 Italian invasion of Ethiopia ( 1935 )   3.2 Spanish Civil War ( 1936 -- 39 )   3.3 Japanese invasion of China ( 1937 )   3.4 Soviet -- Japanese border conflicts   3.5 European occupations and agreements     4 Course of the war   4.1 War breaks out in Europe ( 1939 -- 40 )   4.2 Western Europe ( 1940 -- 41 )   4.3 Mediterranean ( 1940 -- 41 )   4.4 Axis attack on the USSR ( 1941 )   4.5 War breaks out in the Pacific ( 1941 )   4.6 Axis advance stalls ( 1942 -- 43 )   4.6. 1 Pacific ( 1942 -- 43 )   4.6. 2 Eastern Front ( 1942 -- 43 )   4.6. 3 Western Europe / Atlantic &amp; Mediterranean ( 1942 -- 43 )     4.7 Allies gain momentum ( 1943 -- 44 )   4.8 Allies close in ( 1944 )   4.9 Axis collapse , Allied victory ( 1944 -- 45 )     5 Aftermath   6 Impact   6.1 Casualties and war crimes   6.2 Genocide , concentration camps , and slave labour   6.3 Occupation   6.4 Home fronts and production   6.5 Advances in technology and warfare     7 See also   8 Notes   9 Citations   10 References   11 Further reading   12 External links    Chronology  See also : Timeline of World War II    Timelines of World War II     Chronological     Prelude   ( in Asia   in Europe )         1939   1940   1941   1942   1943   1944   1945       By topic       Diplomacy     Engagements   Operations     Battle of Europe air operations   Eastern Front   Manhattan Project   United Kingdom home front                   The start of the war in Europe is generally held to be 1 September 1939 , beginning with the German invasion of Poland ; Britain and France declared war on Germany two days later . The dates for the beginning of war in the Pacific include the start of the Second Sino - Japanese War on 7 July 1937 , or even the Japanese invasion of Manchuria on 19 September 1931 .   Others follow the British historian A.J.P. Taylor , who held that the Sino - Japanese War and war in Europe and its colonies occurred simultaneously and the two wars merged in 1941 . This article uses the conventional dating . Other starting dates sometimes used for World War II include the Italian invasion of Abyssinia on 3 October 1935 . The British historian Antony Beevor views the beginning of World War II as the Battles of Khalkhin Gol fought between Japan and the forces of Mongolia and the Soviet Union from May to September 1939 .   The exact date of the war 's end is also not universally agreed upon . It was generally accepted at the time that the war ended with the armistice of 14 August 1945 ( V-J Day ) , rather than the formal surrender of Japan ( 2 September 1945 ) . A peace treaty with Japan was signed in 1951 . A treaty regarding Germany 's future allowed the reunification of East and West Germany to take place in 1990 and resolved other post-World War II issues .   Background  Main article : Causes of World War II  Europe   World War I had radically altered the political European map , with the defeat of the Central Powers -- including Austria - Hungary , Germany , Bulgaria and the Ottoman Empire -- and the 1917 Bolshevik seizure of power in Russia , which eventually led to the founding of the Soviet Union . Meanwhile , the victorious Allies of World War I , such as France , Belgium , Italy , Romania and Greece gained territory , and new nation - states were created out of the collapse of Austria - Hungary and the Ottoman and Russian Empires .  The League of Nations assembly , held in Geneva , Switzerland , 1930  To prevent a future world war , the League of Nations was created during the 1919 Paris Peace Conference . The organisation 's primary goals were to prevent armed conflict through collective security , military and naval disarmament , and settling international disputes through peaceful negotiations and arbitration .   Despite strong pacifist sentiment after World War I , its aftermath still caused irredentist and revanchist nationalism in several European states . These sentiments were especially marked in Germany because of the significant territorial , colonial , and financial losses incurred by the Treaty of Versailles . Under the treaty , Germany lost around 13 per cent of its home territory and all of its overseas possessions , while German annexation of other states was prohibited , reparations were imposed , and limits were placed on the size and capability of the country 's armed forces .   The German Empire was dissolved in the German Revolution of 1918 -- 1919 , and a democratic government , later known as the Weimar Republic , was created . The interwar period saw strife between supporters of the new republic and hardline opponents on both the right and left . Italy , as an Entente ally , had made some post-war territorial gains ; however , Italian nationalists were angered that the promises made by Britain and France to secure Italian entrance into the war were not fulfilled in the peace settlement . From 1922 to 1925 , the Fascist movement led by Benito Mussolini seized power in Italy with a nationalist , totalitarian , and class collaborationist agenda that abolished representative democracy , repressed socialist , left - wing and liberal forces , and pursued an aggressive expansionist foreign policy aimed at making Italy a world power , promising the creation of a `` New Roman Empire '' .  Adolf Hitler at a German National Socialist political rally in Weimar , October 1930  Adolf Hitler , after an unsuccessful attempt to overthrow the German government in 1923 , eventually became the Chancellor of Germany in 1933 . He abolished democracy , espousing a radical , racially motivated revision of the world order , and soon began a massive rearmament campaign . Meanwhile , France , to secure its alliance , allowed Italy a free hand in Ethiopia , which Italy desired as a colonial possession . The situation was aggravated in early 1935 when the Territory of the Saar Basin was legally reunited with Germany and Hitler repudiated the Treaty of Versailles , accelerated his rearmament programme , and introduced conscription .   To contain Germany , the United Kingdom , France and Italy formed the Stresa Front in April 1935 ; however , that June , the United Kingdom made an independent naval agreement with Germany , easing prior restrictions . The Soviet Union , concerned by Germany 's goals of capturing vast areas of Eastern Europe , drafted a treaty of mutual assistance with France . Before taking effect though , the Franco - Soviet pact was required to go through the bureaucracy of the League of Nations , which rendered it essentially toothless . The United States , concerned with events in Europe and Asia , passed the Neutrality Act in August of the same year .   Hitler defied the Versailles and Locarno treaties by remilitarising the Rhineland in March 1936 , encountering little opposition . In October 1936 , Germany and Italy formed the Rome -- Berlin Axis . A month later , Germany and Japan signed the Anti-Comintern Pact , which Italy would join in the following year .   Asia   The Kuomintang ( KMT ) party in China launched a unification campaign against regional warlords and nominally unified China in the mid-1920s , but was soon embroiled in a civil war against its former Chinese Communist Party allies and new regional warlords . In 1931 , an increasingly militaristic Empire of Japan , which had long sought influence in China as the first step of what its government saw as the country 's right to rule Asia , used the Mukden Incident as a pretext to launch an invasion of Manchuria and establish the puppet state of Manchukuo .   Too weak to resist Japan , China appealed to the League of Nations for help . Japan withdrew from the League of Nations after being condemned for its incursion into Manchuria . The two nations then fought several battles , in Shanghai , Rehe and Hebei , until the Tanggu Truce was signed in 1933 . Thereafter , Chinese volunteer forces continued the resistance to Japanese aggression in Manchuria , and Chahar and Suiyuan . After the 1936 Xi'an Incident , the Kuomintang and communist forces agreed on a ceasefire to present a united front to oppose Japan .   Pre-war events   Italian invasion of Ethiopia ( 1935 )  Main article : Second Italo - Ethiopian War Italian soldiers recruited in 1935 , on their way to fight the Second Italo - Abyssinian War  The Second Italo -- Abyssinian War was a brief colonial war that began in October 1935 and ended in May 1936 . The war began with the invasion of the Ethiopian Empire ( also known as Abyssinia ) by the armed forces of the Kingdom of Italy ( Regno d'Italia ) , which was launched from Italian Somaliland and Eritrea . The war resulted in the military occupation of Ethiopia and its annexation into the newly created colony of Italian East Africa ( Africa Orientale Italiana , or AOI ) ; in addition it exposed the weakness of the League of Nations as a force to preserve peace . Both Italy and Ethiopia were member nations , but the League did nothing when the former clearly violated the League 's Article X . Germany was the only major European nation to support the invasion . Italy subsequently dropped its objections to Germany 's goal of absorbing Austria .   Spanish civil War ( 1936 -- 39 )  Main article : Spanish Civil War The bombing of Guernica in 1937 , during the Spanish Civil War , sparked Europe - wide fears that the next war would be based on bombing of cities with very high civilian casualties  When civil war broke out in Spain , Hitler and Mussolini lent military support to the Nationalist rebels , led by General Francisco Franco . The Soviet Union supported the existing government , the Spanish Republic . Over 30,000 foreign volunteers , known as the International Brigades , also fought against the Nationalists . Both Germany and the USSR used this proxy war as an opportunity to test in combat their most advanced weapons and tactics . The Nationalists won the civil war in April 1939 ; Franco , now dictator , remained officially neutral during Second World War but generally favoured the Axis . His greatest collaboration with Germany was the sending of volunteers to fight on the Eastern Front .   Japanese invasion of China ( 1937 )  Main article : Second Sino - Japanese War Japanese Imperial Army soldiers during the Battle of Shanghai , 1937  In July 1937 , Japan captured the former Chinese imperial capital of Peking after instigating the Marco Polo Bridge Incident , which culminated in the Japanese campaign to invade all of China . The Soviets quickly signed a non-aggression pact with China to lend materiel support , effectively ending China 's prior co-operation with Germany . From September to November , the Japanese attacked Taiyuan , as well as engaging the Kuomintang Army around Xinkou and Communist forces in Pingxingguan . Generalissimo Chiang Kai - shek deployed his best army to defend Shanghai , but , after three months of fighting , Shanghai fell . The Japanese continued to push the Chinese forces back , capturing the capital Nanking in December 1937 . After the fall of Nanking , tens of thousands if not hundreds of thousands of Chinese civilians and disarmed combatants were murdered by the Japanese .   In March 1938 , Nationalist Chinese forces won their first major victory at Taierzhuang but then the city of Xuzhou was taken by Japanese in May . In June 1938 , Chinese forces stalled the Japanese advance by flooding the Yellow River ; this manoeuvre bought time for the Chinese to prepare their defences at Wuhan , but the city was taken by October . Japanese military victories did not bring about the collapse of Chinese resistance that Japan had hoped to achieve ; instead the Chinese government relocated inland to Chongqing and continued the war .   Soviet -- Japanese border conflicts  Red Army artillery unit during the Battle of Lake Khasan , 1938 Main article : Soviet -- Japanese border conflicts  In the mid-to - late 1930s , Japanese forces in Manchukuo had sporadic border clashes with the Soviet Union and the Mongolian People 's Republic . The Japanese doctrine of Hokushin - ron , which emphasised Japan 's expansion northward , was favoured by the Imperial Army during this time . With the Japanese defeat at Khalkin Gol in 1939 , the ongoing Second Sino - Japanese War and ally Nazi Germany pursuing neutrality with the Soviets , this policy would prove difficult to maintain . Japan and the Soviet Union eventually signed a Neutrality Pact in April 1941 , and Japan adopted the doctrine of Nanshin - ron , promoted by the Navy , which took its focus southward , eventually leading to its war with the United States and the Western Allies .   European occupations and agreements  Further information : Anschluss , Appeasement , Munich Agreement , German occupation of Czechoslovakia , and Molotov -- Ribbentrop Pact Chamberlain , Daladier , Hitler , Mussolini , and Ciano pictured just before signing the Munich Agreement , 29 September 1938  In Europe , Germany and Italy were becoming more aggressive . In March 1938 , Germany annexed Austria , again provoking little response from other European powers . Encouraged , Hitler began pressing German claims on the Sudetenland , an area of Czechoslovakia with a predominantly ethnic German population ; and soon Britain and France followed the counsel of British Prime Minister Neville Chamberlain and conceded this territory to Germany in the Munich Agreement , which was made against the wishes of the Czechoslovak government , in exchange for a promise of no further territorial demands . Soon afterwards , Germany and Italy forced Czechoslovakia to cede additional territory to Hungary and Poland annexed Czechoslovakia 's Zaolzie region .   Although all of Germany 's stated demands had been satisfied by the agreement , privately Hitler was furious that British interference had prevented him from seizing all of Czechoslovakia in one operation . In subsequent speeches Hitler attacked British and Jewish `` war - mongers '' and in January 1939 secretly ordered a major build - up of the German navy to challenge British naval supremacy . In March 1939 , Germany invaded the remainder of Czechoslovakia and subsequently split it into the German Protectorate of Bohemia and Moravia and a pro-German client state , the Slovak Republic . Hitler also delivered an ultimatum to Lithuania , forcing the concession of the Klaipėda Region .   Greatly alarmed and with Hitler making further demands on the Free City of Danzig , Britain and France guaranteed their support for Polish independence ; when Italy conquered Albania in April 1939 , the same guarantee was extended to Romania and Greece . Shortly after the Franco - British pledge to Poland , Germany and Italy formalised their own alliance with the Pact of Steel . Hitler accused Britain and Poland of trying to `` encircle '' Germany and renounced the Anglo - German Naval Agreement and the German -- Polish Non-Aggression Pact .  German Foreign Minister Joachim von Ribbentrop ( right ) and the Soviet leader Joseph Stalin , after signing the Molotov -- Ribbentrop Pact , 23 August 1939  In August 1939 , Germany and the Soviet Union signed the Molotov -- Ribbentrop Pact , a non-aggression treaty with a secret protocol . The parties gave each other rights to `` spheres of influence '' ( western Poland and Lithuania for Germany ; eastern Poland , Finland , Estonia , Latvia and Bessarabia for the USSR ) . It also raised the question of continuing Polish independence . The agreement was crucial to Hitler because it assured that Germany would not have to face the prospect of a two - front war , as it had in World War I , after it defeated Poland .   The situation reached a general crisis in late August as German troops continued to mobilise against the Polish border . In a private meeting with the Italian foreign minister , Count Ciano , Hitler asserted that Poland was a `` doubtful neutral '' that needed to either yield to his demands or be `` liquidated '' to prevent it from drawing off German troops in the future `` unavoidable '' war with the Western democracies . He did not believe Britain or France would intervene in the conflict . On 23 August Hitler ordered the attack to proceed on 26 August , but upon hearing that Britain had concluded a formal mutual assistance pact with Poland and that Italy would maintain neutrality , he decided to delay it .   In response to British requests for direct negotiations to avoid war , Germany made demands on Poland , which only served as a pretext to worsen relations . On 29 August , Hitler demanded that a Polish plenipotentiary immediately travel to Berlin to negotiate the handover of Danzig , and to allow a plebiscite in the Polish Corridor in which the German minority would vote on secession . The Poles refused to comply with the German demands and on the night of 30 -- 31 August in a violent meeting with the British ambassador Neville Henderson , Ribbentrop declared that Germany considered its claims rejected .   Course of the War  Further information : Diplomatic history of World War II  War breaks out in Europe ( 1939 -- 40 )  Main articles : Invasion of Poland , Phoney War , Occupation of Poland ( 1939 -- 45 ) , Nazi crimes against the Polish nation , Soviet invasion of Poland , and Soviet repressions of Polish citizens ( 1939 -- 1946 ) Soldiers of the German Wehrmacht tearing down the border crossing between Poland and the Free City of Danzig , 1 September 1939  On 1 September 1939 , Germany invaded Poland under the false pretext that the Poles had carried out a series of sabotage operations against German targets near the border . Two days later , on 3 September , after a British ultimatum to Germany to cease military operations was ignored , Britain and France , followed by the fully independent Dominions of the British Commonwealth -- Australia ( 3 September ) , Canada ( 10 September ) , New Zealand ( 3 September ) , and South Africa ( 6 September ) -- declared war on Germany . However , initially the alliance provided limited direct military support to Poland , consisting of a cautious , half - hearted French probe into the Saarland . The Western Allies also began a naval blockade of Germany , which aimed to damage the country 's economy and war effort . Germany responded by ordering U-boat warfare against Allied merchant and warships , which was to later escalate into the Battle of the Atlantic .  German tanks near the city of Bydgoszcz , during the Invasion of Poland September , 1939  On 17 September 1939 , after signing a cease - fire with Japan , the Soviets invaded Poland from the east . The Polish army was defeated and Warsaw surrendered to the Germans on 27 September with final pockets of resistance surrendering on 6 October . Poland 's territory was divided between Germany and the Soviet Union , with Lithuania and Slovakia also receiving small shares . After the defeat of Poland 's armed forces , the Polish resistance established an Underground State and a partisan Home Army . About 100,000 Polish military personnel were evacuated to Romania and the Baltic countries ; many of these soldiers later fought against the Germans in other theatres of the war . Poland 's Enigma codebreakers were also evacuated to France .   On 6 October , Hitler made a public peace overture to Britain and France , but said that the future of Poland was to be determined exclusively by Germany and the Soviet Union . Chamberlain rejected this on 12 October , saying `` Past experience has shown that no reliance can be placed upon the promises of the present German Government . '' After this rejection Hitler ordered an immediate offensive against France , but bad weather forced repeated postponements until the spring of 1940 .  German and Soviet army officers pictured shaking hands -- after Nazi Germany and Soviet Union annexed new territories in Eastern Europe , 1939  After signing the German -- Soviet Treaty of Friendship , Cooperation and Demarcation , the Soviet Union forced the Baltic countries -- Estonia , Latvia and Lithuania -- to allow it to station Soviet troops in their countries under pacts of `` mutual assistance '' . Finland rejected territorial demands , prompting a Soviet invasion in November 1939 . The resulting Winter War ended in March 1940 with Finnish concessions . Britain and France , treating the Soviet attack on Finland as tantamount to its entering the war on the side of the Germans , responded to the Soviet invasion by supporting the USSR 's expulsion from the League of Nations .   In June 1940 , the Soviet Union forcibly annexed Estonia , Latvia and Lithuania , and the disputed Romanian regions of Bessarabia , Northern Bukovina and Hertza . Meanwhile , Nazi - Soviet political rapprochement and economic co-operation gradually stalled , and both states began preparations for war .   Western Europe ( 1940 -- 41 )  Main article : Western Front ( World War II ) Map of the French Maginot Line  In April 1940 , Germany invaded Denmark and Norway to protect shipments of iron ore from Sweden , which the Allies were attempting to cut off by unilaterally mining neutral Norwegian waters . Denmark capitulated after a few hours , and despite Allied support , during which the important harbour of Narvik temporarily was recaptured from the Germans , Norway was conquered within two months . British discontent over the Norwegian campaign led to the replacement of the British Prime Minister , Neville Chamberlain , with Winston Churchill on 10 May 1940 .   Germany launched an offensive against France and , adhering to the Manstein Plan also attacked the neutral nations of Belgium , the Netherlands , and Luxembourg on 10 May 1940 . That same day British forces landed in Iceland and the Faroes to preempt a possible German invasion of the islands . The U.S. , in close co-operation with the Danish envoy to Washington D.C. , agreed to protect Greenland , laying the political framework for the formal establishment of bases in April 1941 . The Netherlands and Belgium were overrun using blitzkrieg tactics in a few days and weeks , respectively . The French - fortified Maginot Line and the main body of the Allied forces which had moved into Belgium were circumvented by a flanking movement through the thickly wooded Ardennes region , mistakenly perceived by Allied planners as an impenetrable natural barrier against armoured vehicles . As a result , the bulk of the Allied armies found themselves trapped in an encirclement and were beaten . The majority were taken prisoner , whilst over 300,000 , mostly British and French , were evacuated from the continent at Dunkirk by early June , although abandoning almost all of their equipment .   On 10 June , Italy invaded France , declaring war on both France and the United Kingdom . Paris fell to the Germans on 14 June and eight days later France signed an armistice with Germany and was soon divided into German and Italian occupation zones , and an unoccupied rump state under the Vichy Regime , which , though officially neutral , was generally aligned with Germany . France kept its fleet but the British feared the Germans would seize it , so on 3 July , the British attacked it .  View of London after the German Blitz , 29 December 1940  The Battle of Britain began in early July with Luftwaffe attacks on shipping and harbours . On 19 July , Hitler again publicly offered to end the war , saying he had no desire to destroy the British Empire . The United Kingdom rejected this ultimatum . The main German air superiority campaign started in August but failed to defeat RAF Fighter Command , and a proposed invasion was postponed indefinitely on 17 September . The German strategic bombing offensive intensified as night attacks on London and other cities in the Blitz , but largely failed to disrupt the British war effort .  German Luftwaffe , Heinkel He 111 bombers during the Battle of Britain  Using newly captured French ports , the German Navy enjoyed success against an over-extended Royal Navy , using U-boats against British shipping in the Atlantic . The British scored a significant victory on 27 May 1941 by sinking the German battleship Bismarck . Perhaps most importantly , during the Battle of Britain the Royal Air Force had successfully resisted the Luftwaffe 's assault , and the German bombing campaign largely ended in May 1941 .   Throughout this period </t>
  </si>
  <si>
    <t xml:space="preserve">when did world war 2 start in asia</t>
  </si>
  <si>
    <t xml:space="preserve"> The Empire of Japan aimed to dominate Asia and the Pacific and was already at war with the Republic of China in 1937 , but the world war is generally said to have begun on 1 September 1939 with the invasion of Poland by Nazi Germany and subsequent declarations of war on Germany by France and the United Kingdom . Supplied by the Soviet Union , from late 1939 to early 1941 , in a series of campaigns and treaties , Germany conquered or controlled much of continental Europe , and formed the Axis alliance with Italy and Japan . Under the Molotov -- Ribbentrop Pact of August 1939 , Germany and the Soviet Union partitioned and annexed territories of their European neighbours , Poland , Finland , Romania and the Baltic states . The war continued primarily between the European Axis powers and the coalition of the United Kingdom and the British Commonwealth , with campaigns including the North Africa and East Africa campaigns , the aerial Battle of Britain , the Blitz bombing campaign , the Balkan Campaign as well as the long - running Battle of the Atlantic . On 22 June 1941 , the European Axis powers launched an invasion of the Soviet Union , opening the largest land theatre of war in history , which trapped the major part of the Axis military forces into a war of attrition . In December 1941 , Japan attacked the United States and European colonies in the Pacific Ocean , and quickly conquered much of the Western Pacific . </t>
  </si>
  <si>
    <t xml:space="preserve">The Beatles - wikipedia  The Beatles  Jump to : navigation , search This article is about the band . For their eponymous ninth album , see The Beatles ( album ) . `` Fab Four '' redirects here . For other uses , see Fab Four ( disambiguation ) and The Beatles ( disambiguation ) .    The Beatles     The Beatles in 1964 . Clockwise from top left : John Lennon , Paul McCartney , Ringo Starr and George Harrison     Background information     Origin   Liverpool , England     Genres     Rock   pop       Years active   1960 -- 1970     Labels     Parlophone   Apple   Capitol       Associated acts     The Quarrymen   Billy Preston   Plastic Ono Band       Website   thebeatles.com         Past members     John Lennon   Paul McCartney   George Harrison   Ringo Starr   See members section for others     The Beatles were an English rock band formed in Liverpool in 1960 . With members John Lennon , Paul McCartney , George Harrison and Ringo Starr , they became widely regarded as the foremost and most influential act of the rock era . Rooted in skiffle , beat and 1950s rock and roll , the Beatles later experimented with several musical styles , ranging from pop ballads and Indian music to psychedelia and hard rock , often incorporating classical elements and unconventional recording techniques in innovative ways . In 1963 their enormous popularity first emerged as `` Beatlemania '' ; as the group 's music grew in sophistication , led by primary songwriters Lennon and McCartney , the band were integral to pop music 's development into an art form and came to be perceived as an embodiment of the ideals shared by the counterculture of the 1960s .   The Beatles built their reputation playing clubs in Liverpool and Hamburg over a three - year period from 1960 , with Stuart Sutcliffe initially serving as bass player . The core trio of Lennon , McCartney and Harrison went through a succession of drummers , including Pete Best , before asking Starr to join them in 1962 . Manager Brian Epstein moulded them into a professional act , and producer George Martin guided and developed their recordings , greatly expanding the group 's popularity in the United Kingdom after their first hit , `` Love Me Do '' , in late 1962 . They acquired the nickname `` the Fab Four '' as Beatlemania grew in Britain over the next year , and by early 1964 became international stars , leading the `` British Invasion '' of the United States pop market . From 1965 onwards , the Beatles produced increasingly innovative recordings , including the albums Rubber Soul ( 1965 ) , Revolver ( 1966 ) , Sgt . Pepper 's Lonely Hearts Club Band ( 1967 ) , The Beatles ( also known as the White Album , 1968 ) and Abbey Road ( 1969 ) . After their break - up in 1970 , they each enjoyed success as solo artists . McCartney and Starr , the surviving members , remain musically active . Lennon was shot and killed in December 1980 , and Harrison died of lung cancer in November 2001 .   The Beatles are the best - selling band in history , with estimated sales of over 800 million physical and digital albums worldwide . They have had more number - one albums on the British charts and sold more singles in the UK than any other act . They are also the best - selling music artists in the United States , with 178 million certified units . In 2008 , the group topped Billboard magazine 's list of the all - time most successful artists ; as of 2017 , they hold the record for most number - one hits on the Hot 100 chart with twenty . They have received seven Grammy Awards , an Academy Award for Best Original Song Score and fifteen Ivor Novello Awards . The group was inducted into the Rock and Roll Hall of Fame in 1988 , and all four main members were inducted individually from 1994 to 2015 . They were also collectively included in Time magazine 's compilation of the twentieth century 's 100 most influential people .     Contents  ( hide )   1 History   1.1 1957 -- 1962 : Formation , Hamburg , and UK popularity   1.2 1963 -- 1966 : Beatlemania and touring years   1.2. 1 Please Please Me and With the Beatles   1.2. 2 `` British Invasion ''   1.2. 3 A Hard Day 's Night   1.2. 4 Beatles for Sale , Help ! and Rubber Soul   1.2. 5 Controversy , final tour and Revolver     1.3 1966 -- 1970 : Studio years and break - up   1.3. 1 Sgt . Pepper 's Lonely Hearts Club Band   1.3. 2 Magical Mystery Tour , the White Album and Yellow Submarine   1.3. 3 Abbey Road , Let It Be and break - up     1.4 1970 -- present : After the break - up   1.4. 1 1970s   1.4. 2 1980s   1.4. 3 1990s   1.4. 4 2000s   1.4. 5 2010s       2 Musical style and development   2.1 Influences   2.2 Genres   2.3 Contribution of George Martin   2.4 In the studio     3 Legacy   4 Awards and achievements   5 Members   6 Discography   7 Song catalogue   8 Notes   9 Citations   10 Sources   11 Further reading   12 External links      History     History of the Beatles       The Quarrymen   In Hamburg   At The Cavern Club   Decca audition   Beatlemania   United Kingdom   United States     `` More popular than Jesus ''   In India   Break - up   Timeline                   1957 -- 1962 : formation , Hamburg , and UK popularity   In March 1957 , John Lennon , then aged sixteen , formed a skiffle group with several friends from Quarry Bank High School . They briefly called themselves the Blackjacks , before changing their name to the Quarrymen after discovering that a respected local group was already using the other name . Fifteen - year - old Paul McCartney joined as a rhythm guitarist shortly after he and Lennon met that July . In February 1958 , McCartney invited his friend George Harrison to watch the band . The fifteen - year - old auditioned for Lennon , impressing him with his playing , but Lennon initially thought Harrison was too young to join them . After a month of Harrison 's persistence , during a second meeting , arranged by McCartney , he performed the lead guitar part for the instrumental `` Raunchy '' on the upper deck of a Liverpool bus , and they enlisted him as their lead guitarist . By January 1959 , Lennon 's Quarry Bank friends had left the group , and he began studies at the Liverpool College of Art . The three guitarists , billing themselves at least three times as Johnny and the Moondogs , were playing rock and roll whenever they could find a drummer . Lennon 's art school friend Stuart Sutcliffe , who had recently sold one of his paintings and was persuaded to purchase a bass guitar , joined in January 1960 , and it was he who suggested changing the band 's name to Beatals , as a tribute to Buddy Holly and the Crickets . They used the name until May , when they became the Silver Beetles , before undertaking a brief tour of Scotland as the backing group for pop singer and fellow Liverpudlian Johnny Gentle . By early July , they had changed their name to the Silver Beatles and by the middle of August to the Beatles .   Allan Williams , the Beatles ' unofficial manager , arranged a residency for them in Hamburg , but lacking a full - time drummer they auditioned and hired Pete Best in mid-August 1960 . The band , now a five - piece , left four days later , contracted to club owner Bruno Koschmider for what would be a 31⁄2 - month residency . Beatles historian Mark Lewisohn writes : `` They pulled into Hamburg at dusk on 17 August , the time when the red - light area comes to life ... flashing neon lights screamed out the various entertainment on offer , while scantily clad women sat unabashed in shop windows waiting for business opportunities . ''   Koschmider had converted a couple of strip clubs in the district into music venues , and he initially placed the Beatles at the Indra Club . After closing the Indra due to noise complaints , he moved them to the Kaiserkeller in October . When he learned they had been performing at the rival Top Ten Club in breach of their contract , he gave the band one month 's termination notice , and reported the underage Harrison , who had obtained permission to stay in Hamburg by lying to the German authorities about his age . The authorities arranged for Harrison 's deportation in late November . One week later , Koschmider had McCartney and Best arrested for arson after they set fire to a condom in a concrete corridor ; the authorities deported them . Lennon returned to Liverpool in early December , while Sutcliffe remained in Hamburg until late February with his German fiancée Astrid Kirchherr , who took the first semi-professional photos of the Beatles .   During the next two years , the Beatles were resident for periods in Hamburg , where they used Preludin both recreationally and to maintain their energy through all - night performances . In 1961 , during their second Hamburg engagement , Kirchherr cut Sutcliffe 's hair in the `` exi '' ( existentialist ) style , later adopted by the other Beatles . When Sutcliffe decided to leave the band early that year and resume his art studies in Germany , McCartney took up the bass . Producer Bert Kaempfert contracted what was now a four - piece group until June 1962 , and he used them as Tony Sheridan 's backing band on a series of recordings for Polydor Records . As part of the sessions , the Beatles were signed to Polydor for one year . Credited to `` Tony Sheridan &amp; the Beat Brothers '' , the single `` My Bonnie '' , recorded in June 1961 and released four months later , reached number 32 on the Musikmarkt chart .   After the Beatles completed their second Hamburg residency , they enjoyed increasing popularity in Liverpool with the growing Merseybeat movement . However , they were also growing tired of the monotony of numerous appearances at the same clubs night after night . In November 1961 , during one of the group 's frequent performances at The Cavern Club , they encountered Brian Epstein , a local record - store owner and music columnist . He later recalled : `` I immediately liked what I heard . They were fresh , and they were honest , and they had what I thought was a sort of presence ... ( a ) star quality . '' Epstein courted the band over the next couple of months , and they appointed him as their manager in January 1962 . Throughout early and mid-1962 , Epstein sought to free the Beatles from their contractual obligations to Bert Kaempfert Productions . He eventually negotiated a one - month - early release from their contract in exchange for one last recording session in Hamburg . Tragedy greeted them on their return to Germany in April , when a distraught Kirchherr met them at the airport with news of Sutcliffe 's death the previous day from what would later be determined to have been a brain hemorrhage . Epstein began negotiations with record labels for a recording contract . In order to secure a UK record contract , Epstein negotiated an early end to the band 's contract with Polydor , in exchange for more recordings backing Tony Sheridan . After a New Year 's Day audition , Decca Records rejected the band with the comment `` Guitar groups are on the way out , Mr. Epstein . '' However , three months later , producer George Martin signed the Beatles to EMI 's Parlophone label .  Abbey Road Studios main entrance  Martin 's first recording session with the Beatles took place at EMI 's Abbey Road Studios in London on 6 June 1962 . Martin immediately complained to Epstein about Best 's poor drumming and suggested they use a session drummer in his place . Already contemplating Best 's dismissal , the Beatles replaced him in mid-August with Ringo Starr , who left Rory Storm and the Hurricanes to join them . A 4 September session at EMI yielded a recording of `` Love Me Do '' featuring Starr on drums , but a dissatisfied Martin hired drummer Andy White for the band 's third session a week later , which produced recordings of `` Love Me Do '' , `` Please Please Me '' and `` P.S. I Love You '' . Martin initially selected the Starr version of `` Love Me Do '' for the band 's first single , though subsequent re-pressings featured the White version , with Starr on tambourine . Released in early October , `` Love Me Do '' peaked at number seventeen on the Record Retailer chart . Their television debut came later that month with a live performance on the regional news programme People and Places . After Martin suggested rerecording `` Please Please Me '' at a faster tempo , a studio session in late November yielded that recording , of which Martin accurately predicted , `` You 've just made your first No. 1 . ''   In December 1962 , the Beatles concluded their fifth and final Hamburg residency . By 1963 , they had agreed that all four band members would contribute vocals to their albums -- including Starr , despite his restricted vocal range , to validate his standing in the group . Lennon and McCartney had established a songwriting partnership , and as the band 's success grew , their dominant collaboration limited Harrison 's opportunities as a lead vocalist . Epstein , in an effort to maximise the Beatles ' commercial potential , encouraged them to adopt a professional approach to performing . Lennon recalled him saying , `` Look , if you really want to get in these bigger places , you 're going to have to change -- stop eating on stage , stop swearing , stop smoking ... '' Lennon said : `` We used to dress how we liked , on and off stage . He 'd tell us that jeans were not particularly smart and could we possibly manage to wear proper trousers , but he did n't want us suddenly looking square . He 'd let us have our own sense of individuality . ''   1963 -- 1966 : Beatlemania and touring years  Please Please Me and with the Beatles Their logo was designed by Ivor Arbiter .  On 11 February 1963 , the Beatles recorded ten songs during a single studio session for their debut LP , Please Please Me . The album was supplemented by the four tracks already released on their first two singles . Martin originally considered recording the Beatles ' debut LP live at The Cavern Club , but after deciding that the building 's acoustics were inadequate , he elected to simulate a `` live '' album with minimal production in `` a single marathon session at Abbey Road '' . After the moderate success of `` Love Me Do '' , the single `` Please Please Me '' met with a more emphatic reception . Released in January 1963 , two months ahead of the album of the same name , the song reached number one on every chart in London except Record Retailer , where it peaked at number two . Recalling how the Beatles `` rushed to deliver a debut album , bashing out Please Please Me in a day '' , AllMusic 's Stephen Thomas Erlewine comments , `` Decades after its release , the album still sounds fresh , precisely because of its intense origins . '' Lennon said little thought went into composition at the time ; he and McCartney were `` just writing songs à la Everly Brothers , à la Buddy Holly , pop songs with no more thought of them than that -- to create a sound . And the words were almost irrelevant . ''       `` She Loves You '' Sample of `` She Loves You '' . The song 's repeated use of `` yeah '' exclamations became a signature phrase for the group at the time .     Problems playing this file ? See media help .     Released in March 1963 , the album initiated a run during which eleven of their twelve studio albums released in the United Kingdom through 1970 reached number one . The band 's third single , `` From Me to You '' , came out in April and was also a chart - topping hit , starting an almost unbroken string of seventeen British number - one singles for the Beatles , including all but one of the eighteen they released over the next six years . Issued in August , the band 's fourth single , `` She Loves You '' , achieved the fastest sales of any record in the UK up to that time , selling three - quarters of a million copies in under four weeks . It became their first single to sell a million copies , and remained the biggest - selling record in the UK until 1978 . Their commercial success brought increased media exposure , to which the Beatles responded with an irreverent and comical attitude that defied the expectations of pop musicians at the time , inspiring even more interest . The band toured the UK three times in the first half of the year : a four - week tour that began in February , the Beatles ' first nationwide , preceded three - week tours in March and May -- June . As their popularity spread , a frenzied adulation of the group took hold . Greeted with riotous enthusiasm by screaming fans , the press dubbed the phenomenon `` Beatlemania '' . Although not billed as tour leaders , the Beatles overshadowed American acts Tommy Roe and Chris Montez during the February engagements and assumed top billing `` by audience demand '' , something no British act had previously accomplished while touring with artists from the US . A similar situation arose during their May -- June tour with Roy Orbison .  McCartney , Harrison , Swedish pop singer Lill - Babs and Lennon on the set of the Swedish television show Drop - In , 30 October 1963  In late October , the Beatles began a five - day tour of Sweden , their first time abroad since the final Hamburg engagement of December 1962 . On their return to the UK on 31 October several hundred screaming fans greeted them in heavy rain at Heathrow Airport . Around 50 to 100 journalists and photographers as well as representatives from the BBC also joined the airport reception , the first of more than 100 such events . The next day , the band began its fourth tour of Britain within nine months , this one scheduled for six weeks . In mid-November , as Beatlemania intensified , police resorted to using high - pressure water hoses to control the crowd before a concert in Plymouth .   Please Please Me maintained the top position on the Record Retailer chart for 30 weeks , only to be displaced by its follow - up , With the Beatles , which EMI released on 22 November to record advance orders of 270,000 copies . The LP topped a half - million albums sold in one week . Recorded between July and October , With the Beatles made better use of studio production techniques than its predecessor . It held the top spot for 21 weeks with a chart life of 40 weeks . Erlewine described the LP as `` a sequel of the highest order -- one that betters the original '' . In a reversal of then standard practice , EMI released the album ahead of the impending single `` I Want to Hold Your Hand '' , with the song excluded to maximise the single 's sales . The album caught the attention of music critic William Mann of The Times , who suggested that Lennon and McCartney were `` the outstanding English composers of 1963 '' . The newspaper published a series of articles in which Mann offered detailed analyses of the music , lending it respectability . With the Beatles became the second album in UK chart history to sell a million copies , a figure previously reached only by the 1958 South Pacific soundtrack . When writing the sleeve notes for the album , the band 's press officer , Tony Barrow , used the superlative the `` fabulous foursome '' , which the media widely adopted as `` the Fab Four '' .  `` British Invasion '' Main article : The Beatles in the United States  EMI 's American subsidiary , Capitol Records , hindered the Beatles ' releases in the United States for more than a year by initially declining to issue their music , including their first three singles . Concurrent negotiations with the independent US label Vee - Jay led to the release of some of the songs in 1963 , but not all . Vee - Jay finished preparation for the album Introducing ... The Beatles , culled from most of the songs of Parlophone 's Please Please Me , but a management shake - up led to the album not being released . Then when it surfaced that the label did not report royalties on their sales , the licence Vee - Jay signed with EMI was voided . A new licence was granted to the Swan label for the single `` She Loves You '' . The record received some airplay in the Tidewater area of Virginia by Gene Loving of radio station WGH and was featured on the `` Rate - a-Record '' segment of American Bandstand , but it failed to catch on nationally .   Epstein arranged for a $40,000 US marketing campaign . American chart success began after disc jockey Carroll James of AM radio station WWDC ( now WWRC ) in Washington , DC first played `` I Want to Hold Your Hand '' in mid-December 1963 . It was not until the end of the first week of January 1964 that their records were played in New York City ( also accompanied by a major marketing campaign and with similar play frequency ) , and then the rest of the country , initiating their music 's spread across US radio . This caused an increase in demand , leading Capitol to rush - release `` I Want to Hold Your Hand '' later that month . Issued on 26 December 1963 , with the band 's previously scheduled debut there just weeks away , `` I Want to Hold Your Hand '' sold a million copies , becoming a number - one hit in the US by mid-January . In its wake , Vee - Jay released Introducing ... The Beatles to go along with Capitol 's debut album , Meet the Beatles ! , while Swan reactivated production of `` She Loves You '' .  The Beatles arriving at John F. Kennedy International Airport , 7 February 1964  On 7 February 1964 , the Beatles left the United Kingdom with an estimated 4,000 fans gathered at Heathrow , waving and screaming as the aircraft took off . Upon landing at New York 's John F. Kennedy Airport , an uproarious crowd estimated at 3,000 greeted them . They gave their first live US television performance two days later on The Ed Sullivan Show , watched by approximately 73 million viewers in over 23 million households , or 34 per cent of the American population . Biographer Jonathan Gould writes that , according to the Nielsen rating service , it was `` the largest audience that had ever been recorded for an American television program '' . The next morning , the Beatles awoke to a negative critical consensus in the US , but a day later their first US concert saw Beatlemania erupt at Washington Coliseum . Back in New York the following day , the Beatles met with another strong reception during two shows at Carnegie Hall . The band then flew to Florida and appeared on the weekly Ed Sullivan Show a second time , before another 70 million viewers , before returning to the UK on 22 February .  A Hard Day 's Night  Capitol Records ' lack of interest throughout 1963 had not gone unnoticed , and a competitor , United Artists Records , encouraged their film division to offer the group a three - motion - picture deal , primarily for the commercial potential of the soundtracks . Directed by Richard Lester , A Hard Day 's Night involved the band for six weeks in March -- April 1964 as they played themselves in a mock - documentary . The film premiered in London and New York in July and August , respectively , and was an international success , with some critics drawing comparison with the Marx Brothers . According to Erlewine , the accompanying soundtrack album , A Hard Day 's Night , saw them `` truly coming into their own as a band . All of the disparate influences on their first two albums had coalesced into a bright , joyous , original sound , filled with ringing guitars and irresistible melodies . '' That `` ringing guitar '' sound was primarily the product of Harrison 's 12 - string electric Rickenbacker , a prototype given to him by the manufacturer , which made its debut on the record .   During the week of 4 April 1964 , the Beatles held twelve positions on the Billboard Hot 100 singles chart , including the top five . Their popularity generated unprecedented interest in British music , and a number of other UK acts subsequently made their own American debuts , successfully touring over the next three years in what was termed the British Invasion . Their hairstyle , unusually long for the era and mocked by many adults , became an emblem of rebellion to the burgeoning youth culture .  McCartney , Harrison and Lennon performing on Dutch television in 1964  Touring internationally in June and July , the Beatles staged 37 shows over 27 days in Denmark , the Netherlands , Hong Kong , Australia and New Zealand . In August they returned to the US , with a 30 - concert tour of 23 cities . Generating intense interest once again , the month - long tour attracted between 10,000 and 20,000 fans to each 30 - minute performance in cities from San Francisco to New York .   In August , journalist Al Aronowitz arranged for the Beatles to meet Bob Dylan . Visiting the band in their New York hotel suite , Dylan introduced them to cannabis . Gould points out the musical and cultural significance of this meeting , before which the musicians ' respective fanbases were `` perceived as inhabiting two separate subcultural worlds '' : Dylan 's audience of `` college kids with artistic or intellectual leanings , a dawning political and social idealism , and a mildly bohemian style '' contrasted with their fans , `` veritable ' teenyboppers ' -- kids in high school or grade school whose lives were totally wrapped up in the commercialised popular culture of television , radio , pop records , fan magazines , and teen fashion . They were seen as idolaters , not idealists . '' Within six months of the meeting , Gould writes , `` Lennon would be making records on which he openly imitated Dylan 's nasal drone , brittle strum , and introspective vocal persona '' . Within a year , `` the distinctions between the folk and rock audiences would have nearly evaporated ( and the group 's ) audience ... ( was ) showing signs of growing up . ''  Beatles for sale , Help ! and Rubber Soul  According to Gould , Beatles for Sale , the Beatles ' fourth studio LP , evidenced a growing conflict between the commercial pressures of their global success and their creative ambitions . They had intended the album , recorded between August and October 1964 , to continue the format established by A Hard Day 's Night which , unlike their first two LPs , contained only original songs . They had nearly exhausted their backlog of songs on the previous album , however , and given the challenges constant international touring posed to their songwriting efforts , Lennon admitted , `` Material 's becoming a hell of a problem '' . As a result , six covers from their extensive repertoire were chosen to complete the album . Released in early December , its eight original compositions stood out , demonstrating the growing maturity of the Lennon -- McCartney songwriting partnership .  Together in 1965 , celebrating a Grammy win  In early 1965 , while they were his guests for dinner , Lennon and Harrison 's dentist secretly added LSD to their coffee . Lennon described the experience : `` It was just terrifying , but it was fantastic . I was pretty stunned for a month or two . '' He and Harrison subsequently became regular users of the drug , joined by Starr on at least one occasion . McCartney was initially reluctant to try it , but eventually did so in late 1966 . He became the first Beatle to discuss LSD publicly , declaring in a magazine interview that `` it opened my eyes '' and `` made me a better , more honest , more tolerant member of society '' .   Controversy erupted in June 1965 when Queen Elizabeth II appointed all four Beatles Members of the Order of the British Empire ( MBE ) after Prime Minister Harold Wilson nominated them for the award . In protest -- the honour was at that time primarily bestowed upon military veterans and civic leaders -- some conservative MBE recipients returned their own insignia .  The US trailer for Help ! with ( from the rear ) Harrison , McCartney , Lennon and ( largely obscured ) Starr  Released in July , the Beatles ' second film , Help ! , was again directed by Lester . Described as `` mainly a relentless spoof of Bond '' , it inspired a mixed response among both reviewers and the band . McCartney said : `` Help ! was great but it was n't our film -- we were sort of guest stars . It was fun , but basically , as an idea for a film , it was a bit wrong . '' The soundtrack was dominated by Lennon , who wrote and sang lead on most of its songs , including the two singles : `` Help ! '' and `` Ticket to Ride '' . The accompanying album , the group 's fifth studio LP , contained all original material save for two covers , `` Act Naturally '' and `` Dizzy Miss Lizzy '' ; they were the last covers the band would include on an album , with the exception of Let It Be 's brief rendition of the traditional Liverpool folk song `` Maggie Mae '' . The band expanded their use of vocal overdubs on Help ! and incorporated classical instruments into some arrangements , including a string quartet on the pop ballad `` Yesterday '' . Composed by McCartney , `` Yesterday '' would inspire the most recorded cover versions of any song ever written .   The group 's third US tour opened with a performance before a world - record crowd of 55,600 at New York 's Shea Stadium on 15 August 1965 -- `` perhaps the most famous of all Beatles ' concerts '' , in Lewisohn 's description . A further nine successful concerts followed in other American cities . At a show in Atlanta , the Beatles gave one of the first live performances ever to make use of a foldback system of on - stage monitor speakers . Towards the end of the tour , they met with Elvis Presley , a foundational musical influence on the band , who invited them to his home in Beverly Hills . September saw the launch of an American Saturday - morning cartoon series , The Beatles , that echoed A Hard Day 's Night 's slapstick antics over its two - year original run . The series was a historical milestone as the first weekly television series to feature animated versions of real , living people .       `` Norwegian Wood ( This Bird Has Flown ) '' Sample of `` Norwegian Wood '' from Rubber Soul ( 1965 ) . Harrison 's use of a sitar on this song is representative of the Beatles ' incorporation of unconventional instrumentation into rock music .     Problems playing this file ? See media help .     In mid-October 1965 , the Beatles entered the recording studio ; for the first time when making an album , they had an extended period without other major commitments . Until this time , according to George Martin , `` we had been making albums rather like a collection of singles . Now we were really beginning to think about albums as a bit of art on their own . '' Released in December , Rubber Soul was hailed by critics as a major step forward in the maturity and complexity of the band 's music . Their thematic reach was beginning to expand as they embraced deeper aspects of romance and philosophy . Biographers Peter Brown and Steven Gaines attribute the new musical direction to `` the Beatles ' now habitual use of marijuana '' , an assertion confirmed by the band -- Lennon referred to it as `` the pot album '' , and Starr said : `` Grass was really influential in a lot of our changes , especially with the writers . And because they were writing different material , we were playing differently . '' After Help ! 's foray into the world of classical music with flutes and strings , Harrison 's introduction of a sitar on `` Norwegian Wood ( This Bird Has Flown ) '' marked a further progression outside the traditional boundaries of popular music . As their lyrics grew more artful , fans began to study them for deeper meaning . Of `` Norwegian Wood '' Lennon commented : `` I was trying to be sophisticated in writing about an affair ... but in such a smokescreen way that you could n't tell . ''   While many of Rubber Soul 's prominent songs were the product of Lennon and McCartney 's collaborative songwriting , it also featured distinct compositions from each , though they continued to share official credit . The song `` In My Life '' , of which each later claimed lead authorship , is considered a highlight of the entire Lennon -- McCartney catalogue . Harrison called Rubber Soul his `` favourite album '' and Starr referred to it as `` the departure record '' . McCartney has said , `` We 'd had our cute period , and now it was time to expand . '' However , recording engineer Norman Smith later stated that the studio sessions revealed signs of growing conflict within the group -- `` the clash between John and Paul was becoming obvious '' , he wrote , and `` as far as Paul was concerned , George could do no right '' . In 2003 , Rolling Stone ranked Rubber Soul fifth among `` The 500 Greatest Albums of All Time '' , and AllMusic 's Richie Unterberger describes it as `` one of the classic f</t>
  </si>
  <si>
    <t xml:space="preserve">what are the names of the members of the beatles</t>
  </si>
  <si>
    <t xml:space="preserve"> The Beatles were an English rock band formed in Liverpool in 1960 . With members John Lennon , Paul McCartney , George Harrison and Ringo Starr , they became widely regarded as the foremost and most influential act of the rock era . Rooted in skiffle , beat and 1950s rock and roll , the Beatles later experimented with several musical styles , ranging from pop ballads and Indian music to psychedelia and hard rock , often incorporating classical elements and unconventional recording techniques in innovative ways . In 1963 their enormous popularity first emerged as `` Beatlemania '' ; as the group 's music grew in sophistication , led by primary songwriters Lennon and McCartney , the band were integral to pop music 's development into an art form and came to be perceived as an embodiment of the ideals shared by the counterculture of the 1960s . </t>
  </si>
  <si>
    <r>
      <rPr>
        <sz val="11"/>
        <color rgb="FF000000"/>
        <rFont val="Calibri"/>
        <family val="0"/>
        <charset val="1"/>
      </rPr>
      <t xml:space="preserve">Spirit in the Sky - wikipedia  Spirit in the Sky  Jump to : navigation , search For other uses , see Spirit in the Sky ( disambiguation ) . For a deity whose portfolio includes or is limited to the sky , see Spirit of the sky .    `` Spirit in the Sky ''         Single by Norman Greenbaum     from the album Spirit in the Sky     B - side   `` Milk Cow ''     Released   1969 , 1970 , 2000     Format   7 '' single     Recorded   1969     Genre   Psychedelic rock , Hard rock , Gospel     Length   3 : 57     Label   Reprise 0885 Reprise RS20885 ( UK )     Songwriter ( s )   Norman Greenbaum     Producer ( s )   Erik Jacobsen         Audio sample       file   help           `` Spirit in the Sky '' is a song written and originally recorded by Norman Greenbaum and released in late 1969 . The single became a gold record , selling two million copies from 1969 to 1970 and reached number three on the US Billboard Hot 100 chart ( April 18 , 1970 ) , where it lasted for 15 weeks in the Top 100 . Billboard ranked the record the No. 22 song of 1970 . It also climbed to number one on the UK , Australian and Canadian charts in 1970 . Rolling Stone ranked `` Spirit in the Sky '' No. 333 on its list of the 500 Greatest Songs of All Time . The song was featured on the 1969 album of the same name . Cover versions by Doctor and the Medics and Gareth Gates have also made the number 1 spot in the UK .     Contents  ( hide )   1 Original version by Norman Greenbaum   2 Chart performance   2.1 Weekly charts   2.2 Year - end charts     3 Cover versions and samples   3.1 Doctor &amp; the Medics version   3.2 Gareth Gates ( with the Kumars ) version   3.2. 1 Track listing   3.2. 2 Charts       4 References   5 External links      Original version by Norman Greenbaum ( edit )   `` Spirit in the Sky '' makes several references to Jesus , although Greenbaum is Jewish . In a 2006 interview with the New York Times , Greenbaum told a reporter he was inspired to write the song after watching Porter Wagoner singing a gospel song on TV . Greenbaum said : `` I thought , ' Yeah , I could do that , ' knowing nothing about gospel music , so I sat down and wrote my own gospel song . It came easy . I wrote the words in 15 minutes . ''   Greenbaum had previously been a member of psychedelic jug band Dr. West 's Medicine Show and Junk Band . When they split up he won a solo contract with producer Erik Jacobsen for Reprise Records . Jacobsen had previously worked with The Lovin ' Spoonful and the song was included on Greenbaum 's first solo album . The song 's arrangement came together in the studio in San Francisco where lead guitarist Russell DaShiell , bass player Doug Killmer from the band Crowfoot and drummer Norman Mayell from the band Sopwith Camel worked with Greenbaum . According to the New York Times article , Greenbaum used a Fender Telecaster with a fuzz box built into the body to generate the song 's characteristic guitar sound .   The resulting sound was an `` oddly compelling '' combination of gospel and hard rock music , with loud drums , distorted electric guitar , clapping hands , and tambourines . The production team brought in the Stovall Sisters , an Oakland - based gospel trio , to sing backing vocals . Because of the song 's length and lyrics , the record company was initially reluctant to issue it , but was finally released as a single after two other singles from the album had poor sales . `` Spirit in the Sky '' became a worldwide hit , and was at the time the best - selling single ever for the Reprise label .   There is a music video with Greenbaum singing the song .   About the song , Greenbaum has been quoted as saying , `` It sounds as fresh today as when it was recorded . I 've gotten letters from funeral directors telling me that it 's their second-most - requested song to play at memorial services , next to ' Danny Boy ' . ''   Chart performance ( edit )      Weekly charts ( edit )     Chart ( 1969 -- 70 )   Peak position     Australia ( Kent Music Report )       Austria ( Ö3 Austria Top 40 )       Belgium ( Ultratop 50 Flanders )       Canadian RPM Top Singles       Germany ( Official German Charts )       Irish Singles Chart       Netherlands ( Dutch Top 40 )       Netherlands ( Single Top 100 )       Norway ( VG - lista )       Switzerland ( Schweizer Hitparade )       UK ( Official Charts Company )       US Billboard Hot 100       US Cash Box Top 100         Year - end charts ( edit )     Chart ( 1970 )   Rank     Australia       Canada   19     US Billboard Hot 100   22     US Cash Box          Cover versions and samples ( edit )     `` Spirit in the Sky ''         Single by Doctor and the Medics     from the album Laughing at the Pieces     B - side   `` Laughing at the Pieces ''     Released   1986     Format   7 in     Recorded   1986     Genre   Neo-psychedelia , new wave     Length   3 : 28     Songwriter ( s )   Norman Greenbaum     Doctor and the Medics singles chronology          `` Spirit in the Sky '' ( 1986 )   `` Burn '' ( 1986 )             `` Spirit in the Sky '' ( 1986 )   `` Burn '' ( 1986 )        Elton John covered `` Spirit in the Sky '' in 1969 .   A version by Dorothy Combs Morrison reached # 47 in Canada in November 1970 .   Bauhaus covered `` Spirit In the Sky '' on their 1983 single `` Sanity Assassin '' . In 1986 the group Doctor and the Medics reached No. 1 in the UK singles chart with their version of the song , while the same year punk band Fuzzbox released their own less successful version .   Nina Hagen covered `` Spirit in the Sky '' on her àlbum Nina Hagen in Ekstasy .   In 1991 , The Kentucky Headhunters covered `` Spirit In the Sky '' on their album , Electric Barnyard . The song was covered by DC Talk for Jesus : Music from &amp; Inspired by the Epic Mini Series soundtrack and was released as a B side with LeAnn Rimes ' song `` I Need You '' .   Howard Stern and his in - studio band The Losers performed the song in 2002 as part of a Battle of the Bands with actor Corey Feldman 's band Truth Movement . A humorous version of the song recorded to raise money for the charity Comic Relief by The Kumars with Gareth Gates also reached No. 1 in 2003 becoming the third version of this song to top the UK singles chart . Christian band Stellar Kart covered the song on their 2010 album , Everything Is Different Now .   Goldfrapp sampled the song for their single `` Ooh La La '' .   Doctor &amp; the Medics version ( edit )     Chart ( 1986 )   Peak position     Australia ( Kent Music Report )       Austria ( Ö3 Austria Top 40 )       Belgium ( Ultratop 50 Flanders )   29     Canadian RPM Top Singles       Germany ( Official German Charts )   9     Ireland ( IRMA )       Italy ( FIMI )   6     New Zealand ( Recorded Music NZ )       Sweden ( Sverigetopplistan )   16     UK Singles ( Official Charts Company )       US Billboard Hot 100   69     US Billboard Hot Dance Club Play   27     Gareth Gates ( with the Kumars ) version ( edit )     `` Spirit in the Sky ''         Single by Gareth Gates with The Kumars     from the album Go Your Own Way     B - side   `` Dance Again '' `` Will You Wait for Me ? ''     Released   March 14 , 2003     Format   CD single     Recorded   2003     Genre   Pop rock     Length   3 : 29     Label   Sony BMG , RCA     Songwriter ( s )   Norman Greenbaum     Producer ( s )   Steve Mac     Gareth Gates with The Kumars singles chronology        `` What My Heart Wants to Say '' ( 2002 )   `` Spirit in the Sky '' ( 2003 )   `` Sunshine '' ( 2003 )           `` What My Heart Wants to Say '' ( 2002 )   `` Spirit in the Sky '' ( 2003 )   `` Sunshine '' ( 2003 )        `` Spirit in the Sky '' served as the first single from Pop Idol runner - up Gareth Gates ' second studio album , Go Your Own Way . The single was released on March 14 , 2003 , and was the official Comic Relief charity single for 2003 . The song features guest vocals from The Kumars . The song peaked at number one on the UK Singles Chart , becoming Gates ' fourth number one single .  Track listing ( edit )   UK CD1     `` Spirit in the Sky '' -- 3 : 29   `` Dance Again '' -- 4 : 06   `` Spirit in the Sky '' ( Gareth Only Version ) -- 3 : 25   `` Spirit in the Sky '' ( Video ) -- 4 : 00     UK CD2     `` Spirit in the Sky '' -- 3 : 29   `` Will You Wait for Me ? '' -- 4 : 13   `` Interview With Gareth '' -- 5 : 00     UK DVD     `` Spirit in the Sky '' ( Video ) -- 4 : 00   `` Dance Again '' ( Video ) -- 4 : 06   `` Spirit in the Sky '' ( Making of the Video ) -- 3 : 25   Charts ( edit )    Chart ( 2003 )   Peak position     Austria ( Ö3 Austria Top 40 )   10     Belgium ( Ultratip Flanders )       Belgium ( Ultratip Wallonia )   9     Belgium ( Ultratop 50 Flanders )   33     Germany ( Official German Charts )   13     Ireland ( IRMA )       Netherlands ( Dutch Top 40 )   14     Netherlands ( Single Top 100 )   11     Switzerland ( Schweizer Hitparade )   30     UK Singles ( Official Charts Company )         Preceded by `` All Kinds of Everything '' by Dana   UK number - one single ( Norman Greenbaum version ) May 2 , 1970 ( 2 weeks )   Succeeded by `` Back Home '' by England national football team     Preceded by `` The Chicken Song '' by Spitting Image   UK number - one single ( Doctor &amp; The Medics version ) June 3 , 1986   Succeeded by `` The Edge of Heaven '' by Wham !     Preceded by `` Beautiful '' by Christina Aguilera   UK number - one single ( Gareth Gates , Alfie Nixon &amp; The Kumars version ) March 15 , 2003 -- March 29 , 2003   Succeeded by `` Make Luv '' by Room 5 featuring Oliver Cheatham     References ( edit )    Jump up ^ Leeuwis , Jermy . `` Jason v -- Spirit In The Sky '' . MusicRemedy . Retrieved June 24 , 2013 . `` Jason Mraz 's new song is a bluesy , gospel - influenced version of Norman Greenbaum 's 1970 psychedelic rock anthem ' Spirit in the Sky . ' ''   ^ Jump up to : McNichol , Tom ( December 24 , 2006 ) . `` A ' Spirit ' From the ' 60s That Wo n't Die '' . The New York Times . Retrieved March 13 , 2018 .   Jump up ^ Unterberger , Richie . `` Spirit in the Sky on Allmusic '' . Allmusic . Rovi Corporation . Retrieved June 24 , 2013 . `` The handclaps and riffs ... simmered down a little to allow Greenbaum to sing a tune which really did sound like a genuine gospel song ... The gospel feel was amplified by creditably wailing backup female singers ... ''   Jump up ^ Billboard Year - End Hot 100 singles of 1970   Jump up ^ Michael Goldberg , Sopwith Camel : Where Are They Now ? . Rolling Stone , September 10 , 1987 . Retrieved 2018 - 02 - 05 .   Jump up ^ Video on YouTube   Jump up ^ `` Christian Order - Read - Editorials - February 2011 '' . Christianorder.com . Retrieved July 18 , 2013 .   Jump up ^ `` Australia n ° 1 Hits - 70 's '' . Worldcharts.co.uk . Archived from the original on April 24 , 2014 . Retrieved June 10 , 2013 .   Jump up ^ `` Austriancharts.at -- Norman Greenbaum -- Spirit In The Sky '' ( in German ) . Ö3 Austria Top 40 .   Jump up ^ `` Ultratop.be -- Norman Greenbaum -- Spirit In The Sky '' ( in Dutch ) . Ultratop 50 .   Jump up ^ `` Spirit in the sky in Canadian Singles Chart '' . Library and Archives Canada . Retrieved June 1 , 2013 .   Jump up ^ `` Offiziellecharts.de -- Norman Greenbaum -- Spirit In The Sky '' . GfK Entertainment Charts .   Jump up ^ `` Spirit in the sky in Irish Chart '' . IRMA . Retrieved June 1 , 2013 . Only one result when searching `` Norman Greenbaum ''   Jump up ^ `` Nederlandse Top 40 -- Norman Greenbaum '' ( in Dutch ) . Dutch Top 40 .   Jump up ^ `` Dutchcharts.nl -- Norman Greenbaum -- Spirit In The Sky '' ( in Dutch ) . Single Top 100 .   Jump up ^ `` Norwegiancharts.com -- Norman Greenbaum -- Spirit In The Sky '' . VG - lista .   Jump up ^ `` Swisscharts.com -- Norman Greenbaum -- Spirit In The Sky '' . Swiss Singles Chart .   Jump up ^ `` 1970 Top 40 Official UK Singles Archive - 2nd May 1970 '' . Official Charts Company . Retrieved June 1 , 2013 .   Jump up ^ `` Spirit in the Sky awards on Allmusic '' . Allmusic . Retrieved June 1 , 2013 .   Jump up ^ Cash Box Top 100 Singles , May 9 , 1970   Jump up ^ David Kent 's `` Australian Chart Book 1970 - 1992 '' Archived March 5 , 2016 , at the Wayback Machine .   Jump up ^ `` Item Display - RPM - Library and Archives Canada '' . collectionscanada.gc.ca .   Jump up ^ `` Top 100 Hits of 1970 / Top 100 Songs of 1970 '' . Musicoutfitters.com . Retrieved October 2 , 2016 .   Jump up ^ Cash Box Year - End Charts : Top 100 Pop Singles , December 26 , 1970   Jump up ^ Mills , Ted . `` Laughing at the Pieces review on Allmusic '' . Allmusic . Rovi Corporation . Retrieved June 24 , 2013 .   Jump up ^ Sutton , Michael . `` Doctor &amp; the Medics biography on Allmusic '' . Allmusic . Rovi Corporation . Retrieved June 24 , 2013 . `` new wave remake of Norman Greenbaum 's `` Spirit in the Sky '' ''   Jump up ^ `` Elton John -- Legendary Covers ' 69 / ' 70 '' . Retrieved June 17 , 2015 .   Jump up ^ title RPM Magazine   Jump up ^ `` Bauhaus 's Spirit in the Sky cover of Norman Greenbaum 's Spirit in the Sky '' . WhoSampled.com . Retrieved July 18 , 2013 .   Jump up ^ Mansfield , Brian . `` Electric Barnyard review on Allmusic '' . Allmusic . Rovi Corporation . Retrieved July 18 , 2013 .   Jump up ^ `` Jesus : Music From &amp; Inspired by the Epic Mini Series : Patrick Williams , Various Artists : Music '' . Amazon.com . Retrieved September 27 , 2011 .   Jump up ^ `` I Need You / Spirit in the Sky : Leann Rimes , Dc Talk : Music '' . Amazon.com . Retrieved September 27 , 2011 .   Jump up ^ Johnson , Jared . `` Everything Is Different Now review on Allmusic '' . Allmusic . Rovi Corporation . Retrieved July 18 , 2013 .   Jump up ^ `` Goldfrapp 's Ooh La La sample of Norman Greenbaum 's Spirit in the Sky '' . WhoSampled.com . Retrieved July 18 , 2013 .   Jump up ^ Kent , David ( 1993 ) . Australian Chart Book 1970 - 1992 ( illustrated ed . ) . St Ives , N.S.W. : Australian Chart Book . ISBN 0 - 646 - 11917 - 6 .   Jump up ^ `` Austriancharts.at -- Doctor &amp; The Medics -- Spirit In The Sky '' ( in German ) . Ö3 Austria Top 40 .   Jump up ^ `` Ultratop.be -- Doctor &amp; The Medics -- Spirit In The Sky '' ( in Dutch ) . Ultratop 50 .   Jump up ^ `` Spirit in the sky in Canadian Singles Chart '' . Library and Archives Canada . Retrieved June 1 , 2013 .   Jump up ^ `` Offiziellecharts.de -- Doctor &amp; The Medics -- Spirit In The Sky '' . GfK Entertainment Charts .   Jump up ^ `` Spirit in the sky in Irish Chart '' . IRMA . Retrieved June 1 , 2013 . 2nd result when searching `` Doctor and the Medics ''   Jump up ^ `` The best - selling singles of 1986 in Italy '' . HitParadeItalia ( it ) . Retrieved June 1 , 2013 . 48 . Spirit in the sky - Doctor and the Medics ( No. 6 )   Jump up ^ `` Charts.org.nz -- Doctor &amp; The Medics -- Spirit In The Sky '' . Top 40 Singles .   Jump up ^ `` Swedishcharts.com -- Doctor &amp; The Medics -- Spirit In The Sky '' . Singles Top 100 .   ^ Jump up to : `` Official Singles Chart Top 100 '' . Official Charts Company . Cite error : Invalid  tag ; name `` sc_UK_ '' defined multiple times with different content ( see the help page ) .   ^ Jump up to : `` Doctor &amp; the Medics awards on Allmusic '' . Allmusic . Retrieved June 1 , 2013 .   Jump up ^ `` Austriancharts.at -- Gareth Gates with the Kumars -- Spirit In The Sky '' ( in German ) . Ö3 Austria Top 40 .   Jump up ^ `` Ultratop.be -- Gareth Gates with the Kumars -- Spirit In The Sky '' ( in Dutch ) . Ultratip .   Jump up ^ `` Ultratop.be -- Gareth Gates with the Kumars -- Spirit In The Sky '' ( in French ) . Ultratip .   Jump up ^ `` Ultratop.be -- Gareth Gates with the Kumars -- Spirit In The Sky '' ( in Dutch ) . Ultratop 50 .   Jump up ^ `` Offiziellecharts.de -- Gareth Gates with the Kumars -- Spirit In The Sky '' . GfK Entertainment Charts .   Jump up ^ `` Spirit in the sky in Irish Chart '' . IRMA . Retrieved June 1 , 2013 . 2nd result when searching `` Gareth Gates featuring the Kumars ''   Jump up ^ `` Nederlandse Top 40 -- Gareth Gates with the Kumars '' ( in Dutch ) . Dutch Top 40 .   Jump up ^ `` Dutchcharts.nl -- Gareth Gates with the Kumars -- Spirit In The Sky '' ( in Dutch ) . Single Top 100 .   Jump up ^ `` Swisscharts.com -- Gareth Gates with the Kumars -- Spirit In The Sky '' . Swiss Singles Chart .    External links ( edit )    Lyrics of this song at MetroLyrics      ( hide )         Gareth Gates     Albums     What My Heart Wants to Say   Go Your Own Way   Pictures of the Other Side       Singles     `` Unchained Melody ''   `` Anyone of Us ( Stupid Mistake ) ''   `` Suspicious Minds ''   `` What My Heart Wants to Say ''   `` Spirit in the Sky ''   `` Sunshine ''   `` Say It Is n't So ''   `` Changes ''   `` Angel on My Shoulder ''       Related articles     Discography   Pop Idol ( series 1 )   Sony Records   19   Will Young   The Kumars   5th Story      Retrieved from `` https://en.wikipedia.org/w/index.php?title=Spirit_in_the_Sky&amp;oldid=830274672 '' Categories :   1969 singles   1970 singles   1986 singles   2003 singles   Gareth Gates songs   Norman Greenbaum songs   UK Singles Chart number - one singles   Number - one singles in Germany   Number - one singles in Australia   Irish Singles Chart number - one singles   Comic Relief singles   RPM Top Singles number - one singles   RCA Records singles   Reprise Records singles   Songs about death   Sony BMG singles   1969 songs   Hidden categories :   Pages with reference errors   Webarchive template wayback links   Pages with duplicate reference names   Use mdy dates from January 2018   Articles with hAudio microformats   Singlechart usages for Austria   Singlechart usages for Flanders   Singlechart usages for Germany2   Singlechart usages for Dutch40   Singlechart usages for Dutch100   Singlechart usages for Norway   Singlechart usages for Switzerland   Singlechart usages for New Zealand   Singlechart usages for Sweden   Singlechart usages for UK   Singlechart called without artist   Singlechart called without song   Singlechart usages for Flanders Tip   Singlechart usages for Wallonia Tip           Talk                                           Contents                   About Wikipedia                                           Čeština   Deutsch   Eesti   Español   Français   Nederlands   </t>
    </r>
    <r>
      <rPr>
        <sz val="11"/>
        <color rgb="FF000000"/>
        <rFont val="Noto Sans CJK SC"/>
        <family val="2"/>
      </rPr>
      <t xml:space="preserve">日本 語   </t>
    </r>
    <r>
      <rPr>
        <sz val="11"/>
        <color rgb="FF000000"/>
        <rFont val="Calibri"/>
        <family val="0"/>
        <charset val="1"/>
      </rPr>
      <t xml:space="preserve">Srpskohrvatski / српскохрватски   Edit links   This page was last edited on 13 March 2018 , at 20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</si>
  <si>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does the song spirit in the sky</t>
  </si>
  <si>
    <t xml:space="preserve"> `` Spirit in the Sky '' is a song written and originally recorded by Norman Greenbaum and released in late 1969 . The single became a gold record , selling two million copies from 1969 to 1970 and reached number three on the US Billboard Hot 100 chart ( April 18 , 1970 ) , where it lasted for 15 weeks in the Top 100 . Billboard ranked the record the No. 22 song of 1970 . It also climbed to number one on the UK , Australian and Canadian charts in 1970 . Rolling Stone ranked `` Spirit in the Sky '' No. 333 on its list of the 500 Greatest Songs of All Time . The song was featured on the 1969 album of the same name . Cover versions by Doctor and the Medics and Gareth Gates have also made the number 1 spot in the UK . </t>
  </si>
  <si>
    <t xml:space="preserve">Hamlet - wikipedia  Hamlet  Jump to : navigation , search This article is about the play by William Shakespeare . For other uses , see Hamlet ( disambiguation ) . The American actor Edwin Booth as Hamlet , ca . 1870  The Tragedy of Hamlet , Prince of Denmark , often shortened to Hamlet ( / ˈhæmlɪt / ) , is a tragedy written by William Shakespeare at an uncertain date between 1599 and 1602 . Set in Denmark , the play dramatises the revenge Prince Hamlet is called to wreak upon his uncle , Claudius , by the ghost of Hamlet 's father , King Hamlet . Claudius had murdered his own brother and seized the throne , also marrying his deceased brother 's widow .   Hamlet is Shakespeare 's longest play , and is considered among the most powerful and influential works of world literature , with a story capable of `` seemingly endless retelling and adaptation by others '' . It was probably one of Shakespeare 's most popular works during his lifetime , and still ranks among his most performed , topping the performance list of the Royal Shakespeare Company and its predecessors in Stratford - upon - Avon since 1879 . It has inspired many other writers -- from Johann Wolfgang von Goethe and Charles Dickens to James Joyce and Iris Murdoch -- and has been described as `` the world 's most filmed story after Cinderella '' .   The story of Shakespeare 's Hamlet was derived from the legend of Amleth , preserved by 13th - century chronicler Saxo Grammaticus in his Gesta Danorum , as subsequently retold by the 16th - century scholar François de Belleforest . Shakespeare may also have drawn on an earlier Elizabethan play known today as the Ur - Hamlet , though some scholars believe he himself wrote the Ur - Hamlet , later revising it to create the version of Hamlet we now have . He almost certainly wrote his version of the title role for his fellow actor , Richard Burbage , the leading tragedian of Shakespeare 's time . In the 400 years since its inception , the role has been performed by numerous highly acclaimed actors in each successive century .   Three different early versions of the play are extant : the First Quarto ( Q1 , 1603 ) ; the Second Quarto ( Q2 , 1604 ) ; and the First Folio ( F1 , 1623 ) . Each version includes lines and entire scenes missing from the others . The play 's structure and depth of characterisation have inspired much critical scrutiny . One such example is the centuries - old debate about Hamlet 's hesitation to kill his uncle , which some see as merely a plot device to prolong the action , but which others argue is a dramatisation of the complex philosophical and ethical issues that surround cold - blooded murder , calculated revenge , and thwarted desire . More recently , psychoanalytic critics have examined Hamlet 's unconscious desires , while feminist critics have re-evaluated and attempted to rehabilitate the often maligned characters of Ophelia and Gertrude .     Contents  ( hide )   1 Characters   2 Plot   2.1 Act I   2.2 Act II   2.3 Act III   2.4 Act IV   2.5 Act V     3 Sources   4 Date   5 Texts   6 Analysis and criticism   6.1 Critical history   6.2 Dramatic structure   6.3 Length   6.4 Language     7 Context and interpretation   7.1 Religious   7.2 Philosophical   7.3 Psychoanalytic   7.4 Feminist     8 Influence   9 Performance history   9.1 Shakespeare 's day to the Interregnum   9.2 Restoration and 18th century   9.3 19th century   9.4 20th century   9.5 21st century   9.6 Film and TV performances   9.7 Stage pastiches     10 Notes and references   10.1 Notes   10.2 References     11 Sources   11.1 Editions of Hamlet   11.2 Secondary sources     12 External links   12.1 Texts   12.2 Analysis   12.3 Related works        Characters ( edit )  Main article : Characters in Hamlet   Hamlet -- Son of the late King and nephew of the present king .   Claudius -- King of Denmark and Hamlet 's uncle   Gertrude -- Queen of Denmark and Hamlet 's mother   Polonius -- Chief counsellor to the king   Ophelia -- Polonius 's daughter   Horatio -- True friend to Hamlet   Laertes -- Polonius 's son   Voltimand and Cornelius -- Courtiers   Rosencrantz and Guildenstern -- Courtiers , friends of Hamlet   Osric -- a Courtier   Marcellus -- an Officer   Barnardo -- an Officer   Francisco -- a Soldier   Reynaldo -- Polonius 's servant   Ghost of Hamlet 's Father   Fortinbras -- Prince of Norway   Gravediggers -- a Sexton   Player King , Player Queen , Lucianus etc. -- Players    Plot ( edit )   Act I ( edit )   The protagonist of Hamlet is Prince Hamlet of Denmark , son of the recently deceased King Hamlet , and nephew of King Claudius , his father 's brother and successor . Claudius hastily married King Hamlet 's widow , Gertrude , Hamlet 's mother , and took the throne for himself . Denmark has a long - standing feud with neighboring Norway , in which King Hamlet slew King Fortinbras of Norway in a battle some years ago . Although Denmark defeated Norway , and the Norwegian throne fell to King Fortinbras 's infirm brother , Denmark fears that an invasion led by the dead Norwegian king 's son , Prince Fortinbras , is imminent .   On a cold night on the ramparts of Elsinore , the Danish royal castle , the sentries Bernardo and Marcellus and Hamlet 's friend Horatio encounter a ghost that looks like the late King Hamlet . They vow to tell Prince Hamlet what they have witnessed .   As the court gathers the next day , while King Claudius and Queen Gertrude discuss affairs of state with their elderly adviser Polonius , Hamlet looks on glumly . After the court exits , Hamlet despairs of his father 's death and his mother 's hasty remarriage . Learning of the ghost from Horatio , Hamlet resolves to see it himself .  Horatio , Hamlet , and the ghost ( Artist : Henry Fuseli , 1789 )  As Polonius 's son Laertes prepares to depart for a visit to France , Polonius gives him contradictory advice that culminates in the ironic maxim `` to thine own self be true . '' Polonius 's daughter , Ophelia , admits her interest in Hamlet , but both Polonius and Laertes warn her against seeking the prince 's attention . That night on the rampart , the ghost appears to Hamlet , telling the prince that he was murdered by Claudius and demanding that Hamlet avenge him . Hamlet agrees and the ghost vanishes . The prince confides to Horatio and the sentries that from now on he plans to `` put an antic disposition on , '' or act as though he has gone mad , and forces them to swear to keep his plans for revenge secret . Privately , however , he remains uncertain of the ghost 's reliability .   Act II ( edit )   Soon thereafter , Ophelia rushes to her father , telling him that Hamlet arrived at her door the prior night half - undressed and behaving crazily . Polonius blames love for Hamlet 's madness and resolves to inform Claudius and Gertrude . As he enters to do so , the king and queen finish welcoming Rosencrantz and Guildenstern , two student acquaintances of Hamlet , to Elsinore . The royal couple has requested that the students investigate the cause of Hamlet 's mood and behavior . Additional news requires that Polonius wait to be heard : messengers from Norway inform Claudius that the King of Norway has rebuked Prince Fortinbras for attempting to re-fight his father 's battles . The forces that Fortinbras had conscripted to march against Denmark will instead be sent against Poland , though they will pass through a portion of Denmark to get there .   Polonius tells Claudius and Gertrude his theory regarding Hamlet 's behavior , and speaks to Hamlet in a hall of the castle to try to uncover more information . Hamlet feigns madness but subtly insults Polonius all the while . When Rosencrantz and Guildenstern arrive , Hamlet greets his `` friends '' warmly , but quickly discerns that they are spies . Hamlet becomes bitter , admitting that he is upset at his situation but refusing to give the true reason why , instead commenting on `` what a piece of work '' humanity is . Rosencrantz and Guildenstern tell Hamlet that they have brought along a troupe of actors that they met while traveling to Elsinore . Hamlet , after welcoming the actors and dismissing his friends - turned - spies , plots to stage a play featuring a death in the style of his father 's murder , thereby determining the truth of the ghost 's story , as well as Claudius 's guilt or innocence , by studying Claudius 's reaction .   Act III ( edit )   Polonius forces Ophelia to return Hamlet 's love letters and tokens of affection to the prince while he and Claudius watch from afar to evaluate Hamlet 's reaction . Hamlet is walking alone in the hall as the King and Polonius await Ophelia 's entrance , musing whether `` to be or not to be '' . When Ophelia enters and tries to return Hamlet 's things , Hamlet accuses her of immodesty and cries `` get thee to a nunnery , '' though it is unclear whether this , too , is a show of madness or genuine distress . His reaction convinces Claudius that Hamlet is not mad for love . Shortly thereafter , the court assembles to watch the play Hamlet has commissioned . After seeing the Player King murdered by his rival pouring poison in his ear , Claudius abruptly rises and runs from the room : for Hamlet , proof positive of his uncle 's guilt .  Hamlet mistakenly stabs Polonius ( Artist : Coke Smyth , 19th century ) .  Gertrude summons Hamlet to her room to demand an explanation . Meanwhile , Claudius talks to himself about the impossibility of repenting , since he still has possession of his ill - gotten goods : his brother 's crown and wife . He sinks to his knees . Hamlet , on his way to visit his mother , sneaks up behind him , but does not kill him , reasoning that killing Claudius while he is praying will send him straight to heaven while his father 's ghost is stuck in purgatory . In the queen 's bedchamber , Hamlet and Gertrude fight bitterly . Polonius , spying on the conversation from behind a tapestry , makes a noise .   Hamlet , believing it is Claudius , stabs wildly , killing Polonius , but pulls aside the curtain and sees his mistake . In a rage , Hamlet brutally insults his mother for her apparent ignorance of Claudius 's villainy , but the ghost enters and reprimands Hamlet for his inaction and harsh words . Unable to see or hear the ghost herself , Gertrude takes Hamlet 's conversation with it as further evidence of madness . After begging the queen to stop sleeping with Claudius , Hamlet leaves , dragging Polonius 's corpse away .   Act IV ( edit )   Hamlet jokes with Claudius about where he has hidden Polonius 's body , and the king , fearing for his life , sends Rosencrantz and Guildenstern to accompany Hamlet to England with a sealed letter to the English king requesting that Hamlet be executed immediately .   Demented by grief at Polonius 's death , Ophelia wanders Elsinore . Laertes arrives back from France , enraged by his father 's death and his sister 's madness . Claudius convinces Laertes that Hamlet is solely responsible , but a letter soon arrives indicating that Hamlet has returned to Denmark , foiling Claudius ' plan . Claudius switches tactics , proposing a fencing match between Laertes and Hamlet to settle their differences . Laertes will be given a poison - tipped foil , and Claudius will offer Hamlet poisoned wine as a congratulation if that fails . Gertrude interrupts to report that Ophelia has drowned , though it is unclear whether it was suicide or an accident exacerbated by her madness .  The gravedigger scene ( Artist : Eugène Delacroix , 1839 )  Act v ( edit )   Horatio has received a letter from Hamlet , explaining that the prince escaped by negotiating with pirates who attempted to attack his England - bound ship , and the friends reunite offstage . Two gravediggers discuss Ophelia 's apparent suicide while digging her grave . Hamlet arrives with Horatio and banters with one of the gravediggers , who unearths the skull of a jester from Hamlet 's childhood , Yorick . Hamlet picks up the skull , saying `` alas , poor Yorick '' as he contemplates mortality . Ophelia 's funeral procession approaches , led by Laertes . Hamlet and Horatio initially hide , but when Hamlet realizes that Ophelia is the one being buried , he reveals himself , proclaiming his love for her . Laertes and Hamlet fight by Ophelia 's graveside , but the brawl is broken up .   Back at Elsinore , Hamlet explains to Horatio that he had discovered Claudius 's letter with Rosencrantz and Guildenstern 's belongings and replaced it with a forged copy indicating that his former friends should be killed instead . A foppish courtier , Osric , interrupts the conversation to deliver the fencing challenge to Hamlet . Hamlet , despite Horatio 's pleas , accepts it . Hamlet does well at first , leading the match by two hits to none , and Gertrude raises a toast to him using the poisoned glass of wine Claudius had set aside for Hamlet . Claudius tries to stop her , but is too late : she drinks , and Laertes realizes the plot will be revealed . Laertes slashes Hamlet with his poisoned blade . In the ensuing scuffle , they switch weapons and Hamlet wounds Laertes with his own poisoned sword . Gertrude collapses and , claiming she has been poisoned , dies . In his dying moments , Laertes reconciles with Hamlet and reveals Claudius 's plan . Hamlet rushes at Claudius and kills him . As the poison takes effect , Hamlet , hearing that Fortinbras is marching through the area , names the Norwegian prince as his successor . Horatio , distraught at the thought of being the last survivor and living whilst Hamlet does not , says he will commit suicide by drinking the dregs of Gertrude 's poisoned wine , but Hamlet begs him to live on and tell his story . Hamlet dies in Horatio 's arms , proclaiming `` the rest is silence '' . Fortinbras , who was ostensibly marching towards Poland with his army , arrives at the palace , along with an English ambassador bringing news of Rosencrantz and Guildenstern 's deaths . Horatio promises to recount the full story of what happened , and Fortinbras , seeing the entire Danish royal family dead , takes the crown for himself , and orders a military funeral to honor Hamlet .   Sources ( edit )  Main article : Sources of Hamlet A facsimile of Gesta Danorum by Saxo Grammaticus , which contains the legend of Amleth  Hamlet - like legends are so widely found ( for example in Italy , Spain , Scandinavia , Byzantium , and Arabia ) that the core `` hero - as - fool '' theme is possibly Indo - European in origin . Several ancient written precursors to Hamlet can be identified . The first is the anonymous Scandinavian Saga of Hrolf Kraki . In this , the murdered king has two sons -- Hroar and Helgi -- who spend most of the story in disguise , under false names , rather than feigning madness , in a sequence of events that differs from Shakespeare 's . The second is the Roman legend of Brutus , recorded in two separate Latin works . Its hero , Lucius ( `` shining , light '' ) , changes his name and persona to Brutus ( `` dull , stupid '' ) , playing the role of a fool to avoid the fate of his father and brothers , and eventually slaying his family 's killer , King Tarquinius . A 17th - century Nordic scholar , Torfaeus , compared the Icelandic hero Amlodi and the Spanish hero Prince Ambales ( from the Ambales Saga ) to Shakespeare 's Hamlet . Similarities include the prince 's feigned madness , his accidental killing of the king 's counsellor in his mother 's bedroom , and the eventual slaying of his uncle .   Many of the earlier legendary elements are interwoven in the 13th - century `` Life of Amleth '' ( Latin : Vita Amlethi ) by Saxo Grammaticus , part of Gesta Danorum . Written in Latin , it reflects classical Roman concepts of virtue and heroism , and was widely available in Shakespeare 's day . Significant parallels include the prince feigning madness , his mother 's hasty marriage to the usurper , the prince killing a hidden spy , and the prince substituting the execution of two retainers for his own . A reasonably faithful version of Saxo 's story was translated into French in 1570 by François de Belleforest , in his Histoires tragiques . Belleforest embellished Saxo 's text substantially , almost doubling its length , and introduced the hero 's melancholy .  Title page of The Spanish Tragedy by Thomas Kyd  According to one theory , Shakespeare 's main source is an earlier play -- now lost -- known today as the Ur - Hamlet . Possibly written by Thomas Kyd or even William Shakespeare , the Ur - Hamlet would have existed by 1589 , and would have incorporated a ghost . Shakespeare 's company , the Chamberlain 's Men , may have purchased that play and performed a version for some time , which Shakespeare reworked . However , since no copy of the Ur - Hamlet has survived , it is impossible to compare its language and style with the known works of any of its putative authors . Consequently , there is no direct evidence that Kyd wrote it , nor any evidence that the play was not an early version of Hamlet by Shakespeare himself . This latter idea -- placing Hamlet far earlier than the generally accepted date , with a much longer period of development -- has attracted some support .   The upshot is that scholars can not assert with any confidence how much material Shakespeare took from the Ur - Hamlet ( if it even existed ) , how much from Belleforest or Saxo , and how much from other contemporary sources ( such as Kyd 's The Spanish Tragedy ) . No clear evidence exists that Shakespeare made any direct references to Saxo 's version . However , elements of Belleforest 's version which are not in Saxo 's story do appear in Shakespeare 's play . Whether Shakespeare took these from Belleforest directly or through the Ur - Hamlet remains unclear .   Most scholars reject the idea that Hamlet is in any way connected with Shakespeare 's only son , Hamnet Shakespeare , who died in 1596 at age eleven . Conventional wisdom holds that Hamlet is too obviously connected to legend , and the name Hamnet was quite popular at the time . However , Stephen Greenblatt has argued that the coincidence of the names and Shakespeare 's grief for the loss of his son may lie at the heart of the tragedy . He notes that the name of Hamnet Sadler , the Stratford neighbour after whom Hamnet was named , was often written as Hamlet Sadler and that , in the loose orthography of the time , the names were virtually interchangeable .   Scholars have often speculated that Hamlet 's Polonius might have been inspired by William Cecil ( Lord Burghley ) -- Lord High Treasurer and chief counsellor to Queen Elizabeth I. E.K. Chambers suggested Polonius 's advice to Laertes may have echoed Burghley 's to his son Robert Cecil . John Dover Wilson thought it almost certain that the figure of Polonius caricatured Burghley . A.L. Rowse speculated that Polonius 's tedious verbosity might have resembled Burghley 's . Lilian Winstanley thought the name Corambis ( in the First Quarto ) did suggest Cecil and Burghley . Harold Jenkins considers the idea that Polonius might be a caricature of Burghley is a conjecture , and may be based on the similar role they each played at court , and also on the fact that Burghley addressed his Ten Precepts to his son , as in the play Polonius offers `` precepts '' to Laertes , his son . Jenkins suggests that any personal satire may be found in the name `` Polonius '' , which might point to a Polish or Polonian connection . G.R. Hibbard hypothesised that differences in names ( Corambis / Polonius : Montano / Raynoldo ) between the First Quarto and other editions might reflect a desire not to offend scholars at Oxford University .   Date ( edit )  John Barrymore as Hamlet ( 1922 )  `` Any dating of Hamlet must be tentative '' , cautions the New Cambridge editor , Phillip Edwards . The earliest date estimate relies on Hamlet 's frequent allusions to Shakespeare 's Julius Caesar , itself dated to mid-1599 . The latest date estimate is based on an entry , of 26 July 1602 , in the Register of the Stationers ' Company , indicating that Hamlet was `` latelie Acted by the Lo : Chamberleyne his servantes '' .   In 1598 , Francis Meres published his Palladis Tamia , a survey of English literature from Chaucer to its present day , within which twelve of Shakespeare 's plays are named . Hamlet is not among them , suggesting that it had not yet been written . As Hamlet was very popular , Bernard Lott , the series editor of New Swan , believes it `` unlikely that he ( Meres ) would have overlooked ... so significant a piece '' .   The phrase `` little eyases '' in the First Folio ( F1 ) may allude to the Children of the Chapel , whose popularity in London forced the Globe company into provincial touring . This became known as the War of the Theatres , and supports a 1601 dating . Katherine Duncan - Jones accepts a 1600 -- 1 attribution for the date Hamlet was written , but notes that the Lord Chamberlain 's Men , playing Hamlet in the 3000 - capacity Globe , were unlikely to be put to any disadvantage by an audience of `` barely one hundred '' for the Children of the Chapel 's equivalent play , Antonio 's Revenge ; she believes that Shakespeare , confident in the superiority of his own work , was making a playful and charitable allusion to his friend John Marston 's very similar piece .   A contemporary of Shakespeare 's , Gabriel Harvey , wrote a marginal note in his copy of the 1598 edition of Chaucer 's works , which some scholars use as dating evidence . Harvey 's note says that `` the wiser sort '' enjoy Hamlet , and implies that the Earl of Essex -- executed in February 1601 for rebellion -- was still alive . Other scholars consider this inconclusive . Edwards , for example , concludes that the `` sense of time is so confused in Harvey 's note that it is really of little use in trying to date Hamlet '' . This is because the same note also refers to Spenser and Watson as if they were still alive ( `` our flourishing metricians '' ) , but also mentions `` Owen 's new epigrams '' , published in 1607 .   Texts ( edit )  Title page of the 1605 printing ( Q2 ) of Hamlet  Three early editions of the text have survived , making attempts to establish a single `` authentic '' text problematic and inconclusive . Each surviving edition differs from the others :    First Quarto ( Q1 ) : In 1603 the booksellers Nicholas Ling and John Trundell published , and Valentine Simmes printed , the so - called `` bad '' first quarto . Q1 contains just over half of the text of the later second quarto .   Second Quarto ( Q2 ) : In 1604 Nicholas Ling published , and James Roberts printed , the second quarto . Some copies are dated 1605 , which may indicate a second impression ; consequently , Q2 is often dated `` 1604 / 5 '' . Q2 is the longest early edition , although it omits about 77 lines found in F1 ( most likely to avoid offending James I 's queen , Anne of Denmark ) .   First Folio ( F1 ) : In 1623 Edward Blount and William and Isaac Jaggard published the First Folio , the first edition of Shakespeare 's Complete Works .    Other folios and quartos were subsequently published -- including John Smethwick 's Q3 , Q4 , and Q5 ( 1611 -- 37 ) -- but these are regarded as derivatives of the first three editions .  The first page of the First Folio printing of Hamlet , 1623  Early editors of Shakespeare 's works , beginning with Nicholas Rowe ( 1709 ) and Lewis Theobald ( 1733 ) , combined material from the two earliest sources of Hamlet available at the time , Q2 and F1 . Each text contains material that the other lacks , with many minor differences in wording : scarcely 200 lines are identical in the two . Editors have combined them in an effort to create one `` inclusive '' text that reflects an imagined `` ideal '' of Shakespeare 's original . Theobald 's version became standard for a long time , and his `` full text '' approach continues to influence editorial practice to the present day . Some contemporary scholarship , however , discounts this approach , instead considering `` an authentic Hamlet an unrealisable ideal ... there are texts of this play but no text '' . The 2006 publication by Arden Shakespeare of different Hamlet texts in different volumes is perhaps evidence of this shifting focus and emphasis . Other editors have continued to argue the need for well - edited editions taking material from all versions of the play . Colin Burrow has argued that `` most of us should read a text that is made up by conflating all three versions ... it 's about as likely that Shakespeare wrote : `` To be or not to be , ay , there 's the point '' ( in Q1 ) , as that he wrote the works of Francis Bacon . I suspect most people just wo n't want to read a three - text play ... ( multi-text editions are ) a version of the play that is out of touch with the needs of a wider public . ''   Traditionally , editors of Shakespeare 's plays have divided them into five acts . None of the early texts of Hamlet , however , were arranged this way , and the play 's division into acts and scenes derives from a 1676 quarto . Modern editors generally follow this traditional division , but consider it unsatisfactory ; for example , after Hamlet drags Polonius 's body out of Gertrude 's bedchamber , there is an act - break after which the action appears to continue uninterrupted .  Comparison of the ' To be , or not to be ' soliloquy in the first three editions of Hamlet , showing the varying quality of the text in the Bad Quarto , the Good Quarto and the First Folio  The discovery in 1823 of Q1 -- whose existence had been quite unsuspected -- caused considerable interest and excitement , raising many questions of editorial practice and interpretation . Scholars immediately identified apparent deficiencies in Q1 , which was instrumental in the development of the concept of a Shakespearean `` bad quarto '' . Yet Q1 has value : it contains stage directions ( such as Ophelia entering with a lute and her hair down ) that reveal actual stage practices in a way that Q2 and F1 do not ; it contains an entire scene ( usually labelled 4.6 ) that does not appear in either Q2 or F1 ; and it is useful for comparison with the later editions . The major deficiency of Q1 is in the language : particularly noticeable in the opening lines of the famous `` To be , or not to be '' soliloquy : `` To be , or not to be , aye there 's the point . / To die , to sleep , is that all ? Aye all : / No , to sleep , to dream , aye marry there it goes . '' However , the scene order is more coherent , without the problems of Q2 and F1 of Hamlet seeming to resolve something in one scene and enter the next drowning in indecision . New Cambridge editor Kathleen Irace has noted that `` Q1 's more linear plot design is certainly easier ( ... ) to follow ( ... ) but the simplicity of the Q1 plot arrangement eliminates the alternating plot elements that correspond to Hamlet 's shifts in mood . ''   Q1 is considerably shorter than Q2 or F1 and may be a memorial reconstruction of the play as Shakespeare 's company performed it , by an actor who played a minor role ( most likely Marcellus ) . Scholars disagree whether the reconstruction was pirated or authorised . It is suggested by Irace that Q1 is an abridged version intended especially for travelling productions , thus the question of length may be considered as separate from issues of poor textual quality . Editing Q1 thus poses problems in whether or not to `` correct '' differences from Q2 and F. Irace , in her introduction to Q1 , wrote that `` I have avoided as many other alterations as possible , because the differences ... are especially intriguing ... I have recorded a selection of Q2 / F readings in the collation . '' The idea that Q1 is not riddled with error but is instead eminently fit for the stage has led to at least 28 different Q1 productions since 1881 . Other productions have used the probably superior Q2 and Folio texts , but used Q1 's running order , in particular moving the to be or not to be soliloquy earlier . Developing this , some editors such as Jonathan Bate have argued that Q2 may represent `` a ' reading ' text as opposed to a ' performance ' one '' of Hamlet , analogous to how modern films released on disc may include deleted scenes : an edition containing all of Shakespeare 's material for the play for the pleasure of readers , so not representing the play as it would have been staged .   Analysis and criticism ( edit )  Main article : Critical approaches to Hamlet  Critical History ( edit )   From the early 17th century , the play was famous for its ghost and vivid dramatisation of melancholy and insanity , leading to a procession of mad courtiers and ladies in Jacobean and Caroline drama . Though it remained popular with mass audiences , late 17th - century Restoration critics saw Hamlet as primitive and disapproved of its lack of unity and decorum . This view changed drastically in the 18th century , when critics regarded Hamlet as a hero -- a pure , brilliant young man thrust into unfortunate circumstances . By the mid-18th century , however , the advent of Gothic literature brought psychological and mystical readings , returning madness and the ghost to the forefront . Not until the late 18th century did critics and performers begin to view Hamlet as confusing and inconsistent . Before then , he was either mad , or not ; either a hero , or not ; with no in - betweens . These developments represented a fundamental change in literary criticism , which came to focus more on character and less on plot . By the 19th century , Romantic critics valued Hamlet for its internal , individual conflict reflecting the strong contemporary emphasis on internal struggles and inner character in general . Then too , critics started to focus on Hamlet 's delay as a character trait , rather than a plot device . This focus on character and internal struggle continued into the 20th century , when criticism branched in several directions , discussed in context and interpretation below .   Dramatic structure ( edit )   Hamlet departed from contemporary dramatic convention in several ways . For example , in Shakespeare 's day , plays were usually expected to follow the advice of Aristotle in his Poetics : that a drama should focus on action , not character . In Hamlet , Shakespeare reverses this so that it is through the soliloquies , not the action , that the audience learns Hamlet 's motives and thoughts . The play is full of seeming discontinuities and irregularities of action , except in the `` bad '' quarto . At one point , as in the Gravedigger scene , Hamlet seems resolved to kill Claudius : in the next scene , however , when Claudius appears , he is suddenly tame . Scholars still debate whether these twists are mistakes or intentional additions to add to the play 's themes of confusion and duality . Hamlet also contains a recurrent Shakespearean device , a play within the play , a literary device or conceit in which one story is told during the action of another story .   Length ( edit )   Hamlet is Shakespeare 's longest play . The Riverside edition constitutes 4,042 lines totaling 29,551 words , typically requiring over four hours to stage . It is rare that the play is performed without some abridgments , and only one film adaptation has used a full - text conflation : Kenneth Branagh 's 1996 version , which runs slightly more than four hours .   Language ( edit )  Hamlet 's statement that his dark clothes are the outer sign of his inner grief demonstrates strong rhetorical skill ( artist : Eugène Delacroix 1834 ) .  Much of Hamlet 's language is courtly : elaborate , witty discourse , as recommended by Baldassare Castiglione 's 1528 etiquette guide , The Courtier . This work specifically advises royal retainers to amuse their masters with inventive language . Osric and Polonius , especially , seem to respect this injunction . Claudius 's speech is rich with rhetorical figures -- as is Hamlet 's and , at times , Ophelia 's -- while the language of Horatio , the guards , and the gravediggers is simpler . Claudius 's high status is reinforced by using the royal first person plural ( `` we '' or `` us '' ) , and anaphora mixed with metaphor to resonate with Greek political speeches .   Of all the characters , Hamlet has the greatest rhetorical skill . He uses highly developed metaphors , stichomythia , and in nine memorable words deploys both anaphora and asyndeton : `` to die : to sleep -- / To sleep , perchance to dream '' . In contrast , when occasion demands , he is precise and straightforward , as when he ex</t>
  </si>
  <si>
    <t xml:space="preserve">who is assigned to take hamlet to england</t>
  </si>
  <si>
    <t xml:space="preserve"> Hamlet jokes with Claudius about where he has hidden Polonius 's body , and the king , fearing for his life , sends Rosencrantz and Guildenstern to accompany Hamlet to England with a sealed letter to the English king requesting that Hamlet be executed immediately . </t>
  </si>
  <si>
    <r>
      <rPr>
        <sz val="11"/>
        <color rgb="FF000000"/>
        <rFont val="Calibri"/>
        <family val="0"/>
        <charset val="1"/>
      </rPr>
      <t xml:space="preserve">Dora the Explorer - wikipedia  Dora the Explorer  Jump to : navigation , search Not to be confused with Dora the Female Explorer .    Dora the Explorer         Genre   Children 's adventure     Created by   Chris Gifford Valerie Walsh Valdes Eric Weiner     Directed by   George S. Chialtas Gary Conrad Henry Lenardin - Madden Sherie Pollack Arnie Wong Jyllian Gunther ( Voice )     Voices of     Caitlin Sanchez   Kathleen Herles   Fátima Ptacek   Harrison Chad   Regan Mizrahi   Marc Weiner   Alexandria Suarez       Theme music composer     Joshua Sitron   Billy Straus       Opening theme   Dora the Explorer Theme     Ending theme   various closing themes     Country of origin   United States     Original language ( s )     English   Spanish   French       No. of seasons   8     No. of episodes   172 ( aired ) ( list of episodes )     Production     Executive producer ( s )   Chris Gifford     Producer ( s )   Valerie Walsh Valdes     Editor ( s )     Gayle McIntyre   Karyn Finley Powell   David Wigforss       Running time   22 minutes approx. , 45 minutes ( specials )     Production company ( s )     Stinky Hawk Productions   Nick Jr . Productions ( Season 1 - 4 )   Nickelodeon Productions . ( Season 5 - 8 )   Nickelodeon Animation Studio       Distributor   Viacom Media Networks     Release     Original network   Nickelodeon     Picture format     480i : SDTV ( 2000 -- 2012 )   1080i : HDTV ( 2012 -- 2014 )       Original release   August 14 , 2000 ( 2000 - 08 - 14 ) -- June 5 , 2014 ( 2014 - 06 - 05 )     Chronology     Followed by   Dora and Friends : Into the City !     Related shows   Go , Diego , Go !     External links     Website   www.nickjr.com/dora-the-explorer/     Dora the Explorer is an American educational animated TV series created by Chris Gifford , Valerie Walsh , and Eric Weiner . Dora the Explorer became a regular series in 2000 . The show is carried on the Nickelodeon cable television network , including the associated Nick Jr. channel . It aired on CBS until September 2006 . A Spanish - dubbed version first aired as part of a Nick en español block on NBC Universal - owned Telemundo through September 2006 ; since April 2008 , this version of the program has been carried on Univision as part of the Planeta U block . The series is co-produced by Nickelodeon Productions and Nickelodeon Animation Studio . Dora the Explorer is one of the longest - running shows of Nick Jr . During the sixth season , the show became the Nick Jr. series with the most episodes , surpassing Blue 's Clues with 143 episodes , having 144 after it had completed broadcasting on television . It won a Peabody Award in 2003 `` for outstanding efforts in making learning a pleasurable experience for pre-schoolers . '' It ended on June 5 , 2014 after 8 seasons and 172 episodes .     Contents  ( hide )   1 Plot   2 Voices   2.1 Guest voices   2.2 Guest stars     3 Episode list   4 Development   4.1 Dora 's Explorer Girls     5 Foreign adaptations   6 Stage adaptations   7 Dora the Explorer merchandise   7.1 Toys   7.2 Books   7.2. 1 Dora the Explorer series   7.2. 2 Ready To Read series -- Level 1   7.2. 3 A Lift - the - Flap Story   7.2. 4 Treasury books and collection books   7.2. 5 Sticker books     7.3 DVDs and videos   7.4 Video games     8 Mobile streaming   9 Sequel   10 See also   11 References   12 External links      Plot  From left to right : Swiper ( in background ) , Dora , and Boots  The series centers around Dora , a 7 ( Later 8 ) year old American girl of Indigenous Mexican heritage , with a love of embarking on quests related to an activity that she wants to partake of or a place that she wants to go to , accompanied by her talking purple backpack and anthropomorphic monkey companion named Boots ( named for his beloved pair of red boots ) . Each episode is based around a series of cyclical events that occur along the way during Dora 's travels , along with obstacles that she and Boots are forced to overcome or puzzles that they have to solve ( with `` assistance '' from the viewing audience ) relating to riddles , the Spanish language , or counting . Common rituals may involve Dora 's encounters with Swiper , a bipedal , anthropomorphic masked thieving fox whose theft of the possessions of others must be prevented through fourth wall - breaking interaction with the viewer . To stop Swiper , Dora must say `` Swiper no swiping '' three times . However , on occasions where Swiper steals the belongings of other people , the viewer is presented with the challenge of helping Boots and Dora locate the stolen items . Another obstacle involves encounters with another one of the program 's antagonists ; the `` Grumpy Old Troll '' dwelling beneath a bridge that Dora and Boots must cross , who challenges them with a riddle before permitting them the past that needs to be solved with the viewer 's help . Known for the constant breaking of the fourth - wall depicted in every episode , the audience is usually presented to two primary landmarks that must be passed before Dora can reach her destination , normally being challenged with games or puzzles along the way . The episode always ends with Dora successfully reaching the locale , singing the `` We Did It ! '' song with Boots in triumph .   On numerous occasions , television specials have been aired for the series in which the usual events of regular episodes are altered , threatened , or replaced . Usually said specials will present Dora with a bigger , more whimsical adventure than usual or with a magical task that must be fulfilled , or perhaps even offer a series of different adventures for Boots and Dora to travel through . They might be presented with an unusual , difficult task ( such as assisting Swiper in his attempts to be erased from Santa Claus 's Naughty List ) that normally is not featured in average episodes , or challenge Dora with a goal that must be achieved ( such as the emancipation of a trapped mermaid ) . Sometimes , the specials have involved the debut of new characters , such as the birth of Dora 's superpowered twin baby siblings and the introduction of the enchanted anthropomorphic stars that accompany Dora on many of her quests .   Voices    Dora Márquez ( aka Dora the Explorer ) : Kathleen Herles ( 2000 -- 2007 ) , Caitlin Sanchez ( 2008 -- 2011 ) , Fátima Ptacek ( 2012 -- 2014 )   Boots : Harrison Chad ( 2000 -- 2007 ) , Regan Mizrahi ( 2008 -- 2012 ) , Koda Gursoy ( 2012 - 2014 )   Backpack : Sasha Toro ( 2000 -- 2007 ) , Alexandria Suarez ( 2008 -- 2014 )   Swiper : Marc Weiner ( 2000 -- 2014 )   Map : Marc Weiner ( 2000 -- 2014 )   Isa the Iguana : Ashley Fleming ( 2000 -- 2007 ) , Lenique Vincent ( 2008 -- 2011 ) , Skai Jackson ( 2012 -- 2014 )   Tico the Squirrel : Jose Zelaya ( 2002 -- 2007 ) , Jean Carlos Celi ( 2008 -- 2014 )   Benny the Bull : Jake Burbage ( 2000 -- 2007 ) , Matt Gumley ( 2008 -- 2014 )   Big Red Chicken : Chris Gifford ( 2000 -- 2014 )   Explorer Stars : Christiana Anbri , Henry Gifford , Katie Gifford , Aisha Shickler , Muhammed Cunningham , Jose Zeleya   Diego : Felipe and Andre Dieppa ( 2003 -- 2006 ) , Jake T. Austin ( 2005 -- 2010 ) , Brandon Zambrano ( 2011 -- 2012 ) , Jacob Medrano ( 2012 -- 2014 )   Elaine Del Valle - Val the Octopus , various   Eileen Galindo - Mrs. Marquez   Chris Gifford - Big Red Chicken , Grumpy Old Troll , various   K.J. Sanchez   Adam Sietz - Boots ' Daddy , various   Leslie Valdes   Marc Weiner    Guest voices    John Leguizamo   Cheech Marin   Ricardo Montalbán   Esai Morales - Mr. Marquez   Amy Principe   Irwin Reese   Chita Rivera ( Dora 's Fairytale Adventure , 2004 )   Antonia Rey   Paul Rodriguez   Frankie Grande    Guest stars    Johnny Weir , ( Dora 's Ice Skating Spectacular , 2013 )   Hilary Duff , ( Dora 's Ice Skating Spectacular , 2013 )   Jewel Kilcher ( Dora in Wonderland , 2014 )   Mel Brooks ( Dora in Wonderland , 2014 )   Alan Cumming ( Dora in Wonderland , 2014 )   Sara Ramirez ( Dora in Wonderland , 2014 )    Episode list  Main article : List of Dora the Explorer episodes  Development   Dora is a Latina . According to a Nickelodeon spokesman , `` She was developed to be pan-Latina to represent the diversity of Latino cultures . ''  Dora the Explorer as a tween , as seen after being revealed in 2009 .  On March 8 , 2009 , Mattel and Nickelodeon announced that Dora will receive a tweenage makeover , switching from a young age to a teenage attending middle school . Initially , it was announced that the new look would not be revealed until late 2009 , but after a short controversy , the tween Dora was unveiled on March 16 , 2009 . The change was criticized by one writer that did not support the feminization of Dora 's image .   In 2012 , a CGI opening was created for new episodes of the series .   Dora 's Explorer Girls   In 2009 , Mattel and Nickelodeon introduced a preteen version of Dora , with four friends named Naiya , Kate , Emma , and Alana , who call themselves the Explorer Girls . The Explorer Girls were included in the Dora and Friends spin - off in 2014 .   Foreign adaptations   Dora the Explorer has been produced in various other languages worldwide . It facilitates the learning of important foreign language words or phrases ( mostly English , interspersed with a local language ( e.g. Norwegian , Russian , Hindi , or German ) , with occasional use of Spanish ( used in the Gaelic , Serbian , and Turkish versions ) ) through its simplicity and use of repetition .    Arabic -- The Arabic language version is broadcast on the `` Nickelodeon on MBC3 '' block of MBC3 , and is presented in Arabic - English .   Cantonese -- The Cantonese language version ( Chinese : </t>
    </r>
    <r>
      <rPr>
        <sz val="11"/>
        <color rgb="FF000000"/>
        <rFont val="Noto Sans CJK SC"/>
        <family val="2"/>
      </rPr>
      <t xml:space="preserve">愛 探險 的 朵 拉 </t>
    </r>
    <r>
      <rPr>
        <sz val="11"/>
        <color rgb="FF000000"/>
        <rFont val="Calibri"/>
        <family val="0"/>
        <charset val="1"/>
      </rPr>
      <t xml:space="preserve">; literally : `` Explore - loving Dora '' ) is sold in Hong Kong . It is presented in Cantonese - English .   Danish -- The Danish language version is called `` Dora -- udforskeren '' and there are commands and expressions in English . It is broadcast on the national public children 's channel , DR Ramasjang , and also on Nick Jr. through various pay TV providers .   Dutch -- The Dutch language version broadcasts on Nickelodeon and Nick . Jr , It is presented in Dutch - English . The voice actors are Lottie Hellingman as Dora and Dieter Jansen as Boots .   French -- The French language version , Dora l'exploratrice , broadcasts on TF1 in France and Télé - Québec in Canada . It is presented in French - English , with Dora and Boots ( called Babouche ) speaking French and other protagonists speaking and answering in English .   Filipino -- The Filipino language version broadcasts on ABS - CBN and has the same English title `` Dora , the Explorer '' . The characters speak Filipino and some English , Dora teaches English in this version .   German -- The German language version broadcasts on the German branch of Nickelodeon . The bilingualism is German - English .   Greek -- The Greek language version is called `` Ντόρα η μικρή εξερευνήτρια '' ( or Dora the Little Explorer ) . It broadcasts on Nickelodeon and Star Channel . The bilingualism is Greek - English . Dora and Boots ( called Botas ) speak Greek and other protagonists speak and answer in English .   Hebrew -- The Hebrew language version broadcasts on HOP channel . The bilingualism is Hebrew - English . The series is called מגלים עם דורה ( or Megalim Im Dora -- English : Discovering with Dora ) .   Hindi -- In the Hindi language version , Dora and the other characters speak Hindi . It broadcasts on Nickelodeon and Nick Jr . Dora teaches the viewers English words and numbers .   Hungarian -- In the Hungarian language version , Dora and the other characters speak Hungarian with some English words or phrases . It broadcasts on Nickelodeon ( Hungary ) . The series is called Dóra a felfedező .   Indonesian -- The Indonesian language version broadcasts on Global TV . The bilingualism is Indonesian - English .   Irish -- The Irish language version broadcasts on the Irish station TG4 . The bilingualism is Irish - Spanish with Dora and Boots speaking in Irish and some other characters speaking Spanish as in the original American version .   Italian -- The Italian language version broadcasts on Cartoonito and on Nickelodeon . The bilingualism is Italian - English . The series is called Dora l'esploratrice ( `` Dora the Explorer '' ) . Most characters speak Italian , but some characters and especially Dora 's parents and backpack speak English along with Italian .   Japanese -- The Japanese language version broadcasts on Nick Japan . The bilingualism is Japanese - English , with Dora and Boots speaking Japanese and other protagonists speaking and answering in English . The version is called </t>
    </r>
    <r>
      <rPr>
        <sz val="11"/>
        <color rgb="FF000000"/>
        <rFont val="Noto Sans CJK SC"/>
        <family val="2"/>
      </rPr>
      <t xml:space="preserve">ドーラ と いっしょ に 大 冒険 </t>
    </r>
    <r>
      <rPr>
        <sz val="11"/>
        <color rgb="FF000000"/>
        <rFont val="Calibri"/>
        <family val="0"/>
        <charset val="1"/>
      </rPr>
      <t xml:space="preserve">( Dōra to issho ni dai bōken / Adventures with Dora ) .   Kannada -- The Kannada language version broadcasts on Chintu TV and is a very popular program on that network . Hindi is the second language in this version .   Korean -- The Korean language version broadcasts on Nick Jr in Korea . The title is `` Hi Dora '' and is introduced by a real person whose name is Dami -- she introduces key English vocabulary for each episode . The episode is primarily in Korean with some English .   Macedonian -- The Macedonian language version broadcasts on MRT 1 in Macedonia . The title is `` Дора истражува '' ( or Dora the Explorer ) . The bilingualism is Macedonian - English .   Malay -- The Malay language version broadcasts on TV9 . The bilingualism is Malay - English . Dora speaks primarily in Malay , and the secondary language is English . The original English - Spanish version , however , is also available on Nickelodeon South East Asia via the Nick Jr. programming slot to subscribers of the ASTRO satellite TV service .   Malayalam -- The Malayalam language version is called Dorayude Prayanam ( ഡോറയുടെ പ്രയാണം ) and broadcasts on a local kids programming channel Kochu TV , which is the Malayalam dubbed version of Chutti TV .   Mandarin -- In the Mandarin Chinese language version Dora the characters speak mainly Mandarin with limited English . It broadcasts on Yo - yo TV in Taiwan ( Channel 25 ) .   Maori -- The Māori language version is called `` Dora Mātātoa '' .   Norwegian -- In the Norwegian language version , the bilingualism is Norwegian - English .   Polish -- The Polish language version broadcasts on Nickelodeon in Poland . The bilingualism is Polish - English . The series is called Dora poznaje świat ( `` Dora explores the world '' ) .   Portuguese -- In the Portuguese language versions , Dora a Exploradora broadcasts on RTP2 and Nickelodeon Portugal . On Nickelodeon Brazil , the show is called Dora a Aventureira , and Dora and Boots ( called Boots in the Portuguese version and Botas in the Brazilian version ) speak Portuguese , while the other protagonists speak and answer in English . Some Portuguese episodes are available on DVD .   Persian -- The Persian language version broadcasts on Persian Toon . The bilingualism is Persian - English .   Russian -- The Russian language version broadcasts on TNT and Nickelodeon . The bilingualism is Russian - English . The series is called Dasha - sledopyt ( `` Dasha the Pathfinder '' ) . Dasha is the children 's name of Daria ( Darya ) .   Serbian -- The Serbian language version broadcasts on B92 . The bilingualism is Serbian - Spanish . The series is called Dora istražuje ( Dora is exploring ) .   Spanish -- There are different Spanish language versions for Mexico , Latin America , and Spain . Dora la Exploradora broadcasts on Nickelodeon in Latin America ( and up to September 2006 on Telemundo in the USA ; from April 2008 on Univisión ) . Dora and Boots ( called Botas ) speak Spanish and the other protagonists speak and answer in English . Some Spanish episodes are available to US viewers on VHS , and some DVDs have a Spanish track ( including Dora 's Egg Hunt ) . This version is entirely the reverse of the original English version ; Tico and Señor Tucan ( called Mr. Toucan ) only speak English . Additionally , Univision has added on - screen captions of the Spanish words spoken in English . In Spain , Dora la exploradora is aired on TVE 1 , Clan TVE and Nickelodeon . It is another reverse of the original English version ( the characters speak mainly Spanish but there are commands and expressions in English ) .   Swedish -- In the Swedish language version Dora - utforskaren the characters speak mainly Swedish but there are commands and expressions in English . It broadcasts on Nickelodeon and TV4 .   Tamil -- In the Tamil language version Doravin Payanangal ( டோராவின் பயணங்கள் ) , the characters all speak Tamil , with some English interspersed . It broadcasts on a local kids programming channel Chutti TV .   Thai -- In the Thai language version ด อ ร่า ดิ เอก ซ์ พล อ เรอ ร์ or ด อ ร่า สาว น้อย นัก ผจญ ภัย , the characters speak Thai ; however , Tico speaks English . It broadcasts on Gang Cartoon Channel , Nick Jr. , Thai PBS .   Turkish -- In the Turkish language version Dora the characters speak mainly Turkish , Spanish , and English but there are commands and expressions in Turkish . It broadcasts on Nickelodeon and CNBC - e .    As shown by the list above , the usual second language is English , but Spanish is used in the original American version in English ( broadcast also for Malay speakers ) , in the Gaelic ( Irish ) , Serbian , and the trilingual Turkish versions .   Stage adaptations   Two stage versions of Dora the Explorer toured North America , the first being `` City of Lost Toys '' , and the second being `` Dora 's Pirate Adventure '' . Produced by Nickelodeon and LiveNation , these productions featured live actors portraying the roles of Dora and her friends , including Boots , Diego , Isa , and the Fiesta Trio . Many of the characters wore elaborate foam costumes designed to resemble the Dora characters . Each production featured a structure similar to an episode of the television series . City of Lost Toys featured Christina Bianco as Dora while Dora 's Pirate Adventure featured Danay Ferrer of the band Innosense in the role of Dora and Frankie Grande as Boots . Both productions featured a version of the popular Gloria Estefan song `` Get On Your Feet '' as the final number of the show . Both productions were conceived by Chris Gifford , creator of the television show , and directed by Gip Hoppe .   There have been three Dora touring companies . The `` City of Lost Toys '' company and the `` Pirate Adventure '' company featured actors and crew that were members of Actor 's Equity and IATSE , respectively , the unions for professional actors and stagehands in the United States . The third company performs a reduced version of `` Pirate Adventure '' and does not employ union personnel . This production is currently touring North America , and scheduled to travel to the United Kingdom and France .   Dora the Explorer merchandise   There are many action figures and playsets available in many markets , along with DVDs , cosmetics , hygiene products , ride - ons , books , board games , plush dolls , apparel , handbags , play tents , play kitchens , and more . Licensees include Fisher - Price in the United States and Holland Publishing in the United Kingdom .   Toys   In 2004 Lego released four sets based on the TV series ' characters . These include 7330 Dora 's Treasure Island , 7331 Diego 's Rescue Truck , 7332 Dora and Boots at Play Park , and 7333 Dora and Diego 's Animal Adventure .   In 2007 , lead paint used by a contract toy manufacturer in China prompted Mattel to issue recalls for nearly a million toys , many of which featured Sesame Street and Nickelodeon characters , including Dora the Explorer . Nickelodeon responded that they would introduce `` third - party monitoring '' of all manufacturers of products under its brands .   Books  Dora the Explorer series   Dora 's Backpack ( ISBN 978 - 0689847202 )   Little Star ( ISBN 978 - 0689847219 )   Happy Mother 's Day Mami ! ( ISBN 978 - 0689852336 )   Meet Diego ! ( ISBN 978 - 0689859939 )   Dora 's Thanksgiving ( ISBN 978 - 0689858420 )   Dora Loves Boots ( ISBN 978 - 0689863738 )   Dora 's Book of Manners ( ISBN 978 - 0689865336 )   Dora Goes to School ( ISBN 978 - 0689864940 )   Dora 's Fairy - Tale Adventure ( ISBN 978 - 0689870125 )   Dora 's Chilly Day ( ISBN 978 - 0689867958 )   Show Me Your Smile ! ( ISBN 978 - 0689871696 )   Dora 's Pirate Adventure ( ISBN 978 - 0689875830 )   Big Sister Dora ! ( ISBN 978 - 0689878466 )   At the Carnival ( ISBN 978 - 0689858413 )   Dora 's Costume Party ! ( ISBN 978 - 1416900108 )   Dance to the Rescue ( ISBN 978 - 1416902164 )   Dora 's Starry Christmas ( ISBN 978 - 1416902492 )   Super babies ( ISBN 978 - 1416914853 )   The Birthday Dance Party ( ISBN 978 - 1416913030 )   Dora 's World Adventure ( ISBN 978 - 1416924470 )   Dora Climbs Star Mountain ( ISBN 978 - 1416940593 )   It 's Sharing Day ! ( ISBN 978 - 1416915751 )   Dora Had a Little Lamb ( ISBN 978 - 1416933687 )   Dora Saves Mermaid Kingdom ! ( ISBN 978 - 1416938415 )   Dora and the Stuck Truck ( ISBN 978 - 1416947998 )   Ready To Read series -- Level 1   Dora 's Picnic ( ISBN 978 - 0689852381 )   Follow Those Feet ! ( ISBN 978 - 0689852398 )   Dora in the Deep Sea ( ISBN 978 - 0689858451 )   I Love My Papi ! ( ISBN 978 - 0689864957 )   Say `` Cheese ! '' ( ISBN 978 - 0689864964 )   The Halloween Cat ( ISBN 978 - 0689867996 )   Eggs for Everyone ! ( ISBN 978 - 0689871764 )   Just Like Dora ! ( ISBN 978 - 0689876752 )   I Love My Mami ! ( ISBN 978 - 1416906506 )   Puppy Takes a Bath ( ISBN 978 - 1416914839 )   Around the World ! ( ISBN 978 - 1416924784 )   Dora 's Sleepover ( ISBN 978 - 1416915089 )   Dora Helps Diego ! ( ISBN 978 - 1416915096 )   Dora 's Perfect Pumpkin ( ISBN 978 - 1416934387 )   Dora 's Mystery of the Missing Shoes ( ISBN 978 - 1416938248 )   A Lift - the - Flap Story   Good Night , Dora ! : A Lift - the - Flap Story ( ISBN 978 - 0689847745 )   Where Is Boots ? : A Lift - the - Flap Story ( ISBN 978 - 0689847752 )   Let 's Play Sports ! : A Lift - the - Flap Story ( ISBN 978 - 1416933502 )   All Dressed Up ! : A Lift - the - Flap Book ( ISBN 978 - 0689877186 )   Treasury books and collection books   Dora 's Ready - to - Read Adventures ( ISBN 978 - 0689878152 )    Contains : Dora 's picnic , Follow those feet , Dora in the deep sea , I love my Papi ! , Say `` Cheese ''    Dora 's Storytime Collection ( ISBN 978 - 0689866234 )    Contains : Dora 's Backpack , Little Star , Happy Birthday , Mami ! , Meet Diego ! , Dora Saves the Prince , Dora 's Treasure Hunt , Good Night , Dora !    Dora 's Big Book of Stories ( ISBN 978 - 1416907084 )    Contains : Dora 's Book of Manners , Dora Goes to School , Dora 's Fairy - Tale Adventure , Dora 's Chilly Day , Show Me Your Smile ! , Dora 's Pirate Adventure , Big Sister Dora !  Sticker books   Dora 's Magic Watering Can ( ISBN 978 - 1416947721 )    DVDs and videos  Main article : List of Dora the Explorer videos  Video games  Main article : Dora the Explorer ( video game series )  Video games based on the 2000 television show Dora the Explorer were released . In Canada , Cheerios offered a free Dora the Explorer the Game CD - ROMs in specially marked packages . However , packages sold in Quebec would only have the French version . Dora the Explorer : Barnyard Buddies is a video game released for the PlayStation in 2003 in the US . It was not released in Europe until 2005 being one of the very last games released on that platform in that territory . Dora the Explorer : Super Star Adventures is an adventure video game for the Game Boy Advance released in 2004 . It was developed by Imaginengine and published by Global Star .   Dora the Explorer : Journey to the Purple Planet is an action - adventure video game , developed by Monkey Bar Games , published by Global Star Software and powered by Vicious Engine . The game was released for GameCube in North America on October 13 , 2005 , and later in PAL regions on December 16 , 2005 . The PlayStation 2 version was released on PAL regions on December 2 , 2005 , and later in North America on February 9 , 2006 . The game is about Dora and Boots who finds some lost aliens from the purple planet . However , to take them home , she and Boots are required to collect keys to open the space gate , leading to the saturn planet . The game is unique in that it uses pictures and symbols to communicate rather than words . The object of the game is to capture one of the six explorer stars . Each explorer star has a special power such as the ability to be noisy or the ability to create music . In order to capture the star , the player must complete a hide - and - seek activity . These activities include maze navigation , matching games , side - scrolling race games , a `` Frogger '' - type game , a complete - the - pattern activity and a song playing game .   Dora Puppy is a puppy simulator where players must help Dora take care of her puppy , Perrito , and help train him for doggie competitions . All the actions are performed by either tracing certain shapes with the stylus or calling out commands into the DS 's microphone . It was developed by Take - Two Interactive for the Nintendo DS and published by 2K Play in North America and Australia in 2009 , and in Europe in 2010 .   Dora the Explorer : Dora 's Cooking Club is a cooking video game for the Nintendo DS . It was published by 2K Play in 2010 . In the game , players have to chop veggies , stir soups , top pizzas , and more using math skills . They may be sorting cookies into numbered groups or counting out different amounts of ingredients .    Dora the Explorer : Dora Saves the Snow Princess is a video game that was released for the PlayStation 2 and the Wii console in 2008 .   Dora the Explorer : Dora Saves the Crystal Kingdom is a video game that was released for the PlayStation 2 and the Wii console in 2009 .    Mobile streaming   ^ On August 31st , 2017 , the first five seasons of the show were added to the NOGGIN app .   Sequel   In 2013 , Nickelodeon announced that it will have a sequel to Dora the Explorer titled as Dora and Friends : Into the City ! . It will star the Latina heroine Dora as a 10 - year - old who goes on city adventures with the Explorer Girls , accompanied by a male pal named Pablo . The series has been picked up for 20 episodes and aired on Nickelodeon on August 18 , 2014 .   See also    Go , Diego , Go !    References    Jump up ^ 63rd Annual Peabody Awards , May 2004 .   Jump up ^ `` Grandma 's House '' . Dora the Explorer . Season 1 . Episode 12 . August 29 , 2000 . Event occurs at 2 : 00 . Nickelodeon . ¡ Hola , señora Márquez ! access - date = requires url = ( help )   Jump up ^ `` Dora and Diego 's Amazing Animal Circus '' . Dora the Explorer . Season 7 . Episode 8 . October 16 , 2012 . Nickelodeon . access - date = requires url = ( help )   Jump up ^ `` Dora 's Thanksgiving Day Parade '' . Dora the Explorer . Season 7 . Episode 15 . November 19 , 2012 . Nickelodeon . access - date = requires url = ( help )   Jump up ^ Friedman , Emily ( May 21 , 2010 ) . `` Is Dora The Explorer an Illegal Immigrant ? '' . ABC News . Retrieved January 21 , 2013 .   Jump up ^ `` Dora the Explorer Updates Her Look '' . Retrieved 2009 - 03 - 08 .   Jump up ^ `` After Dora uproar , Nick and Mattel soothe moms '' . Retrieved 2010 - 09 - 06 .   Jump up ^ `` New Tween `` Dora The Explorer '' Revealed `` . Popcrunch.com . Retrieved 2011 - 03 - 19 .   Jump up ^ Vicki Passmore ( February 1 , 2011 ) . `` Boy , How You 've Changed : Nine Big Mascot Makeovers '' . Walletpop.com . Retrieved March 19 , 2011 .   Jump up ^ `` Dora the Explorer 's Makeover '' . thesocietypages.org .   Jump up ^ Calabash Animation Creates New ' Dora ' Opening . Animationinsider.net   Jump up ^ `` Dora 's Explorer Girls '' . Nickjr.com . Retrieved 2011 - 03 - 19 .   Jump up ^ Addley , Esther ( 2007 - 08 - 03 ) . `` Mattel recalls nearly 100,000 toys after lead paint alert '' . The Guardian . London . Retrieved 2008 - 07 - 06 .   Jump up ^ Gregory , Angela ( 2007 - 08 - 03 ) . `` Dora the Explorer leads toy giant 's recall '' . The New Zealand Herald . Retrieved 2008 - 07 - 06 .   Jump up ^ Story , Louise ( 2007 - 08 - 02 ) . `` Lead Paint Prompts Mattel to Recall 967,000 Toys ( registration required to read article ) '' . NY Times .   Jump up ^ `` Dora the Explorer : Super Star Adventures '' . IGN . Retrieved 2011 - 09 - 09 .   Jump up ^ `` Dora the Explorer : Journey to the Purple Planet '' . IGN .   Jump up ^ `` Dora the Explorer : Journey to the Purple Planet '' . IGN .   Jump up ^ Global Star ( 2004 ) Dora the Explorer : Super Star Adventures Manual   Jump up ^ 2K Play ( 2009 ) Dora the Explorer : Dora Puppy Manual   Jump up ^ `` Dora the Explorer : Dora Puppy '' . IGN .   Jump up ^ `` Dora 's Cooking Club '' . IGN .   Jump up ^ 2K Play ( 2010 ) Dora 's Cooking Club Manual   Jump up ^ `` Nickelodeon Unveils New Generation Of Content For New Generation Of Kids At Annual Upfront Presentation '' ( Press release ) . Reuters. 25 February 2013 . Retrieved 31 March 2013 .   Jump up ^ Villaneda , Rebecca ( 28 February 2013 ) . `` ' Dora and Friends ' : New Spin - off Will Star the Little Latina Heroine '' . Hispanic Business . Archived from the original on 15 October 2013 . Retrieved 31 March 2013 .   Jump up ^ `` Nickelodeon `` Dora And Friends : In The City '' TV Show `` . Nickutopia. 8 March 2013 . Retrieved 31 March 2013 .   Jump up ^ Peel , Sarah ( 11 March 2013 ) . `` Nickelodeon Announces Dora and Friends : Into the City '' . BSC Kids . Archived from the original on 13 March 2013 . Retrieved 31 March 2013 .   Jump up ^ `` Dora &amp; Friends Music Video -- Video Clip -- Nick Jr . '' . nickjr.com .   Jump up ^ Los Angeles Times ( 18 August 2014 ) . `` Dora the Explorer is growing up and getting a spinoff series '' . latimes.com .    External links    Dora The Explorer on Nick Jr . Australia   Dora The Explorer On Nick Jr . US   Dora The Explorer On Nick Jr . UK   Dora The Explorer on Treehouse   Dora The Explorer On Nick Canada   Dora the Explorer on IMDb              Nick Jr. original programming     Former      1980s debuts     Eureeka 's Castle ( 1989 -- 1995 )       1990s debuts     Nick Jr . Rocks ( 1991 )   Dick Bruna 's Miffy Story Books ( 1992 )   Gullah Gullah Island ( 1994 -- 1998 )   Allegra 's Window ( 1994 -- 1996 )   Little Bear ( 1995 -- 2003 )   Blue 's Clues ( 1996 -- 2006 )   Franklin ( 1997 -- 2004 )   Maisy ( 1998 -- 2001 )   64 Zoo Lane ( 1999 -- 2013 )   Phred on Your Head Show ( 1999 -- 2002 )   Little Bill ( 1999 -- 2004 )       2000s debuts     Dora the Explorer ( 2000 -- 2014 )   Maggie and the Ferocious Beast ( 2000 -- 2002 )   Tiny Planets ( 2001 -- 2002 )   Oswald ( 2001 -- 2003 )   The URL with Phred Show ( 2001 -- 2002 )   Play with Me Sesame ( 2002 -- 2007 )   Oobi ( 2003 -- 2005 )   Miffy and Friends ( 2003 -- 2007 )   Moose and Zee ( 2003 -- 2012 )   Connie the Cow ( 2003 -- 2007 )   Whoopi 's Littleburg ( 2004 )   Blue 's Room ( 2004 -- 2007 )   LazyTown ( 2004 -- 2008 )   Miss Spider 's Sunny Patch Friends ( 2004 -- 2008 )   The Backyardigans ( 2004 -- 2010 )   Cooking for Kids with Luis ( 2004 -- 2005 )   Pinky Dinky Doo ( 2005 -- 2009 )   Go , Diego , Go ! ( 2005 -- 2011 )   Jack 's Big Music Show ( 2005 -- 2008 )   Wonder Pets ! ( 2006 -- 2013 )   Wow ! Wow ! Wubbzy ! ( 2006 -- 2010 )   The Upside Down Show ( 2006 -- 2007 )   Yo Gabba Gabba ! ( 2007 -- 2015 )   Ni Hao , Kai - Lan ( 2007 -- 2011 )   Toot &amp; Puddle ( 2008 -- 2009 )   Olivia ( 2009 -- 2011 )   The Fresh Beat Band ( 2009 -- 2013 )       2010s debuts     Pocoyo ( 2010 -- 2015 )   Team Umizoomi ( 2010 -- 2015 )   Bubble Guppies ( 2011 -- 2016 )   Franklin and Friends ( 2011 -- 2012 )   Mike the Knight ( 2011 -- 2017 )   Tickety Toc ( 2012 -- 2015 )   Peter Rabbit ( 2012 -- 2016 )   Lalaloopsy ( 2013 -- 2015 )   Julius Jr. ( 2013 -- 2015 )   Fresh Beat Band of Spies ( 2015 -- 2016 )          Current     Teletubbies ( since 1997 )   Max &amp; Ruby ( since 2002 )   Peppa Pig ( since 2003 )   Ben &amp; Holly 's Little Kingdom ( since 2009 )   Dino Dan ( since 2010 )   Mia and Me ( since 2011 )   Play Along with Sam ( since 2013 )   PAW Patrol ( since 2013 )   Wallykazam ! ( since 2014 )   Zack &amp; Quack ( since 2014 )   Dora and Friends : Into the City ! ( since 2014 )   Blaze and the Monster Machines ( since 2014 )   Hey Duggee ( since 2014 )   Little Charmers ( since 2015 )   Nick Jr . Puppies ( since 2015 )   Mutt &amp; Stuff ( since 2015 )   Shimmer and Shine ( since 2015 )   Miffy 's Adventures Big and Small ( since 2015 )   Rusty Rivets ( since 2016 )   Nella the Princess Knight ( since 2017 )   Sunny Day ( since 2017 )       Upcoming     Rainbow Rangers</t>
    </r>
  </si>
  <si>
    <t xml:space="preserve">what kind of animal is boots from dora</t>
  </si>
  <si>
    <t xml:space="preserve"> The series centers around Dora , a 7 ( Later 8 ) year old American girl of Indigenous Mexican heritage , with a love of embarking on quests related to an activity that she wants to partake of or a place that she wants to go to , accompanied by her talking purple backpack and anthropomorphic monkey companion named Boots ( named for his beloved pair of red boots ) . Each episode is based around a series of cyclical events that occur along the way during Dora 's travels , along with obstacles that she and Boots are forced to overcome or puzzles that they have to solve ( with `` assistance '' from the viewing audience ) relating to riddles , the Spanish language , or counting . Common rituals may involve Dora 's encounters with Swiper , a bipedal , anthropomorphic masked thieving fox whose theft of the possessions of others must be prevented through fourth wall - breaking interaction with the viewer . To stop Swiper , Dora must say `` Swiper no swiping '' three times . However , on occasions where Swiper steals the belongings of other people , the viewer is presented with the challenge of helping Boots and Dora locate the stolen items . Another obstacle involves encounters with another one of the program 's antagonists ; the `` Grumpy Old Troll '' dwelling beneath a bridge that Dora and Boots must cross , who challenges them with a riddle before permitting them the past that needs to be solved with the viewer 's help . Known for the constant breaking of the fourth - wall depicted in every episode , the audience is usually presented to two primary landmarks that must be passed before Dora can reach her destination , normally being challenged with games or puzzles along the way . The episode always ends with Dora successfully reaching the locale , singing the `` We Did It ! '' song with Boots in triumph . </t>
  </si>
  <si>
    <t xml:space="preserve">NFL on Thanksgiving Day - wikipedia  NFL on Thanksgiving Day  Jump to : navigation , search This article is about the series of National Football League games . For the Canadian Football League games , see Thanksgiving Day Classic . For the black college football rivalry , see Turkey Day Classic . The NFL Thanksgiving logo used for 2016 ; the year is updated annually , with the new NFL shield being used for the first time in 2008 .  The National Football League ( NFL ) on Thanksgiving Day is a traditional series of games played during the Thanksgiving holiday in the United States . It has been a regular occurrence since the league 's inception in 1920 . Currently , three NFL games are played every Thanksgiving . The first two are hosted by the Detroit Lions and the Dallas Cowboys ; a third game , with no fixed opponents , has been played annually since 2006 .     Contents  ( hide )   1 History   1.1 Throwback uniforms   1.2 Memorable games   1.3 Home team controversy     2 Game results   2.1 1920 -- 1940   2.2 1945 -- 1959   2.3 1960 -- 1969   2.4 1970 -- 2005   2.5 2006 -- present     3 Thanksgiving Day standings   3.1 Notable appearance droughts   3.2 Thanksgiving Day records of defunct teams     4 Game MVPs   4.1 Turkey Leg Award ( CBS &amp; FOX )   4.2 Galloping Gobbler / Game Ball ( FOX )   4.3 All - Iron Award ( CBS )   4.4 Prime time games ( NFLN &amp; NBC )   4.5 Complete list     5 Broadcasting   6 See also   7 References   7.1 Bibliography     8 External links      History ( edit )   The concept of American football games being played on Thanksgiving Day dates back to 1876 , shortly after the game had been invented , as it was a day that most people had off from work . In that year , the college football teams at Yale and Princeton began an annual tradition of playing each other on Thanksgiving Day . The University of Michigan also made it a tradition to play annual Thanksgiving games , holding 19 such games from 1885 to 1905 . The Thanksgiving Day games between Michigan and the Chicago Maroons in the 1890s have been cited as `` The Beginning of Thanksgiving Day Football . '' In some areas , high - school teams play on Thanksgiving , usually to wrap - up the regular - season .   By the time football had become a professional event , playing on Thanksgiving had already become an institution . Records of pro football being played on Thanksgiving date back to as early as the 1890s , with the first pro -- am team , the Allegheny Athletic Association of Pittsburgh , Pennsylvania . In 1902 , the `` National '' Football League , a Major League Baseball - backed organization based entirely in Pennsylvania and unrelated to the current NFL , attempted to settle its championship over Thanksgiving weekend ; after the game ended in a tie , eventually all three teams in the league claimed to have won the title . Members of the Ohio League , during its early years , usually placed their marquee matchups on Thanksgiving Day . For instance , in 1905 and 1906 the Latrobe Athletic Association and Canton Bulldogs , considered at the time to be two of the best teams in professional football ( along with the Massillon Tigers ) , played on Thanksgiving . A rigging scandal with the Tigers leading up to the 1906 game led to severe drops in attendance for the Bulldogs and ultimately led to their suspension of operations . During the 1910s , the Ohio League stopped holding Thanksgiving games because many of its players coached high school teams and were unavailable . This was not the case in other regional circuits : in 1919 , the New York Pro Football League featured a Thanksgiving matchup between the Buffalo Prospects and the Rochester Jeffersons . The game ended in a scoreless tie , leading to a rematch the next Sunday for the league championship .   Several other NFL teams played regularly on Thanksgiving in the first eighteen years of the league , including the Chicago Bears and Chicago Cardinals ( 1922 -- 33 ; the Bears played the Lions from 1934 to 1938 while the Cardinals switched to the Green Bay Packers for 1934 and 1935 ) , Frankford Yellow Jackets , Pottsville Maroons , Buffalo All - Americans , Canton Bulldogs ( even after the team moved to Cleveland they played the 1924 Thanksgiving game in Canton ) , and the New York Giants ( 1929 -- 38 , who always played a crosstown rival ) . The first owner of the Lions , George A. Richards , started the tradition of the Thanksgiving Day game as a gimmick to get people to go to Lions football games , and to continue a tradition begun by the city 's previous NFL teams . What differentiated the Lions ' efforts from other teams that played on the holiday was that Richards owned radio station WJR , a major affiliate of the NBC Blue Network ; he was able to negotiate an agreement with NBC to carry his Thanksgiving games live across the network .   During the Franksgiving controversy in 1939 and 1940 , the only two teams to play the game were the Pittsburgh Steelers and Philadelphia Eagles , as both teams were in the same state ( Pennsylvania ) . ( At the time , then - president Franklin Roosevelt wanted to move the holiday for economic reasons and many states were resistant to the move ; half the states recognized the move and the other half did not . This complicated scheduling for Thanksgiving games . Incidentally , the two teams were also exploring the possibility of a merger at the time . ) Because of the looming World War II and the resulting shorter seasons , the NFL did not schedule any Thanksgiving games in 1941 , nor did it schedule any in the subsequent years until the war ended in 1945 . When the Thanksgiving games resumed in 1945 , only the Lions ' annual home game would remain on the Thanksgiving holiday . In 1951 , the Packers began a thirteen - season run as the perpetual opponent to the Lions each year through 1963 .   The All - America Football Conference and American Football League , both of which would later be absorbed into the NFL , also held Thanksgiving contests , although neither of those leagues had permanent hosts . Likewise , the AFL of 1926 also played two Thanksgiving games in its lone season of existence , while the AFL of 1936 hosted one in its first season , which featured the Cleveland Rams , a future NFL team , and the 1940 -- 41 incarnation of the American Football League played two games in 1940 on the earlier `` Franksgiving '' date .   In 1966 , the Dallas Cowboys , who had been founded six years earlier , adopted the practice of hosting Thanksgiving games . It is widely rumored that the Cowboys sought a guarantee that they would regularly host Thanksgiving games as a condition of their very first one ( since games on days other than Sunday were uncommon at the time and thus high attendance was not a certainty ) . This is only partly true ; Dallas had in fact decided to host games on Thanksgiving by their own decision because there was nothing else to do or watch on that day . In 1975 and 1977 , at the behest of then - Commissioner Pete Rozelle , the St. Louis Cardinals replaced Dallas as a host team ( Dallas then hosted St. Louis in 1976 ) . Although the Cardinals , at the time known as the `` Cardiac Cards '' due to their propensity for winning very close games , were a modest success at the time , they were nowhere near as popular nationwide as the Cowboys , who were regular Super Bowl contenders during this era . This , combined with St. Louis 's consistently weak attendance , a series of ugly Cardinals losses in the three - game stretch , and opposition from the Kirkwood -- Webster Groves Turkey Day Game ( a local high school football contest ) led to Dallas resuming regular hosting duties in 1978 ; it was then , after Rozelle asked Dallas to resume hosting Thanksgiving games , that the Cowboys requested ( and received ) an agreement guaranteeing the Cowboys a spot on Thanksgiving Day forever .   Notwithstanding the aforementioned St. Louis - hosted games in 1975 and 1977 , the two `` traditional '' Thanksgiving Day pro football games since the 1970 AFL -- NFL merger have then been in Detroit and Dallas . Because of TV network commitments in place through the 2013 season , to make sure that both the AFC - carrying network ( NBC from the 1970 merger to 1997 , and CBS since 1998 ) and the NFC - carrying network ( CBS from the 1970 merger to 1993 , and Fox since 1994 ) got at least one game each , one of these games was between NFC opponents , and one featured AFC - NFC opponents . Thus , the AFC could showcase only one team on Thanksgiving , and the AFC team was always the visiting team .   Since 2006 , a third NFL game on Thanksgiving has been played at night . It originally aired on the NFL Network as part of its Thursday Night Football package until 2011 ; NBC began carrying the night game in 2012 . The Thanksgiving night game has no fixed opponents or conferences , enabling the league to freely choose whatever marquee match - up to feature on that night . The 2012 changes also allowed both Dallas and Detroit in the future to offer NFC games ( one would be played at night ) , and CBS can offer a game with two AFC teams . In 2014 , the NFL added the cross-flex rule , allowing CBS to televise NFC away games , and Fox to broadcast AFC away games , under select circumstances on Sunday afternoons ; however , this did not cover the Thanksgiving contests . CBS also signed a separate contract to carry Thursday Night Football from the 2014 season onward , which allowed that network to carry games from either conference on Thursdays ; from that year through 2016 , CBS carried all - NFC contests every year on Thanksgiving , and in 2014 and 2015 , no AFC teams played in any of the Thanksgiving games .   The NFL 's flexible scheduling rule currently does not apply for Thanksgiving games ; however , the NFL in theory could in the future apply the rule to change start times and networks for the three games .   Throwback uniforms ( edit )   Since 2001 teams playing on Thanksgiving have worn throwback uniforms on numerous occasions . In some years ( namely 2002 ) , it extended to nearly all games of the weekend , and in some cases also involved classic field logos at the respective stadiums .   In 2001 -- 2004 , and again in 2008 , 2010 , and 2017 the Detroit Lions have worn throwback uniforms based on their very early years .   From 2001 to 2003 , Dallas chose to represent the 1990s Cowboys dynasty by wearing the navy `` Double - Star '' jersey not seen since 1995 . In 2004 , the team wore uniforms not seen since 1963 . In 2009 , to celebrate the 50th anniversary of the AFL , both Dallas and Oakland played in a `` AFL Legacy Game . '' In 2013 , the Cowboys intended to wear their 1960s throwbacks , but chose not to do so after the NFL adopted a new policy requiring players and teams to utilize only one helmet a season to address the league 's new concussion protocol ; rather than sport an incomplete throwback look , the Cowboys instead wore their standard blue jerseys at home for the first time since 1963 . In 2015 , the Cowboys resurrected their 1994 white `` Double - Star '' jerseys only this time wore them with white pants as part of the league 's `` Color Rush '' , a trial run of specially - designed , monochromatic jerseys to be worn during Thursday games .   Memorable games ( edit )    1920 : An urban legend states that the Chicago Tigers and Decatur Staleys challenged each other to a Thanksgiving duel , in Chicago , in the league 's inaugural season , with the loser being relegated out of the league at the end of the season , purportedly explaining why the Tigers were the only NFL team to fold after the 1920 season ( no other team would fold until 1921 ) . The claims of it being a duel are unsubstantiated and no evidence exists that the Tigers were ever officially league members ; nevertheless , the Tigers , after a 27 -- 0 win over the non-league Thorn Tornadoes the next week , never played football again . The Staleys would move to Chicago during the next season , later renaming themselves the Bears .   1921 : In a matchup of two of the league 's best teams , the Staleys lose to the Buffalo All - Americans at home . The Staleys demand a rematch , with Buffalo agreeing to a December match only on the terms of it being considered an off - the - record exhibition game . That later match , which Chicago won , ended up counting despite the All - Americans ' insistence , controversially handing Chicago the championship .   1952 : The Dallas Texans are forced to move their lone remaining home game to the Rubber Bowl in Akron , Ohio as the undercard to a high school football contest . Their opponent for that game , the Chicago Bears , underestimated the then - winless Texans and sent their second string team to the game ; the Texans scored a 27 -- 23 upset over the Bears for their only win of their existence .   1962 : The Lions handed the 10 -- 0 Green Bay Packers their lone defeat of the season .   1964 -- 65 : The 1964 and 1965 AFL contests featured the Buffalo Bills and San Diego Chargers , the two teams that would eventually meet in those years ' American Football League Championship Games .   1974 : Unknown Cowboys backup quarterback Clint Longley took over for an injured Roger Staubach with the team down 16 -- 3 and rallied them to an improbable victory over Washington on two deep passes .   1976 : The Bills offense put forth one of the best and the worst performances in Thanksgiving history . O.J. Simpson set the NFL record for most rushing yards in a single game , with 273 . However , Bills backup quarterback Gary Marangi completed only 4 of 21 pass attempts , for 29 yards passing , and a rating of 19.7 . The Lions defeated the Bills 27 - 14 .   1980 : With the Lions and Bears tied 17 - 17 at the end of regulation , the game went to overtime , the first Thanksgiving game to do so ( overtime was not added to the NFL regular season until 1974 ) , and the first overtime game at the Silverdome . Bears running back Dave Williams returned the fifth - quarter opening kickoff 95 yards for a game - winning touchdown , ending the shortest overtime period in NFL history at the time .   1986 : The Lions and the Packers had the highest scoring game in Thanksgiving history . It was the best day of receiver Walter Stanley 's career ; Stanley netted 207 all - purpose yards and three touchdowns , including an 83 - yard punt return to win the game for Green Bay , 44 -- 40 . Stanley had an otherwise undistinguished career in the NFL .   1989 : Known as the `` Bounty Bowl '' , the Eagles crushed the Cowboys by a score of 27 -- 0 . Allegations surfaced that the Eagles had placed a bounty on the Cowboys kicker , thus becoming the first of a string of three bitterly contested games between the two teams , the other two being Bounty Bowl II and the Porkchop Bowl a year later .   1993 : In one of the more famous Thanksgiving Day games in recent history , the Cowboys led the Dolphins 14 -- 13 with just seconds remaining in a rare , snow - filled Texas Stadium . Miami 's Pete Stoyanovich attempted a game winning 40 - yard field goal that was blocked by the Cowboys ' Jimmie Jones . Dick Enberg of NBC proclaimed `` The Cowboys will win . '' Indeed , since the kick landed beyond the line of scrimmage , once the ball stopped moving the play would be declared dead and Dallas would gain possession . However , the ball landed and began spinning on its tip , leading Cowboys lineman Leon Lett to try to gain possession . Lett slipped , fell , and knocked the ball forward . By rule , the ball was live and the Dolphins fell on it at the two yard line . With the recovery , Stoyanovich got a second chance to win the game and hit the much shorter field goal . The Dolphins won 16 -- 14 .   1994 : Troy Aikman was injured and third - string quarterback Jason Garrett was forced to start for Dallas against the Green Bay Packers . The Cowboys won a 42 -- 31 shoot - out against Brett Favre .   1998 : In another controversial Thanksgiving Day game , the Steelers and Lions went to overtime tied 16 -- 16 . Pittsburgh 's Jerome Bettis called the coin toss in the air , but head referee Phil Luckett awarded Detroit the ball after Bettis tried to call both heads and tails at the same time . The Lions went on to kick a field goal on the first possession , winning 19 -- 16 . As a result of the fiasco , team captains are now required to call the coin toss before the coin is tossed , and a later rule change now prevents teams from automatically winning a game by scoring a field goal on the first possession . The day also saw a memorable performance by the Minnesota Vikings in a 46 -- 36 win over the Dallas Cowboys as Vikings rookie Randy Moss caught three touchdowns , all of over 50 yards .   2008 : The 10 -- 1 Titans routed the 0 -- 11 Lions by a score of 47 -- 10 , one of the most lopsided results in history on Thanksgiving . The Lions would go on to finish the season 0 -- 16 .   2011 : The trio of games was lauded as one of the better Thanksgiving Day slates of games in NFL history . The night game between Baltimore and San Francisco pitted head coaches and brothers John and Jim Harbaugh against each other -- a preview of Super Bowl XLVII .   2012 : The prime time contest became infamous for the `` Butt fumble '' , an incident in which Jets quarterback Mark Sanchez ran headfirst into the buttocks of his own offensive lineman . He subsequently fumbled the ball ; it was recovered by New England , who returned it for a touchdown . In the earlier game , one of the NFL 's most infamous rule changes came when former Lions coach Jim Schwartz challenged a play in which Texans running back Justin Forsett 's knee clearly touched the ground before sprinting for an 81 - yard touchdown . Referee Walt Coleman stated that , by rule , scoring plays are automatically reviewed and the play was not challengeable by a coach . Because of the improper attempted challenge , the review was cancelled and Coleman assessed a 15 - yard kickoff penalty for unsportsmanlike conduct . The NFL then passed a new rule that stated that if a coach attempted to challenge a play that is automatically reviewed , the review would continue . It was called the ' Jim Schwartz rule ' .    Home team controversy ( edit )   It has remained a tradition for Dallas and Detroit to host the afternoon games dating back several decades . However , in recent years , other teams have expressed interest in hosting Thanksgiving games . Lamar Hunt , the former owner of the Chiefs ( who had hosted Thanksgiving games from 1967 -- 69 as an AFL team prior to the merger ) , lobbied heavily in favor of his team hosting a game on the holiday . When the NFL adopted a third , prime time game , the Chiefs were selected as the first team to host such a contest , but the team was not made a permanent host , and Hunt 's death shortly after the 2006 contest ended the lobbying on behalf of that team .   The host issue came to a head in 2008 , focusing particularly on the winless Lions . Going into the game , Detroit had lost their last four Thanksgiving games , and opinions amongst the media had suggested removing Detroit and replacing them with a more attractive matchup . The team also required an extension to prevent a local television blackout . The Lions were routed by Tennessee 47 -- 10 , en route to the team 's 0 -- 16 season . NFL commissioner Roger Goodell confirmed that the Lions would stay on Thanksgiving for the 2009 season , but kept the issue open to revisit in the future .   Conversely , the Dallas Cowboys , who typically represent a larger television draw , have had much fewer public calls to be replaced on Thanksgiving . One issue that has been debated is a perceived unfair advantage of playing at home on Thanksgiving . The advantage is given in the form of an extra day of practice for the home team while the road team has to travel to the game site . This is true for most Thursday games , but with the night games , the visitor can travel to the game site after practice and hold the final walk - thru the following morning .   With the introduction of the prime time game , which effectively allows all teams in the league an opportunity to play on Thanksgiving , along with the introduction of year - long Thursday Night Football ensuring all teams have one Thursday game during the regular season ( thus negating any on - field advantages or disadvantages to being selected for Thanksgiving ) , the calls for Detroit and Dallas to be removed have curtailed .   Game results ( edit )   ( Winning teams are denoted by boldface type ; tie games are italicized . )   1920 -- 1940 ( edit )    All three of the generally recognized iterations of the American Football League that played during this era ( AFL I in 1926 , AFL II in 1936 and AFL III in 1940 ) played Thanksgiving games , which are also listed as indicated .   Non-NFL team games between league teams and non league teams counted in the 1920 standings . The All - Tonawanda Lumberjacks later joined the league as the Tonawanda Kardex , albeit only for one game .   Thanksgiving fell on the final Thursday in November until 1938 and was held on two conflicting days from 1939 to 1941 .         Season   Visiting Team   Score   Home Team   Score     Nov. 25 , 1920   Canton Bulldogs   0   Akron Pros   7     Decatur Staleys   6   Chicago Tigers   0     Detroit Heralds   0   Dayton Triangles   28     Columbus Panhandles   0   Elyria Athletics *   0     Hammond Pros   0   Chicago Boosters *   27     All - Tonawanda *   14   Rochester Jeffersons       Nov. 24 , 1921   Canton Bulldogs   14   Akron Pros   0     Buffalo All - Americans   7   Chicago Staleys   6     Nov. 30 , 1922   Buffalo All - Americans   21   Rochester Jeffersons   0     Chicago Bears   0   Chicago Cardinals   6     Milwaukee Badgers   0   Racine Legion       Oorang Indians   18   Columbus Panhandles   6     Akron Pros   0   Canton Bulldogs   14     Nov. 29 , 1923   Toledo Maroons   0   Canton Bulldogs   28     Chicago Cardinals   0   Chicago Bears       Hammond Pros   0   Green Bay Packers   19     Milwaukee Badgers   16   Racine Legion   0     Nov. 27 , 1924   Buffalo Bisons   0   Akron Pros   22     Chicago Bears   21   Chicago Cardinals   0     Dayton Triangles   7   Frankford Yellowjackets   32     Milwaukee Badgers   10   Cleveland Bulldogs ( at Canton )   53     Green Bay Packers   17   Kansas City Blues   6     Nov. 26 , 1925   Chicago Cardinals   0   Chicago Bears   0     Kansas City Cowboys   17   Cleveland Bulldogs ( at Hartford )   0     Rock Island Independents   6   Detroit Panthers       Green Bay Packers   0   Pottsville Maroons   31     Nov. 25 , 1926   New York Giants   17   Brooklyn Lions   0     Los Angeles Buccaneers   9   Detroit Panthers   6     Chicago Cardinals   0   Chicago Bears   0     Green Bay Packers   14   Frankford Yellowjackets   20     Providence Steam Roller   0   Pottsville Maroons   8     Akron Pros   0   Canton Bulldogs   0     ( AFL I ) Los Angeles Wildcats   0   Chicago Bulls   0     ( AFL I ) Philadelphia Quakers   13   New York Yankees   10     Nov. 24 , 1927   Chicago Cardinals     Chicago Bears   0     Providence Steam Roller   0   Pottsville Maroons   6     Green Bay Packers   17   Frankford Yellowjackets   9     Cleveland Bulldogs   30   New York Yankees   19         Season   Visiting Team   Score   Home Team   Score     Nov. 29 , 1928   Providence Steam Roller   7   Pottsville Maroons   0     Dayton Triangles   0   Detroit Wolverines   33     Green Bay Packers   0   Frankford Yellow Jackets       Chicago Cardinals   0   Chicago Bears   34     Nov. 28 , 1929   New York Giants   21   Staten Island Stapletons   7     Green Bay Packers   0   Frankford Yellow Jackets   0     Chicago Cardinals   40   Chicago Bears   6     Nov. 27 , 1930   New York Giants   6   Staten Island Stapletons   7     Providence Steam Roller   12   Brooklyn Dodgers   33     Green Bay Packers   25   Frankford Yellowjackets   7     Chicago Cardinals   0   Chicago Bears   6     Nov. 26 , 1931   Green Bay Packers   38   Providence Steam Roller   7     New York Giants   6   Staten Island Stapletons   9     Chicago Cardinals   7   Chicago Bears   18     Nov. 24 , 1932   Green Bay Packers   7   Brooklyn Dodgers   0     New York Giants   13   Staten Island Stapletons   13     Chicago Cardinals   0   Chicago Bears   24     Nov. 30 , 1933   New York Giants   10   Brooklyn Dodgers   0     Chicago Bears   22   Chicago Cardinals   6     Nov. 29 , 1934   Green Bay Packers   0   Chicago Cardinals   6     New York Giants   27   Brooklyn Dodgers   0     Chicago Bears   19   Detroit Lions   16     Nov. 28 , 1935   Green Bay Packers   7   Chicago Cardinals   9     New York Giants   21   Brooklyn Dodgers   0     Chicago Bears     Detroit Lions   14     Nov. 26 , 1936   Chicago Bears   7   Detroit Lions   13     New York Giants   14   Brooklyn Dodgers   0     ( AFL II ) Cleveland Rams   7   Rochester Tigers   6     Nov. 25 , 1937   Chicago Bears   13   Detroit Lions   0     New York Giants   13   Brooklyn Dodgers   13     Nov. 24 , 1938   Chicago Bears   7   Detroit Lions   14     New York Giants   7   Brooklyn Dodgers   7     Nov. 23 , 1939   Pittsburgh Pirates   14   Philadelphia Eagles   17     Nov. 21 , 1940   ( AFL III ) New York Yankees   16   Columbus Bullies   17     ( AFL III ) Buffalo Tigers   13   Milwaukee Chiefs   30     Nov. 28 , 1940   Pittsburgh Steelers   0   Philadelphia Eagles   7        1945 -- 1959 ( edit )    No Thanksgiving games were held from 1941 to 1944 due to World War II .   Thanksgiving games were played on the fourth Thursday in November from 1945 onward .   The All - America Football Conference ( AAFC ) also played Thanksgiving games from 1946 to 1949 .      Season   League   Visiting Team   Score   Home Team   Score     Nov. 22 , 1945   NFL   Cleveland Rams   28   Detroit Lions   21     Nov. 28 , 1946   NFL   Boston Yanks   34   Detroit Lions   10     AAFC   New York Yankees   21   Brooklyn Dodgers   7     Nov. 27 , 1947   NFL   Chicago Bears   34   Detroit Lions   14     AAFC   Cleveland Browns   27   Los Angeles Dons   17     AAFC   San Francisco 49ers   21   Brooklyn Dodgers   7     Nov. 25 , 1948   NFL   Chicago Cardinals   28   Detroit Lions   14     AAFC   Cleveland Browns   31   Los Angeles Dons   14     AAFC   Buffalo Bills   39   Chicago Rockets   35     Nov. 24 , 1949   NFL   Chicago Bears   28   Detroit Lions   7     AAFC   New York Yankees   17   Los Angeles Dons   16     AAFC   Cleveland Browns   14   Chicago Hornets   6     Nov. 23 , 1950   NFL   New York Yanks   14   Detroit Lions   49     Pittsburgh Steelers   28   Chicago Cardinals   17     Nov. 22 , 1951   NFL   Green Bay Packers   35   Detroit Lions   52     Nov. 27 , 1952   NFL   Green Bay Packers   24   Detroit Lions   48     Chicago Bears   23   Dallas Texans ( at Akron , Ohio )   27     Nov. 26 , 1953   NFL   Green Bay Packers   15   Detroit Lions   34     Nov. 25 , 1954   NFL   Green Bay Packers   24   Detroit Lions   28     Nov. 24 , 1955   NFL   Green Bay Packers   10   Detroit Lions   24     Nov. 22 , 1956   NFL   Green Bay Packers   24   Detroit Lions   20     Nov. 28 , 1957   NFL   Green Bay Packers   6   Detroit Lions   18     Nov. 27 , 1958   NFL   Green Bay Packers   14   Detroit Lions   24     Nov. 26 , 1959   NFL   Green Bay Packers   24   Detroit Lions   17     1960 -- 1969 ( edit )    The American Football League ( AFL ) also played Thanksgiving Day games during this decade .   The Dallas Cowboys started playing their traditional series in 1966 .      Season   League   Visiting Team   Score   Home Team   Score     Nov. 24 , 1960   NFL   Green Bay Packers   10   Detroit Lions   23     AFL   Dallas Texans   35   New York Titans   41     Nov. 23 , 1961   NFL   Green Bay Packers   17   Detroit Lions   9     AFL   Buffalo Bills   14   New York Titans   21     Nov. 22 , 1962   NFL   Green Bay Packers   14   Detroit Lions   26     AFL   New York Titans   46   Denver Broncos   45     Nov. 28 , 1963   NFL   Green Bay Packers   13   Detroit Lions   13     AFL   Oakland Raiders   26   Denver Broncos   10     Nov. 26 , 1964   NFL   Chicago Bears   27   Detroit Lions   24     AFL   Buffalo Bills   27   San Diego Chargers   24     Nov. 25 , 1965   NFL   Baltimore Colts   24   Detroit Lions   24     AFL   Buffalo Bills   20   San Diego Chargers   20     Nov. 24 , 1966   NFL   San Francisco 49ers   41   Detroit Lions   14     Cleveland Browns   14   Dallas Cowboys   26     AFL   Buffalo Bills   31   Oakland Raiders   10     Nov. 23 , 1967   NFL   Los Angeles Rams   31   Detroit Lions   7     St. Louis Cardinals   21   Dallas Cowboys   46     AFL   Oakland Raiders   44   Kansas City Chiefs   22     Denver Broncos   20   San Diego Chargers   24     Nov. 28 , 1968   NFL   Philadelphia Eagles   12   Detroit Lions   0     Washington Redskins   20   Dallas Cowboys   29     AFL   Buffalo Bills   10   Oakland Raiders   13     Houston Oilers   10   Kansas City Chiefs   24     Nov. 27 , 1969   NFL   Minnesota Vikings   27   Detroit Lions   0     San Francisco 49ers   24   Dallas Cowboys   24     AFL   Denver Broncos   17   Kansas City Chiefs   31     San Diego Chargers   21   Houston Oilers   17     1970 -- 2005 ( edit )    From 1970 to 2005 , three NFC teams and one AFC team played each Thanksgiving .   The two afternoon games were held at Detroit ( 12 : 30 p.m. EST ) and Dallas ( 4 : 15 p.m. EST ) , respectively . Detroit always hosts the `` early '' game because a 12 : 30 p.m. EST kick - off at Dallas would be 11 : 30 a.m. local time ( CST ) , and the NFL avoids starting games before noon locally . The two games rotate annually as intra-conference ( NFC vs. NFC ) and inter-conference ( AFC vs. NFC ) games . This is to satisfy the television contract balance between CBS ( which broadcasts games in which the visiting team is from the AFC ) and Fox ( which broadcasts games in which the visiting team is from the NFC ) .   The `` early '' game kicks off at a special time of 12 : 30 p.m. EST as opposed to the typical afternoon start time of 1 p.m. This provides an additional 30 minutes to prevent overlapping of the `` late '' game , and also gave the network time for a pregame show and some additional time for an expanded halftime show ( selected years ) . When Fox carries the `` early '' game , they typically start their pregame coverage ( Fox NFL Sunday ) at 11 : 30 a.m. ( with the addition of Fox NFL Kickoff to the Fox lineup , its pregame will begin at 10 : 30 a.m. for 2015 ) . When CBS carries the `` early '' game , they start their pregame coverage ( The NFL Today ) at 12 : 00 p.m. , due to the fact that their morning parade coverage runs until noon . The network with the 4 : 15 `` late '' game begins pregame coverage at 3 : 30 p.m. EST .   Dallas was replaced by the St. Louis Cardinals as a host team in 1975 and 1977 ; Dallas and St. Louis faced each other at Texas Stadium in 1976 . Because of the Missouri Turkey Day Game , the long - established Kirkwood -- Webster Groves high school football game that takes place on Thanksgiving in St. Louis , weak fan support in St. Louis , and general national preference of the Cowboys over the historically weaker Cardinals , the Cardinals ' hosting of the Thanksgiving game was not popular . Dallas returned to hosting the game in 1978 and has hosted since . Likewise , the Rams never played on Thanksgiving while in St. Louis , in part because of the Turkey Day Game and also because the Missouri State High School Activities Association has held its state football championship games on Thanksgiving weekend at The Dome at America 's Center since 1996 .   Since the time NFL began its current alignment in 2002 , no team from the AFC North can play a Thanksgiving Day game against the traditional hosts . This is because under the current rotation , the Cowboys and the Lions each play AFC North teams in years that FOX is scheduled to broadcast its Thanksgiving Day game , requiring an NFC opponent . To date , the last game to feature a team currently in the AFC North was the Lions matchup against the Pittsburgh Steelers in 1998 . AFC North teams can play in the prime time game , as the Cincinnati Bengals did in 2010 .      Season   Visiting Team   Score   Home Team   Score   OT     Nov. 26 , 1970   Oakland Raiders   14   Detroit Lions   28       Green Bay Packers     Dallas Cowboys   16       Nov. 25 , 1971   Kansas City Chiefs   21   Detroit Lions   32       Los Angeles Rams   21   Dallas Cowboys   28       Nov. 23 , 1972   New York Jets   20   Detroit Lions   37       San Francisco 49ers   31   Dallas Cowboys   10       Nov. 22 , 1973   Washington Redskins   20   Detr</t>
  </si>
  <si>
    <t xml:space="preserve">when was the last time the detroit lions lost on thanksgiving</t>
  </si>
  <si>
    <t xml:space="preserve">   Season   Visiting Team   Score   Home Team   Score   OT     Nov. 23 , 2006   Miami Dolphins   27   Detroit Lions   10       Tampa Bay Buccaneers   10   Dallas Cowboys   38       Denver Broncos   10   Kansas City Chiefs   19       Nov. 22 , 2007   Green Bay Packers   37   Detroit Lions   26       New York Jets     Dallas Cowboys   34       Indianapolis Colts   31   Atlanta Falcons   13       Nov. 27 , 2008   Tennessee Titans   47   Detroit Lions   10       Seattle Seahawks   9   Dallas Cowboys   34       Arizona Cardinals   20   Philadelphia Eagles   48       Nov. 26 , 2009   Green Bay Packers   34   Detroit Lions   12       Oakland Raiders   7   Dallas Cowboys   24       New York Giants   6   Denver Broncos   26       Nov. 25 , 2010   New England Patriots   45   Detroit Lions   24       New Orleans Saints   30   Dallas Cowboys   27       Cincinnati Bengals   10   New York Jets   26       Nov. 24 , 2011   Green Bay Packers   27   Detroit Lions   15       Miami Dolphins   19   Dallas Cowboys   20       San Francisco 49ers   6   Baltimore Ravens   16       Nov. 22 , 2012   Houston Texans   34   Detroit Lions   31   ( OT )     Washington Redskins   38   Dallas Cowboys   31       New England Patriots   49   New York Jets   19       Nov. 28 , 2013   Green Bay Packers   10   Detroit Lions   40       Oakland Raiders   24   Dallas Cowboys   31       Pittsburgh Steelers   20   Baltimore Ravens   22       Nov. 27 , 2014   Chicago Bears   17   Detroit Lions   34       Philadelphia Eagles   33   Dallas Cowboys   10       Seattle Seahawks   19   San Francisco 49ers         Nov. 26 , 2015   Philadelphia Eagles   14   Detroit Lions   45       Carolina Panthers   33   Dallas Cowboys   14       Chicago Bears   17   Green Bay Packers   13       Nov. 24 , 2016   Minnesota Vikings   13   Detroit Lions   16       Washington Redskins   26   Dallas Cowboys   31       Pittsburgh Steelers   28   Indianapolis Colts   7       Nov. 23 , 2017   Minnesota Vikings   30   Detroit Lions   23       Los Angeles Chargers   28   Dallas Cowboys   6       New York Giants   10   Washington Redskins   20     </t>
  </si>
  <si>
    <r>
      <rPr>
        <sz val="11"/>
        <color rgb="FF000000"/>
        <rFont val="Calibri"/>
        <family val="0"/>
        <charset val="1"/>
      </rPr>
      <t xml:space="preserve">Republic Day ( India ) - Wikipedia  Republic Day ( India )  Jump to : navigation , search    Republic Day     The original text of the Preamble to the Constitution of India . The Constitution of India came into force on 26 January 1950 ( 1950 - 01 - 26 ) .     Observed by   India     Type   National     Significance   Inception of Constitution of India     Celebrations   Parades , distribution of sweets in schools , speeches and cultural dances     Date   26 January     Next time   26 January 2019 ( 2019 - 01 )     Frequency   Annual     Republic Day honours the date on which the Constitution of India came into effect on 26 January 1950 replacing the Government of India Act ( 1935 ) as the governing document of India .   The Constitution was adopted by the Indian Constituent Assembly on 26 November 1949 , and came into effect on 26 January 1950 with a democratic government system , completing the country 's transition towards becoming an independent republic . 26 January was chosen as the Republic day because it was on this day in 1930 when Declaration of Indian Independence ( Purna Swaraj ) was proclaimed by the Indian National Congress as opposed to the Dominion status offered by British Regime .     Contents  ( hide )   1 History of Republic Day   2 Celebrations   2.1 Delhi Republic Day parade   2.2 Beating Retreat     3 Gallery   4 Republic Day parade chief guest   5 Notes   6 See also   7 References      History of Republic Day ( edit )   India achieved independence from British Raj on 15 August 1947 following the Indian independence movement noted for largely peaceful non-violent resistance and civil disobedience led by Mahatma Gandhi . The independence came through the Indian Independence Act 1947 ( 10 &amp; 11 Geo 6 c 30 ) , an Act of the Parliament of the United Kingdom that partitioned British India into the two new independent Dominions of the British Commonwealth ( later Commonwealth of Nations ) . India obtained its independence on 15 August 1947 as a constitutional monarchy with George VI as head of state and the Earl Mountbatten as governor - general . The country , though , did not yet have a permanent constitution ; instead its laws were based on the modified colonial Government of India Act 1935 . On 28 August 1947 , the Drafting Committee was appointed to draft a permanent constitution , with Dr BR Ambedkar as chairman . While India 's Independence Day celebrates its freedom from British Rule , the Republic Day celebrates the coming into force of its constitution . A draft constitution was prepared by the committee and submitted to the Assembly on 4 November 1947 . The Assembly met , in sessions open to public , for 166 days , spread over a period of two years , 11 months and 18 days before adopting the Constitution . After many deliberations and some modifications , the 308 members of the Assembly signed two hand - written copies of the document ( one each in Hindi and English ) on 24 January 1950 . Two days later , it came into effect throughout the whole nation .   Celebrations ( edit )  President Rajendra Prasad ( in the horse - drawn carriage ) readies to take part in the first Republic Day parade on Rajpath , New Delhi , in 1950 .  The main Republic Day celebration is held in the national capital , New Delhi , at the Rajpath before the President of India . On this day , ceremonious parades take place at the Rajpath , which are performed as a tribute to India ; its unity in diversity and rich cultural heritage .   Delhi Republic Day parade ( edit )  Main article : Delhi Republic Day parade  Delhi Republic Day parade is held in the capital , New Delhi . Commencing from the gates of the Rashtrapati Bhavan ( the President 's residence ) , Raisina Hill on Rajpath past the India Gate , this event is the main attraction of India 's Republic Day Celebrations lasting three days . The parade showcases India 's Defence Capability , Cultural and Social Heritage .   Nine to twelve different regiments of the Indian Army in addition to the Navy , and Air Force with their bands march past in all their finery and official decorations . The President of India who is the Commander - in - Chief of the Indian Armed Forces , takes the salute . Twelve contingents of various para-military forces of India and other civil forces also take part in this parade .   Beating Retreat ( edit )  Main article : Beating Retreat  The Beating Retreat ceremony is held after officially denoting the end of Republic Day festivities . It is conducted on the evening of 29 January , the third day after the Republic Day . It is performed by the bands of the three wings of the military , the Indian Army , Indian Navy and Indian Air Force . The venue is Raisina Hill and an adjacent square , Vijay Chowk , flanked by the North and South block of the Rashtrapati Bhavan ( President 's Palace ) towards the end of Rajpath .   The Chief Guest of the function is the President of India who arrives escorted by the ( PBG ) , a cavalry unit . When the President arrives , the PBG commander asks the unit to give the National Salute , which is followed by the playing of the Indian National Anthem , Jana Gana Mana , by the Army . The Army develops the ceremony of display by the massed bands in which Military Bands , Pipe and Drum Bands , Buglers and Trumpeters from various Army Regiments besides bands from the Navy and Air Force take part which play popular tunes like Abide With Me , Mahatma Gandhi 's favourite hymn , and Saare Jahan Se Achcha at the end .   Gallery ( edit )     Buildings on Raisina Hill including Rashtrapati Bhavan , lit up during Republic Day 2008 .     Surya Kiran Aerobatics Team displaying tricolor .     Border Security Force personnel on Republic Day .     Republic Day parade chief guest ( edit )  Countries invited as chief guests for the Republic Day parade . Erstwhile Yugoslavia ( twice invited ) has not been depicted in the map . 5 times ( France , UK ) 4 times ( Bhutan , Russia / USSR ) Thrice ( Indonesia , Mauritius ) Twice ( Brazil , Japan , Nepal , Nigeria , Pakistan , Singapore , Phillipines Sri Lanka , Thailand , Vietnam ) Once Uninvited  Since 1950 , India has been hosting head of state or government of another country as the state guest of honour for Republic Day celebrations in New Delhi . During 1950 -- 1954 , Republic Day celebrations were organised at different venues ( like Irwin Stadium , Kingsway , Red Fort and Ramlila Grounds ) . It was only starting 1955 when the parade in its present form was organised at Rajpath . The guest country is chosen after a deliberation of strategic , economic and political interests . During 1950s -- 1970s , a number of NAM and Eastern Bloc countries were hosted by India . In 1968 and 1974 , India played host to two countries on the same Republic Day .  This list is incomplete ; you can help by expanding it .    Year   Guest name   Country   Note     1950   President Sukarno   Indonesia       1951   King Tribhuvan Bir Bikram Shah   Nepal       1952           1953           1954   King Jigme Dorji Wangchuck   Bhutan       1955   Governor General Malik Ghulam Muhammad   Pakistan   First guest for parade at Rajpath     1956   Chancellor of the Exchequer R.A. Butler   United Kingdom   Note   Two guests     Chief Justice Kōtarō Tanaka   Japan       1957   Minister of Defence Georgy Zhukov   Soviet Union       1958   Marshall Ye Jianying   China       1959   Duke of Edinburgh Prince Philip   United Kingdom   2nd invitation     1960   Chairman Kliment Voroshilov   Soviet Union   2nd invitation     1961   Queen Elizabeth II   United Kingdom   3rd invitation , Note     1962   Prime Minister Viggo Kampmann   Denmark   Note     1963   King Norodom Sihanouk   Cambodia       1964   Chief of Defence Staff Lord Louis Mountbatten   United Kingdom   4th invitation , Note     1965   Food and Agriculture Minister Rana Abdul Hamid   Pakistan   2nd invitation     1966   No invitation   No invitation   Note     1967   King Mohammed Zahir Shah   Afghanistan   Note     1968   Chairman Alexei Kosygin   Soviet Union   3rd invitation   Two guests     President Josip Broz Tito   Yugoslavia       1969   Prime Minister Todor Zhivkov   Bulgaria       1970   King of the Belgians Baudouin   Belgium   Note     1971   President Julius Nyerere   Tanzania       1972   Prime Minister Seewoosagur Ramgoolam   Mauritius       1973   President Mobutu Sese Seko   Zaire         President Josip Broz Tito   Yugoslavia   2nd invitation   Two guests     Prime Minister Sirimavo Bandaranaike   Sri Lanka         President Kenneth Kaunda   Zambia       1976   Prime Minister Jacques Chirac   France       1977   First Secretary Edward Gierek   Poland       1978   President Patrick Hillery   Ireland       1979   Prime Minister Malcolm Fraser   Australia       1980   President Valéry Giscard d'Estaing   France   2nd invitation     1981   President Jose Lopez Portillo   Mexico       1982   King Juan Carlos I   Spain         President Shehu Shagari   Nigeria       1984   King Jigme Singye Wangchuck   Bhutan   2nd invitation     1985   President Raúl Alfonsín   Argentina       1986   Prime Minister Andreas Papandreou   Greece         President Alan Garcia   Peru         President J.R. Jayewardene   Sri Lanka   2nd invitation       General Secretary Nguyen Van Linh   Vietnam         Prime Minister Anerood Jugnauth   Mauritius   2nd invitation     1991   President Maumoon Abdul Gayoom   Maldives         President Mário Soares   Portugal         Prime Minister John Major   United Kingdom   5th invitation       Prime Minister Goh Chok Tong   Singapore       1995   President Nelson Mandela   South Africa         President Fernando Henrique Cardoso   Brazil         Prime Minister Basdeo Panday   Trinidad and Tobago       1998   President Jacques Chirac   France   3rd invitation     1999   King Birendra Bir Bikram Shah Dev   Nepal   2nd invitation     2000   President Olusegun Obasanjo   Nigeria   2nd invitation       President Abdelaziz Bouteflika   Algeria       2002   President Cassam Uteem   Mauritius   3rd invitation     2003   President Mohammed Khatami   Iran         President Luiz Inacio Lula da Silva   Brazil   2nd invitation     2005   King Jigme Singye Wangchuck   Bhutan   3rd invitation     2006   King Abdullah bin Abdulaziz al - Saud   Saudi Arabia       2007   President Vladimir Putin   Russia   4th invitation     2008   President Nicolas Sarkozy   France   4th invitation     2009   President Nursultan Nazarbayev   Kazakhstan         President Lee Myung Bak   South Korea       2011   President Susilo Bambang Yudhoyono   Indonesia   2nd invitation     2012   Prime Minister Yingluck Shinawatra   Thailand       2013   King Jigme Khesar Namgyel Wangchuck   Bhutan   4th invitation     2014   Prime Minister Shinzo Abe   Japan   2nd invitation     2015   President Barack Obama   United States       2016   President François Hollande   France   5th invitation     2017   Crown Prince Mohammed bin Zayed Al Nahyan   United Arab Emirates       2018   Sultan Hassanal Bolkiah   Brunei     Ten guests ( Heads of ASEAN states )     Prime Minister Hun Sen   Cambodia   2nd invitation     President Joko Widodo   Indonesia   3rd invitation     Prime Minister Thongloun Sisoulith   Laos       Prime Minister Najib Razak   Malaysia       State Counsellor Daw Aung San Suu Kyi   Myanmar       President Rodrigo Roa Duterte   Philippines       Prime Minister Lee Hsien Loong   Singapore   2nd invitation     Prime Minister Prayuth Chan - ocha   Thailand   2nd invitation     Prime Minister Nguyễn Xuân Phúc   Vietnam   2nd invitation     Notes ( edit )    1. ^ On each of these occasions , Lady Edwina Mountbatten from United Kingdom was also the official guest for the parade .   2. ^ Duke of Edinburgh Prince Philip also accompanied Queen Elizabeth II during the parade .   3. ^ Danish Prime Minister attended Republic Day in Madras ( Chennai ) .   4. ^ No invitations were sent out possibly due to the demise of Prime Minister Lal Bahadur Shastri on 11 January 1966 in Tashkent . The new government headed by Indira Gandhi was sworn on 24 January 1966 ( only two days before the Republic Day ) .   5. ^ For the first time , the President of India ( S. Radhakrishnan ) could not take the salute at the Republic Day parade due to ill - health . Zahir Shah arrived on 28 January .   6. ^ Attended only the Beating Retreat      See also ( edit )       Wikimedia Commons has media related to Republic Day ( India ) .      History of India   Independence Day ( India )   Constitution Day ( India )    References ( edit )    Jump up ^ `` Introduction to Constitution of India '' . Ministry of Law and Justice of India . 29 July 2008 . Retrieved 14 October 2008 .   Jump up ^ `` Indian Independence Act 1947 '' . The National Archives , Her Majesty 's Government . Retrieved 17 July 2012 .   Jump up ^ `` Constituent Assembly DEBATES ( PROCEEDINGS ) '' .   Jump up ^ `` India Celebrates 63rd Republic Day '' . Efi-news.com . Eastern Fare. 26 January 2012 . Archived from the original on 15 May 2012 .   Jump up ^ `` Chap '' . Mod.nic.in . Archived from the original on 7 March 2011 . Retrieved 22 July 2012 .   Jump up ^ `` Republic Day Beating Retreat Ceremony 2017 at Vijay Chowk , New Delhi '' . DNA India . 29 January 2017 . Retrieved 24 January 2018 .   Jump up ^ `` Curtain Raiser -- Beating Retreat Ceremony 2011 '' . Ministry of Defence. 28 January 2011 .   Jump up ^ `` Beating Retreat weaves soul - stirring musical evening '' . The Times of India . 29 January 2011 . Archived from the original on 1 February 2011 .   Jump up ^ `` Martial music rings down the curtain '' . The Times of India . 30 January 2011 .   Jump up ^ `` Yog Sandesh Jan - 10 English '' . Scribd.com . Archived from the original on 6 November 2012 . Retrieved 24 January 2014 .   Jump up ^ `` Republic Day celebrations : President Pranab Mukherjee tweets images from 1950 onwards '' . 25 July 2017 -- via The Economic Times .   Jump up ^ India , President of ( 18 January 2015 ) . `` King Tribhuvan of Nepal was the guest of honour for the Republic Day in 1951 # 26Januarypic.twitter.com/piqaZUKolr '' .   Jump up ^ `` Selected works of Jawaharlal Nehru '' ( PDF ) . claudearpi.net .   Jump up ^ https://web.archive.org/web/20050205163551/http://www.dawn.com/2005/01/31/fea.htm   Jump up ^ Rajan , Mannaraswamighala Sreeranga ( 1964 ) . `` India in world affairs , 1954 -- 56 '' .   Jump up ^ The Times of India , News Service . ( 1956 , Jan 22 ) . REPUBLIC DAY IN DELHI . The Times of India ( 1861 - Current ) Retrieved from https://search.proquest.com/docview/501661043   Jump up ^ British Pathé ( 13 April 2014 ) . `` Zhukov At India 's National Day Aka Zhukov -- India ( 1957 ) '' -- via YouTube .   Jump up ^ Deepak , B. R ( 2005 - 01 - 01 ) . India &amp; China , 1904 -- 2004 : A century of peace and conflict . ISBN 9788178271125 .   Jump up ^ `` In India , they have been celebrating Republic Day . After the parade ... ''   Jump up ^ http://mealib.nic.in/?pdf2547?000   Jump up ^ British Pathé ( 13 April 2014 ) . `` Duke Popular Everywhere ( 1959 ) '' -- via YouTube .   Jump up ^ Prasad , Rajendra ( 1984 ) . Dr. Rajendra Prasad : Correspondence and Select Documents . ISBN 9788170230021 .   Jump up ^ `` Pandit Jawaharlal Nehru , News Photo , Her Majesty Queen Elizabeth be '' . Timescontent.com. 1961 - 01 - 26 . Retrieved 2014 - 01 - 24 .   Jump up ^ http://mealib.nic.in/?pdf2488?000   Jump up ^ Indian Information . 1962 .   Jump up ^ British Pathé ( 13 April 2014 ) . `` Republic Celebration ( 1964 ) '' -- via YouTube .   Jump up ^ http://mealib.nic.in/?pdf2555?000   Jump up ^ `` visit to New Delhi of Mr Kosygin on the occasion of Republic Day -- Google zoeken '' . Google.com. 2013 - 11 - 02 . Retrieved 2014 - 01 - 24 .   Jump up ^ `` Asian Recorder '' . 1969 .   Jump up ^ http://mealib.nic.in/?pdf2558?000   Jump up ^ Link : Indian Newsmagazine. 25 July 1970 .   Jump up ^ `` India '' . 1971 .   Jump up ^ `` Foreign Affairs Record '' . 1972 .   Jump up ^ Reed , Sir Stanley ( 1974 ) . `` The Times of India Directory and Year Book Including Who 's who '' .   Jump up ^ `` Indian and Foreign Review '' . 1973 .   Jump up ^ Lok Sabha ( 1975 ) . `` Lok Sabha Debates '' .   Jump up ^ http://www.ambafrance-au.org/france_australie/spip.php?article1521   Jump up ^ `` The Eastern Economist '' . 1977 .   Jump up ^ `` Patrick J. Hillery '' . Clarelibrary.ie . Retrieved 2014 - 01 - 24 .   Jump up ^ `` Bilateral Visits '' . Hcindia-au.org . Retrieved 2014 - 01 - 24 .   Jump up ^ `` MEA MEA Links : Indian Missions Abroad '' . Mealib.nic.in. 2013 - 09 - 23 . Retrieved 2014 - 01 - 24 .   Jump up ^ `` MEA MEA Links : Indian Missions Abroad '' . Mealib.nic.in. 2013 - 09 - 23 . Retrieved 2014 - 01 - 24 .   Jump up ^ `` MEA MEA Links : Indian Missions Abroad '' . Mealib.nic.in. 2013 - 09 - 23 . Retrieved 2014 - 01 - 24 .   Jump up ^ `` MEA MEA Links : Indian Missions Abroad '' . Mealib.nic.in. 2013 - 09 - 23 . Retrieved 2014 - 01 - 24 .   Jump up ^ `` India Argentina Relations '' ( PDF ) . Mea.gov.in . Archived from the original ( PDF ) on 2010 - 11 - 26 . Retrieved 2014 - 01 - 24 .   Jump up ^ `` Annual Report 2000 -- 2001 '' ( PDF ) . Mea.gov.in . Archived from the original ( PDF ) on 2010 - 12 - 21 . Retrieved 2014 - 01 - 24 .   Jump up ^ `` meacommunity.org '' . meacommunity.org . Retrieved 2014 - 01 - 24 .   Jump up ^ `` meacommunity.org '' . meacommunity.org . Retrieved 2014 - 01 - 24 .   Jump up ^ `` meacommunity.org '' . meacommunity.org . Retrieved 2014 - 01 - 24 .   Jump up ^ http://www.indianexpress.com/news/choosing-rday-chief-guest-behind-the-warm-welcome-a-cold-strategy/571348/6   ^ Jump up to : `` Choosing R - Day chief guest : Behind the warm welcome , a cold strategy '' . Indian Express . 2010 - 01 - 25 . Retrieved 2014 - 01 - 24 .   Jump up ^ `` General South African History timeline '' sahistory.org.za Accessed on 13 June 2008 .   Jump up ^ `` Choosing R - Day chief guest : Behind the warm welcome , a cold strategy '' . Indian Express . 2010 - 01 - 25 . Retrieved 2014 - 01 - 24 .   Jump up ^ `` Indonesian President next R - Day parade chief guest -- Rediff.com India News '' . News.rediff.com . Retrieved 2014 - 01 - 24 .   Jump up ^ `` Indonesian President next R - Day parade chief guest -- Rediff.com India News '' . Rediff.com . Retrieved 25 January 2012 .   Jump up ^ New Delhi , 2 Dec ( IANS ) ( 20 January 2012 ) . `` Thai PM to be chief guest on India 's Republic Day '' . Deccan Herald . Retrieved 25 January 2012 .   Jump up ^ `` India invites King of Bhutan as chief guest at Republic Day celebrations '' . Ibnlive.in.com. 2013 - 01 - 26 . Retrieved 2014 - 01 - 24 .   Jump up ^ `` India likely to Japanese Prime Minister Shinzo Abe as Republic Day chief guest : India , News -- India Today '' . Indiatoday.intoday.in . Retrieved 2014 - 01 - 24 .   Jump up ^ `` Obama in India joins Modi at Delhi Republic Day parade '' . 26 January 2015 -- via www.bbc.com .   Jump up ^ `` French President Hollande invited as Republic Day guest '' . 22 November 2015 .   Jump up ^ `` Abu Dhabi Crown Prince to be chief guest on Republic Day '' .   Jump up ^ `` India to invite heads of 10 Asean nations for Republic Day celebrations -- Times of India '' .   Jump up ^ The Times of India , News Service . ( 1956 , Jan 22 ) . REPUBLIC DAY IN DELHI . The Times of India ( 1861 - Current ) Retrieved from https://search.proquest.com/docview/501661043   Jump up ^ British Pathé ( 13 April 2014 ) . `` Republic Celebration ( 1964 ) '' -- via YouTube .   Jump up ^ `` Pandit Jawaharlal Nehru , News Photo , Her Majesty Queen Elizabeth be '' . Timescontent.com. 1961 - 01 - 26 . Retrieved 2014 - 01 - 24 .   Jump up ^ DANISH PREMIER TO VISIT INDIA. ( 1962 , Jan 04 ) . The Times of India ( 1861 - Current ) Retrieved from https://search.proquest.com/docview/365725781   Jump up ^ https://books.google.co.in/books?id=OOmK1lPWq80C&amp;pg=PA277&amp;lpg=PA277&amp;dq=indira+gandhi+1966+republic+day&amp;source=bl&amp;ots=bSUOrdVuLx&amp;sig=ici8mLsxXq72A3hZaS2AcajlYfs&amp;hl=en&amp;sa=X&amp;ved=0ahUKEwiMj9Tn1u_XAhWLlxoKHZzkALA4ChDoAQhfMAg#v=onepage&amp;q=indira%20gandhi%201966%20republic%20day&amp;f=false   Jump up ^ `` Asian Recorder '' . 25 July 1967 -- via Google Books .   Jump up ^ `` Asian Almanac '' . V.T. Sambandan. 25 July 1967 -- via Google Books .   Jump up ^ http://mealib.nic.in/?pdf2558?000   Jump up ^ Link : Indian Newsmagazine. 25 July 1970 .              Days of Importance to India     National holidays     Republic Day   Independence Day   Gandhi Jayanti       Central Government Holidays     Republic Day   Independence Day   Gandhi Jayanti   Ambedkar Jayanti   Mahavir Jayanti   Buddha 's Birthday   Christmas Day   Dussehra   Diwali ( Deepavali )   Good Friday   Guru Nanak 's Birthday   Eid ul - Fitr   Eid al - Adha ( Bakrid )   Muharram   Prophet Mohammad 's Birthday ( Id - e-Milad )       Bank Holidays     Bank 's Holiday   Ambedkar Jayanti   Gandhi Jayanti   Mahavir Jayanti   Maharaja Agresen Jayanti   Kashiram Death Anniversary   Dussehra ( Maha Navami )   Dussehra ( Vijaya Dashami )   Deepawali   Deepawali ( Govardhan Puja )   Bhai Duj / Chitragupt Jayanti   Eid al - Adha ( Bakrid )   Guru Nanak 's birthday / Kartik Poornima   Dr. B R. Ambedkar 's Nirwan Diwas   Moharram   Christmas       Hindu holidays     Bhogi / Lohri   Makar Sankranti / Pongal / Maghi / Magh Bihu   Thiruvalluvar Day   Uzhavar Thirunal   Farmers Day   Vasant Panchami ( aka Saraswati Puja )   Ratha Saptami   Maha Shivaratri   Holi ( aka Dol )   Gudi Padwa / Ugadi / Puthandu   Ram Navami   Hanuman Jayanti   Akshaya Tritiya / Maharishi Parashurama Jayanti   Rath Jatra   Nag Panchami or Guga - Navami   Raksha Bandhan ( aka Rákhi Púrńimá )   Krishna Janmashtami   Ganesh Chaturthi   Onam   Raja Parba   Mahalaya   Dussehra / Durga Puja   Kumara Purnima ( aka Kojaagari Pornima )   Diwali ( aka Káli Puja , Deepavali and Diipávali )   Devotthan Ekadashi   Hartalika Teej   Jagaddhatri Puja   Visvakarma Puja   Nuakhai   Chhath   Bathukamma   Bonalu                 Indian Independence Movement     History     Colonisation   Porto Grande de Bengala   Dutch Bengal   East India Company   British Raj   French India   Portuguese India   Battle of Plassey   Battle of Buxar   Anglo - Mysore Wars   First   Second   Third   Fourth     Anglo - Maratha Wars   First   Second   Third     Polygar Wars   Vellore Mutiny   First Anglo - Sikh War   Second Anglo - Sikh War   Sannyasi Rebellion   Rebellion of 1857   Radcliffe Line   more       Philosophies and ideologies     Ambedkarism   Gandhism   Hindu nationalism   Indian nationalism   Khilafat Movement   Muslim nationalism in South Asia   Satyagraha   Socialism   Swadeshi movement   Swaraj       Events and movements     Partition of Bengal ( 1905 )   Partition of Bengal ( 1947 )   Revolutionaries   Direct Action Day   Delhi - Lahore Conspiracy   The Indian Sociologist   Singapore Mutiny   Hindu -- German Conspiracy   Champaran Satyagraha   Kheda Satyagraha   Rowlatt Committee   Rowlatt Bills   Jallianwala Bagh massacre   Noakhali riots   Non-Cooperation Movement   Christmas Day Plot   Coolie - Begar Movement   Chauri Chaura incident , 1922   Kakori conspiracy   Qissa Khwani Bazaar massacre   Flag Satyagraha   Bardoli   1928 Protests   Nehru Report   Fourteen Points of Jinnah   Purna Swaraj   Salt March   Dharasana Satyagraha   Vedaranyam March   Chittagong armoury raid   Gandhi -- Irwin Pact   Round table conferences   Act of 1935   Aundh Experiment   Indische Legion   Cripps ' mission   Quit India   Bombay Mutiny   Coup d'état of Yanaon   Provisional Government of India   Independence Day       Organisations     All India Kisan Sabha   All - India Muslim League   Anushilan Samiti   Arya Samaj   Azad Hind   Berlin Committee   Ghadar Party   Hindustan Socialist Republican Association   Indian National Congress   India House   Indian Home Rule movement   Indian Independence League   Indian National Army   Jugantar   Khaksar Tehrik   Khudai Khidmatgar   Swaraj Party   more       Social reformers     A. Vaidyanatha Iyer   Ayya Vaikundar   Ayyankali   B.R. Ambedkar   Baba Amte   Bal Gangadhar Tilak   Dayananda Saraswati   Dhondo Keshav Karve   G. Subramania Iyer   Gazulu Lakshminarasu Chetty   Gopal Ganesh Agarkar   Gopal Hari Deshmukh   Gopaldas Ambaidas Desai   Ishwar Chandra Vidyasagar   J.B. Kripalani   Jyotirao Phule   Kandukuri Veeresalingam   Mahadev Govind Ranade   Mahatma Gandhi   Muthulakshmi Reddi   Narayana Guru   Niralamba Swami   Pandita Ramabai   Periyar E.V. Ramasamy   Ram Mohan Roy   Rettamalai Srinivasan   Sahajanand Saraswati   Savitribai Phule   Shahu   Sister Nivedita   Sri Aurobindo   Syed Ahmad Khan   Vakkom Moulavi   Vinayak Damodar Savarkar   Vinoba Bhave   Vitthal Ramji Shinde   Vivekananda       Independence activists     Abul Kalam Azad   Accamma Cherian   Achyut Patwardhan   A.K. Fazlul Huq   Alluri Sitarama Raju   Annapurna Maharana   Annie Besant   Ashfaqulla Khan   Babu Kunwar Singh   Bagha Jatin   Bahadur Shah II   Bakht Khan   Bal Gangadhar Tilak   Basawon Singh   Begum Hazrat Mahal   Bhagat Singh   Bharathidasan   Bhavabhushan Mitra   Bhikaiji Cama   Bhupendra Kumar Datta   Bidhan Chandra Roy   Bipin Chandra Pal   C. Rajagopalachari   Chandra Shekhar Azad   Chetram Jatav   Chittaranjan Das   Dadabhai Naoroji   Dayananda Saraswati   Dhan Singh   Dukkipati Nageswara Rao   Gopal Krishna Gokhale   Govind Ballabh Pant   Har Dayal   Hemu Kalani   Inayatullah Khan Mashriqi   Jatindra Mohan Sengupta   Jatindra Nath Das   Jawaharlal Nehru   K. Kamaraj   Kanaiyalal Maneklal Munshi   Khan Abdul Ghaffar Khan   Khudiram Bose   Shri Krishna Singh   Lala Lajpat Rai   M. Bhaktavatsalam   M.N. Roy   Mahadaji Shinde   Mahatma Gandhi   Mangal Pandey   Mir Qasim   Mithuben Petit ‎   Muhammad Ali Jauhar   Muhammad Ali Jinnah   Muhammad Mian Mansoor Ansari   Nagnath Naikwadi   Nana Fadnavis   Nana Sahib   P. Kakkan   Prafulla Chaki   Pritilata Waddedar   Pritilata Waddedar   Purushottam Das Tandon   R. Venkataraman   Rahul Sankrityayan   Rajendra Prasad   Ram Prasad Bismil   Rani Lakshmibai   Rash Behari Bose   Sahajanand Saraswati   Sangolli Rayanna   Sarojini Naidu   Satyapal Dang   Shuja - ud - Daula   Shyamji Krishna Varma   Sibghatullah Shah Rashidi   Siraj ud - Daulah   Subhas Chandra Bose   Subramania Bharati   Subramaniya Siva   Surya Sen   Syama Prasad Mukherjee   Tara Rani Srivastava   Tarak Nath Das   Tatya Tope   Tiruppur Kumaran   Ubaidullah Sindhi   VO Chidamabaram   V.K. Krishna Menon   Vallabhbhai Patel   Vanchinathan   Veeran Sundaralingam   Vinayak Damodar Savarkar   Virendranath Chattopadhyaya   Yashwantrao Holkar   Yogendra Shukla   more       British leaders     Wavell   Canning   Cornwallis   Irwin   Chelmsford   Curzon   Ripon   Minto   Dalhousie   Bentinck   Mountbatten   Wellesley   Lytton   Clive   Outram   Cripps   Linlithgow   Hastings       Independence     Cabinet Mission   Annexation of French colonies in India   Constitution   Republic of India   Indian annexation of Goa   Indian Independence Act   Partition of India   Political integration   Simla Conference      Retrieved from `` https://en.wikipedia.org/w/index.php?title=Republic_Day_(India)&amp;oldid=825208592 '' Categories :   January observances   Independent India   Republic days   Public holidays in India   Observances in India   Hidden categories :   All articles with dead external links   Articles with dead external links from January 2014   Use dmy dates from January 2017   Use Indian English from April 2016   All Wikipedia articles written in Indian English   Infobox holiday fixed day ( 2 )   Incomplete lists from February 2017           Talk                                           Contents                   About Wikipedia                                                 Afrikaans     অসমীয়া   বাংলা   Беларуская   भोजपुरी   Català   Deutsch   Esperanto   فارسی   Français   ગુજરાતી   </t>
    </r>
    <r>
      <rPr>
        <sz val="11"/>
        <color rgb="FF000000"/>
        <rFont val="Noto Sans CJK SC"/>
        <family val="2"/>
      </rPr>
      <t xml:space="preserve">한국어   </t>
    </r>
    <r>
      <rPr>
        <sz val="11"/>
        <color rgb="FF000000"/>
        <rFont val="Calibri"/>
        <family val="0"/>
        <charset val="1"/>
      </rPr>
      <t xml:space="preserve">हिन्दी   Bahasa Indonesia   ಕನ್ನಡ   മലയാളം   मराठी   नेपाली   </t>
    </r>
    <r>
      <rPr>
        <sz val="11"/>
        <color rgb="FF000000"/>
        <rFont val="Noto Sans CJK SC"/>
        <family val="2"/>
      </rPr>
      <t xml:space="preserve">日本 語   </t>
    </r>
    <r>
      <rPr>
        <sz val="11"/>
        <color rgb="FF000000"/>
        <rFont val="Calibri"/>
        <family val="0"/>
        <charset val="1"/>
      </rPr>
      <t xml:space="preserve">Norsk   ଓଡ଼ିଆ   ਪੰਜਾਬੀ   Polski   Română   Русский   संस्कृतम्   Svenska   தமிழ்   తెలుగు   ತುಳು   Türkçe   Українська   اردو  25 more  Edit links   This page was last edited on 12 February 2018 , at 02 : 21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</si>
  <si>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republic day of india celebrated</t>
  </si>
  <si>
    <t xml:space="preserve"> The main Republic Day celebration is held in the national capital , New Delhi , at the Rajpath before the President of India . On this day , ceremonious parades take place at the Rajpath , which are performed as a tribute to India ; its unity in diversity and rich cultural heritage . </t>
  </si>
  <si>
    <t xml:space="preserve">The Legend of Korra ( video game ) - wikipedia  The Legend of Korra ( video game )  Jump to : navigation , search    The Legend of Korra         Developer ( s )   PlatinumGames     Publisher ( s )   Activision     Director ( s )   Eiro Shirahama     Producer ( s )   Atsushi Kurooka Robert Conkey     Designer ( s )   Isao Negishi     Writer ( s )   Tim Hedrick     Composer ( s )   Naofumi Harada Hitomi Kurokawa     Platform ( s )   Microsoft Windows PlayStation 3 PlayStation 4 Xbox 360 Xbox One     Release   Microsoft Windows , PlayStation 3 , PlayStation 4 October 21 , 2014 Xbox 360 , Xbox One October 22 , 2014     Genre ( s )   Action , Beat ' em up     Mode ( s )   Single - player     The Legend of Korra is a 2014 third - person action beat ' em up video game developed by PlatinumGames and published by Activision , based on the animated television series The Legend of Korra . It was released in October 2014 for Microsoft Windows , PlayStation 3 , PlayStation 4 , Xbox 360 and Xbox One , and received mixed reviews .   The game is one of two video games based on the same plot from the series . The other , The Legend of Korra : A New Era Begins , is a turn - based strategy game for the Nintendo 3DS .     Contents  ( hide )   1 Gameplay   2 Setting and plot   3 Development   4 Reception   4.1 Pre-release   4.2 Post-release     5 References   6 External links      Gameplay ( edit )   The Legend of Korra is a third - person action game , supporting single - player play only . Players control Korra , the series ' heroine , as she fights villains from the first two seasons of the series with the bending arts , a spiritual and physical practice similar in appearance to Eastern martial arts by which practitioners move and alter the elements of water , earth , fire and air . Korra can switch between four different elements on the fly , each with its own combat styles and special moves .   Waterbending is acquired first and specializes in ranged attacks . Earthbending , acquired next , features slow attacks that are very powerful and can not be blocked . Firebending is a balanced style that once upgraded , features all three forms of attacks : Fast combos , slow but powerful , and ranged . Airbending , acquired late in the game , features fast and powerful attacks that can affect all surrounding targets . Korra also acquires the `` avatar state '' near the end of the game ; it lasts a shorts period , but grants Korra powerful attacks that combine all four elements .   The game tries to persuade the player into using counterattacks . The player can initiate a counterattack by blocking an enemy attack just before it connects . Counterattacks are orders of magnitude more powerful than direct attacks . Counterattacking is the only way of defeating bosses in a reasonable amount of time , as defeating them with direct attacks can take hours . Electrical and earth - based attacks can not be countered .   The game takes about four to six hours to play through , but contains `` a New Game+ of sorts '' . These include an endless runner with Naga , and pro-bending matches , where teams of three try to bend each other out of an arena . This mode , which implements the pro-bending rules depicted in the series , is available after completing the game , with the player controlling the `` Fire Ferrets '' team made up of Korra and her friends Mako and Bolin .   Setting and plot ( edit )   The events of the game occur in the two weeks between what happened in the second and third seasons of the series , which aired in 2013 and 2014 respectively . Korra is opposed by a `` chi - blocker '' who , at the start of the game , strips Korra of her bending abilities , which she has to regain in the course of the game . The game 's main villain , Hundun , is named after a chaotic entity in Chinese mythology . An ancient , evil being previously trapped in the spirit world , he was released into the physical world by Korra 's opening of the spirit portals at the end of the second season . The game sees him sow chaos in the world and pursue his grudge against the Avatar .   Development ( edit )  This screenshot from an early development version of the game shows Korra fighting opponents using waterbending . The game 's cel - shaded art style is intended to resemble the animation of the TV series  The Legend of Korra , the animated drama TV series on which the game is based , aired on Nickelodeon and online from 2012 to 2014 as a sequel to the series Avatar : The Last Airbender . It received critical acclaim , and was commissioned to run for four seasons and a total of 52 episodes .   The game based on the series was announced in June 2014 . It was developed by PlatinumGames , known for the Bayonetta series of action games among others , and published by Activision . The game is scripted by Tim Hedrick , a writer of the TV series , who collaborated with series creators Bryan Konietzko and Michael Dante DiMartino on the plot and main villain . The cutscenes are animated by Titmouse , Inc. , and the cover art ( chosen by public vote ) is by series character designer Christie Tseng . The game made use of the voice actors and the music of the TV series .   Robert Conkey of Activision explained that they chose Platinum on account of their record of developing action games , which he described as having a `` very smooth , very flashy , and very cool '' style . Platinum producer Atsushi Kurooka said that Platinum chose to adapt The Legend of Korra , a series unknown in Japan , after watching it with the aid of translated scripts , and being impressed by the series 's blend of `` interesting action , a really good story , comedy , and romance '' . According to Kurooka , the studio aimed to make the game emulate the look and feel of the television series as closely as possible , including its visual and sound direction : Kurooka said that screenshots of the game were indistinguishable from those of the series .   Reception ( edit )     Reception        Aggregate score     Aggregator   Score     Metacritic   ( PC ) 64 / 100 ( PS4 ) 54 / 100 ( XONE ) 49 / 100     Review scores     Publication   Score     CVG   2 / 10     Destructoid   7 / 10     Eurogamer   4 / 10     Game Informer   5.5 / 10     GameSpot   3 / 10     GameTrailers   6.5 / 10     IGN   4.2 / 10     PC Gamer ( US )   63 / 100     Polygon   5 / 10     Hardcore Gamer   3 / 5        Pre-release ( edit )   Appraisals of the game during development were positive . After playing an alpha build of the game in June 2014 , Destructoid described the game as a `` pretty solid action brawler '' . The reviewer praised the thorough implementation of the various bending styles , the detailed and fluid combat system , and the cel - shaded art style . GameSpot 's reporter was `` encouraged by the art style and some aspects of the combat '' , but uncertain whether the developers would be able to balance the demands of faithfulness to a franchise and the expectations of quality combat gameplay raised by their previous titles . IGN described the early version as having `` all the depth I 'd expect to see from this developer bundled with a faithful artistic interpretation '' of the source material , noting the `` surprisingly deep '' combat system and the `` tastefully re-created animations '' from the series .   Post-release ( edit )   The Legend of Korra received `` mixed or average '' reviews , according to video game review aggregator Metacritic . It was panned by Dan Stapleton of IGN as a `` poorly made tie - in that ca n't even stand up as a competent third - person action game '' . The reviewer noted the game 's simplistic combat , the absence of the series ' wit and charm , and the low - quality cutscenes . Kevin VanOrd of GameSpot was also highly critical of the game , writing that it `` tries its best to boot M. Night Shyamalan 's The Last Airbender film out of its rightful position as ' worst Avatar - related thing yet produced . ' '' Chris Carter at Destructoid summed up the game as a `` nice but brief romp '' with no real narrative that `` plays out like a ' light ' version of Platinum 's previous games '' . At Polygon , Philip Kollar described the game as a `` shallow , short experience full of segments that feel poorly designed and ill - considered '' , with frustrating mechanics and annoying mini-games . Paul Tassi of Forbes , noting the `` scathing '' reviews the game received , wrote that , like other adaptations of the series , it showed `` a fundamental misunderstanding of the source material , all but completely devoid of a plot and other characters outside Korra herself '' . For Eurogamer 's Simon Parkin , the game 's shortcomings were the `` hallmarks of a work - for - hire project rushed to meet a Christmas deadline '' , and he considered the game `` a misfire that means Platinum 's name no longer guarantees quality '' .   References ( edit )    ^ Jump up to : `` THE LEGEND OF KORRA : GAME RELEASE DATE AND NEW MODE , PLUS WHAT TO EXPECT IN BOOK 4 '' . IGN . Retrieved 25 August 2014 .   Jump up ^ Narcisse , Evan ( 25 June 2014 ) . `` Legend of Korra Game Coming from Makers of Bayonetta '' . Kotaku . Retrieved 25 June 2014 .   ^ Jump up to : Newhouse , Alex ( 26 June 2014 ) . `` I Played With Fire in Platinum Game 's The Legend of Korra '' . GameSpot . Retrieved 27 June 2014 .   ^ Jump up to : Aziz , Hamza ( 26 June 2014 ) . `` Platinum is making a Legend of Korra game , and it 's pretty awesome '' . Destructoid . Retrieved 26 June 2014 .   ^ Jump up to : Bailey , Kat ( 26 June 2014 ) . `` Platinum 's Surprising Foray into Licensed Games '' . USGamer . Retrieved 27 June 2014 .   ^ Jump up to : `` How Bayonetta 's combat made Platinum Games the perfect match for The Legend of Korra '' . Polygon . Retrieved 26 June 2014 .   ^ Jump up to : Dyer , Mitch ( 25 June 2014 ) . `` PLATINUM GAMES ' THE LEGEND OF KORRA COMING IN 2014 '' . IGN . Retrieved 25 June 2014 .   Jump up ^ `` Up at Noon : The Legend of Korra : Old Men vs. 17 Year Olds '' . IGN. 6 October 2014 . Retrieved 7 October 2014 .   Jump up ^ Barr , Merrill ( 23 September 2013 ) . `` Has ' The Legend Of Korra ' Created A New Television Genre ? '' . Retrieved 11 January 2014 .   Jump up ^ Konietzko , Bryan . `` Platinum Games ' The Legend of Korra Coming in 2014 - IGN '' . Retrieved 26 June 2014 .   ^ Jump up to : `` The Legend of Korra for PC Reviews '' . Metacritic . CBS Interactive . Retrieved October 23 , 2014 .   ^ Jump up to : `` The Legend of Korra for PlayStation 4 Reviews '' . Metacritic . CBS Interactive . Retrieved October 23 , 2014 .   ^ Jump up to : `` The Legend of Korra for Xbox One Reviews '' . Metacritic . CBS Interactive . Retrieved October 23 , 2014 .   Jump up ^ Tamoor Hussain ( November 12 , 2014 ) . `` Review : The Legend of Korra is a blotch to Platinum 's reputation '' . Computer and Video Games . Retrieved November 14 , 2014 .   ^ Jump up to : Carter , Chris ( 21 October 2014 ) . `` A nice but brief romp with Korra and Naga '' . Destructoid . Retrieved 21 October 2014 .   ^ Jump up to : Parkin , Simon . `` The Legend of Korra review : Earth , wind and misfire . '' . Eurogamer . Retrieved 27 October 2014 .   Jump up ^ Matt Miller ( October 29 , 2014 ) . `` The Legend of Korra review : Solid Groundwork , Failed Execution '' . Game Informer . Retrieved November 14 , 2014 .   ^ Jump up to : VanOrd , Kevin ( 21 October 2014 ) . `` The Legend of Korra Review : Spiritual unenlightenment '' . Gamespot . Retrieved 21 October 2014 .   Jump up ^ Michael Damiani ( October 21 , 2014 ) . `` Legend of Korra - Review '' . GameTrailers . Retrieved November 24 , 2014 .   ^ Jump up to : Dan , Stapleton ( 21 October 2014 ) . `` BENT OUT OF SHAPE '' . IGN . Retrieved 21 October 2014 .   Jump up ^ Tom Marks ( October 24 , 2014 ) . `` The Legend of Korra review '' . PC Gamer . Retrieved October 24 , 2014 .   ^ Jump up to : Kollar , Philip ( 22 October 2014 ) . `` THE LEGEND OF KORRA REVIEW : ELEMENTARY '' . Polygon . Retrieved 23 October 2014 .   Jump up ^ Carlson , Alex ( 24 October 2014 ) . `` Review : The Legend of Korra '' . Hardcore Gamer . Hardcore Gamer . Retrieved 30 November 2014 .   Jump up ^ Otero , Jose ( 26 June 2014 ) . `` THE LEGEND OF KORRA BLENDS BAYONETTA 'S COMBAT WITH MYSTIC ELEMENTS '' . IGN . Retrieved 27 June 2014 .   Jump up ^ Tassi , Paul ( 22 October 2014 ) . `` The Strange , Sad Abuse Of ' The Last Airbender ' And ' The Legend of Korra ' '' . Forbes . Retrieved 23 October 2014 .    External links ( edit )    Video games portal     Official website              Avatar     Created by Michael Dante DiMartino and Bryan Konietzko     The Last Airbender      Episodes     Book 1 : Water   Book 2 : Earth   Book 3 : Fire   `` Sozin 's Comet ''         Comics     The Promise   The Search   The Rift   Smoke and Shadow   North and South       Characters     Aang   Appa   Zuko   Katara   Sokka   Toph Beifong   Iroh   Azula       Video games     Avatar : The Last Airbender   The Burning Earth   Into the Inferno       Other     Lego   Roller coaster ride   Trading card game          The Legend of Korra      Episodes     Book 1 : Air   `` Welcome to Republic City ''     Book 2 : Spirits   `` Rebel Spirit ''   `` The Southern Lights ''   `` Civil Wars ''     Book 3 : Change   Book 4 : Balance       Comics     Turf Wars       Characters     Korra   Asami Sato   Bolin   Mako   Tenzin   Lin Beifong   Zaheer   Kuvira       Video games     The Legend of Korra   A New Era Begins          Film     The Last Airbender   video game   soundtrack   Zuko 's Story         Related     Nicktoons Nitro   Nicktoons MLB         Book                   PlatinumGames     Games     MadWorld   Infinite Space   Bayonetta   Vanquish   Anarchy Reigns   Metal Gear Rising : Revengeance   The Wonderful 101   Bayonetta 2   The Legend of Korra   Transformers : Devastation   Star Fox Zero   Star Fox Guard   Teenage Mutant Ninja Turtles : Mutants in Manhattan   Nier : Automata       People     Atsushi Inaba   Hideki Kamiya   Shinji Mikami       Related     Clover Studio   Bayonetta : Bloody Fate   Scalebound      Retrieved from `` https://en.wikipedia.org/w/index.php?title=The_Legend_of_Korra_(video_game)&amp;oldid=800860346 '' Categories :   2014 video games   Action video games   Activision games   Beat ' em ups   Avatar : The Last Airbender games   Nicktoons video games   PlatinumGames games   PlayStation 4 games   PlayStation 3 games   PlayStation Network games   Video games developed in Japan   Video games featuring female protagonists   Windows games   Xbox 360 games   Xbox 360 Live Arcade games   Xbox One games   Hidden categories :   Pages using deprecated image syntax   Articles using Infobox video game using locally defined parameters   Articles using Wikidata infoboxes with locally defined images   Articles using Video game reviews template in single platform mode           Talk                                           Contents                   About Wikipedia                                             Azərbaycanca   Español   Français   Italiano   Nederlands   Suomi   Svenska   Edit links   This page was last edited on 16 September 2017 , at 03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</si>
  <si>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long is the legend of korra game</t>
  </si>
  <si>
    <t xml:space="preserve"> The game takes about four to six hours to play through , but contains `` a New Game+ of sorts '' . These include an endless runner with Naga , and pro-bending matches , where teams of three try to bend each other out of an arena . This mode , which implements the pro-bending rules depicted in the series , is available after completing the game , with the player controlling the `` Fire Ferrets '' team made up of Korra and her friends Mako and Bolin . </t>
  </si>
  <si>
    <r>
      <rPr>
        <sz val="11"/>
        <color rgb="FF000000"/>
        <rFont val="Calibri"/>
        <family val="0"/>
        <charset val="1"/>
      </rPr>
      <t xml:space="preserve">Glomerulus ( kidney ) - wikipedia  Glomerulus ( kidney )     Bots     Looped capillaries of glomerulus between the arterioles     Details     Precursor   Metanephric blastema     Identifiers     Latin   glomerulus renalis     MeSH   D007678     FMA   15624     Anatomical terminology ( edit on Wikidata )     The glomerulus ( / ɡləˈmɛr ( j ) əl əs , ɡloʊ - / ) , plural glomeruli , is a network of capillaries known as a tuft , located at the beginning of a nephron in the kidney . The tuft is structurally supported by intraglomerular mesangial cells . The blood is filtered across the capillary walls of this tuft through the glomerular filtration barrier , which yields its filtrate of water and soluble substances to a cup - like sac known as Bowman 's capsule . The filtrate then enters the renal tubule , of the nephron .   The glomerulus receives its blood supply from an afferent arteriole of the renal arterial circulation . Unlike most capillary beds , the glomerular capillaries exit into efferent arterioles rather than venules . The resistance of the efferent arterioles causes sufficient hydrostatic pressure within the glomerulus to provide the force for ultrafiltration .   The glomerulus and its surrounding Bowman 's capsule constitute a renal corpuscle , the basic filtration unit of the kidney . The rate at which blood is filtered through all of the glomeruli , and thus the measure of the overall renal function , is the glomerular filtration rate ( GFR ) .   Contents    1 Structure   1.1 Blood supply   1.2 Lining     2 Intraglomerular mesangial cells   2.1 Intrarenal circulation   2.2 Filtrate drainage     3 Function   3.1 Filtration   3.1. 1 Permeability   3.1. 2 Starling equation     3.2 Regulation of blood pressure     4 Clinical significance   5 History   6 Additional images   7 References   8 Sources    Structure ( edit )   The glomerulus is a tuft of small blood vessels called capillaries located within Bowman 's capsule within the kidney . Glomerular mesangial cells structurally support the tufts . Blood enters the capillaries of the glomerulus by a single arteriole called an afferent arteriole and leaves by an efferent arteriole . The capillaries consist of a tube lined by endothelial cells with a central lumen . The walls have a unique structure : there are pores between the cells that allow water and soluble substances to exit , and after passing through the glomerular basement membrane , and between podocyte foot processes , enter the capsule as ultrafiltrate .   Blood supply ( edit )  Figure 2 : ( a ) Diagram of the juxtaglomerular apparatus : it has specialized cells working as a unit which monitor the sodiujuxtaglomerular apparatus : it has three types of specm content of the fluid in the distal convoluted tubule ( not labelled - it 's the tubule on the left ) and adjust the glomerular filtration rate and the rate of renin release . ( b ) Micrograph showing the glomerulus and surrounding structures .  Lining ( edit )  Scanning electron microscope view of the inner surface of an opened ( broken ) capillary with fenestrae visible. ( 100,000 x magnification )  Capillaries of the glomerulus are lined by endothelial cells . These contain numerous pores - also called fenestrae - 50 -- 100 nm in diameter . Unlike those of other capillaries with fenestrations , these fenestrations are not spanned by diaphragms . They allow for the filtration of fluid , blood plasma solutes and protein , at the same time preventing the filtration of red blood cells , white blood cells , and platelets .   The glomerulus has a glomerular basement membrane ( GBM ) consisting mainly of laminins , type IV collagen , agrin and nidogen , which are synthesized and secreted by both endothelial cells and podocytes : thus the GBM is sandwiched between the glomerular capillaries and the podocytes . The GBM is 250 -- 400 nm in thickness , which is thicker than basement membranes of other tissue . It is a barrier to blood proteins such as albumin and globulin .   The part of the podocyte in contact with the GBM is called a podocyte foot process or pedicle ( Fig. 3 ) : there are gaps between the foot processes through which the filtrate flows into Bowman 's space of the capsule. . The space between adjacent podocyte foot processes is spanned by slit diaphragms consisting of a mat of proteins , including podocin and nephrin . In addition , foot processes have a negatively charged coat ( glycocalyx ) that repels negatively charged molecules such as serum albumin .   Intraglomerular mesangial cells ( edit )   The space between the capillaries of a glomerulus is occupied by intraglomerular mesangial cells . They are not part of the filtration barrier but are specialized pericytes that participate in the regulation of the filtration rate by contracting or expanding : they contain actin and myosin filaments to accomplish this . Some mesangial cels are in physical contact with capillaries , others are in physical contact with podocytes . There is two - way chemical cross talk among the mesangial cells , the capillaries , and the podocytes to fine - tune the GFR .   Intrarenal circulation ( edit )  ( Fig. 4 ) Diagram ( with labels ) of the circulation related to a single glomerulus , associated tubule , and collecting system .  Blood exits the glomerular capillaries by an efferent arteriole instead of a venule , as is seen in the majority of capillary systems ( Fig. 4 ) . This provides tighter control over the blood flow through the glomerulus , since arterioles dilate and constrict more readily than venules , owing to their thick circular smooth muscle layer ( tunica media ) . The blood exiting the efferent arteriole enters a renal venule , which in turn enters a renal interlobular vein and then into the renal vein .   Cortical nephrons near the corticomedullary junction ( 15 % of all nephrons ) are called juxtamedullary nephrons . The blood exiting the efferent arterioles of these nephrons enter the vasa recta , which are straight capillary branches that deliver blood to the renal medulla . These vasa recta run adjacent to the descending and ascending loop of Henle , and participate in the maintenance of the medullary countercurrent exchange system .   Filtrate drainage ( edit )   The filtrate that has passed through the three - layered filtration unit enters Bowman 's space . From there , it flows into the renal tubule - the nephron - which follows a U-shaped path to the collecting ducts , finally exiting into a renal calyx as urine .   Function ( edit )   Filtration ( edit )  Scheme of filtration barrier ( blood - urine ) in the kidney . A . The endothelial cells of the glomerulus ; 1 . pore ( fenestra ) . B. Glomerular basement membrane : 1 . lamina rara interna 2 . lamina densa 3 . lamina rara externa C. Podocytes : 1 . enzymatic and structural proteins 2 . filtration slit 3 . diaphragma  The main function of the glomerulus is to filter plasma to produce glomerular filtrate , which passes down the length of the nephron tubule to form urine . The rate at which the glomerulus produces filtrate from plasma ( the glomerular filtration rate ) is much higher than in systemic capillaries because of the particular anatomical characteristics of the glomerulus . Unlike systemic capillaries , which receive blood from high - resistance arterioles and drain to low - resistance venules , glomerular capillaries are connected in both ends to high - resistance arterioles : the afferent arteriole , and the efferent arteriole . This arrangement of two arterioles in series determines the high hydrostatic pressure on glomerular capillaries , which is one of the forces that favour filtration to the Bowman 's capsule .   If a substance has passed through the glomerular capillary endothelial cells , glomerular basement membrane , and podocytes , then it enters the lumen of the tubule and is known as glomerular filtrate . Otherwise , it exits the glomerulus through the efferent arteriole and continues circulation as discussed below and as shown on the picture .  Permeability ( edit )   See also : Table of permselectivity for different substances  The structures of the layers determine their permeability - selectivity ( permselectivity ) . The factors that influence permselectivity are the negative charge of the basement membrane and the podocytic epithelium , and the effective pore size of the glomerular wall ( 8 nm ) . As a result , large and / or negatively charged molecules will pass through far less frequently than small and / or positively charged ones . For instance , small ions such as sodium and potassium pass freely , while larger proteins , such as hemoglobin and albumin have practically no permeability at all .   The oncotic pressure on glomerular capillaries is one of the forces that resist filtration . Because large and negatively charged proteins have a low permeability , they can not filtrate easily to the Bowman 's capsule . Therefore , the concentration of these proteins tends to increase as the glomerular capillaries filtrate plasma , increasing the oncotic pressure along the length of a glomerular capillary .  Starling equation ( edit )  The rate of filtration from the glomerulus to the Bowman 's capsule is determined ( as in systemic capillaries ) by the Starling equation :    G F R = K f ( ( P g c − P b c ) − ( π g c − π b c ) ) ( \ displaystyle \ GFR = K_ ( \ mathrm ( f ) ) ( ( P_ ( \ mathrm ( gc ) ) - P_ ( \ mathrm ( bc ) ) ) - ( \ pi _ ( \ mathrm ( gc ) ) - \ pi _ ( \ mathrm ( bc ) ) ) ) )     GFR is the glomerular filtration rate .   K is the filtration coefficient -- a proportionality constant   P is the glomerular capillary hydrostatic pressure   P is the Bowman 's capsule hydrostatic pressure   π is the glomerular capillary oncotic pressure   π is the Bowman 's capsule oncotic pressure    Regulation of blood pressure ( edit )   The walls of the afferent arteriole contain specialized smooth muscle cells that synthesize renin . These juxtaglomerular cells play a major role in the renin -- angiotensin system , which helps regulate blood volume and pressure .   Clinical significance ( edit )       This section needs expansion . You can help by adding to it . ( April 2015 )     Damage to the glomerulus by disease can allow passage through the glomerular filtration barrier of red blood cells , white blood cells , platelets , and blood proteins such as albumin and globulin . Underlying causes for glomerular injury can be inflammatory , toxic or metabolic . These can be seen in the urine ( urinalysis ) on microscopic and chemical ( dipstick ) examination . Examples are diabetic kidney disease , glomerulonephritis , and IgA nephropathy .   History ( edit )   In 1666 , Italian biologist and anatomist Marcello Malpighi first described the glomeruli and demonstrated their continuity with the renal vasculature ( 281,282 ) . About 175 years later , surgeon and anatomist William Bowman elucidated in detail the capillary architecture of the glomerulus and the continuity between its surrounding capsule and the proximal tubule .   Additional images ( edit )     Glomerulus .     Scanning electron microscope of a glomerulus in a mouse ( 1000x magnification )     Scanning electron microscope of a glomerulus in a mouse ( 5000x magnification )     Scanning Electron Microscope of a glomerulus in a mouse ( 10,000 x magnification )     Renal corpuscle     References ( edit )    Jump up ^ Pavenstädt H , ; Kriz W , ; Kretzler M. `` Cell biology of the glomerular podocyte '' . doi : 10.1152 / physrev. 00020.2002 . PMID 12506131 .   ^ Jump up to : WHEATER 2006 , p. 304 .   ^ Jump up to : WHEATER 2006 , p. 307 .   ^ Jump up to : WHEATER 2006 , p. 310 .   Jump up ^ Suh , JH ; Miner , JH ( 2013 ) . `` The glomerular basement membrane as a barrier to albumin '' . Nature Reviews . Nephrology. 9 ( 8 ) : 470 -- 477 . doi : 10.1038 / nrneph. 2013.109 . PMC 3839671 . PMID 23774818 .   ^ Jump up to : Boron , WF. ; Boulapep , EL. ( 2012 ) . Medical Physiology ( 2nd ed . ) . Philadelphia : Saunders . pp. 771 , 774 . ISBN 978 - 1437717532 .   Jump up ^ Guyton , Arthur C. ; Hall , John E. ( 2006 ) . Textbook of Medical Physiology . Philadelphia : Elsevier Saunders . pp. 316 -- 317 . ISBN 0 - 7216 - 0240 - 1 .   Jump up ^ Wiggins , RC . `` The spectrum of podocytopathies : a unifying view of glomerular diseases '' . doi : 10.1038 / sj. ki. 5002222 . PMID 17410103 .   Jump up ^ `` lippicotts histology for pathologesits ; satcey e. mills    Sources ( edit )       Wikimedia Commons has media related to Glomerulus .      Hall , Arthur C. Guyton , John E. ( 2005 ) . Textbook of medical physiology ( 11th ed . ) . Philadelphia : W.B. Saunders . p . Chapter 26 . ISBN 978 - 0 - 7216 - 0240 - 0 .   Deakin , Barbara Young ... ( ) ; drawings by Philip J. ; et al. ( 2006 ) . Wheater 's functional histology : a text and colour atlas ( 5th ed . ) . ( Edinburgh ? ) : Churchill Livingstone / Elsevier . p . Chapter 16 . ISBN 978 - 0 - 443068508 .              Anatomy of the urinary system     Kidneys      Layers     Fascia   Capsule   Cortex   column     Medulla   sinus   pyramids   medullary interstitium     Lobe   Cortical lobule   Medullary ray   Nephron       Circulation     Arteries   Renal artery   segmental   interlobar   arcuate   interlobular   afferent     Veins   Renal vein   Peritubular capillaries   Vasa recta   arcuate   interlobar   efferent         Nephron      Renal corpuscle     Glomerulus   Bowman 's capsule   Glomerular basement membrane   Podocyte   Filtration slits   Mesangium   Intraglomerular mesangial cell       Renal tubule     Proximal convoluted tubule   Loop of Henle   Descending   Thin ascending   Thick ascending     Distal convoluted tubule   Collecting duct system   Connecting tubule   Papillary duct     Tubular fluid   Renal papilla   Minor calyx   Major calyx   Renal pelvis       Juxtaglomerular apparatus     Macula densa   Juxtaglomerular cells   Mesangium   Extraglomerular mesangial cell             Ureters     Ureteropelvic junction       Bladder     Apex   Uvula   Neck   Median umbilical ligament   Muscular layer   Trigone   Detrusor     Mucosa   Submucosa       Urethra     Urethral sphincters   External sphincter   male   female     Internal sphincter      Retrieved from `` https://en.wikipedia.org/w/index.php?title=Glomerulus_(kidney)&amp;oldid=847703947 '' Categories :   Kidney anatomy   Hidden categories :   Pages with unresolved properties   Articles to be expanded from April 2015   All articles to be expanded   Articles using small message boxes   Commons category with local link different than on Wikidata           Talk                                           Contents                   About Wikipedia                                                   Български   Català   Čeština   Eesti   Español   Euskara   فارسی   Français   Galego   </t>
    </r>
    <r>
      <rPr>
        <sz val="11"/>
        <color rgb="FF000000"/>
        <rFont val="Noto Sans CJK SC"/>
        <family val="2"/>
      </rPr>
      <t xml:space="preserve">한국어   </t>
    </r>
    <r>
      <rPr>
        <sz val="11"/>
        <color rgb="FF000000"/>
        <rFont val="Calibri"/>
        <family val="0"/>
        <charset val="1"/>
      </rPr>
      <t xml:space="preserve">हिन्दी   Hrvatski   Italiano   עברית   Кыргызча   Nederlands   </t>
    </r>
    <r>
      <rPr>
        <sz val="11"/>
        <color rgb="FF000000"/>
        <rFont val="Noto Sans CJK SC"/>
        <family val="2"/>
      </rPr>
      <t xml:space="preserve">日本 語   </t>
    </r>
    <r>
      <rPr>
        <sz val="11"/>
        <color rgb="FF000000"/>
        <rFont val="Calibri"/>
        <family val="0"/>
        <charset val="1"/>
      </rPr>
      <t xml:space="preserve">Norsk   Português   Slovenščina   Srpskohrvatski / српскохрватски   Suomi   Svenska   ไทย   </t>
    </r>
    <r>
      <rPr>
        <sz val="11"/>
        <color rgb="FF000000"/>
        <rFont val="Noto Sans CJK SC"/>
        <family val="2"/>
      </rPr>
      <t xml:space="preserve">粵語   中文  </t>
    </r>
    <r>
      <rPr>
        <sz val="11"/>
        <color rgb="FF000000"/>
        <rFont val="Calibri"/>
        <family val="0"/>
        <charset val="1"/>
      </rPr>
      <t xml:space="preserve">18 more  Edit links   This page was last edited on 27 June 2018 , at 06 : 06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</si>
  <si>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which section of the kidney does the glomerulus belong to</t>
  </si>
  <si>
    <t xml:space="preserve"> The glomerulus ( / ɡləˈmɛr ( j ) əl əs , ɡloʊ - / ) , plural glomeruli , is a network of capillaries known as a tuft , located at the beginning of a nephron in the kidney . The tuft is structurally supported by intraglomerular mesangial cells . The blood is filtered across the capillary walls of this tuft through the glomerular filtration barrier , which yields its filtrate of water and soluble substances to a cup - like sac known as Bowman 's capsule . The filtrate then enters the renal tubule , of the nephron . </t>
  </si>
  <si>
    <r>
      <rPr>
        <sz val="11"/>
        <color rgb="FF000000"/>
        <rFont val="Calibri"/>
        <family val="0"/>
        <charset val="1"/>
      </rPr>
      <t xml:space="preserve">The Adventures of Elmo in Grouchland - wikipedia  The Adventures of Elmo in Grouchland  Jump to : navigation , search    The Adventures of Elmo in Grouchland     Theatrical release poster     Directed by   Gary Halvorson     Produced by   Alex Rockwell Marjorie Kalins     Screenplay by   Mitchell Kriegman Joey Mazzarino     Story by   Mitchell Kriegman     Starring     Kevin Clash   Mandy Patinkin   Vanessa Williams       Music by   John Debney     Cinematography   Alan Caso     Edited by   Alan Baumgarten     Production company   Jim Henson Pictures Children 's Television Workshop     Distributed by   Columbia Pictures     Release date     October 1 , 1999 ( 1999 - 10 - 01 )               Running time   77 minutes     Country     United States   Germany       Language   English     Budget   $26 million     Box office   $11.7 million     The Adventures of Elmo in Grouchland is a 1999 American - German musical fantasy - comedy adventure film directed by Gary Halvorson . It is the second theatrical feature - length film based on the popular U.S. children 's series Sesame Street , the first being Sesame Street Presents Follow That Bird in 1985 . Produced by Jim Henson Pictures in association with Sesame Workshop and released by Columbia Pictures on October 1 , 1999 , the film co-stars Mandy Patinkin and Vanessa Williams . The film was shot in Wilmington , North Carolina , at EUE / Screen Gems in 1998 . This is one of the few Sesame Street productions directly produced by Jim Henson Pictures . Alongside Muppets from Space , this the final Muppet - themed feature film to have the involvement of Frank Oz , who retired from being a full - time puppeteer the following year .     Contents  ( hide )   1 Plot   2 Cast   2.1 Main characters   2.2 Humans of Sesame Street   2.3 Muppet performers     3 Soundtrack   3.1 Track listing     4 Reception   4.1 Box office   4.2 Home media     5 Book series   6 References   7 External links      Plot   Elmo is playing with his blanket in his house . After he bumps his blanket on a juice cup , he dries off his blanket at the laundromat . On the way home , Elmo sees Zoe feeling depressed because her father can not take her to the zoo , so he decides to make Zoe happy again by imitating zoo animals . When Zoe sees his blanket , Elmo refuses to share , resulting in a tug of war that rips Elmo 's blanket . Elmo is upset and declares that Zoe is no longer his friend . Suddenly , Telly Monster inadvertently takes away the blanket while rollerskating out of control . They go around Finders Keepers and knock over a tray of glasses that Ruthie is carrying . Telly hits Cookie Monster at the revolving door of Furry Arms hotel . The blanket accidentally lands in the hands of Oscar the Grouch , who drops it in his trash can after sneezing on it . Elmo drops into the bottom of Oscar 's trash can , where he finds the blanket snagged on a door . While attempting to retrieve it , they are both teleported to Grouchland USA , a world filled with Grouches where a manipulative and greedy man named Huxley ( Mandy Patinkin ) steals anything he can grab including Elmo 's blanket . Elmo is determined to find his blanket and begins a journey through Grouchland . A kind Grouch girl named Grizzy tells Elmo that his blanket is in Huxley 's castle at the top of the faraway Mount Pickanose , and Elmo begins a journey to get his blanket back .   Meanwhile , the Sesame Street residents are informed of Elmo 's absence and go to Grouchland to find him , with help from Oscar . When Big Bird and Zoe find a Grouch Police Officer and ask him for help , the entire group ends up arrested and put in jail as the police officer informs them that it is against the law to ask for help in Grouchland .   Meanwhile , Huxley 's sidekick Bug and the Pesties trap Elmo in a tunnel using a trap door . However , he gets out with the help of fireflies . Then , he meets the Queen of Trash ( Vanessa Williams ) in a garbage dump . At first she thinks that Elmo might be in league with Huxley . Elmo says he is not , but then realizes that he refused to share his blanket with Zoe and feels ashamed . The Queen gives him a test by asking him to blow 100 raspberries in 30 seconds . Elmo succeeds and continues his journey to Huxley 's castle . Elmo is later confronted by Huxley 's humongous chicken and gets tossed far away . Resting on a rock , he realizes that night has come , and becomes discouraged .   Grizzy visits the jail and tells Elmo 's friends that he went to Huxley 's castle . Oscar is convinced to help set things right as well as admitting that Elmo is his friend . He then convinces the Grouch Police Officer and all the Grouches of Grouchland that even though Grouches hate cooperation , the only way they can finally stop Huxley from stealing any more of their trash once and for all , is if they swallow their pride and work together just for once . The Grouch Police Officer releases the Sesame Street residents and the Grouches aid them to go to Huxley 's castle to fight for their trash and rescue Elmo .   A caterpillar wakes up Elmo the next morning on the rock . He gives Elmo advice to look inside himself and he 'll see that he has what it takes be brave . He then makes it to Huxley 's before he could make Elmo 's blanket `` his '' blanket . However , Huxley prevents Elmo from escaping by grabbing him with a claw and deciding to label them `` MINE '' . Just as Elmo is about to face the fate of never seeing his friends again , the Sesame Street and Grouchland citizens appear in time to rescue Elmo and the Pesties flee . Bug takes Elmo 's blanket from Huxley and turns against him as Elmo catapults a basket over his shoulders . Bug then gives Elmo his blanket back . Elmo is hailed a hero by the Sesame Street and Grouchland citizens and Huxley unanimously tries to change his mind about his selfishness but fails . Elmo is happy to get his blanket back , He goes with his friends back to Sesame Street and apologizes to Zoe for not sharing his blanket and hurting her feelings . He gives his blanket to her and she happily accepts for being kind by sharing with her . Elmo says goodbye to the audience when Ernie and Bert head home as the film ends , but Bert stays to look at the credits .   Cast   Main characters    Kevin Clash as Elmo , Pestie , Grouch Jailer , Grouch Taxicab Driver   Mandy Patinkin as Huxley   Vanessa Williams as the Queen of Trash   Caroll Spinney as Big Bird , Oscar the Grouch   Jerry Nelson as Count von Count , Grouch Mayor , Grouch Cop , Mr. Johnson , Pestie   Frank Oz as Cookie Monster , Bert , Grover   Steve Whitmire as Ernie , Football Stenchman   Dave Goelz as Humongous Chicken   Martin P. Robinson as Telly Monster , Pestie   Fran Brill as Zoe , Pestie   Joey Mazzarino as Bug   Stephanie D'Abruzzo as Grizzy , Pestie   David Rudman as Caterpillar , Pestie , Collander Stenchman    Humans of Sesame Street    Roscoe Orman as Gordon   Sonia Manzano as Maria   Alison Bartlett - O'Reilly as Gina   Ruth Buzzi as Ruthie   Emilio Delgado as Luis   Loretta Long as Susan   Bob McGrath as Bob    Muppet performers    Jim Martin , Pam Arciero , Peter Linz , Noel MacNeal , Alice Dinnean , Bryant Young , John Tartaglia , Rick Lyon , Alison Mork , Jim Kroupa as Various Grouches   Matt Vogel as Big Bird ( puppetry in some scenes where Big Bird and Oscar are together )   Carmen Osbahr as Rosita    Soundtrack     The Adventures of Elmo in Grouchland     Soundtrack album by Sesame Street     Released   1999     Genre   Soundtrack     Label   Sony     Sesame Street chronology        Elmo Saves Christmas ( 1998 ) Elmo Saves Christmas 1998   The Adventures of Elmo in Grouchland ( 1999 )   CinderElmo ( 2000 ) CinderElmo 2000        This album , released in 1999 , is the soundtrack to The Adventures of Elmo in Grouchland .   This album won the Grammy Award for Best Musical Album for Children in 2000 .   Track listing   1 . Welcome to Grouchland - The Grouchland Ensemble 2 . Together Forever - Elmo 3 . Take the First Step - Stuckweed 4 . I See a Kingdom - Vanessa Williams 5 . Precious Wings - Tatyana Ali 6 . Elmo Tells His Grouchland Story ( Spoken Word ) 7 . The Grouch Song - Elmo / Grizzy / Oscar the Grouch 8 . There 's a Big Heap of Trash at the End of the Rainbow - The Stenchman 9 . I Love Trash - Steven Tyler   Reception   The film has a rating of 77 % on Rotten Tomatoes , based on 43 reviews . The film 's consensus states , `` This fun and moral tale entertains both first - time Sesame Street watchers and seasoned veterans . '' On Metacritic , which uses an average of critics ' reviews , the film holds a 59 / 100 , indicating `` mixed or average reviews '' .   Box office   The Adventures of Elmo in Grouchland was the only family film playing in most theaters at the time of its release . Sony had planned a scaled - back release , making it difficult to make its money back . The film opened at # 8 , with a weekend gross of $3,255,033 from 1,210 theaters , averaging $2,690 per venue . In total , The Adventures of Elmo in Grouchland earned back less than half its $26 million budget , grossing $11,683,047 during its two - and - a-half - month theatrical run . It is currently the lowest - grossing Muppet film to date .   Home media   The movie was released on VHS and DVD on December 21 , 1999 .   Book series   The film inspired a trilogy of children 's books , published in 1999 : Happy Grouchy Day , The Grouchiest Lovey and Unwelcome to Grouchland . The book series was written by Suzanne Weyn and illustrated by Tom Brannon .   References    ^ Jump up to : `` Detail view of Movies Page '' . afi.com . Retrieved 11 May 2015 .   ^ Jump up to : The Adventures of Elmo in Grouchland at Box Office Mojo   Jump up ^ The Adventures of Elmo in Grouchland at Rotten Tomatoes   Jump up ^ The Adventures of Elmo in Grouchland at Metacritic    External links    Official website   The Adventures of Elmo in Grouchland on IMDb   The Adventures of Elmo in Grouchland at the TCM Movie Database   The Adventures of Elmo in Grouchland at AllMovie   The Adventures of Elmo in Grouchland at Box Office Mojo   The Adventures of Elmo in Grouchland at Rotten Tomatoes   The Adventures of Elmo in Grouchland at Metacritic      ( hide )         Sesame Street     General     Fictional location   Sesame Workshop   productions     Characters   Muppets   human   animated     Educational goals   Format   Influence   Licensing   Recurring segments   Accolades       People     Joan Ganz Cooney   Lloyd Morrisett   Gerald S. Lesser   Jon Stone   Jim Henson   Joe Raposo   Kevin Clash   Kermit Love   Joey Mazzarino   Carol - Lynn Parente   List of crew   List of guest stars   List of puppeteers       Production     History   Research   International co-productions   characters     Elmo 's World   `` Snuffy 's Parents Get a Divorce ''   Music   discography   songs   theme song         Films     Sesame Street Presents Follow That Bird ( 1985 )   The Adventures of Elmo in Grouchland ( 1999 )       Television specials     Julie on Sesame Street ( 1973 )   Out to Lunch ( 1974 )   Christmas Eve on Sesame Street ( 1978 )   A Special Sesame Street Christmas ( 1978 )   Big Bird in China ( 1983 )   Do n't Eat the Pictures ( 1983 )   Sesame Street ... 20 Years &amp; Still Counting ( 1989 )   Big Bird in Japan ( 1989 )   Sesame Street Jam : A Musical Celebration ( 1993 - 1994 )   Sesame Street Stays Up Late ! ( 1993 )   Elmo Saves Christmas ( 1996 )   Elmopalooza ( 1998 )   The Best of Kermit on Sesame Street ( 1998 )   CinderElmo ( 1999 )   Elmo 's Christmas Countdown ( 2007 )   Abby in Wonderland ( 2008 )   The Cookie Thief ( 2015 )   Once Upon a Sesame Street Christmas ( 2016 )       U.S. spin - offs     Play with Me Sesame   Sesame Beginnings   Bert and Ernie 's Great Adventures       International Sesame Street spin - offs     Open Sesame ( worldwide )   1 , rue Sésame ( France )   5 , Rue Sésame ( France )   Alam Simsim ( Egypt )   Baghch - e-Simsim ( Afghanistan )   Barrio Sésamo ( Spain )   Batibot ( Philippines )   The Furchester Hotel ( UK )   Galli Galli Sim Sim ( India )   Hikayat Simsim ( Jordan )   Iftah Ya Simsim ( Kuwait / Arab world )   Jalan Sesama ( Indonesia )   Kilimani Sesame ( Tanzania )   Plaza Sésamo ( Mexico / Latin America )   Rechov Sumsum ( Israel )   Sabai Sabai Sesame ( Cambodia )   Sesam Stasjon ( Norway )   Sesame Park ( Canada )   Sesame Square ( Nigeria )   Sesame Tree ( UK )   Sesamstraat ( Netherlands )   Sesamstraße ( Germany )   Shalom Sesame ( Israel )   Shara'a Simsim ( Palestine )   Sim Sim Hamara ( Pakistan )   Sisimpur ( Bangladesh )   Susam Sokağı ( Turkey )   Svenska Sesam ( Sweden )   Takalani Sesame ( South Africa )   Ulica Sezamkowa ( Poland )   Ulitsa Sezam ( Russia )   Vila Sésamo ( Brazil )   Zhima Jie ( China )   Sesamisutorīto ( Japan )   Szezám utca ( Hungary )       Books     The Monster at the End of This Book ( 1971 )   Sesame Street Together Book ( 1971 )   Monster Bubbles : A Counting Book ( 1976 )   The Sesame Street Bedtime Storybook ( 1978 )   Ernie 's Work of Art ( 1979 )   The House of Seven Colors ( 1985 )   Happy Birthday , Cookie Monster ( 1986 )       Literature     Children and Television : Lessons from Sesame Street   Street Gang : The Complete History of Sesame Street   The Sesame Street Dictionary   Sesame Street Magazine       Video games     Alpha Beam with Ernie   The Adventures of Elmo in Grouchland   Elmo 's A-to - Zoo Adventure   Cookie 's Counting Carnival   Ready , Set , Grover !   Once Upon a Monster   Elmo 's Musical Monsterpiece   Kinect Sesame Street TV       Attractions     Air Grover   Grover 's Alpine Express   Sesame Place   Spaghetti Space Chase       Related     Sesame Street in the UK   Sesame Street Live   Comic strip   Syndication packages   The Muppets   Being Elmo : A Puppeteer 's Journey   I Am Big Bird : The Caroll Spinney Story   The World According to Sesame Street   Big Bag   Oobi   Panwapa   Teletape Studios   Kaufman Astoria Studios   The Joan Ganz Cooney Center      Retrieved from `` https://en.wikipedia.org/w/index.php?title=The_Adventures_of_Elmo_in_Grouchland&amp;oldid=808673723 '' Categories :   1999 films   English - language films   Sesame Street features   1990s adventure films   1990s comedy films   1990s fantasy films   1990s musical films   American films   American adventure comedy films   American children 's adventure films   American children 's comedy films   American children 's fantasy films   American musical comedy films   Directorial debut films   Fantasy adventure films   Films shot in North Carolina   Musical fantasy films   Columbia Pictures films   The Jim Henson Company films   Films featuring puppetry   German films   Film scores by John Debney   Sesame Street   Hidden categories :   Wikipedia semi-protected pages   Articles with hAudio microformats   Album infoboxes lacking a cover   Music infoboxes with deprecated parameters   All articles with unsourced statements   Articles with unsourced statements from March 2017           Talk                           View source                 Contents                   About Wikipedia                                           Wikiquote       Cebuano   فارسی   Fiji Hindi   Français   Italiano   Magyar   Bahasa Melayu   </t>
    </r>
    <r>
      <rPr>
        <sz val="11"/>
        <color rgb="FF000000"/>
        <rFont val="Noto Sans CJK SC"/>
        <family val="2"/>
      </rPr>
      <t xml:space="preserve">日本 語   </t>
    </r>
    <r>
      <rPr>
        <sz val="11"/>
        <color rgb="FF000000"/>
        <rFont val="Calibri"/>
        <family val="0"/>
        <charset val="1"/>
      </rPr>
      <t xml:space="preserve">Polski   Simple English   Edit links   This page was last edited on 4 November 2017 , at 11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</si>
  <si>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the bad guy in elmo in grouchland</t>
  </si>
  <si>
    <t xml:space="preserve"> Mandy Patinkin as Huxley </t>
  </si>
  <si>
    <r>
      <rPr>
        <sz val="11"/>
        <color rgb="FF000000"/>
        <rFont val="Calibri"/>
        <family val="0"/>
        <charset val="1"/>
      </rPr>
      <t xml:space="preserve">Epiphyseal plate - wikipedia  Epiphyseal plate     Epiphyseal plate     Radiogram of distal tibia ( left ) and fibula ( right ) showing two epiphyseal plates .     Light micrograph of epiphyseal plate showing the hypertrophic zone with its typical chondrocytes , matrix and three zones : maturation ( top ) , degenerative ( middle ) and provisional calcification ( bottom ) .     Details     Identifiers     Latin   lamina epiphysialis     MeSH   D006132     TA   A02. 0.00. 020     FMA   75427     Anatomical terminology ( edit on Wikidata )    This article uses anatomical terminology ; for an overview , see Anatomical terminology .  The epiphyseal plate ( or epiphysial plate , physis , or growth plate ) is a hyaline cartilage plate in the metaphysis at each end of a long bone . It is the part of a long bone where new bone growth takes place ; that is , the whole bone is alive , with maintenance remodeling throughout its existing bone tissue , but the growth plate is the place where the long bone grows longer ( adds length ) .   The plate is not only found in children and adolescents ; in adults , who have stopped growing , the plate is replaced by an epiphyseal line . This replacement is known as epiphyseal closure or growth plate fusion . Complete fusion happens between ages 12 -- 16 for girls and 14 - 19 for boys .   Contents    1 Structure   1.1 Development   1.2 Histology     2 Clinical significance   3 Other animals   4 See also   5 References   6 External links    Structure ( edit )   Development ( edit )   Endochondral ossification is responsible for the initial bone development from cartilage in utero and infants and the longitudinal growth of long bones in the epiphyseal plate . The plate 's chondrocytes are under constant division by mitosis . These daughter cells stack facing the epiphysis while the older cells are pushed towards the diaphysis . As the older chondrocytes degenerate , osteoblasts ossify the remains to form new bone . In puberty increasing levels of estrogen , in both females and males , leads to increased apoptosis of chondrocytes in the epiphyseal plate . Depletion of chondrocytes due to apoptosis leads to less ossification and growth slows down and later stops when the entire cartilage have become replaced by bone , leaving only a thin epiphyseal scar which later disappears .   Histology ( edit )   The growth plate has a very specific morphology in having a zonal arrangement as follows :     Epiphyseal plate zone ( from epiphysis to diaphysis )   Description     Zone of reserve   Quiescent chondrocytes are found at the epiphyseal end     Zone of proliferation   Chondrocytes undergo rapid mitosis under influence of growth hormone     Zone of maturation and hypertrophy   Chondrocytes stop mitosis , and begin to hypertrophy by accumulating glycogen , lipids , and alkaline phosphatase     Zone of calcification   Chondrocytes undergo apoptosis . Cartilagenous matrix begins to calcify .     Zone of ossification   Osteoclasts and osteoblasts from the diaphyseal side break down the calcified cartilage and replace with mineralized bone tissue .     A mnemonic for remembering the names of the epiphyseal plate growth zones is `` Real People Have Career Options , '' standing for : Resting zone , Proliferative zone , Hypertrophic cartilage zone , Calcified cartilage zone , Ossification zone . The growth plate is clinically relevant in that it is often the primary site for infection , metastasis , fractures and the effects of endocrine bone disorders .  Masson Goldner trichrome stain of rabbit epiphysial plate .  Clinical significance ( edit )   Defects in the development and continued division of epiphyseal plates can lead to growth disorders . The most common defect is achondroplasia , where there is a defect in cartilage formation . Achondroplasia is the most common cause of dwarfism .   Salter -- Harris fractures are fractures involving epiphyseal plates and hence tend to interfere with growth , height or physiologic functions .   Osgood - Schlatter disease results from stress on the epiphyseal plate in the tibia , leading to excess bone growth and a painful lump at the knee .   Other animals ( edit )   John Hunter studied growing chickens . He observed bones grew at the ends and thus demonstrated the existence of the epiphyseal plates . Hunter is considered the `` father of the growth plate '' .   See also ( edit )    Human development ( biology )   Salter -- Harris fracture    References ( edit )    Jump up ^ Crowder , C ; Austin , D ( September 2005 ) . `` Age ranges of epiphyseal fusion in the distal tibia and fibula of contemporary males and females '' . Journal of Forensic Sciences . 50 ( 5 ) : 1001 -- 7 . PMID 16225203 . complete fusion in females occurs as early as 12 years in the distal tibia and fibula . All females demonstrated complete fusion by 16 years with no significant differences between ancestral groups . Complete fusion in males occurs as early as 14 years in both epiphyses . All males demonstrated complete fusion by 19 years   Jump up ^ Zhong , M ; Carney , DH ; Boyan , BD ; Schwartz , Z ( January 2011 ) . `` 17β - Estradiol regulates rat growth plate chondrocyte apoptosis through a mitochondrial pathway not involving nitric oxide or MAPKs '' . Endocrinology. 152 ( 1 ) : 82 -- 92 . doi : 10.1210 / en. 2010 - 0509 . PMID 21068162 .   Jump up ^ `` Skeletal System / Bone Development and Growth '' . Archived from the original on 2008 - 07 - 09 . Retrieved 2008 - 07 - 10 .   Jump up ^ Ovalle , William K. ; Nahirney , Patrick C. ( 2007 ) . Netter 's essential histology : with Student consult online access ( 1st ed . ) . Philadelphia , Pa. : Elsevier Saunders . ISBN 9781929007868 .   Jump up ^ `` Medical Mnemonics '' . Archived from the original on 2012 - 04 - 20 .   Jump up ^ Mirghasemi , Alireza ; Mohamadi , Amin ; Ara , Ali Majles ; Gabaran , Narges Rahimi ; Sadat , Mir Mostafa ( November 2009 ) . `` Completely displaced S - 1 / S - 2 growth plate fracture in an adolescent : case report and review of literature '' . Journal of Orthopaedic Trauma . 23 ( 10 ) : 734 -- 738 . doi : 10.1097 / BOT. 0b013e3181a23d8b . ISSN 1531 - 2291 . PMID 19858983 .   Jump up ^ `` Growth Plate ( Physeal ) Fractures '' . EMedicine.com . Retrieved 2008 - 01 - 15 .    External links ( edit )    Normal bones at GetTheDiagnosis.org , showing the development of epiphyseal plates for different ages and bones .        Wikimedia Commons has media related to Epiphyseal plate .               Bone and cartilage     Cartilage     perichondrium   fibrocartilage callus   metaphysis   Cells   chondroblast   chondrocyte     Types   hyaline   elastic   fibrous         Bone      Ossification     Primary bone   intramembranous   endochondral       Cells     osteoblast   osteoid   osteocyte   osteoclast       Types     cancellous   cortical       Regions     subchondral bone   epiphysis   epiphyseal plate / metaphysis   diaphysis   Condyle   Epicondyle       Structure     Osteon   Haversian canals   Volkmann 's canals   connective tissue   endosteum   periosteum     Sharpey 's fibres   enthesis   lacunae   canaliculi   trabeculae   medullary cavity   bone marrow       Shapes     long   short   flat   irregular   sesamoid         Retrieved from `` https://en.wikipedia.org/w/index.php?title=Epiphyseal_plate&amp;oldid=864768574 '' Categories :   Skeletal system   Medical mnemonics   Hidden categories :   All articles with unsourced statements   Articles with unsourced statements from July 2008           Talk                                           Contents                   About Wikipedia                                                   Català   Čeština   Cymraeg   Deutsch   Español   فارسی   Italiano   עברית   Bahasa Melayu   Nederlands   </t>
    </r>
    <r>
      <rPr>
        <sz val="11"/>
        <color rgb="FF000000"/>
        <rFont val="Noto Sans CJK SC"/>
        <family val="2"/>
      </rPr>
      <t xml:space="preserve">日本 語   </t>
    </r>
    <r>
      <rPr>
        <sz val="11"/>
        <color rgb="FF000000"/>
        <rFont val="Calibri"/>
        <family val="0"/>
        <charset val="1"/>
      </rPr>
      <t xml:space="preserve">Polski   Português   Русский   کوردی   </t>
    </r>
    <r>
      <rPr>
        <sz val="11"/>
        <color rgb="FF000000"/>
        <rFont val="Noto Sans CJK SC"/>
        <family val="2"/>
      </rPr>
      <t xml:space="preserve">中文  </t>
    </r>
    <r>
      <rPr>
        <sz val="11"/>
        <color rgb="FF000000"/>
        <rFont val="Calibri"/>
        <family val="0"/>
        <charset val="1"/>
      </rPr>
      <t xml:space="preserve">8 more  Edit links   This page was last edited on 19 October 2018 , at 10 : 17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</si>
  <si>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longitudinal growth occurring in long bones</t>
  </si>
  <si>
    <t xml:space="preserve"> Endochondral ossification is responsible for the initial bone development from cartilage in utero and infants and the longitudinal growth of long bones in the epiphyseal plate . The plate 's chondrocytes are under constant division by mitosis . These daughter cells stack facing the epiphysis while the older cells are pushed towards the diaphysis . As the older chondrocytes degenerate , osteoblasts ossify the remains to form new bone . In puberty increasing levels of estrogen , in both females and males , leads to increased apoptosis of chondrocytes in the epiphyseal plate . Depletion of chondrocytes due to apoptosis leads to less ossification and growth slows down and later stops when the entire cartilage have become replaced by bone , leaving only a thin epiphyseal scar which later disappears . </t>
  </si>
  <si>
    <t xml:space="preserve">A Christmas Carol ( 1938 film ) - wikipedia  A Christmas Carol ( 1938 film )  Jump to : navigation , search    A Christmas Carol     Theatrical release poster     Directed by   Edwin L. Marin     Produced by   Joseph L. Mankiewicz     Screenplay by   Hugo Butler     Based on   A Christmas Carol by Charles Dickens     Starring     Reginald Owen   Gene Lockhart   Kathleen Lockhart   Terry Kilburn   Barry MacKay       Music by   Franz Waxman     Cinematography     Sidney Wagner   John F. Seitz       Edited by   George Boemler     Distributed by   Metro - Goldwyn - Mayer     Release date     December 16 , 1938 ( 1938 - 12 - 16 )               Running time   69 minutes     Country   United States     Language   English     A Christmas Carol is a 1938 American film adaptation of Charles Dickens 's 1843 novella of the same name , starring Reginald Owen as Ebenezer Scrooge , an elderly miser who learns the error of his ways on Christmas Eve after visitations by three spirits .     Contents  ( hide )   1 Plot   2 Cast   3 Production   4 Theatrical release   5 Television broadcast   6 Home media releases   7 See also   8 References   9 External links      Plot ( edit )   On Christmas Eve in 19th - century London , Fred is sliding on ice on a sidewalk . He meets Peter and Tim Cratchit , sons of his uncle Ebenezer 's clerk , Bob Cratchit . When Fred reveals who he is , the boys take off in terror . Fred soon arrives at the counting - house of his miserly maternal uncle , Ebenezer Scrooge . After declining an invitation from his nephew to dine with him on Christmas , Scrooge dismisses two gentlemen 's collecting money for charity . That night , Scrooge reluctantly allows his employee Bob Cratchit to have Christmas off with pay but orders him back all the earlier the day after . Later on , Bob accidentally knocks off Scrooge 's hat with a snowball . Scrooge removes Bob from his position , withholding a week 's pay to compensate for his ruined hat as well as demanding a shilling to make up the difference . Bob spends the last of his wages on food for his family 's Christmas dinner . In his house , Scrooge is confronted by the ghost of his deceased business partner , Jacob Marley , who warns Scrooge to repent his wicked ways or he will be condemned in the afterlife as Marley was . He tells Scrooge he will be haunted by three time - traveling spirits .   At one o'clock , Scrooge is visited by the youthful Ghost of Christmas Past , who takes him back in time to his early life . Scrooge is shown his unhappiness when he was left to spend the holidays alone at school , and his joy when his sister , Fran , came to take him home for Christmas . The spirit reminds Scrooge that Fran , dead for some years , is the mother of his nephew . Scrooge begins a successful career in business and money lending as an employee under Fezziwig .   At two o'clock , Scrooge meets the merry Ghost of Christmas Present , who shows Scrooge how others keep Christmas . At a church service , Fred and his fiancée , Bess , are seen as happy and in love . The couple must wait to marry because of Fred 's financial circumstances , and the spirit observes that perhaps they will not marry at all and their love may end , just how Scrooge lost his unnamed fiancée in his youth . Scrooge is then shown the Cratchit home . Despite wearing a cheery manner for his family 's sake , Bob is deeply troubled by the loss of his job , though he confides in no one except his daughter Martha . The spirit hints that Bob 's youngest son , Timothy `` Tiny Tim '' , will die of his unknown illness by the same time next year if things do not change .   At three o'clock , the Ghost of Christmas Yet to Come arrives , appearing as a silent , cloaked figure . The spirit shows Scrooge what will happen if he does not change . Scrooge discovers Tiny Tim is dead and his family mourns for him . Scrooge also discovers that his own death will not be mourned . Scrooge promises to repent and returns home .   Awakening in his own bed on Christmas Day , Scrooge is now a changed man . He orders a boy in the street below his window to buy a turkey for him , meaning to take it to the Cratchits . Running into the two men who petitioned him for charity the evening before , Scrooge gives a large donation . He visits Fred and makes him his new partner , then goes to the Cratchit house where he rehires Bob and increases his wages .   Cast ( edit )    Reginald Owen as Ebenezer Scrooge   Gene Lockhart as Bob Cratchit   Kathleen Lockhart as Mrs. Cratchit   Terry Kilburn as Tiny Tim Cratchit   Barry MacKay as Fred ( Scrooge 's nephew )   Lynne Carver as Bess ( Fred 's fiancée )   Bunny Beatty as Martha Cratchit ( uncredited )   June Lockhart as Belinda Cratchit ( uncredited )   John O'Day as Peter Cratchit ( uncredited )   Leo G. Carroll as Marley 's Ghost   Ann Rutherford as Spirit of Christmas Past   Lionel Braham as Spirit of Christmas Present   D'Arcy Corrigan as Spirit of Christmas Future   Ronald Sinclair as Young Scrooge   Elvira Stevens as Fran Scrooge ( uncredited )   Forrester Harvey as Old Fezzwig ( uncredited )   Olaf Hytten as Schoolmaster ( uncredited )   I. Stanford Jolley as Man walking on Sidewalk ( extra ) ( uncredited )   Charles Coleman as Solicitor   Matthew Boulton as Solicitor   Cliff Severn as Boy Buying Turkey    Production ( edit )       This section needs additional citations for verification . Please help improve this article by adding citations to reliable sources . Unsourced material may be challenged and removed . ( December 2015 ) ( Learn how and when to remove this template message )     Made by Metro - Goldwyn - Mayer , and originally intended to star Lionel Barrymore ( who played the role of Scrooge annually on radio but was forced to drop out of the film because of his arthritis , though he narrated its trailer ) , the movie starred Reginald Owen as Scrooge and the married couple Gene and Kathleen Lockhart as the Cratchits . Terry Kilburn , better known for his portrayal of Colley in Goodbye , Mr. Chips , costarred as Tiny Tim and a young June Lockhart ( Gene and Kathleen 's daughter ) made her screen debut as one of the Cratchit daughters . Leo G. Carroll played Marley 's Ghost . The characters of Fred ( Scrooge 's nephew ) and Elizabeth , his fianceé ( his wife in the novelette ) , were greatly expanded in order to work in a romantic angle to the story that Dickens did not intend . The couple was played by Barry MacKay and Lynne Carver . Ann Rutherford , better known as Polly Benedict in the Andy Hardy films and as Carreen O'Hara in Gone with the Wind , was a young and attractive Ghost of Christmas Past , rather than the somewhat unusual creation that Dickens described .   The music for the film was composed by Franz Waxman , in contrast to most MGM films of the period , whose scores were composed by Herbert Stothart .   Some of the grimmer aspects of the story went completely unmentioned or unseen , in order to make this a `` family film '' in the style of other MGM literary adaptations , and also to accommodate a 69 - minute run time . Although Marley 's Ghost did appear , the phantoms wailing outside Scrooge 's window were not shown . Scrooge 's fiancée , who eventually leaves him because of his miserly ways , was completely dropped from the film , as were the two starving children `` Want '' and `` Ignorance '' , who hid within the folds of the Ghost of Christmas Present 's robe . Also gone were the thieves who ransack Scrooge 's belongings after he `` dies '' in the Ghost of Christmas Yet to Come segment . While Gene Lockhart 's performance as Bob Cratchit is admired , he is often criticized for looking too `` well - fed '' for the role . In this production , unlike Dickens ' original story , Scrooge actually fires Cratchit rather than just threatening to do so .   One of the changes made in this film that differs from the novel is the arrival of the ghosts . While the first still arrives at 1 : 00 a.m. , the second appears at 2 : 00 and the third appears at 3 : 00 . In the original novel , the second appears the next night at 1 : 00 and the last appears the third night when the last stroke of 12 : 00 has ceased to vibrate . This change was also used in other versions such as Scrooge ( 1970 ) , Mickey 's Christmas Carol ( 1983 ) , and A Christmas Carol ( 1984 ) .   Theatrical release ( edit )   Originally intended as a 1939 release , A Christmas Carol was rushed into production in October 1938 and was finished in a matter of weeks . It opened in December 1938 at New York City 's Radio City Music Hall where it did moderately well . One of many adaptations of the work , it was frequently revived in theaters by MGM .   Television broadcast ( edit )   The film was shown on local television stations in the United States throughout the 1960s and 1970s , and was a staple of Chicago 's WGN television 's Family Classics . It ran in syndication throughout the United States from the 1960s to the 1990s on various local networks until the advent of Cable Television . Since the late 1990s , it has been almost exclusively broadcast on the Turner Classic Movies cable network , airing several times during December .   Home media releases ( edit )   In 1988 , MGM / UA Home Video and Turner Entertainment released A Christmas Carol on VHS celebrating its 50th anniversary , for the first time in a colorized version . In an interview with The Hollywood Reporter in 1988 promoting the film 's release on home video , actress June Lockhart admitted that , despite being an MGM production , it was `` a ' B ' picture '' . The colorized version was released once again on VHS by Warner Home Video in 2000 . On November 8 , 2005 , the black and white version was released on DVD in a `` Classic Holiday Collection '' box set including Boys Town and Christmas in Connecticut , two other MGM titles with a holiday / family theme ; it was also released as an individual title . Since its first DVD release , it has seen multiple releases in various Christmas movie collection box sets . A Blu - ray version was released in November 2014 .   See also ( edit )    List of ghost films   List of A Christmas Carol adaptations    References ( edit )    Jump up ^ `` A Christmas Carol ( 1938 ) -- Original Print Information '' . Turner Classic Movies .   Jump up ^ Guida , Fred ( 1999 ) . A Christmas Carol and Its Adaptations : A Critical Examination of Dickens 's Story and Its Productions on Screen and Television . McFarland . pp. 95 -- 98 . ISBN 978 - 0 - 7864 - 2840 - 3 .   Jump up ^ Maltin , Leonard ( 2015 ) . Turner Classic Movies Presents Leonard Maltin 's Classic Movie Guide : From the Silent Era Through 1965 ( 3rd ed . ) . Penguin Publishing Group . p. 106 . ISBN 978 - 0 - 698 - 19729 - 9 .    External links ( edit )       Wikiquote has quotations related to : A Christmas Carol ( 1938 film )      A Christmas Carol at the American Film Institute Catalog   A Christmas Carol at AllMovie   A Christmas Carol on IMDb   A Christmas Carol at the TCM Movie Database   A Christmas Carol : With Original Illustrations in Full Color Print Edition              Charles Dickens 's A Christmas Carol     Characters     Ebenezer Scrooge   Bob Cratchit   Mr. Fezziwig   Ghost of Christmas Past   Ghost of Christmas Present   Ghost of Christmas Yet to Come   Jacob Marley   Tiny Tim       Films     Scrooge , or , Marley 's Ghost   A Christmas Carol ( 1908 )   A Christmas Carol ( 1910 )   Scrooge ( 1913 )   Scrooge ( 1935 )   A Christmas Carol ( 1938 )   Scrooge ( 1951 )   It 's Never Too Late   A Christmas Carol ( 1960 )   Scrooge ( 1970 )   A Christmas Carol ( 1971 )   An American Christmas Carol   Mickey 's Christmas Carol   Scrooged   The Muppet Christmas Carol   A Christmas Carol ( 1997 )   A Diva 's Christmas Carol   Christmas Carol : The Movie   A Carol Christmas   Springtime with Roo   Chasing Christmas   A Christmas Carol ( 2006 )   A Dennis the Menace Christmas   An American Carol   Ghosts of Girlfriends Past   A Christmas Carol ( 2009 )   The Smurfs : A Christmas Carol ( 2011 )       Television     `` The Christmas Carol '' ( 1949 )   A Christmas Carol ( 1954 )   Mister Magoo 's Christmas Carol   A Carol for Another Christmas   Rich Little 's Christmas Carol   A Special Sesame Street Christmas   The Stingiest Man in Town   Bugs Bunny 's Christmas Carol   A Christmas Carol ( 1982 )   A Christmas Carol ( 1984 )   Blackadder 's Christmas Carol   A Flintstones Christmas Carol   Ebbie   Ebenezer   An All Dogs Christmas Carol   A Christmas Carol ( 1999 )   A Christmas Carol ( 2000 )   An Easter Carol   A Christmas Carol ( 2004 )   Karroll 's Christmas   Bah , Humduck ! A Looney Tunes Christmas   Nan 's Christmas Carol   `` A Christmas Carol '' ( Doctor Who )   It 's Christmas , Carol !   Kelly Clarkson 's Cautionary Christmas Music Tale       Musicals     Scrooge ( 1992 )   A Christmas Carol ( 1994 )   Mrs. Bob Cratchit 's Wild Christmas Binge ( 2002 )       Plays     A Christmas Carol ( 1988 )   Fellow Passengers ( 2004 )   A Klingon Christmas Carol ( 2007 )       Soundtracks     A Christmas Carol ( 2009 )   Doctor Who : A Christmas Carol ( 2011 )       Other     Adaptations of A Christmas Carol   Batman : Noël ( comic )   `` Green Christmas '' ( single )   The Misadventures of the Wholesome Twins                 Films directed by Edwin L. Marin       The Death Kiss ( 1932 )   A Study in Scarlet ( 1933 )   Bombay Mail ( 1934 )   The Crosby Case ( 1934 )   Affairs of a Gentleman ( 1934 )   Paris Interlude ( 1934 )   The Casino Murder Case ( 1935 )   Pursuit ( 1935 )   Moonlight Murder ( 1936 )   Speed ( 1936 )   I 'd Give My Life ( 1936 )   Sworn Enemy ( 1936 )   All American Chump ( 1936 )   Man of the People ( 1937 )   Everybody Sing ( 1938 )   Listen , Darling ( 1938 )   A Christmas Carol ( 1938 )   Fast and Loose ( 1939 )   Society Lawyer ( 1939 )   Maisie ( 1939 )   Henry Goes Arizona ( 1939 )   Florian ( 1940 )   Gold Rush Maisie ( 1940 )   Hullabaloo ( 1940 )   Maisie Was a Lady ( 1941 )   Ringside Maisie ( 1941 )   Paris Calling ( 1941 )   A Gentleman After Dark ( 1942 )   Miss Annie Rooney ( 1942 )   Invisible Agent ( 1942 )   Two Tickets to London ( 1943 )   Show Business ( 1944 )   Tall in the Saddle ( 1944 )   Johnny Angel ( 1945 )   Abilene Town ( 1946 )   Young Widow ( 1946 )   Mr. Ace ( 1946 )   Lady Luck ( 1946 )   Nocturne ( 1946 )   Christmas Eve ( 1947 )   Intrigue ( 1947 )   Race Street ( 1948 )   The Younger Brothers ( 1949 )   Canadian Pacific ( 1949 )   Fighting Man of the Plains ( 1949 )   Colt . 45 ( 1950 )   The Cariboo Trail ( 1950 )   Sugarfoot ( 1951 )   Raton Pass ( 1951 )   Fort Worth ( 1951 )      Retrieved from `` https://en.wikipedia.org/w/index.php?title=A_Christmas_Carol_(1938_film)&amp;oldid=816936702 '' Categories :   1938 films   English - language films   1930s drama films   American Christmas films   American films   American black - and - white films   Films scored by Franz Waxman   Films based on A Christmas Carol   Films directed by Edwin L. Marin   Metro - Goldwyn - Mayer films   Films produced by Joseph L. Mankiewicz   Hidden categories :   Pages using div col without cols and colwidth parameters   Articles needing additional references from December 2015   All articles needing additional references           Talk                                           Contents                   About Wikipedia                                           Wikiquote       Deutsch   فارسی   Nederlands   Polski   Română   Svenska   Edit links   This page was last edited on 24 December 2017 , at 20 : 49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</si>
  <si>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did june lockhart play in a christmas carol</t>
  </si>
  <si>
    <t xml:space="preserve"> June Lockhart as Belinda Cratchit ( uncredited ) </t>
  </si>
  <si>
    <r>
      <rPr>
        <sz val="11"/>
        <color rgb="FF000000"/>
        <rFont val="Calibri"/>
        <family val="0"/>
        <charset val="1"/>
      </rPr>
      <t xml:space="preserve">The Predator ( film ) - wikipedia  The Predator ( film )  Jump to : navigation , search `` Predator 4 '' redirects here . For the fourth feature film to feature the Predator characters , see Aliens vs. Predator : Requiem . This article is about the 2018 film . For the 1987 film , see Predator ( film ) . For the 2010 film , see Predators ( film ) . For the franchise , see Predator ( franchise ) . For the character , see Predator ( alien ) .    The Predator     Teaser poster     Directed by   Shane Black     Produced by     John Davis   Lawrence Gordon   Joel Silver       Written by     Shane Black   Fred Dekker       Based on   Characters by Jim Thomas John Thomas     Starring     Boyd Holbrook   Olivia Munn   Trevante Rhodes   Keegan - Michael Key   Sterling K. Brown   Jacob Tremblay   Yvonne Strahovski   Alfie Allen   Thomas Jane       Music by   Henry Jackman     Cinematography   Larry Fong     Edited by   Harry B. Miller III     Production company     Davis Entertainment   Lawrence Gordon Productions   Silver Pictures   TSG Entertainment       Distributed by   20th Century Fox     Release date     September 14 , 2018 ( 2018 - 09 - 14 ) ( United States )               Country   United States     Language   English     The Predator ( also known as Predator 4 ) is an upcoming American sci - fi action horror film directed by Shane Black and written by Black and Fred Dekker . It is the fourth installment in the Predator film series , set to take place between Predator 2 ( 1990 ) and Predators ( 2010 ) . Black had a supporting role in the original 1987 Predator film , while Joel Silver , John Davis , and Lawrence Gordon all return as producers from the first two installments .   The film stars Boyd Holbrook , Olivia Munn , Trevante Rhodes , Keegan - Michael Key , Sterling K. Brown , Jacob Tremblay , Yvonne Strahovski , Alfie Allen , and Thomas Jane . It completed filming in June 2017 , and is set to be released on September 14 , 2018 , by 20th Century Fox in IMAX , 3D , as well as standard formats .     Contents  ( hide )   1 Plot   2 Cast   3 Production   3.1 Pre-production   3.2 Casting   3.3 Filming   3.4 Music     4 Release   5 See also   6 References   7 External links      Plot ( edit )   The story will be focusing on military veterans encountering a Predator ship in a suburban neighborhood . After denial from government personnel they band together to deal with the intergalactic hunter . Assisting them will be scientists and a young autistic boy who is a language savant .   Cast ( edit )    Boyd Holbrook as Quinn McKenna , Emma 's ex-husband and the father of Rory and a former Marine and Special Forces commando who discovers the existence of the fierce Predators but finds that no one believes they exist . James Franco was originally offered the role but passed on it before Benicio del Toro was cast , who later had to back out due to scheduling conflicts .   Olivia Munn as Casey Bracket , a scientist opposite Quinn .   Trevante Rhodes as Nebraska Williams , a former Marine who enlists in a special Predator - hunting operation headed up by Quinn , his best friend .   Keegan - Michael Key as a man who teams up with Quinn and Williams to fight the Predators .   Sterling K. Brown as a government agent who jails Quinn but later needs his help with fighting the Predators .   Jacob Tremblay as Rory McKenna , Emma and Quinn 's troubled son , who has a form of autism and is bullied in school but becomes a key player in the fight against the Predators due to his preternatural ability to learn languages .   Yvonne Strahovski as Emma McKenna , Quinn 's ex-wife and the mother to Rory .   Alfie Allen as a former Marine who teams with several other outsiders , including Quinn , to stop the human - hunting Predators in suburbia .   Thomas Jane as a military veteran from the Afghanistan and Iraq wars who is suffering from post-traumatic stress disorder .   Augusto Aguilera   Jake Busey as the son of Peter Keyes .   Edward James Olmos as a military general .   Niall Matter as Sapir    Production ( edit )   Pre-production ( edit )   In June 2014 , Fox announced a sequel which Shane Black , who also starred as supporting character Rick Hawkins in Predator , will direct and co-write with Fred Dekker , and John Davis will produce . Davis has said of the film that he thinks it is fresh and reimagines the franchise in a `` different , interesting way '' . In February 2016 , Black confirmed the title of the new sequel would be The Predator . Shane Black has referred to the project as an event film which aims to elevate the Predator series : `` It 's an attempt to ' event - ise ' the Predator again ... ( An attempt to ) make it more mysterious . '' Black also expressed that the film would mark a return to the `` intimate '' scale of the original film and that the film - makers hoped to achieve `` the same sense of wonderment and newness that Close Encounters had when that came out . ''   Shane Black has confirmed that the film is set in the present day and the titular character will have an upgraded set of armor . Black has also indicated that the film would be a sequel set in present - day 2018 , following the events of Predator and Predator 2 , but set prior to the events of the 2010 film Predators . He also mentioned that he looked for plot details set up in the previous Predator movies that he could retrospectively link back to with the new film . To that end , Jake Busey was cast as the son of Peter Keyes , a character who was portrayed by Busey 's father Gary Busey in Predator 2 . In February 2016 , the studio revealed a teaser image of the film , confirming the title The Predator .   Martin Whist served as the film 's production designer , while effects house Amalgamated Dynamics provided the creature effects for The Predator , having done so previously for the first two Alien vs. Predator films .   In an interview with Variety on September , Stacey Snider , the current chief - executive - officer of 20th Century Fox , talked a little about The Predator and her thoughts on Shane Black and Fred Dekker 's script :   We 've got a `` Predator '' film coming out that is unexpected and utterly fresh . I just imagined that it would take 500 hours to read the script -- that it would be interior jungle , exterior more jungle and then fighting happens , but Emma ( Watts ) went out and recruited Shane Black . From the first page , it did n't read like a `` Predator '' film . It 's set in suburbia . There 's a little boy and his dad at the center of the action .   Casting ( edit )   Arnold Schwarzenegger discussed with Black about returning to the film as his character after the first Predator film . Rapper 50 Cent also spoke of the possibility of being involved in the film but ended up dropping out . By September 2016 , Benicio del Toro had signed on to star in the film . However , in the following month , Boyd Holbrook replaced del Toro , who departed due to scheduling issues . In November 2016 , Olivia Munn joined the cast . In January 2017 , Trevante Rhodes , Keegan - Michael Key , Sterling K. Brown , Thomas Jane and Jacob Tremblay joined the cast . In February , Alfie Allen and Yvonne Strahovski were added to the cast . In March , the last main role was filled by Augusto Aguilera while Jake Busey was also cast in a supporting role .   Filming ( edit )   Filming was scheduled to begin in February 2017 in Vancouver , British Columbia . On November 21 , 2016 , Larry Fong was confirmed to be hired as cinematographer for the film . Black announced on his Twitter that filming began on February 20 , 2017 . Filming wrapped on June 2 , 2017 . Additional photography in Vancouver took place in March 2018 . Keegan - Michael Key stated that the film 's third act was mostly rewritten and reshot during additional photography .   Music ( edit )   Henry Jackman is set to provide the music score for the film .   Release ( edit )   The Predator was originally slated by 20th Century Fox for a March 2 , 2018 release date , before the date was pushed forward to February 9 , 2018 . It was then pushed back to August 3 , 2018 . In February 2018 , the movie got pushed back to September 14 , 2018 . The film will also be released in IMAX theatres .   See also ( edit )    List of monster movies     Alien portal   Film portal   Speculative fiction portal    References ( edit )    Jump up ^ `` NEW PREDATOR ARTWORK MAKES UP FOR LACK OF PREDATOR 4 MOVIE TRAILER '' . Retrieved February 11 , 2018 .   ^ Jump up to : `` Fox Moves Release of James Cameron 's ' Alita : Battle Angel ' '' . Variety . February 13 , 2018 . Retrieved February 14 , 2018 .   Jump up ^ Alter , Ethan ( March 6 , 2017 ) . `` ' Moonlight ' Star Trevante Rhodes on His Crazy Oscars Night and Tackling ' The Predator ' '' . Yahoo ! Movies .   Jump up ^ Kit , Borys ( January 5 , 2017 ) . `` ' Moonlight ' Star Trevante Rhodes Joins Shane Black 's ' The Predator ' '' . The Hollywood Reporter .   ^ Jump up to : Kit , Borys ( January 6 , 2017 ) . `` Keegan - Michael Key Joining Shane Black 's ' The Predator ' '' . The Hollywood Reporter .   ^ Jump up to : Kit , Borys ( January 19 , 2017 ) . `` ' People v. O.J. Simpson ' Star Sterling K. Brown in Talks to Join Shane Black 's ' Predator ' Reboot '' . The Hollywood Reporter .   ^ Jump up to : Kit , Borys ( February 21 , 2017 ) . `` ' Game of Thrones ' Actor Alfie Allen Joins Shane Black 's ' The Predator ' '' . The Hollywood Reporter .   ^ Jump up to : Hipes , Patrick ( March 3 , 2017 ) . `` Augusto Aguilera Joins Hunt For ' The Predator ' '' . Deadline .   Jump up ^ Hipes , Patrick ( March 10 , 2017 ) . `` Jake Busey Joins Fox 's ' The Predator ' '' . Deadline .   Jump up ^ Kit , Borys ( March 24 , 2017 ) . `` Edward James Olmos Joins Shane Black 's ' Predator ' Reboot '' . The Hollywood Reporter .   Jump up ^ Squires , John ( November 15 , 2017 ) . `` Edward James Olmos Talks ' The Predator ' ; `` So Crazy '' and `` Really Funny '' `` . Bloody Disgusting .   Jump up ^ Hill , Ruth ( November 12 , 2017 ) . `` Interview with Actor Niall Matter `` Engaging Father Christmas '' `` . Retrieved November 14 , 2017 .   Jump up ^ Chitwood , Adam ( June 25 , 2014 ) . `` Shane Black Says His Predator Film Is a Sequel , Not a Reboot '' . Collider . Retrieved June 25 , 2014 .   Jump up ^ Chitwood , Adam ( August 13 , 2016 ) . `` Shane Black 's ' Predator ' Sequel Will ' Reinvent the Franchise ' , Says Producer John Davis '' . Collider . Retrieved June 11 , 2016 .   Jump up ^ Chitwood , Adam ( February 16 , 2016 ) . `` Shane Black 's ' Predator ' Sequel Is Called ' The Predator ' ; First Poster Revealed '' . Collider . Retrieved June 11 , 2016 .   Jump up ^ Patches , Matt ( March 22 , 2016 ) . `` ' Nice Guys ' Director Shane Black on Trailer , ' Doc Savage , ' ' Predator ' Reboot '' . Thrillist . Retrieved June 11 , 2016 .   ^ Jump up to : Nugent , John ( May 19 , 2016 ) . `` Shane Black Reveals Leader Character in The Predator '' . EmpireOnline.com . Retrieved June 5 , 2016 .   Jump up ^ Goldberg , Matt ( April 13 , 2016 ) . `` Shane Black Reveals When ' The Predator ' Will Take Place '' . Collider . Retrieved June 11 , 2016 .   Jump up ^ Evry , Max ( May 12 , 2016 ) . `` Predator Costume Will Get Upgraded for Sequel '' . Coming Soon.net .   Jump up ^ Guidry , Ken ( May 21 , 2016 ) . `` Shane Black Talks More ' Predator ' Details , Defending Mel Gibson , ' Lethal Weapon 5 ' &amp; More '' . The Playlist .   Jump up ^ `` Shane Black Talks The Predator 's Place In Continuity '' . AVPGalaxy.net . May 28 , 2016 . Retrieved February 21 , 2017 .   Jump up ^ `` Here 's everything we know about ' The Predator ' movie '' . Yahoo ! Movies . Retrieved January 28 , 2017 .   Jump up ^ `` How The Predator Will Solidify The Series ' Complicated Continuity , According To Shane Black '' . Cinemablend.com . May 2016 . Retrieved February 21 , 2017 .   Jump up ^ `` ' The Predator ' : Jake Busey Reveals He 's Playing the Son of Gary Busey 's ' Predator 2 ' Character '' . Slashfilm . June 27 , 2017 .   Jump up ^ `` You Never Saw This Predator Teaser Image Coming '' . ComingSoon.net . February 16 , 2016 . Retrieved March 18 , 2016 .   Jump up ^ `` Martin Whist To Serve As Production Designer for The Predator '' . AVPGalaxy.net . July 27 , 2016 . Retrieved February 21 , 2017 .   Jump up ^ `` Amalgamated Dynamics Inc. to Provide Creature Effects for The Predator ! '' . AVPGalaxy.net . August 8 , 2016 . Retrieved February 21 , 2017 .   Jump up ^ Lang , Brent ( 20 September 2017 ) . `` Fox 's Stacey Snider Gets Candid About Netflix , Diversity and the Future of Wolverine '' .   Jump up ^ The Gillinator ( March 17 , 2016 ) . `` Arnold to Discuss `` The Predator '' with Director Shane Black ! `` . The Arnold Fans . Retrieved March 16 , 2016 .   Jump up ^ WEDR 99 JAMZ ( 27 March 2016 ) . `` 99Jamz UnCensored 50 Cent '' . Retrieved 28 January 2017 -- via YouTube .   Jump up ^ Kit , Borys . `` Benicio Del Toro in Talks to Star in Shane Black 's ' Predator ' Reboot '' . The Hollywood Reporter . Retrieved January 28 , 2017 .   Jump up ^ McNary , Dave ( October 11 , 2016 ) . `` Boyd Holbrook to Replace Benicio del Toro in Fox 's ' The Predator ' Reboot '' . Variety .   Jump up ^ Kit , Borys ( November 3 , 2016 ) . `` Olivia Munn Joining Boyd Holbrook in Shane Black 's ' Predator ' Reboot '' . The Hollywood Reporter .   Jump up ^ Kit , Borys ( January 5 , 2017 ) . `` ' Moonlight ' Star Trevante Rhodes Joins Shane Black 's ' The Predator ' '' . The Hollywood Reporter .   Jump up ^ Kit , Borys ( January 23 , 2017 ) . `` Thomas Jane in Talks to Join Shane Black 's ' Predator ' Movie '' . The Hollywood Reporter .   Jump up ^ Kit , Borys ( January 25 , 2017 ) . `` Jacob Tremblay to Star in Shane Black 's ' Predator ' Movie '' . The Hollywood Reporter .   Jump up ^ Kit , Borys ( January 25 , 2017 ) . `` Jacob Tremblay to Star in Shane Black 's ' Predator ' Movie '' . The Hollywood Reporter . Retrieved January 25 , 2017 .   Jump up ^ Kit , Borys ( February 22 , 2017 ) . `` Yvonne Strahovski Joins Shane Black 's ' The Predator ' '' . The Hollywood Reporter .   Jump up ^ Jake Busey   Jump up ^ Hipes , Patrick ( 3 March 2017 ) . `` Augusto Aguilera Joins Hunt For ' The Predator ' '' .   Jump up ^ Perry , Spencer ( November 7 , 2016 ) . `` Filming Locations for Deadpool 2 , The Predator , and Aquaman '' . ComingSoon.net . Retrieved November 8 , 2016 .   Jump up ^ Sciretta , Peter ( November 21 , 2016 ) . `` Larry Fong to Shoot Shane Black 's ' The Predator ' '' . / Film .   Jump up ^ @ BonafideBlack ( February 20 , 2017 ) . `` Partial cast ... beautiful human beings , good people . Also , killers . Cameras roll today . Follow me on Twitter for updates . Wish us luck '' ( Tweet ) -- via Twitter .   Jump up ^ `` The Predator Wraps Filming Today ! '' . AvPGalaxy .   Jump up ^ https://www.dgc.ca/assets/Uploads/BritishColumbia/AvailsProductionLists/Documents/Production-List.pdf   Jump up ^ Eisenberg , Eric ( April 12 , 2018 ) . `` The Predator Reshoots Have Changed Most Of The Third Act '' . CinemaBlend . Retrieved April 13 , 2018 .   Jump up ^ http://filmmusicreporter.com/2018/03/29/henry-jackman-to-score-shane-blacks-the-predator/   Jump up ^ D'Orazio , Dante ( February 28 , 2016 ) . `` The Predator set for March 2nd , 2018 , Gambit and Alien : Covenant get new release dates '' . The Verge . Retrieved March 18 , 2016 .   Jump up ^ Romano , Nick ( February 28 , 2016 ) . `` Predator sequel lands March 2018 release date '' . Entertainment Weekly . Retrieved March 9 , 2016 .   Jump up ^ `` Release Dates for Alita : Battle Angel , Predator and Marvel Films '' . ComingSoon.net . May 29 , 2016 . Retrieved June 12 , 2016 .   Jump up ^ Chitwood , Adam ( April 22 , 2017 ) . `` ' The Predator ' Release Date Pushed to Summer 2018 '' . Collider . Retrieved April 24 , 2017 .   Jump up ^ `` Fox 's Untitled Marvel Project , ' Maze Runner ' Sequel to Receive IMAX Releases '' . Variety . February 21 , 2017 . Retrieved September 27 , 2016 .    External links ( edit )    The Predator on IMDb   The Predator at Rotten Tomatoes              Predator     Films     Predator ( 1987 )   Predator 2 ( 1990 )   Predators ( 2010 )   The Predator ( 2018 )       Music     Predator   Predator 2   Predators       Comics     Predator : Bad Blood   Batman Versus Predator   Predator vs. Judge Dredd   Superman vs. Predator   Archie vs. Predator   Tarzan vs. Predator : At the Earth 's Core       Games     Predator   Predator 2 ( 1990 )   Predator 2 ( 1992 )   Predator : Concrete Jungle       Other     Characters   Predator     Novels   Accolades for the film series   Alien vs. Predator franchise       Related articles     Alien franchise   Predatoroonops                 Films by Shane Black     Written and directed     Kiss Kiss Bang Bang ( 2005 )   Iron Man 3 ( 2013 )   Edge ( 2015 )   The Nice Guys ( 2016 )   The Predator ( 2018 )       Written only     Lethal Weapon ( 1987 )   The Monster Squad ( 1987 )   Lethal Weapon 2 ( 1989 )   The Last Boy Scout ( 1991 )   Last Action Hero ( 1993 )   The Long Kiss Goodnight ( 1996 )   A.W.O.L. ( 2006 )      Retrieved from `` https://en.wikipedia.org/w/index.php?title=The_Predator_(film)&amp;oldid=836563645 '' Categories :   Upcoming films   2018 films   English - language films   American films   2018 horror films   2010s science fiction films   20th Century Fox films   American science fiction action films   American science fiction horror films   American sequel films   Davis Entertainment films   Films about autism   Films directed by Shane Black   Predator ( franchise ) films   Prequel films   Science fiction adventure films   Upcoming action films   Upcoming horror films   Upcoming science fiction films   Upcoming IMAX films           Talk                                           Contents                   About Wikipedia                                             Deutsch   فارسی   Français   Română   Русский   Suomi   Українська   </t>
    </r>
    <r>
      <rPr>
        <sz val="11"/>
        <color rgb="FF000000"/>
        <rFont val="Noto Sans CJK SC"/>
        <family val="2"/>
      </rPr>
      <t xml:space="preserve">中文   </t>
    </r>
    <r>
      <rPr>
        <sz val="11"/>
        <color rgb="FF000000"/>
        <rFont val="Calibri"/>
        <family val="0"/>
        <charset val="1"/>
      </rPr>
      <t xml:space="preserve">Edit links   This page was last edited on 15 April 2018 , at 15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</si>
  <si>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will the new predator movie be released</t>
  </si>
  <si>
    <t xml:space="preserve"> The film stars Boyd Holbrook , Olivia Munn , Trevante Rhodes , Keegan - Michael Key , Sterling K. Brown , Jacob Tremblay , Yvonne Strahovski , Alfie Allen , and Thomas Jane . It completed filming in June 2017 , and is set to be released on September 14 , 2018 , by 20th Century Fox in IMAX , 3D , as well as standard formats . </t>
  </si>
  <si>
    <t xml:space="preserve">Tom Payne ( actor ) - wikipedia  Tom Payne ( actor )  Jump to : navigation , search For other people with the same name , see Tom Payne ( disambiguation ) .    Tom Payne     Tom Payne at Walker Stalker Con in 2016       ( 1982 - 12 - 21 ) 21 December 1982 ( age 35 ) Chelmsford , Essex , England     Education   Royal Central School of Speech &amp; Drama     Occupation   Actor     Years active   2006 -- present     Relatives     Will Payne ( brother )   Jennifer Akerman ( partner )   Jeremy Payne ( father )       Thomas Payne ( born 21 December 1982 ) is an English actor . He is best known for appearing on AMC 's The Walking Dead as Paul `` Jesus '' Rovia .     Contents  ( hide )   1 Early life   2 Career   3 Personal life   4 Filmography   5 References   6 External links      Early life ( edit )   Payne was born in Chelmsford , Essex , and grew up in Bath , Somerset , where he attended King Edward 's School and was a prolific contributor to the school 's drama department . He attended the Royal Central School of Speech &amp; Drama , graduating in June 2005 . He then appeared in Miss Pettigrew Lives for a Day .   Career ( edit )   In January 2007 , he first appeared in Waterloo Road for the BBC , playing sixth former Brett Aspinall . Despite being 24 at the time , Payne portrayed a 17 - year - old character . He remained in the series until the end of the following season in March 2008 . It was revealed afterwards that he would not be returning for the new season , beginning in January 2009 .   In 2009 , Payne played George Best in Best : His Mother 's Son , a BBC 2 film about the legendary footballer . In the same year he appeared in Marple : They Do It With Mirrors and Wuthering Heights for ITV .   Payne was named as one of Screen International 's Stars of Tomorrow 2007 .   On 8 March 2010 , it was announced that Tom had joined the cast of Luck a new pilot for HBO directed by Michael Mann , written by David Milch , starring Dustin Hoffman and Nick Nolte . He plays the role of a Cajun jockey .   In 2012 , he was cast in the title role of The Physician ( based on the book of the same name ) alongside Stellan Skarsgard and Ben Kingsley .   Payne was cast with a recurring role in Season 6 of The Walking Dead , as Paul `` Jesus '' Rovia , and promoted to series regular for season 7 .   Personal life ( edit )   Payne has been dating singer Jennifer Åkerman since late 2013 . His younger brother Will Payne is also an actor .   Filmography ( edit )   List of appearances and roles in feature films   Year   Title   Role   Notes     2008   Miss Pettigrew Lives for a Day   Phil Goldman       2009   Into the Rose - Garden   Sam   Short film     2011   The Task   Stanton       2011   Generation Perdue   Toby Perdue   Short film     2012   The Inheritance   Matthew       2012   My Funny Valentine   Zander       2012   Still Young   Edward   Short film     2013   The Physician   Rob Cole       2015   Winter   Tom       2015   MindGamers   Jaxon       2017   It 's No Game   East   Short film     List of appearances in television series and specials   Year   Title   Role   Notes     2005   Casualty   Toby Tyler   Episode : `` Love and Duty ''     2007   Skins   Spencer   Episode : `` Effy ''     2007   Miss Marie Lloyd   Bernard   Television film     2007 -- 2008   Waterloo Road   Brett Aspinall   32 episodes     2008   He Kills Coppers   Jonny Taylor   Television film     2009   Wuthering Heights   Linton   2 episodes     2009   Miss Marple   Edgar Lawson   Episode : `` They Do It with Mirrors ''     2009   Best : His Mother 's Son   George Best   Television film     2009   Beautiful People   Mr. Carr   Episode : `` How I Got My Plumes ''       The People vs. George Lucas   Himself   Documentary     2011 -- 2012   Luck   Leon Micheaux   9 episodes     2014   New Worlds   Monmouth   4 episodes     2016 -- present   The Walking Dead   Paul `` Jesus '' Rovia   17 episodes     2016 -- 2017   Talking Dead   Himself   6 episodes     2017   The Nightly Show   Himself   Episode : `` With David Walliams - Night Four ''     2018   Fear the Walking Dead   Paul `` Jesus '' Rovia   Episode : `` What 's Your Story ? ''     References ( edit )    Jump up ^ Reynolds , Simon ( 27 November 2008 ) . `` Payne to star as George Best in BBC drama '' . Digital Spy . Retrieved 2009 - 04 - 29 .   Jump up ^ Dobson , Patricia ( 2007 - 07 - 12 ) . `` UK Stars Of Tomorrow 2007 : The Actors ( 3 ) '' . Screendaily.com . Retrieved 2011 - 12 - 08 .   Jump up ^ `` Four trying their ' Luck ' in HBO pilot '' . The Hollywood Reporter. 2010 - 10 - 13 . Retrieved 2011 - 12 - 08 .   Jump up ^ `` Jesus Speaks ! The Walking Dead 's Tom Payne Talks His Big Arrival and Surprising Connection to Andrew Lincoln '' . E ! News . Retrieved 7 October 2016 .   Jump up ^ `` Jesus speaks ! New ' Walking Dead ' cast addition Tom Payne gives first interview '' . Entertainment Weekly 's EW.com . Retrieved 7 October 2016 .   Jump up ^ Goldberg , Lesley ( July 7 , 2016 ) . `` ' Walking Dead ' Promotes 4 to Series Regular for Season 7 ( Exclusive ) '' . The Hollywood Reporter . Retrieved July 7 , 2016 .    External links ( edit )    Tom Payne on IMDb            VIAF : 63504962   LCCN : no2012006295   ISNI : 0000 0003 6565 3670   GND : 1051778913      Retrieved from `` https://en.wikipedia.org/w/index.php?title=Tom_Payne_(actor)&amp;oldid=836659961 '' Categories :   1982 births   Alumni of the Central School of Speech and Drama   English male film actors   English male television actors   Living people   People educated at King Edward 's School , Bath   21st - century English male actors   Male actors from Essex   People from Chelmsford   Actors from Somerset   People from Bath , Somerset   English male stage actors   Hidden categories :   Use dmy dates from August 2016   Use British English from August 2016   Articles with hCards   Wikipedia articles with VIAF identifiers   Wikipedia articles with LCCN identifiers   Wikipedia articles with ISNI identifiers   Wikipedia articles with GND identifiers   Pages using authority control with parameters   VIAF different on Wikidata           Talk                                           Contents                   About Wikipedia                                                   تۆرکجه   Deutsch   Español   فارسی   Français   Italiano   עברית   Polski   Português   Suomi  4 more  Edit links   This page was last edited on 16 April 2018 , at 02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</si>
  <si>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actor that plays jesus on walking dead</t>
  </si>
  <si>
    <t xml:space="preserve"> Thomas Payne ( born 21 December 1982 ) is an English actor . He is best known for appearing on AMC 's The Walking Dead as Paul `` Jesus '' Rovia . </t>
  </si>
  <si>
    <t xml:space="preserve">Collingwood Football club - Wikipedia  Collingwood Football club       Collingwood Football Club         Names     Full name   Collingwood Football Club     Nickname ( s )   Magpies , Pies , Woods , Woodsmen     Motto   Floreat Pica     2018 season     After finals   Runners - up     Home - and - away season   3rd     Leading goalkicker   Jordan De Goey ( 48 )     Copeland Trophy   Steele Sidebottom &amp; Brodie Grundy     Club details     Founded   1892     Colours   Black white     Chairman   Eddie McGuire     CEO   Mark Anderson     Coach   AFL : Nathan Buckley AFLW : Wayne Siekman VFL : Jared Rivers     Captain ( s )   AFL : Scott Pendlebury AFLW : Steph Chiocci VFL : Jack Hellier VFLW : Jess Edwards     Premierships    VFL / AFL ( 15 ) : 1902 , 1903 , 1910 , 1917 , 1919 , 1927 , 1928 , 1929 , 1930 , 1935 , 1936 , 1953 , 1958 , 1990 , 2010 VFA / VFL ( 1 ) : 1896  Championship of Australia ( 1 ) : 1896     Ground ( s )   ( capacity : 100,024 )     Former ground ( s )   Victoria Park ( 1892 -- 1999 )     Training ground ( s )   Melbourne Sports and Entertainment Centre ( indoor )       Olympic Park ( outdoor )     Uniforms            Home   Away   Alternate            Other information     Official website   collingwoodfc.com.au     Current season     The Collingwood Football Club , nicknamed the Magpies or even less formally the Pies , is a professional Australian rules football club playing in the Australian Football League ( AFL ) . Formed in 1892 in the then - working class Melbourne suburb of Collingwood , the club played in the Victorian Football Association ( VFA ) before joining seven other teams in 1896 to found the breakaway Victorian Football League ( now the national AFL ) . Originally based at Victoria Park , Collingwood now plays its home games at the Melbourne Cricket Ground with its training and administrative headquarters located at Olympic Park Oval and the Holden Centre .   Collingwood has played in a record 44 VFL / AFL Grand Finals ( including rematches ) , winning 15 , drawing two and losing 27 ( also a record ) . Collingwood also won a record - breaking four premierships in a row between 1927 and 1930 .   Collingwood is regarded as one of Australia 's most popular sports clubs , attracting the highest attendance figures and television ratings of any professional team in the nation . In 2013 , it became the first AFL club to reach 80,000 members .   Collingwood 's home guernsey consists of black and white stripes , matching the colours of an Australian magpie . Throughout its history , the club has developed rivalries with cross-town Melbourne based clubs Carlton , Richmond and Essendon . More recently , the club developed a rivalry with the Brisbane Lions , based in Queensland .   Collingwood fields a reserves team in the Victorian Football League ( formerly the VFA ) and a women 's side in the AFL Women 's competition . It also owns and operates a netball team in the National Netball League .   Contents    1 History   1.1 Formation and early years   1.2 1920s and 1930s : Four consecutive premierships   1.3 1950s : Melbourne rivalry   1.4 1959 -- 89 : `` Colliwobbles ''   1.5 1990 -- present     2 Club symbols and identity   2.1 Guernsey   2.2 Song   2.3 Rivalries   2.3. 1 Carlton   2.3. 2 Brisbane   2.3. 3 Melbourne   2.3. 4 Essendon   2.3. 5 Port Adelaide   2.3. 6 Geelong     2.4 Supporters     3 Corporate   3.1 Membership   3.2 Off field   3.3 Sponsorship     4 Honours   4.1 Records - Senior Level   4.2 Records -- other levels   4.3 Head - to - head results   4.4 Team of the Century   4.5 Captains   4.6 Current playing list   4.7 Current coaching staff     5 Reserves team   5.1 Coaches   5.2 Captains   5.3 Season summaries     6 AFL Women 's team   6.1 Current squad   6.2 Coaches   6.3 Captains   6.4 Season summaries     7 Individual awards   7.1 Best and Fairest   7.2 Brownlow Medal winners   7.3 Leigh Matthews Trophy winners   7.4 Coleman Medal winners   7.5 Norm Smith Medal winners   7.6 E.J. Whitten Medalists   7.7 Mark of the Year winners   7.8 Goal of the Year winners   7.9 Anzac Day Medal winners   7.10 Neale Daniher Trophy winners   7.11 Bob Rose - Charlie Sutton Medal winners   7.12 Richard Pratt Medal winners   7.13 Jason McCartney Medal winners   7.14 All Australian Team   7.15 International rules representatives   7.16 Michael Tuck Medal winners   7.17 Jim Stynes Medal winners     8 Match records   8.1 Records set by players     9 In popular culture   10 See also   11 Footnotes   12 External links    History ( edit )  Main article : History of the Collingwood Football Club  Formation and early years ( edit )  The Collingwood team that won the VFA premiership in 1896 .  The Collingwood Football Club was established on 12 February 1892 .   Collingwood played its first game in the Victorian Football Association ( VFA ) against Carlton on 7 May 1892 . The club won the VFA Premiership in 1896 .   In 1897 , Collingwood , along with fellow VFA clubs Fitzroy , Melbourne , St Kilda , Carlton , Essendon , South Melbourne and Geelong split from the VFA and formed the Victorian Football League ( VFL ) . Collingwood won its first premiership in 1902 , defeating Essendon by 33 points .   1920s and 1930s : four consecutive premierships ( edit )  Jock McHale coached the club to four consecutive Grand Final victories .  Collingwood was the most successful club of the 1920s and 1930s , appearing in 13 out of a possible 20 Grand Finals during the period . Collingwood were premiers six times during this time , including four consecutive premierships between 1927 and 1930 , a VFL / AFL record , and two consecutive premierships in 1935 and 1936 . The club 's coach during this period was Jock McHale , who served as coach from 1912 to 1949 . Collingwood also had three Brownlow Medallists during the period , with Syd Coventry winning in 1927 , Albert Collier in 1929 and Harry Collier in 1930   1950s : Melbourne rivalry ( edit )   In the 1950s , rival club Melbourne enjoyed an era of unprecedented success , winning five premierships in six years ( the last coming in 1960 , and having been runner up in 1954 ) . Collingwood lost two Grand Finals to Melbourne in this decade , but bounced back to win premierships in 1953 and 1958 . Collingwood 's 1958 premiership is much cherished by the club as it prevented Melbourne from equalling Collingwood 's record four premierships in a row .   The 1958 premiership was however to be Collingwood 's last for 32 years , as the club was to suffer a string of Grand Final defeats in coming decades .   1959 -- 89 : `` Colliwobbles '' ( edit )  Main article : Colliwobbles  A string of eight Grand Final losses , often by narrow margins , between 1960 and 1981 gave rise to a perception that the club was prone to `` choking '' , a phenomenon wittily dubbed `` Colliwobbles '' . Whether this perception is accurate remains a subject of debate ; however , the club 's record in recent years has been much improved , having won two and drawn one of its last six Grand Finals . Lou Richards ceremoniously buried the Colliwobbles at Victoria Park after the club 's 1990 premiership .   1990 -- present ( edit )  See also : 1990 AFL Grand Final and 2010 AFL Grand Final Nathan Buckley captained Collingwood between 1999 and 2007 , and has served as the club 's senior coach since 2012 .  The 1990 premiership team , coached by Leigh Matthews and captained by Tony Shaw , had a one - sided grand final win against Essendon , the Magpies recording a 48 - point victory and ending a 32 - year premiership drought which included eight grand final losses and one draw .   After this , however , the club lapsed into a state of decline . The club ultimately received a second wooden spoon in 1999 . Within a few years , with a change of coach , playing list and club president , Collingwood reached and lost consecutive grand finals in 2002 and 2003 , both to the Brisbane Lions .   Following those Grand Final losses , Collingwood struggled for the next two years , finishing 13th in 2004 and second - last in 2005 ; the latter meant Collingwood was eligible for a priority pick which the club used to recruit Dale Thomas . Collingwood made a return to the finals in 2006 , finishing fifth , but were defeated by the Western Bulldogs by 41 points in its elimination final . A loss to Essendon late in the season was to cost them the double chance . The 2007 season saw them finish sixth on the ladder at season 's conclusion , and in the finals they knocked out the grand finalists of the past two years , Sydney , in the elimination final and then West Coast in overtime at Subiaco Oval in the semi-final . Having earned a preliminary final against Geelong , Collingwood lost to the eventual premiers , by five points . Nathan Buckley would announce his retirement at season 's end after playing just five games in 2007 due to injury .   Collingwood finished eighth in 2008 and were assigned an away final against Adelaide at AAMI Stadium . After at one point trailing in the match , Collingwood went on to end Adelaide 's season and earn a semi-final meeting against St Kilda . Having defeated the Saints in both their regular season meetings , Collingwood lost convincingly , ending their 2008 season . The 2009 season saw Collingwood finish inside the top - four for the first time since 2003 , but in the qualifying final were beaten by minor premiers St Kilda convincingly . Having won a second chance , Collingwood struggled against Adelaide for the second year in a row before John Anthony kicked the match - winning goal with a minute left to send them into another preliminary final meeting with Geelong . But the season ended abruptly for the Magpies , with a 73 - point loss to Geelong .   In 2010 , Collingwood finished as minor premiers , and after wins in the qualifying and preliminary finals , reached the first Grand Final against St Kilda . The match finished as a draw , forcing the first grand final replay in 33 years . Collingwood won the replay by 56 points . The club won a second consecutive minor premiership in 2011 , and qualified for the Grand Final after a three - point victory against Hawthorn in the preliminary final . However , Collingwood was then beaten by Geelong by 38 points in the decider , after trailing by seven points at three - quarter time . Following the Grand Final loss , which also marked the end of the club 's 2011 AFL season , then coach Mick Malthouse left Collingwood after deciding not to stay on as `` director of coaching '' . Star midfielder Dane Swan won the 2011 Brownlow medal with a then record 34 votes .   In 2012 , Collingwood once again finished in the top - four but in their first final they were convincingly defeated by Hawthorn forcing them to play in the next week against West Coast , winning by 13 points . The next week they were beaten by eventual premiers Sydney at ANZ Stadium , the first time the Swans had defeated the Magpies since 2005 . The 2013 season was a mixed one for Collingwood , losing to Gold Coast and suffering a fifth consecutive loss to Hawthorn in Round 21 , before being knocked out of the finals series by Port Adelaide at the MCG in the first week . Coach Nathan Buckley delisted several high - profile older players at the end of the season , including Alan Didak , Darren Jolly and Heath Shaw .   Over the next two seasons , Collingwood would start the years with win - loss records of 8 -- 3 , but finished those seasons poorly and missed the finals. 2014 was the first season since 2005 where they did not make finals . In both 2016 and 2017 , Collingwood missed the finals again , though extended the contract of senior men 's coach Nathan Buckley an additional two years .   In 2017 , the club made significant on - field and administrative changes , creating a senior women 's football team and senior women 's netball team in the AFL Women 's and National Netball League respectively , as well as revealing a new club logo for the first time in many years .   In 2018 Collingwood made the finals for the first time since 2013 , finishing in third place behind West Coast and Richmond . Losing the Second Qualifying Final to West Coast , they went on to beat GWS and the reigning premiers Richmond to reach the 2018 Grand Final , where they were defeated 79 - 74 by the West Coast Eagles .   Club symbols and identity ( edit )   Guernsey ( edit )  Collingwood 's logo ( in use from 2004 -- 2017 ) , featuring the Australian magpie  Throughout the club 's history , Collingwood has worn a guernsey of black and white vertical stripes . The all white jumper , with the three black vertical stripes is the iconic strip that the club is most associated with . The current incarnation of the guernsey is mostly black , with white stripes on the front and lower half of the back , and white numbers . The main clash guernsey is the reverse of this : mostly white , with black stripes and black numbers , worn in away matches against clubs with a predominantly dark guernsey such as Fremantle Football Club and Port Adelaide Football Club . A secondary clash guernsey was introduced in 2011 and is used only in matches against North Melbourne due to similarity between the two uniforms . The alternate uniform is black with only two white stripes on each side instead of three .   Traditionally , Collingwood has worn a white guernsey with black stripes . The club switched to the black guernsey with white stripes in 2001 .   Song ( edit )  Collingwood player Tom Nelson wrote the lyrics to `` Good Old Collingwood Forever '' in 1906 .  `` Good Old Collingwood Forever '' is the team song of the Collingwood Football Club . The lyrics were written by player Tom Nelson during Collingwood 's 1906 tour of Tasmania , making it the oldest of the team songs currently used in the AFL . It is sung to the tune of `` Goodbye , Dolly Gray '' , originally a song written in connection with the Spanish -- American War , then a popular Boer War and First World War anthem . It is the only AFL team song to reference the barracker , an Australian rules football term for fan .   The current version of the song played at the ground during game day was recorded in 1972 by the Fable Singers . The lyrics are as follows :    Good old Collingwood forever ,   They know how to play the game .   Side by side , they stick together ,   To uphold the Magpies name .   See , the barrackers are shouting ,   As all barrackers should .   Oh , the premiership 's a cakewalk ,   For the good old Collingwood .    Rivalries ( edit )  Carlton ( edit )  Carlton is considered to be the club 's most bitter arch - rival ( for full details see Carlton -- Collingwood AFL rivalry ) , with Richmond , Brisbane and Essendon close behind . The old rivalry with Melbourne has faded in recent decades because Melbourne have not enjoyed on - field success at the same time ; this rivalry also remains strong however and is an annual event on the Queens Birthday public holiday . Collingwood 's two opponents in the themed Rivalry Rounds staged to date have been Carlton ( 2005 -- 2006 , 2009 ) and Richmond ( 2007 -- 2008 ) .  Brisbane ( edit )  The first signs of a Collingwood / Brisbane rivalry originated in 1999 , when Brisbane comprehensively beat the Magpies in the last ever AFL match at Victoria Park . In Round 8 2002 Collingwood beat Brisbane by three points in a tense match in front of 46,279 people at Colonial Stadium . This victory over the reigning premier took the Magpies to equal top of the league table ( 2nd on percentage ) with Brisbane . The rivalry grew with the 2002 Grand Final when Brisbane beat Collingwood by nine points . The rivalry grew again in 2003 when the two clubs clashed on four occasions . The Lions defeated the Magpies at The Gabba in Round 4 before thrashing them in Heritage Round -- Round 19 at the MCG . Collingwood then defeated Brisbane in the Qualifying Final with Alan Didak ensuring victory late in the final quarter , with two goals from the boundary line . The rivalry peaked in the 2003 Grand Final with Brisbane easily defeating Collingwood to win the premiership . The rivalry cooled off to a degree in the period following Brisbane 's loss in the 2004 Grand Final due a sustained period of success at Collingwood and a string of poor seasons at Brisbane , however Dayne Beams recent defection to the Lions has seemingly reignited the rivalry . Despite Brisbane 's string of poor seasons , the rivalry remains ignited due to many Collingwood supporters remaining bitter about the two grand final losses and the fact that the Brisbane Lions will forever be the last team to win a VFL / AFL match at Victoria Park .  Melbourne ( edit )  The rivalry between Collingwood and Melbourne was at its peak between 1955 and 1964 , when the two played off in the grand final on five occasions . This included the 1958 Grand Final where Collingwood 's victory prevented Melbourne from equalling Collingwood 's record of four premierships in succession ( 1927 -- 1930 ) .  Essendon ( edit )  Collingwood 's rivalry with Essendon has become more significant since 1995 , when the first ANZAC Day clash took place . After the 2015 match , Collingwood have won this contest 12 times and Essendon 8 times , with the first match being drawn .  Port Adelaide ( edit )  The rivalry with Port Adelaide stems from them being known as the Magpies in their local SANFL competition before switching to the Power when entering the League in 1997 . Feelings were heightened when Port midfielder Kane Cornes ' flipped the bird ' at Nick Davis following the Power 's five - point victory over the Magpies at AAMI Stadium in Round 9 , 2002 , only moments after Anthony Rocca had missed the opportunity to tie the scores . Jarrod Molloy and Brodie Holland remonstrated with Cornes after the match , with a feeling of hostility lingering after the two sides had left the field . Collingwood unexpectedly beat the Power in the Qualifying Final that season , also at AAMI stadium . Collingwood again defeated Port Adelaide in the 2003 Preliminary Final at the MCG . This added to the ' choking ' phenomenon directed at the Power . The off - field battle over Port 's desire to wear its black and white `` prison bar '' guernsey has been a major talking point , especially between 2002 and 2007 , which added to the rivalry . A resolution was reached in favour of Collingwood .  Geelong ( edit )  Games between Collingwood and Geelong have become highly anticipated since 2007 . In Round 15 Geelong beat Collingwood by 16 points in a high - quality match . In the Preliminary final Collingwood surprised many when they came within 5 points of the eventual premiers . In 2008 Collingwood thrashed Geelong by 86 points -- 20.14 ( 134 ) - 7.6 ( 48 ) causing Geelong 's only loss of the year . In 2009 , the sides again met in the preliminary final , but despite high hopes the Cats , who would again win the premiership , won by 73 points in front of another massive crowd of 87,258 . In 2010 , the two sides emerged as the favourites for the flag and twice met in front of blockbuster crowds at the MCG when they were placed 1st and 2nd on the ladder -- with the results evenly split . They again met in a Preliminary final , this time a resounding win to Collingwood by 41 points . In 2011 , both teams were undefeated going into their round eight ' blockbuster ' at the ' G. Geelong won by three points , after a controversial advantage was not paid to Magpie Scott Pendlebury in the dying minutes . Pendlebury kicked a goal and would have put the Pies in front , but the free kick was contentiously called back and Geelong managed to whisk the ball away . In the round 24 match , Geelong thumped the Magpies by a record margin of 96 points , which was also Collingwood 's biggest ever loss at the MCG . The 2011 Grand Final against the Cats concluded with a 38 - point loss for the Pies .   Supporters ( edit )  Collingwood Magpies mascot  Collingwood is a working - class suburb and the Collingwood Football Club supporter base traditionally came from the working class ( though its supporter base today goes far beyond ) . Many of the club 's supporters who regularly attend games still come from the working class or from lower socio - economic groups , leading to jokes from supporters of other clubs which typically stereotype their Collingwood counterparts as poor , crude and ignorant .   Collingwood is traditionally reviled by non-Collingwood supporters ( `` You either love ' em or you hate ' em '' ) . The dislike of the club by outsiders is said to have originated during the 1920s and 1930s , a period of great success for the club which drew the envy and resentment of other clubs . In this period , Collingwood was also perceived as a Catholic and Irish club , at a time when these groups were looked down upon by the rest of Australian society and subjected to a considerable degree of social exclusion .   Until recent years , racial vilification of opposition players in VFL / AFL games was not uncommon . According to a 2001 study , Collingwood 's old home ground of Victoria Park had a reputation as one of the worst venues for such vilification , though it has also been said that the problem was similar at all grounds . Collingwood has however been involved in several high - profile incidents of this type , such as those involving indigenous players Nicky Winmar in 1993 and Adam Goodes in 2013 . Michael Long 's accusation of racial vilification against Collingwood ruckman Damian Monkhorst in 1995 also led directly to the establishment of the AFL 's racial vilification regulations . Collingwood club president Eddie McGuire has been credited for taking a stand against racial vilification by club supporters and for harshly dealing with offenders .   Corporate ( edit )   Membership ( edit )   Collingwood Membership 1984 -- present   Year   Members   Position   %     1984   16,313   3rd   --     1985   16,857   7th   3.28 %     1986   13,971   6th   20.65 %       9,500   12th   47.06 %     1988   11,985   4th   20.73 %     1989   13,620   5th   12.00 %     1990   14,808   1st   8.02 %     1991   18,469   7th   19.82 %     1992   18,921   5th   2.38 %     1993   21,882   8th   13.53 %     1994   20,843   8th   4.98 %     1995   22,543   10th   7.54 %       20,752   11th   8.63 %     1997   22,761   10th   8.82 %     1998   27,099   14th   16.00 %     1999   32,358   16th   16.25 %     2000   28,932   15th   11.84 %     2001   31,455   9th   8.02 %     2002   32,549   4th   3.36 %     2003   40,445   2nd   19.54 %       41,128   13th   1.66 %     2005   38,612   15th   6.51 %     2006   38,038   7th   1.50 %     2007   38,587   4th   1.42 %     2008   26,320   6th   46.60 %     2009   45,972   4th   42.74 %       57,617   1st   20.21     2011   71,271   1st   19.15 %     2012   72,688   4th   1.94 %     2013   80,000   6th   9.14 %     2014   80,793   11th   0.98 %     2015   76,497   12th   5.61 %     2016   74,643   12th   2.48 %     2017   75,879   13th   1.62 %     2018   75,507   3rd   0.49 %     2019   To be confirmed     ( * Accurate as of August 29th 2018 )   In 2011 Collingwood reached 70,000 members for the first time creating a new AFL record , beating the previous AFL record of 58,249 set by Collingwood in 2010 , .   The club 's membership base leads to large crowd pulling power which has caused the AFL to be accused of favouring Collingwood when scheduling to maximise the league 's attendance figures . However the AFL states that this is due to other clubs requesting home games at the MCG against Collingwood .   Off field ( edit )   Collingwood was one of the last clubs to abandon its traditional stadium , the famous inner - city Victoria Park . Collingwood now plays home games at the MCG . It now also has its headquarters situated in the former Glasshouse Entertainment Centre . Due to a sponsorship deal , this facility is known as ' The Holden Centre ' .   Collingwood continues to be financially viable through the loyal support of its huge following and numerous sponsors . After finishing 2nd in 2002 and 2003 the team fell to 13th and 15th ( out of 16 ) in 2004 and 2005 respectively . This trend has plagued the club since the glory days of pre-World War II VFL football . Since 1958 , the club has won only two VFL / AFL Premiership ( the inaugural AFL Premiership in 1990 , and in 2010 ) . Despite this , the club still has won more individual games , more finals and made more grand final appearances than any other club .   On 9 March 2007 , former Collingwood and Fitzroy defender Gary Pert was appointed the Magpies ' CEO , seven weeks after Greg Swann departed for Carlton . In accepting the key Magpie post , Pert quit as a club director and as managing director of Channel 9 in Melbourne . In a press conference , it was stated that Collingwood has budgeted to turn over about $50 million this year . McGuire hopes the new administration will soon double that figure . `` A finance administration review has come up with how we are going to turn Collingwood in to its next phase of its life '' , McGuire said . `` What do we do to make ourselves go from a $45 million a year turnover business to a $100 million turnover business ? `` They sound like big figures but in 1999 we turned over $13 million , so that is where we are heading as a football club . ''   The club made an operating profit of $5.23 million for the 2013 season , revenue increased from $2.6 million to more than $75 million .   On 24 July 2017 , Pert resigned from his position as CEO of the club , with Peter Murphy replacing him as an interim CEO .   Sponsorship ( edit )   The Collingwood guernsey is the most valuable sports sponsorship in Australia . Collingwood has different guernsey sponsors for home and away matches , generating an estimated $6.3 million worth of media exposure for the primary sponsor and $5.7 million for the secondary sponsor . These sponsorships are ranked first and second in Australia . High - profile sponsors include Emirates , Holden , CGU Insurance and Westpac .   Honours ( edit )   Records - Senior Level ( edit )    Victorian / Australian Football League   Premiers ( 15 ) : 1902 , 1903 , 1910 , 1917 , 1919 , 1927 , 1928 , 1929 , 1930 , 1935 , 1936 , 1953 , 1958 , 1990 , 2010   Runners - up ( 27 ) : 1901 , 1905 , 1911 , 1915 , 1918 , 1920 , 1922 , 1925 , 1926 , 1937 , 1938 , 1939 , 1952 , 1955 , 1956 , 1960 , 1964 , 1966 , 1970 , 1977 , 1979 , 1980 , 1981 , 2002 , 2003 , 2011 , 2018     Victorian Football Association / League ( 1 ) : 1896   Championship of Australia ( 1 ) : 1896   Pre-Season / Night Series Premierships ( 2 ) : 1979 , 2011   Lightning Premierships ( 2 ) : 1941 , 1951   Minor premierships ( 19 ) : 1902 , 1903 , 1905 , 1915 , 1917 , 1919 , 1922 , 1926 , 1927 , 1928 , 1929 , 1930 , 1966 , 1969 , 1970 , 1973 , 1977 , 2010 , 2011   McClelland Trophy ( 8 ) : 1959 , 1960 , 1964 , 1965 , 1966 , 1970 , 2010 , 2011   Drawn Grand Finals ( 2 ) : 1977 , 2010   Wooden Spoons ( 2 ) : 1976 , 1999   Undefeated in the Home and Away season : 1929 * 18 Rounds    Records -- other levels ( edit )   Premierships    Reserves ( 7 ) : 1919 , 1920 , 1922 , 1925 , 1940 , 1965 , 1976   Under 19s ( 4 ) : 1960 , 1965 , 1974 , 1986    Head - to - head results ( edit )   Played : 2,518 Won : 1,527 Drawn : 27 Lost : 973 ( Last updated -- Round 23 2018 )         GP         GF - BF   For   GA - BA   Agn   %   Win %   100 + F   100 + A       Adelaide   42   25     15   557.494   3836   493.505   3463   110.77   60.98   16   7       Brisbane Bears   16   13       251.232   1738   170.187   1207   143.99   86.67   12         Brisbane Lions   31   14     15   363.366   2544   406.368   2804   90.73   41.38   10   11       Carlton   256   125     127   2914.3086   20570   2869.2969   20183   101.92   48.43   70   64     5   Essendon   237   130     103   2747.2884   19366   2631.2803   18591   104.17   54.47   63   60     6   Fitzroy   209   131     75   2338.2683   16711   2058.2374   14722   113.51   63.40   66   31     7   Fremantle   30   19     11   407.344   2786   362.299   2471   112.75   60.71   14   7     8   Geelong   231   132     99   2643.2889   18747   2468.2723   17531   106.94   57.14   60   42     9   Gold Coast   8   6       114.100   784   70.70   490   160.00   71.43   5       10   Greater Western Sydney   7   5       104.74   698   66.63   459   152.07   83.33         11   Hawthorn   163   97     68   2207.2341   15584   2025.1977   14127   110.31   59.88   67   56     12   Melbourne   235   148   5   83   2793.3077   19735   2465.2704   17494   112.81   62.82   73   48     13   North Melbourne   159   107     50   2233.2343   15741   1788.1939   12667   124.27   67.09   71   38     14   Port Adelaide   29   14     15   386.342   2658   354.351   2475   107.39   48.28   11   5     15   Richmond   208   117     90   2472.2694   17526   2314.2509   16393   106.91   56.80   52   45     16   St Kilda   218   158     58   2830.3060   20040   2176.2375   15431   129.87   72.35   89   36     17   Sydney   226   141     84   2720.2983   19303   2277.2699   16361   117.98   62.67   66   43     18   University   14   13       132.199   991   72.110   542   182.84   96.43     0     19   West Coast   51   24     25   634.550   4354   640.609   4449   97.86   48.98   15   18     20   Western Bulldogs   155   107     47   2101.2021   14627   1712.1855   12127   120.62   68.83   59   29     Team of the century ( edit )   Collingwood announced its team of the century on 14 June 1997 , celebrating 100 years since the beginning of the VFL . Gavin Brown was added as the fourth interchange player in 2002 , when the team was named in 1997 only three interchange players were permitted on a team .     Collingwood Team of the Century     B :   Harold Rumney   Jack Regan   Syd Coventry ( Captain )     HB :   Billy Picken   Albert Collier   Nathan Buckley     C :   Thorold Merrett   Bob Rose   Darren Millane     HF :   Des Fothergill   Murray Weideman   Dick Lee     F :   Phonse Kyne   Gordon Coventry   Peter Daicos     Foll :   Len Thompson   Des Tuddenham   Harry Collier     Int :   Tony Shaw   Wayne Richardson   Marcus Whelan       Gavin Brown         Coach :   James `` Jock '' McHale     Captains ( edit )   This list comprises every captain of the club . This list does not include deputy captains filling in due to an injury to the named captain , but does include captains named after a player retires or steps down during the season .       Bill Strickland 1897   Bill Proudfoot 1898 -- 99 , 1901   Dick Condon 1899 -- 1900   Lardie Tulloch 1902 -- 04   Charlie Pannam 1905   Alf Dummett 1906   Arthur Leach 1906 -- 08   Eddie Drohan 1908   Robert Nash 1908 -- 09   George Angus 1910 -- 11   Jock McHale 1912 -- 13   Dan Minogue 1914 -- 16   Percy Wilson 1917 -- 18   Con McCarthy 1919   Dick Lee 1920 -- 21   Tom Drummond 1922   Harry Curtis 1923   Charlie Tyson 1924 -- 26   Syd Coventry 1927 -- 34   Harry Collier 1935 -- 39   Jack Regan 1940 -- 41 , 1943   Phonse Kyne 1942 , 1946 -- 49   Pat Fricker 1944         Alby Pannam 1945   Gordon Hocking 1950 -- 51   Lou Richards 1952 -- 55   Neil Mann 1955 -- 56   Bill Twomey , Jr. 1957   Frank Tuck 1958 -- 59   Murray Weideman 1960 -- 63   Ray Gabelich 1964 -- 65   John Henderson 1965   Des Tuddenham 1966 -- 69 , 1976   Terry Waters 1970 -- 71   Wayne Richardson 1971 -- 75   Max Richardson 1977   Len Thompson 1978   Ray Shaw 1979 -- 80   Peter Moore 1981 -- 82   Mark Williams 1983 -- 86   Tony Shaw 1987 -- 93   Gavin Brown 1994 -- 98   Nathan Buckley 1999 -- 2007   Scott Burns 2008   Nick Maxwell 2009 -- 2013   Scott Pendlebury 2014 --         Current playing list ( edit )     Collingwood Football Club   view   talk         Senior list   Rookie list   Coaching staff       2 Jordan De Goey   3 Daniel Wells   4 Brodie Grundy   5 Jamie Elliott   6 Tyson Goldsack   7 Adam Treloar   8 Tom Langdon   10 Scott Pendlebury ( c )   12 Matthew Scharenberg   13 Taylor Adams   14 James Aish   15 Lynden Dunn   16 Chris Mayne   17 Callum Brown   18 Travis Varcoe   19 Levi Greenwood   20 Ben Reid   21 Tom Phillips         22 Steele Sidebottom ( vc )   24 Josh Thomas   25 Jack Crisp   26 Josh Daicos   28 Nathan Murphy   30 Darcy Moore   32 Will Hoskin - Elliott   33 Rupert Wills   34 Tyler Brown   35 Jaidyn Stephenson   36 Brayden Sier   37 Brayden Maynard   38 Jeremy Howe   39 Ben Crocker   46 Mason Cox   Dayne Beams   Jordan Roughead             31 Flynn Appleby   41 Brody Mihocek   44 Jack Madgen ( B )   45 Max Lynch   Mark Keane ( B )   Anton Tohill ( B )        Head coach    Nathan Buckley    Assistant coaches    Justin Longmuir ( defence )   Robert Harvey ( midfield )   Brenton Sanderso</t>
  </si>
  <si>
    <t xml:space="preserve">when was the last time collingwood played finals</t>
  </si>
  <si>
    <t xml:space="preserve"> In 2018 Collingwood made the finals for the first time since 2013 , finishing in third place behind West Coast and Richmond . Losing the Second Qualifying Final to West Coast , they went on to beat GWS and the reigning premiers Richmond to reach the 2018 Grand Final , where they were defeated 79 - 74 by the West Coast Eagles . </t>
  </si>
  <si>
    <t xml:space="preserve">Fox Mulder - wikipedia  Fox Mulder     Fox Mulder     The X-Files character         First appearance   `` Pilot '' ( September 10 , 1993 )     Portrayed by   David Duchovny     City   Washington , D.C.     Information     Occupation   FBI Special Agent     Family   The Smoking Man ( biological father ) Teena Mulder ( mother ) Bill Mulder ( legal father ) Jeffrey Spender ( paternal half - brother ) Samantha Mulder ( maternal half - sister ) William Scully ( son ) Unborn Child     Partners   Dana Scully     Affiliations   John Doggett Monica Reyes Walter Skinner The Lone Gunmen     Duration   1993 -- 2002 , 2008 , 2016 , 2018 --     Seasons   1 2 3 4 5 6 7 8 9 10 11     Films   The X-Files , The X-Files : I Want to Believe     FBI Special Agent Fox William Mulder ( / ˈmʌldər / ) is a fictional character in the Fox science fiction - supernatural television series The X-Files , played by David Duchovny . Mulder 's peers consider his ( often correct ) theories on extraterrestrial activity as spooky and far - fetched . With his FBI partner Dana Scully , he works in the X-Files office , which is concerned with cases with particularly mysterious or possibly paranormal circumstances that were left unsolved and shelved by the FBI . Mulder was a main character for the first seven seasons , but was limited to a recurring character for the following two seasons . He returns as a main character for the tenth and eleventh seasons .   Mulder made his first appearance in the first season pilot episode , broadcast in 1993 . Mulder believes in extraterrestrial unidentified flying objects ( UFOs ) and a government conspiracy to hide or deny the truth of their existence . Mulder considers the X-Files and the truth behind the supposed conspiracy so important that he has made them the main focus of his life .   Contents  ( hide )   1 Character arc   1.1 Characterization   1.2 Relationships   1.3 Appearance     2 Conceptual history   3 Reception   4 References   5 External links    Character arc ( edit )   Mulder was born on October 13 , 1961 in Chilmark , Massachusetts . The mysterious disappearance of Mulder 's sister and his ensuing search for her became the consuming drive of his life . In 1982 , Mulder graduated with first class honours from University of Oxford with a Bachelor of Science degree in psychology . He then graduated with honors from the Quantico FBI Training Academy in 1984 . Mulder joined the FBI on October 24 , 1984 . On graduating from the Academy , Mulder began his work in the Behavioral Science Unit ( psychological profiling ) under Agent Bill Patterson , with whom he had a testy relationship .   In 1988 , the FBI assigned Mulder to the Violent Crimes Unit . Around this time , Mulder first came across the X-Files , an obscure FBI section dealing with cases relating to the paranormal ; he pored over these cases in his spare time , becoming obsessed with them . In 1991 , Mulder re-opened the X-Files with Special agent Diana Fowley , but Fowley left shortly thereafter . Mulder investigated the X-Files by himself until March 1992 , when Dana Scully , an instructor at the FBI Academy 's Forensic Science Research and Training Center , was partnered with him for the purpose of applying scientific reasoning to Mulder 's work and theories .   Mulder 's ultimate goal was to uncover what he believed to be a government conspiracy to hide the truth about alien life , and to find out what had happened to his sister . His quest and belief in the existence of aliens was , for most of the series , the driving force of the plot , or mytharc . However , during a period of time after Scully 's cancer went into remission ( season 5 ) , Mulder was convinced by Michael Kritschgau that aliens did not in fact exist , and that the government conspirators had merely concocted that threat as a smokescreen , to justify military activities and toy with him .   During the seventh season , Mulder eventually discovers the truth about his sister . Samantha was abducted ( either by the alien colonists or the government conspirators ) , and various tests were performed on her . She was then returned to The Smoking Man to live out her life under his supervision , all the while undergoing additional tests . She was unable to bear the testing any longer so she ran away from her home and was eventually admitted to a nearby hospital , where she disappeared from her locked room . It is revealed that Samantha was taken by `` spiritual intervention '' , with the help of beings called `` Walk - ins '' . Mulder is briefly reunited with Samantha 's spirit .   Mulder was also abducted by the aliens himself in 2000 , and returned to Earth , almost dead , a few months later . He had been infected by an alien virus ( for the second time ) , but Scully found a way to rescue him . After Mulder returned home to his apartment , an application was submitted to the FBI for his reinstatement to the X-Files but this was declined by Deputy Director Alvin Kersh , who had been promoted in charge of the X-Files shortly after Mulder had been abducted . He returned to work for a brief period of time , but was eventually fired for failure to follow orders not to investigate any X-Files . After Scully gave birth to William , Mulder went into hiding in New Mexico after Kersh said his life was in danger .   After about a year in hiding , Mulder obtains crucial information from a secret facility about the date of the planned alien colonization effort , but is caught and put on trial for the murder of Knowle Rohrer . Despite a defense organized by Walter Skinner with numerous witnesses , the judges sentence Mulder to death . With help from several people , including a reformed Kersh and the ghost of Alex Krycek , Mulder breaks out of prison and escapes with Scully . As of the series finale , Mulder and Scully were on the run . Six years after the events of the ninth season , Fox Mulder 's fugitive status is clear . Scully mentions that he is wanted by the FBI and dialogue also shows that the FBI does not really want to find him and is simply happy to have him `` out of their hair '' . He is called to assist with the investigation of a missing FBI agent . In exchange for his help , all charges against him are dropped .   Seven years later , Mulder returns to the FBI when the X-Files is re-opened , in order to look into a government conspiracy , when it transpires they have been using alien technology . Along with Scully , they investigate several cases together like they had done originally . Six weeks after their return to the X-Files , Mulder confronts an alive Smoking Man to try and prevent him carrying out a plan to depopulate the United States using a virus applied to smallpox vaccines . In a vision of Scully 's , Mulder falls sick to the disease , but refuses the Smoking Man 's help and his proposal to join his elite . Mulder is saved by Agent Miller and they regroup with Scully , however , she says Mulder needs a blood transfusion and only their son can give it to them . At that moment , an unidentified flying object hovers over the trio , which is where season ten ends . The beginning of season eleven reveals this vision came from Scully 's son , William . Over the course of season eleven , Scully and Mulder search for William . Skinner learns from the Smoking Man , that the Smoking Man , who is Mulder 's father , also artificially impregnated Scully , and thus is William 's father as well . In the third episode of the eleventh season , `` Plus One '' , Scully and Mulder are intimate again . In the season 11 finale , `` My Struggle IV '' , she reveals to Mulder that she is pregnant with his child .   Characterization ( edit )     `` If there was a profiler like himself profiling him he would have to work from the fact that he has some oral fixation because he is constantly popping sunflower seeds . He does n't have a bedroom , you 've never seen him in his bed , you 've seen him sleeping only in the couch . ''     -- David Duchovny talking about his character .     Despite his aloofness and cynical sense of humor , Mulder displays unbridled enthusiasm and interest when it comes to the paranormal , especially because of his personal involvement after his sister 's abduction . Walter Skinner and other FBI officials have become concerned by his unprofessional behavior . This only proves true as Mulder makes a habit of letting his personal feelings cloud his judgment ; his emotional attachment to UFO cases becomes more severe throughout the series , because of Dana Scully 's eventual abduction and resultant cancer as well as his sister 's abduction . Mulder can lose his temper when Scully is involved ; on multiple occasions , he has become violent in his grief and unreserved in threatening physical force . Mulder 's overprotectiveness of Scully stems not only from his obvious devotion and love for her , but also a long - harbored guilt ; Mulder has admitted feeling indirectly responsible for the ordeals and tragedies Scully had gone through because of their investigations .   In the episode `` Drive '' , Mulder facetiously apologizes on behalf of the `` international Jewish conspiracy '' in response to the abusive and anti-Semitic tirades of a suspect , to which Mulder appears to take offense ; the suspect also guesses Mulder 's ethnicity is Jewish based on his last name . Despite this , in the episode `` Kaddish '' , Mulder is unable to identify a Talmudic book , states that he does not know Hebrew , and quips that Jesus returned from the dead . Also , Mulder , as his father before him , had a Christian burial presided over by a Protestant minister following his apparent `` death '' in the episode `` Deadalive '' . This suggests he hails from a Protestant background , as Scully hails from a Catholic background . Mulder also seeks comfort in a Christian church following the events of the episode `` Conduit '' . Of course Mulder could conceivably be of a Jewish ethnic descent but a Christian background , perhaps through ancestral marriage or conversion . David Duchovny suggested Mulder is Jewish when interviewed during production of the second season . In the episode `` The Field Where I Died '' , Mulder went into a hypnotic trance and recalls a past life , where he is in a concentration camp during the Holocaust , and another where he was a Confederate soldier killed in the Battle of Chattanooga .   Mulder is almost never seen sleeping in a bed . The bedroom in his apartment ( which appeared as late as the sixth season of the show 's run ) is apparently used for storage and is filled floor to ceiling with junk , including a couple of boxes of pornographic magazines . Instead , Mulder sleeps on his couch , often falling asleep to a blaring television . Mulder can seem to go through manic periods when worried or working on a case , contributing to or exacerbating his insomniac tendencies . Since `` Dreamland II '' where a `` man in black '' body - swaps with Mulder and takes over his life , Mulder gets his bedroom renovated and equipped with a waterbed . In `` Monday '' he finds himself soaked through when his waterbed ( which he ca n't remember getting because Morris Fletcher got it in Dreamland ) is leaking .   Relationships ( edit )     `` He 's a guy who should be working , and he 's not working because he 's tried to make this relationship with Scully work . ''     -- David Duchovny in an interview talking about The X-Files : I Want to Believe .     Mulder had a rather strained relationship with his parents Bill and Teena Mulder , not least thanks to the X-Files . Initially , he had no idea his father was involved in the conspiracy and Samantha 's disappearance . Bill , who became disenchanted with the shadow government and his own role in the conspiracy , eventually approached Fox about his past deeds , but was shot and killed by Alex Krycek -- working as an assassin for the Syndicate -- before he could reveal any great amount of information . Over the next few years , Mulder got into several conflicts with his mother while trying to discover the extent of her own knowledge of his father 's precise involvement . Teena dies of an apparent suicide , when the stress of Samantha 's abduction finally becomes too painful .   During the last years of his work on the X-Files , Mulder was even forced to doubt that Bill was his true father . He is led to consider the possibility that his mother had had an affair with the Smoking Man , a connection which may have resulted in the birth of either Samantha or Mulder himself . The possibility was hinted at later in the series , and Jeffrey Spender , who certainly was the Smoking Man 's son , said that Mulder was his half - brother . In the ninth season , `` William '' explains that Spender and Mulder have very similar DNA , providing strong evidence that they do have the same father .   During his studies at Oxford , around the year of 1983 , he was dating Phoebe Green ; future investigator of Metropolitan Police Service ( season 1 , episode 11 , Fire ) . When he started his work on The X-Files , around 1991 , he was close with his current partner ; Diana Fowley ( season 5 , episode 20 , The End ) . None of those remained longterm and stable .   Mulder 's closest friend was FBI partner Dana Scully , who was assigned to `` debunk ( his ) work '' by the conspirators and the FBI brass . But against their intentions , her loyalties quickly became affixed to Mulder 's quest and Mulder himself , a connection which seemed to pull Mulder 's work out of obscurity , as Scully 's scientific bent afforded them a certain amount of credibility . Their intense professional and personal relationship continued to strengthen through the years . While the relationship was platonic for the greater part of the series , there are clues that it developed into a romantic one by the last few seasons . Mulder and Scully almost always called each other by their surnames -- Mulder purportedly hated his first name , but Scully had no such aversion . At the fourth episode of season seven the romantic undertones were confirmed when the two shared a kiss . In the series finale , the very last scene depicted Mulder and Scully after running away together , in bed together , contemplating what the future held . In the season 11 finale Scully revealed to be pregnant with his unborn child .   Mulder 's greatest nemesis was The Smoking Man , who , despite his obvious ill - intent , seemed to hold Mulder in special regard . Though he mocked Mulder to his face for his foolishness and the futility of his quest , in `` Two Fathers '' , he told his son Jeffrey Spender , `` You pale to Fox Mulder . '' Mulder also developed an intense enmity for Alex Krycek , a double agent who briefly worked with Mulder in the FBI as an infiltrator , and who continued to serve as a recurring adversary , acting as an assassin for the Syndicate in the murders of Bill Mulder and Melissa Scully .   Appearance ( edit )   Duchovny portrays Mulder as a series regular for the first seven seasons of the show . Duchovny left the show following the seventh - season finale `` Requiem '' , wherein he was abducted by aliens . Although he makes a handful of cameos in the first part of season eight -- most notably in the episodes `` Within '' , `` Without '' , `` The Gift '' , and `` Per Manum '' -- Mulder is returned by the aliens and the latter part of the season deals with his death , subsequent resurrection , and his departure from the FBI . After the conclusion of the eighth season , Duchovny left the show , and only appeared in four ninth - season episodes : `` Trust No 1 '' , `` Jump the Shark '' , `` William '' , and `` The Truth '' . Duchovny 's appearances in `` Trust No 1 '' and `` Jump the Shark '' were via archival footage , and he only made a small cameo in the third . However , his appearance in `` The Truth '' , the program 's series finale , was substantial , and Duchovny was once again listed in the credits as starring .   Conceptual history ( edit )  Duchovny portrayed Mulder , the main character in the first seven seasons and the tenth season , as well as a recurring character in the eighth and ninth seasons .  David Duchovny had worked in Los Angeles three years prior to The X-Files . At first he wanted to base his acting career around films , but in 1993 his manager Melanie Green gave him a script of the `` pilot episode '' of The X-Files . Green and Duchovny were both convinced it was a good script , so Duchovny auditioned for the lead . When Duchovny was auditioning for the part of Fox Mulder , he made a `` terrific '' audition , but talked rather slowly . Chris Carter thought that he was a `` good judge of character '' , and thought that Duchovny was n't too `` bright '' . So he talked to Duchovny and asked him if he could `` please '' imagine himself as an FBI agent for the `` future '' weeks . The casting director of the show was very positive about him , while according to Carter , Duchovny turned out to be one of the best - read people he knew . After getting the role , Duchovny thought the show would n't last for long or that it would n't make as much impact as it did .   Carter has said that he named Mulder after his mother 's maiden name . His first name , Fox , was actually not a tribute to the Fox network which aired The X-Files , as often assumed - Carter said he had a childhood friend named Fox . When Duchovny got the script many of his characteristics were `` fully formed '' . Executive producer Frank Spotnitz called portraying actor Duchovny `` amazingly smart '' . He further stated that Duchovny was behind some of the main characteristic ideas behind Mulder .   At the end of the seventh season Duchovny was in negotiations with the Fox network , saying he wanted more money ( while not saying how much ) and an improved work schedule , among other issues . After settling his contract dispute , portraying actor Duchovny quit full - time participation in the show after the seventh season . This contributed to uncertainties over the likelihood of an eighth season . Carter and most fans felt the show was at its natural endpoint with Duchovny 's departure , but it was decided Mulder would be abducted at the end of the seventh season , leaving things open for the actor 's return in 12 episodes the following year . Duchovny 's character Mulder was replaced by John Jay Doggett ( portrayed by Robert Patrick ) . In season nine , Duchovny was n't available for shooting , so he only appeared in three episodes with small cameos , the first being an archive footage only in `` Trust No 1 '' , a brief cameo in `` William '' , which he also directed and appeared full - time in the series finale , `` The Truth '' .   After the show ended , Carter and Frank Spotnitz started to talk about a movie sequel . Duchovny stated in an interview that very same year that it always had been a `` desire '' to come back to the franchise , saying it was a `` natural '' stage of development for the franchise to go to the cinema . When talking about Mulder in The X-Files : I Want to Believe , Duchovny said that he wanted to play him a `` little different '' . He continued saying that Mulder had `` lost every battle '' saying he was `` beaten down by life ( ... ) . He 's the same guy , but he is older Mulder '' .   Mulder had a brief cameo on The Lone Gunmen , an X-Files spin - off featuring the characters of the same name . He appeared on the episode `` All About Yves '' . In the Millennium episode `` Lamentation '' , the main character , Frank Black , visits the FBI Academy in Quantico , Virginia , and Mulder and Dana Scully are briefly seen descending a stairway . In fact , they are Duchovny and Andersons ' stand - ins .   Reception ( edit )   Duchovny was nominated for two Emmy Awards in 1997 and 1998 in the category `` Outstanding Lead Actor in a Drama Series '' , but lost . He was nominated for a Golden Globe Award in 1995 in the category `` Best Actor -- Drama Series '' . Two years later he was again nominated for a Golden Globe in the same category and won , in 1997 and 1998 he was nominated in the same category but did n't win . Duchovny has been nominated five times in the category `` Outstanding Actor -- Drama Series '' by the Screen Actors Guild awards but did n't win once . Duchovny won a Satellite Award in the category `` Best Actor -- Drama Series '' in 1997 , and was nominated once again 1998 .   Animated versions of Mulder appeared on The Simpsons and Eek ! the Cat ( both series which have been featured in episodes of The X-Files ) , in the episodes `` The Springfield Files '' and `` Eek Space - 9 '' , respectively . Both featured the voice acting of Duchovny . Duchovny appeared as Mulder on the sketch show Saturday Night Live with Molly Shannon as Scully , when he hosted an episode . Joining him was co-star Nicholas Lea , who would appear as Alex Krycek in a sketch that spoofed The X-Files .   New York Times writer Joyce Millman said that Twin Peaks character Special agent Dale Cooper could have been Mulder 's `` quirky ( ... ) spiritual twin '' if David Duchovny had n't appeared in the show earlier . When reviewing The X-Files : I Want to Believe , reviewer Moira Macdonald said it was a `` kick '' watching Duchovny and Gillian Anderson ( portrayed Dana Scully ) . Jesse Hassenger from PopMatters when reviewing season eight , was throughout negative to the new season , claiming that Patrick was miscast and calling David Duchovny 's appearances as Mulder shallow . Critics and fans alike have praised Duchovny and Anderson 's `` on - screen chemistry '' for years . Richard Corliss from Time magazine praised Duchovny for settling in his role so `` quickly '' and calling the character `` an obsessive plodder '' . Robert Patrick , the actor who replaced Duchovny as the male lead after the seventh season , commented that the chemistry Duchovny and Gillian Anderson had could only happen `` once in a lifetime '' .   TV Guide ranked Fox Mulder # 7 in its `` 50 Greatest Sci - Fi Legends '' list .   References ( edit )    ^ Jump up to : Kim Manners &amp; Michael Watkins ( directors ) ; Vince Gilligan , John Shiban &amp; Frank Spotnitz ( writers ) . `` Dreamland '' . The X-Files . Season 6 . Episode 4 &amp; 5 . Fox .   ^ Jump up to : William Gibson , Tom Maddox ( writers ) . `` Kill Switch '' . The X-Files . Season 5 . Episode 11 . Fox .   Jump up ^ Kim Manners ( director ) ; Vince Gilligan ( writer ) . `` Unusual Suspects '' . The X-Files . Season 5 . Episode 3 . Fox .   Jump up ^ Kim Manners ( director ) ; Howard Gordon ( writer ) . `` Grotesque '' . The X-Files . Season 3 . Episode 14 . Fox .   ^ Jump up to : Robert Mandel ( director ) ; Chris Carter ( writer ) . `` Pilot '' . The X-Files . Season 1 . Episode 1 . Fox .   Jump up ^ R.W. Goodwin ( director ) ; Chris Carter ( writer ) . `` The End '' . The X-Files . Season 5 . Episode 20 . Fox .   Jump up ^ R.W. Goodwin ( director ) ; Chris Carter ( writer ) . `` Gethsemane '' . The X-Files . Season 4 . Episode 24 . Fox .   Jump up ^ R.W. Goodwin &amp; Kim Manners ( directors ) ; Chris Carter ( writer ) . `` Redux '' . The X-Files . Season 5 . Episode 1 &amp; 2 . Fox .   ^ Jump up to : Kim Manners ( director ) ; Chris Carter &amp; Frank Spotnitz ( writers ) . `` Closure '' . The X-Files . Season 7 . Episode 11 . Fox .   Jump up ^ Kim Manners ( director ) ; Chris Carter ( writer ) . `` Requiem '' . The X-Files . Season 7 . Episode 22 . Fox .   ^ Jump up to : Tony Wharmby ( director ) ; Chris Carter &amp; Frank Spotnitz ( writers ) . `` Deadalive '' . The X-Files . Season 8 . Episode 15 . Fox .   Jump up ^ Tony Wharmby ( director ) ; Chris Carter &amp; Frank Spotnitz ( writers ) . `` Three Words '' . The X-Files . Season 8 . Episode 16 . Fox .   Jump up ^ Rod Hardy ( director ) ; Steven Maeda ( writer ) . `` Vienen '' . The X-Files . Season 8 . Episode 17 . Fox .   ^ Jump up to : Kim Manners ( director ) ; Chris Carter ( writer ) . `` Existence '' . The X-Files . Season 8 . Episode 21 . Fox .   Jump up ^ Kim Manners ( director ) ; Chris Carter ( writer ) . `` The Truth '' . The X-Files . Season 9 . Episode 19 &amp; 20 . Fox .   Jump up ^ Chris Carter ( director ) ; Chris Carter &amp; Frank Spotnitz ( writers ) . `` I Want to Believe '' . The X-Files . Episode 2 . Fox .   Jump up ^ Carter , Chris , Anderson , Gillian , Duchovny , David , B. Davis , William and Williams , Steven ( 1998 ) . Inside The X-Files ( Season 5 ) ( DVD ) . Fox Home Entertainment .   Jump up ^ Kim Manners ( director ) ; Vince Gilligan , John Shiban &amp; Frank Spotnitz ( writers ) . `` Emily '' . The X-Files . Season 5 . Episode 7 . Fox .   Jump up ^ Rob Bowman ( director ) ; Vince Gilligan ( writer ) . `` Drive '' . The X-Files . Season 6 . Episode 2 . Fox .   Jump up ^ Kim Manners ( director ) ; Howard Gordon ( writer ) . `` Kaddish '' . The X-Files . Season 4 . Episode 15 . Fox .   ^ Jump up to : R.W. Goodwin ( director ) ; Chris Carter ( writer ) . `` The Blessing Way '' . The X-Files . Season 3 . Episode 1 . Fox .   Jump up ^ Michael Lange ( director ) ; Howard Gordon &amp; Chris Carter ( writers ) . `` Miracle Man '' . The X-Files . Season 1 . Episode 18 . Fox .   Jump up ^ Daniel Sackheim ( director ) ; Alex Gansa &amp; Howard Gordon ( writers ) . `` Conduit '' . The X-Files . Season 1 . Episode 4 . Fox .   Jump up ^ `` The Truth Is Out There : The Official Guide to the X-Files Vol. 1 '' , by Brian Lowry , Chris Carter . Harper Paperbacks , 1995 .   ^ Jump up to : David Nutter ( director ) ; Glen Morgan &amp; James Wong ( writers ) . `` Tooms '' . The X-Files . Season 1 . Episode 21 . Fox .   Jump up ^ Kim Manners ( director ) ; Vince Gilligan &amp; John Shiban ( writers ) . `` Monday '' . The X-Files . Season 6 . Episode 14 . Fox .   Jump up ^ Utichi , Jon ( August 1 , 2008 ) . `` David Duchovny on The X-Files , Californication and Directing '' . Rotten Tomatoes . Retrieved July 11 , 2009 .   ^ Jump up to : R.W. Goodwin ( director ) ; Chris Carter ( writer ) . `` Anasazi '' . The X-Files . Season 2 . Episode 25 . Fox .   Jump up ^ R.W. Goodwin ( director ) ; Chris Carter &amp; Frank Spotnitz ( writers ) . `` Sein Und Zeit '' . The X-Files . Season 7 . Episode 10 . Fox .   Jump up ^ R.W. Goodwin ( director ) ; Chris Carter &amp; David Duchovny ( writers ) . `` Talitha Cumi '' . The X-Files . Season 3 . Episode 24 . Fox .   Jump up ^ David Duchovny ( director ) ; David Duchovny , Frank Spotnitz &amp; Chris Carter ( writers ) . `` William '' . The X-Files . Season 9 . Episode 16 . Fox .   ^ Jump up to : Kim Manners ( director ) ; Chris Carter &amp; Frank Spotnitz ( writers ) . `` Two Fathers '' . The X-Files . Season 6 . Episode 11 . Fox .   Jump up ^ Rob Bowman ( director ) ; Howard Gordon ( writer ) . `` Sleepless '' . The X-Files . Season 2 . Episode 4 . Fox .   ^ Jump up to : `` Inside the actor 's studio -- David Duchovny ( part 1 ) '' . Youtube . Retrieved July 12 , 2009 .   Jump up ^ Carter , Chris . `` Casting Mulder '' . BBC News . Retrieved July 12 , 2009 .   Jump up ^ Lowry , Brian ( 1995 ) . The Truth is Out There : The Official Guide to the X-Files. Harper Prism . p. 11 . ISBN 0 - 06 - 105330 - 9 .   Jump up ^ Spotnitz , Frank . `` Amazingly Smart '' . BBC News . Retrieved July 12 , 2009 .   Jump up ^ Germain , David ( April 28 , 2000 ) . `` Scully , Mulder go Hollywood in Duchovny 's ' X-Files ' tale '' . The Associated Press . Retrieved July 9 , 2009 .   Jump up ^ `` Duchovny quits X-Files '' . BBC News . May 18 , 2001 . Retrieved July 5 , 2009 .   Jump up ^ Spencer , Russ ( April 28 , 2000 ) . `` A close encounter with Chris Carter '' . Salon . Archived from the original on August 19 , 2009 . Retrieved July 5 , 2009 .   Jump up ^ Elber , Lynn ( May 18 , 2000 ) . `` Fox Mulder ' Ready to Get Back to Work ' '' . Associated Press / Space . Retrieved July 5 , 2009 .   Jump up ^ Carter , Chris , Patrick , Robert , Spotnitz , Frank and Gish , Annabeth ( 2002 ) . The Truth Behind Season 9 ( DVD ) . Fox Home Entertainment .   Jump up ^ `` David Duchovny Wants To Believe '' . The Deadbolt . May 22 , 2002 . Retrieved July 10 , 2009 .   Jump up ^ Winrich Kolbe ( director ) ; Chris Carter ( writer ) . `` Lamentation '' . Millennium . Season 1 . Episode 18 . Fox .   Jump up ^ `` Advanced Primetime Awards Search '' . Academy of Television Arts &amp; Science . Retrieved July 10 , 2009 .   Jump up ^ `` X-Files , The '' . HFPA . Archived from the original on July 15 , 2009 . Retrieved July 10 , 2009 .   Jump up ^ `` 2nd Annual SAG Awards Nominees '' . Screen Actors Guild Award . Archived from the original on October 15 , 2008 . Retrieved July 10 , 2009 .   Jump up ^ `` 3rd Annual SAG Awards Nominees '' . Screen Actors Guild Award . Archived from the original on October 15 , 2008 . Retrieved July 10 , 2009 .   Jump up ^ `` 4th Annual SAG Awards Nominees '' . Screen Actors Guild Award . Archived from the original on September 7 , 2008 . Retrieved July 10 , 2009 .   Jump up ^ `` 5th Annual SAG Awards Nominees '' . Screen Actors Guild Award . Archived from the original on September 7 , 2008 . Retrieved July 10 , 2009 .   Jump up ^ `` 6th Annual SAG Awards Nominees '' . Screen Actors Guild Award . Archived from the original on January 23 , 2010 . Retrieved July 10 , 2009 .   Jump up ^ `` 1st Annual SATELLITE Awards ( 1997 ) '' . International Press Academy Satellite Award . Archived from the original on April 12 , 2009 . Retrieved July 10 , 2009 .   Jump up ^ `` 2nd Annual SATELLITE Awards ( 1998 ) '' . International Press Academy Satellite Award . Archived from the original on February 1 , 2008 . Retrieved October 23 , 2011 .   Jump up ^ `` David Duchovny on Saturday Night Live '' . Youtube . Retrieved July 12 , 2009 .   Jump up ^ Millman , Joyce ( May 19 , 2002 ) . `` TELEVISION / RADIO ; ' The X-Files ' Finds the Truth : Its Time Is Past '' . The New York Times . Retrieved July 9 , 2009 .   Jump up ^ Macdonald , Moira ( July 24 , 2008 ) . `` '' X-Files '' movie both satisfies and disappoints `` . The Seattle Times . Retrieved July 9 , 2009 .   Jump up ^ Hassenger , Jesse ( November 4 , 2003 ) . `` The X-Files : The Complete Eight Season '' . PopMatters . Retrieved July 5 , 2009 .   Jump up ^ `` Duchovny 's droll appeal '' . BBC . May 18 , 2001 . Retrieved July 9 , 2009 .   Jump up ^ Corliss , Richard ( July 24 , 2008 ) . `` '' X-Files '' Movie : For X-Philes Only `` . Time Magazine . Retrieved July 10 , 2009 .   Jump up ^ Manners , Kim and Patrick , Robert ( 2001 ) . Audio Commentary for `` Within '' ( DVD ) . Fox Home Entertainment .   Jump up ^ TV Guide Book of Lists . Running Press . 2007 . p. 168 . ISBN 0 - 7624 - 3007 - 9 .    External links ( edit )    The X-Files portal   Television in the United States portal   Fictional characters portal        Wikiquote has quotations related to : Fox Mulder       hide         The X-Files     The X-Files     Awards   Episodes   Season 1         5   6   7   8   9   10   11   Unmade     The X-Files ( film )   The X-Files : I Want to Believe   Mythology   Religion in The X-Files   Sources and analogues       Characters        Colonists   Minor   Samantha Mulder         X-files unit     Fox Mulder   Dana Scully   Walter Skinner   John Doggett   Monica Reyes   Brad Follmer   Jeffrey Spender   Alvin Kersh       Lone Gunmen     Jimmy Bond       Syndicate     Cigarette Smoking Man   Well - Manicured Man   Deep Throat   X   Marita Covarrubias   Alex Krycek   Men in Black          Merchandise      Games     Collectible Card Game   The X-Files Game   Unrestricted Access   Resist or Serve   Deep State       DVD releases     Volume 1   Volume 2   Volume 3   Volume 4   Revelations       Music     Theme   Songs in the Key of X   The Truth and the Light   The X-Files : Original Motion Picture Score   The X-Files : The Album   I Want to Believe : Original Motion Picture Score       Literature     The X-Files ( comics )   The X-Files Season 10   The X-Files Season 11          Related shows     Millennium   The Lone Gunmen   `` The Springfield Files ''         Book     Portal      Retrieved from `` https://en.wikipedia.org/w/index.php?title=Fox_Mulder&amp;oldid=849072869 '' Categories :   Fictional adoptees   Fictional atheists and agnostics   Fictional characters from Massachusetts   Fictional characters introduced in 1993   Fictional characters of the Federal Bureau of Investigation   Fictional paranormal investigators   Fictional people with eidetic memory   Fictional prison escapees   Fictional psychologists   The X-Files characters   Fictional University of Oxford people   Fictional American people of Dutch descent   Hidden categories :   Articles using Infobox character with multiple unlabeled fields           Talk                                           Cont</t>
  </si>
  <si>
    <t xml:space="preserve">who is mulder's father on the x files</t>
  </si>
  <si>
    <t xml:space="preserve">   Fox Mulder     The X-Files character         First appearance   `` Pilot '' ( September 10 , 1993 )     Portrayed by   David Duchovny     City   Washington , D.C.     Information     Occupation   FBI Special Agent     Family   The Smoking Man ( biological father ) Teena Mulder ( mother ) Bill Mulder ( legal father ) Jeffrey Spender ( paternal half - brother ) Samantha Mulder ( maternal half - sister ) William Scully ( son ) Unborn Child     Partners   Dana Scully     Affiliations   John Doggett Monica Reyes Walter Skinner The Lone Gunmen     Duration   1993 -- 2002 , 2008 , 2016 , 2018 --     Seasons   1 2 3 4 5 6 7 8 9 10 11     Films   The X-Files , The X-Files : I Want to Believe   </t>
  </si>
  <si>
    <r>
      <rPr>
        <sz val="11"/>
        <color rgb="FF000000"/>
        <rFont val="Calibri"/>
        <family val="0"/>
        <charset val="1"/>
      </rPr>
      <t xml:space="preserve">Whoopie pie - wikipedia  Whoopie pie     Whoopie pie       Alternative names   Black moon , gob , black - and - white , bob , BFO , Big Fat Oreo     Type   Cookie , pie , or cake     Place of origin   USA     Region or state   Contested     Main ingredients   Chocolate , pumpkin or gingerbread cake ; icing or Marshmallow creme     Cookbook : Whoopie pie Media : Whoopie pie     The whoopie pie ( alternatively called a black moon , gob ( term indigenous to the Pittsburgh region ) , black - and - white , bob , or `` BFO '' for Big Fat Oreo ( also recorded as `` Devil Dogs '' and `` Twins '' in 1835 ) ) is a US baked product that may be considered either a cookie , pie or cake . It is made of two round mound - shaped pieces of chocolate cake , or sometimes pumpkin or gingerbread cake , with a sweet , creamy filling or frosting sandwiched between them .   Contents    1 History   2 Origin controversy   3 See also   4 References    History ( edit )   While considered a New England classic and a Pennsylvania Amish tradition , they are increasingly sold throughout the United States .   The whoopie pie is the official state treat of Maine ( not to be confused with the official state dessert , which is blueberry pie ) .   Gob ( the term indigenous to the Pittsburgh region ) has been trademarked by the Dutch Maid Bakery in Johnstown . The owner , Tim Yost , bought the rights to the name and the process in 1980 .   The world 's largest whoopie pie was created in South Portland , Maine , on March 26 , 2011 , weighing in at 1,062 pounds . Pieces of the giant whoopie pie were sold and the money was used to send Maine - made whoopie pies to soldiers serving overseas . The previous record holder , from Pennsylvania , weighed 200 pounds .   The town of Dover - Foxcroft , in Piscataquis County , Maine , has hosted the Maine Whoopie Pie Festival since 2009 . In 2014 , more than 7,500 people attended the festival . The 2013 festival had eight different whoopie pie vendors in attendance . Bakers from across Maine compete for top whoopie pie in a number of categories .   Origin controversy ( edit )   Pennsylvania , Maine , Massachusetts , Virginia and New Hampshire all claim to be the birthplace of the whoopie pie . The Pennsylvania Dutch Convention &amp; Visitors Bureau notes that the whoopie pie recipe comes from the area 's Amish and Pennsylvania German culture -- origins that are unlikely to leave an official paper trail -- and has been handed down through generations . Labadie 's Bakery in Lewiston , Maine has been making the confection since 1925 . The now - defunct Berwick Cake Company of Roxbury , Massachusetts was selling `` Whoopee Pies '' as early as the 1920s , but officially branded the Whoopee Pie in 1928 to great success . Various claims suggest that the whoopie pie originated in Massachusetts and spread both north and south , or that German immigrants in Pennsylvania brought the predecessor of the whoopie pie to communities throughout the northeast . A clue into how the possibly Amish dessert got to be so popular in New England can be found in a 1930s cookbook called Yummy Book by the Durkee Mower Company , the manufacturer of Marshmallow Fluff . In this New England cookbook , a recipe for `` Amish Whoopie Pie '' was featured using Marshmallow Fluff in the filling .   In 2011 , the Maine State Legislature considered naming the whoopie pie the official state pie . The proposal received bipartisan support . L.D. 71 , officially known as `` An Act to Designate the Whoopie Pie as the State Dessert '' , read `` The whoopie pie , a baked good made of two chocolate cakes with a creamy frosting between them , is the official state dessert '' . The Maine Legislature eventually decided to declare the whoopie pie the official state treat , and chose blueberry pie ( made with wild Maine blueberries ) as the official state dessert .   See also ( edit )    Food portal     Macaron   Moon pie    References ( edit )    Jump up ^ Annual Report of the State of Massachusetts Infirmary. 3 . 1835 . p. 92 . Retrieved November 2 , 2013 .   ^ Jump up to : Maynard , Mcheline ( March 17 , 2009 ) . `` Whoopie ! Cookie , Pie or Cake , It 's Having Its Moment '' . The New York Times . Retrieved March 18 , 2009 .   Jump up ^ Stradley , Linda ( May 2 , 2015 ) . `` Whoopie Pie History and Recipe , Whats Cooking America '' . Whatscookingamerica.net . Retrieved July 19 , 2018 .   ^ Jump up to : Associated Press ( April 21 , 2011 ) . `` It 's the law : Whoopie pie official ' treat ' '' . Portland Press Herald . Retrieved April 21 , 2011 .   Jump up ^ `` Johnstown bakery owns rights to Gobs '' . Pittsburgh Post-Gazette . Retrieved July 19 , 2018 .   ^ Jump up to : `` Maine creates 1,062 pound Whoopie Pie '' . WHDH - TV . March 28 , 2011 . Retrieved April 21 , 2011 .   Jump up ^ Sharrow , Dan ( July 2 , 2014 ) . `` Over 7,500 People Celebrate the Maine Whoopie Pie '' . mainewhoopiepiefestival.com . Retrieved 7 June 2015 .   Jump up ^ Stapleton , Erica ( June 27 , 2014 ) . `` Bakers Prepare For Upcoming Whoopie Pie Festival in Dover - Foxcroft '' . WABI . Retrieved 7 June 2015 .   Jump up ^ `` Save Our Whoopie '' . PAdutchcountry.com . Retrieved 2011 - 03 - 02 .   Jump up ^ Pompilio , Natalie ( February 16 , 2011 ) . `` Whoopie pies : Maine treat or Lancaster Co. delight ? '' . Philly.com . Retrieved 2011 - 03 - 02 .   Jump up ^ `` Battle Brewing Over ' Whoopie Pies ' '' . Portland , Maine : WMTW.com . February 15 , 2011 . Retrieved 2011 - 03 - 02 .   Jump up ^ Stoneback , Diane W. `` Which state made the first whoopie pie ? '' . mcall.com . Tribune Company . Retrieved 25 August 2014 .   ^ Jump up to : Gorsegner , Michael ( February 18 , 2011 ) . `` Pennsylvanians upset over Maine 's claim to Whoopie Pie creation '' . Fox43.com . East Lampeter Township , Lancaster County , Pennsylvania . Archived from the original on July 11 , 2011 .   Jump up ^ `` Whoopie Pie , Whoopie Pie Recipe , Gob History , How To Make Whoopie Pies , Whoopie Pie History '' . Whatscookingamerica.net . March 12 , 2009 . Retrieved 2011 - 03 - 02 .   Jump up ^ `` Whoopie Pie History and Recipe , Gob History , How To Make Whoopie Pies , Whats Cooking America '' . whatscookingamerica.net . Retrieved 2016 - 06 - 03 .   Jump up ^ Cover , Susan M. ( January 18 , 2011 ) . `` Maine legislators sweet on whoopie pies '' . Portland Press Herald . Augusta , Maine . Retrieved March 5 , 2016 .        Wikimedia Commons has media related to Whoopie pies .               Snack cakes       Alfajor   Chocodile Twinkie   Choco pie   Ding Dong   Fudge Rounds   Gansito   Ho Hos   Hostess CupCake   Jaffa Cakes   Jos . Louis   May West   Moon pie   Pryanik   Sno Balls   Suzy Q   Twinkie   Wagon Wheels   Whoopie pie   Yodels   Zingers        Retrieved from `` https://en.wikipedia.org/w/index.php?title=Whoopie_pie&amp;oldid=851628399 '' Categories :   American desserts   Cookie sandwiches   Snack foods   Symbols of Maine   New England cuisine   Pennsylvania Dutch cuisine   Hidden categories :   All articles with dead external links   Articles with dead external links from December 2017   Articles with permanently dead external links   Use mdy dates from October 2012   All accuracy disputes   Articles with disputed statements from March 2016           Talk                                           Contents                   About Wikipedia                                                 Català   Dansk   Deutsch   Español   Nederlands   </t>
    </r>
    <r>
      <rPr>
        <sz val="11"/>
        <color rgb="FF000000"/>
        <rFont val="Noto Sans CJK SC"/>
        <family val="2"/>
      </rPr>
      <t xml:space="preserve">日本 語   </t>
    </r>
    <r>
      <rPr>
        <sz val="11"/>
        <color rgb="FF000000"/>
        <rFont val="Calibri"/>
        <family val="0"/>
        <charset val="1"/>
      </rPr>
      <t xml:space="preserve">Edit links   This page was last edited on 23 July 2018 , at 15 : 25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</si>
  <si>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name whoopie pie come from</t>
  </si>
  <si>
    <t xml:space="preserve"> Pennsylvania , Maine , Massachusetts , Virginia and New Hampshire all claim to be the birthplace of the whoopie pie . The Pennsylvania Dutch Convention &amp; Visitors Bureau notes that the whoopie pie recipe comes from the area 's Amish and Pennsylvania German culture -- origins that are unlikely to leave an official paper trail -- and has been handed down through generations . Labadie 's Bakery in Lewiston , Maine has been making the confection since 1925 . The now - defunct Berwick Cake Company of Roxbury , Massachusetts was selling `` Whoopee Pies '' as early as the 1920s , but officially branded the Whoopee Pie in 1928 to great success . Various claims suggest that the whoopie pie originated in Massachusetts and spread both north and south , or that German immigrants in Pennsylvania brought the predecessor of the whoopie pie to communities throughout the northeast . A clue into how the possibly Amish dessert got to be so popular in New England can be found in a 1930s cookbook called Yummy Book by the Durkee Mower Company , the manufacturer of Marshmallow Fluff . In this New England cookbook , a recipe for `` Amish Whoopie Pie '' was featured using Marshmallow Fluff in the filling . </t>
  </si>
  <si>
    <r>
      <rPr>
        <sz val="11"/>
        <color rgb="FF000000"/>
        <rFont val="Calibri"/>
        <family val="0"/>
        <charset val="1"/>
      </rPr>
      <t xml:space="preserve">List of European Cup and UEFA Champions League finals - wikipedia  List of European Cup and UEFA Champions League finals     List of European Cup and UEFA Champions League finals   European Cup / Champions League trophy     Founded   1955     Region   Europe ( UEFA )     Number of teams   32 ( group stage ) 2 ( finalists )     Current champions   Real Madrid ( 13th title )     Most successful club ( s )   Real Madrid ( 13 titles )     2017 -- 18 UEFA Champions League     The UEFA Champions League is a seasonal football competition established in 1955 . The UEFA Champions League is open to the league champions of all UEFA ( Union of European Football Associations ) member associations ( except Liechtenstein , which has no league competition ) , as well as to the clubs finishing from second to fourth position in the strongest leagues . Prior to the 1992 -- 93 season , the tournament was named the European Cup . Originally , only the champions of their respective national league and the defending champion of the competition were allowed to participate . However , this was changed in 1997 to allow the runners - up of the stronger leagues to compete as well . In the Champions League era , the defending champion of the competition did not automatically qualify until the rules were changed in 2005 to allow title holders Liverpool to enter the competition .   Teams that have won the UEFA Champions League three times in a row , or five times overall , receive a multiple - winner badge . Six teams have earned this privilege : Real Madrid , Ajax , Bayern Munich , Milan , Liverpool and Barcelona . Until 2009 , clubs that had earned that badge were allowed to keep the European Champion Clubs ' Cup and a new one was commissioned ; since 2009 , the winning team each year has received a full - size replica of the trophy , while the original is retained by UEFA .   A total of 22 clubs have won the Champions League / European Cup . Real Madrid hold the record for the most victories , having won the competition 13 times , including the inaugural competition . They have also won the competition the most times in a row , winning it five times from 1956 to 1960 . Juventus have been runners - up the most times , losing seven finals . Atlético Madrid is the only team to reach three finals without having won the trophy while Reims and Valencia have finished as runners - up twice without winning . Spain has provided the most champions , with 18 wins from two clubs . Italy have produced 12 winners from three clubs and England have produced 12 winners from five clubs . English teams were banned from the competition for five years following the Heysel disaster in 1985 . The current champions are Real Madrid , who beat Liverpool in the 2018 final .   Contents    1 List of finals   2 Performances   2.1 By club   2.2 By nation     3 Venues   4 Notes   5 References    List of finals ( edit )   Key     Match was won during extra time     *   Match was won on a penalty shoot - out     &amp;   Match was won after a replay      The `` Season '' column refers to the season the competition was held , and wikilinks to the article about that season .   The wikilinks in the `` Score '' column point to the article about that season 's final game .    List of European Cup and UEFA Champions League finals   #   Season   Nation   Winners   Score   Runners - up   Nation   Venue   Att .       1955 -- 56   Spain   Real Madrid   4 -- 3   Reims   France   Parc des Princes , Paris   38,239       1956 -- 57   Spain   Real Madrid   2 -- 0   Fiorentina   Italy   Santiago Bernabéu Stadium , Madrid   124,000       1957 -- 58   Spain   Real Madrid   3 -- 2   Milan   Italy   Heysel Stadium , Brussels   67,000       1958 -- 59   Spain   Real Madrid   2 -- 0   Reims   France   Neckarstadion , Stuttgart   72,000     5   1959 -- 60   Spain   Real Madrid   7 -- 3   Eintracht Frankfurt   West Germany   Hampden Park , Glasgow   127,621     6   1960 -- 61   Portugal   Benfica   3 -- 2   Barcelona   Spain   Wankdorf Stadium , Bern   26,732     7   1961 -- 62   Portugal   Benfica   5 -- 3   Real Madrid   Spain   Olympisch Stadion , Amsterdam   61,257     8   1962 -- 63   Italy   Milan   2 -- 1   Benfica   Portugal   Wembley Stadium , London   45,715     9   1963 -- 64   Italy   Internazionale   3 -- 1   Real Madrid   Spain   Prater Stadium , Vienna   71,333     10   1964 -- 65   Italy   Internazionale   1 -- 0   Benfica   Portugal   San Siro , Milan   89,000     11   1965 -- 66   Spain   Real Madrid   2 -- 1   Partizan   Yugoslavia   Heysel Stadium , Brussels   46,745     12   1966 -- 67   Scotland   Celtic   2 -- 1   Internazionale   Italy   Estádio Nacional , Lisbon   45,000     13   1967 -- 68   England   Manchester United   4 -- 1   Benfica   Portugal   Wembley Stadium , London   92,225     14   1968 -- 69   Italy   Milan   4 -- 1   Ajax   Netherlands   Santiago Bernabéu Stadium , Madrid   31,782     15   1969 -- 70   Netherlands   Feyenoord   2 -- 1   Celtic   Scotland   San Siro , Milan   53,187     16   1970 -- 71   Netherlands   Ajax   2 -- 0   Panathinaikos   Greece   Wembley Stadium , London   83,179     17   1971 -- 72   Netherlands   Ajax   2 -- 0   Internazionale   Italy   De Kuip , Rotterdam   61,354     18   1972 -- 73   Netherlands   Ajax   1 -- 0   Juventus   Italy   Red Star Stadium , Belgrade   89,484     19   1973 -- 74   West Germany   Bayern Munich   4 -- 0   Atlético Madrid   Spain   Heysel Stadium , Brussels   72,047     20   1974 -- 75   West Germany   Bayern Munich   2 -- 0   Leeds United   England   Parc des Princes , Paris   48,374     21   1975 -- 76   West Germany   Bayern Munich   1 -- 0   Saint - Étienne   France   Hampden Park , Glasgow   54,864     22   1976 -- 77   England   Liverpool   3 -- 1   Borussia Mönchengladbach   West Germany   Stadio Olimpico , Rome   57,000     23   1977 -- 78   England   Liverpool   1 -- 0   Club Brugge   Belgium   Wembley Stadium , London   92,500     24   1978 -- 79   England   Nottingham Forest   1 -- 0   Malmö FF   Sweden   Olympiastadion , Munich   57,500     25   1979 -- 80   England   Nottingham Forest   1 -- 0   Hamburg   West Germany   Santiago Bernabéu Stadium , Madrid   51,000     26   1980 -- 81   England   Liverpool   1 -- 0   Real Madrid   Spain   Parc des Princes , Paris   48,360     27   1981 -- 82   England   Aston Villa   1 -- 0   Bayern Munich   West Germany   De Kuip , Rotterdam   46,000     28   1982 -- 83   West Germany   Hamburg   1 -- 0   Juventus   Italy   Olympic Stadium , Athens   73,500     29   1983 -- 84   England   Liverpool   1 -- 1 *   Roma   Italy   Stadio Olimpico , Rome   69,693     30   1984 -- 85   Italy   Juventus   1 -- 0   Liverpool   England   Heysel Stadium , Brussels   58,000     31   1985 -- 86   Romania   Steaua București   0 -- 0 *   Barcelona   Spain   Estadio Ramón Sánchez Pizjuán , Seville   70,000     32   1986 -- 87   Portugal   Porto   2 -- 1   Bayern Munich   West Germany   Prater Stadium , Vienna   57,500     33   1987 -- 88   Netherlands   PSV Eindhoven   0 -- 0 *   Benfica   Portugal   Neckarstadion , Stuttgart   68,000     34   1988 -- 89   Italy   Milan   4 -- 0   Steaua București   Romania   Camp Nou , Barcelona   97,000     35   1989 -- 90   Italy   Milan   1 -- 0   Benfica   Portugal   Prater Stadium , Vienna   57,558     36   1990 -- 91   Yugoslavia   Red Star Belgrade   0 -- 0 *   Marseille   France   Stadio San Nicola , Bari   56,000     37   1991 -- 92   Spain   Barcelona   1 -- 0   Sampdoria   Italy   Wembley Stadium , London   70,827     38   1992 -- 93   France   Marseille   1 -- 0   Milan   Italy   Olympiastadion , Munich   64,400     39   1993 -- 94   Italy   Milan   4 -- 0   Barcelona   Spain   Olympic Stadium , Athens   70,000     40   1994 -- 95   Netherlands   Ajax   1 -- 0   Milan   Italy   Ernst - Happel - Stadion , Vienna   49,730     41   1995 -- 96   Italy   Juventus   1 -- 1 *   Ajax   Netherlands   Stadio Olimpico , Rome   70,000     42   1996 -- 97   Germany   Borussia Dortmund   3 -- 1   Juventus   Italy   Olympiastadion , Munich   59,000     43   1997 -- 98   Spain   Real Madrid   1 -- 0   Juventus   Italy   Amsterdam Arena , Amsterdam   48,500     44   1998 -- 99   England   Manchester United   2 -- 1   Bayern Munich   Germany   Camp Nou , Barcelona   90,245     45   1999 -- 00   Spain   Real Madrid   3 -- 0   Valencia   Spain   Stade de France , Saint - Denis   80,000     46   2000 -- 01   Germany   Bayern Munich   1 -- 1 *   Valencia   Spain   San Siro , Milan   71,500     47   2001 -- 02   Spain   Real Madrid   2 -- 1   Bayer Leverkusen   Germany   Hampden Park , Glasgow   50,499     48   2002 -- 03   Italy   Milan   0 -- 0 *   Juventus   Italy   Old Trafford , Manchester   62,315     49   2003 -- 04   Portugal   Porto   3 -- 0   Monaco   France   Arena AufSchalke , Gelsenkirchen   53,053     50   2004 -- 05   England   Liverpool   3 -- 3 *   Milan   Italy   Atatürk Olympic Stadium , Istanbul   69,000     51   2005 -- 06   Spain   Barcelona   2 -- 1   Arsenal   England   Stade de France , Saint - Denis   79,610     52   2006 -- 07   Italy   Milan   2 -- 1   Liverpool   England   Olympic Stadium , Athens   63,000     53   2007 -- 08   England   Manchester United   1 -- 1 *   Chelsea   England   Luzhniki Stadium , Moscow   67,310     54   2008 -- 09   Spain   Barcelona   2 -- 0   Manchester United   England   Stadio Olimpico , Rome   62,467     55   2009 -- 10   Italy   Internazionale   2 -- 0   Bayern Munich   Germany   Santiago Bernabéu Stadium , Madrid   73,490     56   2010 -- 11   Spain   Barcelona   3 -- 1   Manchester United   England   Wembley Stadium , London   87,695     57   2011 -- 12   England   Chelsea   1 -- 1 *   Bayern Munich   Germany   Allianz Arena , Munich   62,500     58   2012 -- 13   Germany   Bayern Munich   2 -- 1   Borussia Dortmund   Germany   Wembley Stadium , London   86,298     59   2013 -- 14   Spain   Real Madrid   4 -- 1   Atlético Madrid   Spain   Estádio da Luz , Lisbon   60,976     60   2014 -- 15   Spain   Barcelona   3 -- 1   Juventus   Italy   Olympiastadion , Berlin   70,442     61   2015 -- 16   Spain   Real Madrid   1 -- 1 *   Atlético Madrid   Spain   San Siro , Milan   71,942     62   2016 -- 17   Spain   Real Madrid   4 -- 1   Juventus   Italy   Millennium Stadium , Cardiff   65,842     63   2017 -- 18   Spain   Real Madrid   3 -- 1   Liverpool   England   NSC Olimpiyskiy Stadium , Kiev   61,561     Upcoming finals     #   Season   Nation   Finalist   Match   Finalist   Nation   Venue       64   2018 -- 19             Wanda Metropolitano , Madrid       65   2019 -- 20             Atatürk Olympic Stadium , Istanbul       Performances ( edit )  See also : European Cup and UEFA Champions League records and statistics § General performances  By club ( edit )   Performance in the European Cup and UEFA Champions League by club           Club   Winners   Runners - up   Years won   Years runner - up     Real Madrid   13     1956 , 1957 , 1958 , 1959 , 1960 , 1966 , 1998 , 2000 , 2002 , 2014 , 2016 , 2017 , 2018   1962 , 1964 , 1981     Milan   7     1963 , 1969 , 1989 , 1990 , 1994 , 2003 , 2007   1958 , 1993 , 1995 , 2005     Bayern Munich   5   5   1974 , 1975 , 1976 , 2001 , 2013   1982 , 1987 , 1999 , 2010 , 2012     Liverpool   5     1977 , 1978 , 1981 , 1984 , 2005   1985 , 2007 , 2018     Barcelona   5     1992 , 2006 , 2009 , 2011 , 2015   1961 , 1986 , 1994     Ajax       1971 , 1972 , 1973 , 1995   1969 , 1996     Manchester United       1968 , 1999 , 2008   2009 , 2011     Internazionale       1964 , 1965 , 2010   1967 , 1972     Juventus     7   1985 , 1996   1973 , 1983 , 1997 , 1998 , 2003 , 2015 , 2017     Benfica     5   1961 , 1962   1963 , 1965 , 1968 , 1988 , 1990     Nottingham Forest     0   1979 , 1980   --     Porto     0   1987 , 2004   --     Celtic       1967   1970     Hamburg         1980     Steaua București       1986   1989     Marseille       1993   1991     Borussia Dortmund       1997   2013     Chelsea       2012   2008     Feyenoord     0   1970   --     Aston Villa     0   1982   --     PSV Eindhoven     0   1988   --     Red Star Belgrade     0   1991   --     Atlético Madrid   0     --   1974 , 2014 , 2016     Reims   0     --   1956 , 1959     Valencia   0     --   2000 , 2001     Fiorentina   0     --   1957     Eintracht Frankfurt   0     --   1960     Partizan   0     --   1966     Panathinaikos   0     --   1971     Leeds United   0     --       Saint - Étienne   0     --   1976     Borussia Mönchengladbach   0     --   1977     Club Brugge   0     --   1978     Malmö FF   0     --   1979     Roma   0     --   1984     Sampdoria   0     --   1992     Bayer Leverkusen   0     --   2002     Monaco   0     --       Arsenal   0     --   2006     By nation ( edit )   Ten different nations have won the Champions League , and thirteen nations have sent a team to the finals . Since the 1996 -- 97 season , however ( other than Porto 's win in 2003 -- 04 ) the winners have come from one of only four nations -- Spain ( 11 ) , England ( 4 ) , Italy ( 3 ) , and Germany ( 3 ) -- and ( other than Monaco 's performance in 2003 -- 04 ) the runners up have all come from the same four nations .   Performance by nation   Nation   Winners   Runners - up     Spain   18   11     Italy   12   16     England   12   8     Germany   7   10     Netherlands   6       Portugal     5     France     5     Romania         Scotland         Yugoslavia         Belgium   0       Greece   0       Sweden   0       Venues ( edit )   European Cup and UEFA Champions League final venues   Ground   Hosts   Years     Wembley Stadium , London   7   1963 , 1968 , 1971 , 1978 , 1992 , 2011 , 2013     Santiago Bernabéu Stadium , Madrid     1957 , 1969 , 1980 , 2010     Heysel Stadium , Brussels     1958 , 1966 , 1974 , 1985     Ernst - Happel - Stadion , Vienna     1964 , 1987 , 1990 , 1995     San Siro , Milan     1965 , 1970 , 2001 , 2016     Stadio Olimpico , Rome     1977 , 1984 , 1996 , 2009     Parc des Princes , Paris     1956 , 1975 , 1981     Hampden Park , Glasgow     1960 , 1976 , 2002     Olympiastadion , Munich     1979 , 1993 , 1997     Olympic Stadium , Athens     1983 , 1994 , 2007     Neckarstadion , Stuttgart     1959 , 1988     De Kuip , Rotterdam     1972 , 1982     Camp Nou , Barcelona     1989 , 1999     Stade de France , Saint - Denis     2000 , 2006     Atatürk Olympic Stadium , Istanbul     2005     Wankdorf Stadium , Bern     1961     Olympisch Stadion , Amsterdam     1962     Estádio Nacional , Lisbon     1967     Red Star Stadium , Belgrade     1973     Estadio Ramón Sánchez Pizjuán , Seville     1986     Stadio San Nicola , Bari     1991     Amsterdam Arena , Amsterdam     1998     Old Trafford , Manchester     2003     Arena AufSchalke , Gelsenkirchen         Luzhniki Stadium , Moscow     2008     Allianz Arena , Munich     2012     Estádio da Luz , Lisbon     2014     Olympiastadion , Berlin     2015     Millennium Stadium , Cardiff     2017     NSC Olimpiyskiy Stadium , Kiev     2018     Wanda Metropolitano , Madrid     2019     Notes ( edit )   A . The first final , played two days earlier , ended 1 -- 1 after extra time .   B. Score was 1 -- 1 after 90 minutes and extra time . Liverpool won the penalty shoot - out 4 -- 2 .   C. Score was 0 -- 0 after 90 minutes and extra time . Steaua București won the penalty shoot - out 2 -- 0 .   D. Score was 0 -- 0 after 90 minutes and extra time . PSV Eindhoven won the penalty shoot - out 6 -- 5 .   E. Score was 0 -- 0 after 90 minutes and extra time . Red Star Belgrade won the penalty shoot - out 5 -- 3 .   F. Score was 1 -- 1 after 90 minutes and extra time . Juventus won the penalty shoot - out 4 -- 2 .   G. Score was 1 -- 1 after 90 minutes and extra time . Bayern Munich won the penalty shoot - out 5 -- 4 .   H. Score was 0 -- 0 after 90 minutes and extra time . Milan won the penalty shoot - out 3 -- 2 .   I. Score was 3 -- 3 after 90 minutes and extra time . Liverpool won the penalty shoot - out 3 -- 2 .   J. Score was 1 -- 1 after 90 minutes and extra time . Manchester United won the penalty shoot - out 6 -- 5 .   K. Score was 1 -- 1 after 90 minutes and extra time . Chelsea won the penalty shoot - out 4 -- 3 .   L. Score was 1 -- 1 after 90 minutes and extra time . Real Madrid won the penalty shoot - out 5 -- 3 .   References ( edit )   General    `` European Champions ' Cup '' . Rec . Sport . Soccer Statistics Foundation ( RSSSF ) . 31 May 2012 . Retrieved 13 July 2012 .   `` European Champion Clubs ' Cup -- History '' ( PDF ) . UEFA.com . Union of European Football Associations . p. 64 . Retrieved 7 March 2013 .    Specific    ^ Jump up to : `` Football 's top club competition '' . UEFA.com . Union of European Football Associations . Retrieved 7 November 2014 .   Jump up ^ `` Competition format '' . UEFA.com . Union of European Football Associations. 18 June 2010 . Retrieved 8 July 2010 .   Jump up ^ `` 1997 / 98 : Seventh heaven for Madrid '' . UEFA.com . Union of European Football Associations. 30 April 2010 . Retrieved 8 July 2010 .   Jump up ^ `` Liverpool get in Champions League '' . BBC Sport . British Broadcasting Corporation . 10 June 2005 . Retrieved 8 July 2010 .   Jump up ^ `` UEFA Champions League Museum '' ( PDF ) . UEFA.com . Union of European Football Associations . p. 10 . Retrieved 22 June 2015 .   Jump up ^ Vieli , André , ed . ( October 2005 ) . `` A brand - new trophy '' ( PDF ) . UEFA Direct . Union of European Football Associations ( 42 ) : 8 . Retrieved 7 July 2010 .   Jump up ^ `` Regulations of the UEFA Champions League 2007 / 08 '' ( PDF ) . UEFA.com . Union of European Football Associations . Archived from the original ( PDF ) on 12 March 2007 . Retrieved 7 July 2010 .   Jump up ^ `` Regulations of the UEFA Champions ' League 2009 / 10 '' ( PDF ) . UEFA.com . Union of European Football Associations . Retrieved 20 October 2012 .   Jump up ^ Haslam , Andrew ( 27 May 2009 ) . `` Spain savour European pre-eminence '' . UEFA.com . Union of European Football Associations . Retrieved 7 July 2010 .   Jump up ^ `` 1985 : English teams banned after Heysel '' . BBC News . British Broadcasting Corporation . 31 May 1985 . Retrieved 8 August 2006 .   Jump up ^ `` UEFA Champions League -- Statistics Handbook 2012 / 13 '' ( PDF ) . UEFA.com . Union of European Football Associations . p. 141 . Retrieved 22 September 2013 .   Jump up ^ `` 1973 / 74 : Muller ends Bayern wait '' . UEFA.com . Union of European Football Associations. 15 May 1974 . Retrieved 28 February 2012 .   Jump up ^ `` 1983 / 84 : Kennedy spot on for Liverpool '' . UEFA.com . Union of European Football Associations. 30 May 1984 . Retrieved 28 February 2012 .   Jump up ^ `` 1985 / 86 : Steaua stun Barcelona '' . UEFA.com . Union of European Football Associations. 7 May 1986 . Retrieved 28 February 2012 .   Jump up ^ `` 1987 / 88 : PSV prosper from Oranje boom '' . UEFA.com . Union of European Football Associations. 25 May 1988 . Retrieved 28 February 2012 .   Jump up ^ `` 1990 / 91 : Crvena Zvezda spot on '' . UEFA.com . Union of European Football Associations. 29 May 1991 . Retrieved 28 February 2012 .   Jump up ^ `` 1995 / 96 : Juve hold their nerve '' . UEFA.com . Union of European Football Associations. 22 May 1996 . Retrieved 28 February 2012 .   Jump up ^ `` 2000 / 01 : Kahn saves day for Bayern '' . UEFA.com . Union of European Football Associations. 23 May 2001 . Retrieved 28 February 2012 .   Jump up ^ `` 2002 / 03 : Shevchenko spot on for Milan '' . UEFA.com . Union of European Football Associations. 28 May 2003 . Retrieved 28 February 2012 .   Jump up ^ `` 2004 / 05 : Liverpool belief defies Milan '' . UEFA.com . Union of European Football Associations. 25 May 2005 . Retrieved 28 February 2012 .   Jump up ^ `` 2007 / 08 : Fate favours triumphant United '' . UEFA.com . Union of European Football Associations. 21 May 2008 . Retrieved 28 February 2012 .   Jump up ^ `` Shoot - out win ends Chelsea 's long wait for glory '' . UEFA.com . Union of European Football Associations. 19 May 2012 . Retrieved 19 May 2012 .   Jump up ^ `` Spot - on Real Madrid defeat Atlético in final again '' . UEFA.com . Union of European Football Associations. 28 May 2016 . Retrieved 29 May 2016 .              UEFA club competitions winners     Men 's     Champions League   Cup Winners ' Cup   Europa League   Intertoto Cup   Super Cup   Intercontinental Cup       Women 's   Champions League               European Cup and UEFA Champions League winners     European Cup      1950s     1955 -- 56 : Real Madrid   1956 -- 57 : Real Madrid   1957 -- 58 : Real Madrid   1958 -- 59 : Real Madrid   1959 -- 60 : Real Madrid       1960s     1960 -- 61 : Benfica   1961 -- 62 : Benfica   1962 -- 63 : Milan   1963 -- 64 : Internazionale   1964 -- 65 : Internazionale   1965 -- 66 : Real Madrid   1966 -- 67 : Celtic   1967 -- 68 : Manchester United   1968 -- 69 : Milan   1969 -- 70 : Feyenoord       1970s     1970 -- 71 : Ajax   1971 -- 72 : Ajax   1972 -- 73 : Ajax   1973 -- 74 : Bayern Munich   1974 -- 75 : Bayern Munich   1975 -- 76 : Bayern Munich   1976 -- 77 : Liverpool   1977 -- 78 : Liverpool   1978 -- 79 : Nottingham Forest   1979 -- 80 : Nottingham Forest       1980s     1980 -- 81 : Liverpool   1981 -- 82 : Aston Villa   1982 -- 83 : Hamburg   1983 -- 84 : Liverpool   1984 -- 85 : Juventus   1985 -- 86 : Steaua București   1986 -- 87 : Porto   1987 -- 88 : PSV   1988 -- 89 : Milan   1989 -- 90 : Milan       1990s     1990 -- 91 : Red Star Belgrade   1991 -- 92 : Barcelona          UEFA Champions League      1990s     1992 -- 93 : Marseille   1993 -- 94 : Milan   1994 -- 95 : Ajax   1995 -- 96 : Juventus   1996 -- 97 : Borussia Dortmund   1997 -- 98 : Real Madrid   1998 -- 99 : Manchester United   1999 -- 2000 : Real Madrid       2000s     2000 -- 01 : Bayern Munich   2001 -- 02 : Real Madrid   2002 -- 03 : Milan   2003 -- 04 : Porto   2004 -- 05 : Liverpool   2005 -- 06 : Barcelona   2006 -- 07 : Milan   2007 -- 08 : Manchester United   2008 -- 09 : Barcelona   2009 -- 10 : Internazionale       2010s     2010 -- 11 : Barcelona   2011 -- 12 : Chelsea   2012 -- 13 : Bayern Munich   2013 -- 14 : Real Madrid   2014 -- 15 : Barcelona   2015 -- 16 : Real Madrid   2016 -- 17 : Real Madrid   2017 -- 18 : Real Madrid            Finals   Winning managers   Winning players                 European Cup and UEFA Champions League Final venues     European Cup     Parc des Princes ( 1956 )   Santiago Bernabéu Stadium ( 1957 )   Heysel Stadium ( 1958 )   Neckarstadion ( 1959 )   Hampden Park ( 1960 )   Wankdorf Stadium ( 1961 )   Olympisch Stadion ( 1962 )   Wembley Stadium ( 1963 )   Prater Stadium ( 1964 )   San Siro ( 1965 )   Heysel Stadium ( 1966 )   Estádio Nacional ( 1967 )   Wembley Stadium ( 1968 )   Santiago Bernabéu Stadium ( 1969 )   San Siro ( 1970 )   Wembley Stadium ( 1971 )   De Kuip ( 1972 )   Red Star Stadium ( 1973 )   Heysel Stadium ( 1974 )   Parc des Princes ( 1975 )   Hampden Park ( 1976 )   Stadio Olimpico ( 1977 )   Wembley Stadium ( 1978 )   Olympiastadion ( Munich ) ( 1979 )   Santiago Bernabéu Stadium ( 1980 )   Parc des Princes ( 1981 )   De Kuip ( 1982 )   Olympic Stadium ( Athens ) ( 1983 )   Stadio Olimpico ( 1984 )   Heysel Stadium ( 1985 )   Estadio Ramón Sánchez Pizjuán ( 1986 )   Prater Stadium ( 1987 )   Neckarstadion ( 1988 )   Camp Nou ( 1989 )   Prater Stadium ( 1990 )   Stadio San Nicola ( 1991 )   Wembley Stadium ( 1992 )       UEFA Champions League     Olympiastadion ( Munich ) ( 1993 )   Olympic Stadium ( Athens ) ( 1994 )   Ernst - Happel - Stadion ( 1995 )   Stadio Olimpico ( 1996 )   Olympiastadion ( Munich ) ( 1997 )   Johan Cruyff Arena ( 1998 )   Camp Nou ( 1999 )   Stade de France ( 2000 )   San Siro ( 2001 )   Hampden Park ( 2002 )   Old Trafford ( 2003 )   Arena AufSchalke ( 2004 )   Atatürk Olympic Stadium ( 2005 )   Stade de France ( 2006 )   Olympic Stadium ( Athens ) ( 2007 )   Luzhniki Stadium ( 2008 )   Stadio Olimpico ( 2009 )   Santiago Bernabéu Stadium ( 2010 )   Wembley Stadium ( 2011 )   Allianz Arena ( 2012 )   Wembley Stadium ( 2013 )   Estádio da Luz ( 2014 )   Olympiastadion ( Berlin ) ( 2015 )   San Siro ( 2016 )   Millennium Stadium ( 2017 )   NSC Olimpiyskiy Stadium ( 2018 )   Wanda Metropolitano ( 2019 )   Atatürk Olympic Stadium ( 2020 )                 European Cup and UEFA Champions League        European Cup era , 1955 -- 1992     Seasons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Finals     1956   1957   1958   1959   1960   1961   1962   1963   1964   1965   1966   1967   1968   1969   1970   1971   1972   1973       1976   1977   1978   1979   1980   1981   1982     1984   1985   1986     1988   1989   1990   1991   1992             UEFA Champions League era , 1992 -- present     Seasons     1992 -- 93   1993 -- 94   1994 -- 95   1995 -- 96   1996 -- 97   1997 -- 98   1998 -- 99   1999 -- 2000   2000 -- 01   2001 -- 02   2002 -- 03   2003 -- 04   2004 -- 05   2005 -- 06   2006 -- 07   2007 -- 08   2008 -- 09   2009 -- 10   2010 -- 11   2011 -- 12   2012 -- 13   2013 -- 14   2014 -- 15   2015 -- 16   2016 -- 17   2017 -- 18   2018 -- 19   2019 -- 20       Finals     1993   1994   1995     1997   1998   1999   2000   2001   2002   2003     2005   2006   2007   2008   2009     2011   2012   2013   2014   2015   2016   2017   2018   2019   2020            History   Finals   Winning managers   Winning players     Records and statistics   Top scorers   Hat - tricks   Appearances   Performance comparison     Anthem   Broadcasters   Video games   Trophy        Retrieved from `` https://en.wikipedia.org/w/index.php?title=List_of_European_Cup_and_UEFA_Champions_League_finals&amp;oldid=856873580 '' Categories :   UEFA Champions League Finals   UEFA Champions League   European Champion Clubs ' Cup   Lists of association football matches   Hidden categories :   Use dmy dates from May 2013   Featured lists           Talk                                           Contents                   About Wikipedia                                             Azərbaycanca   Беларуская   Bosanski   Deutsch   فارسی   हिन्दी   Hrvatski   Bahasa Indonesia   Italiano   Norsk nynorsk   Polski   Português   Română   Русский   Suomi   Türkçe   Українська   Tiếng Việt   </t>
    </r>
    <r>
      <rPr>
        <sz val="11"/>
        <color rgb="FF000000"/>
        <rFont val="Noto Sans CJK SC"/>
        <family val="2"/>
      </rPr>
      <t xml:space="preserve">中文  </t>
    </r>
    <r>
      <rPr>
        <sz val="11"/>
        <color rgb="FF000000"/>
        <rFont val="Calibri"/>
        <family val="0"/>
        <charset val="1"/>
      </rPr>
      <t xml:space="preserve">11 more  Edit links   This page was last edited on 28 August 2018 , at 02 : 35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</si>
  <si>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has won back to back champions league</t>
  </si>
  <si>
    <t xml:space="preserve"> List of European Cup and UEFA Champions League finals   #   Season   Nation   Winners   Score   Runners - up   Nation   Venue   Att .       1955 -- 56   Spain   Real Madrid   4 -- 3   Reims   France   Parc des Princes , Paris   38,239       1956 -- 57   Spain   Real Madrid   2 -- 0   Fiorentina   Italy   Santiago Bernabéu Stadium , Madrid   124,000       1957 -- 58   Spain   Real Madrid   3 -- 2   Milan   Italy   Heysel Stadium , Brussels   67,000       1958 -- 59   Spain   Real Madrid   2 -- 0   Reims   France   Neckarstadion , Stuttgart   72,000     5   1959 -- 60   Spain   Real Madrid   7 -- 3   Eintracht Frankfurt   West Germany   Hampden Park , Glasgow   127,621     6   1960 -- 61   Portugal   Benfica   3 -- 2   Barcelona   Spain   Wankdorf Stadium , Bern   26,732     7   1961 -- 62   Portugal   Benfica   5 -- 3   Real Madrid   Spain   Olympisch Stadion , Amsterdam   61,257     8   1962 -- 63   Italy   Milan   2 -- 1   Benfica   Portugal   Wembley Stadium , London   45,715     9   1963 -- 64   Italy   Internazionale   3 -- 1   Real Madrid   Spain   Prater Stadium , Vienna   71,333     10   1964 -- 65   Italy   Internazionale   1 -- 0   Benfica   Portugal   San Siro , Milan   89,000     11   1965 -- 66   Spain   Real Madrid   2 -- 1   Partizan   Yugoslavia   Heysel Stadium , Brussels   46,745     12   1966 -- 67   Scotland   Celtic   2 -- 1   Internazionale   Italy   Estádio Nacional , Lisbon   45,000     13   1967 -- 68   England   Manchester United   4 -- 1   Benfica   Portugal   Wembley Stadium , London   92,225     14   1968 -- 69   Italy   Milan   4 -- 1   Ajax   Netherlands   Santiago Bernabéu Stadium , Madrid   31,782     15   1969 -- 70   Netherlands   Feyenoord   2 -- 1   Celtic   Scotland   San Siro , Milan   53,187     16   1970 -- 71   Netherlands   Ajax   2 -- 0   Panathinaikos   Greece   Wembley Stadium , London   83,179     17   1971 -- 72   Netherlands   Ajax   2 -- 0   Internazionale   Italy   De Kuip , Rotterdam   61,354     18   1972 -- 73   Netherlands   Ajax   1 -- 0   Juventus   Italy   Red Star Stadium , Belgrade   89,484     19   1973 -- 74   West Germany   Bayern Munich   4 -- 0   Atlético Madrid   Spain   Heysel Stadium , Brussels   72,047     20   1974 -- 75   West Germany   Bayern Munich   2 -- 0   Leeds United   England   Parc des Princes , Paris   48,374     21   1975 -- 76   West Germany   Bayern Munich   1 -- 0   Saint - Étienne   France   Hampden Park , Glasgow   54,864     22   1976 -- 77   England   Liverpool   3 -- 1   Borussia Mönchengladbach   West Germany   Stadio Olimpico , Rome   57,000     23   1977 -- 78   England   Liverpool   1 -- 0   Club Brugge   Belgium   Wembley Stadium , London   92,500     24   1978 -- 79   England   Nottingham Forest   1 -- 0   Malmö FF   Sweden   Olympiastadion , Munich   57,500     25   1979 -- 80   England   Nottingham Forest   1 -- 0   Hamburg   West Germany   Santiago Bernabéu Stadium , Madrid   51,000     26   1980 -- 81   England   Liverpool   1 -- 0   Real Madrid   Spain   Parc des Princes , Paris   48,360     27   1981 -- 82   England   Aston Villa   1 -- 0   Bayern Munich   West Germany   De Kuip , Rotterdam   46,000     28   1982 -- 83   West Germany   Hamburg   1 -- 0   Juventus   Italy   Olympic Stadium , Athens   73,500     29   1983 -- 84   England   Liverpool   1 -- 1 *   Roma   Italy   Stadio Olimpico , Rome   69,693     30   1984 -- 85   Italy   Juventus   1 -- 0   Liverpool   England   Heysel Stadium , Brussels   58,000     31   1985 -- 86   Romania   Steaua București   0 -- 0 *   Barcelona   Spain   Estadio Ramón Sánchez Pizjuán , Seville   70,000     32   1986 -- 87   Portugal   Porto   2 -- 1   Bayern Munich   West Germany   Prater Stadium , Vienna   57,500     33   1987 -- 88   Netherlands   PSV Eindhoven   0 -- 0 *   Benfica   Portugal   Neckarstadion , Stuttgart   68,000     34   1988 -- 89   Italy   Milan   4 -- 0   Steaua București   Romania   Camp Nou , Barcelona   97,000     35   1989 -- 90   Italy   Milan   1 -- 0   Benfica   Portugal   Prater Stadium , Vienna   57,558     36   1990 -- 91   Yugoslavia   Red Star Belgrade   0 -- 0 *   Marseille   France   Stadio San Nicola , Bari   56,000     37   1991 -- 92   Spain   Barcelona   1 -- 0   Sampdoria   Italy   Wembley Stadium , London   70,827     38   1992 -- 93   France   Marseille   1 -- 0   Milan   Italy   Olympiastadion , Munich   64,400     39   1993 -- 94   Italy   Milan   4 -- 0   Barcelona   Spain   Olympic Stadium , Athens   70,000     40   1994 -- 95   Netherlands   Ajax   1 -- 0   Milan   Italy   Ernst - Happel - Stadion , Vienna   49,730     41   1995 -- 96   Italy   Juventus   1 -- 1 *   Ajax   Netherlands   Stadio Olimpico , Rome   70,000     42   1996 -- 97   Germany   Borussia Dortmund   3 -- 1   Juventus   Italy   Olympiastadion , Munich   59,000     43   1997 -- 98   Spain   Real Madrid   1 -- 0   Juventus   Italy   Amsterdam Arena , Amsterdam   48,500     44   1998 -- 99   England   Manchester United   2 -- 1   Bayern Munich   Germany   Camp Nou , Barcelona   90,245     45   1999 -- 00   Spain   Real Madrid   3 -- 0   Valencia   Spain   Stade de France , Saint - Denis   80,000     46   2000 -- 01   Germany   Bayern Munich   1 -- 1 *   Valencia   Spain   San Siro , Milan   71,500     47   2001 -- 02   Spain   Real Madrid   2 -- 1   Bayer Leverkusen   Germany   Hampden Park , Glasgow   50,499     48   2002 -- 03   Italy   Milan   0 -- 0 *   Juventus   Italy   Old Trafford , Manchester   62,315     49   2003 -- 04   Portugal   Porto   3 -- 0   Monaco   France   Arena AufSchalke , Gelsenkirchen   53,053     50   2004 -- 05   England   Liverpool   3 -- 3 *   Milan   Italy   Atatürk Olympic Stadium , Istanbul   69,000     51   2005 -- 06   Spain   Barcelona   2 -- 1   Arsenal   England   Stade de France , Saint - Denis   79,610     52   2006 -- 07   Italy   Milan   2 -- 1   Liverpool   England   Olympic Stadium , Athens   63,000     53   2007 -- 08   England   Manchester United   1 -- 1 *   Chelsea   England   Luzhniki Stadium , Moscow   67,310     54   2008 -- 09   Spain   Barcelona   2 -- 0   Manchester United   England   Stadio Olimpico , Rome   62,467     55   2009 -- 10   Italy   Internazionale   2 -- 0   Bayern Munich   Germany   Santiago Bernabéu Stadium , Madrid   73,490     56   2010 -- 11   Spain   Barcelona   3 -- 1   Manchester United   England   Wembley Stadium , London   87,695     57   2011 -- 12   England   Chelsea   1 -- 1 *   Bayern Munich   Germany   Allianz Arena , Munich   62,500     58   2012 -- 13   Germany   Bayern Munich   2 -- 1   Borussia Dortmund   Germany   Wembley Stadium , London   86,298     59   2013 -- 14   Spain   Real Madrid   4 -- 1   Atlético Madrid   Spain   Estádio da Luz , Lisbon   60,976     60   2014 -- 15   Spain   Barcelona   3 -- 1   Juventus   Italy   Olympiastadion , Berlin   70,442     61   2015 -- 16   Spain   Real Madrid   1 -- 1 *   Atlético Madrid   Spain   San Siro , Milan   71,942     62   2016 -- 17   Spain   Real Madrid   4 -- 1   Juventus   Italy   Millennium Stadium , Cardiff   65,842     63   2017 -- 18   Spain   Real Madrid   3 -- 1   Liverpool   England   NSC Olimpiyskiy Stadium , Kiev   61,561     Upcoming finals     #   Season   Nation   Finalist   Match   Finalist   Nation   Venue       64   2018 -- 19             Wanda Metropolitano , Madrid       65   2019 -- 20             Atatürk Olympic Stadium , Istanbul     </t>
  </si>
  <si>
    <t xml:space="preserve">Interstate 95 in Virginia - wikipedia  Interstate 95 in Virginia  This article is about the section of Interstate 95 in Virginia . For the entire route , see Interstate 95 .      Interstate 95         Route information     Maintained by VDOT     Length   178.73 mi ( 287.64 km )     Existed   1957 -- present     Major junctions     South end   I - 95 at North Carolina border near Skippers         US 58 in Emporia   I - 295 near Petersburg   I - 85 / US 460 in Petersburg   US 250 in Richmond   US 1 / US 301 in Richmond   I - 64 / I - 195 in Richmond   US 17 near Fredericksburg   I - 395 / I - 495 in Springfield   US 1 in Alexandria       North end   I ‐ 95 / I ‐ 495 at District of Columbia border in Alexandria     Location     Counties   Greensville , City of Emporia , Sussex , Prince George , City of Petersburg , City of Colonial Heights , Chesterfield , City of Richmond , Henrico , Hanover , Caroline , Spotsylania , City of Fredericksburg , Stafford , Prince William , Fairfax , City of Alexandria         Highway system       Interstate Highway System     Main   Auxiliary   Suffixed   Business   Future     Virginia Routes     Interstate   U.S.   Primary   Secondary   Byways     History      ← SR 94     SR 96 →        Within the Commonwealth of Virginia , Interstate 95 ( I - 95 ) runs 179 miles ( 288 km ) between its borders with Maryland and North Carolina . I - 95 is concurrent with I - 64 for 3 miles ( 4.8 km ) in Richmond , and meets the northern terminus of I - 85 in Petersburg . Although I - 95 was originally planned as a highway through Washington , D.C. ( following the route of what is now I - 395 ) , it was rerouted along the eastern portion of the Capital Beltway . From Petersburg to Richmond , I - 95 was most of the Richmond - Petersburg Turnpike ( the south end of the toll road was on I - 85 . )   It enters the Capital Beltway at the Springfield Interchange , also known as the Mixing Bowl . I - 95 continues over the Woodrow Wilson Bridge into Washington , D.C. ( for 0.11 miles on the bridge ) , and then into Maryland on the Beltway .   The route between Fredericksburg , Virginia , and Springfield , Virginia , is consistently one of the most congested routes of highway in the United States , particularly during holidays and rush hours , because of the lack of alternative routes , there are often fewer lanes than needed , and the spread - out suburbs of the Washington D.C. area .   Contents    1 Route description   1.1 From North Carolina to Petersburg   1.2 Petersburg through Richmond   1.3 Central Virginia toward Washington , D.C.     2 Auxiliary routes   2.1 Current   2.2 Former     3 HOV facilities   4 Maps   5 Welcome centers , rest areas and weigh stations   6 Exit list   7 Usage   8 References   9 External links    Route description ( edit )  I - 95 entering Virginia from North Carolina in 2007  From north Carolina to Petersburg ( edit )   Interstate 95 continues the pattern of being a four - lane highway from North Carolina . The welcome center forbids trucks , but truck stops at the first two interchanges provides a substitute place for truckers to stay before reaching Emporia . North of here , I - 95 and US 301 are often intertwined with each other as they encounter interchanges with Virginia Secondary State Routes . In the Owens - Stony Creek area in Sussex County , the road not only runs parallel to US 301 but shares bridges with I - 95 , many of which have access to Route 301 from connecting roads . This pattern ends at Exit 33 at the corner of a fairly popular truck stop and travel center . Crossing the Sussex - Prince George County Line , the first site along I - 95 is another rest area that also serves as the Petersburg Area Tourist Information Center . The road makes a slight northeast turn between Carson and Templeton , then turns straight north again before approaching the south end of Interstate 295 just before crossing the southern border of the City of Petersburg at Exit 47 . A series of frontage roads connect the interchanges with US 460 , US 301 and the northern terminus of Interstate 85 . Immediately after the interchange with Interstate 85 , remnants of the former toll booths for the Richmond -- Petersburg Turnpike can be found .   Petersburg through Richmond ( edit )  View south along the Richmond - Petersburg Turnpike section of I - 95 between Richmond and Petersburg  North of Petersburg , I - 95 crosses the Appomattox River and enters the City of Colonial Heights and then Chesterfield County . Pocahontas Parkway and an extraordinarily high Vietnam Veterans Memorial Bridge over I - 95 and the James River just south of the Richmond City Limits . A CSX railroad line runs parallel to the northbound lane in the vicinity of the Port of Richmond , and the Commerce Road Industrial Area , a region that includes a Philip Morris office and an old bridge manufacturing plant . As I - 95 itself crosses the James River , Main Street Station can be seen on the north bank , and the road winds around the station itself . The first interchange after it crosses the James River is the tolled State Route 195 and from there the road winds towards the multiplex with Interstate 64 . I - 64 / 95 curves to the northwest to cross under US 1 / 301 , only to turn back north briefly , and curve northwest again , as it approaches VA 161 . This pattern ends when I - 64 turns west at the same interchange as the northern terminus of I - 195 . From here I - 95 curves back to the northeast and has two interchanges with US 1 , and later US 301 separately , the latter of which has separate carriageways on both side of I - 95 . Another interchange with Interstate 295 exists in Glen Allen . However , I - 295 does not terminate there , and the south - to - eastbound and west - to - northbound off - ramps between the two can be accessed in the medians of both roads .   Central Virginia toward Washington , D.C. ( edit )  View north along I - 95 south of US 17 in Stafford County  Throughout much of central Virginia , I - 95 climbs a series of hills , and contains wide tree - lined medians . Near mile marker 100 in Doswell , signs for the Kings Dominion amusement park are blended in with standard destination signs . US 17 overlaps I - 95 from Massaponax at exit 126 to Falmouth at exit 133 . The wide tree - line divider resumes north of here . At Exit 143 in Aquia , the northbound off and on ramps connect directly to US 1 , even though the interchange is specifically for VSR 610 . Crossing over the Chopawamsic Creek takes I - 95 through the Quantico Marine Base , which includes restrictive interchanges . Northbound , the bi-directional HOT lane begins , and runs through the center of I - 95 through most of the rest of its journey toward D.C.  I - 95 northbound at the SR 294 exit near Woodbridge  Further north in Prince William County , there are four rest areas ; two for trucks in Dumfries , and two for cars in Dale City . The truck rest areas , with weigh stations , are near exit 152 . The car rest areas have uniquely positioned entrance and exit ramps . The southbound car rest area , near exit 156 , is accessible only from the southbound collective - distributor road . In Lorton , a scissor interchange exists with US 1 , and shortly after this Lorton Auto Train Station is located near exit 163 . Due to public opposition of efforts to build I - 95 through Washington D.C. and College Park , Maryland , I - 95 is diverted onto a multiplex with Interstate 495 at the Springfield Interchange . I - 95 / 495 trudge east through Franconia , over the WMATA Blue Line and Rose Hill . At Huntington , I - 95 / 495 run under the WMATA Yellow Line , and through Alexandria before crossing the Woodrow Wilson Bridge briefly into D.C. , and then into Maryland .   Auxiliary routes ( edit )   Current ( edit )  Woodrow Wilson Bridge carrying Interstate 95 / 495 over the Potomac River between Alexandria , Virginia and Oxon Hill , Maryland , U.S.A. ( 2007 ) I - 95 / I - 495 south coming off the Woodrow Wilson Bridge from Maryland   Interstate 195 is a short spur from north of downtown Richmond south into downtown .   Interstate 295 is a bypass to the east of Richmond , from I - 95 south of Petersburg , across Interstate 64 east of Richmond and I - 95 north of Richmond to I - 64 west of Richmond .   Interstate 395 is a branch from Springfield north into downtown Washington , D.C. It was part of I - 95 until 1977 .   Interstate 495 is the Capital Beltway , a full loop around Washington , D.C. Since 1977 , I - 95 has run along its east half .    Former ( edit )    Interstate 595 was a planned branch from I - 395 south to Washington National Airport along U.S. Route 1 .   Interstate 795 was a planned number for present I - 95 from I - 295 south of Petersburg to Interstate 85 in downtown Petersburg ; I - 95 would have bypassed Petersburg and Richmond to the east on I - 295 . The renumbering was never done because tolls were removed from the Richmond - Petersburg Turnpike section of I - 95 .   State Route 895 is the Pocahontas Parkway , a connection from I - 95 south of Richmond east to I - 295 . It was not numbered as an Interstate because the project opened as a toll road using federal funds , thus disqualifying it from Interstate status .    HOV facilities ( edit )  Main article : Virginia HOT lanes I - 95 with reversible HOT lanes in northern Virginia  Interstate 95 extends the twin - lane barrier - separated HOV lanes that begin on I - 395 at the 14th Street Bridge in Washington . These lanes have been extended south several times , most recently to just north of Stafford right before the Garrisonville Road exit .   As part of the Quantico Creek bridge rebuilding project , a three - lane , 300 - foot - long ( 91 m ) bridge was constructed in the median just south of the old southern HOV terminus for use when the HOV facilities were extended . It was previously used as a detour bridge and retained its lane striping from such use .   In December 2014 , this bridge became part of the Southern HOV / HOT lane extension project that now runs to just north of Garrisonville Rd . ( exit 143 ) in Stafford .   The new I - 95 HOV / HOT lanes project created approximately 29 miles ( 47 km ) of HOV / HOT lanes on I - 95 from Garrisonville Rd. in Stafford County to the vicinity of Edsall Road on I - 395 in Fairfax County .   In July 2016 , VDOT began construction of an additional one - mile ( 1.6 km ) extension of the HOV / HOT lanes on I - 95 south of Garrisonville Rd. in Stafford County . This addition opened in November 2017 .   Maps ( edit )     Fairfax County     Along the Capital Beltway     Welcome centers , rest areas and weigh stations ( edit )    Northbound Virginia Welcome Center : Milepost 1 , north of VA State Line   Northbound Petersburg Welcome Center : Milepost 35 between Exits 33 and 37   Carson Weigh Stations : Milepost 40 between Exits 37 and 41   Ladysmith Rest Areas : Milepost 108 between Exits 104 and 110   Southbound Fredericksburg Rest Area : Milepost 132 between Exits 130 and 133   Dumfries Rest Area and Weigh Stations : Milepost 153 between Exits 152 and 156   Dale City Rest Areas : Milepost 155 between Exits 152 and 156    Exit list ( edit )       This section contains a table that is missing mileposts for one or more junctions . Please help by adding the missing mileposts .       County   Location   mi   km   Exit   Destinations   Notes     Greensville   ​   0.00   0.00     I - 95 south -- Rocky Mount   Continuation into North Carolina     Skippers   4.13   6.65     SR 629 -- Skippers       ​   8.25   13.28   8   US 301 -- Emporia       City of Emporia   11.00   17.70   11   US 58 -- South Hill , Emporia , Norfolk   Signed as exits 11A ( west ) and 11B ( east )     Greensville   ​   12.99   20.91   12   US 301 north   Northbound exit only     ​   13.51   21.74   13   SR 614 -- Emporia       Sussex   ​   17.30   27.84   17   US 301       ​   20.25   32.59   20   SR 631 -- Jarratt   Former SR 137 ; to SR 139     Owens   24.29   39.09   24   SR 645       Stony Creek   30.92   49.76   31   SR 40 -- Stony Creek , Waverly       ​   33.37   53.70   33   SR 602       Prince George   Carson   37.15   59.79   37   SR 623 -- Carson   Former SR 141 west     Templeton   40.88   65.79   41   US 301 / SR 35 / SR 156 -- Courtland       Kingwood   45.42   73.10   45   US 301       ​   46.53   74.88   46   I - 295 north to I - 64 -- Washington , Richmond International Airport   I - 295 to 95 north exit 1     City of Petersburg   47.74   76.83   47   SR 629 ( Rives Road )       48.89   78.68   48   Wagner Road ( US 460 east )   Signed as exits 48A ( east ) and 48B ( west ) ; south end of US 460 overlap ; serves Southside Regional Medical Center     50   80   50   US 460 Bus . east ( County Drive ) to SR 109 / US 301 ( Crater Road ) / Wythe Street / Washington Street -- Fort Lee , Historic Old Towne Petersburg   Northbound signed as `` US 460 east to SR 109 / US 301 / Wythe St. / Washington St . '' ; southbound signed as `` US 301 / US 460 Bus . '' only ; signed as exits 50A ( US 460 ) , 50B - C ( US 301 ) , and 50D ( Wythe St. / Washington St . ) northbound     51.71   83.22   51   I - 85 south / US 460 west -- Durham , Atlanta , Blackstone , South Hill   Northern end of US 460 concurrency ; Northern terminus of I - 85     52   84   52   Bank Street   Northbound exit only     52.15   83.93   Washington Street / Wythe Street -- Petersburg National Battlefield       Appomattox River   52.79   84.96   Appomattox River Bridge     City of Colonial Heights   53.00   85.30   53   Southpark Boulevard       53.98   86.87   54   SR 144 ( Temple Avenue ) to SR 36       Chesterfield   ​   57.91   93.20   58   SR 620 ( Woods Edge Road ) / SR 746 ( Ruffin Mill Road )   Signed as exits 58A ( west ) and 58B ( east ) southbound     Chester   60.81   97.86   61   SR 10 to I - 295 -- Chester , Hopewell   Signed as exits 61A ( east ) and 61B ( west )     62.62   100.78   62   SR 288 north to I - 64 / SR 76 / to Powhite Parkway ( SR 76 ) -- Chesterfield       ​   64.66   104.06   64   SR 613 ( Willis Road )       Bensley   67.43   108.52   67   SR 150 north ( Chippenham Parkway ) to SR 895 east to US 60 west / US 360 west / I - 295 -- Richmond International Airport   Signed as exits 67A ( east ) and 67B ( north ) northbound ; no access from I - 95 south to SR 895 east     City of Richmond   69.35   111.61   69   SR 161 ( Bells Road )       73.16   117.74   73   Maury Street / Commerce Road       73.61   118.46   James River Bridge     74.01   119.11   74A   SR 195 Toll ( Downtown Expressway ) to I - 195 north / Powhite Parkway ( SR 76 south )       74.3   119.6   74B   Franklin Street   Southbound exit only     74.63   120.11   74C   US 250 ( Broad Street ) to US 33   No access from I - 95 south to US 250 east     75.55   121.59   75   I - 64 east / 7th Street -- Williamsburg , Norfolk , Virginia Beach , Richmond International Airport   Southern end of I - 64 concurrency ; I - 64 exit 190     75.85   122.07   76A   Chamberlayne Avenue ( US 1 / US 301 north )   Northbound exit and southbound entrance     76.09   122.45   76B   US 1 / US 301 south ( Belvidere Street )   No northbound exit     78.06   125.63   78   Boulevard ( SR 161 )       78.84   126.88   79   I - 64 west / I - 195 south / to Powhite Parkway ( SR 76 south ) -- Charlottesville   Northern end of I - 64 concurrency ; I - 64 exit 187     79.91   128.60   80   SR 161 ( Hermitage Road / Lakeside Avenue )   Northbound exit and southbound entrance     Henrico   Brook Hill   80.82   130.07   81   US 1 ( Brook Road )   Northbound exit and southbound entrance     ​   81.12   130.55   82   US 301 / SR 2 ( Chamberlayne Avenue )   Former northern terminus of Richmond -- Petersburg Turnpike     Yellow Tavern   82.94   133.48   83   SR 73 west ( Parham Road )   Signed as exits 83A ( east ) and 83B ( west )     ​   84.41   135.84   84   I - 295 to I - 64 -- Charlottesville , Norfolk , Rocky Mount , NC , Richmond International Airport   Signed as exits 84A ( south ) and 84B ( north ) ; I - 295 exit 43     Hanover   Ashland   87.30   140.50   86   SR 656 -- Atlee , Elmont   Signed as exits 86A ( east ) and 86B ( west )     Lewistown   89.09   143.38   89   SR 802 ( Lewistown Road )       Ashland   91.74   147.64   92   SR 54 -- Ashland , Hanover   Signed as exits 92A ( east ) and 92B ( west ) northbound     ​   97.75   157.31   98   SR 30 -- Doswell , West Point , Kings Dominion       Caroline   Carmel Church   104.18   167.66   104   SR 207 to US 301 -- Carmel Church , Bowling Green       Ladysmith   110.30   177.51   110   SR 639 -- Ladysmith   To former SR 229 west     Spotsylvania   Thornburg   118.26   190.32   118   SR 606 -- Thornburg       ​   125.84   202.52   126   US 1 / US 17 south -- Spotsylvania , Fredericksburg   Southern end of US 17 concurrency ; signed as exits 126A ( north ) and 126B ( south ) northbound     City of Fredericksburg   129.54   208.47   130   SR 3 -- Culpeper , Fredericksburg   Signed as exits 130A ( east ) and 130B ( west )     Rappahannock River   131.83   212.16   Rappahannock Falls Bridge     Stafford   ​   133.08   214.17   133   US 17 north / US 17 Bus . south -- Warrenton , Falmouth , Fredericksburg   Northern end of US 17 concurrency ; signed as exits 133A ( south ) and 133B ( north ) southbound     ​         I - 95 Express north   South end of proposed I - 95 Express lanes extension for construction to start in 2019     ​   135.61   218.24   136   SR 8900 ( Centreport Parkway ) to US 1 -- Stafford Airport   Exit opened December 22 , 2005     ​   139.83   225.03   140   SR 630 -- Stafford   To former SR 212 east     ​         I - 95 Express north   Current south end of I - 95 Express lanes     Aquia   142.73   229.70   143A   SR 610 east / US 1 -- Aquia   Signed as US 1 northbound and SR 610 southbound ; former SR 213     143B   SR 610 west -- Garrisonville   Former SR 213     ​   145.3   233.8     I - 95 Express north   Northbound exit and southbound entrance     Prince William   ​   147.65   237.62   148   Marine Corps Base Quantico       Triangle   149.97   241.35   150   SR 619 -- Triangle , Quantico , Prince William Forest Park   Signed as exits 150A ( east ) and 150B ( west ) southbound ; commercial vehicles to Marine Corps Base Quantico must use exit 148     ​         I - 95 Express north   Northbound exit and southbound entrance     Dumfries   152.36   245.20   152   SR 234 to I - 66 west -- Manassas , Dumfries   Signed as exits 152A ( south ) and 152B ( north )     Dale City   155.91   250.91   156   SR 784 -- Dale City , Rippon Landing   Since 2012 , signed as exits 156A ( east ) and 156B ( west ) ; northbound entrance includes direct entrance ramp from Opitz Boulevard , and direct exit ramp to I - 95 Express lanes     ​         I - 95 Express   No direct northbound exit     ​   158.13   254.49   158   SR 294 ( Prince William Parkway ) -- Woodbridge , Manassas   Signed as exits 158A ( east ) and 158B ( west )     ​   158.13   254.49   --   SR 294 ( Prince William Parkway ) -- Manassas , Woodbridge   Southbound exit and northbound entrance for I - 95 Express lanes ; exit includes direct exit ramp to Horner Road Commuter Parking Lot     Woodbridge   160.05   257.58   160   SR 123 -- Occoquan , Lake Ridge , Woodbridge   Signed as exits 160A ( south ) and 160B ( north ) northbound ; no access from I - 95 south to SR 123 south     ​   160.05   257.58   --   SR 123 -- Occoquan , Lake Ridge   Southbound exit and northbound entrance for I - 95 Express lanes     Fairfax   Lorton   161.17   259.38   161   US 1 north -- Fort Belvoir , Mount Vernon   Northbound exit and southbound entrance     US 1 south -- Woodbridge   Southbound exit and northbound entrance for I - 95 Express lanes     US 1 south -- Woodbridge   Southbound left exit and northbound entrance     163.66   263.39   163   SR 642 -- Lorton       Newington   165.56   266.44     I - 95 Express north   Northbound exit only           Alban Road / Boudinot Drive   Southbound entrance only for I - 95 Express lanes     166.8   268.4   166   SR 286 ( Fairfax County Parkway ) / Backlick Road ( SR 617 ) / Fullerton Road / Heller Road -- Newington , Fort Belvoir   Signed as exits 166A ( south ) and 166B ( north ) ; Heller Rd . not signed northbound ; Backlick Rd. / Fullerton Rd . not signed southbound           I - 95 Express south   Southbound exit and northbound entrance         167   SR 617 south ( Backlick Road ) / Fullerton Road   Southbound exit only     Springfield   169.05   272.06   169A - B   SR 644 -- Franconia , Springfield   No southbound exit ; signed as exits 169A ( east ) and 169B ( west )     --   SR 289 ( Franconia - Springfield Parkway )   I - 95 Express lane interchange       I - 95 Express north   Northbound exit and southbound entrance     --   SR 644 west -- Springfield   Southbound exit and northbound entrance for I - 95 Express lanes     169.05 -- 171.01   272.06 -- 275.21   170A - B   I - 395 north ( Henry G. Shirley Memorial Highway ) / I - 495 north ( Capital Beltway ) -- Washington , Tysons Corner   Part of Springfield Interchange ; northbound exit and southbound entrance ; signed as exits 170A ( I - 395 ) and 170B ( I - 495 ) ; I - 395 exits 1A - B     --   I - 395 Express north   I - 95 Express lane interchange ; part of Springfield Interchange     --   I - 495 north -- Tysons Corner   I - 95 Express lane interchange ; part of Springfield Interchange       I - 95 Express south   Part of Springfield Interchange ; north end of I - 95 Express lanes     170A   I - 495 north ( Capital Beltway ) -- Tysons Corner   Southern end of I - 495 concurrency ; part of Springfield Interchange ; southbound exit and northbound entrance     Franconia   171.97   276.76   173   SR 613 ( Van Dorn Street ) -- Franconia       ​   173.51   279.24   174   Eisenhower Avenue Connector -- Alexandria       ​   174.31   280.52   --   I - 95 north / I - 495 east -- Baltimore   South end of Thru Lanes     Huntington   175.06   281.73   176A - B   SR 241 / SR 611 south ( Telegraph Road / North Kings Highway ) / to Eisenhower Avenue -- Alexandria   Signed as exits 176A ( south ) and 176B ( north )     176.27   283.68   --   Eisenhower Avenue   Southbound exit and northbound entrance for Thru Lanes only     City of Alexandria   176.57   284.16   177A - B   US 1 -- Alexandria , Fort Belvoir   Signed as exits 177A ( south ) and 177B ( north ) ; entrances include direct entrance ramps onto Thru Lanes ; no access to northbound Thru Lanes from US 1 north     177C   Mount Vernon   Southbound exit only     Potomac River   177.64   285.88   Woodrow Wilson Bridge VA -- DC and DC -- MD lines       I - 95 north / I - 495 east ( Capital Beltway ) -- Baltimore   Continuation beyond Virginia     1.000 mi = 1.609 km ; 1.000 km = 0.621 mi   Concurrency terminus   ETC   Incomplete access   Unopened       Usage ( edit )   In 2010 , volume at Newington , northbound , from 6 - 9 am , is about 8,800 vehicles in the two HOV lanes , and 18,300 vehicles in the three lanes with no restriction .   References ( edit )    ^ Jump up to : Staff ( 2014 ) . `` 2014 Traffic Data '' . Virginia Department of Transportation . Retrieved 2015 - 08 - 31 .   Greensville County and City of Emporia ( PDF )   Sussex County ( PDF )   Prince George County and City of Hopewell ( PDF )   Dinwiddie County and City of Petersburg ( PDF )   Chesterfield County , City of Richmond , and City of Colonial Heights ( PDF )   Henrico County ( PDF )   Hanover County ( PDF )   Caroline County ( PDF )   Spotsylvania County and City of Fredericksburg ( PDF )   Stafford County ( PDF )   Prince William County , City of Manassas , and City of Manassas Park ( PDF )   Fairfax County , City of Fairfax , and City of Falls Church ( PDF )   Arlington County and City of Alexandria ( PDF )     Jump up ^ Thomson , Robert ( May 8 , 2012 ) . `` Southbound I - 95 : Drivers warn of heavy traffic , offer tips to avoid the worst of it '' . WashingtonPost.com . Retrieved January 8 , 2018 .   Jump up ^ `` # 317 Skippers , VA '' . myloves317.com .   Jump up ^ Services , Environmental Management . `` Simmons Travel Centers Offer Food , Lounges , CAT Scales '' . www.parkeroilcompany.com .   Jump up ^ `` NETRonline : Historic Aerials - Viewer '' . historicaerials.com .   Jump up ^ `` Creative Visual Design -- Aerial Photography &amp; Videography based in Richmond , VA with Keywords : landmarks '' .   Jump up ^ DanTD ( June 8 , 2010 ) . Richmond Main Street Station from I - 95 in Virginia ( photograph ) . Retrieved November 1 , 2017 .   Jump up ^ Northbound I - 95 image at Exits 143 A-B ( AARoads.com )   Jump up ^ Sign requiring commercial vehicles to Quantico Marine Base to use Exit 148 ( AARoads.com )   Jump up ^ `` Interstate 95 ( AARoads.com ; Interstate Guide ) '' . Retrieved 4 October 2014 .   Jump up ^ The orphaned bridge over Quantico Creek is located at 38 ° 34 ′ 05 '' N 77 ° 20 ′ 07 '' W ﻿ / ﻿ 38.568175 ° N 77.335274 ° W ﻿ / 38.568175 ; - 77.335274   Jump up ^ `` I - 95 Quantico Creek bridge reconstruction project from VDOT '' .   Jump up ^ `` VIRGINIA ADVANCES NEW I - 95 HOV / HOT LANES PROJECT AND NEW RAMP TO SEMINARY ROAD AT MARK CENTER '' . Virginiadot.org . Retrieved 2011 - 09 - 19 .   Jump up ^ `` I - 95 Express Lanes Southern Extension '' . www.virginiadot.org .   Jump up ^ Thomson , Robert ( 18 April 2010 ) . `` Dr. Gridlock column : Opening HOV lanes to all after crash not a quick and easy job '' . Washington , DC : Washington Post . pp. C2 .    External links ( edit )       Wikimedia Commons has media related to Interstate 95 in Virginia .     Route map : Google       KML file ( edit help )   Display on Google Maps      Template : Attached KML / Interstate 95 in Virginia KML is from Wikidata   Exitlists.com ( I - 95 )   I - 95 Rest Areas in Virginia ( I - 95 Exit Information Guide )   Truckers Directory - State Weigh Stations in Virginia        Interstate 95     Previous state : North Carolina   Virginia   Next state : District of Columbia               Auxiliary routes of Interstate 95       Florida   195   295   395   595   795     Georgia   Business     North Carolina   295   495   795   Business     Virginia   195   295   395   495   595   895     District of Columbia   295   395   495   695     Maryland   195   295   395   495   595   695   795   895     Delaware   295   495   895     Pennsylvania   295   495   695   895     New Jersey   195   295   495   695   895     New York   295   495   695   895     Connecticut   395     Rhode Island   195   295   895     Massachusetts   195   295   395   495   695   895     Maine   195   295   395   495             Former   Future   Unbuilt   Unsigned      Retrieved from `` https://en.wikipedia.org/w/index.php?title=Interstate_95_in_Virginia&amp;oldid=853190837 '' Categories :   Interstate 95   Interstate Highways in Virginia   Transportation in Fairfax County , Virginia   Transportation in Alexandria , Virginia   Transportation in Caroline County , Virginia   Transportation in Chesterfield County , Virginia   Transportation in Colonial Heights , Virginia   Transportation in Emporia , Virginia   Transportation in Fredericksburg , Virginia   Transportation in Greensville County , Virginia   Transportation in Hanover County , Virginia   Transportation in Henrico County , Virginia   Transportation in Petersburg , Virginia   Transportation in Prince George County , Virginia   Transportation in Prince William County , Virginia   Transportation in Richmond , Virginia   Transportation in Spotsylvania County , Virginia   Transportation in Stafford County , Virginia   Transportation in Sussex County , Virginia   Hidden categories :   All articles with self - published sources   Articles with self - published sources from November 2017   Routes needing mileposts   Articles using KML from Wikidata           Talk                                           Contents                   About Wikipedia                                                 Français   Edit links   This page was last edited on 3 August 2018 , at 01 : 39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</si>
  <si>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exits on i 95 north in virginia</t>
  </si>
  <si>
    <t xml:space="preserve">   County   Location   mi   km   Exit   Destinations   Notes     Greensville   ​   0.00   0.00     I - 95 south -- Rocky Mount   Continuation into North Carolina     Skippers   4.13   6.65     SR 629 -- Skippers       ​   8.25   13.28   8   US 301 -- Emporia       City of Emporia   11.00   17.70   11   US 58 -- South Hill , Emporia , Norfolk   Signed as exits 11A ( west ) and 11B ( east )     Greensville   ​   12.99   20.91   12   US 301 north   Northbound exit only     ​   13.51   21.74   13   SR 614 -- Emporia       Sussex   ​   17.30   27.84   17   US 301       ​   20.25   32.59   20   SR 631 -- Jarratt   Former SR 137 ; to SR 139     Owens   24.29   39.09   24   SR 645       Stony Creek   30.92   49.76   31   SR 40 -- Stony Creek , Waverly       ​   33.37   53.70   33   SR 602       Prince George   Carson   37.15   59.79   37   SR 623 -- Carson   Former SR 141 west     Templeton   40.88   65.79   41   US 301 / SR 35 / SR 156 -- Courtland       Kingwood   45.42   73.10   45   US 301       ​   46.53   74.88   46   I - 295 north to I - 64 -- Washington , Richmond International Airport   I - 295 to 95 north exit 1     City of Petersburg   47.74   76.83   47   SR 629 ( Rives Road )       48.89   78.68   48   Wagner Road ( US 460 east )   Signed as exits 48A ( east ) and 48B ( west ) ; south end of US 460 overlap ; serves Southside Regional Medical Center     50   80   50   US 460 Bus . east ( County Drive ) to SR 109 / US 301 ( Crater Road ) / Wythe Street / Washington Street -- Fort Lee , Historic Old Towne Petersburg   Northbound signed as `` US 460 east to SR 109 / US 301 / Wythe St. / Washington St . '' ; southbound signed as `` US 301 / US 460 Bus . '' only ; signed as exits 50A ( US 460 ) , 50B - C ( US 301 ) , and 50D ( Wythe St. / Washington St . ) northbound     51.71   83.22   51   I - 85 south / US 460 west -- Durham , Atlanta , Blackstone , South Hill   Northern end of US 460 concurrency ; Northern terminus of I - 85     52   84   52   Bank Street   Northbound exit only     52.15   83.93   Washington Street / Wythe Street -- Petersburg National Battlefield       Appomattox River   52.79   84.96   Appomattox River Bridge     City of Colonial Heights   53.00   85.30   53   Southpark Boulevard       53.98   86.87   54   SR 144 ( Temple Avenue ) to SR 36       Chesterfield   ​   57.91   93.20   58   SR 620 ( Woods Edge Road ) / SR 746 ( Ruffin Mill Road )   Signed as exits 58A ( west ) and 58B ( east ) southbound     Chester   60.81   97.86   61   SR 10 to I - 295 -- Chester , Hopewell   Signed as exits 61A ( east ) and 61B ( west )     62.62   100.78   62   SR 288 north to I - 64 / SR 76 / to Powhite Parkway ( SR 76 ) -- Chesterfield       ​   64.66   104.06   64   SR 613 ( Willis Road )       Bensley   67.43   108.52   67   SR 150 north ( Chippenham Parkway ) to SR 895 east to US 60 west / US 360 west / I - 295 -- Richmond International Airport   Signed as exits 67A ( east ) and 67B ( north ) northbound ; no access from I - 95 south to SR 895 east     City of Richmond   69.35   111.61   69   SR 161 ( Bells Road )       73.16   117.74   73   Maury Street / Commerce Road       73.61   118.46   James River Bridge     74.01   119.11   74A   SR 195 Toll ( Downtown Expressway ) to I - 195 north / Powhite Parkway ( SR 76 south )       74.3   119.6   74B   Franklin Street   Southbound exit only     74.63   120.11   74C   US 250 ( Broad Street ) to US 33   No access from I - 95 south to US 250 east     75.55   121.59   75   I - 64 east / 7th Street -- Williamsburg , Norfolk , Virginia Beach , Richmond International Airport   Southern end of I - 64 concurrency ; I - 64 exit 190     75.85   122.07   76A   Chamberlayne Avenue ( US 1 / US 301 north )   Northbound exit and southbound entrance     76.09   122.45   76B   US 1 / US 301 south ( Belvidere Street )   No northbound exit     78.06   125.63   78   Boulevard ( SR 161 )       78.84   126.88   79   I - 64 west / I - 195 south / to Powhite Parkway ( SR 76 south ) -- Charlottesville   Northern end of I - 64 concurrency ; I - 64 exit 187     79.91   128.60   80   SR 161 ( Hermitage Road / Lakeside Avenue )   Northbound exit and southbound entrance     Henrico   Brook Hill   80.82   130.07   81   US 1 ( Brook Road )   Northbound exit and southbound entrance     ​   81.12   130.55   82   US 301 / SR 2 ( Chamberlayne Avenue )   Former northern terminus of Richmond -- Petersburg Turnpike     Yellow Tavern   82.94   133.48   83   SR 73 west ( Parham Road )   Signed as exits 83A ( east ) and 83B ( west )     ​   84.41   135.84   84   I - 295 to I - 64 -- Charlottesville , Norfolk , Rocky Mount , NC , Richmond International Airport   Signed as exits 84A ( south ) and 84B ( north ) ; I - 295 exit 43     Hanover   Ashland   87.30   140.50   86   SR 656 -- Atlee , Elmont   Signed as exits 86A ( east ) and 86B ( west )     Lewistown   89.09   143.38   89   SR 802 ( Lewistown Road )       Ashland   91.74   147.64   92   SR 54 -- Ashland , Hanover   Signed as exits 92A ( east ) and 92B ( west ) northbound     ​   97.75   157.31   98   SR 30 -- Doswell , West Point , Kings Dominion       Caroline   Carmel Church   104.18   167.66   104   SR 207 to US 301 -- Carmel Church , Bowling Green       Ladysmith   110.30   177.51   110   SR 639 -- Ladysmith   To former SR 229 west     Spotsylvania   Thornburg   118.26   190.32   118   SR 606 -- Thornburg       ​   125.84   202.52   126   US 1 / US 17 south -- Spotsylvania , Fredericksburg   Southern end of US 17 concurrency ; signed as exits 126A ( north ) and 126B ( south ) northbound     City of Fredericksburg   129.54   208.47   130   SR 3 -- Culpeper , Fredericksburg   Signed as exits 130A ( east ) and 130B ( west )     Rappahannock River   131.83   212.16   Rappahannock Falls Bridge     Stafford   ​   133.08   214.17   133   US 17 north / US 17 Bus . south -- Warrenton , Falmouth , Fredericksburg   Northern end of US 17 concurrency ; signed as exits 133A ( south ) and 133B ( north ) southbound     ​         I - 95 Express north   South end of proposed I - 95 Express lanes extension for construction to start in 2019     ​   135.61   218.24   136   SR 8900 ( Centreport Parkway ) to US 1 -- Stafford Airport   Exit opened December 22 , 2005     ​   139.83   225.03   140   SR 630 -- Stafford   To former SR 212 east     ​         I - 95 Express north   Current south end of I - 95 Express lanes     Aquia   142.73   229.70   143A   SR 610 east / US 1 -- Aquia   Signed as US 1 northbound and SR 610 southbound ; former SR 213     143B   SR 610 west -- Garrisonville   Former SR 213     ​   145.3   233.8     I - 95 Express north   Northbound exit and southbound entrance     Prince William   ​   147.65   237.62   148   Marine Corps Base Quantico       Triangle   149.97   241.35   150   SR 619 -- Triangle , Quantico , Prince William Forest Park   Signed as exits 150A ( east ) and 150B ( west ) southbound ; commercial vehicles to Marine Corps Base Quantico must use exit 148     ​         I - 95 Express north   Northbound exit and southbound entrance     Dumfries   152.36   245.20   152   SR 234 to I - 66 west -- Manassas , Dumfries   Signed as exits 152A ( south ) and 152B ( north )     Dale City   155.91   250.91   156   SR 784 -- Dale City , Rippon Landing   Since 2012 , signed as exits 156A ( east ) and 156B ( west ) ; northbound entrance includes direct entrance ramp from Opitz Boulevard , and direct exit ramp to I - 95 Express lanes     ​         I - 95 Express   No direct northbound exit     ​   158.13   254.49   158   SR 294 ( Prince William Parkway ) -- Woodbridge , Manassas   Signed as exits 158A ( east ) and 158B ( west )     ​   158.13   254.49   --   SR 294 ( Prince William Parkway ) -- Manassas , Woodbridge   Southbound exit and northbound entrance for I - 95 Express lanes ; exit includes direct exit ramp to Horner Road Commuter Parking Lot     Woodbridge   160.05   257.58   160   SR 123 -- Occoquan , Lake Ridge , Woodbridge   Signed as exits 160A ( south ) and 160B ( north ) northbound ; no access from I - 95 south to SR 123 south     ​   160.05   257.58   --   SR 123 -- Occoquan , Lake Ridge   Southbound exit and northbound entrance for I - 95 Express lanes     Fairfax   Lorton   161.17   259.38   161   US 1 north -- Fort Belvoir , Mount Vernon   Northbound exit and southbound entrance     US 1 south -- Woodbridge   Southbound exit and northbound entrance for I - 95 Express lanes     US 1 south -- Woodbridge   Southbound left exit and northbound entrance     163.66   263.39   163   SR 642 -- Lorton       Newington   165.56   266.44     I - 95 Express north   Northbound exit only           Alban Road / Boudinot Drive   Southbound entrance only for I - 95 Express lanes     166.8   268.4   166   SR 286 ( Fairfax County Parkway ) / Backlick Road ( SR 617 ) / Fullerton Road / Heller Road -- Newington , Fort Belvoir   Signed as exits 166A ( south ) and 166B ( north ) ; Heller Rd . not signed northbound ; Backlick Rd. / Fullerton Rd . not signed southbound           I - 95 Express south   Southbound exit and northbound entrance         167   SR 617 south ( Backlick Road ) / Fullerton Road   Southbound exit only     Springfield   169.05   272.06   169A - B   SR 644 -- Franconia , Springfield   No southbound exit ; signed as exits 169A ( east ) and 169B ( west )     --   SR 289 ( Franconia - Springfield Parkway )   I - 95 Express lane interchange       I - 95 Express north   Northbound exit and southbound entrance     --   SR 644 west -- Springfield   Southbound exit and northbound entrance for I - 95 Express lanes     169.05 -- 171.01   272.06 -- 275.21   170A - B   I - 395 north ( Henry G. Shirley Memorial Highway ) / I - 495 north ( Capital Beltway ) -- Washington , Tysons Corner   Part of Springfield Interchange ; northbound exit and southbound entrance ; signed as exits 170A ( I - 395 ) and 170B ( I - 495 ) ; I - 395 exits 1A - B     --   I - 395 Express north   I - 95 Express lane interchange ; part of Springfield Interchange     --   I - 495 north -- Tysons Corner   I - 95 Express lane interchange ; part of Springfield Interchange       I - 95 Express south   Part of Springfield Interchange ; north end of I - 95 Express lanes     170A   I - 495 north ( Capital Beltway ) -- Tysons Corner   Southern end of I - 495 concurrency ; part of Springfield Interchange ; southbound exit and northbound entrance     Franconia   171.97   276.76   173   SR 613 ( Van Dorn Street ) -- Franconia       ​   173.51   279.24   174   Eisenhower Avenue Connector -- Alexandria       ​   174.31   280.52   --   I - 95 north / I - 495 east -- Baltimore   South end of Thru Lanes     Huntington   175.06   281.73   176A - B   SR 241 / SR 611 south ( Telegraph Road / North Kings Highway ) / to Eisenhower Avenue -- Alexandria   Signed as exits 176A ( south ) and 176B ( north )     176.27   283.68   --   Eisenhower Avenue   Southbound exit and northbound entrance for Thru Lanes only     City of Alexandria   176.57   284.16   177A - B   US 1 -- Alexandria , Fort Belvoir   Signed as exits 177A ( south ) and 177B ( north ) ; entrances include direct entrance ramps onto Thru Lanes ; no access to northbound Thru Lanes from US 1 north     177C   Mount Vernon   Southbound exit only     Potomac River   177.64   285.88   Woodrow Wilson Bridge VA -- DC and DC -- MD lines       I - 95 north / I - 495 east ( Capital Beltway ) -- Baltimore   Continuation beyond Virginia     1.000 mi = 1.609 km ; 1.000 km = 0.621 mi   Concurrency terminus   ETC   Incomplete access   Unopened     </t>
  </si>
  <si>
    <t xml:space="preserve">Tetraethyllead - wikipedia  Tetraethyllead     Tetraethyllead           Names     IUPAC name Tetraethylplumbane     Other names Lead tetraethyl  Tetraethyl lead  Tetra - ethyl lead     Identifiers     CAS Number     78 - 00 - 2       3D model ( JSmol )     Interactive image       Abbreviations   TEL     Beilstein Reference   3903146     ChEBI     CHEBI : 30182       ChemSpider     6265       ECHA InfoCard   100.000. 979     EC Number   201 - 075 - 4     Gmelin Reference   68951     MeSH   Tetraethyl + lead     PubChem CID     6511       RTECS number   TP4550000     UNII     13426ZWT6A       UN number   1649     InChI ( show )   InChI = 1S / 4C2H5. Pb / c4 * 1 - 2 ; / h4 * 1H2 , 2H3 ; Key : MRMOZBOQVYRSEM - UHFFFAOYSA - N       SMILES ( show )   CC ( Pb ) ( CC ) ( CC ) CC       Properties     Chemical formula   C H Pb     Molar mass   323.45 g mol     Appearance   Colorless liquid     Odor   pleasant , sweet     Density   1.653 g cm     Melting point   − 136 ° C ( − 213 ° F ; 137 K )     Boiling point   84 to 85 ° C ( 183 to 185 ° F ; 357 to 358 K ) 15 mmHg     Solubility in water   0.00002 % ( 20 ° C )     Vapor pressure   0.2 mmHg ( 20 ° C )     Refractive index ( n )   1.5198     Structure     Molecular shape   Tetrahedral     Dipole moment   0 D     Hazards     EU classification ( DSD ) ( outdated )       R - phrases ( outdated )   R61 , R26 / 27 / 28 , R33 , R50 / 53 , R62     S - phrases ( outdated )   S53 , S45 , S60 , S61     NFPA 704       Flash point   73 ° C ( 163 ° F ; 346 K )     Explosive limits   1.8 % -- ?     Lethal dose or concentration ( LD , LC ) :     LD ( median dose )   35 mg / kg ( rat , oral ) 17 mg / kg ( rat , oral ) 12.3 mg / kg ( rat , oral )     LD ( lowest published )   30 mg / kg ( rabbit , oral ) 24 mg / kg ( rat , oral )     LC ( median concentration )   850 mg / m ( rat , 1 hr )     LC ( lowest published )   650 mg / m ( mouse , 7 hr )     US health exposure limits ( NIOSH ) :     PEL ( Permissible )   TWA 0.075 mg / m ( skin )     REL ( Recommended )   TWA 0.075 mg / m ( skin )     IDLH ( Immediate danger )   40 mg / m ( as Pb )     Related compounds     Related compounds   Tetraethylgermanium  Tetraethyltin      Except where otherwise noted , data are given for materials in their standard state ( at 25 ° C ( 77 ° F ) , 100 kPa ) .     Y verify ( what is ? )     Infobox references           Tetraethyllead ( commonly styled tetraethyl lead ) , abbreviated TEL , is an organolead compound with the formula ( CH CH ) Pb .   TEL is a petro - fuel additive ; first being mixed with gasoline ( petrol ) beginning in the 1920s as a patented octane rating booster that allowed engine compression to be raised substantially . This in turn caused increased vehicle performance and fuel economy . TEL had been identified chemically in the mid-19th century , but its antiknock effectiveness was discovered in 1921 by the General Motors research laboratory , which had spent several years attempting to find an additive that was both highly effective and inexpensive .   TEL levels in automotive fuel were reduced in the 1970s under the U.S. Clean Air Act in two overlapping programs : to protect catalytic converters , which mandated unleaded gasoline for those vehicles ; and to protect public health , which mandated lead reductions in annual phases ( the `` lead phasedown '' ) . When present in fuel , TEL is also the main cause of spark plug fouling . TEL is still used as an additive in some grades of aviation gasoline , and in some developing countries .   Innospec has claimed to be the last firm legally making TEL , and as of 2013 TEL is being produced illegally by several companies in China . As of March 2017 , only Algeria , Yemen , and Iraq continue widespread use of leaded motor gasoline .   Contents    1 Synthesis and properties   2 Reactions   3 In motor fuel   3.1 Valve wear preventative   3.2 Antiknock agent   3.3 Phaseout and ban   3.3. 1 Leaded - fuel bans   3.3. 1.1 Europe   3.3. 1.2 North America   3.3. 1.3 South America   3.3. 1.4 Asia   3.3. 1.5 Oceania   3.3. 1.6 Africa     3.3. 2 In race vehicles   3.3. 3 Aviation gasoline   3.3. 4 Alternative antiknock agents       4 Formulation of ethyl fluid   5 Toxicity   6 History   6.1 TEL in fuels   6.2 Controversy and phase - out   6.3 Effect on crime rates     7 Further reading   8 See also   9 References   10 External links    Synthesis and properties ( edit )   TEL is produced by reacting chloroethane with a sodium -- lead alloy .    4 NaPb + 4 CH CH Cl → ( CH CH ) Pb + 4 NaCl + 3 Pb    The product is recovered by steam distillation , leaving a sludge of lead and sodium chloride . TEL is a viscous colorless liquid . Because TEL is charge neutral and contains an exterior of alkyl groups , it is highly lipophilic and soluble in petrol ( gasoline ) .   Despite decades of research , no reactions were found to improve upon this rather difficult process that involves metallic sodium and converts only 25 % of the lead to TEL . A related compound , tetramethyllead , was commercially produced by a different electrolytic reaction . A process with lithium was developed but never put into practice .   Reactions ( edit )   A noteworthy feature of TEL is the weakness of its four C -- Pb bonds . At the temperatures found in internal combustion engines , ( CH CH ) Pb decomposes completely into lead and lead oxides as well as combustible , short - lived ethyl radicals . Lead and lead oxide scavenge radical intermediates in combustion reactions . Engine knock is caused by a cool flame , an oscillating low - temperature combustion reaction that occurs before the proper , hot ignition . Lead quenches the pyrolysed radicals and thus kills the radical chain reaction that would sustain a cool flame , preventing it from disturbing the smooth ignition of the hot flame front . Lead itself is the reactive antiknock agent , and TEL serves as a gasoline - soluble lead carrier . When ( CH CH ) Pb burns , it produces not only carbon dioxide and water , but also lead :    ( CH CH ) Pb + 13 O → 8 CO + 10 H O + Pb    This lead can oxidize further to give species such as lead ( II ) oxide :    2 Pb + O → 2 PbO    Pb and PbO would quickly over-accumulate and destroy an engine . For this reason , the lead scavengers 1 , 2 - dibromoethane and 1 , 2 - dichloroethane are used in conjunction with TEL -- these agents form volatile lead ( II ) bromide and lead ( II ) chloride , respectively , which are flushed from the engine and into the air .   In motor fuel ( edit )   TEL was extensively used as a gasoline additive beginning in the 1920s , wherein it served as an effective antiknock agent and prevented exhaust valve and valve seat wear . Concerns were raised in reputable journals almost immediately of likely health outcomes of fine particles of lead in the atmosphere .   Valve wear preventative ( edit )   It is a common misconception that ' Tetraethyllead works as a buffer against microwelds forming between the hot exhaust valves and their seats . ' Once these valves reopen , the microwelds pull apart and leave the valves with a rough surface that would abrade the seats , leading to valve recession . When lead began to be phased out of motor fuel , the automotive industry began specifying hardened valve seats and upgraded exhaust valve materials to prevent valve recession without lead .   Microwelding of the exhaust valve and valve seat is now thought to have occurred due to the increase of flame front speed when the switch to unleaded came about . The increased combustion pressures caused ' micro welding ' in older style motors that had the valve seats machined into the cast iron head . Retarding the timing of the engines reduced the combustion pressures and proved to be an effective short term measure in the switch to unleaded fuel . The long term solution was hardened steel valve seats .   Antiknock agent ( edit )   A gasoline - fueled reciprocating engine requires fuel of sufficient octane rating to prevent uncontrolled combustion known as engine knocking ( knock or ping ) . Antiknock agents allow the use of higher compression ratios for greater efficiency and peak power . Adding varying amounts of additives such as low percentage TEL or high percentage ethanol to gasoline , allowed easy inexpensive control of octane ratings . TEL offered the business advantage of being commercially profitable because its use for this purpose could be patented . Aviation spirits with TEL used in WWII reached 150 octane to enable supercharged engines such as the Rolls - Royce Merlin and Griffon to reach high horsepower ratings at altitude . In military aviation , TEL manipulation allowed a range of different fuels to be tailored for particular flight conditions .   In 1935 the licence to produce TEL was given to I.G. Farben , enabling the newly formed German Luftwaffe to use high - octane gasoline . A company , Ethyl GmbH , was formed that produced TEL at two sites in Germany with a government contract from 10 June 1936 .   Phaseout and ban ( edit )   In most industrialized countries , a phaseout of TEL from road vehicle fuels was completed by the early 2000s because of concerns over air and soil lead levels and the accumulative neurotoxicity of lead . The use of catalytic converters , mandated in the US for 1975 and newer model - year cars to meet tighter emissions regulations , started a gradual phase - out of leaded gasoline in the US . The need for TEL was lessened by several advances in automotive engineering and petroleum chemistry . Safer methods for making higher - octane blending stocks such as reformate and iso - octane reduced the need to rely on TEL , as did other antiknock additives of varying toxicity including metallic compounds such as methylcyclopentadienyl manganese tricarbonyl ( MMT ) as well as oxygenates including methyl tert - butyl ether ( MTBE ) , tert - amyl methyl ether ( TAME ) , and ethyl tert - butyl ether ( ETBE ) .   Lead - replacement additives were scientifically tested , and some were approved by the Federation of British Historic Vehicle Clubs at the UK 's Motor Industry Research Association in 1999 .   In Europe , Professor Derek Bryce - Smith was among the first to highlight the potential dangers of TEL and became a leading campaigner for removal of lead additives from petrol . However , leaded motor fuel re-entered the UK market in small quantities from 2000 in response to lobbying from classic - car organisations who contended their vehicles would be rendered useless without leaded fuel . The lead content is up to 0.15 grams per litre ; Bayford &amp; Co is the only wholesale supplier .   Vehicles designed and built to run on leaded fuel may require modification to run on unleaded gasoline or autogas . These modifications fall into two categories : those required for physical compatibility with unleaded fuel , and those performed to compensate for the relatively low octane of early unleaded fuels . Physical compatibility requires the installation of hardened exhaust valves and seats . Compatibility with reduced octane was addressed by reducing compression , generally by installing thicker cylinder head gaskets and / or rebuilding the engine with compression - reducing pistons . The availability of high - octane unleaded gasoline ( or LPG ) has reduced or eliminated the need to decrease compression ratios .   Leaded gasoline remained legal as of late 2014 in parts of Algeria , Iraq , Yemen , Myanmar , North Korea , and Afghanistan . It was available at the pump in most of these countries as of 2011 , but very little was used in North Korea , and it was not clear whether it was sold in Afghanistan . Specialty chemical company Innospec says that it is the world 's only manufacturer of TEL and sells it for automotive use nowhere except to Algeria as of late 2014 . Innospec previously sold TEL to Iraq and Yemen as of 2011 , but remains unclear after head executives were charged for bribing various government state - owned oil companies , to approve the sale of their TEL products . North Korea and Myanmar buy their TEL from China . The governments of Algeria and Iraq have scheduled the final elimination of leaded gasoline in their countries in 2015 , after refinery upgrades . The status in Afghanistan , Yemen , and Myanmar is unclear .   As of June 2016 UNEP - sponsored phase - out is nearly complete : only Algeria , Yemen , and Iraq continue widespread use of leaded gasoline . None use it exclusively .   In the European Union , tetraethyllead has been classified as a Substance of Very High Concern and placed on the Candidate List for Authorisation under REACH . Potential use of TEL would need to be authorised through the REACH authorisation procedure . While not a complete ban , it introduces significant obligations such as a mandatory analysis of alternatives and socioeconomic analysis .  Leaded - fuel bans ( edit )  Leaded - fuel bans for road vehicles came into effect as follows :     Europe ( edit )   Austria : 1989   Bosnia and Herzegovina : 2009   Czech Republic : 2001   Denmark : 1994   European Union : 1 January 2000   Finland : 1994   France : 2000   Germany : 1996   Greece : 2002   Hungary : 1999   Ireland : 1 January 2000   Italy : 1 January 2002   Monaco : 2000   Netherlands : 1998   Norway : 1988   Poland : 2000   Slovenia : 2001   Spain : 1 August 2001   Portugal : 1999   Romania : 2005   Russia : 2002   Serbia : 2010   Sweden : 1992   Switzerland : 2000   Ukraine : 2003   United Kingdom : 1 January 2000         North America ( edit )   Canada : 1993   USA : 1 January 1996   California : 1992     Bahamas :   Belize :   Bermuda :   Costa Rica :   Dominican Republic :   El Salvador :   Guatemala :   Haiti :   Honduras :   Mexico : 1998   Nicaragua :   Puerto Rico : 1 January 1996 ( USA )   Trinidad and Tobago : 2000       South America ( edit )   Argentina : 1998   Bolivia :   Brazil : 1989   Chile : 2001   Colombia : 1991   Peru : 2004   Venezuela : 2005       Asia ( edit )   Japan : 1986   Hong Kong : 1999   Malaysia : 2000   Singapore : 1998   South Korea : 1993   Sri Lanka : 1999   Thailand : 1996   Bangladesh :   Taiwan : 2000   Turkey : 2006   China : 2000   Philippines : 2000   India : March 2000   Iran : 2003   Nepal : 2000   Pakistan : 2001   Indonesia : 2006       Oceania ( edit )   Australia : 2002   New Zealand : 1996   Guam : 1 January 1996 ( USA )        Africa ( edit )  Leaded petrol was supposed to be completely phased out continent - wide on 1 January 2006 , following a ban initiated from the 2002 Earth Summit . However , in Algeria refineries needed to be altered ; as a result , leaded fuel remains available in parts of Algeria , with phaseout scheduled for 2016 .  In race vehicles ( edit )  Leaded fuel was commonly used in professional auto racing , until its phase out beginning in the 1990s .   Since 1993 , Formula One racing cars have been required to use normal unleaded super petrol compliant with EU standards -- the same petrol provided by ordinary petrol stations .   NASCAR began experimentation in 1998 with an unleaded fuel , and in 2006 began switching the national series to unleaded fuel , completing the transition at the Fontana round in February 2007 when the premier class switched . This was influenced after blood tests of NASCAR teams revealed elevated blood lead levels .  Aviation gasoline ( edit ) Main article : Avgas  TEL remains an ingredient of 100 octane avgas for piston - engine aircraft . The current formulation of 100LL ( low lead , blue ) aviation gasoline contains 2.12 grams of TEL per gallon , half the amount of the previous 100 / 130 ( green ) octane avgas ( at 4.24 grams per gallon ) , but only slightly less than the 2.2 grams per gallon historically permitted in automotive leaded gasoline and substantially greater than the allowed 0.001 grams per gallon in automotive unleaded gasoline sold in the United States today . The United States Environmental Protection Agency , FAA , and others are working on economically feasible replacements for leaded avgas , which still releases 100 tons of lead every year .  Alternative antiknock agents ( edit )  Antiknock agents are classed as high - percentage additives , such as alcohol , and low - percentage additives based on heavy elements . Since the main problem with TEL is its lead content , many alternative additives that contain less poisonous metals have been examined . A manganese - carrying additive , methylcyclopentadienyl manganese tricarbonyl ( MMT or methylcymantrene ) , was used for a time as an antiknock agent , though its safety is controversial and it has been the subject of bans and lawsuits . Ferrocene , an organometallic compound of iron , is also used as an antiknock agent although with some significant drawbacks .   High - percentage additives are organic compounds that do not contain metals , but require much higher blending ratios , such as 20 -- 30 % for benzene and ethanol . It had been established by 1921 that ethanol was an effective antiknock agent , but TEL was introduced instead mainly for commercial reasons . Oxygenates such as TAME derived from natural gas , MTBE made from methanol , and ethanol - derived ETBE , have largely supplanted TEL . MTBE has environmental risks of its own and there are also bans on its use .   Improvements to gasoline itself decrease the need for antiknock additives . Synthetic iso - octane and alkylate are examples of such blending stocks . Benzene and other high - octane aromatics can be also blended to raise the octane number , but they are disfavored today because of toxicity and carcinogenicity .   Formulation of ethyl fluid ( edit )  Sign on an antique gasoline pump advertising tetraethyllead by the Ethyl Corporation  TEL was supplied for mixing with raw gasoline in the form of ethyl fluid , which was TEL blended with the lead scavengers 1 , 2 - dibromoethane and 1 , 2 - dichloroethane . Ethyl fluid also contained a reddish dye to distinguish treated from untreated gasoline and discourage the use of leaded gasoline for other purposes such as cleaning .   In the 1920s before safety procedures were yet developed , 17 workers for the Ethyl Corporation , DuPont , and Standard Oil died from the effects of exposure to lead .   The formula for ethyl fluid is :    Tetraethyllead 61.45 %   1 , 2 - Dibromoethane 17.85 %   1 , 2 - Dichloroethane 18.80 %   Inerts &amp; dye 1.90 %    Dibromoethane and dichloroethane act in a synergistic manner , where a particular mixing ratio provides the best lead scavenging ability .   Toxicity ( edit )   Concerns over the toxicity of lead eventually led to the ban on TEL in automobile gasoline in many countries . Some neurologists have speculated that the lead phaseout may have caused average IQ levels to rise by several points in the US ( by reducing cumulative brain damage throughout the population , especially in the young ) . For the entire US population , during and after the TEL phaseout , the mean blood lead level dropped from 16 μg / dL in 1976 to only 3 μg / dL in 1991 . The US Centers for Disease Control considered blood lead levels `` elevated '' when they were above 10 μg / dL .   History ( edit )   In 1853 , German chemist Karl Jacob Löwig ( 1803 -- 1890 ) first prepared what he claimed was Pb ( C H ) from ethyl iodide and an alloy of lead and sodium . In 1859 , English chemist George Bowdler Buckton ( 1818 -- 1905 ) reported what he claimed was Pb ( C H ) from zinc ethyl ( Zn ( C H ) ) and lead ( II ) chloride . Later authors credit both methods of preparation with producing tetraethyl lead .   TEL in fuels ( edit )   Regardless of the details of the chemical discoveries , tetraethyl lead remained unimportant commercially until the 1920s . In 1921 , at the direction of DuPont Corporation , which manufactured TEL , it was found to be an effective antiknock agent by Thomas Midgley , working under Charles Kettering at General Motors Corporation Research . General Motors patented the use of TEL as an antiknock agent and used the name `` Ethyl '' that had been proposed by Kettering in its marketing materials , thereby avoiding the negative connotation of the word `` lead '' . Early research into `` engine knocking '' ( also called `` pinging '' or `` pinking '' ) was also led by A.H. Gibson and Harry Ricardo in England and Thomas Boyd in the United States . The discovery that lead additives modified this behavior led to the widespread adoption of their use in the 1920s , and therefore more powerful , higher - compression engines . In 1924 , Standard Oil of New Jersey ( ESSO / EXXON ) and General Motors created the Ethyl Gasoline Corporation to produce and market TEL . Deepwater , NJ across the river from Wilmington , was the site for production of some of DuPont 's most important chemicals , particularly tetraethyl lead ( TEL ) . After TEL production at the Bayway Refinery was shut down , Deepwater was the only plant in the Western hemisphere producing TEL up to 1948 , when it accounted for the bulk of the Dupont / Deepwater 's production .   Controversy and phase - out ( edit )   The toxicity of concentrated TEL was recognized early on , as lead had been recognized since the 19th century as a dangerous substance that could cause lead poisoning . In 1924 , a public controversy arose over the `` loony gas '' , after at least 17 workers died , and many others were severely injured , in Standard and DuPont refineries in New Jersey . There had also been a private controversy for two years prior to this controversy ; several public health experts , including Alice Hamilton and Yandell Henderson , engaged Midgley and Kettering with letters warning of the dangers to public health . After the death of the workers , dozens of newspapers reported on the issue . The New York Times editorialized in 1924 that the deaths should not interfere with the production of more powerful fuel .   To settle the issue , the U.S. Public Health Service conducted a conference in 1925 , and the sales of TEL were voluntarily suspended for one year to conduct a hazard assessment . The conference was initially expected to last for several days , but reportedly the conference decided that evaluating presentations on alternative anti-knock agents was not `` its province '' , so it lasted a single day . Kettering and Midgley stated that no alternatives for anti-knocking were available , although private memos showed discussion of such agents . One commonly discussed agent was ethanol . The Public Health Service created a committee that reviewed a government - sponsored study of workers and an Ethyl lab test , and concluded that while leaded gasoline should not be banned , it should continue to be investigated . The low concentrations present in gasoline and exhaust were not perceived as immediately dangerous . A U.S. Surgeon General committee issued a report in 1926 that concluded there was no real evidence that the sale of TEL was hazardous to human health but urged further study . In the years that followed , research was heavily funded by the lead industry ; in 1943 , Randolph Byers found children with lead poisoning had behavior problems , but he was threatened with a lawsuit and the research ended .   In the late 1920s , Robert A. Kehoe of the University of Cincinnati was the Ethyl Corporation 's chief medical consultant and one of the lead industry 's staunchest advocates , who would not be discredited until decades later by Dr. Clair Patterson 's work on human lead burdens ( see below ) and other studies . In 1928 , Dr. Kehoe expressed the opinion that there was no basis for concluding that leaded fuels posed any health threat . He convinced the Surgeon General that the dose -- response relationship of lead had `` no effect '' below a certain threshold . As the head of Kettering Laboratories for many years , Kehoe would become a chief promoter of the safety of TEL , an influence that did not begin to wane until about the early 1960s . But by the 1970s , the general opinion of the safety of TEL would change , and by 1976 the U.S. government would begin to require the phaseout of this product .   In the late 1940s and early 1950s , Clair Cameron Patterson accidentally discovered the pollution caused by TEL in the environment while determining the age of the earth . As he attempted to measure lead content of very old rocks , and the time it took uranium to decay into lead , the readings were made inaccurate by lead in the environment that contaminated his samples . He was then forced to work in a cleanroom to keep his samples uncontaminated by environmental pollution of lead . After coming up with a fairly accurate estimate of the age of the earth , he turned to investigating the lead contamination problem by examining ice cores from countries such as Greenland . He realized that the lead contamination in the environment dated from about the time that TEL became widely used as a fuel additive in gasoline . Being aware of the health dangers posed by lead and suspicious of the pollution caused by TEL , he became one of the earliest and most effective opponents of its use .   In the 1960s , the first clinical works were published proving the toxicity of this compound in humans , e.g. by Mirosław Jan Stasik .   In the 1970s , Herbert Needleman found that higher lead levels in children were correlated with decreased school performance . Needleman was repeatedly accused of scientific misconduct by individuals within the lead industry , but he was eventually cleared by a scientific advisory council . Needleman also wrote the average US child 's blood lead level was 13.7 μg / dl in 1976 and that Patterson believed that everyone was to some degree poisoned by TEL in gasoline .   In the U.S. in 1973 , the United States Environmental Protection Agency issued regulations to reduce the lead content of leaded gasoline over a series of annual phases , which therefore came to be known as the `` lead phasedown '' program . EPA 's rules were issued under section 211 of the Clean Air Act , as amended 1970 . The Ethyl Corp challenged the EPA regulations in Federal court . Although the EPA 's regulation was initially dismissed , the EPA won the case on appeal , so the TEL phasedown began to be implemented in 1976 . Additional regulatory changes were made by EPA over the next decade ( including adoption of a trading market in `` lead credits '' in 1982 that became the precursor of the Acid Rain Allowance Market , adopted in 1990 for SO2 ) , but the decisive rule was issued in 1985 . Then EPA mandated that lead additive be reduced by 91 percent by the end of 1986 . A 1994 study had indicated that the concentration of lead in the blood of the U.S. population had dropped 78 % from 1976 to 1991 . The U.S. phasedown regulations also were due in great part to studies conducted by Philip J. Landrigan .   In 1995 , leaded fuel accounted for only 0.6 % of total gasoline sales and less than 2000 short tons ( 1814 t ) of lead per year . From 1 January 1996 , the U.S. Clean Air Act banned the sale of leaded fuel for use in on - road vehicles . Thus , what had begun in the U.S. as a phasedown ultimately ended in a phase - out . Similar bans in other countries have resulted in lowering levels of lead in people 's bloodstreams .   Taking cue from the domestic programs , the U.S. Agency for International Development undertook an initiative to reduce tetraethyl lead use in other countries , notably its efforts in Egypt begun in 1995 . In 1996 , with the cooperation of the U.S. AID , Egypt took almost all of the lead out of its gasoline . The success in Egypt provided a model for AID efforts worldwide .   By 2000 , the TEL industry had moved the major portion of their sales to developing countries whose governments they lobbied against phasing out leaded gasoline . Leaded gasoline was withdrawn entirely from the European Union market on 1 January 2000 , although it had been banned much earlier in most member states . Other countries also phased out TEL . India banned leaded petrol in March 2000 .   By 2011 , the United Nations announced that it had been successful in phasing out leaded gasoline worldwide . `` Ridding the world of leaded petrol , with the United Nations leading the effort in developing countries , has resulted in $2.4 trillion in annual benefits , 1.2 million fewer premature deaths , higher overall intelligence and 58 million fewer crimes , '' the United Nations Environmental Programme said . The announcement was slightly premature , as a few countries still have leaded gasoline for sale as of 2013 ( see above ) .   Effect on crime rates ( edit )  Main article : Lead - crime hypothesis  A statistically significant correlation has been found between the usage rate of leaded gasoline and violent crime : the violent crime curve virtually tracks the lead exposure curve with a 22 - year time lag . After the ban on TEL , blood lead levels in US children dramatically decreased .   Reduction in the average blood lead level is believed to have been a major cause for falling violent crime rates in the United States and South Africa . Researchers including Amherst College economist Jessica Wolpaw Reyes , Department of Housing and Urban Development consultant Rick Nevin , and Howard Mielke of Tulane University say that declining exposure to lead is responsible for an up to 56 % decline in crime from 1992 to 2002 . Taking into consideration other factors that are believed to have increased crime rates over that period , Reyes found that the reduced exposure to lead led to an actual decline of 34 % over that period .   Although leaded gasoline is largely gone in North America , it has left high concentrations of lead in the soil adjacent to roads that were heavily used prior to its phaseout . Children are particularly at risk if they consume this .   Further reading ( edit )    Filella , Montserrat ; Bonet , Josep ( 2017 ) . `` Chapter 14 . Environmental Impact of Alkyl Lead ( IV ) Derivatives : Perspective after Their Phase - out '' . In Astrid , S. ; Helmut , S. ; Sigel , R.K.O. Lead : Its Effects on Environment and Health . Metal Ions in Life Sciences . 17 . de Gruyter . pp. 471 -- 490 . doi : 10.1515 / 9783110434330 - 014 .    See also ( edit )    Chemistry portal     Elmer Keiser Bolton   Ethyl Corporation   Lead   Lead abatement   Lead and crime hypothesis   Organolead chemistry   Poisoning from lead   Tetramethyl lead     List of petrol additives   Thomas Midgley Jr. -- discovered that the addition of tetraethyllead to gasoline prevented `` knocking '' in internal combustion engines    References ( edit )    ^ Jump up to : `` NIOSH Pocket Guide to Chemical Hazards # 0601 '' . National Institute for Occupational Safety and Health ( NIOSH ) .   ^ Jump up to : `` Tetraethyl lead '' . Immediately Dangerous to Life and Health Concentrations ( IDLH ) . National Institute for Occupational Safety and Health ( NIOSH ) .   Jump up ^ `` TETRA - ETHYL LEAD AS AN ADDITION TO PETROL '' . British Medical Journal . 1 ( 3504 ) : 366 -- 7 . 3 March 1928 . doi : 10.1136 / bmj. 1.3504. 366 . PMC 2455205 . PMID 20773729 .   Jump up ^ `` After Lead ? '' , Popular Science ( October 1987 ed . ) , p. 94   Jump up ^ Operator 's Manual : Army Model U-8F Aircraft . Headquarters , Department of the Army ( U.S. ) . 21 March 1978 . p. 2 − 15 .   ^ Jump up to : Chung , Kevin ( 16 August 2013 ) . TEL for MOGAS manufacture in China ( PDF ) ( Report ) . Summer Hill , NSW , Australia : The LEAD Group , Inc . Retrieved 14 January 2018 .   ^ Jump up to : `` UNEP - Transport - Partnership for Clean Fuels and Vehicles '' ( PDF ) . Leaded Petrol Phase - out : Global Status as at March 2017 . Retrieved 2018 - 04 - 28 .   ^ Jump up to : Seyferth , D. ( 2003 ) . `` The Rise and Fall of Tetraethyllead. 2 '' . Organometallics. 22 ( 25 ) : 5154 -- 5178 . doi : 10.1021 / om030621b .   ^ Jump up to : Kovarik , W. ( 2005 ) . `` Ethyl - leaded gasoline : how a classic occupational disease became an international public health disaster '' ( PDF ) . Int J Occup Environ Health . 11 ( 4 ) : 384 -- 97 . doi : 10.1179 / oeh. 2005.11. 4.384 . PMID 16350473 . Archived from the original ( PDF ) on 11 July 2014 .   Jump up ^ `` A New Automobile Fuel '' . The Advertiser ( Adelaide ) . South Australia . 16 January 1924 . p. 15 . Retrieved 25 April 2017 -- via National Library of Australia .   Jump up ^ `` 1972 Imperial &amp; Chrysler Engine Performance Facts &amp; Fixes ServiceBook ( Session 291 ) '' .   Jump up ^ `` 1973 Imperial and Chrysler Clean Air System Reference ServiceRepair Book from the Master Technician 's Service Conference ( Session 302 ) '' .   Jump up ^ `` BeechTalk - Login '' . www.beechtalk.com . Retrieved 2018 - </t>
  </si>
  <si>
    <t xml:space="preserve">when was lead banned in gasoline in the us</t>
  </si>
  <si>
    <t xml:space="preserve"> In most industrialized countries , a phaseout of TEL from road vehicle fuels was completed by the early 2000s because of concerns over air and soil lead levels and the accumulative neurotoxicity of lead . The use of catalytic converters , mandated in the US for 1975 and newer model - year cars to meet tighter emissions regulations , started a gradual phase - out of leaded gasoline in the US . The need for TEL was lessened by several advances in automotive engineering and petroleum chemistry . Safer methods for making higher - octane blending stocks such as reformate and iso - octane reduced the need to rely on TEL , as did other antiknock additives of varying toxicity including metallic compounds such as methylcyclopentadienyl manganese tricarbonyl ( MMT ) as well as oxygenates including methyl tert - butyl ether ( MTBE ) , tert - amyl methyl ether ( TAME ) , and ethyl tert - butyl ether ( ETBE ) . </t>
  </si>
  <si>
    <r>
      <rPr>
        <sz val="11"/>
        <color rgb="FF000000"/>
        <rFont val="Calibri"/>
        <family val="0"/>
        <charset val="1"/>
      </rPr>
      <t xml:space="preserve">Link light rail - Wikipedia  Link light rail  Not to be confused with the Light RailLink system in Baltimore or the Link Train in Toronto .    Sound Transit Link light rail       Overview     Locale   Seattle metropolitan area     Transit type   Light rail     Number of lines   2 existing 2 under construction     Number of stations   21 existing 13 under construction 9 approved     Daily ridership   80,789 ( May 2018 , weekdays )     Annual ridership   24,159,038 ( 2017 )     Operation     Began operation   Tacoma Link : August 22 , 2003 Central Link : July 18 , 2009     Operator ( s )   Sound Transit and King County Metro     Technical     System length   21.95 miles ( 35.33 km )     Track gauge   4 ft 8 ⁄ in ( 1,435 mm ) standard gauge     Electrification   1500 V DC , overhead lines ( Central Link ) 750 V DC , overhead lines ( Tacoma Link )        hide System map          Legend     Central Link                                Lynnwood Link ( 2024 )                                    Lynnwood Link ( 2024 )                               Lynnwood City Center                                         Mountlake Terrace                     Shoreline North / 185th                     Shoreline South / 145th                                Northgate Link ( 2021 )                                    Northgate Link ( 2021 )                               Northgate                     Roosevelt                     U District                        University of Washington                        Lake Washington     Ship Canal                        Capitol Hill                       Westlake                       University Street                     Pioneer Square      State Ferries     &amp; Water Taxi                           International District /     Chinatown                                 Downtown Seattle                           Transit Tunnel                                    East Link Extension ( 2023 )                                    East Link Extension ( 2023 )                               Judkins Park                        Homer M. Hadley Mem . Bridge     over Lake Washington                        Mercer Island                        East Channel Bridge     over Lake Washington                        South Bellevue                     East Main                                         Bellevue Downtown                     Wilburton                     Spring District / 120th                     Bel - Red / 130th                     Overlake Village                     Redmond Technology Center                     SE Redmond ( 2024 )                     Downtown Redmond ( 2024 )                        Stadium                     SODO                     Beacon Hill                     Mount Baker                     Columbia City                     Othello                     Rainier Beach                     Tukwila International Boulevard                     SeaTac / Airport                       Angle Lake                             Federal Way Link ( 2024 )                                    Federal Way Link ( 2024 )                               Kent / Des Moines                     South 272nd Street                     Federal Way Transit Center                           Tacoma Link                              Hilltop Extension                                  Hilltop Extension                             St Joseph                   Hilltop District                   6th Avenue                   Tacoma General                   Stadium District                   S 4th                   Old City Hall ( relocated )                      Theater District / South 9th Street                   Commerce Street / South 11th Street                   Convention Center / South 15th Street                   Union Station / South 19th Street                   South 25th Street                   Tacoma Dome                          This diagram :   view   talk   edit             The Link light rail is a rapid transit rail system in the Seattle metropolitan area of Washington State , being designed , built and operated by the region 's mass transportation agency , Sound Transit .   Currently the system consists of two separate lines : Central Link and Tacoma Link . Central Link is a light rail line operating between the University of Washington in Seattle and the Angle Lake station in SeaTac , Washington . Tacoma Link is a streetcar line operating in downtown Tacoma . Extensions are being planned or constructed that will bring Central Link north to Lynnwood and Everett , east to Redmond and south to Kent , Des Moines , Federal Way , and the Tacoma Dome . Additional lines are planned to service Ballard , West Seattle , Issaquah and south Kirkland .   The initial system was approved and funded by voters under the `` Sound Move '' ballot measure passed in November 1996 . Further expansion of the system was approved and funded by voters under the `` Sound Transit 2 '' ballot measure passed in 2008 , and the Sound Transit 3 program in 2016 . By 2040 , the system is expected to grow to over 112 miles ( 180 km ) of track .   Contents    1 History   2 Current lines   2.1 Central Link   2.2 Tacoma Link     3 Future extensions   4 Land - use impacts   5 See also   6 References   7 External links    History ( edit )  Main article : History of Link light rail  In November 1996 , voters in King , Pierce , and Snohomish Counties approved increases in sales taxes and vehicle excise taxes to pay for a US $ 3.9 billion transit package that included $1.7 billion for a light rail system , including Central Link and Tacoma Link . Over the next several years , debates raged over various issues surrounding the Central Link line .   In the late nineties and early 2000s , Sound Transit underwent a series of financial and political difficulties . The cost of the line rose significantly , and the federal government threatened to withhold necessary grants . In 2001 , Sound Transit was forced to shorten the line from the original proposal , and growing enthusiasm for the proposed monorail brought rising opposition to the light rail from Seattle - area residents .   But by the end of 2002 , Sound Transit decided on a route and became more financially stable . On August 22 , 2003 , the Tacoma Link light rail line in Downtown Tacoma opened and quickly reached its forecast ridership . On November 8 , 2003 , a groundbreaking ceremony was held for the Central Link light rail line . Central Link opened between Westlake Station and Tukwila on July 18 , 2009 , and was extended 1.7 miles ( 2.7 km ) to SeaTac / Airport on December 19 , 2009 .   In November 2006 , the U.S. Federal Transit Administration approved Sound Transit 's plan for University Link , a project to extend light rail 3.1 miles ( 5.0 km ) north to the University of Washington after completion of an Environmental Impact Study . A grant was approved in November 2008 , which allowed University Link to begin construction in December 2008 . The line opened , including the University Link Tunnel , on March 19 , 2016 .   Current lines ( edit )   Central Link ( edit )  Central Link train in Tukwila Main article : Central Link  Central Link is a light rail line running between the University of Washington , downtown Seattle ( in the Downtown Seattle Transit Tunnel ) , the SoDo district ( home to CenturyLink Field and Safeco Field ) , Seattle 's Rainier Valley , Tukwila , the Seattle -- Tacoma International Airport in SeaTac and Angle Lake . The initial 13.9 - mile ( 22.4 km ) segment of the line was opened on July 18 , 2009 . The line has since been expanded three times and spans 20.35 miles ( 32.8 km ) as of September 26 , 2016 .   Tacoma Link ( edit )  Tacoma Link car in downtown Tacoma Main article : Tacoma Link  Tacoma Link is a streetcar line running through the densest parts of Tacoma . This line connects the Tacoma Dome Station ( a regional hub for local and express bus , and commuter train service ) with downtown Tacoma , making stops near the city 's convention center , theater district , the University of Washington 's Tacoma campus and several museums . The 1.6 - mile ( 2.6 km ) line was completed in 2003 .   Future extensions ( edit )   Sound Transit 's 2008 ballot measure , named Sound Transit 2 , approved several light rail projects , extending Link northward to Northgate and Lynnwood by 2021 and 2024 , respectively , and east to Bellevue and Overlake in 2023 . It also extended the existing line one new station in Angle Lake , which opened September 26 , 2016 . Other improvements in the package included Sounder commuter rail improvements and expansion of Tacoma Link .   Sound Transit 3 , passed in 2016 , funded new extensions of Link that will open between 2024 and 2040 . Several deferred or truncated projects from Sound Transit 2 , including extensions to Federal Way and Downtown Redmond , were funded and accelerated by the plan .     Project Name   Status   Description   Length   Expected Opening     Northgate Link Extension   Under construction   Extends Central Link north from University of Washington Station to the University District west of campus , the Roosevelt neighborhood and Northgate , a major transit center and shopping mall .   4.3 miles ( 6.9 km )   2021     Tacoma Link Extension   Under construction   Extends Tacoma Link north and west from downtown Tacoma to the city 's Stadium District and Hilltop neighborhood .   2.4 miles ( 3.9 km )   2022     East Link Extension   Under construction   Extends Central Link east from downtown Seattle to the Judkins Park neighborhood , Mercer Island , Bellevue , Overlake and Microsoft 's campus in Redmond . The project also includes route planning to support a later extension to downtown Redmond , which was approved in Sound Transit 3 .   14 miles ( 23 km )   2023     Downtown Redmond Link Extension   Environmental Review   Extends East Link north - east from Overlake to Redmond at two new stations : SE Redmond and Downtown Redmond . This project was approved in Sound Transit 3 and will be the first ST3 project to open .   3.7 miles ( 6.0 km )   2024     Lynnwood Link Extension   Final Design   Extends Central Link north from Northgate in Seattle ( northern terminus of the Northgate Link Extension ) to North Seattle , Shoreline , Mountlake Terrace and Lynnwood , a major transit center .   8.5 miles ( 13.7 km )   2024     Federal Way Link Extension   Environmental Review   Extends Central Link south from Angle Lake ( southern terminus of the South 200th Link Extension ) to Highline College and downtown Federal Way .   4.8 miles ( 7.7 km )   2024     Tacoma Dome Link Extension   Preliminary design   Extends Central Link south from Federal Way Transit Center to Tacoma Dome Station , with stops in Federal Way , Fife , and East Tacoma .   15 miles ( 24 km )   2030     West Seattle Link Extension   Initial Planning   Extends Central Link southwest from downtown Seattle to West Seattle .   4.7 miles ( 7.6 km )   2030     Ballard Link Extension   Initial Planning   Extends Central Link northwest from downtown Seattle to Ballard via South Lake Union and Lower Queen Anne . The project includes a new 2nd downtown transit tunnel with a stop in Midtown , that will connect at the current ID / Chinatown Station .   7.1 miles ( 11.4 km )   2035     Everett Link Extension   Planned   Extends Central Link north from Lynnwood Transit Center to Everett Station via Paine Field .   15.4 miles ( 24.8 km )   2036     South Kirkland - Issaquah Link Extension   Planned   A new line which will connect in Bellevue via East Link . This will extend light rail to downtown Issaquah , mostly following I - 90 , with stations in Eastgate , and Factoria . Additionally it will extend north to the South Kirkland Park and Ride , connecting with some Bellevue stations .   9 miles ( 14 km ) ( Issaquah - only portion )   2041     Land - Use impacts ( edit )   An expressed purpose in building the Link light rail system has been to support a `` smart growth '' approach to handling the region 's population growth and development . By concentrating new development along light rail lines ( a practice known as `` transit - oriented development '' ) , more people can live more densely without the increases in automotive commuting traffic that might otherwise be expected . In addition , the concentration of residents near stations helps maintain ridership and revenue . Climate change activists also point out that compact development around light rail lines has been shown to result in reductions in residents ' CO emissions , compared to more conventional suburban automotive commutes .   Environmentalists , transportation groups and some affordable housing advocates have sought greater government regulatory support for transit - oriented development along Link light rail , and in 2009 a bill was introduced in the Washington State Legislature that would have raised allowable densities ( as well as lowering parking requirements and easing some other regulations on development ) in station areas . The bill did not pass , but supporters vowed to bring it back in 2010 .   See also ( edit )    List of Link Light Rail stations   Sounder commuter rail   Seattle Streetcar Network   List of rail transit systems in the United States    References ( edit )    Jump up ^ `` Projects &amp; Plans - Find a Project '' . Sound Transit . Retrieved March 20 , 2016 .   Jump up ^ `` May 2017 Service Performance Report '' ( PDF ) . Sound Transit . July 19 , 2018 . Retrieved July 23 , 2018 .   Jump up ^ `` 2017 Q4 Service Delivery Quarterly Performance Report '' ( PDF ) . Sound Transit . February 22 , 2018 . Retrieved February 22 , 2018 .   Jump up ^ David Schaefer ( November 8 , 1996 ) . `` Voters Back Transit Plan On Fourth Try '' . The Seattle Times . Retrieved February 26 , 2007 .   Jump up ^ `` Light - rail cost soars $1 billion '' . The Seattle Times . December 13 , 2000 . Retrieved February 28 , 2007 .   Jump up ^ Andrew Garber ( March 30 , 2001 ) . `` Federal aid in jeopardy for light rail '' . The Seattle Times . Retrieved April 21 , 2007 .   Jump up ^ Grass , Michael ( March 23 , 2016 ) . `` With Seattle 's Long - Awaited Transit Expansion Now Reality , It 's Full Steam Ahead '' . Route Fifty . Atlantic Media . Retrieved April 12 , 2016 .   Jump up ^ `` Sound Transit : Tacoma Link '' . Archived from the original on October 24 , 2008 . Retrieved January 6 , 2009 .   Jump up ^ `` Countdown to a new era : all aboard Link light rail starting July 18 '' ( Press release ) . Sound Transit . April 20 , 2009 . Retrieved March 20 , 2016 .   Jump up ^ `` Countdown to airport connection : Link light rail to Sea - Tac Airport starts Dec. 19 '' ( Press release ) . Sound Transit . November 13 , 2009 . Retrieved March 20 , 2016 .   Jump up ^ Yardley , William ( April 4 , 2016 ) . `` Seattle continues quest to get greener as it grows with ' transformative ' light - rail expansion '' . Los Angeles Times . Retrieved April 12 , 2016 .   Jump up ^ `` Northgate Link Extension '' . Sound Transit . Retrieved March 24 , 2016 .   Jump up ^ `` Tacoma Link Expansion '' . Sound Transit . Retrieved March 24 , 2016 .   Jump up ^ `` East Link Extension '' . Sound Transit . Retrieved March 24 , 2016 .   Jump up ^ `` Downtown Redmond Link Extension '' . Sound Transit . Retrieved September 19 , 2017 .   Jump up ^ `` Lynnwood Link Extension '' . Sound Transit . Retrieved March 24 , 2016 .   Jump up ^ `` Federal Way Link Extension '' . Sound Transit . Retrieved March 24 , 2016 .   ^ Jump up to : `` Sound Transit 3 Draft System Plan '' ( PDF ) .   Jump up ^ Dunkelberger , Steven ( 22 December 2017 ) . `` Sound Transit moves forward with Tacoma Dome light rail project '' . Tacoma Weekly News . Retrieved 9 January 2018 .   Jump up ^ `` Project Summary : LINK Light Rail '' . King County Department of Transportation . September 17 , 2003 . Archived from the original on October 13 , 2006 .   Jump up ^ Regional View Newsletter . Puget Sound Regional Council . July 2001 . Archived December 4 , 2008 , at the Wayback Machine .   ^ Jump up to : Transit Oriented Development   Jump up ^ Online TDM Encyclopedia - Transit Oriented Development   Jump up ^ Futurewise - Transportation Archived May 11 , 2008 , at the Wayback Machine .    External links ( edit )       Wikimedia Commons has media related to Sound Transit Link Light Rail .     Route map :       KML file ( edit help )        Template : Attached KML / Link light rail KML is not from Wikidata   Sound Transit              Mass transit in the Puget Sound region     Local and express bus     Community Transit   list of routes     Everett Transit   Intercity Transit   Island Transit   King County Metro   list of routes   fleet   facilities   trolleybuses     Kitsap Transit   Pierce Transit   Skagit Transit   Sound Transit Express       Light rail     Link light rail   list of stations   Central Link   Tacoma Link       Future extensions : East Link   Federal Way Link   Lynnwood Link   Northgate Link       Streetcar     Seattle Streetcar   First Hill Streetcar   South Lake Union Streetcar     Waterfront Streetcar ( discontinued )       Commuter rail     Sounder       Bus rapid transit     RapidRide                   Swift   Blue   Green         Ferry     Clipper Navigation   Herron Island ferry   King County Water Taxi   Kitsap Fast Ferries   Kitsap Transit Foot Ferry   Steilacoom -- Anderson Island ferry   Washington State Ferries       Monorail     Seattle Center Monorail       Other     Downtown Seattle Transit Tunnel   ORCA card   Sea - Tac Airport Satellite Transit System   SODO Busway   Sound Transit   Trolleybuses in Seattle       Italics denote lines or services which are planned , under construction , or otherwise not operating at the present time .               Currently operating light rail and streetcar systems in the United States           Arizona     Phoenix Valley Metro Rail   Tucson Sun Link       Arkansas     Little Rock Metro Streetcar   Fort Smith Trolley       California     eBART   Los Angeles Metro Rail   Blue , Green , Gold , and Expo lines     Sprinter ( Oceanside - Escondido )   Sacramento RT   San Diego Trolley   San Francisco Muni   Cable Car   E Embarcadero   F Market &amp; Wharves   Muni Metro     Santa Clara VTA       Colorado     Denver   RTD light rail   Platte Valley Trolley     Fort Collins Municipal Railway       District of Columbia     DC Streetcar       Florida     Tampa TECO Line Streetcar System       Georgia     Atlanta Streetcar       Louisiana     New Orleans streetcars       Maryland     Baltimore Light RailLink       Massachusetts     Boston   Ashmont -- Mattapan High Speed Line   MBTA Green Line     Lowell National Historical Park Trolley       Michigan     Detroit QLine       Minnesota     Minneapolis - St. Paul   Metro   Como - Harriet Streetcar Line   Excelsior Streetcar Line         Missouri     KC Streetcar           Missouri / Illinois     St. Louis MetroLink       New Jersey     Hudson -- Bergen Light Rail   Newark Light Rail   River Line ( Camden -- Trenton )       New York     Buffalo Metro Rail       North Carolina     Charlotte   Lynx Blue Line   CityLynx Gold Line         Ohio     Cincinnati Bell Connector   Cleveland RTA Blue , Green , and Waterfront Lines       Oklahoma     El Reno Heritage Express Trolley       Oregon     Portland   MAX Light Rail   Portland Streetcar   Willamette Shore Trolley     Astoria Riverfront Trolley       Pennsylvania     Philadelphia SEPTA   Route 15   Routes 101 and 102   Subway -- Surface Lines     Pittsburgh Light Rail       Tennessee     Memphis MATA Trolley       Texas     Dallas   DART Light Rail   Dallas Streetcar   M - Line     Houston METRORail       Utah     Salt Lake City   TRAX   S Line         Virginia     Norfolk Tide       Washington     Seattle   Central Link   Seattle Streetcar     Tacoma Link   Issaquah Valley Trolley       Wisconsin     Kenosha Transit             Italics denote non-transit streetcar lines , operating only on limited dates and usually not year - round , for tourism or educational purposes . Transit in the United States :   Rapid transit   Light rail / Streetcar   People mover &amp; monorail   Trolleybus   Commuter rail      Retrieved from `` https://en.wikipedia.org/w/index.php?title=Link_light_rail&amp;oldid=864711412 '' Categories :   Link Light Rail   Sound Transit   Light rail in Washington ( state )   Transportation in Seattle   2003 establishments in Washington ( state )   Hidden categories :   Webarchive template wayback links   Use mdy dates from October 2015   Wikipedia articles in need of updating from March 2016   All Wikipedia articles in need of updating   Articles using KML not from Wikidata           Talk                                           Contents                   About Wikipedia                                                 Čeština   Español   فارسی   Français   Italiano   </t>
    </r>
    <r>
      <rPr>
        <sz val="11"/>
        <color rgb="FF000000"/>
        <rFont val="Noto Sans CJK SC"/>
        <family val="2"/>
      </rPr>
      <t xml:space="preserve">中文   </t>
    </r>
    <r>
      <rPr>
        <sz val="11"/>
        <color rgb="FF000000"/>
        <rFont val="Calibri"/>
        <family val="0"/>
        <charset val="1"/>
      </rPr>
      <t xml:space="preserve">Edit links   This page was last edited on 18 October 2018 , at 23 : 29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</si>
  <si>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light rail in seattle go</t>
  </si>
  <si>
    <t xml:space="preserve"> Currently the system consists of two separate lines : Central Link and Tacoma Link . Central Link is a light rail line operating between the University of Washington in Seattle and the Angle Lake station in SeaTac , Washington . Tacoma Link is a streetcar line operating in downtown Tacoma . Extensions are being planned or constructed that will bring Central Link north to Lynnwood and Everett , east to Redmond and south to Kent , Des Moines , Federal Way , and the Tacoma Dome . Additional lines are planned to service Ballard , West Seattle , Issaquah and south Kirkland . </t>
  </si>
  <si>
    <t xml:space="preserve">Federal assault weapons ban - wikipedia  Federal assault weapons ban  Jump to : navigation , search This article is about the U.S. Assault Weapons Ban of 1994 that expired in 2004 . For other assault weapons bans in the U.S. , see Assault weapons legislation in the United States . President Bill Clinton signing the bill into law .    Firearm legal topics of the     United States of America           Amendment II     Assault weapon   Assault weapons legislation   Bump stocks   Bureau of Alcohol , Tobacco , Firearms and Explosives ( ATF )   Brady Handgun Violence Prevention Act   Campus carry in the U.S.   Concealed carry in the U.S.   Connecticut Children 's Safety Act   Constitutional carry   Domestic Violence Offender Gun Ban   Federal Assault Weapons Ban   Federal Firearms Act of 1938   Federal Firearms License   Firearm case law   Firearm Owners Protection Act   Gun Control Act of 1968   Gun - Free School Zones Act ( GFSZA )   Gun law in the U.S.   Gun laws in the U.S. by state   Gun politics in the U.S.   High - capacity magazine ban   International treaties for arms control   National Instant Criminal Background Check System ( NICS )   National Firearms Act ( NFA )   NY SAFE Act   Open carry in the U.S.   Right to keep and bear arms in the U.S.   Sullivan Act ( New York )   Suppressor   Tiahrt Amendment   Violent Crime Control and Law Enforcement Act       United States portal                 The Federal Assault Weapons Ban ( AWB ) , officially the Public Safety and Recreational Firearms Use Protection Act , is a subsection of the Violent Crime Control and Law Enforcement Act of 1994 , a United States federal law , which included a prohibition on the manufacture for civilian use of certain semi-automatic firearms that were defined as assault weapons as well as certain ammunition magazines that were defined as `` large capacity . ''   The 10 - year ban was passed by the US Congress on September 13 , 1994 , following a close 52 -- 48 vote in the US Senate , and was signed into law by US President Bill Clinton on the same day . The ban applied only to weapons manufactured after the date of the ban 's enactment . It expired on September 13 , 2004 , in accordance with its sunset provision .   Several constitutional challenges were filed against provisions of the ban , but all were rejected by the courts . There were multiple attempts to renew the ban , but none succeeded .   Studies have shown the ban had little effect in criminal activity , but that may have been caused by various loopholes .     Contents  ( hide )   1 Background   2 Provisions   2.1 Definition of assault weapon   2.2 Cosmetic features     3 Legal challenges   4 Studies on effectiveness   5 Efforts at renewal   6 See also   7 References      Background ( edit )   Efforts to create restrictions on assault weapons at the federal government level intensified in 1989 after 34 children and a teacher were shot and five children killed in Stockton , Calif. with a semi-automatic AK - 47 rifle . The Luby 's shooting in October 1991 , which left 23 people dead and 27 wounded , was another factor . The July 1993 101 California Street shooting also contributed to passage of the ban . The shooter killed eight people and wounded six . Two of the three firearms he used were TEC - 9 semi-automatic handguns with Hell - Fire triggers . The ban tried to address public concerns about mass shootings by restricting firearms that met the criteria for what it defined as a `` semiautomatic assault weapon '' , as well as magazines that met the criteria for what it defined as a `` large capacity ammunition feeding device '' .   In November 1993 , the proposed legislation passed the U.S. Senate . The bill 's author , Dianne Feinstein ( D - CA ) and other advocates said that it was a weakened version of the original proposal . In May 1994 , former presidents Gerald Ford , Jimmy Carter , and Ronald Reagan , wrote to the U.S. House of Representatives in support of banning `` semi-automatic assault guns '' . They cited a 1993 CNN / USA Today / Gallup Poll that found 77 percent of Americans supported a ban on the manufacture , sale , and possession of such weapons .   Rep. Jack Brooks ( D - TX ) , then chair of the House Judiciary Committee , tried unsuccessfully to remove the assault weapons ban section from the crime bill . The National Rifle Association ( NRA ) opposed the ban . In November 1993 , NRA spokesman Bill McIntyre said that assault weapons `` are used in only 1 percent of all crimes '' . The low usage statistic was supported in a 1999 Department of Justice brief . The legislation passed in September 1994 with the assault weapon ban section expiring in 2004 due to its sunset provision .   Provisions ( edit )   The Public Safety and Recreational Firearms Act was enacted as part of the Violent Crime Control and Law Enforcement Act of 1994 . The prohibitions expired on September 13 , 2004 .   The Act prohibited the manufacture , transfer , or possession of `` semiautomatic assault weapons , '' as defined by the Act . `` Weapons banned were identified either by specific make or model ( including copies or duplicates thereof , in any caliber ) , or by specific characteristics that slightly varied according to whether the weapon was a pistol , rifle , or shotgun '' ( see below ) . The Act also prohibited the transfer and possession of `` large capacity ammunition feeding devices '' ( LCAFDs ) . An LCAFD was defined as `` any magazine , belt , drum , feed strip , or similar device manufactured after the date ( of the act ) that has the capacity of , or that can be readily restored or converted to accept , more than 10 rounds of ammunition '' .   The Act included a number of exemptions and exclusions from its prohibitions :    The Act included a `` grandfather clause '' to allow for possession and transfer of weapons and ammunition that `` were otherwise lawfully possessed on the date of enactment . ''   The Act exempted some 650 firearm types or models , including various types of Browning , Remington , and Beretta guns , as these were viewed as primarily `` suitable for target practice , match competition , hunting , and similar sporting purposes . This list was not exhaustive and the act provided that the absence of a firearm from the exempted list did not mean it was banned unless it met the definition of ' semiautomatic assault weapon . ' ''   The Act `` also exempted any firearm that ( 1 ) is manually operated by bolt , pump , lever , or slide action ; ( 2 ) has been rendered permanently inoperable ; or ( 3 ) is an antique firearm . ''   The Act `` also did not apply to any semiautomatic rifle that can not accept a detachable magazine that holds more than five rounds of ammunition nor any semiautomatic shotgun that can not hold more than five rounds of ammunition in a fixed or detachable magazine . ''   The Act provided an exemption for the use of `` semiautomatic assault weapons and LCAFDs to be manufactured for , transferred to , and possessed by law enforcement and for authorized testing or experimentation purposes '' as well as transfers for federal - security purposes under the Atomic Energy Act and `` possession by retired law enforcement officers who are not otherwise a prohibited possessor under law . ''    In 1989 , the George H.W. Bush administration had banned the importation of foreign - made , semiautomatic rifles deemed not to have `` a legitimate sporting use . '' It did not affect similar but domestically - manufactured rifles . ( The Gun Control Act of 1968 gives discretion to the Attorney General of the United States to choose whether to `` authorize a firearm or ammunition to be imported or brought into the United States , '' under what is known as `` the sporting purposes test . '' ) Following the enactment of the Federal Assault Weapons Ban , the ATF determined that `` certain semiautomatic assault rifles could no longer be imported even though they were permitted to be imported under the 1989 ' sporting purposes test ' because they had been modified to remove all of their military features other than the ability to accept a detachable magazine '' and so in April 1998 , it `` prohibited the importation of 56 such rifles , determining that they did not meet the ' sporting purposes test . ' ''   Definition of assault weapon ( edit )   Under the Assault Weapons Ban of 1994 , the definition of `` semiautomatic assault weapon '' included specific semi-automatic firearm models by name , and other semi-automatic firearms that possessed two or more from a set certain features :  A semi-automatic Yugoslavian M70AB2 rifle . An Intratec TEC - DC9 with 32 - round magazine ; a semi-automatic pistol formerly classified as an assault weapon under federal law .   Semi-automatic rifles able to accept detachable magazines and two or more of the following :   Folding or telescoping stock   Pistol grip   Bayonet mount   Flash suppressor , or threaded barrel designed to accommodate one   Grenade launcher     Semi-automatic pistols with detachable magazines and two or more of the following :   Magazine that attaches outside the pistol grip   Threaded barrel to attach barrel extender , flash suppressor , handgrip , or suppressor   Barrel shroud safety feature that prevents burns to the operator   Unloaded weight of 50 oz ( 1.4 kg ) or more   A semi-automatic version of a fully automatic firearm .     Semi-automatic shotguns with two or more of the following :   Folding or telescoping stock   Pistol grip   Detachable magazine .      The ban defined the following semi-automatic firearms and any copies or duplicates of them , in any caliber , as assault weapons :     Name of firearm   Preban federal legal status     Norinco , Mitchell , and Poly Technologies Avtomat Kalashnikovs ( AKs ) ( all models )   Imports banned in 1989 *     Action Arms Israeli Military Industries UZI and Galil   Imports banned in 1989 *     Beretta AR - 70 ( SC - 70 )   Imports banned in 1989 *     Colt AR - 15   Legal     Fabrique National FN / FAL , FN - LAR , FNC   Imports banned in 1989 *     SWD ( MAC type ) M - 10 , M - 11 , M11 / 9 , M12   Legal     Steyr AUG   Imports banned in 1989 *     INTRATEC TEC - 9 , TEC - DC9 , TEC - 22   Legal     Revolving cylinder shotguns such as ( or similar to ) the Street Sweeper and Striker 12   Legal     Cosmetic features ( edit )   Gun control advocates and gun rights advocates have referred to at least some of the features outlined in the federal Assault Weapon Ban of 1994 as cosmetic . The NRA Institute for Legislative Action and the Violence Policy Center both used the term in publications that were released by them in September 2004 , when the ban expired . In May 2012 , the Law Center to Prevent Gun Violence said that `` the inclusion in the list of features that were purely cosmetic in nature created a loophole that allowed manufacturers to successfully circumvent the law by making minor modifications to the weapons they already produced . '' The term was repeated in several stories after the 2012 Aurora shooting and Sandy Hook Elementary School shooting . Senator Marco Rubio cited that issue during a town hall forum , responding to questions from survivors of the 2018 Stoneman - Douglas High School shooting in Parkland , Florida .   Legal challenges ( edit )   A February 2013 Congressional Research Service ( CRS ) report to Congress said that the `` Assault Weapons Ban of 1994 was unsuccessfully challenged as violating several constitutional provisions '' but that challenges to three constitutional provisions were easily dismissed . The ban did not make up an impermissible bill of attainder . It was not unconstitutionally vague . Also , it was ruled to be compatible with the Ninth Amendment by the Ninth Circuit Court of Appeals .   Challenges to two other provisions took more time to decide .   In evaluating challenges to the ban under the Commerce Clause , the court first evaluated Congress 's authority to regulate under the clause and then analyzed the ban 's prohibitions on manufacture , transfer , and possession . The court held that `` it is not even arguable that the manufacture and transfer of ' semiautomatic assault weapons ' for a national market can not be regulated as activity substantially affecting interstate commerce . '' It also held that the `` purpose of the ban on possession has an ' evident commercial nexus ' '' .   The law was also challenged under the Equal Protection Clause . It was argued that it banned some semi-automatic weapons that were functional equivalents of exempted semi-automatic weapons and that to do so , based upon a mix of other characteristics , served no legitimate governmental interest . The reviewing court held that it was `` entirely rational for Congress ... to choose to ban those weapons commonly used for criminal purposes and to exempt those weapons commonly used for recreational purposes . '' It also found that each characteristic served to make the weapon `` potentially more dangerous '' and were not `` commonly used on weapons designed solely for hunting . ''   The Federal Assault Weapons Ban was never directly challenged under the Second Amendment . Since its 2004 expiration , there has been debate on how the ban would fare in light of cases decided in following years , especially District of Columbia v. Heller ( 2008 ) .   Studies on Effectiveness ( edit )  Total US deaths by year in spree shootings from 1982 to 2018 ( ongoing ) .  A 2002 study by Koper and Roth found that around the time when the ban became law , assault weapon prices increased significantly , but the increase was reversed in the several months afterward by a surge in assault weapons production that occurred just before the ban took effect .   In 2003 , the Task Force on Community Preventive Services , an independent , non-federal task force , examined an assortment of firearms laws , including the AWB , and found `` insufficient evidence to determine the effectiveness of any of the firearms laws reviewed for preventing violence . '' A 2004 critical review of firearms research by a National Research Council committee said that an academic study of the assault weapon ban `` did not reveal any clear impacts on gun violence outcomes . '' The committee noted that the study 's authors said the guns were relatively rarely used criminally before the ban and that its maximum potential effect on gun violence outcomes would be very small .   In 2004 , a research report commissioned by the National Institute of Justice found that if the ban was renewed , the effects on gun violence would likely be small and perhaps too small for reliable measurement , because rifles in general , including rifles referred to as `` assault rifles '' or `` assault weapons '' , are rarely used in gun crimes . That study , by Christopher S. Koper , Daniel J. Woods , and Jeffrey A. Roth of the Jerry Lee Center of Criminology , University of Pennsylvania , found no statistically significant evidence that either the assault weapons ban or the ban on magazines holding more than 10 rounds had reduced gun murders . The authors also report that `` there has been no discernible reduction in the lethality and injuriousness of gun violence , based on indicators like the percentage of gun crimes resulting in death or the share of gunfire incidents resulting in injury . ''   In 2004 , the Brady Center to Prevent Gun Violence examined the impact of the Assault Weapons Ban , On Target : The Impact of the 1994 Federal Assault Weapon Act . Examining 1.4 million guns involved in crime , `` in the five - year period before enactment of the Federal Assault Weapons Act ( 1990 -- 1994 ) , assault weapons named in the Act constituted 4.82 % of the crime gun traces ATF conducted nationwide . Since the law 's enactment , however , these assault weapons have made up only 1.61 % of the guns ATF has traced to crime . Page 10 of the Brady report , however , adds that `` an evaluation of copycat weapons is necessary '' . Including `` copycat weapons '' , the report concluded that `` in the post-ban period , the same group of guns has constituted 3.1 % of ATF traces , a decline of 45 % . '' A spokesman for the Bureau of Alcohol , Tobacco , Firearms and Explosives ( ATF ) stated that he `` can in no way vouch for the validity '' of the report .   A study conducted by Dube in 2013 , showed that the passing of the FAWB in 1994 had an insignificant impact on violent crime in Mexico , while the expiration of the FAWB in 2004 combined with political instability was correlated with an increase in gun - related homicides among Mexican municipalities near the border . Also in 2013 , Koper reviewed the literature on the ban 's effects and concluded that its effects on crimes committed with assault weapons were mixed due to its various loopholes . He also concluded that the ban did not seem to affect gun crime rates , but may have been able to reduce shootings if it had been renewed in 2004 .   Research by gun advocate John Lott found no impact of these bans on violent crime rates , but provided evidence that the bans may have reduced the number of gun shows by over 20 percent . Koper , Woods , and Roth studies focus on gun murders , while Lott 's look at murder , rape , robbery , and aggravated assaults . Unlike their work , Lott 's research accounted for state assault weapon bans and 12 other different types of gun control laws .   In a 2013 report Samantha Bricknell from the Australian Institute of Criminology , Frederic Lemieux and Tim Prenzler compared mass shootings between America and Australia and found the `` 1996 NFA coincided within the cessation of mass shooting events '' in Australia , and that there were reductions in America that were evident during the 1994 -- 2004 US Federal Assault Weapon Ban .   Efforts at renewal ( edit )   The assault weapons ban expired on September 13 , 2004 . Legislation to renew or replace the ban was proposed numerous times unsuccessfully .   Between May 2003 and June 2008 , U.S. Senator Dianne Feinstein , D - CA , and Representatives Michael Castle , R - DE , Alcee Hastings , D - FL , and Mark Kirk , R - IL , introduced bills to reauthorize the ban . At the same time , Senator Frank Lautenberg , D - NJ , and Representative Carolyn McCarthy , D - NY , introduced similar bills to create a new ban with a revised definition for assault weapons . None of the bills left committee .   After the November 2008 election , the website of President - elect Barack Obama listed a detailed agenda for the forthcoming administration . The stated positions included `` making the expired federal Assault Weapons Ban permanent . '' Three months later , newly sworn - in Attorney General Eric Holder reiterated the Obama administration 's desire to reinstate the ban . The mention came in response to a question during a joint press conference with DEA Acting Administrator Michele Leonhart , discussing efforts to crack down on Mexican drug cartels . Attorney General Holder said that `` there are just a few gun - related changes that we would like to make , and among them would be to reinstitute the ban on the sale of assault weapons . ''   Efforts to pass a new federal assault weapons ban were made in December 2012 after the Sandy Hook Elementary School shooting , in Newtown , Connecticut . On January 24 , 2013 , Senator Feinstein introduced S. 150 , the Assault Weapons Ban of 2013 ( AWB 2013 ) . The bill was similar to the 1994 ban , but differed in that it would not expire after 10 years , and it used a one - feature test for a firearm to qualify as an assault weapon rather than the two - feature test of the defunct ban . The GOP Congressional delegation from Texas , and the NRA , condemned Feinstein 's bill . On March 14 , 2013 , the Senate Judiciary Committee approved a version of the bill along party lines . On April 17 , 2013 , AWB 2013 failed on a Senate vote of 40 to 60 .   See also ( edit )    United States portal   Law portal     Assault weapon   Gun politics in the United States    References ( edit )    ^ Jump up to : Wellford , Charles F ; Pepper , John V ; Petrie , Carol V , eds. ( 2013 ) ( Print ed. 2005 ) . Firearms and Violence : A Critical Review ( Electronic ed . ) . Washington , D.C. : National Academies Press . p. 97 . ISBN 0 - 309 - 54640 - 0 .   ^ Jump up to : Koper , Christopher S. ; Roth , Jeffrey A. ( 2002 ) . `` The Impact of the 1994 Federal Assault Weapons Ban on Gun Markets : An Assessment of Short - Term Primary and Secondary Market Effects '' . Journal of Quantitative Criminology. 18 ( 3 ) : 239 -- 266 . doi : 10.1023 / A : 1016055919939 .   Jump up ^ `` Senate restricts assault weapon imports , production '' . The Pittsburgh Press . Associated Press . May 23 , 1990 . p . A13 . Retrieved September 30 , 2013 . A campaign for curbs on assault weapons began in January 1989 after a deranged gunman with an AK - 47 semiautomatic rifle opened fire on a Stockton , Calif. , school yard at recess time , leaving five children dead and 30 wounded .   Jump up ^ Pazniokas , Mark ( December 20 , 1993 ) . `` One Gun 's Journey Into A Crime '' . The Courant . Hartford , Connecticut . Retrieved September 30 , 2013 . The campaign to ban assault weapons began Jan. 17 , 1989 , after Patrick Purdy shot 34 children and a teacher in a Stockton , Calif. , schoolyard , using a semiautomatic replica of an AK - 47 assault rifle .   Jump up ^ More Stockton schoolyard shooting sources :   Adams , Jane Meredith ( May 29 , 1995 ) . `` Sparked By School Massacre , Gun Debate Still Rages '' . Chicago Tribune . Retrieved March 17 , 2014 . Every murder horrifies , but the massacre of five children as they ran screaming that sunny January morning , and the wounding of 30 others , including a teacher , packed such emotional power it ignited the nascent anti-assault weapons movement .   Roth , Jeffrey A. ; Koper , Christopher S. ( 1997 ) . `` Impact Evaluation of the Public Safety and Recreational Firearms Use Protection Act of 1994 '' ( PDF ) . Washington , D.C. : The Urban Institute . Retrieved September 30 , 2013 . Nonetheless , the involvement of assault weapons in a number of mass murder incidents such as those discussed above ( including the Stockton schoolyard shooting ) provided an important impetus to the movement to ban assault weapons .   Cowan , Lee ( December 16 , 2012 ) . `` 1989 Calif. school shooting led to assault weapons ban '' . CBS News . Retrieved March 17 , 2014 .   Johnson , Kevin ( April 2 , 2013 ) . `` Stockton school massacre : A tragically familiar pattern '' . USA Today . Retrieved March 17 , 2014 . Like Newtown , the Stockton shooting helped prompt a heated national debate about gun control , culminating in a landmark , 10 - year federal ban on assault weapons , which expired in 2004 .     Jump up ^ `` Assault Weapons Ban . '' Encyclopedia of Gun Control and Gun Rights . Glenn H. Utter and Robert J. Spitzer . 2nd ed . Amenia , NY : Grey House Publishing , 2011 . 24 -- 25 . Gale Virtual Reference Library . Web . August 20 , 2016 . Quote : `` Two events spurred the introduction of an assault weapon ban in Congress : the January 1989 schoolyard shooting in Stockton , California , that left five children dead and 29 others wounded ; and the Killeen , Texas , cafeteria shooting in which 22 people were killed and 23 others wounded before the shooter took his own life . ''   Jump up ^ Bingham , Amy ( July 27 , 2012 ) . `` Shootings That Shaped Gun Control Laws : 101 California Street Shooting '' . ABC News Internet Ventures .   ^ Jump up to : Roth , Jeffrey A. ; Christopher S. Koper ( March 1999 ) . `` Impacts of the 1994 Assault Weapons Ban '' ( PDF ) . National Institute of Justice Research in Brief ( NCJ 173405 ) .   Jump up ^ Bunting , Glenn F. ( November 9 , 1993 ) . `` Feinstein Faces Fight for Diluted Gun Bill '' . Los Angeles Time .   Jump up ^ Eaton , William J. ( May 5 , 1994 ) . `` Ford , Carter , Reagan Push for Gun Ban '' . Los Angeles Times .   Jump up ^ Seelye , Katharine Q. ( July 28 , 1994 ) . `` Assault Weapons Ban Allowed To Stay in Anti-crime Measure '' . The New York Times .   Jump up ^ `` Senate Acts To Ban Assault Weapons : Brady Bill Still Awaiting Action '' . Chicago Tribune . November 18 , 1993 .   ^ Jump up to : Vivian S. Chu , Federal Assault Weapons Ban : Legal Issues , Congressional Research Service ( February 14 , 2013 ) , pp. 3 -- 5 .   Jump up ^ Rasky , Susan F. ( July 8 , 1989 ) . `` Import Ban on Assault Rifles Becomes Permanent '' . The New York Times .   Jump up ^ Public Safety and Recreational Firearms Use Protection Act , H.R. 3355 , 103rd Congress ( 1993 -- 1994 ) , Government Printing Office . Retrieved January 26 , 2013 .   Jump up ^ `` Finally , the End of a Sad Era -- Clinton Gun Ban Stricken from Books ! '' . Fairfax , Virginia : National Rifle Association , Institute for Legislative Action . September 13 , 2004 . Law - abiding citizens , however , will once again be free to purchase semi-automatic firearms , regardless of their cosmetic features , for target shooting , shooting competitions , hunting , collecting , and most importantly , self - defense .   Jump up ^ `` Violence Policy Center Issues Statement on Expiration of Federal Assault Weapons Ban '' ( Press release ) . Washington , D.C. : Violence Policy Center . September 13 , 2004 . Archived from the original on October 10 , 2013 . Soon after its passage in 1994 , the gun industry made a mockery of the federal assault weapons ban , manufacturing ' post-ban ' assault weapons with only slight , cosmetic differences from their banned counterparts .   Jump up ^ `` Assault Weapons Policy Summary '' . San Francisco , California : Law Center to Prevent Gun Violence . May 21 , 2012 .   Jump up ^ Seitz - Wald , Alex ( February 6 , 2013 ) . `` Do n't mourn the assault weapons ban 's impending demise '' . Salon . ( The National Rifle Association ) says the ban created an artificial distinction between ' assault weapons ' and other semi-automatic weapons , based almost entirely on cosmetic features . This is largely true .   Jump up ^ More cosmetic sources :   McArdle , Megan ( November 12 , 2012 ) . `` Just Say No to Dumb Gun Laws '' . The Daily Beast ... ' assault weapon ' is a largely cosmetic rather than functional description .   Kopel , David ( December 17 , 2012 ) . `` Guns , Mental Illness and Newtown '' . Wall Street Journal . None of the guns that the Newtown murderer used was an assault weapon under Connecticut law . This illustrates the uselessness of bans on so - called assault weapons , since those bans concentrate on guns ' cosmetics , such as whether the gun has a bayonet lug , rather than their function .   Yager , Jordy ( January 16 , 2013 ) . `` The problem with ' assault weapons ' '' . The Hill . Gun companies quickly realized they could stay within the law and continue to make rifles with high - capacity magazine clips if they steered away from the cosmetic features mentioned in the law .   Sullum , Jacob ( January 30 , 2013 ) . `` What 's an Assault Weapon ? '' . Reason . The distinguishing characteristics of ' assault weapons ' are mainly cosmetic and have little or no functional significance in the context of mass shootings or ordinary gun crimes .     Jump up ^ `` Read Stoneman students ' questions at the CNN town hall '' . CNN . Retrieved February 22 , 2018 .   ^ Jump up to : Chu , Vivian S. ( February 14 , 2013 ) . `` Federal Assault Weapons Ban : Legal Issues '' ( PDF ) . Congressional Research Service . Retrieved April 24 , 2014 .   ^ Jump up to : Navegar Inc. v. United States , 103 F. 3d 994 ( D.C. Cir. 1999 ) .   Jump up ^ United States v. Starr , 945 F. Supp. 257 ( M.D. Ga . 1996 ) ( `` Accordingly , the statute is not unconstitutionally vague and Defendant Starr 's motion is hereby DENIED . '' ) .   Jump up ^ San Diego Gun Rights Comm . v. Reno , 98 F. 3d 1121 ( 9th Cir. 1996 ) ( `` To grant plaintiffs standing to challenge the constitutionality of the Crime Control Act in the circumstances of this case would eviscerate the core standing requirements of Article III and throw all prudential caution to the wind . '' ) .   Jump up ^ Olympic Arms v. Buckles , 301 F. 3d 384 ( 6th Cir. 2002 ) ( `` Accordingly , it is entirely rational for Congress , in an effort to protect public safety , to choose to ban those weapons commonly used for criminal purposes and to exempt those weapons commonly used for recreational purposes . '' ) .   Jump up ^ Olympic Arms v. Buckles , 301 F. 3d 384 ( 6th Cir. 2002 ) ( `` Each of the individual enumerated features makes a weapon potentially more dangerous . Additionally , the features are not commonly used on weapons designed solely for hunting . '' ) .   Jump up ^ Kopan , Tal ( August 8 , 2012 ) . `` If Congress , W.H. wanted to ban assault weapons , could they ? '' . POLITICO . Retrieved April 24 , 2014 .   Jump up ^ http://www.motherjones.com/politics/2012/12/mass-shootings-mother-jones-full-data   Jump up ^ `` First Reports Evaluating the Effectiveness of Strategies for Preventing Violence : Early Childhood Home Visitation and Firearms Laws . Findings from the Task Force on Community Preventive Services '' ( PDF ) . MMWR . Atlanta , Georgia : Centers for Disease Control and Prevention . 52 ( RR - 14 ) : 11 -- 20 . 2003 . ISSN 1057 - 5987 .   Jump up ^ Koper , Christopher S. ; Woods , Daniel J. ; Roth , Jeffrey A. ( June 2004 ) ( First published 1997 ) . `` An Updated Assessment of the Federal Assault Weapons Ban : Impacts on Gun Markets and Gun Violence , 1994 -- 2003 -- Report to the National Institute of Justice , United States Department of Justice '' ( PDF ) . Philadelphia : Jerry Lee Center for Criminology , University of Pennsylvania .   Jump up ^ `` On Target : The Impact of the 1994 Federal Assault Weapon Act '' ( PDF ) . Washington , D.C. : Brady Center to Prevent Gun Violence . March 2004 .   Jump up ^ Ove , Torsten ( March 28 , 2004 ) . `` Assault Weapon Ban 's Effectiveness Debated '' . Pittsburgh Post-Gazette .   Jump up ^ DUBE , ARINDRAJIT ; DUBE , OEINDRILA ; GARCÍA - PONCE , OMAR ( July 10 , 2013 ) . `` Cross-Border Spillover : U.S. Gun Laws and Violence in Mexico '' . American Political Science Review . 107 ( 03 ) : 397 -- 417 . doi : 10.1017 / S0003055413000178 .   Jump up ^ Koper , Christopher S. ( 2013 ) . Reducing Gun Violence in America : Informing Policy with Evidence and Analysis ( PDF ) . Johns Hopkins University Press . p. 187 .   Jump up ^ Lott , John R. ( May 24 , 2010 ) . More Guns , Less Crime : Understanding Crime and Gun Control Laws ( 3rd ed . ) . University of Chicago Press . ISBN 978 - 0 - 226 - 49367 - 1 . Retrieved December 31 , 2012 .   Jump up ^ Lott , John R. ( February 1 , 2003 ) . The Bias Against Guns . Washington , D.C. : Regnery Publishing . ISBN 978 - 0895261144 . Retrieved December 31 , 2012 .   Jump up ^ Lemieux , Frederic ; Bricknell , Samantha ; Prenzler , Tim ( 2015 ) . `` Mass shootings in Australia and the United States , 1981 -- 2013 '' . Journal of Criminological Research , Policy and Practice. 1 ( 3 ) : 131 -- 142 . doi : 10.1108 / JCRPP - 05 - 2015 - 0013 . ISSN 2056 - 3841 .   Jump up ^ S. 1034 , S. 2109 , S. 620 , H.R. 3831 , H.R. 5099 , H.R. 6257   Jump up ^ S. 1431 , S. 645 , H.R. 2038 , H.R. 1312 , H.R. 1022   Jump up ^ `` Urban Policy Agenda '' . Office of President - elect Barack Obama . Archived from the original on November 16 , 2008 . Retrieved December 31 , 2012 .   Jump up ^ Ryan , Jason ( February 25 , 2009 ) . `` Obama to Seek New Assault Weapons Ban '' . ABC News . 6960824 . Retrieved December 31 , 2012 .   Jump up ^ C-SPAN.org Archived February 28 , 2009 , at the Wayback Machine .   Jump up ^ Barron , James ( December 15 , 2012 ) . `` Children Were All Shot Multiple Times With a Semiautomatic , Officials Say '' . New York Times . New York Times Company . Retrieved April 12 , 2014 .   Jump up ^ Levy , Gabrielle ( December 21 , 2012 ) . `` Obama responds to gun violence petition '' ( blog ) . United Press International . Retrieved May 26 , 2014 .   ^ Jump up to : Steinhauer , Jennifer ( January 24 , 2013 ) . `` Senator Unveils Bill to Limit Semiautomatic Arms '' . The New York Times . Retrieved May 26 , 2014 .   Jump up ^ Sen. Dianne Feinstein , Rev. Gary Hall , Rep. Carolyn McCarthy et al. ( January 24 , 2013 ) . Assault Weapons Ban Bill ( video ) . Washington , D.C. : National Cable Satellite Corporation . Retrieved April 13 , 2014 .   Jump up ^ Kucinich , Jackie ( January 24 , 2013 ) . `` Democrats reintroduce assault weapons ban '' . USA Today . Retrieved April 13 , 2014 .   Jump up ^ Freedman , Dan ( January 24 , 2013 ) . `` Feinstein offers new assault weapons</t>
  </si>
  <si>
    <t xml:space="preserve">when did automatic weapons become legal in america</t>
  </si>
  <si>
    <t xml:space="preserve"> The Public Safety and Recreational Firearms Act was enacted as part of the Violent Crime Control and Law Enforcement Act of 1994 . The prohibitions expired on September 13 , 2004 . </t>
  </si>
  <si>
    <t xml:space="preserve">1948 Summer Olympics - wikipedia  1948 Summer Olympics     Games of the XIV Olympiad       Host city   London , United Kingdom     Nations participating   59     Athletes participating   4,104 ( 3,714 men , 390 women )     Events   136 in 17 sports ( 23 disciplines )     Opening ceremony   29 July     Closing ceremony   14 August     Officially opened by   King George VI     Athlete 's Oath   Donald Finlay     Olympic Torch   John Mark     Stadium   Wembley Stadium     Summer          Helsinki 1952 &gt;        Winter          Oslo 1952 &gt;              Part of a series on     1948 Summer Olympics ( show )   Bid process ( London bid )   Venues   Torch relay   Opening ceremony   Medal table ( medalists )   Closing ceremony   IOC BOA             The 1948 Summer Olympics , officially known as the Games of the XIV Olympiad , was an international multi-sport event which was held in London , United Kingdom . After a twelve - year hiatus caused by the outbreak of World War II ; these were the first Summer Olympics held since the 1936 Games in Berlin . The 1940 Olympic Games had been scheduled for Tokyo , and then for Helsinki ; the 1944 Olympic Games had been provisionally planned for London . This was the second occasion that London had hosted the Olympic Games , having previously hosted them in 1908 , forty years earlier . The Olympics would again return to London 64 years later in 2012 , making London the first city to have hosted the games three times , and the only such city until Paris and Los Angeles host their third games in 2024 and 2028 , respectively . The 1948 Olympic Games were the first of two summer Olympic Games held under the IOC presidency of Sigfrid Edström .   The event came to be known as the Austerity Games , because of the difficult economic climate and rationing imposed in the aftermath of World War II . No new venues were built for the games ( with events taking place mainly at Wembley Stadium and the Empire Pool at Wembley Park ) , and athletes were housed in existing accommodation at the Wembley area instead of an Olympic Village , as were the 1936 Berlin Olympic Games and the subsequent 1952 Games . A record 59 nations were represented by 4,104 athletes , 3,714 men and 390 women , in 19 sport disciplines . Germany and Japan were not invited to participate in the games ; however , the Soviet Union was invited but chose not to send any athletes . The United States team won the most total medals , 84 , and the most gold medals , 38 . The host nation won 23 medals , three of them gold .   One of the star performers at the Games was Dutch sprinter Fanny Blankers - Koen . Dubbed `` The Flying Housewife '' , the thirty - year - old mother of two won four gold medals in athletics . In the decathlon , American Bob Mathias became the youngest male ever to win an Olympic gold medal at the age of seventeen . The most individual medals were won by Veikko Huhtanen of Finland who took three golds , a silver and a bronze in men 's gymnastics .   Contents    1 Election as host city   2 Organization   3 Opening ceremony   4 Sports   4.1 Athletics   4.2 Arts   4.3 Basketball   4.4 Boxing   4.5 Canoeing   4.6 Cycling   4.7 Diving   4.8 Equestrian   4.9 Fencing   4.10 Field hockey   4.11 Football   4.12 Gymnastics   4.13 Lacrosse   4.14 Modern pentathlon   4.15 Rowing   4.16 Sailing   4.17 Shooting   4.18 Swimming   4.19 Water polo   4.20 Weightlifting   4.21 Wrestling     5 Political defection   6 Filming in colour   7 Venues   8 Participating NOCs   8.1 Number of athletes by National Olympic Committees ( by highest to lowest )     9 Medal count   10 See also   11 Notes   12 References   13 External links    Election as host city ( edit )   In June 1939 , the International Olympic Committee ( IOC ) awarded the 1944 Olympic Summer Games to London , ahead of Rome , Detroit , Budapest , Lausanne , Helsinki , Montreal and Athens . World War II stopped the plans and the Games were cancelled so London again stood as a candidate for 1948 . Great Britain almost handed the 1948 games to the United States due to post-war financial and rationing problems , but King George VI said that this could be the chance to restore Britain from World War II . The official report of the London Olympics shows that there was no case of London being pressed to run the Games against its will . It says :    The Games of 1944 had been allocated to London and so it was that in October 1945 , the Chairman of the British Olympic Council , Lord Burghley , went to Stockholm and saw the president of the International Olympic Committee to discuss the question of London being chosen for this great event . As a result , an investigating committee was set up by the British Olympic Council to work out in some detail the possibility of holding the Games . After several meetings they recommended to the council that the Lord Mayor of London should be invited to apply for the allocation of the Games in 1948 .    In May 1946 the IOC , through a postal vote , gave the summer Games to London and the winter competition to St Moritz . London was selected ahead of Baltimore , Minneapolis , Lausanne , Los Angeles , and Philadelphia .   London , which had previously hosted the 1908 Summer Olympics , became the second city to host the Olympics twice ; Paris hosted the event in 1900 and 1924 . London later became the first city to host the Olympics for a third time when the city hosted the 2012 Summer Olympics .   Organization ( edit )   Lord Burghley , a gold medal winner at the 1928 Olympics , member of the International Olympic Committee ( IOC ) , and President of the Amateur Athletics Association was named Chairman of the Organising and Executive Committees . The other members of the committees were : Colonel Evan Hunter , General Secretary of the British Olympic Association , and Chef de mission for Great Britain ; Lord Aberdare , the other British member of the IOC ; Sir Noel Curtis - Bennett ; Alderman H.E. Fern ; E.J. Holt ; J. Emrys Lloyd , who became the committee 's legal advisor ; C.B. Cowley of the London Press and Advertising ; R.B. Studdert , Managing Director of the Army &amp; Navy Stores ; A.E. Porritt , a member of the IOC for New Zealand who resided in London ; S.F. Rous , Secretary of The Football Association ; and Jack Beresford .   Olympic pictograms were introduced for the first time . There were twenty of them -- one for each Olympic sport and three separate pictograms for the arts competition , the opening ceremony and the closing ceremony . They were called `` Olympic symbols '' and intended for use on tickets . The background of each pictogram resembled an escutcheon . Olympic pictograms appeared again 16 years later , and were used at all subsequent Summer Olympics .   At the time of the Games food , petrol and building were still subject to the rationing imposed during the war in Britain ; because of this the 1948 Olympics came to be known as the `` Austerity Games '' . Athletes were given the same increased rations as dockers and miners , 5,467 calories a day instead of the normal 2,600 . Building an Olympic Village was deemed too expensive , and athletes were housed in existing accommodation . Male competitors stayed at RAF camps in Uxbridge and West Drayton , and an Army camp in Richmond ; female competitors in London colleges .   These were the first games to be held following the death of Pierre de Coubertin , founder of the International Olympic Committee , in 1937 . They were also the last to include an arts competition , which took place at the Victoria and Albert Museum .   Opening ceremony ( edit )  The XIV Olympic Games opens in London , 1948  The Games opened on 29 July . Army bands began playing at 2 pm for the 85,000 spectators in Wembley Stadium at Wembley Park . The international and national organisers arrived at 2.35 pm and King George VI and Queen Elizabeth , with Queen Mary and other members of the Royal Family , at 2.45 pm . Fifteen minutes later the competitors entered the stadium in a procession that took 50 minutes . The last team was that of the United Kingdom . When it had passed the saluting base , Lord Burghley began his welcome :    Your Majesty : The hour has struck . A visionary dream has today become a glorious reality . At the end of the worldwide struggle in 1945 , many institutions and associations were found to have withered and only the strongest had survived . How , many wondered , had the great Olympic Movement prospered ?    After welcoming the athletes to two weeks of `` keen but friendly rivalry '' , he said London represented a `` warm flame of hope for a better understanding in the world which has burned so low . ''   At 4 pm , the time shown on Big Ben on the London Games symbol , the King declared the Games open , 2,500 pigeons were set free and the Olympic Flag raised to its 35 ft ( 11 m ) flagpole at the end of the stadium . The Royal Horse Artillery sounded a 21 - gun salute and the last runner in the Torch Relay ran a lap of the track -- created with cinders from the domestic coal fires of Leicester -- and climbed the steps to the Olympic cauldron . After saluting the crowd , he turned and lit the flame . After more speeches , Donald Finlay of the British team ( given his RAF rank of Wing Commander ) took the Olympic Oath on behalf of all competitors . The National Anthem was sung and the massed athletes turned and marched out of the stadium , led by Greece , tailed by Britain .   The 580 - page official report concluded :    Thus were launched the Olympic Games of London , under the most happy auspices . The smooth - running Ceremony , which profoundly moved not only all who saw it but also the millions who were listening - in on the radio throughout the world , and the glorious weather in which it took place , combined to give birth to a spirit which was to permeate the whole of the following two weeks of thrilling and intensive sport .    The opening ceremony and over 60 hours of Games coverage was broadcast live on BBC television . The BBC paid £ 1,000 for the broadcasting rights .   Sports ( edit )  A Boy Scout who fainted in the intense heat was the first ' casualty ' of the 1948 Olympic Games . The temperature was in the nineties ( 32 ° C ) as the sun blazed down mercilessly .  The 1948 Summer Olympics featured 136 medal events , covering 23 disciplines in 17 different sports and in arts .   In the list below , the number of events in each discipline is noted in parentheses .       Aquatics   Diving ( 4 )   Swimming ( 11 )   Water polo ( 1 )     Athletics ( 33 )   Basketball ( 1 )   Boxing ( 8 )   Canoeing ( 9 )   Cycling   Road ( 2 )   Track ( 4 )     Equestrian   Dressage ( 2 )   Eventing ( 2 )   Show jumping ( 2 )           Fencing ( 7 )   Field hockey ( 1 )   Football ( 1 )   Gymnastics ( 9 )   Modern pentathlon ( 1 )   Rowing ( 7 )   Sailing ( 5 )   Shooting ( 4 )   Weightlifting ( 6 )   Wrestling   Freestyle ( 8 )   Greco - Roman ( 8 )         These Games also included Lacrosse as a demonstration sport .   Athletics ( edit )  Main article : Athletics at the 1948 Summer Olympics Start of the 50 km walk Delfo Cabrera crossing the finish line to take gold in the marathon  Wembley stadium was the venue for 33 athletics events at the Games ; 24 for men and nine for women . Of these , four were making their Olympic debut -- the men 's 10 km walk , and the women 's 200 metres , long jump and shot put . A total of 754 athletes from 53 countries participated in athletics . Fanny Blankers - Koen of the Netherlands , a 30 - year - old mother of three children nicknamed `` The Flying Housewife '' , won four gold medals , in the 100 metres , 200 metres , 80 metre high hurdles , and 4 x 100 metre relay . As world record holder in the long jump and high jump Blankers - Koen may have been able to win further medals but , at this time , female athletes were limited to three individual events . Duncan White won the first medal of any kind for Sri Lanka ( then Ceylon ) when he finished second in the 400 metre hurdles . Arthur Wint became the first Jamaican to win an Olympic gold medal , in the men 's 400 metres ; he also won silver in the men 's 800 metres . Alice Coachman became the first woman of color in the world and the first African American woman to win a gold medal in track and field in the history of the modern Olympics with a jump of 1.68 m ( 5 ' 6 ​ ⁄ `` ) . She also was the only American woman to win an athletics gold medal during the 1948 Olympics .   The marathon saw a dramatic finish with the first man to enter the stadium , Etienne Gailly of Belgium , exhausted and nearly unable to run . While he was struggling , Argentinian athlete Delfo Cabrera and Tom Richards of Great Britain passed him , with Cabrera winning the gold medal and Richards obtaining the silver . Gailly managed to recover enough to cross the line for the bronze .   The decathlon was won by 17 - year - old Bob Mathias of the United States . He became the youngest ever Olympic gold medallist in athletics and when asked how he would celebrate he replied : `` I 'll start shaving , I guess . ''   Arts ( edit )  Main article : Art competitions at the 1948 Summer Olympics  Categories : sports - related architecture , literature , music , painting , and sculpture .   Basketball ( edit )  Main article : Basketball at the 1948 Summer Olympics  Basketball made its second appearance as a medal sport , appearing as an indoor competition for the first time after poor weather disrupted the matches at the 1936 Berlin Games . The event , for men only , was contested by 23 nations split into four pools for the preliminary round ; the top two in each pool advanced to the quarterfinals with the other teams entering playoffs for the minor placings . The United States and France reached the final which was won by the Americans 65 -- 21 to claim the gold medal . This was the second of the United States ' seven consecutive gold medals in Olympic men 's and women 's basketball . Brazil defeated Mexico 52 -- 47 to claim bronze .   Boxing ( edit )  Main article : Boxing at the 1948 Summer Olympics  Eight different classifications were contested ranging from flyweight , for boxers weighing less than 51 kg , to heavyweight , for boxers over 80 kg . South Africa , Argentina and Hungary each won two gold medals .   Canoeing ( edit )  Main article : Canoeing at the 1948 Summer Olympics  Nine events were contested , eight for men and one for women . This marked the first time that a women 's canoeing event had been contested in the Olympics . Sweden won four gold medals ( two by Gert Fredriksson ) and Czechoslovakia three .   Cycling ( edit )  Main article : Cycling at the 1948 Summer Olympics  Six events were contested -- two road bicycle racing events and four track cycling events . No women 's cycling events were contested . France won three gold medals and Italy two , while Great Britain captured five medals overall , but none were gold .   Diving ( edit )  Main article : Diving at the 1948 Summer Olympics  Four diving events were contested , two for men , and two for women . The events are labelled as 3 metre springboard and 10 metre platform by the International Olympic Committee but appeared on the 1948 Official Report as springboard diving and highboard diving , respectively . All four gold medals , and 10 out of 12 awarded in total , were won by the United States . Victoria Manalo Draves , who won both gold medals in the women 's events , and Sammy Lee , who took a gold and a bronze in the men 's events , became the first Asian Americans to win gold medals at an Olympic Games .   Equestrian ( edit )  Main article : Equestrian at the 1948 Summer Olympics  Six gold medals were awarded in equestrian , individual and team dressage , individual and team eventing and individual and team show jumping . Harry Llewellyn and Foxhunter , who would claim a gold medal in Helsinki , won bronze in the team jumping event .   Fencing ( edit )  Main article : Fencing at the 1948 Summer Olympics  Seven events were contested , six for men and one for women . Ilona Elek , who had won the women 's foil competition in Berlin , was one of only two competitors to successfully defend an Olympic title in London . Elek 's sister , Margit , placed sixth in the same event . Edoardo Mangiarotti won three medals , two silver and a bronze , having previously won a gold medal in the 1936 Games . Throughout his career the Italian won 13 Olympic fencing medals and 27 world championship medals , both of which remain records .   Field hockey ( edit )  Main article : Field hockey at the 1948 Summer Olympics  Thirteen nations participated in the field hockey competition . The tournament was ultimately won by India , who defeated Great Britain to claim the country 's first gold medal as an independent nation under captain Kishan Lal and Vice-Captain Kunwar Digvijay Singh .   Football ( edit )  Main article : Football at the 1948 Summer Olympics  Eighteen teams entered the football competition at these Olympics . Due to the rise of the professional game during the 12 years since the Berlin Olympics the number of talented amateurs for teams to select from was reduced . The gold medal was won by Sweden , who defeated Yugoslavia 3 -- 1 in the final . Denmark defeated hosts Great Britain , managed by Matt Busby of Manchester United , 5 -- 3 to win the bronze medal . In the tournament 's 18 matches a total of 102 goals were scored ; an average 5.66 goals per match . The joint top scorers with seven goals each were Gunnar Nordahl of Sweden and Denmark 's John Hansen . Nordahl and Swedish teammates Gunnar Gren and Nils Liedholm went on to play for A.C. Milan and together were nicknamed Gre - No - Li .   Gymnastics ( edit )  Main article : Gymnastics at the 1948 Summer Olympics  Nine events were contested , eight for men , and one for women . In the men 's pommel horse , a tie was declared between three competitors , all Finns , and no medals other than gold were awarded in this event . Finland won six gold medals overall , and Switzerland three .   Lacrosse ( edit )  Main article : Lacrosse at the Summer Olympics  Lacrosse was an exhibition sport at these Olympics . An English team composed of players from various universities played a U.S. team represented by Rensselaer Polytechnic Institute at the Empire Stadium .   Modern pentathlon ( edit )  Main article : Modern pentathlon at the 1948 Summer Olympics Gold medalist William Grut of Sweden ( foreground ) competing in the running component of the modern pentathlon .  Only one modern pentathlon event was contested , the five component sports -- riding , fencing , shooting , swimming , and running - being held over six days . Scoring was by point - for - place system across the five phases with the winner being the athlete with the lowest combined ranking . The sport 's international federation , the Union Internationale de Pentathlon Moderne was founded during the Games , on 3 August 1948 . Sweden won two medals in the event ; William Grut won the gold , with a final points total of 16 , and Gösta Gärdin took bronze . American George Moore won the silver medal .   Rowing ( edit )  Main article : Rowing at the 1948 Summer Olympics  Seven rowing events were contested , all open to men only . Great Britain and the United States each claimed two gold medals . The events were held on the same course as the Henley Royal Regatta .   Sailing ( edit )  Main article : Sailing at the 1948 Summer Olympics  The sailing events at the Games took place in Torquay , in the southwest of Great Britain . Five events were contested , with the United States winning four total medals . One of host nation Great Britain 's three gold medals at the Games came in the Swallow class from Stewart Morris and David Bond . In the Firefly class Danish sailor Paul Elvstrøm won gold the despite the Danish Olympic Committee having misgivings about sending him to compete as the 18 - year - old could speak no English . This was the first of four consecutive Olympics with a gold medal for Elvstrøm .   Shooting ( edit )  Main article : Shooting at the 1948 Summer Olympics  Four events were contested , all open to both men and women , although all medals were won by men . In the 50 metre rifle , prone position , only two points separated the top three competitors . Károly Takács had been a member of the Hungary 's world champion pistol shooting team in 1938 when a grenade shattered his right hand -- his pistol hand . Takács taught himself to shoot with his left hand and , 10 years after his injury , he won an Olympic gold medal in the rapid - fire pistol event .   Swimming ( edit )  Main article : Swimming at the 1948 Summer Olympics  Eleven events were contested , six for men and five for women . The United States won eight gold medals , including all six men 's events , and 15 medals in total .   Water polo ( edit )  Main article : Water polo at the 1948 Summer Olympics  Eighteen nations fielded a team in these games , which were ultimately won by Italy , who were undefeated throughout . The tournament was conducted in a mult - tier bracket , with the best four teams from the group stages participating in a final round - robin bracket . Silver was claimed by Hungary , and bronze by the Netherlands .   Weightlifting ( edit )  Main article : Weightlifting at the 1948 Summer Olympics  Six events were contested , all for men only . These games marked the addition of the bantamweight class to the Olympic programme , the first change to the programme since 1920 . The United States won four gold medals , and eight overall ; the remaining two gold medals were claimed by Egypt . Rodney Wilkes won the first medal for Trinidad and Tobago in an Olympic games , winning silver in the featherweight division ; the featherweight gold medal was won by Egyptian Mahmoud Fayad , with a new Olympic and World record of 332.5 kg .   Wrestling ( edit )  Main article : Wrestling at the 1948 Summer Olympics  Sixteen wrestling events were held , eight Greco - Roman and eight freestyle . All were open to men only . Both categories were dominated by two nations . Turkey was the most successful nation with six gold medals followed by Sweden receiving 5 gold medals . These two teams claimed 24 total medals , in other words half of the total medals given .   Political defection ( edit )   London was the first Olympics to have a political defection . Marie Provazníková , the 57 - year - old Czechoslovakian President of the International Gymnastics Federation , refused to return home , citing `` lack of freedom '' after the Czech coup in February led to the country 's inclusion in the Soviet Bloc .   Filming in colour ( edit )   For the 1948 Olympics , the Technicolor Corporation devised a bipack colour filming process -- dubbed `` Technichrome '' -- whereby hundreds of hours of film documented the events in colour , without having to use expensive and heavy Technicolor cameras .   Venues ( edit )  Poster promoting the 1948 Olympics Main article : Venues of the 1948 Summer Olympics  No new venues were built for the Games . A cinder track was laid inside Wembley Stadium and all other venues were adapted . For the first time at the Olympics swimming events were held undercover , at the 8000 capacity Empire Pool . As the pool was longer than the standard Olympic length of 50 metres a platform was constructed across the pool which both shortened it and housed officials . In 2010 one of the last remaining venues from the Games , the Herne Hill Velodrome where cycling events were staged , was saved when a new 15 - year lease was agreed meaning that repairs could take place . Campaigners and users of the track had feared that it would be forced to close as it was in desperate need of refurbishment .    Wembley Empire Exhibition Grounds   Empire Stadium -- opening and closing ceremonies , athletics , equestrian ( jumping ) , football finals , field hockey finals   Empire Pool -- boxing , diving , swimming , water polo   Palace of Engineering -- fencing     Other venues   Empress Hall , Earl 's Court -- boxing preliminaries , wrestling , weightlifting , gymnastics   Harringay Arena , Harringay -- basketball &amp; wrestling   Royal Regatta Course , Henley - on - Thames -- canoeing , rowing   Herne Hill Velodrome , Herne Hill -- track cycling   Windsor Great Park -- cycling road race   Central Stadium , Military Headquarters , Aldershot -- equestrian ( jumping ) , modern pentathlon ( riding , fencing , swimming )   Tweseldown Racecourse -- equestrian ( dressage , eventing )   Arsenal Stadium , Highbury -- football preliminaries   Selhurst Park -- football preliminaries   Craven Cottage , Fulham -- football preliminaries   Ilford -- football preliminaries   Griffin Park , Brentford -- football preliminaries   Champion Hill , Dulwich -- football preliminaries   Green Pond Road Stadium , Walthamstow -- football preliminaries   White Hart Lane , Tottenham -- football preliminaries   Lyons ' Sports Club , Sudbury -- field hockey preliminaries   Guinness Sports Club , Park Royal -- field hockey preliminaries   Polytechnic Sports Ground , Chiswick -- field hockey preliminaries   National Rifle Association Ranges , Bisley -- shooting , modern pentathlon ( shooting )   Finchley Lido , Finchley -- water polo preliminaries   English Channel , Torbay -- yachting   Fratton Park , Portsmouth -- football preliminaries   Goldstone Ground , Brighton -- football preliminaries   Royal Military Academy -- modern pentathlon ( running )      Participating nocs ( edit )  Participants Number of athletes per country  A total of 59 nations sent athletes . Fourteen made their first official appearance : British Guiana ( now Guyana ) , Burma ( now Myanmar ) , Ceylon ( now Sri Lanka ) , Iran , Iraq , Jamaica , Korea , Lebanon , Pakistan , Puerto Rico , Singapore , Syria , Trinidad and Tobago , and Venezuela . It was the first time that the Philippines , India and Pakistan competed as fully independent nations at the Olympic Games . Germany and Japan , both under Allied military occupations , were not allowed to send athletes to the games . German forced labour was used for the construction of the facilities . Italy , although originally an Axis power , defected to the Allies in 1943 following Benito Mussolini being deposed , and was allowed to send athletes . The Soviet Union was invited but they chose not to send any athletes . The number in parentheses indicates the number of participants that each country contributed .     hide Participating National Olympic Committees       Afghanistan ( 25 )   Argentina ( 199 )   Australia ( 75 )   Austria ( 144 )   Belgium ( 152 )   Bermuda ( 12 )   Brazil ( 70 )   Burma ( 4 )   Canada ( 118 )   Ceylon ( 7 )   Chile ( 54 )   Republic of China ( 31 )   Colombia ( 6 )   Cuba ( 53 )   Czechoslovakia ( 87 )   Denmark ( 162 )   Egypt ( 85 )   Finland ( 129 )   France ( 316 )   Great Britain ( 398 ) ( host )   Greece ( 61 )   Guyana ( 4 )   Hungary ( 129 )   Iceland ( 20 )   India ( 79 )   Iran ( 36 )   Iraq ( 11 )   Ireland ( 73 )   Italy ( 213 )   Jamaica ( 13 )   South Korea ( 46 )   Lebanon ( 8 )   Liechtenstein ( 2 )   Luxembourg ( 45 )   Malta ( 1 )   Mexico ( 88 )   Monaco ( 4 )   Netherlands ( 149 )   New Zealand ( 7 )   Norway ( 81 )   Pakistan ( 35 )   Panama ( 1 )   Peru ( 41 )   Philippines ( 26 )   Poland ( 37 )   Portugal ( 48 )   Puerto Rico ( 9 )   Singapore ( 1 )   South Africa ( 35 )   Spain ( 65 )   Sweden ( 181 )   Switzerland ( 181 )   Syria ( 1 )   Trinidad and Tobago ( 5 )   Turkey ( 58 )   United States ( 300 )   Uruguay ( 61 )   Venezuela ( 1 )   Yugoslavia ( 90 )       Number of athletes by National Olympic Committees ( by highest to lowest ) ( edit )     show IOC   Country   Athletes     GBR   Great Britain   398     FRA   France   316     USA   United States   300     ITA   Italy   213     ARG   Argentina   199     SWE   Sweden   181     SUI   Switzerland   181     DEN   Denmark   162     BEL   Belgium   150     NED   Netherlands   149     AUT   Austria   144     FIN   Finland   129     HUN   Hungary   129     CAN   Canada   118     YUG   Yugoslavia   90     MEX   Mexico   88     TCH   Czechoslovakia   87     EGY   Egypt   85     NOR   Norway   81     IND   India   79     AUS   Australia   75     IRL   Ireland   72     BRA   Brazil   70     ESP   Spain   65     GRE   Greece   61     URU   Uruguay   61     TUR   Turkey   58     CHI   Chile   54     CUB   Cuba   53     POR   Portugal   48     KOR   South Korea   46     LUX   Luxembourg   45     PER   Peru   41     POL   Poland   37     IRI   Iran   36     PAK   Pakistan   35     RSA   South Africa   35     ROC   Republic of China   31     PHI   Philippines   26     AFG   Afghanistan   25     ISL   Iceland   20     JAM   Jamaica   13     BER   Bermuda   12     IRQ   Iraq   11     PUR   Puerto Rico   9     LIB   Lebanon   8     CEY   Ceylon   7     NZL   New Zealand   7     COL   Colombia   6     BIR   Burma   5     TRI   Trinidad and Tobago   5     GUY   Guyana       MON   Monaco       LIE   Liechtenstein       MLT   Malta       PAN   Panama       SGP   Singapore       SYR   Syria       VEN   Venezuela       Total   4,104     Medal count ( edit )  Main article : 1948 Summer Olympics medal table Further information : Olympic medal table  These are the top ten nations that won medals at the 1948 Summer Games , ranked by number of gold medals won . The host nation was 12th , with 23 medals , including three golds .     Rank   Nation   Gold   Silver   Bronze   Total       United States   38   27   19   84       Sweden   16   11   17   44       France   10   6   13   29       Hungary   10   5   12   27     5   Italy   8   11   8   27     6   Finland   8   7   5   20     7   Turkey   6       12     8   Czechoslovakia   6       11     9   Switzerland   5   10   5   20     10   Denmark   5   7   8   20     12   Great Britain ( host nation )     14   6   23     See also ( edit )    Art competitions at the 1948 Summer Olympics     Olympics portal     1948 Winter Olympics     Summer Olympic Games   Olympic Games   International Olympic Committee   List of IOC country codes   1908 Summer Olympics and 2012 Summer Olympics -- also hosted by London    Notes ( edit )    Jump up ^ The 1940 Games ( scheduled for Tokyo , rescheduled for Helsinki ) and the 1944 Games ( scheduled for London ) , were cancelled due to World War II .    References ( edit )    ^ Jump up to : `` London 1948 '' . olympic.org . Archived from the original on 4 October 2009 . Retrieved 28 April 2010 .   Jump up ^ `` Past Olympic Host City Election Results '' . gamesbids.com . Archived from the original on 20 June 2009 . Retrieved 29 April 2010 .   Jump up ^ Organising Committee for the XIV Olympiad London 1948 ( 1951 ) , pp. 17   Jump up ^ `` Olympic Games Fonds '' ( PDF ) . International Olympic Committee Historical Archives . 6 November 2007 . Retrieved 29 April 2010 .   Jump up ^ `` David George Burghley -- lord of the hurdles ( photos attached ) '' . The official website of the Beijing 2008 Olympic Games . Archived from the original on 29 April 2009 . Retrieved 27 April 2010 .   Jump up ^ Organising Committee for the XIV Olympiad London 1948 ( 1951 ) , pp. 18   Jump up ^ Organising Committee for the XIV Olympiad London 1948 ( 1951 ) , pp. 131 , 135   Jump up ^ Two sample tickets from 1948 Summer Olympics at the Official Website of the Beijing 2008 Olympic Games   ^ Jump up to : `` British Olympic Movement '' . British Olympic Association . Archived from the original on 8 April 2008 . Retrieved 26 April 2010 .   Jump up ^ Mike Rowbotham ( 7 July 2005 ) . `` 1948 Olympics : ' We had much more fun and a greater sense of achievement than modern athletes do ' '' . The Independent . Retrieved 26 April 2010 .   ^ Jump up to : `` London 1948 '' . British Olympic Association . Archived from the original on 8 April 2009 . Retrieved 26 April 2010 .   Jump up ^ Organising Committee for the XIV Olympiad London 1948 ( 1951 ) , pp. 221   Jump up ^ Organising Committee for the XIV Olympiad London 1948 ( 1951 ) , pp. 225   Jump up ^ `` Landmarks in the history of the media and the Olympics '' ( PDF ) . The British Library . Retrieved 28 April 2010 .   Jump up ^ `` Athletics at the 1948 London Summer Games '' . sports-reference.com . Archived from the original on 23 March 2010 . Retrieved 27 April 2010 .   Jump up ^ `` 1948 London Summer Games '' . sports-reference.com . Archived from the original on 11 May 2010 . Retrieved 27 April 2010 .   Jump up ^ Chris Dhambarage ( 4 February 2010 ) . `` Sports striving for greater heights after Independence '' . Daily News . Archived from the original on 9 February 2010 . Retrieved 27 Apri</t>
  </si>
  <si>
    <t xml:space="preserve">which country was invited to the london olympics 1948 but did not attend</t>
  </si>
  <si>
    <t xml:space="preserve">as the Austerity Games , because of the difficult economic climate and rationing imposed in the aftermath of World War II . No new venues were built for the games ( with events taking place mainly at Wembley Stadium and the Empire Pool at Wembley Park ) , and athletes were housed in existing accommodation at the Wembley area instead of an Olympic Village , as were the 1936 Berlin Olympic Games and the subsequent 1952 Games . A record 59 nations were represented by 4,104 athletes , 3,714 men and 390 women , in 19 sport disciplines . Germany and Japan were not invited to participate in the games ; however , the Soviet Union was invited but chose not to send any athletes . The United States team won the most total medals , 84 , and the most gold medals , 38 . The host nation won 23 medals , three of them gold .   One of the star performers at</t>
  </si>
  <si>
    <t xml:space="preserve">FA Cup final - wikipedia  FA Cup final  Jump to : navigation , search See also : List of FA Cup Finals    FA Cup Final     The new Wembley Stadium on 19 May 2007 , the day it held its first FA Cup Final     Status   Active     Genre   Sporting event     Date ( s )   May     Frequency   Annual     Location ( s )   London , England , UK     Inaugurated   1872 ( 1872 )     Organised by   The Football Association     The FA Cup Final , commonly referred to in England as just the Cup Final , is the last match in the Football Association Challenge Cup . It is one of the most attended domestic football events in the world , with an official attendance of 89,472 at the 2017 final . The match is the culmination of a knockout competition among clubs belonging to The Football Association in England , although Scottish and Irish teams competed in the early years and Welsh teams regularly compete , with Cardiff City winning the Cup in 1927 and reaching the final in 2008 .   As of 2018 , 137 FA Cup Finals have been played . The latest final was held on 19 May 2018 at Wembley Stadium and was contested between Manchester United and Chelsea , with Chelsea winning 1 -- 0 .     Contents  ( hide )   1 History   2 Winners   3 See also   4 Footnotes   5 References      History ( edit )   The first FA Cup Final was held at Kennington Oval on 16 March 1872 and was contested between Wanderers and Royal Engineers , with Wanderers winning 1 -- 0 .   After the 1873 final was held at Lillie Bridge , the event was held at the Oval until 1892 . The 1893 and 1894 finals were respectively held at Fallowfield Stadium in Manchester and Goodison Park in Liverpool , before the event returned to London in 1895 , being held at Crystal Palace until the outbreak of World War I. After the war , the event was held at Stamford Bridge , before Wembley Stadium opened in 1923 . The first final at Wembley , in which Bolton Wanderers beat West Ham United 2 -- 0 , had an official attendance of 126,047 , although the actual figure is believed to be as much as 300,000 .   Wembley continued to host the final until 2000 , when it closed for redevelopment . The Millennium Stadium in Cardiff hosted the final between 2001 and 2006 , before the new Wembley Stadium opened in 2007 .   Up to and including 1998 , if the final ended in a draw , a replay would be required . This occurred on 14 occasions , the last being in 1993 between Arsenal and Sheffield Wednesday . In September 1998 , the Football Association decided that all future finals would be decided ' on the day ' , meaning that a penalty shootout would decide the winner if the score was level after normal and extra time . Two finals since have been decided by a penalty shootout , those of 2005 ( Arsenal defeating Manchester United ) and 2006 ( Liverpool defeating West Ham United ) .   Stan Mortensen 's hat - trick for Blackpool in 1953 remains the only hat trick ever scored at Wembley in the competition 's final . Everton 's Louis Saha scored a goal after 27.9 seconds in the 2009 FA Cup Final . It is currently the fastest goal in FA Cup Final history . Bury 's 6 -- 0 victory over Derby County in the 1903 FA Cup Final is the largest winning margin . With his goal in the 2012 Final , Chelsea 's Didier Drogba became the first man to score a goal in four different Finals .   The FA Cup Final is one of ten events reserved for live broadcast on UK terrestrial television under the Ofcom Code on Sports and Other Listed and Designated Events .   Winners ( edit )   For a full list of FA Cup winners and runners - up , see List of FA Cup Finals .   See also ( edit )    English football portal     FA Cup Final referees   FA Cup semi-finals   `` Abide with Me ''    Footnotes ( edit )    Jump up ^ Maume , Chris ( 24 September 1998 ) . `` Football : End of Cup Final replay '' . The Independent . Retrieved 26 August 2017 .   Jump up ^ `` The Matthews Final '' -- BBC Sport    References ( edit )    Full results history at rsssf.com   Archive of almost every result at SoccerBase.com   Post-war finals at sporting-heroes.net      ( hide )         FA Cup     Seasons     1871 -- 72   1872 -- 73   1873 -- 74   1874 -- 75   1875 -- 76   1876 -- 77   1877 -- 78   1878 -- 79   1879 -- 80   1880 -- 81   1881 -- 82   1882 -- 83   1883 -- 84   1884 -- 85   1885 -- 86   1886 -- 87   1887 -- 88   1888 -- 89   1889 -- 90   1890 -- 91   1891 -- 92   1892 -- 93   1893 -- 94   1894 -- 95   1895 -- 96   1896 -- 97   1897 -- 98   1898 -- 99   1899 -- 1900   1900 -- 01   1901 -- 02   1902 -- 03   1903 -- 04   1904 -- 05   1905 -- 06   1906 -- 07   1907 -- 08   1908 -- 09   1909 -- 10   1910 -- 11   1911 -- 12   1912 -- 13   1913 -- 14   1914 -- 15   1919 -- 20   1920 -- 21   1921 -- 22   1922 -- 23   1923 -- 24   1924 -- 25   1925 -- 26   1926 -- 27   1927 -- 28   1928 -- 29   1929 -- 30   1930 -- 31   1931 -- 32   1932 -- 33   1933 -- 34   1934 -- 35   1935 -- 36   1936 -- 37   1937 -- 38   1938 -- 39   1945 -- 46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1999 -- 2000   2000 -- 01   2001 -- 02   2002 -- 03   2003 -- 04   2004 -- 05   2005 -- 06   2006 -- 07   2007 -- 08   2008 -- 09   2009 -- 10   2010 -- 11   2011 -- 12   2012 -- 13   2013 -- 14   2014 -- 15   2015 -- 16   2016 -- 17   2017 -- 18   2018 -- 19       Qualifying rounds     1888 -- 89   1889 -- 90   1890 -- 91   1891 -- 92   1892 -- 93   1893 -- 94   1894 -- 95   1895 -- 96   1896 -- 97   1897 -- 98   1898 -- 99   1899 -- 1900   1900 -- 01   1901 -- 02   1902 -- 03   1903 -- 04   1904 -- 05   1905 -- 06   1906 -- 07   1907 -- 08   1908 -- 09   1909 -- 10   1910 -- 11   1911 -- 12   1912 -- 13   1913 -- 14   1914 -- 15   1919 -- 20   1920 -- 21   1921 -- 22   1922 -- 23   1923 -- 24   1924 -- 25   1925 -- 26   1926 -- 27   1927 -- 28   1928 -- 29   1929 -- 30   1930 -- 31   1931 -- 32   1932 -- 33   1933 -- 34   1934 -- 35   1935 -- 36   1936 -- 37   1937 -- 38   1938 -- 39   1945 -- 46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1999 -- 2000   2000 -- 01   2001 -- 02   2002 -- 03   2003 -- 04   2004 -- 05   2005 -- 06   2006 -- 07   2007 -- 08   2008 -- 09   2009 -- 10   2010 -- 11   2011 -- 12   2012 -- 13   2013 -- 14   2014 -- 15   2015 -- 16   2016 -- 17   2017 -- 18   2018 -- 19       Finals     1872   1873   1874   1875   1876   1877   1878   1879   1880   1881   1882   1883   1884   1885   1886   1887   1888   1889   1890   1891   1892   1893   1894   1895   1896   1897   1898   1899   1900   1901   1902   1903   1904   1905   1906   1907   1908   1909   1910   1911   1912   1913   1914   1915   1920   1921   1922   1923   1924   1925   1926   1927   1928   1929   1930   1931   1932   1933   1934   1935   1936   1937   1938   1939   1946   1947   1948   1949   1950   1951   1952   1953   1954   1955   1956   1957   1958   1959   1960   1961   1962   1963   1964   1965   1966   1967   1968   1969   1970   1971   1972   1973       1976   1977   1978   1979   1980   1981   1982     1984   1985   1986               1993                                                 2017   2018         History   Trophy   List of finals   Third - fourth place matches   Semi-finals   Final referees   Winning managers   Non-English clubs   Non-League clubs in the 5th Round      Retrieved from `` https://en.wikipedia.org/w/index.php?title=FA_Cup_Final&amp;oldid=842053035 '' Categories :   FA Cup Finals   FA Cup   May sporting events   Recurring sporting events established in 1872   Hidden categories :   EngvarB from June 2013   Use dmy dates from June 2013           Talk                                           Contents                   About Wikipedia                                                 Русский   Svenska   Edit links   This page was last edited on 19 May 2018 , at 22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</si>
  <si>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was the fa cup final played before wembley</t>
  </si>
  <si>
    <t xml:space="preserve"> After the 1873 final was held at Lillie Bridge , the event was held at the Oval until 1892 . The 1893 and 1894 finals were respectively held at Fallowfield Stadium in Manchester and Goodison Park in Liverpool , before the event returned to London in 1895 , being held at Crystal Palace until the outbreak of World War I. After the war , the event was held at Stamford Bridge , before Wembley Stadium opened in 1923 . The first final at Wembley , in which Bolton Wanderers beat West Ham United 2 -- 0 , had an official attendance of 126,047 , although the actual figure is believed to be as much as 300,000 . </t>
  </si>
  <si>
    <t xml:space="preserve">Separation of church and state in the United States - Wikipedia  Separation of church and state in the United States  Jump to : navigation , search  `` Separation of church and state '' is paraphrased from Thomas Jefferson and used by others in expressing an understanding of the intent and function of the Establishment Clause and Free Exercise Clause of the First Amendment to the Constitution of the United States which reads : `` Congress shall make no law respecting an establishment of religion , or prohibiting the free exercise thereof ... ''   The phrase `` separation between church &amp; state '' is generally traced to a January 1 , 1802 letter by Thomas Jefferson , addressed to the Danbury Baptist Association in Connecticut , and published in a Massachusetts newspaper . Jefferson wrote ,     ``   `` I contemplate with sovereign reverence that act of the whole American people which declared that their legislature should ' make no law respecting an establishment of religion , or prohibiting the free exercise thereof , ' thus building a wall of separation between Church &amp; State . ''   ''     Jefferson was echoing the language of the founder of the first Baptist church in America , Roger Williams who had written in 1644 ,     ``   `` ( A ) hedge or wall of separation between the garden of the church and the wilderness of the world . ''   ''     Article Six of the United States Constitution also specifies that `` no religious Test shall ever be required as a Qualification to any Office or public Trust under the United States . ''   Jefferson 's metaphor of a wall of separation has been cited repeatedly by the U.S. Supreme Court . In Reynolds v. United States ( 1879 ) the Court wrote that Jefferson 's comments `` may be accepted almost as an authoritative declaration of the scope and effect of the ( First ) Amendment . '' In Everson v. Board of Education ( 1947 ) , Justice Hugo Black wrote : `` In the words of Thomas Jefferson , the clause against establishment of religion by law was intended to erect a wall of separation between church and state . ''   In contrast to separationism , the Supreme Court of the United States in Zorach v. Clauson upheld accommodationism , holding that the nation 's `` institutions presuppose a Supreme Being '' and that government recognition of God does not constitute the establishment of a state church as the Constitution 's authors intended to prohibit . As such , the Court has not always interpreted the constitutional principle as absolute , and the proper extent of separation between government and religion in the U.S. remains an ongoing subject of impassioned debate .     Contents  ( hide )   1 Early history   1.1 Former state churches in British North America   1.1. 1 Catholic colonies   1.1. 2 Protestant colonies   1.1. 3 Colonies with no established church   1.1. 4 Tabular summary     1.2 Colonial support for separation   1.3 Jefferson , Madison , and the `` wall of separation ''   1.4 Patrick Henry , Massachusetts , and Connecticut   1.5 Test acts     2 The U.S. Constitution   2.1 Article 6   2.2 The First Amendment   2.3 The 14th Amendment   2.4 The `` Separation '' principle and the Supreme Court     3 The Treaty of Tripoli   4 Interpretive controversies   4.1 Politics and religion in the United States     5 See also   6 References   7 Bibliography   8 External links   8.1 American court battles over separation   8.2 Other        Early history ( edit )   Many early immigrant groups traveled to America to worship freely , particularly after the English Civil War and religious conflict in France and Germany . They included nonconformists like the Puritans , who were Protestant Christians fleeing religious persecution from the Anglican King of England . Despite a common background , the groups ' views on religious toleration were mixed . While some such as Roger Williams of Rhode Island and William Penn of Pennsylvania ensured the protection of religious minorities within their colonies , others like the Plymouth Colony and Massachusetts Bay Colony had established churches . The Dutch colony of New Netherland established the Dutch Reformed Church and outlawed all other worship , though enforcement was sparse . Religious conformity was desired partly for financial reasons : the established Church was responsible for poverty relief , putting dissenting churches at a significant disadvantage . This , along with many other statements should be footnoted , as it seems more like an opinion than a fact .   Former state churches in British North America ( edit )  Catholic colonies ( edit )   When New France was transferred to Great Britain in 1763 , the Catholic Church remained under toleration , but Huguenots were allowed entrance where they had formerly been banned from settlement by Parisian authorities .   The Colony of Maryland was founded by a charter granted in 1632 to George Calvert , secretary of state to Charles I , and his son Cecil , both recent converts to Catholicism . Under their leadership many English Catholic gentry families settled in Maryland . However , the colonial government was officially neutral in religious affairs , granting toleration to all Christian groups and enjoining them to avoid actions which antagonized the others . On several occasions low - church dissenters led insurrections which temporarily overthrew the Calvert rule . In 1689 , when William and Mary came to the English throne , they acceded to demands to revoke the original royal charter . In 1701 the Church of England was proclaimed , and in the course of the eighteenth century Maryland Catholics were first barred from public office , then disenfranchised , although not all of the laws passed against them ( notably laws restricting property rights and imposing penalties for sending children to be educated in foreign Catholic institutions ) were enforced , and some Catholics even continued to hold public office .   Spanish Florida was ceded to Great Britain in 1763 , the British divided Florida into two colonies . Both East and West Florida continued a policy of toleration for the Catholic Residents .   Protestant colonies ( edit )   The colony of Plymouth was founded by Pilgrims , English Dissenters or Separatists , Calvinists .   The colonies of Massachusetts Bay , New Haven , and New Hampshire were founded by Puritan , Calvinist , Protestants .   New Netherland was founded by Dutch Reformed Calvinists .   The colonies of New York , Virginia , North Carolina , South Carolina , and Georgia were officially Church of England .   Colonies with no established church ( edit )   The Province of Pennsylvania was founded by Quakers , but the colony never had an established church .   West Jersey , also founded by Quakers , prohibited any establishment .   Delaware Colony   The Colony of Rhode Island and Providence Plantations , founded by religious dissenters , is widely regarded as the first polity to grant religious freedom to all its citizens .   Tabular summary ( edit )    Colony   Denomination   Disestablished     Connecticut   Congregational   1818     Georgia   Church of England   1789     Maryland   Catholic / Church of England   1701 / 1776     Massachusetts   Congregational   1780 ( in 1833 state funding suspended )     New Brunswick   Church of England       New Hampshire   Congregational   1790     Newfoundland   Church of England       North Carolina   Church of England   1776     Nova Scotia   Church of England   1850     Prince Edward Island   Church of England       South Carolina   Church of England   1790     Canada West   Church of England   1854     West Florida   Church of England   N / A     East Florida   Church of England   N / A     Virginia   Church of England   1786     West Indies   Church of England   1868     ^ Note 1 : In several colonies , the establishment ceased to exist in practice at the Revolution , about 1776 ; this is the date of permanent legal abolition .   ^ Note 2 : in 1789 the Georgia Constitution was amended as follows : `` Article IV . Section 10 . No person within this state shall , upon any pretense , be deprived of the inestimable privilege of worshipping God in any manner agreeable to his own conscience , nor be compelled to attend any place of worship contrary to his own faith and judgment ; nor shall he ever be obliged to pay tithes , taxes , or any other rate , for the building or repairing any place of worship , or for the maintenance of any minister or ministry , contrary to what he believes to be right , or hath voluntarily engaged to do . No one religious society shall ever be established in this state , in preference to another ; nor shall any person be denied the enjoyment of any civil right merely on account of his religious principles . ''   ^ Note 3 : From 1780 Massachusetts had a system which required every man to belong to a church , and permitted each church to tax its members , but forbade any law requiring that it be of any particular denomination . This was objected to , as in practice establishing the Congregational Church , the majority denomination , and was abolished in 1833 .   ^ Note 4 : Until 1877 the New Hampshire Constitution required members of the State legislature to be of the Protestant religion .   ^ Note 5 : The North Carolina Constitution of 1776 disestablished the Anglican church , but until 1835 the NC Constitution allowed only Protestants to hold public office . From 1835 to 1876 it allowed only Christians ( including Catholics ) to hold public office . Article VI , Section 8 of the current NC Constitution forbids only atheists from holding public office . Such clauses were held by the United States Supreme Court to be unenforceable in the 1961 case of Torcaso v. Watkins , when the court ruled unanimously that such clauses constituted a religious test incompatible with First and Fourteenth Amendment protections .   ^ Note 6 : Religious tolerance for Catholics with an established Church of England was policy in the former Spanish Colonies of East and West Florida while under British rule .   ^ Note 7 : In Treaty of Paris ( 1783 ) , which ended the American Revolutionary War , the British ceded both East and West Florida back to Spain ( see Spanish Florida ) .   ^ Note 8 : Tithes for the support of the Anglican Church in Virginia were suspended in 1776 , and never restored . 1786 is the date of the Virginia Statute of Religious Freedom , which prohibited any coercion to support any religious body .   Colonial support for separation ( edit )   The Flushing Remonstrance shows support for separation of church and state as early as the mid-17th century , stating their opposition to religious persecution of any sort : `` The law of love , peace and liberty in the states extending to Jews , Turks and Egyptians , as they are considered sons of Adam , which is the glory of the outward state of Holland , so love , peace and liberty , extending to all in Christ Jesus , condemns hatred , war and bondage . '' The document was signed December 27 , 1657 by a group of English citizens in America who were affronted by persecution of Quakers and the religious policies of the Governor of New Netherland , Peter Stuyvesant . Stuyvesant had formally banned all religions other than the Dutch Reformed Church from being practiced in the colony , in accordance with the laws of the Dutch Republic . The signers indicated their `` desire therefore in this case not to judge lest we be judged , neither to condemn least we be condemned , but rather let every man stand or fall to his own Master . '' Stuyvesant fined the petitioners and threw them in prison until they recanted . However , John Bowne allowed the Quakers to meet in his home . Bowne was arrested , jailed , and sent to the Netherlands for trial ; the Dutch court exonerated Bowne .   New York Historical Society President and Columbia University Professor of History Kenneth T. Jackson describes the Flushing Remonstrance as `` the first thing that we have in writing in the United States where a group of citizens attests on paper and over their signature the right of the people to follow their own conscience with regard to God - and the inability of government , or the illegality of government , to interfere with that . ''   Given the wide diversity of opinion on Christian theological matters in the newly independent American States , the Constitutional Convention believed a government sanctioned ( established ) religion would disrupt rather than bind the newly formed union together . George Washington wrote a letter in 1790 to the country 's first Jewish congregation , the Touro Synagogue in Newport , Rhode Island to state :   Allowing rights and immunities of citizenship . It is now no more that toleration is spoken of , as if it were by the indulgence of one class of people , that another enjoyed the exercise of their inherent natural rights . For happily the Government of the United States , which gives to bigotry no sanction , to persecution no assistance requires only that they who live under its protection should demean themselves as good citizens , in giving it on all occasions their effectual support .   There were also opponents to the support of any established church even at the state level . In 1773 , Isaac Backus , a prominent Baptist minister in New England , wrote against a state sanctioned religion , saying : `` Now who can hear Christ declare , that his kingdom is , not of this world , and yet believe that this blending of church and state together can be pleasing to him ? '' He also observed that when `` church and state are separate , the effects are happy , and they do not at all interfere with each other : but where they have been confounded together , no tongue nor pen can fully describe the mischiefs that have ensued . '' Thomas Jefferson 's influential Virginia Statute for Religious Freedom was enacted in 1786 , five years before the Bill of Rights .   Most Anglican ministers , and many Anglicans , were Loyalists . The Anglican establishment , where it had existed , largely ceased to function during the American Revolution , though the new States did not formally abolish and replace it until some years after the Revolution .   Jefferson , Madison , and the `` wall of separation '' ( edit )   The phrase `` ( A ) hedge or wall of separation between the garden of the church and the wilderness of the world '' was first used by Baptist theologian Roger Williams , the founder of the colony of Rhode Island , in his 1644 book The Bloody Tenent of Persecution . The phrase was later used by Thomas Jefferson as a description of the First Amendment and its restriction on the legislative branch of the federal government , in an 1802 letter to the Danbury Baptists ( a religious minority concerned about the dominant position of the Congregationalist church in Connecticut ) :   Believing with you that religion is a matter which lies solely between man and his god , that he owes account to none other for his faith or his worship , that the legitimate powers of government reach actions only , and not opinions , I contemplate with sovereign reverence that act of the whole American people which declared that their `` legislature '' should `` make no law respecting an establishment of religion , or prohibiting the free exercise thereof , '' thus building a wall of separation between church and State . Adhering to this expression of the supreme will of the nation in behalf of the rights of conscience , I shall see with sincere satisfaction the progress of those sentiments which tend to restore to man all his natural rights , convinced he has no natural right in opposition to his social duties .   Jefferson 's letter was in reply to a letter that he had received from the Danbury Baptist Association dated October 7 , 1801 . In an 1808 letter to Virginia Baptists , Jefferson used the same theme :   We have solved , by fair experiment , the great and interesting question whether freedom of religion is compatible with order in government and obedience to the laws . And we have experienced the quiet as well as the comfort which results from leaving every one to profess freely and openly those principles of religion which are the inductions of his own reason and the serious convictions of his own inquiries .   Jefferson and James Madison 's conceptions of separation have long been debated . Jefferson refused to issue Proclamations of Thanksgiving sent to him by Congress during his presidency , though he did issue a Thanksgiving and Prayer proclamation as Governor of Virginia . Madison issued four religious proclamations while President , but vetoed two bills on the grounds they violated the first amendment . On the other hand , both Jefferson and Madison attended religious services at the Capitol . Years before the ratification of the Constitution , Madison contended `` Because if Religion be exempt from the authority of the Society at large , still less can it be subject to that of the Legislative Body . '' After retiring from the presidency , Madison wrote of `` total separation of the church from the state . '' `` `` Strongly guarded as is the separation between Religion &amp; Govt in the Constitution of the United States , '' Madison wrote , and he declared , `` practical distinction between Religion and Civil Government is essential to the purity of both , and as guaranteed by the Constitution of the United States . '' In a letter to Edward Livingston Madison further expanded , `` We are teaching the world the great truth that Govts . do better without Kings &amp; Nobles than with them . The merit will be doubled by the other lesson that Religion flourishes in greater purity , without than with the aid of Govt . '' Madison 's original draft of the Bill of Rights had included provisions binding the States , as well as the Federal Government , from an establishment of religion , but the House did not pass them .   Jefferson 's opponents said his position was the destruction and the governmental rejection of Christianity , but this was a caricature . In setting up the University of Virginia , Jefferson encouraged all the separate sects to have preachers of their own , though there was a constitutional ban on the State supporting a Professorship of Divinity , arising from his own Virginia Statute for Religious Freedom . Some have argued that this arrangement was `` fully compatible with Jefferson 's views on the separation of church and state ; '' however , others point to Jefferson 's support for a scheme in which students at the university would attend religious worship each morning as evidence that his views were not consistent with strict separation . Still other scholars , such as Mark David Hall , attempt to sidestep the whole issue by arguing that American jurisprudence focuses too narrowly on this one Jeffersonian letter while failing to account for other relevant history   Jefferson 's letter entered American jurisprudence in the 1878 Mormon polygamy case Reynolds v. U.S. , in which the court cited Jefferson and Madison , seeking a legal definition for the word religion . Writing for the majority , Justice Stephen Johnson Field cited Jefferson 's Letter to the Danbury Baptists to state that `` Congress was deprived of all legislative power over mere opinion , but was left free to reach actions which were in violation of social duties or subversive of good order . '' Considering this , the court ruled that outlawing polygamy was constitutional .   Patrick henry , Massachusetts , and Connecticut ( edit )   Jefferson and Madison 's approach was not the only one taken in the eighteenth century . Jefferson 's Statute of Religious Freedom was drafted in opposition to a bill , chiefly supported by Patrick Henry , which would permit any Virginian to belong to any denomination , but which would require him to belong to some denomination and pay taxes to support it . Similarly , the Constitution of Massachusetts originally provided that `` no subject shall be hurt , molested , or restrained , in his person , liberty , or estate , for worshipping God in the manner and season most agreeable to the dictates of his own conscience ... provided he doth not disturb the public peace , or obstruct others in their religious worship , '' ( Article II ) but also that :   the people of this commonwealth have a right to invest their legislature with power to authorize and require , and the legislature shall , from time to time , authorize and require , the several towns , parishes , precincts , and other bodies politic , or religious societies , to make suitable provision , at their own expense , for the institution of the public worship of God , and for the support and maintenance of public Protestant teachers of piety , religion and morality , in all cases where such provision shall not be made voluntarily . And the people of this commonwealth have also a right to , and do , invest their legislature with authority to enjoin upon all the subjects an attendance upon the instructions of the public teachers aforesaid , at stated times and seasons , if there be any on whose instructions they can conscientiously and conveniently attend . ( Article III )   Since , in practice , this meant that the decision of who was taxable for a particular religion rested in the hands of the selectmen , usually Congregationalists , this system was open to abuse . It was abolished in 1833 . The intervening period is sometimes referred to as an `` establishment of religion '' in Massachusetts .   The Duke of York had required that every community in his new lands of New York and New Jersey support some church , but this was more often Dutch Reformed , Quaker or Presbyterian , than Anglican . Some chose to support more than one church . He also ordained that the tax - payers were free , having paid his local tax , to choose their own church . The terms for the surrender of New Amsterdam had provided that the Dutch would have liberty of conscience , and the Duke , as an openly divine - right Catholic , was no friend of Anglicanism . The first Anglican minister in New Jersey arrived in 1698 , though Anglicanism was more popular in New York .   Connecticut had a real establishment of religion . Its citizens did not adopt a constitution at the Revolution , but rather amended their Charter to remove all references to the British Government . As a result , the Congregational Church continued to be established , and Yale College , at that time a Congregational institution , received grants from the State until Connecticut adopted a constitution in 1818 partly because of this issue .   Test acts ( edit )   The absence of an establishment of religion did not necessarily imply that all men were free to hold office . Most colonies had a Test Act , and several states retained them for a short time . This stood in contrast to the Federal Constitution , which explicitly prohibits the employment of any religious test for Federal office , and which through the Fourteenth Amendment later extended this prohibition to the States .   For example , the New Jersey Constitution of 1776 provides liberty of conscience in much the same language as Massachusetts ( similarly forbidding payment of `` taxes , tithes or other payments '' contrary to conscience ) . It then provides :   That there shall be no establishment of any one religious sect in this Province , in preference to another ; and that no Protestant inhabitant of this Colony shall be denied the enjoyment of any civil right , merely on account of his religious principles ; but that all persons , professing a belief in the faith of any Protestant sect , who shall demean themselves peaceably under the government , as hereby established , shall be capable of being elected into any office of profit or trust , or being a member of either branch of the Legislature , and shall fully and freely enjoy every privilege and immunity , enjoyed by others their fellow subjects .   This would permit a Test Act , but did not require one .   The original charter of the Province of East Jersey had restricted membership in the Assembly to Christians ; the Duke of York was fervently Catholic , and the proprietors of Perth Amboy , New Jersey were Scottish Catholic peers . The Province of West Jersey had declared , in 1681 , that there should be no religious test for office . An oath had also been imposed on the militia during the French and Indian War requiring them to abjure the pretensions of the Pope , which may or may not have been applied during the Revolution . That law was replaced by 1799 .   The Pennsylvania Constitution of 1776 provided :   And each member , before he takes his seat , shall make and subscribe the following declaration , viz :    I do believe in one God , the creator and governor of the universe , the rewarder of the good and the punisher of the wicked . And I do acknowledge the Scriptures of the Old and New Testament to be given by Divine inspiration .    And no further or other religious test shall ever hereafter be required of any civil officer or magistrate in this State .   Again , it provided in general that all tax - paying freemen and their sons shall be able to vote , and that no `` man , who acknowledges the being of a God , be justly deprived or abridged of any civil right as a citizen , on account of his religious sentiments or peculiar mode of religious worship . ''   The U.S. Constitution ( edit )   Article 6 ( edit )   Article Six of the United States Constitution provides that `` no religious Test shall ever be required as a Qualification to any Office or public Trust under the United States '' . Prior to the adoption of the Bill of Rights , this was the only mention of religion in the Constitution .   The First Amendment ( edit )   The first amendment to the US Constitution states `` Congress shall make no law respecting an establishment of religion , or prohibiting the free exercise thereof '' The two parts , known as the `` establishment clause '' and the `` free exercise clause '' respectively , form the textual basis for the Supreme Court 's interpretations of the `` separation of church and state '' doctrine . Three central concepts were derived from the 1st Amendment which became America 's doctrine for church - state separation : no coercion in religious matters , no expectation to support a religion against one 's will , and religious liberty encompasses all religions . In sum , citizens are free to embrace or reject a faith , any support for religion - financial or physical - must be voluntary , and all religions are equal in the eyes of the law with no special preference or favoritism .   The First Congress ' deliberations show that its understanding of the separation of church and state differed sharply from that of their contemporaries in Europe . As 19th century Union Theological Seminary historian Philip Schaff observed :   The American separation of church and state rests upon respect for the church ; the ( European anticlerical ) separation , on indifference and hatred of the church , and of religion itself ... . The constitution did not create a nation , nor its religion and institutions . It found them already existing , and was framed for the purpose of protecting them under a republican form of government , in a rule of the people , by the people , and for the people .   An August 15 , 1789 entry in Madison 's papers indicates he intended for the establishment clause to prevent the government imposition of religious beliefs on individuals . The entry says : `` Mr. Madison said he apprehended the meaning of the words to be , that Congress should not establish a religion , and enforce the legal observation of it by law , nor compel men to worship God in any manner contrary to their conscience ... ''   Some legal scholars , such as John Baker of LSU , theorize that Madison 's initial proposed language -- that Congress should make no law regarding the establishment of a `` national religion '' -- was rejected by the House , in favor of the more general `` religion '' in an effort to appease the Anti-Federalists . To both the Anti-Federalists and the Federalists , the very word `` national '' was a cause for alarm because of the experience under the British crown . During the debate over the establishment clause , Rep. Elbridge Gerry of Massachusetts took issue with Madison 's language regarding whether the government was a national or federal government ( in which the states retained their individual sovereignty ) , which Baker suggests compelled Madison to withdraw his language from the debate .   Following the argument between Madison and Gerry , Rep. Samuel Livermore of New Hampshire proposed language stating that , `` Congress shall make no laws touching religion or the rights of conscience . '' This raised an uproar from members , such as Rep. Benjamin Huntingdon of Connecticut and Rep. Peter Sylvester of New York , who worried the language could be used to harm religious practice .   Others , such as Rep. Roger Sherman of Connecticut , believed the clause was unnecessary because the original Constitution only gave Congress stated powers , which did not include establishing a national religion . Anti-Federalists such as Rep. Thomas Tucker of South Carolina moved to strike the establishment clause completely because it could preempt the religious clauses in the state constitutions . However , the Anti-Federalists were unsuccessful in persuading the House of Representatives to drop the clause from the first amendment .   The Senate went through several more narrowly targeted versions before reaching the contemporary language . One version read , `` Congress shall make no law establishing one religious sect or society in preference to others , nor shall freedom of conscience be infringed , '' while another read , `` Congress shall make no law establishing one particular religious denomination in preference to others . '' Ultimately , the Senate rejected the more narrowly targeted language .   At the time of the passage of the Bill of Rights , many states acted in ways that would now be held unconstitutional . All of the early official state churches were disestablished by 1833 ( Massachusetts ) , including the Congregationalist establishment in Connecticut . It is commonly accepted that , under the doctrine of Incorporation -- which uses the Due Process clause of the Fourteenth Amendment to hold the Bill of Rights applicable to the states -- these state churches could not be reestablished today .   Yet the provisions of state constitutions protected religious liberty , particularly the so - called freedom on conscience . During the nineteenth century ( and before the incorporation of the First Amendment of the U.S. Constitution through the Fourteenth Amendment ) , litigants turned to these provisions to challenge Sunday laws ( blue laws ) , bible - reading in schools , and other ostensibly religious regulations .   The 14th Amendment ( edit )  See also : Cantwell v. Connecticut  The Fourteenth Amendment to the United States Constitution ( Amendment XIV ) is one of the post-Civil War amendments , intended to secure rights for former slaves . It includes the due process and equal protection clauses among others . The amendment introduces the concept of incorporation of all relevant federal rights against the states . While it has not been fully implemented , the doctrine of incorporation has been used to ensure , through the Due Process Clause and Privileges and Immunities Clause , the application of most of the rights enumerated in the Bill of Rights to the states .   The incorporation of the First Amendment establishment clause in the landmark case of Everson v. Board of Education has impacted the subsequent interpretation of the separation of church and state in regard to the state governments . Although upholding the state law in that case , which provided for public busing to private religious schools , the Supreme Court held that the First Amendment establishment clause was fully applicable to the state governments . A more recent case involving the application of this principle against the states was Board of Education of Kiryas Joel Village School District v. Grumet ( 1994 ) .   The `` separation '' principle and the Supreme Court ( edit )   Jefferson 's concept of `` separation of church and state '' first became a part of Establishment Clause jurisprudence in Reynolds v. U.S. , 98 U.S. 145 ( 1878 ) . In that case , the court examined the history of religious liberty in the US , determining that while the constitution guarantees religious freedom , `` The word ' religion ' is not </t>
  </si>
  <si>
    <t xml:space="preserve">where does the constitution say separation of church and state</t>
  </si>
  <si>
    <t xml:space="preserve"> `` Separation of church and state '' is paraphrased from Thomas Jefferson and used by others in expressing an understanding of the intent and function of the Establishment Clause and Free Exercise Clause of the First Amendment to the Constitution of the United States which reads : `` Congress shall make no law respecting an establishment of religion , or prohibiting the free exercise thereof ... '' </t>
  </si>
  <si>
    <t xml:space="preserve">Tour de France - Wikipedia  Tour de France  This article is about the French national multi-day bicycle stage race . For other uses , see Tour de France ( disambiguation ) . `` Le Tour '' redirects here . For other uses , see Tour ( disambiguation ) .    Tour de France       Race details     Date   July     Region   France and nearby countries     Local name ( s )   Le Tour de France ( in French )     Nickname ( s )   La Grande Boucle     Discipline   Road     Competition   UCI World Tour     Type   Stage race ( Grand Tour )     Organiser   Amaury Sport Organisation     Race director   Christian Prudhomme     History     First edition   1 July 1903 ; 115 years ago ( 1903 - 07 - 01 )     Editions   105 ( as of 2018 )     First winner   Maurice Garin ( FRA )     Most wins    Jacques Anquetil ( FRA ) Eddy Merckx ( BEL ) Bernard Hinault ( FRA ) Miguel Indurain ( ESP )    ( 5 wins each )       Most recent   Geraint Thomas ( GBR )     The Tour de France ( French pronunciation : ​ ( tuʁ də fʁɑ̃s ) ) is an annual men 's multiple stage bicycle race primarily held in France , while also occasionally passing through nearby countries . Like the other Grand Tours ( the Giro d'Italia and the Vuelta a España ) , it consists of 21 stages over a little more than three weeks .   The race was first organized in 1903 to increase sales for the newspaper L'Auto and is currently run by the Amaury Sport Organisation . The race has been held annually since its first edition in 1903 except when it was stopped for the two World Wars . As the Tour gained prominence and popularity , the race was lengthened and its reach began to extend around the globe . Participation expanded from a primarily French field , as riders from all over the world began to participate in the race each year . The Tour is a UCI World Tour event , which means that the teams that compete in the race are mostly UCI WorldTeams , with the exception of the teams that the organizers invite .   Traditionally , the race is held primarily in the month of July . While the route changes each year , the format of the race stays the same with the appearance of time trials , the passage through the mountain chains of the Pyrenees and the Alps , and the finish on the Champs - Élysées in Paris . The modern editions of the Tour de France consist of 21 day - long segments ( stages ) over a 23 - day period and cover around 3,500 kilometres ( 2,200 mi ) . The race alternates between clockwise and counterclockwise circuits of France .   There are usually between 20 and 22 teams , with eight riders in each . All of the stages are timed to the finish ; the riders ' times are compounded with their previous stage times . The rider with the lowest cumulative finishing times is the leader of the race and wears the yellow jersey . While the general classification garners the most attention , there are other contests held within the Tour : the points classification for the sprinters , the mountains classification for the climbers , young rider classification for riders under the age of 26 , and the team classification for the fastest teams . Achieving a stage win also provides prestige , often accomplished by a team 's cycling sprinter specialist .   Contents    1 History   1.1 Origins   1.2 The first Tour de France ( 1903 )   1.3 1904 -- 1939   1.4 1947 -- 1969   1.5 1969 -- 1987   1.6 Since 1988     2 Classifications   2.1 General classification   2.2 Mountains classification   2.3 Points classification   2.4 Young rider classification   2.5 Minor classifications and prizes   2.6 Historical classifications   2.7 Lanterne rouge   2.8 Prizes     3 Stages   3.1 Mass - start stages   3.2 Time trials   3.3 Notable stages     4 Advertising caravan   5 Politics   5.1 Corsica     6 The start and finish of the Tour   6.1 Starts abroad     7 Broadcasting   8 Culture   8.1 Arts   8.2 Post-Tour criteria     9 Doping   10 Deaths   11 Records and statistics   11.1 Record winners     12 Notes   13 References   14 Bibliography   15 Further reading   16 External links    History ( edit )        See also : List of Tour de France general classification winners  Origins ( edit )   The Tour de France was created in 1903 . The roots of the Tour de France trace back to the emergence of two rival sports newspapers in the country . On one hand was Le Vélo , the first and the largest daily sports newspaper in France which sold 80,000 copies a day . On the other was L'Auto , which had been set - up by journalists and business - people including Comte Jules - Albert de Dion , Adolphe Clément , and Édouard Michelin in 1899 . The rival paper emerged following disagreements over the Dreyfus Affair , a cause célèbre ( in which de Dion was implicated ) that divided France at the end of the 19th century over the innocence of Alfred Dreyfus , a French army officer convicted -- though later exonerated -- of selling military secrets to the Germans . The new newspaper appointed Henri Desgrange as the editor . He was a prominent cyclist and owner with Victor Goddet of the velodrome at the Parc des Princes . De Dion knew him through his cycling reputation , through the books and cycling articles that he had written , and through press articles he had written for the Clément tyre company .   L'Auto was not the success its backers wanted . Stagnating sales lower than the rival it was intended to surpass led to a crisis meeting on 20 November 1902 on the middle floor of L'Auto 's office at 10 Rue du Faubourg Montmartre , Paris . The last to speak was the most junior there , the chief cycling journalist , a 26 - year - old named Géo Lefèvre . Desgrange had poached him from Giffard 's paper . Lefèvre suggested a six - day race of the sort popular on the track but all around France . Long - distance cycle races were a popular means to sell more newspapers , but nothing of the length that Lefèvre suggested had been attempted . If it succeeded , it would help L'Auto match its rival and perhaps put it out of business . It could , as Desgrange said , `` nail Giffard 's beak shut . '' Desgrange and Lefèvre discussed it after lunch . Desgrange was doubtful but the paper 's financial director , Victor Goddet , was enthusiastic . He handed Desgrange the keys to the company safe and said : `` Take whatever you need . '' L'Auto announced the race on 19 January 1903 .   The first Tour de France ( 1903 ) ( edit )  Main article : 1903 Tour de France Maurice Garin , winner of the first Tour de France standing on the right . The man on the left is possibly Leon Georget ( 1903 )  The first Tour de France was staged in 1903 . The plan was a five - stage race from 31 May to 5 July , starting in Paris and stopping in Lyon , Marseille , Bordeaux , and Nantes before returning to Paris . Toulouse was added later to break the long haul across southern France from the Mediterranean to the Atlantic . Stages would go through the night and finish next afternoon , with rest days before riders set off again . But this proved too daunting and the costs too great for most and only 15 competitors had entered . Desgrange had never been wholly convinced and he came close to dropping the idea . Instead , he cut the length to 19 days , changed the dates to 1 to 19 July , and offered a daily allowance to those who averaged at least 20 kilometres per hour ( 12 mph ) on all the stages , equivalent to what a rider would have expected to earn each day had he worked in a factory . He also cut the entry fee from 20 to 10 francs and set the first prize at 12,000 francs and the prize for each day 's winner at 3,000 francs . The winner would thereby win six times what most workers earned in a year . That attracted between 60 and 80 entrants -- the higher number may have included serious inquiries and some who dropped out -- among them not just professionals but amateurs , some unemployed , and some simply adventurous .   Desgrange seems not to have forgotten the Dreyfus Affair that launched his race and raised the passions of his backers . He announced his new race on 1 July 1903 by citing the writer Émile Zola , whose open letter in which every paragraph started '' J'accuse ... '' led to Dreyfus 's acquittal , establishing the florid style he used henceforth .   The first Tour de France started almost outside the Café Reveil - Matin at the junction of the Melun and Corbeil roads in the village of Montgeron . It was waved away by the starter , Georges Abran , at 3 : 16 p.m. on 1 July 1903 . L'Auto had n't featured the race on its front page that morning .   Among the competitors were the eventual winner , Maurice Garin , his well - built rival Hippolyte Aucouturier , the German favourite Josef Fischer , and a collection of adventurers including one competing as `` Samson '' .   Many riders dropped out of the race after completing the initial stages as the physical effort the tour required was just too much . Only a mere 24 entrants remained at the end of the fourth stage . The race finished on the edge of Paris at Ville d'Avray , outside the Restaurant du Père Auto , before a ceremonial ride into Paris and several laps of the Parc des Princes . Garin dominated the race , winning the first and last two stages , at 25.68 kilometres per hour ( 15.96 mph ) . The last rider , Millocheau , finished 64h 47m 22s behind him .   L'Auto 's mission was accomplished as throughout the race circulation of the publication doubled , making the race something much larger than Desgrange had ever hoped for .   1904 -- 1939 ( edit )   Such was the passion that the first Tour created in spectators and riders that Desgrange said the 1904 Tour de France would be the last . Cheating was rife and riders were beaten up by rival fans as they neared the top of the col de la République , sometimes called the col du Grand Bois , outside St - Étienne . The leading riders , including the winner Maurice Garin , were disqualified , though it took the Union Vélocipèdique de France until 30 November to make the decision . McGann says the UVF waited so long `` ... well aware of the passions aroused by the race . '' Desgrange 's opinion of the fighting and cheating showed in the headline of his reaction in L'Auto : THE END . Desgrange 's despair did not last . By the following spring he was planning another Tour , longer at 11 stages rather than 6 -- and this time all in daylight to make any cheating more obvious . Stages in 1905 began between 3 am and 7 : 30 am . The race captured the imagination . L'Auto's circulation rose from 25,000 to 65,000 ; by 1908 it was a quarter of a million . The Tour returned after its suspension during World War One and continued to grow , with circulation of L'Auto reaching 500,000 by 1923 . The record claimed by Desgrange was 854,000 during the 1933 Tour . Le Vélo , meanwhile , went out of business in 1904 .   Desgrange and his Tour invented bicycle stage racing . Desgrange experimented with different ways of judging the winner . Initially he used total accumulated time ( as used in the modern Tour de France ) but from 1906 to 1912 by points for placings each day . Desgrange saw problems in judging both by time and by points . By time , a rider coping with a mechanical problem -- which the rules insisted he repair alone -- could lose so much time that it cost him the race . Equally , riders could finish so separated that time gained or lost on one or two days could decide the whole race . Judging the race by points removed over-influential time differences but discouraged competitors from riding hard . It made no difference whether they finished fast or slow or separated by seconds or hours , so they were inclined to ride together at a relaxed pace until close to the line , only then disputing the final placings that would give them points .  1936 Tour de France  The format changed over time . The Tour originally ran around the perimeter of France . Cycling was an endurance sport and the organisers realised the sales they would achieve by creating supermen of the competitors . Night riding was dropped after the second Tour in 1904 , when there had been persistent cheating when judges could not see riders . That reduced the daily and overall distance but the emphasis remained on endurance . Desgrange said his ideal race would be so hard that only one rider would make it to Paris . The first mountain stages ( in the Pyrenees ) appeared in 1910 . Early tours had long multi-day stages , with the format settling on 15 stages from 1910 until 1924 . After this , stages were gradually shortened , such that by 1936 there were as many as three stages in a single day . Desgrange initially preferred to see the Tour as a race of individuals . The first Tours were open to whoever wanted to compete . Most riders were in teams that looked after them . The private entrants were called touriste - routiers -- tourists of the road -- from 1923 and were allowed to take part provided they make no demands on the organisers . Some of the Tour 's most colourful characters have been touriste - routiers . One finished each day 's race and then performed acrobatic tricks in the street to raise the price of a hotel . Until 1925 Desgrange forbade team members from pacing each other . The 1927 and 1928 Tours , however , consisted mainly of team time - trials , an unsuccessful experiment which sought to avoid a proliferation of sprint finishes on flat stages . Desgrange was a traditionalist with equipment . Until 1930 he demanded that riders mend their bicycles without help and that they use the same bicycle from start to end . Exchanging a damaged bicycle for another was allowed only in 1923 . Desgrange stood against the use of multiple gears and for many years insisted riders use wooden rims , fearing the heat of braking while coming down mountains would melt the glue that held the tires on metal rims ( they were finally allowed in 1937 ) .   By the end of the 1920s , Desgrange believed he could not beat what he believed were the underhand tactics of bike factories . When the Alcyon team contrived to get Maurice De Waele to win even though he was sick , he said `` My race has been won by a corpse '' . In 1930 Desgrange again attempted to take control of the Tour from teams , insisting competitors enter in national teams rather than trade teams and that competitors ride plain yellow bicycles that he would provide , without a maker 's name . There was no place for individuals in the post-1930s teams and so Desgrange created regional teams , generally from France , to take in riders who would not otherwise have qualified . The original touriste - routiers mostly disappeared but some were absorbed into regional teams . In 1936 Desgrange had a prostate operation . At the time , two operations were needed ; the Tour de France was due to fall between them . Desgrange persuaded his surgeon to let him follow the race . The second day proved too much and , in a fever at Charleville , he retired to his château at Beauvallon . Desgrange died at home on the Mediterranean coast on 16 August 1940 . The race was taken over by his deputy , Jacques Goddet . The Tour was again disrupted by War after 1939 , and did not return until 1947 .   1947 -- 1969 ( edit )  Jacques Goddet memorial at the top of the Col du Tourmalet  In 1944 , L'Auto was closed -- its doors nailed shut -- and its belongings , including the Tour , sequestrated by the state for publishing articles too close to the Germans . Rights to the Tour were therefore owned by the government . Jacques Goddet was allowed to publish another daily sports paper , L'Équipe , but there was a rival candidate to run the Tour : a consortium of Sports and Miroir Sprint . Each organised a candidate race . L'Équipe and Le Parisien Libéré had La Course du Tour de France and Sports and Miroir Sprint had La Ronde de France . Both were five stages , the longest the government would allow because of shortages . L'Équipe's race was better organised and appealed more to the public because it featured national teams that had been successful before the war , when French cycling was at a high . L'Équipe was given the right to organise the 1947 Tour de France . However , L'Équipe 's finances were never sound and Goddet accepted an advance by Émilion Amaury , who had supported his bid to run the post-war Tour . Amaury was a newspaper magnate whose condition was that his sports editor , Félix Lévitan should join Goddet for the Tour . The two worked together , Goddet running the sporting side and Lévitan the financial .   On the Tour 's return , the format of the race settled on between 20 -- 25 stages . Most stages would last one day but the scheduling of ' split ' stages continued well in to the 1980s . 1953 saw the introduction of the Green Jersey ' Points ' competition . National teams contested the Tour until 1961 . The teams were of different sizes . Some nations had more than one team and some were mixed in with others to make up the number . National teams caught the public imagination but had a snag : that riders might normally have been in rival trade teams the rest of the season . The loyalty of riders was sometimes questionable , within and between teams . Sponsors were always unhappy about releasing their riders into anonymity for the biggest race of the year , as riders in national teams wore the colours of their country and a small cloth panel on their chest that named the team for which they normally rode . The situation became critical at the start of the 1960s . Sales of bicycles had fallen and bicycle factories were closing . There was a risk , the trade said , that the industry would die if factories were not allowed the publicity of the Tour de France . The Tour returned to trade teams in 1962 . In the same year , Émilion Amaury , owner of le Parisien Libéré , became financially involved in the Tour . He made Félix Lévitan co-organizer of the Tour , and it was decided that Levitan would focus on the financial issues , and Jacques Goddet on the sporting issues . The Tour de France was meant for professional cyclists , but in 1961 the organisation started the Tour de l'Avenir the amateur version .   Doping had become a problem culminating in the death of Tom Simpson in 1967 , after which riders went on strike , though the organisers suspected sponsors provoked them . The Union Cycliste Internationale introduced limits to daily and overall distances , imposed rest days and tests were introduced for riders . It was then impossible to follow the frontiers , and the Tour increasingly zig - zagged across the country , sometimes with unconnected days ' races linked by train , while still maintaining some sort of loop . The Tour returned to national teams for 1967 and 1968 as `` an experiment '' . The Tour returned to trade teams in 1969 with a suggestion that national teams could come back every few years , but this has not happened since .   1969 -- 1987 ( edit )   In the early 1970s the race was dominated by Eddy Merckx , who won the General Classification five times , the Mountains Classification twice , the Points Classification three times and a record 34 stages .   During this era race director Felix Lévitan brought in a new commercial era of the Tour , beginning to recruit sponsors , sometimes accepting prizes in kind if he could not get cash . He introduced the finish of the Tour at the Avenue des Champs - Élysées in 1975 , the same year the polka - dot jersey was introduced for the winner of the Mountains Classification . He helped drive an internationalization of the Tour de France , and cycling in general . In 1982 Sean Kelly of Ireland ( points ) and Phil Anderson of Australia ( young rider ) became the first winners of any Tour classifications from outside cycling 's Continental Europe heartlands , while Lévitan was influential in facilitating the participation in the 1983 Tour by amateur riders from the Eastern Bloc and Colombia . In 1984 , for the first time , the Société du Tour de France organized the Tour de France Féminin , a version for women . It was run in the same weeks as the men 's version , and won by Marianne Martin . Greg LeMond of the US became the first non-European winner in the 1986 race .   While the global awareness and popularity of the Tour grew during this time , its finances became stretched . Goddet and Lévitan continued to clash over the running of the race . Lévitan launched the Tour of America , as a precursor to his plans to take the Tour de France to the US . The Tour of America lost a lot of money , and it appeared to have been cross-financed by the Tour de France . In the years before 1987 , Lévitan 's position had always been protected by Émilien Amaury , the then owner of ASO , but recently , Émilien Amaury had retired and his son Philippe Amaury was now responsible . When Lévitan arrived at his office on 17 March 1987 , he found that his doors were locked and he was fired . The organisation of the 1987 Tour de France was taken over by Jean - François Naquet - Radiguet . He was not successful in acquiring more funds , and was fired within one year .   Since 1988 ( edit )       This section needs expansion . You can help by adding to it . ( July 2015 )     Months before the start of the 1988 Tour , director Jean - François Naquet - Radiguet was replaced by Xavier Louy . In 1988 the Tour was organised by Jean - Pierre Courcol , the director of L'Équipe , then in 1989 by Jean - Pierre Carenso and then by Jean - Marie Leblanc , who in 1989 had been race director . The former television presenter Christian Prudhomme -- he commentated on the Tour among other events -- replaced Leblanc in 2007 , having been assistant director for three years . In 1993 ownership of L'Équipe moved to the Amaury Group , which formed Amaury Sport Organisation ( ASO ) to oversee its sports operations , although the Tour itself is operated by its subsidiary the Société du Tour de France . ASO employs around 70 people full - time , in an office facing but not connected to L'Équipe in the Issy - les - Moulineaux area of outer western Paris . That number expands to about 220 during the race itself , not including 500 contractors employed to move barriers , erect stages , signpost the route and other work . ASO now also operate several other major bike races throughout the year .   Classifications ( edit )   The oldest and main competition in the Tour de France is known as the `` general classification '' , for which the yellow jersey is awarded : the winner of this is said to have won the race . A few riders from each team aim to win overall but there are three further competitions to draw riders of all specialties : points , mountains , and a classification for young riders with general classification aspirations . The leader of each of the aforementioned classifications wears a distinctive jersey , with riders leading multiple classifications wearing the jersey of the most prestigious that he leads . In addition to these four classifications , there are several minor and discontinued classifications that are competed for during the race .   General classification ( edit )  Main article : General classification in the Tour de France See also : List of Tour de France general classification winners and Yellow jersey statistics Fabian Cancellara pictured at the 2010 Tour de France . He is the rider who has worn the yellow jersey as leader of the general classification for the most days without ever winning the race .  The oldest and most sought after classification in the Tour de France is the general classification . All of the stages are timed to the finish . The riders ' times are compounded with their previous stage times ; so the rider with the lowest aggregate time is the leader of the race . The leader is determined after each stage 's conclusion : he gains the privilege to wear the yellow jersey , presented on a podium in the stage 's finishing town , for the next stage . If a rider is leading more than one classification that awards a jersey , he wears the yellow one , since the general classification is the most important one in the race . Between 1905 and 1912 inclusive , in response to concerns about rider cheating in the 1904 race , the general classification was awarded according to a point - based system based on their placings in each stage , and the rider with the lowest total of points after the Tour 's conclusion was the winner .   The leader in the first Tour de France was awarded a green armband . The yellow jersey ( The color yellow was chosen as the magazine that created the Tour , L'Auto , printed its newspapers on yellow paper ) , was added to the race in the 1919 edition and it has since become a symbol of the Tour de France . The first rider to wear the yellow jersey was Eugène Christophe . Each team brings multiple yellow jerseys in advance of the Tour in case one of their riders becomes the overall leader of the race . Riders usually try to make the extra effort to keep the jersey for as long as possible in order to get more publicity for the team and its sponsors . Eddy Merckx has worn the yellow jersey for 96 stages , which is more than any other rider in the history of the Tour de France . Four riders have won the general classification five times in their career : Jacques Anquetil , Eddy Merckx , Bernard Hinault , and Miguel Indurain .   Mountains classification ( edit )  Main article : Mountains classification in the Tour de France Richard Virenque pictured at the 2003 Tour de France wearing the polka dot jersey . He won the mountains classification a record seven times .  The mountains classification is the second oldest jersey awarding classification in the Tour de France . The mountains classification was added to the Tour de France in the 1933 edition and was first won by Vicente Trueba . Prizes for the classification were first awarded in 1934 . During stages of the race containing climbs , points are awarded to the first riders to reach the top of each categorized climb , with points available for up to the first 10 riders , depending on the classification of the climb . Climbs are classified according to the steepness and length of that particular hill , with more points available for harder climbs . The classification was preceded by the meilleur grimpeur ( English : best climber ) which was awarded by the organising newspaper l'Auto to a cyclist who completed each race .   The classification awarded no jersey to the leader until the 1975 Tour de France , when the organizers decided to award a distinctive white jersey with red dots to the leader . The climbers ' jersey is worn by the rider who , at the start of each stage , has the largest number of climbing points . If a rider leads two or more of classifications , the climbers ' jersey is worn by the rider in second , or third , place in that contest . At the end of the Tour , the rider holding the most climbing points wins the classification . Some riders may race with the aim of winning this particular competition , while others who gain points early on may shift their focus to the classification during the race . The Tour has five categories for ranking the mountains the race covers . The scale ranges from category 4 , the easiest , to hors catégorie , the hardest . During his career Richard Virenque won the mountains classification a record seven times .   The point distribution for the mountains is as follows :     Type   1st   2nd   3rd   4th   5th   6th   7th   8th   9th   10th       Hors catégorie   25   20   16   14   12   10   8   6           First Category   10   8   6                     Second Category   5                         Third Category                           Fourth Category                          Points awarded are doubled for finishes that are of category two or above .    Points classification ( edit )  Main article : Points classification in the Tour de France Alessandro Petacchi in the green jersey  The points classification is the third oldest of the currently awarded jersey classifications . It was introduced in the 1953 Tour de France and was first won by Fritz Schär . The classification was added to draw the participation of the sprinters as well as celebrate the 50th anniversary of the Tour . Points are given to the first 15 riders to finish a stage , with an additional set of points given to the first 15 riders to cross a pre-determined ' sprint ' point during the route of each stage . The point classification leader green jersey is worn by the rider who at the start of each stage , has the greatest number of points .   In the first years , the cyclist received penalty points for not finishing with a high place , so the cyclist with the fewest points was awarded the green jersey . From 1959 on , the system was changed so the cyclists were awarded points for high place finishes ( with first place getting the most points , and lower placings getting successively fewer points ) , so the cyclist with the most points was awarded the green jersey . The number of points awarded varies depending on the type of stage , with flat stages awarding the most points at the finish and time trials and high mountain stages awarding the fewest points at the finish . This increases the likelihood of a sprinter winning the points classification , though other riders can be competitive for the classification if they have a sufficient number of high - place finishes .   The winner of the classification is the rider with the most points at the end of the Tour . In case of a tie , the leader is determined by the number of stage wins , then the number of intermediate sprint victories , and finally , the rider 's standing in the general classification . The classification has been won a record six times by Erik Zabel and Peter Sagan .   The first year the points classification was used it was sponsored by La Belle Jardinière , a lawn mower producer , and the jersey was made green . In 1968 the jersey was changed to red to please the sponsor . However , the color was changed back the following year . For almost 25 years the classification was sponsored by Pari Mutuel Urbain , a state betting company . However they announced in November 2014 that they would not be continuing their sponsorship , and in March 2015 it was revealed that the green jersey would now be sponsored by Czech car manufacturer Škoda .   As of 2015 , the points awarded stands as :     Type   1st   2nd   3rd   4th   5th   6th   7th   8th   9th   10th   11th   12th   13th   14th   15th       Flat stage finish   50   30   20   18   16   14   12   10   8   7   6   5             Medium mountain stage finish   30   25   22   19   17   15   13   11   9       High mountain stage finish   20   17   15   13   11   10   9   8   7   6   5               Individual time trial       Intermediate sprint     Young rider classification ( edit )  Main article : Young rider classification in the Tour de France Andy Schleck in the white jersey  The leader of the classification is determined the same way as the general classification , with the riders ' times being added up after each stage and the eligible rider with lowest aggregate time is dubbed the leader . The Young rider classification is restricted to the riders that are under the age of 26 . Originally the classification was restricted to neo-professionals -- riders that are in their first three years of professional racing -- until 1983 . In 1983 , the organizers made it so that only first time riders were eligible for the classification . In 1987 , the organizers changed the rules of the classification to what they are today .   This classification was added to the Tour de France in the 1975 edition , with Francesco Moser being the first to win the classification after placing seventh overall . The Tour de France awards a white jersey to the leader of the classification , although this was not done between 1989 and 2000 . Four riders have won both the young rider classification and the general classification in the same year : Laurent Fignon ( 1983 ) , Jan Ullrich ( 1997 ) , Alberto Contador ( 2007 ) , and Andy Schleck ( 2010 ) . Two riders have won the young rider classification three times in their respective careers : Jan Ullrich and Andy Schleck .   As of 2015 Jersey sponsor is Optician company Krys , replacing Škoda who moved to the Green Jersey .   Minor classifications and prizes ( edit )   The prix de la combativité goes to the rider who most animates the day , usually by trying to break clear of the field . The most combative rider wears a number printed white - on - red instead of black - on - white next day . An award goes to the most aggressive rider throughout the Tour . Al</t>
  </si>
  <si>
    <t xml:space="preserve">where does the tour de france race end</t>
  </si>
  <si>
    <t xml:space="preserve"> Traditionally , the race is held primarily in the month of July . While the route changes each year , the format of the race stays the same with the appearance of time trials , the passage through the mountain chains of the Pyrenees and the Alps , and the finish on the Champs - Élysées in Paris . The modern editions of the Tour de France consist of 21 day - long segments ( stages ) over a 23 - day period and cover around 3,500 kilometres ( 2,200 mi ) . The race alternates between clockwise and counterclockwise circuits of France . </t>
  </si>
  <si>
    <t xml:space="preserve">Southern Charm - wikipedia  Southern Charm  Jump to : navigation , search    Southern Charm         Genre   Reality     Starring     Craig Conover   Cameran Eubanks   Jenna King   Thomas Ravenel   Shep Rose   Whitney Sudler - Smith   Kathryn Calhoun Dennis   Landon Clements   Austen Kroll   Chelsea Meissner       Theme music composer   Mia Sable     Opening theme   `` It 's Easy ''     Country of origin   United States     Original language ( s )   English     No. of seasons   5     No. of episodes   53 ( as of 4 / 12 / 2018 ) ( list of episodes )     Production     Executive producer ( s )     Aaron Rothman   Irad Eyal   Whitney Sudler - Smith   Bryan Kestner   Jason Weinberg   Jessica Chesler       Camera setup   Multiple     Running time   42 minutes     Production company ( s )   Haymaker Productions     Release     Original network   Bravo     Picture format     NTSC 480i   HDTV 1080i       Original release   March 3 , 2014 ( 2014 - 03 - 03 ) -- present ( present )     External links     Website     Southern Charm is an American reality television series that made its first debut on March 3 , 2014 on Bravo . The series chronicles the personal and professional lives of seven socialites who reside in Charleston , South Carolina . The show focuses on the southern culture and political history of the area , and has featured local historical places like Lewisfield Plantation and the Mikell House .   On July 14 , 2014 , Southern Charm was renewed for a second season , which premiered on March 16 , 2015 . The third season premiered on April 4 , 2016 . The fourth season was announced on February 16 , 2017 and premiered on April 3 .   In February 2018 , Bravo announced the fifth season and it premiered on April 5 , 2018 .     Contents  ( hide )   1 Cast members   1.1 Timeline of cast     2 Episodes   3 Spin - offs   4 References   5 External links      Cast members ( edit )    Thomas Ravenel   Whitney Sudler - Smith   Cameran Eubanks   Shep Rose   Craig Conover   Jenna King   Kathryn Calhoun Dennis   Landon Clements   Austen Kroll   Chelsea Meissner   Naomie Olindo    Timeline of cast ( edit )     Name   Seasons             5       Main cast members     Craig Conover   Main     Cameran Eubanks   Main     Jenna King   Main       Thomas Ravenel   Main     Shep Rose   Main     Whitney Sudler - Smith   Main   Recurring     Kathryn Calhoun Dennis   Recurring   Main     Landon Clements     Main       Austen Kroll     Main     Chelsea Meissner     Recurring   Main       Recurring cast members     Danni Baird   Recurring     Elizabeth Madison   Recurring     J.D. Madison   Recurring     Cooper Ray    &lt;Td_colspan=""3”"&gt; Recurring       Jennifer Snowden     Recurring     Naomie Olindo     Recurring     Eliza Limehouse     Recurring       Ashley Jacobs     Recurring     Episodes ( edit )  Main article : List of Southern Charm episodes    Season   Episodes   Originally aired     First aired   Last aired         10   March 3 , 2014 ( 2014 - 03 - 03 )   May 5 , 2014 ( 2014 - 05 - 05 )         12   March 16 , 2015 ( 2015 - 03 - 16 )   May 25 , 2015 ( 2015 - 05 - 25 )         14   April 4 , 2016 ( 2016 - 04 - 04 )   July 5 , 2016 ( 2016 - 07 - 05 )         15   April 3 , 2017 ( 2017 - 04 - 03 )   June 5 , 2017 ( 2017 - 06 - 05 )       5   TBA   April 5 , 2018 ( 2018 - 04 - 05 )   TBA     Spin - offs ( edit )   On October 27 , 2016 , Bravo ordered a spin - off series to Southern Charm , titled Southern Charm Savannah . The series is set to follow the same premise as its predecessor series but will be set in Savannah , Georgia . The series will be produced by Haymaker Production and Aaron Rothman , Irad Eyal , Sara Nichols , Luke Neslage and Jessica Chesler , Jason Weinberg , Bryan Kestner and Whitney Sudler - Smith will serve as the series ' executive producers . The series premiered on May 8 , 2017 .   On June 26 , 2017 , Bravo announced that another spin - off , Southern Charm New Orleans , was ordered , and premiered on April 15 , 2018 .   References ( edit )    Jump up ^ Nededog , Jethro ( January 14 , 2014 ) . `` Bravo Sets Premiere Dates for New Series ' Southern Charm , ' Men 's Online Dating Show '' . The Wrap . Retrieved February 28 , 2014 .   Jump up ^ Turnage , Jeremy ( January 25 , 2014 ) . `` Bravo 's Charleston reality series ' Southern Charm ' set for March 3 '' . WISTV . Retrieved February 28 , 2014 .   Jump up ^ Kondolojy , Amanda ( January 14 , 2014 ) . `` Bravo Media Announces Premiere Dates for New Seasons of ' Flipping Out ' , ' The Real Housewives of New York ' &amp; More '' . TV by the Numbers ( Press release ) . Retrieved February 28 , 2014 .   Jump up ^ Kondolojy , Amanda ( July 14 , 2014 ) . `` ' Million Dollar Listing New York ' Renewed for Season Four + Bravo Greenlights Three New Series '' . TV by the Numbers ( Press release ) . Archived from the original on July 4 , 2015 . Retrieved July 14 , 2014 .   Jump up ^ Kondolojy , Amanada ( January 15 , 2015 ) . `` ' The Real Housewives of Orange County ' , ' Married to Medicine ' &amp; ' Flipping Out ' Renewed for New Seasons + Premiere Dates Unveiled for ' Shahs of Sunset ' More '' . TV by the Numbers . Retrieved January 16 , 2015 .   Jump up ^ http://www.nbcumv.com/news/bravo-media-living-highlife-low-country-%E2%80%9Csouthern-charm%E2%80%9D-season-four-premieres-monday-april-3   Jump up ^ Moylan , Brian . `` Southern Charm Season - Premiere Recap : Battle of the Sexless '' .   Jump up ^ Ge , Linda ( October 27 , 2016 ) . `` Bravo Renews ' Southern Charm , ' ' Shahs of Sunset , ' More Shows '' . The Wrap . Retrieved October 28 , 2016 .   Jump up ^ Lincoln , Ross ( October 27 , 2016 ) . `` Deadline '' . Bravo Renews &amp; Expands ' Southern Charm ' , Sets More ' Shahs Of Sunset ' &amp; ' Million Dollar Listing New York ' . Retrieved October 28 , 2016 .   Jump up ^ Mizoguchi , Karen . `` Southern Charm Savannah Sneak Peek ! Meet the Man Who Calls His Family the Kennedys of Savannah '' . People.com . Retrieved 7 June 2017 .    External links ( edit )    Official website   Southern Charm on IMDb   Southern Charm at TV Guide              Bravo original programming     Current     Below Deck ( since 2013 )   Below Deck Mediterranean ( since 2016 )   Cyrus vs. Cyrus : Design and Conquer ( since 2017 )   Do n't Be Tardy ( since 2012 )   Flipping Out ( since 2007 )   Girlfriends ' Guide to Divorce ( since 2014 )   Going Off the Menu ( 2016 )   Imposters ( since 2017 )   Inside the Actors Studio ( since 1994 )   Married to Medicine ( since 2013 )   Million Dollar Listing Los Angeles ( since 2006 )   Million Dollar Listing New York ( since 2012 )   A Night with My Ex ( since 2017 )   Real Estate Wars ( since 2017 )   The Real Housewives of Atlanta ( since 2008 )   The Real Housewives of Beverly Hills ( since 2010 )   The Real Housewives of Dallas ( since 2016 )   The Real Housewives of New Jersey ( since 2009 )   The Real Housewives of New York City ( since 2008 )   The Real Housewives of Orange County ( since 2006 )   The Real Housewives of Potomac ( since 2016 )   Shahs of Sunset ( since 2012 )   Southern Charm ( since 2014 )   Southern Charm New Orleans ( since 2018 )   Southern Charm Savannah ( since 2017 )   Summer House ( since 2017 )   Top Chef ( since 2006 )   Vanderpump Rules ( since 2013 )   Watch What Happens Live with Andy Cohen ( since 2009 )   Xscape : Still Kickin ' It ( since 2017 )   Your Husband Is Cheating on Us ( since 2018 )       Former      2000s debuts     30 Even Scarier Movie Moments ( 2006 )   The 100 Scariest Movie Moments ( 2004 )   The Awful Truth ( 1999 -- 2000 )   Battle of the Network Reality Stars ( 2005 )   Being Bobby Brown ( 2005 )   Better Halves ( 2007 )   Blow Out ( 2004 -- 06 )   Boy Meets Boy ( 2003 )   Bravo A-List Awards ( 2008 -- 09 )   Breaking News ( 2002 )   Celebrity Poker Showdown ( 2003 -- 06 )   Chef Academy ( 2009 -- 10 )   Date My Ex : Jo &amp; Slade ( 2008 )   The Fashion Show : Ultimate Collection ( 2009 -- 11 )   First Class All the Way ( 2008 )   Gay Weddings ( 2002 )   Hey Paula ( 2007 )   The It Factor ( 2002 -- 03 )   Kathy Griffin : My Life on the D - List ( 2005 -- 10 )   Launch My Line ( 2009 -- 10 )   Make Me a Supermodel ( 2008 -- 09 )   Manhunt ( 2004 )   Miami Social ( 2009 )   The Millionaire Matchmaker ( 2008 -- 15 )   NYC Prep ( 2009 )   Outrageous and Contagious : Viral Videos ( 2006 )   Page to Screen ( 2002 -- 05 )   Party / Party ( 2005 -- 06 )   Queer Eye for the Straight Girl ( 2005 )   Queer Eye for the Straight Guy ( 2003 -- 07 )   The Rachel Zoe Project ( 2008 -- 13 )   Significant Others ( 2004 )   Shear Genius ( 2007 -- 10 )   Showbiz Moms &amp; Dads ( 2004 )   Showdog Moms &amp; Dads ( 2005 )   Sports Kids Moms &amp; Dads ( 2005 )   Step It Up and Dance ( 2008 )   Tabatha Takes Over ( 2008 -- 13 )   Tabloid Wars ( 2006 )   Things I Hate About You ( 2004 )   Tim Gunn 's Guide to Style ( 2007 -- 08 )   Top Chef Masters ( 2009 -- 13 )   Top Design ( 2008 )   Welcome to the Parker ( 2007 )   Work Out ( 2006 -- 08 )       2010s debuts     100 Days of Summer ( 2014 )   9 By Design ( 2010 )   Après Ski ( 2015 )   Around the World in 80 Plates ( 2012 )   Best New Restaurant ( 2015 )   Bethenny Ever After ( 2010 -- 12 )   Blood , Sweat &amp; Heels ( 2014 -- 15 )   Boys to Manzo ( 2011 )   Chef Roblé &amp; Co. ( 2011 -- 13 )   Courtney Loves Dallas ( 2013 -- 14 )   Double Exposure ( 2010 )   Dukes of Melrose ( 2013 )   Eat , Drink , Love ( 2013 )   Euros of Hollywood ( 2014 )   Extreme Guide to Parenting ( 2014 )   Fashion Hunters ( 2011 )   Fashion Queens ( 2013 -- 15 )   First Family of Hip Hop ( 2017 )   Gallery Girls ( 2012 )   Game of Crowns ( 2014 )   Havana Elsa ( 2012 )   I Dream of NeNe : The Wedding ( 2013 )   Interior Therapy with Jeff Lewis ( 2012 -- 13 )   It 's a Brad , Brad World ( 2012 -- 13 )   Jersey Belle ( 2014 )   The Kandi Factory ( 2013 )   Kandi 's Ski Trip ( 2015 )   Kandi 's Wedding ( 2014 )   Kathy ( 2012 -- 13 )   Kell on Earth ( 2010 )   LA Shrinks ( 2013 )   Ladies of London ( 2014 -- 17 )   Life After Top Chef ( 2012 )   LOLwork ( 2012 )   Love Broker ( 2012 )   Mad Fashion ( 2011 )   Manzo 'd with Children ( 2014 -- 16 )   Married to Medicine : Houston ( 2016 )   Million Dollar Decorators ( 2011 -- 13 )   Million Dollar Listing Miami ( 2014 )   Million Dollar Listing San Francisco ( 2015 )   The Millionaire Matchmaker ( 2008 -- 15 )   Miss Advised ( 2012 )   Most Eligible Dallas ( 2011 )   Mother Funders ( 2015 )   My Fab 40th ( 2015 )   The New Atlanta ( 2013 )   Newlyweds : The First Year ( 2013 -- 16 )   Odd Mom Out ( 2015 - 17 )   Online Dating Rituals of the American Male ( 2014 )   The People 's Couch ( 2013 -- 16 )   Platinum Hit ( 2011 )   Pregnant in Heels ( 2011 -- 12 )   Princesses : Long Island ( 2013 )   Property Envy ( 2013 )   The Real Housewives of Miami ( 2011 -- 13 )   The Real Housewives of D.C. ( 2010 )   Recipe for Deception ( 2016 )   Rocco 's Dinner Party ( 2011 )   Secrets and Wives ( 2015 )   The Singles Project ( 2014 )   Start - Ups : Silicon Valley ( 2012 )   Tamra 's OC Wedding ( 2013 )   Teresa Checks In ( 2015 )   Then and Now with Andy Cohen ( 2015 )   There Goes the Motherhood ( 2016 )   Thicker Than Water ( 2013 -- 16 )   Thintervention with Jackie Warner ( 2010 )   Timber Creek Lodge ( 2016 -- 17 )   Toned Up ( 2014 )   Top Chef Duels ( 2014 )   Top Chef : Just Desserts ( 2010 -- 11 )   Tour Group ( 2016 )   Untying the Knot ( 2014 -- 16 )   Vanderpump Rules After Show ( 2015 -- 16 )   Work of Art : The Next Great Artist ( 2010 -- 11 )   Work Out New York ( 2015 -- 16 )   Yours , Mine or Ours ( 2016 )          Upcoming     Dirty John ( TBA )   Project Runway ( 2004 -- 08 , TBA )   The Fifth Beatle ( TBA )      Retrieved from `` https://en.wikipedia.org/w/index.php?title=Southern_Charm&amp;oldid=843393561 '' Categories :   2010s American television series   2014 American television series debuts   English - language television programs   Television shows set in South Carolina   American reality television series   Bravo ( U.S. ) television series   Television shows set in Charleston , South Carolina           Talk                                           Contents                   About Wikipedia                                           Add links   This page was last edited on 28 May 2018 , at 21 : 26 .         About Wikipedia                    </t>
  </si>
  <si>
    <t xml:space="preserve">where does the show southern charm take place</t>
  </si>
  <si>
    <t xml:space="preserve"> Southern Charm is an American reality television series that made its first debut on March 3 , 2014 on Bravo . The series chronicles the personal and professional lives of seven socialites who reside in Charleston , South Carolina . The show focuses on the southern culture and political history of the area , and has featured local historical places like Lewisfield Plantation and the Mikell House . </t>
  </si>
  <si>
    <t xml:space="preserve">Rick Aviles - wikipedia  Rick Aviles       Rick Aviles     Aviles as Willie Lopez in Ghost ( 1990 )       Richard Anthony Aviles October 14 , 1952 New York , New York , U.S.       March 17 , 1995 ( 1995 - 03 - 17 ) ( aged 42 ) Los Angeles , California , U.S.     Cause of death   Complications of AIDS     Occupation   Actor , Stand - up comedian     Years active   1980 - 1995     Rick Aviles ( October 14 , 1952 -- March 17 , 1995 ) was an American stand - up comedian and actor of Puerto Rican descent , best remembered for portraying the villainous Willie Lopez in the film Ghost .   Contents    1 Career   2 Death   3 Filmography   4 See also   5 References   6 External links    Career   In the 1970s and 1980s , Aviles worked as a stand - up comedian on the Greenwich Village night - club circuit in New York . In 1981 , he landed the role of Mad Dog in the film The Cannonball Run . He went on to act in fourteen more film productions . In 1987 , Aviles landed a small part as the maintenance man in the film The Secret of My Success , starring Michael J. Fox . That same year he became the host of It 's Showtime at the Apollo , and continued as host until 1991 .   In 1990 , Aviles landed his most memorable role : Willie Lopez , killer of Patrick Swayze 's Sam Wheat , in the film Ghost . The film was a smash hit at the box office and received multiple Oscar nominations . Along with Swayze , Aviles shared the screen with Demi Moore , Whoopi Goldberg and Tony Goldwyn . He also appeared in Jim Jarmusch 's Mystery Train ( 1989 ) as Will Robinson ; Francis Ford Coppola 's The Godfather Part III ( 1990 ) as Mask # 1 ; Brian De Palma 's Carlito 's Way ( 1993 ) as Quisqueya ; in Waterworld ( 1995 ) as the Gatesman , and in Joe 's Apartment ( 1996 ) as the voice of a cockroach .   Among the television series in which he appeared are Mr. &amp; Mrs. Dracula ( 1980 ) , The Day Women Got Even ( 1980 ) , The Carol Burnett Show ( 1991 ) and Stephen King 's The Stand ( 1994 ) .   Death   Having contracted HIV through heroin use , Aviles died on March 17 , 1995 in Los Angeles , California , from complications of AIDS .   Filmography     Film     Year   Film   Role   Notes     1981   The Cannonball Run   Mad Dog       1984   Billions for Boris   Hector         Street Smart   Solo       The Secret of My Success   Maintenance man         Mondo New York   Comic in park       Spike of Bensonhurst   Bandana   Alternative titles : The Mafia Kid or Throwback !     1989   Mystery Train   Will Robinson   Segment : `` Lost in Space ''     Identity Crisis   El Toro         Ghost   Willie Lopez       The Godfather Part III   Mask # 1       Green Card   Vincent       1993   The Saint of Fort Washington   Rosario       Carlito 's Way   Quisqueya       1995   Waterworld   Gatesman         Joe 's Apartment   Cockroach   Voice only     Television     Year   Title   Role   Notes     1980   Mr. and Mrs. Dracula   Mario   Unknown episodes     The Day the Women Got Even   Pancho Diaz       1989   No Place Like Home   J.J.       1991   Monsters     1 episode     The Carol Burnett Show   Skit characters   Unknown episodes     1993   Moon Over Miami   Frankie the Rat   1 episode       The Stand   Rat man   Miniseries     See also    Puerto Rico portal   Biography portal   film portal   comedy portal     List of Puerto Ricans   List of Puerto Ricans of African descent   African immigration to Puerto Rico    References    ^ Jump up to : New York Times ; Movies and T.V.   Jump up ^ Tucker , Hannah ( 2006 - 06 - 09 ) . `` 25 years of AIDS in Hollywood -- We remember the lost stars of movies , TV and art '' . Entertainment Weekly . p. 2 . Retrieved 2006 - 07 - 29 .   Jump up ^ http://www.inbaseline.com/person.aspx?person_id=140929    External links    Rick Aviles on IMDb   Rick Aviles at NNDB.com            BNF : cb141515894 ( data )   ISNI : 0000 0000 4127 6071   LCCN : no2002033273   VIAF : 46969886      Retrieved from `` https://en.wikipedia.org/w/index.php?title=Rick_Aviles&amp;oldid=841738159 '' Categories :   1952 births   1995 deaths   Male actors from New York City   AIDS - related deaths in California   People from Manhattan   American people of Puerto Rican descent   20th - century American male actors   Hidden categories :   Wikipedia indefinitely semi-protected pages   Pages to import images to Wikidata   Articles with hCards   Wikipedia articles with BNF identifiers   Wikipedia articles with ISNI identifiers   Wikipedia articles with LCCN identifiers   Wikipedia articles with VIAF identifiers           Talk                           View source                 Contents                   About Wikipedia                                           Asturianu   Deutsch   Español   Français   Հայերեն   Italiano   Kiswahili   Magyar   Plattdüütsch   Português   Русский  4 more  Edit links   This page was last edited on 17 May 2018 , at 18 : 44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</si>
  <si>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willie lopez in the movie ghost</t>
  </si>
  <si>
    <t xml:space="preserve"> Rick Aviles ( October 14 , 1952 -- March 17 , 1995 ) was an American stand - up comedian and actor of Puerto Rican descent , best remembered for portraying the villainous Willie Lopez in the film Ghost . </t>
  </si>
  <si>
    <t xml:space="preserve">Angela Martin - wikipedia  Angela Martin  Jump to : navigation , search      This article relies too much on references to primary sources . Please improve this article by adding secondary or tertiary sources . ( June 2011 ) ( Learn how and when to remove this template message )       Angela Martin     The Office character     Angela Kinsey as Angela Martin .     First appearance   `` Pilot '' ( 2005 )     Last appearance   `` Finale '' ( 2013 )     Created by   Greg Daniels     Portrayed by   Angela Kinsey     Information     Occupation   Senior Accountant , Dunder Mifflin , Scranton     Family   Rachael Martin ( sister , Rachael Harris )     Spouse ( s )   Dwight Schrute ( 2008 , 2014 -- ) Robert Lipton ( 2011 -- 13 )     Children   Philip Schrute     Nationality   American     Angela Noelle Schrute ( née Martin ; formerly Lipton ) is a fictional character from the US television series The Office played by American actress Angela Kinsey . She is an original character , and has no equivalent in the original British show , The Office .     Contents  ( hide )   1 Overview   2 Biography   3 Relationships   3.1 Dwight   3.2 Pam   3.3 Andy   3.4 Phyllis   3.5 Robert Lipton   3.6 Other relationships     4 Character history   4.1 Seasons 1 -- 2   4.2 Seasons 3 -- 4   4.3 Seasons 5 -- 6   4.4 Season 7 -- 8   4.5 Season 9     5 Recurring jokes   6 Behind the scenes   7 References      Overview ( edit )   Angela Martin is the head of the accounting department at the Scranton branch of the fictitious paper distribution company Dunder Mifflin , extension 128 . Cold , condescending , judgmental and uptight , Angela is often negative and frowns upon all frivolous activity in the office , and openly expressed her disapproval of office receptionist Pam Beesly 's flirtation with coworker Jim Halpert . She also frowns upon any sort of superfluousness or inappropriateness in general . Like Dwight , Angela has little sense of humour and almost never smiles or expresses happiness , except when she is talking about her cats or is expressing derisive contempt for her co-workers . Angela is attracted to shows of power , extremely secretive with her other emotions , and vengeful when upset .   Biography ( edit )   In addition to heading the accounting department , Angela is also the former head of the Party Planning Committee and the office 's Safety Officer . She is a constant source of complaints to Human Resources , although she retracts those lodged against Dwight Schrute at the onset of their secret romance . Angela lives with several cats , adores posters of infants posed as adults , and is a vegetarian and a singer . When she makes a mistake , Angela 's first response is usually to shift the blame to someone else , along with an insult . Angela 's extreme religious homophobia makes her dislike Will &amp; Grace ( although she says it 's because it 's `` terribly loud '' ) , except for the scenes with Harry Connick , Jr . ( `` He 's so talented '' ) . She is a former child beauty pageant contestant , and says that she enjoys being judged . She tends to list colors that she finds `` whorish '' , including orange and green , that always seem to correspond to the color of clothes being worn by either Phyllis or Meredith . Angela bottles up her emotions to the point that , on occasion , she has private , emotional outbursts over relatively trivial matters . She also seems to be something of a conservative ( albeit hypocritical ) Christian . She states that the two books she would bring with her to read if stranded on a deserted island are the Bible and The Purpose Driven Life . Further , she would bring The Da Vinci Code , but only so she could burn it . She despises the mystery novel genre because , in her words , `` I hate being titillated . '' However , in a deleted scene from `` Dream Team '' , she says her new boss Charles Miner is mysterious and wants to flip to `` his last page '' . In a deleted scene from Season 3 , Angela glowingly compares Dwight to Fox News commentator Sean Hannity . She says in Prince Family Paper that her ideal of male beauty is Boris Becker .   She was mainly seen as a minor character in the first two seasons but since starting her relationship with Dwight her character has been explored numerous times and has been so further since their break - up in Fun Run . Throughout season 3 and carrying on into season 4 , Angela essentially became the second lead female of the show , after Pam Beesly .   Angela has a sister to whom she was very close but has not spoken in sixteen years over a disagreement she does not even remember , a situation that she regards with a great deal of pride . She appears unable to apologize , as further detailed in `` Product Recall '' when she can not bring herself to say sorry on behalf of the company ( saying instead `` our official position is apologetic '' ) , and in `` The Return '' when she uses a wordy , third - person monologue as a way of apologizing to Oscar for being homophobic . She did , however , say she was sorry to Kevin for being `` mean '' twice in `` The Accountants . '' She has a second sister who she is also very close with , who is her maid of honor at her wedding during the series finale .   It was revealed in `` The Return '' and confirmed in `` Happy Hour '' that her middle name is Noelle .   Angela drives a light brown first generation Ford Focus sedan , as seen in `` The Dundies '' and `` The Client '' . In the season six episode `` Niagara '' , she is seen to drive a second generation Saturn S - Series ( which Oscar 's lover Gill used to drive ) .   Angela 's petite size is a running gag of the show . Angela claims to weigh eighty - two pounds and wears a child 's size ten ( `` Women 's Appreciation '' ) . In addition , because she finds the clothes at Gap Kids to sometimes be too `` flashy '' , she occasionally shops at the American Girl store , buying items meant for `` large colonial dolls '' . Michael has twice made fun of her stature , nicknaming her `` Booster Seat '' in reference to small children having to sit on one in restaurants . He later `` roasted '' her during `` Stress Relief '' by saying he could n't see her when she was hiding behind a grain of rice . Her 5'1 '' height is sharply contrasted to 6'1 '' Dwight .   Angela ruled ( in seasons 1 - 4 ) the Party Planning Committee ( PPC ) with an iron fist . Usually when a committee member suggests an idea , Angela immediately shoots it down with a mean comment or sharp rebuke . The PPC normally consists of Angela , Pam , Phyllis , and Meredith , although Meredith was naturally not present when the committee planned her surprise birthday party . Karen became a regular member of the PPC when she was transferred to Scranton , but was expelled by Angela for her `` unsuitable '' ideas during `` A Benihana Christmas '' . Ryan joined the committee to help plan the Christmas Party , and Oscar joined it to help plan his own `` Welcome Back '' party ( `` The Return '' ) . Angela was particularly hard on Phyllis during `` Launch Party '' and was left with a huge burden when Phyllis got fed up and quit the PPC .   It is implied in the webisode series , Blackmail , that she has or had a clandestine sexual relationship with her church pastor when Creed hands out envelopes containing incriminating information on several of his peers and Meredith opens her envelope and asks `` Who 's Pastor Davis ? '' prompting Creed to switch the envelopes between Angela and Meredith . After reading the note , Angela appears to be heavily embarrassed .   In The Chump , Angela reveals that her four cats are named `` Ember , Milky Way , Diane , and Lumpy '' .   In the season eight premiere Angela is married to Robert and pregnant . She is pregnant with her first child but she has a step son with Robert . Angela wanted to name her son `` Philip '' after her cat , but Pam ( who is pregnant with her 2nd child ) wanted the name `` Philip '' after her grandfather . Angela tried browbeating Pamela into giving up the name rights -- in a deleted scene , she said Jim would n't take care of the name because `` he ca n't even get a decent haircut ! '' -- and after Pam rebuffed her , threatened to take the name first by having a C - section done ( even though she would only be six months ' pregnant at the time ) . In the end , both children are named Philip .   Relationships ( edit )   Dwight ( edit )   Dwight is the only person that Angela likes in the office . It is shown in `` E-mail Surveillance '' that Dwight and Angela have begun a romantic relationship . Although she has said she loves Dwight and cares about him , she refuses to tell anyone about their relationship , and is often made uncomfortable by Dwight 's passion for her . Their relationship is seemingly summarized in `` A.A.R.M. '' : when Dwight tells her that yelling through a megaphone expresses `` how loudly I love you '' , Angela meekly whispers `` It 's too loud . '' In `` Traveling Salesman '' Angela forgets to send an accounting folder to corporate , so Dwight drives to New York and gives the folder to them . After Dwight is told he would be fired if he did n't tell Michael why he went to New York , he keeps their relationship secret out of respect for Angela . Angela later tells Michael what happened , but still does n't reveal their relationship . In `` Fun Run '' Angela asks Dwight to feed her cat Sprinkles , who is feeling sick , but Dwight kills it , which causes Angela to break up with him . After Angela begins a relationship with Andy in Season 4 , she stops dating Dwight , but at the end of `` Goodbye Toby '' Phyllis sees Angela cheating on Andy with Dwight . Dwight ends their affair in `` The Duel '' after learning that she has been having sexual relations with Andy . In `` The Delivery '' Dwight , who wants to improve his sales by having a child , asks Angela to have his baby . The two write up a contract and plan to have a baby together , but in `` Happy Hour '' , Dwight hooks up with Pam 's friend Isabel , and tells Angela he does n't want her to have his baby . In `` The Chump '' the two call in a lawyer , and Angela refuses to release him from the contract unless he agrees to have sex with her five times . She later voids the contract after meeting Senator Robert Lipton . After she gives birth ( Jury Duty ) , Dwight realizes the baby was conceived before her marriage to Robert and makes the assumption that he , not Robert , is the father . Angela and Dwight go through a paternity test and in `` New Guys '' it is revealed that Dwight is not Philip 's father . In `` A.A.R.M. '' Dwight proposes to Angela , and she accepts . She then tells Dwight that she lied before and Dwight is Philip 's father . Angela tells him that she wanted to make sure that Dwight wanted to marry her for no other reason than for love .   Pam ( edit )   Angela generally disapproves of Pam because of `` all the people '' she has dated in the office . She even calls her the `` office mattress '' in `` Dunder Mifflin Infinity '' . Pam originally did n't invite Angela to her wedding with Roy because she did n't want anyone who 'd called her a `` hussy '' to be at her wedding , and assumes it was Angela who filed a complaint with Toby over her at - work wedding planning ( it turned out that it was Jim who did so ) . Pam is the first to find out about Dwight and Angela 's relationship in `` E-mail Surveillance '' . In `` The Injury '' , when Dwight gets a concussion , Pam notices Angela is upset and comforts her by hinting that Dwight is okay . Their relationship does warm up a little in `` Traveling Salesman '' in which they share some conversation while getting coffee ; in a deleted scene , Angela offers Pam her dominant male cat Ash , but after Pam apologetically declines , Angela 's chilly behavior returns . In `` Niagara '' , Angela 's complaints lead Pam to bluntly say Angela does not have to come to the wedding ; while Angela does arrive with everyone else , her main success there is an offer to chaperone Pam on the pre-wedding night , leading Pam to give up on going out and return to her room . In `` Costume Contest '' , Angela uses a dismissive `` blech '' term regarding Pam . Ironically , both Kinsey and Fischer are close friends in real life .   Andy ( edit )   Angela was in a relationship with Andy throughout Season 4 and carrying on into Season 5 . Initially , she dates him on the rebound after a break - up with her boyfriend of two years ( Dwight ) . Scenes imply however that she was beginning to genuinely like him more and more , such as in `` Did I Stutter '' when Dwight watches the two of them in the break room playing Mad Libs together and laughing . Despite being surprised and shocked by Andy 's sudden proposal in `` Goodbye Toby '' , she accepts , and the two are engaged until it comes to a dissolution in `` The Duel '' when Andy learns she had been having an affair with Dwight .   She 's later shown to be in a state of depression , and at times openly regrets dating both men . On `` Secretary 's Day '' in Season 6 , Andy 's new girlfriend Erin finds out about the two 's relationship , and publicly demeans Angela in the conference room . Angela has a brief conversation with Erin shortly afterward , where she expresses her humiliation and reminds Erin that she wants to forget the memories of dating him . Andy has rarely talked to Angela or expressed any opinions about her in subsequent episodes . When he quits his job to pursue his dreams of stardom near the series ' end , Angela ( informed by her own life upheavals ) talks to him about not letting pride ruin his life . While Andy assumes she is talking about how their relationship ended and says that is something he does reflect on sometimes , Angela fights through her lingering disgust that she was ever with him and finally tells him , mutedly but sincerely , that she wishes him good luck . Andy is part of Dwight 's bachelor party and attends the wedding of his old co-workers .   Phyllis ( edit )   Up until Season 5 , Angela is the head of the Party Planning Committee along with Phyllis as her assistant . Angela is patronizing and bossy towards Phyllis , who admits that Angela is hard to deal with and that the two have a severe disliking towards one another . In `` Goodbye Toby '' , Phyllis catches Angela and Dwight having sex in the back of the office ( thus cheating on her fiancé at the time ) and uses this to blackmail Angela and make her do what she wants . In `` New Leads '' , Michael gives Angela Phyllis ' leads , and Angela , in retaliation for all the aggravating tasks she had to endure while under her control , makes her do some accounting work only to shred it later . Phyllis states in `` Conflict Resolution '' that ( even though they constantly butt heads ) , they are close . By the finale , Phyllis and Angela seemed to have resolved their differences . Angela , incapacitated by a foot injury , apologizes for snapping at Phyllis , who then volunteers to carry Angela down the aisle .   Robert Lipton ( edit )   Angela meets Robert Lipton , who 's with his son , at Dwight 's hay festival . They get along well , and at the end of the day , he asks for her number . It 's later revealed that they 've started dating and also that Robert is a state senator . There are strong hints throughout the rest of the season that he 's gay , which almost everyone eventually notices . Angela remains oblivious however . In the season 7 finale , he proposes to her and they 're officially engaged ( marking her second engagement on the show ) . It was confirmed by Angela Kinsey at the NBC Press Tour that she and Robert will have gotten married over the summer . In the season 8 premiere , it is revealed that Angela and Robert are married and she is pregnant .   Other relationships ( edit )   Angela tends to be somewhat abrasive towards other office workers , often outright insulting them . In the season 3 premiere , she expresses an open homophobia and dislike for Oscar , who is outed as a homosexual . However , it appears that by `` The Return '' she has decided to overlook her problems with this , helping to plan a party for Oscar 's return from vacation . She treats her other accounting colleague , Kevin , with open disdain , although the two are very occasionally seen to show affection for each other , such as in the episode ' Branch Closing ' , in which they embrace warmly when they learn that the Scranton branch of Dunder Mifflin is to remain open , or the series 2 episode ' The Injury ' , in which they are seen smiling and joking together in the background . She has a clear disgust and annoyance with her former boss Michael Scott , often barely able to fathom his ridiculous and time - wasting antics ; although she does say she is `` thrilled '' for Michael and Holly 's relationship . In a scene during the extended version of Michael 's last episode , she refuses to mention any qualities Michael had , other than the fact that he worked in the same office as she did for nineteen years . Angela also shows concern for Stanley after he suffers a heart attack , trying to protect him from Michael 's attempts to `` help '' him . She strongly disapproves of office romances , playing a game called `` Pam - Pong '' in which she counts the number of times Jim leaves his desk to talk to Pam ( as mentioned above , Angela referred to Pam as the `` office mattress '' ) . Somewhat mirroring the relationship between Pam and Toby , throughout the first three seasons Angela is shown to have a crush on Pam 's fiancée Roy Anderson , with Roy occasionally showing interest in Angela as well , specifically when asked at one time who in the office he would have sex with besides Pam . During the fifth season , Angela developed a one - sided crush on corporate higher - up Charles Miner . She frequently tried and failed to engage in a relationship with him , often butting heads with Kelly for his affection . It 's subtly implied in an online webisode series , `` Blackmail '' , that she has or had a clandestine sexual relationship with her church pastor when Creed hands out envelopes containing incriminating information on several of his peers and Meredith opens her envelope and asks `` Who 's Pastor Davis ? '' prompting Creed to switch the envelopes between Angela and Meredith . After reading the note , Angela appears to be heavily embarrassed .   Character history ( edit )   Seasons 1 -- 2 ( edit )   Angela is established as a strict and stubborn office worker , and she is something of a perfectionist . She appears to be a prime example of an authoritarian personality . She is also in charge of the Party Planning Committee and is often at odds with Phyllis Lapin . When it is noted that red streamers are bad during Meredith Palmer 's party , she blames it on Phyllis , though it seems to be her fault . There are many deleted scenes in which Angela is interviewed , as well as other members of accounting , suggesting that the series was originally intended to take a two - perspective look at the office : one from accounting 's point of view , and one from sales .   Angela refuses to accept the `` Tight Ass '' award at the 8th Annual Dundie Awards . When she sees Kelly give Dwight ( her secret love interest ) a small kiss in the episode `` Christmas Party '' , she gets angry and throws Christmas ornaments outside the building . Though she is a constant source of complaints to Human Resources ( she and Oscar Martinez fight over her poster of babies playing instruments , which she got from Toby Flenderson for Christmas ) , she redacts those lodged against Dwight at the onset of their secret romance . It is hinted during `` Drug Testing '' that she does not take birth control , in accordance to her Christian beliefs . This revelation is to the relief of Dwight implying that they are having sex . She has a bobblehead doll made in Dwight 's likeness as a Valentine 's Day gift , and receives a key to his house in return . Angela hints that she has a crush on Pam 's fiancé Roy ( Webisodes : The Accountants , `` Someone in the Warehouse '' ) and admits that she would choose Roy over Jim if pressed on the matter ( `` The Secret '' ) .   Seasons 3 -- 4 ( edit )   Angela is disgusted at the revelation that Oscar is gay ( `` Gay Witch Hunt '' ) , and does not bother to hide it . Her attitude toward him becomes much more sympathetic after he returns to work following an extended absence ( `` The Return '' ) , and the two appear to have reconciled . She believes Oscar has the capability to cross over to dating women if he so chooses . Evidently , Angela continues to nurture a crush on Roy , complimenting him on his physique and greeting him , in the third - season episode `` Branch Closing '' . In the same episode , she spontaneously hugs Kevin upon discovering their branch will not be closed , the second moment to date , along with Kevin 's cancer scare in the season two episode `` Michael 's Birthday '' , in which she has shown anything but contempt for him .   In `` The Convention '' , she secretly follows Dwight to the office supply convention in Philadelphia under the name `` Jane Doe '' and gets a room which Jim accidentally enters , though it does not appear he saw that it was her ( exclaiming `` Dwight got a hooker ! '' ) . Angela would seem to call Dwight `` D '' outside the office , as she ( mistakenly ) does when Jim enters Dwight 's hotel room . She also persuades Dwight to supplant Michael as Regional Manager ( à la Lady Macbeth ) , but it does not succeed . She has a good first impression of Andy Bernard when he shows up on his first day with a cat screensaver . When Angela rudely shoots down an idea proposed by Karen Filippelli , the PPC defiantly splits into two groups and two parties . Angela holds the less popular one , to which only Kevin , Phyllis , and Hannah come , while ( Pam ) and Karen lead the more popular one . Eventually the two parties merge back into one and Angela returns a `` missing '' power cord for the karaoke machine . In `` Traveling Salesmen '' , it is suggested that Angela 's middle name is Noelle when she becomes giddy over her blossoming relationship with Dwight ( Kurt ) Schrute and attempts to bond with Pam , a venture that is cut short when the latter declines Angela 's offer of the `` dominant male '' in a recent litter of cats had by her favorite pet , Sprinkles .   In `` The Return '' , she is briefly moved to tears while inviting Oscar to join the PPC as an apology for her apparent disapproval of his homosexuality and is visibly saddened by the insensitivity of Michael 's proposal to celebrate Oscar 's `` Mexicanity '' by featuring Mexican lemonade ( Lemoñadé , with diacriticals added by Ryan , presumably upon Michael 's request ) and bite - sized frozen - dinner Chimichangas , though in both instances she may be displacing her grief over Dwight 's temporary resignation from the company .   In deleted scenes from Phyllis ' Wedding , Phyllis seats Angela next to Dennis , a religious vet who shares her passion for cats . The two get along well , but when Dennis asks Angela for her telephone number , Angela tells him she 's already having intimate relations with someone ( Dwight ) . Dennis , visibly both upset and disgusted , apologizes to her before leaving , saying `` Phyllis neglected to mention your promiscuity . ''   It is illustrated that Angela has a love of learning , as seen in `` Ben Franklin '' where she is the only female intently listening to the Ben Franklin impersonator , `` Diwali '' where she takes a cautious interest in learning more about Hindu religion and culture ( although she also makes ignorant comments about the religion and Indian food , specifically whining that the naan at the Diwali party is dry ) , and `` The Job '' in which she enthusiastically participates in Dwight 's lecture on soil .   Her refusal to allow Dwight to publicize their relationship prevented him from exonerating himself against suspicion of disloyalty and forced his resignation . Dwight returns to Dunder Mifflin after she clears his name while preserving the secrecy of their relationship ( she tells Michael that Dwight bailed her out , but does not correct Michael 's clueless assertion that Dwight helped her `` as a random co-worker '' ) .   The relationship between Angela and Dwight is almost of Macbeth proportions as when Dwight was fooled by Michael into believing he was going to be the new regional manager at the branch ( which Angela pushed by Dwight going behind Michael 's back ) , Dwight leaves her in charge of the women . In `` The Job '' , when Dwight is temporarily given Michael 's job as acting regional manager , Dwight immediately informs her and she seems to rekindle the idea of mastering the puppet strings over Dwight , as well as speculating happily that co-worker Kelly Kapoor will be fired .   In the episode `` Fun Run '' , Dwight and Angela 's relationship hits a snag when Dwight euthanizes Sprinkles , Angela 's old and sickly pet cat . Dwight thought Sprinkles had died after he 'd expertly administered it with a lethal dose of Benadryl , and so put the cat in the freezer to cover the smell ; however , Angela was horrified to find that Sprinkles had only died when frozen . Angela is especially bothered by this because , `` cat heaven is a beautiful place , but you do n't get there if you 're euthanized '' . In the next episode , `` Dunder Mifflin Infinity '' , Angela breaks up with Dwight because `` every time ( she looks ) into his eyes , ( she sees ) Sprinkles 's cold , lifeless body '' . In `` Launch Party '' , Angela prepares a party for the launch of the company website . On the day of the launch , Dwight attempts to woo her back by competing ( and winning ) against the website to sell more reams of paper than the other , but Angela refuses to consider it . Michael , in a bid for vengeance against a perceived slight by Ryan , orders Angela , with one hour left before the party begins , to implement his over-the - top ideas for decorations and catering . She is unable to do so partly due to not having enough time and partly due to Phyllis taking a stand against her harsher than usual criticism and refusing to help . In the meantime Andy tries to win Angela 's affection ; although initially unsuccessful ( to Dwight 's relief ) , a last - minute performance of `` Take a Chance on Me '' produces a partly suppressed smile from her . In the episode `` Money '' , Angela decides to go out with Andy after he gives her a cat as a present ( actually a stray that Dwight had tried unsuccessfully to give her as a reconciliation gift ) , giving him instructions on taking her to dinner that included `` no seafood places '' . In the following episodes , they have apparently been seeing each other , but it is implied that Angela still harbors feelings for Dwight , as Andy reports in `` Local Ad '' that she cried out `` Oh , D ! '' when he kissed her , and Dwight recognizes this as her nickname for him ( though Andy thinks it means `` Dee '' as in `` An - Dee '' ) .   In `` Job Fair '' , Angela and Dwight were the only two left in the office after the remaining members of the team took off early as a result of Michael not being in the office . For the rest of the day , the two share an awkward atmosphere which eventually thaws towards the end of the day .   In `` Goodbye , Toby '' , at Toby 's outdoor leaving party , Angela reluctantly accepts Andy 's proposal of marriage , after he asks her in front of everyone , including his own parents . At the very end of the episode , however , Phyllis is taking some of the party supplies back to the office and walks in on Angela mid-intercourse with Dwight . The episode ended on Angela and Dwight 's reaction to Phyllis ' walking in .   Seasons 5 -- 6 ( edit )   In `` Weight Loss '' , Andy continually pesters Angela with ideas for their wedding . Most of his proposals are outlandish and expensive , and Angela continues to treat him and his ideas with contempt . She pages Dwight , and they meet in the Dunder Mifflin warehouse to have sex . This seems to be a habit , but later in the episode Andy tells Angela he does n't care where they marry so long as they 're together . This moves Angela enough not to cheat on him with Dwight who is left waiting alone on this one occasion but it does n't last , as Andy continues to irritate Angela about his college friends coming to stay with them for three weeks to perform at the wedding . Angela tells Andy they 'll talk about it later and rushes to page and subsequently hook up with Dwight downstairs .   Meanwhile , Phyllis has dethroned Angela as head of the Party Planning Committee and does not hesitate to give Angela harsh orders . Angela puts up with Phyllis ' sternness because she does n't want Phyllis to tell Andy she is cheating on him .   In `` Crime Aid '' , Dwight , with advice from Phyllis , gives Angela an ultimatum -- him or Andy . Angela looks to Andy , signifying that she chooses him , although Dwight says to Phyllis that `` she ignored the ultimatum . '' Dwight then treats Phyllis coldly but forgives her after he realizes she was just trying to help .   In `` Customer Survey '' , Angela finally agrees to Andy 's renting a tent -- as long as it 's set on a site which matches Schrute Farm Bed &amp; Breakfast . Andy books the farm and Dwight gleefully agrees to plan every detail of the wedding , pointedly offering to be available to Angela day or night . Angela understands the double meaning and shows signs of being very turned on by it .   In `` Business Trip '' , it is revealed she and Andy have never been intimate . When Andy drunk dials her demanding sex , she is disgusted , even though , in the background , viewers can hear Dwight in her bed . She later demotes Andy back to `` first base '' , which for her is a kiss on the forehead .   In `` The Surplus '' , Dwight escorts Angela and Andy to Schrute Farms to plan details of the wedding . In a supposed mock ceremony , Dwight stands in for Andy as a Mennonite , German - speaking minister completes the vows . Angela begins to admit she has made a mistake and seems to reconcile with Dwight , however he announces they have actually married . She is angered at his deception and storms off . At the office , she passionately kisses Andy in front of the staff and leaves to `` take care of a legal matter '' , implying she will have the marriage annulled .   In `` Moroccan Christmas '' , Phyllis continues her torment of Angela , going as far to force Angela to discard her personal nativity scene and the Christmas tree as they do n't fit in with the theme . When she learns that she 's eating food served during Ramadan , she immediately spits it out . When Angela finally revolts because she believes Phyllis will never reveal her secret , Phyllis stuns the entire staff by revealing the Dwight - Angela affair . Angela is visibly humiliated and upset ( while Dwight is actually amused ) , and asks Andy ( who was out of the room at the announcement ) to take her home .   However , the truth is eventually revealed in `` The Duel '' , when Michael decides to take the matter into his own hands , much to the objection of the staff by telling Andy the news . Devastated , Andy confronts Angela who tries to squirm her way out of the confrontation before admitting to the affair . This only sparks a duel between Andy and Dwight which seems to arouse Angela because of two men fighting over her . But that is short - lived when Andy tells Dwight that he slept with her twice in comparison to how many times Dwight has slept with her . Initially , Angela said that she only slept with Dwight . The two men break up with Angela with Andy making preparations to cancel the wedding and Dwight throwing out the bobblehead doll purchased for him as a gift by Angela . This all happens before her eyes , and a dejected expression appears on her face .   In `` Stress Relief '' , Dwight traps all of the employees in the office , while leading them to believe that it is on fire . Everyone panics and attempts to break out . Angela goes to get her cat , Bandit , who she is revealed to keep in a drawer by her desk . She sees Oscar climbing into the ceiling , and attempts to get him to save her cat by taking it with him , but he is ignoring her . She then attempts to throw Bandit up into the ceiling to Oscar , but this results in the cat going up into one part of the ceiling , and coming down hard out of another part . She later takes part in the roast and during an interview expresses amusement over it , before she realizes she is sounding human and puts her st</t>
  </si>
  <si>
    <t xml:space="preserve">was dwight the father of angela's baby</t>
  </si>
  <si>
    <t xml:space="preserve"> Dwight is the only person that Angela likes in the office . It is shown in `` E-mail Surveillance '' that Dwight and Angela have begun a romantic relationship . Although she has said she loves Dwight and cares about him , she refuses to tell anyone about their relationship , and is often made uncomfortable by Dwight 's passion for her . Their relationship is seemingly summarized in `` A.A.R.M. '' : when Dwight tells her that yelling through a megaphone expresses `` how loudly I love you '' , Angela meekly whispers `` It 's too loud . '' In `` Traveling Salesman '' Angela forgets to send an accounting folder to corporate , so Dwight drives to New York and gives the folder to them . After Dwight is told he would be fired if he did n't tell Michael why he went to New York , he keeps their relationship secret out of respect for Angela . Angela later tells Michael what happened , but still does n't reveal their relationship . In `` Fun Run '' Angela asks Dwight to feed her cat Sprinkles , who is feeling sick , but Dwight kills it , which causes Angela to break up with him . After Angela begins a relationship with Andy in Season 4 , she stops dating Dwight , but at the end of `` Goodbye Toby '' Phyllis sees Angela cheating on Andy with Dwight . Dwight ends their affair in `` The Duel '' after learning that she has been having sexual relations with Andy . In `` The Delivery '' Dwight , who wants to improve his sales by having a child , asks Angela to have his baby . The two write up a contract and plan to have a baby together , but in `` Happy Hour '' , Dwight hooks up with Pam 's friend Isabel , and tells Angela he does n't want her to have his baby . In `` The Chump '' the two call in a lawyer , and Angela refuses to release him from the contract unless he agrees to have sex with her five times . She later voids the contract after meeting Senator Robert Lipton . After she gives birth ( Jury Duty ) , Dwight realizes the baby was conceived before her marriage to Robert and makes the assumption that he , not Robert , is the father . Angela and Dwight go through a paternity test and in `` New Guys '' it is revealed that Dwight is not Philip 's father . In `` A.A.R.M. '' Dwight proposes to Angela , and she accepts . She then tells Dwight that she lied before and Dwight is Philip 's father . Angela tells him that she wanted to make sure that Dwight wanted to marry her for no other reason than for love . </t>
  </si>
  <si>
    <r>
      <rPr>
        <sz val="11"/>
        <color rgb="FF000000"/>
        <rFont val="Calibri"/>
        <family val="0"/>
        <charset val="1"/>
      </rPr>
      <t xml:space="preserve">The White Man 's Burden - wikipedia  The White Man 's Burden  Jump to : navigation , search For the book by William Easterly , see William Easterly . `` White Man 's Burden '' redirects here . For the 1995 film , see White Man 's Burden ( film ) . The British John Bull and the American Uncle Sam bear The White Man 's Burden ( Apologies to Rudyard Kipling ) , taking the coloured peoples of the world to civilisation . ( Judge magazine , 1 April 1899 )  `` The White Man 's Burden : The United States and the Philippine Islands '' is a 1899 poem by Rudyard Kipling about the Philippine -- American War ( 1899 -- 1902 ) , which invites the United States to assume colonial control of that country . The poem was published in The New York Sun on 10 February 1899 .   Originally , Kipling wrote the poem for the Diamond Jubilee celebration of Queen Victoria 's reign ( 1837 -- 1901 ) , but it was exchanged for the poem `` Recessional '' , also by Kipling . Later , he rewrote the poem `` The White Man 's Burden '' to address the American colonization of the Philippine Islands , a Pacific Ocean archipelago conquered from Imperial Spain , in the three - month Spanish -- American War ( 1898 ) .   The poem exhorts the reader and the listener to embark upon the enterprise of empire , yet gives somber warning about the costs involved ; nonetheless , American imperialists understood the phrase The white man 's burden to justify imperialism as a noble enterprise of civilization , conceptually related to the American philosophy of Manifest Destiny .   The title and themes of `` The White Man 's Burden '' ostensibly make the poem about Eurocentric racism and about the belief of the Western world that technological advancement is the way to civilise the Third World .     Contents  ( hide )   1 History   2 Poem   3 Interpretation   4 Literary responses   5 See also   6 Notes   7 References   8 External links      History ( edit )  The White Man 's Burden : civilising the illiterate savage . ( Detroit Journal , 1898 )      Wikisource has original text related to this article : Benjamin Tillman 's speech to the Senate on February 7 , 1899     The poem of `` The White Man 's Burden '' was first published in the 10 February 1899 edition of the New York Sun , a McLure 's newspaper .   Three days earlier , on 7 February 1899 , to the senate floor , Senator Benjamin Tillman had read aloud three stanzas of `` The White Man 's Burden '' in argument against ratification of the Treaty of Paris , and that the U.S should renounce claim of authority over the Philippine Islands . To that effect , Senator Tillman asked :   Why are we bent on forcing upon them a civilization not suited to them , and which only means , in their view , degradation and a loss of self - respect , which is worse than the loss of life itself ?   Four days later , on 11 February 1899 , the U.S. Congress ratified the `` Treaty of Peace between the United States of America and the Kingdom of Spain '' ( Treaty of Paris , 1898 ) , which established American jurisdiction upon the archipelago of the Philippine Islands , in the Pacific Ocean , near the Asian mainland .   Kipling included his poem in his 1903 collection The Five Nations .   Poem ( edit )   Take up the White Man 's burden --   Send forth the best ye breed --   Go bind your sons to exile   To serve your captives ' need ;   To wait in heavy harness ,   On fluttered folk and wild --   Your new - caught , sullen peoples ,   Half - devil and half - child .   Take up the White Man 's burden --   In patience to abide ,   To veil the threat of terror   And check the show of pride ;   By open speech and simple ,   An hundred times made plain   To seek another 's profit ,   And work another 's gain .   Take up the White Man 's burden --   The savage wars of peace --   Fill full the mouth of Famine   And bid the sickness cease ;   And when your goal is nearest   The end for others sought ,   Watch sloth and heathen Folly   Bring all your hopes to nought .   Take up the White Man 's burden --   No tawdry rule of kings ,   But toil of serf and sweeper --   The tale of common things .   The ports ye shall not enter ,   The roads ye shall not tread ,   Go mark them with your living ,   And mark them with your dead .   Take up the White Man 's burden --   And reap his old reward :   The blame of those ye better ,   The hate of those ye guard --   The cry of hosts ye humour   ( Ah , slowly ! ) toward the light : --   `` Why brought he us from bondage ,   Our loved Egyptian night ? ''   Take up the White Man 's burden --   Ye dare not stoop to less -- Nor call too loud on Freedom   To cloak your weariness ;   By all ye cry or whisper ,   By all ye leave or do ,   The silent , sullen peoples   Shall weigh your gods and you .   Take up the White Man 's burden --   Have done with childish days --   The lightly profferred laurel ,   The easy , ungrudged praise .   Comes now , to search your manhood   Through all the thankless years   Cold , edged with dear - bought wisdom ,   The judgment of your peers !   Interpretation ( edit )  The white man 's burden as advertising in the 1890s .  The imperialist interpretation of `` The White Man 's Burden '' ( 1899 ) proposes that the white man has a moral obligation to rule the non-white peoples of the Earth , whilst encouraging their economic , cultural , and social progress through colonialism .   In the later 20th century , in the context of decolonisation and the Developing World , the phrase `` the white man 's burden '' was emblematic of the `` well - intentioned '' aspects of Western colonialism and `` Eurocentrism '' . The poem 's imperialist interpretation also includes the milder , philanthropic colonialism of the missionaries :   The implication , of course , was that the Empire existed not for the benefit -- economic or strategic or otherwise -- of Britain , itself , but in order that primitive peoples , incapable of self - government , could , with British guidance , eventually become civilized ( and Christianized ) .   The poem positively represents colonialism as the moral burden of the white race , which is divinely destined to civilise the brutish and barbarous parts of the world ; to wit , the Filipino people are `` new - caught , sullen peoples , half - devil and half - child '' . Although imperialist beliefs were common currency in the culture of that time , there were opponents to Kipling 's poetic misrepresentation of imperial conquest and colonisation , notably Mark Twain ( To the Person Sitting in Darkness , 1901 ) and William James ; for them , `` The White Man 's Burden '' was plain of manner , meaning , and intent .   Kipling offered the poem to Theodore Roosevelt , then governor of New York state ( 1899 -- 1900 ) , to help him politically persuade anti-imperialist Americans to accept the annexation of the Philippine Islands to the United States . Kipling 's literary work extolling the virtues of British colonialism in India was popular in the U.S. ; thus , in September 1898 , Kipling could tell Governor Roosevelt :   Now , go in and put all the weight of your influence into hanging on , permanently , to the whole Philippines . America has gone and stuck a pick - axe into the foundations of a rotten house , and she is morally bound to build the house over , again , from the foundations , or have it fall about her ears .   In the event , the Norton Anthology of English Literature thematically aligns the poem `` The White Man 's Burden '' ( 1899 ) with Kipling 's beliefs that the British Empire ( 1583 -- 1945 ) was the Englishman 's `` Divine Burden to reign God 's Empire on Earth . '' Like much of his work , The White Man 's Burden ( 1899 ) is a poetic celebration of imperialism , which Rudyard Kipling believed eventually would benefit the colonised peoples .   Literary responses ( edit )  The cartoonist William H. Walker ridicules the colonial hypocrisy inherent to `` the white man 's burden '' . ( Life magazine )  In the late 19th century , the perceived racism that Rudyard Kipling presented and defended in the poem of The White Man 's Burden ( 1899 ) provoked contemporary parodies and critical works , such as `` The Brown Man 's Burden '' ( 1899 ) by Henry Labouchère , a British politician and `` The Black Man 's Burden : A Response to Kipling '' ( April 1899 ) by H.T. Johnson , a clergyman , and Take up the Black Man 's Burden by J. Dallas Bowser . Moreover , a Black Man 's Burden Association was organised to demonstrate to the public how the colonial mistreatment of brown people in the Philippines Islands was an extension of the Jim Crow laws ( 1863 -- 1965 ) of the legal mistreatment of black Americans at home , in the U.S.   Because Kipling meant the poem to push for the U.S. to annex the Philippines , the subsequent colonial war compelled more people to join the Anti-Imperialist League to oppose colonial annexation and warfare . In response to `` The White Man 's Burden '' , in the New York World newspaper , another poet asked `` How may We Put it Down ? '' :   We 've taken up the white man 's burden   Of ebony and brown ;   Now will you tell us , Rudyard  How we may put it down ?  Ernest Crosby wrote a poem , `` The Real White Man 's Burden '' ( 1902 ) . Another anti-imperialist response came in 1899 from Dr. Howard S. Taylor , writer of a parody , `` The Poor Man 's Burden '' , that focused on the domestic effect of imperialism on the working class .   In the Congo Free State ( 1885 -- 1908 ) , the British journalist , E.D. Morel , reported the brutality of Belgian imperialism in `` The Black Man 's Burden '' ( 1903 ) . In The Black Man 's Burden : The White Man in Africa , from the Fifteenth Century to World War I ( 1920 ) , Morel presents a critique of the relation between the White Man 's Burden and the Black Man 's Burden .   In poem `` The Black Man 's Burden ( A Reply to Rudyard Kipling ) '' ( 1920 ) , Hubert Harrison counters the points of colonial - civilization that Kipling extols in `` The White Man 's Burden '' ( 1899 ) , which result in the moral degradation of colonist and colonized .   T.S. Eliot included the poem in his 1941 collection A Choice of Kipling 's Verse .   See also ( edit )    The Gods of the Copybook Headings ( 1919 ) , by Rudyard Kipling   Industrial Revolution   1899 in literature   1899 in poetry   Colonialism   Rudyard Kipling bibliography   Orientalism   White savior    Notes ( edit )    ^ Jump up to : Herman , Shadowing the White Man 's Burden ( 2010 ) , p. 45 .   Jump up ^ Judd , Denis ( June 1997 ) . `` Diamonds are forever : Kipling 's imperialism ; poems of Rudyard Kipling '' . History Today . 47 ( 6 ) : 37 . : `` Theodore Roosevelt ... thought the verses ' rather poor poetry , but good sense from the expansionist stand - point ' . Henry Cabot Lodge told Roosevelt , in turn : ' I like it . I think it is better poetry than you say . ' ''   ^ Jump up to : Stephen Greenblatt ( ed . ) , Norton Anthology of English Literature , New York 2006 ISBN 0 - 393 - 92532 - 3 .   Jump up ^ Zwick , Jim ( December 16 , 2005 ) . Anti-Imperialism in the United States , 1898 -- 1935 . Archived from the original on September 16 , 2002 .   Jump up ^ Miller , Stuart Creighton ( 1982 ) . Benevolent Assimilation : The American Conquest of the Philippines , 1899 -- 1903 . Yale University Press . ISBN 0 - 300 - 03081 - 9 . p. 5 : `` ... imperialist editors came out in favor of retaining the entire archipelago ( using ) higher - sounding justifications related to the `` white man 's burden '' .   Jump up ^ Examples of justification for imperialism based on Kipling 's poem include the following ( originally published 1899 -- 1902 ) :   Opinion archive , International Herald Tribune ( February 4 , 1999 ) . `` In Our Pages : 100 , 75 and 50 Years Ago ; 1899 : Kipling 's Plea '' . International Herald Tribune : 6 . : `` An extraordinary sensation has been created by Mr. Rudyard Kipling 's new poem , The White Man 's Burden , just published in a New York magazine . It is regarded as the strongest argument yet published in favor of expansion . ''   Dixon , Thomas ( 1902 ) . The Leopard 's Spots -- A Romance of the White Man 's Burden 1865 -- 1900 ... Full text of a novel by Thomas Dixon , Jr. praising the Ku Klux Klan , published online by The University of North Carolina at Chapel Hill .     Jump up ^ Pimentel , Benjamin ( October 26 , 2003 ) . The Philippines ; `` Liberator '' Was Really a Colonizer ; Bush 's Revisionist History . The San Francisco Chronicle . p . D3 . : charactising the poem as a `` call to imperial conquest '' .   Jump up ^ `` Eurocentrism '' , Encyclopedia of the Developing World , Thomas M. Leonard , Taylor &amp; Francis , eds. 2006 , ISBN 0 - 415 - 97662 - 6 , p. 636 .   Jump up ^ Chisholm , Michael ( 1982 ) . Modern World Development : A Geographical Perspective . Rowman &amp; Littlefield , 1982 , ISBN 0 - 389 - 20320 - 3 , p. 12 .   Jump up ^ Mama , Amina ( 1995 ) . Beyond the Masks : Race , Gender , and Subjectivity . Routledge , 1995 , ISBN 0 - 415 - 03544 - 9 , p. 39 .   Jump up ^ Herman , Shadowing the White Man 's Burden ( 2010 ) , pp. 41 -- 42 .   Jump up ^ `` The White Man 's Burden '' . Bartleby.com . Retrieved 16 December 2017 .   Jump up ^ The Oxford Companion to English Literature 6th . Ed . ( 2000 ) p. 808 .   Jump up ^ Plamen Makariev , `` Eurocentrism '' in : Encyclopedia of the Developing World , Thomas M. Leonard , Taylor &amp; Francis , eds. 2006 , ISBN 0 - 415 - 97662 - 6 , p. 636 : `` On one hand , this is the Western ' well - intended ' asporation to dominate ' the developing world . ' The formula ' the white man 's burden ' from Rudyard Kipling 's eponymous poem is emblematic in this respect '' . C.f. Chisholm , Michael ( 1982 ) . Modern World Development : A Geographical Perspective . Rowman &amp; Littlefield , 1982 , ISBN 0 - 389 - 20320 - 3 , p. 12 : `` This Eurocentric view of the world assumed that , but for the ' improvements ' wrought by Europeans in Latin America , in Africa and in Asia , the manifest poverty of their peoples would be even worse . '' ; Rieder , John . Colonialism and the Emergence of Science Fiction 2008 . Wesleyan University Press , Middleton , Conn. , p. 30 : `` The protonarrative of progress operates equally in the ideology of the ' white man 's burden ' -- the belief that non-whites are childlike innocents in need of white men 's protection -- and the assumptions that undergird Victorian anthropology . From the most legitimate scientific endeavor to the most debased and transparent prejudices runs the common assumption that the relation of the colonizing socieities to the colonized ones is that of the developed , modern present to its own undeveloped , primitive past . ''   Jump up ^ David Cody , `` The growth of the British Empire '' , VictorianWeb , ( Paragraph 4 )   Jump up ^ John V. Denson ( 1999 ) . The Costs of War : America 's Pyrrhic Victories . Transaction Publishers . pp. 405 -- 406 . ISBN 978 - 0 - 7658 - 0487 - 7 ( note ff. 28 &amp; 33 ) .   Jump up ^ Wolpert , Stanley ( 2006 )   Jump up ^ Brantlinger , Patrick ( 2007 ) `` Kipling 's ' The White Man 's Burden ' and its Afterlives '' English Literature in Transition 1880 -- 1920 , 50.2 , pp. 172 -- 191   Jump up ^ Kipling , Rudyard ( 1990 ) The Letters of Rudyard Kipling , Thomas Pinney , Editor . London , Macmillan , Vol II , p. 350 .   Jump up ^ What Will Happen In Afghanistan ? `` . United Press International . 26 September 2001 .   Jump up ^ Langer , William ( 1935 ) . A Critique of Imperialism . New York : Council on Foreign Relations , Inc. p. 6 .   Jump up ^ Demkin , Stephen ( 1996 ) . Manifest destiny -- Lecture notes . USA : Delaware County Community College .   Jump up ^ Labouchère , Henry ( 1899 ) . `` The Brown Man 's Burden '' an anti-imperialist parody of Kipling 's white - burden poem .   ^ Jump up to : `` '' The Black Man 's Burden `` : A Response to Kipling '' . History Matters . American Social History Productions . Retrieved April 12 , 2016 .   Jump up ^ Brantlinger , Patrick . Taming Cannibals : Race and the Victorians . Cornell University Press , 2011 . p215   Jump up ^ Akbar , M.J. ( June 16 , 2003 ) . `` How May We Put it Down ? '' . YaleGlobal Online .   Jump up ^ Crosby , Ernest ( 1902 ) . The Real White Man 's Burden . Funk and Wagnalls Company . pp. 32 -- 35 . Published online by History Matters , American Social History Project , CUNY and George Mason University .   Jump up ^ Taylor , Howard S . `` '' The Poor Man 's Burden '' ( Excerpt ) `` . HERB : Resources for Teachers . Retrieved December 19 , 2017 .   Jump up ^ Painter , Nell Irvin ( 2008 ) . `` Chapter 5 : The White Man 's Burden '' . Standing at Armageddon : A Grassroots History of the Progressive Era . New York : W.W. Norton &amp; Company . ISBN 978 - 0 - 393 - 33192 - 9 .   Jump up ^ `` '' The Black Man 's Burden `` '' . Fordham.edu . Retrieved 16 December 2017 .   Jump up ^ `` E.D. Morel , The Black Man 's Burden ( 1920 ) '' . wadsworth.com . Retrieved 16 December 2017 .   Jump up ^ Morel , Edmund ( 1903 ) . The Black Man 's Burden . Fordham University .   ^ Jump up to : `` The Black Man 's Burden ( A Reply to Rudyard Kipling ) '' . Expo98.msu.edu . Retrieved 16 December 2017 .    References ( edit )    A Companion to Victorian Poetry , Alison Chapman ; Blackwell , Oxford , 2002 .   Chisholm , Michael ( 1982 ) . Modern World Development : A Geographical Perspective . Rowman &amp; Littlefield , 1982 , ISBN 0 - 389 - 20320 - 3 .   Cody , David . The growth of the British Empire . The Victorian Web , University Scholars Program , National University of Singapore , November 2000 .   Crosby , Ernest ( 1902 ) . The Real White Man 's Burden . Funk and Wagnalls Company , 32 -- 35 .   Dixon , Thomas ( 1902 ) . The Leopard 's Spots -- A Romance of the White Man 's Burden 1865 -- 1900 .   Encyclopedia of India . Ed . Stanley Wolpert . Vol. 3 . Detroit : charles Scribner 's Sons , 2006 , p. 35 -- 36 . 4 vols .   `` Eurocentrism '' . In Encyclopedia of the Developing World . Ed . Thomas M. Leonard , Taylor &amp; Francis , 2006 , ISBN 0 - 415 - 97662 - 6 .   Greenblatt , Stephen ( ed . ) . Norton Anthology of English Literature , New York 2006 ISBN 0 - 393 - 92532 - 3   Kipling . Fordham University . Full text of the poem .   Labouchère , Henry ( 1899 ) . `` The Brown Man 's Burden '' .   Mama , Amina ( 1995 ) . Beyond the Masks : Race , Gender , and Subjectivity . Routledge , 1995 , ISBN 0 - 415 - 03544 - 9 .   Miller , Stuart Creighton ( 1982 ) . Benevolent Assimilation : The American Conquest of the Philippines , 1899 -- 1903 . Yale University Press . ISBN 0 - 300 - 03081 - 9 .   Murphy , Gretchen ( 2010 ) . Shadowing the White Man 's Burden : U.S. Imperialism and the Problem of the Color Line . NYU Press . ISBN 978 - 0 - 8147 - 9619 - 1   Pimentel , Benjamin ( October 26 , 2003 ) . `` The Philippines ; `` Liberator '' Was Really a Colonizer ; Bush 's revisionist history `` . The San Francisco Chronicle : D3 .   Sailer , Steve ( 2001 ) . `` What Will Happen In Afghanistan ? '' . United Press International , 26 September 2001 .   `` The White Man 's Burden . '' McClure 's Magazine 12 ( Feb. 1899 ) .   The Shining . Jack Nicholson 's character Jack , uses the phrase to refer to whiskey .    External links ( edit )  Find more about `` The White Man 's Burden '' at Wikipedia 's sister projects   Media from Wikimedia Commons   Texts from Wikisource   Data from Wikidata     The text of the poem at Fordham University   The White Man 's Burden public domain audiobook at LibriVox              White people       Caucasian race   European peoples   West Asian peoples   Central Asian peoples   North African peoples     Bold refers to countries and territories in which White / European people are the majority group       Worldwide diaspora     Africa   Algeria   Angola   Botswana   Democratic Republic of the Congo   Kenya   Morocco   Namibia   Saint Helena   South Africa   Tunisia   Zambia   Zimbabwe     Asia   Pakistan     United States   Canada   Bermuda   Bahamas   Barbados   Cayman Islands   Jamaica   Suriname   Trinidad and Tobago   Latin America   Argentina   Bolivia   Brazil   Colombia   Costa Rica   Cuba   Dominican Republic   Ecuador   El Salvador   Guatemala   Haiti   Honduras   Mexico   Nicaragua   Peru   Puerto Rico   Uruguay   Venezuela     Oceania   Australia   New Caledonia   New Zealand         Historical concepts     Apartheid   Aryan   First white child   Honorary whites   Play the white man   Racial whitening   Branqueamento / Blanqueamiento     White Australia policy   The White Man 's Burden   White gods       Sociological phenomena and theories     Acting white ( Passing as white )   Angry white male   Missing white woman syndrome   Skin whitening   White flight   South African farm attacks     White fragility   White guilt   White privilege   Whiteness studies   Whitewashed film roles   White savior       White American caricatures and stereotypes     Poor Whites   Redlegs   Rednecks   Mountain whites         Identity politics in the United States     US definitions of whiteness   One - drop rule     Alt - right   Christian Identity   Non-Hispanic whites   White Anglo - Saxon Protestant   Old Stock Americans   White ethnic   White Hispanic   White nationalism   White pride   White separatism   White supremacy       Scientific racism     Human skin color   Color terminology for race   Alpine   Armenoid   Dinaric   East Baltic   Irano - Afghan   Mediterranean         Commons                 Rudyard Kipling     Novels     The Light that Failed ( 1891 )   Captains Courageous ( 1896 )   Kim ( 1901 )       Collections     Plain Tales from the Hills ( 1888 )   Soldiers Three ( 1888 )   The Story of the Gadsbys ( 1888 )   In Black and White ( 1888 )   The Phantom ' Rickshaw and other Eerie Tales ( 1888 )   Under the Deodars ( 1888 )   Wee Willie Winkie and Other Child Stories ( 1888 )   From Sea to Sea and Other Sketches , Letters of Travel ( 1889 )   Barrack - Room Ballads ( 1892 , poetry )   Many Inventions ( 1893 )   The Jungle Book ( 1894 )   `` Mowgli 's Brothers ''   `` Kaa 's Hunting ''   `` Tiger ! Tiger ! ''   `` Rikki - Tikki - Tavi ''     The Second Jungle Book ( 1895 )   `` Letting in the Jungle ''   `` Red Dog ''     All the Mowgli Stories ( c. 1895 )   The Seven Seas ( 1896 , poetry )   The Day 's Work ( 1898 )   Stalky &amp; Co. ( 1899 )   Just So Stories ( 1902 )   The Five Nations ( 1903 , poetry )   Puck of Pook 's Hill ( 1906 )   Rewards and Fairies ( 1910 )   The Fringes of the Fleet ( 1915 , non-fiction )   Debits and Credits ( 1926 )   Limits and Renewals ( 1932 )   Rudyard Kipling 's Verse : Definitive Edition ( 1940 )   A Choice of Kipling 's Verse ( by T.S. Eliot , 1941 )       Poems     `` The Absent - Minded Beggar ''   `` The Ballad of the `` Clampherdown '' ''   `` The Ballad of East and West ''   `` The Beginnings ''   `` The Bell Buoy ''   `` The Betrothed ''   `` Big Steamers ''   `` Boots ''   `` Cold Iron ''   `` Dane - geld ''   `` Danny Deever ''   `` A Death - Bed ''   `` The Female of the Species ''   `` Fuzzy - Wuzzy ''   `` Gentleman ranker ''   `` The Gods of the Copybook Headings ''   `` Gunga Din ''   `` Hymn Before Action ''   `` If -- ''   `` In the Neolithic Age ''   `` The King 's Pilgrimage ''   `` The Last of the Light Brigade ''   `` The Lowestoft Boat ''   `` Mandalay ''   `` The Mary Gloster ''   `` McAndrew 's Hymn ''   `` My Boy Jack ''   `` Recessional ''   `` A Song in Storm ''   `` The Sons of Martha ''   `` Submarines ''   `` The Sweepers ''   `` Tommy ''   `` Ubique ''   `` The White Man 's Burden ''   `` The Widow at Windsor ''       Short stories     ``. 007 ''   `` The Arrest of Lieutenant Golightly ''   `` Baa Baa , Black Sheep ''   `` Bread upon the Waters ''   `` The Broken Link Handicap ''   `` The Butterfly that Stamped ''   `` Consequences ''   `` The Conversion of Aurelian McGoggin ''   `` Cupid 's Arrows ''   `` The Devil and the Deep Sea ''   `` The Drums of the Fore and Aft ''   `` Fairy - Kist ''   `` False Dawn ''   `` A Germ - Destroyer ''   `` His Chance in Life ''   `` His Wedded Wife ''   `` In the House of Suddhoo ''   `` Kidnapped ''   `` Learoyd , Mulvaney and Ortheris ''   `` Lispeth ''   `` The Man Who Would Be King ''   `` A Matter of Fact ''   `` Miss Youghal 's Sais ''   `` The Mother Hive ''   `` Ortheris ''   `` The Other Man ''   `` The Rescue of Pluffles ''   `` The Ship that Found Herself ''   `` The Sing - Song of Old Man Kangaroo ''   `` The Taking of Lungtungpen ''   `` Three and -- an Extra ''   `` The Three Musketeers ''   `` Thrown Away ''   `` Toomai of the Elephants ''   `` Watches of the Night ''   `` Wireless ''   `` Yoked with an Unbeliever ''       Related     Bibliography   Bateman 's ( house )   Indian Railway Library   Ritual of the Calling of an Engineer   Iron Ring     Law of the jungle   Aerial Board of Control   My Boy Jack ( 1997 play )   Rudyard Kipling : A Remembrance Tale ( 2006 documentary )   My Boy Jack ( 2007 film )       Family     Elsie Bambridge ( daughter )   John Kipling ( son )   John Lockwood Kipling ( father )   MacDonald sisters ( mother 's family )   Stanley Baldwin ( cousin )   Georgiana Burne - Jones ( aunt )   Edward Burne - Jones ( uncle )   Philip Burne - Jones ( cousin )   Edward Poynter ( uncle )   Alfred Baldwin ( uncle )      Retrieved from `` https://en.wikipedia.org/w/index.php?title=The_White_Man%27s_Burden&amp;oldid=821830642 '' Categories :   1899 in international relations   1899 poems   Anti-black racism   Anti-Filipino sentiment   Anti-indigenous racism   British colonisation in Africa   Eurocentrism   History of the Philippines ( 1898 -- 1946 )   Imperialism   Philippine -- American War   Poetry by Rudyard Kipling   Racism in the United Kingdom   White supremacy   Works about New Imperialism   Works about white people   Works originally published in American newspapers   Works originally published in McClure 's   Hidden categories :   Use British English from July 2011   Articles with LibriVox links           Talk                                           Contents                   About Wikipedia                                                 Cymraeg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മലയാളം   Nederlands   Norsk   Norsk nynorsk   Polski   Português   Русский   Suomi   Svenska   Українська   </t>
    </r>
    <r>
      <rPr>
        <sz val="11"/>
        <color rgb="FF000000"/>
        <rFont val="Noto Sans CJK SC"/>
        <family val="2"/>
      </rPr>
      <t xml:space="preserve">中文   </t>
    </r>
    <r>
      <rPr>
        <sz val="11"/>
        <color rgb="FF000000"/>
        <rFont val="Calibri"/>
        <family val="0"/>
        <charset val="1"/>
      </rPr>
      <t xml:space="preserve">Edit links   This page was last edited on 22 January 2018 , at 21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</si>
  <si>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the white man's burden published</t>
  </si>
  <si>
    <t xml:space="preserve"> `` The White Man 's Burden : The United States and the Philippine Islands '' is a 1899 poem by Rudyard Kipling about the Philippine -- American War ( 1899 -- 1902 ) , which invites the United States to assume colonial control of that country . The poem was published in The New York Sun on 10 February 1899 . </t>
  </si>
  <si>
    <t xml:space="preserve">Merseyside derby - wikipedia  Merseyside derby  Jump to : navigation , search      This article needs additional citations for verification . Please help improve this article by adding citations to reliable sources . Unsourced material may be challenged and removed . ( September 2011 ) ( Learn how and when to remove this template message )     Merseyside derby   Merseyside derby , 25 March 2006     Other names   The friendly derby     Locale   Liverpool     Teams   Everton Liverpool     First meeting   13 October 1894 1894 -- 95 First Division Everton 3 -- 0 Liverpool     Latest meeting   7 April 2018 Premier League Everton 0 -- 0 Liverpool     Stadiums   Anfield ( Liverpool ) Goodison Park ( Everton )     Statistics     Meetings total   231i     Most wins   Liverpool ( 92 )     Most player appearances   Neville Southall ( 41 )     Top scorer   Ian Rush ( 25 )     All - time series   Everton : 66 Drawn : 73 Liverpool : 92     Largest victory   Liverpool 6 -- 0 Everton ( 1935 )     The Merseyside derby is the name given to football matches between Everton and Liverpool , two major clubs from Liverpool , Merseyside , England . It is the longest running top - flight derby in England , having been played continuously since the 1962 -- 63 season . Part of the rivalry is due to the proximity of the two clubs , whose home grounds are within eyesight of each other across Stanley Park , Everton at Goodison Park and Liverpool at Anfield .   Traditionally , the Merseyside derby was referred to as the `` friendly derby '' because of the large number of families with both Liverpool and Everton supporters and was one of the few that did not enforce total fan segregation . The 1984 Football League Cup Final at Wembley saw almost all sections of the ground mixed and combined chants of `` Merseyside , Merseyside '' and `` Are you watching Manchester ? '' Since the mid-1980s , however , the rivalry has intensified on and off the field , and since the inception of the Premier League has had more red cards than any other game .     Contents  ( hide )   1 History   2 Friendly derby   2.1 Modern - day derbies   2.2 Tranmere Rovers     3 Win - loss totals   4 Records   4.1 All time goal scorers   4.2 All time appearances   4.3 Clean sheets   4.4 Top 10 attendances for League derby games   4.5 Decade average attendances for derby games   4.6 Games on neutral ground   4.7 Penalties     5 Crossing the park   5.1 Scored for both sides in a derby   5.2 Boyhood allegiances     6 Doing the Double   7 Full list of results   8 External links   9 References      History ( edit )   Everton F.C. were founded in 1878 and from 1884 played their home matches at Anfield , which was owned by club chairman John Houlding . Several board members of Everton were members of the Liberal Party who were associated with the National Temperance Federation whilst Houlding was a Conservative Party member and a brewer whose business interests were diametrically opposed to the temperance movement . Politics and disputes over money meant that Houlding was increasingly at odds with other members of the Everton board . The result was that in 1892 the Everton directors vacated Anfield and purchased a new ground at Goodison Park on the other side of Stanley Park . Houlding responded by founding a new club to use Anfield : Liverpool .   The professional clubs of the 1890s attracted much interest among the public , on and off the field . The 1867 Reform Act had given what would become football attending masses the opportunity to vote in the local and national elections . Everton and Liverpool attendances would reach around 10 -- 15,000 in a local authority ward with a population of 23,000 . Local politicians saw involvement in the two football clubs as an opportunity to gain media exposure to the local electorate .   At Everton board level , the main friction that emerged was that between the retention of an autocratic ownership structure and the creation of a more democratic one which closely mapped the sociopolitical divide .   Religion is sometimes put forward as a reason for the split , with Liverpool founder Houlding a prominent Orangeman and Everton 's new chairman George Mahon a rival Liberal Home Rule - advocating MP . At the time of the split , however , James Clement Baxter was the only Catholic among the Everton committee members ; the rest were Protestant .   Friendly derby ( edit )   There are a number of reasons for the `` friendly derby '' tag . Firstly the clubs are situated in the north of the city and very close to each other ( 400m ) , with only Stanley Park separating the two . Everton actually played at Anfield , now Liverpool 's ground , before a rent dispute with the ground owners saw Everton relocate to Goodison Park and the formation of Liverpool F.C. From 1902 to 1932 the two clubs even shared the same matchday programme . Today there are no evident geographical , political , social or religious divides as in other derbies , although for many years a sectarian divide did exist within the city . It is unclear how ( if at all ) this influenced the support bases of the two clubs and more recent research has indicated that it was more likely to have been a political allegiance that influenced support . During the 1950s and 1960s Everton became known as the Catholic club mainly as a result of successful Irish players Tommy Eglington , Peter Farrell and Jimmy O'Neill as well as manager Johnny Carey . This in turn caused Liverpool to be thought of as Protestant club , not signing an Irish Catholic until Ronnie Whelan in 1979 . However , it should be noted that this notional divide was never seen as a basis for supporting a certain side as is the case with Celtic and Rangers . In truth both teams have strong support from all denominations as well as many fans from Presbyterian North Wales , Northern Ireland and Republic of Ireland . Most importantly , the actual clubs themselves did not act to strengthen sectarian divides and in fact both clubs stem from a Methodist origin .   Unlike other local derbies ( such as the Bristol , Birmingham and Stoke derbies , where the clubs are separated by long distances across their towns ) , in Liverpool violence between Evertonians and Liverpudlians is a rarity ; however , in the fallout from the Heysel Stadium disaster , fan relationships became strained , with Everton fans blaming Liverpool hooligans for their subsequent ban from European club competitions . However , relations improved after the Hillsborough disaster when both sets of fans rallied together , with Evertonians even joining in on the boycott of The Sun while Everton and Liverpool scarves were intertwined stretching across Stanley Park between Anfield and Goodison Park . Recently , after the murder of 11 - year - old Evertonian Rhys Jones in a gun crime incident in 2007 , Liverpool Football Club invited the victim 's parents and older brother to Anfield for a Champions League match . The Z - Cars theme tune `` Johnny Todd '' , the song to which Everton traditionally run out , was played for the first time ever at Anfield while the victim 's family stood on the pitch wearing Everton shirts and scarves . A standing ovation was given before `` You 'll Never Walk Alone '' was played . Upon the complete vindication of Liverpool fans at the Hillsborough disaster in August 2012 Everton entertained Newcastle United at Goodison Park . The sides were lead out by two children wearing Everton and Liverpool shirts with the number 9 and 6 on the back . An announcer read out the names of all the 96 victims while `` He Ai n't Heavy , He 's My Brother '' by The Hollies was played to a standing ovation .   The city of Liverpool is statistically the most successful football city in England with Everton and Liverpool winning a combined 27 league titles , and there has never been a season without one of either Everton or Liverpool competing in the top flight . Both clubs have rich histories , with Everton being one of the 12 founder members of the Football League . Everton have only been relegated twice and have competed in over 100 seasons of top - flight football , more than any other English club . To date , Everton have won nine League Championships , five FA Cups and one European Cup Winners Cup . Thus , they have the only UEFA trophy that Liverpool never won . Liverpool have won the European Cup 5 times , more than any other English club , have eighteen top - flight titles , have the FA Cup on 7 occasions , the Football League Cup a record 8 times , and three UEFA Cups .   Since 1892 , the clubs have appeared almost every year in the Liverpool Senior Cup , although Liverpool , Everton and Tranmere Rovers only field reserve sides against the likes of Prescot Cables , Southport and Marine . Everton hold 45 titles while Liverpool have won 39 .   Everton and Liverpool also have affiliated women 's teams playing in the FA WSL . Most recently in 2013 , Liverpool Ladies won the FA WSL league and subsequently qualified for European competition for the next season .   Modern - day derbies ( edit )   During the 1960s , Liverpool and Everton were regular winners of domestic trophies , but while Liverpool went from strength to strength in the 1970s and 1980s , Everton went through a relatively barren spell after their 1970 title triumph and did not win a major trophy for the next 14 years .   Everton , however , started to emerge as a serious threat to Liverpool 's dominance of the domestic scene following the appointment of Howard Kendall as manager at the start of the 1981 -- 82 season . The first Merseyside derby that Kendall oversaw was at Anfield on 7 November , when his side lost 3 -- 1 to Bob Paisley 's . This saw Liverpool standing seventh in the league and Everton 13th . An identical scoreline followed in the return game at Goodison Park in late March , by which time Liverpool had overcome a dismal start to the season to muscle in on a title race which they eventually won , while Everton were still mid-table .  Historical league game outcomes from the Merseyside derby until 2008 . Everton win -- blue , Liverpool win -- red , Draw -- yellow  In 1982 -- 83 , the final season of Bob Paisley 's management before he retired to make way for Joe Fagan , Liverpool were champions once again with Everton finishing mid-table , and the most notable of the two derbies occurred in early November when Liverpool triumphed 0 -- 5 at Goodison Park . The return match at Anfield in mid-March brought a goalless draw .   1983 -- 84 was the season when Everton ( who won the FA Cup at the end of the campaign ) really started to emerge as a serious threat to Liverpool . Though Liverpool won the league title and Everton still could n't even make the top five , Liverpool needed a replay to see off Everton 1 -- 0 in the League Cup final at Wembley . The Anfield derby in early November saw Liverpool triumph 3 -- 0 , while the clash at Goodison Park four months later ended in a 1 -- 1 draw .   The 1984 -- 85 season began with a Merseyside derby in the FA Charity Shield at Wembley , when league champions Liverpool faced FA Cup winners Everton in a game which Everton won 1 -- 0 due to an own goal by Bruce Grobbelaar . The first league clash came on 20 October 1984 , when a 0 -- 1 win for Everton at Anfield saw Howard Kendall 's team occupy fourth place in the league and show signs of challenging for the title for the first time in his four seasons in charge , while Liverpool were a lowly 17th and just 2 points outside the relegation zone . Liverpool 's final game of the season came on 23 May when they lost 1 -- 0 to Everton ( who still had two games left to play ) at Goodison Park . Everton had been crowned champions by this stage , while Liverpool had rallied since their terrible start to the season to occupy second place .   1985 -- 86 was perhaps the most exciting season for the fans of both clubs , as Liverpool and Everton battled it out for both the league title and the FA Cup . The first Merseyside derby of the season came at Goodison Park on 21 September 1985 and was won 2 -- 3 by Liverpool , who stood second behind Manchester United while Everton occupied sixth place . Everton triumphed 0 -- 2 in the return match at Anfield five months later , by which time Everton had just taken over from Manchester United as league leaders and Liverpool were eight points behind them in second place . The climax to this exciting campaign came at Wembley Stadium when Liverpool and Everton contested the first all Merseyside FA Cup final on 10 May 1986 . An early goal by Gary Lineker suggested that Everton could gain revenge on Liverpool for beating them to the league title by defeating them in the FA Cup final , but in the second half the tables were turned as a double from Ian Rush and another goal from Craig Johnston made Liverpool only the fifth English club to complete the double .   The FA Charity Shield for 1986 was shared between Liverpool and Everton , who drew 1 -- 1 at Wembley , but the first league derby of the season between the two clubs did not happen until late November in a goalless draw at Goodison Park . Both clubs were challenging for the title at this stage alongside Arsenal ( leaders ) , Nottingham Forest and unlikely contenders Luton Town and Coventry City . The League Cup quarter final on 21 January 1987 saw Liverpool win 0 -- 1 at Goodison Park . The Anfield derby in late April saw Liverpool triumph 3 -- 1 , but it was not enough to prevent Everton from winning the title within the next couple of weeks . The 1986 -- 87 season was the last time that Everton overshadowed Liverpool until Everton 's dominance over their local rivals between 2012 and 2014 .   In the 1988 -- 89 season , Everton were Liverpool 's first opponents in a competitive game after the Hillsborough disaster on 15 April 1989 , which resulted in the deaths of 96 Liverpool fans at the FA Cup semi-final . The game between the two sides was a league fixture on 3 May which ended in a goalless draw . On 20 May , the two sides met at Wembley for the second all Merseyside FA Cup final in four seasons . The match went into extra time before Liverpool triumphed 3 -- 2 , with Ian Rush ( twice ) and John Aldridge scoring for Liverpool and both of Everton 's goals coming from Stuart McCall .  Side - by - side comparison of Everton 's and Liverpool 's final league positions beginning in 1889  By 1990 -- 91 , Everton were in something of a slump ( finishing ninth that season having started the season near the foot of the table ) , while Liverpool finished second in the league , but the campaign still brought one of the most pulsating clashes between the two clubs . Liverpool and Everton were drawn for the FA Cup fifth round at Anfield on 17 February 1991 . The match ended in a goalless draw , and the replay three days later ended in a thrilling 4 -- 4 draw at Goodison Park , in which Peter Beardsley scored twice . 1990 -- 91 was Kenny Dalglish 's last season as Liverpool manager , as he resigned two days after the 4 -- 4 draw with Everton . It was also the last season of `` replays of replays '' as penalties after extra time took over as the competition 's ultimate tie winner decider for the 1991 -- 92 season . The second replay ended with a 1 -- 0 win for Everton on 27 February , and ended the Reds double hopes .   The close season of 1991 saw Peter Beardsley move from Liverpool to Everton , followed within a year by defender Gary Ablett , causing more tension in the Merseyside derby , though the first couple of years after their transfers saw Liverpool and Everton firmly overtaken by Manchester United and the likes of Blackburn Rovers and Arsenal as the biggest challengers in English football . On 7 December 1992 , Everton defeated Liverpool 2 -- 1 at Goodison Park in a game where Peter Beardsley became only the second man in history to score for both clubs in the derby .   The 1993 -- 94 derby at Anfield saw Liverpool defeat Everton 2 -- 1 , not having much effect for a mid-table Liverpool side but increasing the risk of relegation ( a battle which was ultimately won ) for Everton . Perhaps the most notable event of this game was the winning goal by Robbie Fowler , who turned 19 the following month and was one of the most promising young players in England at the time .   The next notable city derby came on 18 October 1997 , when Everton triumphed 2 -- 0 at Goodison in a victory that ultimately saved them from relegation ( they only stayed up by having a greater goal difference than Bolton Wanderers ) and helped end Liverpool 's title bid .   The 2000 -- 01 season saw one of the most exciting derbies of the Premier League era . Liverpool , having won the first derby at Anfield , completed the double with a thrilling 2 -- 3 victory over Everton at Goodison in April , with the injury - time winner by Gary McAllister proving to be crucial at the end of the season in helping Liverpool qualify for the UEFA Champions League -- which replaced the European Cup in 1992 -- for the first time .   By the end of the 2001 -- 02 , Liverpool had finished above Everton in the league for 15 seasons in succession , but 2002 -- 03 saw Everton showing signs of eclipsing them for the first time in years . After a brilliant run of form saw Liverpool top the Premier League in October , an 11 - match winless league run followed their 2 -- 0 home win over West Ham United in early November and during that barren spell they drew 0 -- 0 at home to an Everton side who were actually above them and looking like qualifying for Europe after several seasons of persistent relegation battles . However , they were on course for their fifth - place finish when they next met Everton on 19 April and won 1 -- 2 at Goodison Park , a result which pushed their city neighbours towards seventh place and narrowly deprived them of European football .   In 2004 -- 05 , Everton finished fourth in the league and Liverpool came fifth , the first time since Everton 's 1987 title win that Liverpool had finished below them . In a season which saw Liverpool win the Champions League title , Everton gave their neighbours a reminder of how far they had progressed under the management of David Moyes with a 1 -- 0 win at Goodison Park on 11 December 2004 , though Liverpool won the return match at Anfield 2 -- 1 three months later .  In the derby in 2006 , Steven Gerrard of Liverpool and James Beattie of Everton wore the number `` 08 '' as the city had been voted European Capital of Culture for 2008  Everton had a setback and finished mid-table in 2005 -- 06 , while Liverpool 's compensation for their prolonged title wait came in the form of a narrow FA Cup final triumph . And Liverpool triumphed 3 -- 1 in both of the Merseyside derbies that season .   In 2006 -- 07 , Everton recovered to finish in the top six , while Liverpool finished in the top four , and there was an early season triumph for the blue half of Liverpool as Everton crushed Liverpool 3 -- 0 at Goodison Park in early September . They also held them to a goalless draw at Anfield in early February and helped hold them behind pace setters Manchester United and Chelsea .   Liverpool did the double over Everton in 2007 -- 08 . However , the meeting at Goodison Park was shrouded in controversy when after a coming together between Liverpool 's Steven Gerrard and Everton 's Tony Hibbert , referee Mark Clattenburg awarded Liverpool a penalty and seemed to change his mind in favour of a red card for Hibbert after Gerrard appeared to have said something to him , when most pundits felt a caution would have been sufficient . Everton dominated the game after going behind , but were denied what seemed to be two clear penalties in the closing stages of the game when Joleon Lescott was twice wrestled to the ground by Jamie Carragher at Everton corners . The victory helped secure a top - four finish and Champions League qualification for Liverpool , leaving Everton to settle for a UEFA Cup place . Referee Clattenburg was not chosen to officiate again at Goodison Park after that match until December 2013 , six years later , and in that period only officiated one Everton game , away at Aston Villa .   In the 2008 -- 09 season , Liverpool and Everton met four times , Liverpool winning the League encounter at Goodison Park 0 -- 2 while drawing the other League fixture that dealt a severe blow to their title ambitions . The FA Cup saw Everton defeat ten - man Liverpool in extra time in the replay thanks to an injury - time winner by Dan Gosling after a 1 -- 1 draw at Anfield . That season , both teams were a major force as Liverpool challenged for the title while Everton came close to qualifying for the Champions League and progressed to the 2009 FA Cup Final , only to fall to Chelsea .   When the sides met in the 2009 -- 10 season , both clubs were suffering from a disastrous start to the season . Both games followed similar patterns , with Everton enjoying the greater possession and creating more chances in the games , but it was Liverpool who scored the goals in a 0 -- 2 victory at Goodison Park and 1 -- 0 at Anfield , the latter thanks to a goal from Dirk Kuyt .   In the Goodison Park encounter on 17 October 2010 in the 2010 -- 11 season , Everton won 2 -- 0 with goals from Tim Cahill and Mikel Arteta , while the return league game at Anfield in January 2011 ended in a 2 -- 2 draw .   In the 2011 -- 12 season , Liverpool and Everton met three times , twice in the league and once in the FA Cup , with Liverpool winning all three . The first meeting took place on 1 October 2011 , with Liverpool winning 0 -- 2 in the league at Goodison Park ( goals from Andy Carroll and Luis Suárez ) against an Everton side depleted by Jack Rodwell 's early , controversial red card , which was later rescinded by The Football Association . On 13 March 2012 , Liverpool won the Anfield fixture 3 -- 0 after a hat - trick by Steven Gerrard , who became the first player to score a hat - trick in the derby since Ian Rush in 1982 . The third meeting of the season was the FA Cup semi-final at Wembley on 14 April . Everton took the lead through Nikica Jelavić 's goal in the first half . Liverpool equalised through a Luis Suárez goal midway through the second half , and Andy Carroll scored the winning goal for Liverpool in the 87th minute . However , despite Liverpool having success throughout the season against their traditional rivals , Everton finished one place higher than Liverpool at the end of the Premier League season .   Tranmere Rovers ( edit )   Matches between Everton / Liverpool and Tranmere Rovers , based in Birkenhead on the other side of the River Mersey , are also classed as Merseyside derbies , but as Tranmere have spent all of their history outside the top - flight ; competitive matches are a rarity . They have occasionally faced Everton and Liverpool in cup competitions . Their last meeting with both clubs came in the FA Cup in 2001 . Tranmere caused an upset by beating Everton 3 -- 0 in the fourth round , before losing 4 -- 2 to Liverpool in the quarter - finals .   Win - loss totals ( edit )   Statistics are correct as of 7 April 2018 .     Competition   Played   Liverpool   Draw   Everton   Liverpool goals   Everton goals     Football League Division One   146   54   44   48   203   181     Premier League   52   22   21   9   71   46     FA Cup   24   11   6   7   39   28     Football League Cup                 FA Community Shield                 Football League Super Cup       0   0   7       Total   231   92   73   66   324   260     Records ( edit )   This derby is responsible for many records across all derby matches , largely due to it being contested so many times :    The longest unbeaten derby game run in all matches is 17 , held by Liverpool 2011 to present   The longest unbeaten derby game run in home matches is held by Liverpool with Everton failing to win in the League ( plus one cup game ) for 18 games starting in 2000 and continuing .   The longest unbeaten derby game run in away matches is held by Everton with a 16 match run at Anfield between 1899 and 1920 , which included ten victories .   The longest unbroken winning run at home belongs to Liverpool with five between 1932 -- 33 and 1936 -- 37 .   The longest unbroken winning run away from home belongs to Everton , who scored seven consecutive victories at Anfield between 1908 -- 09 and 1914 -- 15 .   Recent games have been marred by sendings off , and the fixture has seen 21 red cards in the Premier League , the highest tally for any fixture ( though the 20th of these was subsequently rescinded by the FA ) . Former Liverpool captain Steven Gerrard and former Everton captain Phil Neville have both seen red twice in derby games .    The following are records just for the Merseyside derby itself :    The record home victory in a league match is 6 -- 0 recorded by Liverpool at Anfield in the 1935 -- 36 season .   The record away victory in a league match is 5 -- 0 recorded by both Everton at Anfield in the 1914 -- 15 season and by Liverpool at Goodison Park in the 1982 -- 83 season .   The highest - scoring match was in 1932 -- 33 when Liverpool won 7 -- 4 at Anfield   Neville Southall of Everton holds the record for most derby appearances .   Ian Rush of Liverpool holds the mark for the most derby goals with 25 , overtaking Dixie Dean of Everton 's long - standing record when he scored two goals in Liverpool 's 3 -- 2 win over Everton in the second all - city of Liverpool FA Cup Final in 1989 .   William C. Cuff of Everton holds the record for the most wins as a manager with 16 wins over Liverpool from 1901 to 1918 .   Tom Watson of Liverpool holds the record for the most losses as a manager with 21 defeats to Everton from 1896 to 1915 .   Record Attendance : 78,599 at Goodison Park , 18 September 1948 ( Old Division One )   Lowest Attendance : 18,000 at Anfield , 19 January 1901 ( Old Division One )    All time goal scorers ( edit )  Ian Rush , top goalscorer in the derby with 25 goals for Liverpool Statue of Dixie Dean , top league goal scorer in the derby with 19 goals for Everton  The following have scored 4 or more league goals in the Derby . This includes Premier League matches , its predecessor the Football League First Division , FA Cup , League Cup and Charity Shield . The Screen Sport Super Cup goals are also included for Rush and Sharp , although this was a competition which was not high on Liverpool or Everton 's agenda . This list is up to and including 6 January 2018 .     Nation   Player   Club ( s )   League   FA Cup   League Cup   Charity Shield   Screen Sport   Overall   Years       Ian Rush   Liverpool   13   5       5   25   1980 -- 87 , 1988 -- 96       Dixie Dean   Everton   18           19   1925 -- 37       Alex `` Sandy '' Young   Everton   9           12   1901 -- 11       Steven Gerrard   Liverpool   9           10   1998 -- 2015       Harry Chambers   Liverpool   8           8   1915 -- 28       Jimmy Settle   Everton   8           8   1899 -- 1908       Jack Parkinson   Liverpool   6           8   1903 -- 14       Peter Beardsley   Liverpool / Everton   4 / 1   2 / 0         7   1987 -- 91 ( L ) , 1991 -- 93 ( E )       Graeme Sharp   Everton             7   1980 -- 91       Jack Balmer   Liverpool   6           6   1935 -- 52       Robbie Fowler   Liverpool   6           6   1992 -- 2001 , 2006 -- 07       Bobby Parker   Everton   6           6   1913 -- 22       Gordon Hodgson   Liverpool   5           6   1925 -- 36       Tim Cahill   Everton   5           5   2004 -- 12       Kenny Dalglish   Liverpool   5           5   1977 -- 90       Fred Howe   Liverpool   5           5   1935 -- 38       Jack Taylor   Everton   5           5   1896 -- 1910       Dirk Kuyt   Liverpool   5           5   2006 -- 12       Luis Suárez   Liverpool             5   2011 -- 14       Roger Hunt   Liverpool             5   1958 -- 69       Duncan Ferguson   Everton               1994 -- 98 , 2000 -- 06       Tommy Lawton   Everton               1936 -- 39       Michael Owen   Liverpool               1997 -- 2004       Sam Raybould   Liverpool               1900 -- 07       Roy Vernon   Everton               1960 -- 65       Daniel Sturridge   Liverpool               2013 -- present     Current scorers : Liverpool 's Daniel Sturridge ( 4 ) is the leading scorer among current players . Other current players with derby goals are Liverpool 's Sadio Mané and Divock Origi with 2 goals each , plus Danny Ings , Mohamed Salah and from Everton Kevin Mirallas , Phil Jagielka , Matthew Pennington , Wayne Rooney , and Gylfi Sigurðsson all with one goal each .   Goals from `` overseas '' players : A total of 30 non-British ( Isles ) players from 19 different countries have scored in the derby ( not including own goals , which add three countries to the list ) since Liverpool 's Craig Johnston became the first such player to do so , in the 1986 Cup final ( though Bruce Grobbelaar was the first non-British Isles player to get on the derby scoresheet with his own - goal in the 1984 Charity Shield ) . Most recently Everton 's Gylfi Sigurðsson added the newest country ( Iceland ) to this list . Everton 's Tim Cahill and Liverpool 's Dirk Kuyt , who both left their respective clubs after the 2012 season , along with Luis Suárez , who left Liverpool in 2014 , are the leading `` overseas '' players with five goals each . Divock Origi and Sadio Mané are the current leading overseas scorers with two each . France leads the way with five different scorers , but Australia ( 4 ) is just behind .   More goals than years : Liverpool 's Fred Howe and Everton 's Tommy Lawton bear the curious distinctions of scoring more goals than they actually spent in years in the city of Liverpool . Howe scoring five goals in three years and Lawton four goals in three years .   Hat - tricks : The first derby hat - trick was scored by Everton 's Alex `` Sandy '' Young who scored four in the 1904 5 -- 1 win at Goodison . Other Evertonians to manage hat - ticks include Parker in 1914 and Dixie Dean twice , in 1928 and 1931 , the last Everton player to net a treble . Liverpool hat - tricks have come from Chambers ( 1922 ) , Forshaw ( 1925 ) , Barton ( 1933 ) , and Howe ( four goals in 1935 ) . Almost 50 years passed before the next derby hat - trick , scored by Ian Rush , who scored four in a 5 -- 0 win at Goodison in 1982 , and then another 30 years passed until Steven Gerrard scored a hat - trick against Everton at Anfield in a 3 -- 0 win . Curiously , of all the league hat - tricks , only two ( Young 's in 1904 and Rush 's in 1982 ) were managed at Goodison ; all the others were at Anfield .   Own goals : Sandy Brown 's famous own goal in Everton 's championship winning 1969 -- 70 season was , surprisingly , only the second own goal in the history of the fixture , the first having been scored by Balmer ( Everton ) in 1902 . Since then , eight Evertonians have been `` credited '' with an own - goal , including two in the same match at Anfield in 1972 . There have only been three Liverpool own goals . Leighton Baines 's unlucky deflection at Goodison in 2012 -- 13 is the most recent of all derby - day own - goals .   Scoring in consecutive matches : Between May and September 1986 , Ian Rush scored for Liverpool in four consecutive derbies , none of them League games ( Cup final , Charity shield and two Super Cup finals ) . Several players have scored in three consecutive games : Hardman ( E , 1905 -- 06 ) , Freeman ( E , 1909 -- 10 ) , Parkinson ( L , 1910 -- 11 ) , King ( E , 1978 -- 79 ) , Lineker ( E , 1985 -- 86 ) , Barnes ( L , 1989 -- 90 ) and Fowler ( L , 1995 -- 96 ) .   Youngest derby goal scorer : Although difficult to verify , since birthdates of early players are not known , the youngest derby goal scorer is probably Everton 's Danny Cadamarteri who scored the winner at Goodison six days after his 18th birthday , in October 1997 .   All time appearances ( edit )     Nation   Player   Club   Appearances   Years   Position       Neville Southall   Everton   41   1981 -- 98   Goalkeeper       Ian Rush   Liverpool   36   1980 -- 87 &amp; 1988 -- 96   Striker       Bruce Grobbelaar   Liverpool   34   1980 -- 94   Goalkeeper       Alan Hansen   Liverpool   33   1977 -- 90   Defender       Kevin Ratcliffe   Everton   32   1980 -- 92   Defender     Clean sheets ( edit )     Nation   Player   Club   Clean Sheets   Games   Years       Ray Clemence   Liverpool   15   27   1967 -- 81       Neville Southall   Everton   15   41   1981 -- 98       Bruce Grobbelaar   Liverpool   10   33   1980 -- 94       Gordon West   Everton   9   20   1962 -- 73      </t>
  </si>
  <si>
    <t xml:space="preserve">when did everton last beat liverpool at goodison</t>
  </si>
  <si>
    <t xml:space="preserve"> Merseyside derby   Merseyside derby , 25 March 2006     Other names   The friendly derby     Locale   Liverpool     Teams   Everton Liverpool     First meeting   13 October 1894 1894 -- 95 First Division Everton 3 -- 0 Liverpool     Latest meeting   7 April 2018 Premier League Everton 0 -- 0 Liverpool     Stadiums   Anfield ( Liverpool ) Goodison Park ( Everton )     Statistics     Meetings total   231i     Most wins   Liverpool ( 92 )     Most player appearances   Neville Southall ( 41 )     Top scorer   Ian Rush ( 25 )     All - time series   Everton : 66 Drawn : 73 Liverpool : 92     Largest victory   Liverpool 6 -- 0 Everton ( 1935 )   </t>
  </si>
  <si>
    <r>
      <rPr>
        <sz val="11"/>
        <color rgb="FF000000"/>
        <rFont val="Calibri"/>
        <family val="0"/>
        <charset val="1"/>
      </rPr>
      <t xml:space="preserve">BLEACH ( season 15 ) - wikipedia  BLEACH ( season 15 )  Jump to : navigation , search    Gotei 13 Invading Army arc     The cover of the first DVD compilation released by Aniplex of Gotei 13 Invading Army arc     Country of origin   Japan     No. of episodes   26     Release     Original network   TV Tokyo     Original release   April 12 ( 2011 - 04 - 12 ) -- October 4 , 2011 ( 2011 - 10 - 04 )     Season chronology     ← Previous Season 14 Next → Season 16     List of Bleach episodes     The fifteenth season of the Bleach anime series is known as Gotei 13 Invading Army arc ( </t>
    </r>
    <r>
      <rPr>
        <sz val="11"/>
        <color rgb="FF000000"/>
        <rFont val="Noto Sans CJK SC"/>
        <family val="2"/>
      </rPr>
      <t xml:space="preserve">護 廷 十 三 隊 侵 軍 篇 </t>
    </r>
    <r>
      <rPr>
        <sz val="11"/>
        <color rgb="FF000000"/>
        <rFont val="Calibri"/>
        <family val="0"/>
        <charset val="1"/>
      </rPr>
      <t xml:space="preserve">, Gotei Jūsan Tai Shingun Hen ) . It is directed by Noriyuki Abe , and produced by TV Tokyo , Dentsu and Studio Pierrot . The season 's twenty - six episodes are based on the Bleach manga series by Tite Kubo , but follow original storylines exclusive to the anime . In this arc , Soul Reaper Ichigo Kurosaki and his friends investigate a series of strange events in the Soul Society where numerous Soul Reapers have disappeared without a trace , with a seemingly large conspiracy at work . As this takes place , Ichigo is forced to struggle with the fading of his powers due to the previous battle between him and Sōsuke Aizen .   The season aired from April to October 2011 . Aniplex collected it in six DVD volumes between February 22 and July 25 , 2012 . The episodes of this season uses three pieces of theme music . The single opening theme is `` BLUE '' by ViViD . The first ending theme , `` Aoi Tori '' ( </t>
    </r>
    <r>
      <rPr>
        <sz val="11"/>
        <color rgb="FF000000"/>
        <rFont val="Noto Sans CJK SC"/>
        <family val="2"/>
      </rPr>
      <t xml:space="preserve">アオイトリ </t>
    </r>
    <r>
      <rPr>
        <sz val="11"/>
        <color rgb="FF000000"/>
        <rFont val="Calibri"/>
        <family val="0"/>
        <charset val="1"/>
      </rPr>
      <t xml:space="preserve">, `` Blue Bird '' ) by fumika is used from episode 317 to 329 . The second ending theme , `` Haruka Kanata '' by UNLIMITS is used from episodes 330 to 342 .   Episode list ( edit )     No .   Title   Original airdate   English airdate     317   `` Unusual Incident in Seireitei ? ! Gotei 13 Invading Army Arc ! '' `` Seireitei ni Ihen ? ! Gotei Jūsantai Shingun Hen ! '' ( </t>
    </r>
    <r>
      <rPr>
        <sz val="11"/>
        <color rgb="FF000000"/>
        <rFont val="Noto Sans CJK SC"/>
        <family val="2"/>
      </rPr>
      <t xml:space="preserve">瀞 霊 廷 に 異変 </t>
    </r>
    <r>
      <rPr>
        <sz val="11"/>
        <color rgb="FF000000"/>
        <rFont val="Calibri"/>
        <family val="0"/>
        <charset val="1"/>
      </rPr>
      <t xml:space="preserve">? ! </t>
    </r>
    <r>
      <rPr>
        <sz val="11"/>
        <color rgb="FF000000"/>
        <rFont val="Noto Sans CJK SC"/>
        <family val="2"/>
      </rPr>
      <t xml:space="preserve">護 廷 十 三 隊 侵 軍 篇 </t>
    </r>
    <r>
      <rPr>
        <sz val="11"/>
        <color rgb="FF000000"/>
        <rFont val="Calibri"/>
        <family val="0"/>
        <charset val="1"/>
      </rPr>
      <t xml:space="preserve">! )   April 12 , 2011   October 5 , 2013     After cleansing and restoring the barriers where Karakura Town was temporarily swapped with the Soul Society , Rangiku Matsumoto and Nanao Ise enter the Dangai to return home , but are confronted by something along the way . Their captains , who have lost contact with them , are worried sick with their disappearances until they suddenly return a day later . Rangiku and Nanao were gone only a few hours and came back directly , which concludes that the time in the Dangai is out of sync with the Soul Society . Mayuri Kurotsuchi conducts a survey of the area with Kenpachi Zaraki assisting as a security escort . Meanwhile , while Ichigo Kurosaki and Rukia Kuchiki go off to handle hollows , Kon leaves to investigate a spiritual disturbance and finds a green - haired girl lying asleep and covered in rags . Ichigo returns home and becomes furious with Kon , who has brought back the green - haired girl . While the survey is going on , Mayuri and Kenpachi are confronted by an intense light emerging from the walls of the Dangai . As Ichigo and Rukia return through the Dangai to the Soul Society , they are chased by the supposedly revived Kōtotsu . To save themselves , Ichigo uses his bankai and carries Rukia all the way to the Soul Society , but falls to the ground due to the gradual loss of his powers . Ichigo then encounters Tōshirō Hitsugaya and Byakuya Kuchiki , who place him under confinement . A mysterious scientist in a laboratory addresses what seems to be body doubles of Izuru Kira and Nanao .     318   `` Renji vs. Rukia ? ! Battle With Comrades ! '' `` Renji tai Rukia ? ! Nakama to no Tatakai ! '' ( </t>
    </r>
    <r>
      <rPr>
        <sz val="11"/>
        <color rgb="FF000000"/>
        <rFont val="Noto Sans CJK SC"/>
        <family val="2"/>
      </rPr>
      <t xml:space="preserve">恋 次 </t>
    </r>
    <r>
      <rPr>
        <sz val="11"/>
        <color rgb="FF000000"/>
        <rFont val="Calibri"/>
        <family val="0"/>
        <charset val="1"/>
      </rPr>
      <t xml:space="preserve">VS </t>
    </r>
    <r>
      <rPr>
        <sz val="11"/>
        <color rgb="FF000000"/>
        <rFont val="Noto Sans CJK SC"/>
        <family val="2"/>
      </rPr>
      <t xml:space="preserve">ルキア </t>
    </r>
    <r>
      <rPr>
        <sz val="11"/>
        <color rgb="FF000000"/>
        <rFont val="Calibri"/>
        <family val="0"/>
        <charset val="1"/>
      </rPr>
      <t xml:space="preserve">? ! </t>
    </r>
    <r>
      <rPr>
        <sz val="11"/>
        <color rgb="FF000000"/>
        <rFont val="Noto Sans CJK SC"/>
        <family val="2"/>
      </rPr>
      <t xml:space="preserve">仲間 と の 戦い </t>
    </r>
    <r>
      <rPr>
        <sz val="11"/>
        <color rgb="FF000000"/>
        <rFont val="Calibri"/>
        <family val="0"/>
        <charset val="1"/>
      </rPr>
      <t xml:space="preserve">! )   April 19 , 2011   October 12 , 2013     While Kon tries to keep the green - haired girl , whose name is Nozomi Kujō , a secret from Ichigo 's family . Rukia sneaks in Ichigo 's jail cell and frees him . Jūshirō Ukitake and Shunsui Kyōraku discuss about Ichigo 's possible involvement with the disappearances , since his substitute badge was found by Byakuya inside the Dangai . While Rukia explains to Ichigo there is a time gap between the human world and the Soul Society , they are then confronted by Renji Abarai and Ikkaku Madarame , who exhibit ruthless behaviors unlike themselves . Yoruichi Shihōin arrives and seals Renji and Ikkaku before escaping with Ichigo and Rukia into her hideout . She explains to them that Renji and Ikkaku were secretly replaced by reigai , artificial bodies which allows modified souls to maintain a physical form in Soul Society . The reigai , which closely imitate the features of a Soul Reaper , are being used to test out soul candies , which means someone in the twelfth division is involved . Ichigo and Rukia later sneak into the laboratory and discover that Nozomi is a fugitive from the Soul Society . The mysterious scientist along with Kira and Nanao 's reigai arrive in the human world to apprehend Nozomi , who evades capture . Kon follows her and both are eventually cornered by the scientist . However , Uryū Ishida arrives to help the two .     319   `` Ichigo 's Capture Net ! Escape From Soul Society ! '' `` Ichigo Hobakumō ! Sōru Sosaeti o Dasshutsu se yo ! '' ( </t>
    </r>
    <r>
      <rPr>
        <sz val="11"/>
        <color rgb="FF000000"/>
        <rFont val="Noto Sans CJK SC"/>
        <family val="2"/>
      </rPr>
      <t xml:space="preserve">一 護 捕縛 網 </t>
    </r>
    <r>
      <rPr>
        <sz val="11"/>
        <color rgb="FF000000"/>
        <rFont val="Calibri"/>
        <family val="0"/>
        <charset val="1"/>
      </rPr>
      <t xml:space="preserve">! </t>
    </r>
    <r>
      <rPr>
        <sz val="11"/>
        <color rgb="FF000000"/>
        <rFont val="Noto Sans CJK SC"/>
        <family val="2"/>
      </rPr>
      <t xml:space="preserve">尸 魂 界 を 脱出 せよ </t>
    </r>
    <r>
      <rPr>
        <sz val="11"/>
        <color rgb="FF000000"/>
        <rFont val="Calibri"/>
        <family val="0"/>
        <charset val="1"/>
      </rPr>
      <t xml:space="preserve">! )   April 26 , 2011   October 19 , 2013     Uryū confronts the mysterious scientist while Ichigo , Rukia , and Yoruichi plan their escape from the Soul Society , assuming that several reigai have blocked the Senkaimon , the gateway to the Dangai . Uryū is defeated by the scientist 's shikai of his zanpakutō , Raikū . Yoruichi fights the reigai to let Ichigo and Rukia escape . Kon is unable to respond , and an unconscious Nozomi is captured by Kira and Nanao 's reigai . While showing up and attempting to save Uryū , Yasutora `` Chad '' Sado is defeated when trying to buy time for Orihime Inoue to heal Uryū . Ichigo and Rukia arrive to stop the scientist , revealed to be Kagerōza Inaba , who easily deals with Ichigo in his weakening state . Just as he is about to kill Ichigo and Rukia , the other captains and lieutenants involved in the incident arrive , retrieving Nozomi and forcing Inaba and the reigai to retreat . Admitting that he is behind the reigai incident , Inaba then claims that once he has Nozomi , he will be able to conquer the Soul Society and the world of the living . Inaba escapes to the Soul Society and meets with the reigai . He tasks them with getting Nozomi back and eliminating the originals , as he deems them the Invading Army .     320   `` Gotei 13 , Gathering in the Real World ! '' `` Gotei Jūsantai , Gense ni Shūketsu ! '' ( </t>
    </r>
    <r>
      <rPr>
        <sz val="11"/>
        <color rgb="FF000000"/>
        <rFont val="Noto Sans CJK SC"/>
        <family val="2"/>
      </rPr>
      <t xml:space="preserve">護 廷 十 三 隊 、 現世 に 集結 </t>
    </r>
    <r>
      <rPr>
        <sz val="11"/>
        <color rgb="FF000000"/>
        <rFont val="Calibri"/>
        <family val="0"/>
        <charset val="1"/>
      </rPr>
      <t xml:space="preserve">! )   May 3 , 2011   October 26 , 2013     Ichigo , Kon , Orihime , Uryū and Chad are all in Kisuke Urahara 's shop looking after Nozomi . Rukia appears and tells Ichigo to join the Soul Reapers in his room to formulate a strategy on Nozomi 's protection . Orihime organizes a barbecue to cheer up Nozomi and get her to open up to the others , however she runs away . Kon , Orihime , Uryū and Chad try to find her . A very concerned Kon eventually finds her , later leaving her in the care of Rangiku , but fails to realize that Rangiku is the impostor trying to capture Nozomi . After he realizes that Nozomi was captured by Rangiku , he attempts to save her , however he can not defeat Rangiku 's reigai , and after he himself is defeated , Ichigo , Rukia , Renji and Rangiku all arrive to save Nozomi , and Rangiku 's reigai escapes . During the barbecue , Nozomi starts to eat after Kon offers her some of the barbecued food .     321   `` Showdown of Mutual Self , Ikkaku vs. Ikkaku ! '' `` Jibun Dōshi no Taiketsu , Ikkaku tai Ikkaku ! '' ( </t>
    </r>
    <r>
      <rPr>
        <sz val="11"/>
        <color rgb="FF000000"/>
        <rFont val="Noto Sans CJK SC"/>
        <family val="2"/>
      </rPr>
      <t xml:space="preserve">自分 同士 の 対決 、 一角 </t>
    </r>
    <r>
      <rPr>
        <sz val="11"/>
        <color rgb="FF000000"/>
        <rFont val="Calibri"/>
        <family val="0"/>
        <charset val="1"/>
      </rPr>
      <t xml:space="preserve">VS </t>
    </r>
    <r>
      <rPr>
        <sz val="11"/>
        <color rgb="FF000000"/>
        <rFont val="Noto Sans CJK SC"/>
        <family val="2"/>
      </rPr>
      <t xml:space="preserve">一角 </t>
    </r>
    <r>
      <rPr>
        <sz val="11"/>
        <color rgb="FF000000"/>
        <rFont val="Calibri"/>
        <family val="0"/>
        <charset val="1"/>
      </rPr>
      <t xml:space="preserve">! )   May 10 , 2011   November 2 , 2013     Ukitake and Kyōraku , suspecting some sort of foul play in the Soul Society , recall on their previous mandatory captains ' meeting , where Mayuri claims and Kenpachi agrees that Ichigo tampered with his work in the Dangai , and it has been decided by Genryūsai Shigekuni Yamamoto that Ichigo will be placed under suspicion . Unbeknownst to Ukitake and Kyōraku , both Mayuri and Kenpachi were actually the imposters . Meanwhile in Karakura Town , Ichigo finds Kon tied up in his closet , which means Nozomi has escaped again . Ichigo and his friends proceed to search for her . Kon manages to find her in a forest , though she is reluctant to return and runs away again . Elsewhere in the forest , Ikkaku , Yumichika Ayasegawa , Shūhei Hisagi and Marechiyo Ōmaeda are confronted by their respective reigai . Ōmaeda is surprised when his reigai appears to be more attractive than him . While Hisagi and Ōmaeda trick their imposters and defeat them , things do not go well for Ikkaku and Yumichika . Luckily , their reigai are fended off after Uryū arrives to join the fray . Ikkaku and Yumichika 's reigai retreat , with their respective originals badly injured and unconscious . Kira 's reigai approaches Rangiku , Rukia encounters her own reigai , and Suì - Fēng arrests Kyōraku , who has been framed by Inaba .     322   `` Clash ! Rukia vs. Rukia ! '' `` Gekitotsu ! Rukia tai Rukia ! '' ( </t>
    </r>
    <r>
      <rPr>
        <sz val="11"/>
        <color rgb="FF000000"/>
        <rFont val="Noto Sans CJK SC"/>
        <family val="2"/>
      </rPr>
      <t xml:space="preserve">激突 </t>
    </r>
    <r>
      <rPr>
        <sz val="11"/>
        <color rgb="FF000000"/>
        <rFont val="Calibri"/>
        <family val="0"/>
        <charset val="1"/>
      </rPr>
      <t xml:space="preserve">! </t>
    </r>
    <r>
      <rPr>
        <sz val="11"/>
        <color rgb="FF000000"/>
        <rFont val="Noto Sans CJK SC"/>
        <family val="2"/>
      </rPr>
      <t xml:space="preserve">ルキア </t>
    </r>
    <r>
      <rPr>
        <sz val="11"/>
        <color rgb="FF000000"/>
        <rFont val="Calibri"/>
        <family val="0"/>
        <charset val="1"/>
      </rPr>
      <t xml:space="preserve">VS </t>
    </r>
    <r>
      <rPr>
        <sz val="11"/>
        <color rgb="FF000000"/>
        <rFont val="Noto Sans CJK SC"/>
        <family val="2"/>
      </rPr>
      <t xml:space="preserve">ルキア </t>
    </r>
    <r>
      <rPr>
        <sz val="11"/>
        <color rgb="FF000000"/>
        <rFont val="Calibri"/>
        <family val="0"/>
        <charset val="1"/>
      </rPr>
      <t xml:space="preserve">! )   May 17 , 2011   November 9 , 2013     Kon continues to follow Nozomi , who claims to have some sort of uncertain destination to find . Ichigo , Orihime and Chad are seen searching for Nozomi , while Uryū is seen tending to the wounds of Ikkaku , Yumikchika , Hisagi and Ōmaeda . Rangiku , blocking the attacks of Kira 's reigai , is surprised when her zanpakutō drops to the ground , since his new and improved zanpakutō can increase the weight of whatever he strikes up to tenfold the amount . However , Rangiku , now subdued , cleverly blocks his zanpakutō with a heavy steel pole , trapping it onto the ground , allowing her to defeat him and cause him to disintegrate . Ukitake , pleading to Central 46 to release Kyōraku , is denied his request , and he later meets with Retsu Unohana , who warns him to be careful . Rukia 's reigai is soon joined with Nemu Kurotsuchi 's reigai to brawl against Rukia , but Nemu arrives and kills her reigai , which disintegrates and leaves behind a red stone , assuming this is true form of the reigai . Elsewhere , Nozomi tells Kon she must find a place with a row of shrine gates , and Kon agrees to take her to the first place he remembers . Rukia , who apparently defeats her reigai , joins Nemu and Rangiku to search for Nozomi , but Rukia is revealed to actually be the fake Rukia , who then tosses Nemu and Rangiku into the river with the real Rukia . Ukitake is slashed by Kyōraku when freeing him from imprisonment , revealing this Kyōraku to also be a reigai . The false Ukitake meets up with the false Kyōraku , as they prepare to flee .     323   `` Protect Ichigo ! Nozomi 's Determination '' `` Mamore Ichigo ! Nozomi no Ketsui '' ( </t>
    </r>
    <r>
      <rPr>
        <sz val="11"/>
        <color rgb="FF000000"/>
        <rFont val="Noto Sans CJK SC"/>
        <family val="2"/>
      </rPr>
      <t xml:space="preserve">護れ 一 護 </t>
    </r>
    <r>
      <rPr>
        <sz val="11"/>
        <color rgb="FF000000"/>
        <rFont val="Calibri"/>
        <family val="0"/>
        <charset val="1"/>
      </rPr>
      <t xml:space="preserve">! </t>
    </r>
    <r>
      <rPr>
        <sz val="11"/>
        <color rgb="FF000000"/>
        <rFont val="Noto Sans CJK SC"/>
        <family val="2"/>
      </rPr>
      <t xml:space="preserve">望実 の 決意 </t>
    </r>
    <r>
      <rPr>
        <sz val="11"/>
        <color rgb="FF000000"/>
        <rFont val="Calibri"/>
        <family val="0"/>
        <charset val="1"/>
      </rPr>
      <t xml:space="preserve">)   May 24 , 2011   November 16 , 2013     Orihime and Chad find Rukia , Nemu and Rangiku washed up on the shore of the river . As Orihime goes to heal them , Chad is attacked by Renji 's reigai . In the Soul Society , Ukitake and Kyōraku 's reigai confront Yamamoto , who claims he has known all along about their intent to kill him . Unohana meets with Isane Kotetsu and explains to her that she has gone through secret archives of the Soul Society and has determined Inaba as the perpetrator . Inaba then reveals himself and demonstrates the power of his zanpakutō as Isane attacks him . Unohana infers that he has used his research to form a zanpakutō that can move through both space and time . Inaba confirms this and then retreats . As Chad is confronting the false Renji , the real Renji appears and attacks his imposter , both eventually defeating the reigai . Meanwhile , Nozomi explains to Kon that the human world has several natural Senkaimon , some leading to empty voids . Her plan is to enter one and vanish , rendering Inaba unable to capture her . The reigai of Rukia , Rangiku , Ikkaku , Yumichika , Hisagi and Ōmaeda appear to apprehend her , but they are confronted by Ichigo , who unleashes a powerful Getsuga Tenshō , destroying them all .     324   `` Recapture Seireitei ! The Captains Move ! '' `` Seireitei Dakkan e ! Taichō - tachi , Ugoku ! '' ( </t>
    </r>
    <r>
      <rPr>
        <sz val="11"/>
        <color rgb="FF000000"/>
        <rFont val="Noto Sans CJK SC"/>
        <family val="2"/>
      </rPr>
      <t xml:space="preserve">瀞 霊 廷 奪還 へ </t>
    </r>
    <r>
      <rPr>
        <sz val="11"/>
        <color rgb="FF000000"/>
        <rFont val="Calibri"/>
        <family val="0"/>
        <charset val="1"/>
      </rPr>
      <t xml:space="preserve">! </t>
    </r>
    <r>
      <rPr>
        <sz val="11"/>
        <color rgb="FF000000"/>
        <rFont val="Noto Sans CJK SC"/>
        <family val="2"/>
      </rPr>
      <t xml:space="preserve">隊長 たち 、 動く </t>
    </r>
    <r>
      <rPr>
        <sz val="11"/>
        <color rgb="FF000000"/>
        <rFont val="Calibri"/>
        <family val="0"/>
        <charset val="1"/>
      </rPr>
      <t xml:space="preserve">! )   May 31 , 2011   November 23 , 2013     Hitsugaya , Byakuya , Kenpachi , Yachiru Kusajishi and Sajin Komamura , the five Soul Reapers trapped in the living world , use Urahara 's Senkaimon to return to the Soul Society . They fall into Inaba 's trap in the Dangai , where Komamura stays behind to counter the kōryū , the restrictive current passing through the Dangai . As the other three arrive , they go their separate ways . Kenpachi encounters his false counterpart and engages in fierce combat . At first being defeated , he then regains the upper hand and destroys his reigai after encouragement from Yachiru . Meanwhile , Ukitake and Kyōraku 's reigai continue their battle with Yamamoto , claiming that they have not lost their pride despite being reigai . Also , Unohana and Isane confront Inaba at his headquarters , where he explains how he created these reigai . Isane suddenly turns on Unohana , revealing herself to be an impostor . Unohana 's reigai then arrives and meets with her original .     325   `` For the Sake of the Believers ! Byakuya vs. Hitsugaya ! '' `` Shinzuru Mono no Tame ni ! Byakuya tai Hitsugaya ! '' ( </t>
    </r>
    <r>
      <rPr>
        <sz val="11"/>
        <color rgb="FF000000"/>
        <rFont val="Noto Sans CJK SC"/>
        <family val="2"/>
      </rPr>
      <t xml:space="preserve">信ずる ものの 為 に </t>
    </r>
    <r>
      <rPr>
        <sz val="11"/>
        <color rgb="FF000000"/>
        <rFont val="Calibri"/>
        <family val="0"/>
        <charset val="1"/>
      </rPr>
      <t xml:space="preserve">! </t>
    </r>
    <r>
      <rPr>
        <sz val="11"/>
        <color rgb="FF000000"/>
        <rFont val="Noto Sans CJK SC"/>
        <family val="2"/>
      </rPr>
      <t xml:space="preserve">白 哉 </t>
    </r>
    <r>
      <rPr>
        <sz val="11"/>
        <color rgb="FF000000"/>
        <rFont val="Calibri"/>
        <family val="0"/>
        <charset val="1"/>
      </rPr>
      <t xml:space="preserve">vs </t>
    </r>
    <r>
      <rPr>
        <sz val="11"/>
        <color rgb="FF000000"/>
        <rFont val="Noto Sans CJK SC"/>
        <family val="2"/>
      </rPr>
      <t xml:space="preserve">日 番 谷 </t>
    </r>
    <r>
      <rPr>
        <sz val="11"/>
        <color rgb="FF000000"/>
        <rFont val="Calibri"/>
        <family val="0"/>
        <charset val="1"/>
      </rPr>
      <t xml:space="preserve">! )   June 7 , 2011   November 30 , 2013     Unohana and her imposter engage in conflict using kido attacks , with Unohana escaping . Ukitake and Kyōraku 's reigai are unable to defeat Yamamoto , who criticizes their claim that they retain their pride . Unohana 's reigai arrives and heals their wounds , revealing their strategy was to exhaust Yamamoto . Elsewhere in the Seireitei , Byakuya is stopped by the Hitsugaya 's reigai , and the two unleash their bankai in a brief battle . Byakuya asks why someone would fight for Inaba , and Histugaya 's reigai claims that he wants to protect someone , whom the original does not have the power to do so . Byakuya criticizes his motives and eventually manages to defeat him , though narrowly escaping Hitsugaya 's Hyōten Hyakkasō . Back in the living world , Ichigo asks Urahara to send him to the Soul Society . He is advised not to go due to his declining spiritual energy . However , Nozomi steps up and reveals a type of healing kido that restores some of Ichigo 's lost spiritual energy . He then proceeds with heading to the Soul Society , where Inaba meets with the unresponsive figure resembling Nozomi , claiming Nozomi will return .     326   `` The Two Hinamori , Hitsugaya 's Resolution '' `` Futari no Hinamori , Hitsugaya no Kakugo '' ( </t>
    </r>
    <r>
      <rPr>
        <sz val="11"/>
        <color rgb="FF000000"/>
        <rFont val="Noto Sans CJK SC"/>
        <family val="2"/>
      </rPr>
      <t xml:space="preserve">ふたり の 雛 森 、 日 番 谷 の 覚悟 </t>
    </r>
    <r>
      <rPr>
        <sz val="11"/>
        <color rgb="FF000000"/>
        <rFont val="Calibri"/>
        <family val="0"/>
        <charset val="1"/>
      </rPr>
      <t xml:space="preserve">)   June 14 , 2011   January 4 , 2014     Ichigo , entering through the Dangai , reaches the Soul Society , where he later encounters Inaba . After Byakuya kills the fake Hitsugaya , he moves forward , where he encounters his own reigai . While in a bamboo forest , Kenpachi is attacked by Suì - Fēng 's reigai , but he easily defeats her squad members . Hitsugaya is confronted by fake Momo Hinamori , but he can not being himself to kill her , despite knowing she is an imposter . The real Momo seems to appear and attacks her reigai , but both are revealed to be reigai , after tricking him into saving one of them , and they cut him down . Yoruichi then appears and defeats both of the reigai , saving Hitsugaya . Meanwhile , Suì - Fēng 's reigai attacks Kenpachi , but Komamura interrupts and challenges her . Inaba , while attacking Ichigo , explains that his lack of purity makes him an erasable anomaly . Inaba then uses his zanpakutō to trap Ichigo in the Dangai .     327   `` Pride of the Kuchiki Family ! Byakuya vs. Byakuya ! '' `` Kuchiki - ke no Hokori ! Byakuya tai Byakuya ! '' ( </t>
    </r>
    <r>
      <rPr>
        <sz val="11"/>
        <color rgb="FF000000"/>
        <rFont val="Noto Sans CJK SC"/>
        <family val="2"/>
      </rPr>
      <t xml:space="preserve">朽木 家 の 誇り </t>
    </r>
    <r>
      <rPr>
        <sz val="11"/>
        <color rgb="FF000000"/>
        <rFont val="Calibri"/>
        <family val="0"/>
        <charset val="1"/>
      </rPr>
      <t xml:space="preserve">! </t>
    </r>
    <r>
      <rPr>
        <sz val="11"/>
        <color rgb="FF000000"/>
        <rFont val="Noto Sans CJK SC"/>
        <family val="2"/>
      </rPr>
      <t xml:space="preserve">白 哉 </t>
    </r>
    <r>
      <rPr>
        <sz val="11"/>
        <color rgb="FF000000"/>
        <rFont val="Calibri"/>
        <family val="0"/>
        <charset val="1"/>
      </rPr>
      <t xml:space="preserve">VS </t>
    </r>
    <r>
      <rPr>
        <sz val="11"/>
        <color rgb="FF000000"/>
        <rFont val="Noto Sans CJK SC"/>
        <family val="2"/>
      </rPr>
      <t xml:space="preserve">白 哉 </t>
    </r>
    <r>
      <rPr>
        <sz val="11"/>
        <color rgb="FF000000"/>
        <rFont val="Calibri"/>
        <family val="0"/>
        <charset val="1"/>
      </rPr>
      <t xml:space="preserve">! )   June 21 , 2011   January 11 , 2014     Byakuya confronts his false counterpart , originally struggling until he releases his bankai . Meanwhile , Komamura is having difficulty dealing with Suì - Fēng 's reigai , whose speed and abilities seem to outmatch his . In a desperate final attempt , both of them clash with their bankai , and the battle ends in a draw . Elsewhere , a frustrated Yamamato releases a powerful wall of fire , seemingly engulfing the imposters that were challenging him . In the world of the living , Ichigo 's friends express concern when Urahara tells them he can not detect Ichigo 's spiritual pressure .     328   `` Defeat Kageroza ! Shinigami , All - Out War ! '' `` Kagerōza o Taose ! Shinigami , Sōryokusen ! '' ( </t>
    </r>
    <r>
      <rPr>
        <sz val="11"/>
        <color rgb="FF000000"/>
        <rFont val="Noto Sans CJK SC"/>
        <family val="2"/>
      </rPr>
      <t xml:space="preserve">影 狼 佐 を 倒せ </t>
    </r>
    <r>
      <rPr>
        <sz val="11"/>
        <color rgb="FF000000"/>
        <rFont val="Calibri"/>
        <family val="0"/>
        <charset val="1"/>
      </rPr>
      <t xml:space="preserve">! </t>
    </r>
    <r>
      <rPr>
        <sz val="11"/>
        <color rgb="FF000000"/>
        <rFont val="Noto Sans CJK SC"/>
        <family val="2"/>
      </rPr>
      <t xml:space="preserve">死神 、 総力 戦 </t>
    </r>
    <r>
      <rPr>
        <sz val="11"/>
        <color rgb="FF000000"/>
        <rFont val="Calibri"/>
        <family val="0"/>
        <charset val="1"/>
      </rPr>
      <t xml:space="preserve">! )   June 28 , 2011   January 18 , 2014     Hitsugaya and Kenpachi arrive at Inaba 's base of operations . They engage him in combat , and Inaba reveals his zanpakutō can record attacks in the Dangai and fire them back at the opponent . As Inaba gains the upper hand , Yoruichi and the captains arrive , aside from Komamura , Unahana , Yamamoto and Mayuri . Elsewhere , Ichigo is rescued in the Dangai by a mysterious figure . Inaba summons the remaining reigai , and a brawl between the originals and the fakes ensues . At first , Yoruichi and the captains are able to overpower Inaba and his forces . However , when they lose the upper hand , a seemingly false Mayuri slashes Inaba , revealing he switched places with the imposter .     329   `` The Forbidden Research ... Nozomi 's Hidden Secret ! '' `` Kindan no Kenkyū ... Nozomi ni Kakusareta Himitsu ! '' ( </t>
    </r>
    <r>
      <rPr>
        <sz val="11"/>
        <color rgb="FF000000"/>
        <rFont val="Noto Sans CJK SC"/>
        <family val="2"/>
      </rPr>
      <t xml:space="preserve">禁断 の 研究 </t>
    </r>
    <r>
      <rPr>
        <sz val="11"/>
        <color rgb="FF000000"/>
        <rFont val="Calibri"/>
        <family val="0"/>
        <charset val="1"/>
      </rPr>
      <t xml:space="preserve">... </t>
    </r>
    <r>
      <rPr>
        <sz val="11"/>
        <color rgb="FF000000"/>
        <rFont val="Noto Sans CJK SC"/>
        <family val="2"/>
      </rPr>
      <t xml:space="preserve">望実 に 隠 され た 秘密 </t>
    </r>
    <r>
      <rPr>
        <sz val="11"/>
        <color rgb="FF000000"/>
        <rFont val="Calibri"/>
        <family val="0"/>
        <charset val="1"/>
      </rPr>
      <t xml:space="preserve">! )   July 5 , 2011   January 25 , 2014     Ichigo awakens at the Urahara Shop , mystified as to how he was rescued . Urahara tells him that there are several ways to escape the kōryū but none to escape the Kōtotsu , so it is unknown how Ichigo escaped . Elsewhere , Mayuri uses his zanpakutō to drug Inaba , which slows down his ability to think . However , Isane then summons Isane 's reigai and attacks her . At the Urahara Shop , Rukia then explains Project Spearhead to the rest of the group in which modified souls were used . Inaba then takes the soul candy from the reigai and swallows it , resulting with Inaba being rejected from his body and the reigai taking the effects of the drug . Inaba , revealing his backstory as the one who created modified souls , then ressurects most of the defeated reigai , unleashing their true strength . Nozomi admits she was the first modified soul .     330   `` I Want to Live ... ! Nozomi 's Zanpakutō '' `` Ikitai ... ! Nozomi no Zanpakutō '' ( </t>
    </r>
    <r>
      <rPr>
        <sz val="11"/>
        <color rgb="FF000000"/>
        <rFont val="Noto Sans CJK SC"/>
        <family val="2"/>
      </rPr>
      <t xml:space="preserve">生き たい </t>
    </r>
    <r>
      <rPr>
        <sz val="11"/>
        <color rgb="FF000000"/>
        <rFont val="Calibri"/>
        <family val="0"/>
        <charset val="1"/>
      </rPr>
      <t xml:space="preserve">... ! </t>
    </r>
    <r>
      <rPr>
        <sz val="11"/>
        <color rgb="FF000000"/>
        <rFont val="Noto Sans CJK SC"/>
        <family val="2"/>
      </rPr>
      <t xml:space="preserve">望実 の 斬 魄 刀 </t>
    </r>
    <r>
      <rPr>
        <sz val="11"/>
        <color rgb="FF000000"/>
        <rFont val="Calibri"/>
        <family val="0"/>
        <charset val="1"/>
      </rPr>
      <t xml:space="preserve">)   July 12 , 2011   February 1 , 2014     Renji reports to Yamamoto and informs him that the captains involved in the brawl with Inaba have not been heard from . Yamamoto then states that only Ichigo , Rukia , Renji , Ikkaku and Yumichika are prepared for battle . Yamamoto then speculates several hollows may have gathered due to the spiritual disturbance . Nozomi stays at Ichigo 's house for the time being , and Kon has been feeling really depressed lately because of what Nozomi admitted . Ichigo and Rukia have been handling many hollows during this , while their friends share their concern for Kon and keep Nozomi company . That night , while Ichigo is sleeping , Nozomi leaves the house and goes for a walk . However , she is then attacked by a hollow , and a confident Kon arrives to defend her . After the hollow easily deals with them both , Nozomi 's frustration releases a bout of spiritual pressure , and she regains her Soul Reaper abilities , defeating the hollow .     331   `` For the Sake of Fighting ! The Awakened Nozomi ! '' `` Tatakau Tame ni ! Mezame yo Nozomi ! '' ( </t>
    </r>
    <r>
      <rPr>
        <sz val="11"/>
        <color rgb="FF000000"/>
        <rFont val="Noto Sans CJK SC"/>
        <family val="2"/>
      </rPr>
      <t xml:space="preserve">戦う ため に </t>
    </r>
    <r>
      <rPr>
        <sz val="11"/>
        <color rgb="FF000000"/>
        <rFont val="Calibri"/>
        <family val="0"/>
        <charset val="1"/>
      </rPr>
      <t xml:space="preserve">! </t>
    </r>
    <r>
      <rPr>
        <sz val="11"/>
        <color rgb="FF000000"/>
        <rFont val="Noto Sans CJK SC"/>
        <family val="2"/>
      </rPr>
      <t xml:space="preserve">目覚めよ 望実 </t>
    </r>
    <r>
      <rPr>
        <sz val="11"/>
        <color rgb="FF000000"/>
        <rFont val="Calibri"/>
        <family val="0"/>
        <charset val="1"/>
      </rPr>
      <t xml:space="preserve">! )   July 19 , 2011   February 8 , 2014     After regaining Soul Reaper abilities , Nozomi decides that she wants to help defeat Inaba , but she has yet to remember the name and power of her zanpakutō . Ichigo , Rukia , Uryū and Chad decide to help Nozomi awaken her dormant powers through the same rigorous training that Ichigo underwent to awaken his . Meanwhile , Inaba orders the fakes of Byakuya , Hitsugaya , Kenpachi and Komamura to infiltrate the human world , but the four fall into a trap set by Urahara , who separates them during their travel through the Dangai . When the four fakes arrive in various areas , Ikkaku battles Kenpachi 's reigai , while some of the lieutenants deal with the rest , all to buy more time for Nozomi . Taking advice from Yumichika to not hold back on her training , Ichigo throws a Getsuga Tenshō at Nozomi , allowing her to finally remember the name of her zanpakutō , Arazome Shigure , which seemingly swallows up all of Ichigo 's spiritual pressure . Ikkaku looks like he is about to be delivered the finishing blow by Kenpachi 's reigai , but Nozomi arrives and seemingly obliterates Kenpachi 's reigai with her zanpakutō .     332   `` The Most Evil Reigai , Appearing in the Real World ! '' `` Saikyo no Reigai , Gense ni Arawaru ! '' ( </t>
    </r>
    <r>
      <rPr>
        <sz val="11"/>
        <color rgb="FF000000"/>
        <rFont val="Noto Sans CJK SC"/>
        <family val="2"/>
      </rPr>
      <t xml:space="preserve">最 凶 の 霊 骸 、 現世 に 現 る </t>
    </r>
    <r>
      <rPr>
        <sz val="11"/>
        <color rgb="FF000000"/>
        <rFont val="Calibri"/>
        <family val="0"/>
        <charset val="1"/>
      </rPr>
      <t xml:space="preserve">! )   July 26 , 2011   February 15 , 2014     Hisagi and Kira take on Hitsugaya 's reigai , while Rangiku and Tetsuzaemon Iba fight Komamura 's reigai . Renji and Rukia face Byakuya 's reigai , covering for Ōmaeda after seemingly being defeated . When Kenpachi 's reigai reappears to fight Nozomi , Yumichika faces him to avenge his fallen comrade , while Ichigo and Nozomi tend to Ikkaku 's wounds . An unsatisfied Nozomi wants to help out in the ongoing battles , but all of the lieutenants tell her to get out of the way and go to safety . The lieutenants are soon cut down or are at their limits against the four false captains . Kenpachi challenges Ichigo to a match , but when Hitsugaya eagerly joins in and attacks Nozomi , she then deals a considerable amount of damage to him in one shot . Byakuya 's reigai , realizing the power of her zanpakutō , tries to bind her to keep her from using it , but Uryū manages to save her . After witnessing Nozomi absorb an attack from his bow , Ginrei Kojaku , Uryū deduces that her zanpakutō can absorb anything with spiritual pressure . Having no other choice but to rely on her , Ichigo , Uryū , Chad and the remaining lieutenants all direct their spiritual pressure at Nozomi , which she redirects at the four false captains . Byakuya 's reigai survives the attack , but Yamamoto suddenly appears and defeats him .     333   `` Destroy Nozomi ! ? Genryusai 's Decision ! '' `` Nozomi o Kesu ! ? Genryūsai no Ketsudan ! '' ( </t>
    </r>
    <r>
      <rPr>
        <sz val="11"/>
        <color rgb="FF000000"/>
        <rFont val="Noto Sans CJK SC"/>
        <family val="2"/>
      </rPr>
      <t xml:space="preserve">望実 を 消す </t>
    </r>
    <r>
      <rPr>
        <sz val="11"/>
        <color rgb="FF000000"/>
        <rFont val="Calibri"/>
        <family val="0"/>
        <charset val="1"/>
      </rPr>
      <t xml:space="preserve">! ? </t>
    </r>
    <r>
      <rPr>
        <sz val="11"/>
        <color rgb="FF000000"/>
        <rFont val="Noto Sans CJK SC"/>
        <family val="2"/>
      </rPr>
      <t xml:space="preserve">元 柳 斎 の 決断 </t>
    </r>
    <r>
      <rPr>
        <sz val="11"/>
        <color rgb="FF000000"/>
        <rFont val="Calibri"/>
        <family val="0"/>
        <charset val="1"/>
      </rPr>
      <t xml:space="preserve">! )   August 2 , 2011   February 22 , 2014     Yamamoto believes Nozomi is unimportant to him , due to the fact that she is a modified soul . Ichigo tells Uryū and Chad to bring the injured lieutenants to Orihime to be healed . Ukitake and Kyōraku 's reigai suddenly appear in the living world and are back for a rematch with Yamamoto , but Ichigo and Nozomi take over for now and spar with the two . Ichigo later has to cover for Nozomi when she is defeated , but even then he barely evades the attacks of Ukitake and Kyōraku 's reigai . Yamamoto , distracted at this , is soon immobilized by the Unohara 's reigai , but as the original Unohara stops her , he is able to break the seal with his spiritual pressure . When Yamamoto is about to be attacked by the three reigai , Inaba arrives and commands them to stop , as he wants to be the one to battle Yamamoto . Nozomi offers to be a decoy to prevent Inaba from copying Yamamoto 's techniques . Inaba avoids crossing swords with Nozomi , knowing full well of her abilities , but Nozomi pulls out a surprise attack , having already absorbed Yamamoto 's spiritual pressure . Yamamoto attacks Inaba with his flames , as this was a diversion for Ichigo to use his Getsuga Tenshō on Inaba . However , Ichigo collapses and Nozomi goes to catch him . Inaba , revealed to still be alive , was able to copy the abilities of Nozomi , absorbing both Yamamoto and Ichigo 's attacks . As Inaba then uses this to finish Yamamoto off , Nozomi appears before the blast in an attempt to absorb the attack .     334   `` The Depleting Reiatsu ! Ichigo , Death Struggle of the Soul ! '' `` Ushinawareru Reiatsu ! Ichigo , Tamashii no Shitō ! '' ( </t>
    </r>
    <r>
      <rPr>
        <sz val="11"/>
        <color rgb="FF000000"/>
        <rFont val="Noto Sans CJK SC"/>
        <family val="2"/>
      </rPr>
      <t xml:space="preserve">失 われる 霊 圧 </t>
    </r>
    <r>
      <rPr>
        <sz val="11"/>
        <color rgb="FF000000"/>
        <rFont val="Calibri"/>
        <family val="0"/>
        <charset val="1"/>
      </rPr>
      <t xml:space="preserve">! </t>
    </r>
    <r>
      <rPr>
        <sz val="11"/>
        <color rgb="FF000000"/>
        <rFont val="Noto Sans CJK SC"/>
        <family val="2"/>
      </rPr>
      <t xml:space="preserve">一 護 、 魂 の 死闘 </t>
    </r>
    <r>
      <rPr>
        <sz val="11"/>
        <color rgb="FF000000"/>
        <rFont val="Calibri"/>
        <family val="0"/>
        <charset val="1"/>
      </rPr>
      <t xml:space="preserve">! )   August 9 , 2011   March 1 , 2014     Nozomi 's zanpakutō breaks in the midst of trying to protect Yamamoto from Inaba 's attack . Ichigo and Kon try to save Nozomi from being taken away , but Inaba reveals that he and Nozomi were created by the same spirit particles of another Soul Reaper . He defeats Ichigo , Rukia and Renji , while Nozomi manages to run away with Kon in tow . Nozomi sadly binds Kon to a rock , running away without him . Ichigo is seen still conscious and struggling to catch up with Nozomi . When Inaba finds Nozomi , he falls due to a loose rock on a slope . Ichigo finally catches up and defeats Inaba with a Getsuga Tenshō , only to discover that it was a clone that Inaba created . Inaba knocks Ichigo out in one swipe , passes Nozomi out and proceeds to leave the world of the living with her . Kon , still bound to a rock tries to follow them , but he is too late . He is seen crying out for Nozomi , while Ichigo 's uniform turns white as a result of his depleting spiritual energy .     335   `` Hiding in the Dangai ? Another Ichigo ? ! '' `` Dangai ni Senpuku ? Mō Hitori no Ichigo ! ? '' ( </t>
    </r>
    <r>
      <rPr>
        <sz val="11"/>
        <color rgb="FF000000"/>
        <rFont val="Noto Sans CJK SC"/>
        <family val="2"/>
      </rPr>
      <t xml:space="preserve">断 界 に 潜伏 </t>
    </r>
    <r>
      <rPr>
        <sz val="11"/>
        <color rgb="FF000000"/>
        <rFont val="Calibri"/>
        <family val="0"/>
        <charset val="1"/>
      </rPr>
      <t xml:space="preserve">? </t>
    </r>
    <r>
      <rPr>
        <sz val="11"/>
        <color rgb="FF000000"/>
        <rFont val="Noto Sans CJK SC"/>
        <family val="2"/>
      </rPr>
      <t xml:space="preserve">もう 一人 の 一 護 </t>
    </r>
    <r>
      <rPr>
        <sz val="11"/>
        <color rgb="FF000000"/>
        <rFont val="Calibri"/>
        <family val="0"/>
        <charset val="1"/>
      </rPr>
      <t xml:space="preserve">! ? )   August 16 , 2011   March 8 , 2014     Following his defeat by Inaba , Ichigo has lost his Soul Reaper powers . Still determined to save Nozomi , Ichigo and his friends gather at the Urahara Shop to come up with a rescue plan . Urahara comes up with a risky plan that involves Ichigo going in the Dangai and being swallowed by the Kōtotsu to retrieve a sample of his Soul Reaper powers , since he was swallowed before . The plan works and Ichigo gets out of the Kōtotsu . When he meets up with everyone , he states that he saw another one of himself when he was inside the Kōtotsu , leading Urahara to conclude that Ichigo saved himself when he was first swallowed , since there is no time in the Kōtotsu .     336   `` Pursue Kageroza ! Technological Development Department , Infiltration ! '' `` Kagerōza o Oe ! Gijutsu Kaihatsukyoku , Sennyū ! '' ( </t>
    </r>
    <r>
      <rPr>
        <sz val="11"/>
        <color rgb="FF000000"/>
        <rFont val="Noto Sans CJK SC"/>
        <family val="2"/>
      </rPr>
      <t xml:space="preserve">影 狼 佐 を 追え </t>
    </r>
    <r>
      <rPr>
        <sz val="11"/>
        <color rgb="FF000000"/>
        <rFont val="Calibri"/>
        <family val="0"/>
        <charset val="1"/>
      </rPr>
      <t xml:space="preserve">! </t>
    </r>
    <r>
      <rPr>
        <sz val="11"/>
        <color rgb="FF000000"/>
        <rFont val="Noto Sans CJK SC"/>
        <family val="2"/>
      </rPr>
      <t xml:space="preserve">技術 開発 局 、 潜入 </t>
    </r>
    <r>
      <rPr>
        <sz val="11"/>
        <color rgb="FF000000"/>
        <rFont val="Calibri"/>
        <family val="0"/>
        <charset val="1"/>
      </rPr>
      <t xml:space="preserve">! )   August 23 , 2011   March 15 , 2014     Inside the Dangai , Rukia and the others act as decoys to draw away the attention of the reigai while Ichigo , Urahara and Kon break into the Seireitei . As they search for Inaba 's laboratory , Urahara makes an attempt to restore Ichigo 's lost powers by creating a soul candy , but is discovered by Nanao and Nemu 's reigai . At the last minute before an explosion , Ichigo breaks the glass containing the soul candy and consumes it . However , as stated by Urahara , the candy was incomplete , making both his Soul Reaper and hollow powers unbalanced . While escaping , the three are ambushed by the false captains , but are saved when Yoruichi and the originals appear , ready to fight .     337   `` The Developer of the Modified Souls '' `` Kaizō Konpaku no Kaihatsusha '' ( </t>
    </r>
    <r>
      <rPr>
        <sz val="11"/>
        <color rgb="FF000000"/>
        <rFont val="Noto Sans CJK SC"/>
        <family val="2"/>
      </rPr>
      <t xml:space="preserve">改造 魂魄 の 開発 者 </t>
    </r>
    <r>
      <rPr>
        <sz val="11"/>
        <color rgb="FF000000"/>
        <rFont val="Calibri"/>
        <family val="0"/>
        <charset val="1"/>
      </rPr>
      <t xml:space="preserve">)   August 30 , 2011   March 22 , 2014     The captains , thought to have fallen in battle , return to fight the reigai . Meanwhile , Ichigo powers continue to grow unstable , forcing him to rest for the time being , while Urahara and Kon continue their investigation on Inaba . Urahara and Kon later find out about Ōko Yushima , the Soul Reaper who extracted all of his spirit particles and separating them into two modified souls , them being Nozomi and Inaba . When visiting Yushima 's cell in the Nest of Maggots , they get attacked by Suì - Fēng and Ōmaeda 's reigai , but are later defeated by Urahara . The two visit Yushima 's cell , only to find him unresponsive , leading Urahara to conclude that Yushima will never gain consciousness . Meanwhile , Ichigo 's hollowfied form finally takes over and escapes the building he was in .     338   `` Kon 's Thoughts , Nozomi 's Thoughts '' `` Kon no Omoi , Nozomi no Omoi '' ( </t>
    </r>
    <r>
      <rPr>
        <sz val="11"/>
        <color rgb="FF000000"/>
        <rFont val="Noto Sans CJK SC"/>
        <family val="2"/>
      </rPr>
      <t xml:space="preserve">コン の 想い 、 望実 の 想い </t>
    </r>
    <r>
      <rPr>
        <sz val="11"/>
        <color rgb="FF000000"/>
        <rFont val="Calibri"/>
        <family val="0"/>
        <charset val="1"/>
      </rPr>
      <t xml:space="preserve">)   September 6 , 2011   March 29 , 2014     Urahara and Kon head to the location where Inaba 's other laboratory might be , only to be halted by Urahara 's reigai . As Urahara battles his counterpart , Kon dashes down into the laboratory , where he promptly tries to awaken Nozomi inside her capsule . She does awaken and insists that Kon escape at first , but after seeing his persistence and his devotion of trying to save her , being bound by friendship , she tries to help Kon restore Ichigo 's spiritual energy . Before Ichigo 's soul candy can be created , Nemu 's reigai appears and stops the transfer . Immediately afterwards , the fusion process between Nozomi and Inaba is completed . Ichigo 's hollowfied form defeats the eighth division members , but when he is about to destroy Nanao 's reigai , the fused Yushima appears before him .     339   `` Protect Ichigo ! The Bonds of Friends ! '' `` Ichigo o Mamore ! Nakama - tachi no Kizuna ! '' ( </t>
    </r>
    <r>
      <rPr>
        <sz val="11"/>
        <color rgb="FF000000"/>
        <rFont val="Noto Sans CJK SC"/>
        <family val="2"/>
      </rPr>
      <t xml:space="preserve">一 護 を 護れ </t>
    </r>
    <r>
      <rPr>
        <sz val="11"/>
        <color rgb="FF000000"/>
        <rFont val="Calibri"/>
        <family val="0"/>
        <charset val="1"/>
      </rPr>
      <t xml:space="preserve">! </t>
    </r>
    <r>
      <rPr>
        <sz val="11"/>
        <color rgb="FF000000"/>
        <rFont val="Noto Sans CJK SC"/>
        <family val="2"/>
      </rPr>
      <t xml:space="preserve">仲間 たち の 絆 </t>
    </r>
    <r>
      <rPr>
        <sz val="11"/>
        <color rgb="FF000000"/>
        <rFont val="Calibri"/>
        <family val="0"/>
        <charset val="1"/>
      </rPr>
      <t xml:space="preserve">! )   September 13 , 2011   April 5 , 2014     Yushima , showing no interest in fighting Ichigo 's hollowfied form , tries to walk away , but the mindless hollowfied creature continues to pursue him , leading them both to clash on Sōkyoku Hill . The captains and their reigai counterparts are finally joined by their lieutenants , who help them in the battle . Rukia , Renji , Orihime , Uryū and Chad arrive on Sōkyoku Hill and all try to stop Yushima , but the combined powers of Nozomi and Inaba prove to be too much for them . Yushima reveals the true nature of his zanpakutō , Sumitsukigasa , and defeats everyone , but before he can finish them off , Ichigo jumps in front of Rukia to take an attack that was meant for her .     340   `` Reigai vs. Original , The Fierce Fighting for Gambled Pride ! '' `` Reigai tai Genshu , Hokori o Kaketa Gekitō ! '' ( </t>
    </r>
    <r>
      <rPr>
        <sz val="11"/>
        <color rgb="FF000000"/>
        <rFont val="Noto Sans CJK SC"/>
        <family val="2"/>
      </rPr>
      <t xml:space="preserve">霊 骸 </t>
    </r>
    <r>
      <rPr>
        <sz val="11"/>
        <color rgb="FF000000"/>
        <rFont val="Calibri"/>
        <family val="0"/>
        <charset val="1"/>
      </rPr>
      <t xml:space="preserve">VS </t>
    </r>
    <r>
      <rPr>
        <sz val="11"/>
        <color rgb="FF000000"/>
        <rFont val="Noto Sans CJK SC"/>
        <family val="2"/>
      </rPr>
      <t xml:space="preserve">原種 、 誇り を かけ た 激闘 </t>
    </r>
    <r>
      <rPr>
        <sz val="11"/>
        <color rgb="FF000000"/>
        <rFont val="Calibri"/>
        <family val="0"/>
        <charset val="1"/>
      </rPr>
      <t xml:space="preserve">! )   September 20 , 2011   April 12 , 2014     When Yushima stabs Ichigo with his zanpakutō , Ichigo goes into Yushima 's consciousness and sees an image of Nozomi , who calls out for him , causing his hollwfied form to break apart and losing all his powers again . Ichigo is left to watch as his friends attempt to overpower Yushima , but Yushima finds to a way to break through whatever they try to attack him with . Yushima has Nemu 's reigai bring him more fusion stabilizer , but when she arrives , she unexpectedly kicks him backward . It is revealed that Kon was helped by Urahara and Mayuri by placing his soul candy into that of Nemu 's reigai . Kon gives Ichigo a complete soul candy , which restores his powers . He prepares to unleash his bankai against Yushima . Meanwhile , Byakuya has deduced that the reigai do not sacrifice themselves to attack the originals when they are all together , as it goes against what they believe in . The originals join forces against the reigai to protect the Soul Society .     341   `` Invading Army Arc , Final Conclusion ! '' `` Shingun Hen , Saishū Ketchaku ! '' ( </t>
    </r>
    <r>
      <rPr>
        <sz val="11"/>
        <color rgb="FF000000"/>
        <rFont val="Noto Sans CJK SC"/>
        <family val="2"/>
      </rPr>
      <t xml:space="preserve">侵 軍 篇 、 最終 決着 </t>
    </r>
    <r>
      <rPr>
        <sz val="11"/>
        <color rgb="FF000000"/>
        <rFont val="Calibri"/>
        <family val="0"/>
        <charset val="1"/>
      </rPr>
      <t xml:space="preserve">! )   September 27 , 2011   April 19 , 2014     Ichigo successfully unleashes his bankai and fights against Yushima , while the captains and lieutenants fight the reigai . With the assistance of his friends , Ichigo is able to fire a hollowfied Getsuga Tenshō , which Yushima is unable to absorb because of his inability to absorb hollow spiritual pressure . Ichigo will have to attack Yushima 's saketsu , his binding soul chain , to destroy his hakusui , the source of his powers . As Yushima strikes at Ichigo , he catches his zanpakutō and fires a huge hollowfied Getsuga Tenshō , which causes great damage to Yushima and the area . Nozomi 's consciousness appears for a moment and asks to be killed , but Yushima takes complete control and unleashes a giant structure that absorbs the spirit particles from the Soul Society . Being surrounded by his structure and Ichigo out of the way , Nozomi regains control and creates a sword to slice Yushima 's saketsu . The reigai react shockingly to Yushima 's attack and reveal that their motive was to protect the Soul Society in their own way . The reigai proceed to attack the structure at the cost of their own lives , causing a huge explosion . Ichigo deactivates his bankai and has one last clash with an enraged Yushima before breaking the fusion . Nozomi and Inaba reappear once again , and Inaba begins to question his thoughts to Nozomi before fading away . Nozomi reuinites with Kon and the rest of her friends , but she starts fades away herself . Nozomi says a heartwarming goodbye to Kon and fades away .     342   `` Thank You '' `` Arigatō '' ( </t>
    </r>
    <r>
      <rPr>
        <sz val="11"/>
        <color rgb="FF000000"/>
        <rFont val="Noto Sans CJK SC"/>
        <family val="2"/>
      </rPr>
      <t xml:space="preserve">ありがとう </t>
    </r>
    <r>
      <rPr>
        <sz val="11"/>
        <color rgb="FF000000"/>
        <rFont val="Calibri"/>
        <family val="0"/>
        <charset val="1"/>
      </rPr>
      <t xml:space="preserve">)   October 4 , 2011   April 26 , 2014     Ichigo has been struggling against hollows , due to gradually losing his temporarily restored powers , but is saved by Rukia and Uryū , who tell him to rest from dealing with ho</t>
    </r>
  </si>
  <si>
    <t xml:space="preserve">what episode does ichigo get his powers back the first time</t>
  </si>
  <si>
    <r>
      <rPr>
        <sz val="11"/>
        <color rgb="FF000000"/>
        <rFont val="Calibri"/>
        <family val="0"/>
        <charset val="1"/>
      </rPr>
      <t xml:space="preserve">   No .   Title   Original airdate   English airdate     317   `` Unusual Incident in Seireitei ? ! Gotei 13 Invading Army Arc ! '' `` Seireitei ni Ihen ? ! Gotei Jūsantai Shingun Hen ! '' ( </t>
    </r>
    <r>
      <rPr>
        <sz val="11"/>
        <color rgb="FF000000"/>
        <rFont val="Noto Sans CJK SC"/>
        <family val="2"/>
      </rPr>
      <t xml:space="preserve">瀞 霊 廷 に 異変 </t>
    </r>
    <r>
      <rPr>
        <sz val="11"/>
        <color rgb="FF000000"/>
        <rFont val="Calibri"/>
        <family val="0"/>
        <charset val="1"/>
      </rPr>
      <t xml:space="preserve">? ! </t>
    </r>
    <r>
      <rPr>
        <sz val="11"/>
        <color rgb="FF000000"/>
        <rFont val="Noto Sans CJK SC"/>
        <family val="2"/>
      </rPr>
      <t xml:space="preserve">護 廷 十 三 隊 侵 軍 篇 </t>
    </r>
    <r>
      <rPr>
        <sz val="11"/>
        <color rgb="FF000000"/>
        <rFont val="Calibri"/>
        <family val="0"/>
        <charset val="1"/>
      </rPr>
      <t xml:space="preserve">! )   April 12 , 2011   October 5 , 2013     After cleansing and restoring the barriers where Karakura Town was temporarily swapped with the Soul Society , Rangiku Matsumoto and Nanao Ise enter the Dangai to return home , but are confronted by something along the way . Their captains , who have lost contact with them , are worried sick with their disappearances until they suddenly return a day later . Rangiku and Nanao were gone only a few hours and came back directly , which concludes that the time in the Dangai is out of sync with the Soul Society . Mayuri Kurotsuchi conducts a survey of the area with Kenpachi Zaraki assisting as a security escort . Meanwhile , while Ichigo Kurosaki and Rukia Kuchiki go off to handle hollows , Kon leaves to investigate a spiritual disturbance and finds a green - haired girl lying asleep and covered in rags . Ichigo returns home and becomes furious with Kon , who has brought back the green - haired girl . While the survey is going on , Mayuri and Kenpachi are confronted by an intense light emerging from the walls of the Dangai . As Ichigo and Rukia return through the Dangai to the Soul Society , they are chased by the supposedly revived Kōtotsu . To save themselves , Ichigo uses his bankai and carries Rukia all the way to the Soul Society , but falls to the ground due to the gradual loss of his powers . Ichigo then encounters Tōshirō Hitsugaya and Byakuya Kuchiki , who place him under confinement . A mysterious scientist in a laboratory addresses what seems to be body doubles of Izuru Kira and Nanao .     318   `` Renji vs. Rukia ? ! Battle With Comrades ! '' `` Renji tai Rukia ? ! Nakama to no Tatakai ! '' ( </t>
    </r>
    <r>
      <rPr>
        <sz val="11"/>
        <color rgb="FF000000"/>
        <rFont val="Noto Sans CJK SC"/>
        <family val="2"/>
      </rPr>
      <t xml:space="preserve">恋 次 </t>
    </r>
    <r>
      <rPr>
        <sz val="11"/>
        <color rgb="FF000000"/>
        <rFont val="Calibri"/>
        <family val="0"/>
        <charset val="1"/>
      </rPr>
      <t xml:space="preserve">VS </t>
    </r>
    <r>
      <rPr>
        <sz val="11"/>
        <color rgb="FF000000"/>
        <rFont val="Noto Sans CJK SC"/>
        <family val="2"/>
      </rPr>
      <t xml:space="preserve">ルキア </t>
    </r>
    <r>
      <rPr>
        <sz val="11"/>
        <color rgb="FF000000"/>
        <rFont val="Calibri"/>
        <family val="0"/>
        <charset val="1"/>
      </rPr>
      <t xml:space="preserve">? ! </t>
    </r>
    <r>
      <rPr>
        <sz val="11"/>
        <color rgb="FF000000"/>
        <rFont val="Noto Sans CJK SC"/>
        <family val="2"/>
      </rPr>
      <t xml:space="preserve">仲間 と の 戦い </t>
    </r>
    <r>
      <rPr>
        <sz val="11"/>
        <color rgb="FF000000"/>
        <rFont val="Calibri"/>
        <family val="0"/>
        <charset val="1"/>
      </rPr>
      <t xml:space="preserve">! )   April 19 , 2011   October 12 , 2013     While Kon tries to keep the green - haired girl , whose name is Nozomi Kujō , a secret from Ichigo 's family . Rukia sneaks in Ichigo 's jail cell and frees him . Jūshirō Ukitake and Shunsui Kyōraku discuss about Ichigo 's possible involvement with the disappearances , since his substitute badge was found by Byakuya inside the Dangai . While Rukia explains to Ichigo there is a time gap between the human world and the Soul Society , they are then confronted by Renji Abarai and Ikkaku Madarame , who exhibit ruthless behaviors unlike themselves . Yoruichi Shihōin arrives and seals Renji and Ikkaku before escaping with Ichigo and Rukia into her hideout . She explains to them that Renji and Ikkaku were secretly replaced by reigai , artificial bodies which allows modified souls to maintain a physical form in Soul Society . The reigai , which closely imitate the features of a Soul Reaper , are being used to test out soul candies , which means someone in the twelfth division is involved . Ichigo and Rukia later sneak into the laboratory and discover that Nozomi is a fugitive from the Soul Society . The mysterious scientist along with Kira and Nanao 's reigai arrive in the human world to apprehend Nozomi , who evades capture . Kon follows her and both are eventually cornered by the scientist . However , Uryū Ishida arrives to help the two .     319   `` Ichigo 's Capture Net ! Escape From Soul Society ! '' `` Ichigo Hobakumō ! Sōru Sosaeti o Dasshutsu se yo ! '' ( </t>
    </r>
    <r>
      <rPr>
        <sz val="11"/>
        <color rgb="FF000000"/>
        <rFont val="Noto Sans CJK SC"/>
        <family val="2"/>
      </rPr>
      <t xml:space="preserve">一 護 捕縛 網 </t>
    </r>
    <r>
      <rPr>
        <sz val="11"/>
        <color rgb="FF000000"/>
        <rFont val="Calibri"/>
        <family val="0"/>
        <charset val="1"/>
      </rPr>
      <t xml:space="preserve">! </t>
    </r>
    <r>
      <rPr>
        <sz val="11"/>
        <color rgb="FF000000"/>
        <rFont val="Noto Sans CJK SC"/>
        <family val="2"/>
      </rPr>
      <t xml:space="preserve">尸 魂 界 を 脱出 せよ </t>
    </r>
    <r>
      <rPr>
        <sz val="11"/>
        <color rgb="FF000000"/>
        <rFont val="Calibri"/>
        <family val="0"/>
        <charset val="1"/>
      </rPr>
      <t xml:space="preserve">! )   April 26 , 2011   October 19 , 2013     Uryū confronts the mysterious scientist while Ichigo , Rukia , and Yoruichi plan their escape from the Soul Society , assuming that several reigai have blocked the Senkaimon , the gateway to the Dangai . Uryū is defeated by the scientist 's shikai of his zanpakutō , Raikū . Yoruichi fights the reigai to let Ichigo and Rukia escape . Kon is unable to respond , and an unconscious Nozomi is captured by Kira and Nanao 's reigai . While showing up and attempting to save Uryū , Yasutora `` Chad '' Sado is defeated when trying to buy time for Orihime Inoue to heal Uryū . Ichigo and Rukia arrive to stop the scientist , revealed to be Kagerōza Inaba , who easily deals with Ichigo in his weakening state . Just as he is about to kill Ichigo and Rukia , the other captains and lieutenants involved in the incident arrive , retrieving Nozomi and forcing Inaba and the reigai to retreat . Admitting that he is behind the reigai incident , Inaba then claims that once he has Nozomi , he will be able to conquer the Soul Society and the world of the living . Inaba escapes to the Soul Society and meets with the reigai . He tasks them with getting Nozomi back and eliminating the originals , as he deems them the Invading Army .     320   `` Gotei 13 , Gathering in the Real World ! '' `` Gotei Jūsantai , Gense ni Shūketsu ! '' ( </t>
    </r>
    <r>
      <rPr>
        <sz val="11"/>
        <color rgb="FF000000"/>
        <rFont val="Noto Sans CJK SC"/>
        <family val="2"/>
      </rPr>
      <t xml:space="preserve">護 廷 十 三 隊 、 現世 に 集結 </t>
    </r>
    <r>
      <rPr>
        <sz val="11"/>
        <color rgb="FF000000"/>
        <rFont val="Calibri"/>
        <family val="0"/>
        <charset val="1"/>
      </rPr>
      <t xml:space="preserve">! )   May 3 , 2011   October 26 , 2013     Ichigo , Kon , Orihime , Uryū and Chad are all in Kisuke Urahara 's shop looking after Nozomi . Rukia appears and tells Ichigo to join the Soul Reapers in his room to formulate a strategy on Nozomi 's protection . Orihime organizes a barbecue to cheer up Nozomi and get her to open up to the others , however she runs away . Kon , Orihime , Uryū and Chad try to find her . A very concerned Kon eventually finds her , later leaving her in the care of Rangiku , but fails to realize that Rangiku is the impostor trying to capture Nozomi . After he realizes that Nozomi was captured by Rangiku , he attempts to save her , however he can not defeat Rangiku 's reigai , and after he himself is defeated , Ichigo , Rukia , Renji and Rangiku all arrive to save Nozomi , and Rangiku 's reigai escapes . During the barbecue , Nozomi starts to eat after Kon offers her some of the barbecued food .     321   `` Showdown of Mutual Self , Ikkaku vs. Ikkaku ! '' `` Jibun Dōshi no Taiketsu , Ikkaku tai Ikkaku ! '' ( </t>
    </r>
    <r>
      <rPr>
        <sz val="11"/>
        <color rgb="FF000000"/>
        <rFont val="Noto Sans CJK SC"/>
        <family val="2"/>
      </rPr>
      <t xml:space="preserve">自分 同士 の 対決 、 一角 </t>
    </r>
    <r>
      <rPr>
        <sz val="11"/>
        <color rgb="FF000000"/>
        <rFont val="Calibri"/>
        <family val="0"/>
        <charset val="1"/>
      </rPr>
      <t xml:space="preserve">VS </t>
    </r>
    <r>
      <rPr>
        <sz val="11"/>
        <color rgb="FF000000"/>
        <rFont val="Noto Sans CJK SC"/>
        <family val="2"/>
      </rPr>
      <t xml:space="preserve">一角 </t>
    </r>
    <r>
      <rPr>
        <sz val="11"/>
        <color rgb="FF000000"/>
        <rFont val="Calibri"/>
        <family val="0"/>
        <charset val="1"/>
      </rPr>
      <t xml:space="preserve">! )   May 10 , 2011   November 2 , 2013     Ukitake and Kyōraku , suspecting some sort of foul play in the Soul Society , recall on their previous mandatory captains ' meeting , where Mayuri claims and Kenpachi agrees that Ichigo tampered with his work in the Dangai , and it has been decided by Genryūsai Shigekuni Yamamoto that Ichigo will be placed under suspicion . Unbeknownst to Ukitake and Kyōraku , both Mayuri and Kenpachi were actually the imposters . Meanwhile in Karakura Town , Ichigo finds Kon tied up in his closet , which means Nozomi has escaped again . Ichigo and his friends proceed to search for her . Kon manages to find her in a forest , though she is reluctant to return and runs away again . Elsewhere in the forest , Ikkaku , Yumichika Ayasegawa , Shūhei Hisagi and Marechiyo Ōmaeda are confronted by their respective reigai . Ōmaeda is surprised when his reigai appears to be more attractive than him . While Hisagi and Ōmaeda trick their imposters and defeat them , things do not go well for Ikkaku and Yumichika . Luckily , their reigai are fended off after Uryū arrives to join the fray . Ikkaku and Yumichika 's reigai retreat , with their respective originals badly injured and unconscious . Kira 's reigai approaches Rangiku , Rukia encounters her own reigai , and Suì - Fēng arrests Kyōraku , who has been framed by Inaba .     322   `` Clash ! Rukia vs. Rukia ! '' `` Gekitotsu ! Rukia tai Rukia ! '' ( </t>
    </r>
    <r>
      <rPr>
        <sz val="11"/>
        <color rgb="FF000000"/>
        <rFont val="Noto Sans CJK SC"/>
        <family val="2"/>
      </rPr>
      <t xml:space="preserve">激突 </t>
    </r>
    <r>
      <rPr>
        <sz val="11"/>
        <color rgb="FF000000"/>
        <rFont val="Calibri"/>
        <family val="0"/>
        <charset val="1"/>
      </rPr>
      <t xml:space="preserve">! </t>
    </r>
    <r>
      <rPr>
        <sz val="11"/>
        <color rgb="FF000000"/>
        <rFont val="Noto Sans CJK SC"/>
        <family val="2"/>
      </rPr>
      <t xml:space="preserve">ルキア </t>
    </r>
    <r>
      <rPr>
        <sz val="11"/>
        <color rgb="FF000000"/>
        <rFont val="Calibri"/>
        <family val="0"/>
        <charset val="1"/>
      </rPr>
      <t xml:space="preserve">VS </t>
    </r>
    <r>
      <rPr>
        <sz val="11"/>
        <color rgb="FF000000"/>
        <rFont val="Noto Sans CJK SC"/>
        <family val="2"/>
      </rPr>
      <t xml:space="preserve">ルキア </t>
    </r>
    <r>
      <rPr>
        <sz val="11"/>
        <color rgb="FF000000"/>
        <rFont val="Calibri"/>
        <family val="0"/>
        <charset val="1"/>
      </rPr>
      <t xml:space="preserve">! )   May 17 , 2011   November 9 , 2013     Kon continues to follow Nozomi , who claims to have some sort of uncertain destination to find . Ichigo , Orihime and Chad are seen searching for Nozomi , while Uryū is seen tending to the wounds of Ikkaku , Yumikchika , Hisagi and Ōmaeda . Rangiku , blocking the attacks of Kira 's reigai , is surprised when her zanpakutō drops to the ground , since his new and improved zanpakutō can increase the weight of whatever he strikes up to tenfold the amount . However , Rangiku , now subdued , cleverly blocks his zanpakutō with a heavy steel pole , trapping it onto the ground , allowing her to defeat him and cause him to disintegrate . Ukitake , pleading to Central 46 to release Kyōraku , is denied his request , and he later meets with Retsu Unohana , who warns him to be careful . Rukia 's reigai is soon joined with Nemu Kurotsuchi 's reigai to brawl against Rukia , but Nemu arrives and kills her reigai , which disintegrates and leaves behind a red stone , assuming this is true form of the reigai . Elsewhere , Nozomi tells Kon she must find a place with a row of shrine gates , and Kon agrees to take her to the first place he remembers . Rukia , who apparently defeats her reigai , joins Nemu and Rangiku to search for Nozomi , but Rukia is revealed to actually be the fake Rukia , who then tosses Nemu and Rangiku into the river with the real Rukia . Ukitake is slashed by Kyōraku when freeing him from imprisonment , revealing this Kyōraku to also be a reigai . The false Ukitake meets up with the false Kyōraku , as they prepare to flee .     323   `` Protect Ichigo ! Nozomi 's Determination '' `` Mamore Ichigo ! Nozomi no Ketsui '' ( </t>
    </r>
    <r>
      <rPr>
        <sz val="11"/>
        <color rgb="FF000000"/>
        <rFont val="Noto Sans CJK SC"/>
        <family val="2"/>
      </rPr>
      <t xml:space="preserve">護れ 一 護 </t>
    </r>
    <r>
      <rPr>
        <sz val="11"/>
        <color rgb="FF000000"/>
        <rFont val="Calibri"/>
        <family val="0"/>
        <charset val="1"/>
      </rPr>
      <t xml:space="preserve">! </t>
    </r>
    <r>
      <rPr>
        <sz val="11"/>
        <color rgb="FF000000"/>
        <rFont val="Noto Sans CJK SC"/>
        <family val="2"/>
      </rPr>
      <t xml:space="preserve">望実 の 決意 </t>
    </r>
    <r>
      <rPr>
        <sz val="11"/>
        <color rgb="FF000000"/>
        <rFont val="Calibri"/>
        <family val="0"/>
        <charset val="1"/>
      </rPr>
      <t xml:space="preserve">)   May 24 , 2011   November 16 , 2013     Orihime and Chad find Rukia , Nemu and Rangiku washed up on the shore of the river . As Orihime goes to heal them , Chad is attacked by Renji 's reigai . In the Soul Society , Ukitake and Kyōraku 's reigai confront Yamamoto , who claims he has known all along about their intent to kill him . Unohana meets with Isane Kotetsu and explains to her that she has gone through secret archives of the Soul Society and has determined Inaba as the perpetrator . Inaba then reveals himself and demonstrates the power of his zanpakutō as Isane attacks him . Unohana infers that he has used his research to form a zanpakutō that can move through both space and time . Inaba confirms this and then retreats . As Chad is confronting the false Renji , the real Renji appears and attacks his imposter , both eventually defeating the reigai . Meanwhile , Nozomi explains to Kon that the human world has several natural Senkaimon , some leading to empty voids . Her plan is to enter one and vanish , rendering Inaba unable to capture her . The reigai of Rukia , Rangiku , Ikkaku , Yumichika , Hisagi and Ōmaeda appear to apprehend her , but they are confronted by Ichigo , who unleashes a powerful Getsuga Tenshō , destroying them all .     324   `` Recapture Seireitei ! The Captains Move ! '' `` Seireitei Dakkan e ! Taichō - tachi , Ugoku ! '' ( </t>
    </r>
    <r>
      <rPr>
        <sz val="11"/>
        <color rgb="FF000000"/>
        <rFont val="Noto Sans CJK SC"/>
        <family val="2"/>
      </rPr>
      <t xml:space="preserve">瀞 霊 廷 奪還 へ </t>
    </r>
    <r>
      <rPr>
        <sz val="11"/>
        <color rgb="FF000000"/>
        <rFont val="Calibri"/>
        <family val="0"/>
        <charset val="1"/>
      </rPr>
      <t xml:space="preserve">! </t>
    </r>
    <r>
      <rPr>
        <sz val="11"/>
        <color rgb="FF000000"/>
        <rFont val="Noto Sans CJK SC"/>
        <family val="2"/>
      </rPr>
      <t xml:space="preserve">隊長 たち 、 動く </t>
    </r>
    <r>
      <rPr>
        <sz val="11"/>
        <color rgb="FF000000"/>
        <rFont val="Calibri"/>
        <family val="0"/>
        <charset val="1"/>
      </rPr>
      <t xml:space="preserve">! )   May 31 , 2011   November 23 , 2013     Hitsugaya , Byakuya , Kenpachi , Yachiru Kusajishi and Sajin Komamura , the five Soul Reapers trapped in the living world , use Urahara 's Senkaimon to return to the Soul Society . They fall into Inaba 's trap in the Dangai , where Komamura stays behind to counter the kōryū , the restrictive current passing through the Dangai . As the other three arrive , they go their separate ways . Kenpachi encounters his false counterpart and engages in fierce combat . At first being defeated , he then regains the upper hand and destroys his reigai after encouragement from Yachiru . Meanwhile , Ukitake and Kyōraku 's reigai continue their battle with Yamamoto , claiming that they have not lost their pride despite being reigai . Also , Unohana and Isane confront Inaba at his headquarters , where he explains how he created these reigai . Isane suddenly turns on Unohana , revealing herself to be an impostor . Unohana 's reigai then arrives and meets with her original .     325   `` For the Sake of the Believers ! Byakuya vs. Hitsugaya ! '' `` Shinzuru Mono no Tame ni ! Byakuya tai Hitsugaya ! '' ( </t>
    </r>
    <r>
      <rPr>
        <sz val="11"/>
        <color rgb="FF000000"/>
        <rFont val="Noto Sans CJK SC"/>
        <family val="2"/>
      </rPr>
      <t xml:space="preserve">信ずる ものの 為 に </t>
    </r>
    <r>
      <rPr>
        <sz val="11"/>
        <color rgb="FF000000"/>
        <rFont val="Calibri"/>
        <family val="0"/>
        <charset val="1"/>
      </rPr>
      <t xml:space="preserve">! </t>
    </r>
    <r>
      <rPr>
        <sz val="11"/>
        <color rgb="FF000000"/>
        <rFont val="Noto Sans CJK SC"/>
        <family val="2"/>
      </rPr>
      <t xml:space="preserve">白 哉 </t>
    </r>
    <r>
      <rPr>
        <sz val="11"/>
        <color rgb="FF000000"/>
        <rFont val="Calibri"/>
        <family val="0"/>
        <charset val="1"/>
      </rPr>
      <t xml:space="preserve">vs </t>
    </r>
    <r>
      <rPr>
        <sz val="11"/>
        <color rgb="FF000000"/>
        <rFont val="Noto Sans CJK SC"/>
        <family val="2"/>
      </rPr>
      <t xml:space="preserve">日 番 谷 </t>
    </r>
    <r>
      <rPr>
        <sz val="11"/>
        <color rgb="FF000000"/>
        <rFont val="Calibri"/>
        <family val="0"/>
        <charset val="1"/>
      </rPr>
      <t xml:space="preserve">! )   June 7 , 2011   November 30 , 2013     Unohana and her imposter engage in conflict using kido attacks , with Unohana escaping . Ukitake and Kyōraku 's reigai are unable to defeat Yamamoto , who criticizes their claim that they retain their pride . Unohana 's reigai arrives and heals their wounds , revealing their strategy was to exhaust Yamamoto . Elsewhere in the Seireitei , Byakuya is stopped by the Hitsugaya 's reigai , and the two unleash their bankai in a brief battle . Byakuya asks why someone would fight for Inaba , and Histugaya 's reigai claims that he wants to protect someone , whom the original does not have the power to do so . Byakuya criticizes his motives and eventually manages to defeat him , though narrowly escaping Hitsugaya 's Hyōten Hyakkasō . Back in the living world , Ichigo asks Urahara to send him to the Soul Society . He is advised not to go due to his declining spiritual energy . However , Nozomi steps up and reveals a type of healing kido that restores some of Ichigo 's lost spiritual energy . He then proceeds with heading to the Soul Society , where Inaba meets with the unresponsive figure resembling Nozomi , claiming Nozomi will return .     326   `` The Two Hinamori , Hitsugaya 's Resolution '' `` Futari no Hinamori , Hitsugaya no Kakugo '' ( </t>
    </r>
    <r>
      <rPr>
        <sz val="11"/>
        <color rgb="FF000000"/>
        <rFont val="Noto Sans CJK SC"/>
        <family val="2"/>
      </rPr>
      <t xml:space="preserve">ふたり の 雛 森 、 日 番 谷 の 覚悟 </t>
    </r>
    <r>
      <rPr>
        <sz val="11"/>
        <color rgb="FF000000"/>
        <rFont val="Calibri"/>
        <family val="0"/>
        <charset val="1"/>
      </rPr>
      <t xml:space="preserve">)   June 14 , 2011   January 4 , 2014     Ichigo , entering through the Dangai , reaches the Soul Society , where he later encounters Inaba . After Byakuya kills the fake Hitsugaya , he moves forward , where he encounters his own reigai . While in a bamboo forest , Kenpachi is attacked by Suì - Fēng 's reigai , but he easily defeats her squad members . Hitsugaya is confronted by fake Momo Hinamori , but he can not being himself to kill her , despite knowing she is an imposter . The real Momo seems to appear and attacks her reigai , but both are revealed to be reigai , after tricking him into saving one of them , and they cut him down . Yoruichi then appears and defeats both of the reigai , saving Hitsugaya . Meanwhile , Suì - Fēng 's reigai attacks Kenpachi , but Komamura interrupts and challenges her . Inaba , while attacking Ichigo , explains that his lack of purity makes him an erasable anomaly . Inaba then uses his zanpakutō to trap Ichigo in the Dangai .     327   `` Pride of the Kuchiki Family ! Byakuya vs. Byakuya ! '' `` Kuchiki - ke no Hokori ! Byakuya tai Byakuya ! '' ( </t>
    </r>
    <r>
      <rPr>
        <sz val="11"/>
        <color rgb="FF000000"/>
        <rFont val="Noto Sans CJK SC"/>
        <family val="2"/>
      </rPr>
      <t xml:space="preserve">朽木 家 の 誇り </t>
    </r>
    <r>
      <rPr>
        <sz val="11"/>
        <color rgb="FF000000"/>
        <rFont val="Calibri"/>
        <family val="0"/>
        <charset val="1"/>
      </rPr>
      <t xml:space="preserve">! </t>
    </r>
    <r>
      <rPr>
        <sz val="11"/>
        <color rgb="FF000000"/>
        <rFont val="Noto Sans CJK SC"/>
        <family val="2"/>
      </rPr>
      <t xml:space="preserve">白 哉 </t>
    </r>
    <r>
      <rPr>
        <sz val="11"/>
        <color rgb="FF000000"/>
        <rFont val="Calibri"/>
        <family val="0"/>
        <charset val="1"/>
      </rPr>
      <t xml:space="preserve">VS </t>
    </r>
    <r>
      <rPr>
        <sz val="11"/>
        <color rgb="FF000000"/>
        <rFont val="Noto Sans CJK SC"/>
        <family val="2"/>
      </rPr>
      <t xml:space="preserve">白 哉 </t>
    </r>
    <r>
      <rPr>
        <sz val="11"/>
        <color rgb="FF000000"/>
        <rFont val="Calibri"/>
        <family val="0"/>
        <charset val="1"/>
      </rPr>
      <t xml:space="preserve">! )   June 21 , 2011   January 11 , 2014     Byakuya confronts his false counterpart , originally struggling until he releases his bankai . Meanwhile , Komamura is having difficulty dealing with Suì - Fēng 's reigai , whose speed and abilities seem to outmatch his . In a desperate final attempt , both of them clash with their bankai , and the battle ends in a draw . Elsewhere , a frustrated Yamamato releases a powerful wall of fire , seemingly engulfing the imposters that were challenging him . In the world of the living , Ichigo 's friends express concern when Urahara tells them he can not detect Ichigo 's spiritual pressure .     328   `` Defeat Kageroza ! Shinigami , All - Out War ! '' `` Kagerōza o Taose ! Shinigami , Sōryokusen ! '' ( </t>
    </r>
    <r>
      <rPr>
        <sz val="11"/>
        <color rgb="FF000000"/>
        <rFont val="Noto Sans CJK SC"/>
        <family val="2"/>
      </rPr>
      <t xml:space="preserve">影 狼 佐 を 倒せ </t>
    </r>
    <r>
      <rPr>
        <sz val="11"/>
        <color rgb="FF000000"/>
        <rFont val="Calibri"/>
        <family val="0"/>
        <charset val="1"/>
      </rPr>
      <t xml:space="preserve">! </t>
    </r>
    <r>
      <rPr>
        <sz val="11"/>
        <color rgb="FF000000"/>
        <rFont val="Noto Sans CJK SC"/>
        <family val="2"/>
      </rPr>
      <t xml:space="preserve">死神 、 総力 戦 </t>
    </r>
    <r>
      <rPr>
        <sz val="11"/>
        <color rgb="FF000000"/>
        <rFont val="Calibri"/>
        <family val="0"/>
        <charset val="1"/>
      </rPr>
      <t xml:space="preserve">! )   June 28 , 2011   January 18 , 2014     Hitsugaya and Kenpachi arrive at Inaba 's base of operations . They engage him in combat , and Inaba reveals his zanpakutō can record attacks in the Dangai and fire them back at the opponent . As Inaba gains the upper hand , Yoruichi and the captains arrive , aside from Komamura , Unahana , Yamamoto and Mayuri . Elsewhere , Ichigo is rescued in the Dangai by a mysterious figure . Inaba summons the remaining reigai , and a brawl between the originals and the fakes ensues . At first , Yoruichi and the captains are able to overpower Inaba and his forces . However , when they lose the upper hand , a seemingly false Mayuri slashes Inaba , revealing he switched places with the imposter .     329   `` The Forbidden Research ... Nozomi 's Hidden Secret ! '' `` Kindan no Kenkyū ... Nozomi ni Kakusareta Himitsu ! '' ( </t>
    </r>
    <r>
      <rPr>
        <sz val="11"/>
        <color rgb="FF000000"/>
        <rFont val="Noto Sans CJK SC"/>
        <family val="2"/>
      </rPr>
      <t xml:space="preserve">禁断 の 研究 </t>
    </r>
    <r>
      <rPr>
        <sz val="11"/>
        <color rgb="FF000000"/>
        <rFont val="Calibri"/>
        <family val="0"/>
        <charset val="1"/>
      </rPr>
      <t xml:space="preserve">... </t>
    </r>
    <r>
      <rPr>
        <sz val="11"/>
        <color rgb="FF000000"/>
        <rFont val="Noto Sans CJK SC"/>
        <family val="2"/>
      </rPr>
      <t xml:space="preserve">望実 に 隠 され た 秘密 </t>
    </r>
    <r>
      <rPr>
        <sz val="11"/>
        <color rgb="FF000000"/>
        <rFont val="Calibri"/>
        <family val="0"/>
        <charset val="1"/>
      </rPr>
      <t xml:space="preserve">! )   July 5 , 2011   January 25 , 2014     Ichigo awakens at the Urahara Shop , mystified as to how he was rescued . Urahara tells him that there are several ways to escape the kōryū but none to escape the Kōtotsu , so it is unknown how Ichigo escaped . Elsewhere , Mayuri uses his zanpakutō to drug Inaba , which slows down his ability to think . However , Isane then summons Isane 's reigai and attacks her . At the Urahara Shop , Rukia then explains Project Spearhead to the rest of the group in which modified souls were used . Inaba then takes the soul candy from the reigai and swallows it , resulting with Inaba being rejected from his body and the reigai taking the effects of the drug . Inaba , revealing his backstory as the one who created modified souls , then ressurects most of the defeated reigai , unleashing their true strength . Nozomi admits she was the first modified soul .     330   `` I Want to Live ... ! Nozomi 's Zanpakutō '' `` Ikitai ... ! Nozomi no Zanpakutō '' ( </t>
    </r>
    <r>
      <rPr>
        <sz val="11"/>
        <color rgb="FF000000"/>
        <rFont val="Noto Sans CJK SC"/>
        <family val="2"/>
      </rPr>
      <t xml:space="preserve">生き たい </t>
    </r>
    <r>
      <rPr>
        <sz val="11"/>
        <color rgb="FF000000"/>
        <rFont val="Calibri"/>
        <family val="0"/>
        <charset val="1"/>
      </rPr>
      <t xml:space="preserve">... ! </t>
    </r>
    <r>
      <rPr>
        <sz val="11"/>
        <color rgb="FF000000"/>
        <rFont val="Noto Sans CJK SC"/>
        <family val="2"/>
      </rPr>
      <t xml:space="preserve">望実 の 斬 魄 刀 </t>
    </r>
    <r>
      <rPr>
        <sz val="11"/>
        <color rgb="FF000000"/>
        <rFont val="Calibri"/>
        <family val="0"/>
        <charset val="1"/>
      </rPr>
      <t xml:space="preserve">)   July 12 , 2011   February 1 , 2014     Renji reports to Yamamoto and informs him that the captains involved in the brawl with Inaba have not been heard from . Yamamoto then states that only Ichigo , Rukia , Renji , Ikkaku and Yumichika are prepared for battle . Yamamoto then speculates several hollows may have gathered due to the spiritual disturbance . Nozomi stays at Ichigo 's house for the time being , and Kon has been feeling really depressed lately because of what Nozomi admitted . Ichigo and Rukia have been handling many hollows during this , while their friends share their concern for Kon and keep Nozomi company . That night , while Ichigo is sleeping , Nozomi leaves the house and goes for a walk . However , she is then attacked by a hollow , and a confident Kon arrives to defend her . After the hollow easily deals with them both , Nozomi 's frustration releases a bout of spiritual pressure , and she regains her Soul Reaper abilities , defeating the hollow .     331   `` For the Sake of Fighting ! The Awakened Nozomi ! '' `` Tatakau Tame ni ! Mezame yo Nozomi ! '' ( </t>
    </r>
    <r>
      <rPr>
        <sz val="11"/>
        <color rgb="FF000000"/>
        <rFont val="Noto Sans CJK SC"/>
        <family val="2"/>
      </rPr>
      <t xml:space="preserve">戦う ため に </t>
    </r>
    <r>
      <rPr>
        <sz val="11"/>
        <color rgb="FF000000"/>
        <rFont val="Calibri"/>
        <family val="0"/>
        <charset val="1"/>
      </rPr>
      <t xml:space="preserve">! </t>
    </r>
    <r>
      <rPr>
        <sz val="11"/>
        <color rgb="FF000000"/>
        <rFont val="Noto Sans CJK SC"/>
        <family val="2"/>
      </rPr>
      <t xml:space="preserve">目覚めよ 望実 </t>
    </r>
    <r>
      <rPr>
        <sz val="11"/>
        <color rgb="FF000000"/>
        <rFont val="Calibri"/>
        <family val="0"/>
        <charset val="1"/>
      </rPr>
      <t xml:space="preserve">! )   July 19 , 2011   February 8 , 2014     After regaining Soul Reaper abilities , Nozomi decides that she wants to help defeat Inaba , but she has yet to remember the name and power of her zanpakutō . Ichigo , Rukia , Uryū and Chad decide to help Nozomi awaken her dormant powers through the same rigorous training that Ichigo underwent to awaken his . Meanwhile , Inaba orders the fakes of Byakuya , Hitsugaya , Kenpachi and Komamura to infiltrate the human world , but the four fall into a trap set by Urahara , who separates them during their travel through the Dangai . When the four fakes arrive in various areas , Ikkaku battles Kenpachi 's reigai , while some of the lieutenants deal with the rest , all to buy more time for Nozomi . Taking advice from Yumichika to not hold back on her training , Ichigo throws a Getsuga Tenshō at Nozomi , allowing her to finally remember the name of her zanpakutō , Arazome Shigure , which seemingly swallows up all of Ichigo 's spiritual pressure . Ikkaku looks like he is about to be delivered the finishing blow by Kenpachi 's reigai , but Nozomi arrives and seemingly obliterates Kenpachi 's reigai with her zanpakutō .     332   `` The Most Evil Reigai , Appearing in the Real World ! '' `` Saikyo no Reigai , Gense ni Arawaru ! '' ( </t>
    </r>
    <r>
      <rPr>
        <sz val="11"/>
        <color rgb="FF000000"/>
        <rFont val="Noto Sans CJK SC"/>
        <family val="2"/>
      </rPr>
      <t xml:space="preserve">最 凶 の 霊 骸 、 現世 に 現 る </t>
    </r>
    <r>
      <rPr>
        <sz val="11"/>
        <color rgb="FF000000"/>
        <rFont val="Calibri"/>
        <family val="0"/>
        <charset val="1"/>
      </rPr>
      <t xml:space="preserve">! )   July 26 , 2011   February 15 , 2014     Hisagi and Kira take on Hitsugaya 's reigai , while Rangiku and Tetsuzaemon Iba fight Komamura 's reigai . Renji and Rukia face Byakuya 's reigai , covering for Ōmaeda after seemingly being defeated . When Kenpachi 's reigai reappears to fight Nozomi , Yumichika faces him to avenge his fallen comrade , while Ichigo and Nozomi tend to Ikkaku 's wounds . An unsatisfied Nozomi wants to help out in the ongoing battles , but all of the lieutenants tell her to get out of the way and go to safety . The lieutenants are soon cut down or are at their limits against the four false captains . Kenpachi challenges Ichigo to a match , but when Hitsugaya eagerly joins in and attacks Nozomi , she then deals a considerable amount of damage to him in one shot . Byakuya 's reigai , realizing the power of her zanpakutō , tries to bind her to keep her from using it , but Uryū manages to save her . After witnessing Nozomi absorb an attack from his bow , Ginrei Kojaku , Uryū deduces that her zanpakutō can absorb anything with spiritual pressure . Having no other choice but to rely on her , Ichigo , Uryū , Chad and the remaining lieutenants all direct their spiritual pressure at Nozomi , which she redirects at the four false captains . Byakuya 's reigai survives the attack , but Yamamoto suddenly appears and defeats him .     333   `` Destroy Nozomi ! ? Genryusai 's Decision ! '' `` Nozomi o Kesu ! ? Genryūsai no Ketsudan ! '' ( </t>
    </r>
    <r>
      <rPr>
        <sz val="11"/>
        <color rgb="FF000000"/>
        <rFont val="Noto Sans CJK SC"/>
        <family val="2"/>
      </rPr>
      <t xml:space="preserve">望実 を 消す </t>
    </r>
    <r>
      <rPr>
        <sz val="11"/>
        <color rgb="FF000000"/>
        <rFont val="Calibri"/>
        <family val="0"/>
        <charset val="1"/>
      </rPr>
      <t xml:space="preserve">! ? </t>
    </r>
    <r>
      <rPr>
        <sz val="11"/>
        <color rgb="FF000000"/>
        <rFont val="Noto Sans CJK SC"/>
        <family val="2"/>
      </rPr>
      <t xml:space="preserve">元 柳 斎 の 決断 </t>
    </r>
    <r>
      <rPr>
        <sz val="11"/>
        <color rgb="FF000000"/>
        <rFont val="Calibri"/>
        <family val="0"/>
        <charset val="1"/>
      </rPr>
      <t xml:space="preserve">! )   August 2 , 2011   February 22 , 2014     Yamamoto believes Nozomi is unimportant to him , due to the fact that she is a modified soul . Ichigo tells Uryū and Chad to bring the injured lieutenants to Orihime to be healed . Ukitake and Kyōraku 's reigai suddenly appear in the living world and are back for a rematch with Yamamoto , but Ichigo and Nozomi take over for now and spar with the two . Ichigo later has to cover for Nozomi when she is defeated , but even then he barely evades the attacks of Ukitake and Kyōraku 's reigai . Yamamoto , distracted at this , is soon immobilized by the Unohara 's reigai , but as the original Unohara stops her , he is able to break the seal with his spiritual pressure . When Yamamoto is about to be attacked by the three reigai , Inaba arrives and commands them to stop , as he wants to be the one to battle Yamamoto . Nozomi offers to be a decoy to prevent Inaba from copying Yamamoto 's techniques . Inaba avoids crossing swords with Nozomi , knowing full well of her abilities , but Nozomi pulls out a surprise attack , having already absorbed Yamamoto 's spiritual pressure . Yamamoto attacks Inaba with his flames , as this was a diversion for Ichigo to use his Getsuga Tenshō on Inaba . However , Ichigo collapses and Nozomi goes to catch him . Inaba , revealed to still be alive , was able to copy the abilities of Nozomi , absorbing both Yamamoto and Ichigo 's attacks . As Inaba then uses this to finish Yamamoto off , Nozomi appears before the blast in an attempt to absorb the attack .     334   `` The Depleting Reiatsu ! Ichigo , Death Struggle of the Soul ! '' `` Ushinawareru Reiatsu ! Ichigo , Tamashii no Shitō ! '' ( </t>
    </r>
    <r>
      <rPr>
        <sz val="11"/>
        <color rgb="FF000000"/>
        <rFont val="Noto Sans CJK SC"/>
        <family val="2"/>
      </rPr>
      <t xml:space="preserve">失 われる 霊 圧 </t>
    </r>
    <r>
      <rPr>
        <sz val="11"/>
        <color rgb="FF000000"/>
        <rFont val="Calibri"/>
        <family val="0"/>
        <charset val="1"/>
      </rPr>
      <t xml:space="preserve">! </t>
    </r>
    <r>
      <rPr>
        <sz val="11"/>
        <color rgb="FF000000"/>
        <rFont val="Noto Sans CJK SC"/>
        <family val="2"/>
      </rPr>
      <t xml:space="preserve">一 護 、 魂 の 死闘 </t>
    </r>
    <r>
      <rPr>
        <sz val="11"/>
        <color rgb="FF000000"/>
        <rFont val="Calibri"/>
        <family val="0"/>
        <charset val="1"/>
      </rPr>
      <t xml:space="preserve">! )   August 9 , 2011   March 1 , 2014     Nozomi 's zanpakutō breaks in the midst of trying to protect Yamamoto from Inaba 's attack . Ichigo and Kon try to save Nozomi from being taken away , but Inaba reveals that he and Nozomi were created by the same spirit particles of another Soul Reaper . He defeats Ichigo , Rukia and Renji , while Nozomi manages to run away with Kon in tow . Nozomi sadly binds Kon to a rock , running away without him . Ichigo is seen still conscious and struggling to catch up with Nozomi . When Inaba finds Nozomi , he falls due to a loose rock on a slope . Ichigo finally catches up and defeats Inaba with a Getsuga Tenshō , only to discover that it was a clone that Inaba created . Inaba knocks Ichigo out in one swipe , passes Nozomi out and proceeds to leave the world of the living with her . Kon , still bound to a rock tries to follow them , but he is too late . He is seen crying out for Nozomi , while Ichigo 's uniform turns white as a result of his depleting spiritual energy .     335   `` Hiding in the Dangai ? Another Ichigo ? ! '' `` Dangai ni Senpuku ? Mō Hitori no Ichigo ! ? '' ( </t>
    </r>
    <r>
      <rPr>
        <sz val="11"/>
        <color rgb="FF000000"/>
        <rFont val="Noto Sans CJK SC"/>
        <family val="2"/>
      </rPr>
      <t xml:space="preserve">断 界 に 潜伏 </t>
    </r>
    <r>
      <rPr>
        <sz val="11"/>
        <color rgb="FF000000"/>
        <rFont val="Calibri"/>
        <family val="0"/>
        <charset val="1"/>
      </rPr>
      <t xml:space="preserve">? </t>
    </r>
    <r>
      <rPr>
        <sz val="11"/>
        <color rgb="FF000000"/>
        <rFont val="Noto Sans CJK SC"/>
        <family val="2"/>
      </rPr>
      <t xml:space="preserve">もう 一人 の 一 護 </t>
    </r>
    <r>
      <rPr>
        <sz val="11"/>
        <color rgb="FF000000"/>
        <rFont val="Calibri"/>
        <family val="0"/>
        <charset val="1"/>
      </rPr>
      <t xml:space="preserve">! ? )   August 16 , 2011   March 8 , 2014     Following his defeat by Inaba , Ichigo has lost his Soul Reaper powers . Still determined to save Nozomi , Ichigo and his friends gather at the Urahara Shop to come up with a rescue plan . Urahara comes up with a risky plan that involves Ichigo going in the Dangai and being swallowed by the Kōtotsu to retrieve a sample of his Soul Reaper powers , since he was swallowed before . The plan works and Ichigo gets out of the Kōtotsu . When he meets up with everyone , he states that he saw another one of himself when he was inside the Kōtotsu , leading Urahara to conclude that Ichigo saved himself when he was first swallowed , since there is no time in the Kōtotsu .     336   `` Pursue Kageroza ! Technological Development Department , Infiltration ! '' `` Kagerōza o Oe ! Gijutsu Kaihatsukyoku , Sennyū ! '' ( </t>
    </r>
    <r>
      <rPr>
        <sz val="11"/>
        <color rgb="FF000000"/>
        <rFont val="Noto Sans CJK SC"/>
        <family val="2"/>
      </rPr>
      <t xml:space="preserve">影 狼 佐 を 追え </t>
    </r>
    <r>
      <rPr>
        <sz val="11"/>
        <color rgb="FF000000"/>
        <rFont val="Calibri"/>
        <family val="0"/>
        <charset val="1"/>
      </rPr>
      <t xml:space="preserve">! </t>
    </r>
    <r>
      <rPr>
        <sz val="11"/>
        <color rgb="FF000000"/>
        <rFont val="Noto Sans CJK SC"/>
        <family val="2"/>
      </rPr>
      <t xml:space="preserve">技術 開発 局 、 潜入 </t>
    </r>
    <r>
      <rPr>
        <sz val="11"/>
        <color rgb="FF000000"/>
        <rFont val="Calibri"/>
        <family val="0"/>
        <charset val="1"/>
      </rPr>
      <t xml:space="preserve">! )   August 23 , 2011   March 15 , 2014     Inside the Dangai , Rukia and the others act as decoys to draw away the attention of the reigai while Ichigo , Urahara and Kon break into the Seireitei . As they search for Inaba 's laboratory , Urahara makes an attempt to restore Ichigo 's lost powers by creating a soul candy , but is discovered by Nanao and Nemu 's reigai . At the last minute before an explosion , Ichigo breaks the glass containing the soul candy and consumes it . However , as stated by Urahara , the candy was incomplete , making both his Soul Reaper and hollow powers unbalanced . While escaping , the three are ambushed by the false captains , but are saved when Yoruichi and the originals appear , ready to fight .     337   `` The Developer of the Modified Souls '' `` Kaizō Konpaku no Kaihatsusha '' ( </t>
    </r>
    <r>
      <rPr>
        <sz val="11"/>
        <color rgb="FF000000"/>
        <rFont val="Noto Sans CJK SC"/>
        <family val="2"/>
      </rPr>
      <t xml:space="preserve">改造 魂魄 の 開発 者 </t>
    </r>
    <r>
      <rPr>
        <sz val="11"/>
        <color rgb="FF000000"/>
        <rFont val="Calibri"/>
        <family val="0"/>
        <charset val="1"/>
      </rPr>
      <t xml:space="preserve">)   August 30 , 2011   March 22 , 2014     The captains , thought to have fallen in battle , return to fight the reigai . Meanwhile , Ichigo powers continue to grow unstable , forcing him to rest for the time being , while Urahara and Kon continue their investigation on Inaba . Urahara and Kon later find out about Ōko Yushima , the Soul Reaper who extracted all of his spirit particles and separating them into two modified souls , them being Nozomi and Inaba . When visiting Yushima 's cell in the Nest of Maggots , they get attacked by Suì - Fēng and Ōmaeda 's reigai , but are later defeated by Urahara . The two visit Yushima 's cell , only to find him unresponsive , leading Urahara to conclude that Yushima will never gain consciousness . Meanwhile , Ichigo 's hollowfied form finally takes over and escapes the building he was in .     338   `` Kon 's Thoughts , Nozomi 's Thoughts '' `` Kon no Omoi , Nozomi no Omoi '' ( </t>
    </r>
    <r>
      <rPr>
        <sz val="11"/>
        <color rgb="FF000000"/>
        <rFont val="Noto Sans CJK SC"/>
        <family val="2"/>
      </rPr>
      <t xml:space="preserve">コン の 想い 、 望実 の 想い </t>
    </r>
    <r>
      <rPr>
        <sz val="11"/>
        <color rgb="FF000000"/>
        <rFont val="Calibri"/>
        <family val="0"/>
        <charset val="1"/>
      </rPr>
      <t xml:space="preserve">)   September 6 , 2011   March 29 , 2014     Urahara and Kon head to the location where Inaba 's other laboratory might be , only to be halted by Urahara 's reigai . As Urahara battles his counterpart , Kon dashes down into the laboratory , where he promptly tries to awaken Nozomi inside her capsule . She does awaken and insists that Kon escape at first , but after seeing his persistence and his devotion of trying to save her , being bound by friendship , she tries to help Kon restore Ichigo 's spiritual energy . Before Ichigo 's soul candy can be created , Nemu 's reigai appears and stops the transfer . Immediately afterwards , the fusion process between Nozomi and Inaba is completed . Ichigo 's hollowfied form defeats the eighth division members , but when he is about to destroy Nanao 's reigai , the fused Yushima appears before him .     339   `` Protect Ichigo ! The Bonds of Friends ! '' `` Ichigo o Mamore ! Nakama - tachi no Kizuna ! '' ( </t>
    </r>
    <r>
      <rPr>
        <sz val="11"/>
        <color rgb="FF000000"/>
        <rFont val="Noto Sans CJK SC"/>
        <family val="2"/>
      </rPr>
      <t xml:space="preserve">一 護 を 護れ </t>
    </r>
    <r>
      <rPr>
        <sz val="11"/>
        <color rgb="FF000000"/>
        <rFont val="Calibri"/>
        <family val="0"/>
        <charset val="1"/>
      </rPr>
      <t xml:space="preserve">! </t>
    </r>
    <r>
      <rPr>
        <sz val="11"/>
        <color rgb="FF000000"/>
        <rFont val="Noto Sans CJK SC"/>
        <family val="2"/>
      </rPr>
      <t xml:space="preserve">仲間 たち の 絆 </t>
    </r>
    <r>
      <rPr>
        <sz val="11"/>
        <color rgb="FF000000"/>
        <rFont val="Calibri"/>
        <family val="0"/>
        <charset val="1"/>
      </rPr>
      <t xml:space="preserve">! )   September 13 , 2011   April 5 , 2014     Yushima , showing no interest in fighting Ichigo 's hollowfied form , tries to walk away , but the mindless hollowfied creature continues to pursue him , leading them both to clash on Sōkyoku Hill . The captains and their reigai counterparts are finally joined by their lieutenants , who help them in the battle . Rukia , Renji , Orihime , Uryū and Chad arrive on Sōkyoku Hill and all try to stop Yushima , but the combined powers of Nozomi and Inaba prove to be too much for them . Yushima reveals the true nature of his zanpakutō , Sumitsukigasa , and defeats everyone , but before he can finish them off , Ichigo jumps in front of Rukia to take an attack that was meant for her .     340   `` Reigai vs. Original , The Fierce Fighting for Gambled Pride ! '' `` Reigai tai Genshu , Hokori o Kaketa Gekitō ! '' ( </t>
    </r>
    <r>
      <rPr>
        <sz val="11"/>
        <color rgb="FF000000"/>
        <rFont val="Noto Sans CJK SC"/>
        <family val="2"/>
      </rPr>
      <t xml:space="preserve">霊 骸 </t>
    </r>
    <r>
      <rPr>
        <sz val="11"/>
        <color rgb="FF000000"/>
        <rFont val="Calibri"/>
        <family val="0"/>
        <charset val="1"/>
      </rPr>
      <t xml:space="preserve">VS </t>
    </r>
    <r>
      <rPr>
        <sz val="11"/>
        <color rgb="FF000000"/>
        <rFont val="Noto Sans CJK SC"/>
        <family val="2"/>
      </rPr>
      <t xml:space="preserve">原種 、 誇り を かけ た 激闘 </t>
    </r>
    <r>
      <rPr>
        <sz val="11"/>
        <color rgb="FF000000"/>
        <rFont val="Calibri"/>
        <family val="0"/>
        <charset val="1"/>
      </rPr>
      <t xml:space="preserve">! )   September 20 , 2011   April 12 , 2014     When Yushima stabs Ichigo with his zanpakutō , Ichigo goes into Yushima 's consciousness and sees an image of Nozomi , who calls out for him , causing his hollwfied form to break apart and losing all his powers again . Ichigo is left to watch as his friends attempt to overpower Yushima , but Yushima finds to a way to break through whatever they try to attack him with . Yushima has Nemu 's reigai bring him more fusion stabilizer , but when she arrives , she unexpectedly kicks him backward . It is revealed that Kon was helped by Urahara and Mayuri by placing his soul candy into that of Nemu 's reigai . Kon gives Ichigo a complete soul candy , which restores his powers . He prepares to unleash his bankai against Yushima . Meanwhile , Byakuya has deduced that the reigai do not sacrifice themselves to attack the originals when they are all together , as it goes against what they believe in . The originals join forces against the reigai to protect the Soul Society .     341   `` Invading Army Arc , Final Conclusion ! '' `` Shingun Hen , Saishū Ketchaku ! '' ( </t>
    </r>
    <r>
      <rPr>
        <sz val="11"/>
        <color rgb="FF000000"/>
        <rFont val="Noto Sans CJK SC"/>
        <family val="2"/>
      </rPr>
      <t xml:space="preserve">侵 軍 篇 、 最終 決着 </t>
    </r>
    <r>
      <rPr>
        <sz val="11"/>
        <color rgb="FF000000"/>
        <rFont val="Calibri"/>
        <family val="0"/>
        <charset val="1"/>
      </rPr>
      <t xml:space="preserve">! )   September 27 , 2011   April 19 , 2014     Ichigo successfully unleashes his bankai and fights against Yushima , while the captains and lieutenants fight the reigai . With the assistance of his friends , Ichigo is able to fire a hollowfied Getsuga Tenshō , which Yushima is unable to absorb because of his inability to absorb hollow spiritual pressure . Ichigo will have to attack Yushima 's saketsu , his binding soul chain , to destroy his hakusui , the source of his powers . As Yushima strikes at Ichigo , he catches his zanpakutō and fires a huge hollowfied Getsuga Tenshō , which causes great damage to Yushima and the area . Nozomi 's consciousness appears for a moment and asks to be killed , but Yushima takes complete control and unleashes a giant structure that absorbs the spirit particles from the Soul Society . Being surrounded by his structure and Ichigo out of the way , Nozomi regains control and creates a sword to slice Yushima 's saketsu . The reigai react shockingly to Yushima 's attack and reveal that their motive was to protect the Soul Society in their own way . The reigai proceed to attack the structure at the cost of their own lives , causing a huge explosion . Ichigo deactivates his bankai and has one last clash with an enraged Yushima before breaking the fusion . Nozomi and Inaba reappear once again , and Inaba begins to question his thoughts to Nozomi before fading away . Nozomi reuinites with Kon and the rest of her friends , but she starts fades away herself . Nozomi says a heartwarming goodbye to Kon and fades away .     342   `` Thank You '' `` Arigatō '' ( </t>
    </r>
    <r>
      <rPr>
        <sz val="11"/>
        <color rgb="FF000000"/>
        <rFont val="Noto Sans CJK SC"/>
        <family val="2"/>
      </rPr>
      <t xml:space="preserve">ありがとう </t>
    </r>
    <r>
      <rPr>
        <sz val="11"/>
        <color rgb="FF000000"/>
        <rFont val="Calibri"/>
        <family val="0"/>
        <charset val="1"/>
      </rPr>
      <t xml:space="preserve">)   October 4 , 2011   April 26 , 2014     Ichigo has been struggling against hollows , due to gradually losing his temporarily restored powers , but is saved by Rukia and Uryū , who tell him to rest from dealing with hollows . It is shown that Ukitake contacted Rukia to prevent Ichigo from fighting hollows . The next day , Ichigo takes Rukia to an ice skating rink with their friends . At night , fireworks from a nearby amusement park begin to shoot up in the sky , ending the day on a happy note . A massive hollow is sensed nearby when Ichigo and Rukia are heading home , but Rukia tries to save Ichigo from facing it , telling her that she would fight in his place if she has to , seeing him as a good friend . Rukia freezes the hollow 's legs , and Ichigo fires his last Getsuga Tenshō and destroys it . An exhausted Ichigo was well aware that Rukia was instructed to prevent Ichigo from fighting hollows and to give him rest , but he knows that he will remain the same way as he has been before . Ichigo wakes up in his room , surrounded by his friends . He goes outside and takes note of his disappearing powers , unable to sense spirits anymore . He says goodbye as Rukia 's presence begins to fade away , and he thanks her after she fully disappears .   </t>
    </r>
  </si>
  <si>
    <t xml:space="preserve">Elevator algorithm - wikipedia  Elevator algorithm  Jump to : navigation , search      This article needs additional citations for verification . Please help improve this article by adding citations to reliable sources . Unsourced material may be challenged and removed . ( November 2007 ) ( Learn how and when to remove this template message )     The elevator algorithm ( also SCAN ) is a disk scheduling algorithm to determine the motion of the disk 's arm and head in servicing read and write requests .   This algorithm is named after the behavior of a building elevator , where the elevator continues to travel in its current direction ( up or down ) until empty , stopping only to let individuals off or to pick up new individuals heading in the same direction .   From an implementation perspective , the drive maintains a buffer of pending read / write requests , along with the associated cylinder number of the request . ( Lower cylinder numbers generally indicate that the cylinder is closer to the spindle , and higher numbers indicate the cylinder is farther away . )     Contents  ( hide )   1 Description   2 Variations   3 Example   4 Analysis   5 See also   6 References      Description ( edit )   When a new request arrives while the drive is idle , the initial arm / head movement will be in the direction of the cylinder where the data is stored , either in or out . As additional requests arrive , requests are serviced only in the current direction of arm movement until the arm reaches the edge of the disk . When this happens , the direction of the arm reverses , and the requests that were remaining in the opposite direction are serviced , and so on .   Variations ( edit )   One variation of this method ensures all requests are serviced in only one direction , that is , once the head has arrived at the outer edge of the disk , it returns to the beginning and services the new requests in this one direction only ( or vice versa ) . This is known as the `` Circular Elevator Algorithm '' or C - SCAN . Although the time of the return seek is wasted , this results in more equal performance for all head positions , as the expected distance from the head is always half the maximum distance , unlike in the standard elevator algorithm where cylinders in the middle will be serviced as much as twice as often as the innermost or outermost cylinders .   Other variations include :    FSCAN   LOOK ( and C - LOOK )   N - Step - SCAN    Example ( edit )   The following is an example of how to calculate average disk seek times for both the SCAN and C - SCAN algorithms .    Example list of pending disk requests ( listed by track number ) : 100 , 50 , 10 , 20 , 75 .   The starting track number for the examples will be 35 .   The list will need to be sorted in ascending order : 10 , 20 , 50 , 75 , 100 .    Both SCAN and C - SCAN behave in the same manner until they reach the last track queued . For the sake of this example let us assume that the SCAN algorithm is currently going from a lower track number to a higher track number ( like the C - SCAN is doing ) . For both methods , one takes the difference in magnitude ( i.e. absolute value ) between the next track request and the current track .    Seek 1 : 50 − 35 = 15   Seek 2 : 75 − 50 = 25   Seek 3 : 100 − 75 = 25    At this point both have reached the highest ( end ) track request . SCAN will just reverse direction and service the next closest disk request ( in this example , 20 ) and C - SCAN will always go back to track 0 and start going to higher track requests .    Seek 4 ( SCAN ) : 20 − 100 = 80   Seek 5 ( SCAN ) : 10 − 20 = 10   Total ( SCAN ) : 155   Average ( SCAN ) : 155 ÷ 5 = 31   * * Seek 4 ( C - SCAN ) : 0 − 100 = 0 head movement as cylinders are treated as a circular list ( C - SCAN always goes back to the first track )   Seek 5 ( C - SCAN ) : 10 − 0 = 10   Seek 6 ( C - SCAN ) : 20 − 10 = 10   Total ( C - SCAN ) : 85   Average ( C - SCAN ) : 85 ÷ 5 = 17    Note : Even though six seeks were performed using the C - SCAN algorithm , only five I / Os were actually done .   Definition of C - SCAN : C - SCAN moves the head from one end of the Disk to the other end , servicing requests along the way . The head on reaching the other end , however immediately returns to the beginning of the Disk without servicing any requests on the return .      The huge jump from one end to the other is not considered as a head movement as cylinders are treated as a circular list .      Analysis ( edit )   The arm movement is thus always less than twice the number of total cylinders then , for both versions of the elevator algorithm . The variation has the advantage to have a smaller variance in response time . The algorithm is also relatively simple .   However , the elevator algorithm is not always better than shortest seek first , which is slightly closer to optimal , but can result in high variance in response time and even in starvation when new requests continually get serviced prior to existing requests .   Anti-starvation techniques can be applied to the shortest seek time first algorithm to guarantee an optimum response time .   See also ( edit )    FCFS   Shortest seek time first    References ( edit )    Jump up ^ `` Disk scheduling '' . Archived from the original on 2008 - 06 - 06 . Retrieved 2008 - 01 - 21 .   Retrieved from `` https://en.wikipedia.org/w/index.php?title=Elevator_algorithm&amp;oldid=779725442 '' Categories :   Disk scheduling algorithms   Sorting algorithms   Hidden categories :   Articles needing additional references from November 2007   All articles needing additional references           Talk                                           Contents                   About Wikipedia                                           Ελληνικά   فارسی   हिन्दी   Italiano   Magyar   Српски / srpski   Edit links   This page was last edited on 10 May 2017 , at 16 : 39 .         About Wikipedia                  </t>
  </si>
  <si>
    <t xml:space="preserve">4. what does c stand for in case of disk scheduling algorithms</t>
  </si>
  <si>
    <t xml:space="preserve"> One variation of this method ensures all requests are serviced in only one direction , that is , once the head has arrived at the outer edge of the disk , it returns to the beginning and services the new requests in this one direction only ( or vice versa ) . This is known as the `` Circular Elevator Algorithm '' or C - SCAN . Although the time of the return seek is wasted , this results in more equal performance for all head positions , as the expected distance from the head is always half the maximum distance , unlike in the standard elevator algorithm where cylinders in the middle will be serviced as much as twice as often as the innermost or outermost cylinders . </t>
  </si>
  <si>
    <t xml:space="preserve">To Tell the Truth - wikipedia  To Tell the Truth  This article is about the game show . For other uses , see To Tell the Truth ( disambiguation ) . `` TTTT '' redirects here . It is not to be confused with 4T ( disambiguation ) , T4 ( disambiguation ) , or The Four T 's ( disambiguation ) .    To Tell the Truth     Logo for To Tell the Truth ( 2016 -- version )     Genre   Game show     Created by   Bob Stewart     Presented by   Bud Collyer ( 1956 -- 1968 ) Garry Moore ( 1969 -- 1977 ) Joe Garagiola ( 1977 -- 1978 ) Robin Ward ( 1980 -- 1981 ) Gordon Elliott ( 1990 ) Lynn Swann ( 1990 -- 1991 ) Alex Trebek ( 1991 ) John O'Hurley ( 2000 -- 2002 ) Anthony Anderson ( 2016 -- )     Narrated by   Bern Bennett ( 1956 -- 1960 ) Johnny Olson ( 1960 -- 1972 ) Bill Wendell ( 1972 -- 1977 ) Alan Kalter ( 1977 -- 1981 ) Burton Richardson ( 1990 -- 2002 ) David Scott ( 2016 -- )     Music by   Score Productions Gary Stockdale     Country of origin   United States     Original language ( s )   English     No. of seasons   12 ( 1956 -- 1968 ) 9 ( 1969 -- 1978 ) 1 ( 1980 -- 1981 ) 1 ( 1990 -- 1991 ) 2 ( 2000 -- 2002 ) 3 ( 2016 -- )     Production     Running time   22 -- 26 minutes ( 1956 -- 2002 ) 42 -- 46 minutes ( 2016 -- )     Production company ( s )   Goodson - Todman Productions ( 1956 -- 1981 ) Mark Goodson Productions ( 1990 -- 2002 ) Pearson Television ( 2000 - 2002 ) Gaspin Media / Fremantle ( 2016 -- )     Distributor   Firestone Film Syndication , Ltd. ( 1969 -- 1978 ) Viacom Productions ( 1980 -- 1981 ) Pearson Television ( 2000 -- 2001 ) Tribune Entertainment ( 2001 - 2002 )     Release     Original network   CBS ( 1956 -- 1968 ) NBC ( 1990 -- 1991 ) Syndicated ( 1969 -- 1978 , 1980 -- 1981 , 2000 -- 2002 ) ABC ( 2016 -- )     Original release   December 18 , 1956 ( 1956 - 12 - 18 ) -- present     Chronology     Related shows   You Lie Like a Dog     To Tell the Truth is an American television panel game show in which four celebrity panelists are presented with three contestants ( the `` team of challengers '' , each an individual or pair ) and must identify which is the `` central character '' whose unusual occupation or experience has been read out by the show 's moderator / host . When the panelists question the contestants , the two `` impostors '' may lie whereas the `` central character '' must tell the truth . The setup adds the `` impostor '' element to the format of What 's My Line ? and I 've Got a Secret .   The show was created by Bob Stewart and originally produced by Mark Goodson -- Bill Todman Productions . It aired , on networks and in syndication , continuously from 1956 to 1978 and intermittently since then , reaching a total of 26 seasons in 2016 . As of 14 June 2016 , it is one of two game shows in the United States to have aired at least one new episode in at least seven consecutive decades , the other being The Price is Right .   Contents    1 Basic rules   2 History   2.1 1956 -- 1968 , CBS   2.2 1969 -- 1978 , syndication   2.3 1980 -- 1981 , syndication   2.4 1990 -- 1991 , NBC   2.5 2000 -- 2002 , syndication   2.6 2016 -- present , ABC     3 Merchandise   4 International versions   5 Notes   6 External links    Basic rules ( edit )   Although there have been some variations in the rules over the years ( including the addition of a secondary game in some versions ) , certain basic aspects have remained consistent throughout all versions of To Tell the Truth . Three challengers are introduced , all claiming to be the central character . The announcer typically asks the challengers , who stand side by side , `` What is your name , please ? '' Each challenger then states , `` My name is ( central character 's name ) . '' The celebrity panelists then read along as the host reads aloud a signed affidavit about the central character .   The panelists are each given a period of time to question the challengers . Questions are directed to the challengers by number ( Number One , Number Two and Number Three ) , with the central character sworn to give truthful answers , and the impostors permitted to lie and pretend to be the central character .   After questioning is complete , each member of the panel votes on which of the challengers they believe to be the central character , either by writing the number on a card or holding up a card with the number of their choice , without consulting the other panelists . Any panelist who knows one of the challengers or has another unfair advantage is required to recuse or disqualify himself or herself which , for scoring purposes , is counted as a `` wrong vote . '' They would also sit out of the questioning .   Once the votes are in , the host asks , `` Will the real ( person 's name ) please stand up ? '' The central character then stands , often after some brief playful feinting and false starts among all three challengers . Occasionally , the central character would be asked to do something else related to their story instead of standing up . The two impostors then reveal their real names and their actual occupations . Prize money is awarded and divided among all three of the challengers , based on the number of `` wrong '' votes the impostors draw .   History ( edit )   1956 -- 1968 , CBS ( edit )   To Tell the Truth was to have premiered on Tuesday , December 18 , 1956 , on CBS in prime time as Nothing But The Truth , but the program title was changed to To Tell the Truth the day before the show 's debut . ( There was one pilot episode titled `` Nothing But The Truth '' , and the pilot / planned title , and the eventual title , both derive from the standard English court oath `` to tell the truth , the whole truth , and nothing but the truth . '' ) The series was recorded in New York City ; initially at CBS - TV Studio 52 , moving to Studio 50 late in its run . The existence of an audience ticket for a taping indicates that the show originated in color at the CBS Broadcast Center in late 1966 .   Bud Collyer was the show 's host ( Mike Wallace hosted the pilot ) ; recurring panelists by the 1960s included Tom Poston , Peggy Cass , Orson Bean , and Kitty Carlisle . ( Cass and Carlisle stayed on as panelists for most subsequent editions . ) Earlier regular panelists had included Johnny Carson , Polly Bergen , Jayne Meadows , Don Ameche , Hy Gardner , Dick Van Dyke , Faye Emerson , Hildy Parks , John Cameron Swayze , Betty White , and Ralph Bellamy . Bern Bennett , Collyer 's announcer on Beat the Clock , was the inaugural announcer of To Tell the Truth in the 1950s . Upon Bennett 's transfer to CBS 's Los Angeles studios , Johnny Olson , who in time became the best - known of all Goodson -- Todman Productions announcers , joined the show in 1960 and remained through the end of its CBS runs .   On the pilot and the prime - time run , three games were played per episode . For the pilot , a wrong vote from each of the four - member panel and one wrong vote derived from the majority vote of the audience ( a total of five votes ) paid $300 , the total prize money divided among the three challengers . The studio audience also voted with the majority vote counting equally with that of one of a celebrity panelist , thus the maximum of five incorrect votes resulted in $1,500 divided among the challengers . If there was a tie for the highest vote from the audience , and for each panelist who was disqualified , a wrong vote was counted . There was no consolation prize for no wrong votes .   For the prime - time run there was no audience vote , thus each wrong vote from the four - member panel paid $250 divided among the three challengers , for a possible $1,000 for a complete stump of four wrong answers . For a period in 1967 , stumping the panel won $1,250 . In A consolation prize of $150 was awarded and divided among the three challengers if there were no wrong votes . For each panelist who was disqualified , a wrong vote was counted . A design element in the set for this series was a platform directly above and behind the emcee 's desk . The contestants stood on this platform during their introduction allowing the camera to pan directly down to the host . They then traveled down a curved staircase to the main stage level to play the game .   On Monday , June 18 , 1962 , a daytime five - day - per - week edition was introduced , running at 3 p.m. Eastern , and 2 p.m. Central . The daytime show , also hosted by Collyer , featured a separate panel for its first three years , with actress Phyllis Newman as the only regular . The evening panel took over the afternoon show in 1965 ; in early 1968 , Bert Convy replaced Poston in the first chair .   The daytime show was reduced to two games to accommodate a five - minute news break towards the half - hour mark . On the CBS daytime run , each wrong vote paid the three challengers $100 for a possible total of $400 divided among the three challengers for a `` complete stump '' of all four wrong votes . If all the votes were correct , the challengers split a consolation prize of $75 . During the show 's final year and a half , the studio audience also voted , with the majority vote counting equally with that of one of the celebrity panelists , thus a maximum of $500 divided among the challengers could be awarded for the maximum five incorrect votes . If there was a tie for the highest vote from the audience , and for each panelist who was disqualified , a wrong vote was counted . The audience vote was utilized on the nighttime show for its final six episodes .  The original daytime panel with Bud Collyer . From left : Sam Levenson , Mimi Benzell , and Barry Nelson . The fourth panel member was Sally Ann Howes .  One CBS daytime episode featuring Dorothy Kilgallen , best known as a regular panelist on What 's My Line ? , was broadcast on the East Coast on Monday , November 8 , 1965 , as news of her sudden death was circulated by wire services . The breaking news story prompted CBS newscaster Douglas Edwards to announce her death immediately after To Tell the Truth ended . She had videotaped the program six days earlier , according to the New York Herald Tribune . The newspaper added that Kilgallen and Arlene Francis both pretended to be Joan Crawford while sitting next to the real Crawford in a celebrity segment that the daytime series featured regularly starting in 1965 . The episode was one of the large majority of To Tell the Truth daytime episodes that were destroyed because of the common practice of wiping videotape prior to the invention of the videocassette . This was a different half - hour telecast from the 1962 prime - time episode on which Kilgallen can be seen and heard as one of the panelists . GSN repeated that episode decades later the Game Show Network   The prime - time show ended on May 22 , 1967 , with the daytime show ending on September 6 , 1968 . The show was replaced by the expansions of Search for Tomorrow and Guiding Light to 30 minutes , in a scheduling shuffle with The Edge of Night , The Secret Storm , and Art Linkletter 's House Party .   Metropole Orchestra leader Dolf van der Linden composed the show 's first theme , `` Peter Pan , '' used from 1956 to 1961 . From 1961 to 1967 , the show switched to a Bob Cobert - penned theme with a beat similar to `` Peter Pan '' , and then to a Score Productions tune during its final CBS daytime season .   Most episodes of the original nighttime run of the series were preserved on black - and - white kinescope , along with a few color videotape episodes . Only a handful of shows remain from the CBS daytime series ' first three years because of the then - common practice of wiping videotapes and reusing them due to tight storage space and even tighter budgets . Many daytime episodes ( including some in color ) from 1966 to 1968 exist , including the color finale .   Reruns of the black - and - white kinescopes were running on the Buzzr channel as of late April 2016 .   1969 -- 1978 , syndication ( edit )   To Tell the Truth returned only a year later , in autumn of 1969 , in first - run syndication . During the early years of its run , the syndicated Truth became a highly rated component of stations 's early - evening schedules after the Federal Communications Commission imposed the Prime Time Access Rule in 1971 , opening up at least a half hour ( a full hour , usually , on Eastern Time Zone stations ) to fill with non-network fare between either the local or network evening newscast and the start of the network 's prime - time schedule for the evening . Other stations found success running the program in place of a daytime network game or soap opera , or in the afternoon `` fringe '' time period between the end of network daytime programming at 4 : 30 / 3 : 30 Central and the evening newscasts . This edition of the show was again based at the New York CBS - TV Studio 50 until 1971 , when it moved to NBC Studio 6 - A in Rockefeller Center .   Each wrong vote in this version was worth $50 to the challengers ; `` complete stumps '' of the entire panel won the challengers a total of $500 . There were two `` games '' per episode , and there was often a live demonstration or video to illustrate the central character 's story after many of the games .   The show was first released to local stations on September 8 , 1969 . A total of 1,715 episodes of this version were produced , with the series ending on September 7 , 1978 . Some markets that added the series after its 1969 release opted to carry the show for another season or two in order to catch up on the episodes that had not aired in their viewing area .   To host the revival series , Goodson and Todman made a call to original host Bud Collyer . But they had mis - timed their request , as Collyer had been suffering from a series of health issues that caused his death shortly thereafter , and he told the producers , `` I 'm just not up to it . '' The next call they made was to Garry Moore , the former host of I 've Got a Secret . Although he had retired from television a few years earlier following the cancellation of his eponymous TV show , Moore decided the time was right to return and he accepted the offer to host the new series . Regular panelists included Orson Bean during the first year , Peggy Cass , Kitty Carlisle and Bill Cullen , who was also the designated substitute host whenever necessary . Many regulars from the original run appeared , including Tom Poston and Bert Convy .   In late 1976 , during the eighth season , Moore was diagnosed with throat cancer and left for the remainder of the season to deal with his illness . As he had done numerous times before , Bill Cullen became his replacement . As Cullen 's time as host continued on , Mark Goodson noted how Cullen 's serving as host , rather than as a panelist , hurt the chemistry he had shared with Cass and Carlisle. ) Gil Fates , `` What 's My Line ? '' , 1978 A decision was made to have Cullen return to being a permanent panelist and give semi-regular panelist Joe Garagiola the hosting position . Garagiola stated that he was `` pinch - hitting '' for Moore , who returned to the series for a farewell performance on the ninth - season premiere in 1977 . Moore explained why he had left the program , then after presiding over one last game announced his final retirement from television and handed the host position to Garagiola permanently . To Tell the Truth ended production at the end of the season .   Johnny Olson stayed with To Tell the Truth when it moved to syndication . He left in 1972 , when he moved to Los Angeles to announce the Goodson - Todman revivals of The Price Is Right and I 've Got a Secret . NBC staff announcer Bill Wendell replaced Olson from 1972 -- 77 , with Alan Kalter taking over during the final season . Don Pardo , also an NBC staff announcer , served as backup announcer to Wendell and Kalter .   To Tell the Truth used three distinctive sets throughout its nine - year syndicated run . The first , designed by Theodore Cooper and dubbed by some as the `` psychedelic '' set , was used for the first two seasons and the first four weeks of the third ; with one man on the door . The second set was a toned - down set , with two additional men added on the door , and it was used from the fifth week of the third season through the first 30 weeks of the fourth . The third -- and longest - lived -- set , which Cooper also designed , was a blue - hued , gold - accented , block - motif set . This set was used for the remainder of the run . The show was the only edition of Truth to feature a theme song with lyrics . The theme was written and composed by Score Productions chief Robert A. Israel and Truth producer Paul Alter , along with veteran theme composer Charles Fox . The bulk of this version is intact . However , the current status of the first season is unknown , and is presumed to be lost to wiping . GSN has never rerun the first season of the show , and had always begun with the second season . One episode from the first season exists in the UCLA Television and Film Archive . Buzzr began airing episodes from 1973 in October 2018 .   1980 -- 1981 , syndication ( edit )   On September 8 , 1980 , a new To Tell the Truth series premiered in syndication . The new series was recorded at the same studio at NBC 's Rockefeller Center complex that the previous series had , and Canadian TV personality Robin Ward served as the host , with Alan Kalter returning as announcer . A new theme and set were commissioned for this edition of Truth . Even though previous regulars Bill Cullen , Peggy Cass , and Kitty Carlisle made frequent appearances , there was no regular panel for this edition . The new Truth aired for one season in syndication , but it never recaptured the popularity of the original , and aired its final episode on June 12 , 1981 , with reruns airing until September 11 .   Two games were played , and each wrong vote paid the challengers $100 ; $500 was paid if the entire panel had been fooled . No consolation prize was given if the entire panel correctly identified the subject .   After the second game , a new game called `` One on One '' was played with the four impostors from earlier . One fact had been purposely withheld from the panel about one of the impostors and it was up to the panelists to determine correctly to which of the impostors it applied . One at a time , each panelist would be given twenty seconds to question the impostor sitting directly across from them and would then say whether he / she believed the fact applied to that impostor . Wrong votes still paid $100 with $500 paid if the panel did not correctly determine to whom the fact pertained .   The 1980 edition of To Tell the Truth was a rarity in that it was still based in New York while nearly all television game show production had moved to California . Both To Tell the Truth and The $50,000 Pyramid were the last two broadcast television game shows to emanate from New York until Who Wants to Be a Millionaire came to television for the first time in 1999 and taped at the ABC Television Center in Lincoln Square . Millionaire continued to tape in New York until 2013 . New York tapings for game shows were then used in 2016 for two ABC primetime game show revivals , Match Game and The $100,000 Pyramid   1990 -- 1991 , NBC ( edit )   To Tell the Truth returned to a major broadcast network for a run that lasted just nine months from September 3 , 1990 to May 31 , 1991 . After spending many years originating from New York , the show originated for the first time from California at NBC 's Burbank studio complex . The show 's theme music was an orchestral remix of the 1969 -- 78 theme ( minus the lyrics ) , and the show utilized the block - letter logo from 1973 -- 78 . All episodes of this series exist and have aired on GSN in reruns . During Jeopardy &amp; Wheel of Fortune the Season 7 &amp; Season 8   The show 's two pilot episodes were hosted by actor Richard Kline with Charlie O'Donnell as announcer , and one of these was accidentally aired on September 3 , 1990 in the Eastern Time Zone markets . When the show first made it to air , A Current Affair reporter Gordon Elliott hosted it , with Burton Richardson announcing and O'Donnell serving as his substitute . After eight weeks , a dispute with Elliott 's former employers in Australia forced him off American television altogether temporarily , and he was replaced with then - frequent panelist Lynn Swann . Swann , in turn , left due to his own conflicts , as he was a reporter for ABC Sports at the time ( ABC Sports not only was carrying Super Bowl XXV at the end of that season ; but also with the National Football League expanding the playoff field from 10 teams to the current 12 ; ABC would have a doubleheader on Saturdays for the first two wild - card games ) , and Alex Trebek was brought in to be the permanent host . Trebek missed two episodes due to his wife going into labor during a taping and Mark Goodson filled in for him . When Trebek took the position on To Tell the Truth , he was already hosting Classic Concentration on NBC and Jeopardy ! in syndication .   The celebrity panelists for To Tell the Truth during this period included several of the ' 70s panel stalwarts , including Kitty Carlisle , who appeared on a majority of the shows , taking the fourth and most upstage seat . The first seat , furthest downstage , saw Ron Masak and Orson Bean alternate on the panel for 34 of the 39 weeks the series was on air . The chair next to that was occupied by rotating guests , although voice actress Dana Hill appeared in the seat most often . The third chair most often featured David Niven Jr. as a panelist , although Masak and Bean would also sit there if both were to appear on the same program . Polly Bergen and Peggy Cass , who began appearing on the original series , would appear from time to time , and other frequent panelists included Vicki Lawrence , Cindy Adams , and Betty White . The panelists were introduced in twos , with the male panelists escorting the female panelists down the staircase , followed by the host . For one week , Monty Hall ( who would later replace Bob Hilton as a permanent guest host on the 1990 version of Let 's Make A Deal ) , sat in the first seat .   Two games were played with two sets of impostors . Any incorrect votes up to two paid $1,000 . If three of the panelists had voted incorrectly , the players split $1,500 . On the pilot , each incorrect vote earned $500 . If the panel was fooled entirely , the players split $3,000 .   After the second game , a new version of the `` One on One '' game from the 1980 series was played . A seventh civilian player was brought out with two stories , and a member of the studio audience was given an opportunity to win money by trying to figure out which of the two stories was true . Each panelist was given the opportunity to ask the contestant one question for each story , and after both stories had been presented the audience member chose which one he / she thought was the truth . After the choice was made , the contestant revealed the right answer and if the audience member came up with it , he / she won $500 . If the contestant stumped the audience member , that player won $1,000 .   Occasionally , celebrities whose faces were not well known would attempt to stump the audience during this part of the game . For example , Hank Ketcham , the creator of Dennis the Menace and a challenger on the original To Tell the Truth in May 1962 , tried during one episode to convince an audience member that he was really the songwriter to `` Rudolph the Red - Nosed Reindeer '' ( Johnny Marks had actually done this ) , but was unsuccessful in doing so .   2000 -- 2002 , syndication ( edit )   The show then had a two - year run in syndication , starting in 2000 , with John O'Hurley hosting , and Burton Richardson returning as the announcer . The series was again produced at NBC Studios in Burbank , California . Gary Stockdale supplied the music for this edition . In most markets , it was paired up with Family Feud , which was then hosted by Louie Anderson ; O'Hurley would eventually host Feud from 2006 to 2010 .   Actor Meshach Taylor was the only regular to appear on every episode of this edition , while Paula Poundstone was a regular during the first season . Panelists appearing in at least 6 weeks of episodes included Brooke Burns , Dave Coulier , Brad Sherwood , Traci Bingham , Kim Coles , and Cindy Margolis . The show 's website touted Coles and Burns as regulars for season two in place of Poundstone , though neither panelist was featured in every show that year . Kitty Carlisle appeared as a panelist for one episode in the first season , making her the only panelist to have appeared on all incarnations of this show to that point . It was Carlisle 's final appearance in the franchise , due to her death in 2007 .   This edition of To Tell the Truth brought back the audience vote that the original series had last used . Their vote was revealed after the panel had cast their votes , just before O'Hurley asked for the subject to identify themself . Each incorrect vote paid $1,000 , with a maximum of $5,000 available if the challengers managed to completely fool both the panel and the audience . ( A tie in the audience vote or panel disqualification counted as a wrong vote , as they had in previous versions . ) In the first several weeks of shows , a game that resulted in five incorrect votes was worth $10,000 for the challengers .   According to Steve Beverly 's tvgameshows.net , this edition of Truth never received a rating higher than 1.8 . It was cancelled on January 28 , 2002 , only 96 episodes into its second season . However , repeats continued to air through March 15 , 2002 . All episodes of this series exist and have aired on GSN in reruns .   2016 -- present , ABC ( edit )   ABC ordered six episodes of the show , hosted by Anthony Anderson , which taped in July 2015 and began airing on ABC on June 14 , 2016 . Anderson is the second African - American host of the franchise ; the first was Lynn Swann in the short - lived NBC daytime version from 1990 . The first season featured three regular panelists : Betty White , NeNe Leakes and Jalen Rose . White would then gain the distinction of appearing on all three broadcast network versions of the show . Guest panelists included Tracee Ellis Ross , Iliza Shlesinger , Mike Tyson , Brooks Wheelan , Yvette Nicole Brown , and Daymond John . The 2016 version also included a house band , Cheche and His Band of Liars , as well as Doris Day Bowman , Anderson 's mother , as the `` scorekeeper . '' During Family Feud $100,000 Pyramid &amp; Match Game Theme ( 1973 )   The 2016 version of the show departed from prior versions in a number of ways : Episodes lasted 60 minutes rather than 30 minutes . Contestants did not always claim to have the same name ; some introduced themselves solely by claiming the central character 's story . The questioning period was not split distinctly among the panelists , and Anderson and Bowman occasionally participated in the questioning . Once in each episode , the two impostors from a round participated in `` Before You Go , '' a second round in which one was the central character and the other was again an impostor . Many episodes ended with a stunt performed by one of the central characters . The panelists received one point for correctly identifying central characters , except in the final round , for which two points were awarded . While no mention was made of financial compensation for the impostors or the central characters , the losing panelist ( in the event of a tie , Bowman chooses the loser ) was subjected to `` Tweet a Lie , '' in which the host would post an embarrassing tweet to that panelist 's Twitter account , which they could not delete for the next 24 hours .   On August 4 , 2016 , ABC announced it had renewed the show for a second season . The second season debuted January 1 , 2017 . The house band and regular panelists was eliminated ( although Rose still made occasional appearances ) ; Bowman still appeared on each episode . The second season resumed , with new episodes , beginning June 21 , 2017 .   Starting with the September 11 , 2017 episode , the scoring system changed from 1 / 2 points per round to 10 / 20 , and the losing panelist became the subject of a `` Fake News '' story read by Anderson ( replacing `` Tweet a Lie '' ) . Also starting with this episode , Anderson took over announcing duties and the set was given some updates .   ABC announced that the show would air on Sundays in its 2017 fall schedule , but later delayed the show to the summer 2018 schedule . New celebrity panelists included Mel Brooks and 1990 - 91 series host Trebek , who returns to the show as a panelist , the first former host to appear on a subsequent version as a panelist . ( Two former hosts had appeared on the same run of that series as panelists . )   Merchandise ( edit )   A board game was released by Lowell in 1957 .   During the run of the 2000 version , a single - player online game was offered by the short - lived website Uproar.com , and promoted by John O'Hurley at the end of each episode .   A video slot machine game , based on the 1969 version , was released to American casinos nationwide by Bally Gaming Systems in 2002 .   International versions ( edit )     Country   Name   Host ( s )   TV station   Premiere   Finale     Australia   Tell the Truth   George Foster   Nine Network   1959   1965     Mike Williamson     Earle Bailey   Network Ten   1971   1972     Canada ( in English )   To Tell the Truth   Don Cameron   CTV   1962   1964     Czech Republic   S pravdou ven ( `` To Tell The Truth '' )   Tomáš Měcháček   Prima   May 3 , 2018   June 28 , 2018     Germany   Sag die Wahrheit ( `` Tell the Truth '' )   Guido Baumann Hans Sachs Wolf Mittler Hans Stotz Bernd Stephan Gerd Rubenbauer Michael Antwerpes   ARD   1959   1971     Bayerischer Rundfunk   1986   1995     SWR   2003   present     Greece     Betty Livanou   YENED   1972   1982     Indonesia   To Tell the Truth   Andhika Pratama   Metro TV   2018   present     Italy   La verità ( `` The Truth '' )   Marco Balestri   Canale 5     1991     Rete 4   1991   1995     Netherlands   Wie van de Drie ( `` Which of the Three '' )   Nand Baert Pim Jacobs Herman Emmink Flip van der Schalie Fred Oster Caroline Tensen Rob van Hulst Jos Kuijer Joop Braakhekke Ron Brandsteder   AVRO   1963   1985     RTL4   1991   1991     AVRO         Omroep MAX     2013     Norway   På ære og samvittighet ( `` Of Honor '' )   Kari Borg Mannsåker Gunnar Haarberg   NRK   1958   1962     1970   1970     1986   1986     Thailand   สาบาน ว่า พูด จริง ( `` Sworn Truth '' ) To Tell the Truth   Sunya Kunakon   ONE   2016   2017     Turkey   Üç Yalancı ( `` Three Liars '' )   Cenk Koray Olcay Poyraz Üstün Savcı Göktay Alpman   TRT   1970s   1970s     Channel 1     Ukraine   Самозванці Samozvantsi ( `` Imposters '' )   Anton Lirnyk   ICTV   2011   2012     United Kingdom   Tell the Truth   McDonald Hobley   ITV   September 17 , 1957   September 6 , 1961     David Jacobs     Shaw Taylor     Graeme Garden   Channel 4   April 17 , 1983   November 22 , 1985     Fred Dinenage   ITV   April 11 , 1989   October 26 , 1990     Notes ( edit )    Jump up ^ http://www.americanradiohistory.com/hd2/Archive-BC-IDX/69-OCR/1969-03-17-BC-OCR-Page-0041.pdf#search=%22firestone%20truth%22   Jump up ^ http://www.americanradiohistory.com/hd2/Archive-BC-IDX/80-OCR/1980-03-31-BC-OCR-Page-0033.pdf#search=%22to%20tell%20the%20truth%22   Jump up ^ `` Image # 9 - The David Schwartz Collection '' . Retrieved 21 April 2016 .   Jump up ^ `` The G-T Big 4 : To Tell the Truth ( CBS Nighttime ) '' Retrieved 3 July 2007   Jump up ^ `` Monty Hall makes ' Deal ' for classic games '' . USA TODAY. 1 June 2015 . Retrieved 21 April 2016 .   ^ Jump up to : `` Prime Time Access Rule '' Retrieved 24 September 2007   ^ Jump up to : Soap Opera Digest : January 1977   ^ Jump up to : `` Garry Moore , 78 , the Cheery Host Of Long - Running TV Series , Dies '' . New York Times . 1993 - 11 - 29 . Retrieved 2007 - 12 - 18 .   Jump up ^ `` To Tell The Truth episode guide ( 1971 -- 72 ) '' . Archived from the original on February 24 , 2006 . Retrieved 2017 - 06 - 19 . CS1 maint : BOT : original - url status unknown ( link )   Jump up ^ `` The result of the sliding doors are similar to the sliding doors on The Price is Right . To Tell The Truth episode guide ( 1972 -- 73 ) '' . Archived from the original on February 24 , 2006 . Retrieved 2017 - 06 - 19 . CS1 maint : BOT : original - url status unknown ( link )   Jump up ^ `` Brea</t>
  </si>
  <si>
    <t xml:space="preserve">when did the tv show to tell the truth begin</t>
  </si>
  <si>
    <t xml:space="preserve">   To Tell the Truth     Logo for To Tell the Truth ( 2016 -- version )     Genre   Game show     Created by   Bob Stewart     Presented by   Bud Collyer ( 1956 -- 1968 ) Garry Moore ( 1969 -- 1977 ) Joe Garagiola ( 1977 -- 1978 ) Robin Ward ( 1980 -- 1981 ) Gordon Elliott ( 1990 ) Lynn Swann ( 1990 -- 1991 ) Alex Trebek ( 1991 ) John O'Hurley ( 2000 -- 2002 ) Anthony Anderson ( 2016 -- )     Narrated by   Bern Bennett ( 1956 -- 1960 ) Johnny Olson ( 1960 -- 1972 ) Bill Wendell ( 1972 -- 1977 ) Alan Kalter ( 1977 -- 1981 ) Burton Richardson ( 1990 -- 2002 ) David Scott ( 2016 -- )     Music by   Score Productions Gary Stockdale     Country of origin   United States     Original language ( s )   English     No. of seasons   12 ( 1956 -- 1968 ) 9 ( 1969 -- 1978 ) 1 ( 1980 -- 1981 ) 1 ( 1990 -- 1991 ) 2 ( 2000 -- 2002 ) 3 ( 2016 -- )     Production     Running time   22 -- 26 minutes ( 1956 -- 2002 ) 42 -- 46 minutes ( 2016 -- )     Production company ( s )   Goodson - Todman Productions ( 1956 -- 1981 ) Mark Goodson Productions ( 1990 -- 2002 ) Pearson Television ( 2000 - 2002 ) Gaspin Media / Fremantle ( 2016 -- )     Distributor   Firestone Film Syndication , Ltd. ( 1969 -- 1978 ) Viacom Productions ( 1980 -- 1981 ) Pearson Television ( 2000 -- 2001 ) Tribune Entertainment ( 2001 - 2002 )     Release     Original network   CBS ( 1956 -- 1968 ) NBC ( 1990 -- 1991 ) Syndicated ( 1969 -- 1978 , 1980 -- 1981 , 2000 -- 2002 ) ABC ( 2016 -- )     Original release   December 18 , 1956 ( 1956 - 12 - 18 ) -- present     Chronology     Related shows   You Lie Like a Dog   </t>
  </si>
  <si>
    <t xml:space="preserve">Harry Potter and the Prisoner of Azkaban ( film ) - wikipedia  Harry Potter and the Prisoner of Azkaban ( film )       Harry Potter and the Prisoner of Azkaban     British theatrical release poster     Directed by   Alfonso Cuarón     Produced by     David Heyman   Chris Columbus   Mark Radcliffe       Screenplay by   Steve Kloves     Based on   Harry Potter and the Prisoner of Azkaban by J.K. Rowling     Starring     Daniel Radcliffe   Rupert Grint   Emma Watson   Robbie Coltrane   Michael Gambon   Richard Griffiths   Gary Oldman   Alan Rickman   Fiona Shaw   Maggie Smith   Timothy Spall   David Thewlis   Emma Thompson   Julie Walters       Music by   John Williams     Cinematography   Michael Seresin     Edited by   Steven Weisberg     Production companies     Warner Bros. Pictures   Heyday Films   1492 Pictures       Distributed by   Warner Bros. Pictures     Release date     23 May 2004 ( 2004 - 05 - 23 ) ( Radio City Music Hall )   31 May 2004 ( 2004 - 05 - 31 ) ( United Kingdom )   4 June 2004 ( 2004 - 06 - 04 ) ( United States )           Running time   142 minutes     Country     United Kingdom   United States       Language   English     Budget   $130 million     Box office   $796.7 million     Harry Potter and the Prisoner of Azkaban is a 2004 fantasy film directed by Alfonso Cuarón and distributed by Warner Bros. Pictures . It is based on the 1999 novel of the same name by J.K. Rowling . The film , which is the third instalment in the Harry Potter film series , was written by Steve Kloves and produced by Chris Columbus ( director of the first two instalments ) , David Heyman , and Mark Radcliffe . The story follows Harry Potter 's third year at Hogwarts as he is informed that a prisoner named Sirius Black has escaped from Azkaban intending to kill him .   The film stars Daniel Radcliffe as Harry Potter , alongside Rupert Grint and Emma Watson as Harry 's best friends Ron Weasley and Hermione Granger . It also features well - known actors in supporting roles , including Gary Oldman as Sirius Black , David Thewlis as Remus Lupin , Michael Gambon ( in his debut in the role of Albus Dumbledore ) , Emma Thompson as Sybill Trelawney and Timothy Spall as Peter Pettigrew . It is the sequel to Harry Potter and the Chamber of Secrets and is followed by Harry Potter and the Goblet of Fire .   The film was released on 31 May 2004 in the United Kingdom and on 4 June 2004 in North America , as the first Harry Potter film released into IMAX theatres and to be using IMAX Technology . It was also the last Harry Potter film to be released on VHS . The film was nominated for two Academy Awards , Best Original Music Score and Best Visual Effects at the 77th Academy Awards in 2005 .   Prisoner of Azkaban grossed a total of $796.7 million worldwide , making it the second highest - grossing film of 2004 and received praise for Cuarón 's direction and the performances of the lead actors . It marked a notable change in the film series ' tone and directing , and is considered by many critics and fans to be one of the best Harry Potter films .   Contents    1 Plot   2 Cast   3 Production   3.1 Development   3.2 Filming   3.3 Effects   3.4 Music     4 Differences from the book   5 Distribution   5.1 Marketing   5.2 Theatrical release     6 Reception   6.1 Box office   6.2 Critical response   6.3 Accolades     7 See also   8 References   9 External links    Plot ( edit )   Harry Potter has been spending another dissatisfying summer with The Dursleys . When Aunt Marge insults Harry 's parents , Harry loses his temper and silently wills her to bloat up and float away . Harry flees with his luggage , fed up with his life with the Dursleys . The Knight Bus delivers Harry to the Leaky Cauldron , where he is forgiven by Minister of Magic Cornelius Fudge for using magic outside of Hogwarts . After reuniting with his best friends Ron and Hermione , Harry learns that Sirius Black , a convicted supporter of the dark wizard Voldemort , who murdered Harry 's parents , has escaped Azkaban prison , intending to kill Harry .   The trio are returning to Hogwarts for the school year on the Hogwarts Express , when dementors suddenly board the train , searching for Sirius . One enters the trio 's compartment , causing Harry to pass out . New Defence Against the Dark Arts teacher Professor Lupin repels the dementor with a Patronus Charm . At Hogwarts , headmaster Albus Dumbledore announces that dementors will be guarding the school while Sirius is at large . Hogwarts groundskeeper Hagrid is announced as the new Care of Magical Creatures teacher ; his first class goes awry when Draco Malfoy deliberately provokes a hippogriff , Buckbeak , who attacks him . Draco exaggerates his injury , and Draco 's father Lucius Malfoy later has Buckbeak sentenced to death .   The Fat Lady 's portrait , which guards the Gryffindor quarters , is found ruined and empty . Terrified and hiding in another painting , the Fat Lady tells Dumbledore that Sirius Black has entered the castle . During a stormy Quidditch match against Hufflepuff , dementors attack Harry , causing him to fall off his broomstick . At Hogsmeade , Harry is shocked to learn that not only had Sirius Black been his father 's best friend and apparently betrayed them to Voldemort , but that Sirius is also his godfather . Lupin privately teaches Harry to defend himself against dementors , using the Patronus Charm .   After Harry , Ron and Hermione witness Buckbeak 's execution , Ron 's pet rat Scabbers bites him and escapes . When Ron gives chase , a large dog appears and drags both Ron and Scabbers into a hole at the Whomping Willow 's base , which leads to an underground passage to the Shrieking Shack . The trio discover that the dog is actually Sirius , who is an Animagus . Lupin arrives and embraces Sirius as an old friend . He admits to being a werewolf , and explains that Sirius is innocent . Sirius was falsely accused of betraying the Potters to Voldemort , and murdering twelve Muggles and their mutual friend , Peter Pettigrew . It is revealed that Scabbers is actually Pettigrew , an Animagus who committed the crime for which Sirius was convicted , and had betrayed the Potters . After forcing him back into human form , Lupin and Sirius prepare to kill him , but Harry convinces them to turn Pettigrew over to the dementors .   As the group departs , the full moon rises ; Lupin transforms into a werewolf , and Sirius transforms into his dog form to fight him off . In the chaos , Pettigrew transforms back into a rat and escapes . Sirius and Harry are attacked by dementors and Harry sees a figure in the distance save them by casting a powerful Patronus spell . He believes the mysterious figure is his deceased father , and passes out . He awakens to discover that Sirius has been captured and sentenced to the Dementor 's Kiss . Acting on Dumbledore 's advice , Harry and Hermione travel back in time with Hermione 's Time Turner , and watch themselves and Ron repeat the night 's events . They save Buckbeak from execution and witness the Dementors overpower Sirius and Harry . The present Harry realises that it was actually he who conjured the Patronus , and does so again . Harry and Hermione rescue Sirius , who escapes with Buckbeak . Lupin resigns to prevent an uproar from parents over a werewolf teaching their children . Sirius sends Harry a Firebolt broom , and Harry happily takes it for a ride .   Cast ( edit )  Further information : List of Harry Potter cast members   Daniel Radcliffe as Harry Potter , a 13 - year - old British wizard famous for surviving his parents ' murder at the hands of the evil dark wizard Lord Voldemort as an infant , who now enters his third year at Hogwarts School of Witchcraft and Wizardry .   Rupert Grint as Ron Weasley , Harry 's best friend at Hogwarts .   Emma Watson as Hermione Granger , Harry 's Muggle - born best friend and the trio 's brains .   Robbie Coltrane as Rubeus Hagrid , the gamekeeper and new Care of Magical Creatures teacher at Hogwarts .   Michael Gambon as Albus Dumbledore , the headmaster of Hogwarts and one of the greatest wizards of the age . Gambon assumed the role after Richard Harris , who played Dumbledore in the previous two films , died on 25 October 2002 , 3 weeks before the 2nd film 's release . Despite his illness , Harris was determined to film his part , telling a visiting David Heyman not to recast the role . Four months after Harris 's death , Cuarón chose Gambon as his replacement . Gambon was unconcerned with bettering or copying Harris , instead giving his own interpretation , putting on a slight Irish accent for the role , as well as completing his scenes in three weeks . Rumours of Ian McKellen being offered the role started to spread , but when asked he rejected the rumours and stated he had played a similar character in Gandalf of The Lord of the Rings trilogy . He also stated it would have been inappropriate to take Harris 's role , as the late actor had called McKellen a `` dreadful '' actor . Harris 's family had expressed an interest in seeing Harris 's close friend Peter O'Toole being chosen as his replacement .   Richard Griffiths as Vernon Dursley , Harry 's Muggle uncle .   Gary Oldman as Sirius Black , Harry 's infamous godfather , who escapes from the Wizarding prison Azkaban after serving twelve years there for being falsely accused of being the Death Eater who betrayed Harry 's parents to Voldemort . Oldman accepted the part because he needed the money , as he had not taken on any major work in several years after deciding to spend more time with his children . He was `` surprised by how difficult it was to pull off '' , comparing the role to Shakespearean dialogue .   Alan Rickman as Severus Snape , the Potions teacher at Hogwarts and head of Slytherin .   Fiona Shaw as Petunia Dursley , Harry 's Muggle aunt .   Maggie Smith as Minerva McGonagall , Deputy Headmistress of Hogwarts , the Transfiguration teacher at Hogwarts and head of Gryffindor .   Tom Felton as Draco Malfoy , Harry 's arch rival and a Slytherin house student .   Timothy Spall as Peter Pettigrew , a friend of Harry 's parents said to have been killed by Sirius Black , but was later revealed to have been the real Death Eater who betrayed Harry 's parents to Voldemort .   David Thewlis as Remus Lupin , the new Defence Against the Dark Arts teacher at Hogwarts and a werewolf . Thewlis , who had previously auditioned for the role of Quirinus Quirrell in Harry Potter and the Philosopher 's Stone , was Cuarón 's first choice for the role of Professor Lupin . He accepted the role on advice from Ian Hart , who was cast as Quirrell , and had told him that Professor Lupin was `` the best part in the book . '' Thewlis had seen the first two films and had only read part of the first book , although after taking the role he read the third .   Emma Thompson as Sybill Trelawney , the Divination teacher at Hogwarts .    Production ( edit )   Development ( edit )   With Prisoner of Azkaban , production of the Harry Potter films switched to an eighteen - month cycle , which producer David Heyman explained was `` to give each ( film ) the time it required . '' Chris Columbus , the director of the previous two films , decided not to return to helm the third instalment as he `` had n't seen ( his ) own kids for supper in the week for about two and a half years . '' Even so , he remained on as a producer alongside Heyman . Guillermo del Toro was approached to direct , but considered the film `` so bright and happy and full of light , that ( he ) was n't interested . '' Marc Forster turned down the film because he had made Finding Neverland and did not want to direct child actors again . M. Night Shyamalan was considered to direct but turned it down because he was working on his own film , The Village . Warner Bros. then composed a three - name short list for Columbus 's replacement , which comprised Callie Khouri , Kenneth Branagh ( who played Gilderoy Lockhart in Chamber of Secrets ) and eventual selection Alfonso Cuarón . Cuarón was initially nervous about accepting as he had not read any of the books , or seen the films . After reading the series , he changed his mind and signed on to direct , as he had immediately connected to the story . Cuarón 's appointment pleased J.K. Rowling who loved his film Y Tu Mamá También and was impressed with his adaptation of A Little Princess . Heyman found that `` tonally and stylistically , ( Cuarón ) was the perfect fit . '' As his first exercise with the actors who portray the central trio , Cuarón assigned Radcliffe , Grint and Watson to write an autobiographical essay about their character , written in the first person , spanning birth to the discovery of the magical world , and including the character 's emotional experience . Of Rupert Grint 's essay , Cuarón recalls , `` Rupert did n't deliver the essay . When I questioned why he did n't do it , he said , ' I 'm Ron ; Ron would n't do it . ' So I said , ' Okay , you do understand your character . ' That was the most important piece of acting work that we did on Prisoner of Azkaban , because it was very clear that everything they put in those essays was going to be the pillars they were going to hold on to for the rest of the process . ''   Filming ( edit )  Loch Shiel , where scenes from Prisoner of Azkaban were filmed .  Principal photography began on 24 February 2003 , at Leavesden Film Studios , and wrapped in October 2003 .   The third film was the first to extensively utilise real - life locations , as much of the first two films had been shot in the studio . Some sets for the film were built in Glen Coe , Scotland , near the Clachaig Inn . The indoor sets , including ones built for the previous two films , are mainly in Leavesden Film Studios . The Hogwarts Lake was filmed from Loch Shiel , Loch Eilt and Loch Morar in the Scottish Highlands . Incidentally , the train bridge , which was also featured in the Chamber of Secrets , is opposite Loch Shiel and was used to film the sequences when the Dementor boarded the train . A small section of the triple - decker bus scene , where it weaves in between traffic , was filmed in North London 's Palmers Green . Some parts were also filmed in and around Borough Market and Lambeth Bridge in London .   Hogwarts grew and expanded significantly with the third film . For the first time , the Hogwarts courtyard and bridge were seen . At the end of the bridge , rock monoliths were placed onto the hillside to evoke a Celtic feeling . The use of live - action also significantly changed the look of Hagrid 's hut . In the first two films , it appeared at the end of a flat stretch , right in front of the Forbidden Forest . The third film utilised the more rugged Scottish locations to place Hagrid 's hut at the bottom of a steep hillside . A large pumpkin patch was added behind the hut .   The Honeydukes set in this film is a redress of the set of Flourish &amp; Blotts that was seen in Chamber of Secrets , which , in turn , was a redress of the Ollivanders set from the first film .   Rowling allowed Cuarón to make minor changes to the book , on the condition that he stuck to the book 's spirit . She allowed him to place a sundial on Hogwarts ' grounds , but rejected a graveyard , as that would play an important part in the then unreleased sixth book . Rowling said she `` got goosebumps '' when she saw several moments in the film , as they inadvertently referred to events in the final two books , she stated `` people are going to look back on the film and think that those were put in deliberately as clues . '' When filming concluded , Cuarón found that it had `` been the two sweetest years of my life , '' and expressed his interest in directing one of the sequels .   Effects ( edit )   Cuarón originally wanted to move away from CGI toward puppetry . He hired master underwater puppeteer Basil Twist to help , using puppets to study the potential movement of the Dementors . Once it became apparent that puppetry would be too expensive and unable to portray the specific elements of the Dementors , Cuarón turned to CGI ; however , he and his team did use footage of Dementor puppets underwater as a basis for the flowing movements of the computer - generated Dementors .   The Knight Bus segment when Harry is being taken to The Leaky Cauldron uses the technique known as bullet time , popularised in The Matrix series of films . This segment takes humorous advantage of the magic quality of the Harry Potter world by having the Muggle world go into bullet time while inside the Knight Bus , Harry , Stan Shunpike and Ernie Prang ( and the talking shrunken head ) keep moving in real time .   Music ( edit )  John Williams Main article : Harry Potter and the Prisoner of Azkaban ( soundtrack )  The Academy Award - nominated score was the third and final score in the series to be composed and conducted by John Williams . It was released on CD on 25 May 2004 . In general , this film 's music is not as bright as that of the previous films , with distinct medieval influences in the instrumentation . One of the new themes , `` Double Trouble , '' was written during production so that a children 's choir could perform it in Hogwarts 's Great Hall in one of the film 's earlier scenes . The lyrics of `` Double Trouble '' are from a ritual performed by the Weïrd Sisters in Act 4 , Scene 1 of Shakespeare 's Macbeth . The film 's trailer prominently features the cues `` Anticipation '' and `` Progeny '' by Brand X Music , a trailer music band .   Differences from the book ( edit )   Prisoner of Azkaban was , at the time of publication , the series ' longest book . The increasing plot complexity necessitated a looser adaptation of the book 's finer plot lines and back - story . The film opens with Harry using magic to light his wand in short bursts , whereas in the same scene in the book , he uses a torch / flashlight , as performing magic outside the wizard world is illegal for wizards under the age of seventeen . The connection between Harry 's parents and the Marauder 's Map is only briefly mentioned , as is Remus Lupin 's association to both the map and James Potter . Additionally , it was never mentioned who the Marauders were or who the nicknames Moony , Wormtail , Padfoot , and Prongs referred to . Some exposition was removed for dramatic effect : both the Shrieking Shack and Scabbers the rat are mentioned only very briefly in the film , while they receive a more thorough coverage in the novel . Most of Sirius Black 's back story is also cut , with no mention of the manner of his escape from Azkaban . Only the first Quidditch game was kept in the film , due to its importance to the storyline ; the second ( Gryffindor / Ravenclaw ) and third ( Gryffindor / Slytherin ) were cut . Thus , Harry receives the Firebolt at the film 's end , while in the book he receives it anonymously at Christmas and it is confiscated for a few weeks to be checked for possible jinxes by Professor Flitwick and Madam Hooch .   On account of pace and time considerations , the film glosses over detailed descriptions of magical education . Only one Hippogriff , Buckbeak , is seen , and only Malfoy and Harry are seen interacting with the Hippogriff during Care of Magical Creatures lessons , and most other lessons , including all of Snape 's potions classes , were cut from the film . The Fidelius Charm 's complicated description is removed entirely from the film , with no explanation given of exactly how Black `` betrayed '' the Potters to Lord Voldemort . Many of this scene 's lines are redistributed amongst Cornelius Fudge and Minerva McGonagall ; in compensation , McGonagall 's exposition of the Animagus transformation is instead given by Snape .   In the film , where Harry and Hermione have travelled back in time and are hiding outside of Hagrid 's hut , it is heavily implied that Dumbledore somehow knows that they are there , as he distracts the other characters at key moments or slows down the proceedings ( such as by suggesting that he sign Buckbeak 's execution order as well , then after Fudge agrees he says it will take some time as he has an extremely long name ) , which allows Harry and Hermione time to free Buckbeak unseen . In the book , Dumbledore merely comments that the executioner must sign the order , right before he is about to leave the cabin to execute Buckbeak .   The embryonic romantic connection between Ron and Hermione is more prominent in the film than the book ; in response to criticism of the first two films for sacrificing character development for mystery and adventure , the emotional development of all three lead characters is given more attention in the third film . That said , any mention of the beginnings of Harry 's crush on Cho Chang is removed . Chang herself is not even seen until the next film . Harry 's darker side is first glimpsed in this film , when Harry proclaims , `` I hope he ( Black ) finds me . Cause when he does , I 'm going to be ready . When he does , I 'm going to kill him ! ''   Distribution ( edit )   Marketing ( edit )   As with the series ' previous instalments , Prisoner of Azkaban was a large merchandising opportunity . The video game version , designed by EA UK , was released 25 May 2004 in North America and 29 May 2004 in Europe . Mattel released film tie - ins that included the Harry Potter Championship Quidditch board game and character action figures . Lego also expanded on its previous merchandising for the first two films with the release of sets ranging from the Knight Bus to the Shrieking Shack .   Theatrical release ( edit )   Harry Potter and the Prisoner of Azkaban held its New York premiere at Radio City Music Hall on 23 May 2004 , followed by its London premiere at Leicester Square on 30 May 2004 . The film then opened in the United Kingdom on 31 May 2004 and on 4 June 2004 in the United States . It was the first film in the series to be released in both conventional and IMAX theatres .   Reception ( edit )   Box office ( edit )   Upon release , the film broke the record for biggest single day in the United Kingdom 's box office history making £ 5.3 million on a Monday . It went on to break records both with and without previews making a stunning £ 23.9 million including previews and £ 9.3 million excluding them . Prisoner of Azkaban had the highest - opening weekend at the UK 's box office , until Spectre beat the record in 2015 . It went on to make a total of £ 45.6 million in the UK . The film made $93.7 million during its opening weekend in the United States and Canada at 3,855 theatres , achieving , at the time , the third biggest - opening weekend of all time . This opening also broke Hulk 's record ( $62.1 million ) for the highest - opening weekend for a film released in June . Prisoner of Azkaban held this record for five years until Transformers : Revenge of the Fallen topped it in 2009 with $108.9 million . The film was also No. 1 at the North American box office for two consecutive weekends .   Prisoner of Azkaban made a total of $796.7 million worldwide , which made it 2004 's second - highest - grossing film worldwide behind Shrek 2 . In the U.S. and Canada , it was only the year 's sixth - highest - grossing film , making $249.5 million . Everywhere else in the world , however , it was the year 's number one film , making $547 million compared to Shrek 2 's $478.6 million . Despite its successful box office run , Azkaban is the lowest - grossing Harry Potter film ( all the others have grossed more than US $800 million worldwide ) and the lowest - grossing film of J.K. Rowling 's Wizarding World Series .   Critical response ( edit )   Prisoner of Azkaban is often regarded by critics and fans as one of the best films in the franchise . On the review aggregator Rotten Tomatoes the film has an approval rating of 91 % based on 250 reviews , with an average rating of 7.9 / 10 . The site 's critical consensus reads , `` Under the assured direction of Alfonso Cuarón , Harry Potter and the Prisoner of Azkaban triumphantly strikes a delicate balance between technical wizardry and complex storytelling . '' On Metacritic the film has a score of 82 out of 100 , based on 40 critics , indicating `` universal acclaim '' . On CinemaScore , audiences gave the film an average grade of `` A '' on an A+ to F scale .   Mick LaSalle of the San Francisco Chronicle lauded the film 's more mature tone and said it was `` darker , more complex , rooted in character . '' The Hollywood Reporter called the film `` a deeper , darker , visually arresting and more emotionally satisfying adaptation of the J.K. Rowling literary phenomenon , '' especially compared to the first two installments . Peter Travers of Rolling Stone gave the film three - and - a-half out of four stars : `` Not only is this dazzler by far the best and most thrilling of the three Harry Potter movies to date , it 's a film that can stand on its own even if you never heard of author J.K. Rowling and her young wizard hero . '' Stephanie Zacharek of Salon.com asserts it to be `` one of the greatest fantasy films of all time . '' Nicole Arthur of The Washington Post praised the film as `` complex , frightening , ( and ) nuanced . '' Roger Ebert gave the film three - and - a-half out of four stars , saying that the film was not quite as good as the first two , but still called it `` delightful , amusing and sophisticated '' Claudia Puig from USA Today found the film to be `` a visual delight , '' and added that `` Cuarón is not afraid to make a darker film and tackle painful emotions . '' while Richard Roeper called the film `` a creative triumph . '' Sean Smith from Newsweek said : `` The Prisoner of Azkaban boasts a brand - new director and a bold new vision , '' he also called the film `` moving , '' praising the performances by the three main leads , while Entertainment Weekly praised the film for being more mature than its predecessors .   Accolades ( edit )   Harry Potter and the Prisoner of Azkaban was nominated for Best Original Music Score ( John Williams ) and Best Visual Effects at the 77th Academy Awards held in 2005 . This was the second film in the series to be nominated for an Oscar .   The film also ranks at No. 471 in Empire magazine 's 2008 list of the 500 greatest movies of all time . IGN designated Prisoner of Azkaban as the fifth best fantasy film . Additionally , Moviefone designated the film as the tenth best of the decade . In 2011 , the film was voted Film of the Decade at the First Light Awards by children aged 5 -- 15 .    American Film Institute recognition     AFI 's 100 Years ... 100 Movies -- Nominated   AFI 's 10 Top 10 -- Nominated Fantasy Film      show List of awards and nominations        Award   Category   Recipient ( s )   Outcome   Ref .     77th Academy Awards   Best Original Music Score   John Williams   Nominated       Best Visual Effects   Tim Burke , Roger Guyett , Bill George , John Richardson     Amanda Awards   Best Foreign Feature Film         58th British Academy Film Awards   Best British Film       Best Production Design   Stuart Craig     Best Makeup &amp; Hair   Nick Dudman , Eithne Fennel , Amanda Knight     Best Visual Effects       Broadcast Film Critics Association   Best Family Film ( Live Action )       Best Young Actor   Daniel Radcliffe     Best Young Actress   Emma Watson     47th Grammy Awards   Best Score Soundtrack Album for a Motion Picture , Television or Other Visual Media   John Williams       Hugo Awards   Best Dramatic Presentation         2005 Kids ' Choice Awards   Favorite Movie       2002 MTV Movie Awards   Breakthrough Male Performance   Daniel Radcliffe       Phoenix Film Critics Society Awards   Best Live Action Family Film     Won       31st Saturn Awards   Best Fantasy Film   Nominated       Best Director   Alfonso Cuarón     Best Supporting Actor   Gary Oldman     Best Performance by a Younger Actor   Daniel Radcliffe     Best Writer   Steve Kloves     Best Music   John Williams     Best Costumes   Jany Temime     Best Make - Up   Nick Dudman , Amanda Knight     Best Special Effects   Roger Guyett , Tim Burke , Bill George , John Richardson     Teen Choice Awards   Choice Movie : Action     Won       Choice Summer Movie   Nominated     Visual Effects Society Awards   Outstanding Visual Effects in an Effects Driven Motion Picture   Roger Guyett , Tim Burke , Theresa Corrao , Emma Norton   Won       Best Single Visual Effect of the Year   Bill George , David Andrews , Sandra Scott , Dorne Huebler   Nominated     Outstanding Performance by an Animated Character in a Live Action Motion Picture   Michael Eames , David Lomax , Felix Balbas , Pablo Grillo   Won     Outstanding Models and Miniatures in a Motion Picture   Jose Granell , Nigel Stone   Nominated     Outstanding Compositing in a Motion Picture   Dorne Huebler , Jay Cooper , Patrick Brennan , Anthony Shafer        See also ( edit )         Book : Harry Potter        List of films featuring time loops     Harry Potter portal   Film portal    References ( edit )    ^ Jump up to : `` HARRY POTTER AND THE PRISONER OF AZKABAN ( 2004 ) '' . AFI Catalog of Feature Films . Retrieved July 24 , 2018 .   Jump up ^ `` Harry Potter and the Prisoner of Azkaban ( PG ) '' . British Board of Film Classification . 13 May 2004 . Retrieved 27 December 2015 .   Jump up ^ Harry Potter and the Prisoner of Azkaban ( 2004 ) Film Forever   ^ Jump up to : `` Harry Potter and the Prisoner of Azkaban ( 2004 ) '' . Box Office Mojo . Retrieved 5 February 2009 .   Jump up ^ `` Harry Potter and the Prisoner of Azkaban '' .   ^ Jump up to : `` A Definitive Ranking of the Harry Potter Movies '' . 11 November 2016 .   ^ Jump up to : `` All Harry Potter movies ranked worst to best by Tomatometer '' . 13 November 2016 .   ^ Jump up to : `` Harry Potter Movies in Order of Ranking in the Series '' . 14 February 2015 .   ^ Jump up to : `` ' Harry Potter ' Movies Ranked from Worst to Best '' . 28 May 2017 .   ^ Jump up to : `` Which `` Harry Potter '' Film Is The Best ? `` .   ^ Jump up to : `` Alfonso Cuarón : How the ' Gravity ' Director Saved Harry Potter '' .   ^ Jump up to : `` How Prisoner of Azkaban Changed Young Adult Cinema Forever '' .   Jump up ^ `` Actor Richard Harris dies '' . BBC News . 25 October 2002 . Retrieved 10 October 2007 .   ^ Jump up to : Jensen , Jeff ( 28 October 2005 ) . `` A Look Back '' . Entertainment Weekly . Retrieved 10 October 2007 .   ^ Jump up to : `` Dumbledore and Sirius cast for Azkaban '' . Newsround. 21 February 2003 . Retrieved 10 October 2007 .   ^ Jump up to : Vaughan , Johnny ; Henry , Lenny ( 2004 ) . Head to Shrunken Head ( DVD ) . Warner Bros. Pictures .   Jump up ^ Synnot , Siobhan ( 30 May 2004 ) . `` Olivier , Dumbledore and two broken ribs '' . The Scotsman . Retrieved 30 November 2007 .   Jump up ^ Stern / CompuWeb , Keith . `` Rumours '' . www.mckellen.com .   Jump up ^ MuggleNet -- Mckellen on Harris Archived 10 September 2011 at the Wayback Machine .   Jump up ^ `` Harris ' Family Calling for O'Toole To Take on Harry Potter Role '' . Internet Movie Database. 9 January 2003 . Retrieved 30 November 2007 .   Jump up ^ `` Coventry Evening Telegraph : GO : CINEMA : I CASHED IN ON HARRY POTTER ! '' . Coventry Evening Telegraph . 28 May 2004 .   Jump up ^ `` Gary Oldman : Seriously Sirius '' . Newsround. 28 May 2004 . Retrieved 30 November 2007 .   Jump up ^ Morris , Clint ( 9 June 2004 ) . `` Interview : David Thewlis '' . Movie Hole . Archived from the original on 26 September 2007 . Retrieved 28 August 2007 .   Jump up ^ `` Chris Columbus COS : full interview '' . Newsround. 13 November 2002 . Retrieved 10 October 2007 .   ^ Jump up to : Dickey , Lucinda . `` The creators of Harry Potter break out of character to discuss The Prisoner of Azkaban '' . Science Fiction Weekly . Archived from the original on 19 August 2007 . Retrieved 10 October 2007 .   Jump up ^ Carroll , Larry ( 26 October 2007 ) . `` Guillermo Game For Harry Potter '' . MTV . Archived from the original on 27 October 2007 . Retrieved 26 October 2007 .   Jump up ^ Susman , Gary ( 19 July 2002 ) . `` Great Expectations '' . Entertainment Weekly . Retrieved 10 October 2007 .   ^ Jump up to : `` Alfonso Cuaron : the man behind the magic '' . Newsround. 24 May 2004 . Retrieved 10 October 2007 .   ^ Jump up to : Puig , Claudia ( 27 May 2004 ) . `` New Potter movie sneaks in spoilers for upcoming books '' . USA Today . Retrieved 29 August 2007 .   Jump up ^ McCabe , Bob . Harry Potter Page to Screen : The Complete Filmmaking Journey. 2011 . Harper Design . Page 102 .   Jump up ^ Schmitz , Greg Dean . `` Harry</t>
  </si>
  <si>
    <t xml:space="preserve">what harry potter movie is after prisoner of azkaban</t>
  </si>
  <si>
    <t xml:space="preserve"> The film stars Daniel Radcliffe as Harry Potter , alongside Rupert Grint and Emma Watson as Harry 's best friends Ron Weasley and Hermione Granger . It also features well - known actors in supporting roles , including Gary Oldman as Sirius Black , David Thewlis as Remus Lupin , Michael Gambon ( in his debut in the role of Albus Dumbledore ) , Emma Thompson as Sybill Trelawney and Timothy Spall as Peter Pettigrew . It is the sequel to Harry Potter and the Chamber of Secrets and is followed by Harry Potter and the Goblet of Fire . </t>
  </si>
  <si>
    <r>
      <rPr>
        <sz val="11"/>
        <color rgb="FF000000"/>
        <rFont val="Calibri"/>
        <family val="0"/>
        <charset val="1"/>
      </rPr>
      <t xml:space="preserve">Timeline of Microsoft Windows - wikipedia  Timeline of Microsoft Windows  This is the latest accepted revision , reviewed on 15 July 2018 .  This article presents a timeline of events in the history of Microsoft Windows operating systems from 1985 .  The Windows family tree  Contents    1 Desktop and server   2 Mobile   3 See also   4 References   5 External links    Desktop and server ( edit )     Release date   Title   Architectures   Based Upon     20 November 1985   Windows 1.0   x86 -- 16 - bit   MS - DOS     9 December 1987   Windows 2.0   x86 -- 16 - bit   MS - DOS     27 May 1988   Windows 2.10   x86 -- 16 - bit   MS - DOS     13 March 1989   Windows 2.11   x86 -- 16 - bit   MS - DOS     22 May 1990   Windows 3.0   x86 -- 16 - bit   MS - DOS     20 October 1991   Windows 3.0 with Multimedia Extensions   x86 -- 16 - bit   MS - DOS     6 April 1992   Windows 3.1   x86 -- 16 - bit   MS - DOS     27 October 1992   Windows for Workgroups 3.1   x86 -- 16 - bit   MS - DOS     27 July 1993   Windows NT 3.1   IA - 32 , DEC Alpha , MIPS   Windows NT     8 November 1993   Windows for Workgroups 3.11   x86 -- 16 - bit   MS - DOS     21 September 1994   Windows NT 3.5   IA - 32 , DEC Alpha , MIPS   Windows NT     30 May 1995   Windows NT 3.51   IA - 32 , DEC Alpha , MIPS , PowerPC   Windows NT     24 August 1995   Windows 95   IA - 32   MS - DOS     24 August 1996   Windows NT 4.0   IA - 32 , DEC Alpha , MIPS , PowerPC   Windows NT     25 June 1998   Windows 98   IA - 32   MS - DOS     5 May 1999   Windows 98 SE   IA - 32   MS - DOS     17 February 2000   Windows 2000   IA - 32   Windows NT     14 September 2000   Windows ME   IA - 32   MS - DOS     25 October 2001   Windows XP   IA - 32   Windows NT     25 October 2001   Windows XP 64 - Bit Edition ( v2002 )   Itanium   Windows NT     31 October 2002   Windows XP Media Center Edition   IA - 32   Windows NT     28 March 2003   Windows XP 64 - Bit Edition ( v2003 )   Itanium   Windows NT     24 April 2003   Windows Server 2003   IA - 32 , x64 , Itanium   Windows NT     30 September 2003   Windows XP Media Center Edition 2004   IA - 32   Windows NT     12 October 2004   Windows XP Media Center Edition 2005   IA - 32   Windows NT     25 April 2005   Windows XP Professional x64 Edition   x64   Windows NT     6 December 2005   Windows Server 2003 R2   IA - 32 , x64 , Itanium   Windows NT     8 July 2006   Windows Fundamentals for Legacy PCs   IA - 32   Windows NT     30 November 2006   Windows Vista for Business use   IA - 32 , x64   Windows NT     30 January 2007   Windows Vista for Home use ; released in fifty countries   IA - 32 , x64   Windows NT     7 November 2007   Windows Home Server   IA - 32 , x64   Windows NT     27 February 2008   Windows Server 2008   IA - 32 , x64   Windows NT     22 October 2009   Windows 7   IA - 32 , x64   Windows NT     22 October 2009   Windows Server 2008 R2   x64   Windows NT     6 April 2011   Windows Home Server 2011   x64   Windows NT     1 July 2011   Windows Thin PC   IA - 32   Windows NT     4 September 2012   Windows Server 2012   x64   Windows NT     26 October 2012   Windows 8   IA - 32 , x64   Windows NT     26 October 2012   Windows RT   ARM   Windows NT     18 October 2013   Windows 8.1   IA - 32 , x64   Windows NT     18 October 2013   Windows RT 8.1   ARM   Windows NT     18 October 2013   Windows Server 2012 R2   x64   Windows NT     29 July 2015   Windows 10   IA - 32 , x64 , ARM   Windows NT     27 September 2016   Windows Server 2016   x64   Windows NT     Mobile ( edit )  Timeline of Windows CE Development    Date   Release   Notes     16 November 1996   Windows CE 1.0       25 June 1997   Windows CE 1.01       29 September 1997   Windows CE 2.0       1 November 1997   Windows CE 2.0   Handheld PC ( H / PC )     8 January 1998   Windows CE 2.01   Palm - sized PC , Pocket PC ( P / PC ) and smartphone     8 January 1998   Windows CE 2.01   Auto PC     1 March 1998   Windows CE 2.10       1 July 1999   Windows CE 2.11       28 September 1999   Windows CE 2.12       19 April 2000   Windows CE 3.0       19 April 2000   Pocket PC 2000   Palm - sized PC , Pocket PC ( P / PC ) and smartphone     25 September 2000   Windows CE 3.0 Core Add - on Pack       4 October 2001   Pocket PC 2002   Palm - sized PC , Pocket PC ( P / PC ) and smartphone     7 January 2002   Windows CE 4.0       1 June 2002   Windows CE 4.1 . NET Core       23 April 2003   Windows CE 4.2 . NET Core       23 June 2003   Windows Mobile 2003       24 March 2004   Windows Mobile 2003 SE       9 July 2004   Windows CE 5.0       9 May 2005   Windows Mobile 5.0       15 September 2006   Windows CE 6.0       12 February 2007   Windows Mobile 6.0       1 April 2008   Windows Mobile 6.1       11 May 2009   Windows Mobile 6.5       8 November 2010   Windows Phone 7       1 March 2011   Windows Embedded Compact 7       29 October 2012   Windows Phone 8       13 June 2013   Windows Embedded Compact 2013       14 April 2014   Windows Phone 8.1       20 November 2015   Windows 10 Mobile     See also ( edit )    Microsoft portal     History of Microsoft Windows   Comparison of Microsoft Windows versions   Microsoft version numbering   List of Microsoft codenames   Timeline of DOS operating systems   History of operating systems   Timeline of OpenBSD   Comparison of operating systems   List of operating systems    References ( edit )    Jump up ^ `` Microsoft Unveils Plans for 64 - Bit Windows Platform '' . News Center . Microsoft . May 23 , 2001 .   Jump up ^ `` Microsoft Releases Windows XP 64 - Bit Edition Version 2003 to Manufacturing '' . News Center . Microsoft . March 28 , 2003 .   Jump up ^ `` Microsoft Windows Thin PC Specs '' . CNET . CBS Interactive .    External links ( edit )    Official Microsoft Windows Website              Microsoft Windows family       Components   History   Timeline   Criticism       DOS - based     Windows 1.0   Windows 2.0   Windows 2.1 x   Windows 3.0   Windows 3.1 x         Windows 9x     Windows 95 ( Development )   Windows 98   Windows ME       Windows NT        Windows NT 3.1   Windows NT 3.5   Windows NT 3.51   Windows NT 4.0   Windows 2000       Client versions     Windows XP   editions   x64   Media Center   Fundamentals   Development of XP     Windows Vista   editions   Development of Vista     Windows 7   editions     Windows 8   editions   RT     8.1   Windows 10   editions   version history         Windows Server     Server 2003   Home Server     Server 2008   EBS 2008   HPC Server 2008     Server 2008 R2   Home Server 2011     Server 2012   Server 2012 R2   Server 2016   Server 2019   MultiPoint Server   Server Essentials       Specialized     Windows Preinstallation Environment          Windows Embedded     Embedded Compact   CE 5.0   Embedded CE 6.0   Embedded Compact 7     Embedded Automotive   Embedded Industry       Windows Mobile     Pocket PC 2000   Pocket PC 2002   Mobile 2003   Mobile 5.0   Mobile 6.0   Mobile 6.1   Mobile 6.5       Windows Phone     Phone 7   Phone 8   Phone 8.1   Windows 10 Mobile       Cancelled     Cairo   Nashville   Neptune   Odyssey       Related     New Features   XP   Vista   7   8   10     Removed Features   XP   Vista   7   8   10     Criticism of Windows   XP   Vista   10           List of versions   Comparison   Book        Retrieved from `` https://en.wikipedia.org/w/index.php?title=Timeline_of_Microsoft_Windows&amp;oldid=850335158 '' Categories :   Microsoft Windows   Computing timelines   History of software   Hidden categories :   Use dmy dates from January 2015           Talk                                           Contents                   About Wikipedia                                           Български   فارسی   Magyar   Tiếng Việt   </t>
    </r>
    <r>
      <rPr>
        <sz val="11"/>
        <color rgb="FF000000"/>
        <rFont val="Noto Sans CJK SC"/>
        <family val="2"/>
      </rPr>
      <t xml:space="preserve">粵語   中文   </t>
    </r>
    <r>
      <rPr>
        <sz val="11"/>
        <color rgb="FF000000"/>
        <rFont val="Calibri"/>
        <family val="0"/>
        <charset val="1"/>
      </rPr>
      <t xml:space="preserve">Edit links   This page was last edited on 15 July 2018 , at 06 : 30 ( UTC ) .         About Wikipedia                    </t>
    </r>
  </si>
  <si>
    <t xml:space="preserve">which is older windows xp or windows 7</t>
  </si>
  <si>
    <t xml:space="preserve">   Release date   Title   Architectures   Based Upon     20 November 1985   Windows 1.0   x86 -- 16 - bit   MS - DOS     9 December 1987   Windows 2.0   x86 -- 16 - bit   MS - DOS     27 May 1988   Windows 2.10   x86 -- 16 - bit   MS - DOS     13 March 1989   Windows 2.11   x86 -- 16 - bit   MS - DOS     22 May 1990   Windows 3.0   x86 -- 16 - bit   MS - DOS     20 October 1991   Windows 3.0 with Multimedia Extensions   x86 -- 16 - bit   MS - DOS     6 April 1992   Windows 3.1   x86 -- 16 - bit   MS - DOS     27 October 1992   Windows for Workgroups 3.1   x86 -- 16 - bit   MS - DOS     27 July 1993   Windows NT 3.1   IA - 32 , DEC Alpha , MIPS   Windows NT     8 November 1993   Windows for Workgroups 3.11   x86 -- 16 - bit   MS - DOS     21 September 1994   Windows NT 3.5   IA - 32 , DEC Alpha , MIPS   Windows NT     30 May 1995   Windows NT 3.51   IA - 32 , DEC Alpha , MIPS , PowerPC   Windows NT     24 August 1995   Windows 95   IA - 32   MS - DOS     24 August 1996   Windows NT 4.0   IA - 32 , DEC Alpha , MIPS , PowerPC   Windows NT     25 June 1998   Windows 98   IA - 32   MS - DOS     5 May 1999   Windows 98 SE   IA - 32   MS - DOS     17 February 2000   Windows 2000   IA - 32   Windows NT     14 September 2000   Windows ME   IA - 32   MS - DOS     25 October 2001   Windows XP   IA - 32   Windows NT     25 October 2001   Windows XP 64 - Bit Edition ( v2002 )   Itanium   Windows NT     31 October 2002   Windows XP Media Center Edition   IA - 32   Windows NT     28 March 2003   Windows XP 64 - Bit Edition ( v2003 )   Itanium   Windows NT     24 April 2003   Windows Server 2003   IA - 32 , x64 , Itanium   Windows NT     30 September 2003   Windows XP Media Center Edition 2004   IA - 32   Windows NT     12 October 2004   Windows XP Media Center Edition 2005   IA - 32   Windows NT     25 April 2005   Windows XP Professional x64 Edition   x64   Windows NT     6 December 2005   Windows Server 2003 R2   IA - 32 , x64 , Itanium   Windows NT     8 July 2006   Windows Fundamentals for Legacy PCs   IA - 32   Windows NT     30 November 2006   Windows Vista for Business use   IA - 32 , x64   Windows NT     30 January 2007   Windows Vista for Home use ; released in fifty countries   IA - 32 , x64   Windows NT     7 November 2007   Windows Home Server   IA - 32 , x64   Windows NT     27 February 2008   Windows Server 2008   IA - 32 , x64   Windows NT     22 October 2009   Windows 7   IA - 32 , x64   Windows NT     22 October 2009   Windows Server 2008 R2   x64   Windows NT     6 April 2011   Windows Home Server 2011   x64   Windows NT     1 July 2011   Windows Thin PC   IA - 32   Windows NT     4 September 2012   Windows Server 2012   x64   Windows NT     26 October 2012   Windows 8   IA - 32 , x64   Windows NT     26 October 2012   Windows RT   ARM   Windows NT     18 October 2013   Windows 8.1   IA - 32 , x64   Windows NT     18 October 2013   Windows RT 8.1   ARM   Windows NT     18 October 2013   Windows Server 2012 R2   x64   Windows NT     29 July 2015   Windows 10   IA - 32 , x64 , ARM   Windows NT     27 September 2016   Windows Server 2016   x64   Windows NT   </t>
  </si>
  <si>
    <t xml:space="preserve">Ardaseer Cursetjee - wikipedia  Ardaseer Cursetjee       Ardaseer Cursetjee Wadia       6 October 1808 Bombay , British India       16 November 1877 ( 1877 - 11 - 16 ) ( aged 69 ) Richmond , United Kingdom     Occupation   Engineer     Ardaseer Cursetjee Wadia FRS ( 6 October 1808 -- 16 November 1877 ) born Parsi , an Indian shipbuilder and engineer belonging to the Wadia ship building family .   He is noted for having been the first Indian to be elected a Fellow of the Royal Society . He is also recorded as having introduced several ( at the time ) novel technologies to the city of Bombay ( now Mumbai ) , including gas lighting , the sewing machine , steam pump - driven irrigation and electro - plating .   Contents    1 Biography   2 Family   3 References   4 Further reading    Biography ( edit )   Ardaseer Cursetjee was the son of Cursetjee Rustomjee , a scion of the wealthy Wadia family of shipbuilders and naval architects , who was a ship builder at the Bombay Dockyard ( today , Mumbai 's Naval Dockyard ) . In 1822 , aged 14 , Ardaseer joined his father at the dockyards . He is described to have been particularly interested in steam engines . In 1833 , aged 25 , he designed and launched a small 60 ton ocean - going ship called Indus . This ship would subsequently warrant a mention in his nomination for the Royal Society . In 1834 , in the presence of the Governor of Bombay , he had his house and gardens at Mazgaon lit using gas lighting . He married a Parsi girl , Awahbai , and the couple had several children who subsequently became the initial members of the wealthy Wadia business family of India .   In 1837 , Ardaseer was elected a non-resident member of the Royal Asiatic Society In 1839 , at the age of 31 , he travelled overland to England to further his studies of marine steam power on behalf of the East India Company . He recounted his journey in The Diary of an Overland Journey from Bombay to England , which was published in London in 1840 . While in England , he constructed a steam engine , which he then had shipped to India for installation on the Indus .   On 27 May 1841 , Cursetjee was elected Fellow of the Royal Society . The nomination , made by Spencer Compton , Marquess of Northampton , the then President of the Society , describes him as a `` gentleman well versed in the theory and practice of naval architecture and devoted to scientific pursuits . '' It credits him with both the introduction of gas lighting to Bombay , as well as having `` built a ( sea - going ) vessel of 60 tons to which he adapted a Steam Engine . '' In 1855 he was elected a Justice of the Peace .   Ardaseer Cursetjee remained Chief Engineer at the Bombay Docks until 1 August 1857 , when he retired . He returned to England , where he settled .   In 1858 , Ardaseer made his last trip to London and decided to permanently live in the UK with his mistress , an English woman named Marian Barber . While the couple did not marry , they had children and their lineage continues to live in the United Kingdom to date . One of his descendants Blair Southerden has written books , including A gentle lion and other ancestors ( 2013 ) tracing back his lineage , profiling the Parsi community and their interests in ship building .   He died , aged 69 , on 16 November 1877 in Richmond , London .   On 27 May 1969 , the Indian Postal Service issued a commemorative stamp in recognition of his contributions as `` pioneer and innovator . ''   His children in the UK continued to carry his name for some time . St. Mathias church in Surrey records that in 1879 , one of children Gustasp Ardaseer married Florence Neal .   Family ( edit )   Cursetjee set up home with Marian Barber ( 1817 -- 1899 ) in England , living together although they never formally married . Marian was a British woman , from Tower Hamlets whose brother worked as a clerk in the docks of London . Together the couple had a number of children , the first of which , Lowjee Annie , was born in Bombay in December 1853 . Her second child , Gustasp Ardaseer , was born in Bombay in 1856 . The couple subsequently returned to UK as the Parsi community in India did not accept their marriage .   Ardaseer had a wife in India , Awahbai , who he left there when he migrated to UK . His children from Awahbai and his children from Marian continued to maintain relations , sometimes intermarrying amongst themselves .   For example , Cursetjee Rustomjee ( 1855 -- 1941 ) , the grandson of Awahbai and Ardaseer was sent to England to study for the Indian Civil Service examination and stayed with his grandfather in Richmond . There , he met Lowjee Annie , his aunt and the daughter of Ardaseer and Marian . He married her in 1880 . While their three children were all born in India , their father returned to England soon after retirement in 1911 . He died in Matlock , Derbyshire in 1941 .   References ( edit )    Jump up ^ `` Ardaseer Cursetjee ( Wadia ) , F.R.S '' . Nature . 153 : 706 . 10 June 1944 . Retrieved 19 April 2018 .   Jump up ^ Wadia , D.F. History of the Lodge Rising Star of Western India . access - date = requires url = ( help )   Jump up ^ `` ARDASEER CURSETJEE WADIA , FIRST INDIAN ELECTED to ROYAL SOCIETY '' . www.auspostalhistory.com . Australian postal history and philately . Retrieved 19 April 2018 .   Jump up ^ `` List of members '' . Journal of the Royal Asiatic Society . 15 April 1865 . access - date = requires url = ( help )   Jump up ^ Cursetjee , Ardaseer . The Diary of an Overland Journey from Bombay to England . London . access - date = requires url = ( help )   Jump up ^ Gupta , Arvind . Ardaseer Cursetjee ( PDF ) . INSA - Indian national science academy . Retrieved 19 April 2018 .   Jump up ^ `` ( iv ) Obituary of Ardaseer Cursetjee , Proceedings of the Society of Civil Engineers , 51 ( 1878 ) , p. 271 '' . Missing or empty url = ( help )   Jump up ^ `` Ardaseer Cursetjee -- a case study on innovation and steam power '' . blogs.ucl.ac.uk . University College of London . Retrieved 13 May 2016 .   Jump up ^ Southerden , Blair ( 2013 ) . A Gentle Lion and other ancestors .   ^ Jump up to : Indian Postal Service . `` Ardaseer Cursetji Wadia amid Ships '' . Retrieved 20 April 2018 .   Jump up ^ `` Case study -- Ardaseer Cursetjee '' ( PDF ) . blogs.ucl.ac.uk/eicah/files/2014/05/Cursetjee-Final-PDF-19.08.14.pdf . UCL London . Retrieved 13 May 2016 .   Jump up ^ `` Bombay Calendar 1854 , transcribed by Families in British India Society '' . fibis.org . Missing or empty url = ( help )   Jump up ^ `` Reports of cases heard and determined by the Judicial Committee , 6 : 8 , p. 376 . This case came before the Privy Council in 1856 on appeal from the Supreme Court . The findings that it was impossible to apply the law of the Diocese of London , a Christian law to persons professing the Zoroastrian religion were to be much quoted in future cases '' . blogs.ucl.ac.uk . UCL London . Retrieved 13 May 2016 .   Jump up ^ Kochhar , Rajesh K. ( January 1993 ) . `` Ardaseer Cursetjee ( 1808 -- 1877 ) , the First Indian Fellow of the Royal Society of London '' . Notes and Records of the Royal Society of London . 47 ( 1 ) : 33 -- 47 . doi : 10.1098 / rsnr. 1993.0004 .   Jump up ^ `` East India Company at Home , 1757 -- 1857 '' . University College of London . Missing or empty url = ( help )    Further reading ( edit )    Kochhar , Rajesh K. ( March 2001 ) . `` Indian Fellows of the Royal Society , London ( 1841 -- 2000 ) '' ( PDF ) . Current Science . 80 ( 6 ) : 721 -- 722 .   Retrieved from `` https://en.wikipedia.org/w/index.php?title=Ardaseer_Cursetjee&amp;oldid=841080146 '' Categories :   1808 births   1877 deaths   Fellows of the Royal Society   Indian shipbuilders   Engineers from Maharashtra   Parsi people from Mumbai   Scientists from Mumbai   19th - century Indian engineers   Parsi people   Hidden categories :   Pages using citations with accessdate and no URL   CS1 : Julian -- Gregorian uncertainty   Pages using web citations with no URL   EngvarB from July 2017   Use dmy dates from July 2017   Articles with hCards   Wikipedia articles needing clarification from April 2018           Talk                                           Contents                   About Wikipedia                                           Français   Malagasy   Edit links   This page was last edited on 13 May 2018 , at 23 : 29 ( UTC ) .         About Wikipedia                    </t>
  </si>
  <si>
    <t xml:space="preserve">first indian to be made a fellow of royal society of london</t>
  </si>
  <si>
    <t xml:space="preserve"> He is noted for having been the first Indian to be elected a Fellow of the Royal Society . He is also recorded as having introduced several ( at the time ) novel technologies to the city of Bombay ( now Mumbai ) , including gas lighting , the sewing machine , steam pump - driven irrigation and electro - plating . </t>
  </si>
  <si>
    <t xml:space="preserve">Qualification types in the United Kingdom - wikipedia  Qualification types in the United Kingdom  Jump to : navigation , search  In the UK education sector , there are a wide range of qualification types offered by the United Kingdom awarding bodies . Qualifications range in size and type , can be academic , vocational or skills - related , and are grouped together into different levels of difficulty . In England , Wales and Northern Ireland , qualifications are divided into Higher Education qualifications , which are on the Framework for Higher Education Qualifications ( FHEQ ) and are awarded by bodies with degree awarding powers , and Regulated qualifications , which are on the Regulated Qualifications Framework ( RQF ) and are accredited by Ofqual in England , the Council for the Curriculum , Examinations and Assessment in Northern Ireland and Qualifications Wales in Wales . In Scotland , qualifications are divided into Higher Education qualifications , Scottish Qualifications Authority qualifications and Scottish Vocational Qualifications / Modern Apprenticeships , all of which are on the Scottish Credit and Qualifications Framework ( SCQF ) . Scottish Higher Education Qualifications are on both the SCQF and the FHEQ .     Contents  ( hide )   1 Qualification levels   2 The Business and Technology Education Council ( BTEC )   3 A General National Vocational Qualification , or GNVQ   4 AS and A levels / Highers and Advanced Highers   5 Bachelor 's degrees   6 Diplomas ( for 14 - to 19 - year - olds )   7 Entry level qualifications   8 Foundation Degrees   9 GCSEs / National 5s   10 HNCs and HNDs   11 International Baccalaureate   12 Key Skills qualifications   13 Postgraduate qualifications   14 Skills for Life qualifications   15 Vocational qualifications   16 See also   17 References   18 External links      Qualification levels ( edit )   Qualifications are grouped together into different levels . Each level corresponds to a particular qualification 's degree of difficulty . However , qualifications within any one level can cover a huge range of subjects and take different amounts of time to complete , often expressed in terms of credits .   In England , Northern Ireland and Wales , the levels are contained within the Regulated Qualifications Framework ( RQF ) , which superseded the Qualifications and Credit Framework from 1 October 2015 . There are nine levels of difficulty in the framework , from entry level ( which is sub-divided into 3 ) to level 8 .   Higher education qualifications are contained in the Framework for Higher Education Qualifications ( FHEQ ) . The FHEQ corresponds with levels 4 to 8 of the RQF . Scotland has its own education system and its own twelve level system , the Scottish Credit and Qualifications Framework . These can also be equated with the European Qualifications Framework .     The business and technology education Council ( BTEC ) ( edit )   The Business and Technology Education Council ( BTEC ) is a provider ( existing as part of Pearson Education Ltd ) of secondary school leaving qualifications and Further education qualifications in England , Wales and Northern Ireland . Whilst the T in BTEC it has been mistakenly understood to stand for Technician , according to the DFE ( 2016 ) it actually stands for Technology . ( 1 )   BTEC qualifications , especially Level 3 , are accepted by many universities ( excluding Cambridge and Oxford unless combined with more qualifications ) when assessing the suitability of applicants for admission , and many such universities base their conditional admissions offers on a student 's predicted BTEC grades .   A General National vocational qualification , or GNVQ ( edit )   A General National Vocational Qualification , or GNVQ , is a certificate of vocational education in the United Kingdom . The last GNVQs were awarded in 2007 .   The qualifications relate to occupational areas in general , rather than any specific job . They could be taken in a wide range of subjects . There are different levels of GNVQ , namely the Intermediate level ( equivalent to four General Certificates of Secondary Education ) and Advanced level ( equivalent to two Advanced - level General Certificates of Education ) .   GNVQs were available to people of all ages . Many schools and colleges offered these courses and they could be studied alongside GCSEs or A levels . The GNVQ generally involved a lot of coursework ( 6 - 8 large assignments ) , which allowed holders to show their skills when applying for jobs .     RQF / CQFW level   FHEQ level   SCQF level   EQF level   Example qualification     8   8   12   8   Doctoral degree     7   7   11   7   Master 's degree     6   6   10   6   Bachelor 's degree with honours     9   Non-honours bachelor 's degree     5   5   8   5   Higher National Diploma         7   Higher National Certificate       N / A   6     A-level       N / A   5     GCSE ( grades A * -- C )       N / A       GCSE ( grades D-G )     Entry   E3   N / A       Skills for Life     E2   N / A     N / A     E1   N / A     N / A     As and a levels / Highers and Advanced Highers ( edit )   AS level and A ( Advanced ) level qualifications focus on traditional study skills . They normally take two years to complete full - time in school or college , and can be taken part - time . AS and A levels are available in a wide range of academic and applied ( work - related ) subjects , and are often used as entry into higher education .   In Scotland , students usually take Highers and Advanced Highers .   AS and A levels are at level 3 on the RQF .   Bachelor 's degrees ( edit )   A bachelor 's degree is a course of higher education academic study leading to a qualification such as a bachelor of arts ( BA ) or bachelor of science ( BSc ) . They are sometimes known as ' undergraduate ' or ' first ' degrees .   A bachelor 's degree is designed to give learners a thorough understanding of a subject , and usually takes three years to complete full - time in England , Wales and Northern Ireland ; in Scotland ' ordinary ' bachelor 's degrees normally take three years while bachelor 's degrees with honours take four years .   Bachelor 's degrees are at level 6 on the FHEQ in England , Wales and Northern Ireland ; Scottish ordinary bachelor 's degrees are at level 9 of the SCQF and honours bachelor 's degrees at level 10 . All UK bachelor 's degrees are first cycle ( end of cycle ) qualifications in the Bologna Process .   Some awards titled bachelor 's for historical reasons are actually master 's - level degrees , similarly the Scottish MA is actually a bachelor 's degree that has retained its historical title .   Diplomas ( for 14 - to 19 - year - olds ) ( edit )   The 14 -- 19 Diploma was a qualification for 14 - to 19 - year - olds , offering a more practical , hands - on way of gaining the essential skills employers and universities look for . The 14 -- 19 Diplomas were at levels 1 to 3 on the NQF . From September 2008 , Diplomas in five subject areas were made available in selected schools and colleges around the country . Further subjects were added every year until 2011 when there were 17 subjects available . Diploma courses were cancelled from September 30 , 2013 onwards by the coalition government due to issues surrounding its popularity and how the qualifications were `` viewed by employers and universities '' .   Entry level qualifications ( edit )   Entry level qualifications are known as ' certificates ' or ' awards ' , and are designed for learners who are not yet ready to take qualifications at level 1 on the RQF .   They may be appropriate for learners who do not have traditional qualifications , or who have been away from learning for a long time . They are available in a wide variety of subjects , and at the three different sub-levels of the RQF 's entry level .   Foundation degrees ( edit )   Foundation Degrees are higher education qualifications that combine academic study with workplace learning . They have been designed jointly by universities , colleges and employers , and are available in a range of work - related subjects . They are broadly equivalent to the first two years of a bachelor 's degree .   Foundation Degrees are at level 5 on the FHEQ ; they are not offered in Scotland .   GCSEs / National 5s ( edit )   GCSEs ( General Certificate of Secondary Education ) are the main qualification taken by 14 - to 16 - year - olds ( adults can take them as well ) in England and Wales . They are available in a wide range of academic and applied ( work - related ) subjects , and also as a ' short - course ' option ( equivalent to half a full GCSE ) .   GCSEs are at levels 1 and 2 on the RQF , depending on the grade achieved .   The Scottish equivalent of GCSE is the National 5 qualification .   Hncs and HNDs ( edit )   HNCs ( Higher National Certificates ) and HNDs ( Higher National Diplomas ) are work - related higher education qualifications .   HNCs can take one year to complete full - time . HNDs take two years full - time ( both can also be studied part - time ) . They are highly valued by employers , and can also count towards membership of professional bodies and other employer organisations .   HNCs and HNDs are at level 5 on the NQF .   International Baccalaureate ( edit )   The International Baccalaureate ( IB ) Diploma Programme is an internationally recognised qualification for students aged 16 to 19 . It is based around detailed academic study of a wide range of subjects . The student is required to take at least one language , a science , maths , english , and a humanity . The sixth option can be used to pursue an arts subject ( drama , music , art , etc . ) or another language , or science , or humanity . The IB also encompasses a Core of Theory of Knowledge ( ToK ) , CAS ( Creativity , Action , Service ) , and the Extended Essay ( EE ) . This all leads to a single qualification .   The IB Diploma Programme is at level 3 on the RQF .   Key skills qualifications ( edit )   Key Skills qualifications were designed to develop the skills that are commonly needed in education and training , work and life in general . They have been replaced by `` Functional Skills '' in England , `` Essential Skills '' in Northern Ireland and `` Essential Skills Wales '' in Wales .   Postgraduate qualifications ( edit )  See also : master 's degree and doctoral degree  Postgraduate qualifications are higher education qualifications at levels 7 or 8 of the FHEQ / levels 11 or 12 of the SCQF which require that learners have already completed a bachelor 's degree . Most postgraduate qualifications will include taught and research elements , and are defined as either ' taught ' or ' research ' qualifications depending on which of these predominates . While all UK universities have taught degree awarding powers and can award taught postgraduate degrees , only bodies with research degree awarding powers may award research degrees .   Generally , they fall into three categories :    Short courses at FHEQ level 7 / SCQF level 11 ( master 's degree level ) leading to Postgraduate Certificates and Postgraduate Diplomas , which are taught qualifications ;   Master 's degrees ( FHEQ level 7 / SCQF level 11 ) , which may be defined as either taught or research degrees ;   Doctoral degrees ( FHEQ level 8 / SCQF level 12 ) , which are all research degrees .    In addition to these , primary qualifications in medicine ( Bachelor of Medicine , Bachelor of Surgery ) , dentistry ( Bachelor of Dental Surgery ) and veterinary science ( Bachelor of Veterinary Science ) , and integrated master 's degrees ( e.g. Master of Engineering , Master of Physics , etc . ) are undergraduate - entry courses that lead to postgraduate - level degrees ( FHEQ level 7 / SCQF level 11 ) . The Scottish MA and the Oxbridge MA are not postgraduate qualifications .   In addition to postgraduate qualifications , the UK has graduate qualifications . These are short courses . ( up to one year ) at FHEQ level 6 / SCQF level 10 or 11 ( bachelor 's degree level ) that require students to have already gained a first degree , leading to Graduate Certificates and Graduate Diplomas .   Skills for Life qualifications ( edit )   Skills for Life ( sometimes referred to as Basic Skills qualifications ) are designed to help learners develop their reading , writing , maths and ICT skills . There is also a Skills for Life qualification in English for Speakers of Other Languages ( ESOL ) .   They are available for those learners who are over 16 years of age , have left compulsory full - time education and do not have an up - to - date English or maths qualification at level 2 ( such as a GCSE ) on the NQF . In some cases , schools can also offer the qualifications for 14 - to 16 - year - olds .   Skills for Life qualifications are available at entry level on the RQF .   Vocational qualifications ( edit )   Vocational qualifications are designed to give learners the skills and knowledge to do a particular job , work in a particular industry , or acquire more general skills to do a variety of jobs .   They are offered by a variety of awarding bodies such as City and Guilds , Edexcel , OCR , NCFE and ABC Awards .   They are available at various levels on the RQF , and in a variety of different sizes .   A range of vocational qualifications include the competence - based National Vocational Qualifications ( NVQs ) that can be taken at work , college , or as part of an Apprenticeship . They are based on national standards for various occupations , and cover the practical , work - related tasks designed to help learners do a job effectively . NVQs are at levels 1 to 7 on the RQF .   See also ( edit )    Secondary education   Further education   Lifelong learning   Recognising and Recording Progress and Achievement    References ( edit )    Jump up ^ `` What qualification levels mean '' . Gov.uk . Retrieved 13 October 2016 .   Jump up ^ `` Credit and Qualifications Framework for Wales '' . Welsh Government . Retrieved 13 October 2016 .   Jump up ^ `` Scottish Credit and Qualifications Framework '' . Scottish Credit and Qualifications Framework . Retrieved 13 October 2016 .   Jump up ^ `` What qualification levels mean '' . Gov.uk . Retrieved 11 October 2016 .   Jump up ^ `` Find and Compare Qualifications Frameworks '' . European Commission . Retrieved 13 October 2016 .   Jump up ^ Diploma aggregation service ( DAS ) Closure   Jump up ^ Anger grows as diploma support wanes BBC News   Jump up ^ `` Key Skills '' . City &amp; Guilds . Retrieved 11 October 2016 .    External links ( edit )    ( https://web.archive.org/web/20080618111904/http://www.qca.org.uk/14-19/qualifications/index_main-qualifications-gp.hm   Qualifications and Curriculum Authority ( QCA )   QCA NQF factsheet ( PDF )   National Database of Accredited Qualifications   Department for Children Schools and Families , Section 96 qualifications ( for learners aged under 19 )   International Baccalaureate Organization   City and Guilds   Edexcel   OCR Examinations   Qualification Reform Support Programme   Guide to Higher Education Qualifications   Retrieved from `` https://en.wikipedia.org/w/index.php?title=Qualification_types_in_the_United_Kingdom&amp;oldid=798470831 '' Categories :   Education in the United Kingdom           Talk                                           Contents                   About Wikipedia                                           Deutsch   Edit links   This page was last edited on 2 September 2017 , at 04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</si>
  <si>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is a level 7 diploma equivalent to a degree</t>
  </si>
  <si>
    <t xml:space="preserve"> Short courses at FHEQ level 7 / SCQF level 11 ( master 's degree level ) leading to Postgraduate Certificates and Postgraduate Diplomas , which are taught qualifications ; </t>
  </si>
  <si>
    <t xml:space="preserve">Roger Federer - wikipedia  Roger Federer  Jump to : navigation , search `` Federer '' redirects here . For other uses , see Federer ( disambiguation ) .  Roger Federer   Federer at Wimbledon in 2009     Country ( sports )   Switzerland     Residence   Bottmingen , Switzerland       ( 1981 - 08 - 08 ) 8 August 1981 ( age 36 ) Basel , Switzerland     Height   1.85 m ( 6 ft 1 in )     Turned pro   1998     Plays   Right - handed ( one - handed backhand )     Prize money    US $ 111,885,682    All - time leader in earnings       Official website   rogerfederer.com     Singles     Career record   1132 -- 250 ( 81.91 % )     Career titles   95 ( 2nd in the Open Era )     Highest ranking   No. 1 ( 2 February 2004 )     Current ranking   No. 2 ( 11 September 2017 )     Grand Slam Singles results     Australian Open   W ( 2004 , 2006 , 2007 , 2010 , 2017 )     French Open   W ( 2009 )     Wimbledon   W ( 2003 , 2004 , 2005 , 2006 , 2007 , 2009 , 2012 , 2017 )     US Open   W ( 2004 , 2005 , 2006 , 2007 , 2008 )     Other tournaments     Tour Finals   W ( 2003 , 2004 , 2006 , 2007 , 2010 , 2011 )     Olympic Games   F ( 2012 )     Doubles     Career record   129 -- 89 ( 59.17 % )     Career titles   8     Highest ranking   No. 24 ( 9 June 2003 )     Grand Slam Doubles results     Australian Open   3R ( 2003 )     French Open   1R ( 2000 )     Wimbledon   QF ( 2000 )     US Open   3R ( 2002 )     Other doubles tournaments     Olympic Games   W ( 2008 )     Team competitions     Davis Cup   W ( 2014 )     Hopman Cup   W ( 2001 )     Olympic medal record ( hide )          2008 Beijing   Doubles       2012 London   Singles        Last updated on : 11 December 2017 .     Roger Federer ( German pronunciation : ( ˈrɔdʒər ˈfeːdərər ) ; born 8 August 1981 ) is a Swiss professional tennis player who is currently ranked world No. 2 in men 's singles tennis by the Association of Tennis Professionals ( ATP ) . Federer has won 19 Grand Slam singles titles , the most in history for a male tennis player and has held the world No. 1 spot in the ATP rankings for a record total of 302 weeks , including a record 237 consecutive weeks . After turning professional in 1998 , he was continuously ranked in the top ten from October 2002 to November 2016 . He re-entered the top ten following his victory at the 2017 Australian Open .   In majors , he has won a record eight Wimbledon titles , five Australian Open titles , a record five consecutive US Open titles and one French Open title . He is among only eight men to have captured a career Grand Slam and has reached a record 29 men 's singles Grand Slam finals , including ten in a row from the 2005 Wimbledon Championships to the 2007 US Open . Given these achievements , many players and analysts consider Federer the greatest tennis player of all time .   Among Federer 's other ATP tournament records include winning six ATP World Tour Finals , 19 ATP Tour 500 tournaments and playing in the finals at all nine ATP Masters 1000 tournaments . He is the only male player to win ten hard court Grand Slams ( 5 Australian Open and 5 US Open ) . He is the fourth male player to reach four consecutive French Open Finals after Borg , Lendl and Nadal . He has also won an Olympic gold medal in doubles with his compatriot Stan Wawrinka at the 2008 Summer Olympic Games and an Olympic silver medal in singles at the 2012 Summer Olympic Games . Representing Switzerland , Federer was a part of the 2001 winning Hopman Cup team and the 2014 winning Davis Cup team .   Federer has been named Swiss Sports Personality of the Year a record seven times . In 2007 , he won the ESPY Award for Best International Athlete and he has won the Best Male Tennis Player award a record seven times . He was named ATP Player of the Year five times , was named ITF World Champion five times , and won the Laureus World Sportsman of the Year for a record four consecutive years . He was named four times the BBC Overseas Sports Personality of the Year . In 2017 , ESPN ranked him fourth in its most famous athletes list , first among tennis players .     Contents  ( hide )   1 Personal life   1.1 Childhood and early life   1.2 Family   1.3 Philanthropy and outreach     2 Tennis career   2.1 Pre -- 1998 : Junior years   2.2 1998 -- 2002 : Early professional career   2.3 2003 : Maiden Grand slam title and maiden Wimbledon victory   2.4 2004 : Imposing dominance   2.5 2005 : Consolidating dominance   2.6 2006 : Outstanding season   2.7 2007 : Holding off young rivals   2.8 2008 : Illness , fifth US Open title and Olympic Gold   2.9 2009 : Career Grand Slam , and Major title record   2.10 2010 : Fourth Australian Open   2.11 2011 : Tour Finals title record   2.12 2012 : Wimbledon title and Olympic Silver   2.13 2013 : Injury struggles   2.14 2014 : Davis Cup glory   2.15 2015 : 1,000 th win   2.16 2016 : Knee surgery and recovery   2.17 2017 : Renaissance , Australian Open &amp; Wimbledon record title     3 National representation   3.1 Davis Cup   3.2 Olympics     4 Rivalries   4.1 Federer vs. Nadal   4.2 Federer vs. Djokovic   4.3 Federer vs. Murray   4.4 Federer vs. Roddick   4.5 Federer vs. Hewitt   4.6 Federer vs. Agassi   4.7 Federer vs. del Potro   4.8 Federer vs. Safin   4.9 Federer vs. Nalbandian   4.10 Federer vs. Berdych   4.11 Federer vs. Tsonga   4.12 Federer vs. Wawrinka     5 Legacy   6 Cultural impact   7 Playing style   8 Equipment and apparel   8.1 Equipment   8.2 Apparel     9 Endorsements   10 Career statistics   10.1 Grand Slam tournament performance timeline   10.1. 1 Grand Slam tournament finals : 29 ( 19 titles , 10 losses )     10.2 Records   10.2. 1 All - time tournament records   10.2. 2 Open Era records       11 See also   12 Notes   13 References   14 Further reading   14.1 Video     15 External links   15.1 Profiles        Personal life ( edit )   Childhood and early life ( edit )   Federer was born in Basel , Switzerland . His father , Robert Federer , is Swiss - German , from Berneck , in the Canton of St. Gallen , and his mother , Lynette Federer ( née Durand ) , from Kempton Park , Gauteng . Federer 's mother is descended from Dutch and French Huguenots . Federer has one sibling , his older sister Diana , who is the mother of a set of twins . Since his mother is South African , he holds both Swiss and South African citizenship . He grew up in nearby Birsfelden , Riehen , and then Münchenstein , close to the French and German borders and speaks Swiss German , Standard German , English and French fluently , as well as functional Italian and Swedish , Swiss German being his native language . Federer served as a ball boy at his hometown Basel tournament , the Swiss Indoors , in 1992 and 1993 .  Federer 's signature  Like all male Swiss citizens , Federer was subject to compulsory military service in the Swiss Armed Forces . However , in 2003 he was ruled `` unsuitable '' and was subsequently not required to fulfill his military obligation . Instead , he served in the civil protection force and was required to pay 3 % of his taxable income as an alternative . He grew up supporting F.C. Basel and the Swiss National Football Team . Federer also credits his hand - eye coordination to the wide range of sports he played as a child , including badminton and basketball .   Family ( edit )   Federer is married to former Women 's Tennis Association player Mirka Federer . He met her while both were competing for Switzerland in the 2000 Sydney Olympics . Miroslava Vavrinec retired from the tour in 2002 because of a foot injury seven years before she married Federer . They were married at Wenkenhof Villa in Riehen near Basel on 11 April 2009 , surrounded by a small group of close friends and family . In July 2009 , Mirka gave birth to identical twin girls , Myla Rose and Charlene Riva . The Federers had another pair of identical twins in 2014 , this time boys whom they named Leo and Lennart ( known as Lenny ) .   Philanthropy and outreach ( edit )   In 2003 , he established the Roger Federer Foundation to help disadvantaged children and to promote their access to education and sports . Since May 2004 , citing his close ties with South Africa , including that being where his mother was raised , he began supporting the South Africa - Swiss charity IMBEWU which helps children better connect to sports and social and health awareness . Later , In 2005 , Federer visited South Africa to meet the children that had benefited from his support . In 2005 , he auctioned his racquet from his US Open championship to aid victims of Hurricane Katrina . At the 2005 Pacific Life Open in Indian Wells , Federer arranged an exhibition involving several top players from the ATP and WTA tour called Rally for Relief . The proceeds went to the victims of the tsunami caused by the 2004 Indian Ocean earthquake . In December 2006 he visited Tamil Nadu , one of the areas in India most affected by the tsunami . He was appointed a Goodwill Ambassador by UNICEF in April 2006 and has appeared in UNICEF public messages to raise public awareness of AIDS .   In response to the 2010 Haiti earthquake , Federer arranged a collaboration with fellow top tennis players for a special charity event during the 2010 Australian Open called ' Hit for Haiti ' , in which proceeds went to Haiti earthquake victims . He participated in a follow - up charity exhibition during the 2010 Indian Wells Masters which raised $1 million . The Nadal vs Federer `` Match for Africa '' in 2010 in Zurich and Madrid raised more than $4 million for the Roger Federer Foundation and Fundación Rafa Nadal . In January 2011 , Federer took part in an exhibition , Rally for Relief , to raise money for the victims of the Queensland floods . In 2014 , the `` Match for Africa 2 '' between Federer and Stan Wawrinka , again in Zurich , raised £ 850,000 for education projects in southern Africa . On November 24th 2017 Federer received an honorary doctorate awarded to him by his home university , the University of Basel . He received the title in recognition for his role in increasing the international reputation of Basel and Switzerland , and also his engagement for children in Africa through his charitable foundation .   Tennis career ( edit )   Pre -- 1998 : junior years ( edit )  Main article : Roger Federer junior years  Federer 's main accomplishments as a junior player came at Wimbledon in 1998 , where he won both the boys ' singles final over Irakli Labadze , and in doubles teamed with Olivier Rochus , defeating the team of Michaël Llodra and Andy Ram . In addition , Federer lost the US Open Junior final in 1998 to David Nalbandian . He won four ITF junior singles tournaments in his career , including the prestigious Orange Bowl , where he defeated Guillermo Coria in the final . He ended 1998 with the # 1 junior world ranking , is awarded ITF junior World Champion , and he entered his first tournament as a professional during 1998 in Gstaad , where he lost to Lucas Arnold Ker in the first round .   1998 -- 2002 : early professional career ( edit )  Main article : Roger Federer 's early career  Federer entered the top 100 ranking for the first time on 20 September 1999 and started at the 1999 Marseille Open defeating the reigning champion of the 1998 French Open , Spaniard Carlos Moyá . His first final came at the Marseille Open in 2000 , where he lost to fellow Swiss Marc Rosset . Federer won the 2001 Hopman Cup representing Switzerland , along with Martina Hingis . The duo defeated the American pair of Monica Seles and Jan - Michael Gambill in the finals . Federer 's first singles win was at the 2001 Milan Indoor tournament , where he defeated Julien Boutter in the final . Although he won his first title already in 1999 on the Challenger tour , winning the doubles event in Segovia , Spain with Dutchman Sander Groen , the final was played on Federer 's 18th birthday . In 2001 , Federer made his first Grand Slam quarterfinal at the French Open , losing to former world # 2 and eventual finalist Alex Corretja . His run to the French quarterfinals launched him into the top 15 for the first time in his career .   His international breakthrough came at the 2001 Wimbledon Championships where a 19 year old Federer faced the four - time defending champion and all - time Grand Slam leader Pete Sampras . The teenage Swiss stunned the seven time Wimbledon champion and # 1 seed in a dramatic five set epic to reach the quarterfinals . In the quarters he faced Englishman Tim Henman , eventually losing in an overtime fourth set tiebreaker . Federer 's breakthrough at Wimbledon signaled the record breaking dominance he would display at the All England Club over the next two decades .   The first final he reached at the prestigious Masters level came at the 2002 Miami Masters event , where he lost to former and future world # 1 Andre Agassi on hard court . Federer won his first Master Series event at the 2002 Hamburg Masters on clay , over Marat Safin ; the victory put him in top 10 for the first time . Federer made 10 singles finals between 1998 and 2002 , of which he won four and lost six . He also made six finals in doubles . Of note are Federer and partner Max Mirnyi 's defeat in the final of the Indian Wells Masters in 2002 , and their victory in the same year in the final of the Rotterdam 500 series event . Federer had won the latter a year earlier with partner Jonas Björkman . He finished 2001 with an ATP ranking of # 13 , and 2002 was the first year he was ranked within the top 10 , finishing at # 6 .   2003 : maiden Grand Slam title and maiden Wimbledon victory ( edit )  Main article : 2003 Roger Federer tennis season  In 2003 , Federer won his first Grand Slam singles title at Wimbledon , beating Andy Roddick in the semifinals and Mark Philippoussis in the final . In August he had a chance to take over the # 1 ranking for the first time from Andre Agassi if he made it to the Montreal final . However , he fell in the semifinals to Roddick , in a final set tiebreaker leaving him a tantalizing 120 points behind Agassi . This , coupled with early losses to David Nalbandian at Cincinnati and the US Open , denied Federer the chance to become # 1 for the duration of the season .   Federer won his first and only doubles Masters Series 1000 event in Miami with Max Mirnyi and made it to one singles Masters Series 1000 event in Rome on clay , which he lost . Federer made it to nine finals on the ATP Tour and won seven of them , including the 500 series events at Dubai and Vienna . Lastly , Federer won the year - end championships over Andre Agassi , finishing the year as world # 2 , narrowly behind Andy Roddick by only 160 points .   2004 : imposing dominance ( edit )  Federer at the 2004 US Open , where he became the first man since 1988 to win three majors in a season Main article : 2004 Roger Federer tennis season  During 2004 , Federer won three Grand Slam singles titles for the first time in his career and became the first person to do so since Mats Wilander in 1988 . His first major hard - court title came at the Australian Open over Marat Safin , thereby becoming the world # 1 for the first time . He then won his second Wimbledon crown over Andy Roddick . Federer defeated the 2001 US Open champion , Lleyton Hewitt , at the US Open for his first title there .   Federer won three ATP Masters Series 1000 events , one was on clay in Hamburg , and the other two were on hard surfaces at Indian Wells and in Canada . Federer took the ATP 500 series event at Dubai and wrapped up the year by winning the year - end championships for the second time . He also won his first tournament on home soil by capturing the Swiss Open in Gstaad . His 11 singles titles were the most of any player in two decades , and his record of 74 -- 6 was the best since Ivan Lendl in 1986 . He reached the year - end world No. 1 ranking for the first time .   2005 : consolidating dominance ( edit )  Main article : 2005 Roger Federer tennis season  In 2005 , Federer failed to reach the finals of the first two Grand Slam tournaments , losing the Australian Open semifinal to eventual champion Safin after holding match points , and the French Open semifinal to eventual champion Rafael Nadal . However , Federer quickly reestablished his dominance on grass , winning the Wimbledon Championships over Andy Roddick . At the US Open , Federer defeated Andre Agassi in the latter 's last major final .   Federer also took four ATP Masters Series 1000 wins : Indian Wells , Miami and Cincinnati on hard court , and Hamburg on clay . The win in Miami was particularly noteworthy as it was the first final contested between Federer and Nadal in what would become one of the greatest rivalries in tennis history . Federer recovered from two sets and a break down to take the final in five sets . Furthermore , Federer won two ATP 500 series events at Rotterdam and Dubai . Federer lost the year - end championships to David Nalbandian in five sets while playing through a foot injury that sidelined him for almost the rest of the season after September . He maintained his position as world # 1 for the entire season .   The season was statistically one of the most dominant in the Open Era . He won 11 singles titles , which tied his 2004 season as the most in over two decades , his 81 match victories were the most since Pete Sampras in 1993 , and his record of 81 -- 4 ( 95.2 % ) remains the second - best winning percentage in the Open Era behind only John McEnroe in 1984 .   2006 : outstanding season ( edit )  Main article : 2006 Roger Federer tennis season  The 2006 season was statistically the best season of Federer 's career , as well as one of the greatest seasons of any player in tennis history . In November 2011 , Stephen Tignor , chief editorial writer for Tennis.com , ranked Federer 's 2006 season as the second - greatest season of all time during the Open Era , behind only Rod Laver 's Grand Slam year of 1969 .  Federer hits a forehand at the 2006 US Open , where he became the first man in history to achieve the Wimbledon - US Open double for three consecutive seasons  Federer won 12 singles titles ( the most of any player since John McEnroe in 1984 ) and had a match record of 92 -- 5 ( the most wins since Ivan Lendl in 1982 ) . Federer reached the finals in an astounding 16 of the 17 tournaments he entered during the season .   In 2006 , Federer won three Grand Slam singles titles and reached the final of the other , with the only loss coming against Nadal in the French Open . This was Federer and Nadal 's first meeting in a Grand Slam final . He was the first man to reach all four finals in a calendar year since Rod Laver in 1969 . Federer defeated Nadal in the Wimbledon Championships final . In the Australian Open , Federer defeated Marcos Baghdatis , and at the US Open , Federer defeated Roddick ( 2003 champion ) . In addition , Federer made it to six ATP Masters Series 1000 finals , winning four on hard surfaces and losing two on clay to Nadal . Federer , however , consistently pushed Nadal to the limit on clay throughout the season taking him to fourth - set tiebreakers in Monte - Carlo and Paris , and a thrilling match in Rome that went to a deciding fifth - set tiebreaker .   Federer won one ATP 500 series event in Tokyo and captured the year - end championships for the third time in his career , again finishing the year as world # 1 . Federer only lost to two players during 2006 , to Nadal four times in finals , and to 19 - year - old Andy Murray in the second round of the 2006 Cincinnati Masters , in what would be Federer 's only defeat before reaching the final of a tournament that year . Federer finished the season on a 29 - match winning streak , as well as winning 48 of his last 49 matches after the French Open .   A personal highlight for Federer came near the end of the season when he won his hometown tournament , the Swiss Indoors in Basel , Switzerland .   2007 : holding off young rivals ( edit )  Main article : 2007 Roger Federer tennis season  In 2007 , Federer reached all four Grand Slam singles finals , winning three of them again . He won the Australian Open without dropping a set , beating Fernando González in the final . This made him the first man in the 21st century to accomplish the feat , as Björn Borg at the 1980 French Open was the last to win a Grand Slam tournament without the loss of a set . Federer had entered the year on a huge winning streak and after capturing his fourth Dubai crown Federer 's winning streak stood at 41 matches , the longest of his career and only five shy of the record . Federer entered Indian Wells as the three - time defending champion , but his streak would end in controversy . He was defeated by an Argentine , Guillermo Cañas , who had failed a drug test for illegal doping .  Federer was coined `` Darth Federer '' by fans and commentators at the 2007 US Open  This surprising first - round defeat marked the first time since August 2006 he suffered defeat , a period spanning over seven months .   During the clay season , Federer 's victory in the Hamburg Masters final was particularly impressive , as it snapped Nadal 's 81 - match winning streak on clay , an Open - era record . Federer turned the match around from a set down to sweep 12 of the final 14 games , including a final set bagel . At the French Open , some anticipated that Federer could become the first man in almost 40 years to hold all four majors simultaneously , having just resoundingly defeated young rival Nadal on clay entering the tournament . However , in a repeat of the previous year Federer played a tough four - set final against Nadal , but was undone by going 1 / 17 on break - point chances .   At Wimbledon , Federer entered the tournament not only as the four - time defending champion , but also riding a 48 - match winning streak on grass . Once again , he defeated Rafael Nadal for a second consecutive year in the final , this time in a thrilling five - set encounter that many analysts hailed as the greatest Wimbledon final since 1980 . Victory at Wimbledon equaled him with Björn Borg for the record of five consecutive championships at the All England Club .   Federer reached the final in Montreal before playing a young and relatively unknown Serbian named Novak Djokovic . Djokovic proved his potential by stunning the world # 1 in a final - set tiebreaker upset . Federer rebounded in Cincinnati to capture his fifth title of the year . Federer entered the US Open as the three - time defending champion and faced Djokovic in the final . This time , Federer prevailed in a close straight - set match . Victory in New York moved him ahead of Laver and Borg for third on the all - time list of major championship victories . Throughout the tournament , the American press labelled him Darth Federer for his all - black attire ( which included tuxedo - striped shorts ) and the tournament played The Imperial March from Star Wars when he was announced onto the court for each of his matches . He would close out the year with victories in Basel and the Year End Championships in Shanghai .   He finished the season as the year - end world # 1 for the fourth year in a row , demonstrating his dominance , and during these four years he won 11 Grand Slam singles titles . After his phenomenal triple Grand Slam season yet again , Federer became the only player in history to win three Majors in a year for three years ( 2004 , 2006 , 2007 ) . It was the third consecutive season that Federer would hold the world # 1 ranking for all 52 weeks of the year .   2008 : illness , fifth US Open title and Olympic gold ( edit )  Main article : 2008 Roger Federer tennis season  Federer 's success in 2008 was severely hampered by a lingering bout of mononucleosis , which he suffered from during the first half of the year . At the end of the year , he would suffer a back injury that would prove to be recurring throughout his career .   In 2008 , Federer captured one Grand Slam , a singles title at the US Open over Andy Murray . Federer was defeated by Nadal in two Grand Slam finals , at the French Open , and at Wimbledon , when he was going for six straight wins to break Björn Borg 's record . At the Australian Open , Federer lost in the semifinals to eventual winner Djokovic , which ended his record of 10 consecutive finals . Later in the year , it was found Federer had been suffering from mononucleosis at the start of the year , particularly during the Australian Open . He lost twice in Masters Series 1000 finals on clay to Nadal , at Monte Carlo and Hamburg . However , Federer captured three titles in 250 - level events at Estoril , Halle , and Basel .   At the Olympic Games , Federer and Stan Wawrinka won the gold medal in doubles , after beating the Bryan brothers American team in the semifinals and the Swedish duo of Simon Aspelin and Thomas Johansson in the final However , Federer could only reach the quarterfinals in the singles draw , knocked out by then world # 8 James Blake . He ended the year as world # 2 .   2009 : career Grand Slam , and major title record ( edit )  Main article : 2009 Roger Federer tennis season  Federer entered the 2009 season with 13 Grand Slams , only one behind Pete Sampras ' all - time record . The season began with a loss to Nadal in the finals of the Australian Open in a hotly contested five - set match . Federer struggled following the defeat in Melbourne and entered the clay season without a title .  Federer winning the French Open , and completing the career Grand Slam .  Federer 's season turned around in the final masters event of the clay season when he defeated Nadal on clay for only the second time to capture the Madrid Masters . Federer entered the French Open with few predicting him to win the elusive Parisian title having lost to Nadal in the final weekend for the past four seasons . After Nadal 's unexpected defeat to Robin Söderling , Federer suddenly became the overwhelming favorite . It would not be easy as in his next match as he was forced to come from two sets and break point down in the third set to defeat Tommy Haas in five sets . He was also forced to fight back from a two - sets - to - one deficit against a young Juan Martín del Potro to win a five setter in the semifinals . In the final , he faced Söderling , and with a straight sets victory , he finally captured the Coupe des Mousquetaires and career Grand Slam . This victory tied him with Pete Sampras for the most Grand Slam singles titles .   Federer immediately turned his sights to the grass courts of Wimbledon , where he breezed his way to the final . In the championship match he faced long - time rival Andy Roddick in what would be their eighth and eventually final meeting at a Grand Slam . Roddick pushed Federer into a record - setting fifth set , which the Swiss claimed 16 -- 14 to win his 15th men 's singles Grand Slam singles title , breaking the all - time record of Pete Sampras .   Federer continued his summer run by winning his third title on the lightning - fast courts of the Cincinnati Masters , defeating Novak Djokovic in the final . At the US Open he defeated Söderling in the quarters and Djokovic , for the third consecutive year , in the semifinals . On the penultimate point of the Djokovic match he hit what many consider to be the greatest shot of his career , a tweener winner , to setup match points . Federer played del Potro in the final and led two sets to one before ultimately losing a fourth set tiebreaker and subsequently the match .   The 2009 season was perhaps the most historically relevant of Federer 's career as he completed a career Grand Slam by winning his first French Open title and won a men 's record fifteenth Grand Slam singles title at Wimbledon , surpassing Pete Sampras 's mark of fourteen . The Wimbledon final was also historic for being the longest Grand Slam final in terms of games played with Federer prevailing 16 -- 14 in the fifth set . Upon breaking the Grand Slam tournament record , Federer was hailed by some analysts and many tennis greats as the greatest player in tennis history . Federer finished the season as the year end World No. 1 for the fifth time in his career .   2010 : fourth Australian Open ( edit )  Main article : 2010 Roger Federer tennis season Federer won a record 16th Major at the 2010 Australian Open  The year started with a win at the Australian Open , where he defeated Andy Murray in the final and extended the Grand Slam singles record to sixteen titles , matching Andre Agassi 's record of four Australian Open titles . Since Wimbledon 2005 Federer had made the finals of 18 out of 19 Grand Slam tournaments , an extraordinary period of sustained excellence unparalleled in the Open Era . This tournament , however , would mark the end of his utter dominance at the majors .   At the French Open , Federer won his 700th tour match and 150th tour match on clay . However , he failed to reach a Grand Slam semifinal for the first time since the 2004 French Open , losing to Söderling in the last 8 and relinquishing his # 1 ranking , having been just one week away from equalling Pete Sampras 's record of 286 weeks as world # 1 . In a huge upset at Wimbledon , Federer lost in the last 8 again to Tomáš Berdych and fell to # 3 in the rankings for the first time in 6 years and 8 months .   Towards the middle of July , Federer hired Pete Sampras ' old coach Paul Annacone on a trial basis to put his tennis game and career back on track . At the 2010 US Open , Federer reached the semifinals , where he lost a heart - breaking five - set match to Novak Djokovic after holding two match points . Federer made it to four Masters 1000 finals , prevailing at the Cincinnati Masters against Mardy Fish .   Federer finished the year in strong form , winning indoor titles at the Stockholm Open , Swiss Indoors , and the ATP World Tour Finals in London , which brought his tally to 66 career titles . Federer won the year - end championships in London by beating rival Rafael Nadal for his fifth title at the event . He showed much of his old form , beating all contenders except Nadal in straight sets . It remains the only tournament in his career where Federer defeated all fellow members of the Big Four . Since Wimbledon 2010 , Federer had a win - loss record of 34 -- 4 . Federer finished in the top two for the eighth consecutive season .   2011 : Tour finals title record ( edit )  Main article : 2011 Roger Federer tennis season  The 2011 season , although great by most players ' standards , was a lean year for Federer . He was defeated in straight sets in the semifinals of the 2011 Australian Open by eventual champion Novak Djokovic , marking the first time since July 2003 that he did not hold any of the four major titles . In the French Open semifinals , Federer ended Djokovic 's undefeated streak of 43 consecutive wins with a four - set victory . However , Federer then lost in the final to Rafael Nadal . At Wimbledon , Federer advanced to his 29th consecutive Grand Slam quarterfinal , but lost to Jo - Wilfried Tsonga . It marked the first time in his career that he had lost a Grand Slam tournament match after winning the first two sets .   At the US Open , Federer lost a much - anticipated semifinal match to Novak Djokovic , after squandering two match points in the fifth set , which repeated his previous year 's result against Djokovic and added a second loss from two sets up in Grand Slam tournament play to his record . With that loss , it meant that Federer did not win at least one of the four majors in 2011 , the first time since 2002 . Later that month in September 2011 , in a South African poll , Federer was voted the second most trusted and respected person in the world , next to Nelson Mandela .   Federer finished the season on a high note by yet again dominating the indoor season , winning his last three tournaments of the year at the Swiss Indoors , Paris Masters , and ATP World Tour Finals , and with a 16 match winning streak . He ended a 10 - month title drought by winning the Swiss Indoors for the fifth time , defeating Kei Nishikori . Federer followed this up with his first Paris Masters title , where he became the first player to reach all nine Masters 1000 finals . In the final of the 2011 ATP World Tour Finals , Federer defeated Jo - Wilfried Tsonga for the third consecutive Sunday and , in doing so , claimed a record sixth ATP World Tour Finals title , finishing the year as world # 3 .   2012 : Wimbledon title and Olympic silver ( edit )  Main article : 2012 Roger Federer tennis season  The 2012 season was a return to excellence for Federer . He had his mo</t>
  </si>
  <si>
    <t xml:space="preserve">when did roger federer win the french open</t>
  </si>
  <si>
    <t xml:space="preserve"> Roger Federer   Federer at Wimbledon in 2009     Country ( sports )   Switzerland     Residence   Bottmingen , Switzerland       ( 1981 - 08 - 08 ) 8 August 1981 ( age 36 ) Basel , Switzerland     Height   1.85 m ( 6 ft 1 in )     Turned pro   1998     Plays   Right - handed ( one - handed backhand )     Prize money    US $ 111,885,682    All - time leader in earnings       Official website   rogerfederer.com     Singles     Career record   1132 -- 250 ( 81.91 % )     Career titles   95 ( 2nd in the Open Era )     Highest ranking   No. 1 ( 2 February 2004 )     Current ranking   No. 2 ( 11 September 2017 )     Grand Slam Singles results     Australian Open   W ( 2004 , 2006 , 2007 , 2010 , 2017 )     French Open   W ( 2009 )     Wimbledon   W ( 2003 , 2004 , 2005 , 2006 , 2007 , 2009 , 2012 , 2017 )     US Open   W ( 2004 , 2005 , 2006 , 2007 , 2008 )     Other tournaments     Tour Finals   W ( 2003 , 2004 , 2006 , 2007 , 2010 , 2011 )     Olympic Games   F ( 2012 )     Doubles     Career record   129 -- 89 ( 59.17 % )     Career titles   8     Highest ranking   No. 24 ( 9 June 2003 )     Grand Slam Doubles results     Australian Open   3R ( 2003 )     French Open   1R ( 2000 )     Wimbledon   QF ( 2000 )     US Open   3R ( 2002 )     Other doubles tournaments     Olympic Games   W ( 2008 )     Team competitions     Davis Cup   W ( 2014 )     Hopman Cup   W ( 2001 )     Olympic medal record ( hide )          2008 Beijing   Doubles       2012 London   Singles        Last updated on : 11 December 2017 .   </t>
  </si>
  <si>
    <t xml:space="preserve">Thursday Night Football - Wikipedia  Thursday Night Football  Jump to : navigation , search      This article needs additional citations for verification . Please help improve this article by adding citations to reliable sources . Unsourced material may be challenged and removed . ( December 2016 ) ( Learn how and when to remove this template message )       Thursday Night Football     Thursday Night Football logo since 2016     Also known as   Run to the Playoffs ( 2006 -- present ) Thursday Night Football on NFL Network ( 2006 -- present ) Thursday Night Football on CBS ( 2014 -- 2017 ) NBC Thursday Night Football ( 2016 -- 2017 ) NFL Network Special ( 2016 -- present ) Fox Thursday Night Football ( 2018 -- 2022 )     Genre   NFL football telecasts     Presented by   Rich Eisen Steve Mariucci Michael Irvin     Country of origin   United States     Original language ( s )   English     No. of seasons   12 ( NFL Network seasons ) 4 ( CBS seasons ) 2 ( NBC seasons )     No. of episodes   57 ( games )     Production     Location ( s )   Various NFL stadiums ( game telecasts , pregame , halftime and postgame shows )     Camera setup   Multi-camera     Running time   180 minutes or until game ends ( inc . adverts )     Production company ( s )   National Football League NFL Network ( 2006 -- present ) CBS Sports ( 2014 -- 2017 ) NBC Sports ( 2016 -- 2017 ) Fox Sports ( 2018 -- present )     Release     Original network   NFL Network ( 2006 -- present ) CBS ( 2014 -- 2017 ; select games ) NBC ( 2016 -- 2017 ; select games ) Universo via Telemundo Deportes ( 2016 -- 2017 ; Spanish simulcasts on select NBC games ) Amazon Prime Video ( 2017 ; select games ) Fox ( 2018 -- 2022 ) Fox Deportes ( 2018 -- 2022 ; Spanish simulcast )     Picture format   480i ( SDTV ) , 1080i ( HDTV )     Original release   November 23 , 2006 ( 2006 - 11 - 23 ) -- present     Chronology     Related shows   NFL on CBS NFL on NBC The NFL Today Football Night in America NBC Sunday Night Football     External links     Website     Thursday Night Football ( or simply TNF ) is the branding used for broadcasts of National Football League ( NFL ) games that broadcast primarily on Thursday nights . Most of the games kick off at 8 : 25 p.m. Eastern Time , but games in the package also air occasionally on Saturdays in the later portion of the season , as well as a single Sunday morning game from London in the NFL International Series ( these games have been branded since 2017 as NFL Network Special ) .   Debuting on November 23 , 2006 , the telecasts were originally part of NFL Network 's Run to the Playoffs package , which consisted of eight total games broadcast on Thursday and Saturday nights ( five on Thursdays , and three on Saturdays , originally branded as Saturday Night Football ) during the latter portion of the season . Since 2012 , the TNF package has begun during the second week of the NFL season ; the NFL Kickoff Game and the Thanksgiving primetime game are both broadcast as part of NBC Sports ' Sunday Night Football contract and are not included in Thursday Night Football , although the Thanksgiving primetime game was previously part of the package from 2006 until 2011 .   At its launch , the package proved highly controversial mainly due to the relative unavailability of NFL Network at the time ; the league used the games as leverage to encourage television providers to carry NFL Network on their basic service tiers , rather than in premium , sports - oriented packages that required subscribers to pay a higher fee ; although , as with all other national cable telecasts of NFL games , the league 's own regulations require the games to be syndicated to over-the - air television stations in the local markets of the teams . These issues were magnified in 2007 , when a game that saw the New England Patriots close out a perfect regular season was simulcast nationally on both CBS and NBC , in addition to NFL Network and the local stations that the game was sold to , following concerns from politicians and other critics .   In 2014 , the NFL shifted the package to a new model to increase its prominence . The entire TNF package would be produced by a separate rightsholder , who would hold rights to simulcast a portion of the package on their respective network . CBS was the first rightsholder under this model , airing nine games on broadcast television , and producing the remainder of the package to air exclusively on NFL Network to satisfy its carriage agreements . The package was also extended to Week 16 of the season , and included a new Saturday doubleheader split between CBS and NFL Network . On January 18 , 2015 , CBS and NFL Network extended the same arrangement for a second season . In the 2016 and 2017 , the NFL continued with a similar arrangement , but adding NBC as a second rightsholder alongside CBS , with each network airing five games on broadcast television each . In 2018 , the NFL reached a long - term deal with Fox to hold the rights through 2022 .   The games are broadcast on radio via Westwood One , which syndicates the broadcasts to its partner radio stations around the United States . In 2016 , the NFL also began to sub-license digital streaming rights to the broadcast TV portion of the package to third - parties , beginning with Twitter in 2016 , and Amazon Prime Video in 2017 .     Contents  ( hide )   1 Background   1.1 Early history   1.2 2014 -- 2015 : partnership with CBS Sports   1.3 2016 -- 2017 : CBS and NBC   1.4 2018 -- 2022 : Fox     2 Coverage   2.1 Game announcers   2.2 Pregame , halftime and postgame coverage   2.3 Radio coverage     3 Game announcers   3.1 Television   3.1. 1 Former     3.2 Radio   3.2. 1 Current   3.2. 2 Former       4 Results   5 Reception   5.1 Carriage   5.2 Game quality and viewership   5.3 Player safety     6 See also   7 References   8 External links      Background ( edit )   Early history ( edit )   The NFL Network 's coverage was not the first time that NFL games were covered on Thursday or Saturday . Prior to the new contract , ESPN carried a handful of sporadic Thursday night games ( usually those displaced from Sunday night ) and the broadcast networks used to air several national games on Saturday afternoons in mid-to - late December after the college football regular season ended . Incidentally , the only reason the league is even allowed to televise football games on Saturday night stems from a legal loophole : the league 's antitrust exemption , the Sports Broadcasting Act of 1961 , was written when the NFL regular season ended in mid-December , and as such , it contains specific language that prohibits televising NFL games in most markets on Friday nights and all day on Saturdays between the second week of September and the second week of December , to protect high school and college football . Since most high school and college seasons have ended by mid-December , other than bowl games , there has been little desire to close this loophole , even though the regular season has expanded well beyond mid-December since the law 's passage .   In 2005 , when the NFL negotiated a new set of television contracts , Comcast - owned OLN offered to pay $450 million for an eight - year contract to carry NFL prime time games . In exchange , Comcast planned to add NFL Network to its digital cable lineup . The channel was added , but NFL Network decided to air the games itself , foregoing a rights fee . The other television deals generated $3.735 billion per year over an eight - year period for CBS , Fox , NBC , ESPN and DirecTV ( owner of the out - of - market sports package NFL Sunday Ticket ) .   Thursday Night Football debuted on November 23 , 2006 , with the Kansas City Chiefs handing the visiting Denver Broncos a 19 -- 10 Thanksgiving defeat . Each of the game broadcasts were titled either Thursday Night Football or Saturday Night Football , depending on the night on which it aired . This format carried over to the 2007 season .   Starting in 2008 , NFL Network eliminated all but one of the Saturday night games and started their Thursday night package three weeks earlier . This was done to accommodate the earlier schedule and the league 's antitrust exemption that prohibits Saturday games from being held for most of the season . In the following season , all references to Saturday Night Football were dropped , and any games that are not played on Thursday ( such as in 2016 , two Christmas weekend games and an NFL International Series game ) have since been branded as `` special editions '' of Thursday Night Football , and later Thursday Night Special or NFL Network Special . The Thanksgiving matchup was moved from NFL Network to NBC 's Sunday Night Football package as part of the new broadcast contract after the 2011 season . During Super Bowl week in 2012 , it was announced that the Thursday Night Football package would expand from eight to 13 games and air on NFL Network , again soliciting and rejecting offers from Turner Sports and Comcast .   2014 -- 2015 : partnership with CBS Sports ( edit )   In January 2014 , it was reported that the NFL was planning to sub-license a package of up to eight Thursday Night Football games to another broadcaster for the 2014 NFL season . The league had negotiated with its existing broadcast partners , along with Turner Sports . These eight games were to be simulcast by NFL Network , and reports indicated that ESPN planned to place the games on ABC in the event it won the rights , bringing the NFL back to the network for the first time since Super Bowl XL and the move of Monday Night Football to ESPN in 2006 . The remaining games would remain exclusive to NFL Network , due to carriage contracts with TV providers requiring at least eight NFL games to air exclusively on the channel per season . The decision came as the league wished to heighten the profile of its Thursday night games , which had suffered from relatively lower viewership and advertising revenue in comparison to other games .   On February 5 , 2014 , the NFL announced that CBS had acquired the partial rights to Thursday Night Football for the 2014 season . Under the agreement , all of the Thursday Night Football telecasts would be produced by CBS Sports and called by the network 's primary announcing team of Jim Nantz and Phil Simms . The first eight games of the season were simulcast nationally on NFL Network and CBS ; the remaining games in the package only aired nationally on NFL Network , but per league broadcast polices , were simulcast on local stations in the participating teams ' markets . CBS affiliates were given right of first refusal to air the local simulcast before it is offered to another station ( as had occurred in Cincinnati , Ohio where the market 's NBC affiliate WLWT aired a game between the Bengals and the Cleveland Browns instead of CBS affiliate WKRC - TV ) . A Saturday doubleheader was also added on Week 16 : NFL Network aired the early game , while CBS aired the second , prime time game .   The NFL considered CBS 's bid to be the most attractive , owing to the network 's overall ratings stature ( CBS had been the highest - rated broadcast network in the U.S. since the 2005 - 06 television season ) , a commitment to aggressively promote the Thursday games across its properties , and its plans to utilize CBS Sports ' top NFL talent and production staff across all of the games in the package to ensure a major improvement in quality over the previous , in - house productions . CBS staff also cited experience with its joint coverage of the NCAA Men 's basketball tournament with Turner Sports as an advantage in its collaboration with NFL Network staff , as talent from both networks collaborate on pre-game , halftime and post-game coverage . During the games , a distinct graphics package co-branded with both CBS and NFL Network logos is used , certain players on each team wear microphones , and 4K cameras are used to allow zoom - in shots during instant replays .   With the move of selected games to CBS , media executives expected more major match - ups to appear on Thursday Night Football than in previous years in order to attract better viewership ; in the past , Thursday Night Football had been criticized for often featuring games between lesser and poorer - performing teams . CBS and the NFL unveiled the games scheduled for Thursday Night Football in April 2014 ; CBS 's slate of games featured a number of major divisional rivalries , including New York Giants -- Washington , Green Bay -- Minnesota , and its opening game on September 11 , 2014 , featuring the Pittsburgh Steelers and the Baltimore Ravens .   In the wake of the controversy surrounding Ravens player Ray Rice ( who had been removed from the team and suspended from the NFL earlier in the week following the discovery of footage showing the player physically assaulting his wife , Janay , who was engaged to Rice at the time the security camera footage was recorded ) , changes were made to pre-game coverage on the first game in order to accommodate additional interviews and discussion related to the incident . Among these changes were the removal of an introductory segment featuring Rihanna ( who was similarly assaulted by fellow performer Chris Brown in 2009 ) performing her song `` Run This Town '' . Following complaints by Rihanna on Twitter regarding the removal , the song was pulled entirely from future broadcasts .   The rights were negotiated under a one - year contract valued at $275 million ; on January 18 , 2015 , the NFL announced that it would renew the arrangement with CBS for the 2015 season , with its value increasing to around $300 million .   2016 -- 2017 : CBS and NBC ( edit )   In November 2015 , The Hollywood Reporter reported that in response to the success of the package under CBS , the NFL was planning to negotiate a long - term contract for Thursday Night Football , with CBS , Fox , NBC , and Turner Sports showing interest . The New York Post reported that this deal would also include the sale of a stake in NFL Network itself .   On December 16 , 2015 , it was reported that the NFL was shopping the Thursday Night Football package as a one - year deal with an option for a second year , similarly to the current arrangement with CBS ; the league also requested that bidders outline goals for `` growing '' NFL Network . The league was also reportedly interested in selling non-exclusive digital rights to simulcast the games to another partner , such as Amazon.com , Apple Inc. , Google , or Yahoo ! ( which exclusively streamed an International Series as part of a trial during the 2015 season , but would shut down its original video content service in January 2016 ) . In January 2016 , it was reported that the NFL was considering splitting the Thursday Night Football package across multiple broadcasters in tandem with the possibility of expanding the overall package to 17 games . It was also reported that ESPN and Turner Sports were not interested in the package due to its short - term nature , and that Fox was attempting to outbid CBS .   On February 1 , 2016 , the NFL announced that Thursday Night Football would be shared between CBS , NBC , and NFL Network for the 2016 and 2017 seasons . CBS and NBC would each air five games ( resulting in a schedule of 10 games on broadcast TV in comparison to 8 under the previous deal ) , followed by an additional eight games exclusively on NFL Network to satisfy NFL Network 's retransmission consent contracts with cable providers ; the eight NFL Network - exclusive games included six Thursday contests , a Sunday morning International Series contest , and a Christmas day game . As with the previous contract , all games will be simulcast by NFL Network . Commissioner Roger Goodell stated that the league was `` thrilled to add NBC to the Thursday Night Football mix , a trusted partner with a proven track record of success broadcasting NFL football in primetime , and look forward to expanding with a digital partner for what will be a unique tri-cast on broadcast , cable and digital platforms . '' On April 5 , 2016 , it was revealed that Twitter had acquired non-exclusive worldwide digital streaming rights to the 10 broadcast television TNF games . The collaboration will also include streaming content on Twitter 's Periscope service , such as behind the scenes access .   Rogers Media , who owns television rights to the Thursday Night Football package in Canada through the end of the 2016 season but has not yet acquired digital rights ( the majority of the NFL 's media rights in Canada are owned by Rogers 's rival , Bell Media ) , successfully forced Twitter to block the game streams in that country , overriding the league 's insistence that the free stream be global . Due to the streaming deal , over-the - top television providers PlayStation Vue and Sling TV are also required to black out the simulcast of the games on NFL Network .   The first game produced by NBC Sports was broadcast exclusively on NFL Network on November 3 , 2016 , while the first game simulcast nationally on NBC aired on November 17 . A cappella group Pentatonix recorded a reworked version of their song `` Sing '' ( `` Weekend Go '' ) to serve as the opening theme song for NBC 's Thursday Night Football telecasts ; NBC also commissioned new instrumental theme music by Jimmy Greco , `` Ca n't Hold Us Down '' , which was performed by members of the orchestra from the Broadway musical Hamilton . Both were retained for NBC 's games in 2017 .   On April 4 , 2017 , it was announced that Amazon.com had acquired non-exclusive streaming rights to the 10 broadcast television games for the 2017 season over their Amazon Prime Video service , under a deal valued at $50 million , a five-fold increase over the $10 million paid by Twitter . The streams will be exclusive to paid Prime subscribers . The deal includes $30 million worth of promotion . Amazon planned several special features for its inaugural game , including broadcasting alternate feeds with Spanish , Portuguese and British English commentary ( the last of which being intended for those unfamiliar with the rules and terminology of American football ) , and a pre-show hosted by Tiki Barber and Curtis Stone that featured presentations of NFL merchandise available for purchase on Amazon .   The November 16 , 2017 telecast between the Pittsburgh Steelers and Tennessee Titans was the first NFL broadcast to intentionally use the Skycam as its primary camera angle , as opposed to the usual sideline camera that has been used since telecasts of NFL games began in 1939 . NBC Sports had previously switched to a skycam - only presentation for portions of two Sunday night games earlier that season because of fog and smoke ( and , sixteen years prior , during its coverage of the XFL ) ; positive reaction to the impromptu change prompted NBC to experiment with using the strategy for the full game .   2018 -- 2022 : Fox ( edit )   In early January 2018 , Bloomberg reported that ABC / ESPN and Fox Sports had both made bids for the next Thursday Night Football package . Both Fox and Fox Sports 1 were named as potential outlets for the package in the Fox Sports bid , which was intended to showcase Fox 's continued commitment to sports after the proposed sale of its entertainment businesses to ESPN 's majority - owner The Walt Disney Company ( which will exclude the Fox network itself and Fox Sports ' national operations , such as FS1 , among other assets ) . CBS and NBC were also considering renewing their existing contracts , but had requested a lower rights fee to compensate for the decreasing viewership of the NFL ( TNF had been cited as one factor in the downturn , due to a perceived oversaturation of nationally - televised games ) . It was also reported that the NFL would also allow digital companies to make bids for exclusive rights to the Thursday Night Football package which forego a television partner entirely , unlike the previous non-exclusive deals with Twitter and Amazon .   On January 30 , 2018 , it was reported by multiple sources that Fox had won the package . The next day , the NFL officially announced that Fox had acquired the broadcast television rights to the Thursday Night Football package under a five - year deal lasting from 2018 through 2022 ( which is aligned with the conclusion of the NFL 's other television deals ) . The Fox network will air 11 games per season in simulcast with NFL Network . ESPN.com reported that Fox would be paying around $60 million per game -- an increase over the estimated $45 million per game paid by CBS and NBC under the previous contract , totalling an estimated $660 million per season .   Coverage ( edit )   Game Announcers ( edit )   The initial NFL Network team consisted of HBO Sports ' Bryant Gumbel as play - by - play announcer , NBC Sports ' Cris Collinsworth as the color commentator for the Thursday telecasts , and Dick Vermeil replacing Collinsworth for Saturday telecasts . In 2007 , Collinsworth replaced Vermeil alongside Gumbel for all games .   Gumbel left the network after the 2007 season and his then - HBO colleague Bob Papa , who is also the radio voice of the New York Giants , was brought in to replace him . Collinsworth stayed on until the end of the 2008 season , then left to take over for the retiring John Madden as lead analyst on NBC Sunday Night Football . NFL Network replaced him with Matt Millen , who returned to broadcasting in 2009 , and then added former ESPN analyst Joe Theismann for 2010 .   For 2011 , then ESPN now CBS play - by - play man Brad Nessler took over the Thursday night broadcast . He was joined by NFL Network draft analyst and NBC Notre Dame color man Mike Mayock , and the pairing spent three seasons calling games .   As a result of CBS taking over production responsibilities for the Thursday Night Football broadcasts , its number one broadcast team of Jim Nantz and Phil Simms took over the broadcast booth . With NBC adding games in 2016 , Al Michaels and Cris Collinsworth , the broadcast team of NBC Sunday Night Football , were required under league contract to do the same . NBC had initially hired former Monday Night Football play - by - play man Mike Tirico for Thursdays before the league nixed the idea of any separate broadcast teams for Sunday and Thursday nights . Tirico would eventually call three Sunday Night Football games , including the Thanksgiving night game which is in the SNF package , in order for NBC to allow Michaels over a week 's rest before the end of the season . Tirico would also call the December 22 , 2016 TNF game alongside Collinsworth , as well as two NBC - produced Thursday Night Special game broadcasts on December 18 and Christmas Day , respectively , both alongside former USFL and NFL quarterback Doug Flutie , who serves as the analyst for NBC 's college football coverage as well . On May 31 , 2017 , it was announced that Mike Tirico would replace Al Michaels full - time for NBC 's Thursday Night Football games . For 2017 , Kurt Warner will similarly fill in for Collinsworth on two non-Thursday games .   For 2017 , CBS hired Tony Romo as its lead color commentator . Numerous complications needed to be resolved , namely Romo 's reluctance to cover both Sunday and Thursday nights as required under the Thursday Night Football contract , and the fact that Simms remains under contract with CBS through the next several years . However , the network confirmed via press release that Romo 's duties would include Sunday and Thursday games .   Pre-game , halftime and post-game coverage ( edit )   Each game telecast is preceded on NFL Network by TNF GameDay , which broadcasts live from the site of each game and currently features Rich Eisen as its host , with Steve Mariucci , Deion Sanders , Michael Irvin and either Kurt Warner or other NFL Network colleagues as analysts . The show generally begins two hours before game time ( 6 : 00 p.m. Eastern Time ) .   The game proper is preceded by a pre-game show ; CBS games are preceded by Thursday Night Kickoff , hosted by James Brown , Bill Cowher , and Deion Sanders . NBC games are preceded by Football Night in America ( renamed in reference of the host city of the game , such as Football Night in Tampa ) , hosted by Liam McHugh , Tony Dungy , and Rodney Harrison . CBS joined Thursday Night Kickoff at 7 : 30 p.m. Eastern Time during its games . This resulted in some controversy among viewers and the producers of syndicated programming in the locally programmed timeslot before network primetime , where the pre-game affects programs such as Wheel of Fortune , Jeopardy ! and Entertainment Tonight ( all distributed by CBS 's sister syndication division CBS Television Distribution ) , along with several other programs , which then require pre-emption or slotting on lower - profile alternate timeslots or stations to air in markets where they are carried by CBS , Fox , or NBC affiliates in order to accommodate the Thursday games .   Radio coverage ( edit )   Westwood One provided national radio broadcasts of the Thursday Night Football games through a contract that lasted through the 2017 season . During that final season , Ian Eagle called play - by - play , with Tony Boselli handling color analysis and Hub Arkush as the sideline reporter . Boomer Esiason , the Monday Night Football analyst for Westwood One , is a regular substitute should Boselli be unavailable due to other commitments ( in some cases , Esiason would call the Thursday night game if he is unavailable for the previous / next Monday night game and / or if the Thursday game is in close proximity to his New York home ) . Westwood One 's parent company Cumulus Media filed for bankruptcy and began terminating both its national talent contracts and its sports contracts in January 2018 , just as its NFL contract was expiring . No word has yet emerged on the league 's bidding process for the 2018 season and beyond .   Game announcers ( edit )       This section does not cite any sources . Please help improve this section by adding citations to reliable sources . Unsourced material may be challenged and removed . ( December 2016 ) ( Learn how and when to remove this template message )     Television ( edit )    Pre-game show     Rich Eisen -- Host ( 2006 -- present )   Chris Rose -- Fill - in Host ( 2016 -- present )   Amber Theoharis - Fill - in Host ( 2016 -- present )   Dan Hellie - Fill - in Host ( 2017 -- present )   Michael Irvin -- Analyst ( 2011 -- present )   Steve Mariucci -- Analyst ( 2006 -- present )   LaDanian Tomlinson -- Fill - in Analyst ( 2016 -- present )   Willie McGinest -- Fill - in Analyst ( 2016 -- present )   Steve Smith Sr. - Fill - in Analyst ( 2017 -- present )   Reggie Wayne - Fill - in Analyst ( 2017 - present )   Former ( edit )   James Brown -- CBS Host ( 2014 -- 2017 )   Fran Charles -- NFLN pre-game host ( 2006 - 2008 )   Cris Collinsworth - NFLN color commentator ( 2006 - 2008 ) ; NBC Color Commentator ( 2016 -- 2017 )   Bob Costas -- NBC Host ( 2016 )   Bill Cowher -- CBS Analyst ( 2014 -- 2017 )   Heather Cox -- NBC Sideline Reporter ( 2016 -- 2017 )   Jenny Dell -- CBS Fill - in Sideline Reporter ( 2014 )   Tony Dungy -- NBC Analyst and Fill - in Color Analyst ( 2016 -- 2017 )   Ian Eagle -- CBS Fill - in Play - by - Play ( 2014 -- 2015 ) ( Still calls TNF on the Radio )   Jamie Erdahl - CBS Fill - in Sideline Reporter ( 2017 )   Marshall Faulk -- Analyst ( 2006 -- 2017 Week 14 )   Alex Flanagan -- NFLN sideline reporter ( 2010 -- 2013 )   Doug Flutie -- NBC Fill - in Color Commentator ( 2016 )   Jay Glazer -- NFLN pre-game analyst ( 2010 -- 2011 )   Trent Green -- CBS Fill - in Color Commentator ( 2015 -- 2017 )   Bryant Gumbel -- NFLN play - by - play ( 2006 -- 2007 )   Greg Gumbel -- CBS Fill - in Play - by - Play ( 2017 )   Tom Hammond -- NFLN substitute play - by - play ( 2007 )   Scott Hanson -- NFLN sideline reporter ( 2009 )   Rodney Harrison -- NBC Analyst ( 2016 -- 2017 )   Kara Henderson -- NFLN pre-game host ( 2011 )   Harry Kalas -- NFLN sponsorship announcer ( 2006 -- 2008 ; deceased )   Mike Mayock -- NFLN color analyst ( 2011 -- 2013 )   Liam McHugh -- Fill - in NBC Host ( 2016 ) ; NBC Host ( 2017 )   Al Michaels - NBC play - by - play ( 2016 )   Matt Millen -- NFLN color analyst ( 2009 -- 2010 )   Jim Mora -- NFLN pre-game analyst ( 2010 )   Jim Nantz -- CBS Play - by - Play ( 2014 -- 2017 )   Brad Nessler -- NFLN play - by - play ( 2011 -- 2013 )   Bob Papa -- NFLN play - by - play ( 2008 -- 2010 )   Dan Patrick - Fill - in NBC Host ( 2017 )   Tony Romo -- CBS Color analyst ( 2017 )   Deion Sanders -- CBS Analyst ( 2006 -- 2017 )   Warren Sapp -- NFLN pre-game analyst ( 2008 )   Adam Schefter -- NFLN sideline reporter ( 2006 -- 2008 )   Sterling Sharpe -- NFLN pre-game analyst ( 2010 -- 2011 )   Phil Simms -- CBS Color analyst ( 2014 -- 2016 )   Pat Summerall -- NFLN sponsorship announcer ( 2009 ; deceased )   Joe Theismann -- NFLN color commentator ( 2010 )   Mike Tirico -- NBC Host &amp; Fill - in Play - by - Play ( 2016 ) ; NBC Play - by - Play ( 2017 )   Dick Vermeil -- NFLN Saturday color commentator ( 2006 )   Kurt Warner -- NFLN Color Commentator ( 2010 -- 2011 ) ; NBC Fill - in Color Commentator ( 2017 )   Evan Washburn -- Fill - in CBS Sideline Reporter ( 2015 )   Tracy Wolfson -- CBS Sideline Reporter ( 2014 -- 2017 )    Radio ( edit )  Current ( edit )   Ian Eagle -- play - by - play ( 2008 -- present )   Boomer Esiason -- color analyst ( 2013 -- present ) Select Games   Tony Boselli -- color analyst ( 2015 -- present ) Select Games   Former ( edit )   Bonnie Bernstein -- sideline reporter ( 2006 -- 2007 )   Randy Cross -- color analyst ( 2009 )   Dick Enberg -- play - by - play ( 2006 -- 2007 ) -- deceased   Dennis Green -- color analyst ( 2007 -- 2008 )   Mike Mayock -- color analyst ( 2014 )   Tim Ryan -- color analyst ( 2015 ) Select Games   Sam Wyche -- color analyst ( 2006 )    Results ( edit )  Main article : NFL Network Thursday Night Football results ( 2006 -- present )  This table shows the National Football League teams ' all - time standings for games played on Thursday Night Football .   Standings are current as of December 25 , 2017 .     Team   Games Played   Wins   Losses   Ties   Win Pct .   First Appearance   Most Recent Appearance     Indianapolis Colts   9   7       . 778   000000002007 - 11 - 22 - 0000 November 22 , 2007 defeated Atlanta 31 -- 13   000000002017 - 12 - 23 - 0000 December 23 , 2017 lost to Baltimore 23 - 16     Kansas City Chiefs   8   6       . 750   000000002006 - 11 - 23 - 0000 November 23 , 2006 defeated Denver 19 -- 10   000000002017 - 12 - 16 - 0000 December 16 , 2017 defeated L.A. Chargers 30 - 13     Pittsburgh Steelers   11   8       . 727   000000002006 - 12 - 07 - 0000 December 7 , 2006 defeated Cleveland 27 -- 7   000000002017 - 12 - 25 - 0000 December 25 , 2017 defeated Houston 34 - 6     New York Jets   7         . 571   000000002008 - 11 - 13 - 0000 November 13 , 2008 defeated New England 34 -- 31   000000002017 - 11 - 02 - 0000 November 2 , 2017 defeated Buffalo 34 -- 21     Los Angeles Chargers ‡   7   5       . 714   000000002008 - 12 - 04 - 0000 December 4 , 2008 defeated Oakland 34 -- 7   000000002017 - 12 - 16 - 0000 December 16 , 2017 lost to Kansas City 30 - 13     Dallas Cowboys   10   8       . 800   000000002006 - 12 - 16 - 0000 December 16 , 2006 defeated Atlanta 38 -- 28   000000002017 - 11 - 30 - 0000 November 30 , 2017 defeated Washington 38 - 14     Philadelphia Eagles   7         . 571   000000002008 - 11 - 27 - 0000 November 27 , 2008 defeated Arizona 48 -- 20   000000002017 - 10 - 12 - 0000 October 12 , 2017 defeated Carolina 28 -- 23     New York Giants   7         . 571   000000002006 - 12 - 30 - 0000 December 30 , 2006 defeated Washington 34 -- 28   000000002016 - 12 - 22 - 0000 December 22 , 2016 lost to Philadelphia 24 -- 19     San Francisco 49ers   11   5   6     . 455   000000002006 - 12 - 14 - 0000 December 14 , 2006 defeated Seattle 24 -- 14   000000002017 - 09 - 21 - 0000 September 21 , 2017 lost to L.A. Rams 41 - 39     Denver Broncos   11   6   5     . 545   000000002006 - 11 - 23 - 0000 November 23 , 2006 lost to Kansas City 19 -- 10   000000002017 - 12 - 14 - 0000 December 14 , 2017 defeated Indianapolis 25 - 13     Atlanta Falcons   10   7       . 700   000000002006 - 12 - 16 - 0000 December 16 , 2006 lost to Dallas 38 -- 28   000000002017 - 12 - 07 - 0000 December 7 , 2017 defeated New Orleans 20 - 17     Chicago Bears   10     6     . 400   000000002007 - 12 - 06 - 0000 December 6 , 2007 lost to Washington 24 -- 16   000000</t>
  </si>
  <si>
    <t xml:space="preserve">who sings the nfl thursday night football song</t>
  </si>
  <si>
    <t xml:space="preserve"> The first game produced by NBC Sports was broadcast exclusively on NFL Network on November 3 , 2016 , while the first game simulcast nationally on NBC aired on November 17 . A cappella group Pentatonix recorded a reworked version of their song `` Sing '' ( `` Weekend Go '' ) to serve as the opening theme song for NBC 's Thursday Night Football telecasts ; NBC also commissioned new instrumental theme music by Jimmy Greco , `` Ca n't Hold Us Down '' , which was performed by members of the orchestra from the Broadway musical Hamilton . Both were retained for NBC 's games in 2017 . </t>
  </si>
  <si>
    <t xml:space="preserve">Dallas Cowboys - wikipedia  Dallas Cowboys  Jump to : navigation , search      This article needs additional citations for verification . Please help improve this article by adding citations to reliable sources . Unsourced material may be challenged and removed . ( November 2015 ) ( Learn how and when to remove this template message )       Dallas Cowboys     Current season     Established January 28 , 1960 ; 58 years ago ( 1960 - 01 - 28 ) First season : 1960 Play in AT&amp;T Stadium Arlington , Texas Headquartered in The Ford Center at The Star Frisco , Texas                  Logo   Wordmark        League / conference affiliations      National Football League ( 1960 -- present )    Western Conference ( 1960 )   Eastern Conference ( 1961 -- 1969 )   Capitol Division ( 1967 -- 1969 )     National Football Conference ( 1970 -- present )   NFC East ( 1970 -- present )         Current uniform         Team colors    Navy Blue , Metallic Silver , White , Royal Blue      Mascot   Rowdy     Personnel     Owner ( s )   Jerry Jones     CEO   Stephen Jones     President   Jerry Jones     General manager   Jerry Jones     Head coach   Jason Garrett     Team history       Dallas Cowboys ( 1960 -- present )       Team nicknames       America 's Team   Doomsday Defense   The ' Boys   Big D       Championships      League championships ( 5 )    Super Bowl championships ( 5 ) 1971 ( VI ) , 1977 ( XII ) , 1992 ( XXVII ) , 1993 ( XXVIII ) , 1995 ( XXX )        Conference championships ( 10 )    NFL Eastern : 1966 , 1967   NFC : 1970 , 1971 , 1975 , 1977 , 1978 , 1992 , 1993 , 1995        Division championships ( 22 )    NFL Capitol : 1967 , 1968 , 1969   NFC East : 1970 , 1971 , 1973 , 1976 , 1977 , 1978 , 1979 , 1981 , 1985 , 1992 , 1993 , 1994 , 1995 , 1996 , 1998 , 2007 , 2009 , 2014 , 2016       Playoff appearances ( 32 )       NFL : 1966 , 1967 , 1968 , 1969 , 1970 , 1971 , 1972 , 1973 , 1975 , 1976 , 1977 , 1978 , 1979 , 1980 , 1981 , 1982 , 1983 , 1985 , 1991 , 1992 , 1993 , 1994 , 1995 , 1996 , 1998 , 1999 , 2003 , 2006 , 2007 , 2009 , 2014 , 2016       Home fields       Cotton Bowl ( 1960 -- 1971 )   Texas Stadium ( 1971 -- 2008 )   AT&amp;T Stadium ( 2009 -- present )       The Dallas Cowboys are a professional American football team based in the Dallas -- Fort Worth metroplex . The Cowboys compete in the National Football League ( NFL ) as a member club of the league 's National Football Conference ( NFC ) East division . The team is headquartered in Frisco , Texas , and plays its home games at AT&amp;T Stadium in Arlington , Texas , which opened for the 2009 season . The stadium took its current name prior to the 2013 season . The Cowboys joined the NFL as an expansion team in 1960 . The team 's national following might best be represented by its NFL record of consecutive sell - outs . The Cowboys ' streak of 190 consecutive sold - out regular and post-season games ( home and away ) began in 2002 . The franchise has made it to the Super Bowl eight times , tied with the Pittsburgh Steelers and the Denver Broncos for second most Super Bowl appearances in history , just behind the New England Patriots record ten Super Bowl appearances . This has also corresponded to eight NFC championships , most in the NFC . The Cowboys have won five of those Super Bowl appearances , tying them with their NFC rivals , the San Francisco 49ers , and the AFC 's Patriots ; all three are second to Pittsburgh 's record six Super Bowl championships . The Cowboys are the only NFL team to record 20 straight winning seasons ( 1966 -- 85 ) , in which they only missed the playoffs twice ( 1974 and 1984 ) , an NFL record that remains unchallenged .   In 2015 , the Dallas Cowboys became the first sports team to be valued at $4 billion , making it the most valuable sports team in the world , according to Forbes . The Cowboys also generated $620 million in revenue in 2014 , a record for a U.S. sports team .     Contents  ( hide )   1 History   1.1 1960s   1.2 1970s   1.3 1980s   1.4 1990s   1.5 2000 -- 09   1.6 2010 -- 13   1.7 2014   1.8 2015   1.9 2016   1.10 2017     2 Logos and uniforms   2.1 Logo   2.2 Uniforms   2.2. 1 Uniform history   2.2. 2 Home / road jersey history   2.2. 3 Thanksgiving Day uniforms       3 Stadiums   3.1 Cotton Bowl   3.2 Texas Stadium   3.3 AT&amp;T Stadium     4 Training camp sites   5 Rivalries   5.1 Washington Redskins   5.2 Philadelphia Eagles   5.3 New York Giants   5.4 Pittsburgh Steelers   5.5 San Francisco 49ers   5.6 Green Bay Packers     6 Season - by - season records   7 Players of note   7.1 Current roster   7.2 Pro Football Hall of Famers   7.3 Texas Sports Hall of Fame   7.4 Super Bowl MVPs   7.5 Ring of Honor   7.6 All - time first - round draft picks     8 Head coaches and staff   8.1 Head coaches   8.2 Current staff     9 Radio and television   10 See also   11 References   12 Further reading   13 External links      History  Main article : History of the Dallas Cowboys      This section may be too long to read and navigate comfortably . Please consider splitting content into sub-articles , condensing it , or adding or removing subheadings . ( November 2015 )     1960s   Prior to the formation of the Dallas Cowboys , there had not been an NFL team south of Washington , D.C. since the Dallas Texans folded in 1952 . Oilman Clint Murchison Jr. had been trying to get an NFL expansion team in Dallas ( as was Lamar Hunt -- who ended up with an AFL franchise ) , but George Preston Marshall , owner of the Washington Redskins , had a monopoly in the South .   Murchison had tried to purchase the Washington Redskins from Marshall in 1958 . An agreement was struck , but as the deal was about to be finalized , Marshall called for a change in terms . This infuriated Murchison and he called off the deal . Marshall then opposed any franchise for Murchison in Dallas . Since NFL expansion needed unanimous approval from team owners at that time , Marshall 's position would prevent Murchison from joining the league .   Marshall had a falling out with the Redskins band leader Barnee Breeskin . Breeskin had written the music to the Redskins fight song `` Hail to the Redskins '' and Marshall 's wife had penned the lyrics . Breeskin owned the rights to the song and was aware of Murchison 's plight to get an NFL franchise . Angry with Marshall , Breeskin approached Murchison 's attorney to sell him the rights to the song before the expansion vote in 1959 . Murchison purchased `` Hail to the Redskins '' for $2,500 . Before the vote to award franchises in 1959 , Murchison revealed to Marshall that he owned the song and Marshall could not play it during games . After a few Marshall expletives , Murchison gave the rights to `` Hail to the Redskins '' to Marshall for his vote , the lone one against Murchison getting a franchise at that time , and a rivalry was born .   1970s  The Cowboys playing against the Dolphins in Super Bowl VI .  From 1970 through 1979 , the Cowboys won 105 regular season games , more than any other NFL franchise during that span . In addition , they appeared in 5 and won two Super Bowls , at the end of the 1971 and 1977 regular seasons .   1980s   Danny White became the Cowboys ' starting quarterback in 1980 after quarterback Roger Staubach retired . Despite going to 12 -- 4 in 1980 , the Cowboys came into the playoffs as a Wild Card team . In the opening round of the 1980 -- 81 NFL playoffs they avenged their elimination from the prior year 's playoffs by defeating the Rams . In the Divisional Round they squeaked by the Atlanta Falcons 30 -- 27 . For the NFC Championship they were pitted against division rival Philadelphia , the team that won the division during the regular season . The Eagles captured their first conference championship and Super Bowl berth by winning 20 -- 7 .   1981 brought another division championship for the Cowboys . They entered the 1981 - 82 NFL playoffs as the number 2 seed . Their first game of the postseason saw them blowout and shutout Tampa Bay 38 -- 0 . For the Conference Title game they were pitted against the San Francisco 49ers , the number 1 seed . Despite having a late 4th quarter 27 -- 21 lead , they would lose to the 49ers 28 -- 27 . 49ers quarterback Joe Montana led his team to an 89 - yard game - winning touchdown drive connecting to Dwight Clark in a play known as The Catch .  The Cowboys playing against the Broncos in Super Bowl XII .  The 1982 season was shortened after a player strike . With a 6 -- 3 record Dallas made it to the playoffs for the 8th consecutive season . As the number 2 seed for the 1982 -- 83 NFL playoffs they eliminated the Buccaneers 30 -- 17 in the Wild Card round and dispatched the Packers 37 -- 26 in the Divisional round to advance to their 3rd consecutive Conference championship game . 3 times was not a charm for the Cowboys as they fell 31 -- 17 to division rival and eventual Super Bowl XVII champions Redskins .   For the 1983 season the Cowboys went 12 -- 4 and made it once again to the playoffs but were defeated at home in the Wild Card by the Rams 24 -- 17 . Prior to the 1984 season , H.R. `` Bum '' Bright purchased the Dallas Cowboys from Clint Murchison Jr . Dallas posted a 9 -- 7 record that season but missed the playoffs for the first time in 10 seasons . After going 10 -- 6 in 1985 and winning a division title , the Cowboys were blown out in the Divisional round at home to the Rams 20 -- 0 .   Hard times came for the organization as they went 7 -- 9 in 1986 , 7 -- 8 in 1987 , and 3 -- 13 in 1988 . During this time period Bright became disenchanted with the team . During the Savings and Loan crisis , the team and Mr. Bright 's Savings and Loan were taken over by the FSLIC . During an embarrassing home loss to Atlanta in 1987 , Bright told the media that he was `` horrified '' at coach Tom Landry 's play calling . The FSLIC forced Mr. Bright to sell the Cowboys to Jerry Jones on February 25 , 1989 .   Jones immediately fired Tom Landry , the only head coach in franchise history , replacing him with University of Miami head coach Jimmy Johnson , who was also Jerry Jones ' teammate in University of Arkansas as a fellow defensive lineman and Michael Irvin was under his tutelage in college . With the first pick in the draft , the Cowboys selected UCLA quarterback Troy Aikman . Later that same year , they would trade veteran running back Herschel Walker to the Minnesota Vikings for five veteran players and eight draft choices . Although the Cowboys finished the 1989 season with a 1 -- 15 record , their worst in almost 30 years , `` The Trade '' later allowed Dallas to draft a number of impact players to rebuild the team .   1990s   Johnson quickly returned the Cowboys to the NFL 's elite . Skillful drafts added fullback Daryl Johnston and center Mark Stepnoski in 1989 , running back Emmitt Smith in 1990 , defensive tackle Russell Maryland and offensive tackle Erik Williams in 1991 , and safety Darren Woodson in 1992 . The young talent joined holdovers from the Landry era such as wide receiver Michael Irvin , guard Nate Newton , linebacker Ken Norton Jr. , and offensive lineman Mark Tuinei , defensive lineman Jim Jeffcoat , and veteran pickups such as tight end Jay Novacek and defensive end Charles Haley .  Five - time World Champions Mural  Things started to look up for the franchise in 1990 . On Week 1 Dallas won their first home game since September 1988 when they defeated the San Diego Chargers 17 -- 14 . They went 2 -- 7 in their next 9 games but won 4 of their last 6 games to finish the season with a 4th place 7 -- 9 record .   Coming into 1991 the Cowboys replaced offensive coordinator Dave Shula with Norv Turner ; the Cowboys raced to a 6 -- 5 start , then defeated the previously - unbeaten Redskins despite injury to Troy Aikman . Backup Steve Beuerlein took over and the Cowboys finished 11 -- 5 . In the Wild Card round they defeated the Bears 17 -- 13 for the Cowboys first playoff win since 1982 . In the Divisional round their season ended in a 38 -- 6 playoff rout by the Lions .   In 1992 Dallas set a team record for regular season wins with a 13 -- 3 mark . They started off the season by defeating the defending Super Bowl champion Redskins 23 -- 10 . Going into the playoffs as the number 2 seed they had a first round bye before facing division rival the Philadelphia Eagles . The Cowboys won that game 34 -- 10 to advance to the NFC Conference Championship game for the first time in 10 years . They were pitted against the San Francisco 49ers , the number 1 seed . On January 17 , 1993 the Cowboys went to Candlestick Park and defeated the 49ers 30 -- 20 to clinch their first Super Bowl berth since 1978 . Dallas defeated the Buffalo Bills 52 -- 17 in Super Bowl XXVII , during which they forced a record nine turnovers . Johnson became the first coach to claim a national championship in college football and a Super Bowl victory in professional football .   Despite starting the 1993 season 0 -- 2 , they again defeated the Buffalo Bills in Super Bowl XXVIII , 30 -- 13 ( becoming the first team in NFL history to win a Super Bowl after starting 0 -- 2 ) . Dallas finished the regular season 12 -- 4 as the number 1 seed of the NFC . They defeated the Green Bay Packers 27 -- 17 in the divisional round . In the NFC Conference Championship , Dallas beat the 49ers in Dallas , 38 -- 21 . Dallas sent a then - NFL record 11 players to the Pro Bowl in 1993 : Aikman , safety Thomas Everett , Irvin , Johnston , Maryland , Newton , Norton , Novacek , Smith , Stepnoski and Williams .  Dallas Cowboys championship banners inside AT&amp;T Stadium  Only weeks after Super Bowl XXVIII , however , friction between Johnson and Jones culminated in Johnson stunning the football world by announcing his resignation . Jones then hired former University of Oklahoma head coach Barry Switzer to replace Johnson . The Cowboys finished 12 -- 4 in 1994 . They once again clinched a first round bye and defeated Green Bay 35 -- 9 in the Divisional Round . They missed the Super Bowl , however , after losing to the 49ers in the NFC Championship Game , 38 -- 28 .   Prior to the start of 1995 season Jerry Jones lured All - Pro cornerback Deion Sanders away from San Francisco . Dallas started the season 4 -- 0 including shutting out their division rival New York Giants 35 -- 0 at Giants Stadium to open their season . Emmitt Smith set an NFL record with 25 rushing touchdowns that season . They ended the season 12 -- 4 and went into the playoffs as the number 1 seed . In the Divisional round they dispatched their division rival Eagles 30 -- 11 to advance to their 4th consecutive NFC Conference Championship Game , in which they defeated Green Bay , 38 -- 27 . In Super Bowl XXX the Cowboys defeated the Pittsburgh Steelers 27 -- 17 at Sun Devil Stadium for their fifth Super Bowl championship . Switzer joined Johnson as the only coaches to win a college football national championship and a Super Bowl .   The glory days of the Cowboys were again beginning to dim as free agency , age , and injuries began taking their toll . Star receiver Michael Irvin was suspended by the league for the first five games of 1996 following a drug - related arrest ; he came back after the Cowboys started the season 2 -- 3 . They finished the regular season with a 10 -- 6 record , won the NFC East title , and entered the playoffs as the number 3 seed in the NFC . They defeated Minnesota 40 -- 15 in the Wild Card round but were eliminated in the Divisional round of the playoffs 26 -- 17 by the Carolina Panthers .   The Cowboys went 6 -- 10 in 1997 ( including losing their last 6 games of the season ) , with discipline and off - field problems becoming major distractions . As a result , Switzer resigned as head coach in January 1998 and former Steelers offensive coordinator Chan Gailey was hired to take his place .   Gailey led the team to two playoff appearances with a 10 -- 6 record in 1998 and an NFC East championship , but the Cowboys were defeated in the playoffs by the Arizona Cardinals 20 -- 7 .   In 1999 Dallas went 8 -- 8 ( during which Irvin suffered a career - ending spinal injury in a loss to the Philadelphia Eagles ) ending in another playoff loss ( this time to the Minnesota Vikings 27 -- 10 ) . Gailey was fired and became the first Cowboys coach who did not take the team to a Super Bowl .   2000 -- 09   Defensive coordinator Dave Campo was promoted to head coach for the 2000 season . Prior to the season starting cornerback Deion Sanders was released after 5 seasons with the team . He later signed with division rival Washington . In Week 1 , they were blown out 41 -- 14 by Philadelphia . That game was very costly when veteran quarterback Troy Aikman suffered a serious concussion which ultimately ended his career . Longtime NFL QB Randall Cunningham filled in for Aikman for the rest of the season at QB . The Cowboys finished the season in 4th place with a 5 -- 11 record . The only highlights of 2000 were Emmitt Smith having his 10th consecutive 1,000 yard rushing season and a season sweep over the Redskins .   2001 was another hard year in Dallas . Prior to the season starting Aikman was released from the team and he retired due to the concussions he had received . Jerry Jones signed Tony Banks as a QB . Banks had been a starter for half of the season the previous year for the Super Bowl Champion Baltimore Ravens before being benched . Jones also drafted QB Quincy Carter in the second round of that year 's draft , but Banks was released during the preseason . Ryan Leaf , Anthony Wright , and Clint Stoerner all competed for the quarterback position that season . Dallas again finished at 5 -- 11 , last place in the NFC East . They did sweep the Redskins for the 4th consecutive season .   Prior to the 2002 season Dallas drafted safety Roy Williams with the 8th overall pick . The season started out low as the Cowboys lost to the expansion Houston Texans 19 -- 10 on Week 1 . By far the highlight of 2002 was on October 28 , when during a home game against the Seattle Seahawks , Emmitt Smith broke the all - time NFL rushing record previously held by Walter Payton . Their Thanksgiving Day win over the Redskins was their 10th consecutive win against Washington . However , that was their final win of 2002 : Dallas lost their next 4 games to finish with another last place 5 -- 11 record . The losing streak was punctuated with a Week 17 20 -- 14 loss against Washington . That game was Smith 's last game as a Cowboys player : he was released during the offseason . Campo was immediately fired as head coach at the conclusion of the season .   Jones then lured Bill Parcells out of retirement to coach the Cowboys . The Cowboys became the surprise team of the 2003 season getting off to a hot 7 -- 2 season , but went 3 -- 4 for the rest of the season . They were able to win the division with a 10 -- 6 record but lost in the Wild Card round to eventual conference champion Carolina Panthers 29 -- 10 .   In 2004 Dallas was unable to replicate their 2003 success , and ended 6 -- 10 . Quincy Carter was released during the preseason and was replaced at QB by Vinny Testaverde .   Dallas got off to a hot 7 -- 3 start for the 2005 season but ended the season in 3rd place with a 9 -- 7 record . Prior to the season starting the Cowboys signed veteran Drew Bledsoe as a quarterback .   2006 was an interesting year for the Cowboys . Prior to the season Dallas signed free agent wide receiver Terrell Owens who was talented yet controversial . The Cowboys started the season 3 -- 2 . During a week 7 matchup against the Giants , Bledsoe , who had been struggling since the start of the season , was pulled from the game and was replaced by backup Tony Romo . Romo was unable to salvage that game and Dallas lost 38 -- 22 . However , Romo was named the starter for team and went 5 -- 1 in his first 6 games . Dallas ended the season with a 9 -- 7 2nd - place finish . They were able to clinch the number 5 playoff seed . They traveled to play Seattle where the Seahawks won 21 -- 20 . After the season Parcells retired and was replaced as head coach by Wade Phillips .   Dallas started off the 2007 season with a bang . They began the season with a 12 -- 1 start , including winning their first five games . Their only loss during that time span came against New England , who went undefeated that season . Despite dropping two of their last three regular season games , the Cowboys clinched their first number 1 NFC seed in 12 years , which also granted them a first round bye and home field advantage throughout the playoffs . The Cowboys lost in the divisional round 21 -- 17 to the eventual Super Bowl champion New York Giants .   In the tumultuous 2008 season , the Cowboys started off strong , going 3 -- 0 for the second straight year , en route to a 4 -- 1 start . However , things soon went downhill from there , after quarterback Tony Romo suffered a broken pinkie in an overtime loss to the Arizona Cardinals . With Brad Johnson and Brooks Bollinger playing as backups , Dallas went 1 -- 2 during a three - game stretch . Romo 's return showed promise , as Dallas went 3 -- 0 . However , injuries mounted during the season with the team losing several starters for the year , such as Kyle Kosier , Felix Jones , safety Roy Williams and punter Mat McBriar , and several other starters playing with injuries . Entering December , the 8 -- 4 Cowboys underperformed , finishing 1 -- 3 . They failed to make the playoffs after losing at Philadelphia in the final regular season game which saw the Eagles reach the playoffs instead .   On May 2 , 2009 , the Dallas Cowboys ' practice facility collapsed during a wind storm . The collapse left twelve Cowboys players and coaches injured . The most serious injuries were special teams coach Joe DeCamillis , who suffered fractured cervical vertebrae and had surgery to stabilize fractured vertebrae in his neck , and Rich Behm , the team 's 33 - year - old scouting assistant , who was permanently paralyzed from the waist down after his spine was severed .   The 2009 season started on a positive with a road win against Tampa Bay , but fortunes quickly changed as Dallas fell to a 2 -- 2 start . In week five , with starting wide receiver Roy Williams sidelined by injury , receiver Miles Austin got his first start of the season and had a record setting day ( 250 yards receiving and 2 TDs ) to help lead Dallas to an overtime win over Kansas City . Following their bye week , Dallas went on a three - game winning streak including wins over Atlanta and NFC East division rival Philadelphia . Despite entering December with a record of 8 -- 3 , Dallas lost its slim grip on 1st place in the division with losses to the New York Giants and San Diego . Talks of past December collapses resurfaced , and another collapse in 2009 seemed validated . However , the Dallas team surged in the final three weeks of the season with a 24 -- 17 victory at the Superdome , ending New Orleans ' previously unbeaten season in week 15 . For the first time in franchise history , Dallas posted back - to - back shutouts when they beat division rivals Washington ( 17 -- 0 ) and Philadelphia ( 24 -- 0 ) to end the season . In the process , the Cowboys clinched their second NFC East title in three years as well as the third seed in the NFC Playoffs . Six days later , in the wild - card round of the playoffs , Dallas played the Eagles in a rematch of week 17 . The Cowboys defeated the Eagles for the first Cowboys ' post-season win since the 1996 season , ending a streak of six consecutive NFL post-season losses . Dallas ended their playoff run after a hard divisional playoff loss to the Minnesota Vikings .   2010 -- 13   After beginning the 2010 season at 1 -- 7 , Phillips was fired as head coach and was replaced by offensive coordinator Jason Garrett as the interim head coach . The Cowboys finished the season 6 -- 10 .   With the 9th pick of the 1st round of the 2011 draft , the Cowboys selected USC tackle Tyron Smith .   To start the 2011 season the Cowboys played the New York Jets on a Sunday night primetime game in New York , on September 11 , 2011 . The Cowboys held the lead through most of the game , until a fumble , blocked punt , and interception led to the Jets coming back to win the game . In week 2 Dallas traveled to San Francisco to play the 49ers . In the middle of the 2nd quarter , while the Cowboys trailed 10 -- 7 , Tony Romo suffered a rib injury and was replaced by Jon Kitna . Kitna threw 1 Touchdown and 2 interceptions until Romo returned in the 3rd quarter as Dallas trailed 17 -- 7 . Romo then threw 3 touchdown passes to Miles Austin as the Cowboys rallied to send the game into overtime . On the Cowboys opening possession after 49ers punt , Romo found WR Jesse Holley on a 78 - yard pass , which set up the game - winning field goal by rookie kicker Dan Bailey .   Dallas ended the season 8 -- 8 . They were in a position to win the NFC East but lost to the Giants in a Week 17 primetime Sunday Night game on NBC which allowed New York to win the division . The Giants would go on to win Super Bowl XLVI .   The Cowboys started off the 2012 season on a high note by defeating the defending Super Bowl Champion New York Giants 24 -- 17 on the opening night of the season . They would hover around the . 500 mark for the majority of the season . They lost a close Week 6 game to eventual Super Bowl XXVII Champion Baltimore Ravens 31 -- 29 at M&amp;T Bank Stadium in Baltimore .   Going into Week 17 they found themselves once again one win away from winning the division . Standing in their way was the Redskins who had beat them on Thanksgiving at AT&amp;T Stadium and whom were also one win away from their first division title since 1999 . Led by Robert Griffin III the Redskins defeated the Cowboys at home 28 - 18 . Dallas once again finished the season 8 -- 8 .   In the 2013 season Dallas started off by defeating the Giants for the second straight year this time 36 -- 31 . It was the first time since AT&amp;T Stadium had opened back in 2009 that the Cowboys were able to defeat New York at home . The win was punctuated by Brandon Carr returning an Eli Manning interception to a touchdown late in the 4th quarter .   For the third straight year Dallas once again found themselves stuck in the . 500 area . In Week 5 , they lost a shootout to eventual AFC Champion Denver Broncos 51 -- 48 . They battled it out with Philadelphia for control of the division throughout the season . In December however they lost 2 crucial back to back games to Chicago and Green Bay . They were very successful in division games having a 5 -- 0 division record heading into another Week 17 showdown for the NFC East crown against the Eagles . That included beating Washington 24 -- 23 on Week 16 thanks to late game heroics of Tony Romo . However Romo received a severe back injury in that game which prematurely ended his season . The Cowboys called upon backup QB Kyle Orton to lead them into battle on the final week of the season . Orton was unsuccessful who threw a game ending interception to the Eagles which allowed Philly to win 24 -- 22 . Dallas ended the year at 8 -- 8 for the third year in a row . The only difference of this 8 -- 8 ending compared to the others was that Dallas ended the season in second place compared to the 2 previous 3rd - place finishes .   2014  Main article : 2014 Dallas Cowboys season  To start off the 2014 season Dallas began by losing to San Francisco 28 -- 17 . After that they went on a 6 - game winning streak . The highlight of this streak was defeating the Seahawks at CenturyLink Field 30 -- 23 . In Week 8 , the Redskins won in overtime 20 -- 17 , and Romo 's back became once again injured . He missed next week , a home loss to the Arizona Cardinals 28 -- 17 with backup QB Brandon Weeden . Romo returned in Week 9 to lead a 31 -- 17 victory of the Jacksonville Jaguars which was played at Wembley Stadium in London , England as part of the NFL International Series .   Dallas played into their traditional Thanksgiving home game , this time against division rival Philadelphia . Both teams were vying for first place in the division with identical 8 -- 3 records . The Eagles got off to a fast start and the Cowboys were unable to catch up , losing 33 -- 10 . They would rebound the next week where on the road Thursday night game they defeated Chicago 41 -- 28 for their 9th win of the year to clinch their first winning season since 2009 . This was the first time that Dallas played on back to back Thursdays . Week 15 was a rematch against 1st place Philadelphia . This time it was the Cowboys who got off to a fast start going up 21 -- 0 . Then the Eagles put up 24 answered points but Dallas came back to win 38 -- 27 to go into first place for the first time in the season and improve to 10 -- 4 . Going into their Week 16 matchup at home against Indianapolis , Dallas was in a position to clinch their first division title since 2009 by defeating the Colts thanks to the Eagles losing that week to the Redskins . They would not disappoint as they blew out the Colts 42 -- 7 to become the 2014 NFC East Champions , eliminating the Eagles from the playoffs . Dallas would end the regular season with a 12 -- 4 record and an 8 -- 0 away record when they won on the road against Washington 44 -- 17 . They would also finish December 4 -- 0 which was huge for the Cowboys since they had struggled in the recent years in the month of December .   On January 4 , 2015 , the Cowboys , as the number 3 seed , hosted the number 6 seed Detroit Lions in the wild card round of the NFL playoffs . In the game , the Lions got off to a hot start , going up 14 -- 0 in the first quarter . Dallas initially struggled on both sides of the ball . However , towards the end of the second quarter Romo threw a 76 - yard touchdown pass to Terrance Williams . Matt Prater of the Lions would kick a field goal before halftime to go up 17 -- 7 . Dallas came out swinging to start the second half by picking off Detroit quarterback Matthew Stafford on the first play of the third quarter . However , the Cowboys failed to capitalize on the turnover , as Dan Bailey missed a field goal during Dallas 's ensuing drive . Detroit then kicked another field goal to make the score 20 -- 7 . A DeMarco Murray touchdown later in that quarter closed the gap to 20 -- 14 . A 51 - yard Bailey field goal almost 3 minutes into the fourth quarter trimmed the Cowboys ' deficit to 3 . The Lions got the ball back and started driving down the field . On 3rd down - and - 1 of that Lions drive , Stafford threw a 17 - yard pass intended for Lions tight end Brandon Pettigrew , but the ball hit Cowboys linebacker Anthony Hitchens in the back a fraction of a second before he ran into Pettigrew . The play was initially flagged as defensive pass interference against Hitchens . However , the penalty was then nullified by the officiating crew . The Cowboys got the ball back on their 41 - yard line and had a successful 59 - yard drive which was capped off by an 8 - yard touchdown pass from Romo to Williams to give the Cowboys their first lead of the game at 24 -- 20 . The Lions got the ball back with less than 2 : 30 to play in regulation . Stafford fumbled the ball at the 2 minute mark . The fumble was recovered by Cowboys defensive end DeMarcus Lawrence , who then fumbled the ball which was recovered by the Lions . Lawrence would redeem himself by sacking Stafford on a 4th down - and - 3 play . The sack led to Stafford fumbling the ball again , which Lawrence recovered to seal the game for the Cowboys , who won 24 -- 20 . This was the first time in franchise playoff history that Dallas had been down by 10 or more points at halftime and rallied to win the game . The following week , the Cowboys traveled to Lambeau Field in Green Bay , Wisconsin to play the Packers in the divisional round . Despite having a 14 -- 7 halftime lead , the Cowboys fell to the Packers 26 -- 21 , thus ending their season . The season ended on an overturned call of a completed catch by Dez Bryant . The catch was challenged by the Packers , and the referees overturned the call because of the `` Calvin Johnson rule . ''   During the 2015 offseason the Cowboys allowed running back DeMarco Murray to become a free agent . Murray signed with the division rival Philadelphia Eagles . On July 15 wide receiver Dez Bryant signed a 5 - year , $70 million contract .   2015  Main article : 2015 Dallas Cowboys season  At home against the New York Giants , Dallas won 27 -- 26 . Dez Bryant left the game early with a fractured bone in his foot . On the road agai</t>
  </si>
  <si>
    <t xml:space="preserve">when was the last super bowl dallas cowboys won</t>
  </si>
  <si>
    <t xml:space="preserve">  Super Bowl championships ( 5 ) 1971 ( VI ) , 1977 ( XII ) , 1992 ( XXVII ) , 1993 ( XXVIII ) , 1995 ( XXX )  </t>
  </si>
  <si>
    <r>
      <rPr>
        <sz val="11"/>
        <color rgb="FF000000"/>
        <rFont val="Calibri"/>
        <family val="0"/>
        <charset val="1"/>
      </rPr>
      <t xml:space="preserve">Sweet Caroline - wikipedia  Sweet Caroline  Jump to : navigation , search For the Prison Break episode , see Sweet Caroline ( Prison Break episode ) . For the Status Quo song , see Caroline ( Status Quo song ) .    `` Sweet Caroline ''         Single by Neil Diamond     B - side   `` Dig In ''     Released   September 16 , 1969     Genre   Soft rock     Length   3 : 21     Label   Uni / MCA     Songwriter ( s )   Neil Diamond     Producer ( s )   Tommy Cogbill Neil Diamond Chips Moman     Neil Diamond singles chronology        `` Brother Love 's Traveling Salvation Show '' ( 1969 )   `` Sweet Caroline '' ( 1969 )   `` Holly Holy '' ( 1969 )           `` Brother Love 's Traveling Salvation Show '' ( 1969 )   `` Sweet Caroline '' ( 1969 )   `` Holly Holy '' ( 1969 )        `` Sweet Caroline '' is a song written and performed by American recording artist Neil Diamond and officially released on September 16 , 1969 , as a single with the title `` Sweet Caroline ( Good Times Never Seemed So Good ) '' . It was arranged by Charles Calello , and recorded at American Sound Studio in Memphis , Tennessee .   The song reached # 4 on the Billboard Hot 100 chart on August 23 , 1969 and eventually went platinum for sales of one million singles . Sweet Caroline '' was also the first of fifty - eight entries on the US Easy Listening chart , peaking at # 3 .   The Billboard ranking supports those sources which indicate that Sweet Caroline actually charted on June 29 , 1969 .   In the autumn of 1969 , Diamond performed `` Sweet Caroline '' on several television shows . It later reached # 8 on the UK singles chart in 1971 .   In a 2007 interview , Diamond stated the inspiration for his song was John F. Kennedy 's daughter , Caroline , who was eleven years old at the time it was released . Diamond sang the song to her at her 50th birthday celebration in 2007 . On December 21 , 2011 , in an interview on CBS 's The Early Show , Diamond said that a magazine cover photo of Caroline Kennedy as a young child on a horse with her parents in the background created an image in his mind , and the rest of the song came together about five years after seeing the picture . However , in 2014 Diamond said the song was about his then - wife Marsha , but he needed a three - syllable name to fit the melody .   The song has proven to be enduringly popular , and as of November 2014 has sold over two million digital downloads in the United States .     Contents  ( hide )   1 Versions   2 Use at sporting events   3 Personnel   4 Cover versions   5 References   6 External links      Versions ( edit )   There are three distinct mixes of this song . The original mono 45 mix had a louder orchestra and glockenspiel compared to the stereo version on the Brother Love 's Travelling Salvation Show LP . The third version was a remix found only on the initial CD release of Diamond 's His 12 Greatest Hits . This version has the orchestra mixed down and has the background vocals mixed up . It has a longer fade as well . A live version of the song is on his Hot August Night LP .   Use at sporting events ( edit )   The playing of `` Sweet Caroline '' has become a fixture at many sporting events in the United States . In this version , the horn figure after Diamond sings `` Sweet Caroline '' in the chorus is replaced by the crowd singing `` ba , ba , ba '' , and after he sings `` Good times never seemed so good , '' the crowd sings `` So good , so good , so good . '' This pattern is repeated whenever the chorus is played .   The song has been played at Fenway Park , home of Major League Baseball 's Boston Red Sox , since at least 1997 , and in the middle of the eighth inning at every game since 2002 . On opening night of the 2010 season at Fenway Park , the song was performed by Diamond himself . `` Sweet Caroline '' was played at Penn State Nittany Lions football games at Beaver Stadium until August 2012 , halting after the Penn State child sex abuse scandal . Performances at Beaver Stadium resumed in September 2013 , however . The song is played at the start of the fourth quarter of Pittsburgh Panthers Football games at Heinz Field . In response , West Virginia University students in turn will yell `` EAT S * * * PITT '' during the refrain if heard played . It is also an unofficial song of the University of North Carolina at Chapel Hill , being played at athletic events and pep rallies .   On April 16 , 2013 , the day after the Boston Marathon bombing , the New York Yankees -- longtime rivals of the Red Sox -- announced they would play the song during their home game , preceded by a moment of silence , as a tribute to the victims . On Saturday , April 20 , 2013 , during the 8th inning of the Red Sox - Kansas City game in Fenway Park , Neil Diamond led the crowd in a rendition of the song . The song was sung at sporting events across the country after the Boston Marathon bombings , in efforts to show solidarity with those affected by the tragedy . It was also played right before the start of the Hamburg Marathon in Hamburg , Germany , on Sunday , April 21 , 2013 , subsequent to a minute of silence . The song was also played before the start of the Stockholm Marathon in Stockholm , Sweden , on Saturday , June 1 , 2013 , as a tribute to those affected by the Boston Marathon bombings .   On April 25 , 2013 , `` Sweet Caroline '' was played following a tribute to the victims of the Boston Marathon bombing during the NFL Draft . Diamond has announced that he will donate all royalties from sales of the song since the marathon bombings to the One Fund Boston charity to help the people most affected by the bombings . Diamond said that sales of the song surged nearly 600 percent in the week after the bombings , to 19,000 copies , up from 2,800 the week before .   The song is played after every Carolina Panthers home win .   The song is used by the Northern Ireland national football team fans at major tournaments . It is also used by the Castleford Tigers rugby league club after a win at the Mend a hose stadium . It is also used by Northern Irish darts player Daryl Gurney in his walk - on prior to matches which he plays in .   The song is also played during the quarter time break of Sydney Swans AFL home games at the Sydney Cricket Ground .   The song has also been adopted by Oxford United .   The song 's introduction , first verse and chorus are one of the regular songs played at English T20 cricket matches , getting particular coverage on televised matches , especially when David `` Bumble '' Lloyd is part of the commentary team .   Personnel ( edit )    Neil Diamond - vocals , guitar    Cover versions ( edit )    Bert Kaempfert released an instrumental version in 1969   Pierre Lalonde in 1969 made a French cover of this song as `` Caroline '' .   Andy Williams released a version in 1969 on his album , Get Together with Andy Williams .   Elvis Presley covered it in 1970 .   Checkmates , Ltd. released a version of the song on their 1971 album , Life .   Bobby Womack covered this song in his 1972 album Understanding .   Roy Orbison covered it Live on Australian television in 1973 .   Frank Sinatra recorded a big band cover of `` Sweet Caroline '' for his 1974 LP Some Nice Things I 've Missed . Neil Diamond has stated this is one of his favorite covers .   Julio Iglesias covered this song in Spanish as `` Dulce Carolina '' on his 1972 album Por una mujer .   Waylon Jennings performed a version on his 1977 album Ol ' Waylon .   Claude Gray in 1986 released a cover version . It peaked at # 77 on the Billboard country charts , making it his last charted single to date .   The third full - length release from the punk band Me First and the Gimme Gimmes , entitled `` Have a Ball '' , released July 29 , 1997 , features a punk - rock cover of `` Sweet Caroline '' .   In November 2001 , Dustin the Turkey took the song to number one on the Irish Singles Chart .   David Archuleta performed the song during the Final Five American Idol Episode on April 29 , 2008 and later recorded a studio version .   On July 7 - 8th 2006 , the Dave Matthews Band performed a cover of the song at their 2 - day concert at Fenway Park , which was released as their album `` Live Trax Vol. 6 : Fenway Park '' .   In 2009 , Mark Salling covered the song on the Fox TV show Glee .   In 2009 , South African singer Steve Hofmeyr covered the song on his album , Tribute .   In 2009 , the Boston Pops Orchestra and Keith Lockhart recorded it on their live album The Red Sox Album . Also , on July 4 , 2009 , Neil Diamond performed it with them on the Hatch Shell stage .   DJ Ötzi , an Austrian entertainer and singer released it in 2009 finding great success in German - speaking charts peaking at number 19 on the German Singles Chart and number 18 on the Austrian charts .   Bertín Osborne covered the song in 2016 .    References ( edit )    Jump up ^ Chilton , Martin . `` Neil Diamond : ' did n't like Sweet Caroline ' '' . Retrieved September 19 , 2015 .   Jump up ^ Caulfield , Keith . `` Neil Diamond 's Top Singles ' '' . Retrieved June 12 , 2016 .   Jump up ^ Calello , Charles . `` Calello 's Billboard Magazine Top 100 '' . Retrieved June 13 , 2015 .   Jump up ^ `` Neil Diamond '' ( biography ) . Billboard . Retrieved November 20 , 2007 .   Jump up ^ Whitburn , Joel ( 2002 ) . Top Adult Contemporary : 1961 - 2001 . Record Research . p. 78 .   Jump up ^ http://www.las-solanas.com/arsa/surveys_item.php?svid=27298   Jump up ^ Glaister , Dan ( November 21 , 2007 ) . `` Neil Diamond reveals secret of Sweet Caroline '' . The Guardian . London . Retrieved June 13 , 2015 .   Jump up ^ Beggy , Carol ; Shanahan , Mark ( November 21 , 2007 ) . `` ' Sweet Caroline ' revealed '' . The Boston Globe . Retrieved March 15 , 2008 .   Jump up ^ Cohen , Sandy ( November 20 , 2007 ) . `` Diamond Reveals ` Caroline ' Inspiration '' . Washington Post . Associated Press . Retrieved May 26 , 2017 .   ^ Jump up to : Respers , Lisa ( October 20 , 2014 ) . `` Neil Diamond reveals story behind ' Sweet Caroline ' '' . CNN . Retrieved January 10 , 2017 .   Jump up ^ Appel , Rich ( November 26 , 2014 ) . `` Revisionist History , Part 5 : Bon Jovi 's ' Prayer ' Answered , ' Caroline ' Is Sweeter Than ' Sugar ' '' . Billboard . Prometheus Global Media . Retrieved November 26 , 2014 .   Jump up ^ `` Neil Diamond Album Overview Part 4 : 1981 - 2003 The Compilation - Mania Years '' . Retrieved June 13 , 2015 .   Jump up ^ Browne , Ian ( April 17 , 2013 ) . `` Fenway Park 's anthem started innocuously '' . MLB.com . Retrieved April 20 , 2016 .   Jump up ^ Vosk , Stephanie ( May 29 , 2005 ) . `` Another mystery of the Diamond , explained at last '' . The Boston Globe .   Jump up ^ Clark , Lauren ( 2012 - 08 - 27 ) . `` Penn State Kills ' Sweet Caroline ' '' . Boston Magazine . Retrieved 2016 - 10 - 02 .   Jump up ^ `` No ' Sweet Caroline ' at Penn State games , no public allowed in most athletic facilities -- This Just In - CNN.com Blogs '' . News.blogs.cnn.com . Retrieved 2016 - 10 - 02 .   Jump up ^ Horne , Kevin ( 2013 - 09 - 23 ) . `` Sweet Caroline Returns to Beaver Stadium '' . Onward State . Retrieved 2016 - 10 - 24 .   Jump up ^ `` WVU College Gameday ' Sweet Caroline ' '' . YouTube . November 1 , 2014 . Retrieved August 1 , 2017 .   Jump up ^ Summer Ratcliff ( 2014 - 11 - 02 ) , WVU College GameDay `` Sweet Caroline '' , retrieved 2017 - 08 - 23   Jump up ^ `` Yankees Twitter '' . New York Yankees. April 16 , 2013 . Retrieved April 16 , 2013 .   Jump up ^ `` 15,000 expected at Hamburg Marathon '' . TheLocal. April 20 , 2013 . Retrieved April 22 , 2013 .   Jump up ^ `` Neil Diamond to Donate ' Sweet Caroline ' Royalties to Boston Bombing Charity '' . The New York Times . April 25 , 2013 . Retrieved April 25 , 2013 .   Jump up ^ `` Neil Diamond to Donate ' Sweet Caroline ' Royalties to Boston Charity '' . The Hollywood Reporter. April 25 , 2013 . Retrieved April 25 , 2013 .   Jump up ^ Wilson , Andy ( 17 March 2014 ) . `` Set of Six : Why Castleford Tigers fans are singing Neil Diamond 's Sweet Caroline '' . The Guardian . Retrieved 8 July 2017 .   Jump up ^ https://www.oufc.co.uk/news/2017/march/a-song-for-wembley/   Jump up ^ `` Elvis Presley - Sweet Caroline ( 1970 ) '' . YouTube . Retrieved October 17 , 2014 .   Jump up ^ Checkmates , Ltd. , Life Retrieved January 29 , 2016 .   Jump up ^ `` Roy Orbison : `` Sweet Caroline '' from Live in Australia `` .   Jump up ^ `` Singer / songwriter Neil Diamond here , AMA ! '' . Reddit. 16 October 2014 . Retrieved 17 October 2014 .   Jump up ^ `` DMB Live Trax Vol. 6 : Fenway Park '' . Dave Matthews Band . Retrieved 2016 - 10 - 02 .   Jump up ^ `` Tribute '' . Last.fm . Retrieved October 17 , 2014 .   Jump up ^ Austriancharts.at : DJ ÖTZI - `` Sweet Caroline ''    External links ( edit )    Lyrics of this song at MetroLyrics              Neil Diamond singles discography     Singles 1960s     1962   `` You Are My Love at Last ''   `` I 'm Afraid ''     1963   `` At Night ''     1966   `` Solitary Man ''   `` Cherry , Cherry ''   `` I Got the Feelin ' ( Oh No No ) ''     1967   `` Girl , You 'll Be a Woman Soon ''   `` Thank the Lord for the Night Time ''   `` Kentucky Woman ''   `` Some Day Baby ''     1968   `` New Orleans ''   `` Red Red Wine ''   `` Brooklyn Roads ''   `` Two - Bit Manchild ''   `` Shilo ''   `` Sunday Sun ''     1969   `` Brother Love 's Travelling Salvation Show ''   `` Sweet Caroline ''   `` Holly Holy ''       Singles 1970s     1970   `` Shilo ''   `` Until It 's Time for You to Go ''   `` Soolaimon ''   `` And The Grass Wo n't Pay No Mind ''   `` Solitary Man ''   `` Cracklin ' Rosie ''   `` He Ai n't Heavy , He 's My Brother ''   `` Do It ''     1971   `` I Am ... I Said ''   `` Done Too Soon ''   `` I 'm a Believer ''   `` Stones ''     1972   `` Song Sung Blue ''   `` Play Me ''   `` Walk on Water ''     1973   `` Cherry , Cherry ''   `` The Long Way Home ''   `` The Last Thing on My Mind ''   `` Be ''       `` Skybird ''   `` Longfellow Serenade ''       `` Morningside ''   `` I 've Been This Way Before ''   `` The Last Picasso ''     1976   `` If You Know What I Mean ''   `` Do n't Think ... Feel ''   `` Beautiful Noise ''     1977   `` Stargazer ''   `` Lady - Oh ''   `` Desiree ''     1978   `` God Only Knows ''   `` Let Me Take You In My Arms Again ''   `` I 'm Glad You 're Here With Me Tonight ''   `` You Do n't Bring Me Flowers ''   `` The Dancing Bumble Bee / Bumble Boogie ''     1979   `` Forever in Blue Jeans ''   `` Say Maybe ''   `` The American Popular Song ''   `` September Morn ''       Singles 1980s     1980   `` That Kind ''   `` The Good Lord Loves You ''   `` Dancing in the Street ''   `` Love on the Rocks ''     1981   `` Hello Again ''   `` America ''   `` Yesterday 's Songs ''     1982   `` On the Way to the Sky ''   `` Be Mine Tonight ''   `` Rainy Day Song ''   `` Heartlight ''       `` I 'm Alive ''   `` Turn Around ''                 Boston Red Sox       Formerly the Boston Americans   Based in Boston , Massachusetts       Franchise     History   Seasons   Records   No - hitters   Awards   Players   Owners and executives   Managers   Coaches   Captains   Broadcasters   Opening Day starters   First - round draft picks   Logos and uniforms   Hall of Fame       Ballparks     Huntington Avenue Grounds   Braves Field   Fenway Park     Spring training   Venues   Majestic Park   Plant Field   Whittington Park   Riverside Park   Ninth Street Park   Payne Park   Bader Field   Scottsdale Stadium   Chain of Lakes Park   City of Palms Park   JetBlue Park at Fenway South       Culture     Red Sox Nation   Royal Rooters   `` Nuf Ced '' McGreevy   Curse of the Bambino   Green Monster   Pesky 's Pole   Wally the Green Monster   Victoria Snelgrove   `` Tessie ''   `` Dirty Water ''   `` Sweet Caroline ''   `` Dream On ''   `` I 'm Shipping Up to Boston ''   `` Three Little Birds ''   Field of Dreams   Good Will Hunting   Fever Pitch   Moneyball   Game 6   The Town   The Jimmy Fund   Yawkey Way   Kenmore Square   Citgo Sign   Golden Outfield   Carl Beane   Sherm Feller   Cheers   Still , We Believe : The Boston Red Sox Movie   Four Days in October   Red Sox Rule       Lore     Cy Young 's perfect game   Slaughter 's Mad Dash   Babe Ruth 's 573 - foot home run into Alligator Farm   1948 AL tie - breaker game   The Impossible Dream   Carlton Fisk waves it fair   1978 AL East tie - breaker game   Bill Buckner 's error   Aaron Boone 's home run   The bloody sock   `` Idiots '' break the curse   Boston Strong       Rivalries     New York Yankees       Administration     Owners : Fenway Sports Group   John W. Henry   Tom Werner     President and CEO : Sam Kennedy   President of Baseball Operations : Dave Dombrowski   General Manager : Vacant   Manager : John Farrell       World Series Championships ( 8 )     1903   1912   1915   1916   1918     2007   2013       League Pennants ( 13 )     1903   1904   1912   1915   1916   1918   1946   1967     1986     2007   2013       Division championships ( 8 )       1986   1988   1990   1995   2007   2013   2016   2017       Wild card berths ( 7 )     1998   1999   2003     2005   2008   2009       Minor league affiliates     AAA   Pawtucket Red Sox     AA   Portland Sea Dogs     A Adv .   Salem Red Sox       Greenville Drive     Short A   Lowell Spinners     Rookie   Gulf Coast League Red Sox   DSL Red Sox         Other assets     New England Sports Network          Seasons ( 117 )     1900s     1900 *   1901   1902   1903   1904   1905   1906   1907   1908   1909       1910s     1910   1911   1912   1913   1914   1915   1916   1917   1918   1919       1920s     1920   1921   1922   1923   1924   1925   1926   1927   1928   1929       1930s     1930   1931   1932   1933   1934   1935   1936   1937   1938   1939       1940s     1940   1941   1942   1943   1944   1945   1946   1947   1948   1949       1950s     1950   1951   1952   1953   1954   1955   1956   1957   1958   1959       1960s     1960   1961   1962   1963   1964   1965   1966   1967   1968   1969       1970s     1970   1971   1972   1973       1976   1977   1978   1979       1980s     1980   1981   1982     1984   1985   1986     1988         1990s     1990   1991         1995     1997   1998   1999       2000s     2000   2001   2002   2003     2005   2006   2007   2008   2009       2010s       2011   2012   2013   2014   2015   2016   2017                    Carolina Panthers       Founded in 1995   Based and headquartered in Charlotte , North Carolina       Franchise     Franchise   Team history   Seasons   Coaches   Players   Expansion draft   First - round draft picks   Starting quarterbacks   Records and statistics   Broadcasters       Stadiums     Memorial Stadium ( Clemson )   Bank of America Stadium       Culture and lore     Jerry Richardson   Sir Purr   Cardiac Cats   Carolina Topcats   `` Sweet Caroline '' ( song )   `` Cat Scratch Fever '' ( song )       Rivalries     Atlanta Falcons   Tampa Bay Buccaneers   Seattle Seahawks       Hall of Honor     Mike McCormack   Sam Mills   PSL Owners       Playoff appearances ( 7 )       2003   2005   2008   2013   2014   2015       Division championships ( 6 )       2003   2008   2013   2014   2015       Conference championships ( 2 )     2003   2015       Retired numbers     51       Media     Broadcasters   Mick Mixon   Eugene Robinson   Bill Rosinski   TV : WCCB   Radio : WBT       Current league affiliations     League : National Football League   Conference : National Football Conference   Division : South Division       Seasons ( 23 )     1995     1997   1998   1999   2000   2001   2002   2003     2005   2006   2007   2008   2009     2011   2012   2013   2014   2015   2016   2017      Retrieved from `` https://en.wikipedia.org/w/index.php?title=Sweet_Caroline&amp;oldid=802419728 '' Categories :   1969 singles   1971 singles   2001 singles   Songs written by Neil Diamond   Baseball music   Neil Diamond songs   Checkmates , Ltd. songs   Bobby Womack songs   Andy Williams songs   Song recordings produced by Chips Moman   Irish Singles Chart number - one singles   Football songs and chants   Boston Red Sox   Carolina Panthers   Uni Records singles   MCA Records singles   1969 songs   Schlager songs   Songs about women   Hidden categories :   Use mdy dates from August 2014   Articles with hAudio microformats           Talk                                           Contents                   About Wikipedia                                           Español   Français   Bahasa Indonesia   </t>
    </r>
    <r>
      <rPr>
        <sz val="11"/>
        <color rgb="FF000000"/>
        <rFont val="Noto Sans CJK SC"/>
        <family val="2"/>
      </rPr>
      <t xml:space="preserve">日本 語   </t>
    </r>
    <r>
      <rPr>
        <sz val="11"/>
        <color rgb="FF000000"/>
        <rFont val="Calibri"/>
        <family val="0"/>
        <charset val="1"/>
      </rPr>
      <t xml:space="preserve">Norsk   Norsk nynorsk   Tiếng Việt   Edit links   This page was last edited on 26 September 2017 , at 01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</si>
  <si>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do they play sweet caroline at the red sox games</t>
  </si>
  <si>
    <t xml:space="preserve"> The song has been played at Fenway Park , home of Major League Baseball 's Boston Red Sox , since at least 1997 , and in the middle of the eighth inning at every game since 2002 . On opening night of the 2010 season at Fenway Park , the song was performed by Diamond himself . `` Sweet Caroline '' was played at Penn State Nittany Lions football games at Beaver Stadium until August 2012 , halting after the Penn State child sex abuse scandal . Performances at Beaver Stadium resumed in September 2013 , however . The song is played at the start of the fourth quarter of Pittsburgh Panthers Football games at Heinz Field . In response , West Virginia University students in turn will yell `` EAT S * * * PITT '' during the refrain if heard played . It is also an unofficial song of the University of North Carolina at Chapel Hill , being played at athletic events and pep rallies . </t>
  </si>
  <si>
    <r>
      <rPr>
        <sz val="11"/>
        <color rgb="FF000000"/>
        <rFont val="Calibri"/>
        <family val="0"/>
        <charset val="1"/>
      </rPr>
      <t xml:space="preserve">Time in the United States - wikipedia  Time in the United States       This article needs additional citations for verification . Please help improve this article by adding citations to reliable sources . Unsourced material may be challenged and removed . ( March 2013 ) ( Learn how and when to remove this template message )     Time in the United States , by law , is divided into nine standard time zones covering the states and its possessions , with most of the United States observing daylight saving time ( DST ) for approximately the spring , summer , and fall months . The time zone boundaries and DST observance are regulated by the Department of Transportation . Official and highly precise timekeeping services ( clocks ) are provided by two federal agencies : the National Institute of Standards and Technology ( NIST ) ( an agency of the Department of Commerce ) ; and its military counterpart , the United States Naval Observatory ( USNO ) . The clocks run by these services are kept synchronized with each other as well as with those of other international timekeeping organizations .   It is the combination of the time zone and daylight saving rules , along with the timekeeping services , which determines the legal civil time for any U.S. location at any moment .  Map of U.S. time zones since November 2007 , when 5 counties in Indiana returned to the Eastern time zone  Contents    1 History   1.1 From GMT to UTC     2 United States time zones   2.1 Standard time and daylight saving time   2.2 Zones used in the contiguous U.S.   2.3 Zones used in states beyond the contiguous U.S.   2.4 Zones outside the states   2.5 Minor Outlying Islands   2.6 Antarctic research stations     3 Boundaries between the zones   3.1 Eastern - Central boundary   3.2 Central - Mountain boundary   3.3 Mountain - Pacific boundary     4 Daylight saving time   5 Time representation   6 See also   7 References   8 External links    History ( edit )   Prior to the adoption of four standard time zones for the continental United States , many towns and cities set their clocks to noon when the sun passed their local meridian , pre-corrected for the equation of time on the date of observation , to form local mean solar time . Noon occurred at different times but time differences between distant locations were barely noticeable prior to the 19th century because of long travel times and the lack of long - distance instant communications prior to the development of the telegraph .   The use of local solar time became increasingly awkward as railways and telecommunications improved . American railroads maintained many different time zones during the late 1800s . Each train station set its own clock making it difficult to coordinate train schedules and confusing passengers . Time calculation became a serious problem for people travelling by train ( sometimes hundreds of miles in a day ) , according to the Library of Congress . Every city in the United States used a different time standard so there were more than 300 local sun times to choose from . Time zones were therefore a compromise , relaxing the complex geographic dependence while still allowing local time to be approximate with mean solar time . Railroad managers tried to address the problem by establishing 100 railroad time zones , but this was only a partial solution to the problem .   Operators of the new railroad lines needed a new time plan that would offer a uniform train schedule for departures and arrivals . Four standard time zones for the continental United States were introduced at noon on November 18 , 1883 , when the telegraph lines transmitted time signals to all major cities .   In October 1884 , the International Meridian Conference at Washington DC adopted a proposal which stated that the prime meridian for longitude and timekeeping should be one that passes through the centre of the transit instrument at the Greenwich Observatory in the United Kingdom ( UK ) . The conference therefore established the Greenwich Meridian as the prime meridian and Greenwich Mean Time ( GMT ) as the world 's time standard . The US time - zone system grew from this , in which all zones referred back to GMT on the prime meridian .   From GMT to UTC ( edit )   GMT was superseded as the international civil time standard by Coordinated Universal Time ( UTC ) in 1960 , when the International Radio Consultative Committee formalized the concept of Coordinated Universal Time , abbreviated as UTC . It is , within about 1 second , mean solar time at 0 ° . It does not observe daylight saving time . It is one of several closely related successors to Greenwich Mean Time ( GMT ) . For most purposes , UTC is considered interchangeable with GMT , but GMT is no longer precisely defined by the scientific community .   United States time zones ( edit )   Standard time zones in the United States are currently defined at the federal level by law 15 USC § 260 . The federal law also establishes the transition dates and times at which daylight saving time occurs , if observed . It is ultimately the authority of the Secretary of Transportation , in coordination with the states , to determine which regions will observe which of the standard time zones and if they will observe daylight saving time . As of August 9 , 2007 , the standard time zones are defined in terms of hourly offsets from UTC . Prior to this they were based upon the mean solar time at several meridians 15 ° apart west of Greenwich ( GMT ) .   Only the full - time zone names listed below are official ; abbreviations are by common use conventions , and duplicated elsewhere in the world for different time zones .   The United States uses nine standard time zones . As defined by US law they are :    The Atlantic standard time zone   The Eastern standard time zone   The Central standard time zone   The Mountain standard time zone   The Pacific standard time zone   The Alaska standard time zone   The Hawaii -- Aleutian standard time zone   The Samoa standard time zone   The Chamorro standard time zone    View the standard time zone boundaries here .   Standard time and daylight saving time ( edit )     Time Zone   Standard Time   Daylight Time   States in Zone     Hawaii -- Aleutian Time Zone   HST ( UTC − 10 : 00 )   HDT ( UTC − 09 : 00 )   Alaska , Hawaii ( no DST )     Alaska Time Zone   AKST ( UTC − 09 : 00 )   AKDT ( UTC − 08 : 00 )   Alaska     Pacific Time Zone   PST ( UTC − 08 : 00 )   PDT ( UTC − 07 : 00 )   California , Washington , Oregon , Nevada     Mountain Time Zone   MST ( UTC − 07 : 00 )   MDT ( UTC − 06 : 00 )   Arizona ( no DST outside of Navajo Nation ) , Colorado , Idaho , Kansas , Montana , Nebraska , Nevada , New Mexico , North Dakota , Oregon , South Dakota , Texas , Utah , Wyoming , Idaho     Central Time Zone   CST ( UTC − 06 : 00 )   CDT ( UTC − 05 : 00 )   Alabama , Arkansas , Florida , Illinois , Indiana , Iowa , Kansas , Kentucky , Louisiana , Michigan , Minnesota , Mississippi , Missouri , Nebraska , North Dakota , Oklahoma , South Dakota , Tennessee , Texas , Wisconsin     Eastern Time Zone   EST ( UTC − 05 : 00 )   EDT ( UTC − 04 : 00 )   Connecticut , Florida , District of Columbia , Delaware , Georgia , Indiana , Kentucky , Maine , Massachusetts , Michigan , New Hampshire , New Jersey , New York , North Carolina , Ohio , Pennsylvania , Rhode Island , South Carolina , Tennessee , Vermont , Maryland , Virginia , West Virginia     Zones used in the contiguous US ( edit )   From east to west , the times zones of the contiguous United States are :    The Eastern standard time zone : ( Zone R ) , which comprises roughly the states on the Atlantic coast and the eastern two thirds of the Ohio Valley .   The Central standard time zone : ( Zone S ) , which comprises roughly the Gulf Coast , Mississippi Valley , and Great Plains .   The Mountain standard time zone : ( Zone T ) , which comprises roughly the states and portions of states that include the Rocky Mountains .   The Pacific standard time zone : ( Zone U ) , which comprises roughly the states on the Pacific coast , plus Nevada and the Idaho panhandle .    Zones used in States beyond the contiguous US ( edit )    The Alaska standard time zone : ( AKST ; UTC − 09 : 00 ; Zone V ) , which comprises most of the state of Alaska .   The Hawaii - Aleutian standard time zone : ( or unofficially Hawaii Standard Time ) ( HST ; UTC − 10 : 00 ; zone W ) , which includes Hawaii and most of the length of the Aleutian Islands chain ( west of 169 ° 30 ′ W ) .    Zones outside the States ( edit )    The Samoa standard time zone ( SST ; UTC − 11 : 00 ; Zone X ) , which comprises American Samoa .   The Chamorro standard time zone : ( ChST ; UTC + 10 : 00 ; Zone K ) , which comprises Guam and the Northern Mariana Islands .   The Atlantic standard time zone : ( AST ; UTC - 4 : 00 ; Zone Q ) , which comprises Puerto Rico and the US Virgin Islands .    Minor outlying Islands ( edit )   Some United States Minor Outlying Islands are outside the time zones defined by 15 U.S.C. § 260 and exist in waters defined by Nautical time . In practice , military crews may simply use Zulu time ( UTC ± 00 : 00 ) when on these islands . Baker Island and Howland Island are in UTC − 12 , while Wake Island is in UTC + 12 : 00 . Because they exist on opposite sides of the International Date Line , it can , for example , be noon Thursday on Baker and Howland islands while simultaneously being noon Friday on Wake Island . Other outlying islands include Jarvis Island , Midway Atoll , Palmyra Atoll , and Kingman Reef ( UTC − 11 : 00 ) ; Johnston Atoll ( UTC − 10 : 00 ) ; and Navassa Island , Bajo Nuevo Bank , and Serranilla Bank ( UTC − 05 : 00 ) .   Antarctic research stations ( edit )  See also : Time in Antarctica  In Antarctica , the US research facility Palmer Station is in UTC − 03 : 00 , while McMurdo Station and Amundsen -- Scott South Pole Station use UTC + 12 : 00 in order to coordinate with their main supply base in New Zealand .   Boundaries between the zones ( edit )   ( Described from north to south along each boundary . )   Eastern - Central boundary ( edit )  Marker showing the border of Wayne County , Kentucky , and the Eastern Time Zone Time in Indiana : red areas belong to the Central Time Zone .   roughly follows the border between Wisconsin ( to the south and west ) and the Upper Peninsula of Michigan ( to the north and east ) ; the Upper Peninsula counties that border Wisconsin ( namely Gogebic , Iron , Dickinson , and Menominee counties ) observe CT , all other counties in the U.P. observe ET   follows Lake Michigan   divides a small portion of Northwestern Indiana near Chicago from the rest of the state   follows the border between Illinois ( west ) and Indiana ( east )   divides a small portion of Southwestern Indiana from the rest of the state   divides Kentucky in half roughly along a line that is west of Louisville , Kentucky running from northwest to southeast .   divides the region legally defined as East Tennessee , except for four counties adjoining Middle Tennessee , from the rest of Tennessee .   follows the border between Alabama ( west ) and Georgia ( east ) , although Phenix City , Alabama and some nearby towns unofficially observe Eastern Time .   divides the Florida Panhandle along the Apalachicola River and Intracoastal Waterway just west of Tallahassee , Florida .    Central - Mountain boundary ( edit )    divides the southwest portion of North Dakota from the rest of the state   divides South Dakota roughly in half   divides the western third of Nebraska from the rest of the state   divides a very small portion of extreme western Kansas bordering Colorado ( Greeley , Hamilton , Sherman , and Wallace counties ) from the rest of the state ( three other counties which border Colorado -- Cheyenne , Morton , and Stanton counties -- observe CST )   follows the border between New Mexico ( west ) and Oklahoma ( east ) ( although the zone legally begins at the Oklahoma -- New Mexico state line , Kenton in extreme northwestern Cimarron County , Oklahoma unofficially observes MST )   follows the border between New Mexico ( west ) and Texas ( east )   divides El Paso County , Hudspeth County , and a portion of northwestern Culberson County that includes eastern Guadalupe Mountains National Park from the rest of Texas    Mountain - Pacific boundary ( edit )    follows the border between northern Idaho ( to the west ) and northwestern Montana ( to the east )   turns west at 45 ° 33.46 ′ N 114 ° 33.89 ′ W ﻿ / ﻿ 45.55767 ° N 114.56483 ° W ﻿ / 45.55767 ; - 114.56483 ( just south of Nez Perce Pass ) , and follows the Idaho County line to the Salmon River   follows the Salmon River west to the town of Riggins , where the Salmon River turns north . This puts almost all of northern Idaho in the Pacific time zone , except for the small loop described next .   turns north and follows the Salmon River to the Snake River at the Oregon border ( at 45 ° 51.3 ′ N 116 ° 47.5 ′ W ﻿ / ﻿ 45.8550 ° N 116.7917 ° W ﻿ / 45.8550 ; - 116.7917 ) . This loop to the north creates a curious situation where one can enter a more - westerly time zone by traveling east over one of the bridges across this portion of the Salmon River .   turns south and follows the Snake River between Oregon ( west ) and Idaho ( east ) to the northern border of Malheur County , Oregon   turns west and follows the northern border of Malheur County , Oregon to its western border , where it turns south   follows the western border of Malheur County to latitude 42.45 ° ( 42 ° 27 ′ N ) , where it turns east , and returns to the Oregon / Idaho border   turns south and follows the border between Oregon ( west ) and Idaho ( east )   turns east and follows the border between Idaho ( north ) and Nevada ( south ) along the 42nd parallel north to longitude 114.041726 W .   turns south and follows the border between Nevada ( west ) and Utah ( east ) , except for following the west city limit line of West Wendover dividing it from the rest of Nevada , and putting it in the Mountain Time Zone . Jackpot , Nevada , just south of the 42nd parallel and some 25 miles ( 40 km ) west of the time zone south turn , also observes Mountain Time , on an unofficial basis .   follows the border between Nevada ( west ) and Arizona ( east )   follows the border between California ( west ) and Arizona ( east ) , mostly defined by the Colorado River , to the border between the U.S. and Mexico .    Daylight saving time ( edit )  Main article : Daylight saving time in the United States  The Energy Policy Act of 2005 extended daylight saving time ( DST ) for an additional month beginning in 2007 . The start of DST now occurs on the second Sunday in March and ends on the first Sunday in November .   Clocks will be set ahead one hour at 2 a.m. on the following start dates and set back one hour at 2 a.m. on these ending dates :     Year   Start date   Ending date     2006   April 2   October 29     2007   March 11   November 4     2008   March 9   November 2     2009   March 8   November 1       March 14   November 7     2011   March 13   November 6     2012   March 11   November 4     2013   March 10   November 3     2014   March 9   November 2     2015   March 8   November 1     2016   March 13   November 6     2017   March 12   November 5     2018   March 11   November 4     2019   March 10   November 3     2020   March 8   November 1     In response to the Uniform Time Act of 1966 , each state of the US has officially chosen to apply one of two rules over its entire territory :    Most use the standard time for their zone ( or zones , where a state is divided between two zones ) , except for using daylight saving time during the summer months . Originally this ran from the last Sunday in April until the last Sunday in October . Two subsequent amendments , in 1986 and 2005 , have shifted these days so that daylight saving time now runs from the second Sunday in March until the first Sunday in November . Arizona time zones   Arizona and Hawaii use standard time throughout the year . However :   The Navajo Nation observes DST throughout its entire territory , including the portion that lies in Arizona . But the Hopi Nation , which is entirely surrounded by the Navajo Nation and is entirely in Arizona , does not observe DST . ( See map inset right . )     In 2005 , Indiana passed legislation which took effect on April 2 , 2006 , that placed the entire state on daylight saving time ( see Time in Indiana ) . Before then , Indiana officially used standard time year - round , with the following exceptions :   The portions of Indiana that were on Central Time observed daylight saving time .   Also , some Indiana counties near Cincinnati and Louisville were on Eastern Time , but did ( unofficially ) observe DST .      Time representation ( edit )  Further information : Date and time notation in the United States and Speaking clock § United States  There exist more than one hundred clock towers in the United States ; see Category : Clock towers in the United States .   See also ( edit )    History of time in the United States   List of time zones by U.S. state   Daylight saving time in the United States   Lists of time zones   Effects of time on North American broadcasting   Date and time notation in the United States   East Coast bias    References ( edit )    ^ Jump up to : `` Why Do We Have Time Zones ? '' .   Jump up ^ What is Greenwich Mean Time ( GMT ) http://wwp.greenwichmeantime.com/info/gmt.htm   Jump up ^ Bernard Guinot , `` Solar time , legal time , time in use '' Metrologica , August 2011 ( volume 48 , issue 4 ) , pages 181 -- 185 .   Jump up ^ 15 USC § 260 .   Jump up ^ `` 15 U.S. Code Subchapter IX - STANDARD TIME '' .   Jump up ^ Public Law 110 -- 69 -- America COMPETES Act ( August 9 , 2007 ) . Sec. 3013 )   Jump up ^ Standard Time Zone Boundaries 49CFR71   Jump up ^ `` '' What are the time zones in the United States ? `` '' . National Institute of Standards and Technology , U.S. Department of Commerce . May 18 , 2018 . Retrieved August 6 , 2018 . Hawaii - Aleutian ( HT ) ; HST - 10 ; HDT - 9 ; DST observed in Aleutian Islands , but not Hawaii    External links ( edit )    Official website   U.S. Navy time zone page   North American Time Zone border data and images   CFR 's Title 40 - Protection of Environment ( also at wikisource : Code of Federal Regulations / Title 49 / Subtitle A / Part 71 )   Standard Time Law 15USC260 - 267 ( also at wikisource : United States Code / Title 15 / Chapter 6 / Subchapter IX )      hide         Time in the Americas       North America   Central America   South America   Caribbean       Sovereign states     Antigua and Barbuda   Argentina   Bahamas   Barbados   Belize   Bolivia   Brazil   Canada   Chile   Colombia   Costa Rica   Cuba   Dominica   Dominican Republic   Ecuador   El Salvador   Grenada   Guatemala   Guyana   Haiti   Honduras   Jamaica   Mexico   Nicaragua   Panama   Paraguay   Peru   Saint Kitts and Nevis   Saint Lucia   Saint Vincent and the Grenadines   Suriname   Trinidad and Tobago   United States   Uruguay   Venezuela         Dependencies and other territories     Anguilla   Aruba   Bermuda   Bonaire   British Virgin Islands   Cayman Islands   Curaçao   Falkland Islands   French Guiana   Greenland   Guadeloupe   Martinique   Montserrat   Puerto Rico   Saint Barthélemy   Saint Martin   Saint Pierre and Miquelon   Saba   Sint Eustatius   Sint Maarten   South Georgia and the South Sandwich Islands   Turks and Caicos Islands   US Virgin Islands         hide         Time in the United States     States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Federal district   Washington , D.C.     Insular areas     American Samoa   Guam   Northern Mariana Islands   Puerto Rico   U.S. Virgin Islands      Retrieved from `` https://en.wikipedia.org/w/index.php?title=Time_in_the_United_States&amp;oldid=864517471 '' Categories :   Time in the United States   Geography of the United States   Hidden categories :   Articles needing additional references from March 2013   All articles needing additional references           Talk                                           Contents                   About Wikipedia                                           অসমীয়া   বাংলা   Čeština   Dansk   Deutsch   Español   فارسی   Français   Frysk   Bahasa Indonesia   Русский   Українська   اردو   </t>
    </r>
    <r>
      <rPr>
        <sz val="11"/>
        <color rgb="FF000000"/>
        <rFont val="Noto Sans CJK SC"/>
        <family val="2"/>
      </rPr>
      <t xml:space="preserve">中文  </t>
    </r>
    <r>
      <rPr>
        <sz val="11"/>
        <color rgb="FF000000"/>
        <rFont val="Calibri"/>
        <family val="0"/>
        <charset val="1"/>
      </rPr>
      <t xml:space="preserve">5 more  Edit links   This page was last edited on 17 October 2018 , at 18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</si>
  <si>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time zone for the us</t>
  </si>
  <si>
    <t xml:space="preserve">  The Atlantic standard time zone   The Eastern standard time zone   The Central standard time zone   The Mountain standard time zone   The Pacific standard time zone   The Alaska standard time zone   The Hawaii -- Aleutian standard time zone   The Samoa standard time zone   The Chamorro standard time zone  </t>
  </si>
  <si>
    <t xml:space="preserve">Cary Guffey - Wikipedia  Cary Guffey  Jump to : navigation , search    Cary Guffey       ( 1972 - 05 - 10 ) May 10 , 1972 ( age 45 ) Douglasville , Georgia     Occupation   Child actor     Years active   1977 -- 85     Spouse ( s )   Michelle Quillen     Parent ( s )   Larry and Sue Guffey     Cary Guffey ( born May 10 , 1972 ) is a former American child actor . He is best remembered for his debut in the role of Barry Guiler in the film Close Encounters of the Third Kind ( 1977 ) .     Contents  ( hide )   1 Biography   2 Filmography   3 Bibliography   4 External links      Biography ( edit )   Born in Douglasville , Georgia , Guffey made his film debut in the 1977 film Close Encounters of the Third Kind . In 1979 , he appeared in the movie The Sheriff and the Satellite Kid and its sequel Everything Happens to Me , with Bud Spencer . Guffey made his last onscreen appearance in the 1985 miniseries North and South .   Filmography ( edit )     Film     Year   Film   Role   Notes     1977   Close Encounters of the Third Kind   Barry Guiler       1979   The Sheriff and the Satellite Kid   H7 - 25 -- extraterrestrial child   Alternative title : E.T. and the Sheriff     1980   Everything Happens to Me   H7 - 25 ( aka Charlie Warren )   Alternative title : Why Did You Pick on Me ?       Cross Creek   Floyd Turner       Stroker Ace   Little Doc   Alternative title : Stand on It     1984   Mutant   Billy   Alternative title : Night Shadows     The Bear   Grandson Marc       Television     Year   Title   Role   Notes       Chiefs   Billy Lee   Miniseries     1985   Poison Ivy   Timmy Mezzy   Television movie     North and South   Young Billy Hazard   Miniseries , ( final television appearance )     Bibliography ( edit )    Holmstrom , John . The Moving Picture Boy : An International Encyclopaedia from 1895 to 1995 , Norwich , Michael Russell , 1996 , p. 390 .    External links ( edit )    Cary Guffey on IMDb   Cary Guffey at AllMovie            VIAF : 87305442             This article about a United States film and television actor or actress born in the 1970s is a stub . You can help Wikipedia by expanding it .            Retrieved from `` https://en.wikipedia.org/w/index.php?title=Cary_Guffey&amp;oldid=776103752 '' Categories :   1972 births   Male actors from Georgia ( U.S. state )   American male child actors   American male film actors   American male television actors   Living people   People from Douglasville , Georgia   American screen actor , 1970s birth stubs   Hidden categories :   Pages using infobox person with unknown parameters   Articles with hCards   Wikipedia articles with VIAF identifiers   All stub articles           Talk                                           Contents                   About Wikipedia                                             Asturianu   تۆرکجه   Deutsch   Español   فارسی   Italiano   Română   Edit links   This page was last edited on 19 April 2017 , at 00 : 16 .         About Wikipedia                    </t>
  </si>
  <si>
    <t xml:space="preserve">who played barry in close encounters of the third kind</t>
  </si>
  <si>
    <t xml:space="preserve"> Cary Guffey ( born May 10 , 1972 ) is a former American child actor . He is best remembered for his debut in the role of Barry Guiler in the film Close Encounters of the Third Kind ( 1977 ) . </t>
  </si>
  <si>
    <t xml:space="preserve">Water buffalo - wikipedia  Water buffalo  Jump to : navigation , search This article is about the domesticated water buffalo . For its endangered wild ancestor , see Wild water buffalo . For the wild African species , see African buffalo . For other uses , see Water buffalo ( disambiguation ) .    Water buffalo         Female water buffalo and calf     Conservation status     Domesticated     Scientific classification     Kingdom :   Animalia     Phylum :   Chordata     Class :   Mammalia     Order :   Artiodactyla     Family :   Bovidae     Subfamily :   Bovinae     Genus :   Bubalus     Species :   B. bubalis     Binomial name     Bubalus bubalis ( Linnaeus , 1758 )         Global distribution of buffalo in 2004     The water buffalo ( Bubalus bubalis ) or domestic Asian water buffalo is a large bovid originating in South Asia , Southeast Asia , and China . Today , it is also found in Europe , Australia , North America , South America and some African countries . The wild water buffalo ( Bubalus arnee ) native to Southeast Asia is considered a different species , but most likely represents the ancestor of the domestic water buffalo .   Two extant types of domestic water buffalo are recognized based on morphological and behavioural criteria -- the river buffalo of South Asia and further west to the Balkans , Egypt , and Italy , and the swamp buffalo , found from Assam in the west through Southeast Asia to the Yangtze valley of China in the east . The origins of the domestic water buffalo types are debated , although results of a phylogenetic study indicate that the swamp type may have originated in China and was domesticated about 4,000 years ago , while the river type may have originated from India and was domesticated about 5,000 years ago . Water buffalo were traded from the Indus Valley Civilisation to Mesopotamia , in modern Iraq , 2500 BC by the Meluhhas . The seal of a scribe employed by an Akkadian king shows the sacrifice of water buffalo .   At least 130 million domestic water buffalo exist , and more people depend on them than on any other domestic animal . They are especially suitable for tilling rice fields , and their milk is richer in fat and protein than that of dairy cattle . The large feral population of northern Australia became established in the late 19th century , and smaller feral herds are in New Guinea , Tunisia , and northeastern Argentina . Feral herds are also present in New Britain , New Ireland , Irian Jaya , Papua New Guinea , Colombia , Guyana , Suriname , Brazil , and Uruguay .     Contents  ( hide )   1 Characteristics   2 Ecology and behavior   2.1 Diet   2.2 Reproduction     3 Taxonomic history   4 Domestication and breeding   5 Distribution of populations   5.1 In Asia   5.2 In Europe and the Mediterranean   5.3 In Australia   5.4 In South America   5.5 In North America     6 Husbandry   6.1 Dairy products   6.2 Meat and skin products   6.3 Bone and horn products     7 Environmental effects   8 Research   9 In culture   9.1 Fighting festivals   9.2 Racing festivals   9.3 Religious festival     10 See also   11 References   12 Further reading   13 External links      Characteristics ( edit )  Water buffalo skull . A water buffalo in Thailand An albino swamp buffalo in Chiang Mai province , Thailand  The skin of river buffalo is black , but some specimens may have dark , slate - coloured skin . Swamp buffalo have a grey skin at birth , but become slate blue later . Albinoids are present in some populations . River buffalo have comparatively longer faces , smaller girths , and bigger limbs than swamp buffalo . Their dorsal ridges extend further back and taper off more gradually . Their horns grow downward and backward , then curve upward in a spiral . Swamp buffalo are heavy - bodied and stockily built ; the body is short and the belly large . The forehead is flat , the eyes prominent , the face short , and the muzzle wide . The neck is comparatively long , and the withers and croup are prominent . A dorsal ridge extends backward and ends abruptly just before the end of the chest . Their horns grow outward , and curve in a semicircle , but always remain more or less on the plane of the forehead . The tail is short , reaching only to the hocks . Height at withers is 129 -- 133 cm ( 51 -- 52 in ) for males , and 120 -- 127 cm ( 47 -- 50 in ) for females . They range in weight from 300 -- 550 kg ( 660 -- 1,210 lb ) , but weights of over 1,000 kg ( 2,200 lb ) have also been observed .   Tedong bonga is a black pied buffalo featuring a unique black and white colouration that is favoured by the Toraja of Sulawesi .   The swamp buffalo has 48 chromosomes ; the river buffalo has 50 chromosomes . The two types do not readily interbreed , but fertile offspring can occur . Buffalo - cattle hybrids have not been observed to occur , but the embryos of such hybrids reach maturity in laboratory experiments , albeit at lower rates than non-hybrids .   The rumen of the water buffalo has important differences from that of other ruminants . It contains a larger population of bacteria , particularly the cellulolytic bacteria , lower protozoa , and higher fungi zoospores . In addition , higher rumen ammonia nitrogen ( NH - N ) and higher pH have been found as compared to those in cattle .   Ecology and behavior ( edit )  Water buffalo enjoy being in water . Water buffalo wallowing in mud  River buffalo prefer deep water . Swamp buffalo prefer to wallow in mudholes which they make with their horns . During wallowing , they acquire a thick coating of mud . Both are well adapted to a hot and humid climate with temperatures ranging from 0 ° C ( 32 ° F ) in the winter to 30 ° C ( 86 ° F ) and greater in the summer . Water availability is important in hot climates , since they need wallows , rivers , or splashing water to assist in thermoregulation . Some breeds are adapted to saline seaside shores and saline sandy terrain .   Diet ( edit )   Water buffalo thrive on many aquatic plants and during floods , will graze submerged , raising their heads above the water and carrying quantities of edible plants . They eat reeds , Arundo donax , a kind of Cyperaceae , Eichhornia crassipes , and Juncaceae . Some of these plants are of great value to local peoples . Others , such as E. crassipes , are a major problem in some tropical valleys and water buffalo may help to keep waterways clear .   Green fodders are used widely for intensive milk production and for fattening . Many fodder crops are conserved as hay , chaffed , or pulped . Fodders include alfalfa , the leaves , stems or trimmings of banana , cassava , Mangelwurzel , esparto , Leucaena leucocephala and kenaf , maize , oats , Pandanus , peanut , sorghum , soybean , sugarcane , bagasse , and turnips . Citrus pulp and pineapple wastes have been fed safely to buffalo . In Egypt , whole sun - dried dates are fed to milk buffalo up to 25 % of the standard feed mixture .   Reproduction ( edit )  A water buffalo calf in India  Swamp buffalo generally become reproductive at an older age than river breeds . Young males in Egypt , India , and Pakistan are first mated at about 3.0 -- 3.5 years of age , but in Italy they may be used as early as 2 years of age . Successful mating behaviour may continue until the animal is 12 years or even older . A good river male can impregnate 100 females in a year . A strong seasonal influence on mating occurs . Heat stress reduces libido .   Although buffalo are polyoestrous , their reproductive efficiency shows wide variation throughout the year . Buffalo cows exhibit a distinct seasonal change in displaying oestrus , conception rate , and calving rate . The age at first oestrus of heifers varies between breeds from 13 -- 33 months , but mating at the first oestrus is often infertile and usually deferred until they are 3 years old . Gestation lasts from 281 -- 334 days , but most reports give a range between 300 and 320 days . Swamp buffalo carry their calves for one or two weeks longer than river buffalo . It is not rare to find buffalo that continue to work well at the age of 30 , and instances of a working life of 40 years are recorded .   Taxonomic History ( edit )  Water buffalo  Carl Linnaeus first described the genus Bos and the water buffalo under the binomial Bos bubalis in 1758 ; the species was known to occur in Asia and was held as a domestic form in Italy . Ellerman and Morrison - Scott treated the wild and domestic forms of the water buffalo as conspecifics , whereas others treated them as different species . The nomenclatorial treatment of wild and domestic forms has been inconsistent and varies between authors and even within the works of single authors .   In March 2003 , the International Commission on Zoological Nomenclature achieved consistency in the naming of wild and domestic water buffalo by ruling that the scientific name Bubalus arnee is valid for the wild form . B. bubalis continues to be valid for the domestic form and applies also to feral populations .   Domestication and breeding ( edit )  Murrah buffalo at the Philippine Carabao Center  Water buffalo were domesticated in Indian subcontinent about 5000 years ago , and in China about 4000 years ago . Two types are recognized , based on morphological and behavioural criteria -- the river buffalo of the Indian subcontinent and further west to the Balkans and Italy , and the swamp buffalo , found from Assam in the west through Southeast Asia to the Yangtze valley of China in the east . The present - day river buffalo is the result of complex domestication processes involving more than one maternal lineage and a significant maternal gene flow from wild populations after the initial domestication events . Twenty - two breeds of the river type water buffalo are known , including Murrah , NiliRavi , Surti , Jafarabadi , Anatolian , Mediterranean , and Egyptian buffalo . China has a huge variety of buffalo genetic resources , comprising 16 local swamp buffalo breeds in various regions .   Results of mitochondrial DNA analyses indicate that the two types were domesticated independently . Sequencing of cytochrome b genes of Bubalus species implies that the domestic buffalo originated from at least two populations , and that the river and the swamp types have differentiated at the full species level . The genetic distance between the two types is so large that a divergence time of about 1.7 million years has been suggested . The swamp type was noticed to have the closest relationship with the tamaraw .   Distribution of populations ( edit )  Carabao buffalo in the Philippines  The water buffalo population in the world is about 172 million .   In Asia ( edit )  Carabao cart in the Philippines in 1899  More than 95.8 % of the world population of water buffalo are found in Asia , including both river and swamp types . The water buffalo population in India numbered over 97.9 million head in 2003 , representing 56.5 % of the world population . They are primarily of the river type , with 10 well - defined breeds comprising Badhawari , Murrah , Nili - Ravi , Jafarabadi , Marathwada , Mehsana , Nagpuri , Pandharpuri , Toda , and Surti . Swamp buffalo occur only in small areas in the north - eastern part of the country and are not distinguished into breeds .   In 2003 , the second - largest population lived in China , with 22.76 million head , all of the swamp type with breeds kept only in the lowlands , and other breeds kept only in the mountains ; as of 2003 , 3.2 million swamp - type carabao buffalo were in the Philippines , nearly three million swamp buffalo were in Vietnam , and 772,764 buffalo were in Bangladesh . About 750,000 head were estimated in Sri Lanka in 1997 . In Japan , water buffalo is domestic animal throughout the Ryukyuan islands or Okinawa prefecture . It was also recorded that 889,246 buffalo were in Nepal .   The water buffalo is the main dairy animal in Pakistan , with 23.47 million head in 2010 . Of these , 76 % are kept in the Punjab . The rest of them are mostly in the province of Sindh . Breeds used are NiliRavi , Kundi , and Azi Kheli . Karachi has the largest population of water buffalos for an area where fodder is not grown , consisting of 350,000 head kept mainly for milking .   In Thailand , the number of water buffalo dropped from more than 3 million head in 1996 to less than 1.24 million head in 2011 . Slightly over 75 % of them are kept in the country 's northeastern region . The statistics also indicate that by the beginning of 2012 , less than one million were in the country , partly as a result of illegal shipments to neighboring countries where sales prices are higher than in Thailand .   Water buffalo are also present in the southern region of Iraq in the Mesopotamian Marshes . The draining of the Mesopotamian Marshes by Saddam Hussein was an attempt to punish the south for the 1991 uprisings in Iraq . After 2003 and the Firdos Square statue destruction , these lands were reflooded and a 2007 report on Maysan and Dhi Qar shows a steady increase in the number of water buffalo . The report puts the number at 40,008 head in those two provinces .   In Europe and the Mediterranean ( edit )   Water buffalo were probably introduced to Europe from India or other Oriental countries . In Italy , the Longobard King Agilulf is said to have received water buffalo in about the year 600 . These were probably a present from the Khan of the Avars , a Turkic nomadic tribe that dwelt near the Danube River at the time . Sir H. Johnston knew of a herd of water buffalo presented by a King of Naples to the Bey of Tunis in the mid-19th century that had resumed the feral state in northern Tunis .   European buffalo are all of the river type and considered to be of the same breed named Mediterranean buffalo . In Italy , the Mediterranean type was particularly selected and is called Mediterranean Italian breed to distinguish it from other European breeds , which differ genetically . Mediterranean buffalo are also found in Romania , Bulgaria , Greece , Albania , Kosovo , and the Republic of Macedonia , with a few hundred in the United Kingdom , Germany , the Netherlands , Switzerland , and Hungary . Little exchange of breeding buffalo has occurred among countries , so each population has its own phenotypic features and performances . In Bulgaria , they were crossbred with the Indian Murrah breed , and in Romania , some were crossbred with Bulgarian Murrah . Populations in Turkey are of the Anatolian buffalo breed .   In Australia ( edit )  A feral water buffalo in Australia  Between 1824 and 1849 , water buffalo were introduced into the Northern Territory from Timor , Kisar , and probably other islands in the Indonesian archipelago . In 1886 , a few milking types were brought from India to Darwin . They have been the main grazing animals on the subcoastal plains and river basins between Darwin and Arnhem Land since the 1880s . In the early 1960s , an estimated population of 150,000 to 200,000 buffalo were living in the plains and nearby areas .   They became feral and are causing significant environmental damage . Buffalo are also found in the Top End . As a result , they were hunted in the Top End from 1885 until 1980 . The commencement of the brucellosis and tuberculosis campaign ( BTEC ) resulted in a huge culling program to reduce buffalo herds to a fraction of the numbers that were reached in the 1980s . The BTEC was finished when the Northern Territory was declared free of the disease in 1997 . Numbers dropped dramatically as a result of the campaign , but have since recovered to an estimated 150,000 animals across northern Australia in 2008 .   During the 1950s , buffalo were hunted for their skins and meat , which was exported and used in the local trade . In the late 1970s , live exports were made to Cuba and continued later into other countries . Buffalo are now crossed with riverine buffalo in artificial insemination programs , and may be found in many areas of Australia . Some of these crossbreds are used for milk production . Melville Island is a popular hunting location , where a steady population up to 4,000 individuals exists . Safari outfits are run from Darwin to Melville Island and other locations in the Top End , often with the use of bush pilots . The horns , which can measure up to a record of 3.1 m ( 10 ft ) tip - to - tip , are prized hunting trophies .   The buffalo have developed a different appearance from the Indonesian buffalo from which they descend . They live mainly in freshwater marshes and billabongs , and their territory range can be quite expansive during the wet season . Their only natural predators in Australia are adult saltwater crocodiles , with whom they share the billabongs , and dingoes , which have been known to prey on buffalo calves and occasionally adult buffalo when the dingoes are in large packs .   Buffalo were exported live to Indonesia until 2011 , at a rate of about 3000 per year . After the live export ban that year , the exports dropped to zero , and had not resumed as of June 2013 .   In South America ( edit )  Murrah buffalo in a Brazilian Farm  Water buffalo were introduced into the Amazon River basin in 1895 . They are now extensively used there for meat and dairy production . In 2005 , the buffalo herd in the Brazilian Amazon stood at roughly 1.6 million head , of which 460,000 were located in the lower Amazon floodplain . Breeds used include Mediterranean from Italy , Murrah and Jafarabadi from India , and Carabao from the Philippines .   During the 1970s , small herds were imported to Costa Rica , Ecuador , Cayenne , Panama , Surinam , Guyana , and Venezuela .   In Argentina , many game ranches raise water buffalo for commercial hunting .   In north America ( edit )   In 1974 , four water buffalo were imported to the United States from Guam to be studied at the University of Florida . In February 1978 , the first herd arrived for commercial farming . Until 2002 , only one commercial breeder was in the United States . Water buffalo meat is imported from Australia . Until 2011 , water buffalo were raised in Gainesville , Florida , from young obtained from zoo overflow . They were used primarily for meat production , frequently sold as hamburger . Other US ranchers use them for production of high - quality mozzarella cheese .   Husbandry ( edit )  Water buffalo ploughing rice fields in Java , Indonesia Water buffalo are used for ploughing in Si Phan Don , Laos . Water buffalo dung is dried against the façade of a house in Yuanyang County , Yunnan , China  The husbandry system of water buffalo depends on the purpose for which they are bred and maintained . Most of them are kept by people who work on small farms in family units . Their buffalo live in very close association with them , and are often their greatest capital asset . The women and girls in India generally look after the milking buffalo while the men and boys are concerned with the working animals . Throughout Asia , they are commonly tended by children who are often seen leading or riding their charges to wallowing places . Water buffalo are the ideal animals for work in the deep mud of paddy fields because of their large hooves and flexible foot joints . They are often referred to as `` the living tractor of the East '' . It probably is possible to plough deeper with buffalo than with either oxen or horses . They are the most efficient and economical means of cultivation of small fields . In most rice - producing countries , they are used for threshing and for transporting the sheaves during the rice harvest . They provide power for oilseed mills , sugarcane presses , and devices for raising water . They are widely used as pack animals , and in India and Pakistan also for heavy haulage . In their invasions of Europe , the Turks used buffalo for hauling heavy battering rams . Their dung is used as a fertilizer , and as a fuel when dried .   Buffalo contribute 72 million tones of milk and three million tones of meat annually to world food , much of it in areas that are prone to nutritional imbalances . In India , river - type buffalo are kept mainly for milk production and for transport , whereas swamp - type buffalo are kept mainly for work and a small amount of milk .   Dairy products ( edit )  Further information : List of water buffalo cheeses Dairy products of water buffalo milk  Water buffalo milk presents physicochemical features different from that of other ruminant species , such as a higher content of fatty acids and proteins . The physical and chemical parameters of swamp and river type water buffalo milk differ . Water buffalo milk contains higher levels of total solids , crude protein , fat , calcium , and phosphorus , and slightly higher content of lactose compared with those of cow milk . The high level of total solids makes water buffalo milk ideal for processing into value - added dairy products such as cheese . The conjugated linoleic acid ( CLA ) content in milk ranged from 4.4 mg / g fat in September to 7.6 mg / g fat in June . Seasons and genetics may play a role in variation of CLA level and changes in gross composition of the water buffalo milk .   Water buffalo milk is processed into a large variety of dairy products :    Cream churns much faster at higher fat levels and gives higher overrun than cow cream .   Butter from water buffalo cream displays more stability than that from cow cream .   Ghee from water buffalo milk has a different texture with a bigger grain size than ghee from cow milk .   Heat - concentrated milk products in the Indian subcontinent include paneer , khoa , rabri , kheer and basundi .   Fermented milk products include dahi , yogurt , and chakka .   Whey is used for making ricotta and mascarpone in Italy , and alkarish in Syria and Egypt .   Soft cheeses made include mozzarella in Italy , karish , mish , and domiati in Egypt , madhfor in Iraq , alghab in Syria , kesong puti in the Philippines , and vladeasa in Romania .   The semihard cheese beyaz peynir is made in Turkey .   Hard cheeses include braila in Romania , rahss in Egypt , white brine in Bulgaria , and akkawi in Syria .   Watered - down buffalo milk is used as a cheaper alternative to regular milk .      Top ten buffalo milk producers -- 11 June 2008     Country   Production ( tonnes )   Footnote     India   56,960,000   Unofficial , Semi-official , mirror data     Pakistan   21,500,000   official figure     China   2,900,000   FAO estimate     Egypt   2,300,000   FAO estimate     Nepal   930,000   FAO estimate     Iran   241,500   FAO estimate     Myanmar   205,000   FAO estimate     Italy   200,000   FAO estimate     Turkey   35,100   FAO estimate     Vietnam   31,000   FAO estimate     World   85 396 902       Meat and skin products ( edit )  Main article : Buffalo meat  Water buffalo meat , sometimes called `` carabeef '' , is often passed off as beef in certain regions , and is also a major source of export revenue for India . In many Asian regions , buffalo meat is less preferred due to its toughness ; however , recipes have evolved ( rendang , for example ) where the slow cooking process and spices not only make the meat palatable , but also preserve it , an important factor in hot climates where refrigeration is not always available .   Their hides provide tough and useful leather , often used for shoes .   Bone and horn products ( edit )  A bihu dancer is blowing a hornpipe .  The bones and horns are often made into jewellery , especially earrings . Horns are used for the embouchure of musical instruments , such as ney and kaval .   Environmental effects ( edit )   Wildlife conservation scientists have started to recommend and use introduced populations of feral domestic water buffalo in far - away lands to manage uncontrolled vegetation growth in and around natural wetlands . Introduced water buffalo at home in such environs provide cheap service by regularly grazing the uncontrolled vegetation and opening up clogged water bodies for waterfowl , wetland birds , and other wildlife . Grazing water buffalo are sometimes used in Great Britain for conservation grazing , such as in Chippenham Fen National Nature Reserve . The buffalo can better adapt to wet conditions and poor - quality vegetation than cattle .   Currently , research is being conducted at the Lyle Center for Regenerative Studies to determine the levels of nutrients removed and returned to wetlands when water buffalo are used for wetland vegetation management .   However , in uncontrolled circumstances , water buffalo can cause environmental damage , such as trampling vegetation , disturbing bird and reptile nesting sites , and spreading exotic weeds .   Research ( edit )  The super carabaos at the milking and breeding station  In 2007 , the development of Southeast Asia 's first cloned buffalo was announced in the Philippines . The Department of Agriculture 's Philippine Carabao Center implemented cloning through somatic cell nuclear transfer as a tool for genetic improvement in water buffalo to produce `` super buffalo calves '' by multiplying existing germplasms but without modifying or altering genetic material .   In January 2008 , the Philippine Carabao Center in Nueva Ecija , per Filipino scientists , initiated a study to breed a super water buffalo that could produce 4 to 18 litres of milk per day using gene - based technology . Also , the first in vitro river buffalo was born there in 2004 from an in vitro - produced , vitrified embryo , named `` Glory '' after President Gloria Macapagal - Arroyo . Joseph Estrada 's most successful project as an opposition senator , the PCC was created through Republic Act 3707 , the Carabao Act of 1992 .   Indian scientists from the National Dairy Research Institute , Karnal developed a cloned buffalo in 2010 . The buffalo calf was named Samrupa . The calf did not survive more than a week , due to genetic defects . A few months later , a second cloned calf was successfully born , named Garima . The Central Institute for Research on Buffaloes , India 's premier research institute on buffalo , also became the second institute in the world to successfully clone the buffalo in 2016 .   In culture ( edit )  Ceramic water buffalo from 2300 BC found in Lopburi , Thailand Hindu god Yama ( god of death ) on a buffalo Water Buffalo ( Suigyū ) by Katsushika Hokusai , circa 1875 Horns of water buffalo sacrificed in West Sumba , Indonesia , circa 1936 ( collection Tropenmuseum )   Some ethnic groups , such as Batak and Toraja in Indonesia and the Derung in China , sacrifice water buffalo or kerbau ( called horbo in Batak or tedong in Toraja ) at several festivals .   Legend has it that the Chinese philosophical sage Laozi left China through the Han Gu Pass riding a water buffalo .   According to Hindu lore , the god of death Yama , rides on a male water buffalo . The Hindu goddesses Varahi and Vihot Mata also ride on buffalo as their vahana .   According to another folk lore , Mahishasura , a half - buffalo and half - human demon , was killed by goddess Durga .   The Yoruban Orisha Oya ( goddess of change ) takes the form of a water buffalo .   The carabao breed is considered a national symbol of the Philippines .   In Vietnam , water buffalo are often the most valuable possession of poor farmers : ' Con trâu là đầu cơ nghiệp ' . They are treated as a member of the family : ' Chồng cày , vợ cấy , con trâu đi bừa ' , meaning ' the husband ploughs , the wife sows , water buffalo draws the rake ' . Children talk to their water buffalo : ' Bao giờ cây lúa còn bông . Thì còn ngọn cỏ ngoài đồng trâu ăn ' . Hà Nội used to be named Kim Ngưu - Golden Water Buffalo .   Many ethnic groups use the horn of water buffalo as a game trophy , musical instruments and ornaments .   In the Thai and Sinhalese animal and planetary zodiac , the buffalo is the third animal zodiac of the Thai and the fourth animal zodiac of the Sinhalese people of Sri Lanka . Similarly , the water buffalo is the second animal zodiac in the Vietnamese zodiac .    Fighting festivals ( edit )  An unstaged water buffalo fight   Pasungay Festival is held annually in the town of San Joaquin , Iloilo in the Philippines .   Moh juj Water Buffalo fighting is held every year in Bhogali Bihu in Assam . Ahotguri in Nagaon is famous for it .   Do Son Water Buffalo Fighting Festival of Vietnam is held each year on the ninth day of the eighth month of the lunar calendar at Do Son Township , Haiphong City in Vietnam . It is one of the most popular Vietnam festivals and events in Haiphong City . The preparations for this buffalo fighting festival begin from the two to three months earlier . The competing buffalo are selected and methodically trained months in advance . It is a traditional festival of Vietnam attached to a Water God worshipping ceremony and the Hien Sinh custom to show martial spirit of the local people of Do Son , Haiphong .   `` Hai Luu '' Water Buffalo Fighting Festival of Vietnam has existed since the 2nd century B.C. General Lu Gia at that time , had the buffalo slaughtered to give a feast to the local people and the warriors , and organized buffalo fighting for amusement . Eventually , all the fighting buffalo will be slaughtered as tributes to the deities .   `` Ko Samui '' Water Buffalo Fighting Festival of Thailand is a very popular event held on special occasions such as New Year 's Day in January , and Songkran in mid-April , this festival features head - wrestling bouts in which two male Asian water buffalo are pitted against one another . Unlike in Spanish Bullfighting , wherein bulls get killed while fighting sword - wielding men , Buffalo Fighting Festival held at Ko Samui , Thailand is fairly harmless contest . The fighting season varies according to ancient customs &amp; ceremonies . The first Buffalo to turn and run away is considered the loser , the winning buffalo becomes worth several million baht .   `` Ma'Pasilaga Tedong '' Water Buffalo Fighting Festival , in Tana Toraja Regency of Sulawesi Island , Indonesia , is a popular event where the Rambu Solo or a Burial Festival took place in Tana Toraja .    Racing festivals ( edit )  Water buffalo racing at Babulang 2006 Buffalo race at Vandar village , Udupi district , India .   Carabao Carroza Festival is being held annually every May in the town of Pavia , Iloilo , Philippines .   Kambala races of Karnataka , India , take place between December and March . The races are conducted by having the water buffalo ( he buffalo ) run in long parallel slushy ditches , where they are driven by men standing on wooden planks drawn by the buffalo . The objectives of the race are to finish first and to raise the water to the greatest height and also a rural sport . Kambala races are arranged with competition , as well as without competition and as a part of thanks giving ( to god ) in about 50 villages of coastal Karnataka .   In the Chonburi Province of Thailand , and in Pakistan , there are annual water buffalo races .   Chon Buri Water buffalo racing festival , Thailand In downtown Chonburi , 70 km ( 43 mi ) south of Bangkok , at the annual water buffalo festival held in mid-October . About 300 buffalo race in groups of five or six , spurred on by bareback jockeys wielding wooden sticks , as hundreds of spectators cheer . The water buffalo has always played an important role in agriculture in Thailand . For farmers of Chon Buri Province , near Bangkok , it is an important annual festival , beginning in mid-October . It is also a celebration among rice farmers before the rice harvest . At dawn , farmers walk their buffalo through surrounding rice fields , splashing them with water to keep them cool before leading them to the race field . This amazing festival started over a hundred years ago when two men arguing about whose buffalo was the fastest ended up having a race between them . That 's how it became a tradition and gradually a social event for farmers who gathered from around the country in Chonburi to trade their goods . The festival also helps a great deal in preserving the number of buffalo , which have been dwindling at quite an alarming rate in other regions . Modern machinery is rapidly replacing buffalo in Thai agriculture . With most of the farm work mechanized , the buffalo - racing tradition has continued . Racing buffalo are now raised just to race ; they do not work at all . The few farm buffalo which still do work are much bigger than the racers because of the strenuous work they perform . Farm buffalo are in the `` Buffalo Beauty Pageant '' , a Miss Farmer beauty contest and a comic buffalo costume contest etc ... </t>
  </si>
  <si>
    <t xml:space="preserve">where do water buffalo live in the united states</t>
  </si>
  <si>
    <t xml:space="preserve"> In 1974 , four water buffalo were imported to the United States from Guam to be studied at the University of Florida . In February 1978 , the first herd arrived for commercial farming . Until 2002 , only one commercial breeder was in the United States . Water buffalo meat is imported from Australia . Until 2011 , water buffalo were raised in Gainesville , Florida , from young obtained from zoo overflow . They were used primarily for meat production , frequently sold as hamburger . Other US ranchers use them for production of high - quality mozzarella cheese . </t>
  </si>
  <si>
    <t xml:space="preserve">America 's Got Talent - Wikipedia  America 's Got Talent  Jump to : navigation , search For the recently concluded season , see America 's Got Talent ( season 12 ) .    America 's Got Talent         Genre   Reality Talent contest     Created by     Simon Cowell       Directed by   Russell Norman     Creative director ( s )   Brian Friedman     Presented by     Regis Philbin   Jerry Springer   Nick Cannon   Tyra Banks       Judges     Piers Morgan   David Hasselhoff   Brandy Norwood   Sharon Osbourne   Howard Stern   Howie Mandel   Mel B   Heidi Klum   Simon Cowell       Country of origin   United States     Original language ( s )   English     No. of seasons   12     No. of episodes   302     Production     Executive producer ( s )     Simon Cowell   Sam Donnelly   Jason Raff   Rob Wade   Trish Kinane   Richard Wallace       Running time   44 -- 104 minutes     Production company ( s )   FremantleMedia North America SYCOtv     Distributor   FremantleMedia Enterprises     Release     Original network   NBC     Picture format     NTSC ( 480i ) ( 2006 -- 08 )   HDTV 1080i ( 2009 -- present )       Original release   June 21 , 2006 ( 2006 - 06 - 21 ) -- present ( present )     External links     Official website   www.nbc.com/americas-got-talent/     America 's Got Talent ( sometimes abbreviated as AGT ) is an American reality television series on the NBC television network , and part of the global Got Talent franchise . It is a talent show that features singers , dancers , magicians , comedians , and other performers of all ages competing for the advertised top prize of one million dollars . The show debuted in June 2006 for the summer television season . From season three ( 2008 ) onwards , the prize includes the one million dollars , payable in a financial annuity over 40 years , and a chance to headline a show on the Las Vegas Strip . Among its significant features is that it gives an opportunity to talented amateurs or unknown performers , with the results decided by an audience vote . The format is a popular one and has often been reworked for television in the United States and the United Kingdom .   This incarnation was created by Simon Cowell , and was originally due to be a 2005 British series called Paul O'Grady 's Got Talent but was postponed due to O'Grady's acrimonious split with broadcaster ITV ( later launching as Britain 's Got Talent in 2007 ) . Therefore , the U.S. version became the first full series of the franchise .   The original judging panel consisted of David Hasselhoff , Brandy Norwood , and Piers Morgan . Sharon Osbourne replaced Norwood in season two ( 2007 ) , and Howie Mandel replaced Hasselhoff in season five ( 2010 ) . Howard Stern replaced Morgan in season seven ( 2012 ) . Mel B replaced Osbourne in season eight ( 2013 ) , while Heidi Klum joined as a fourth judge . Simon Cowell replaced Stern in season eleven ( 2016 ) . Regis Philbin was the original host ( season one ) , followed by Jerry Springer for two seasons ( 2007 -- 2008 ) , followed by Nick Cannon for eight seasons ( 2009 -- 2016 ) . Supermodel and host Tyra Banks replaced Cannon for the twelfth season ( 2017 ) .   On August 2 , 2016 , NBC renewed the series for a twelfth season , which premiered on May 30 , 2017 . The season concluded on September 20 , 2017 . The series was been renewed through it 's fourteenth season .     Contents  ( hide )   1 Series overview   1.1 Guest judges     2 Selection process   2.1 Producers ' auditions   2.2 Judges ' Auditions   2.2. 1 Golden Buzzer     2.3 Judge cuts   2.4 YouTube auditions   2.5 Live shows     3 Season synopses   3.1 Season 1 ( 2006 )   3.2 Season 2 ( 2007 )   3.3 Season 3 ( 2008 )   3.4 Season 4 ( 2009 )   3.5 Season 5 ( 2010 )   3.6 Season 6 ( 2011 )   3.7 Season 7 ( 2012 )   3.8 Season 8 ( 2013 )   3.9 Season 9 ( 2014 )   3.10 Season 10 ( 2015 )   3.11 Season 11 ( 2016 )   3.12 Season 12 ( 2017 )     4 Post-show   4.1 America 's Got Talent Live   4.2 Holiday Spectacular     5 Reception   5.1 U.S. television ratings   5.2 Awards and nominations   5.3 Top - selling albums by former contestants   5.4 Contestants who have competed on other reality shows     6 International broadcasts   7 See also   8 References   9 External links      Series overview ( edit )     Season   Duration   Winner 's prize   Finalists   Presenter   Judges     Premiere   Finale   Winner   Runner - up   Third place       June 21 , 2006   August 17 , 2006   $ 1,000,000   Bianca Ryan   All That &amp; The Millers   Regis Philbin   David Hasselhoff   Piers Morgan   Brandy Norwood   N / A       June 5 , 2007   August 21 , 2007   Terry Fator   Cas Haley   Butterscotch   Jerry Springer   Sharon Osbourne       June 17 , 2008   October 1 , 2008   Neal E. Boyd   Eli Mattson   Nuttin ' But Stringz       June 23 , 2009   September 16 , 2009   Kevin Skinner   Bárbara Padilla   Recycled Percussion   Nick Cannon     5   June 1 , 2010   September 15 , 2010   Michael Grimm   Jackie Evancho   Fighting Gravity   Howie Mandel     6   May 31 , 2011   September 14 , 2011   Landau Eugene Murphy , Jr .   Silhouettes   Team iLuminate     7   May 14 , 2012   September 13 , 2012   Olate Dogs   Tom Cotter   William Close   Howard Stern     8   June 4 , 2013   September 18 , 2013   Kenichi Ebina   Taylor Williamson   Jimmy Rose   Mel B   Heidi Klum     9   May 27 , 2014   September 17 , 2014   Mat Franco   Emily West   AcroArmy     10   May 26 , 2015   September 16 , 2015   Paul Zerdin   Drew Lynch   Oz Pearlman     11   May 31 , 2016   September 14 , 2016   Grace VanderWaal   The Clairvoyants   Jon Dorenbos   Simon Cowell     12   May 30 , 2017   September 20 , 2017   Darci Lynne Farmer   Angelica Hale   Light Balance   Tyra Banks      Notes     ^ A fourth judge was added in season eight .   ^ Beginning with season three , the prize includes the one million dollars , payable in a financial annuity over 40 years , and a chance to headline a show on the Las Vegas Strip . The length of the headlining stint has varied , with season four 's prize including a 10 - week schedule and season eleven 's lasting three days .   A book was released in 2013 titled , Inside AGT : The Untold Stories of America 's Got Talent . It describes the seasons , contestants , judges , and production techniques of the show and contains detailed interviews with contestants from all seasons .   Current judging panel and host Howie Mandel Mel B Heidi Klum Simon Cowell Tyra Banks  Guest judges ( edit )   Starting with the tenth season , each of the main judges invited a guest judge to join the judging panel for one night during the Judge Cuts stage of the competition . The guest judges had the ability to employ the golden buzzer to bypass the other judges and advance an act to the live shows . The first guest judge , Neil Patrick Harris , appeared at the invitation of Howard Stern in episode eight of season ten , which aired on July 14 , 2015 . Michael Bublé appeared at the invitation of Heidi Klum in episode nine of season ten , which aired on July 21 , 2015 . Marlon Wayans appeared at the invitation of Howie Mandel in episode ten of season ten , which aired on July 28 , 2015 . Piers Morgan appeared at the invitation of Mel B in episode eleven of season ten , which aired on August 4 , 2015 . Beginning with the eleventh season the guest judges were announced without any indication if they were invited by one of the regular judges . This continued into the twelfth season when the guest judges were announced by NBC through various outlets .     Season   Guest Judge ( in order of appearance )     10   Neil Patrick Harris   Michael Bublé   Marlon Wayans   Piers Morgan     11   Ne - Yo   Reba McEntire   George Lopez   Louis Tomlinson     12   Chris Hardwick   DJ Khaled   Laverne Cox   Seal     Selection process ( edit )       This section needs additional citations for verification . Please help improve this article by adding citations to reliable sources . Unsourced material may be challenged and removed . ( March 2014 ) ( Learn how and when to remove this template message )     Producers ' auditions ( edit )   The general selection process of the show begins with separate producers ' auditions held in various cities across the United States , some of which host only the producers ' auditions , and some of which also host judges ' auditions held in theaters . This round is held several months before the judges ' audition . Acts that have made it through the producers ' audition then audition in front of the judges and a live audience .   Judges ' auditions ( edit )   Following the producers ' auditions , acts audition in front of ( as of 2013 ) four celebrity judges . These auditions are held in theaters in various cities nationally and are later televised . Judges may individually register their disapproval of an act by pressing a red buzzer , which lights up their corresponding X above the stage . Any performer who receives X 's ( 3 in seasons 1 to 7 , or 4 from season 8 onwards ) from the judges must stop performing and is eliminated . Since season three ( 2008 ) , large audiences have also been a factor in the judging process , as their reaction to an act 's performance may swing or influence a judge 's vote . If an act receives three or more `` yes '' votes , they advance to the next round of competition . However , in the majority of seasons , several acts do not perform in the second round and are immediately sent home by the judges without a second performance .  Golden buzzer ( edit )  Introduced in season nine , the `` Golden Buzzer '' is located on the center of the judges ' desk and may be used once per season by each judge . In season 9 , a judge could press the golden buzzer to save an act from elimination , regardless of the number of X 's earned from the other judges . Starting in season 10 and onward , any act that receives a golden buzzer advances directly to the live show ; and in season 11 , the hosts also were given the power to use the golden buzzer . The golden buzzer is also used in the Judge Cuts format .    Eliminated at Judgement Week / Judge Cuts   Quarterfinalist   Reached Semifinals   Reached Finals   Fifth Place   Fourth Place   Third Place   Runner - up   Won season      Season   Nick Cannon   Howie Mandel   Mel B   Heidi Klum   Howard Stern     9   N / A   Emmanuel &amp; Phillip Hudson   N / A   Dustin 's Dojo     10   Drew Lynch   Sharon Irving   Arielle Baril   Freckled Sky     Season   Nick Cannon   Howie Mandel   Mel B   Heidi Klum   Simon Cowell     11   Dorothy Williams   Grace VanderWaal   Laura Bretan   Sal Valentinetti   Calysta Bevier     Season   Tyra Banks   Howie Mandel   Mel B   Heidi Klum   Simon Cowell     12   Light Balance   Christian Guardino   Darci Lynne Farmer   Angelina Green   Mandy Harvey     Judge Cuts ( edit )   From season two ( 2007 ) to season eight ( 2013 ) , Las Vegas Week has been an intermediary televised taped round between the auditions and the live shows . This round takes place in a notable venue on the Las Vegas Strip . Names for this round in previous seasons have included `` Las Vegas Callbacks '' and `` Vegas Verdicts '' . The Las Vegas round generally consists of acts performing a second time for the judges ( except for season four in 2009 ) , who then pick select acts to move on to the live shows . An act eliminated in Las Vegas Week is not completely excluded from the live show competition , as several seasons have featured contestants being brought back from this round as `` wild card '' acts .   Prior to the inclusion of this round , the judges would have a list containing a number of acts which advanced past the auditions during each live show . The judges would then pick ten acts from that group each week , leaving several acts without the chance to perform .   In season nine ( 2014 ) , acts went to New York instead of Las Vegas to determine a place in the live shows .   YouTube auditions ( edit )  Jackie Evancho , the first YouTube winner ; placed 2nd in season five ( 2010 )  From season five ( 2010 ) to season seven ( 2012 ) , acts who did not attend live auditions could instead submit a taped audition online via YouTube . Acts from the online auditions were then selected to compete in front of the judges and a live audience during the `` live shows '' part of the season , prior to the semi-finals . The most successful act of the YouTube auditions was Jackie Evancho , who went on to place second in season five .   Before the inclusion of this round , the show had a separate audition episode in seasons three and four ( 2008 -- 2009 ) for contestants who posted videos on MySpace .   Live shows ( edit )   During the live shows , a group of acts ranging from only a Top 20 ( season two ) , to as many as 60 , compete for viewers ' and judges ' votes . In the first season , the judges could not end an act 's performance , but could either `` check '' or `` X '' the performance during their critique . Since season two ( 2007 ) , judges have been able to end an act 's performance early , and the `` check '' was removed . Generally , acts each perform first in a live round consisting of a series of quarterfinals . In seasons with YouTube auditions , the round of live judging of YouTube finalists takes place then , as part of these quarterfinals . Then there may be additional shows for `` Wild Card '' acts -- acts that one or more of the judges select to be given one more chance for audience vote despite previous elimination . From these shows , the existing group is narrowed through votes by the public and / or the judges ( depending on the season ) . Acts then move on to a semifinal round , and even further rounds ( such as a `` Top 8 '' or a `` Top 10 '' , depending on the season ) through a series of weekly shows , which trim the number of acts down each time based on a public vote . In the majority of seasons , judges have had no vote from the semifinals . All these rounds culminate in a live final , which has consisted of anywhere from four to ten acts throughout the seasons . The act with the most votes is declared the winner , given $1 million , and , since season three ( 2008 ) , a chance to headline a show on the Las Vegas Strip .   During seasons one through six ( 2006 -- 11 ) , the live shows were filmed at Stage 36 of CBS Television City in Los Angeles . In season seven ( 2012 ) , the live shows were held at the New Jersey Performing Arts Center in Newark . From seasons eight through ten ( 2013 -- 15 ) , live performances were held at Radio City Music Hall in New York . From season eleven ( 2016 ) onwards the live shows are being held at the Dolby Theatre .   For seasons five through eight ( 2010 -- 13 ) , the show also made the winner the headline act of a national tour with runners up following the final show , stopping in 25 cities . For season nine , however ( 2014 ) , there was no tour ; two shows were held in Las Vegas for the winner and some of the runner - up acts . ( See # America 's Got Talent Live , below . )   Season synopses ( edit )   Season 1 ( 2006 ) ( edit )  Main article : America 's Got Talent ( season 1 ) Bianca Ryan , season one winner  In May 2006 , NBC announced the new show . The audition tour took place in June . Auditions were held in the following locations : Los Angeles , New York , and Chicago . Some early ads for the show implied that the winning act would also headline a show at a casino , possibly in Las Vegas ; however , this was replaced with a million dollars due to concerns of minors playing in Las Vegas , should one become a champion . More than 12 million viewers watched the series premiere ( which is more than American Idol got during its premiere in 2002 ) . The two - hour broadcast was the night 's most - watched program on U.S. television and the highest - rated among viewers aged 18 to 49 ( the prime - time audience that matters most to advertisers ) , Nielsen Media Research reported .   On the season finale , there was an unaired segment that was scheduled to appear after Aly &amp; AJ . The segment featured Tom Green dressing in a parrot costume and squawking with a live parrot to communicate telepathically . Green then proceeded to fly up above the audience , shooting confetti streamers out of his costume onto the crowd below .   In season one , the show was hosted by Regis Philbin and judged by actor David Hasselhoff , singer Brandy Norwood , and journalist Piers Morgan .   The winner of the season was 11 - year - old singer Bianca Ryan , and the runners - up were clogging group All That and musical group The Millers .   Season 2 ( 2007 ) ( edit )  Main article : America 's Got Talent ( season 2 ) Terry Fator , season two winner  After initially announcing in June 2006 that season two would premiere in January 2007 and would air at 8 pm on Sunday nights , with no separate results show , the network changed that , pushing the show back to the summer , where the first season had enjoyed great success . This move kept the show out of direct competition with American Idol , which had a similar premise and was more popular .   In AGT 's place , another reality - based talent show , Grease : You 're The One That I Want , began airing on Sunday nights in the same time slot on NBC beginning in January . In March , NBC announced that Philbin would not return as host of the show , and that Jerry Springer would succeed him as host , with Sharon Osbourne ( formerly a judge on Cowell 's UK show The X Factor ) succeeding Brandy Norwood as a judge .   The season finale was shown Tuesday , August 21 , with the winner being Terry Fator , a singing impressionist ventriloquist . The runner - up was singer Cas Haley .   Season 3 ( 2008 ) ( edit )  Main article : America 's Got Talent ( season 3 ) Neal E. Boyd , season three winner  Season three premiered on June 17 , 2008 . Auditions took place in Charlotte , Nashville , Orlando , New York , Dallas , Los Angeles , Atlanta , and Chicago from January to April . A televised MySpace audition also took place .   Season three differed from the previous two in many ways . Auditions were held in well - known theaters across the nation , and a new title card was introduced , featuring the American flag as background . The X 's matched the ones on Britain 's Got Talent as did the judges ' table . Like the previous season , the Las Vegas callbacks continued , but there were forty acts selected to compete in the live rounds , instead of twenty . This season also contained several results episodes , but not on a regular basis . The show took a hiatus for two - and - a-half weeks for the 2008 Summer Olympics , but returned with the live rounds on August 26 .   Neal E. Boyd , an opera singer , was named the winner on October 1 . Eli Mattson , a singer and pianist , was runner - up .   Season 4 ( 2009 ) ( edit )  Main article : America 's Got Talent ( season 4 ) Kevin Skinner , season four winner  Season four premiered on Tuesday , June 23 , 2009 . It was the first to be broadcast in high definition . Auditions for this season were held in more than nine major cities including New York , Los Angeles , Chicago , Washington , D.C. , Atlanta , Miami , Tacoma , Boston , and Houston . Los Angeles auditions kicked off the January 29 -- 31 tour at the Los Angeles Convention Center , followed by the February 7 -- 8 Atlanta auditions . New York and Miami auditions were held during March . Tacoma auditions were held April 25 and 26 . In addition to live auditions and the ability to send in a home audition tape , season four offered the opportunity for acts to upload their video direct to NBC.com/agt with their registration . This year 's host was Nick Cannon . Jerry Springer said that he could not return as host due to other commitments .   The audition process in season four was the same as the previous season , but the ' Las Vegas Callbacks ' was renamed ' Vegas Verdicts ' . This was the first season since season one where results episodes lasted one hour on a regular basis . The title card this year featured bands of the American flag and stars waving around the America 's Got Talent logo .   On September 16 , country music singer Kevin Skinner was named the season 's winner . The grand prize was $1 million and a 10 - week headline show at the Planet Hollywood Resort and Casino on the Las Vegas Strip . The runner - up was Bárbara Padilla , an opera singer .   Season 5 ( 2010 ) ( edit )  Main article : America 's Got Talent ( season 5 ) Michael Grimm , season five winner  For season five , the network had considered moving the show to the fall , after rival series So You Think You Can Dance transferred from the summer to fall season in 2009 . NBC ultimately decided to keep Talent a summer show .   Open auditions were held in the winter to early spring of 2010 in Chicago , Dallas , Los Angeles , New York , Orlando , and Portland ( Oregon ) . Non-televised producers ' auditions were also held in Atlanta and Philadelphia . For the first time , online auditions were also held via YouTube .   David Hasselhoff left to host a new television show and was replaced by comedian and game show host Howie Mandel . This made Piers Morgan the only original judge left in the show . The show premiered Tuesday , June 1 , 2010 , at 8 pm ET . Afterward , Talent resumed the same time slot as the previous season .   On September 15 , singer Michael Grimm was named the winner . He won a $1 million prize and a chance to perform at the Caesars Palace Casino and Resort on the Las Vegas Strip , as well as headline the 25 - city America 's Got Talent Live Tour along with runner - up Jackie Evancho , Fighting Gravity , Prince Poppycock , and the other top ten finalists .   Season 6 ( 2011 ) ( edit )  Main article : America 's Got Talent ( season 6 ) Landau Eugene Murphy , Jr. , season six winner  Season six premiered on Tuesday , May 31 , 2011 , with a two - hour special . Piers Morgan and Sharon Osbourne continued as judges after taking jobs on Piers Morgan Tonight and The Talk , respectively . On The Tonight Show with Jay Leno on July 27 , 2010 , Morgan officially stated that he had signed a three - year contract to stay on Talent .   The show held televised auditions in Los Angeles , New York , Minneapolis , Atlanta , Seattle , and Houston . Non-televised producers ' auditions were also held in Denver and Chicago . Previews of auditions were shown during NBC 's The Voice premiere on April 26 . Online auditions via YouTube were also held for the second time in the show 's run , beginning on May 4 . Finalists for this audition circuit competed live on August 9 .   On Wednesday , September 14 , Landau Eugene Murphy , Jr. , a Frank Sinatra - style singer , was named the winner . Dance group Silhouettes was runner - up .   Season 7 ( 2012 ) ( edit )  Main article : America 's Got Talent ( season 7 ) Olate Dogs , season seven winners  Season seven premiered on May 14 , 2012 . The first round of auditions , which are judged by producers , were held in New York , Washington , D.C. , Tampa , Charlotte , Austin , Anaheim , St. Louis , and San Francisco from October 2011 to February 2012 . The show began its live theater performances at the New Jersey Performing Arts Center in Newark on February 27 .   Piers Morgan did not return as a judge for season seven , due to his work hosting CNN 's Piers Morgan Tonight , and he was replaced by Howard Stern . Since Stern hosts his SiriusXM radio show in New York City , the live rounds of the show were moved to nearby Newark , New Jersey . In December 2011 , Simon Cowell , the show 's executive producer , announced that the show would be receiving a `` top - to - bottom makeover '' , confirming that there would be new graphics , lighting , theme music , show intro , logo , and a larger live audience at the New Jersey Performing Arts Center in Newark . On July 2 , at the first live performance show of the season , their new location and stage were unveiled in a two - and - a-half - hour live special . A new set was also unveiled with a revised judges ' desk and a refreshed design of the `` X '' .   On August 6 , Sharon Osbourne announced that she would leave America 's Got Talent after the current season , in response to allegations that her son Jack Osbourne was discriminated against by the producers of the upcoming NBC program Stars Earn Stripes .   On September 13 , Olate Dogs were announced the winner of the season , becoming the show 's first completely non-singing act to win the competition and also the first non-solo act to win . Comedian Tom Cotter finished as the runner - up .   Season 8 ( 2013 ) ( edit )  Main article : America 's Got Talent ( season 8 )  Season eight of AGT premiered on Tuesday , June 4 , 2013 . The new season was announced in a promotional video shown during a commercial break for season seven 's second live show . Sharon Osbourne initially stated that she would not return for the season , but later said that she was staying with the show `` for now . '' Osbourne confirmed that she would be leaving the show after a feud with NBC on August 6 , 2012 .   On February 20 , 2013 , it was announced that one of the Spice Girls members , Mel B ( Melanie Brown ) , would replace Sharon Osbourne as the third judge . Entertainment Weekly also reported at the same time that NBC was looking at a possible fourth judge to be added . On March 3 , it was announced that supermodel Heidi Klum would be joining the show as the new fourth judge .   An Audition Cities poll for the season was announced on July 11 , 2012 . The first batch of Audition Cities were announced as Los Angeles , Seattle , Portland ( Oregon ) , New Orleans , Birmingham , Memphis , Nashville , Savannah , Raleigh , Norfolk , San Antonio , New York , Columbus ( Ohio ) , and Chicago . This season , the auditions traveled to more cities than ever before . America 's Got Talent moved its live shows to Radio City Music Hall in New York for season eight . Auditions in front of the judges and an audience began taping on March 4 . The show traveled to New Orleans , New York , Chicago , Los Angeles , and San Antonio .   On September 18 , 2013 , martial arts dancer / mime Kenichi Ebina was announced the winner of the season , the first dance act to win the competition . Stand - up comedian Taylor Williamson was the runner - up .   Season 9 ( 2014 ) ( edit )  Main article : America 's Got Talent ( season 9 ) Mat Franco , season nine winner  Season nine premiered on Tuesday , May 27 , 2014 , at 8 pm ET . The producers ' auditions began on October 26 , 2013 , in Miami . Other audition sites included Atlanta , Baltimore , Denver , Houston , Indianapolis , Los Angeles , and New York . Contestants could also submit a video of their audition online . Auditions in front of the judges were held February 20 -- 22 at the New Jersey Performing Arts Center in Newark , which also hosted the live shows during season seven . Judges ' auditions were held in New York City at Madison Square Garden from April 3 to 6 and in Los Angeles at the Dolby Theatre from April 21 to 26 .   The live shows return to Radio City Music Hall on July 29 . There was also a new twist in the show , where `` Judgment Week '' was held in New York City instead of Las Vegas . Judgment Week was originally intended to be held in front of a live studio audience , but after three acts performed , the producers scrapped the live audience concept . This season also came with the addition of a `` Golden Buzzer , '' which was unveiled on that same year 's Britain 's Got Talent . Each judge can press the buzzer only once each season that can save an act , typically used when there is a tie .   For this season , contestants were invited to submit a video of their performance to The Today Show website throughout June , and the top three entrants performed their acts on The Today Show on July 23 , 2014 . The performer with the most votes , Cornell Bhangra , filled the 48th spot in the quarterfinals .   On September 17 , magician Mat Franco was announced the winner of the season , the first magic act to win the competition . Singer Emily West was the runner - up .   Season 10 ( 2015 ) ( edit )  Main article : America 's Got Talent ( season 10 )  Season ten premiered on May 26 , 2015 . Producer auditions began on November 2 , 2014 , in Tampa . Other audition sites included Nashville , Richmond ( Virginia ) , New York , Chicago , St. Louis , San Antonio , Albuquerque , San Francisco , Seattle , Boise , Las Vegas , and Los Angeles . Online submissions were also accepted .   Howard Stern rumored on his radio show on October 1 , 2014 , that he might not return , but announced on December 8 that he would return for the upcoming season . Nick Cannon returned for his seventh season as host . On February 9 , 2015 , Howie Mandel said he would return for season ten and Mel B announced the next day that she would be returning as well . It was revealed on February 11 that Heidi Klum would also be returning .   It was announced on December 4 , 2014 , that Cris Judd would be named as a dance scout . He previously worked on the show as a choreographer behind the scenes , and on the New Zealand version of Got Talent as a judge .   Auditions in front of the judges began on March 2 , 2015 , at the New Jersey Performing Arts Center . They continued at the Manhattan Center in New York City and the Dolby Theatre in Los Angeles . A special `` extreme '' audition session was held outside at the Fairplex in Pomona , California , where danger acts performed outside for the judges , who were seated at an outdoor stage .   During NBC 's summer press tour , it was announced that America 's Got Talent would be making their `` Golden Buzzer '' more like Britain 's Got Talent where the contestant that gets the buzzer will be sent directly to the live shows . An official trailer for the season was released , which showed that Dunkin Donuts was the show 's official sponsor for the season , with their cups prominently placed on the judges ' desk . Dunkin replaced Snapple , which sponsored the show since season seven .   On June 24 , Howard Stern announced on The Howard Stern Show that season ten would be his last season as judge . Stern said , `` In all seriousness , I 've told you , I 'm just too f * cking busy ... something 's got to give ... NBC 's already asked me what my intentions are for next year , whether or not I 'd come back , I kind of have told them I think this is my last season . Not I think , this is my last season '' .   On September 16 , Paul Zerdin was announced the winner of the season , making him the second ventriloquist to win . Comedian Drew Lynch was runner - up , and magician mentalist Oz Pearlman was in Third Place .   Season 11 ( 2016 ) ( edit )  Main article : America 's Got Talent ( season 11 )  America 's Got Talent was renewed for an eleventh season on September 1 , 2015 . The season will have preliminary open call auditions in Detroit , New York , Phoenix , Salt Lake City , Las Vegas , San Jose , San Diego , Kansas City , Los Angeles , Atlanta , Orlando , and Dallas . As in years past , hopeful contestants may also submit auditions online .   On October 22 , 2015 , it was announced that creator Simon Cowell would replace Howard Stern as a judge for season 11 . On January 12 , 2016 , it was announced that Mel B , Heidi Klum , and Howie Mandel would all return as judges , with Nick Cannon returning as host . The live shows will also move from New York back to Los Angeles , due to Howard Stern 's departure . The live shows will be held at the Dolby Theatre .   Auditions in front of the judges began on March 3 , 2016 at the Pasadena Civic Auditorium in Pasadena , California . The season premiered on May 31 , 2016 .   On September 14 , 12 - year - old singer - songwriter and ukulele player , Grace VanderWaal was announced as the winner making it the second time that a female act has won the show since Season 1 , and the second child act to win the competition . Magician mentalists The Clairvoyants was runner - up , and magician Jon Dorenbos was in Third Place .   Season 12 ( 2017 ) ( edit )  Main article : America 's Got Talent ( season 12 )  On August 2 , 2016 , it was announced that host Nick Cannon and all four judges would be returning for season 12 . Later that year , on October 4 , Simon Cowell signed a contract to remain as a judge through to 2019 ( Season 14 ) .   On February 13 , 2017 , Nick Cannon announced he would not return as host for the twelfth season , citing creative differences between him and executives at NBC . The resignation comes in the wake of news that the network considered firing Cannon after he made disparaging remarks abou</t>
  </si>
  <si>
    <t xml:space="preserve">who was the winner for american got talent</t>
  </si>
  <si>
    <t xml:space="preserve">   Season   Duration   Winner 's prize   Finalists   Presenter   Judges     Premiere   Finale   Winner   Runner - up   Third place       June 21 , 2006   August 17 , 2006   $ 1,000,000   Bianca Ryan   All That &amp; The Millers   Regis Philbin   David Hasselhoff   Piers Morgan   Brandy Norwood   N / A       June 5 , 2007   August 21 , 2007   Terry Fator   Cas Haley   Butterscotch   Jerry Springer   Sharon Osbourne       June 17 , 2008   October 1 , 2008   Neal E. Boyd   Eli Mattson   Nuttin ' But Stringz       June 23 , 2009   September 16 , 2009   Kevin Skinner   Bárbara Padilla   Recycled Percussion   Nick Cannon     5   June 1 , 2010   September 15 , 2010   Michael Grimm   Jackie Evancho   Fighting Gravity   Howie Mandel     6   May 31 , 2011   September 14 , 2011   Landau Eugene Murphy , Jr .   Silhouettes   Team iLuminate     7   May 14 , 2012   September 13 , 2012   Olate Dogs   Tom Cotter   William Close   Howard Stern     8   June 4 , 2013   September 18 , 2013   Kenichi Ebina   Taylor Williamson   Jimmy Rose   Mel B   Heidi Klum     9   May 27 , 2014   September 17 , 2014   Mat Franco   Emily West   AcroArmy     10   May 26 , 2015   September 16 , 2015   Paul Zerdin   Drew Lynch   Oz Pearlman     11   May 31 , 2016   September 14 , 2016   Grace VanderWaal   The Clairvoyants   Jon Dorenbos   Simon Cowell     12   May 30 , 2017   September 20 , 2017   Darci Lynne Farmer   Angelica Hale   Light Balance   Tyra Banks   </t>
  </si>
  <si>
    <t xml:space="preserve">List of current Indian governors - wikipedia  List of current Indian governors    Several governors , lieutenant governors and administrators pose with the President , Vice President and Prime Minister of India during the 49th Governors ' Conference , at Rashtrapati Bhavan , New Delhi , in June 2018 .  In the Republic of India , a governor is the constitutional head of each of the twenty - nine states . The governor is appointed by the President of India for a term of five years , and holds office at the President 's pleasure . The governor is de jure head of the state government ; all its executive actions are taken in the governor 's name . However , the governor must act on the advice of the popularly elected council of ministers , headed by the chief minister , which thus holds de facto executive authority at the state - level . The Constitution of India also empowers the governor to act upon his or her own discretion , such as the ability to appoint or dismiss a ministry , recommend President 's rule , or reserve bills for the President 's assent . Over the years , the exercise of these discretionary powers have given rise to conflict between the elected chief minister and the central government -- appointed governor .   The union territories of Andaman and Nicobar , Delhi and Puducherry are headed by lieutenant - governors . Since Delhi and Puducherry have a measure of self - government with an elected legislature and council of ministers , the role of the lieutenant - governor there is a mostly ceremonial one , akin to that of a state 's governor . The other four union territories -- Chandigarh ; Dadra and Nagar Haveli ; Daman and Diu ; and Lakshadweep -- are governed by an administrator . Unlike the administrators of other territories , who are drawn from the Indian Administrative Service , since 1985 the Governor of Punjab has also been the ex-officio Administrator of Chandigarh .   Contents    1 Current governors of states   2 Current lieutenant governors and administrators of union territories   3 See also   4 References    Current governors of states ( edit )     State ( past governors )   Name   Portrait   Took office ( tenure length )   Ref     Andhra Pradesh ( list )   E.S.L. Narasimhan     28 December 2009 ( 7003315000000000000 ♠ 8 years , 228 days )       Arunachal Pradesh ( list )   B.D. Mishra     3 October 2017 ( 7002314000000000000 ♠ 314 days )       Assam ( list )   Jagdish Mukhi     10 October 2017 ( 7002307000000000000 ♠ 307 days )       Bihar ( list )   Satya Pal Malik     4 October 2017 ( 7002313000000000000 ♠ 313 days )       Chhattisgarh ( list )   Balram Das Tandon     25 July 2014 ( 7003148000000000000 ♠ 4 years , 19 days )       Goa ( list )   Mridula Sinha     31 August 2014 ( 7003144300000000000 ♠ 3 years , 347 days )       Gujarat ( list )   Om Prakash Kohli     16 July 2014 ( 7003148900000000000 ♠ 4 years , 28 days )       Haryana ( list )   Kaptan Singh Solanki     27 July 2014 ( 7003147800000000000 ♠ 4 years , 17 days )       Himachal Pradesh ( list )   Acharya Dev Vrat     12 August 2015 ( 7003109700000000000 ♠ 3 years , 1 day )       Jammu and Kashmir ( list )   Narinder Nath Vohra     25 June 2008 ( 7003370100000000000 ♠ 10 years , 49 days )       Jharkhand ( list )   Draupadi Murmu     18 May 2015 ( 7003118300000000000 ♠ 3 years , 87 days )       Karnataka ( list )   Vajubhai Vala     1 September 2014 ( 7003144200000000000 ♠ 3 years , 346 days )       Kerala ( list )   P. Sathasivam     5 September 2014 ( 7003143800000000000 ♠ 3 years , 342 days )       Madhya Pradesh ( list )   Anandiben Patel     23 January 2018 ( 7002202000000000000 ♠ 202 days )       Maharashtra ( list )   C. Vidyasagar Rao     30 August 2014 ( 7003144400000000000 ♠ 3 years , 348 days )       Manipur ( list )   Najma Heptulla     21 August 2016 ( 7002722000000000000 ♠ 1 year , 357 days )       Meghalaya ( list )   Ganga Prasad     5 October 2017 ( 7002312000000000000 ♠ 312 days )       Mizoram ( list )   Kummanam Rajasekharan     29 May 2018 ( 7001760000000000000 ♠ 76 days )       Nagaland ( list )   Padmanabha Acharya     19 July 2014 ( 7003148600000000000 ♠ 4 years , 25 days )       Odisha ( list )   Ganeshi Lal     29 May 2018 ( 7001760000000000000 ♠ 76 days )       Punjab ( list )   V.P. Singh Badnore     22 August 2016 ( 7002721000000000000 ♠ 1 year , 356 days )       Rajasthan ( list )   Kalyan Singh     4 September 2014 ( 7003143900000000000 ♠ 3 years , 343 days )       Sikkim ( list )   Shriniwas Patil     20 July 2013 ( 7003185000000000000 ♠ 5 years , 24 days )       Tamil Nadu ( list )   Banwarilal Purohit     6 October 2017 ( 7002311000000000000 ♠ 311 days )       Telangana ( list )   E.S.L. Narasimhan ( Additional Charge )     2 June 2014 ( 7003153300000000000 ♠ 4 years , 72 days )       Tripura ( list )   Tathagata Roy     20 May 2015 ( 7003118100000000000 ♠ 3 years , 85 days )       Uttar Pradesh ( list )   Ram Naik     22 July 2014 ( 7003148300000000000 ♠ 4 years , 22 days )       Uttarakhand ( list )   Krishan Kant Paul     8 January 2015 ( 7003131300000000000 ♠ 3 years , 217 days )       West Bengal ( list )   Keshari Nath Tripathi     24 July 2014 ( 7003148100000000000 ♠ 4 years , 20 days )       Current lieutenant governors and administrators of union territories ( edit )     Office and union territory ( past officeholders )   Name   Portrait   Took office ( tenure length )   Ref     Lieutenant Governor of Andaman and Nicobar Islands ( list )   Devendra Kumar Joshi     8 October 2017 ( 309 days )       Administrator of Chandigarh ( list )   V.P. Singh Badnore     22 August 2016 ( 1 year , 356 days )       Administrator of Dadra and Nagar Haveli ( list )   Praful Khoda Patel ( Additional charge )     30 December 2016 ( 1 year , 226 days )       Administrator of Daman and Diu ( list )   Praful Khoda Patel     29 August 2016 ( 1 year , 349 days )       Lieutenant Governor of Delhi ( list )   Anil Baijal     31 December 2016 ( 1 year , 225 days )       Administrator of Lakshadweep ( list )   Farooq Khan     6 September 2016 ( 1 year , 341 days )       Lieutenant Governor of Puducherry ( list )   Kiran Bedi     29 May 2016 ( 2 years , 76 days )       See also ( edit )    List of current Indian chief ministers   List of current Indian chief justices   List of current Indian legislative speakers   List of current Indian opposition leaders   List of female Indian governors    References ( edit )    Jump up ^ Durga Das Basu . Introduction to the Constitution of India . 1960 . 20th edition , 2011 reprint . LexisNexis Butterworths Wadhwa Nagpur . ISBN 978 - 81 - 8038 - 559 - 9 . p. 237 , 241 -- 44 .   Jump up ^ Governors . India.gov.in . Retrieved on 3 September 2015 .   Jump up ^ J. Balaji . `` Narasimhan to look after Andhra Pradesh '' . The Hindu . 28 December 2009 .   Jump up ^ `` Brigadier BD Mishra sworn - in as Arunachal Pradesh governor '' . The Indian Express . 3 October 2017 .   Jump up ^ `` Jagdish Mukhi sworn in as governor of Assam '' . Hindustan Times . 10 October 2017 .   Jump up ^ `` Satya Pal Malik takes oath as Governor of Bihar '' . The Indian Express . 4 October 2017 .   Jump up ^ Pavan Dahat . `` Tandon sworn in as Chhattisgarh Governor '' . The Hindu . 26 July 2014 .   Jump up ^ Prakash Kamat . `` Mridula Sinha sworn - in as Goa Governor '' . The Hindu . 31 August 2014 .   Jump up ^ `` Kohli sworn in as Gujarat Governor '' . The Hindu . 17 July 2014 .   Jump up ^ `` Solanki sworn in as Haryana governor '' . The Hindu . 27 July 2014 .   Jump up ^ `` Dev Vrat sworn in as H.P. Governor '' . The Hindu . 13 August 2015 .   Jump up ^ `` Vohra sworn in as new Jammu and Kashmir Governor '' . The Hindu . 26 June 2008 .   Jump up ^ `` Draupadi Murmu sworn in as first woman Governor of Jharkhand '' . The Hindu . 18 May 2015 .   Jump up ^ Nagesh Prabhu . `` Vala sworn in as Karnataka Governor '' . The Hindu . 1 September 2014 .   Jump up ^ Gireesh Menon . `` Sathasivam sworn in as Kerala Governor '' . The Hindu . 5 September 2014 .   Jump up ^ `` Anandiben Patel sworn in as Madhya Pradesh Governor '' . The Hindu . 23 January 2018 .   Jump up ^ `` Rao sworn in as Maharashtra Governor '' . The Hindu . 31 August 2014 .   Jump up ^ Iboyaima Laithangam . `` Najma Heptullah sworn in as Manipur Governor '' . The Hindu . 21 August 2016 .   Jump up ^ `` Ganga Prasad sworn in as Meghalaya Governor '' . The Indian Express . 5 October 2017 .   Jump up ^ Rahul Karmakar . `` Kummanam Rajasekharan sworn - in as Mizoram Governor amid opposition '' . The Hindu . 29 May 2018 .   Jump up ^ `` PB Acharya sworn in as Nagaland Governor '' . Business Standard . 19 July 2014 .   Jump up ^ `` Ganeshi Lal sworn in as new governor of Odisha '' . The Hindu . 30 May 2018 .   ^ Jump up to : `` V.P. Singh Badnore sworn in as new Punjab Governor '' . The Indian Express . 22 August 2016 .   Jump up ^ `` Kalyan Singh sworn - in as Rajasthan Governor '' . The Hindu . 4 September 2014 .   Jump up ^ `` Message of Hon'ble Governor of Sikkim Shri Shriniwas Patil on the assumption of Office '' . Archived 2 February 2014 at the Wayback Machine . The Raj Bhavan , Gangtok , Sikkim. 20 July 2013 .   Jump up ^ `` Banwarilal Purohit sworn in as Tamil Nadu governor '' . The Indian Express . 6 October 2017 .   Jump up ^ `` ESL Narasimhan sworn in as Governor of Telangana '' . The Hindu . 2 June 2014 .   Jump up ^ `` Tathagata Roy sworn in as Governor of Tripura '' . The Hindu . 20 May 2015 .   Jump up ^ . `` Ram Naik sworn in as Uttar Pradesh Governor '' . India Today . 22 July 2014 .   Jump up ^ . `` KK Paul sworn in as Uttarakhand Governor '' . The Tribune . 8 January 2015 .   Jump up ^ `` Mamata competent to deal with all problems of State : Governor '' . The Hindu . 25 July 2014 .   Jump up ^ `` Lt. Governors &amp; Administrators '' . India.gov.in . Retrieved on 3 September 2015 .   Jump up ^ `` Admiral DK Joshi ( Retd . ) sworn in as the 13th Lt. Governor of A&amp; N Islands '' . The Island Reflector. 8 October 2017 .   Jump up ^ `` List of Former Administrators '' . Administration of Dadra and Nagar Haveli . Retrieved on 30 December 2016 .   Jump up ^ `` List of Former Administrators '' . Administration of Daman and Diu . Retrieved on 21 September 2016 .   Jump up ^ `` Anil Baijal sworn in as Delhi Lieutenant - Governor '' . The Hindu . 31 December 2016 .   Jump up ^ `` Bio-data of the Hon'ble Administrator '' Archived 21 February 2014 at the Wayback Machine . Official Website of Union Territory of Lakshadweep . Retrieved on 21 September 2016 .   Jump up ^ `` Kiran Bedi takes oath as Lt. Governor of Puducherry '' . The Times of India . 29 May 2016 .              Lists of governors , lieutenant governors and administrators of Indian states and union territories ( and current incumbents )           Andaman and Nicobar   Devendra Kumar Joshi     Andhra Pradesh   E.S.L. Narasimhan     Arunachal Pradesh   B.D. Mishra     Assam   Jagdish Mukhi     Bihar   Satya Pal Malik     Chandigarh   V.P. Singh Badnore     Chhattisgarh   Balram Das Tandon     Dadra and Nagar Haveli   Praful Khoda Patel     Daman and Diu   Praful Khoda Patel     Delhi   Anil Baijal     Goa   Mridula Sinha     Gujarat   Om Prakash Kohli         Haryana   Kaptan Singh Solanki     Himachal Pradesh   Acharya Dev Vrat     Jammu and Kashmir   Narinder Nath Vohra     Jharkhand   Draupadi Murmu     Karnataka   Vajubhai Vala     Kerala   P. Sathasivam     Lakshadweep   Farooq Khan     Madhya Pradesh   Anandiben Patel     Maharashtra   C. Vidyasagar Rao     Manipur   Najma Heptulla     Meghalaya   Ganga Prasad     Mizoram   Kummanam Rajasekharan         Nagaland   Padmanabha Acharya     Odisha   Ganeshi Lal     Puducherry   Kiran Bedi     Punjab   V.P. Singh Badnore     Rajasthan   Kalyan Singh     Sikkim   Shriniwas Patil     Tamil Nadu   Banwarilal Purohit     Telangana   E.S.L. Narasimhan     Tripura   Tathagata Roy     Uttar Pradesh   Ram Naik     Uttarakhand   Krishan Kant Paul     West Bengal   Keshari Nath Tripathi            Retrieved from `` https://en.wikipedia.org/w/index.php?title=List_of_current_Indian_governors&amp;oldid=854108605 '' Categories :   States and union territories of India - related lists   Lists of governors of Indian states   State governors of India   Lists of current office - holders in India   Hidden categories :   Webarchive template wayback links   Use dmy dates from July 2018   Articles with hCards   Featured lists           Talk                                           Contents                   About Wikipedia                                           भोजपुरी   Deutsch   Español   हिन्दी   Bahasa Indonesia   മലയാളം   Simple English   தமிழ்   Edit links   This page was last edited on 9 August 2018 , at 01 : 03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</si>
  <si>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governor of dadra and nagar haveli</t>
  </si>
  <si>
    <t xml:space="preserve">   Office and union territory ( past officeholders )   Name   Portrait   Took office ( tenure length )   Ref     Lieutenant Governor of Andaman and Nicobar Islands ( list )   Devendra Kumar Joshi     8 October 2017 ( 309 days )       Administrator of Chandigarh ( list )   V.P. Singh Badnore     22 August 2016 ( 1 year , 356 days )       Administrator of Dadra and Nagar Haveli ( list )   Praful Khoda Patel ( Additional charge )     30 December 2016 ( 1 year , 226 days )       Administrator of Daman and Diu ( list )   Praful Khoda Patel     29 August 2016 ( 1 year , 349 days )       Lieutenant Governor of Delhi ( list )   Anil Baijal     31 December 2016 ( 1 year , 225 days )       Administrator of Lakshadweep ( list )   Farooq Khan     6 September 2016 ( 1 year , 341 days )       Lieutenant Governor of Puducherry ( list )   Kiran Bedi     29 May 2016 ( 2 years , 76 days )     </t>
  </si>
  <si>
    <r>
      <rPr>
        <sz val="11"/>
        <color rgb="FF000000"/>
        <rFont val="Calibri"/>
        <family val="0"/>
        <charset val="1"/>
      </rPr>
      <t xml:space="preserve">List of Indian Nobel laureates - wikipedia  List of Indian Nobel laureates  Jump to : navigation , search Rabindranath Tagore was the first person of Indian origin and also first Asian to be awarded with the Nobel Prize . He received the prize for Literature in 1913 .  The Nobel Prize is a set of annual international awards bestowed on `` those who conferred the greatest benefit on mankind '' in the fields of Physics , Chemistry , Physiology or Medicine , Literature , Peace and Economics . Instituted by Alfred Nobel 's last will , which specified that his fortune be used to create a series of prizes , now known as the Nobel Prizes . They are widely recognized as one of the most prestigious honors awarded in the aforementioned fields .   A total of 835 individuals ( 791 men and 44 women ) and 21 organizations were awarded the Nobel Prize , some more than once . Among the total recipients , 12 are Indians ( 5 Indian citizens and 7 of Indian origin or residency ) . Rabindranath Tagore was the first Indian citizen to be awarded and Mother Teresa is the only woman in the list . Notably , Sri Aurobindo was nominated for the Nobel Prize in Literature in 1943 and for the Nobel Prize in Peace in 1950 .   On 1 December 1999 , the Norwegian Nobel Committee confirmed that Mohandas Karamchand Gandhi was nominated for the Peace Prize thrice ( in 1937 -- 39 , 1947 and a few days before he was assassinated in January 1948 ) . In 2006 , Geir Lundestad , Secretary of Norwegian Nobel Committee said , `` The greatest omission in our 106 year history is undoubtedly that Mahatma Gandhi never received the Nobel Peace prize . Gandhi could do without the Nobel Peace prize . Whether Nobel committee can do without Gandhi is the question '' .     Contents  ( hide )   1 Laureates   1.1 Indian citizens   1.2 Overseas citizens of Indian origin   1.3 Other     2 See also   3 Notes   4 References      Laureates ( edit )   Indian citizens ( edit )   The following are the Nobel laureates who were Indian citizens at the time they were awarded the Nobel Prize .     Year   Laureate   Subject   Rationale     1913     Rabindranath Tagore   Literature   Awarded `` because of his profoundly sensitive , fresh and beautiful verse , by which , with consummate skill , he has made his poetic thought , expressed in his own English words , a part of the literature of the West . ''     1930     C.V. Raman   Physics   `` For his work on the scattering of light and for the discovery of the effect named after him . ''     1979     Mother Teresa ( born in Skopje , Ottoman Empire )   Peace   `` For work undertaken in the struggle to overcome poverty and distress , which also constitutes a threat to peace . ''     1998     Amartya Sen   Economic studies   `` For his contributions to welfare economics . ''     2014     Kailash Satyarthi   Peace   Awarded jointly to Kailash Satyarthi and Malala Yousafzai -- `` for their struggle against the suppression of children and young people and for the right of all children to education . ''     Overseas citizens of Indian origin ( edit )   The following are Nobel laureates born in British India or who are of Indian origin but subsequently non-citizens of India ; however , they are still often included in lists of Indian Nobel laureates .     Year   Laureate   Country   Subject   Rationale     1968     Har Gobind Khorana ( born in Raipur , British India )   United States   Physiology or Medicine   Awarded along with Robert W. Holley and Marshall W. Nirenberg -- `` for their interpretation of the genetic code and its function in protein synthesis . ''         Subrahmanyan Chandrasekhar ( born in Lahore , British India )   United States   Physics   `` For his theoretical studies of the physical processes of importance to the structure and evolution of the stars . ''     2009     Venkatraman Ramakrishnan ( born in Chidambaram , India )   United Kingdom / United States   Chemistry   `` For studies of the structure and function of the ribosome . ''     Other ( edit )   The following are Nobel laureates with Indian linkages -- those foreigners who were born in India , those who are of Indian ancestry and those who were residents in India when they became recipients of the Nobel Prize .     Year   Laureate   Country   Subject   Rationale     1902     Ronald Ross ( born in Almora , British India )   United Kingdom   Physiology or Medicine   `` For his work on malaria , by which he has shown how it enters the organism and thereby has laid the foundation for successful research on this disease and methods of combating it . ''     1907     Rudyard Kipling ( born in Bombay , British India )   United Kingdom   Literature   `` In consideration of the power of observation , originality of imagination , virility of ideas and remarkable talent for narration which characterize the creations of this world - famous author . ''         14th Dalai Lama ( born in Taktser , Republic of China )   India   Peace   `` In his struggle for the liberation of Tibet ( he ) consistently has opposed the use of violence . He has instead advocated peaceful solutions based upon tolerance and mutual respect in order to preserve the historical and cultural heritage of his people . ''         V.S. Naipaul ( born in Chaguanas , Trinidad and Tobago )   United Kingdom   Literature   `` For having united perceptive narrative and incorruptible scrutiny in works that compel us to see the presence of suppressed histories . ''     See also ( edit )    List of Indians   List of Nobel laureates   List of Nobel laureates by country   List of Asian Nobel laureates    Notes ( edit )    Jump up ^ Per Indian nationality law , article 9 of Indian Constitution says that a person who voluntarily acquires citizenship of any other country is no longer an Indian citizen . Also , according to The Passports Act , a person has to surrender his Indian passport ; it is a punishable offense under the act if he fails to surrender the passport . Hence , citizenship exclusively includes the jus sanguinis ( citizenship by right of blood ) .    References ( edit )    Jump up ^ `` Nobel Prizes - Britannica '' . Britannica . Retrieved 6 May 2015 .   Jump up ^ `` Things About the Nobel Prizes '' . History.com . Retrieved 6 May 2015 .   Jump up ^ `` From 1913 to 2014 : Indian Nobel Prize winners '' . The Hindu . The Hindu Group . 10 October 2014 . Retrieved 6 May 2015 .   Jump up ^ Rajinder Singh ( Sep 2012 ) . `` Aurobindo Gosh 's Nobel nomination '' . Rajinder Singh . p. 442 . Retrieved July 12 , 2016 .   Jump up ^ Levinovitz , Agneta Wallin ( 2001 ) . Levinovitz . pp. 181 -- 186 .   Jump up ^ Tønnesson , Øyvind ( 1 December 1999 ) . `` Mahatma Gandhi , the Missing Laureate '' . Nobel Foundation . Retrieved 4 May 2015 .   Jump up ^ Abrams , Irwin ( 2001 ) . Irving Abrams . Irving Abrams . pp. 147 -- 148 .   Jump up ^ `` Gandhi and Nobel '' . Retrieved 4 May 2015 .   Jump up ^ `` Indian Citizenship '' . Retrieved 4 May 2015 .   Jump up ^ P.J. George ( 10 October 2014 ) . `` List of laureates '' . The Hindu . Retrieved 4 May 2015 .   Jump up ^ `` Rabindranath Tagore '' . Retrieved 4 May 2015 .   Jump up ^ `` CV Raman '' . Retrieved 4 May 2015 .   Jump up ^ `` Mother Teresa Agnes '' . Retrieved 4 May 2015 .   Jump up ^ `` Amartya Sen '' . Retrieved 4 May 2015 .   Jump up ^ `` The Nobel Peace Prize 2014 '' . Retrieved 4 May 2015 .   Jump up ^ `` H. Gobind Khorana '' . Retrieved 4 May 2015 .   Jump up ^ `` Subramanyan Chandrasekhar '' . Retrieved 4 May 2015 .   Jump up ^ `` Venkatraman Ramakrishnan '' . Retrieved 4 May 2015 .   Jump up ^ `` Ronald Ross '' . Retrieved 4 May 2015 .   Jump up ^ `` Rudyard Kipling '' . Retrieved 4 May 2015 .   Jump up ^ `` Dalai Lama 14th '' . Retrieved 4 May 2015 .   Jump up ^ `` Nobel Prize in Literature 2001 '' . Nobel Foundation . Retrieved 2008 - 10 - 17 .              Nobel Prizes     Prizes     Chemistry   Economics   Literature   Peace   Physics   Physiology or Medicine       Laureates      by subject     Chemistry   Economics   Literature   Peace   Physics   Physiology or Medicine       by criterion     African   Arab   Asian   Black   Female   Latino and Hispanic   Jewish       by country     Argentine   Australian   Belgian   Chinese   Danish   Hungarian   Indian   Israeli   Italian   Japanese   Korean   Liberian   Polish   Portuguese   Romanian   Russian   Spanish   Swedish   Turkish   Welsh       by religion     Christian   Jewish   Muslim   Non-religious       by year     By year       by university affiliation     University affiliation       by occupation     Head of Government and State          Committees and organisations     Nobel Foundation   Nobel Committees   Chemistry   Economics   Physics   Physiology or Medicine   Norwegian Nobel Committee     Nobel Assembly at Karolinska Institutet       Related topics     Controversies   Other prizes   Alfred Nobel       Nobel Memorial Prize ( not one of the original Nobel Prizes ) .               Indian Nobel laureates     Literature     Rabindranath Tagore ( 1913 )         Physics     C.V. Raman ( 1930 )       Peace     Mother Teresa ( 1979 )   Kailash Satyarthi ( 2014 )       Economic Sciences     Amartya Sen ( 1998 )                 Indian Nobel laureates     Literature     Rabindranath Tagore ( 1913 )         Physics     C.V. Raman ( 1930 )       Peace     Mother Teresa ( 1979 )   Kailash Satyarthi ( 2014 )       Economic Sciences     Amartya Sen ( 1998 )      Retrieved from `` https://en.wikipedia.org/w/index.php?title=List_of_Indian_Nobel_laureates&amp;oldid=790861647 '' Categories :   Lists of Indian people   Indian Nobel laureates   Lists of Nobel laureates by nationality   Hidden categories :   Use dmy dates from September 2015           Talk                                           Contents                   About Wikipedia                                             অসমীয়া   বাংলা   हिन्दी   मैथिली   مصرى   ଓଡ଼ିଆ   اردو   </t>
    </r>
    <r>
      <rPr>
        <sz val="11"/>
        <color rgb="FF000000"/>
        <rFont val="Noto Sans CJK SC"/>
        <family val="2"/>
      </rPr>
      <t xml:space="preserve">中文   </t>
    </r>
    <r>
      <rPr>
        <sz val="11"/>
        <color rgb="FF000000"/>
        <rFont val="Calibri"/>
        <family val="0"/>
        <charset val="1"/>
      </rPr>
      <t xml:space="preserve">Edit links   This page was last edited on 16 July 2017 , at 16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</si>
  <si>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got the first nobel prize in economics from india</t>
  </si>
  <si>
    <t xml:space="preserve">   Year   Laureate   Subject   Rationale     1913     Rabindranath Tagore   Literature   Awarded `` because of his profoundly sensitive , fresh and beautiful verse , by which , with consummate skill , he has made his poetic thought , expressed in his own English words , a part of the literature of the West . ''     1930     C.V. Raman   Physics   `` For his work on the scattering of light and for the discovery of the effect named after him . ''     1979     Mother Teresa ( born in Skopje , Ottoman Empire )   Peace   `` For work undertaken in the struggle to overcome poverty and distress , which also constitutes a threat to peace . ''     1998     Amartya Sen   Economic studies   `` For his contributions to welfare economics . ''     2014     Kailash Satyarthi   Peace   Awarded jointly to Kailash Satyarthi and Malala Yousafzai -- `` for their struggle against the suppression of children and young people and for the right of all children to education . ''   </t>
  </si>
  <si>
    <t xml:space="preserve">Beauty and the Beast ( 2017 film ) - wikipedia  Beauty and the Beast ( 2017 film )  Jump to : navigation , search For other uses , see Beauty and the Beast ( disambiguation ) .    Beauty and the Beast     Theatrical release poster     Directed by   Bill Condon     Produced by     David Hoberman   Todd Lieberman       Screenplay by     Stephen Chbosky   Evan Spiliotopoulos       Based on     Disney 's Beauty and the Beast by Linda Woolverton   Beauty and the Beast by Jeanne - Marie Leprince de Beaumont       Starring     Emma Watson   Dan Stevens   Luke Evans   Kevin Kline   Josh Gad   Ewan McGregor   Stanley Tucci   Audra McDonald   Gugu Mbatha - Raw   Ian McKellen   Emma Thompson       Music by   Alan Menken     Cinematography   Tobias A. Schliessler     Edited by   Virginia Katz     Production company     Walt Disney Pictures   Mandeville Films       Distributed by   Walt Disney Studios Motion Pictures     Release date     February 23 , 2017 ( 2017 - 02 - 23 ) ( Spencer House )   March 17 , 2017 ( 2017 - 03 - 17 ) ( United States )             Running time   129 minutes     Country   United States     Language   English     Budget   $160 million     Box office   $1.263 billion     Beauty and the Beast is a 2017 American musical romantic fantasy film directed by Bill Condon from a screenplay written by Stephen Chbosky and Evan Spiliotopoulos , and co-produced by Walt Disney Pictures and Mandeville Films . The film is based on Disney 's 1991 animated film of the same name , itself an adaptation of Jeanne - Marie Leprince de Beaumont 's eighteenth - century fairy tale . The film features an ensemble cast that includes Emma Watson and Dan Stevens as the titular characters with Luke Evans , Kevin Kline , Josh Gad , Ewan McGregor , Stanley Tucci , Audra McDonald , Gugu Mbatha - Raw , Ian McKellen , and Emma Thompson in supporting roles .   Principal photography began at Shepperton Studios in Surrey , England on May 18 , 2015 , and ended on August 21 . Beauty and the Beast premiered on February 23 , 2017 , at Spencer House in London , and was released in the United States on March 17 , 2017 , in standard , Disney Digital 3 - D , RealD 3D , IMAX and IMAX 3D formats , along with Dolby Cinema . The film received generally positive reviews from critics and audiences , with many praising Watson and Stevens ' performances as well as the ensemble cast , faithfulness to the original animated film alongside elements from the Broadway play , visual style , production merits , and musical score , though it received criticism for some of the character designs and its excessive similarity to the original . The film grossed over $1.2 billion worldwide , becoming the highest - grossing live - action musical film , and making it the highest grossing film of 2017 and the 10th highest - grossing film of all time .     Contents  ( hide )   1 Plot   2 Cast   2.1 Cast notes     3 Production   3.1 Development   3.2 Casting   3.3 Filming   3.4 Music     4 Release   4.1 Marketing   4.2 Home media     5 Reception   5.1 Box office   5.1. 1 North America   5.1. 2 Outside North America     5.2 Critical response     6 Accolades   7 Controversies   7.1 Gay character   7.2 Belle and the Beast 's relationship     8 Notes   9 References   10 External links      Plot ( edit )   In Rococo - era France , an enchantress disguised as a beggar arrives at a ball and offers the host , a coldhearted prince , a rose for shelter . When he refuses , she transforms him into a beast and his servants into household objects , and erases the castle from the memories of their loved ones . She casts a spell on the rose and warns the prince that the curse will never lift unless he learns to love another , and earn their love in return , before the last petal falls .   Years later , in the village of Villeneuve , Belle dreams of adventure and brushes off advances from Gaston , an arrogant former soldier . Lost in the forest , Belle 's father Maurice seeks refuge in the Beast 's castle , but the Beast imprisons him for stealing a rose . Belle ventures out in search for him and finds him locked in the castle dungeon . The Beast agrees to let her take Maurice 's place .   Belle befriends the castle 's servants , who treat her to a spectacular dinner . When she wanders into the forbidden west wing and finds the rose , the Beast , enraged , scares her into the woods . She is cornered by wolves , but the Beast rescues her and is injured in the process . A friendship develops as Belle nurses his wounds . The Beast shows Belle a gift from the enchantress , a book that transports readers wherever they want . Belle uses it to visit her childhood home in Paris , where she discovers a plague doctor mask . Belle realises that she and her father were forced to leave her mother 's deathbed as her mother succumbed to the plague .   In Villeneuve , Gaston sees rescuing Belle as an opportunity to win her hand in marriage and agrees to help Maurice . When Maurice learns of his ulterior motive and rejects him , Gaston abandons him to the wolves . Maurice is rescued by the beggar Agathe , but when he tells the townsfolk of Gaston 's crime , Gaston convinces them to send Maurice to an insane asylum .   After sharing a romantic dance with the Beast , Belle discovers her father 's predicament using a magic mirror . The Beast releases her to save Maurice , giving her the mirror to remember him with . At Villeneuve , Belle proves Maurice 's sanity by revealing the Beast in the mirror to the townsfolk . Realizing that Belle loves the Beast , Gaston has her thrown into the asylum carriage with her father and rallies the villagers to follow him to the castle to slay the Beast . Maurice and Belle escape and Belle rushes back to the castle .   During the battle , Gaston abandons his companion LeFou , who then sides with the servants to fend off the villagers . Gaston attacks the Beast in his tower , who is too depressed to fight back , but regains his will upon seeing Belle return . He overpowers Gaston but spares his life before reuniting with Belle . However , Gaston fatally shoots the Beast from a bridge , but it collapses when the castle crumbles and he falls to his death . The Beast dies as the last petal falls and the servants become inanimate . When Belle tearfully professes her love to him , Agathe reveals herself as the enchantress and undoes the curse , repairing the crumbling castle and restoring the Beast 's and servants ' human forms and the villagers ' memories . The Prince and Belle host a ball for the kingdom , where they dance happily .   Cast ( edit )    Emma Watson as Belle , a beautiful and benevolent bibliophile who develops feelings for the Beast and begins to see the humanity within him .   Daisy Duczmal portrays an infant Belle .     Dan Stevens as The Prince / Beast , a cold - hearted prince who is transformed into a hideous beast and forced to earn back his humanity by learning to truly love and be loved in return .   Adam Mitchell portrays the younger version of the Prince .     Luke Evans as Gaston , a narcissistic and arrogant hunter and veteran of the French Royal Army who is willing to go as far as it takes to have Belle as his trophy wife .   Kevin Kline as Maurice , Belle 's protective widowed father .   Jolyon Coy portrays the young Maurice .     Josh Gad as LeFou , Gaston 's flamboyant and long - suffering sidekick who bolsters his friend 's ego but gets very little in return .   Ewan McGregor as Lumière , the Beast 's charismatic bouteiller who has been transformed into a candelabra .   Stanley Tucci as Maestro Cadenza , the neurotic court composer and Madame de Garderobe 's husband who has been transformed into a harpsichord .   Ian McKellen as Cogsworth , the Beast 's gruff but loyal majordomo and the head of the household staff who has been transformed into a mantel clock .   Emma Thompson as Mrs. Potts , the castle 's motherly head housekeeper who has been transformed into a teapot .   Audra McDonald as Madame de Garderobe , a world - renowned opera singer and Cadenza 's wife who has been transformed into a wardrobe .   Gugu Mbatha - Raw as Plumette , one of the castle maids and Lumière 's lover who has been transformed into a feather duster .   Nathan Mack as Chip , Mrs. Potts ' plucky son who has been transformed into a teacup .   Hattie Morahan as Agathe , an impoverished hermit and resident of Villeneuve who , in reality , is the Enchantress responsible for cursing the Prince . Morahan also narrates the prologue .   Rita Davies portrays the Enchantress in her beggar woman form .     Adrian Schiller as Monsieur D'Arque , the sly warden of the local asylum who is bribed by Gaston to have Maurice institutionalized .   Gerard Horan as Monsieur Jean Potts , an absent - minded potter and resident of Villeneuve who is later revealed to be Mrs. Potts ' husband and Chip 's father .   Haydn Gwynne as Clothilde , a resident of Villeneuve who is later revealed to be Cogsworth 's wife .   Michael Jibson as the Tavern Keeper , the owner and keeper of Villeneuve 's local tavern where Gaston and the village residents drink .   Ray Fearon as Père Robert , Villeneuve 's local chaplain who encourages Belle to borrow the books in the chapel 's meager library .   Sophie Reid , Rafaëlle Cohen , and Carla Nella as the Village Lasses , a trio of women who fawn over Gaston and have a jealousy for Belle .   Jimmy Johnston , Dean Street , and Alexis Loizon as Tom , Dick , and Stanley , a trio of men who serve as Gaston 's henchmen .   Zoe Rainey as Belle 's mother , Maurice 's late wife who contracted the plague and died when Belle was an infant .   Clive Rowe as Cuisinier , the castle 's head chef who has been transformed into a stove .   Gizmo as Frou - Frou , Maestro Cadenza 's and Madame de Garderobe 's pet Yorkshire Terrier who has been transformed into a footstool .   Thomas Padden as Chapeau , the Prince 's valet who has been transformed into a coat rack .   Tom Turner as The King , the Prince 's father who , following his wife 's death , raised his son to be just as selfish and arrogant as he was .   Harriet Jones as The Queen , the Prince 's mother who died of an illness when he was a child .    Cast notes ( edit )   ^ In the initial theatrical release , Mitchell was miscredited as Rudi Gooman in the cast , but listed under his real name in the soundtrack credits .   ^ In the initial theatrical release , Turner is miscredited as Henry Garrett in the cast .   Stephen Merchant also appeared in the film as Monsieur Toilette , a servant who was turned into a toilet . This character was cut from the film , but is featured in the deleted scenes .   Production ( edit )   Development ( edit )   Previously , Disney had begun work on a film adaptation of the 1994 Broadway musical . However , in a 2011 interview , composer Alan Menken stated the planned film version of the Beauty and the Beast stage musical `` was canned '' .   By April 2014 , Walt Disney Pictures had already begun developing a new live - action version and remake of Beauty and the Beast after making other live - action fantasy films such as Alice in Wonderland , Maleficent , Cinderella and The Jungle Book . In June 2014 , Bill Condon was signed to direct the film from a script by Evan Spiliotopoulos . Later in September of that same year , Stephen Chbosky ( who had previously directed Watson in The Perks of Being a Wallflower ) was hired to re-write the script .   Before Condon was hired to direct the film , Disney approached him with a proposal to remake the film in a more radical way as Universal Studios had remade Snow White and the Huntsman ( 2012 ) . Condon later explained that `` after Frozen opened , the studio saw that there was this big international audience for an old - school - musical approach . But initially , they said , ' We 're interested in a musical to a degree , but only half full of songs . ' My interest was taking that film and doing it in this new medium -- live - action -- as a full - on musical movie . So I backed out for a minute , and they came back and said , ' No , no , no , we get it , let 's pursue it that way . ' '' Walt Disney Pictures president of production Sean Bailey credited Walt Disney Studios chairman Alan F. Horn with the decision to make the film as a musical : `` We worked on this for five or six years , and for 18 months to two years , Beauty was a serious dramatic project , and the scripts were written to reflect that . It was n't a musical at that time . But we just could n't get it to click and it was Alan Horn who championed the idea of owning the Disney of it all . We realized there was a competitive advantage in the songs . What is wrong with making adults feel like kids again ? ''   Casting ( edit )   In January 2015 , Emma Watson announced that she would be starring as Belle , the female lead . Watson was the first choice of Walt Disney Studios chairman Alan F. Horn , as he had previously overseen Warner Bros. which released the eight Harry Potter films that co-starred Watson as Hermione Granger . Two months later , Luke Evans and Dan Stevens were revealed to be in talks to play Gaston and the Beast respectively , and Watson confirmed their casting the following day through tweets . The rest of the principal cast , including Josh Gad , Emma Thompson , Kevin Kline , Audra McDonald , Ian McKellen , Gugu Mbatha - Raw , Ewan McGregor and Stanley Tucci were announced between March and April to play LeFou , Mrs. Potts , Maurice , Madame de Garderobe , Cogsworth , Plumette , Lumière and Cadenza , respectively .   Susan Egan , who originated the role of Belle on Broadway , commented on the casting of Watson as `` perfect '' . Paige O'Hara , who voiced Belle in the original animated film and its sequels , offered to help Watson with her singing lessons .   According to The Hollywood Reporter , Emma Watson was reportedly paid $3 million upfront , together with an agreement that her final take - home pay could rise as high as $15 million if the film generated gross box office income similar to Maleficent 's $759 million worldwide gross .   Filming ( edit )   Principal photography on the film began at Shepperton Studios in Surrey , England , on May 18 , 2015 . Filming with the principal actors concluded on August 21 . Six days later , co-producer Jack Morrissey confirmed that the film had officially wrapped production .   The Beast was portrayed with a `` more traditional motion capture puppeteering for the body and the physical orientation '' , where actor Dan Stevens was `` in a forty - pound gray suit on stilts for much of the film '' . The facial capture for the Beast was done separately in order to `` communicate the subtleties of the human face '' and `` ( capture the ) thought that occurs to him '' which gets `` through ( to ) the eyes , which are the last human element in the Beast . '' The castle servants who are transformed into household objects were created with CGI animation .   Before the release of the film , Bill Condon refilmed one certain sequence in the `` Days of the Sun '' number , due to confusion among test audiences caused by actress Harriet Jones , who looked similar to Hattie Morahan , who portrayed Agathe . In the original version of the scene , it was Jones ' character , the Prince 's mother , who sings the first verse of the song , with Rudi Goodman playing the young Prince and Henry Garrett playing his father ; but in the reshot version of the scene , the singing part is given to the Prince ( now played by Adam Mitchell ) . The King was also recast to Tom Turner , although Harriet Jones was still the Queen , albeit with dark hair . Both Goodman and Garrett 's names were mistakenly featured in the original theatrical release 's credits , but was later corrected in home releases .   Music ( edit )  Main article : Beauty and the Beast ( 2017 soundtrack )  When released in 1991 , Beauty and the Beast marked a turning point for Walt Disney Pictures by appealing to millions of fans with its Oscar - winning musical score by lyricist Howard Ashman and composer Alan Menken . In Bill Condon 's opinion , that original score was the key reason he agreed to direct a live - action version of the movie . `` That score had more to reveal '' , he says , `` You look at the songs and there 's not a clunker in the group . In fact , Frank Rich described it as the best Broadway musical of 1991 . The animated version was already darker and more modern than the previous Disney fairytales . Take that vision , put it into a new medium , make it a radical reinvention , something not just for the stage because it 's not just being literal , now other elements come into play . It 's not just having real actors do it '' .   Condon initially prepared on only drawing inspiration from the original film , but he also planned to include most of the songs composed by Alan Menken , Howard Ashman and Tim Rice from the Broadway musical , with the intention of making the film as a `` straight - forward , live - action , large - budget movie musical '' . Menken returned to score the film 's music , which features songs from the original film by him and Howard Ashman , plus new material written by Menken and Tim Rice . Menken said the film will not include songs that were written for the Broadway musical and instead , created four new songs . However , an instrumental version of the song `` Home '' , which was written for the musical , is used during the scene where Belle first enters her room in the castle .   On January 19 , 2017 , it was confirmed by both Disney and Céline Dion - singer of the original 1991 Beauty and the Beast duet song , with singer Peabo Bryson - that Dion would be performing one of the new original songs `` How Does a Moment Last Forever '' to play over the end titles . She originally had doubts about whether or not to record the song due to the recent death of her husband and manager René Angélil , who had previously helped her secure the 1991 pop duet . While ultimately accepting the opportunity , she said : `` ( The ) first Beauty and the Beast decision was made with my husband . Now I 'm making decisions on my own . It 's a little bit harder . I could n't say yes right away , because I felt like I was kind of cheating in a way ''. ( 18 ) She eventually felt compelled to record the song because of the impact Beauty and the Beast has had on her career . According to Dion , `` I was at the beginning of my career , it put me on the map , it put me where I am today ''. ( 9 ) Also , Josh Groban was announced to be performing the new original song `` Evermore '' on January 26 , 2017 .   The 2017 film features a remake of the 1991 original song Beauty and the Beast recorded as a duet by Ariana Grande and John Legend . Grande and Legend 's updated version of the Beauty and the Beast title song is faithful to the original , Grammy - winning duet , performed by Céline Dion and Peabo Bryson for the 1991 Disney classic .   Emma Thompson also performed a rendition of `` Beauty and the Beast '' , which was performed by Angela Lansbury in the original 1991 animated film release .   Disney debuted the music video for Ariana Grande and John Legend 's interpretation of the title song `` Beauty and the Beast '' on Freeform television network on March 5 , 2017 , and it has since attained over 100 million video views on the Vevo video hosting service .   Release ( edit )   On March 16 , 2015 , Disney announced the film would be released in 3D on March 17 , 2017 . The first official presentation of the film took place at Disney 's three - day D23 Expo in August 2015 .   The world premiere of Beauty and the Beast took place on February 23 , 2017 , at Spencer House in London , England ; and the film later premiered at the El Capitan Theatre in Hollywood , California , on March 2 , 2017 . The stream was broadcast onto YouTube .   A sing along version of the film released in over 1,200 US theaters nationwide on April 7 , 2017 . The United Kingdom received the same version on April 21 , 2017 .   Marketing ( edit )   Disney spent around $140 million for marketing the film worldwide . Following an announcement on May 22 , 2016 , Disney premiered the first official teaser trailer on Good Morning America the next day . In its first 24 hours , the teaser trailer reached 91.8 million views , which topped the number of views seen in that amount of time in history , including for the teasers for other films distributed by Disney such as Avengers : Age of Ultron , Star Wars : The Force Awakens and Captain America : Civil War . This record has since been broken by Thor : Ragnarok and It . The first official teaser poster was released on July 7 , 2016 . On November 2 , 2016 , Entertainment Weekly debuted the first official image on the cover of their magazine for the week along with nine new photos as well . One week later , Emma Watson and Disney debuted a new poster for the film . On November 14 , 2016 , the first theatrical trailer was released again on Good Morning America . The trailer reached 127.6 million views in its first 24 hours , setting a new record as the trailer with the most views in one day , beating out Fifty Shades Darker . This record has since been broken again by The Fate of the Furious . A TV spot with Watson singing was shown during the 74th Golden Globe Awards . Disney released the final trailer on January 30 , 2017 .   Home Media ( edit )   Beauty and the Beast was released on Blu - ray , DVD and Digital HD on June 6 , 2017 . The film debuted at No. 1 on the NPD VideoScan overall disc sales chart , with all other titles in the top 20 , collectively , selling only 40 % as many units as Beauty and the Beast . The movie regained the top spot on the national home video sales charts during its third week of release .   Reception ( edit )   Box Office ( edit )  Praised for her performance as Belle worldwide , Beauty and the Beast is Emma Watson 's second highest - grossing film , behind only the final Harry Potter film , Harry Potter and the Deathly Hallows -- Part 2 .  Beauty and the Beast grossed $504 million in the United States and Canada and $758.6 million in other territories for a worldwide gross of $1.262 billion . With a production budget of $160 million , it is the second-most expensive musical ever made ; only Hello , Dolly ! ( 1969 ) with a budget of $25 million ( $165 million in 2016 dollars ) cost more . In just ten days , it became the highest - grossing live - action musical of all time , beating the nine - year - old record held by Mamma Mia ! . It is currently the second biggest musical ever overall , behind Disney 's Frozen ( 2013 ) . Worldwide , the film proved to be a global phenomenon , earning a total of $357 million over its four - day opening weekend from 56 markets . Critics said the film was playing like superhero movies amongst women . It was the second biggest March global opening , behind only Batman v Superman : Dawn of Justice , the thirteenth - biggest worldwide opening ever and the seventh - biggest for Disney . This includes $21 million from IMAX plays on 1,026 screens , a new record for an IMAX PG title . It surpassed the entire lifetime total of the original film in just six days .   Beauty and the Beast is the 300th digitally remastered release in IMAX company 's history , which began with the re-release of Apollo 13 in 2002 . Its robust global debut helped push the company past $6 billion for the first time , and led to analysts believing that the film had a shot of passing $1 billion worldwide from theatrical earnings . On April 12 , it passed the $1 billion threshold , becoming the first film of 2017 , the fourteenth Disney film , and the twenty - ninth film overall to pass the mark . It became the first film since Rogue One ( also a Disney property ) in December 2016 to make over a billion dollars , and did so on its twenty - ninth day of release . It is currently the highest - grossing film of 2017 , the highest - grossing March release , the highest - grossing remake of all - time , and the fifth biggest Disney film . Even after inflation adjusted , it is still ahead of the $425 million gross ( $760 million in 2017 dollars ) of the original film .  North America ( edit )  In the United States and Canada , Beauty and the Beast topped Fandango 's pre-sales and became the fastest - selling family film in the company 's history , topping the studio 's own animated film Finding Dory released the previous year . Early tracking had the film grossing around $100 million in its opening weekend , with some publications predicting it could reach $130 million . By the time the film 's release was 10 days away , analysts raised projections to as high as $150 million . It earned $16.3 milion from Thursday previews night , marking the biggest of 2017 ( breaking Logan 's record ) , the biggest ever for a Disney live - action film ( breaking Maleficent 's record ) , the second biggest ever for both a G or PG - rated film ( behind the sixth Harry Potter film Harry Potter and the Half - Blood Prince which also starred Watson ) , and the third biggest ever in the month of March ( behind Batman v Superman : Dawn of Justice and The Hunger Games ) . An estimated 41 % of the gross came from IMAX , 3D and premium large format screenings which began at 6 pm , while the rest -- 59 % -- came from regular 2D shows which began at 7 p.m. The numbers were considered more impressive given that the film played during a school week .   On its opening day , the film made $63.8 million from 4,210 theaters across 9,200 screens , marking the third biggest in the month of March , trailing behind Batman v Superman ( $81.5 million ) and The Hunger Games ( $67 million ) . It was also the biggest opening day ever for a film that was n't PG - 13 , displacing the $58 million opening Wednesday of Harry Potter and the Half - Blood Prince . Its opening day alone ( which includes Thursday 's previews ) almost matched the entire opening weekend of previous Disney live - action films , Maleficent ( $69.4 million ) and Cinderella ( $67.9 million ) . Unlike all previous four Disney live - action films witnessing a hike on their second day , Saturday , Beauty and the Beast actually fell - 2 % , but nevertheless , the dip was paltry , and the grosses are so much bigger compared to the other titles . Earning a total of $174.8 million on its opening weekend , it defied all expectations and went on to set numerous notable records . This includes the biggest opening of the year as well as the biggest for the month of March and pre-summer / spring opening , beating Batman v Superman , the biggest start ever for a PG title ( also for a family film ) , surpassing Finding Dory , the biggest debut of all time for a female - fueled film , ahead of The Hunger Games : Catching Fire , the biggest for a Disney live - action adaptation , ahead of Alice in Wonderland and the biggest musical debut ever , supplanting Pitch Perfect 2 . Furthermore , it is also Watson 's highest - opening , beating Harry Potter and the Deathly Hallows -- Part 2 same with Emma Thompson , director Bill Condon 's biggest debut ever ahead of The Twilight Saga : Breaking Dawn -- Part 2 and the biggest outside of summer , save for Star Wars : The Force Awakens , not accounting for inflation .   It became the forty - third film to debut with over $100 million and the fifteenth film to open above $150 million . Its three - day opening alone surpassed the entire original North American run of the first film ( $146 million ; before the 3D re-release ) , instantly becoming the second biggest film of the year , behind Logan ( $184 million ) , and also the second highest - grossing musical , behind Grease 's $188 million cumulative gross in 1978 . 70 % of the total ticket sales came from 2D showings signifying that people who do n't go to theaters frequently came out in bulk to watch the film . About 26 % of the remaining tickets were for 3D . IMAX accounted for 7 % ( $12.5 million ) of the total weekend 's gross , setting a new record for a PG title , ahead of Alice in Wonderland ( $12.1 million ) while PLF repped 11 % of the box office . 70 % of the film 's opening day demographic was female , dropping to 60 % through the weekend . According polling service PostTrak , about 84 percent of American parents who saw the film on its opening day said they would `` definitely '' recommend it for families . The film 's opening was credited to positive word of mouth from audiences , good reviews from critics , effective marketing which sold the title not just as a family film but also as a romantic drama , the cast 's star power ( especially Emma Watson ) , lack of competition , being the first family film since The Lego Batman Movie a month earlier , nostalgia , and the success and ubiquity of the first film and Disney 's brand .   On Monday , its fourth day of release , the film fell precipitously by 72 % earning $13.5 million . The steep fall was due to a limited marketplace where only 11 % K - 12 and 15 % colleges were off per ComScore . Nevertheless , it is the second biggest March Monday , behind Batman v Superman ( $15 million ) . This was followed by the biggest March and pre-summer Tuesday with $17.8 million , a + 32 % increase from its previous day . The same day , the film passed $200 million in ticket sales . It earned $228.6 million in the first week of release , the sixth - biggest seven - day gross of all time . In its second weekend , the film continued to maintain the top positioning and fell gradually by 48 % earning another $90.4 million to register the fourth - biggest second weekend of all time , and the third - biggest for Disney . In terms of percentage drop , its 48 % decline is the third - smallest drop for any film opening above $125 million ( behind Finding Dory and The Force Awakens ) . The hold was notable considering how the film was able to fend off three new wide release ; Power Rangers , Life , and CHiPs . As a result , it passed the $300 million threshold becoming the first film of 2017 the pass said mark . The film grossed $45.4 million in its third weekend , finally being overtaken for the top spot by newcomer The Boss Baby ( $50.2 million ) . On April 4 , 2017 , its nineteenth day of release , it passed the $400 million threshold becoming the first film of 2017 to do so . By its fourth weekend , the film began was playing in 3,969 cinemas , a fall of 241 theaters from its previous weekend . Of those , approximately 1,200 cinemas were sing - along versions . It earned $26.3 million ( - 48 % ) and retained second place . By comparison , previous Disney films Moana ( − 8 % ) and Frozen ( − 2 % ) both witnessed mild percentage declines the weekend their sing - alone versions were released . Its seventh weekend of release was in contemporaneous with another Emma Watson - starring new film The Circle . That weekend , The Circle was number four , while Beauty and the Beast was at number six . By May 28 , the film had earned over $500 million in ticket sales becoming the first ( and currently only ) film of 2017 , the third female - fueled film ( after The Force Awakens and Rogue One : A Star Wars Story followed by Wonder Woman ) and the eighth overall film in cinematic history to pass the mark .   It has already become the biggest March release , dethroning The Hunger Games ( 2012 ) , the biggest musical film ( both animated and live - action ) , as well as the biggest film of 2017 .  Outside North America ( edit )  Internationally , the film began playing on Thursday , March 16 , 2017 . Through Sunday , March 19 , it had a total international opening of $182.3 million from 55 markets , 44 of which were major territories , far exceeding initial estimations of $100 million and opened at No. 1 in virtually all markets except Vietnam , Turkey , and India . Its launch is the second biggest for the month of March , behind Batman v Superman ( $256.5 million ) . In IMAX , it recorded the biggest debut for a PG title ( although it carried varying certificate amongst different markets ) with $8.5 million from 649 screens , the second biggest for a PG title behind The Jungle Book . In its second weekend , it fell just by - 35 % earning another $120.6 million and maintaining its first position hold . It added major markets like France and Australia . It top the international box office for three consecutive weekends before finally being dethroned by Ghost in the Shell and The Boss Baby in its fourth weekend . Despite the fall , the film helped Disney push past the $1 billion thresold internationally for the first time in 2017 .   It scored the bigg</t>
  </si>
  <si>
    <t xml:space="preserve">who plays the dad in beauty and the beast 2017</t>
  </si>
  <si>
    <t xml:space="preserve"> Kevin Kline as Maurice , Belle 's protective widowed father .   Jolyon Coy portrays the young Maurice .   </t>
  </si>
  <si>
    <t xml:space="preserve">Music of Game of Thrones - wikipedia  Music of Game of Thrones    Ramin Djawadi is the composer of the Game of Thrones score .  The music for the fantasy TV series Game of Thrones is composed by Ramin Djawadi . The music is primarily instrumental with the occasional vocal performances , and is created to support musically the characters and plots of the show . It features various themes , the most prominent being the Main Title that accompanies the series ' title sequence . In every season , a soundtrack album would be released .   The music of Game of Thrones has inspired many cover versions ; the main title theme is particularly popular . There are also decidedly non-medieval renditions of songs from the series 's source novels by indie bands . These adaptations , according to Wired , create attention for the series in media that would n't normally cover it , but are also notable for their musical merits independent of the series .   A series of concerts which featured Game of Thrones music , Game of Thrones Live Concert Experience with composer Ramin Djawadi , took place in 2017 . First to be performed in Saint Paul , Minnesota , it then went on to tour across the United States and Canada . A world tour to be held starting May 2018 in Madrid was announced in September 2017 .   Contents    1 Background   2 Themes   2.1 Main Title   2.2 Houses and characters   2.3 List of themes     3 Other compositions and songs   4 Releases   4.1 Soundtracks   4.2 Studio albums   4.3 Mixtapes     5 Tours   6 Awards   6.1 Awards and nominations     7 See also   8 References    Background ( edit )   Initially a different composer , Stephen Warbeck , was hired for the pilot episode of Game of Thrones but he left the project . The music consultant for HBO and music supervisor of Game of Thrones Evyen Klean then suggested Ramin Djawadi to David Benioff and D.B. Weiss . Djawadi , although initially interested , declined the offer three days later as the schedule conflicted with a film he was working on . Djawadi was nevertheless persuaded to take on the project after a few meetings . The showrunners Benioff and Weiss sent Djawadi the first two episodes of the series , which Djawadi was impressed by , and so arranged a meeting with Benioff and Weiss to discuss the concept of the series , after which he began to compose the music for the series . According to Djawadi , Benioff and Weiss wanted the different characters and plots to be musically supported . They decided that the music would be used to express the emotion and mood of each scene in the series , and that distinct themes would be created for some of the main characters . Benioff and Weiss also wanted a soundscape that is distinct from other productions in the fantasy genre , therefore flutes and solo vocals were initially avoided , and cello became a prominent feature of the music of Game of Thrones , notably in its title theme .   The process of composition is essentially the same throughout the series . Once the filming is nearly completed , episodes are sent to Djawadi in batches as they 're being edited together but often before any special effects added in the footage , and these episodes may be sent singly or in set of multiple episodes . Benioff and Weiss would also inform Djawadi in advance of the need to expand a theme or create new themes for characters . Asked in interview about the overall process of composing the music and how it is used in the series , Djawadi said : `` I sit with David and Dan and we do what 's called a spotting session where we watch the entire episode and then discuss when music should start and stop . Everybody 's very involved with that . And it constantly gets played with . What I love about Game of Thrones is that the positioning of the music is so well done , because it 's not overdone . When the music cuts in , it really has something to say . ''   The recordings of most of the soundtracks were conducted in Prague with The Czech Film Orchestra and Choir . Djawadi interacted with the orchestra over the internet and would be present during the entire recording session , giving comments on the recordings via the internet .   Themes ( edit )   Main title ( edit )  Main article : Game of Thrones Theme      Game of Thrones ' main title theme Sample of `` Main Title '' , the series 's musical theme tune , illustrating the melody played with cello and variations of the riff in strings     Problems playing this file ? See media help .     According to Djawadi , the series creators wanted the main title theme that accompany the Game of Thrones title sequence to be about a journey as there are many locations , characters in the series and involves much traveling . After Djawadi had seen the preliminary animated title sequence the visual effect artists were still working on , he was inspired to write the piece . Djawadi said he intended to capture the overall impression of the series with the theme tune . The title theme is unusually long for a television series at nearly two minutes long , and cello was chosen as the main instrument for the music as he thought it has a `` darker sound '' that suited the series . The main title theme may also be incorporated into other music segments within the show , particularly at climactic moments .   Houses and characters ( edit )   Djawadi composed leitmotifs for each of the major houses , some locations and some of the characters , which are often played in scenes involving them and these themes can be used to tell a story . Not all characters would have their own themes due to the large number of characters in the series . The theme for House Stark is the first theme to be composed and is played on a cello . Most of the Stark characters only have variations on the same theme on cello . Arya Stark is the first of the house to have her own theme , first heard when she started her lesson on swordplay in episode three of season one , with the music featuring a hammered dulcimer . A new theme for Jon Snow , previously using only the House Stark theme , was created in the sixth season and prominently featured in the episode `` Battle of the Bastards '' . It was first heard at the end of episode three when he said `` My watch is ended '' , signifying a shift in the character after he had been resurrected .   Due to the large number of themes , the introductions of different themes are also deliberately spaced over a longer period so as not to confuse audience , for example , the theme for Theon Greyjoy was not introduced until the second season even though he first appeared in the first season . House Lannister has an associated song , `` The Rains of Castamere '' . The song was played at the Red Wedding , but first heard when Tyrion Lannister whistled a small part in the first episode of the second season .   Djawadi may choose distinctive sounds and instruments for different themes , for example , didgeridoos are used for the wildlings , while the Armenian duduk flute is used for the Dothrakis . The duduk flute has a different sound from other flutes , which were deliberately avoided as they are frequently used in other fantasy films . The themes for the White Walkers and the Night King are more of sound designs rather than regular themes ; the White Walker theme initially employed a glass harmonica for a `` really high , eerie , icy sound '' , but became fully orchestral when the army of the dead was revealed in the season two finale . The theme music for the White Walker extended over time into the music of the Army of the Dead , representing the gathering strength of Army of the Dead , which was only introduced in full in the finale of the seventh season when the Wall fell .   The themes may evolve over time in the series . The theme for Daenerys Targaryen started small , but became grander as she became more powerful . Her theme was initially played with a single instrument such as a processed cello , but later began incorporating more instruments , including Japanese taiko - inspired drums , Indonesian bedug drums , and an Armenian duduk flute . Syllables and words in Valyrian , a fictional language of Game of Thrones , were also used in her theme music , although not as whole sentences . The instrumentations for her theme are also used for dragon attacks .   Different themes may also be combined in some themes and scenes . Several examples exist : during the first scene of the fourth season , as Ice , the Stark sword , is reforged by Tywin Lannister , the Starks ' and Lannisters ' themes are clearly played simultaneously , to finally end with the Lannister theme only . Also , in Season 5 , the music for House of Black and White is an extension from the themes for Arya and Jaqen H'ghar . In the finale of Season 6 with the shot of the armada at the end , at least five themes were combined -- themes for Daenerys , Theon , the Unsullied , the dragons , and the main title .   List of themes ( edit )   The themes and their locations in the soundtracks ( seasons 1 -- 7 ) :    Game of Thrones ( `` Main Title '' , `` Winter Has Come '' ) ,   White Walkers ( `` White Walkers '' ) ,   House Stark ( `` Goodbye Brother '' , `` Home '' ) ,   House Baratheon ( `` The King 's Arrival '' ) ,   Daenerys and Khal Drogo ( `` Love In The Eyes '' ) ,   Dragons ( `` Mother of Dragons '' , `` Breaker of Chains '' ) ,   Daenerys Targaryen ( `` Finale '' , `` Mhysa '' )   Night 's Watch ( `` The Wall '' ) ,   Water Dancing ( `` The Pointy End '' ) ,   Viserys Targaryen ( `` A Golden Crown '' )   Dothraki ( `` To Vaes Dothrak '' ) ,   Joffrey Baratheon ( `` You Win Or You Die '' )   House Greyjoy ( `` What Is Dead May Never Die '' , `` Pay the Iron Price '' ) ,   R'hllor Religion ( `` Warrior of Light '' , `` The Red Woman '' ) ,   Arya Stark ( `` Valar Morghulis '' , `` Needle '' ) ,   Qarth ( `` Qarth '' ) ,   Love ( `` I Am Hers , She Is Mine '' ) ,   Pyat Pree ( `` Pyat Pree '' ) ,   Craster 's Keep ( `` Craster 's Keep '' ) ,   Wildlings ( `` We Are the Watchers On the Wall '' ) ,   House Lannister ( `` A Lannister Always Pays His Debts '' , `` The Queen 's Justice '' ) ,   White Walker March ( `` White Walkers '' ) ,   Dracarys ( `` Dracarys '' ) ,   Jon and Ygritte ( `` You Know Nothing '' , `` The Real North '' )   Night 's Watch Adventure ( `` Wall of Ice '' ) ,   Jaime Lannister ( `` Kingslayer '' ) ,   White Walker Arrival ( `` White Walkers '' ) ,   Ramsay Bolton ( `` Reek '' ) ,   The Red Wedding ( `` The Lannisters Send Their Regards '' ) ,   Dragon Flight ( `` Blood of the Dragon '' ) ,   Grey Worm and Missandei ( `` I 'm Sorry For Today '' ) ,   Thenns ( `` Thenns '' ) ,   Battle of Castle Black ( `` Let 's Kill Some Crows '' ) ,   Meereen ( `` Meereen '' ) ,   Three - Eyed Raven ( `` Three - Eyed Raven '' ) ,   The Hound ( `` Oathkeeper '' ) ,   Battle at the Cave of the Three - Eyed Raven ( `` He Is Lost '' ) ,   The Children ( `` He Is Lost '' ) ,   Faceless Men ( `` House of Black and White '' ) ,   House Martell ( `` Jaws of the Viper '' )   The Night King ( `` Hardhome , Pt. 2 '' )   High Sparrow ( `` High Sparrow '' ) ,   House Bolton ( `` Let 's Play a Game '' ) ,   Sons of the Harpy ( `` Sons of the Harpy '' ) ,   Queen Cersei ( `` Light of the Seven '' ) ,   Euron Greyjoy ( `` Coronation '' ) ,   Jon Snow ( `` My Watch Has Ended '' ) ,   The Citadel ( `` Maester '' ) ,   Dragon Landing ( `` Reign '' ) ,   Dragon Awe ( `` Reign '' ) ,   House Tyrell ( `` Service of the Gods '' ) ,   The Mountain ( `` I Choose Violence '' ) ,   Dragonglass ( `` Dragonglass '' ) ,   Jon and Daenerys ( `` Dragonglass '' , `` Truth '' )   etc .    Other compositions and songs ( edit )   Various pieces of music are also composed for particular plot lines in the series . A notable piece is the `` Light of the Seven '' which is played at the beginning of the final episode of the sixth season , `` The Winds of Winter '' . This piece , which is over nine minutes long , is unusual in its choice of piano which is not an instrument used before on the series . Such long pieces are seldom used , although in the sixth season there are soundtracks that cover a 10 - minute section in the Hodor scenes in `` The Door '' episode and a 22 - minute sequence in the `` Battle of the Bastards '' episode .   A number of songs have been composed by Djawadi for the show using lyrics from the books A Song of Ice and Fire , the most prominent of which is `` The Rains of Castamere '' . The National recorded the song in the second season , while Sigur Rós also recorded it in the fourth season for a cameo appearance . In season 3 , Kerry Ingram who played the character Shireen Baratheon sang `` It 's Always Summer Under the Sea '' , while The Bear and the Maiden Fair '' was performed by The Hold Steady ( but first sung on the episode by the captors of Brienne of Tarth and Jaime Lannister ) . The character Bronn played by Jerome Flynn sang `` The Dornishman 's Wife '' in season 5 , while Ed Sheeran also appeared in a cameo to perform `` Hands of Gold '' in season 7 . However , neither of the latter two songs appear in the soundtrack albums .   Releases ( edit )   In every season , a soundtrack album of the music used in that season was released toward the end of the season . The first two were released by Varèse Sarabande , while all subsequent releases were by WaterTower Music . Mixtapes were also released in 2014 and 2015 before the start of the fourth and fifth season respectively and they were available as free downloads to promote the season .   Soundtracks ( edit )     Year   Title   Composer   Ref ( s )     2011   Game of Thrones ( season 1 )   Ramin Djawadi       2012   Game of Thrones ( season 2 )       2013   Game of Thrones ( season 3 )       2014   Game of Thrones ( season 4 )       2015   Game of Thrones ( season 5 )       2016   Game of Thrones ( season 6 )       2017   Game of Thrones ( season 7 )       2019   Game of Thrones ( season 8 )       Studio albums ( edit )     Year   Title   Artist   Ref ( s )     2019   Music Inspired by Game of Thrones   Various       Mixtapes ( edit )     Year   Title   Artist   Ref ( s )     2014   Catch the Throne : Volume I   Various       2015   Catch the Throne : Volume II   Various       Tours ( edit )  Main article : Game of Thrones Live Concert Experience  A concert tour featuring the music of Game of Thrones was produced in 2017 . The tour involved an 80 - piece orchestra , a choir , and seven custom 360 - degree stages . Instruments were specially created for the tour , such as a 12 - foot Wildling horn played during the Wildling attack on the Wall section . A world tour was also arranged for cities in Europe and North America in 2018 , with new music from season 7 added .   Awards ( edit )   Awards and nominations ( edit )     Year   Award   Category   Nominee ( s )   Result   Ref .     2011   International Film Music Critics Association   Best Original Score for a Television Series     Nominated       2012   ASCAP Awards   Top Television Series     Won       2013   ASCAP Awards   Top Television Series     Won       International Film Music Critics Association   Best Original Score for a Television Series     Nominated       2014   66th Primetime Creative Arts Emmy Awards   Outstanding Music Composition For A Series ( Original Dramatic Score )   Episode : `` The Mountain and the Viper ''   Nominated       Hollywood Music in Media Awards   Best Original Score - TV Show / Digital Streaming Series     Nominated       2016   World Soundtrack Awards   Television Composer of the Year     Nominated       International Film Music Critics Association   Best Original Score for a Television Series     Won       Film Music Composition Of The Year   Song : `` Light of the Seven ''   Nominated       2018   60th Annual Grammy Awards   Best Score Soundtrack For Visual Media     Nominated       70th Primetime Creative Arts Emmy Awards   Outstanding Music Composition For A Series   Episode : `` The Dragon and the Wolf ''   Won       See also ( edit )    For other music based on the A Song of Ice and Fire novels , see Works based on A Song of Ice and Fire .    References ( edit )    Jump up ^ Lynch , Joe ( August 22 , 2016 ) . `` These Are the 10 Most Popular ' Game of Thrones ' Cover Songs on YouTube : Exclusive '' . Billboard .   ^ Jump up to : Watercutter , Angela ( April 15 , 2013 ) . `` Why HBO Turned to Indie Bands for the Medieval Tunes of Game of Thrones '' . Wired . Retrieved April 17 , 2013 .   ^ Jump up to : `` Game of Thrones concert experience hits the road in 2017 '' . The Guardian . August 8 , 2016 . Archived from the original on August 21 , 2016 . Retrieved January 29 , 2017 .   Jump up ^ Selcke , Dan ( February 21 , 2017 ) . `` The Game of Thrones Live Concert Experience has begun , and fans love it '' . Winteriscoming.net . Archived from the original on February 22 , 2017 . Retrieved March 1 , 2017 .   Jump up ^ Tenreyro , Tatiana ( September 26 , 2017 ) . `` ' Game of Thrones ' Live Concert Experience Announces 2018 World Tour '' . Billboard .   Jump up ^ `` Thrones Switches Composer '' . Winter is Coming . February 2 , 2011 .   Jump up ^ Kawashima , Dale ( February 24 , 2016 ) . `` Interview With Evyen Klean , Top Music Supervisor and Owner of Neophonic '' . Songwriter Universe .   Jump up ^ Davis , Cindy ( September 12 , 2016 ) . `` Mindhole Blowers : 20 Facts About `` Game of Thrones '' That Might Leave You Crippled , a Bastard or a Broken Thing `` . Pajiba .   ^ Jump up to : Renfro , Kim ( July 7 , 2016 ) . `` Meet the musical genius behind the Game of Thrones soundtrack who watches each season before anyone else '' . Tech Insider . Archived from the original on July 8 , 2016 .   ^ Jump up to : Mahoney , Lesley ( September 20 , 2013 ) . `` Behind the Scenes with Game of Thrones Composer Ramin Djawadi '' . Berklee College of Music .   ^ Jump up to : Ferreiro , Laura ( April 25 , 2013 ) . `` Game of Thrones ' Composer Ramin Djawadi Talks Epic Score , Daenerys ' Dragons , and Metal ' Thrones ' Theme '' . Yahoo ! Music .   ^ Jump up to : `` Composer Interview : Ramin Djawadi '' . Filmmusicmedia.com . December 22 , 2012 . Retrieved January 4 , 2013 .   Jump up ^ Blickley , Leigh ( June 29 , 2016 ) . `` ' Game Of Thrones ' Composer Breaks Down The Season Finale 's Opening Sequence '' . The Huffington Post . Archived from the original on August 17 , 2016 . Retrieved October 10 , 2016 .   ^ Jump up to : Hirway , Hrishikesh ; Djawadi , Ramin ( June 11 , 2015 ) . `` Here 's Why Game of Thrones Theme Song Is as Treacherous as Westeros '' . The Creators Project .   Jump up ^ Hirway , Hrishikesh . `` Song Exploder 40 : RAMIN DJAWADI ( '' Game of Thrones `` ) '' . Soundcloud .   ^ Jump up to : Bell , Crystal ( February 17 , 2017 ) . `` Inside the Epic Game of Thrones Tour That 's Bringing Westeros to Life '' . MTV .   ^ Jump up to : Vineyard , Jennifer . `` Game of Thrones Composer Ramin Djawadi on the Show 's Key Musical Elements , and That Godfather-esque Finale Tune '' . Vulture .   ^ Jump up to : Morton , Ashley ( February 17 , 2017 ) . `` Ramin Djawadi Shares Secrets of GoT Composing , Characters and Concerts '' . Making Game of Thrones ( HBO ) .   ^ Jump up to : Selcke , Dan . `` Video : Game of Thrones Composer Ramin Djawadi on Writing the Show 's Music '' . Winter Is Coming .   Jump up ^ Kalus , Ruben ( April 22 , 2016 ) . `` No flutes allowed : Composer Ramin Djawadi on the music of ' Game of Thrones ' '' . Deutsche Welle .   Jump up ^ Li , Shirley ( August 29 , 2017 ) . `` Game of Thrones composer breaks down season 7 finale score '' . Entertainment Weekley .   Jump up ^ Misra , Sulagna ( June 12 , 2015 ) . `` Inside the Music of Game of Thrones Season 5 '' . Vanity Fair .   ^ Jump up to : Wigler , Josh ( June 28 , 2016 ) . `` ' Game of Thrones ' Composer Discusses `` Light of the Seven , '' the Finale 's `` Haunting '' King 's Landing Score `` . Hollywood Reporter .   Jump up ^ Cooper , Leonie ( April 4 , 2014 ) . `` Sigur Ros to cover The National for ' Game Of Thrones ' soundtrack '' . NME .   Jump up ^ March 5 , 2013 , James . `` ' Game of Thrones ' and the Hold Steady team for season 3 song '' . EW.com .   Jump up ^ Vincent , Alice ( July 18 , 2017 ) . `` The secret meaning of Ed Sheeran 's Game of Thrones character - and the song he sings '' . The Daily Telegraph .   Jump up ^ Battan , Carrie ( March 5 , 2014 ) . `` Game of Thrones '' Official HBO Mixtape to Feature Big Boi , Common , Wale , More `` . Pitchfork .   Jump up ^ Camp , Zoe ( March 17 , 2015 ) . `` Stream Catch the Throne Vol. 2 , Official `` Game of Thrones '' Mixtape `` . Pitchfork .   Jump up ^ `` Game of Thrones by Ramin Djawadi '' . AllMusic . Retrieved July 20 , 2011 .   Jump up ^ `` Game of Thrones : Season 2 by Ramin Djawadi '' . Retrieved July 20 , 2012 .   Jump up ^ `` Game of Thrones : Season 3 by Ramin Djawadi '' . Retrieved July 20 , 2013 .   Jump up ^ `` Game of Thrones : Season 4 by Ramin Djawadi '' . Retrieved July 20 , 2014 .   Jump up ^ `` Game of Thrones : Season 5 by Ramin Djawadi '' . Retrieved July 20 , 2015 .   Jump up ^ `` Game of Thrones : Season 6 by Ramin Djawadi '' . Retrieved July 29 , 2016 .   Jump up ^ `` Game of Thrones : Season 7 by Ramin Djawadi '' . Retrieved August 25 , 2017 .   Jump up ^ Kaufman , Gil ( June 4 , 2018 ) . `` Columbia Records Teaming With HBO for ' Music Inspired by Game of Thrones ' Album '' . Billboard . Retrieved June 5 , 2018 .   Jump up ^ Beauchemin , Molly ; Battan , Carrie ( March 7 , 2014 ) . `` Listen to the `` Game Of Thrones '' Mixtape , Catch the Throne `` . Pitchfork .   Jump up ^ Blistein , Jon ( March 17 , 2015 ) . `` Hear the Second ' Game of Thrones ' Mixtape Now '' . Rolling Stone . Retrieved March 17 , 2015 .   Jump up ^ Pfleegor , Dan ( February 23 , 2017 ) . `` Behind the Scenes of The Game of Thrones Live Experience '' . Consequence of Sound .   Jump up ^ Tenreyro , Tatiana ( September 18 , 2017 ) . `` ' Game of Thrones ' Live Concert Experience Announces 2018 World Tour '' . Billboard .   Jump up ^ `` IFMCA Award Nominations 2011 - IFMCA : the International Film Music Critics Association '' .   Jump up ^ `` ASCAP Honors Top Film and Television Music Composers at 27th Annual Awards Celebration '' . www.ascap.com .   Jump up ^ `` ASCAP Honors Top Film and Television Music Composers at 28th Annual Awards Celebration '' . www.ascap.com .   Jump up ^ `` IFMCA Award Nominations 2013 - IFMCA : the International Film Music Critics Association '' .   Jump up ^ `` Emmy Awards 2014 : the nominations in full '' . Daily Telegraph . July 10 , 2014 . Retrieved July 10 , 2014 .   Jump up ^ `` Hollywood Music in Media Awards Nominations Announced '' . International Film Music Critics Association . October 8 , 2014 . Retrieved February 28 , 2017 .   Jump up ^ Gent , Film Fest . `` 16th World Soundtrack Awards announces first wave of nominees '' . Film Fest Gent . Retrieved 6 July 2017 .   Jump up ^ `` IFMCA Award Winners 2016 IFMCA : International Film Music Critics Association '' . International Film Music Critics Association . Retrieved April 9 , 2017 .   Jump up ^ `` IFMCA Award Nominations 2016 IFMCA : International Film Music Critics Association '' . International Film Music Critics Association . Retrieved April 9 , 2017 .   Jump up ^ `` Grammys 2018 : See the Complete List of Nominees '' . Billboard . Retrieved 28 November 2017 .   Jump up ^ `` 2018 Emmy Awards Nominations '' ( PDF ) . Academy of Television Arts &amp; Sciences . Retrieved July 12 , 2018 .              George R.R. Martin 's A Song of Ice and Fire       A Game of Thrones ( 1996 )   A Clash of Kings ( 1998 )   A Storm of Swords ( 2000 )   A Feast for Crows ( 2005 )   A Dance with Dragons ( 2011 )   The Winds of Winter ( TBA )       Franchise media      Novellas     Tales of Dunk and Egg ( 1998 -- 2010 )   The Princess and the Queen ( 2013 )   The Rogue Prince ( 2014 )   The Sons of the Dragon ( 2017 )       TV series     Episodes   Season 1         5   6   7   8     Awards   Characters   Music   `` Game of Thrones Theme ''   `` The Rains of Castamere ''   `` The Bear and the Maiden Fair ''   `` Light of the Seven ''   Catch the Throne   Live Concert Experience     Soundtracks   Season 1         5   6   7     Title sequence   After the Thrones   Thronecast       Video games     A Game of Thrones : Genesis   Game of Thrones ( 2012 )   Game of Thrones Ascent   Game of Thrones ( 2014 )   Reigns : Game of Thrones       Other media     The World of Ice &amp; Fire ( 2014 )   Fire &amp; Blood ( 2018 )   Board game   Card game ( Second edition )   Comic book series          Characters     Petyr Baelish   Joffrey Baratheon   Myrcella Baratheon   Renly Baratheon   Robert Baratheon   Stannis Baratheon   Tommen Baratheon   Ramsay Bolton   Roose Bolton   Bronn   Gregor Clegane   Sandor Clegane   Khal Drogo   Gendry   Tormund Giantsbane   Gilly   Theon Greyjoy   Cersei Lannister   Jaime Lannister   Tyrion Lannister   Tywin Lannister   Oberyn Martell   Melisandre   Missandei   Jorah Mormont   Daario Naharis   Ellaria Sand   Davos Seaworth   Jon Snow   High Sparrow   Arya Stark   Bran Stark   Catelyn Stark   Ned Stark   Rickon Stark   Robb Stark   Sansa Stark   Daenerys Targaryen   Viserys Targaryen   Samwell Tarly   Brienne of Tarth   Margaery Tyrell   Olenna Tyrell   Varys   Ygritte       The Known World      Languages     Dothraki   Valyrian       Themes     Iron Throne   White Walker          Miscellaneous     Fandom         Book   Category   Portal                 Ramin Djawadi     Soundtracks      Film     Beat the Drum   Thunderbirds   Blade : Trinity   Open Season   Mr. Brooks   Iron Man   The Unborn   Clash of the Titans   A Turtle 's Tale : Sammy 's Adventures   Fright Night   Safe House   Red Dawn   Pacific Rim   Dracula Untold   Warcraft   The Great Wall   The Mountain Between Us   A Wrinkle in Time       Television     Prison Break   Prison Break : Season 3 &amp; 4   Person of Interest   Person of Interest : Season 2   Person of Interest : Season 3 &amp; 4   Game of Thrones   Season 1         5   6   7     Westworld       Video game     Medal of Honor   Need for Speed : Shift 2 -- Unleashed   Medal of Honor : Warfighter   Gears of War 4          Songs     `` Game of Thrones Theme ''   `` The Rains of Castamere ''   `` The Bear and the Maiden Fair ''   `` Light of the Seven ''       Tours     Game of Thrones Live Concert Experience       Related     Discography      Retrieved from `` https://en.wikipedia.org/w/index.php?title=Music_of_Game_of_Thrones&amp;oldid=863456390 '' Categories :   Music of Game of Thrones   2011 soundtracks   Classical music soundtracks   Instrumental soundtracks   Hidden categories :   Use mdy dates from April 2015   Articles with hAudio microformats           Talk                                           Contents                   About Wikipedia                                        Languages    Français   Հայերեն   Русский   Edit links   This page was last edited on 10 October 2018 , at 21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</si>
  <si>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plays the music for game of thrones</t>
  </si>
  <si>
    <t xml:space="preserve"> The music for the fantasy TV series Game of Thrones is composed by Ramin Djawadi . The music is primarily instrumental with the occasional vocal performances , and is created to support musically the characters and plots of the show . It features various themes , the most prominent being the Main Title that accompanies the series ' title sequence . In every season , a soundtrack album would be released . </t>
  </si>
  <si>
    <t xml:space="preserve">Online shopping - Wikipedia  Online shopping  `` Web store '' redirects here . For the W3C storage standard , see Web Storage .  Online shopping is a form of electronic commerce which allows consumers to directly buy goods or services from a seller over the Internet using a web browser . Consumers find a product of interest by visiting the website of the retailer directly or by searching among alternative vendors using a shopping search engine , which displays the same product 's availability and pricing at different e-retailers . As of 2016 , customers can shop online using a range of different computers and devices , including desktop computers , laptops , tablet computers and smartphones .   An online shop evokes the physical analogy of buying products or services at a regular `` bricks - and - mortar '' retailer or shopping center ; the process is called business - to - consumer ( B2C ) online shopping . When an online store is set up to enable businesses to buy from another businesses , the process is called business - to - business ( B2B ) online shopping . A typical online store enables the customer to browse the firm 's range of products and services , view photos or images of the products , along with information about the product specifications , features and prices .   Online stores typically enable shoppers to use `` search '' features to find specific models , brands or items . Online customers must have access to the Internet and a valid method of payment in order to complete a transaction , such as a credit card , an Interac - enabled debit card , or a service such as PayPal . For physical products ( e.g. , paperback books or clothes ) , the e-tailer ships the products to the customer ; for digital products , such as digital audio files of songs or software , the e-tailer typically sends the file to the customer over the Internet . The largest of these online retailing corporations are Alibaba , Amazon.com , and eBay .         Part of a series on     E-commerce     Online goods and services       Digital distribution   E-books   Software   Streaming media       Retail services       Banking   DVD - by - mail   Flower delivery   Food ordering   Grocery   Pharmacy   Travel       Marketplace services       Advertising   Auctions   Comparison shopping   Social commerce   Trading communities   Wallet       Mobile commerce       Payment   Ticketing       Customer service       Call centre   Help desk   Live support software       E-procurement     Purchase - to - pay                 Contents    1 Terminology   2 History   2.1 History of online shopping   2.2 Growth in online shoppers     3 International statistics   4 Customers   5 Customer buying behaviour in digital environment   6 Product selection   7 Payment   8 Product delivery   9 Shopping cart systems   10 Design   10.1 Information load   10.2 Consumer needs and expectations   10.3 User interface     11 Market share   12 Advantages   12.1 Convenience   12.2 Information and reviews   12.3 Price and selection     13 Disadvantages   13.1 Fraud and security concerns   13.2 Lack of full cost disclosure   13.3 Privacy     14 Product suitability   15 Aggregation   16 Impact of reviews on consumer behaviour   17 See also   18 References    Terminology   Alternative names for the activity are `` e-tailing '' , a shortened form of `` electronic retail '' or `` e-shopping '' , a shortened form of `` electronic shopping '' . An online store may also be called an e-web - store , e-shop , e-store , Internet shop , web - shop , web - store , online store , online storefront and virtual store . Mobile commerce ( or m - commerce ) describes purchasing from an online retailer 's mobile device - optimized website or software application ( `` app '' ) . These websites or apps are designed to enable customers to browse through a companies ' products and services on tablet computers and smartphones .   History   History of online shopping   The growth of the internet as a secure shopping channel has developed since 1994 , with the first sales of Sting album ' Ten Summoner 's Tales ' . Wine , chocolates and flowers soon followed and were among the pioneering retail categories which fueled the growth of online shopping . Researchers found that having products that are appropriate for e-commerce was a key indicator of Internet success . Many of these products did well as they are generic products which shoppers did n't need to touch and feel in order to buy . But also importantly in the early days there were few shoppers online and they were from a narrow segment : affluent , male , 30 + . Online shopping has come along way since these early days and - in the UK - accounts for significant percents ( depending on product category as percentages can vary ) .   Growth in online shoppers   As the revenues from online sales continued to grow significantly researchers identified different types of online shoppers , Rohm &amp; Swaninathan identified four categories and named them `` convenience shoppers , variety seekers , balanced buyers , and store - oriented shoppers '' . They focused on shopping motivations and found that the variety of products available and the perceived convenience of the buying online experience were significant motivating factors . This was different for offline shoppers , who were more motivated by time saving and recreational motives .   Digital High Street 2020  Michael Aldrich , pioneer of online shopping in the 1980s .  English entrepreneur Michael Aldrich was a pioneer of online shopping in 1979 . His system connected a modified domestic TV to a real - time transaction processing computer via a domestic telephone line . He believed that videotex , the modified domestic TV technology with a simple menu - driven human -- computer interface , was a ' new , universally applicable , participative communication medium -- the first since the invention of the telephone . ' This enabled ' closed ' corporate information systems to be opened to ' outside ' correspondents not just for transaction processing but also for e-messaging and information retrieval and dissemination , later known as e-business . His definition of the new mass communications medium as ' participative ' ( interactive , many - to - many ) was fundamentally different from the traditional definitions of mass communication and mass media and a precursor to the social networking on the Internet 25 years later . In March 1980 he launched Redifon 's Office Revolution , which allowed consumers , customers , agents , distributors , suppliers and service companies to be connected on - line to the corporate systems and allow business transactions to be completed electronically in real - time . During the 1980s he designed , manufactured , sold , installed , maintained and supported many online shopping systems , using videotex technology . These systems which also provided voice response and handprint processing pre-date the Internet and the World Wide Web , the IBM PC , and Microsoft MS - DOS , and were installed mainly in the UK by large corporations .   The first World Wide Web server and browser , created by Tim Berners - Lee in 1990 , opened for commercial use in 1991 . Thereafter , subsequent technological innovations emerged in 1994 : online banking , the opening of an online pizza shop by Pizza Hut , Netscape 's SSL v2 encryption standard for secure data transfer , and Intershop 's first online shopping system . The first secure retail transaction over the Web was either by NetMarket or Internet Shopping Network in 1994 . Immediately after , Amazon.com launched its online shopping site in 1995 and eBay was also introduced in 1995 . Alibaba 's sites Taobao and Tmall were launched in 2003 and 2008 , respectively . Retailers are increasingly selling goods and services prior to availability through `` pretail '' for testing , building , and managing demand .   International statistics   Statistics show that in 2012 , Asia - Pacific increased their international sales over 30 % giving them over $433 billion in revenue . That is a $69 billion difference between the U.S. revenue of $364.66 billion . It is estimated that Asia - Pacific will increase by another 30 % in the year 2013 putting them ahead by more than one - third of all global ecommerce sales . The largest online shopping day in the world is Singles Day , with sales just in Alibaba 's sites at US $9.3 billion in 2014 .   Customers   Online customers must have access to the Internet and a valid method of payment in order to complete a transaction . Generally , higher levels of education and personal income correspond to more favorable perceptions of shopping online . Increased exposure to technology also increases the probability of developing favorable attitudes towards new shopping channels .   Customer buying behaviour in digital environment   The marketing around the digital environment , customer 's buying behaviour may not be influenced and controlled by the brand and firm , when they make a buying decision that might concern the interactions with search engine , recommendations , online reviews and other information . With the quickly separate of the digital devices environment , people are more likely to use their mobile phones , computers , tablets and other digital devices to gather information . In other words , the digital environment has a growing effect on consumer 's mind and buying behaviour . In an online shopping environment , interactive decision may have an influence on aid customer decision making . Each customer is becoming more interactive , and though online reviews customers can influence other potential buyers ' behaviors .   Subsequently , risk and trust would also are two important factors affecting people 's ' behavior in digital environments . Customer consider to switch between e-channels , because they are mainly influence by the comparison with offline shopping , involving growth of security , financial and performance - risks In other words , a customer shopping online that they may receive more risk than people shopping in stores . There are three factors may influence people to do the buying decision , firstly , people can not examine whether the product satisfy their needs and wants before they receive it . Secondly , customer may concern at after - sale services . Finally , customer may afraid that they can not fully understand the language used in e-sales . Based on those factors customer perceive risk may as a significantly reason influence the online purchasing behaviour .   Online retailers has place much emphasis on customer trust aspect , trust is another way driving customer 's behaviour in digital environment , which can depend on customer 's attitude and expectation . Indeed , the company 's products design or ideas can not met customer 's expectations . Customer 's purchase intension based on rational expectations , and additionally impacts on emotional trust . Moreover , those expectations can be also establish on the product information and revision from others .   Product selection   Consumers find a product of interest by visiting the website of the retailer directly or by searching among alternative vendors using a shopping search engine . Once a particular product has been found on the website of the seller , most online retailers use shopping cart software to allow the consumer to accumulate multiple items and to adjust quantities , like filling a physical shopping cart or basket in a conventional store . A `` checkout '' process follows ( continuing the physical - store analogy ) in which payment and delivery information is collected , if necessary . Some stores allow consumers to sign up for a permanent online account so that some or all of this information only needs to be entered once . The consumer often receives an e-mail confirmation once the transaction is complete . Less sophisticated stores may rely on consumers to phone or e-mail their orders ( although full credit card numbers , expiry date , and Card Security Code , or bank account and routing number should not be accepted by e-mail , for reasons of security ) .   Payment   Online shoppers commonly use a credit card or a PayPal account in order to make payments . However , some systems enable users to create accounts and pay by alternative means , such as :    Billing to mobile phones and landlines   Cash on delivery ( C.O.D. )   Cheque / Check   Debit card   Direct debit in some countries   Electronic money of various types   Gift cards   Postal money order   Wire transfer / delivery on payment   Invoice , especially popular in some markets / countries , such as Switzerland   Bitcoin or other cryptocurrencies    Some online shops will not accept international credit cards . Some require both the purchaser 's billing and shipping address to be in the same country as the online shop 's base of operation . Other online shops allow customers from any country to send gifts anywhere . The financial part of a transaction may be processed in real time ( e.g. letting the consumer know their credit card was declined before they log off ) , or may be done later as part of the fulfillment process .   Product delivery   Once a payment has been accepted , the goods or services can be delivered in the following ways . For physical items :    Shipping : The product is shipped to a customer - designated address . Retail package delivery is typically done by the public postal system or a retail courier such as FedEx , UPS , DHL , or TNT .   Drop shipping : The order is passed to the manufacturer or third - party distributor , who then ships the item directly to the consumer , bypassing the retailer 's physical location to save time , money , and space .   In - store pick - up : The customer selects a local store using a locator software and picks up the delivered product at the selected location . This is the method often used in the bricks and clicks business model .    For digital items or tickets :    Downloading / Digital distribution : The method often used for digital media products such as software , music , movies , or images .   Printing out , provision of a code for , or e-mailing of such items as admission tickets and scrip ( e.g. , gift certificates and coupons ) . The tickets , codes , or coupons may be redeemed at the appropriate physical or online premises and their content reviewed to verify their eligibility ( e.g. , assurances that the right of admission or use is redeemed at the correct time and place , for the correct dollar amount , and for the correct number of uses ) .   Will call , COBO ( in Care Of Box Office ) , or `` at the door '' pickup : The patron picks up pre-purchased tickets for an event , such as a play , sporting event , or concert , either just before the event or in advance . With the onset of the Internet and e-commerce sites , which allow customers to buy tickets online , the popularity of this service has increased .    Shopping cart systems   Simple shopping cart systems allow the off - line administration of products and categories . The shop is then generated as HTML files and graphics that can be uploaded to a webspace . The systems do not use an online database . A high - end solution can be bought or rented as a stand - alone program or as an addition to an enterprise resource planning program . It is usually installed on the company 's web server and may integrate into the existing supply chain so that ordering , payment , delivery , accounting and warehousing can be automated to a large extent . Other solutions allow the user to register and create an online shop on a portal that hosts multiple shops simultaneously from one back office . Examples are BigCommerce , Shopify and FlickRocket . Open source shopping cart packages include advanced platforms such as Interchange , and off - the - shelf solutions such as Magento , osCommerce , Shopgate , PrestaShop , and Zen Cart . Commercial systems can also be tailored so the shop does not have to be created from scratch . By using an existing framework , software modules for various functionalities required by a web shop can be adapted and combined .   Design   Customers are attracted to online shopping not only because of high levels of convenience , but also because of broader selections , competitive pricing , and greater access to information . Business organizations seek to offer online shopping not only because it is of much lower cost compared to bricks and mortar stores , but also because it offers access to a worldwide market , increases customer value , and builds sustainable capabilities .   Information load   Designers of online shops are concerned with the effects of information load . Information load is a product of the spatial and temporal arrangements of stimuli in the web store . Compared with conventional retail shopping , the information environment of virtual shopping is enhanced by providing additional product information such as comparative products and services , as well as various alternatives and attributes of each alternative , etc . Two major dimensions of information load are complexity and novelty . Complexity refers to the number of different elements or features of a site , often the result of increased information diversity . Novelty involves the unexpected , suppressed , new , or unfamiliar aspects of the site . The novelty dimension may keep consumers exploring a shopping site , whereas the complexity dimension may induce impulse purchases .   Consumer needs and expectations   According to the output of a research report by Western Michigan University published in 2005 , an e-commerce website does not have to be good looking with listing on a lot of search engines . It must build relationships with customers to make money . The report also suggests that a website must leave a positive impression on the customers , giving them a reason to come back . However , resent research has proven that sites with higher focus on efficiency , convenience , and personalised services increased the customers motivation to make purchases .   Dyn , an Internet performance management company conducted a survey on more than 1400 consumers across 11 countries in North America , Europe , Middle - East and Asia and the results of the survey are as follows :    Online retailers must improve the website speed   Online retailers must ease consumers fear around security    These concerns majorly affect the decisions of almost two thirds of the consumers .   User interface  An automated online assistant , with potential to enhance user interface on shopping sites .  The most important factors determining whether customers return to a website are ease of use and the presence of user - friendly features . Usability testing is important for finding problems and improvements in a web site . Methods for evaluating usability include heuristic evaluation , cognitive walkthrough , and user testing . Each technique has its own characteristics and emphasizes different aspects of the user experience .   Market share   The popularity of online shopping continues to erode sales of conventional retailers . For example , Best Buy , the largest retailer of electronics in the U.S. in August 2014 reported its tenth consecutive quarterly dip in sales , citing an increasing shift by consumers to online shopping . Amazon.com has the largest market share in the United States . As of May 2018 , a survey found two - thirds of Americans had bought something from Amazon ( 92 % of those who had bought anything online ) , with 40 % of online shoppers buying something from Amazon at least once a month . The survey found shopping began at amazon.com 44 % of the time , compared to a general search engine at 33 % . It estimated 75 million Americans subscribe to Amazon Prime and 35 million more use someone else 's account .   There were 242 million people shopping online in China in 2012 . For developing countries and low - income households in developed countries , adoption of e-commerce in place of or in addition to conventional methods is limited by a lack of affordable Internet access .   Advantages   Convenience   Online stores are usually available 24 hours a day , and many consumers in Western countries have Internet access both at work and at home . Other establishments such as Internet cafes , community centers and schools provide internet access as well . In contrast , visiting a conventional retail store requires travel or commuting and costs such as gas , parking , or bus tickets , and must typically take place during business hours . Delivery was always a problem which affected the convenience of online shopping . However to overcome this many retailers including online retailers in Taiwan brought in a store pick up service . This now meant that customers could purchase goods online and pick them up at a nearby convenience store , making online shopping more advantageous to customers . In the event of a problem with the item ( e.g. , the product was not what the consumer ordered or the product was not satisfactory ) , consumers are concerned with the ease of returning an item in exchange for the correct product or a refund . Consumers may need to contact the retailer , visit the post office and pay return shipping , and then wait for a replacement or refund . Some online companies have more generous return policies to compensate for the traditional advantage of physical stores . For example , the online shoe retailer Zappos.com includes labels for free return shipping , and does not charge a restocking fee , even for returns which are not the result of merchant error . ( Note : In the United Kingdom , online shops are prohibited from charging a restocking fee if the consumer cancels their order in accordance with the Consumer Protection ( Distance Selling ) Act 2000 ) . A 2018 survey in the United States found 26 % of online shoppers said they never return items , and another 65 % said they rarely do so .   Information and reviews   Online stores must describe products for sale with text , photos , and multimedia files , whereas in a physical retail store , the actual product and the manufacturer 's packaging will be available for direct inspection ( which might involve a test drive , fitting , or other experimentation ) . Some online stores provide or link to supplemental product information , such as instructions , safety procedures , demonstrations , or manufacturer specifications . Some provide background information , advice , or how - to guides designed to help consumers decide which product to buy . Some stores even allow customers to comment or rate their items . There are also dedicated review sites that host user reviews for different products . Reviews and even some blogs give customers the option of shopping for cheaper purchases from all over the world without having to depend on local retailers . In a conventional retail store , clerks are generally available to answer questions . Some online stores have real - time chat features , but most rely on e-mails or phone calls to handle customer questions . Even if an online store is open 24 hours a day , seven days a week , the customer service team may only be available during regular business hours .   Price and selection   One advantage of shopping online is being able to quickly seek out deals for items or services provided by many different vendors ( though some local search engines do exist to help consumers locate products for sale in nearby stores ) . Search engines , online price comparison services and discovery shopping engines can be used to look up sellers of a particular product or service . Shipping costs ( if applicable ) reduce the price advantage of online merchandise , though depending on the jurisdiction , a lack of sales tax may compensate for this . Shipping a small number of items , especially from another country , is much more expensive than making the larger shipments bricks - and - mortar retailers order . Some retailers ( especially those selling small , high - value items like electronics ) offer free shipping on sufficiently large orders . Another major advantage for retailers is the ability to rapidly switch suppliers and vendors without disrupting users ' shopping experience .   Disadvantages   Fraud and security concerns   Given the lack of ability to inspect merchandise before purchase , consumers are at higher risk of fraud than face - to - face transactions . When ordering merchandise online , the item may not work properly , it may have defects , or it might not be the same item pictured in the online photo . Merchants also risk fraudulent purchases if customers are using stolen credit cards or fraudulent repudiation of the online purchase . However , merchants face less risk from physical theft by using a warehouse instead of a retail storefront . Secure Sockets Layer ( SSL ) encryption has generally solved the problem of credit card numbers being intercepted in transit between the consumer and the merchant . However , one must still trust the merchant ( and employees ) not to use the credit card information subsequently for their own purchases , and not to pass the information to others . Also , hackers might break into a merchant 's web site and steal names , addresses and credit card numbers , although the Payment Card Industry Data Security Standard is intended to minimize the impact of such breaches . Identity theft is still a concern for consumers . A number of high - profile break - ins in the 2000s has prompted some U.S. states to require disclosure to consumers when this happens . Computer security has thus become a major concern for merchants and e-commerce service providers , who deploy countermeasures such as firewalls and anti-virus software to protect their networks . Phishing is another danger , where consumers are fooled into thinking they are dealing with a reputable retailer , when they have actually been manipulated into feeding private information to a system operated by a malicious party . Denial of service attacks are a minor risk for merchants , as are server and network outages .   Quality seals can be placed on the Shop web page if it has undergone an independent assessment and meets all requirements of the company issuing the seal . The purpose of these seals is to increase the confidence of online shoppers . However , the existence of many different seals , or seals unfamiliar to consumers , may foil this effort to a certain extent .   A number of resources offer advice on how consumers can protect themselves when using online retailer services . These include :    Sticking with well - known stores , or attempting to find independent consumer reviews of their experiences ; also ensuring that there is comprehensive contact information on the website before using the service , and noting if the retailer has enrolled in industry oversight programs such as a trust mark or a trust seal .   Before buying from a new company , evaluating the website by considering issues such as : the professionalism and user - friendliness of the site ; whether or not the company lists a telephone number and / or street address along with e-contact information ; whether a fair and reasonable refund and return policy is clearly stated ; and whether there are hidden price inflators , such as excessive shipping and handling charges .   Ensuring that the retailer has an acceptable privacy policy posted . For example , note if the retailer does not explicitly state that it will not share private information with others without consent .   Ensuring that the vendor address is protected with SSL ( see above ) when entering credit card information . If it does the address on the credit card information entry screen will start with `` HTTPS '' .   Using strong passwords which do not contain personal information such as the user 's name or birthdate . Another option is a `` pass phrase , '' which might be something along the lines : `` I shop 4 good a buy ! ! '' These are difficult to hack , since they do not consist of words found in a dictionary , and provides a variety of upper , lower , and special characters . These passwords can be site specific and may be easy to remember .    Although the benefits of online shopping are considerable , when the process goes poorly it can create a thorny situation . A few problems that shoppers potentially face include identity theft , faulty products , and the accumulation of spyware . If users are required to put in their credit card information and billing / shipping address and the website is not secure , customer information can be accessible to anyone who knows how to obtain it . Most large online corporations are inventing new ways to make fraud more difficult . However , criminals are constantly responding to these developments with new ways to manipulate the system . Even though online retailers are making efforts to protect consumer information , it is a constant fight to maintain the lead . It is advisable to be aware of the most current technology and scams to protect consumer identity and finances . Product delivery is also a main concern of online shopping . Most companies offer shipping insurance in case the product is lost or damaged . Some shipping companies will offer refunds or compensation for the damage , but this is up to their discretion .   Lack of full cost disclosure   The lack of full cost disclosure may also be problematic . While it may be easy to compare the base price of an item online , it may not be easy to see the total cost up front . Additional fees such as shipping are often not visible until the final step in the checkout process . The problem is especially evident with cross-border purchases , where the cost indicated at the final checkout screen may not include additional fees that must be paid upon delivery such as duties and brokerage . Some services such as the Canadian - based Wishabi attempts to include estimates of these additional cost , but nevertheless , the lack of general full cost disclosure remains a concern .   Privacy   Privacy of personal information is a significant issue for some consumers . Many consumers wish to avoid spam and telemarketing which could result from supplying contact information to an online merchant . In response , many merchants promise to not use consumer information for these purposes , Many websites keep track of consumer shopping habits in order to suggest items and other websites to view . Brick - and - mortar stores also collect consumer information . Some ask for a shopper 's address and phone number at checkout , though consumers may refuse to provide it . Many larger stores use the address information encoded on consumers ' credit cards ( often without their knowledge ) to add them to a catalog mailing list . This information is obviously not accessible to the merchant when paying in cash or through a bank ( money transfer , in which case there is also proof of payment ) .   Product suitability       This section needs additional citations for verification . Please help improve this article by adding citations to reliable sources . Unsourced material may be challenged and removed . ( March 2012 ) ( Learn how and when to remove this template message )     Many successful purely virtual companies deal with digital products , ( including information storage , retrieval , and modification ) , music , movies , office supplies , education , communication , software , photography , and financial transactions . Other successful marketers use drop shipping or affiliate marketing techniques to facilitate transactions of tangible goods without maintaining real inventory . Some non-digital products have been more successful than others for online stores . Profitable items often have a high value - to - weight ratio , they may involve embarrassing purchases , they may typically go to people in remote locations , and they may have shut - ins as their typical purchasers . Items which can fit in a standard mailbox -- such as music CDs , DVDs and books -- are particularly suitable for a virtual marketer .   Products such as spare parts , both for consumer items like washing machines and for industrial equipment like centrifugal pumps , also seem good candidates for selling online . Retailers often need to order spare parts specially , since they typically do not stock them at consumer outlets -- in such cases , e-commerce solutions in spares do not compete with retail stores , only with other ordering systems . A factor for success in this niche can consist of providing customers w</t>
  </si>
  <si>
    <t xml:space="preserve">what is the purpose of online shopping websites</t>
  </si>
  <si>
    <t xml:space="preserve"> Online shopping is a form of electronic commerce which allows consumers to directly buy goods or services from a seller over the Internet using a web browser . Consumers find a product of interest by visiting the website of the retailer directly or by searching among alternative vendors using a shopping search engine , which displays the same product 's availability and pricing at different e-retailers . As of 2016 , customers can shop online using a range of different computers and devices , including desktop computers , laptops , tablet computers and smartphones . </t>
  </si>
  <si>
    <t xml:space="preserve">History of the New York Yankees - Wikipedia  History of the New York Yankees    The 1913 squad , the first that went by the name `` Yankees ''  The history of the New York Yankees Major League Baseball ( MLB ) team spans more than a century . Frank J. Farrell and William Stephen Devery bought the rights to an American League ( AL ) club in New York City after the 1902 season . The team , which became known as the Yankees in 1913 , rarely contended for the AL championship before the acquisition of outfielder Babe Ruth after the 1919 season . With Ruth in the lineup , the Yankees won their first AL title in 1921 , followed by their first World Series championship in 1923 . Ruth and first baseman Lou Gehrig were part of the team 's Murderers ' Row lineup , which led the Yankees to a then - AL record 110 wins and a Series championship in 1927 under Miller Huggins . They repeated as World Series winners in 1928 , and their next title came under manager Joe McCarthy in 1932 .   The Yankees won the World Series every year from 1936 to 1939 with a team that featured Gehrig and outfielder Joe DiMaggio , who recorded a record hitting streak during New York 's 1941 championship season . New York set a major league record by winning five consecutive championships from 1949 to 1953 , and appeared in the World Series nine times from 1955 to 1964 . Mickey Mantle , Yogi Berra , and Whitey Ford were among the players fielded by the Yankees during the era . After the 1964 season , a lack of effective replacements for aging players caused the franchise to decline on the field , and the team became a money - loser for owners CBS while playing in an aging stadium .   George Steinbrenner bought the club in 1973 and regularly invested in new talent , using free agency to acquire top players . Yankee Stadium was renovated and reopened in 1976 as the home of a more competitive Yankees team . Despite clubhouse disputes , the team reached the World Series four times between 1976 and 1981 and claimed the championship in 1977 and 1978 . New York continued to pursue their strategy of signing free agents into the 1980s , but with less success , and the team eventually sank into mediocrity after 1981 . In the early 1990s , the team began to improve as their roster was rebuilt around young players from their minor league system , including Derek Jeter and Mariano Rivera . After earning a playoff berth in 1995 , the Yankees won four of the next five World Series , and the 1998 -- 2000 teams were the last in MLB to win three straight Series titles .   As the 2000s progressed , the Yankees ' rivalry with the Boston Red Sox increased in intensity as the sides met multiple times in the American League Championship Series ( ALCS ) , trading victories in 2003 and 2004 . New York regularly reached the postseason , but were often defeated in the first two rounds . In 2009 , the Yankees opened a new Yankee Stadium and won the World Series for the 27th time in team history , an MLB record . The furthest the Yankees have gone in the postseason since then is the ALCS , in 2010 , 2012 , and 2017 .   Contents    1 Pre-World War II   1.1 Background : 1901 -- 02 Baltimore Orioles   1.2 1903 -- 12 : Early years   1.3 1913 -- 20 : New ownership and acquisition of Babe Ruth   1.4 1921 -- 28 : First World Series win and Murderers ' Row   1.5 1929 -- 35 : Hiring of Joe McCarthy and Ruth 's called shot   1.6 1936 -- 41 : Renewed domination     2 World War II to free agency   2.1 1942 -- 47 : Pre-Stengel era   2.2 1948 -- 56 : Stengel hire and five straight World Series wins   2.3 1957 -- 64 : Continued success   2.4 1965 -- 72 : New ownership and decline   2.5 1973 -- 76 : Steinbrenner takes over     3 Free agency era   3.1 1977 -- 81 : `` The Bronx Zoo ''   3.2 1982 -- 95 : Struggles and return to postseason   3.3 1996 -- 2001 : Championship run   3.4 2002 -- 08 : Final years in old Yankee Stadium   3.5 2009 -- 2016 : New stadium and record 27th championship   3.6 2017 -- present : Rise of the `` Baby Bombers ''     4 Notes   5 References   6 Bibliography    Pre-world war ii ( edit )   Background : 1901 -- 02 Baltimore Orioles ( edit )  John McGraw was the first manager of the Baltimore Orioles , and had an ownership interest .  At the end of the 1900 baseball season , the Western League was positioned by its president , Ban Johnson , as a new major league that would compete with the established National League ( NL ) . The league was reorganized and renamed the American League ( AL ) , and eight cities fielded teams in the 1901 season . A Baltimore team had played in the NL through the 1899 season , after which the club was shut down by the league . Baltimore was one of three former NL cities where the AL placed teams in an effort to reach underserved fans . The new Orioles ' first manager was John McGraw , who had held the same position for the previous Baltimore team in 1899 ; McGraw also held an ownership stake .   In 1901 , their first season , the Orioles had a 68 -- 65 win -- loss record and finished in fifth place in the AL . During the season , there were numerous disputes between Johnson and McGraw over disciplinary issues , which continued into the following year . Rumors began to spread that Johnson was interested in relocating the team to New York City , in an attempt to compete directly with the NL . McGraw left the Orioles and joined the New York Giants as their manager ; he transferred his interest in the Baltimore team to the Giants as part of the deal . Several Orioles -- including Roger Bresnahan and Joe McGinnity -- joined the Giants after McGraw 's departure , and the Giants gained a majority of the Orioles ' stock . The league managed to take back control of the team from the Giants ; after the Orioles forfeited a game because they lacked enough active players , Johnson ordered that the team be `` restocked with players essentially given away by the other teams in order to play out the schedule '' , according to author Marty Appel . The Orioles finished last in the league both in the standings and in attendance .   The AL and NL signed an agreement after the 1902 season that ended the leagues ' battles for players , which had led to increasing salaries . Johnson sought the right to locate an AL team in New York City , which was granted as part of the leagues ' peace agreement . His intention was for the team to play in Manhattan , but the idea was opposed by Giants owner John T. Brush and former owner Andrew Freedman , who were connected to the city 's Tammany Hall political organization . They blocked several potential stadium locations , before a pair of Tammany Hall politicians , Frank J. Farrell and William Stephen Devery , purchased the New York franchise in the AL . The pair paid US $18,000 for the team . It is not clear whether Farrell and Devery purchased the remains of the Orioles and moved them to New York , or if they received an expansion franchise . It was the last change in the lineup of MLB teams for half a century .   1903 -- 12 : early years ( edit )   The ballpark for the New York team was constructed between 165th and 168th Streets , on Broadway in Manhattan . Formally known as American League Park , it was nicknamed Hilltop Park because of its relatively high elevation . The team did not have an official nickname ; it was often called the New York Americans in reference to the AL . Another common nickname for the club was the Highlanders , a play on the last name of the team 's president , Joe Gordon , and the British military unit , the Gordon Highlanders . The team acquired players such as outfielder Willie Keeler and pitcher Jack Chesbro . The player - manager was Clark Griffith , obtained from the Chicago White Sox . On April 22 , 1903 , the Highlanders began their season with a 3 -- 1 loss to the Washington Senators ; eight days later , they won their first game in Hilltop Park , defeating the Senators 6 -- 2 . New York fell out of contention for the AL pennant in May , falling to seventh place after playing games away from Hilltop Park for a 24 - day period while construction on the stadium concluded . With a final record of 72 -- 62 after wins in 19 of 29 games played in September , New York finished in fourth .  New York plays a game at Hilltop Park in 1912 .  Chesbro won 41 games in New York 's 1904 season , still an AL record . New York contended for the AL pennant with the Boston Americans ( later nicknamed the Red Sox ) ; Johnson aided New York by helping the team acquire multiple players in trades , including Boston 's Patsy Dougherty . Boston and New York faced each other in a season - ending five - game series that decided the pennant winner , and was played from October 7 -- 10 . Boston won two of the first three games , which meant that New York needed to win the two contests scheduled on October 10 to win the AL title . With the score of the first game tied 2 -- 2 in the ninth inning , Chesbro threw a wild pitch that allowed a runner on third base to score , giving Boston a 3 -- 2 victory that clinched the AL pennant ; New York won the now - meaningless second game .   New York 's performance declined in 1905 , as numerous pitchers dealt with arm injuries and conditioning issues . After losing 18 of 25 games in May , the Highlanders ended the season in sixth . In its 1906 season , New York again contended for the AL championship . With 13 games left , the team held a one - game lead over the White Sox , but finished in second place three games behind Chicago . According to Appel , `` What would follow would be a string of mediocre to bad seasons and not a very good attraction for baseball - crazed New York fans . '' New York recorded a fifth - place finish in 1907 , with 70 wins , 22 fewer than the league champion Detroit Tigers . The 1908 and 1909 teams finished last and fifth , respectively , and there were multiple managerial changes in the period .   New York had a second - place finish in 1910 , but did not seriously contend for the pennant . Manager George Stallings and first baseman Hal Chase , the team captain , clashed towards the end of the season ; facing opposition from Ban Johnson , who wanted him to resign as manager , Stallings left the position . Chase managed New York 's last 14 games . The following season , New York had a sixth - place finish . Early in the season , New York allowed the Giants to play in Hilltop Park after the Giants ' stadium , the Polo Grounds , burned down ; the arrangement lasted until June 28 , when the rebuilt Polo Grounds opened . Chase resigned as manager before New York 's 1912 season ; Harry Wolverton accepted the position . That year , New York had a last - place finish with a record of 50 -- 102 , the winning percentage of . 329 the lowest - ever for the club .   After their first couple of seasons in New York City , team ownership infrequently invested in new players . The ownership group of Farrell and Devery spent their money on personal pursuits such as gambling , leaving them with little to put into the team . New York 's star player , Chase , consorted frequently with gamblers . Author Jim Reisler dubbed him `` the most crooked player to ever play the game '' because of reports that he took part in game fixing . The club also had difficulty drawing fans to Hilltop Park . Appel wrote that `` maybe the best thing you could say about the ballpark was that it never burned down . '' By the end of the 1912 season , Farrell was searching for a site to build a new stadium on .   1913 -- 20 : New ownership and acquisition of Babe Ruth ( edit )  Babe Ruth in 1920 , the year he joined the Yankees  New York started playing home games at the Polo Grounds in 1913 as tenants of the Giants . Before the 1913 season , the team gained an official nickname for the first time . Either `` Yankees '' or `` Yanks '' had been used frequently since 1904 in newspapers such as the New York Evening Journal , since `` Highlanders '' was hard to fit in headlines . Such unofficial nicknames were common during that era , but thereafter the official name took hold -- the New York Yankees .   A third major league , the Federal League ( FL ) , began play in 1914 and lasted for two years . While the Yankees did not have to contend with direct competition for fans , as the FL chose to place its New York City franchise in Brooklyn instead of Manhattan , the team nearly lost leading pitcher Ray Caldwell to the rival league after the 1914 season . With the Yankees finishing seventh in 1913 and sixth in 1914 , Farrell and Devery sold the team to brewery magnate Jacob Ruppert and former United States Army engineer Tillinghast L'Hommedieu Huston . The Yankees had rarely been profitable over the previous 10 years , and carried debts of $20,000 . The sale was completed on January 11 , 1915 , as the pair paid a combined $460,000 . Ruppert called the team `` an orphan ball club , without a home of its own , without players of outstanding ability , without prestige . '' The new owners intended to spend freely to improve the club 's talent level and made a major purchase in 1915 , buying pitcher Bob Shawkey from the Philadelphia Athletics . In spite of this , the Yankees ' 69 wins were only enough for fifth in the league . After wearing different designs during the Highlanders years , in 1915 the Yankees introduced white uniforms with pinstripes and an interlocking `` NY '' logo during games at the Polo Grounds ; this remains their home uniform design today . For road games , the team began to wear gray uniforms with `` New York '' across the chest from 1913 ; the Yankees still wear similar garb .   Following the acquisition of third baseman Frank `` Home Run '' Baker from the Athletics , the 1916 Yankees had 80 wins and contended for the AL pennant for most of the season , before suffering a run of injuries to key players , including Baker . In the Yankees ' 1917 season , New York finished in sixth ; Bill Donovan , the club 's manager since 1915 , was fired in the offseason . Ruppert replaced him with Miller Huggins , completing the hire while Huston was overseas fighting in World War I . The Yankees contended for first place in the war - shortened 1918 campaign along with the Red Sox and Cleveland Indians , but lost numerous players to military service and were fourth at 60 -- 63 . After the season , the Yankees acquired three players -- including outfielder Duffy Lewis and pitcher Ernie Shore -- in a trade with the Red Sox , the winners of the 1918 World Series . In 1919 , the club made another trade with Boston , acquiring pitcher Carl Mays for two players and $40,000 . The midseason deal provoked a dispute between the teams and Ban Johnson , who unsuccessfully attempted to block it . Mays had a 9 -- 3 pitching record as a Yankee , and the team improved to 80 -- 59 for the season ; the mark was good for third in the AL .   The 1919 season was the first in which the Yankees played games at the Polo Grounds on Sundays ; until then , blue laws had banned Sunday baseball in New York state . The Yankees ' attendance more than doubled in 1919 , rising to about 619,000 . The Giants soon moved to force the Yankees out of the Polo Grounds , in an effort to secure more Sunday home games . On December 26 , 1919 , the Yankees made an agreement with the Red Sox to purchase outfielder Babe Ruth for $25,000 cash and $75,000 in promissory notes . The deal , which was announced on January 5 , 1920 , was called `` the most famous transaction in sports '' by author Glenn Stout . After tying for the MLB home run lead in 1918 with the Athletics ' Tilly Walker ( with 11 ) , Ruth broke the single - season record with 29 in 1919 . At the same time , he sought a new contract that would double his $10,000 yearly salary . After the trade , Boston did not win another World Series championship until 2004 ; an alleged jinx against the Red Sox , which was known as the Curse of the Bambino ( after a nickname for Ruth ) , was first brought up when they lost the 1986 World Series and became widely discussed after Dan Shaughnessy authored a book with the title . The deal became a symbol of `` how things ( would ) always go wrong for the Red Sox and right for the Yankees '' , according to Stout .   With Ruth in the lineup , the Yankees ' fortunes were transformed . Playing on four World Series champion teams , Ruth hit 659 home runs and scored 1,959 runs ; both marks are team records as of 2018 . He is second in club history with 1,978 runs batted in and accumulated 2,518 hits as a Yankee , third on the team 's all - time list . As well as prowess on the field , Ruth had a larger - than - life personality , bringing him and his team a huge amount of press and public attention . The addition of Ruth helped the Yankees increase their attendance to 1,289,422 for the 1920 season ; it was the first time that any MLB team drew more than one million fans in a year . His skills and charm appealed to large segments of the New York City population ; Stout wrote that `` He belonged to everyone . '' New York was the AL attendance leader for 13 of Ruth 's 15 seasons with the team ; the Yankees became solidly profitable as well , making over $370,000 in 1920 and remaining in the black for the rest of the decade .   In 1920 , Ruth hit 54 home runs for a new record ; his total was higher than that of all other MLB teams but the Philadelphia Phillies . New York had 95 wins , the most in team history to that point , but fell three wins short of the AL championship and finished third . In an August 16 game against the Indians , a pitch from Mays hit Indians shortstop Ray Chapman in the head , leading to his death ; the Yankees slumped after the incident as Cleveland captured the pennant . After the season , the Yankees hired general manager Ed Barrow from the Red Sox . Barrow made numerous trades with his former club , including one immediately after his departure that brought catcher Wally Schang and pitcher Waite Hoyt to New York . The Yankees also became involved in another dispute with Ban Johnson , this time over the replacement of baseball 's existing governing body , the National Commission , after reports came out that the 1919 World Series had been fixed . The Yankees and 10 other franchises -- including the entire NL -- supported the idea of a three - man committee drawn from outside baseball running MLB , and for a time a move by the Yankees to the NL was rumored ; ultimately , Judge Kenesaw Mountain Landis was named MLB 's first commissioner .   1921 -- 28 : first World Series win and Murderers ' Row ( edit )   The 1921 season began a 44 - year period in which the Yankees were , according to author Richard Worth , `` The greatest sustained winning ' empire ' in sports '' . Ruth surpassed his own record by hitting 59 home runs . He also led MLB in on - base percentage with a . 512 mark for the season . The Yankees won the AL pennant for the first time , winning 98 games in the regular season ; the total gave them the league championship by a margin of ​ 4 ⁄ games over Cleveland . In the best - of - nine 1921 World Series , they faced the Giants and won the first two games , but their opponents claimed the Series title when they won four of the next five games . Ruth suffered an arm infection , which limited his playing time in the later part of the Series . He and Bob Meusel participated in exhibition games during the offseason , in violation of MLB rules forbidding players on pennant - winning teams from barnstorming after the World Series . Season - long suspensions were considered a possibility , but Landis decided to suspend the pair for six weeks . Despite the setback , New York had 94 wins and repeated as AL champions . The St. Louis Browns were the closest pursuers , finishing one game behind New York . In the World Series , the Yankees again faced the Giants in an all - New York matchup ; the Series changed to a best - of - seven format that year . The Giants defeated the Yankees in five games , including one that ended in a tie when it was suspended because of darkness .  Lou Gehrig was part of the Yankees ' 1927 Murderers ' Row lineup .  By 1923 , the teams no longer shared the Polo Grounds , as Giants owner Charles Stoneham had attempted to evict the Yankees in 1920 . Although the attempt was unsuccessful , and Stoneham and the Yankees ' owners agreed to a two - year lease renewal , the Giants indicated that the Yankees would not receive an extension after 1922 . The treatment pushed the Yankees into seeking their own stadium . In 1921 , the team bought a plot of land in the Bronx , and the construction crew finished the new ballpark before the 1923 season . Yankee Stadium , a triple - deck facility , was originally designed to hold more than 55,000 spectators ; it was later able to hold over 70,000 . Writer Peter Carino called the stadium `` a larger and more impressive facility than anything yet built to house a baseball team . '' At Yankee Stadium 's inaugural game on April 18 , 1923 , Ruth hit the first home run in the stadium , which sportswriter Fred Lieb named `` the House That Ruth Built '' as the Yankees would not have needed such a large stadium without the Ruth - driven attendance . Ruth himself had a resurgence after receiving vocal criticism for his 1922 World Series performance . He shared the MLB lead with Cy Williams by hitting 41 home runs in the 1923 season , and had a career - best . 393 batting average ; his performance earned him the AL Most Valuable Player ( MVP ) Award . The Yankees finished first for the third consecutive year , and faced the Giants again in the 1923 World Series . Giants outfielder Casey Stengel hit game - winning home runs in two of the first three games of the World Series , but Ruth 's three home runs helped the Yankees win in six games for their first MLB title . Off the field , Ruppert purchased Huston 's share of the Yankees for $1,250,000 , assuming full ownership of the club .   The Yankees did not return to the World Series in either of the following two seasons . By 1925 , New York had fallen to seventh place . That year marked the team 's last losing season until 1965 ; the 39 - year streak of winning seasons is an MLB record . First baseman Lou Gehrig debuted in 1925 , earning a spot in the lineup he would not relinquish for almost 15 years , a then - record consecutive games played streak . The Yankees made more talent upgrades before their 1926 season , which included the signing of infielder Tony Lazzeri , who spent over a decade with the club . New York 's performance on the field surpassed preseason expectations , and a 16 - game winning streak in May gave the team a substantial lead . With a three - game final margin over the Indians , the Yankees won the pennant and a spot in the 1926 World Series against the St. Louis Cardinals . After the Yankees took a 3 -- 2 series lead , the Cardinals won the final two games in Yankee Stadium to claim the Series title . Ruth hit three home runs in the fourth game , but made the final out of the Series on a failed stolen base attempt .   The Yankees ' lineup in the 1927 season , which featured Ruth , Gehrig , Lazzeri , Meusel , Mark Koenig , and Earle Combs , was known as Murderers ' Row for its power hitting . The team led in the standings throughout . The Yankees took first place in early May , and by the end of June had posted a 49 -- 20 record , giving them a large lead in the AL standings ; by mid-September , they had clinched the pennant . The 1927 Yankees had a 110 -- 44 record in the regular season , and broke the AL record for wins in a year . Ruth 's total of 60 home runs set a single - season home run record that stood for 34 years . Gehrig added 47 home runs and his 175 RBI topped the AL ; he won the first of his two AL MVP Awards . The Yankees completed the season by sweeping the Pittsburgh Pirates in the 1927 World Series . The 1927 Yankees squad is included among the great teams in baseball history .   To begin the 1928 season , the Yankees went on a 34 -- 8 run and took a sizable lead . The Athletics chased them for the AL pennant towards the end of the season , but New York won the title again and faced the Cardinals in the 1928 World Series , sweeping them in four games . Coming off a 54 - home run regular season , Ruth had three more and a . 625 batting average in the Series , while Gehrig batted . 545 with four home runs . With the Yankees ' run of three straight league pennants and two World Series titles came criticism from fans of other teams , who decried the team 's dominance . Calls to `` Break up the Yankees ! '' were made , and critics hoped that the team would sell Gehrig to separate him from Ruth ; Ruppert declined to do so .   1929 -- 35 : hiring of Joe McCarthy and Ruth 's called shot ( edit )   The Yankees ' run of pennants was broken up by a rising Philadelphia Athletics team , which denied the Yankees a fourth straight AL championship in 1929 . The team 's manager , Huggins , died on September 25 . After Art Fletcher managed for the rest of the year , Shawkey took the position for the 1930 season , in which the Yankees had a third - place finish . The Yankees fired Fletcher and hired Joe McCarthy ; in his first season as manager , the team won 94 games but finished second behind the Athletics . McCarthy 's team was undergoing a transition from Murderers ' Row ; new contributors included Bill Dickey , who had first played for the Yankees in 1928 , and pitchers Red Ruffing and Lefty Gomez . Ruffing , who had a 39 -- 96 record with the Red Sox before being traded to New York , ended up 231 -- 124 in his Yankees career .   In 1932 , McCarthy 's Yankees returned to the top of the AL with 107 wins , enough for a 13 - game margin over the Athletics . The Yankees met the Chicago Cubs in the 1932 World Series and swept them four games to none . Gehrig had three home runs , eight RBI , and a . 529 batting average for the Series , while Ruth contributed a pair of home runs in the third game at Chicago 's Wrigley Field . The second of Ruth 's home runs was his `` called shot '' ; after pointing towards the center field stands , according to some post-game press reports , Ruth homered to break a 4 -- 4 tie in the fifth inning . Although accounts of the incident vary greatly , author Eric Enders called the home run `` the most talked - about hit in baseball history '' .   The Yankees began cutting their payroll in 1933 , as their finances were strained by the Great Depression . Regardless , the makeup of the team was minimally impacted in comparison to the Athletics , who were forced to sell key players to lower their expenses . From 1933 to 1935 , the Yankees posted three consecutive second - place finishes . Ruth 's performance declined from previous seasons in 1933 and 1934 , his final years with the team . The Yankees released Ruth from his contract before the 1935 season , and Gehrig took a leadership role for the club ; he was named New York 's captain . New York was beginning to see results from an initiative to buy minor league teams in an effort to reduce the cost of obtaining players ; after buying their first minor league club in 1929 , the Yankees had a 15 - team system by 1937 . Players developed in the farm system entered the Yankee lineup beginning in the mid-1930s , and into the early 1960s this remained the team 's primary player acquisition method . McCarthy worked to regulate player behavior in areas such as mental focus and off - field attire ; the Yankees acquired a `` corporate image '' that they retained for many years .   1936 -- 41 : renewed domination ( edit )  Joe DiMaggio recorded base hits in an MLB record 56 straight games in 1941 .  New York 's 1936 season was Joe DiMaggio 's first with the club . The young center fielder was signed in 1934 from the Pacific Coast League 's San Francisco Seals , and made his debut with the Yankees in 1936 , gaining an extra year 's experience with the Seals . DiMaggio had a . 323 batting average , 29 home runs , and 125 RBI in his rookie season . Gehrig won the AL MVP Award for his season , in which he hit a career - high 49 home runs , with a . 354 batting average and 152 RBI . Behind these performances , the Yankees had a 102 - win season and won the AL pennant , before defeating the Giants in the 1936 World Series , four games to two . After a second consecutive 102 - win regular season and AL championship in the 1937 season , the Yankees again defeated the Giants in the Series -- this time winning 4 -- 1 . The 1938 Yankees had 48 victories in 61 games during one stretch , and won the team 's third straight AL championship despite a drop in batting performance by Gehrig . In the 1938 World Series , the Yankees swept the Chicago Cubs in four games . Ruppert died early in 1939 ; before his death , he sold his ownership interest to Barrow , who took over as the Yankees ' president . Financially , the club 's position had improved from earlier in the decade ; after posting a net loss of around $170,000 from 1931 to 1935 , the team made over $1 million during the next four years .   The 1939 Yankees lost the services of Gehrig early in the season . After starting the year poorly , he ended his streak of 2,130 consecutive games played ; he was later diagnosed with amyotrophic lateral sclerosis , which forced him to retire . Despite the loss of Gehrig , New York fielded a team that posted 106 victories in 1939 , 17 more than the second - place team . DiMaggio was named MVP of the league ; he led the AL in batting average (. 381 ) and was second in RBI ( 126 ) . Ruffing led the Yankees ' pitchers with 20 wins . In the 1939 World Series , the Yankees swept the Cincinnati Reds in four games for the club 's fourth consecutive Series championship . Writers have given the 1936 -- 39 Yankees acclaim for their success in regular season and World Series play ; Stout wrote that the 1939 squad was `` magnificent '' , and that their campaign was `` wholly without drama '' besides Gehrig 's departure from the lineup . In response to the Yankees ' dominance , after the 1939 season the AL temporarily barred most transactions between the last pennant winner and other league teams in an attempt to prevent New York from improving its roster . The Yankees ' run of championships ended in 1940 ; the team had 18 more losses than in the previous season and finished second , two games behind the Tigers .   DiMaggio recorded base hits in 56 consecutive games for the Yankees during the 1941 season , breaking the MLB record of 44 games that had been set by Willie Keeler in 1897 . His hitting streak lasted from May 15 to July 17 , when DiMaggio failed to record a hit during a game against the Indians at Cleveland Stadium . After winning the AL pennant , the Yankees met the Brooklyn Dodgers in the 1941 World Series , prevailing in five games . In Game 4 , the Yankees trailed 4 -- 3 in the ninth inning and were on the verge of defeat when Tommy Henrich struck out ; Dodgers catcher Mickey Owen was unable to field the pitch , allowing Henrich to reach base . That began a four - run game - winning rally , and New York won the championship in Game 5 the following day .   World war ii to free agency ( edit )   1942 -- 47 : pre-stengel era ( edit )   The attack on Pearl Harbor occurred during the offseason , and some baseball players immediately joined the Armed Forces . Most of the Yankees ' roster remained with the team in 1942 , and the club repeated as AL champions despite Gomez 's departure . In the 1942 World Series , the Cardinals gave the Yankees their first Series loss since 1926 , after winning in eight consecutive appearances . DiMaggio and other Yankees entered the military before the 1943 season , but the club won the AL championship for the 14th time and 7th since 1936 . The Cardinals met the Yankees in a World Series rematch , and New York won four games to one .   After 1943 , more of the team 's players were drafted into military , and the Yankees ended 1944 in third place , one position higher than they finished the following season . A group consisting of Larry MacPhail , Dan Topping , and Del Webb bought the Yankees , their stadium , and the franchise 's minor league teams for $2,800,000 in 1945 . Under the new ownership , Yankee Stadium underwent extensive renovations that included the installation of lights . With the war over and the return of players from overseas , the Yankees set an MLB single - season home attendance record by attracting 2,265,512 fans in 1946 . McCarthy resigned as manager early in the season . The Yankees used two other managers during the year ( Bill Dickey and </t>
  </si>
  <si>
    <t xml:space="preserve">when did the yankees become a baseball team</t>
  </si>
  <si>
    <t xml:space="preserve"> The history of the New York Yankees Major League Baseball ( MLB ) team spans more than a century . Frank J. Farrell and William Stephen Devery bought the rights to an American League ( AL ) club in New York City after the 1902 season . The team , which became known as the Yankees in 1913 , rarely contended for the AL championship before the acquisition of outfielder Babe Ruth after the 1919 season . With Ruth in the lineup , the Yankees won their first AL title in 1921 , followed by their first World Series championship in 1923 . Ruth and first baseman Lou Gehrig were part of the team 's Murderers ' Row lineup , which led the Yankees to a then - AL record 110 wins and a Series championship in 1927 under Miller Huggins . They repeated as World Series winners in 1928 , and their next title came under manager Joe McCarthy in 1932 . </t>
  </si>
  <si>
    <r>
      <rPr>
        <sz val="11"/>
        <color rgb="FF000000"/>
        <rFont val="Calibri"/>
        <family val="0"/>
        <charset val="1"/>
      </rPr>
      <t xml:space="preserve">Grace and Frankie - Wikipedia  Grace and Frankie     Grace and Frankie         Genre   Comedy     Created by     Marta Kauffman   Howard J. Morris       Starring     Jane Fonda   Lily Tomlin   Sam Waterston   Martin Sheen   Brooklyn Decker   Ethan Embry   June Diane Raphael   Baron Vaughn       Opening theme   `` Stuck in the Middle with You '' performed by Grace Potter     Composer ( s )   Sam KS Michael Skloff     Country of origin   United States     Original language ( s )   English     No. of seasons       No. of episodes   52 ( list of episodes )     Production     Executive producer ( s )     Marta Kauffman   Howard J. Morris   Jane Fonda   Lily Tomlin   Tate Taylor ( pilot )   Paula Weinstein   Dana Goldberg   David Ellison   Marcy Ross   Alexa Junge       Production location ( s )   Los Angeles , California     Cinematography   Gale Tattersall     Editor ( s )     Lisa Zeno Churgin   Michael Jablow   Sarah Lucky       Camera setup   Single - camera     Running time   25 -- 35 minutes     Production company ( s )     Okay Goodnight   Skydance Television       Distributor   Netflix     Release     Original network   Netflix     Picture format   4K ( Ultra HD )     Original release   May 8 , 2015 ( 2015 - 05 - 08 ) -- present ( present )     External links     Official website     Grace and Frankie is an American comedy web television series created by Marta Kauffman and Howard J. Morris for Netflix . The series stars Jane Fonda and Lily Tomlin in the title roles of Grace and Frankie , two unlikely friends who are brought together after their husbands announce that they are in love and plan to get married . Sam Waterston , Martin Sheen , Brooklyn Decker , Ethan Embry , June Diane Raphael , and Baron Vaughn co-star in supporting roles . It premiered on Netflix on May 8 , 2015 , with all 13 episodes of the first season released simultaneously . The second , third , and fourth seasons , also consisting of 13 episodes each , have been released on May 6 , 2016 , March 24 , 2017 , and January 19 , 2018 , respectively .   Despite mixed reviews upon its debut , the series was met with a more positive critical reception towards its later seasons and has received several nominations , including four Primetime Emmy Award nominations for Outstanding Lead Actress in a Comedy Series and a Golden Globe Award nomination for Best Actress -- Television Series Musical or Comedy .   On February 15 , 2018 , Grace and Frankie was renewed for a fifth season .   Contents    1 Premise   2 Cast   2.1 Main   2.2 Recurring     3 Episodes   4 Production and development   4.1 Casting   4.2 Filming     5 Reception   5.1 Accolades   5.2 Controversy     6 References   7 External links    Premise ( edit )   The series follows Grace , a retired cosmetics mogul , and Frankie , a hippie art teacher , whose husbands , Robert and Sol , are successful divorce lawyers in San Diego . Grace and Frankie 's lives are turned upside down when Robert and Sol announce that they are in love with each other and are leaving their wives . Now , the women , who have never particularly liked each other , are forced to live together and learn to unite and cope with difficulties .   Cast ( edit )   Main ( edit )    Jane Fonda as Grace Hanson , a retired cosmetics mogul   Lily Tomlin as Frances `` Frankie '' Bergstein ( née Mengela ) , a hippie art teacher   Martin Sheen as Robert Hanson , a successful divorce lawyer and Grace 's former husband who later becomes Sol 's husband   Sam Waterston as Sol Bergstein , a successful divorce lawyer and Frankie 's former husband who later becomes Robert 's husband   June Diane Raphael as Brianna Hanson , older daughter of Grace and Robert , head of the company founded and once run by Grace   Baron Vaughn as Nwabudike `` Bud '' Bergstein , son of Frankie and Sol , and also a lawyer at Robert &amp; Sol 's firm   Brooklyn Decker as Mallory Hanson , younger daughter of Grace and Robert , a wife and mother of four children   Ethan Embry as Coyote Bergstein , son of Frankie and Sol , a substitute teacher and recovering addict    Recurring ( edit )     Actor   Character   Season               Ernie Hudson   Jacob   Recurring     Geoff Stults   Mitch   Recurring     Guest       Tim Bagley   Peter   Recurring   Guest   Recurring     Peter Cambor   Barry   Recurring   Guest   Recurring     Craig T. Nelson   Guy   Recurring       Brittany Ishibashi   Erica   Guest   Recurring     Guest     Michael Charles Roman   Adam   Guest   Recurring   Guest   Recurring     Sam Elliott   Phil Milstein     Recurring       Estelle Parsons   Babe     Recurring       Marsha Mason   Arlene     Guest   Recurring     Lindsey Kraft   Allison Giampietro - Smikowitz     Recurring     Peter Gallagher   Nick Skolka     Recurring     Jack Plotnick   Paul     Recurring     Megan Ferguson   Nadia     Guest   Recurring     Lisa Kudrow   Sheree     Recurring     Talia Shire   Teddie     Recurring     Mark Deklin   Roy     Recurring     Episodes ( edit )  Main article : List of Grace and Frankie episodes    Season   Episodes   Originally released         13   May 8 , 2015 ( 2015 - 05 - 08 )         13   May 6 , 2016 ( 2016 - 05 - 06 )         13   March 24 , 2017 ( 2017 - 03 - 24 )         13   January 19 , 2018 ( 2018 - 01 - 19 )     Production and Development ( edit )   In March 2014 , Netflix finalized a deal for a 13 - episode straight - to - series order for Grace and Frankie , with Jane Fonda and Lily Tomlin attached to star in the lead roles . The series was written and created by Marta Kauffman and Howard J. Morris , who also serve as executive producers alongside Fonda , Tomlin , Paula Weinstein and Tate Taylor , and Skydance Productions ' Dana Goldberg , David Ellison and Marcy Ross .   On May 26 , 2015 , Netflix renewed the series for a second season which premiered on May 6 , 2016 .   On December 10 , 2016 , the series was renewed for a third season which premiered on March 24 , 2017 .   On April 12 , 2017 , the series was renewed for a fourth season , which premiered on January 19 , 2018 .   On February 15 , 2018 , the series was renewed for a fifth season , with RuPaul announced to guest star as a rival of Grace &amp; Frankie .   Casting ( edit )   Casting announcements began in June 2014 , with Martin Sheen cast in the role of Robert , Grace 's husband . The following month , Sam Waterston was cast in the role of Sol , Frankie 's husband . June Diane Raphael and Baron Vaughn were then added to the cast , with Raphael cast in the role of Brianna , Grace and Robert 's elder daughter , who rebels against Grace 's decorum . Vaughn signed onto the role of Nwabudike , Frankie and Sol 's son . Shortly afterwards , Ethan Embry and Brooklyn Decker were cast in the remaining roles on the series . Embry joined in the role of Coyote , Frankie and Sol 's recovering drug addicted son , while Decker signed onto the role of Mallory , Grace and Robert 's younger daughter . In October 2015 , it was announced Sam Elliott would appear in the second season as Grace 's love interest . In April 2017 , it was reported that Lisa Kudrow will appear in the fourth season as Sheree , Grace 's manicurist . In February 2018 , the same day as the fifth season was commissioned , RuPaul was confirmed to appear in the fifth season as a rival of Grace and Frankie .   Filming ( edit )   Production on season one of Grace and Frankie began in Los Angeles , California , in early August 2014 , and ended in late November . Production on season two of the series began in July 2015 , and ended in November the same year .   Reception ( edit )   The first season of Grace and Frankie received mixed reviews from critics . On Rotten Tomatoes it has a rating of 50 % , based on 32 reviews , with an average rating of 6.2 / 10 . The site 's critical consensus reads , `` Grace and Frankie 's stellar cast adds an undeniable appeal , although its sloppy dialogue and clichéd sitcom setup will still leave most viewers wanting . '' On Metacritic the season has a score of 58 out of 100 , based on 27 critics , indicating `` mixed or average reviews '' .   The second season received a more positive reception from critics . On Rotten Tomatoes , it has a rating of 89 % , based on 9 reviews , with an average rating of 7.2 / 10 . On Metacritic , the season has a score of 62 out of 100 , based on 6 critics , indicating `` generally favourable reviews '' . Jasef Wisener of TVOvermind gave the second season a 4.5 / 5 , calling it `` heartfelt and hilarious '' and `` a huge improvement over the sometimes sluggish first season . ''   The third season received critical acclaim . On Rotten Tomatoes , it has a rating of 100 % , based on 5 reviews , with an average rating of 7.5 / 10 .   Accolades ( edit )     Year   Award     Nominee ( s )   Result   Ref .     2015   67th Primetime Emmy Awards   Outstanding Lead Actress in a Comedy Series   Lily Tomlin   Nominated       20th Satellite Awards   Best Actress in a Musical or Comedy Series   Lily Tomlin   Nominated       73rd Golden Globe Awards   Best Actress -- Television Series Musical or Comedy   Lily Tomlin   Nominated       Dorian Awards   TV Comedy of the Year     Nominated       TV Performance of the Year -- Actress   Jane Fonda   Nominated     TV Performance of the Year -- Actress   Lily Tomlin   Nominated     LBGTQ TV Show of the Year     Nominated     27th GLAAD Media Awards   Outstanding Comedy Series     Nominated       19th OFTA Awards   Best Comedy Series     Nominated       Best Actress in a Comedy Series   Jane Fonda   Won     Best Actress in a Comedy Series   Lily Tomlin   Nominated     Best Supporting Actor in a Comedy Series   Sam Waterston   Nominated     Best Ensemble in a Comedy Series     Nominated     Best Direction in a Comedy Series     Nominated     Best Writing in a Comedy Series     Nominated     2016   68th Primetime Emmy Awards   Outstanding Lead Actress in a Comedy Series   Lily Tomlin   Nominated       Outstanding Costumes for a Contemporary Series , Limited Series , or Movie   Allyson Fanger , Lori DeLapp   Nominated     23rd Screen Actors Guild Awards   Outstanding Performance by a Female Actor in a Comedy Series   Jane Fonda   Nominated       Outstanding Performance by a Female Actor in a Comedy Series   Lily Tomlin   Nominated     Costume Designers Guild Awards   Outstanding Contemporary Television Series   Allyson B. Fanger   Nominated       28th GLAAD Media Awards   Outstanding Comedy Series     Nominated       Artios Awards   Outstanding Achievement in Casting - Television Pilot - Comedy   Tracy Lilienfield , Emily Towler   Nominated       20th OFTA Awards   Best Actress in a Comedy Series   Jane Fonda   Nominated       Best Actress in a Comedy Series   Lily Tomlin   Nominated     Best Ensemble in a Comedy Series     Nominated     2017   69th Primetime Emmy Awards   Outstanding Lead Actress in a Comedy Series   Jane Fonda   Nominated       Outstanding Lead Actress in a Comedy Series   Lily Tomlin   Nominated     Outstanding Costumes for a Contemporary Series , Limited Series , or Movie   Designers ( show )   Allyson B. Fanger , Heather Pain , Lori DeLapp     Nominated     Outstanding Production Design for a Narrative Program ( Half - Hour or Less )   Designers ( show )   Devorah Herbert , Ben Edelberg , Christopher Carlson     Nominated     2018   70th Primetime Emmy Awards   Outstanding Lead Actress in a Comedy Series   Lily Tomlin   Pending       Outstanding Contemporary Costumes   Designers ( show )   Allyson B. Fanger , Heather Pain , Lori DeLapp     Pending     Outstanding Production Design for a Narrative Program ( Half - Hour or Less )   Designers ( show )   Devorah Herbert , Amy Wheeler , Andrea Fenton     Pending     24th Screen Actors Guild Awards   Outstanding Performance by a Female Actor in a Comedy Series   Jane Fonda   Nominated       Outstanding Performance by a Female Actor in a Comedy Series   Lily Tomlin   Nominated     Controversy ( edit )   After the show 's release , Tomlin and Fonda expressed displeasure once it became public that their salaries were just equal to those of Sheen and Waterston , even though `` the show is not ' Sol and Robert ' , it 's ' Grace and Frankie , ' '' in the words of Lily Tomlin , and contended this constituted a significant pay inequity . Shortly thereafter , Sheen and Waterston went on the record to support their co-stars ' demands for a salary increase , with Waterston being quoted as saying : `` I think they 're being cheated '' . After fans of the show gathered nearly 200,000 signatures on a petition protesting the disparity , the two actresses issued a public statement backing away from criticism , saying : `` This just reminds us to be mindful of how things come across in interviews . We appreciate everyone 's support and the attention to this issue , but the structure of Grace and Frankie is fair , and we could n't be happier to work with Skydance , Netflix and the great cast of this show . '' Fonda and Tomlin made a statement to The Wrap that they were never unhappy with the salaries to start with and that they had `` made a joke in an interview about our salaries , which was taken out of context . ''   References ( edit )    ^ Jump up to : Erik , Pedersen ( February 14 , 2018 ) . `` ' Grace And Frankie ' Renewed For Season 5 On Netflix ; RuPaul To Guest Star '' . Deadline Hollywood . Retrieved February 20 , 2018 .   Jump up ^ `` Jane Fonda and Lily Tomlin Back Together Again in `` Grace and Frankie , '' A New Original Comedy Series on Netflix `` . The Futon Critic . March 19 , 2014 . Retrieved August 30 , 2014 .   Jump up ^ `` ' Grace And Frankie ' Renewed For Season 2 By Netflix '' . Deadline Hollywood . May 26 , 2015 . Retrieved May 19 , 2015 .   Jump up ^ de Moraes , Lisa ( January 17 , 2016 ) . `` Netflix Unveils Premiere Dates For ' Orange Is The New Black , ' ' The Get Down , ' ' Flaked ' And Others '' . Deadline Hollywood . Retrieved January 17 , 2016 .   Jump up ^ Wagmeister , Elizabeth ( December 10 , 2015 ) . `` Netflix Renews ' Grace and Frankie ' for Season 3 '' . Variety.com . Retrieved January 12 , 2016 .   Jump up ^ Petski , Denise ( February 8 , 2017 ) . `` ' Grace And Frankie ' Gets Season 3 Premiere Date On Netflix &amp; Teaser '' . Deadline Hollywood .   ^ Jump up to : Otterson , Joe ( April 12 , 2017 ) . `` ' Grace and Frankie ' Renewed for Season 4 at Netflix , Adds Lisa Kudrow '' . Variety . Retrieved April 30 , 2017 .   Jump up ^ Moore , Kasey ( April 12 , 2017 ) . `` Grace and Frankie Season 4 : Official Renewal Status and Release Date '' . whats-on-netflix.com . Retrieved April 12 , 2017 .   Jump up ^ Ng , Philiana ; Goldberg , Lesley ( June 18 , 2014 ) . `` Martin Sheen to Star in Netflix 's Jane Fonda - Lily Tomlin Comedy ( Exclusive ) '' . The Hollywood Reporter . Retrieved August 30 , 2014 .   Jump up ^ Thomas , Kaitlin ( July 7 , 2014 ) . `` Sam Waterston and Jane Fonda Reunite for Netflix 's Grace and Frankie '' . TV Guide . Retrieved August 30 , 2014 .   Jump up ^ `` June Diane Raphael &amp; Baron Vaughn Join Netflix Comedy ' Grace &amp; Frankie ' '' . Deadline Hollywood . July 17 , 2014 . Retrieved August 30 , 2014 .   Jump up ^ `` Development Update : Tuesday , July 29 '' . The Futon Critic . July 29 , 2014 . Retrieved August 30 , 2014 .   Jump up ^ Fonda , Jane ( October 19 , 2015 ) . `` Grace &amp; Frankie nearing end of Season 2 '' . JaneFonda.com . Retrieved January 12 , 2016 .   Jump up ^ `` Starting the New Series , Grace &amp; Frankie , with Lily Tomlin , Martin Sheen &amp; Sam Waterston '' . JaneFonda.com . August 17 , 2014 . Retrieved August 30 , 2014 .   Jump up ^ `` Gearing Up for Grace and Frankie Season II '' . JaneFonda.com . July 2 , 2015 . Retrieved January 12 , 2016 .   Jump up ^ `` Last day on Season II of Grace &amp; Frankie '' . JaneFonda.com . November 13 , 2015 . Retrieved January 12 , 2016 .   Jump up ^ `` Grace and Frankie : Season 1 ( 2015 ) '' . Rotten Tomatoes . Retrieved July 4 , 2015 .   Jump up ^ `` Grace and Frankie : Season 1 reviews '' . Metacritic . Retrieved July 4 , 2015 .   Jump up ^ `` Grace and Frankie : Season 2 ( 2016 ) '' . Rotten Tomatoes . Retrieved May 7 , 2016 .   Jump up ^ `` Grace and Frankie : Season 2 reviews '' . Metacritic . Retrieved May 7 , 2016 .   Jump up ^ Wisener , Jasef ( May 18 , 2016 ) . `` Grace and Frankie Season 2 Review '' . TVOvermind . Retrieved June 13 , 2016 .   Jump up ^ `` Grace and Frankie : Season 3 ( 2017 ) '' . Rotten Tomatoes . Retrieved April 16 , 2017 .   Jump up ^ `` Emmy Awards 2015 : The complete winners list '' . CNN.com . September 21 , 2015 . Retrieved September 22 , 2015 .   Jump up ^ `` Satellite Awards ( 2015 ) '' . International Press Academy . IPA . December 2 , 2015 . pressacademy.com . Retrieved December 2 , 2015 .   Jump up ^ Lang , Brent ( December 10 , 2015 ) . `` 2016 Golden Globes : Lady Gaga , Transparent and Orange Is the New Black Leads the Race '' . Variety . Retrieved 2015 - 12 - 27 .   Jump up ^ `` GALECA 2015 / 16 DORIAN AWARDS '' . GALECA. 2016 . Archived from the original on 2017 - 01 - 18 .   Jump up ^ `` 2016 / 01 / 2016 - glaad - media - award - nominations '' . vulture.com . Retrieved 2016 - 01 - 27 .   Jump up ^ `` 19th Annual TV Awards ( 2014 - 15 ) '' . Online Film &amp; Television Association . Retrieved October 21 , 2017 .   Jump up ^ `` Anthony Anderson and Lauren Graham to Announce Emmy Nominations '' . Academy of Television Arts &amp; Sciences . June 21 , 2016 . Retrieved June 25 , 2016 .   Jump up ^ `` Nominations for the 68th Primetime Emmy Awards '' . Los Angeles Times . July 14 , 2016 . Retrieved July 15 , 2016 .   ^ Jump up to : https://variety.com/2016/film/news/2017-sag-awards-nominations-nominees-list-1201941897/   Jump up ^ `` Outstanding Contemporary TV Series '' . costumedesignersguild.com . Retrieved 18 February 2017 .   Jump up ^ `` GLAAD Media Awards Nominees # glaadawards '' . GLAAD . Retrieved 9 April 2017 .   Jump up ^ http://www.castingsociety.com/awards/artios/2016   Jump up ^ http://www.oftaawards.com/television-awards/20th-annual-tv-awards-2015-16/   Jump up ^ http://www.emmys.com/awards/nominations/award-search?search_api_views_fulltext=Grace+and+Frankie&amp;submit=Search&amp;field_celebrity_details_field_display_name=&amp;field_show_details_field_nominee_show_nr_title=&amp;field_show_details_field_network=All&amp;field_show_details_field_production_company=All&amp;field_nominations_year=1949-01-01+00%3A00%3A00&amp;field_nominations_year_1=2017-01-01+00%3A00%3A00&amp;field_award_category=All   Jump up ^ http://www.emmys.com/awards/nominations/award-search?search_api_views_fulltext=Grace+and+Frankie&amp;submit=Search&amp;field_celebrity_details_field_display_name=&amp;field_show_details_field_nominee_show_nr_title=&amp;field_show_details_field_network=All&amp;field_show_details_field_production_company=All&amp;field_nominations_year=1949-01-01+00%3A00%3A00&amp;field_nominations_year_1=2017-01-01+00%3A00%3A00&amp;field_award_category=All   Jump up ^ Kang , Inkoo . `` Jane Fonda and Lily Tomlin Go Public About Their Unfair ' Grace and Frankie ' Paychecks '' . Women and Hollywood . Indiewire.com . Retrieved June 10 , 2015 .   Jump up ^ Vanmetre , Elizabeth ( May 11 , 2015 ) . `` Martin Sheen , Sam Waterston agree ' Grace and Frankie ' , stars Jane Fonda and Lily Tomlin deserve pay raise '' . New York Daily News . Retrieved June 10 , 2015 .   ^ Jump up to : Gennis , Sadie . `` Jane Fonda and Lily Tomlin Say They 're Okay with Grace and Frankie Gender Pay Disparity '' . TV Guide . CBS Interactive Inc . Retrieved June 10 , 2015 .    External links ( edit )    Official website   Grace and Frankie on IMDb              Netflix original current series     Since 2013     House of Cards   Orange Is the New Black       Since 2014     BoJack Horseman       Since 2015     Unbreakable Kimmy Schmidt   Chef 's Table   Daredevil   Grace and Frankie   Club de Cuervos   Dinotrux   Jessica Jones   F Is for Family   Making a Murderer   Real Rob       Since 2016     Degrassi : Next Class   Fuller House   Lego Friends : The Power of Friendship   Flaked   The Ranch   Kong : King of the Apes   Voltron : Legendary Defender   Word Party   World of Winx   Stranger Things   Home : Adventures with Tip &amp; Oh   Last Chance U   Beat Bugs   Ask the StoryBots   Kulipari : An Army of Frogs   Easy   Luke Cage   Skylanders Academy   The Crown   3 %   Luna Petunia   The OA   Travelers       Since 2017     One Day at a Time   A Series of Unfortunate Events   Frontier   Santa Clarita Diet   Ultimate Beastmaster   Legend Quest   21 Thunder   Iron Fist   Julie 's Greenroom   Ingobernable   13 Reasons Why   Mystery Science Theater 3000 : The Return   Bill Nye Saves the World   Dear White People   Cable Girls   Buddy Thunderstruck   Spirit Riding Free   Anne with an E   El Chapo   Free Rein   GLOW   The Standups   Castlevania   Friends from College   Ozark   The Worst Witch   Atypical   True and the Rainbow Kingdom   Greenhouse Academy   The Confession Tapes   American Vandal   Neo Yokio   Jack Whitehall : Travels with My Father   Big Mouth   The Magic School Bus Rides Again   Suburra   Mindhunter   Super Monsters   Cuando conocí al Chapo : La historia de Kate del Castillo   Beyond Stranger Things   The Punisher   Shot in the Dark   Stretch Armstrong and the Flex Fighters   She 's Gotta Have It   Dark   Wormwood   The Toys That Made Us       Since 2018     The End of the F * * * ing World   My Next Guest Needs No Introduction with David Letterman   Trolls : The Beat Goes On !   Llama Llama   The New Legends of Monkey   Altered Carbon   Dirty Money   Queer Eye   The Joel McHale Show with Joel McHale   Ugly Delicious   B : The Beginning   Flint Town   Girls Incarcerated   A.I.C.O. - Incarnation -   Nailed It !   On My Block   Wild Wild Country   Alexa &amp; Katie   The Mechanism   Requiem   Sword Gai : The Animation   Lost Song   Troy : Fall of a City   The Boss Baby : Back in Business   Fastest Car   Lost in Space   Aggretsuko   ReBoot : The Guardian Code   Spy Kids : Mission Critical   The Letdown   Luis Miguel   A Little Help with Carol Burnett   Busted !   The Rain   Safe   The Who Was ? Show   The Break with Michelle Wolf   The Hollow   The Ballad of Hugo Sánchez   Harvey Street Kids   Kiss Me First   Samantha !   Sacred Games   The Epic Tales of Captain Underpants   Sugar Rush   Dark Tourist   Cupcake &amp; Dino : General Services   Treehouse Detectives   All About the Washingtons   Insatiable   La casa de las flores      Retrieved from `` https://en.wikipedia.org/w/index.php?title=Grace_and_Frankie&amp;oldid=853736069 '' Categories :   2010s American comedy - drama television series   2015 American television series debuts   English - language television programs   Gay - related television programs   Netflix original programming   2010s American single - camera sitcoms   Television shows set in San Diego   Television series by Skydance Television   Hidden categories :   Pages using infobox television with editor parameter   Official website different in Wikidata and Wikipedia           Talk                                           Contents                   About Wikipedia                                             Čeština   Cymraeg   Deutsch   Español   Esperanto   فارسی   Français   Italiano   עברית   Nederlands   Polski   Português   Русский   Suomi   Svenska   </t>
    </r>
    <r>
      <rPr>
        <sz val="11"/>
        <color rgb="FF000000"/>
        <rFont val="Noto Sans CJK SC"/>
        <family val="2"/>
      </rPr>
      <t xml:space="preserve">中文  </t>
    </r>
    <r>
      <rPr>
        <sz val="11"/>
        <color rgb="FF000000"/>
        <rFont val="Calibri"/>
        <family val="0"/>
        <charset val="1"/>
      </rPr>
      <t xml:space="preserve">8 more  Edit links   This page was last edited on 6 August 2018 , at 17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</si>
  <si>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long is each grace and frankie episode</t>
  </si>
  <si>
    <t xml:space="preserve">   Grace and Frankie         Genre   Comedy     Created by     Marta Kauffman   Howard J. Morris       Starring     Jane Fonda   Lily Tomlin   Sam Waterston   Martin Sheen   Brooklyn Decker   Ethan Embry   June Diane Raphael   Baron Vaughn       Opening theme   `` Stuck in the Middle with You '' performed by Grace Potter     Composer ( s )   Sam KS Michael Skloff     Country of origin   United States     Original language ( s )   English     No. of seasons       No. of episodes   52 ( list of episodes )     Production     Executive producer ( s )     Marta Kauffman   Howard J. Morris   Jane Fonda   Lily Tomlin   Tate Taylor ( pilot )   Paula Weinstein   Dana Goldberg   David Ellison   Marcy Ross   Alexa Junge       Production location ( s )   Los Angeles , California     Cinematography   Gale Tattersall     Editor ( s )     Lisa Zeno Churgin   Michael Jablow   Sarah Lucky       Camera setup   Single - camera     Running time   25 -- 35 minutes     Production company ( s )     Okay Goodnight   Skydance Television       Distributor   Netflix     Release     Original network   Netflix     Picture format   4K ( Ultra HD )     Original release   May 8 , 2015 ( 2015 - 05 - 08 ) -- present ( present )     External links     Official website   </t>
  </si>
  <si>
    <r>
      <rPr>
        <sz val="11"/>
        <color rgb="FF000000"/>
        <rFont val="Calibri"/>
        <family val="0"/>
        <charset val="1"/>
      </rPr>
      <t xml:space="preserve">Cellular respiration - wikipedia  Cellular respiration         This article needs additional citations for verification . Please help improve this article by adding citations to reliable sources . Unsourced material may be challenged and removed . ( September 2014 ) ( Learn how and when to remove this template message )    Typical eukaryotic cell  Cellular respiration is a set of metabolic reactions and processes that take place in the cells of organisms to convert biochemical energy from nutrients into adenosine triphosphate ( ATP ) , and then release waste products . The reactions involved in respiration are catabolic reactions , which break large molecules into smaller ones , releasing energy in the process , as weak so - called `` high - energy '' bonds are replaced by stronger bonds in the products . Respiration is one of the key ways a cell releases chemical energy to fuel cellular activity . Cellular respiration is considered an exothermic redox reaction which releases heat . The overall reaction occurs in a series of biochemical steps , most of which are redox reactions themselves . Although cellular respiration is technically a combustion reaction , it clearly does not resemble one when it occurs in a living cell because of the slow release of energy from the series of reactions .   Nutrients that are commonly used by animal and plant cells in respiration include sugar , amino acids and fatty acids , and the most common oxidizing agent ( electron acceptor ) is molecular oxygen ( O ) . The chemical energy stored in ATP ( its third phosphate group is weakly bonded to the rest of the molecule and is cheaply broken allowing stronger bonds to form , thereby transferring energy for use by the cell ) can then be used to drive processes requiring energy , including biosynthesis , locomotion or transportation of molecules across cell membranes .   Contents  ( hide )   1 Aerobic respiration   1.1 Aerobic respiration summed up   1.2 Glycolysis   1.3 Oxidative decarboxylation of pyruvate   1.4 Citric acid cycle   1.5 Oxidative phosphorylation     2 Efficiency of ATP production   3 Fermentation   4 Anaerobic respiration   5 See also   6 References   7 External links    Aerobic respiration  Aerobic respiration ( red arrows ) is the main means by which both fungi and animals utilize chemical energy in the form of organic compounds that were previously created through photosynthesis ( green arrow ) .  Aerobic respiration requires oxygen ( O ) in order to create ATP . Although carbohydrates , fats , and proteins are consumed as reactants , it is the preferred method of pyruvate breakdown in glycolysis and requires that pyruvate enter the mitochondria in order to be fully oxidized by the Krebs cycle . The products of this process are carbon dioxide and water , but the energy transferred is used to break bonds in ADP as the third phosphate group is added to form ATP ( adenosine triphosphate ) , by substrate - level phosphorylation , NADH and FADH     Simplified reaction :   C H O ( s ) + 6 O ( g ) → 6 CO ( g ) + 6 H O ( l ) + heat     ΔG = − 2880 kJ per mol of C H O     The negative ΔG indicates that the reaction can occur spontaneously .   The potential of NADH and FADH is converted to more ATP through an electron transport chain with oxygen as the `` terminal electron acceptor '' . Most of the ATP produced by aerobic cellular respiration is made by oxidative phosphorylation . This works by the energy released in the consumption of pyruvate being used to create a chemiosmotic potential by pumping protons across a membrane . This potential is then used to drive ATP synthase and produce ATP from ADP and a phosphate group . Biology textbooks often state that 38 ATP molecules can be made per oxidised glucose molecule during cellular respiration ( 2 from glycolysis , 2 from the Krebs cycle , and about 34 from the electron transport system ) . However , this maximum yield is never quite reached because of losses due to leaky membranes as well as the cost of moving pyruvate and ADP into the mitochondrial matrix , and current estimates range around 29 to 30 ATP per glucose .   Aerobic metabolism is up to 15 times more efficient than anaerobic metabolism ( which yields 2 molecules ATP per 1 molecule glucose ) . However some anaerobic organisms , such as methanogens are able to continue with anaerobic respiration , yielding more ATP by using other inorganic molecules ( not oxygen ) as final electron acceptors in the electron transport chain . They share the initial pathway of glycolysis but aerobic metabolism continues with the Krebs cycle and oxidative phosphorylation . The post-glycolytic reactions take place in the mitochondria in eukaryotic cells , and in the cytoplasm in prokaryotic cells .   Aerobic respiration summed up   1 . Glycolysis :   -- - 2 ATPs + Glucose → 2 Pyruvic Acid + 4 Hydrogen + 4 ATPs   2 . Formation of Acetyl CoA :   -- - 2 Pyruvic Acid + 2 CoA → 2 Acetyl CoA + 2 Carbon Dioxide + 2 Hydrogen   3 . Krebs Cycle :   -- - 2 Acetyl CoA + 3 O2 → 6 Hydrogen + 4 Carbon Dioxide + 2 ATPs   4 . Electron Transport System :   -- - 12 Hydrogen + 3 O2 → 6 Water + 32 ATPs   Overall Reaction :   -- - Glucose + 6 O2 → 6 Carbon Dioxide + 6 Water + 36 ATPs   Glycolysis  Out of the cytoplasm it goes into the Krebs cycle with the acetyl CoA . It then mixes with CO and makes 2 ATP , NADH , and FADH . From there the NADH and FADH go into the NADH reductase , which produces the enzyme . The NADH pulls the enzyme 's electrons to send through the electron transport chain . The electron transport chain pulls H ions through the chain . From the electron transport chain , the released hydrogen ions make ADP for an end result of 32 ATP . O attracts itself to the left over electron to make water . Lastly , ATP leaves through the ATP channel and out of the mitochondria . Main article : Glycolysis  Glycolysis is a metabolic pathway that takes place in the cytosol of cells in all living organisms . This pathway can function with or without the presence of oxygen . In humans , aerobic conditions produce pyruvate and anaerobic conditions produce lactate . In aerobic conditions , the process converts one molecule of glucose into two molecules of pyruvate ( pyruvic acid ) , generating energy in the form of two net molecules of ATP . Four molecules of ATP per glucose are actually produced , however , two are consumed as part of the preparatory phase . The initial phosphorylation of glucose is required to increase the reactivity ( decrease its stability ) in order for the molecule to be cleaved into two pyruvate molecules by the enzyme aldolase . During the pay - off phase of glycolysis , four phosphate groups are transferred to ADP by substrate - level phosphorylation to make four ATP , and two NADH are produced when the pyruvate are oxidized . The overall reaction can be expressed this way :    Glucose + 2 NAD + 2 P + 2 ADP → 2 pyruvate + 2 NADH + 2 ATP + 2 H + 2 H O + heat    Starting with glucose , 1 ATP is used to donate a phosphate to glucose to produce glucose 6 - phosphate . Glycogen can be converted into glucose 6 - phosphate as well with the help of glycogen phosphorylase . During energy metabolism , glucose 6 - phosphate becomes fructose 6 - phosphate . An additional ATP is used to phosphorylate fructose 6 - phosphate into fructose 1 , 6 - disphosphate by the help of phosphofructokinase . Fructose 1 , 6 - diphosphate then splits into two phosphorylated molecules with three carbon chains which later degrades into pyruvate .   Glycolysis can be literally translated as `` sugar splitting '' .   Oxidative decarboxylation of pyruvate  Main article : Pyruvate decarboxylation  Pyruvate is oxidized to acetyl - CoA and CO by the pyruvate dehydrogenase complex ( PDC ) . The PDC contains multiple copies of three enzymes and is located in the mitochondria of eukaryotic cells and in the cytosol of prokaryotes . In the conversion of pyruvate to acetyl - CoA , one molecule of NADH and one molecule of CO is formed .   Citric acid cycle  Main article : Citric acid cycle  This is also called the Krebs cycle or the tricarboxylic acid cycle . When oxygen is present , acetyl - CoA is produced from the pyruvate molecules created from glycolysis . Once acetyl - CoA is formed , aerobic or anaerobic respiration can occur . When oxygen is present , the mitochondria will undergo aerobic respiration which leads to the Krebs cycle . However , if oxygen is not present , fermentation of the pyruvate molecule will occur . In the presence of oxygen , when acetyl - CoA is produced , the molecule then enters the citric acid cycle ( Krebs cycle ) inside the mitochondrial matrix , and is oxidized to CO while at the same time reducing NAD to NADH . NADH can be used by the electron transport chain to create further ATP as part of oxidative phosphorylation . To fully oxidize the equivalent of one glucose molecule , two acetyl - CoA must be metabolized by the Krebs cycle . Two waste products , H O and CO , are created during this cycle .   The citric acid cycle is an 8 - step process involving 18 different enzymes and co-enzymes . During the cycle , acetyl - CoA ( 2 carbons ) + oxaloacetate ( 4 carbons ) yields citrate ( 6 carbons ) , which is rearranged to a more reactive form called isocitrate ( 6 carbons ) . Isocitrate is modified to become α - ketoglutarate ( 5 carbons ) , succinyl - CoA , succinate , fumarate , malate , and , finally , oxaloacetate .   The net gain of high - energy compounds from one cycle is 3 NADH , 1 FADH , and 1 GTP ; the GTP may subsequently be used to produce ATP . Thus , the total yield from 1 glucose molecule ( 2 pyruvate molecules ) is 6 NADH , 2 FADH , and 2 ATP .   Oxidative phosphorylation  Main articles : Oxidative phosphorylation , Electron transport chain , Electrochemical gradient , and ATP synthase  In eukaryotes , oxidative phosphorylation occurs in the mitochondrial cristae . It comprises the electron transport chain that establishes a proton gradient ( chemiosmotic potential ) across the boundary of inner membrane by oxidizing the NADH produced from the Krebs cycle . ATP is synthesized by the ATP synthase enzyme when the chemiosmotic gradient is used to drive the phosphorylation of ADP . The electrons are finally transferred to exogenous oxygen and , with the addition of two protons , water is formed .   Efficiency of ATP production   The table below describes the reactions involved when one glucose molecule is fully oxidized into carbon dioxide . It is assumed that all the reduced coenzymes are oxidized by the electron transport chain and used for oxidative phosphorylation .     Step   coenzyme yield   ATP yield   Source of ATP     Glycolysis preparatory phase     − 2   Phosphorylation of glucose and fructose 6 - phosphate uses two ATP from the cytoplasm .     Glycolysis pay - off phase       Substrate - level phosphorylation     2 NADH   3 or 5   Oxidative phosphorylation : Each NADH produces net 1.5 ATP ( instead of usual 2.5 ) due to NADH transport over the mitochondrial membrane     Oxidative decarboxylation of pyruvate   2 NADH   5   Oxidative phosphorylation     Krebs cycle       Substrate - level phosphorylation     6 NADH   15   Oxidative phosphorylation     2 FADH     Oxidative phosphorylation     Total yield   30 or 32 ATP   From the complete oxidation of one glucose molecule to carbon dioxide and oxidation of all the reduced coenzymes .     Although there is a theoretical yield of 38 ATP molecules per glucose during cellular respiration , such conditions are generally not realized because of losses such as the cost of moving pyruvate ( from glycolysis ) , phosphate , and ADP ( substrates for ATP synthesis ) into the mitochondria . All are actively transported using carriers that utilize the stored energy in the proton electrochemical gradient .    Pyruvate is taken up by a specific , low Km transporter to bring it into the mitochondrial matrix for oxidation by the pyruvate dehydrogenase complex .   The phosphate carrier ( PiC ) mediates the electroneutral exchange ( antiport ) of phosphate ( H PO ; P ) for OH or symport of phosphate and protons ( H ) across the inner membrane , and the driving force for moving phosphate ions into the mitochondria is the proton motive force .   The ATP - ADP translocase ( also called adenine nucleotide translocase , ANT ) is an antiporter and exchanges ADP and ATP across the inner membrane . The driving force is due to the ATP ( − 4 ) having a more negative charge than the ADP ( − 3 ) , and thus it dissipates some of the electrical component of the proton electrochemical gradient .    The outcome of these transport processes using the proton electrochemical gradient is that more than 3 H are needed to make 1 ATP . Obviously this reduces the theoretical efficiency of the whole process and the likely maximum is closer to 28 -- 30 ATP molecules . In practice the efficiency may be even lower because the inner membrane of the mitochondria is slightly leaky to protons . Other factors may also dissipate the proton gradient creating an apparently leaky mitochondria . An uncoupling protein known as thermogenin is expressed in some cell types and is a channel that can transport protons . When this protein is active in the inner membrane it short circuits the coupling between the electron transport chain and ATP synthesis . The potential energy from the proton gradient is not used to make ATP but generates heat . This is particularly important in brown fat thermogenesis of newborn and hibernating mammals .  Stoichiometry of aerobic respiration and most known fermentation types in eucaryotic cell . Numbers in circles indicate counts of carbon atoms in molecules , C6 is glucose C H O , C1 carbon dioxide CO . Mitochondrial outer membrane is omitted .  According to some of newer sources the ATP yield during aerobic respiration is not 36 -- 38 , but only about 30 -- 32 ATP molecules / 1 molecule of glucose , because :    ATP : NADH + H and ATP : FADH ratios during the oxidative phosphorylation appear to be not 3 and 2 , but 2.5 and 1.5 respectively . Unlike in the substrate - level phosphorylation , the stoichiometry here is difficult to establish .   ATP synthase produces 1 ATP / 3 H. However the exchange of matrix ATP for cytosolic ADP and Pi ( antiport with OH or symport with H ) mediated by ATP -- ADP translocase and phosphate carrier consumes 1 H / 1 ATP as a result of regeneration of the transmembrane potential changed during this transfer , so the net ratio is 1 ATP : 4 H .   The mitochondrial electron transport chain proton pump transfers across the inner membrane 10 H / 1 NADH + H ( 4 + 2 + 4 ) or 6 H / 1 FADH ( 2 + 4 ) .       So the final stoichiometry is   1 NADH + H : 10 H : 10 / 4 ATP = 1 NADH + H : 2.5 ATP   1 FADH : 6 H : 6 / 4 ATP = 1 FADH : 1.5 ATP     ATP : NADH + H coming from glycolysis ratio during the oxidative phosphorylation is   1.5 , as for FADH , if hydrogen atoms ( 2H + 2e ) are transferred from cytosolic NADH + H to mitochondrial FAD by the glycerol phosphate shuttle located in the inner mitochondrial membrane .   2.5 in case of malate - aspartate shuttle transferring hydrogen atoms from cytosolic NADH + H to mitochondrial NAD      So finally we have , per molecule of glucose    Substrate - level phosphorylation : 2 ATP from glycolysis + 2 ATP ( directly GTP ) from Krebs cycle   Oxidative phosphorylation   2 NADH + H from glycolysis : 2 × 1.5 ATP ( if glycerol phosphate shuttle transfers hydrogen atoms ) or 2 × 2.5 ATP ( malate - aspartate shuttle )   2 NADH + H from the oxidative decarboxylation of pyruvate and 6 from Krebs cycle : 8 × 2.5 ATP   2 FADH from the Krebs cycle : 2 × 1.5 ATP      Altogether this gives 4 + 3 ( or 5 ) + 20 + 3 = 30 ( or 32 ) ATP per molecule of glucose   The total ATP yield in ethanol or lactic acid fermentation is only 2 molecules coming from glycolysis , because pyruvate is not transferred to the mitochondrion and finally oxidized to the carbon dioxide ( CO ) , but reduced to ethanol or lactic acid in the cytoplasm .   Fermentation  Main article : Fermentation  Without oxygen , pyruvate ( pyruvic acid ) is not metabolized by cellular respiration but undergoes a process of fermentation . The pyruvate is not transported into the mitochondrion , but remains in the cytoplasm , where it is converted to waste products that may be removed from the cell . This serves the purpose of oxidizing the electron carriers so that they can perform glycolysis again and removing the excess pyruvate . Fermentation oxidizes NADH to NAD+ so it can be re-used in glycolysis . In the absence of oxygen , fermentation prevents the buildup of NADH in the cytoplasm and provides NAD+ for glycolysis . This waste product varies depending on the organism . In skeletal muscles , the waste product is lactic acid . This type of fermentation is called lactic acid fermentation . In strenuous exercise , when energy demands exceed energy supply , the respiratory chain can not process all of the hydrogen atoms joined by NADH . During anaerobic glycolysis , NAD+ regenerates when pairs of hydrogen combine with pyruvate to form lactate . Lactate formation is catalyzed by lactate dehydrogenase in a reversible reaction . Lactate can also be used as an indirect precursor for liver glycogen . During recovery , when oxygen becomes available , NAD+ attaches to hydrogen from lactate to form ATP . In yeast , the waste products are ethanol and carbon dioxide . This type of fermentation is known as alcoholic or ethanol fermentation . The ATP generated in this process is made by substrate - level phosphorylation , which does not require oxygen .   Fermentation is less efficient at using the energy from glucose : only 2 ATP are produced per glucose , compared to the 38 ATP per glucose nominally produced by aerobic respiration . This is because the waste products of fermentation still contain chemical potential energy that can be released by oxidation . Ethanol , for example , can be burned in an internal combustion engine like gasoline . Glycolytic ATP , however , is created more quickly . For prokaryotes to continue a rapid growth rate when they are shifted from an aerobic environment to an anaerobic environment , they must increase the rate of the glycolytic reactions . For multicellular organisms , during short bursts of strenuous activity , muscle cells use fermentation to supplement the ATP production from the slower aerobic respiration , so fermentation may be used by a cell even before the oxygen levels are depleted , as is the case in sports that do not require athletes to pace themselves , such as sprinting .   Anaerobic respiration  Main article : Anaerobic respiration  Cellular respiration is the process by which biological fuels are oxidised in the presence of an inorganic electron acceptor ( such as oxygen ) to produce large amounts of energy , to drive the bulk production of ATP .   Anaerobic respiration is used by some microorganisms in which neither oxygen ( aerobic respiration ) nor pyruvate derivatives ( fermentation ) is the final electron acceptor . Rather , an inorganic acceptor such as sulfate or nitrate is used . Such organisms are typically found in unusual places such as underwater caves or near hydrothermal vents at the bottom of the ocean .   See also    Maintenance respiration : maintenance as a functional component of cellular respiration   Pasteur point   Respirometry : research tool to explore cellular respiration   Tetrazolium chloride : cellular respiration indicator   Complex 1 : NADH : ubiquinone oxidoreductes    References    Jump up ^ Bailey , Regina . `` Cellular Respiration '' . Archived from the original on 2012 - 05 - 05 .   ^ Jump up to : Rich , P.R. ( 2003 ) . `` The molecular machinery of Keilin 's respiratory chain '' . Biochemical Society Transactions . 31 ( Pt 6 ) : 1095 -- 1105 . doi : 10.1042 / BST0311095 . PMID 14641005 .   Jump up ^ Reece1 Urry2 Cain3 Wasserman4 Minorsky5 Jackson6 , Jane1 Lisa2 Michael3 Steven4 Peter5 Robert6 ( 2010 ) . Campbell Biology Ninth Edition . Pearson Education , Inc. p. 168 .   ^ Jump up to : `` Cellular Respiration '' ( PDF ) . Archived ( PDF ) from the original on 2017 - 05 - 10 .   Jump up ^ Porter , R. ; Brand , M. ( 1 September 1995 ) . `` Mitochondrial proton conductance and H+ / O ratio are independent of electron transport rate in isolated hepatocytes '' . The Biochemical Journal ( Free full text ) . 310 ( Pt 2 ) : 379 -- 382 . doi : 10.1042 / bj3100379 . ISSN 0264 - 6021 . PMC 1135905 . PMID 7654171 .   ^ Jump up to : Stryer , Lubert ( 1995 ) . Biochemistry ( fourth ed . ) . New York -- Basingstoke : W.H. Freeman and Company . ISBN 978 - 0716720096 .    External links    A detailed description of respiration vs. fermentation   Kimball 's online resource for cellular respiration   Cellular Respiration and Fermentation at Clermont College      Library resources about Cellular respiration       Resources in your library                 Metabolism , catabolism , anabolism     General     Metabolic pathway   Metabolic network   Primary nutritional groups       Energy metabolism      Aerobic respiration     Glycolysis → Pyruvate decarboxylation → Citric acid cycle → Oxidative phosphorylation ( electron transport chain + ATP synthase )       Anaerobic respiration     Electron acceptors are other than oxygen       Fermentation     Glycolysis →   Substrate - level phosphorylation   ABE   Ethanol   Lactic acid            Specific paths      Protein metabolism     Protein synthesis   Catabolism       Carbohydrate metabolism ( carbohydrate catabolism and anabolism )      Human        Glycolysis ⇄ Gluconeogenesis         Glycogenolysis ⇄ Glycogenesis         Pentose phosphate pathway   Fructolysis   Galactolysis         Glycosylation   N - linked   O - linked            Nonhuman        Photosynthesis   Anoxygenic photosynthesis   Chemosynthesis   Carbon fixation         Xylose metabolism   Radiotrophism             Lipid metabolism ( lipolysis , lipogenesis )      Fatty acid metabolism     Fatty acid degradation ( Beta oxidation )   Fatty acid synthesis       Other     Steroid metabolism   Sphingolipid metabolism   Eicosanoid metabolism   Ketosis   Reverse cholesterol transport          Amino acid     Amino acid synthesis   Urea cycle       Nucleotide metabolism     Purine metabolism   Nucleotide salvage   Pyrimidine metabolism       Other     Metal metabolism   Iron metabolism     Ethanol metabolism                    Metabolism map        Carbon Fixation Photo - respiration Pentose Phosphate Pathway Citric Acid Cycle Glyoxylate Cycle Urea Cycle Fatty Acid Synthesis Fatty Acid Elongation Beta Oxidation Peroxisomal Beta Oxidation   Glyco - genolysis Glyco - genesis Glyco - lysis Gluconeo - genesis Decarb - oxylation Fermentation Keto - lysis Keto - genesis feeders to Gluconeo - genesis Direct / C4 / CAM Carbon Intake Light Reaction Oxidative Phosphorylation Amino Acid Deamination Citrate Shuttle Lipogenesis Lipolysis Steroidogenesis MVA Pathway MEP Pathway Shikimate Pathway Transcription &amp; Replication Translation Proteolysis Glycosy - lation   Sugar Acids Double / Multiple Sugars &amp; Glycans Simple Sugars Inositol - P Amino Sugars &amp; Sialic Acids Nucleotide Sugars Hexose - P Triose - P Glycerol P - glycerates Pentose - P Tetrose - P Propionyl - CoA Succinate Acetyl - CoA Pentose - P P - glycerates Glyoxylate Photosystems Pyruvate Lactate Acetyl - CoA Citrate Oxalo - acetate Malate Succinyl - CoA α - Keto - glutarate Ketone Bodies Respiratory Chain Serine Group Alanine Branched - chain Amino Acids Aspartate Group Homoserine Group &amp; Lysine Glutamate Group &amp; Proline Arginine Creatine &amp; Polyamines Ketogenic &amp; Glucogenic Amino Acids Amino Acids Shikimate Aromatic Amino Acids &amp; Histidine Ascorbate ( Vitamin C ) δ - ALA Bile Pigments Hemes Cobalamins ( Vitamin B ) Various Vitamin B 's Calciferols ( Vitamin D ) Retinoids ( Vitamin A ) Quinones ( Vitamin K ) &amp; Carotenoids ( Vitamin E ) Cofactors Vitamins &amp; Minerals Antioxidants PRPP Nucleotides Nucleic Acids Proteins Glycoproteins &amp; Proteoglycans Chlorophylls MEP MVA Acetyl - CoA Polyketides Terpenoid Backbones Terpenoids &amp; Carotenoids ( Vitamin A ) Cholesterol Bile Acids Glycero - phospholipids Glycerolipids Acyl - CoA Fatty Acids Glyco - sphingolipids Sphingolipids Waxes Polyunsaturated Fatty Acids Neurotransmitters &amp; Thyroid Hormones Steroids Endo - cannabinoids Eicosanoids    Major metabolic pathways in metro - style map . Click any text ( name of pathway or metabolites ) to link to the corresponding article . Single lines : pathways common to most lifeforms . Double lines : pathways not in humans ( occurs in e.g. plants , fungi , prokaryotes ) . Orange nodes : carbohydrate metabolism . Violet nodes : photosynthesis . Red nodes : cellular respiration . Pink nodes : cell signaling . Blue nodes : amino acid metabolism . Grey nodes : vitamin and cofactor metabolism . Brown nodes : nucleotide and protein metabolism . Green nodes : lipid metabolism .      Metabolism portal   Retrieved from `` https://en.wikipedia.org/w/index.php?title=Cellular_respiration&amp;oldid=846811056 '' Categories :   Cellular respiration   Metabolism   Plant physiology   Hidden categories :   Wikipedia indefinitely move - protected pages   Articles needing additional references from September 2014   All articles needing additional references           Talk                           View source                 Contents                   About Wikipedia                                                   বাংলা   Bân - lâm - gú   Беларуская   Български   Bosanski   Brezhoneg   Català   Čeština   Cymraeg   Dansk   Deutsch   Eesti   Ελληνικά   Español   Euskara   فارسی   Français   Galego   </t>
    </r>
    <r>
      <rPr>
        <sz val="11"/>
        <color rgb="FF000000"/>
        <rFont val="Noto Sans CJK SC"/>
        <family val="2"/>
      </rPr>
      <t xml:space="preserve">한국어   </t>
    </r>
    <r>
      <rPr>
        <sz val="11"/>
        <color rgb="FF000000"/>
        <rFont val="Calibri"/>
        <family val="0"/>
        <charset val="1"/>
      </rPr>
      <t xml:space="preserve">Հայերեն   हिन्दी   Hrvatski   Bahasa Indonesia   Íslenska   Italiano   עברית   Қазақша   Kreyòl ayisyen   Lietuvių   Македонски   Bahasa Melayu   Nederlands   Norsk   Occitan   Polski   Português   Română   Русский   සිංහල   Simple English   Slovenščina   کوردی   Српски / srpski   Srpskohrvatski / српскохрватски   Basa Sunda   Suomi   Svenska   தமிழ்   ไทย   Türkçe   Українська   </t>
    </r>
    <r>
      <rPr>
        <sz val="11"/>
        <color rgb="FF000000"/>
        <rFont val="Noto Sans CJK SC"/>
        <family val="2"/>
      </rPr>
      <t xml:space="preserve">粵語   中文  </t>
    </r>
    <r>
      <rPr>
        <sz val="11"/>
        <color rgb="FF000000"/>
        <rFont val="Calibri"/>
        <family val="0"/>
        <charset val="1"/>
      </rPr>
      <t xml:space="preserve">45 more  Edit links   This page was last edited on 21 June 2018 , at 01 : 35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</si>
  <si>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after complete oxidation of a glucose molecule how many number of atp molecules are formed</t>
  </si>
  <si>
    <t xml:space="preserve"> Aerobic metabolism is up to 15 times more efficient than anaerobic metabolism ( which yields 2 molecules ATP per 1 molecule glucose ) . However some anaerobic organisms , such as methanogens are able to continue with anaerobic respiration , yielding more ATP by using other inorganic molecules ( not oxygen ) as final electron acceptors in the electron transport chain . They share the initial pathway of glycolysis but aerobic metabolism continues with the Krebs cycle and oxidative phosphorylation . The post-glycolytic reactions take place in the mitochondria in eukaryotic cells , and in the cytoplasm in prokaryotic cells . </t>
  </si>
  <si>
    <t xml:space="preserve">Pascal and Maximus - wikipedia  Pascal and Maximus     Pascal and Maximus     Tangled characters     Pascal and Maximus as they appear in the short film Tangled Ever After ( 2012 )     First appearance   Tangled ( 2010 )     Last appearance   Tangled : Before Ever After ( 2017 )     Created by   Nathan Greno Byron Howard     Voiced by   Pascal : Frank Welker Dee Bradley Baker ( Tangled : The Series , Tangled : Before Ever After ) Maximus : Frank Welker ( Tangled ) Nathan Greno ( Tangled Ever After ) Dee Bradley Baker ( Tangled : The Series , Tangled : Before Ever After )     Information     Species   Pascal : Chameleon Maximus : Horse     Gender   Males     Pascal and Maximus are a pair of fictional characters who first appear in Walt Disney Pictures ' 50th animated feature film Tangled ( 2010 ) as supporting characters , and subsequently star in its short Tangled Ever After ( 2012 ) , television film Tangled : Before Ever After and television series Tangled : The Series . Created by directors Nathan Greno and Byron Howard , both characters are voiced by American actor Frank Welker in Tangled ; in Tangled Ever After , Welker reprises his role as Pascal while Greno replaces the actor as Maximus . A comedic chameleon and horse duo , Pascal and Maximus serve as sidekicks to main characters Rapunzel and Flynn Rider , respectively .   In Tangled , Pascal resides alongside Rapunzel in Mother Gothel 's tower , while Maximus is a `` police horse originally trained to arrest Flynn Rider before he befriends him at Rapunzel 's insistence . In Tangled Ever After , Pascal and Maximus appear as ring bearer s at Rapunzel and Flynn 's wedding . When they lose the couple 's wedding rings , the duo frantically attempts to retrieve them . Greno and Howard created Pascal in order to provide the lonely , isolated Rapunzel with a friend to talk to . Feeling that a reptile would compliment Rapunzel 's quirky personality , the directors ultimately decided to make the character a chameleon as opposed to a traditional woodland creature . Meanwhile , Maximus was originally conceived as a very serious horse based on actor Tommy Lee Jones until the animators decided to make him a funnier and more likeable character . The unusual decision to make Pascal and Maximus non-speaking characters with Welker providing them with realistic sound effects was inspired by the performances of silent film actors Charlie Chaplin and Buster Keaton .   Both individually and as a comedic duo , Pascal and Maximus have garnered universal acclaim from film critics , who referred to the characters as scene stealers -- British magazine SFX dubbed Maximus the film 's breakout star while The Age hailed the character as the funniest horse in film history -- in addition to praising the fact that both characters are refreshingly funny , expressive and charismatic without the use of dialogue . Additionally , several film critics preferred Pascal and Maximus to the film 's couple .     Contents  ( hide )   1 Development   1.1 Conception   1.2 Characterization     2 Appearances   2.1 Tangled   2.2 Tangled Ever After   2.3 Tangled : Before Ever After   2.4 Tangled : The Series   2.5 Miscellaneous     3 Reception   3.1 Critical response   3.2 Merchandise     4 References      Development ( edit )   Conception ( edit )   Filmmaker Walt Disney himself had first attempted to adapt the Brothers Grimm fairy tale `` Rapunzel '' into a feature - length animated film during the 1930s . However , he abandoned the project because the story was considered too `` small . '' When they were approached to direct Tangled in 2008 , directors Nathan Greno and Byron Howard decided that it would be best to update the story `` for a modern audience '' , soon discovering `` that the problem with having a prison character ( like Rapunzel ) ... is that they do n't have anyone to talk to . '' Howard explained that because Rapunzel is incapable of having a decent conversation with Mother Gothel , the isolated , incarcerated heroine `` needed someone to relate to . '' Unwilling to default to using the traditional `` boring , ordinary side - kick , '' Greno and Howard created Pascal , conceiving the character as a chameleon because Rapunzel is , according to Greno , `` a rough - and - tumble girl . '' Howard explained that `` we wanted to do ... something fresh , something different . This girl , she 's not a dainty , precious girl ... So what would she have ? ... She 's going to have a lizard . '' Additionally , Howard believed that a reptile would compliment Rapunzel 's personality best , describing the character as `` a quirky pet for a quirky young woman . ''     `` We did n't want to do like a bird or a chipmunk or ... ( s ) quirrel ... you 've seen it . You 've seen all these things ; this is the 50th movie that Disney 's made . So what we wanted to do is something fresh , something different . This girl , she 's not a dainty , precious girl . She is this rough and tumble girl next door ... She 's not going to have a little , pretty bluebird on her shoulder . She 's going to have a lizard . That is her . She 's different . So when it came time , we put a lot of thought into this and Pascal , this little tough guy that sits on her shoulder '' .     -- co-director Nathan Greno on Pascal 's conception .     Howard originally envisioned Maximus as the `` ultimate super-cop '' , jokingly referring to the character as `` the Tommy Lee Jones of horses '' . Attempting to make Maximus feel like a `` fresh '' character , the filmmakers researched several historical horses from both animated and live - action films to ensure that the character would be unique and different enough from his predecessors . Greno explained that `` Maximus ... could have easily slipped into the category of , ' Oh , I 've seen that before . ' '' To prevent this , the filmmakers referenced `` a board with photos of all the different animated horses that had been done '' . Howard explained that Maximus was originally conceived as a `` pretty serious '' character , but eventually developed into a funnier and more likeable horse as the animators continued to draw him with dog - like attributes . Both Pascal and Maximus , who according to the Austin American - Statesman are responsible for providing the film with the majority of its comic relief , were eventually written into the film by screenwriter Dan Fogelman . Analyzing the characters ' roles in the film , HitFix observed that `` There 's a simplicity to it all that I admire , and you throw in a few anthropomorphized animals so everyone laughs a lot , and that 's the Disney recipe '' . One critic wrote about Maximus :   `` Horses have played a key role in armies and police forces around the world for hundreds of years , but Maximus is clearly one of a kind . Fearless in the face of danger , relentless in pursuit , and possessed of a nose befitting a bloodhound , this equine super-sleuth wo n't let anything stop him getting his man . ''  -- Femalefirst  Characterization ( edit )  Both Pascal and Maximus were inspired by the performances of actor and comedian Charlie Chaplin in silent films .  Considered rare for Disney animals , Pascal and Maximus do not speak . The idea to make Pascal and Maximus mute was inspired by the performances of actors Charlie Chaplin and Buster Keaton in Silent films . Identifying themselves as `` huge fans '' of Chaplin , Greno and Howard suggested that it would be a good idea to have a character like the actor featured in the film . Additionally , the directors explained in an interview with Orange that Pascal and Maximus ' silence was also inspired by the roles of Princess Aurora 's animal friends in Disney 's Sleeping Beauty ( 1959 ) , following the film 's rules and guidelines that even though they do not talk , they remain `` very expressive '' nonetheless and `` act and understand without words . '' Maximus particularly `` belongs to the grand tradition of Disney creatures that are full of personality even though they do n't talk . '' One film critic observed that Pascal and Maximus `` have personalities all their own , making use of techniques harkening back to the silent era '' . Howard explained that `` Pantomime acting is a great challenge for our animators '' because , according to animator Jin Kim , Pascal and Maximus both `` had to be funny without speech '' , forcing the animators to exaggerate their emotions and facial expressions . The Chicago Sun - Times observed that `` Pascal ... does n't speak , but manages to convey himself with eye rolls and changes of color . '' Both animals ' sound effects are provided by American actor Frank Welker .   Pascal 's supervising animator Lino DiSalvo told the Los Angeles Times that at one point the animators `` were n't getting enough entertainment out of Pascal . '' DiSalvo elaborated , `` originally , he was very realistic . He moved like a real chameleon , '' which in turn depicted him as very `` cold . '' By exaggerating the character 's shape and face , the animators eventually `` amped ( him ) up '' in order to make him funnier . The name `` Pascal '' was borrowed from a pet chameleon owned by Tangled animator Kellie Lewis . During production , Lewis ' other pet chameleon and Pascal 's mate hatched six eggs , in turn making Pascal a father . In tribute to Pascal , the directors included a `` Chameleon Babies '' credit in the film 's closing credits , parodying the more traditional `` Production babies '' credit , while Lewis herself received a `` Chameleon Wrangler '' credit .   Discussing the likelihood a Tangled sequel , Howard explained to the Los Angeles Times `` We do n't want to do a sequel for the sake of sequels ... The story has to be worth telling . '' Because the original film `` buttons up '' well , the directors wanted to avoid simply creating a movie wedding featuring Rapunzel and Flynn because `` that 's not entertainment '' , so Greno and Howard conceived a funny story about Pascal and Maximus instead , providing the animators and writers with `` an opportunity to do a lot of slapstick '' that was mostly absent in Tangled . Wanting the film `` to be a movie for everyone '' , the directors `` figured out a way to give ( the audience ) exactly what they wanted , so there is a beautiful grand wedding in the short , but what happens pretty quickly , those two goofballs Maximus and Pascal lose the wedding rings ... It turned into this big , zany , cartoony , fun , action - packed short . '' In the short , Pascal and Maximus encounter `` a trail of comical chaos that includes flying lanterns , a flock of doves , a wine barrel barricade and a very sticky finale '' .   Appearances ( edit )   Tangled ( edit )   Pascal and Maximus first appear in Tangled ( 2010 ) . Introduced as the pet and best friend of Rapunzel , Pascal is a chameleon who lives with Rapunzel in Mother Gothel 's secluded tower . Although Rapunzel pretends to be happy living in isolation under Gothel 's strict , controlling parenting , Pascal refuses to hide his discontent . Meanwhile , Maximus and thief Flynn Rider share a bitter animosity ; as a police horse , Maximus is determined to arrest Flynn Rider for stealing a crown . Seeking refuge from Maximus , Flynn hides in Gothel 's tower where he is quickly incapacitated by Rapunzel , and he and Pascal immediately adopt a love - hate relationship . Determined to see the mysterious `` floating lights '' in time for her eighteenth birthday , Rapunzel agrees to return Flynn 's crown to him only after he escorts her to safely to the kingdom . Meanwhile , Maximus , who continues his search for Flynn , inadvertently tips off Gothel that Rapunzel , on whose magical hair she relies to stay alive , has left the tower accompanied by Flynn . With her life in danger , she desperately pursues them .   When Maximus eventually catches up with Rapunzel , Flynn and Pascal , the horse attempts to apprehend Flynn only to be charmed by Rapunzel , who convinces him to leave Flynn alone until they have arrived at their destination while Pascal ensures that the two maintain a healthy relationship . In the kingdom , Flynn , Rapunzel and Pascal embark on a canoe ride to see the floating lights , revealed to be lanterns , up - close , while Maximus is forced to wait ashore as there is not enough room for him . In a friendly gesture , Flynn gives him a bag of apples . Realizing that he is falling in love with Rapunzel , Flynn attempts to hand off the crown he was promised to the Stabbington Brothers , two colleagues of his , only to be kidnapped and handed over to the police . Mistaking this for abandonment , Rapunzel is taken back to the tower by Gothel , who has caught up with them .   Maximus manages to help an imprisoned Flynn about to be hanged for his crimes and escape from the dungeon then gets him to Gothel 's tower , where he is stabbed . However , Rapunzel eventually heals Flynn after he cuts her hair , which in turn destroys Gothel , and they live happily every after Pascal and Maximus move to Corona with them ; Maximus is eventually knighted , becoming Captain of the Guards and eliminates crime in the kingdom .   Tangled Ever After ( edit )   Tangled Ever After is set six months after the events of the original movie . In the short , Pascal and Maximus are ring bearers at Rapunzel and Flynn Rider 's wedding . When Maximus suffers a reaction from one of the flower petals Pascal is sprinkling along the aisle , Maximus sneezes and the rings are propelled off the pillow on which he is carrying the rings ; the fly through a window in the chapel and into the city streets . Pascal and Maximus discreetly sneak out of the chapel to retrieve them in time for Rapunzel and Flynn to exchange them . Pascal and Maximus encounter several obstacles and hindrances in their attempt , eventually crashing into a tar factor upon retrieving the rings from a flock of flying doves . Completely soiled , Pascal and Maximus finally return to the chapel and return the rings , only to cause the wedding cake to roll out the door .   Tangled : before Ever After ( edit )   Pascal is now living in the Castle of Corona with his longtime best friend and her boyfriend , Eugene . He later creates an illusion of Rapunzel to keep Eugene from finding out that she had gone out the walls of Corona .   Maximus is ridden by Eugene in a race against Rapunzel , riding Fidela , and the Guards . At night he accompanies Cassandra and Rapunzel on their sneaking out , and tries to cross the shattering stone bridge . He runs back to release Rapunzel 's newly regrown blonde hair from the broken bridge .   Tangled : the series ( edit )   Pascal continues to live with Rapunzel at the castle of Corona . Although he seems to like helping Rapunzel adjust to her new royal life , he eventually starts to feel he does n't belong with her and runs away , to Rapunzel 's isolated tower in the deepest parts of the forest . In Episode 11 , it is revealed that , as a baby , his mother had sent him to safety on a lily - pad to escape a ravenous snake that was pursuing them . As his mother was eaten by the snake , he had floated down a waterfall , where he heard young Rapunzel singing . He climbed her tower but was still being followed by the snake which infected him with its lethal venom . It was then that the young Rapunzel used the light - based , healing magic of her blond hair to return him to life . She welcomed the infant chameleon as her best friend , that way they would never have to be alone again . Upon returning to the ivy - covered tower , he is again attacked by the white snake that had killed his mother . Fortunately , his time with Rapunzel had made him brave , and he fends off the snake until Rapunzel arrives .   Maximus continues to be the guard 's greatest steed in arresting criminals in all of Corona . He seems to have feelings for a female horse named Fidel .   Miscellaneous ( edit )   Both Pascal and Maximus appear in the Nintendo DS version of Tangled : The Video Game ( 2010 ) . While playing mostly as Rapunzel , players are allowed to `` interact with Flynn , Pascal , and Maximus '' , according to Nintendo.com . The video game includes a minigame inspired by Pascal entitled `` Pascal 's Colors / Melody Match '' .   Reception ( edit )   Critical response ( edit )   Pascal and Maximus have garnered widespread universal acclaim from film critics , who greeted both characters with nearly equal praise but generally reviewed Maximus more enthusiastically . Citing both characters as `` right on the money , '' Jonathan Crocker of Total Film described Maximus as `` A horse ... who thinks he 's John McClane . '' Kerry Lengel of The Arizona Republic enthused , `` In true Disney fashion , two of the most memorable characters are animals : Pascal ... and Maximus , a barrel - chested horse with the tracking skills of a bloodhound and a sense of duty straight out of Gilbert and Sullivan . '' The Chicago Tribune 's Michael Phillips wrote that both characters are `` Very funny , very noble '' and `` lovely supporting character ( s ) . '' Peter Travers of Rolling Stone admitted to having `` fell hard '' for Maximus and Pascal . Similarly , Lindsey Ward of Canoe.ca predicted Tangled Ever After , writing , `` Kids and adults alike will also fall for Rapunzel 's trusty chameleon sidekick Pascal and palace horse Maximus -- whose hilarious role as Flynn 's foe - turned - BFF might just earn him his own spin - off . '' The Globe and Mail 's Jennie Punter hailed them as `` characters that only Disney animators could so memorably portray . '' Writing for the Miami Herald , Rene Rodriguez described both characters as `` terrific , '' while Alison Gang of U-T San Diego called them `` hilarious . '' David Edelstein of Vulture.com admitted that he `` ca n't help liking a movie with chameleon reaction shots . '' Joe Neumaier of the Daily News appreciated the fact that although `` There are laughs involving ... Rapunzel 's silent chameleon sidekick ... directors Nathan Greno and Byron Howard keep the tale grounded . '' Observing the way in which animal sidekicks have become `` Disney animation staples , '' Doris Toumarkine of Film Journal International wrote that Pascal is `` cute - as - can - be , '' likening the character to Jiminy Cricket from Disney 's Pinocchio ( 1940 ) . Matt Brunson of Creative Loafing wrote that Pascal `` is likely to charm the adults , further designating Tangled as silky - smooth entertainment . '' Norman Wilner of Now wrote that `` the best performance is a silent one delivered by ... Maximus , a guardsman 's horse clearly modelled on Tommy Lee Jones in The Fugitive -- but funnier . '' Describing the character as `` marvelously bothered , '' Michelle Orange of Movieline wrote that Maximus is `` given a nuanced fidelity and expressive agility so precise that it seems more human than human . '' Cynthia Fuchs of PopMatters called Maximus `` magnificent . '' Empire 's Helen O'Hara wrote that Maximus is a `` comic scene - stealer and police horse extraordinaire . '' While Ian Berriman of SFX dubbed Maximus the film 's `` breakout star , '' The Age 's Jim Schembri hailed the character as `` the funniest horse in film history . '' Sandra Hall of The Sydney Morning Herald labelled Maximus `` The de facto star of ... Tangled '' who `` possesses the strength of Hercules , the nose of an airport sniffer dog and the crankiness of Harrison Ford . ''     ``   ( The music ) would be the highlight of `` Tangled '' were it not for Maximus , who does n't get to sing because he 's a horse . The prize steed of the royal guard , Maximus pursues Flynn doggedly -- and I do mean ' like a dog , ' complete with ground - sniffing and tail - wagging . The animators have filled this valiant fellow with personality and charisma .   ''     -- The Oregonian 's Shawn Levy .     According to Greno and Howard , the decision to make Pascal and Maximus non-speaking characters has been appreciated by both critics and audiences alike , explaining , `` We 've gotten so many compliments about him and Pascal ... and so many people saying : ' Thank you for not making them talk . ' '' Hailing Pascal and Maximus as `` delightful supporting characters who continue yet another Disney custom without saying a word of dialogue '' , Leonard Martin of Indiewire compared Pascal to a `` comic Greek chorus '' while dubbing Maximus `` an extraordinarily expressive equine adversary ... who earns many of the movie 's biggest laughs . Similarly , The Wall Street Journal 's Joe Morgenstern wrote , `` No one voices Maximus ... but he steals every scene he 's in '' , while calling Pascal `` endearing '' . The Quad - City Times ' Linda Cook reviewed , `` it 's fun to watch the animal sidekicks express themselves , not through words , but facial expressions and body movements . The critters provide much of the comedy '' , while Steve Persall of the Tampa Bay Times penned , `` No talking animals here , although when they 're as amusing as a loyal chameleon and a horse who 's partly bloodhound and cop - flick action hero , they do n't need to speak '' , joking that the Brothers Grimm `` probably would n't object . '' ABC Online `` like ( d ) the way the animals were used '' , explaining , `` They do n't talk ... it really is funny '' , accrediting this to executive producer John Lasseter 's influence on the film . Criticizing the script 's `` abundant chatter , '' Justin Chang of Variety commended the filmmaker 's `` shrewd decision to have the animal sidekicks ... express themselves without the benefit of speech . '' Similarly , Richard Corliss of Time wrote that both characters `` radiate plenty of personality without speaking . ''   Critics who were generally less positive in their opinions of Tangled and its main characters Rapunzel and Flynn Rider were otherwise impressed by Pascal and Maximus ' performances . The Liverpool Echo 's Catherine Jones felt that `` Pascal and Maximus shamelessly scene - steal from the human characters '' , while Chris Tookey of the Daily Mail wrote , `` The enjoyable visual gags generally come from the two animal sidekicks '' . The Illinois Times ' Chuck Koplinski wrote , `` Throw in two animal sidekicks -- wily horse Maximus and protective chameleon Pascal -- and you have a film that , while not as moving as the Pixar movies , is a satisfying lark . '' TV Guid e opined that although `` There 's nothing particularly innovative about Dan Fogelman 's screenplay '' , the author wrote that `` a cute animal sidekick ... extend ( s ) to the visual aspects of the film '' . Similarly , Simon Reynolds of Digital Spy wrote , `` This ride 's a familiar one , but with humourous ( sic ) sidekicks such as horse - who - thinks - he 's - a-dog Maximus and chameleon Pascal , it 's thoroughly enjoyable . '' Although Dave White of Movies.com strongly panned Tangled , he dubbed Pascal and Maximus the film 's `` Most Memorable Cliché '' , writing that the characters `` are better than the movie deserves . '' White continued , `` they both steal scene after scene from the Cream of Wheat - like main characters '' , concluding , `` I kept wishing I was watching a movie about just them . '' The Independent 's Anthony Quinn , who was ambivalent towards the film , admitted that Pascal and Maximus `` provide some chuckles . '' Similarly , Tom Huddleston of Time Out wrote , `` With two such bland heroes , it 's good that plenty of attention is paid to the supporting characters , notably ... a bad tempered but loveable horse '' , while Todd Hertz of Christianity Today called Maximus `` a more complex , multi-dimensional character than some movies ' leads '' . Despite calling the film `` bland '' , the Houston Chronicle 's Amy Biancolli called Maximus a `` stone cool '' character . Tyler Hanley Palo Alto Weekly , however , praised the entire ensemble as a whole , calling Rapunzel , Flynn , Pascal and Maximus `` a thoroughly enjoyable quartet . '' In a lone lukewarm review , James Berardinelli of ReelViews called Pascal `` among the least recognizable animal sidekicks ( although he possesses amusing mannerisms ) . ''   In 2013 , M Magazine ranked Maximus the sixth best Disney sidekick , while Pascal was ranked eighth . In 2014 , BuzzFeed organized a list of the `` Definitive Ranking of Disney Sidekicks '' , ranking Pascal and Maximus fourth and fourteenth , respectively . Author Jemima Skelley described Pascal as `` The most badass chameleon there ever was '' while hailing Maximus as `` The fiercest horse you 've probably ever seen . '' Unranked , Glamour slightly preferred Pascal to Maximus in the magazine 's article `` Our Favorite Disney Animals of All Time '' .   Merchandise ( edit )   Tom Huddleston of Total Film predicted that the popularity of Pascal and Maximus , combined with the success of Tangled , would ultimately provide Disney with promising merchandising opportunities , describing the characters as `` tie - in toys you just pre-ordered in your head , '' while Keith Uhlich of Time Out called them `` action - figure ready . '' Pascal 's likeness has since been adapted into a wide variety of items , including toys , decorations and ornaments , costumes , clothing , jewellery and cosmetics , as demonstrated by the Disney Store 's website . In much of the film 's merchandise , Pascal is included alongside Rapunzel , namely play sets ; The Rapunzel Tangled Figure Play Set features miniature figurines of both Pascal and Maximus in addition to Rapunzel , Flynn Rider and Mother Gothel . However , merchandise inspired by Maximus remains less common . The character 's likeness has , however , been adapted into a plush toy .   References ( edit )    ^ Jump up to : Bonanno , Luke ( March 28 , 2011 ) . `` Interview : Tangled Directors Nathan Greno &amp; Byron Howard '' . DVDizzy.com . DVDizzy.com . Retrieved September 19 , 2014 .   ^ Jump up to : Graham , Bill ( 2010 ) . `` SDCC 2010 : Exclusive Interview with Tangled Directors Byron Howard and Nathan Greno '' . Collider . Retrieved September 9 , 2014 .   ^ Jump up to : Graham , Bill ( 2010 ) . `` Directors Byron Howard and Nathan Greno Interview Tangled '' . Collider . Retrieved September 19 , 2014 .   Jump up ^ Ferguson , Sean ( March 20 , 2011 ) . `` A Talk With the Directors of Tangled '' . Why So Blue ? . WhySoBlu.com . Retrieved September 9 , 2014 .   Jump up ^ Kendrick , James ( 2010 ) . `` Tangled '' . QNetwork Entertainment Portal . QNetwork . Retrieved September 25 , 2014 .   Jump up ^ Roe , Dale ( November 26 , 2010 ) . `` While lovely to gaze upon , ' Tangled ' gives us a modern princess and a rogue to love ( Our grade : B ) '' . Austin360.com . Retrieved October 7 , 2014 .   Jump up ^ Myers , Scott ( November 27 , 2010 ) . `` Written Interview : Dan Fogelman ( '' Tangled `` ) '' . Go Into The Story . Retrieved September 9 , 2014 .   Jump up ^ McWeeny , Drew ( November 23 , 2010 ) . `` Mandy Moore , Zach Levi , Donna Murphy all excel in animated roles '' . HitFix . HitFix , Inc . Retrieved October 6 , 2014 .   Jump up ^ `` Tangled : Top Detective Tips '' . Femalefirst . First Active Media Ltd . January 27 , 2011 . Retrieved October 7 , 2014 .   ^ Jump up to : Gallagher , Brian ( March 28 , 2011 ) . `` Byron Howard and Nathan Greno Talk ' Tangled ' '' . MovieWeb . Retrieved September 19 , 2011 .   Jump up ^ Neal , Matt ( May 13 , 2011 ) . `` Review : Tangled '' . Standard - Examiner . Retrieved September 23 , 2014 .   ^ Jump up to : `` Byron Howard &amp; Nathan Greno Tangled Interview '' . Girl.com.au . Girl.com.au. 2010 . Retrieved September 19 , 2014 .   Jump up ^ `` A Chat with Tangled Directors Byron Howard and Nathan Greno Part 1 '' . Chip and Co . Chip and Company . March 18 , 2011 . Retrieved September 19 , 2014 .   Jump up ^ `` Tangled -- Nathan Greno and Byron Howard interview '' . IndieLondon . IndieLondon.co.uk. 2011 . Retrieved September 21 , 2014 .   ^ Jump up to : Carnevale , Rob ( February 1 , 2011 ) . `` Tangled -- Nathan Greno and Byron Howard '' . Orange . Retrieved September 19 , 2014 .   Jump up ^ Snider , Eric D. ( 2010 ) . `` MOVIE REVIEW : Tangled '' . ericdsnider.com . Eric D. Snider . Retrieved September 29 , 2014 .   Jump up ^ Brevet , Brad ( November 23 , 2010 ) . `` Movie Review : Tangled ( 2010 ) '' . Rope of Silicon . RopeofSilicon.com LLC . Retrieved September 19 , 2014 .   Jump up ^ `` A Korean hand behind Disney blockbuster '' . HanCinmena . January 27 , 2011 . Retrieved September 19 , 2014 .   Jump up ^ Plath , James ( March 26 , 2011 ) . `` TANGLED -- Blu - ray 3D review '' . Movie Metropolis . Archived from the original on October 6 , 2014 . Retrieved September 23 , 2014 .   Jump up ^ Coyle , Jake ( 2010 ) . `` Disney 's ' Tangled ' updates ' Rapunzel ' '' . Chicago Sun - Times . Sun - Times Media , LLC . Archived from the original on October 10 , 2014 . Retrieved October 6 , 2014 .   Jump up ^ King , Susan ( October 31 , 2010 ) . `` The Animators : In ' Tangled , ' animals get a little worked up for their debut '' . Los Angeles Times . Retrieved January 7 , 2014 .   Jump up ^ `` Tangled : Byron Howard &amp; Nathan Greno Interview '' . Movie Muser . The Handpicked Media . 2011 . Archived from the original on October 11 , 2014 . Retrieved September 21 , 2014 .   Jump up ^ Knight , Chris ( April 2 , 2011 ) . `` On DVD : ' Dos &amp; don'ts from Tangled 's cutting room floor '' . National Post . Archived from the original on September 20 , 2014 . Retrieved September 19 , 2014 .   Jump up ^ Clark , Noelene ( January 15 , 2012 ) . `` ' Tangled Ever After ' : Disney lets its hair down '' . Los Angeles Times . Retrieved October 10 , 2014 .   Jump up ^ Armitage , Hugh ( November 15 , 2011 ) . `` ' Tangled ' returns in short Disney film ' Tangled Ever After ' '' . Digital Spy . Retrieved October 10 , 2014 .   Jump up ^ `` Disney Tangled : The Video Game '' . Disney . Retrieved November 10 , 2014 .   Jump up ^ `` Disney Tangled : The Video Game '' . Nintendo.com . Nintendo . Retrieved November 10 , 2014 .   Jump up ^ Forbis , Chris ( December 12 , 2010 ) . `` Disney 's Tangled : The Video Game Review ( DS ) '' . Platform Nation . Platform Nation . Archived from the original on September 23 , 2013 . Retrieved November 10 , 2014 .   Jump up ^ Moore , Roger ( January 27 , 2013 ) . `` Movie Review : `` Tangled '' `` . Movie Nation . Retrieved September 24 , 2014 .   Jump up ^ `` Do you like Maximus better or Pascal ? '' . Fanpop . Fanpop , Inc . Retrieved September 24 , 2014 .   Jump up ^ McGranaghan , Mike ( 2010 ) . `` TANGLED '' . The Aisle Seat . aisleseat.com . Retrieved September 24 , 2014 .   ^ Jump up to : Crocker , Jonathan ( January 14 , 2011 ) . `` Tangled '' . Total Film . Future Publishing Limited . Retrieved September 24 , 2014 .   Jump up ^ Lengel , Kerry ( November 22 , 2010 ) . `` ' Tangled , ' 4.5 stars '' . The Arizona Republic . Retrieved October 6 , 2014 .   Jump up ^ Phillips , Michael ( November 22 , 2010 ) . `` Locked up : Disney climbs its heroine 's tresses to animation renewal '' . Chicago Tribune . Retrieved October 6 , 2014 .   Jump up ^ Travers , Peter ( November 24 , 2010 ) . `` Tangled '' . Rolling Stone . Retrieved September 28 , 2014 .   Jump up ^ Ward , Lindsey ( November 23 , 2010 ) . `` Easy to get caught up in ' Tangled ' '' . Canoe.ca . Retrieved September 28 , 2014 .   Jump up ^ Punter , Jennie ( November 24 , 2010 ) . `` Tangled : The roots of animated tradition , with 3 - D highlights '' . Tangled : The roots of animated tradition , with 3 - D highlights . The Globe and Mail Inc . Retrieved September 28 , 2014 .   Jump up ^ Rodriguez , Rene ( November 24 , 2014 ) . `` ' Tangled ' ( PG ) '' . Miami Herald . Miami.com . Retrieved September 28 , 2014 .   Jump up ^ Gang , Alison ( November 24 , 2010 ) . `` '' Tangled '' comes out of the tower , into our hearts `` . U-T San Diego . The San Diego Union - Tribune , LLC . Retrieved September 28 , 2014 .   Jump up ^ Edelstein , David ( November 24 , 2010 ) . `` Movie Review : Tangled is No Big Deal , But Still a Goofy Good Time '' . Vulture.com . New York Media LLC . Retrieved September 23 , 2014 .   Jump up ^ Neumaier , Joe ( November 23 , 2010 ) . `` ' Tangled ' review : Mandy Moore 's Rapunzel is chill Disney retelling of classic hair - raising tale '' . Daily News . New York . Retrieved September 30 , 2014 .   Jump up ^ Toumarkine , Doris ( November 24 , 2010 ) . `` Film Review : Tangled '' . Film Journal International . Film Journal International . Retrieved September 9 , 2014 .   Jump up ^ Brunson , Matt ( November 24 , 2010 ) . `` Tangled has its roots in old - school Disney '' . Creative Loafing . Womack Newspapers , Inc . Retrieved September 26 , 2014 .   Ju</t>
  </si>
  <si>
    <t xml:space="preserve">what is the name of the chameleon in tangled</t>
  </si>
  <si>
    <t xml:space="preserve"> Pascal and Maximus first appear in Tangled ( 2010 ) . Introduced as the pet and best friend of Rapunzel , Pascal is a chameleon who lives with Rapunzel in Mother Gothel 's secluded tower . Although Rapunzel pretends to be happy living in isolation under Gothel 's strict , controlling parenting , Pascal refuses to hide his discontent . Meanwhile , Maximus and thief Flynn Rider share a bitter animosity ; as a police horse , Maximus is determined to arrest Flynn Rider for stealing a crown . Seeking refuge from Maximus , Flynn hides in Gothel 's tower where he is quickly incapacitated by Rapunzel , and he and Pascal immediately adopt a love - hate relationship . Determined to see the mysterious `` floating lights '' in time for her eighteenth birthday , Rapunzel agrees to return Flynn 's crown to him only after he escorts her to safely to the kingdom . Meanwhile , Maximus , who continues his search for Flynn , inadvertently tips off Gothel that Rapunzel , on whose magical hair she relies to stay alive , has left the tower accompanied by Flynn . With her life in danger , she desperately pursues them . </t>
  </si>
</sst>
</file>

<file path=xl/styles.xml><?xml version="1.0" encoding="utf-8"?>
<styleSheet xmlns="http://schemas.openxmlformats.org/spreadsheetml/2006/main">
  <numFmts count="1">
    <numFmt numFmtId="164" formatCode="General"/>
  </numFmts>
  <fonts count="8">
    <font>
      <sz val="11"/>
      <color rgb="FF000000"/>
      <name val="Calibri"/>
      <family val="0"/>
      <charset val="1"/>
    </font>
    <font>
      <sz val="10"/>
      <name val="Arial"/>
      <family val="0"/>
    </font>
    <font>
      <sz val="10"/>
      <name val="Arial"/>
      <family val="0"/>
    </font>
    <font>
      <sz val="10"/>
      <name val="Arial"/>
      <family val="0"/>
    </font>
    <font>
      <b val="true"/>
      <sz val="11"/>
      <color rgb="FF000000"/>
      <name val="Calibri"/>
      <family val="0"/>
      <charset val="1"/>
    </font>
    <font>
      <b val="true"/>
      <sz val="11"/>
      <color rgb="FF000000"/>
      <name val="Calibri"/>
      <family val="0"/>
    </font>
    <font>
      <sz val="9"/>
      <color rgb="FF000000"/>
      <name val="&quot;Google Sans Mono&quot;"/>
      <family val="0"/>
      <charset val="1"/>
    </font>
    <font>
      <sz val="11"/>
      <color rgb="FF000000"/>
      <name val="Noto Sans CJK SC"/>
      <family val="2"/>
    </font>
  </fonts>
  <fills count="3">
    <fill>
      <patternFill patternType="none"/>
    </fill>
    <fill>
      <patternFill patternType="gray125"/>
    </fill>
    <fill>
      <patternFill patternType="solid">
        <fgColor rgb="FFFFFFFF"/>
        <bgColor rgb="FFFFFFCC"/>
      </patternFill>
    </fill>
  </fills>
  <borders count="2">
    <border diagonalUp="false" diagonalDown="false">
      <left/>
      <right/>
      <top/>
      <bottom/>
      <diagonal/>
    </border>
    <border diagonalUp="false" diagonalDown="false">
      <left style="thin"/>
      <right style="thin"/>
      <top style="thin"/>
      <bottom style="thin"/>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6">
    <xf numFmtId="164" fontId="0" fillId="0" borderId="0" xfId="0" applyFont="false" applyBorder="false" applyAlignment="false" applyProtection="false">
      <alignment horizontal="general" vertical="bottom" textRotation="0" wrapText="false" indent="0" shrinkToFit="false"/>
      <protection locked="true" hidden="false"/>
    </xf>
    <xf numFmtId="164" fontId="4" fillId="0" borderId="0" xfId="0" applyFont="true" applyBorder="false" applyAlignment="true" applyProtection="false">
      <alignment horizontal="center" vertical="top" textRotation="0" wrapText="false" indent="0" shrinkToFit="false"/>
      <protection locked="true" hidden="false"/>
    </xf>
    <xf numFmtId="164" fontId="5" fillId="0" borderId="0" xfId="0" applyFont="true" applyBorder="false" applyAlignment="true" applyProtection="false">
      <alignment horizontal="general" vertical="bottom" textRotation="0" wrapText="false" indent="0" shrinkToFit="false"/>
      <protection locked="true" hidden="false"/>
    </xf>
    <xf numFmtId="164" fontId="4" fillId="0" borderId="1" xfId="0" applyFont="true" applyBorder="true" applyAlignment="true" applyProtection="false">
      <alignment horizontal="center" vertical="top" textRotation="0" wrapText="false" indent="0" shrinkToFit="false"/>
      <protection locked="true" hidden="false"/>
    </xf>
    <xf numFmtId="164" fontId="6" fillId="2" borderId="0" xfId="0" applyFont="true" applyBorder="false" applyAlignment="true" applyProtection="false">
      <alignment horizontal="left" vertical="bottom" textRotation="0" wrapText="false" indent="0" shrinkToFit="false"/>
      <protection locked="true" hidden="false"/>
    </xf>
    <xf numFmtId="164" fontId="0" fillId="0" borderId="0" xfId="0" applyFont="true" applyBorder="false" applyAlignment="false" applyProtection="false">
      <alignment horizontal="general" vertical="bottom" textRotation="0" wrapText="fals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sharedStrings" Target="sharedStrings.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F1040"/>
  <sheetViews>
    <sheetView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E1" activeCellId="0" sqref="E1"/>
    </sheetView>
  </sheetViews>
  <sheetFormatPr defaultColWidth="14.4375" defaultRowHeight="15" zeroHeight="false" outlineLevelRow="0" outlineLevelCol="0"/>
  <cols>
    <col collapsed="false" customWidth="true" hidden="false" outlineLevel="0" max="4" min="1" style="0" width="8.7"/>
    <col collapsed="false" customWidth="true" hidden="false" outlineLevel="0" max="5" min="5" style="0" width="131.7"/>
    <col collapsed="false" customWidth="true" hidden="false" outlineLevel="0" max="26" min="6" style="0" width="8.7"/>
  </cols>
  <sheetData>
    <row r="1" customFormat="false" ht="13.8" hidden="false" customHeight="false" outlineLevel="0" collapsed="false">
      <c r="B1" s="1"/>
      <c r="C1" s="1"/>
      <c r="D1" s="1"/>
      <c r="E1" s="2" t="s">
        <v>0</v>
      </c>
    </row>
    <row r="2" customFormat="false" ht="13.8" hidden="false" customHeight="false" outlineLevel="0" collapsed="false">
      <c r="B2" s="3" t="s">
        <v>1</v>
      </c>
      <c r="C2" s="3" t="s">
        <v>2</v>
      </c>
      <c r="D2" s="3" t="s">
        <v>3</v>
      </c>
      <c r="E2" s="4" t="str">
        <f aca="false">IFERROR(__xludf.dummyfunction("GOOGLETRANSLATE(C3)"),"que é o uso mais comum do marketing de e-mail de entrada")</f>
        <v>que é o uso mais comum do marketing de e-mail de entrada</v>
      </c>
      <c r="F2" s="2" t="s">
        <v>4</v>
      </c>
    </row>
    <row r="3" customFormat="false" ht="71.6" hidden="false" customHeight="false" outlineLevel="0" collapsed="false">
      <c r="A3" s="3" t="n">
        <v>0</v>
      </c>
      <c r="B3" s="5" t="s">
        <v>5</v>
      </c>
      <c r="C3" s="5" t="s">
        <v>6</v>
      </c>
      <c r="D3" s="5" t="s">
        <v>7</v>
      </c>
      <c r="E3" s="4" t="str">
        <f aca="false">IFERROR(__xludf.dummyfunction("GOOGLETRANSLATE(C4)"),"Como eu sou sua mãe que é a mãe")</f>
        <v>Como eu sou sua mãe que é a mãe</v>
      </c>
      <c r="F3" s="5" t="str">
        <f aca="false">IFERROR(__xludf.dummyfunction("GOOGLETRANSLATE(D3)")," Um exemplo comum de marketing de permissão é um boletim informativo enviado aos clientes de uma empresa de publicidade. Esses boletins informam os clientes sobre os próximos eventos ou promoções ou novos produtos. Nesse tipo de publicidade, uma empresa q"&amp;"ue deseja enviar um boletim informativo para seus clientes pode pedir a eles no ponto de compra se eles desejarem receber o boletim.")</f>
        <v> Um exemplo comum de marketing de permissão é um boletim informativo enviado aos clientes de uma empresa de publicidade. Esses boletins informam os clientes sobre os próximos eventos ou promoções ou novos produtos. Nesse tipo de publicidade, uma empresa que deseja enviar um boletim informativo para seus clientes pode pedir a eles no ponto de compra se eles desejarem receber o boletim.</v>
      </c>
    </row>
    <row r="4" customFormat="false" ht="15" hidden="false" customHeight="false" outlineLevel="0" collapsed="false">
      <c r="A4" s="3" t="n">
        <v>1</v>
      </c>
      <c r="B4" s="5" t="s">
        <v>8</v>
      </c>
      <c r="C4" s="5" t="s">
        <v>9</v>
      </c>
      <c r="D4" s="5" t="s">
        <v>10</v>
      </c>
      <c r="E4" s="4" t="str">
        <f aca="false">IFERROR(__xludf.dummyfunction("GOOGLETRANSLATE(C5)"),"Que tipo de fertilização ocorre em humanos")</f>
        <v>Que tipo de fertilização ocorre em humanos</v>
      </c>
      <c r="F4" s="5" t="str">
        <f aca="false">IFERROR(__xludf.dummyfunction("GOOGLETRANSLATE(D4)")," Tracy McConnell, mais conhecida como `` The Mother '', é o personagem -título da comédia da CBS Television How I Met Your Mother. O show, narrado pelo futuro Ted, conta a história de como Ted Mosby conheceu a mãe. Tracy McConnell aparece em 8 episódios d"&amp;"e `` Lucky Penny '' a `` The Time Travelers '' como um personagem invisível; Ela foi vista totalmente em `` algo novo '' e foi promovida a um personagem principal na 9ª temporada. A mãe é interpretada por Cristin Milioti.")</f>
        <v> Tracy McConnell, mais conhecida como `` The Mother '', é o personagem -título da comédia da CBS Television How I Met Your Mother. O show, narrado pelo futuro Ted, conta a história de como Ted Mosby conheceu a mãe. Tracy McConnell aparece em 8 episódios de `` Lucky Penny '' a `` The Time Travelers '' como um personagem invisível; Ela foi vista totalmente em `` algo novo '' e foi promovida a um personagem principal na 9ª temporada. A mãe é interpretada por Cristin Milioti.</v>
      </c>
    </row>
    <row r="5" customFormat="false" ht="56.7" hidden="false" customHeight="false" outlineLevel="0" collapsed="false">
      <c r="A5" s="3" t="n">
        <v>2</v>
      </c>
      <c r="B5" s="5" t="s">
        <v>11</v>
      </c>
      <c r="C5" s="5" t="s">
        <v>12</v>
      </c>
      <c r="D5" s="5" t="s">
        <v>13</v>
      </c>
      <c r="E5" s="4" t="str">
        <f aca="false">IFERROR(__xludf.dummyfunction("GOOGLETRANSLATE(C6)"),"quem teve mais vitórias na NFL")</f>
        <v>quem teve mais vitórias na NFL</v>
      </c>
      <c r="F5" s="5" t="str">
        <f aca="false">IFERROR(__xludf.dummyfunction("GOOGLETRANSLATE(D5)")," O processo de fertilização envolve um esperma que se fundem com um óvulo. A sequência mais comum começa com a ejaculação durante a cópula, segue com ovulação e acaba com fertilização. Várias exceções a essa sequência são possíveis, incluindo inseminação "&amp;"artificial, fertilização in vitro, ejaculação externa sem cópula ou cópula logo após a ovulação. Ao encontrar o oócito secundário, o acrossoma dos espermatozóides produz enzimas que permitem se enterrar através do casaco de geléia externa do ovo. O plasma"&amp;" de esperma então funde com a membrana plasmática do ovo, a cabeça do esperma se desconecta de seu flagelo e o ovo viaja pelo tubo de Falópio para chegar ao útero.")</f>
        <v> O processo de fertilização envolve um esperma que se fundem com um óvulo. A sequência mais comum começa com a ejaculação durante a cópula, segue com ovulação e acaba com fertilização. Várias exceções a essa sequência são possíveis, incluindo inseminação artificial, fertilização in vitro, ejaculação externa sem cópula ou cópula logo após a ovulação. Ao encontrar o oócito secundário, o acrossoma dos espermatozóides produz enzimas que permitem se enterrar através do casaco de geléia externa do ovo. O plasma de esperma então funde com a membrana plasmática do ovo, a cabeça do esperma se desconecta de seu flagelo e o ovo viaja pelo tubo de Falópio para chegar ao útero.</v>
      </c>
    </row>
    <row r="6" customFormat="false" ht="15" hidden="false" customHeight="false" outlineLevel="0" collapsed="false">
      <c r="A6" s="3" t="n">
        <v>3</v>
      </c>
      <c r="B6" s="5" t="s">
        <v>14</v>
      </c>
      <c r="C6" s="5" t="s">
        <v>15</v>
      </c>
      <c r="D6" s="5" t="s">
        <v>16</v>
      </c>
      <c r="E6" s="4" t="str">
        <f aca="false">IFERROR(__xludf.dummyfunction("GOOGLETRANSLATE(C7)"),"que interpretou o Mantis Guardians da Galáxia 2")</f>
        <v>que interpretou o Mantis Guardians da Galáxia 2</v>
      </c>
      <c r="F6" s="5" t="str">
        <f aca="false">IFERROR(__xludf.dummyfunction("GOOGLETRANSLATE(D6)")," O quarterback ativo Tom Brady detém os recordes da maioria das vitórias com 220, a maioria das vitórias regulares da temporada com 195 e a maioria das vitórias na pós -temporada com 25, na semana 16 da temporada da NFL de 2017. Tendo jogado toda a sua ca"&amp;"rreira no New England Patriots, cada um dos registros de vitória de Brady também se aplica a vitórias com uma única equipe.")</f>
        <v> O quarterback ativo Tom Brady detém os recordes da maioria das vitórias com 220, a maioria das vitórias regulares da temporada com 195 e a maioria das vitórias na pós -temporada com 25, na semana 16 da temporada da NFL de 2017. Tendo jogado toda a sua carreira no New England Patriots, cada um dos registros de vitória de Brady também se aplica a vitórias com uma única equipe.</v>
      </c>
    </row>
    <row r="7" customFormat="false" ht="33.55" hidden="false" customHeight="false" outlineLevel="0" collapsed="false">
      <c r="A7" s="3" t="n">
        <v>4</v>
      </c>
      <c r="B7" s="5" t="s">
        <v>17</v>
      </c>
      <c r="C7" s="5" t="s">
        <v>18</v>
      </c>
      <c r="D7" s="5" t="s">
        <v>19</v>
      </c>
      <c r="E7" s="4" t="str">
        <f aca="false">IFERROR(__xludf.dummyfunction("GOOGLETRANSLATE(C8)"),"Que tribo indiana os acadianos formaram amizades e alianças com")</f>
        <v>Que tribo indiana os acadianos formaram amizades e alianças com</v>
      </c>
      <c r="F7" s="5" t="str">
        <f aca="false">IFERROR(__xludf.dummyfunction("GOOGLETRANSLATE(D7)")," Pom Klementieff (nascido em 3 de maio de 1986) é uma atriz francesa. Ela foi treinada na Cours Florent Drama School, em Paris, e apareceu em filmes como Loup (2009), Sleepless Night (2011) e Game de Hacker (2015). Ela interpreta o papel de Mantis no film"&amp;"e Guardiões da Galáxia Vol. 2 (2017) e aparecerá no mesmo papel no filme Vingadores: Guerra do Infinito (2018).")</f>
        <v> Pom Klementieff (nascido em 3 de maio de 1986) é uma atriz francesa. Ela foi treinada na Cours Florent Drama School, em Paris, e apareceu em filmes como Loup (2009), Sleepless Night (2011) e Game de Hacker (2015). Ela interpreta o papel de Mantis no filme Guardiões da Galáxia Vol. 2 (2017) e aparecerá no mesmo papel no filme Vingadores: Guerra do Infinito (2018).</v>
      </c>
    </row>
    <row r="8" customFormat="false" ht="15" hidden="false" customHeight="false" outlineLevel="0" collapsed="false">
      <c r="A8" s="3" t="n">
        <v>5</v>
      </c>
      <c r="B8" s="5" t="s">
        <v>20</v>
      </c>
      <c r="C8" s="5" t="s">
        <v>21</v>
      </c>
      <c r="D8" s="5" t="s">
        <v>22</v>
      </c>
      <c r="E8" s="4" t="str">
        <f aca="false">IFERROR(__xludf.dummyfunction("GOOGLETRANSLATE(C9)"),"quem é vice cm de j e k")</f>
        <v>quem é vice cm de j e k</v>
      </c>
      <c r="F8" s="5" t="str">
        <f aca="false">IFERROR(__xludf.dummyfunction("GOOGLETRANSLATE(D8)")," A sobrevivência dos assentamentos acadianos foi baseada em cooperação bem -sucedida com os povos indígenas da região. Nos primeiros anos do assentamento acadiano, isso incluiu um pequeno número de casamentos registrados entre colonos acadianos e mulheres"&amp;" indígenas. Alguns registros sobreviveram a mostrar casamentos entre colonos acadianos e mulheres indígenas nos ritos católicos romanos formais, por exemplo, o casamento da turnê de Charles La com uma mulher de Mi'kmaw em 1626. Também foram relatados caso"&amp;"s de colonos acadianos se casando com cônjuges indígenas de acordo com os ritos de Mi'kmaq, e posteriormente vivendo nas comunidades de Mi'kmaq. Muitos colonos também trouxeram esposas francesas para Acadia, como a segunda esposa de La Tour, Françoise - M"&amp;"arie Jacquelin, que se juntou a ele em Acadia em 1640.")</f>
        <v> A sobrevivência dos assentamentos acadianos foi baseada em cooperação bem -sucedida com os povos indígenas da região. Nos primeiros anos do assentamento acadiano, isso incluiu um pequeno número de casamentos registrados entre colonos acadianos e mulheres indígenas. Alguns registros sobreviveram a mostrar casamentos entre colonos acadianos e mulheres indígenas nos ritos católicos romanos formais, por exemplo, o casamento da turnê de Charles La com uma mulher de Mi'kmaw em 1626. Também foram relatados casos de colonos acadianos se casando com cônjuges indígenas de acordo com os ritos de Mi'kmaq, e posteriormente vivendo nas comunidades de Mi'kmaq. Muitos colonos também trouxeram esposas francesas para Acadia, como a segunda esposa de La Tour, Françoise - Marie Jacquelin, que se juntou a ele em Acadia em 1640.</v>
      </c>
    </row>
    <row r="9" customFormat="false" ht="16.4" hidden="false" customHeight="false" outlineLevel="0" collapsed="false">
      <c r="A9" s="3" t="n">
        <v>6</v>
      </c>
      <c r="B9" s="5" t="s">
        <v>23</v>
      </c>
      <c r="C9" s="5" t="s">
        <v>24</v>
      </c>
      <c r="D9" s="5" t="s">
        <v>25</v>
      </c>
      <c r="E9" s="4" t="str">
        <f aca="false">IFERROR(__xludf.dummyfunction("GOOGLETRANSLATE(C10)"),"O som de Nashville trouxe um som polido e cosmopolita para a música country por")</f>
        <v>O som de Nashville trouxe um som polido e cosmopolita para a música country por</v>
      </c>
      <c r="F9" s="5" t="str">
        <f aca="false">IFERROR(__xludf.dummyfunction("GOOGLETRANSLATE(D9)"),"   Vice -Ministro -Chefe de Jammu e Caxemira Vapa Despertadora desde 20 de junho de 2018 O governador de Jammu e a Caxemira Inaugural Bakshi Ghulam Mohammad (como vice -primeiro -ministro) Formação 5 de março de 1948")</f>
        <v>   Vice -Ministro -Chefe de Jammu e Caxemira Vapa Despertadora desde 20 de junho de 2018 O governador de Jammu e a Caxemira Inaugural Bakshi Ghulam Mohammad (como vice -primeiro -ministro) Formação 5 de março de 1948</v>
      </c>
    </row>
    <row r="10" customFormat="false" ht="31.3" hidden="false" customHeight="false" outlineLevel="0" collapsed="false">
      <c r="A10" s="3" t="n">
        <v>7</v>
      </c>
      <c r="B10" s="5" t="s">
        <v>26</v>
      </c>
      <c r="C10" s="5" t="s">
        <v>27</v>
      </c>
      <c r="D10" s="5" t="s">
        <v>28</v>
      </c>
      <c r="E10" s="4" t="str">
        <f aca="false">IFERROR(__xludf.dummyfunction("GOOGLETRANSLATE(C11)"),"Em que canal é a Premier League na França")</f>
        <v>Em que canal é a Premier League na França</v>
      </c>
      <c r="F10" s="5" t="str">
        <f aca="false">IFERROR(__xludf.dummyfunction("GOOGLETRANSLATE(D10)")," No início dos anos 1960, o som de Nashville começou a ser desafiado pelo som rival de Bakersfield no lado do país e pela invasão britânica do lado pop; Compondo esses problemas foram as mortes repentinas, em acidentes de avião separados, de Patsy Cline e"&amp;" Jim Reeves, duas das maiores estrelas do Nashville Sound. A estrutura da música pop de Nashville tornou -se mais pronunciada e se transformou no que se chamava CountryPolitan - um som mais suave tipificado através do uso de arranjos exuberantes de cordas"&amp;" com uma orquestra real e, muitas vezes, vocais de fundo fornecidos por um coral. O CountryPolitan foi direcionado diretamente para os principais mercados e vendeu bem durante o final dos anos 1960 até o início dos anos 1970. Entre os arquitetos deste som"&amp;" estavam os produtores Billy Sherrill (que foi fundamental para moldar o início da carreira de Tammy Wynette) e Glenn Sutton. Os artistas que tipificaram o som do Countrypolitan incluíram inicialmente Wynette, Glen Campbell (que gravou em Hollywood e não "&amp;"Nashville), Lynn Anderson, Charlie Rich e Charley Pride, sendo este último um exemplo raro de um artista de country africano -americano que vende.")</f>
        <v> No início dos anos 1960, o som de Nashville começou a ser desafiado pelo som rival de Bakersfield no lado do país e pela invasão britânica do lado pop; Compondo esses problemas foram as mortes repentinas, em acidentes de avião separados, de Patsy Cline e Jim Reeves, duas das maiores estrelas do Nashville Sound. A estrutura da música pop de Nashville tornou -se mais pronunciada e se transformou no que se chamava CountryPolitan - um som mais suave tipificado através do uso de arranjos exuberantes de cordas com uma orquestra real e, muitas vezes, vocais de fundo fornecidos por um coral. O CountryPolitan foi direcionado diretamente para os principais mercados e vendeu bem durante o final dos anos 1960 até o início dos anos 1970. Entre os arquitetos deste som estavam os produtores Billy Sherrill (que foi fundamental para moldar o início da carreira de Tammy Wynette) e Glenn Sutton. Os artistas que tipificaram o som do Countrypolitan incluíram inicialmente Wynette, Glen Campbell (que gravou em Hollywood e não Nashville), Lynn Anderson, Charlie Rich e Charley Pride, sendo este último um exemplo raro de um artista de country africano -americano que vende.</v>
      </c>
    </row>
    <row r="11" customFormat="false" ht="15" hidden="false" customHeight="false" outlineLevel="0" collapsed="false">
      <c r="A11" s="3" t="n">
        <v>8</v>
      </c>
      <c r="B11" s="5" t="s">
        <v>29</v>
      </c>
      <c r="C11" s="5" t="s">
        <v>30</v>
      </c>
      <c r="D11" s="5" t="s">
        <v>31</v>
      </c>
      <c r="E11" s="4" t="str">
        <f aca="false">IFERROR(__xludf.dummyfunction("GOOGLETRANSLATE(C12)"),"Qual é a utilidade do JDK em Java")</f>
        <v>Qual é a utilidade do JDK em Java</v>
      </c>
      <c r="F11" s="5" t="str">
        <f aca="false">IFERROR(__xludf.dummyfunction("GOOGLETRANSLATE(D11)"),"   Country   Language   Broadcasters     Albania   Albanian   SuperSport     Kosovo     Serbia   Serbian Croatian Macedonian Slovenian   Sport Klub     Croatia     Bosnia and Herzegovina     Montenegro     Macedonia     Slovenia     Andorra   Spanish   Mo"&amp;"vistar+     Armenia   Armenian   Armenia 2     Austria   German   DAZN     Azerbaijan   Azerbaijani   AzTV     Belarus   Belarusian   Beltelradio     Belgium   Dutch French   Play Sports VOO Sport     Bulgaria   Bulgarian   Diema Sport     Cyprus   Greek "&amp;"CytaVision República Tcheca DIGI DIGI Sport Dinamarca TV dinamarquesa Danish Sport 6'Eren Estonia Estonian Viasat Esporte Báltico Finlândia Finnish Viast Sport France French SFR Sport Georgia Georgiana Silknet Silknet Germany Dazn Greece Greece Cosmote Es"&amp;"porte Esportivo Húngaro Húngaro Speler Esporte Itália Sky Italian Sport Letônia Letônia Viasat Esporte Báltico Liechtenstein alemão Dazn Lituânia alemã Lituânia Viasat Esporte Báltico Luxemburgo French Voo Sport Malta Inglês GO Esportes Holandesos Sports "&amp;"Sports Sports Sports Sports Sports Sports Sports Romanos Rominados TV Rominados 2 Polônia Polonista Polonista+ Portúscula portuária portuária Portuga Sport Sport Sport Sport Tv Romano / Norwegian TV2 PolonSon Polonns Polon Polon Polon PolonSeaMaMa portuga"&amp;" portuga portuga Sport Sport Sport Sport Sport Tv Romano / Norwegian TV2 PolonSon Polon Polon Polon Polon Pollia portugar portugare por português Matida russa TV San Marino Sky Italian Sport Esporte Eslováquia Tcheca Digi Esporte Espanha Espanha Movistar+"&amp;" Suécia Viasat Sport Suíça Switzerland Alemã francesa Dazn Sfr Sport Sport Turquia Sport Ucrânia Ucrânia Ucrânia O futebol ucraniano tv")</f>
        <v>   Country   Language   Broadcasters     Albania   Albanian   SuperSport     Kosovo     Serbia   Serbian Croatian Macedonian Slovenian   Sport Klub     Croatia     Bosnia and Herzegovina     Montenegro     Macedonia     Slovenia     Andorra   Spanish   Movistar+     Armenia   Armenian   Armenia 2     Austria   German   DAZN     Azerbaijan   Azerbaijani   AzTV     Belarus   Belarusian   Beltelradio     Belgium   Dutch French   Play Sports VOO Sport     Bulgaria   Bulgarian   Diema Sport     Cyprus   Greek CytaVision República Tcheca DIGI DIGI Sport Dinamarca TV dinamarquesa Danish Sport 6'Eren Estonia Estonian Viasat Esporte Báltico Finlândia Finnish Viast Sport France French SFR Sport Georgia Georgiana Silknet Silknet Germany Dazn Greece Greece Cosmote Esporte Esportivo Húngaro Húngaro Speler Esporte Itália Sky Italian Sport Letônia Letônia Viasat Esporte Báltico Liechtenstein alemão Dazn Lituânia alemã Lituânia Viasat Esporte Báltico Luxemburgo French Voo Sport Malta Inglês GO Esportes Holandesos Sports Sports Sports Sports Sports Sports Sports Sports Romanos Rominados TV Rominados 2 Polônia Polonista Polonista+ Portúscula portuária portuária Portuga Sport Sport Sport Sport Tv Romano / Norwegian TV2 PolonSon Polonns Polon Polon Polon PolonSeaMaMa portuga portuga portuga Sport Sport Sport Sport Sport Tv Romano / Norwegian TV2 PolonSon Polon Polon Polon Polon Pollia portugar portugare por português Matida russa TV San Marino Sky Italian Sport Esporte Eslováquia Tcheca Digi Esporte Espanha Espanha Movistar+ Suécia Viasat Sport Suíça Switzerland Alemã francesa Dazn Sfr Sport Sport Turquia Sport Ucrânia Ucrânia Ucrânia O futebol ucraniano tv</v>
      </c>
    </row>
    <row r="12" customFormat="false" ht="44.75" hidden="false" customHeight="false" outlineLevel="0" collapsed="false">
      <c r="A12" s="3" t="n">
        <v>9</v>
      </c>
      <c r="B12" s="5" t="s">
        <v>32</v>
      </c>
      <c r="C12" s="5" t="s">
        <v>33</v>
      </c>
      <c r="D12" s="5" t="s">
        <v>34</v>
      </c>
      <c r="E12" s="4" t="str">
        <f aca="false">IFERROR(__xludf.dummyfunction("GOOGLETRANSLATE(C13)"),"quem precisa estar no carro com um motorista de permissão")</f>
        <v>quem precisa estar no carro com um motorista de permissão</v>
      </c>
      <c r="F12" s="5" t="str">
        <f aca="false">IFERROR(__xludf.dummyfunction("GOOGLETRANSLATE(D12)")," O Java Development Kit (JDK) é uma implementação de qualquer uma das plataformas Java, Standard Edition, Java Platform, Enterprise Edition ou Java Platform, Micro Edition Platforms lançadas pela Oracle Corporation na forma de um produto binário destinado"&amp;" a desenvolvedores de Java on Solaris, Linux, MacOS ou Windows. O JDK inclui uma JVM particular e alguns outros recursos para concluir o desenvolvimento de um aplicativo Java. Desde a introdução da plataforma Java, foi de longe o kit de desenvolvimento de"&amp;" software mais usado (SDK). Em 17 de novembro de 2006, a Sun anunciou que o lançaria sob a licença pública geral da GNU (GPL), tornando -o software livre. Isso aconteceu em grande parte em 8 de maio de 2007, quando a Sun contribuiu com o código -fonte par"&amp;"a o OpenJDK.")</f>
        <v> O Java Development Kit (JDK) é uma implementação de qualquer uma das plataformas Java, Standard Edition, Java Platform, Enterprise Edition ou Java Platform, Micro Edition Platforms lançadas pela Oracle Corporation na forma de um produto binário destinado a desenvolvedores de Java on Solaris, Linux, MacOS ou Windows. O JDK inclui uma JVM particular e alguns outros recursos para concluir o desenvolvimento de um aplicativo Java. Desde a introdução da plataforma Java, foi de longe o kit de desenvolvimento de software mais usado (SDK). Em 17 de novembro de 2006, a Sun anunciou que o lançaria sob a licença pública geral da GNU (GPL), tornando -o software livre. Isso aconteceu em grande parte em 8 de maio de 2007, quando a Sun contribuiu com o código -fonte para o OpenJDK.</v>
      </c>
    </row>
    <row r="13" customFormat="false" ht="97.75" hidden="false" customHeight="false" outlineLevel="0" collapsed="false">
      <c r="A13" s="3" t="n">
        <v>10</v>
      </c>
      <c r="B13" s="5" t="s">
        <v>35</v>
      </c>
      <c r="C13" s="5" t="s">
        <v>36</v>
      </c>
      <c r="D13" s="5" t="s">
        <v>37</v>
      </c>
      <c r="E13" s="4" t="str">
        <f aca="false">IFERROR(__xludf.dummyfunction("GOOGLETRANSLATE(C14)"),"Deus não está morto uma luz na data de lançamento das trevas")</f>
        <v>Deus não está morto uma luz na data de lançamento das trevas</v>
      </c>
      <c r="F13" s="5" t="str">
        <f aca="false">IFERROR(__xludf.dummyfunction("GOOGLETRANSLATE(D13)")," Normalmente, um motorista que opera com a permissão de um aluno deve ser acompanhado por um motorista licenciado por adultos com pelo menos 21 anos de idade ou mais e no banco do passageiro do veículo o tempo todo.")</f>
        <v> Normalmente, um motorista que opera com a permissão de um aluno deve ser acompanhado por um motorista licenciado por adultos com pelo menos 21 anos de idade ou mais e no banco do passageiro do veículo o tempo todo.</v>
      </c>
    </row>
    <row r="14" customFormat="false" ht="15" hidden="false" customHeight="false" outlineLevel="0" collapsed="false">
      <c r="A14" s="3" t="n">
        <v>11</v>
      </c>
      <c r="B14" s="5" t="s">
        <v>38</v>
      </c>
      <c r="C14" s="5" t="s">
        <v>39</v>
      </c>
      <c r="D14" s="5" t="s">
        <v>40</v>
      </c>
      <c r="E14" s="4" t="str">
        <f aca="false">IFERROR(__xludf.dummyfunction("GOOGLETRANSLATE(C15)"),"Quem é o atual presidente da Assembléia Geral da ONU")</f>
        <v>Quem é o atual presidente da Assembléia Geral da ONU</v>
      </c>
      <c r="F14" s="5" t="str">
        <f aca="false">IFERROR(__xludf.dummyfunction("GOOGLETRANSLATE(D14)")," A fotografia principal foi concluída em Little Rock, Arkansas, em dezembro de 2017. Foi lançado nos Estados Unidos em 30 de março de 2018. Ao contrário dos dois primeiros filmes, uma luz nas trevas era uma bomba de bilheteria, fazendo menos em toda a sua"&amp;" corrida teatral (US $ 5,7 milhões) do que os outros arrecadados em seus respectivos fins de semana de abertura (US $ 9,7 milhões e US $ 7,6 milhões).")</f>
        <v> A fotografia principal foi concluída em Little Rock, Arkansas, em dezembro de 2017. Foi lançado nos Estados Unidos em 30 de março de 2018. Ao contrário dos dois primeiros filmes, uma luz nas trevas era uma bomba de bilheteria, fazendo menos em toda a sua corrida teatral (US $ 5,7 milhões) do que os outros arrecadados em seus respectivos fins de semana de abertura (US $ 9,7 milhões e US $ 7,6 milhões).</v>
      </c>
    </row>
    <row r="15" customFormat="false" ht="58.2" hidden="false" customHeight="false" outlineLevel="0" collapsed="false">
      <c r="A15" s="3" t="n">
        <v>12</v>
      </c>
      <c r="B15" s="5" t="s">
        <v>41</v>
      </c>
      <c r="C15" s="5" t="s">
        <v>42</v>
      </c>
      <c r="D15" s="5" t="s">
        <v>43</v>
      </c>
      <c r="E15" s="4" t="str">
        <f aca="false">IFERROR(__xludf.dummyfunction("GOOGLETRANSLATE(C16)"),"Quando eles puxam os números da bola de power 2016")</f>
        <v>Quando eles puxam os números da bola de power 2016</v>
      </c>
      <c r="F15" s="5" t="str">
        <f aca="false">IFERROR(__xludf.dummyfunction("GOOGLETRANSLATE(D15)")," Miroslav Lajčák, da Eslováquia, foi eleito presidente da Assembléia Geral das Nações Unidas de sua 72ª sessão, a partir de setembro de 2017.")</f>
        <v> Miroslav Lajčák, da Eslováquia, foi eleito presidente da Assembléia Geral das Nações Unidas de sua 72ª sessão, a partir de setembro de 2017.</v>
      </c>
    </row>
    <row r="16" customFormat="false" ht="15" hidden="false" customHeight="false" outlineLevel="0" collapsed="false">
      <c r="A16" s="3" t="n">
        <v>13</v>
      </c>
      <c r="B16" s="5" t="s">
        <v>44</v>
      </c>
      <c r="C16" s="5" t="s">
        <v>45</v>
      </c>
      <c r="D16" s="5" t="s">
        <v>46</v>
      </c>
      <c r="E16" s="4" t="str">
        <f aca="false">IFERROR(__xludf.dummyfunction("GOOGLETRANSLATE(C17)"),"Quando o eclipse deveria ocorrer")</f>
        <v>Quando o eclipse deveria ocorrer</v>
      </c>
      <c r="F16" s="5" t="str">
        <f aca="false">IFERROR(__xludf.dummyfunction("GOOGLETRANSLATE(D16)")," Os desenhos para o Powerball são realizados toda quarta e sábado à noite às 22h99. Hora do Leste . Desde 7 de outubro de 2015, o jogo usou uma matriz de 5/69 (bolas brancas) + 1/6 de 26 (Powerballs) da qual os números vencedores são escolhidos, resultand"&amp;"o em chances de 1 em 292.201.338 de ganhar um jackpot por peça. Cada jogo custa US $ 2 ou US $ 3 com a opção Power Play. (Originalmente, as peças do Powerball custam US $ 1; quando o PowerPlay começou, esses jogos foram de US $ 2.) O corte oficial para a "&amp;"venda de ingressos é das 22:00. Hora do Leste ; Algumas loterias cortaram as vendas mais cedo. Os desenhos geralmente são mantidos no estúdio da Loteria da Flórida em Tallahassee.")</f>
        <v> Os desenhos para o Powerball são realizados toda quarta e sábado à noite às 22h99. Hora do Leste . Desde 7 de outubro de 2015, o jogo usou uma matriz de 5/69 (bolas brancas) + 1/6 de 26 (Powerballs) da qual os números vencedores são escolhidos, resultando em chances de 1 em 292.201.338 de ganhar um jackpot por peça. Cada jogo custa US $ 2 ou US $ 3 com a opção Power Play. (Originalmente, as peças do Powerball custam US $ 1; quando o PowerPlay começou, esses jogos foram de US $ 2.) O corte oficial para a venda de ingressos é das 22:00. Hora do Leste ; Algumas loterias cortaram as vendas mais cedo. Os desenhos geralmente são mantidos no estúdio da Loteria da Flórida em Tallahassee.</v>
      </c>
    </row>
    <row r="17" customFormat="false" ht="125.35" hidden="false" customHeight="false" outlineLevel="0" collapsed="false">
      <c r="A17" s="3" t="n">
        <v>14</v>
      </c>
      <c r="B17" s="5" t="s">
        <v>47</v>
      </c>
      <c r="C17" s="5" t="s">
        <v>48</v>
      </c>
      <c r="D17" s="5" t="s">
        <v>49</v>
      </c>
      <c r="E17" s="4" t="str">
        <f aca="false">IFERROR(__xludf.dummyfunction("GOOGLETRANSLATE(C18)"),"Qual é o nome do mar ao redor de Dubai")</f>
        <v>Qual é o nome do mar ao redor de Dubai</v>
      </c>
      <c r="F17" s="5" t="str">
        <f aca="false">IFERROR(__xludf.dummyfunction("GOOGLETRANSLATE(D17)"),"   Eclipse solar de 21 de agosto de 2017 Totalidade como visto em Simpsonville, Carolina do Sul Tipo de Eclipse Natureza Total Gamma 0,4367 Magnitude 1,0306 Duração máxima do eclipse 160 seg (2 m 40 s) 37 ° 00 ′ n 87 ° 42 ′ W / 37 ° n 87,7 ° com 37; - 87,"&amp;"7 máx. Largura da banda 115 km (71 mi) vezes (UTC) (P1) Parcial Begin 15: 46: 48 (U1) Total começa 16: 48: 32 Maior eclipse 18: 26: 40 (U4) Fim total 20: 01: 35 (P4) Fim parcial 21: 04: 19 Referências Saros 145 (22 de 77) Catálogo # (SE5000) 9546")</f>
        <v>   Eclipse solar de 21 de agosto de 2017 Totalidade como visto em Simpsonville, Carolina do Sul Tipo de Eclipse Natureza Total Gamma 0,4367 Magnitude 1,0306 Duração máxima do eclipse 160 seg (2 m 40 s) 37 ° 00 ′ n 87 ° 42 ′ W / 37 ° n 87,7 ° com 37; - 87,7 máx. Largura da banda 115 km (71 mi) vezes (UTC) (P1) Parcial Begin 15: 46: 48 (U1) Total começa 16: 48: 32 Maior eclipse 18: 26: 40 (U4) Fim total 20: 01: 35 (P4) Fim parcial 21: 04: 19 Referências Saros 145 (22 de 77) Catálogo # (SE5000) 9546</v>
      </c>
    </row>
    <row r="18" customFormat="false" ht="126.85" hidden="false" customHeight="false" outlineLevel="0" collapsed="false">
      <c r="A18" s="3" t="n">
        <v>15</v>
      </c>
      <c r="B18" s="5" t="s">
        <v>50</v>
      </c>
      <c r="C18" s="5" t="s">
        <v>51</v>
      </c>
      <c r="D18" s="5" t="s">
        <v>52</v>
      </c>
      <c r="E18" s="4" t="str">
        <f aca="false">IFERROR(__xludf.dummyfunction("GOOGLETRANSLATE(C19)"),"quem detém o recorde da NBA para a maioria dos pontos em uma carreira")</f>
        <v>quem detém o recorde da NBA para a maioria dos pontos em uma carreira</v>
      </c>
      <c r="F18" s="5" t="str">
        <f aca="false">IFERROR(__xludf.dummyfunction("GOOGLETRANSLATE(D18)")," Dubai ( / duːˈbaɪ / doo - por; árabe: cadeos dubay, pronúncia do Golfo: (dʊˈbɑj)) é a maior e mais populosa cidade dos Emirados Árabes Unidos (Emirados Árabes Unidos). Está localizado na costa sudeste do Golfo Pérsico e é a capital do emirado de Dubai, u"&amp;"m dos sete Emirados que compõem o país. Abu Dhabi e Dubai são os únicos dois Emirados a ter poder veto sobre questões críticas de importância nacional no Conselho Federal Supremo do país. A cidade de Dubai está localizada na costa norte do Emirado e lider"&amp;"a o Dubai - Sharjah - área metropolitana de Ajman. Dubai sediará a World Expo 2020.")</f>
        <v> Dubai ( / duːˈbaɪ / doo - por; árabe: cadeos dubay, pronúncia do Golfo: (dʊˈbɑj)) é a maior e mais populosa cidade dos Emirados Árabes Unidos (Emirados Árabes Unidos). Está localizado na costa sudeste do Golfo Pérsico e é a capital do emirado de Dubai, um dos sete Emirados que compõem o país. Abu Dhabi e Dubai são os únicos dois Emirados a ter poder veto sobre questões críticas de importância nacional no Conselho Federal Supremo do país. A cidade de Dubai está localizada na costa norte do Emirado e lidera o Dubai - Sharjah - área metropolitana de Ajman. Dubai sediará a World Expo 2020.</v>
      </c>
    </row>
    <row r="19" customFormat="false" ht="84.3" hidden="false" customHeight="false" outlineLevel="0" collapsed="false">
      <c r="A19" s="3" t="n">
        <v>16</v>
      </c>
      <c r="B19" s="5" t="s">
        <v>53</v>
      </c>
      <c r="C19" s="5" t="s">
        <v>54</v>
      </c>
      <c r="D19" s="5" t="s">
        <v>55</v>
      </c>
      <c r="E19" s="4" t="str">
        <f aca="false">IFERROR(__xludf.dummyfunction("GOOGLETRANSLATE(C20)"),"Era uma vez a lista de episódios da 6ª temporada")</f>
        <v>Era uma vez a lista de episódios da 6ª temporada</v>
      </c>
      <c r="F19" s="5" t="str">
        <f aca="false">IFERROR(__xludf.dummyfunction("GOOGLETRANSLATE(D19)"),"   A equipe (s) dos jogadores de classificação jogou (s) jogando (s) jogos de pontos (s) de pontos (s) por pontos de campo médio de campo, os gols de campo de três pontos fizeram os arremessos livres feitos em Abdul - Jabbar, Kareem Kareem Abdul - Jabbar "&amp;"* Milwaukee Bucks (1969 - - 1975 ) Los Angeles Lakers ( 1975 -- 1989 )   38,387   1,560   24.6   15,837     6,712       Malone , Karl Karl Malone *   PF   Utah Jazz ( 1985 -- 2003 ) Los Angeles Lakers ( 2003 -- 2004 )   36,928   1,476   25.0   13,528   85"&amp;"   9,787       Bryant , Kobe Kobe Bryant Sg Los Angeles Lakers (1996 - 2016) 33.643 1.346 25,0 11.719 1.827 8.378 Jordan, Michael Michael Jordan * SG Chicago Bulls (1984 - 1993, 1995 - 1998) Washington Wizards (2001 - 2003). 581 7.327 5 Chamberlain, Wilt "&amp;"Wilt Chamberlain * Philadelphia / São Francisco Warriors (1959 - 1965) Philadelphia 76ers (1965 - 1968) Los Angeles Lakers (1968 - 1973) 31.419 1.045 30.1 12.681 0 PF / C Dallas Mavericks (1999 - presente) 31.187 1.471 21,2 11.034 1.918 7.201 7 James, LeB"&amp;"ron LeBron James ^ SF / PF Cleveland Cavaliers (2003 - 2010, 2014 - Presente) 27.2 11.240 1.607 6.838 8 O'Neal, Shaquille Shaquille O'Neal * Orlando Magic (1992 - 1996) Los Angeles Lakers (1996 - 2004) Miami Heat (2004 - 2008) (2009 -2010) Boston Celtics "&amp;"(2010 -2011) 28.596 1.207 23,7 11.330 5.935 9 Malone, Moses Malone * Buffalo Braves (1976) Houston Rockets (1976 -1982) Philadelphia 76ers (1982 -1986 -1993 -1976 -1982) 1994) Washington Bullets (1986 - 1988) Atlanta Hawks (1988 - 1991) Milwaukee Bucks (1"&amp;"991 - 1993) San Antonio Spurs (1994 - 1995) 27.409 1.329 20,6 9.435 8 ​​8.531 10 Hayes, Elvin Elvin Hayes * PF / C San Diego / Houston Rockets (1968 - 1972, 1981 - 1984) Baltimore / Capital / Washington Bullets (1972 - 1981) 27.313 1.303 21,0 10.976 5 5.3"&amp;"56 11 Olajuwon, Hakeem Hakeem Olajuwon * Houston Rockets (1984 - 2001) Toronto Raptors (2001 - 2002) 26.946 1.238 21,8 10.749 25 5.423 12 Robertson, Oscar Oscar Robertson * Pg Cincinnati Royals (1960 - 1970) Milwaukee Bucks (1970 - 1974) 26.710 1,040 25.7"&amp;".7,50. * SF Atlanta Hawks (1982 - 1994) Los Angeles Clippers (1994) Boston Celtics (1994 - 1995) San Antonio Spurs (1996 - 1997) Orlando Magic (1999) 26.668 1.074 24,8 9.963 711 6.031 14 Duncan, Tim Tim Duncan PF / C San Antonio Spurs (1997 - 2016) 26.496"&amp;" 1.392 19,0 10.285 30 5.896 15 Pierce, Paul Paul Pierce SF / SG Boston Celtics (1999 - 2013) Brooklyn Nets (2013 - 2014) Washington Wizards (2014 - 2015) ) Los Angeles Clippers (2015 - 2017) 26.397 1.343 19,7 8.668 2.143 6.918 16 Havlicek, John John Havli"&amp;"cek * SF / SG Boston Celtics (1962 - 1978) 26.395 1,270 20.8 10.513 0. Timberwolves (1995 - 2007, 2015 - 2016) Boston Celtics (2007 - 2013) Brooklyn Nets (2013 - 2015) 26.071 1.462 17,8 10.505 174 4.887 18 Inglês, Alex Alex Inglês * SF Milwaukee Bucks (19"&amp;"76 - 1978) Indiana Pacers (1978 - 1980) Denver Nuggets (1980 - 1990) Dallas Mavericks (1990 - 1991) 25.613 1.193 21,5 10.659 18 4.277 19 Anthony, Carmelo Carmelo Anthony ^ SF Denver Nuggets (2003), 2011), York Knick. 2011 - 2017) Oklahoma City Thunder. / "&amp;"SG Los Angeles Lakers (1960 -1974) 25.192 932 27,0 9.016 0 7.160 22 Carter, Vince Vince Carter ^ SG / SF Toronto Raptors (1999 -2004) New Jersey Nets (2004 -2009) Orlando Magic (2009 - -2004) 2010) Phoenix Suns (2010 - 2011) Dallas Mavericks (2011 - 2014)"&amp;" Memphis Grizzlies (2014 - 2017) Sacramento Kings (2017 - presente) 24.850 1.402 17,7 8.984 2.103 4,77 23 23 Ewing, Patrick Patrick Ewing * (1985 -2000) Seattle Supersonics (2000 -2001) Orlando Magic (2001 -2002) 24.815 1.183 21,0 9.702 19 5.392 24 Allen,"&amp;" Ray Ray Allen * SG Milwaukee Bucks (1996 -2003) Seattle Supersonics (2003 - 2007) Boston Celtics (2007 - 2012) Miami Heat (2012 - 2014) 24.505 1.300 18,9 8.567 2.973 4.398 25 Iverson, Allen Allen Iverson * SG / PG Philadelphia 76ers (1996 - 2006, 2009 - "&amp;"2010) 2006 -- 2008 ) Detroit Pistons ( 2008 -- 2009 ) Memphis Grizzlies ( 2009 )   24,368   914   26.7   8,467   1,059   6,375     26   Barkley , Charles Charles Barkley *   PF   Philadelphia 76ers ( 1984 -- 1992 ) Phoenix Suns ( 1992 -- 1996 ) Houston Ro"&amp;"ckets (1996 -2000) 23.757 1.073 22,1 8.435 538 6.349 27 Paróquia, Robert Robert Parish * Golden State Warriors (1976 -1980) Boston Celtics (1980 -1994) Charlotte Hornets (1994 -1996) Chicago Bultics (1996 - -1994) 1997) 23.334 1.611 14,5 9.614 0 4,106 28 "&amp;"Dantley, Adrian Adrian Dantley * SF Buffalo Braves (1976 - 1977) Indiana Pacers (1977) Los Angeles Lakers (1977 - 1979) - 1989) Dallas Mavericks (1989- 1990) Milwaukee Bucks (1991) 23.177 955 24,3 8.169 7 6.832 29 Baylor, Elgin Elgin Baylor * SF Minneapol"&amp;"is / Los Angeles Lakers (1958- 1971) 23.149 76 276 276 276 276 276 276 276 276 276 276 276 7. 7. 876 7. 876 276 276 276 7. 7. 876 276 276 276 276 7. 7. 7. 8. , Clyde Clyde Drexler *   SG   Portland Trail Blazers ( 1983 -- 1995 ) Houston Rockets ( 1995 -- "&amp;"1998 )   22,195   1,086   20.4   8,335   827   4,698     31   Wade , Dwyane Dwyane Wade ^   SG   Miami Heat ( 2003 -- 2016 , 2018 -- present ) Chicago Bulls (2016 -2017) Cleveland Cavaliers (2017 -2018) 22.058 979 22,5 8.028 462 5.540 32 Payton, Gary Gary"&amp;" Payton * PG Seattle Supersonics (1990 -2003) Milwaukee (2003) Los Angeles Lakers (2003 -2003) 2004) Boston Celtics (2004 - 2005) Miami Heat (2005 - 2007) 21.813 1.335 16,3 8.708 1.132 3.265 33 Bird, Larry Bird * SF / PF Boston Celtics (1979 - 1992) 21,79"&amp;"1 897.3.3.3.3.3.30, 33 33 33 33 31, 31,791, 897.3.3.3.3.30, 33 33 33 33, Larry Larry Bird * SF / PF Boston Celtics (1979 - 1992) 21.791 897.3.3.3.3.3.3084. , Hal Hal Greer * SG / PG Syracuse Nationals / Philadelphia 76ers (1958 - 1973) 21.586 1.122 19,2 8"&amp;".504 0 4.578 35 Bellamy, Walt Walt Bellamy * Chicago Packers / Zephyrs / 19615 (19615) - 1968) Detroit Pistons (1968- 1970) Atlanta Hawks (1970- 1974) New Orleans Jazz (1974) 20.941 1.043 20,1 7.914 0 5.113 36 Pettit, Bob Bob Pettit * PF / C Milwaukee / S"&amp;"t. Louis Hawks (1954 - 1965) 20.880 792 26,4 7.349 0 6.182 37 Durant, Kevin Kevin Durant ^ SF / SG Seattle Supersonics / Oklahoma City Thunder (2007- 2016) Golden State Warriors (2016- presente) 20.815 767 27,1 7,058 1,425 5. David David Robinson * San An"&amp;"tonio Spurs (1989 - 2003) 20.790 987 21,1 7.365 25 6.035 39 Gasol, Pau Pau Gasol ^ C / PF Memphis Grizzlies (2001 - 2008) Los Angeles Lakers (2008 - 2014) Chicago Bulls (2014 - 2016) San Antonio Spurs (2016- presente) 20.759 1.193 17,4 7.932 172 4.723 40 "&amp;"Gervin, George George Gervin * SG / SF San Antonio Spurs (1976- 1985) Chicago Bulls (1985) 20,708 791.2.2.2.2.285) 77 4.541 41 Richmond, Mitch Mitch Richmond * SG Golden State Warriors (1988 - 1991) Sacramento Kings (1991 - 1998) Washington Wizards (1999 "&amp;"- 2001) Los Angeles Lakers (2001 - 2002) 20.497 976 21,0 7,305 1,326 4,56) 42 Johnson, Joe Joe Johnson ^ SG / SF Boston Celtics (2001 - 2002) Phoenix Suns (2002 - 2005) Atlanta Hawks (2005 - 2012) Brooklyn Nets (2012 - 2016) Miami Heat (2016) Utah Jazz ( "&amp;"2016 - 2018) Houston Rockets (2018 - presente) 20.386 1.272 16,0 7.815 1.976 2.780 43 Chambers, Tom Tom Chambers PF San Diego Clippers (1981 - 1983) Seattle Supersonics (1983 - 1988) Phoenix Sols (1988 - 1993) ) Utah Jazz (1993 - 1995) Charlotte Hornets ("&amp;"1997) Philadelphia 76ers (1997) 20.049 1.107 18,1 7.378 227 5.066 44 Jamison, Antawn Jamison PF / SF Golden Warriors (1999 - 2003) Dallas Mawn Mawn ) Washington Wizards (2004 - 2010) Cleveland Cavaliers (2010 - 2012) Los Angeles Lakers (2012 - 2013) Los A"&amp;"ngeles Clippers (2013 - 2014) 20.042 1.083 18,5 7.679 1.163 3.521 45 Stockton, John Stockton * Pg Utah Jazz (1984 - 2003) 19.711 1.504 13,1 7.039 845 4.788 46 King, Bernard Bernard King * SF New Jersey Nets (1977 - 1979, 1993) Utah Jazz (1979) Golden Stat"&amp;"e Warriors (1980 - 1982) New York Knicks ( 1982 - 1985, 1987) Washington Bullets (1987 - 1991) 19.655 874 22,5 7.830 23 3,972 47 Robinson, Clifford Clifford Robinson PF / SF Portland Trail Blazers (1989 - 1997) 2001 - 2003) Golden State Warriors (2003 - 2"&amp;"005) New Jersey Nets (2005 - 2007) 19.591 1.380 14,2 7.389 1.253 3.560 48 Davis, Walter Walter Davis SG / SF Phoenix Suns (1977 - 1988) Denvers Nugs (1988) - 1991. San Antonio Spurs (1989 - 1995) Seattle Supersonics (1996 - 1997) Philadelphia 76ers (1997 "&amp;"- 1998) New York Knicks (1998) Golden State Warriors (1999 - 2000) 19.460 1.183 16,4 8.045 44 3,326 50 LANIER Bob Lanier * Detroit Pistons (1970 - 1980) Milwaukee Bucks (1980 - 1984) 19.248 959 20.1 7.761 3.724")</f>
        <v>   A equipe (s) dos jogadores de classificação jogou (s) jogando (s) jogos de pontos (s) de pontos (s) por pontos de campo médio de campo, os gols de campo de três pontos fizeram os arremessos livres feitos em Abdul - Jabbar, Kareem Kareem Abdul - Jabbar * Milwaukee Bucks (1969 - - 1975 ) Los Angeles Lakers ( 1975 -- 1989 )   38,387   1,560   24.6   15,837     6,712       Malone , Karl Karl Malone *   PF   Utah Jazz ( 1985 -- 2003 ) Los Angeles Lakers ( 2003 -- 2004 )   36,928   1,476   25.0   13,528   85   9,787       Bryant , Kobe Kobe Bryant Sg Los Angeles Lakers (1996 - 2016) 33.643 1.346 25,0 11.719 1.827 8.378 Jordan, Michael Michael Jordan * SG Chicago Bulls (1984 - 1993, 1995 - 1998) Washington Wizards (2001 - 2003). 581 7.327 5 Chamberlain, Wilt Wilt Chamberlain * Philadelphia / São Francisco Warriors (1959 - 1965) Philadelphia 76ers (1965 - 1968) Los Angeles Lakers (1968 - 1973) 31.419 1.045 30.1 12.681 0 PF / C Dallas Mavericks (1999 - presente) 31.187 1.471 21,2 11.034 1.918 7.201 7 James, LeBron LeBron James ^ SF / PF Cleveland Cavaliers (2003 - 2010, 2014 - Presente) 27.2 11.240 1.607 6.838 8 O'Neal, Shaquille Shaquille O'Neal * Orlando Magic (1992 - 1996) Los Angeles Lakers (1996 - 2004) Miami Heat (2004 - 2008) (2009 -2010) Boston Celtics (2010 -2011) 28.596 1.207 23,7 11.330 5.935 9 Malone, Moses Malone * Buffalo Braves (1976) Houston Rockets (1976 -1982) Philadelphia 76ers (1982 -1986 -1993 -1976 -1982) 1994) Washington Bullets (1986 - 1988) Atlanta Hawks (1988 - 1991) Milwaukee Bucks (1991 - 1993) San Antonio Spurs (1994 - 1995) 27.409 1.329 20,6 9.435 8 ​​8.531 10 Hayes, Elvin Elvin Hayes * PF / C San Diego / Houston Rockets (1968 - 1972, 1981 - 1984) Baltimore / Capital / Washington Bullets (1972 - 1981) 27.313 1.303 21,0 10.976 5 5.356 11 Olajuwon, Hakeem Hakeem Olajuwon * Houston Rockets (1984 - 2001) Toronto Raptors (2001 - 2002) 26.946 1.238 21,8 10.749 25 5.423 12 Robertson, Oscar Oscar Robertson * Pg Cincinnati Royals (1960 - 1970) Milwaukee Bucks (1970 - 1974) 26.710 1,040 25.7.7,50. * SF Atlanta Hawks (1982 - 1994) Los Angeles Clippers (1994) Boston Celtics (1994 - 1995) San Antonio Spurs (1996 - 1997) Orlando Magic (1999) 26.668 1.074 24,8 9.963 711 6.031 14 Duncan, Tim Tim Duncan PF / C San Antonio Spurs (1997 - 2016) 26.496 1.392 19,0 10.285 30 5.896 15 Pierce, Paul Paul Pierce SF / SG Boston Celtics (1999 - 2013) Brooklyn Nets (2013 - 2014) Washington Wizards (2014 - 2015) ) Los Angeles Clippers (2015 - 2017) 26.397 1.343 19,7 8.668 2.143 6.918 16 Havlicek, John John Havlicek * SF / SG Boston Celtics (1962 - 1978) 26.395 1,270 20.8 10.513 0. Timberwolves (1995 - 2007, 2015 - 2016) Boston Celtics (2007 - 2013) Brooklyn Nets (2013 - 2015) 26.071 1.462 17,8 10.505 174 4.887 18 Inglês, Alex Alex Inglês * SF Milwaukee Bucks (1976 - 1978) Indiana Pacers (1978 - 1980) Denver Nuggets (1980 - 1990) Dallas Mavericks (1990 - 1991) 25.613 1.193 21,5 10.659 18 4.277 19 Anthony, Carmelo Carmelo Anthony ^ SF Denver Nuggets (2003), 2011), York Knick. 2011 - 2017) Oklahoma City Thunder. / SG Los Angeles Lakers (1960 -1974) 25.192 932 27,0 9.016 0 7.160 22 Carter, Vince Vince Carter ^ SG / SF Toronto Raptors (1999 -2004) New Jersey Nets (2004 -2009) Orlando Magic (2009 - -2004) 2010) Phoenix Suns (2010 - 2011) Dallas Mavericks (2011 - 2014) Memphis Grizzlies (2014 - 2017) Sacramento Kings (2017 - presente) 24.850 1.402 17,7 8.984 2.103 4,77 23 23 Ewing, Patrick Patrick Ewing * (1985 -2000) Seattle Supersonics (2000 -2001) Orlando Magic (2001 -2002) 24.815 1.183 21,0 9.702 19 5.392 24 Allen, Ray Ray Allen * SG Milwaukee Bucks (1996 -2003) Seattle Supersonics (2003 - 2007) Boston Celtics (2007 - 2012) Miami Heat (2012 - 2014) 24.505 1.300 18,9 8.567 2.973 4.398 25 Iverson, Allen Allen Iverson * SG / PG Philadelphia 76ers (1996 - 2006, 2009 - 2010) 2006 -- 2008 ) Detroit Pistons ( 2008 -- 2009 ) Memphis Grizzlies ( 2009 )   24,368   914   26.7   8,467   1,059   6,375     26   Barkley , Charles Charles Barkley *   PF   Philadelphia 76ers ( 1984 -- 1992 ) Phoenix Suns ( 1992 -- 1996 ) Houston Rockets (1996 -2000) 23.757 1.073 22,1 8.435 538 6.349 27 Paróquia, Robert Robert Parish * Golden State Warriors (1976 -1980) Boston Celtics (1980 -1994) Charlotte Hornets (1994 -1996) Chicago Bultics (1996 - -1994) 1997) 23.334 1.611 14,5 9.614 0 4,106 28 Dantley, Adrian Adrian Dantley * SF Buffalo Braves (1976 - 1977) Indiana Pacers (1977) Los Angeles Lakers (1977 - 1979) - 1989) Dallas Mavericks (1989- 1990) Milwaukee Bucks (1991) 23.177 955 24,3 8.169 7 6.832 29 Baylor, Elgin Elgin Baylor * SF Minneapolis / Los Angeles Lakers (1958- 1971) 23.149 76 276 276 276 276 276 276 276 276 276 276 276 7. 7. 876 7. 876 276 276 276 7. 7. 876 276 276 276 276 7. 7. 7. 8. , Clyde Clyde Drexler *   SG   Portland Trail Blazers ( 1983 -- 1995 ) Houston Rockets ( 1995 -- 1998 )   22,195   1,086   20.4   8,335   827   4,698     31   Wade , Dwyane Dwyane Wade ^   SG   Miami Heat ( 2003 -- 2016 , 2018 -- present ) Chicago Bulls (2016 -2017) Cleveland Cavaliers (2017 -2018) 22.058 979 22,5 8.028 462 5.540 32 Payton, Gary Gary Payton * PG Seattle Supersonics (1990 -2003) Milwaukee (2003) Los Angeles Lakers (2003 -2003) 2004) Boston Celtics (2004 - 2005) Miami Heat (2005 - 2007) 21.813 1.335 16,3 8.708 1.132 3.265 33 Bird, Larry Bird * SF / PF Boston Celtics (1979 - 1992) 21,791 897.3.3.3.3.3.30, 33 33 33 33 31, 31,791, 897.3.3.3.3.30, 33 33 33 33, Larry Larry Bird * SF / PF Boston Celtics (1979 - 1992) 21.791 897.3.3.3.3.3.3084. , Hal Hal Greer * SG / PG Syracuse Nationals / Philadelphia 76ers (1958 - 1973) 21.586 1.122 19,2 8.504 0 4.578 35 Bellamy, Walt Walt Bellamy * Chicago Packers / Zephyrs / 19615 (19615) - 1968) Detroit Pistons (1968- 1970) Atlanta Hawks (1970- 1974) New Orleans Jazz (1974) 20.941 1.043 20,1 7.914 0 5.113 36 Pettit, Bob Bob Pettit * PF / C Milwaukee / St. Louis Hawks (1954 - 1965) 20.880 792 26,4 7.349 0 6.182 37 Durant, Kevin Kevin Durant ^ SF / SG Seattle Supersonics / Oklahoma City Thunder (2007- 2016) Golden State Warriors (2016- presente) 20.815 767 27,1 7,058 1,425 5. David David Robinson * San Antonio Spurs (1989 - 2003) 20.790 987 21,1 7.365 25 6.035 39 Gasol, Pau Pau Gasol ^ C / PF Memphis Grizzlies (2001 - 2008) Los Angeles Lakers (2008 - 2014) Chicago Bulls (2014 - 2016) San Antonio Spurs (2016- presente) 20.759 1.193 17,4 7.932 172 4.723 40 Gervin, George George Gervin * SG / SF San Antonio Spurs (1976- 1985) Chicago Bulls (1985) 20,708 791.2.2.2.2.285) 77 4.541 41 Richmond, Mitch Mitch Richmond * SG Golden State Warriors (1988 - 1991) Sacramento Kings (1991 - 1998) Washington Wizards (1999 - 2001) Los Angeles Lakers (2001 - 2002) 20.497 976 21,0 7,305 1,326 4,56) 42 Johnson, Joe Joe Johnson ^ SG / SF Boston Celtics (2001 - 2002) Phoenix Suns (2002 - 2005) Atlanta Hawks (2005 - 2012) Brooklyn Nets (2012 - 2016) Miami Heat (2016) Utah Jazz ( 2016 - 2018) Houston Rockets (2018 - presente) 20.386 1.272 16,0 7.815 1.976 2.780 43 Chambers, Tom Tom Chambers PF San Diego Clippers (1981 - 1983) Seattle Supersonics (1983 - 1988) Phoenix Sols (1988 - 1993) ) Utah Jazz (1993 - 1995) Charlotte Hornets (1997) Philadelphia 76ers (1997) 20.049 1.107 18,1 7.378 227 5.066 44 Jamison, Antawn Jamison PF / SF Golden Warriors (1999 - 2003) Dallas Mawn Mawn ) Washington Wizards (2004 - 2010) Cleveland Cavaliers (2010 - 2012) Los Angeles Lakers (2012 - 2013) Los Angeles Clippers (2013 - 2014) 20.042 1.083 18,5 7.679 1.163 3.521 45 Stockton, John Stockton * Pg Utah Jazz (1984 - 2003) 19.711 1.504 13,1 7.039 845 4.788 46 King, Bernard Bernard King * SF New Jersey Nets (1977 - 1979, 1993) Utah Jazz (1979) Golden State Warriors (1980 - 1982) New York Knicks ( 1982 - 1985, 1987) Washington Bullets (1987 - 1991) 19.655 874 22,5 7.830 23 3,972 47 Robinson, Clifford Clifford Robinson PF / SF Portland Trail Blazers (1989 - 1997) 2001 - 2003) Golden State Warriors (2003 - 2005) New Jersey Nets (2005 - 2007) 19.591 1.380 14,2 7.389 1.253 3.560 48 Davis, Walter Walter Davis SG / SF Phoenix Suns (1977 - 1988) Denvers Nugs (1988) - 1991. San Antonio Spurs (1989 - 1995) Seattle Supersonics (1996 - 1997) Philadelphia 76ers (1997 - 1998) New York Knicks (1998) Golden State Warriors (1999 - 2000) 19.460 1.183 16,4 8.045 44 3,326 50 LANIER Bob Lanier * Detroit Pistons (1970 - 1980) Milwaukee Bucks (1980 - 1984) 19.248 959 20.1 7.761 3.724</v>
      </c>
    </row>
    <row r="20" customFormat="false" ht="13.8" hidden="false" customHeight="false" outlineLevel="0" collapsed="false">
      <c r="A20" s="3" t="n">
        <v>17</v>
      </c>
      <c r="B20" s="5" t="s">
        <v>56</v>
      </c>
      <c r="C20" s="5" t="s">
        <v>57</v>
      </c>
      <c r="D20" s="5" t="s">
        <v>58</v>
      </c>
      <c r="E20" s="4" t="str">
        <f aca="false">IFERROR(__xludf.dummyfunction("GOOGLETRANSLATE(C21)"),"onde está uma georgia oculta a permissão de transporte válida")</f>
        <v>onde está uma georgia oculta a permissão de transporte válida</v>
      </c>
      <c r="F20" s="5" t="str">
        <f aca="false">IFERROR(__xludf.dummyfunction("GOOGLETRANSLATE(D20)"),"   Não . No. no título da temporada, dirigido por escrito pelos telespectadores originais da data do ar (milhões) 112 `` The Salvador '' Eagle Egilsson Edward Kitsis &amp; Adam Horowitz 25 de setembro de 2016 (2016 - 09 - 25) 3.99 No passado, Aladdin, Um `` S"&amp;"alvador '', é provocado por Jafar sobre a inevitável queda de todos os salvadores. Em Storybrooke, os refugiados chegam da terra de histórias não contadas. Emma experimenta tremores e visões; Um Hyde preso a ajuda a receber a visão de uma figura com capuz"&amp;" de uma figura encapuzada. Guiado por Morfeu, o ouro entra nos sonhos de Belle para levantar a maldição para dormir; Ele tenta renovar seu amor, mas ela o rejeita. `` Morfeu '' revela que ele é realmente o filho não nascido e desejou esse resultado. Belle"&amp;" acorda e deixa ouro. Henry convence Regina que Hades pode ter mentido sobre a alma de Robin Hood ter sido destruída. Zelena se muda com Regina, mas, depois de saber que sua irmã a culpa pela morte de Robin Hood, sai e é abordada pela rainha do mal. 113 `"&amp;"` a amargo Draft '' Ron Underwood Andrew Chambliss &amp; Dana Horgan 2 de outubro de 2016 (2016 - 10 - 02) 3,72 No passado na floresta encantada, a rainha maligna oferece para ajudar na plotagem de vingança de Edmond Dantes, o conde de Monte Cristo, se ele ma"&amp;"ta Snow e David. Quando ele se apaixona por Snow's Handmaiden, ele renega e foge com ela até a terra de histórias não contadas para salvá -la de veneno. Em Storybrooke, a rainha do mal recruta Zelena e usa o coração de Edmond para colocá -lo contra Snow e"&amp;" David; Regina mata Edmond para salvar os outros e percebe que mantém a capacidade de escuridão. A rainha do mal declara que as `` histórias 'incontroláveis' indesejadas serão reproduzidas. Ela dá evidências de David de que a morte de seu pai não foi acid"&amp;"ental. Belle vive no navio de Hook; Em um acordo com o ouro, a rainha do mal não vai prejudicar ela ou o bebê. Emma conta a Archie sobre suas visões e observa que Regina não está presente nelas e pode ser a figura com capuz. 114 `` The Other Shoe '' Steve"&amp;" Pearlman Jane Espenson e Jerome Schwartz 9 de outubro de 2016 (2016 - 10 - 09) 4.11 No passado na floresta encantada, Cinderela conhece o príncipe Thomas na bola, mas foge quando ela acredita que ele ama sua irmã stedra Clorinda; Clorinda realmente plane"&amp;"ja fugir com o lasão de Thomas, Jacob, mas sua mãe, Lady Tremaine, a seqüestra na terra de histórias não contadas depois de forçar a Cinderela a trair a localização de Clorinda. Em Storybrooke, Ashley espera se reconciliar com Clorinda. Ajudado pela rainh"&amp;"a maligna, Tremaine atrai Ashley em uma armadilha para ela e Jacob. Ashley protege Jacob; Clorinda se reúne com ele e perdoa a Cinderela, enquanto Tremaine é preso. Emma luta para controlar sua magia. A baleia ajuda Jekyll a recriar seu soro, enquanto a r"&amp;"ainha e o maluco e a Hyde formam uma aliança e ela o libera. Branca de neve quer normalidade, mas Davi secretamente investiga a morte de seu pai; O ouro fornece informações em troca de David entregando uma mensagem a Belle. 115 `` Caso Estranho '' Alrick "&amp;"Riley David H. Goodman &amp; Nelson Soler 16 de outubro de 2016 (2016 - 10 - 16) 3,53 No passado na Inglaterra vitoriana, Jekyll pede a Academia de Ciência para a associação, mas o Dr. Lydgate o rejeita. Rumplestiltskin chega e magicamente aperfeiçoa o soro d"&amp;"e Jekyll; Jekyll se transforma em Hyde, que chantageia Lydgate para a associação de Jekyll. Mary é filha de Lydgate e o amor não correspondido de Jekyll; Ela e Hyde se apaixonam. Jekyll acidentalmente defene a Mary; Ele enquadra Hyde. Em Storybrooke, o ou"&amp;"ro aprisiona Belle no navio para protegê -la de Hyde; Mas é Jekyll quem tenta matar Belle em vingança pelo papel de Rumplestiltskin na morte de Mary. Hook salva Belle matando Jekyll e Hyde morre de feridas idênticas; Regina pede a Emma que a mate, se nece"&amp;"ssário, para parar a rainha do mal. Gold adverte Belle que seu filho precisará de sua proteção. Mary Margaret retoma o ensino, e sua assistente Shirin a inspira a desenhar sua vida como neve. Shirin é secretamente a princesa Jasmine, trabalhando com o Ora"&amp;"cle para procurar Aladdin. 116 5 `` Ratos da rua '' Norman Buckley Edward Kitsis &amp; Adam Horowitz 23 de outubro de 2016 (2016 - 10 - 23) 3,40 No passado em Agrabah, Aladdin busca uma arma mágica para jasmim, para salvar o reino de Jafar; Ele é a arma e um "&amp;"salvador. Jafar tentam Aladdin com tesouras mágicas que podem separá -lo de seu destino como salvador e de sua morte resultante. Aladdin rejeita Jafar e salva Jasmine. Em Storybrooke, o Oracle é assassinado. Emma ajuda Jasmine, esperando que a sobrevivênc"&amp;"ia de Aladdin garanta a sua. Tendo fingido sua morte, Aladdin se revela a Emma e confessa que ele condenou Agrabah usando as tesouras, que ele lhe dá; Ela pede a Hook para descartá -los, mas ele secretamente os mantém. A rainha do mal representa Archie a "&amp;"aprender sobre as visões de Emma e convence Zelena a transformar Archie de volta em um críquete. 117 6 `` Dark Waters '' Robert Duncan Andrew Chambliss &amp; Brigitte Hales 30 de outubro de 2016 (2016 - 10 - 30) 3,06 Durante a maldição escura, o capitão Nemo "&amp;"seqüestra o gancho e o convida a se juntar à tripulação `` Família '' Submarino, Nautilus, em sua busca pela `` ilha misteriosa '', que é a terra de histórias não contadas. Hook descobre que o primeiro companheiro é o seu meio -irmão, Liam, e decide sair "&amp;"para evitar o confronto; Mas Liam o ataca, em vez de ferir mortalmente Nemo, que entra. No presente, Archie é libertado. Henry confronta o gancho sobre as tesouras, e Liam os aprisiona em Nautilus. Hook se abre e Henry o aceita como família; Eles se salva"&amp;"m e descartam as tesouras. A medicina moderna salva Nemo; Ele, Liam e Hook fazem as pazes. Emma e Aladdin discutem ser um salvador. Jasmine revela que Agrabah desapareceu. Snow apóia Belle em seu ultrassom. A rainha do mal seduz ouro e oferece as tesouras"&amp;" recuperadas em troca de ajuda para tomar o coração de Snow. 118 7 `` Heartless '' Ralph Hemecker Jane Espenson 6 de novembro de 2016 (2016 - 11 - 06) 3,56 No passado, a neve fugitiva e o pastor David viajam separadamente para Longbourn; Ela para fugir do"&amp;" reino e ele para vender sua fazenda em dificuldades. Sem nunca ver os rostos um do outro, David salva a neve de um caçador de recompensas e ela o paga com dinheiro para salvar a fazenda, decidindo não fugir. Suas mãos tocam e uma muda mágica é criada. No"&amp;" presente, a rainha maligna ameaça destruir Storybrooke com a água do rio das almas perdidas, a menos que Mary Margaret e David entregam seus corações. Eles aprendem que a muda pode impedir a rainha, que a destrói logo após encontrar. Mas isso lhes mostro"&amp;"u sua reunião anterior e eles concluem que seu amor pode suportar qualquer coisa; Eles se rendem. A rainha lança uma maldição para dormir em seus corações; Como eles compartilham o coração de Snow, a maldição afeta os dois; Cada um pode acordar o outro, m"&amp;"as imediatamente sucumbe à maldição, para que nunca possam estar acordados juntos. Regina usa o relacionamento de Gold com a rainha para separar o último de Zelena, que ganha a inimizade do ouro ao expor seus esquemas a Belle. 119 8 `` eu 'eu serei seu es"&amp;"pelho' 'Jennifer Lynch Jerome Schwartz e Leah Fong 13 de novembro de 2016 (2016 - 11 - 13) 3.40 Regina e Emma tentam prender magicamente a rainha maligna do mundo atrás do espelho, mas ela Prende -os lá, onde o dragão já está preso. Henry se prepara para "&amp;"uma data com Violet; A rainha representa Regina e tenta manipulá -lo, mas ele a reconhece. Emma e Regina Discover Sidney estavam construindo um portal espelho para fora do mundo e tentam terminar, mas a rainha do mal força o dragão a atacar Emma e Regina,"&amp;" usando seu coração, e tenta fazer Henry matar o dragão com o martelo de Hephestus ; Em vez disso, ele o usa para libertar suas mães. Mary Margaret e David se ajustam a viver em turnos. Belle pede a Zelena para ajudá -la a escapar do Storybrooke via porta"&amp;"l mágico e eles formam uma aliança com Aladdin e Jasmine. Aladdin rouba a lâmpada do Genie e a varinha do feiticeiro da loja de ouro, mas o ouro pega a varinha de Zelena e coloca um dispositivo de rastreamento mágico em Belle. Ele pede à rainha que mate Z"&amp;"elena, pois a conexão entre os corações dele e de Zelena a protege dele. 120 9 `` Changelings '' Mairzee Almas David H. Goodman e Brian Ridings 27 de novembro de 2016 (2016 - 11 - 27) 3,28 na floresta encantada, enquanto servidos por Belle, Rumplestiltski"&amp;"n sequestra um bebê para usar como isca para a fada negra , a mãe que o abandonou; Ela escapa sem responder às perguntas dele. No presente, Belle recebe conselhos de seu filho ainda não nascido, enquanto o ouro se torna cada vez mais desequilibrado. Resse"&amp;"ntindo a ordem de Gold para atacar Zelena, a rainha do mal acelera a gravidez de Belle; Mãe Superior entrega o filho de Belle, Gideon, e o envia para se esconder; O ouro promete encontrá -lo. Quando o gênio foi libertado, Aladdin toma seu lugar. Zelena e "&amp;"Regina continuam a brigar. Emma obtém a espada de sua visão. 121 10 `` Gostaria que você estivesse aqui '' Ron Underwood Edward Kitsis &amp; Adam Horowitz 4 de dezembro de 2016 (2016 - 12 - 04) 3.27 The Black Fairy seqüestros Gideon. Emma descobre que a espad"&amp;"a pode matar a rainha do mal sem machucar Regina. A rainha rouba a lâmpada e deseja Emma a uma realidade alternativa onde ela nunca foi o Salvador; Regina a segue. David e seus aliados pegam a lâmpada da rainha, que é transformada em serpente pela figura "&amp;"com capuz, revelou -se o adulto Gideon. Jasmine deseja a si mesma e Aladdin a Agrabah. No `` Wish Realm '', Emma vive como uma princesa até Regina restaurar traumaticamente sua memória. Regina libera Rumplestiltskin em troca de um feijão mágico, mas o por"&amp;"tal para Storybrooke fecha enquanto Regina é distraída pela aparência de Robin Hood. 122 11 `` mais difícil que o resto '' Billy Gierhart Edward Kitsis &amp; Adam Horowitz 5 de março de 2017 (2017 - 03 - 05) 3.03 Em 1990, Minnesota, uma jovem Emma é informada"&amp;" por um adolescente que ela tem o poder de mudar seu destino . Nos dias atuais, depois que eles perdem a saída do reino do desejo, Emma e Regina encontram outra opção de fuga quando se deparam com agosto, que concorda em ajudar a criar um novo portal. Reg"&amp;"ina vai encontrar Robin Hood para ver se ele estava melhor sem ela. Depois que Regina encontra Robin, eles são capturados pelo xerife de Nottingham e mais tarde pelo Reino do Wish Rumple. Robin acredita em Regina quando ela diz a ele sobre o fato de estar"&amp;"em em uma realidade alternativa. Emma descobre que agosto era a adolescente que conheceu em Minnesota e o inspira a completar o portal. Emma, ​​Regina e Robin retornam a Storybrooke, onde Gideon explica a ouro e belle sua intenção de matar Emma para que e"&amp;"le possa adquirir seus poderes salvadores e matar a fada negra, um movimento que tem David Furious e Belle em questão. Emma e Gideon finalmente se encontram para a batalha, mas Emma sobrevive, escolhendo seu próprio destino. Gideon se retira, proclamando "&amp;"isso longe de terminar. Gold e Belle decidem trabalhar juntos para o bem de seu filho. 123 12 `` assassinato mais falta '' Morgan Beggs Jerome Schwartz e Jane Espenson 12 de março de 2017 (2017 - 03 - 12) 3.06 Os eventos de como Robert, o pai de David e J"&amp;"ames, foi assassinado. Que Robert aprende o que aconteceu com James depois de fugir do rei George. Com a ajuda de Rumple, ele o rastreia para a ilha de prazer, mas sua reunião é interrompida pelo rei George, que ordena a execução de Robert. Sua morte afet"&amp;"a David nos dias atuais, depois que ele vê visões de Robert e pede a Hook para ajudá -lo, apesar de ser reformado. Quando Hook fica preocupado com o fato de David estar levando essa investigação longe demais indo atrás de Albert, ele intervém e traz David"&amp;" de volta à sanidade. Hook também está preocupado se David lhe dará sua bênção para se casar com Emma, ​​mas David faz. Enquanto isso, Regina tenta fazer o Wish Realm Robin assimilado em Storybrooke, mas logo questiona por que ele concordou em segui -la, "&amp;"pois acontece que ele tinha algo mais planejado depois de roubar um baú do cofre. A verdade sobre quem realmente assassinou Robert é revelado quando agosto dá a Hook Páginas que ele tirou do livro de Henry. Quando Hook vê uma ilustração do pai de David, e"&amp;"le o reconhece e se lembra de assassiná -lo durante um assalto na floresta encantada, para que não houvesse testemunha de seu crime. 124 13 `` doente - padrões de corpo '' Ron Underwood Andrew Chambliss &amp; Dana Horgan 19 de março de 2017 (2017 - 03 - 19) 2"&amp;".71 Durante a primeira guerra de Ogros, Beowulf lidera uma acusação assustadora no campo de batalha na floresta encantada da antiga. Depois que todo soldado foi morto, Beowulf se rende à morte, assim como Rumplestiltskin intervém, matando todos os ogros. "&amp;"Aclamado como um herói na vila, Beowulf está irritado com o novo título de Rumple. Ele cria um ardil para levar Rumple à sua morte. Temendo que ele não seria capaz de seguir adiante ao proteger os moradores sem magia negra, Rumple concede sua adaga a Bael"&amp;"fire como uma apólice de seguro. Após uma troca turbulenta e ameaça para enquadrar Rumplestiltskin como assassino, Beowulf retira. Sentindo a pressão de sua ameaça, Bae ordena que seu pai o mate. Mais tarde, Rumple doses Bae com uma poção de memória para "&amp;"apagar a provação de sua mente e restaurar sua inocência. Em Storybrooke, Rumple reconhece um padrão familiar em Gideon, que faz progressos em sua busca para matar Emma Swan à custa da vitalidade da Blue Fairy. Hook se preocupa com as repercussões de dize"&amp;"r a Emma seu segredo recém -revelado. Enquanto isso, Emma, ​​sem saber, força uma proposta depois de acontecer no anel de noivado de Hook. Robin of Locksley tenta fugir da cidade, mas sem sucesso. A rainha do mal escapa de seu confinamento reptiliano e do"&amp;"utrina Robin. 125 14 `` Página 23 '' Kate Woods David H. Goodman &amp; Brigitte Hales 26 de março de 2017 (2017 - 03 - 26) 2,85 Na floresta encantada, a rainha do mal está em busca de um feitiço que a ajudará a acabar Para sempre, mas seu pai tem amor em ment"&amp;"e pela filha e a leva em uma busca à flecha de Cupid. No entanto, a rainha do mal rebraia a flecha para seguir o ódio e descobre que a pessoa que ela mais despreza é ela mesma. Em Storybrooke, a rainha e Regina do mal enfrentam um confronto final. Quando "&amp;"Regina vence a vantagem, ela se lembra do auto -tiro da rainha do mal e divide uniformemente a luz e a escuridão em seus corações, para compartilhar seu amor e ódio e permitir que a rainha do mal se reformasse. Depois que Emma diminui o noivado, Hook deci"&amp;"de embarcar no Nautilus com o capitão Nemo. Hook mais tarde muda de idéia após uma conversa com a neve, mas, antes que ele possa voltar, Gideon seqüestra o navio e a envia de Storybrooke. 126 15 `` Um lugar maravilhoso '' Steve Pearlman Jane Espenson &amp; Je"&amp;"rome Schwartz 2 de abril de 2017 (2017 - 04 - 02) 2,80 Perto para a esperança, Regina sugere uma `` Night 'Night Out' 'para Emma com ela e Neve . Enquanto estava no bar, ela confia no mixologista e derrama uma lágrima. Enquanto isso, o Nautilus é transpor"&amp;"tado para a floresta encantada, onde Aladdin e Jasmine Board. Eles ainda precisam localizar Agrabah e estão se cansando. Depois de Hook e Jasmine confiam um ao outro, o navio é irrevogavelmente danificado e Jasmine usa um Genie deseja realocar o grupo par"&amp;"a a ilha onde Jafar está localizado. Eles descobrem uma cabana pertencente a Ariel e ao príncipe Eric. Ariel coletou uma lâmpada de gênio que abriga Jafar. Jasmine é capaz de influenciá -lo a divulgar a localização do Agrabah escondido antes de derrotá -l"&amp;"o com poeira mágica. Através do beijo de True Love, Aladdin e Jasmine, juntamente com Hook e Ariel, são transportados para a cidade restaurada e a maldição de Genie de Aladdin está quebrada. Ariel fornece gancho com um meio de chegar a Emma. Emma recebe a"&amp;" mensagem e Gideon, que não se disfarçam mais de mixologista, ameaça que ele use suas lágrimas para impedir Hook de voltar para Storybrooke, a menos que ela o ajude a matar a fada negra. Flashbacks para o primeiro encontro de Ariel e Jasmine mostram a pri"&amp;"ncesa Falter sob os truques de Jafar. 127 16 `` Mãe 'SO Little Helper' 'Billy Gierhart História de: Edward Kitsis e Adam Horowitz Teleplay por: Paul Karp 9 de abril de 2017 (2017 - 04 - 09) 2.60 em Storybrooke, Gold revela a Emma e Snow que o preto Fairy "&amp;"é sua mãe e que o elenco de maldição escura Regina foi criada pela fada negra. Emma concorda em ajudar Gideon a matar a fada negra, mas é dupla - cruzada por Gideon e deixou para morrer nas mãos de uma aranha gigante. Gideon abre um portal com a espada, p"&amp;"ermitindo que a fada negra entre em Storybrooke. Enquanto isso, na floresta encantada, Hook apostou no Jolly Roger por um feijão mágico em um jogo de cartas com Barba Negra. À medida que o Barba Negra e o gancho passam pelo portal, ele se dirige graças a "&amp;"Gideon e a dupla acaba em Neverland, na corrida dos remanescentes dos meninos perdidos de Peter Pan. De volta a Storybrooke, Henry experimenta uma mudança desorientadora em seus poderes de autor, então ele e Regina procuram ajuda da única pessoa que pode "&amp;"ajudá -los: o autor anterior, Isaac. Isaac revela a Regina e Henry que estão chegando ao fim da história em que o Salvador deve travar a batalha final. Os flashbacks revelam os abusos que a fada negra infligiu a Gideon e que a fada negra arrancou o coraçã"&amp;"o de Gideon e o está controlando para matar Emma. 128 17 `` acordado '' Sharat Raju Andrew Chambliss &amp; Leah Fong 16 de abril de 2017 (2017 - 04 - 16) 2.51 Regina trabalha febrilmente para acordar neve e encantador a partir da maldição do sono. O ouro fica"&amp;" cara a cara com a fada negra, o poderoso inimigo Emma deve lutar na batalha final. Hook, ainda em Neverland, se encontra com Tiger Lily, que lhe dá um pedaço de uma varinha de fada antiga para ajudar Emma a derrotar a fada negra. Gold confronta a fada ne"&amp;"gra sobre seu manipulação de Gideon com seu coração e ela sustenta que Storybrooke seria destruído se os dois lutassem. Uma flor de pixie permite que Emma abra uma porta para Neverland e Rescue Hook, que então reprova corretamente. Os habitantes da cidade"&amp;" se reúnem em torno dos pais adormecidos de Emma e cada uma das pequenas quantidades da maldição do sono para si mesma, diluindo -a e permitindo que a neve e Davi finalmente se reúnam. Em 1993, uma flor de pixie desperta neve e encantador de si mesmos ama"&amp;"ldiçoados, mas um Rumplestiltskin despertado diz que deve tomar uma decisão difícil de garantir que Emma cumpra seu destino como Salvador. 129 18 `` Onde os pássaros azuis voam '' Michael Schultz David H. Goodman &amp; Brigitte Hales 23 de abril de 2017 (2017"&amp;" - 04 - 23) 2.69 No passado de Zelena, seu amigo de infância Stanum pede sua ajuda para encontrar o coração carmesim Um artefato mágico que seria capaz de restaurar sua forma humana depois de ter sido amaldiçoado pela bruxa perversa do norte para se trans"&amp;"formar lentamente em lata. A recusa de Zelena em desistir de sua mágica leva ao seu Stanum traindo, enquanto ela mantém o coração e o deixa para se tornar o homem de lata. No presente, a fada negra tenta Zelena com uma oferta para se juntar a ela, apenas "&amp;"para que Zelena se opusesse a ela. Regina é trazida para o caos tentando parar sua irmã e eles encontram a fada negra e Gideon nas minas de cristal, com a fada negra enganando Zelena a utilizar sua magia escura instável para fortalecê -la para a batalha f"&amp;"inal. Percebendo que não há mais nada para suas costas em Oz, Zelena decide ajudar os moradores a lutar contra a fada negra usando o coração carmesim para desistir de sua magia, desfazendo a bagunça que ela fez nas minas. Emma então usa sua magia e um dos"&amp;" cristais para tirar a mãe superior de seu coma com alguma ajuda de Regina e Zelena. 130 19 `` The Black Fairy '' Alrick Riley Jerome Schwartz e Dana Horgan 30 de abril de 2017 (2017 - 04 - 30) 3.05 A origem do verdadeiro destino de Rumplestiltskin é reve"&amp;"lado Lily que ele estava destinado a se tornar o Salvador. Quando Fiona teme para o filho e escolhe o poder sobre proteger Rumple, isso resulta em que ela se torne a fada negra e a fada azul que a bania para o reino escuro. No presente, enquanto todos pro"&amp;"curam a varinha desaparecida, Gold leva Gideon e Emma ao mundo dos sonhos para procurar o coração de Gideon, onde os eventos dos flashbacks se desenrolam. Gold então confronta Fiona, mas ela revela a verdadeira razão por trás de que ele foi abandonado. Ma"&amp;"is tarde, Gold recupera o coração de Gideon e diz a todos que a fada negra está morta, abrindo caminho para o casamento de Emma e Hook. No entanto, Gold e Fiona fazem um acordo que verá a batalha final, com Emma sendo o salvador que lutará nela. Enquanto "&amp;"isso, Regina ajuda Zelena a se ajustar à vida sem seus poderes. 131 20 `` The Song in Your Heart '' Ron Underwood David H. Goodman e Andrew Chambliss 7 de maio de 2017 (2017 - 05 - 07) 2.87 No passado, a neve faz um desejo que concede toda a floresta enca"&amp;"ntada a capacidade de usar O presente da música como força, que também se espalha para Oz. Quando Regina é afetada pelo desejo, ela encontra uma maneira de acabar com isso antes que a primeira maldição ocorra, mas a fada azul, que concedeu a Snow the Wish"&amp;", diz a Snow e David que o desejo fará parte do destino de Emma. No passado de Emma, ​​sua chance de fazer uso de seu talento é retida ao saber que ela ficará sozinha. Isso voltaria a provocar Emma nos dias atuais, enquanto Fiona retorna para usar essa fr"&amp;"aqueza para levar o coração de Emma antes de liberar uma nova maldição no dia do casamento, com a ajuda do ouro congelando sua família. Quando Henry descobrir a página do livro que revela a música no coração de Emma a tornará mais forte, não apenas encora"&amp;"ja Emma, ​​mas também impede Fiona de esmagar seu coração, mas Fiona ainda diz a Emma que a batalha continuará. No dia do casamento, Emma e Hook finalmente se casam, bem a tempo das nuvens escuras da maldição da Black Fairy para irromper da torre do relóg"&amp;"io e as engolir às 18:00, montando a batalha final. 132 133 21 22 22 `` A batalha final '' Steve Pearlman Ralph Hemecker Edward Kitsis &amp; Adam Horowitz 14 de maio de 2017 (2017 - 05 - 14) 2.95 A maldição de Fiona altera o storybrooke, institucionalizando a"&amp;" Emma e deixando apenas Henry e ouro `` despertar , '' Enquanto envia outros aliados de Emma para seus reinos domésticos. A batalha final começa sobre a crença de Emma; Se ela parar de acreditar nos reinos da história, eles serão consumidos pela escuridão"&amp;" e deixarão de existir. Se todos os reinos forem destruídos, Fiona ganharia poderes desmarcados e seria capaz de quebrar as leis da magia à vontade. Na floresta encantada, os personagens banidos se reúnem no castelo de Regina; David e Hook obtêm um feijão"&amp;" mágico e a rainha do mal se sacrifica, impedindo a escuridão para adiar a destruição do grupo. Fiona convence Emma a destruir o livro, mas Henry Hand - desenha um que restaura sua crença a tempo de salvar todos no castelo. O ouro mata Fiona, que escondeu"&amp;" Belle e a transformou em um covarde; Isso quebra a maldição, que restaura as memórias de todos e os reunia em Storybrooke. No entanto, Gideon ainda está sob ordens para matar Emma. O ouro tenta libertar o coração de Gideon; No entanto, um feitiço lançado"&amp;" pela fada negra o impede de fazê -lo. Emma deita sua espada, permitindo que Gideon a empalba; Isso libera a magia leve de Emma e termina a batalha. Com o ouro e Emma tendo escolhido o bem, Gideon é devolvido à infância e os reinos são restaurados, e aque"&amp;"les que morreram na crise são revividos. Os personagens embarcam em seus `` felizes felizes. “Muitos anos depois, na nova floresta encantada, um adulto Henry desaparece enquanto defendia sua filha Lucy de uma entidade não identificada. Guiado por Tiger Li"&amp;"ly, Lucy viaja para Seattle, onde Henry não se lembra mais dela.")</f>
        <v>   Não . No. no título da temporada, dirigido por escrito pelos telespectadores originais da data do ar (milhões) 112 `` The Salvador '' Eagle Egilsson Edward Kitsis &amp; Adam Horowitz 25 de setembro de 2016 (2016 - 09 - 25) 3.99 No passado, Aladdin, Um `` Salvador '', é provocado por Jafar sobre a inevitável queda de todos os salvadores. Em Storybrooke, os refugiados chegam da terra de histórias não contadas. Emma experimenta tremores e visões; Um Hyde preso a ajuda a receber a visão de uma figura com capuz de uma figura encapuzada. Guiado por Morfeu, o ouro entra nos sonhos de Belle para levantar a maldição para dormir; Ele tenta renovar seu amor, mas ela o rejeita. `` Morfeu '' revela que ele é realmente o filho não nascido e desejou esse resultado. Belle acorda e deixa ouro. Henry convence Regina que Hades pode ter mentido sobre a alma de Robin Hood ter sido destruída. Zelena se muda com Regina, mas, depois de saber que sua irmã a culpa pela morte de Robin Hood, sai e é abordada pela rainha do mal. 113 `` a amargo Draft '' Ron Underwood Andrew Chambliss &amp; Dana Horgan 2 de outubro de 2016 (2016 - 10 - 02) 3,72 No passado na floresta encantada, a rainha maligna oferece para ajudar na plotagem de vingança de Edmond Dantes, o conde de Monte Cristo, se ele mata Snow e David. Quando ele se apaixona por Snow's Handmaiden, ele renega e foge com ela até a terra de histórias não contadas para salvá -la de veneno. Em Storybrooke, a rainha do mal recruta Zelena e usa o coração de Edmond para colocá -lo contra Snow e David; Regina mata Edmond para salvar os outros e percebe que mantém a capacidade de escuridão. A rainha do mal declara que as `` histórias 'incontroláveis' indesejadas serão reproduzidas. Ela dá evidências de David de que a morte de seu pai não foi acidental. Belle vive no navio de Hook; Em um acordo com o ouro, a rainha do mal não vai prejudicar ela ou o bebê. Emma conta a Archie sobre suas visões e observa que Regina não está presente nelas e pode ser a figura com capuz. 114 `` The Other Shoe '' Steve Pearlman Jane Espenson e Jerome Schwartz 9 de outubro de 2016 (2016 - 10 - 09) 4.11 No passado na floresta encantada, Cinderela conhece o príncipe Thomas na bola, mas foge quando ela acredita que ele ama sua irmã stedra Clorinda; Clorinda realmente planeja fugir com o lasão de Thomas, Jacob, mas sua mãe, Lady Tremaine, a seqüestra na terra de histórias não contadas depois de forçar a Cinderela a trair a localização de Clorinda. Em Storybrooke, Ashley espera se reconciliar com Clorinda. Ajudado pela rainha maligna, Tremaine atrai Ashley em uma armadilha para ela e Jacob. Ashley protege Jacob; Clorinda se reúne com ele e perdoa a Cinderela, enquanto Tremaine é preso. Emma luta para controlar sua magia. A baleia ajuda Jekyll a recriar seu soro, enquanto a rainha e o maluco e a Hyde formam uma aliança e ela o libera. Branca de neve quer normalidade, mas Davi secretamente investiga a morte de seu pai; O ouro fornece informações em troca de David entregando uma mensagem a Belle. 115 `` Caso Estranho '' Alrick Riley David H. Goodman &amp; Nelson Soler 16 de outubro de 2016 (2016 - 10 - 16) 3,53 No passado na Inglaterra vitoriana, Jekyll pede a Academia de Ciência para a associação, mas o Dr. Lydgate o rejeita. Rumplestiltskin chega e magicamente aperfeiçoa o soro de Jekyll; Jekyll se transforma em Hyde, que chantageia Lydgate para a associação de Jekyll. Mary é filha de Lydgate e o amor não correspondido de Jekyll; Ela e Hyde se apaixonam. Jekyll acidentalmente defene a Mary; Ele enquadra Hyde. Em Storybrooke, o ouro aprisiona Belle no navio para protegê -la de Hyde; Mas é Jekyll quem tenta matar Belle em vingança pelo papel de Rumplestiltskin na morte de Mary. Hook salva Belle matando Jekyll e Hyde morre de feridas idênticas; Regina pede a Emma que a mate, se necessário, para parar a rainha do mal. Gold adverte Belle que seu filho precisará de sua proteção. Mary Margaret retoma o ensino, e sua assistente Shirin a inspira a desenhar sua vida como neve. Shirin é secretamente a princesa Jasmine, trabalhando com o Oracle para procurar Aladdin. 116 5 `` Ratos da rua '' Norman Buckley Edward Kitsis &amp; Adam Horowitz 23 de outubro de 2016 (2016 - 10 - 23) 3,40 No passado em Agrabah, Aladdin busca uma arma mágica para jasmim, para salvar o reino de Jafar; Ele é a arma e um salvador. Jafar tentam Aladdin com tesouras mágicas que podem separá -lo de seu destino como salvador e de sua morte resultante. Aladdin rejeita Jafar e salva Jasmine. Em Storybrooke, o Oracle é assassinado. Emma ajuda Jasmine, esperando que a sobrevivência de Aladdin garanta a sua. Tendo fingido sua morte, Aladdin se revela a Emma e confessa que ele condenou Agrabah usando as tesouras, que ele lhe dá; Ela pede a Hook para descartá -los, mas ele secretamente os mantém. A rainha do mal representa Archie a aprender sobre as visões de Emma e convence Zelena a transformar Archie de volta em um críquete. 117 6 `` Dark Waters '' Robert Duncan Andrew Chambliss &amp; Brigitte Hales 30 de outubro de 2016 (2016 - 10 - 30) 3,06 Durante a maldição escura, o capitão Nemo seqüestra o gancho e o convida a se juntar à tripulação `` Família '' Submarino, Nautilus, em sua busca pela `` ilha misteriosa '', que é a terra de histórias não contadas. Hook descobre que o primeiro companheiro é o seu meio -irmão, Liam, e decide sair para evitar o confronto; Mas Liam o ataca, em vez de ferir mortalmente Nemo, que entra. No presente, Archie é libertado. Henry confronta o gancho sobre as tesouras, e Liam os aprisiona em Nautilus. Hook se abre e Henry o aceita como família; Eles se salvam e descartam as tesouras. A medicina moderna salva Nemo; Ele, Liam e Hook fazem as pazes. Emma e Aladdin discutem ser um salvador. Jasmine revela que Agrabah desapareceu. Snow apóia Belle em seu ultrassom. A rainha do mal seduz ouro e oferece as tesouras recuperadas em troca de ajuda para tomar o coração de Snow. 118 7 `` Heartless '' Ralph Hemecker Jane Espenson 6 de novembro de 2016 (2016 - 11 - 06) 3,56 No passado, a neve fugitiva e o pastor David viajam separadamente para Longbourn; Ela para fugir do reino e ele para vender sua fazenda em dificuldades. Sem nunca ver os rostos um do outro, David salva a neve de um caçador de recompensas e ela o paga com dinheiro para salvar a fazenda, decidindo não fugir. Suas mãos tocam e uma muda mágica é criada. No presente, a rainha maligna ameaça destruir Storybrooke com a água do rio das almas perdidas, a menos que Mary Margaret e David entregam seus corações. Eles aprendem que a muda pode impedir a rainha, que a destrói logo após encontrar. Mas isso lhes mostrou sua reunião anterior e eles concluem que seu amor pode suportar qualquer coisa; Eles se rendem. A rainha lança uma maldição para dormir em seus corações; Como eles compartilham o coração de Snow, a maldição afeta os dois; Cada um pode acordar o outro, mas imediatamente sucumbe à maldição, para que nunca possam estar acordados juntos. Regina usa o relacionamento de Gold com a rainha para separar o último de Zelena, que ganha a inimizade do ouro ao expor seus esquemas a Belle. 119 8 `` eu 'eu serei seu espelho' 'Jennifer Lynch Jerome Schwartz e Leah Fong 13 de novembro de 2016 (2016 - 11 - 13) 3.40 Regina e Emma tentam prender magicamente a rainha maligna do mundo atrás do espelho, mas ela Prende -os lá, onde o dragão já está preso. Henry se prepara para uma data com Violet; A rainha representa Regina e tenta manipulá -lo, mas ele a reconhece. Emma e Regina Discover Sidney estavam construindo um portal espelho para fora do mundo e tentam terminar, mas a rainha do mal força o dragão a atacar Emma e Regina, usando seu coração, e tenta fazer Henry matar o dragão com o martelo de Hephestus ; Em vez disso, ele o usa para libertar suas mães. Mary Margaret e David se ajustam a viver em turnos. Belle pede a Zelena para ajudá -la a escapar do Storybrooke via portal mágico e eles formam uma aliança com Aladdin e Jasmine. Aladdin rouba a lâmpada do Genie e a varinha do feiticeiro da loja de ouro, mas o ouro pega a varinha de Zelena e coloca um dispositivo de rastreamento mágico em Belle. Ele pede à rainha que mate Zelena, pois a conexão entre os corações dele e de Zelena a protege dele. 120 9 `` Changelings '' Mairzee Almas David H. Goodman e Brian Ridings 27 de novembro de 2016 (2016 - 11 - 27) 3,28 na floresta encantada, enquanto servidos por Belle, Rumplestiltskin sequestra um bebê para usar como isca para a fada negra , a mãe que o abandonou; Ela escapa sem responder às perguntas dele. No presente, Belle recebe conselhos de seu filho ainda não nascido, enquanto o ouro se torna cada vez mais desequilibrado. Ressentindo a ordem de Gold para atacar Zelena, a rainha do mal acelera a gravidez de Belle; Mãe Superior entrega o filho de Belle, Gideon, e o envia para se esconder; O ouro promete encontrá -lo. Quando o gênio foi libertado, Aladdin toma seu lugar. Zelena e Regina continuam a brigar. Emma obtém a espada de sua visão. 121 10 `` Gostaria que você estivesse aqui '' Ron Underwood Edward Kitsis &amp; Adam Horowitz 4 de dezembro de 2016 (2016 - 12 - 04) 3.27 The Black Fairy seqüestros Gideon. Emma descobre que a espada pode matar a rainha do mal sem machucar Regina. A rainha rouba a lâmpada e deseja Emma a uma realidade alternativa onde ela nunca foi o Salvador; Regina a segue. David e seus aliados pegam a lâmpada da rainha, que é transformada em serpente pela figura com capuz, revelou -se o adulto Gideon. Jasmine deseja a si mesma e Aladdin a Agrabah. No `` Wish Realm '', Emma vive como uma princesa até Regina restaurar traumaticamente sua memória. Regina libera Rumplestiltskin em troca de um feijão mágico, mas o portal para Storybrooke fecha enquanto Regina é distraída pela aparência de Robin Hood. 122 11 `` mais difícil que o resto '' Billy Gierhart Edward Kitsis &amp; Adam Horowitz 5 de março de 2017 (2017 - 03 - 05) 3.03 Em 1990, Minnesota, uma jovem Emma é informada por um adolescente que ela tem o poder de mudar seu destino . Nos dias atuais, depois que eles perdem a saída do reino do desejo, Emma e Regina encontram outra opção de fuga quando se deparam com agosto, que concorda em ajudar a criar um novo portal. Regina vai encontrar Robin Hood para ver se ele estava melhor sem ela. Depois que Regina encontra Robin, eles são capturados pelo xerife de Nottingham e mais tarde pelo Reino do Wish Rumple. Robin acredita em Regina quando ela diz a ele sobre o fato de estarem em uma realidade alternativa. Emma descobre que agosto era a adolescente que conheceu em Minnesota e o inspira a completar o portal. Emma, ​​Regina e Robin retornam a Storybrooke, onde Gideon explica a ouro e belle sua intenção de matar Emma para que ele possa adquirir seus poderes salvadores e matar a fada negra, um movimento que tem David Furious e Belle em questão. Emma e Gideon finalmente se encontram para a batalha, mas Emma sobrevive, escolhendo seu próprio destino. Gideon se retira, proclamando isso longe de terminar. Gold e Belle decidem trabalhar juntos para o bem de seu filho. 123 12 `` assassinato mais falta '' Morgan Beggs Jerome Schwartz e Jane Espenson 12 de março de 2017 (2017 - 03 - 12) 3.06 Os eventos de como Robert, o pai de David e James, foi assassinado. Que Robert aprende o que aconteceu com James depois de fugir do rei George. Com a ajuda de Rumple, ele o rastreia para a ilha de prazer, mas sua reunião é interrompida pelo rei George, que ordena a execução de Robert. Sua morte afeta David nos dias atuais, depois que ele vê visões de Robert e pede a Hook para ajudá -lo, apesar de ser reformado. Quando Hook fica preocupado com o fato de David estar levando essa investigação longe demais indo atrás de Albert, ele intervém e traz David de volta à sanidade. Hook também está preocupado se David lhe dará sua bênção para se casar com Emma, ​​mas David faz. Enquanto isso, Regina tenta fazer o Wish Realm Robin assimilado em Storybrooke, mas logo questiona por que ele concordou em segui -la, pois acontece que ele tinha algo mais planejado depois de roubar um baú do cofre. A verdade sobre quem realmente assassinou Robert é revelado quando agosto dá a Hook Páginas que ele tirou do livro de Henry. Quando Hook vê uma ilustração do pai de David, ele o reconhece e se lembra de assassiná -lo durante um assalto na floresta encantada, para que não houvesse testemunha de seu crime. 124 13 `` doente - padrões de corpo '' Ron Underwood Andrew Chambliss &amp; Dana Horgan 19 de março de 2017 (2017 - 03 - 19) 2.71 Durante a primeira guerra de Ogros, Beowulf lidera uma acusação assustadora no campo de batalha na floresta encantada da antiga. Depois que todo soldado foi morto, Beowulf se rende à morte, assim como Rumplestiltskin intervém, matando todos os ogros. Aclamado como um herói na vila, Beowulf está irritado com o novo título de Rumple. Ele cria um ardil para levar Rumple à sua morte. Temendo que ele não seria capaz de seguir adiante ao proteger os moradores sem magia negra, Rumple concede sua adaga a Baelfire como uma apólice de seguro. Após uma troca turbulenta e ameaça para enquadrar Rumplestiltskin como assassino, Beowulf retira. Sentindo a pressão de sua ameaça, Bae ordena que seu pai o mate. Mais tarde, Rumple doses Bae com uma poção de memória para apagar a provação de sua mente e restaurar sua inocência. Em Storybrooke, Rumple reconhece um padrão familiar em Gideon, que faz progressos em sua busca para matar Emma Swan à custa da vitalidade da Blue Fairy. Hook se preocupa com as repercussões de dizer a Emma seu segredo recém -revelado. Enquanto isso, Emma, ​​sem saber, força uma proposta depois de acontecer no anel de noivado de Hook. Robin of Locksley tenta fugir da cidade, mas sem sucesso. A rainha do mal escapa de seu confinamento reptiliano e doutrina Robin. 125 14 `` Página 23 '' Kate Woods David H. Goodman &amp; Brigitte Hales 26 de março de 2017 (2017 - 03 - 26) 2,85 Na floresta encantada, a rainha do mal está em busca de um feitiço que a ajudará a acabar Para sempre, mas seu pai tem amor em mente pela filha e a leva em uma busca à flecha de Cupid. No entanto, a rainha do mal rebraia a flecha para seguir o ódio e descobre que a pessoa que ela mais despreza é ela mesma. Em Storybrooke, a rainha e Regina do mal enfrentam um confronto final. Quando Regina vence a vantagem, ela se lembra do auto -tiro da rainha do mal e divide uniformemente a luz e a escuridão em seus corações, para compartilhar seu amor e ódio e permitir que a rainha do mal se reformasse. Depois que Emma diminui o noivado, Hook decide embarcar no Nautilus com o capitão Nemo. Hook mais tarde muda de idéia após uma conversa com a neve, mas, antes que ele possa voltar, Gideon seqüestra o navio e a envia de Storybrooke. 126 15 `` Um lugar maravilhoso '' Steve Pearlman Jane Espenson &amp; Jerome Schwartz 2 de abril de 2017 (2017 - 04 - 02) 2,80 Perto para a esperança, Regina sugere uma `` Night 'Night Out' 'para Emma com ela e Neve . Enquanto estava no bar, ela confia no mixologista e derrama uma lágrima. Enquanto isso, o Nautilus é transportado para a floresta encantada, onde Aladdin e Jasmine Board. Eles ainda precisam localizar Agrabah e estão se cansando. Depois de Hook e Jasmine confiam um ao outro, o navio é irrevogavelmente danificado e Jasmine usa um Genie deseja realocar o grupo para a ilha onde Jafar está localizado. Eles descobrem uma cabana pertencente a Ariel e ao príncipe Eric. Ariel coletou uma lâmpada de gênio que abriga Jafar. Jasmine é capaz de influenciá -lo a divulgar a localização do Agrabah escondido antes de derrotá -lo com poeira mágica. Através do beijo de True Love, Aladdin e Jasmine, juntamente com Hook e Ariel, são transportados para a cidade restaurada e a maldição de Genie de Aladdin está quebrada. Ariel fornece gancho com um meio de chegar a Emma. Emma recebe a mensagem e Gideon, que não se disfarçam mais de mixologista, ameaça que ele use suas lágrimas para impedir Hook de voltar para Storybrooke, a menos que ela o ajude a matar a fada negra. Flashbacks para o primeiro encontro de Ariel e Jasmine mostram a princesa Falter sob os truques de Jafar. 127 16 `` Mãe 'SO Little Helper' 'Billy Gierhart História de: Edward Kitsis e Adam Horowitz Teleplay por: Paul Karp 9 de abril de 2017 (2017 - 04 - 09) 2.60 em Storybrooke, Gold revela a Emma e Snow que o preto Fairy é sua mãe e que o elenco de maldição escura Regina foi criada pela fada negra. Emma concorda em ajudar Gideon a matar a fada negra, mas é dupla - cruzada por Gideon e deixou para morrer nas mãos de uma aranha gigante. Gideon abre um portal com a espada, permitindo que a fada negra entre em Storybrooke. Enquanto isso, na floresta encantada, Hook apostou no Jolly Roger por um feijão mágico em um jogo de cartas com Barba Negra. À medida que o Barba Negra e o gancho passam pelo portal, ele se dirige graças a Gideon e a dupla acaba em Neverland, na corrida dos remanescentes dos meninos perdidos de Peter Pan. De volta a Storybrooke, Henry experimenta uma mudança desorientadora em seus poderes de autor, então ele e Regina procuram ajuda da única pessoa que pode ajudá -los: o autor anterior, Isaac. Isaac revela a Regina e Henry que estão chegando ao fim da história em que o Salvador deve travar a batalha final. Os flashbacks revelam os abusos que a fada negra infligiu a Gideon e que a fada negra arrancou o coração de Gideon e o está controlando para matar Emma. 128 17 `` acordado '' Sharat Raju Andrew Chambliss &amp; Leah Fong 16 de abril de 2017 (2017 - 04 - 16) 2.51 Regina trabalha febrilmente para acordar neve e encantador a partir da maldição do sono. O ouro fica cara a cara com a fada negra, o poderoso inimigo Emma deve lutar na batalha final. Hook, ainda em Neverland, se encontra com Tiger Lily, que lhe dá um pedaço de uma varinha de fada antiga para ajudar Emma a derrotar a fada negra. Gold confronta a fada negra sobre seu manipulação de Gideon com seu coração e ela sustenta que Storybrooke seria destruído se os dois lutassem. Uma flor de pixie permite que Emma abra uma porta para Neverland e Rescue Hook, que então reprova corretamente. Os habitantes da cidade se reúnem em torno dos pais adormecidos de Emma e cada uma das pequenas quantidades da maldição do sono para si mesma, diluindo -a e permitindo que a neve e Davi finalmente se reúnam. Em 1993, uma flor de pixie desperta neve e encantador de si mesmos amaldiçoados, mas um Rumplestiltskin despertado diz que deve tomar uma decisão difícil de garantir que Emma cumpra seu destino como Salvador. 129 18 `` Onde os pássaros azuis voam '' Michael Schultz David H. Goodman &amp; Brigitte Hales 23 de abril de 2017 (2017 - 04 - 23) 2.69 No passado de Zelena, seu amigo de infância Stanum pede sua ajuda para encontrar o coração carmesim Um artefato mágico que seria capaz de restaurar sua forma humana depois de ter sido amaldiçoado pela bruxa perversa do norte para se transformar lentamente em lata. A recusa de Zelena em desistir de sua mágica leva ao seu Stanum traindo, enquanto ela mantém o coração e o deixa para se tornar o homem de lata. No presente, a fada negra tenta Zelena com uma oferta para se juntar a ela, apenas para que Zelena se opusesse a ela. Regina é trazida para o caos tentando parar sua irmã e eles encontram a fada negra e Gideon nas minas de cristal, com a fada negra enganando Zelena a utilizar sua magia escura instável para fortalecê -la para a batalha final. Percebendo que não há mais nada para suas costas em Oz, Zelena decide ajudar os moradores a lutar contra a fada negra usando o coração carmesim para desistir de sua magia, desfazendo a bagunça que ela fez nas minas. Emma então usa sua magia e um dos cristais para tirar a mãe superior de seu coma com alguma ajuda de Regina e Zelena. 130 19 `` The Black Fairy '' Alrick Riley Jerome Schwartz e Dana Horgan 30 de abril de 2017 (2017 - 04 - 30) 3.05 A origem do verdadeiro destino de Rumplestiltskin é revelado Lily que ele estava destinado a se tornar o Salvador. Quando Fiona teme para o filho e escolhe o poder sobre proteger Rumple, isso resulta em que ela se torne a fada negra e a fada azul que a bania para o reino escuro. No presente, enquanto todos procuram a varinha desaparecida, Gold leva Gideon e Emma ao mundo dos sonhos para procurar o coração de Gideon, onde os eventos dos flashbacks se desenrolam. Gold então confronta Fiona, mas ela revela a verdadeira razão por trás de que ele foi abandonado. Mais tarde, Gold recupera o coração de Gideon e diz a todos que a fada negra está morta, abrindo caminho para o casamento de Emma e Hook. No entanto, Gold e Fiona fazem um acordo que verá a batalha final, com Emma sendo o salvador que lutará nela. Enquanto isso, Regina ajuda Zelena a se ajustar à vida sem seus poderes. 131 20 `` The Song in Your Heart '' Ron Underwood David H. Goodman e Andrew Chambliss 7 de maio de 2017 (2017 - 05 - 07) 2.87 No passado, a neve faz um desejo que concede toda a floresta encantada a capacidade de usar O presente da música como força, que também se espalha para Oz. Quando Regina é afetada pelo desejo, ela encontra uma maneira de acabar com isso antes que a primeira maldição ocorra, mas a fada azul, que concedeu a Snow the Wish, diz a Snow e David que o desejo fará parte do destino de Emma. No passado de Emma, ​​sua chance de fazer uso de seu talento é retida ao saber que ela ficará sozinha. Isso voltaria a provocar Emma nos dias atuais, enquanto Fiona retorna para usar essa fraqueza para levar o coração de Emma antes de liberar uma nova maldição no dia do casamento, com a ajuda do ouro congelando sua família. Quando Henry descobrir a página do livro que revela a música no coração de Emma a tornará mais forte, não apenas encoraja Emma, ​​mas também impede Fiona de esmagar seu coração, mas Fiona ainda diz a Emma que a batalha continuará. No dia do casamento, Emma e Hook finalmente se casam, bem a tempo das nuvens escuras da maldição da Black Fairy para irromper da torre do relógio e as engolir às 18:00, montando a batalha final. 132 133 21 22 22 `` A batalha final '' Steve Pearlman Ralph Hemecker Edward Kitsis &amp; Adam Horowitz 14 de maio de 2017 (2017 - 05 - 14) 2.95 A maldição de Fiona altera o storybrooke, institucionalizando a Emma e deixando apenas Henry e ouro `` despertar , '' Enquanto envia outros aliados de Emma para seus reinos domésticos. A batalha final começa sobre a crença de Emma; Se ela parar de acreditar nos reinos da história, eles serão consumidos pela escuridão e deixarão de existir. Se todos os reinos forem destruídos, Fiona ganharia poderes desmarcados e seria capaz de quebrar as leis da magia à vontade. Na floresta encantada, os personagens banidos se reúnem no castelo de Regina; David e Hook obtêm um feijão mágico e a rainha do mal se sacrifica, impedindo a escuridão para adiar a destruição do grupo. Fiona convence Emma a destruir o livro, mas Henry Hand - desenha um que restaura sua crença a tempo de salvar todos no castelo. O ouro mata Fiona, que escondeu Belle e a transformou em um covarde; Isso quebra a maldição, que restaura as memórias de todos e os reunia em Storybrooke. No entanto, Gideon ainda está sob ordens para matar Emma. O ouro tenta libertar o coração de Gideon; No entanto, um feitiço lançado pela fada negra o impede de fazê -lo. Emma deita sua espada, permitindo que Gideon a empalba; Isso libera a magia leve de Emma e termina a batalha. Com o ouro e Emma tendo escolhido o bem, Gideon é devolvido à infância e os reinos são restaurados, e aqueles que morreram na crise são revividos. Os personagens embarcam em seus `` felizes felizes. “Muitos anos depois, na nova floresta encantada, um adulto Henry desaparece enquanto defendia sua filha Lucy de uma entidade não identificada. Guiado por Tiger Lily, Lucy viaja para Seattle, onde Henry não se lembra mais dela.</v>
      </c>
    </row>
    <row r="21" customFormat="false" ht="13.8" hidden="false" customHeight="false" outlineLevel="0" collapsed="false">
      <c r="A21" s="3" t="n">
        <v>18</v>
      </c>
      <c r="B21" s="5" t="s">
        <v>59</v>
      </c>
      <c r="C21" s="5" t="s">
        <v>60</v>
      </c>
      <c r="D21" s="5" t="s">
        <v>61</v>
      </c>
      <c r="E21" s="4" t="str">
        <f aca="false">IFERROR(__xludf.dummyfunction("GOOGLETRANSLATE(C22)"),"Quando o novo filme do Maze Runner saiu")</f>
        <v>Quando o novo filme do Maze Runner saiu</v>
      </c>
      <c r="F21" s="5" t="str">
        <f aca="false">IFERROR(__xludf.dummyfunction("GOOGLETRANSLATE(D21)")," Georgia Reciprocates in recognizing firearms licenses with the following state states : Alabama , Alaska , Arizona , Arkansas , Colorida , Idaho , Indiana , Iowa , Kentucky Re , North Carolina , North Dakota , Ohio , Oklahoma , Pennsylvania , South Carol"&amp;"ina , South Dakota , Texsee , Texas, Utah, Virgínia, Virgínia Ocidental, Wisconsin e Wyoming")</f>
        <v> Georgia Reciprocates in recognizing firearms licenses with the following state states : Alabama , Alaska , Arizona , Arkansas , Colorida , Idaho , Indiana , Iowa , Kentucky Re , North Carolina , North Dakota , Ohio , Oklahoma , Pennsylvania , South Carolina , South Dakota , Texsee , Texas, Utah, Virgínia, Virgínia Ocidental, Wisconsin e Wyoming</v>
      </c>
    </row>
    <row r="22" customFormat="false" ht="15.75" hidden="false" customHeight="true" outlineLevel="0" collapsed="false">
      <c r="A22" s="3" t="n">
        <v>19</v>
      </c>
      <c r="B22" s="5" t="s">
        <v>62</v>
      </c>
      <c r="C22" s="5" t="s">
        <v>63</v>
      </c>
      <c r="D22" s="5" t="s">
        <v>64</v>
      </c>
      <c r="E22" s="4" t="str">
        <f aca="false">IFERROR(__xludf.dummyfunction("GOOGLETRANSLATE(C23)"),"Quantos jogadores em um time de lacrosse de caixa")</f>
        <v>Quantos jogadores em um time de lacrosse de caixa</v>
      </c>
      <c r="F22" s="5" t="str">
        <f aca="false">IFERROR(__xludf.dummyfunction("GOOGLETRANSLATE(D22)")," Maze Runner: The Death Cure foi originalmente lançado em 17 de fevereiro de 2017, nos Estados Unidos na 20th Century Fox, mas o estúdio reagendou o lançamento do filme para 26 de janeiro de 2018 em teatros e IMAX, permitindo tempo para O Brien para se re"&amp;"cuperar de ferimentos que sofreu durante as filmagens. O filme recebeu críticas mistas da Critics e arrecadou mais de US $ 272 milhões em todo o mundo.")</f>
        <v> Maze Runner: The Death Cure foi originalmente lançado em 17 de fevereiro de 2017, nos Estados Unidos na 20th Century Fox, mas o estúdio reagendou o lançamento do filme para 26 de janeiro de 2018 em teatros e IMAX, permitindo tempo para O Brien para se recuperar de ferimentos que sofreu durante as filmagens. O filme recebeu críticas mistas da Critics e arrecadou mais de US $ 272 milhões em todo o mundo.</v>
      </c>
    </row>
    <row r="23" customFormat="false" ht="15.75" hidden="false" customHeight="true" outlineLevel="0" collapsed="false">
      <c r="A23" s="3" t="n">
        <v>20</v>
      </c>
      <c r="B23" s="5" t="s">
        <v>65</v>
      </c>
      <c r="C23" s="5" t="s">
        <v>66</v>
      </c>
      <c r="D23" s="5" t="s">
        <v>67</v>
      </c>
      <c r="E23" s="4" t="str">
        <f aca="false">IFERROR(__xludf.dummyfunction("GOOGLETRANSLATE(C24)"),"onde estão as próximas Olimpíadas a serem mantidas")</f>
        <v>onde estão as próximas Olimpíadas a serem mantidas</v>
      </c>
      <c r="F23" s="5" t="str">
        <f aca="false">IFERROR(__xludf.dummyfunction("GOOGLETRANSLATE(D23)")," Durante o jogo, um time é composto por seis jogadores: um goleiro e cinco `` corredores ''. Um corredor é qualquer jogador de posição não-Goalkeeper, incluindo atacantes, jogadores de transição e defensores. Os corredores geralmente se especializam em um"&amp;" desses papéis e substituem o campo quando a bola se move de uma extremidade para a outra. Quando o esporte se originou, as equipes jogaram com seis corredores. No entanto, em 1953, o sexto corredor, uma posição chamado rover, foi eliminado. O goleiro pod"&amp;"e ser substituído por outro corredor, geralmente quando uma penalidade atrasada é chamada para o outro time ou no final dos jogos por equipes que estão atrasadas para ajudar a marcar gols.")</f>
        <v> Durante o jogo, um time é composto por seis jogadores: um goleiro e cinco `` corredores ''. Um corredor é qualquer jogador de posição não-Goalkeeper, incluindo atacantes, jogadores de transição e defensores. Os corredores geralmente se especializam em um desses papéis e substituem o campo quando a bola se move de uma extremidade para a outra. Quando o esporte se originou, as equipes jogaram com seis corredores. No entanto, em 1953, o sexto corredor, uma posição chamado rover, foi eliminado. O goleiro pode ser substituído por outro corredor, geralmente quando uma penalidade atrasada é chamada para o outro time ou no final dos jogos por equipes que estão atrasadas para ajudar a marcar gols.</v>
      </c>
    </row>
    <row r="24" customFormat="false" ht="15.75" hidden="false" customHeight="true" outlineLevel="0" collapsed="false">
      <c r="A24" s="3" t="n">
        <v>21</v>
      </c>
      <c r="B24" s="5" t="s">
        <v>68</v>
      </c>
      <c r="C24" s="5" t="s">
        <v>69</v>
      </c>
      <c r="D24" s="5" t="s">
        <v>70</v>
      </c>
      <c r="E24" s="4" t="str">
        <f aca="false">IFERROR(__xludf.dummyfunction("GOOGLETRANSLATE(C25)"),"Quando a regra da NBA 3 segundos começou")</f>
        <v>Quando a regra da NBA 3 segundos começou</v>
      </c>
      <c r="F24" s="5" t="str">
        <f aca="false">IFERROR(__xludf.dummyfunction("GOOGLETRANSLATE(D24)")," Esta é uma lista de cidades anfitriãs dos Jogos Olímpicos, tanto no verão quanto no inverno, desde que as Olimpíadas modernas começaram em 1896. Desde então, os jogos de verão geralmente - mas nem sempre - comemoravam um período de quatro anos conhecido "&amp;"como Olimpíada. Houve 28 jogos olímpicos de verão realizados em 24 cidades e 23 Jogos Olímpicos de Inverno realizados em 20 cidades. Além disso, três edições de verão e duas de inverno dos jogos estavam programadas para ocorrer, mas depois canceladas devi"&amp;"do à guerra: Berlim (verão) em 1916; Tóquio / Helsinque (verão) e Sapporo / Garmisch - Partenkirchen (inverno) em 1940; e Londres (verão) e Cortina d'Ampezzo, Itália (inverno) em 1944. Os Jogos Olímpicos de Verão de 1906 foram oficialmente sancionados e m"&amp;"antidos em Atenas. No entanto, em 1949, o Comitê Olímpico Internacional (COI) decidiu não reconhecer os jogos de 1906. Quatro cidades foram escolhidas pelo COI para sediar os próximos Jogos Olímpicos: Tóquio para os Jogos Olímpicos de Verão de 2020, Pequi"&amp;"m para os Jogos Olímpicos de Inverno de 2022, Paris para os Jogos Olímpicos de Verão de 2024 e Los Angeles para as Olimpíadas de verão de 2028.")</f>
        <v> Esta é uma lista de cidades anfitriãs dos Jogos Olímpicos, tanto no verão quanto no inverno, desde que as Olimpíadas modernas começaram em 1896. Desde então, os jogos de verão geralmente - mas nem sempre - comemoravam um período de quatro anos conhecido como Olimpíada. Houve 28 jogos olímpicos de verão realizados em 24 cidades e 23 Jogos Olímpicos de Inverno realizados em 20 cidades. Além disso, três edições de verão e duas de inverno dos jogos estavam programadas para ocorrer, mas depois canceladas devido à guerra: Berlim (verão) em 1916; Tóquio / Helsinque (verão) e Sapporo / Garmisch - Partenkirchen (inverno) em 1940; e Londres (verão) e Cortina d'Ampezzo, Itália (inverno) em 1944. Os Jogos Olímpicos de Verão de 1906 foram oficialmente sancionados e mantidos em Atenas. No entanto, em 1949, o Comitê Olímpico Internacional (COI) decidiu não reconhecer os jogos de 1906. Quatro cidades foram escolhidas pelo COI para sediar os próximos Jogos Olímpicos: Tóquio para os Jogos Olímpicos de Verão de 2020, Pequim para os Jogos Olímpicos de Inverno de 2022, Paris para os Jogos Olímpicos de Verão de 2024 e Los Angeles para as Olimpíadas de verão de 2028.</v>
      </c>
    </row>
    <row r="25" customFormat="false" ht="15.75" hidden="false" customHeight="true" outlineLevel="0" collapsed="false">
      <c r="A25" s="3" t="n">
        <v>22</v>
      </c>
      <c r="B25" s="5" t="s">
        <v>71</v>
      </c>
      <c r="C25" s="5" t="s">
        <v>72</v>
      </c>
      <c r="D25" s="5" t="s">
        <v>73</v>
      </c>
      <c r="E25" s="4" t="str">
        <f aca="false">IFERROR(__xludf.dummyfunction("GOOGLETRANSLATE(C26)"),"Quando os sinais mais e menos foram gravados pela primeira vez")</f>
        <v>Quando os sinais mais e menos foram gravados pela primeira vez</v>
      </c>
      <c r="F25" s="5" t="str">
        <f aca="false">IFERROR(__xludf.dummyfunction("GOOGLETRANSLATE(D25)")," A regra de três segundos foi introduzida em 1936 e foi expressa como tal: nenhum jogador ofensivo com a bola poderia permanecer na chave com ou sem a bola, por mais de três segundos.")</f>
        <v> A regra de três segundos foi introduzida em 1936 e foi expressa como tal: nenhum jogador ofensivo com a bola poderia permanecer na chave com ou sem a bola, por mais de três segundos.</v>
      </c>
    </row>
    <row r="26" customFormat="false" ht="15.75" hidden="false" customHeight="true" outlineLevel="0" collapsed="false">
      <c r="A26" s="3" t="n">
        <v>23</v>
      </c>
      <c r="B26" s="5" t="s">
        <v>74</v>
      </c>
      <c r="C26" s="5" t="s">
        <v>75</v>
      </c>
      <c r="D26" s="5" t="s">
        <v>76</v>
      </c>
      <c r="E26" s="4" t="str">
        <f aca="false">IFERROR(__xludf.dummyfunction("GOOGLETRANSLATE(C27)"),"De onde vem a frase bob é seu tio")</f>
        <v>De onde vem a frase bob é seu tio</v>
      </c>
      <c r="F26" s="5" t="str">
        <f aca="false">IFERROR(__xludf.dummyfunction("GOOGLETRANSLATE(D26)")," Na Europa, no início do século XV, as cartas `` p '' e `` m '' foram geralmente usadas. Os símbolos (P com linha P̄ para Più, isto é, mais e M com a linha M̄ para Meno, isto é, menos) apareceram pela primeira vez no compêndio de matemática de Luca Paciol"&amp;"i, Summa de Aritmetica, Geometria, Proporcioni e Proporção, primeiro Impresso e publicado em Veneza em 1494. O + é uma simplificação do latim `` et '' (comparável aos ampeiros e). O - pode ser derivado de um tilde escrito em M quando usado para indicar su"&amp;"btração; Ou pode vir de uma versão abreviada da própria letra M. Em seu tratado 1489, Johannes Widmann se referiu aos símbolos - e + como menos e Mer (mehr alemão moderno; `` mais '' '): `` era - ist, Das Is menos, und Das + ist Das Mer' '. Eles não foram"&amp;" usados ​​para adição e subtração aqui, mas para indicar superávit e déficit; Seu primeiro uso em seu sentido moderno aparece em um livro de Henricus Grammateus em 1518.")</f>
        <v> Na Europa, no início do século XV, as cartas `` p '' e `` m '' foram geralmente usadas. Os símbolos (P com linha P̄ para Più, isto é, mais e M com a linha M̄ para Meno, isto é, menos) apareceram pela primeira vez no compêndio de matemática de Luca Pacioli, Summa de Aritmetica, Geometria, Proporcioni e Proporção, primeiro Impresso e publicado em Veneza em 1494. O + é uma simplificação do latim `` et '' (comparável aos ampeiros e). O - pode ser derivado de um tilde escrito em M quando usado para indicar subtração; Ou pode vir de uma versão abreviada da própria letra M. Em seu tratado 1489, Johannes Widmann se referiu aos símbolos - e + como menos e Mer (mehr alemão moderno; `` mais '' '): `` era - ist, Das Is menos, und Das + ist Das Mer' '. Eles não foram usados ​​para adição e subtração aqui, mas para indicar superávit e déficit; Seu primeiro uso em seu sentido moderno aparece em um livro de Henricus Grammateus em 1518.</v>
      </c>
    </row>
    <row r="27" customFormat="false" ht="15.75" hidden="false" customHeight="true" outlineLevel="0" collapsed="false">
      <c r="A27" s="3" t="n">
        <v>24</v>
      </c>
      <c r="B27" s="5" t="s">
        <v>77</v>
      </c>
      <c r="C27" s="5" t="s">
        <v>78</v>
      </c>
      <c r="D27" s="5" t="s">
        <v>79</v>
      </c>
      <c r="E27" s="4" t="str">
        <f aca="false">IFERROR(__xludf.dummyfunction("GOOGLETRANSLATE(C28)"),"aquele em que Chandler e Monica ficam noivos")</f>
        <v>aquele em que Chandler e Monica ficam noivos</v>
      </c>
      <c r="F27" s="5" t="str">
        <f aca="false">IFERROR(__xludf.dummyfunction("GOOGLETRANSLATE(D27)")," ... e o seu tio de Bob é uma expressão de origem desconhecida, isso significa `` e aí está '' ou `` e aí está. '' É comumente usado nos países da Grã -Bretanha e da Commonwealth. Normalmente, alguém diz isso para concluir um conjunto de instruções simple"&amp;"s ou quando um resultado é alcançado. O significado é semelhante ao da expressão francesa `` et voilà! ''")</f>
        <v> ... e o seu tio de Bob é uma expressão de origem desconhecida, isso significa `` e aí está '' ou `` e aí está. '' É comumente usado nos países da Grã -Bretanha e da Commonwealth. Normalmente, alguém diz isso para concluir um conjunto de instruções simples ou quando um resultado é alcançado. O significado é semelhante ao da expressão francesa `` et voilà! ''</v>
      </c>
    </row>
    <row r="28" customFormat="false" ht="15.75" hidden="false" customHeight="true" outlineLevel="0" collapsed="false">
      <c r="A28" s="3" t="n">
        <v>25</v>
      </c>
      <c r="B28" s="5" t="s">
        <v>80</v>
      </c>
      <c r="C28" s="5" t="s">
        <v>81</v>
      </c>
      <c r="D28" s="5" t="s">
        <v>82</v>
      </c>
      <c r="E28" s="4" t="str">
        <f aca="false">IFERROR(__xludf.dummyfunction("GOOGLETRANSLATE(C29)"),"quem ganhou então você acha que pode dançar 2016")</f>
        <v>quem ganhou então você acha que pode dançar 2016</v>
      </c>
      <c r="F28" s="5" t="str">
        <f aca="false">IFERROR(__xludf.dummyfunction("GOOGLETRANSLATE(D28)")," Depois de procurar o dia todo, Chandler corre de volta ao seu apartamento e quando ele chega lá, Joey o encontra no salão, alegando que Monica o deixou por causa de seus problemas de compromisso. Quando Chandler entra em seu apartamento, com medo de Moni"&amp;"ca realmente sair, ele descobre que está longe de ser abandonado, há velas iluminadas por todo o lado e Monica está ajoelhada para propor. No meio de propor a Chandler, ela chora de pura emoção, dizendo: `` Há uma razão pela qual as meninas não fazem isso"&amp;"! '' Em ​​vez disso, Chandler se ajoelha e propõe a ela e Monica diz que sim. Eles então abrem a porta para Joey, Rachel e Phoebe, que estavam esperando para comemorar. A princípio, eles hesitam, sentindo que Ross deve estar lá para compartilhar o momento"&amp;" e depois decidir que, após três casamentos, Ross pode se dar ao luxo de perder uma celebração de noivado. Os créditos finais jogam enquanto Monica e Chandler dançam para o `` maravilhoso de Eric Clapton hoje à noite. ''")</f>
        <v> Depois de procurar o dia todo, Chandler corre de volta ao seu apartamento e quando ele chega lá, Joey o encontra no salão, alegando que Monica o deixou por causa de seus problemas de compromisso. Quando Chandler entra em seu apartamento, com medo de Monica realmente sair, ele descobre que está longe de ser abandonado, há velas iluminadas por todo o lado e Monica está ajoelhada para propor. No meio de propor a Chandler, ela chora de pura emoção, dizendo: `` Há uma razão pela qual as meninas não fazem isso! '' Em ​​vez disso, Chandler se ajoelha e propõe a ela e Monica diz que sim. Eles então abrem a porta para Joey, Rachel e Phoebe, que estavam esperando para comemorar. A princípio, eles hesitam, sentindo que Ross deve estar lá para compartilhar o momento e depois decidir que, após três casamentos, Ross pode se dar ao luxo de perder uma celebração de noivado. Os créditos finais jogam enquanto Monica e Chandler dançam para o `` maravilhoso de Eric Clapton hoje à noite. ''</v>
      </c>
    </row>
    <row r="29" customFormat="false" ht="15.75" hidden="false" customHeight="true" outlineLevel="0" collapsed="false">
      <c r="A29" s="3" t="n">
        <v>26</v>
      </c>
      <c r="B29" s="5" t="s">
        <v>83</v>
      </c>
      <c r="C29" s="5" t="s">
        <v>84</v>
      </c>
      <c r="D29" s="5" t="s">
        <v>85</v>
      </c>
      <c r="E29" s="4" t="str">
        <f aca="false">IFERROR(__xludf.dummyfunction("GOOGLETRANSLATE(C30)"),"que interpreta Norman Bates no programa de TV")</f>
        <v>que interpreta Norman Bates no programa de TV</v>
      </c>
      <c r="F29" s="5" t="str">
        <f aca="false">IFERROR(__xludf.dummyfunction("GOOGLETRANSLATE(D29)"),"   Então você pensa que pode dançar: a próxima geração da 13ª temporada transmitida de 30 de maio a 12 de setembro de 2016 juízes Nigel Lythgoe Paula Abdul Jason Derulo Maddie Ziegler Host (S) CAT DEELEY BRIANÇA FOX VINGADOR LEO ) HIP - HOP RUNNER - UP J."&amp;"T. Cronologia da Igreja ◀ 2016 ▶")</f>
        <v>   Então você pensa que pode dançar: a próxima geração da 13ª temporada transmitida de 30 de maio a 12 de setembro de 2016 juízes Nigel Lythgoe Paula Abdul Jason Derulo Maddie Ziegler Host (S) CAT DEELEY BRIANÇA FOX VINGADOR LEO ) HIP - HOP RUNNER - UP J.T. Cronologia da Igreja ◀ 2016 ▶</v>
      </c>
    </row>
    <row r="30" customFormat="false" ht="15.75" hidden="false" customHeight="true" outlineLevel="0" collapsed="false">
      <c r="A30" s="3" t="n">
        <v>27</v>
      </c>
      <c r="B30" s="5" t="s">
        <v>86</v>
      </c>
      <c r="C30" s="5" t="s">
        <v>87</v>
      </c>
      <c r="D30" s="5" t="s">
        <v>88</v>
      </c>
      <c r="E30" s="4" t="str">
        <f aca="false">IFERROR(__xludf.dummyfunction("GOOGLETRANSLATE(C31)"),"Quando os EUA começaram a dirigir à direita")</f>
        <v>Quando os EUA começaram a dirigir à direita</v>
      </c>
      <c r="F30" s="5" t="str">
        <f aca="false">IFERROR(__xludf.dummyfunction("GOOGLETRANSLATE(D30)")," Freddie Highmore como Norman Bates")</f>
        <v> Freddie Highmore como Norman Bates</v>
      </c>
    </row>
    <row r="31" customFormat="false" ht="15.75" hidden="false" customHeight="true" outlineLevel="0" collapsed="false">
      <c r="A31" s="3" t="n">
        <v>28</v>
      </c>
      <c r="B31" s="5" t="s">
        <v>89</v>
      </c>
      <c r="C31" s="5" t="s">
        <v>90</v>
      </c>
      <c r="D31" s="5" t="s">
        <v>91</v>
      </c>
      <c r="E31" s="4" t="str">
        <f aca="false">IFERROR(__xludf.dummyfunction("GOOGLETRANSLATE(C32)"),"Nomeie alguns componentes do sistema nervoso central (SNC)")</f>
        <v>Nomeie alguns componentes do sistema nervoso central (SNC)</v>
      </c>
      <c r="F31" s="5" t="str">
        <f aca="false">IFERROR(__xludf.dummyfunction("GOOGLETRANSLATE(D31)")," No final dos anos 1700, o tráfego nos Estados Unidos foi RHT com base no uso de grandes vagões de frete dos Teamsters puxados por vários pares de cavalos. Os vagões não tinham o assento do motorista, então o pós -pilão (normalmente à direita) segurava o "&amp;"chicote na mão direita e, assim, sentou -se no cavalo traseiro esquerdo. Sentado à esquerda, o motorista preferia que outros vagões o passassem à esquerda para que ele pudesse ficar longe das rodas dos vagões que se aproximam.")</f>
        <v> No final dos anos 1700, o tráfego nos Estados Unidos foi RHT com base no uso de grandes vagões de frete dos Teamsters puxados por vários pares de cavalos. Os vagões não tinham o assento do motorista, então o pós -pilão (normalmente à direita) segurava o chicote na mão direita e, assim, sentou -se no cavalo traseiro esquerdo. Sentado à esquerda, o motorista preferia que outros vagões o passassem à esquerda para que ele pudesse ficar longe das rodas dos vagões que se aproximam.</v>
      </c>
    </row>
    <row r="32" customFormat="false" ht="15.75" hidden="false" customHeight="true" outlineLevel="0" collapsed="false">
      <c r="A32" s="3" t="n">
        <v>29</v>
      </c>
      <c r="B32" s="5" t="s">
        <v>92</v>
      </c>
      <c r="C32" s="5" t="s">
        <v>93</v>
      </c>
      <c r="D32" s="5" t="s">
        <v>94</v>
      </c>
      <c r="E32" s="4" t="str">
        <f aca="false">IFERROR(__xludf.dummyfunction("GOOGLETRANSLATE(C33)"),"Quem é o diretor do preço está certo")</f>
        <v>Quem é o diretor do preço está certo</v>
      </c>
      <c r="F32" s="5" t="str">
        <f aca="false">IFERROR(__xludf.dummyfunction("GOOGLETRANSLATE(D32)")," O sistema nervoso central (SNC) é a parte do sistema nervoso que consiste no cérebro e na medula espinhal. O sistema nervoso central é assim chamado porque integra as informações de que recebe e coordena e influencia a atividade de todas as partes dos co"&amp;"rpos de animais bilateralmente simétricos - ou seja, todos os animais multicelulares, exceto esponjas e animais radialmente simétricos, como a água -viva - - e contém a maioria do sistema nervoso. Muitos consideram a retina e o nervo óptico (nervo cranian"&amp;"o II), bem como os nervos olfativos (nervo craniano I) e epitélio olfativo como partes do SNC, sinapsando diretamente no tecido cerebral sem gânglios intermediários. Como tal, o epitélio olfativo é o único tecido nervoso central em contato direto com o am"&amp;"biente, que se abre para tratamentos terapêuticos. O CNS está contido na cavidade corporal dorsal, com o cérebro alojado na cavidade craniana e na medula espinhal no canal espinhal. Nos vertebrados, o cérebro é protegido pelo crânio, enquanto a medula esp"&amp;"inhal é protegida pelas vértebras. O cérebro e a medula espinhal estão ambos fechados nas meninges. Nos sistemas nervosos centrais, o espaço interneuronal é preenchido com uma grande quantidade de células não nervosas de apoio chamadas células neurogliais"&amp;".")</f>
        <v> O sistema nervoso central (SNC) é a parte do sistema nervoso que consiste no cérebro e na medula espinhal. O sistema nervoso central é assim chamado porque integra as informações de que recebe e coordena e influencia a atividade de todas as partes dos corpos de animais bilateralmente simétricos - ou seja, todos os animais multicelulares, exceto esponjas e animais radialmente simétricos, como a água -viva - - e contém a maioria do sistema nervoso. Muitos consideram a retina e o nervo óptico (nervo craniano II), bem como os nervos olfativos (nervo craniano I) e epitélio olfativo como partes do SNC, sinapsando diretamente no tecido cerebral sem gânglios intermediários. Como tal, o epitélio olfativo é o único tecido nervoso central em contato direto com o ambiente, que se abre para tratamentos terapêuticos. O CNS está contido na cavidade corporal dorsal, com o cérebro alojado na cavidade craniana e na medula espinhal no canal espinhal. Nos vertebrados, o cérebro é protegido pelo crânio, enquanto a medula espinhal é protegida pelas vértebras. O cérebro e a medula espinhal estão ambos fechados nas meninges. Nos sistemas nervosos centrais, o espaço interneuronal é preenchido com uma grande quantidade de células não nervosas de apoio chamadas células neurogliais.</v>
      </c>
    </row>
    <row r="33" customFormat="false" ht="15.75" hidden="false" customHeight="true" outlineLevel="0" collapsed="false">
      <c r="A33" s="3" t="n">
        <v>30</v>
      </c>
      <c r="B33" s="5" t="s">
        <v>95</v>
      </c>
      <c r="C33" s="5" t="s">
        <v>96</v>
      </c>
      <c r="D33" s="5" t="s">
        <v>97</v>
      </c>
      <c r="E33" s="4" t="str">
        <f aca="false">IFERROR(__xludf.dummyfunction("GOOGLETRANSLATE(C34)"),"Ponte no fato ou ficção do rio Kwai")</f>
        <v>Ponte no fato ou ficção do rio Kwai</v>
      </c>
      <c r="F33" s="5" t="str">
        <f aca="false">IFERROR(__xludf.dummyfunction("GOOGLETRANSLATE(D33)")," A equipe de produção de Game Show de Mark Goodson e Bill Todman foi responsável por produzir as versões originais e de reavivamento do Game Show. Goodson - O funcionário do Todman, Bob Stewart, é creditado por criar a versão original do preço. Roger Dobk"&amp;"owitz foi o produtor de 1984 a 2008, tendo trabalhado com o programa como funcionário de produção desde a estréia do programa depois de se formar na Universidade Estadual de São Francisco. Ocasionalmente, Dobkowitz aparecia na câmera ao responder a uma pe"&amp;"rgunta feita pelo host, geralmente relacionado à história ou registros do programa. Quando ele deixou o show no final da 36ª temporada, a Variety relatou que não ficou claro se ele estava se aposentando ou foi demitido, embora Carey indicasse em uma entre"&amp;"vista posterior com Esquire que Dobkowitz foi demitido. A partir de 2011, o programa usa vários produtores, todos os funcionários do tempo. Adam Sandler (que não deve ser confundido com o ator) é o produtor do show. Stan Blits, que ingressou no show em 19"&amp;"80 e Sue MacIntyre são os co-produtores. Kathy Greco ingressou no show em 1975 e tornou -se produtor em 2008; Ela anunciou sua aposentadoria em 8 de outubro de 2010 no site do programa, a partir do final das gravações de dezembro de 2010. Seu último episó"&amp;"dio como produtor, que foi ao ar em 27 de janeiro de 2011, contou com um tema em homenagem a ela. O site oficial do programa apresentou uma série de vídeos, incluindo uma entrevista com Greco como uma homenagem aos seus 35 anos nos dias que antecederam se"&amp;"u episódio final. Frank Wayne, um funcionário de Goodson - Tods desde a década de 1950, era o produtor executivo original da versão da CBS do programa. Barker assumiu esse papel após a morte de Wayne em março de 1988, como afirmado anteriormente. Os produ"&amp;"tores anteriores incluíram Jay Wolpert, Barbara Hunter e Phil Wayne Rossi (filho de Wayne). Michael Dimich assumiu o presidente do diretor em junho de 2011. Marc Breslow, Paul Alter, Bart Eskander e Rich DiPirro, cada um, serviu longas passagens anteriorm"&amp;"ente como diretor. Os ex -diretores associados Andrew Felsher e Fred Witten, bem como o diretor técnico Glenn Koch, dirigiram episódios estritamente de preenchimento - com base. Sandler começou a dirigir episódios em 2012 e se tornou o diretor oficial em "&amp;"2013. Além de Barker, a equipe de produção do programa permaneceu intacta depois que Carey se tornou anfitrião. O executivo da FremantleMedia, Syd Vinnedge, foi nomeado o novo produtor executivo do programa, com Richards se tornando produtor co-executivo "&amp;"após a partida de Dobkowitz. Richards foi um candidato a substituir Barker como anfitrião em 2007, antes de Carey ser escolhido em última análise. Richards sucedeu Vinnedge como produtor executivo quando a temporada de 2009-10 começou, com Tracy Verna Soi"&amp;"seth se juntando a Richards como produtor co-executivo em 2010. Vinnedge permanece creditado como consultor executivo do programa.")</f>
        <v> A equipe de produção de Game Show de Mark Goodson e Bill Todman foi responsável por produzir as versões originais e de reavivamento do Game Show. Goodson - O funcionário do Todman, Bob Stewart, é creditado por criar a versão original do preço. Roger Dobkowitz foi o produtor de 1984 a 2008, tendo trabalhado com o programa como funcionário de produção desde a estréia do programa depois de se formar na Universidade Estadual de São Francisco. Ocasionalmente, Dobkowitz aparecia na câmera ao responder a uma pergunta feita pelo host, geralmente relacionado à história ou registros do programa. Quando ele deixou o show no final da 36ª temporada, a Variety relatou que não ficou claro se ele estava se aposentando ou foi demitido, embora Carey indicasse em uma entrevista posterior com Esquire que Dobkowitz foi demitido. A partir de 2011, o programa usa vários produtores, todos os funcionários do tempo. Adam Sandler (que não deve ser confundido com o ator) é o produtor do show. Stan Blits, que ingressou no show em 1980 e Sue MacIntyre são os co-produtores. Kathy Greco ingressou no show em 1975 e tornou -se produtor em 2008; Ela anunciou sua aposentadoria em 8 de outubro de 2010 no site do programa, a partir do final das gravações de dezembro de 2010. Seu último episódio como produtor, que foi ao ar em 27 de janeiro de 2011, contou com um tema em homenagem a ela. O site oficial do programa apresentou uma série de vídeos, incluindo uma entrevista com Greco como uma homenagem aos seus 35 anos nos dias que antecederam seu episódio final. Frank Wayne, um funcionário de Goodson - Tods desde a década de 1950, era o produtor executivo original da versão da CBS do programa. Barker assumiu esse papel após a morte de Wayne em março de 1988, como afirmado anteriormente. Os produtores anteriores incluíram Jay Wolpert, Barbara Hunter e Phil Wayne Rossi (filho de Wayne). Michael Dimich assumiu o presidente do diretor em junho de 2011. Marc Breslow, Paul Alter, Bart Eskander e Rich DiPirro, cada um, serviu longas passagens anteriormente como diretor. Os ex -diretores associados Andrew Felsher e Fred Witten, bem como o diretor técnico Glenn Koch, dirigiram episódios estritamente de preenchimento - com base. Sandler começou a dirigir episódios em 2012 e se tornou o diretor oficial em 2013. Além de Barker, a equipe de produção do programa permaneceu intacta depois que Carey se tornou anfitrião. O executivo da FremantleMedia, Syd Vinnedge, foi nomeado o novo produtor executivo do programa, com Richards se tornando produtor co-executivo após a partida de Dobkowitz. Richards foi um candidato a substituir Barker como anfitrião em 2007, antes de Carey ser escolhido em última análise. Richards sucedeu Vinnedge como produtor executivo quando a temporada de 2009-10 começou, com Tracy Verna Soiseth se juntando a Richards como produtor co-executivo em 2010. Vinnedge permanece creditado como consultor executivo do programa.</v>
      </c>
    </row>
    <row r="34" customFormat="false" ht="15.75" hidden="false" customHeight="true" outlineLevel="0" collapsed="false">
      <c r="A34" s="3" t="n">
        <v>31</v>
      </c>
      <c r="B34" s="5" t="s">
        <v>98</v>
      </c>
      <c r="C34" s="5" t="s">
        <v>99</v>
      </c>
      <c r="D34" s="5" t="s">
        <v>100</v>
      </c>
      <c r="E34" s="4" t="str">
        <f aca="false">IFERROR(__xludf.dummyfunction("GOOGLETRANSLATE(C35)"),"Hong Kong faz parte da Commonwealth")</f>
        <v>Hong Kong faz parte da Commonwealth</v>
      </c>
      <c r="F34" s="5" t="str">
        <f aca="false">IFERROR(__xludf.dummyfunction("GOOGLETRANSLATE(D34)")," A ponte no rio Kwai é um filme britânico de guerra britânico de 1957, dirigido por David Lean e estrelado por William Holden, Jack Hawkins e Alec Guinness, e com Sessue Hayakawa. Baseado no romance Le Pont de la Rivière Kwai (1952) de Pierre Boulle, o fi"&amp;"lme é uma obra de ficção, mas empresta a construção da ferrovia da Birmânia em 1942 - 1943 por seu cenário histórico. O filme foi filmado no Ceilão (agora Sri Lanka). A ponte no filme estava perto de Kitulgala.")</f>
        <v> A ponte no rio Kwai é um filme britânico de guerra britânico de 1957, dirigido por David Lean e estrelado por William Holden, Jack Hawkins e Alec Guinness, e com Sessue Hayakawa. Baseado no romance Le Pont de la Rivière Kwai (1952) de Pierre Boulle, o filme é uma obra de ficção, mas empresta a construção da ferrovia da Birmânia em 1942 - 1943 por seu cenário histórico. O filme foi filmado no Ceilão (agora Sri Lanka). A ponte no filme estava perto de Kitulgala.</v>
      </c>
    </row>
    <row r="35" customFormat="false" ht="15.75" hidden="false" customHeight="true" outlineLevel="0" collapsed="false">
      <c r="A35" s="3" t="n">
        <v>32</v>
      </c>
      <c r="B35" s="5" t="s">
        <v>101</v>
      </c>
      <c r="C35" s="5" t="s">
        <v>102</v>
      </c>
      <c r="D35" s="5" t="s">
        <v>103</v>
      </c>
      <c r="E35" s="4" t="str">
        <f aca="false">IFERROR(__xludf.dummyfunction("GOOGLETRANSLATE(C36)"),"onde pode ser sentido pulso no corpo")</f>
        <v>onde pode ser sentido pulso no corpo</v>
      </c>
      <c r="F35" s="5" t="str">
        <f aca="false">IFERROR(__xludf.dummyfunction("GOOGLETRANSLATE(D35)")," A transferência de soberania sobre Hong Kong em 1997 encerrou os laços da colônia com a Commonwealth através do Reino Unido. O governo de Hong Kong, como uma região administrativa especial da China, não buscou a associação. No entanto, Hong Kong continuo"&amp;"u participando de algumas das organizações da família da Commonwealth, como a Associação de Advogados da Commonwealth (sediou a Conferência dos Advogados da Commonwealth em 1983 e 2009), a Associação Parlamentar da Commonwealth (e o seminário de Westminst"&amp;"er sobre práticas e procedimentos parlamentares) , A Associação das Universidades da Commonwealth e a Associação da Commonwealth de Conselho Legislativo.")</f>
        <v> A transferência de soberania sobre Hong Kong em 1997 encerrou os laços da colônia com a Commonwealth através do Reino Unido. O governo de Hong Kong, como uma região administrativa especial da China, não buscou a associação. No entanto, Hong Kong continuou participando de algumas das organizações da família da Commonwealth, como a Associação de Advogados da Commonwealth (sediou a Conferência dos Advogados da Commonwealth em 1983 e 2009), a Associação Parlamentar da Commonwealth (e o seminário de Westminster sobre práticas e procedimentos parlamentares) , A Associação das Universidades da Commonwealth e a Associação da Commonwealth de Conselho Legislativo.</v>
      </c>
    </row>
    <row r="36" customFormat="false" ht="15.75" hidden="false" customHeight="true" outlineLevel="0" collapsed="false">
      <c r="A36" s="3" t="n">
        <v>33</v>
      </c>
      <c r="B36" s="5" t="s">
        <v>104</v>
      </c>
      <c r="C36" s="5" t="s">
        <v>105</v>
      </c>
      <c r="D36" s="5" t="s">
        <v>106</v>
      </c>
      <c r="E36" s="4" t="str">
        <f aca="false">IFERROR(__xludf.dummyfunction("GOOGLETRANSLATE(C37)"),"Por que a Argentina atacou as Ilhas das Malvinas/Malvinas")</f>
        <v>Por que a Argentina atacou as Ilhas das Malvinas/Malvinas</v>
      </c>
      <c r="F36" s="5" t="str">
        <f aca="false">IFERROR(__xludf.dummyfunction("GOOGLETRANSLATE(D36)")," Na medicina, um pulso representa a palpação arterial tátil do batimento cardíaco por pontas dos dedos treinados. O pulso pode ser palpado em qualquer lugar que permita que uma artéria seja comprimida perto da superfície do corpo, como no pescoço (artéria"&amp;" carotídea), punho (artéria radial), na virilha (artéria femoral), atrás do joelho ( Artéria poplítea), perto da articulação do tornozelo (artéria tibial posterior) e a pé (artéria dorsalis pedis). O pulso (ou a contagem de pulso arterial por minuto) é eq"&amp;"uivalente a medir a freqüência cardíaca. A frequência cardíaca também pode ser medida ouvindo o batimento cardíaco pela auscultação, tradicionalmente usando um estetoscópio e contando -o por um minuto. O pulso radial é comumente medido usando três dedos. "&amp;"Isso tem um motivo: o dedo mais próximo do coração é usado para ocultar a pressão do pulso, o dedo médio é usado, obtenha uma estimativa bruta da pressão arterial, e o dedo mais distal do coração (geralmente o dedo anelar) é usado para anular o efeito do "&amp;"pulso ulnar, pois as duas artérias são conectadas através dos arcos palmares (superficiais e profundos). O estudo do pulso é conhecido como esfigmologia.")</f>
        <v> Na medicina, um pulso representa a palpação arterial tátil do batimento cardíaco por pontas dos dedos treinados. O pulso pode ser palpado em qualquer lugar que permita que uma artéria seja comprimida perto da superfície do corpo, como no pescoço (artéria carotídea), punho (artéria radial), na virilha (artéria femoral), atrás do joelho ( Artéria poplítea), perto da articulação do tornozelo (artéria tibial posterior) e a pé (artéria dorsalis pedis). O pulso (ou a contagem de pulso arterial por minuto) é equivalente a medir a freqüência cardíaca. A frequência cardíaca também pode ser medida ouvindo o batimento cardíaco pela auscultação, tradicionalmente usando um estetoscópio e contando -o por um minuto. O pulso radial é comumente medido usando três dedos. Isso tem um motivo: o dedo mais próximo do coração é usado para ocultar a pressão do pulso, o dedo médio é usado, obtenha uma estimativa bruta da pressão arterial, e o dedo mais distal do coração (geralmente o dedo anelar) é usado para anular o efeito do pulso ulnar, pois as duas artérias são conectadas através dos arcos palmares (superficiais e profundos). O estudo do pulso é conhecido como esfigmologia.</v>
      </c>
    </row>
    <row r="37" customFormat="false" ht="15.75" hidden="false" customHeight="true" outlineLevel="0" collapsed="false">
      <c r="A37" s="3" t="n">
        <v>34</v>
      </c>
      <c r="B37" s="5" t="s">
        <v>107</v>
      </c>
      <c r="C37" s="5" t="s">
        <v>108</v>
      </c>
      <c r="D37" s="5" t="s">
        <v>109</v>
      </c>
      <c r="E37" s="4" t="str">
        <f aca="false">IFERROR(__xludf.dummyfunction("GOOGLETRANSLATE(C38)"),"Quanto tempo leva para a lua percorrer a terra")</f>
        <v>Quanto tempo leva para a lua percorrer a terra</v>
      </c>
      <c r="F37" s="5" t="str">
        <f aca="false">IFERROR(__xludf.dummyfunction("GOOGLETRANSLATE(D37)")," A Guerra das Malvinas (Espanhol: Guerra de Las Malvinas), também conhecida como conflito das Malvinas, Crise das Malvinas, Guerra das Malvinas, Conflito do Atlântico Sul e Guerra del Atlánttico Sur (espanhol para `` South Atlantic ''), foi um dez - Guerr"&amp;"a da semana entre a Argentina e o Reino Unido sobre dois territórios dependentes britânicos no Atlântico Sul: as Ilhas das Malvinas, e sua dependência territorial, a Geórgia do Sul e as Ilhas Sandwich do Sul. Começou na sexta -feira, 2 de abril de 1982, q"&amp;"uando a Argentina invadiu e ocupou as Ilhas Malvinas (e, no dia seguinte, na Geórgia do Sul e nas Ilhas Sandwich South), na tentativa de estabelecer a soberania que havia reivindicado sobre eles. Em 5 de abril, o governo britânico despachou uma força -tar"&amp;"efa naval para envolver a marinha argentina e a força aérea antes de fazer um ataque anfíbio às ilhas. O conflito durou 74 dias e terminou com a rendição argentina em 14 de junho de 1982, retornando as ilhas ao controle britânico. No total, 649 militares "&amp;"argentinos, 255 militares britânicos e três ilhéus da Malvina morreram durante as hostilidades.")</f>
        <v> A Guerra das Malvinas (Espanhol: Guerra de Las Malvinas), também conhecida como conflito das Malvinas, Crise das Malvinas, Guerra das Malvinas, Conflito do Atlântico Sul e Guerra del Atlánttico Sur (espanhol para `` South Atlantic ''), foi um dez - Guerra da semana entre a Argentina e o Reino Unido sobre dois territórios dependentes britânicos no Atlântico Sul: as Ilhas das Malvinas, e sua dependência territorial, a Geórgia do Sul e as Ilhas Sandwich do Sul. Começou na sexta -feira, 2 de abril de 1982, quando a Argentina invadiu e ocupou as Ilhas Malvinas (e, no dia seguinte, na Geórgia do Sul e nas Ilhas Sandwich South), na tentativa de estabelecer a soberania que havia reivindicado sobre eles. Em 5 de abril, o governo britânico despachou uma força -tarefa naval para envolver a marinha argentina e a força aérea antes de fazer um ataque anfíbio às ilhas. O conflito durou 74 dias e terminou com a rendição argentina em 14 de junho de 1982, retornando as ilhas ao controle britânico. No total, 649 militares argentinos, 255 militares britânicos e três ilhéus da Malvina morreram durante as hostilidades.</v>
      </c>
    </row>
    <row r="38" customFormat="false" ht="15.75" hidden="false" customHeight="true" outlineLevel="0" collapsed="false">
      <c r="A38" s="3" t="n">
        <v>35</v>
      </c>
      <c r="B38" s="5" t="s">
        <v>110</v>
      </c>
      <c r="C38" s="5" t="s">
        <v>111</v>
      </c>
      <c r="D38" s="5" t="s">
        <v>112</v>
      </c>
      <c r="E38" s="4" t="str">
        <f aca="false">IFERROR(__xludf.dummyfunction("GOOGLETRANSLATE(C39)"),"Quem é o primeiro -ministro da República das Maurícias")</f>
        <v>Quem é o primeiro -ministro da República das Maurícias</v>
      </c>
      <c r="F38" s="5" t="str">
        <f aca="false">IFERROR(__xludf.dummyfunction("GOOGLETRANSLATE(D38)")," Órbita do diagrama da lua da órbita da lua em relação ao eixo semi-major do valor da propriedade da Terra 384.748 km (239.071 mi) Distância média 385.000 km (239.000 mi) parallax inverso 384.400 (238.900 mi) mi). Distância da Terra) 362.600 km (225.300 m"&amp;"i) (avg ) Excentricidade média 6998549006000000000 ♠ 0,054 9006 (0,026 - 0,077) Obliquidade média 6,687 ° Inclinação média do órbita ao eclíptico 5.15 ° (4,99 - 5.30) do Equador Lunar para Eclíptico 1.544 ° Período Orbit. Terra (sinódica) 29.530 Dias Prec"&amp;"ession dos nós 18.5996 anos Precession of Line of Apsides 8.8504 anos")</f>
        <v> Órbita do diagrama da lua da órbita da lua em relação ao eixo semi-major do valor da propriedade da Terra 384.748 km (239.071 mi) Distância média 385.000 km (239.000 mi) parallax inverso 384.400 (238.900 mi) mi). Distância da Terra) 362.600 km (225.300 mi) (avg ) Excentricidade média 6998549006000000000 ♠ 0,054 9006 (0,026 - 0,077) Obliquidade média 6,687 ° Inclinação média do órbita ao eclíptico 5.15 ° (4,99 - 5.30) do Equador Lunar para Eclíptico 1.544 ° Período Orbit. Terra (sinódica) 29.530 Dias Precession dos nós 18.5996 anos Precession of Line of Apsides 8.8504 anos</v>
      </c>
    </row>
    <row r="39" customFormat="false" ht="15.75" hidden="false" customHeight="true" outlineLevel="0" collapsed="false">
      <c r="A39" s="3" t="n">
        <v>36</v>
      </c>
      <c r="B39" s="5" t="s">
        <v>113</v>
      </c>
      <c r="C39" s="5" t="s">
        <v>114</v>
      </c>
      <c r="D39" s="5" t="s">
        <v>115</v>
      </c>
      <c r="E39" s="4" t="str">
        <f aca="false">IFERROR(__xludf.dummyfunction("GOOGLETRANSLATE(C40)"),"O que as equipes estão na final da FA Cup")</f>
        <v>O que as equipes estão na final da FA Cup</v>
      </c>
      <c r="F39" s="5" t="str">
        <f aca="false">IFERROR(__xludf.dummyfunction("GOOGLETRANSLATE(D39)"),"   Primeiro Ministro das Maurícias Batão de Armas das Maurícias da Maurícia Pravind Jugnauth, desde 23 de janeiro de 2017, estilo The Honorable Residence Clarisse House (Oficial) Nomeador O Presidente que deve nomear o parlamentar que apoia uma clara maio"&amp;"ria na assembléia nacional AMEENAH GURIB TERMO O prazer do presidente que serve enquanto o titular do escritório tiver a maioria na Assembléia Nacional, detentora inaugural Sir Seewoosagur Ramgoolam Formação 12 de março de 1968; 50 anos atrás (1968 - 03 -"&amp;" 12) Salário Rs 3,66 milhões de sites Primeiro Ministro Escritório")</f>
        <v>   Primeiro Ministro das Maurícias Batão de Armas das Maurícias da Maurícia Pravind Jugnauth, desde 23 de janeiro de 2017, estilo The Honorable Residence Clarisse House (Oficial) Nomeador O Presidente que deve nomear o parlamentar que apoia uma clara maioria na assembléia nacional AMEENAH GURIB TERMO O prazer do presidente que serve enquanto o titular do escritório tiver a maioria na Assembléia Nacional, detentora inaugural Sir Seewoosagur Ramgoolam Formação 12 de março de 1968; 50 anos atrás (1968 - 03 - 12) Salário Rs 3,66 milhões de sites Primeiro Ministro Escritório</v>
      </c>
    </row>
    <row r="40" customFormat="false" ht="15.75" hidden="false" customHeight="true" outlineLevel="0" collapsed="false">
      <c r="A40" s="3" t="n">
        <v>37</v>
      </c>
      <c r="B40" s="5" t="s">
        <v>116</v>
      </c>
      <c r="C40" s="5" t="s">
        <v>117</v>
      </c>
      <c r="D40" s="5" t="s">
        <v>118</v>
      </c>
      <c r="E40" s="4" t="str">
        <f aca="false">IFERROR(__xludf.dummyfunction("GOOGLETRANSLATE(C41)"),"onde está o conjunto de sonho de uma noite de verão")</f>
        <v>onde está o conjunto de sonho de uma noite de verão</v>
      </c>
      <c r="F40" s="5" t="str">
        <f aca="false">IFERROR(__xludf.dummyfunction("GOOGLETRANSLATE(D40)")," A final da FA Cup 2018 foi a partida final da FA Cup de 2017 e a 137ª final da FA Cup, a competição mais antiga da Copa de Futebol do mundo. Foi tocado no Wembley Stadium, em Londres, Inglaterra, em 19 de maio de 2018, entre o Manchester United e o Chels"&amp;"ea. Foi a segunda final sucessiva do Chelsea após sua derrota pelo Arsenal no ano anterior.")</f>
        <v> A final da FA Cup 2018 foi a partida final da FA Cup de 2017 e a 137ª final da FA Cup, a competição mais antiga da Copa de Futebol do mundo. Foi tocado no Wembley Stadium, em Londres, Inglaterra, em 19 de maio de 2018, entre o Manchester United e o Chelsea. Foi a segunda final sucessiva do Chelsea após sua derrota pelo Arsenal no ano anterior.</v>
      </c>
    </row>
    <row r="41" customFormat="false" ht="15.75" hidden="false" customHeight="true" outlineLevel="0" collapsed="false">
      <c r="A41" s="3" t="n">
        <v>38</v>
      </c>
      <c r="B41" s="5" t="s">
        <v>119</v>
      </c>
      <c r="C41" s="5" t="s">
        <v>120</v>
      </c>
      <c r="D41" s="5" t="s">
        <v>121</v>
      </c>
      <c r="E41" s="4" t="str">
        <f aca="false">IFERROR(__xludf.dummyfunction("GOOGLETRANSLATE(C42)"),"Quando começa a nova série de velas negras")</f>
        <v>Quando começa a nova série de velas negras</v>
      </c>
      <c r="F41" s="5" t="str">
        <f aca="false">IFERROR(__xludf.dummyfunction("GOOGLETRANSLATE(D41)")," A peça consiste em quatro parcelas interconectadas, conectadas por uma celebração do casamento de Duke Teseu de Atenas e da rainha amazônica, Hippolyita, que é colocada simultaneamente na floresta e no reino da Fairia, sob a luz da lua.")</f>
        <v> A peça consiste em quatro parcelas interconectadas, conectadas por uma celebração do casamento de Duke Teseu de Atenas e da rainha amazônica, Hippolyita, que é colocada simultaneamente na floresta e no reino da Fairia, sob a luz da lua.</v>
      </c>
    </row>
    <row r="42" customFormat="false" ht="15.75" hidden="false" customHeight="true" outlineLevel="0" collapsed="false">
      <c r="A42" s="3" t="n">
        <v>39</v>
      </c>
      <c r="B42" s="5" t="s">
        <v>122</v>
      </c>
      <c r="C42" s="5" t="s">
        <v>123</v>
      </c>
      <c r="D42" s="5" t="s">
        <v>124</v>
      </c>
      <c r="E42" s="4" t="str">
        <f aca="false">IFERROR(__xludf.dummyfunction("GOOGLETRANSLATE(C43)"),"Quem é a primeira pessoa que foi para a lua")</f>
        <v>Quem é a primeira pessoa que foi para a lua</v>
      </c>
      <c r="F42" s="5" t="str">
        <f aca="false">IFERROR(__xludf.dummyfunction("GOOGLETRANSLATE(D42)")," Black Sails é uma série de drama de televisão americana criada por Jon Steinberg e Robert Levine para Starz que estreou em 25 de janeiro de 2014. É produzido pelo filme Afrika Worldwide e Platinum Dunes. Está escrito como um prequel do romance Treasure I"&amp;"sland, de Robert Louis Stevenson. A série foi renovada para uma quarta temporada em 31 de julho de 2015, antes da terceira temporada ter estreado. Em 20 de julho de 2016, Starz anunciou que a quarta temporada da série seria a última; A temporada estreou e"&amp;"m 29 de janeiro de 2017 e concluiu em 2 de abril de 2017. Durante o curso da série, 38 episódios de Black Sails foram ao ar em quatro temporadas.")</f>
        <v> Black Sails é uma série de drama de televisão americana criada por Jon Steinberg e Robert Levine para Starz que estreou em 25 de janeiro de 2014. É produzido pelo filme Afrika Worldwide e Platinum Dunes. Está escrito como um prequel do romance Treasure Island, de Robert Louis Stevenson. A série foi renovada para uma quarta temporada em 31 de julho de 2015, antes da terceira temporada ter estreado. Em 20 de julho de 2016, Starz anunciou que a quarta temporada da série seria a última; A temporada estreou em 29 de janeiro de 2017 e concluiu em 2 de abril de 2017. Durante o curso da série, 38 episódios de Black Sails foram ao ar em quatro temporadas.</v>
      </c>
    </row>
    <row r="43" customFormat="false" ht="15.75" hidden="false" customHeight="true" outlineLevel="0" collapsed="false">
      <c r="A43" s="3" t="n">
        <v>40</v>
      </c>
      <c r="B43" s="5" t="s">
        <v>125</v>
      </c>
      <c r="C43" s="5" t="s">
        <v>126</v>
      </c>
      <c r="D43" s="5" t="s">
        <v>127</v>
      </c>
      <c r="E43" s="4" t="str">
        <f aca="false">IFERROR(__xludf.dummyfunction("GOOGLETRANSLATE(C44)"),"Quando o primeiro filme da LEGO saiu")</f>
        <v>Quando o primeiro filme da LEGO saiu</v>
      </c>
      <c r="F43" s="5" t="str">
        <f aca="false">IFERROR(__xludf.dummyfunction("GOOGLETRANSLATE(D43)")," Neil Alden Armstrong (5 de agosto de 1930 - 25 de agosto de 2012) foi um astronauta americano e engenheiro aeronáutico que foi a primeira pessoa a andar na lua. Ele também era um aviador naval, piloto de teste e professor universitário.")</f>
        <v> Neil Alden Armstrong (5 de agosto de 1930 - 25 de agosto de 2012) foi um astronauta americano e engenheiro aeronáutico que foi a primeira pessoa a andar na lua. Ele também era um aviador naval, piloto de teste e professor universitário.</v>
      </c>
    </row>
    <row r="44" customFormat="false" ht="15.75" hidden="false" customHeight="true" outlineLevel="0" collapsed="false">
      <c r="A44" s="3" t="n">
        <v>41</v>
      </c>
      <c r="B44" s="5" t="s">
        <v>128</v>
      </c>
      <c r="C44" s="5" t="s">
        <v>129</v>
      </c>
      <c r="D44" s="5" t="s">
        <v>130</v>
      </c>
      <c r="E44" s="4" t="str">
        <f aca="false">IFERROR(__xludf.dummyfunction("GOOGLETRANSLATE(C45)"),"são metais puros feitos de átomos ou íons")</f>
        <v>são metais puros feitos de átomos ou íons</v>
      </c>
      <c r="F44" s="5" t="str">
        <f aca="false">IFERROR(__xludf.dummyfunction("GOOGLETRANSLATE(D44)"),"   Ano Título Production Studio (s) Notas 2014 O LEGO Movie Warner Animation Group lançou 2017 The Lego Batman Movie lançou o filme LEGO Ninjago lançado 2019 The Lego Movie Sequel em Development The Billion Brick Race")</f>
        <v>   Ano Título Production Studio (s) Notas 2014 O LEGO Movie Warner Animation Group lançou 2017 The Lego Batman Movie lançou o filme LEGO Ninjago lançado 2019 The Lego Movie Sequel em Development The Billion Brick Race</v>
      </c>
    </row>
    <row r="45" customFormat="false" ht="15.75" hidden="false" customHeight="true" outlineLevel="0" collapsed="false">
      <c r="A45" s="3" t="n">
        <v>42</v>
      </c>
      <c r="B45" s="5" t="s">
        <v>131</v>
      </c>
      <c r="C45" s="5" t="s">
        <v>132</v>
      </c>
      <c r="D45" s="5" t="s">
        <v>133</v>
      </c>
      <c r="E45" s="4" t="str">
        <f aca="false">IFERROR(__xludf.dummyfunction("GOOGLETRANSLATE(C46)"),"Que episódio em vitorioso é desistir")</f>
        <v>Que episódio em vitorioso é desistir</v>
      </c>
      <c r="F45" s="5" t="str">
        <f aca="false">IFERROR(__xludf.dummyfunction("GOOGLETRANSLATE(D45)")," Os átomos de substâncias metálicos são tipicamente dispostas em uma das três estruturas cristalinas comuns, a saber, cúbico centralizado (BCC), cúbico centralizado (FCC) e fechamento hexagonal (HCP). No BCC, cada átomo é posicionado no centro de um cubo "&amp;"de oito outros. Na FCC e HCP, cada átomo é cercado por doze outros, mas o empilhamento das camadas difere. Alguns metais adotam estruturas diferentes, dependendo da temperatura.")</f>
        <v> Os átomos de substâncias metálicos são tipicamente dispostas em uma das três estruturas cristalinas comuns, a saber, cúbico centralizado (BCC), cúbico centralizado (FCC) e fechamento hexagonal (HCP). No BCC, cada átomo é posicionado no centro de um cubo de oito outros. Na FCC e HCP, cada átomo é cercado por doze outros, mas o empilhamento das camadas difere. Alguns metais adotam estruturas diferentes, dependendo da temperatura.</v>
      </c>
    </row>
    <row r="46" customFormat="false" ht="15.75" hidden="false" customHeight="true" outlineLevel="0" collapsed="false">
      <c r="A46" s="3" t="n">
        <v>43</v>
      </c>
      <c r="B46" s="5" t="s">
        <v>134</v>
      </c>
      <c r="C46" s="5" t="s">
        <v>135</v>
      </c>
      <c r="D46" s="5" t="s">
        <v>136</v>
      </c>
      <c r="E46" s="4" t="str">
        <f aca="false">IFERROR(__xludf.dummyfunction("GOOGLETRANSLATE(C47)"),"movimento de moléculas em uma membrana alimentada por ATP")</f>
        <v>movimento de moléculas em uma membrana alimentada por ATP</v>
      </c>
      <c r="F46" s="5" t="str">
        <f aca="false">IFERROR(__xludf.dummyfunction("GOOGLETRANSLATE(D46)"),"   O título do episódio apresentado pela trilha sonora de uma única temporada `` pilot '' '`` Make It Shine' 'Tori Vega Sim Victorious `` The Birthweek Song' '`` Você' é a razão '' Tori Vega Sim Victorious `Jade Dumps Beck '' `` Chicago '' trina vega não "&amp;"n / a `` Tori the zumbie '' `` finalmente cai '' Tori Vega e Beck Oliver Sim Victorious `` Sobrevivência dos mais quentes '' '`` Faça brilhar' '`` Victorious' 'Elenco não n / a `` wi - fi no céu' '`` você' é o motivo '' trina vega no n / a `` The Great Pi"&amp;"ng Pong Scam '' `` Diga -me que você me ama '' Tori Vega e Andre Harris Sim Victorious `` Freak the Freak Out '' `Forever Baby '' Robbie Shapiro e Rex Powers Não N / A` `número um '' (também conhecido duet sikowitz em um solo no n / a `` desista '' gato n"&amp;"amorado e jade oeste sim vitorioso `` odeie -me, me ame '' hayley e tara não n / a `` loucura o esquisito '' Tori vega sim Victorious `` rex morre '' `` Forever Baby '' Tori Vega, Robbie Shapiro e Rex pode não Comida '' '`` Victorious' 'elenco não vitorio"&amp;"so' '`nariz música' 'Andre Harris não n / a` `você' é a razão '' trina vega no n / a` `canção2you '' Tori Vega e Andre Harris Sim Victorious `` Wok star '' `` voe para fora do poço '' Daisy Lee não n / a `` the Wood '' `` Forever Baby '' Tori Vega e Jade "&amp;"West no n / a `` `` `` `` `` `` `` `` `` '' '' '' '' '' '' '' '' '' '' '' '' '' '' '' '' '' '' '' '' '' '' '' para sempre bebê '' 'tori vega e jade west n / a' `` parado 'em seus joelhos' '`` `` `` `` ` Vega e Sikowitz no N / A `` Prom Jarcleer '' '`` Bes"&amp;"t Friend' Sr. '' '' Tori Vega, Cat Valentine e Andre Harris Sim Victorious `` trancado! '' `` Tudo que eu quero é tudo '' Tori Vega, Cat Valentine, Jade West e Trina Vega Sim Victorious `` Eu quero você de volta '' `` Victorious '' Elenco Sim Victorious `"&amp;"` Helen de volta '' `` ( Você não vi o) melhor de mim '' Trina Vega no n / a `` gato 's Broadway Song' 'Cat Valentine no n / a `` Make It Shine (Remix)' 'Tori Vega e Andre Harris Não N / a `` jade é esmagado '' `` 365 dias '' Tori Vega e Andre Harris Sim "&amp;"Victorious 3.0 (faixa bônus) `` ok Wheels On the Cupcake '' `` Victorious '' Coloque não n / a `` a Christmas Tori '' `` `Não é Natal sem você '' Tori Vega, Cat Valentine e Jade West Sim Merry Nickmas! `` The Breakfast Bunch '' `` Run, Run, Run Away '' De"&amp;"sconhecido Artista No N / A `` Nisso juntos '' Nikki Watkins no N / A `` Do não (esqueça de mim) '' Tori vega sim vitorioso 2.0 `` The Gorilla Club '' `` eu estou em chamas '' Robbie Shapiro e Andre Harris no n / a `` Andre 's Horrible Girl' '`` Countdown"&amp;"' 'Tori Vega e Andre Harris Sim Victorious 2.0 `` Tori &amp; Jade 's PlayDate' '`` Tire uma dica' 'Tori Vega e Jade West Sim Victorious 2.0 `` April Blank' '`Shut Up N' Dance ''` `Victorious '' Cast Sim Victorious 2.0 `` Driving Tori Crazy '' `5 Fingaz no ros"&amp;"to ''` `Victorious '' Elenco Sim Victorious 2.0` `Como Trina entrou em ''` `A piada está em você '' Trina Vega Não N / A `` Tori vai platinum '' `` faça isso na América '' Tori Vega Sim Victorious 2.0 `` Chegue -me (apenas uma 'dança)' 'Tori Vega Yes Vict"&amp;"orious 3.0 (faixa de bônus) `` The Blonde Squad' ' `` Eu acho que você é o swell '' robbie shapiro sim vitorioso 2.0 (faixa bônus) `` três garotas e um alce '' `` l.a. boyz '' tori vega e gato namorado sim vitorioso 3.0 `` Tori fixos beck e jade ' '`` Voc"&amp;"ê não me conhece' 'Jade West Sim Victorious 3,0 `` Mil Berry Balls' '`` aqui' S 2 nós '' Tori Vega e Andre Harris Sim Victorious 3.0 `` The Bad Commate '' `Mais rápido que Boyz '' Tori Vega e Andre Harris Sim Victorious 3.0` `Estrela - Spangled Tori ''` `"&amp;"Star - Spangled Banner '' Tori Vega Não N / A` `Bad Boys '' Tori Vega Sim Victorious 3.0")</f>
        <v>   O título do episódio apresentado pela trilha sonora de uma única temporada `` pilot '' '`` Make It Shine' 'Tori Vega Sim Victorious `` The Birthweek Song' '`` Você' é a razão '' Tori Vega Sim Victorious `Jade Dumps Beck '' `` Chicago '' trina vega não n / a `` Tori the zumbie '' `` finalmente cai '' Tori Vega e Beck Oliver Sim Victorious `` Sobrevivência dos mais quentes '' '`` Faça brilhar' '`` Victorious' 'Elenco não n / a `` wi - fi no céu' '`` você' é o motivo '' trina vega no n / a `` The Great Ping Pong Scam '' `` Diga -me que você me ama '' Tori Vega e Andre Harris Sim Victorious `` Freak the Freak Out '' `Forever Baby '' Robbie Shapiro e Rex Powers Não N / A` `número um '' (também conhecido duet sikowitz em um solo no n / a `` desista '' gato namorado e jade oeste sim vitorioso `` odeie -me, me ame '' hayley e tara não n / a `` loucura o esquisito '' Tori vega sim Victorious `` rex morre '' `` Forever Baby '' Tori Vega, Robbie Shapiro e Rex pode não Comida '' '`` Victorious' 'elenco não vitorioso' '`nariz música' 'Andre Harris não n / a` `você' é a razão '' trina vega no n / a` `canção2you '' Tori Vega e Andre Harris Sim Victorious `` Wok star '' `` voe para fora do poço '' Daisy Lee não n / a `` the Wood '' `` Forever Baby '' Tori Vega e Jade West no n / a `` `` `` `` `` `` `` `` `` '' '' '' '' '' '' '' '' '' '' '' '' '' '' '' '' '' '' '' '' '' '' '' para sempre bebê '' 'tori vega e jade west n / a' `` parado 'em seus joelhos' '`` `` `` `` ` Vega e Sikowitz no N / A `` Prom Jarcleer '' '`` Best Friend' Sr. '' '' Tori Vega, Cat Valentine e Andre Harris Sim Victorious `` trancado! '' `` Tudo que eu quero é tudo '' Tori Vega, Cat Valentine, Jade West e Trina Vega Sim Victorious `` Eu quero você de volta '' `` Victorious '' Elenco Sim Victorious `` Helen de volta '' `` ( Você não vi o) melhor de mim '' Trina Vega no n / a `` gato 's Broadway Song' 'Cat Valentine no n / a `` Make It Shine (Remix)' 'Tori Vega e Andre Harris Não N / a `` jade é esmagado '' `` 365 dias '' Tori Vega e Andre Harris Sim Victorious 3.0 (faixa bônus) `` ok Wheels On the Cupcake '' `` Victorious '' Coloque não n / a `` a Christmas Tori '' `` `Não é Natal sem você '' Tori Vega, Cat Valentine e Jade West Sim Merry Nickmas! `` The Breakfast Bunch '' `` Run, Run, Run Away '' Desconhecido Artista No N / A `` Nisso juntos '' Nikki Watkins no N / A `` Do não (esqueça de mim) '' Tori vega sim vitorioso 2.0 `` The Gorilla Club '' `` eu estou em chamas '' Robbie Shapiro e Andre Harris no n / a `` Andre 's Horrible Girl' '`` Countdown' 'Tori Vega e Andre Harris Sim Victorious 2.0 `` Tori &amp; Jade 's PlayDate' '`` Tire uma dica' 'Tori Vega e Jade West Sim Victorious 2.0 `` April Blank' '`Shut Up N' Dance ''` `Victorious '' Cast Sim Victorious 2.0 `` Driving Tori Crazy '' `5 Fingaz no rosto ''` `Victorious '' Elenco Sim Victorious 2.0` `Como Trina entrou em ''` `A piada está em você '' Trina Vega Não N / A `` Tori vai platinum '' `` faça isso na América '' Tori Vega Sim Victorious 2.0 `` Chegue -me (apenas uma 'dança)' 'Tori Vega Yes Victorious 3.0 (faixa de bônus) `` The Blonde Squad' ' `` Eu acho que você é o swell '' robbie shapiro sim vitorioso 2.0 (faixa bônus) `` três garotas e um alce '' `` l.a. boyz '' tori vega e gato namorado sim vitorioso 3.0 `` Tori fixos beck e jade ' '`` Você não me conhece' 'Jade West Sim Victorious 3,0 `` Mil Berry Balls' '`` aqui' S 2 nós '' Tori Vega e Andre Harris Sim Victorious 3.0 `` The Bad Commate '' `Mais rápido que Boyz '' Tori Vega e Andre Harris Sim Victorious 3.0` `Estrela - Spangled Tori ''` `Star - Spangled Banner '' Tori Vega Não N / A` `Bad Boys '' Tori Vega Sim Victorious 3.0</v>
      </c>
    </row>
    <row r="47" customFormat="false" ht="15.75" hidden="false" customHeight="true" outlineLevel="0" collapsed="false">
      <c r="A47" s="3" t="n">
        <v>44</v>
      </c>
      <c r="B47" s="5" t="s">
        <v>137</v>
      </c>
      <c r="C47" s="5" t="s">
        <v>138</v>
      </c>
      <c r="D47" s="5" t="s">
        <v>139</v>
      </c>
      <c r="E47" s="4" t="str">
        <f aca="false">IFERROR(__xludf.dummyfunction("GOOGLETRANSLATE(C48)"),"que vendeu Manhattan para os holandeses em 1626")</f>
        <v>que vendeu Manhattan para os holandeses em 1626</v>
      </c>
      <c r="F47" s="5" t="str">
        <f aca="false">IFERROR(__xludf.dummyfunction("GOOGLETRANSLATE(D47)")," O transporte ativo é o movimento de moléculas em uma membrana de uma região de menor concentração para uma região de sua maior concentração - na direção contra o gradiente de concentração. O transporte ativo requer energia celular para alcançar esse movi"&amp;"mento. Existem dois tipos de transporte ativo - transporte ativo primário que usa ATP e transporte ativo secundário que usa um gradiente eletroquímico. Um exemplo de transporte ativo na fisiologia humana é a captação de glicose no intestino.")</f>
        <v> O transporte ativo é o movimento de moléculas em uma membrana de uma região de menor concentração para uma região de sua maior concentração - na direção contra o gradiente de concentração. O transporte ativo requer energia celular para alcançar esse movimento. Existem dois tipos de transporte ativo - transporte ativo primário que usa ATP e transporte ativo secundário que usa um gradiente eletroquímico. Um exemplo de transporte ativo na fisiologia humana é a captação de glicose no intestino.</v>
      </c>
    </row>
    <row r="48" customFormat="false" ht="15.75" hidden="false" customHeight="true" outlineLevel="0" collapsed="false">
      <c r="A48" s="3" t="n">
        <v>45</v>
      </c>
      <c r="B48" s="5" t="s">
        <v>140</v>
      </c>
      <c r="C48" s="5" t="s">
        <v>141</v>
      </c>
      <c r="D48" s="5" t="s">
        <v>142</v>
      </c>
      <c r="E48" s="4" t="str">
        <f aca="false">IFERROR(__xludf.dummyfunction("GOOGLETRANSLATE(C49)"),"Cidade das estrelas você está brilhando só para mim o significado")</f>
        <v>Cidade das estrelas você está brilhando só para mim o significado</v>
      </c>
      <c r="F48" s="5" t="str">
        <f aca="false">IFERROR(__xludf.dummyfunction("GOOGLETRANSLATE(D48)")," Minuit é creditado por comprar a ilha de Manhattan dos nativos americanos em troca de mercadorias negociadas avaliadas em 60 guildistas. De acordo com o escritor Nathaniel Benchley, Minuit conduziu a transação com Seyseys, chefe das Canares, que estavam "&amp;"muito felizes em aceitar mercadorias valiosas em troca de uma ilha que era controlada principalmente pelos Weckquaesgeeks.")</f>
        <v> Minuit é creditado por comprar a ilha de Manhattan dos nativos americanos em troca de mercadorias negociadas avaliadas em 60 guildistas. De acordo com o escritor Nathaniel Benchley, Minuit conduziu a transação com Seyseys, chefe das Canares, que estavam muito felizes em aceitar mercadorias valiosas em troca de uma ilha que era controlada principalmente pelos Weckquaesgeeks.</v>
      </c>
    </row>
    <row r="49" customFormat="false" ht="15.75" hidden="false" customHeight="true" outlineLevel="0" collapsed="false">
      <c r="A49" s="3" t="n">
        <v>46</v>
      </c>
      <c r="B49" s="5" t="s">
        <v>143</v>
      </c>
      <c r="C49" s="5" t="s">
        <v>144</v>
      </c>
      <c r="D49" s="5" t="s">
        <v>145</v>
      </c>
      <c r="E49" s="4" t="str">
        <f aca="false">IFERROR(__xludf.dummyfunction("GOOGLETRANSLATE(C50)"),"quem tem sido o vencedor do Mestre de Ink")</f>
        <v>quem tem sido o vencedor do Mestre de Ink</v>
      </c>
      <c r="F49" s="5" t="str">
        <f aca="false">IFERROR(__xludf.dummyfunction("GOOGLETRANSLATE(D49)"),"  `` A música) começou no piano comigo apenas trabalhando em demos para Damien, enviando idéias até que algo realmente desencadeou. É tão engraçado que isso e `` audição '' são as duas músicas que as pessoas parecem estar respondendo mais, pelo menos até "&amp;"agora, porque tinham processos semelhantes no sentido de que provavelmente tinham a menor quantidade de confusão em O estágio de demonstração de piano. (...) Eu estava apenas compondo isso de um lugar emocional e pensando sobre o tom. Eu diria que o tom é"&amp;" esperançoso, mas melancólico ao mesmo tempo. E meio que remonta - e - entre a Cadencing em Major e a Cadencing em Minor, porque acho que é o que é a música. Você tem esses ótimos momentos e depois tem esses momentos menos ótimos na vida e em Los Angeles "&amp;"e vemos isso acontecer na história. Eu estava pensando um pouco nessa ideia e apenas tentando compor uma melodia que eu pensei que era bem torneada e bonita. Eu acho que tem algumas inflexões de jazz, porque é algo que Sebastian toca no piano. ''")</f>
        <v>  `` A música) começou no piano comigo apenas trabalhando em demos para Damien, enviando idéias até que algo realmente desencadeou. É tão engraçado que isso e `` audição '' são as duas músicas que as pessoas parecem estar respondendo mais, pelo menos até agora, porque tinham processos semelhantes no sentido de que provavelmente tinham a menor quantidade de confusão em O estágio de demonstração de piano. (...) Eu estava apenas compondo isso de um lugar emocional e pensando sobre o tom. Eu diria que o tom é esperançoso, mas melancólico ao mesmo tempo. E meio que remonta - e - entre a Cadencing em Major e a Cadencing em Minor, porque acho que é o que é a música. Você tem esses ótimos momentos e depois tem esses momentos menos ótimos na vida e em Los Angeles e vemos isso acontecer na história. Eu estava pensando um pouco nessa ideia e apenas tentando compor uma melodia que eu pensei que era bem torneada e bonita. Eu acho que tem algumas inflexões de jazz, porque é algo que Sebastian toca no piano. ''</v>
      </c>
    </row>
    <row r="50" customFormat="false" ht="15.75" hidden="false" customHeight="true" outlineLevel="0" collapsed="false">
      <c r="A50" s="3" t="n">
        <v>47</v>
      </c>
      <c r="B50" s="5" t="s">
        <v>146</v>
      </c>
      <c r="C50" s="5" t="s">
        <v>147</v>
      </c>
      <c r="D50" s="5" t="s">
        <v>148</v>
      </c>
      <c r="E50" s="4" t="str">
        <f aca="false">IFERROR(__xludf.dummyfunction("GOOGLETRANSLATE(C51)"),"Em que ano o filme Deuces saiu")</f>
        <v>Em que ano o filme Deuces saiu</v>
      </c>
      <c r="F50" s="5" t="str">
        <f aca="false">IFERROR(__xludf.dummyfunction("GOOGLETRANSLATE(D50)"),"   A vencedora dos participantes da temporada, vice -campeão do terceiro lugar, foi ao ar juízes ao ar dos últimos juízes (Ordem da Presidente) 10 Shane O'Neill Tommy Helm James Vaughn Título de Ink Master $ 100.000 na revista Inked 17 de janeiro de 2012 "&amp;"6 de março de 2012 Oliver Peck Dave Navarro Chris Nuñez 16 Steft Sarah Miller Sebastian Murphy 9 de outubro de 2012 18 de dezembro de 2012 16 Joey Hamilton Jime Litwalk Katherine `` Tatu Baby '' Flores 16 de julho de 2013 8 de outubro de 2013 17 Scott Mar"&amp;"shall Walter `` Sausage '' Frank Matti Hixson Hixson 25 de fevereiro, 25 de fevereiro, 2014 20 de maio de 2014 5 16 Jason Clay Dunn Cleen Rock One Erik Siuda 2 de setembro de 2014 16 de dezembro de 2014 6 18 Dave Kruseman Chris Blinston Matt O'Baugh Títul"&amp;"o de Ink Master $ 100.000 na revista Inked 2015 Dodge Challenger 23 de junho de 2015 de outubro de 2015 13, 2015 7 16 Anthony Michaels Cleen Rock One Christian Buckingham Título de Ink Master $ 100.000 Recurso na revista Inked 1 de março de 2016 24 de mai"&amp;"o de 2016 8 18 18 Ryan Ashley malarkey Gian Karle Cruz Kelly Doty Título de Ink Master $ 100.000 Feature in Inked Magazine Dodge Charger Um artista convidado na loja de tatuagens de Nunez ou Peck. 23 de agosto de 2016 6 de dezembro de 2016 9 36 TATOOS DE "&amp;"COBRA CIDADE ANTIGA (BUBBA IRWIN &amp; DJ TAMBE) Tatuagens de cobra preta (Matt O'Baugh e Katie McGowan) Tattoo de Basílica (Christian Buckingham e Noelin Wheeler) Título do Mestre de Ink $ 200.000 em Revista Inked Magazine Título da `` Master Shop '', 6 de j"&amp;"unho de 2017, 26 de setembro de 2017")</f>
        <v>   A vencedora dos participantes da temporada, vice -campeão do terceiro lugar, foi ao ar juízes ao ar dos últimos juízes (Ordem da Presidente) 10 Shane O'Neill Tommy Helm James Vaughn Título de Ink Master $ 100.000 na revista Inked 17 de janeiro de 2012 6 de março de 2012 Oliver Peck Dave Navarro Chris Nuñez 16 Steft Sarah Miller Sebastian Murphy 9 de outubro de 2012 18 de dezembro de 2012 16 Joey Hamilton Jime Litwalk Katherine `` Tatu Baby '' Flores 16 de julho de 2013 8 de outubro de 2013 17 Scott Marshall Walter `` Sausage '' Frank Matti Hixson Hixson 25 de fevereiro, 25 de fevereiro, 2014 20 de maio de 2014 5 16 Jason Clay Dunn Cleen Rock One Erik Siuda 2 de setembro de 2014 16 de dezembro de 2014 6 18 Dave Kruseman Chris Blinston Matt O'Baugh Título de Ink Master $ 100.000 na revista Inked 2015 Dodge Challenger 23 de junho de 2015 de outubro de 2015 13, 2015 7 16 Anthony Michaels Cleen Rock One Christian Buckingham Título de Ink Master $ 100.000 Recurso na revista Inked 1 de março de 2016 24 de maio de 2016 8 18 18 Ryan Ashley malarkey Gian Karle Cruz Kelly Doty Título de Ink Master $ 100.000 Feature in Inked Magazine Dodge Charger Um artista convidado na loja de tatuagens de Nunez ou Peck. 23 de agosto de 2016 6 de dezembro de 2016 9 36 TATOOS DE COBRA CIDADE ANTIGA (BUBBA IRWIN &amp; DJ TAMBE) Tatuagens de cobra preta (Matt O'Baugh e Katie McGowan) Tattoo de Basílica (Christian Buckingham e Noelin Wheeler) Título do Mestre de Ink $ 200.000 em Revista Inked Magazine Título da `` Master Shop '', 6 de junho de 2017, 26 de setembro de 2017</v>
      </c>
    </row>
    <row r="51" customFormat="false" ht="15.75" hidden="false" customHeight="true" outlineLevel="0" collapsed="false">
      <c r="A51" s="3" t="n">
        <v>48</v>
      </c>
      <c r="B51" s="5" t="s">
        <v>149</v>
      </c>
      <c r="C51" s="5" t="s">
        <v>150</v>
      </c>
      <c r="D51" s="5" t="s">
        <v>151</v>
      </c>
      <c r="E51" s="4" t="str">
        <f aca="false">IFERROR(__xludf.dummyfunction("GOOGLETRANSLATE(C52)"),"Quem é o atual ministro do Esporte da Índia")</f>
        <v>Quem é o atual ministro do Esporte da Índia</v>
      </c>
      <c r="F51" s="5" t="str">
        <f aca="false">IFERROR(__xludf.dummyfunction("GOOGLETRANSLATE(D51)")," Deuces é um drama criminal americano escrito e dirigido por Jamal Hill. O filme é estrelado por Larenz Tate, Meagan Good, Lance Gross e Siya. O filme é produzido pela rainha Latifah para sua empresa de produção de entretenimento da unidade de flavors. De"&amp;"uces estreou na Netflix em 1º de abril de 2017.")</f>
        <v> Deuces é um drama criminal americano escrito e dirigido por Jamal Hill. O filme é estrelado por Larenz Tate, Meagan Good, Lance Gross e Siya. O filme é produzido pela rainha Latifah para sua empresa de produção de entretenimento da unidade de flavors. Deuces estreou na Netflix em 1º de abril de 2017.</v>
      </c>
    </row>
    <row r="52" customFormat="false" ht="15.75" hidden="false" customHeight="true" outlineLevel="0" collapsed="false">
      <c r="A52" s="3" t="n">
        <v>49</v>
      </c>
      <c r="B52" s="5" t="s">
        <v>152</v>
      </c>
      <c r="C52" s="5" t="s">
        <v>153</v>
      </c>
      <c r="D52" s="5" t="s">
        <v>154</v>
      </c>
      <c r="E52" s="4" t="str">
        <f aca="false">IFERROR(__xludf.dummyfunction("GOOGLETRANSLATE(C53)"),"Quem tem mais seguidores no Instagram no mundo")</f>
        <v>Quem tem mais seguidores no Instagram no mundo</v>
      </c>
      <c r="F52" s="5" t="str">
        <f aca="false">IFERROR(__xludf.dummyfunction("GOOGLETRANSLATE(D52)")," O Ministério dos Assuntos da Juventude e Esportes, um ramo do governo da Índia, que administra o Departamento de Assuntos da Juventude e o Departamento de Esportes da Índia. O ministério também ignora a Organização dos Jogos da Commonwealth 2010. Em julh"&amp;"o de 2016, o Ministro de Assuntos da Juventude e Esportes é o Ministro de Estado (acusação independente) Rajyavardhan Singh Rathore")</f>
        <v> O Ministério dos Assuntos da Juventude e Esportes, um ramo do governo da Índia, que administra o Departamento de Assuntos da Juventude e o Departamento de Esportes da Índia. O ministério também ignora a Organização dos Jogos da Commonwealth 2010. Em julho de 2016, o Ministro de Assuntos da Juventude e Esportes é o Ministro de Estado (acusação independente) Rajyavardhan Singh Rathore</v>
      </c>
    </row>
    <row r="53" customFormat="false" ht="15.75" hidden="false" customHeight="true" outlineLevel="0" collapsed="false">
      <c r="A53" s="3" t="n">
        <v>50</v>
      </c>
      <c r="B53" s="5" t="s">
        <v>155</v>
      </c>
      <c r="C53" s="5" t="s">
        <v>156</v>
      </c>
      <c r="D53" s="5" t="s">
        <v>157</v>
      </c>
      <c r="E53" s="4" t="str">
        <f aca="false">IFERROR(__xludf.dummyfunction("GOOGLETRANSLATE(C54)"),"onde estava a vida ou algo assim filmado")</f>
        <v>onde estava a vida ou algo assim filmado</v>
      </c>
      <c r="F53" s="5" t="str">
        <f aca="false">IFERROR(__xludf.dummyfunction("GOOGLETRANSLATE(D53)"),"   Classificação CHG Nome da conta Proprietário Seguidores (milhões) Profissão País 1. @ Instagram Instagram 235 Plataforma de mídia social EUA 2. @ Selenagomez Selena Gomez 137 Músico e Atriz EUA 3. @ Cristiano Cristiano Ronaldo 126 jogador de futebol po"&amp;"r 4. @ Arianagrande Ariana Grande 119 Músico e Atriz EUA 5. @ Beyonce Beyoncé 115 Músico e Atriz EUA 6. @ Kimkardashian Kim Kardashian 111 Reality TV Personality EUA 7. @ Kyliejenner Kylie Jenner 109 Reality TV Personality EUA 8. @ Taylorswift Taylor Swif"&amp;"t 108 Músico e Atriz EUA 9. @ Therock Dwayne Johnson 107 Ator e lutador profissional EUA 10. @ Justinbieber Justin Bieber 100 Músico Can 11. @ Neymarjr Neymar 93 BRA de futebol 12. @ Leomessi Lionel Messi 91 jogador de futebol arg 13. @ Kendalljenner Kend"&amp;"all Jenner 90 Modelo EUA 14. @ Natgeo National Geographic 88 Revista EUA 15. @ Nickiminaj Nicki Minaj 86 Músico Tri 16. @ Nike Nike 77 Sportswear Multinational Corporation EUA 17. @ Khloekardashian Khloé Kardashian 76 Reality TV Personalidade EUA 18. @ Mi"&amp;"leycyrus Miley Cyrus 75 Músico e Atriz EUA 19. @ JLO Jennifer Lopez 75 Músico e Atriz EUA 20. @ Katyperry Katy Perry 69 Músico dos EUA 21. @ ddlovato demi lovato 67 músico e atriz EUA 22. @ Kourtneykardash Kourtney Kardashian 63 Reality TV Personalidade E"&amp;"UA 23. @ Badgalriri Rihanna 62 Musician Bar 24. @ VictoriasseCret Victoria Secret 59 Lingerie Retailer USA 25. @ kevinhart4real kevin hart 59 comediante EUA em 13 de maio de 2018")</f>
        <v>   Classificação CHG Nome da conta Proprietário Seguidores (milhões) Profissão País 1. @ Instagram Instagram 235 Plataforma de mídia social EUA 2. @ Selenagomez Selena Gomez 137 Músico e Atriz EUA 3. @ Cristiano Cristiano Ronaldo 126 jogador de futebol por 4. @ Arianagrande Ariana Grande 119 Músico e Atriz EUA 5. @ Beyonce Beyoncé 115 Músico e Atriz EUA 6. @ Kimkardashian Kim Kardashian 111 Reality TV Personality EUA 7. @ Kyliejenner Kylie Jenner 109 Reality TV Personality EUA 8. @ Taylorswift Taylor Swift 108 Músico e Atriz EUA 9. @ Therock Dwayne Johnson 107 Ator e lutador profissional EUA 10. @ Justinbieber Justin Bieber 100 Músico Can 11. @ Neymarjr Neymar 93 BRA de futebol 12. @ Leomessi Lionel Messi 91 jogador de futebol arg 13. @ Kendalljenner Kendall Jenner 90 Modelo EUA 14. @ Natgeo National Geographic 88 Revista EUA 15. @ Nickiminaj Nicki Minaj 86 Músico Tri 16. @ Nike Nike 77 Sportswear Multinational Corporation EUA 17. @ Khloekardashian Khloé Kardashian 76 Reality TV Personalidade EUA 18. @ Mileycyrus Miley Cyrus 75 Músico e Atriz EUA 19. @ JLO Jennifer Lopez 75 Músico e Atriz EUA 20. @ Katyperry Katy Perry 69 Músico dos EUA 21. @ ddlovato demi lovato 67 músico e atriz EUA 22. @ Kourtneykardash Kourtney Kardashian 63 Reality TV Personalidade EUA 23. @ Badgalriri Rihanna 62 Musician Bar 24. @ VictoriasseCret Victoria Secret 59 Lingerie Retailer USA 25. @ kevinhart4real kevin hart 59 comediante EUA em 13 de maio de 2018</v>
      </c>
    </row>
    <row r="54" customFormat="false" ht="15.75" hidden="false" customHeight="true" outlineLevel="0" collapsed="false">
      <c r="A54" s="3" t="n">
        <v>51</v>
      </c>
      <c r="B54" s="5" t="s">
        <v>158</v>
      </c>
      <c r="C54" s="5" t="s">
        <v>159</v>
      </c>
      <c r="D54" s="5" t="s">
        <v>160</v>
      </c>
      <c r="E54" s="4" t="str">
        <f aca="false">IFERROR(__xludf.dummyfunction("GOOGLETRANSLATE(C55)"),"O posto mais alto no Departamento de Polícia de Karnataka State é")</f>
        <v>O posto mais alto no Departamento de Polícia de Karnataka State é</v>
      </c>
      <c r="F54" s="5" t="str">
        <f aca="false">IFERROR(__xludf.dummyfunction("GOOGLETRANSLATE(D54)")," A maior parte do filme foi filmada em Seattle, Washington, embora porções tenham sido filmadas no centro de Vancouver. A estação de TV do filme, KQMO, era realmente real - Life Seattle TV Station KOMO - TV (o logotipo do KOMO foi alterado no set de Komo "&amp;"4 News e em vários dos veículos do Komo, além de algumas bandeiras de microfone ).")</f>
        <v> A maior parte do filme foi filmada em Seattle, Washington, embora porções tenham sido filmadas no centro de Vancouver. A estação de TV do filme, KQMO, era realmente real - Life Seattle TV Station KOMO - TV (o logotipo do KOMO foi alterado no set de Komo 4 News e em vários dos veículos do Komo, além de algumas bandeiras de microfone ).</v>
      </c>
    </row>
    <row r="55" customFormat="false" ht="15.75" hidden="false" customHeight="true" outlineLevel="0" collapsed="false">
      <c r="A55" s="3" t="n">
        <v>52</v>
      </c>
      <c r="B55" s="5" t="s">
        <v>161</v>
      </c>
      <c r="C55" s="5" t="s">
        <v>162</v>
      </c>
      <c r="D55" s="5" t="s">
        <v>163</v>
      </c>
      <c r="E55" s="4" t="str">
        <f aca="false">IFERROR(__xludf.dummyfunction("GOOGLETRANSLATE(C56)"),"É um feriado bancário hoje na Espanha")</f>
        <v>É um feriado bancário hoje na Espanha</v>
      </c>
      <c r="F55" s="5" t="str">
        <f aca="false">IFERROR(__xludf.dummyfunction("GOOGLETRANSLATE(D55)")," O Diretor Geral e Inspetor Geral de Polícia (DG &amp; IGP) é o chefe do Departamento de Polícia do Estado, e sob ele são diretores adicionais generais da polícia. Cada diretor geral adicional de polícia é responsável por uma função específica: lei e ordem, s"&amp;"erviços de crime e técnico, administração, inteligência, Polícia de Reserva Estadual de Karnataka, recrutamento e treinamento.")</f>
        <v> O Diretor Geral e Inspetor Geral de Polícia (DG &amp; IGP) é o chefe do Departamento de Polícia do Estado, e sob ele são diretores adicionais generais da polícia. Cada diretor geral adicional de polícia é responsável por uma função específica: lei e ordem, serviços de crime e técnico, administração, inteligência, Polícia de Reserva Estadual de Karnataka, recrutamento e treinamento.</v>
      </c>
    </row>
    <row r="56" customFormat="false" ht="15.75" hidden="false" customHeight="true" outlineLevel="0" collapsed="false">
      <c r="A56" s="3" t="n">
        <v>53</v>
      </c>
      <c r="B56" s="5" t="s">
        <v>164</v>
      </c>
      <c r="C56" s="5" t="s">
        <v>165</v>
      </c>
      <c r="D56" s="5" t="s">
        <v>166</v>
      </c>
      <c r="E56" s="4" t="str">
        <f aca="false">IFERROR(__xludf.dummyfunction("GOOGLETRANSLATE(C57)"),"que interpretou o ladrão de banco em Dirty Harry")</f>
        <v>que interpretou o ladrão de banco em Dirty Harry</v>
      </c>
      <c r="F56" s="5" t="str">
        <f aca="false">IFERROR(__xludf.dummyfunction("GOOGLETRANSLATE(D56)"),"     Comunidades autônomas Data Nome em inglês Nome nativo 1 de janeiro de 1º de janeiro (feriado nacional) Ano Novo 1 de março Dia Regional Dia Les Illes Balears e 19 de março de St. Joseph's Day de San José Ml y y y y y y y y y y y y y y y y y y y y y y"&amp;" y y y y y y y y y y y y y y y y y y y y y y y y y y y y y y y y y y y y y y y y y y y y y y y y y y y y y y y y y y y y y y y y y y y y y y y y ye Aragon) And day of Castilla y León and May 1 Labour Day (National Holiday) Labor Day and Y y y y y y y y y "&amp;"y y y y May regional regional holiday party of the community of Madrid and May 17 regional holiday (galician literature day) Canary Islands and May 31 Holiday Day da região de Castilla - La Mancha e maio ou junho Corpus Christi Corpus Christi e 9 de junho"&amp;" do dia regional do feriado da região de Murcia e do dia do Rioja e 24 de junho de St. John's Day Joan e 25 de julho Saint James Santiago Apóstol e 15 de agosto de 15 de agosto (feriado nacional) ASUNCION y y y y y y y y y y y y y y 2 de setembro 2 de fér"&amp;"ias municipais do dia 8 de setembro Dia de férias regional do feriado e dia da extremada e septermber 11 Dia Nacional do Dia da Catalonia e 9 de outubro Holorys de Holiday de Catalunya e Sep. Day of the Valencian Community and October 12 Festival of Spain"&amp;" (National Holiday) National Festival of Spain and Y Y Y Y Y Y Y Y Y Y Y Y Y Y Y Y Y Y Y Y Y Y Y Y Y Y Y Y Y Y Y Y Y Y Y Y Y Y Y Y Y Y Y Y Y Y Y Y Y Y Y Y Y Y Y Y Y Y Y Y Y Y Y Y Y Y Y Y Y Y Y Y Y Y Y Y Y Y Y Y Y Y Y Y Y Y Y and Y and Y and and Y and Y an"&amp;"d Y and Y and Y and Y and Y and Y and Y and Y y y y y y y Y and YE Day of all the saints and y y y y y y y y y y y y y December 6 constitution Y y y y y y y y y y y y y December 26 st. Stephen 'S Day Sant Esteve And and variable Islamic Feast of the sacri"&amp;"fice or eid al - adha celebration of the sacrifice and")</f>
        <v>     Comunidades autônomas Data Nome em inglês Nome nativo 1 de janeiro de 1º de janeiro (feriado nacional) Ano Novo 1 de março Dia Regional Dia Les Illes Balears e 19 de março de St. Joseph's Day de San José Ml y y y y y y y y y y y y y y y y y y y y y y y y y y y y y y y y y y y y y y y y y y y y y y y y y y y y y y y y y y y y y y y y y y y y y y y y y y y y y y y y y y y y y y y y y y y y y y ye Aragon) And day of Castilla y León and May 1 Labour Day (National Holiday) Labor Day and Y y y y y y y y y y y y y May regional regional holiday party of the community of Madrid and May 17 regional holiday (galician literature day) Canary Islands and May 31 Holiday Day da região de Castilla - La Mancha e maio ou junho Corpus Christi Corpus Christi e 9 de junho do dia regional do feriado da região de Murcia e do dia do Rioja e 24 de junho de St. John's Day Joan e 25 de julho Saint James Santiago Apóstol e 15 de agosto de 15 de agosto (feriado nacional) ASUNCION y y y y y y y y y y y y y y 2 de setembro 2 de férias municipais do dia 8 de setembro Dia de férias regional do feriado e dia da extremada e septermber 11 Dia Nacional do Dia da Catalonia e 9 de outubro Holorys de Holiday de Catalunya e Sep. Day of the Valencian Community and October 12 Festival of Spain (National Holiday) National Festival of Spain and Y Y Y Y Y Y Y Y Y Y Y Y Y Y Y Y Y Y Y Y Y Y Y Y Y Y Y Y Y Y Y Y Y Y Y Y Y Y Y Y Y Y Y Y Y Y Y Y Y Y Y Y Y Y Y Y Y Y Y Y Y Y Y Y Y Y Y Y Y Y Y Y Y Y Y Y Y Y Y Y Y Y Y Y Y Y Y and Y and Y and and Y and Y and Y and Y and Y and Y and Y and Y and Y and Y y y y y y y Y and YE Day of all the saints and y y y y y y y y y y y y y December 6 constitution Y y y y y y y y y y y y y December 26 st. Stephen 'S Day Sant Esteve And and variable Islamic Feast of the sacrifice or eid al - adha celebration of the sacrifice and</v>
      </c>
    </row>
    <row r="57" customFormat="false" ht="15.75" hidden="false" customHeight="true" outlineLevel="0" collapsed="false">
      <c r="A57" s="3" t="n">
        <v>54</v>
      </c>
      <c r="B57" s="5" t="s">
        <v>167</v>
      </c>
      <c r="C57" s="5" t="s">
        <v>168</v>
      </c>
      <c r="D57" s="5" t="s">
        <v>169</v>
      </c>
      <c r="E57" s="4" t="str">
        <f aca="false">IFERROR(__xludf.dummyfunction("GOOGLETRANSLATE(C58)"),"Qual é o valor da Igreja Católica")</f>
        <v>Qual é o valor da Igreja Católica</v>
      </c>
      <c r="F57" s="5" t="str">
        <f aca="false">IFERROR(__xludf.dummyfunction("GOOGLETRANSLATE(D57)")," Dirty Harry (1971) - Ladrão de bancos (sem créditos)")</f>
        <v> Dirty Harry (1971) - Ladrão de bancos (sem créditos)</v>
      </c>
    </row>
    <row r="58" customFormat="false" ht="15.75" hidden="false" customHeight="true" outlineLevel="0" collapsed="false">
      <c r="A58" s="3" t="n">
        <v>55</v>
      </c>
      <c r="B58" s="5" t="s">
        <v>170</v>
      </c>
      <c r="C58" s="5" t="s">
        <v>171</v>
      </c>
      <c r="D58" s="5" t="s">
        <v>172</v>
      </c>
      <c r="E58" s="4" t="str">
        <f aca="false">IFERROR(__xludf.dummyfunction("GOOGLETRANSLATE(C59)"),"Onde está o melhor solo agrícola nos EUA e de onde veio toda a sujeira")</f>
        <v>Onde está o melhor solo agrícola nos EUA e de onde veio toda a sujeira</v>
      </c>
      <c r="F58" s="5" t="str">
        <f aca="false">IFERROR(__xludf.dummyfunction("GOOGLETRANSLATE(D58)"),"   Organização Worth Country Notes Igreja Católica $ 140 bilhões + Vaticano A Igreja de Jesus Cristo de Última - Santos do Dias, US $ 67 bilhões + Igreja dos Estados Unidos da Inglaterra $ 7,8 bilhões do Reino Unido Opus dei (parte da Igreja Católica) $ 2"&amp;",8 bilhões Itália Igreja da Scientology $ 2,0 bilhões unidos Estados")</f>
        <v>   Organização Worth Country Notes Igreja Católica $ 140 bilhões + Vaticano A Igreja de Jesus Cristo de Última - Santos do Dias, US $ 67 bilhões + Igreja dos Estados Unidos da Inglaterra $ 7,8 bilhões do Reino Unido Opus dei (parte da Igreja Católica) $ 2,8 bilhões Itália Igreja da Scientology $ 2,0 bilhões unidos Estados</v>
      </c>
    </row>
    <row r="59" customFormat="false" ht="15.75" hidden="false" customHeight="true" outlineLevel="0" collapsed="false">
      <c r="A59" s="3" t="n">
        <v>56</v>
      </c>
      <c r="B59" s="5" t="s">
        <v>173</v>
      </c>
      <c r="C59" s="5" t="s">
        <v>174</v>
      </c>
      <c r="D59" s="5" t="s">
        <v>175</v>
      </c>
      <c r="E59" s="4" t="str">
        <f aca="false">IFERROR(__xludf.dummyfunction("GOOGLETRANSLATE(C60)"),"O par de tambores de mão usado na música clássica indiana é chamada")</f>
        <v>O par de tambores de mão usado na música clássica indiana é chamada</v>
      </c>
      <c r="F59" s="5" t="str">
        <f aca="false">IFERROR(__xludf.dummyfunction("GOOGLETRANSLATE(D59)")," A região de sujeira negra leva o nome do solo escuro e extremamente fértil que sobrou de um antigo fundo glacial do lago aumentado por décadas de inundações passadas do rio Wallkill. Os 26.000 acres (10.400 ha) da sujeira sobrando são a maior concentraçã"&amp;"o de solo desse solo nos Estados Unidos do lado de fora dos Everglades da Flórida.")</f>
        <v> A região de sujeira negra leva o nome do solo escuro e extremamente fértil que sobrou de um antigo fundo glacial do lago aumentado por décadas de inundações passadas do rio Wallkill. Os 26.000 acres (10.400 ha) da sujeira sobrando são a maior concentração de solo desse solo nos Estados Unidos do lado de fora dos Everglades da Flórida.</v>
      </c>
    </row>
    <row r="60" customFormat="false" ht="15.75" hidden="false" customHeight="true" outlineLevel="0" collapsed="false">
      <c r="A60" s="3" t="n">
        <v>57</v>
      </c>
      <c r="B60" s="5" t="s">
        <v>176</v>
      </c>
      <c r="C60" s="5" t="s">
        <v>177</v>
      </c>
      <c r="D60" s="5" t="s">
        <v>178</v>
      </c>
      <c r="E60" s="4" t="str">
        <f aca="false">IFERROR(__xludf.dummyfunction("GOOGLETRANSLATE(C61)"),"De onde vem o termo oficial mesquinho")</f>
        <v>De onde vem o termo oficial mesquinho</v>
      </c>
      <c r="F60" s="5" t="str">
        <f aca="false">IFERROR(__xludf.dummyfunction("GOOGLETRANSLATE(D60)")," O tabla consiste em dois pequenos tambores pequenos de tambores e formas ligeiramente diferentes: Daya também chamou Dahina Significado Right (também chamado de `` tabla ''), e Baya também chamou Bahina Significado para a esquerda (também chamado de `` d"&amp;"agga '' ). A Tabla Daya é tocada pela mão direita do músico (mão dominante) e tem cerca de 15 centímetros de diâmetro e 25 centímetros de altura. O Baya Tabla é um pouco maior e profundo em forma de kettledrum, cerca de 20 centímetros de diâmetro e 25 cen"&amp;"tímetros (~ 10 polegadas) de altura. Cada um é feito de madeira escavada ou argila ou latão, o tambor da Daya atado com argolas, tiras e cavilhas de madeira nos lados. As cavilhas e aros são usados ​​para apertar a tensão da membrana. O Daya está sintoniz"&amp;"ado com a nota do Raga chamada SA (música tônica na Índia). A construção e o ajuste de Baya são cerca de uma quinta a uma oitava abaixo da do tambor de Daya. O músico usa a pressão do calcanhar de sua mão para alterar a cor de tom e tonificar de cada tamb"&amp;"or durante uma apresentação.")</f>
        <v> O tabla consiste em dois pequenos tambores pequenos de tambores e formas ligeiramente diferentes: Daya também chamou Dahina Significado Right (também chamado de `` tabla ''), e Baya também chamou Bahina Significado para a esquerda (também chamado de `` dagga '' ). A Tabla Daya é tocada pela mão direita do músico (mão dominante) e tem cerca de 15 centímetros de diâmetro e 25 centímetros de altura. O Baya Tabla é um pouco maior e profundo em forma de kettledrum, cerca de 20 centímetros de diâmetro e 25 centímetros (~ 10 polegadas) de altura. Cada um é feito de madeira escavada ou argila ou latão, o tambor da Daya atado com argolas, tiras e cavilhas de madeira nos lados. As cavilhas e aros são usados ​​para apertar a tensão da membrana. O Daya está sintonizado com a nota do Raga chamada SA (música tônica na Índia). A construção e o ajuste de Baya são cerca de uma quinta a uma oitava abaixo da do tambor de Daya. O músico usa a pressão do calcanhar de sua mão para alterar a cor de tom e tonificar de cada tambor durante uma apresentação.</v>
      </c>
    </row>
    <row r="61" customFormat="false" ht="15.75" hidden="false" customHeight="true" outlineLevel="0" collapsed="false">
      <c r="A61" s="3" t="n">
        <v>58</v>
      </c>
      <c r="B61" s="5" t="s">
        <v>179</v>
      </c>
      <c r="C61" s="5" t="s">
        <v>180</v>
      </c>
      <c r="D61" s="5" t="s">
        <v>181</v>
      </c>
      <c r="E61" s="4" t="str">
        <f aca="false">IFERROR(__xludf.dummyfunction("GOOGLETRANSLATE(C62)"),"o que as cores dos anéis olímpicos significam")</f>
        <v>o que as cores dos anéis olímpicos significam</v>
      </c>
      <c r="F61" s="5" t="str">
        <f aca="false">IFERROR(__xludf.dummyfunction("GOOGLETRANSLATE(D61)")," O moderno policiante remonta à era da vela. Os oficiais mesquinhos classificam entre oficiais navais (comissionados e mandados) e a maioria dos marinheiros alistados. Esses eram homens com alguma reivindicação de oficial, o suficiente para distingui -los"&amp;" das classificações comuns, sem levantá -los tão altos quanto os oficiais do mar. Vários eram oficiais de garantia, no sentido literal de serem nomeados por mandado e, como os oficiais do Sea Warrand, seus superiores, eles geralmente estavam entre os espe"&amp;"cialistas da empresa do navio. O dicionário de Oxford English sugere que o título deriva do anglo - Norman e do meio do francês `` petit '', o que significa `` de tamanho pequeno, pequeno, pequeno ''.")</f>
        <v> O moderno policiante remonta à era da vela. Os oficiais mesquinhos classificam entre oficiais navais (comissionados e mandados) e a maioria dos marinheiros alistados. Esses eram homens com alguma reivindicação de oficial, o suficiente para distingui -los das classificações comuns, sem levantá -los tão altos quanto os oficiais do mar. Vários eram oficiais de garantia, no sentido literal de serem nomeados por mandado e, como os oficiais do Sea Warrand, seus superiores, eles geralmente estavam entre os especialistas da empresa do navio. O dicionário de Oxford English sugere que o título deriva do anglo - Norman e do meio do francês `` petit '', o que significa `` de tamanho pequeno, pequeno, pequeno ''.</v>
      </c>
    </row>
    <row r="62" customFormat="false" ht="15.75" hidden="false" customHeight="true" outlineLevel="0" collapsed="false">
      <c r="A62" s="3" t="n">
        <v>59</v>
      </c>
      <c r="B62" s="5" t="s">
        <v>182</v>
      </c>
      <c r="C62" s="5" t="s">
        <v>183</v>
      </c>
      <c r="D62" s="5" t="s">
        <v>184</v>
      </c>
      <c r="E62" s="4" t="str">
        <f aca="false">IFERROR(__xludf.dummyfunction("GOOGLETRANSLATE(C63)"),"onde está Israel localizado no mapa mundial")</f>
        <v>onde está Israel localizado no mapa mundial</v>
      </c>
      <c r="F62" s="5" t="str">
        <f aca="false">IFERROR(__xludf.dummyfunction("GOOGLETRANSLATE(D62)")," Os anéis são cinco anéis interligados, azul colorido, amarelo, preto, verde e vermelho em um campo branco, conhecido como `` anéis olímpicos ''. O símbolo foi originalmente projetado em 1912 por De Coubertin. Ele parece ter pretendido os anéis para repre"&amp;"sentar as cinco regiões participantes: África, Ásia, América, Oceania e Europa. De acordo com Coubertin, as cores dos anéis juntamente com o branco do fundo incluíam as cores que compusem a bandeira de todas as nação concorrentes na época. Após sua introd"&amp;"ução inicial, Coubertin declarou o seguinte na edição de agosto de 1912 da Olympique:")</f>
        <v> Os anéis são cinco anéis interligados, azul colorido, amarelo, preto, verde e vermelho em um campo branco, conhecido como `` anéis olímpicos ''. O símbolo foi originalmente projetado em 1912 por De Coubertin. Ele parece ter pretendido os anéis para representar as cinco regiões participantes: África, Ásia, América, Oceania e Europa. De acordo com Coubertin, as cores dos anéis juntamente com o branco do fundo incluíam as cores que compusem a bandeira de todas as nação concorrentes na época. Após sua introdução inicial, Coubertin declarou o seguinte na edição de agosto de 1912 da Olympique:</v>
      </c>
    </row>
    <row r="63" customFormat="false" ht="15.75" hidden="false" customHeight="true" outlineLevel="0" collapsed="false">
      <c r="A63" s="3" t="n">
        <v>60</v>
      </c>
      <c r="B63" s="5" t="s">
        <v>185</v>
      </c>
      <c r="C63" s="5" t="s">
        <v>186</v>
      </c>
      <c r="D63" s="5" t="s">
        <v>187</v>
      </c>
      <c r="E63" s="4" t="str">
        <f aca="false">IFERROR(__xludf.dummyfunction("GOOGLETRANSLATE(C64)"),"que jogou Smiley em Tinker Tailor Soldier Spy")</f>
        <v>que jogou Smiley em Tinker Tailor Soldier Spy</v>
      </c>
      <c r="F63" s="5" t="str">
        <f aca="false">IFERROR(__xludf.dummyfunction("GOOGLETRANSLATE(D63)")," Israel ( / ˈɪzreɪəl /; hebraico: יִשְׂרָאָאָאָאָאָאָאָאָאָא 7 ning jalalaa: إِسْر op, oficialmente o estado de Israel (hebraico: aqui a sudeste da marinha do mar e o leme do mar e do mar, no leste do leste da margem do mar do Meditronean e no leste do le"&amp;"ste da margem do medite Tem fronteira terrestre com o Líbano ao norte, na Síria, a Northast, Jordânia, a leste, os territórios palestinos da Cisjordânia e Gaza Strip a leste e oeste, respectivamente, e o Egito para o sudoeste O país contém recursos geogra"&amp;"ficamente diversos em sua pequena área relacionada O Centro Econômico e Tecnológico de Israel é Tel Aviv, enquanto seu assento de governo e capital proclamado é Jerusalém")</f>
        <v> Israel ( / ˈɪzreɪəl /; hebraico: יִשְׂרָאָאָאָאָאָאָאָאָאָא 7 ning jalalaa: إِسْر op, oficialmente o estado de Israel (hebraico: aqui a sudeste da marinha do mar e o leme do mar e do mar, no leste do leste da margem do mar do Meditronean e no leste do leste da margem do medite Tem fronteira terrestre com o Líbano ao norte, na Síria, a Northast, Jordânia, a leste, os territórios palestinos da Cisjordânia e Gaza Strip a leste e oeste, respectivamente, e o Egito para o sudoeste O país contém recursos geograficamente diversos em sua pequena área relacionada O Centro Econômico e Tecnológico de Israel é Tel Aviv, enquanto seu assento de governo e capital proclamado é Jerusalém</v>
      </c>
    </row>
    <row r="64" customFormat="false" ht="15.75" hidden="false" customHeight="true" outlineLevel="0" collapsed="false">
      <c r="A64" s="3" t="n">
        <v>61</v>
      </c>
      <c r="B64" s="5" t="s">
        <v>188</v>
      </c>
      <c r="C64" s="5" t="s">
        <v>189</v>
      </c>
      <c r="D64" s="5" t="s">
        <v>190</v>
      </c>
      <c r="E64" s="4" t="str">
        <f aca="false">IFERROR(__xludf.dummyfunction("GOOGLETRANSLATE(C65)"),"é o medidor de parafuso micrômetro usado para medir o diâmetro interno do tubo")</f>
        <v>é o medidor de parafuso micrômetro usado para medir o diâmetro interno do tubo</v>
      </c>
      <c r="F64" s="5" t="str">
        <f aca="false">IFERROR(__xludf.dummyfunction("GOOGLETRANSLATE(D64)")," O Tinker Tailor Soldier Spy é um filme de espionagem de Guerra Fria de 2011, dirigido por Tomas Alfredson. O roteiro foi escrito por Bridget O'Connor e Peter Straughan, baseado no romance de John Le Carré de 1974 de mesmo nome. O filme, estrelado por Gar"&amp;"y Oldman como George Smiley, junto com Colin Firth, Tom Hardy, John Hurt, Toby Jones, Mark Strong, Benedict Cumberbatch e Ciarán Hinds, e apresentando David Dencik, é ambientado em Londres no início dos anos 1970 e segue o Hunt por um agente duplo soviéti"&amp;"co no topo do Serviço Secreto Britânico.")</f>
        <v> O Tinker Tailor Soldier Spy é um filme de espionagem de Guerra Fria de 2011, dirigido por Tomas Alfredson. O roteiro foi escrito por Bridget O'Connor e Peter Straughan, baseado no romance de John Le Carré de 1974 de mesmo nome. O filme, estrelado por Gary Oldman como George Smiley, junto com Colin Firth, Tom Hardy, John Hurt, Toby Jones, Mark Strong, Benedict Cumberbatch e Ciarán Hinds, e apresentando David Dencik, é ambientado em Londres no início dos anos 1970 e segue o Hunt por um agente duplo soviético no topo do Serviço Secreto Britânico.</v>
      </c>
    </row>
    <row r="65" customFormat="false" ht="15.75" hidden="false" customHeight="true" outlineLevel="0" collapsed="false">
      <c r="A65" s="3" t="n">
        <v>62</v>
      </c>
      <c r="B65" s="5" t="s">
        <v>191</v>
      </c>
      <c r="C65" s="5" t="s">
        <v>192</v>
      </c>
      <c r="D65" s="5" t="s">
        <v>193</v>
      </c>
      <c r="E65" s="4" t="str">
        <f aca="false">IFERROR(__xludf.dummyfunction("GOOGLETRANSLATE(C66)"),"Quando Brennan engravida pela primeira vez")</f>
        <v>Quando Brennan engravida pela primeira vez</v>
      </c>
      <c r="F65" s="5" t="str">
        <f aca="false">IFERROR(__xludf.dummyfunction("GOOGLETRANSLATE(D65)")," Os micrômetros de tubo possuem uma bigorna cilíndrica posicionada perpendicularmente em um eixo e é usada para medir a espessura dos tubos.")</f>
        <v> Os micrômetros de tubo possuem uma bigorna cilíndrica posicionada perpendicularmente em um eixo e é usada para medir a espessura dos tubos.</v>
      </c>
    </row>
    <row r="66" customFormat="false" ht="15.75" hidden="false" customHeight="true" outlineLevel="0" collapsed="false">
      <c r="A66" s="3" t="n">
        <v>63</v>
      </c>
      <c r="B66" s="5" t="s">
        <v>194</v>
      </c>
      <c r="C66" s="5" t="s">
        <v>195</v>
      </c>
      <c r="D66" s="5" t="s">
        <v>196</v>
      </c>
      <c r="E66" s="4" t="str">
        <f aca="false">IFERROR(__xludf.dummyfunction("GOOGLETRANSLATE(C67)"),"Quando a segunda temporada da história de Handmaid começou")</f>
        <v>Quando a segunda temporada da história de Handmaid começou</v>
      </c>
      <c r="F66" s="5" t="str">
        <f aca="false">IFERROR(__xludf.dummyfunction("GOOGLETRANSLATE(D66)")," Brennan é a melhor amiga de seu colega de trabalho, Angela, dizendo na século 6 - estreia da temporada que ela ama Angela `` Like a Sister '' e será uma tia para o filho recém -nascido de Hodgins e Angela. É revelado no final do final da sexta temporada "&amp;"`` A mudança no jogo '' que Brennan está grávida e o pai é Booth.")</f>
        <v> Brennan é a melhor amiga de seu colega de trabalho, Angela, dizendo na século 6 - estreia da temporada que ela ama Angela `` Like a Sister '' e será uma tia para o filho recém -nascido de Hodgins e Angela. É revelado no final do final da sexta temporada `` A mudança no jogo '' que Brennan está grávida e o pai é Booth.</v>
      </c>
    </row>
    <row r="67" customFormat="false" ht="15.75" hidden="false" customHeight="true" outlineLevel="0" collapsed="false">
      <c r="A67" s="3" t="n">
        <v>64</v>
      </c>
      <c r="B67" s="5" t="s">
        <v>197</v>
      </c>
      <c r="C67" s="5" t="s">
        <v>198</v>
      </c>
      <c r="D67" s="5" t="s">
        <v>199</v>
      </c>
      <c r="E67" s="4" t="str">
        <f aca="false">IFERROR(__xludf.dummyfunction("GOOGLETRANSLATE(C68)"),"O que causa uma zona morta no oceano")</f>
        <v>O que causa uma zona morta no oceano</v>
      </c>
      <c r="F67" s="5" t="str">
        <f aca="false">IFERROR(__xludf.dummyfunction("GOOGLETRANSLATE(D67)"),"   Os episódios da temporada lançaram originalmente pela primeira vez lançados pela última vez em 10 de abril de 26 de abril de 2017 (2017 - 04 - 26) 14 de junho de 2017 (2017 - 06 - 14) 13 de abril de 25 de abril de 2018 (2018 - 04 - 25) 11 de julho de 2"&amp;"018 (2018 - 2018 - 07 - 11)")</f>
        <v>   Os episódios da temporada lançaram originalmente pela primeira vez lançados pela última vez em 10 de abril de 26 de abril de 2017 (2017 - 04 - 26) 14 de junho de 2017 (2017 - 06 - 14) 13 de abril de 25 de abril de 2018 (2018 - 04 - 25) 11 de julho de 2018 (2018 - 2018 - 07 - 11)</v>
      </c>
    </row>
    <row r="68" customFormat="false" ht="15.75" hidden="false" customHeight="true" outlineLevel="0" collapsed="false">
      <c r="A68" s="3" t="n">
        <v>65</v>
      </c>
      <c r="B68" s="5" t="s">
        <v>200</v>
      </c>
      <c r="C68" s="5" t="s">
        <v>201</v>
      </c>
      <c r="D68" s="5" t="s">
        <v>202</v>
      </c>
      <c r="E68" s="4" t="str">
        <f aca="false">IFERROR(__xludf.dummyfunction("GOOGLETRANSLATE(C69)"),"Quem é o atual governador de Porto Rico")</f>
        <v>Quem é o atual governador de Porto Rico</v>
      </c>
      <c r="F68" s="5" t="str">
        <f aca="false">IFERROR(__xludf.dummyfunction("GOOGLETRANSLATE(D68)")," As zonas mortas são áreas hipóxicas (baixo - oxigênio) nos oceanos do mundo e grandes lagos, causados ​​por `` poluição excessiva de nutrientes de atividades humanas, juntamente com outros fatores que esgotam o oxigênio necessário para apoiar a maior par"&amp;"te da vida marinha no fundo e no fundo água . (NOAA) ''. Na década de 1970, os oceanógrafos começaram a observar casos crescentes de zonas mortas. Estes ocorrem perto das costas habitadas, onde a vida aquática é mais concentrada. (As vastas partes médias "&amp;"dos oceanos, que naturalmente têm pouca vida, não são consideradas `` zonas mortas ''.)")</f>
        <v> As zonas mortas são áreas hipóxicas (baixo - oxigênio) nos oceanos do mundo e grandes lagos, causados ​​por `` poluição excessiva de nutrientes de atividades humanas, juntamente com outros fatores que esgotam o oxigênio necessário para apoiar a maior parte da vida marinha no fundo e no fundo água . (NOAA) ''. Na década de 1970, os oceanógrafos começaram a observar casos crescentes de zonas mortas. Estes ocorrem perto das costas habitadas, onde a vida aquática é mais concentrada. (As vastas partes médias dos oceanos, que naturalmente têm pouca vida, não são consideradas `` zonas mortas ''.)</v>
      </c>
    </row>
    <row r="69" customFormat="false" ht="15.75" hidden="false" customHeight="true" outlineLevel="0" collapsed="false">
      <c r="A69" s="3" t="n">
        <v>66</v>
      </c>
      <c r="B69" s="5" t="s">
        <v>203</v>
      </c>
      <c r="C69" s="5" t="s">
        <v>204</v>
      </c>
      <c r="D69" s="5" t="s">
        <v>205</v>
      </c>
      <c r="E69" s="4" t="str">
        <f aca="false">IFERROR(__xludf.dummyfunction("GOOGLETRANSLATE(C70)"),"O que afeta a acetilcolina tem no sarcolema")</f>
        <v>O que afeta a acetilcolina tem no sarcolema</v>
      </c>
      <c r="F69" s="5" t="str">
        <f aca="false">IFERROR(__xludf.dummyfunction("GOOGLETRANSLATE(D69)")," Alejandro Javier García Padilla (espanhol: (Aleˈxandɾo ɣarˈsi. A); nascido em 3 de agosto de 1971) é um político e advogado porto -riconho que atuou como 11º governador de Porto Rico de 2013 a 2017. Antes dessa posição, García Padilla ocupou vários papéi"&amp;"s no cenário político de Porto Rico; Primeiro como secretário de Assuntos do Consumidor, e depois como membro do 24º Senado de Porto Rico e como presidente do Popular Partido Democrata. Localmente, ele é um defensor firme de manter o status político atual"&amp;" de Porto Rico como o de um território não incorporado dos Estados Unidos com o governo próprio, enquanto no nível nacional ele é aliado ao Partido Democrata.")</f>
        <v> Alejandro Javier García Padilla (espanhol: (Aleˈxandɾo ɣarˈsi. A); nascido em 3 de agosto de 1971) é um político e advogado porto -riconho que atuou como 11º governador de Porto Rico de 2013 a 2017. Antes dessa posição, García Padilla ocupou vários papéis no cenário político de Porto Rico; Primeiro como secretário de Assuntos do Consumidor, e depois como membro do 24º Senado de Porto Rico e como presidente do Popular Partido Democrata. Localmente, ele é um defensor firme de manter o status político atual de Porto Rico como o de um território não incorporado dos Estados Unidos com o governo próprio, enquanto no nível nacional ele é aliado ao Partido Democrata.</v>
      </c>
    </row>
    <row r="70" customFormat="false" ht="15.75" hidden="false" customHeight="true" outlineLevel="0" collapsed="false">
      <c r="A70" s="3" t="n">
        <v>67</v>
      </c>
      <c r="B70" s="5" t="s">
        <v>206</v>
      </c>
      <c r="C70" s="5" t="s">
        <v>207</v>
      </c>
      <c r="D70" s="5" t="s">
        <v>208</v>
      </c>
      <c r="E70" s="4" t="str">
        <f aca="false">IFERROR(__xludf.dummyfunction("GOOGLETRANSLATE(C71)"),"que interpreta a mãe de Claire Underwood em House of Cards")</f>
        <v>que interpreta a mãe de Claire Underwood em House of Cards</v>
      </c>
      <c r="F70" s="5" t="str">
        <f aca="false">IFERROR(__xludf.dummyfunction("GOOGLETRANSLATE(D70)")," Os músculos requerem a inervação para funcionar - e mesmo apenas para manter o tônus ​​muscular, evitando atrofia. A transmissão sináptica na junção neuromuscular começa quando um potencial de ação atinge o terminal pré -sináptico de um neurônio motor, q"&amp;"ue ativa os canais de cálcio dependentes de tensão para permitir que os íons de cálcio entrem no neurônio. Os íons cálcio se ligam às proteínas do sensor (sinaptotagmina) nas vesículas sinápticas, desencadeando a fusão da vesícula com a membrana celular e"&amp;" a liberação subsequente de neurotransmissores do neurônio motor para a fenda sináptica. Nos vertebrados, os neurônios motores liberam acetilcolina (ACH), um neurotransmissor de pequenas moléculas, que se difunde através da fenda sináptica e se liga aos r"&amp;"eceptores nicotínicos de acetilcolina (nAChRs) na membrana celular da fibra muscular, também conhecida como sarcolemma. Os nAChRs são receptores ionotrópicos, o que significa que servem como canais de íons fechados do ligante. A ligação de ACh ao receptor"&amp;" pode despolarizar a fibra muscular, causando uma cascata que eventualmente resulta em contração muscular.")</f>
        <v> Os músculos requerem a inervação para funcionar - e mesmo apenas para manter o tônus ​​muscular, evitando atrofia. A transmissão sináptica na junção neuromuscular começa quando um potencial de ação atinge o terminal pré -sináptico de um neurônio motor, que ativa os canais de cálcio dependentes de tensão para permitir que os íons de cálcio entrem no neurônio. Os íons cálcio se ligam às proteínas do sensor (sinaptotagmina) nas vesículas sinápticas, desencadeando a fusão da vesícula com a membrana celular e a liberação subsequente de neurotransmissores do neurônio motor para a fenda sináptica. Nos vertebrados, os neurônios motores liberam acetilcolina (ACH), um neurotransmissor de pequenas moléculas, que se difunde através da fenda sináptica e se liga aos receptores nicotínicos de acetilcolina (nAChRs) na membrana celular da fibra muscular, também conhecida como sarcolemma. Os nAChRs são receptores ionotrópicos, o que significa que servem como canais de íons fechados do ligante. A ligação de ACh ao receptor pode despolarizar a fibra muscular, causando uma cascata que eventualmente resulta em contração muscular.</v>
      </c>
    </row>
    <row r="71" customFormat="false" ht="15.75" hidden="false" customHeight="true" outlineLevel="0" collapsed="false">
      <c r="A71" s="3" t="n">
        <v>68</v>
      </c>
      <c r="B71" s="5" t="s">
        <v>209</v>
      </c>
      <c r="C71" s="5" t="s">
        <v>210</v>
      </c>
      <c r="D71" s="5" t="s">
        <v>211</v>
      </c>
      <c r="E71" s="4" t="str">
        <f aca="false">IFERROR(__xludf.dummyfunction("GOOGLETRANSLATE(C72)"),"Quem venceu a final de futebol All Ireland 2017")</f>
        <v>Quem venceu a final de futebol All Ireland 2017</v>
      </c>
      <c r="F71" s="5" t="str">
        <f aca="false">IFERROR(__xludf.dummyfunction("GOOGLETRANSLATE(D71)")," Claire Hale Underwood é originalmente do exclusivo Enclave do Parque Highland de Dallas, Texas. Seu falecido pai era um grande republicano do Texas. Enquanto estava no Radcliffe College em Cambridge, ela conheceu Francis J. Underwood, estudante de direit"&amp;"o de Harvard da Carolina do Sul. Ela é de uma família rica, e o programa a caracteriza como uma `` dallas debutante '' e `` Lily White ''. Ela relata que seu pai a levou para Dealey Plaza, onde John F. Kennedy foi assassinado, e que a fez se sentir `` tão"&amp;" triste, tão zangada ''. Ela tem um relacionamento difícil com a mãe, Elizabeth Hale (Ellen Burstyn), que despreza Frank e está decepcionada por Claire por se casar com ele.")</f>
        <v> Claire Hale Underwood é originalmente do exclusivo Enclave do Parque Highland de Dallas, Texas. Seu falecido pai era um grande republicano do Texas. Enquanto estava no Radcliffe College em Cambridge, ela conheceu Francis J. Underwood, estudante de direito de Harvard da Carolina do Sul. Ela é de uma família rica, e o programa a caracteriza como uma `` dallas debutante '' e `` Lily White ''. Ela relata que seu pai a levou para Dealey Plaza, onde John F. Kennedy foi assassinado, e que a fez se sentir `` tão triste, tão zangada ''. Ela tem um relacionamento difícil com a mãe, Elizabeth Hale (Ellen Burstyn), que despreza Frank e está decepcionada por Claire por se casar com ele.</v>
      </c>
    </row>
    <row r="72" customFormat="false" ht="15.75" hidden="false" customHeight="true" outlineLevel="0" collapsed="false">
      <c r="A72" s="3" t="n">
        <v>69</v>
      </c>
      <c r="B72" s="5" t="s">
        <v>212</v>
      </c>
      <c r="C72" s="5" t="s">
        <v>213</v>
      </c>
      <c r="D72" s="5" t="s">
        <v>214</v>
      </c>
      <c r="E72" s="4" t="str">
        <f aca="false">IFERROR(__xludf.dummyfunction("GOOGLETRANSLATE(C73)"),"que interpretou a esposa de Robbie Douglas nos meus três filhos")</f>
        <v>que interpretou a esposa de Robbie Douglas nos meus três filhos</v>
      </c>
      <c r="F72" s="5" t="str">
        <f aca="false">IFERROR(__xludf.dummyfunction("GOOGLETRANSLATE(D72)")," Dublin venceu a final por um ponto de uma linha de 1 a 17 a 1 a 16 para conquistar seu terceiro título consecutivo, a primeira vez que isso acontece desde 1921 - 23.")</f>
        <v> Dublin venceu a final por um ponto de uma linha de 1 a 17 a 1 a 16 para conquistar seu terceiro título consecutivo, a primeira vez que isso acontece desde 1921 - 23.</v>
      </c>
    </row>
    <row r="73" customFormat="false" ht="15.75" hidden="false" customHeight="true" outlineLevel="0" collapsed="false">
      <c r="A73" s="3" t="n">
        <v>70</v>
      </c>
      <c r="B73" s="5" t="s">
        <v>215</v>
      </c>
      <c r="C73" s="5" t="s">
        <v>216</v>
      </c>
      <c r="D73" s="5" t="s">
        <v>217</v>
      </c>
      <c r="E73" s="4" t="str">
        <f aca="false">IFERROR(__xludf.dummyfunction("GOOGLETRANSLATE(C74)"),"que atingem o maior número de 3 ponteiros em um jogo da NBA")</f>
        <v>que atingem o maior número de 3 ponteiros em um jogo da NBA</v>
      </c>
      <c r="F73" s="5" t="str">
        <f aca="false">IFERROR(__xludf.dummyfunction("GOOGLETRANSLATE(D73)")," Enquanto os três filhos sempre foram centrais no enredo, várias mudanças importantes ocorreram no final dos anos 1960. Na primavera de 1967, as classificações da série começaram a ceder e meus três filhos terminaram sua sétima temporada em 31º lugar nas "&amp;"classificações da Nielsen. Foi decidido que a temporada de 1967 a 1968 traria o programa não apenas um novo horário, mas também novas histórias para apimentar as classificações. No outono de 1967, a CBS mudou meus três filhos para o sábado à noite às 20h3"&amp;"0. No episódio da temporada - Premiere, `` Dia de Movimento '', a família Douglas e o tio Charley se mudam da cidade fictícia de Bryant Park, no Centro -Oeste, para Los Angeles. Robbie (Don Grady) se casa com sua colega / namorada, Katie Miller (Tina Cole"&amp;"). Tina Cole, de fato, apareceu em diferentes papéis em três episódios anteriores dos meus três filhos: `` casa à venda '' da quarta temporada (13 de fevereiro de 1964), `` The Coffee House '' da quinta temporada (19 de novembro de 1964) e `` Robbie e o L"&amp;"ittle Stranger '' da sexta temporada (17 de fevereiro de 1966). No final da temporada de 1967 a 1968, as classificações haviam melhorado em relação ao ano anterior, com a série ficando no dia 24 no Nielsens. Na temporada seguinte, os noivos descobrem que "&amp;"Katie está grávida e ela dá à luz trigêmeos chamados Robert, Steven e Charles. Embora originalmente interpretados por conjuntos de gêmeos não créditos, esses bebês foram tocados sem creditação por Guy, Gunnar e Garth Swanson. Os trigêmeos mais familiares "&amp;"das duas últimas temporadas do programa são interpretadas por Michael, Daniel e Joseph Todd.")</f>
        <v> Enquanto os três filhos sempre foram centrais no enredo, várias mudanças importantes ocorreram no final dos anos 1960. Na primavera de 1967, as classificações da série começaram a ceder e meus três filhos terminaram sua sétima temporada em 31º lugar nas classificações da Nielsen. Foi decidido que a temporada de 1967 a 1968 traria o programa não apenas um novo horário, mas também novas histórias para apimentar as classificações. No outono de 1967, a CBS mudou meus três filhos para o sábado à noite às 20h30. No episódio da temporada - Premiere, `` Dia de Movimento '', a família Douglas e o tio Charley se mudam da cidade fictícia de Bryant Park, no Centro -Oeste, para Los Angeles. Robbie (Don Grady) se casa com sua colega / namorada, Katie Miller (Tina Cole). Tina Cole, de fato, apareceu em diferentes papéis em três episódios anteriores dos meus três filhos: `` casa à venda '' da quarta temporada (13 de fevereiro de 1964), `` The Coffee House '' da quinta temporada (19 de novembro de 1964) e `` Robbie e o Little Stranger '' da sexta temporada (17 de fevereiro de 1966). No final da temporada de 1967 a 1968, as classificações haviam melhorado em relação ao ano anterior, com a série ficando no dia 24 no Nielsens. Na temporada seguinte, os noivos descobrem que Katie está grávida e ela dá à luz trigêmeos chamados Robert, Steven e Charles. Embora originalmente interpretados por conjuntos de gêmeos não créditos, esses bebês foram tocados sem creditação por Guy, Gunnar e Garth Swanson. Os trigêmeos mais familiares das duas últimas temporadas do programa são interpretadas por Michael, Daniel e Joseph Todd.</v>
      </c>
    </row>
    <row r="74" customFormat="false" ht="15.75" hidden="false" customHeight="true" outlineLevel="0" collapsed="false">
      <c r="A74" s="3" t="n">
        <v>71</v>
      </c>
      <c r="B74" s="5" t="s">
        <v>218</v>
      </c>
      <c r="C74" s="5" t="s">
        <v>219</v>
      </c>
      <c r="D74" s="5" t="s">
        <v>220</v>
      </c>
      <c r="E74" s="4" t="str">
        <f aca="false">IFERROR(__xludf.dummyfunction("GOOGLETRANSLATE(C75)"),"o sistema mais comum de título da terra na Austrália")</f>
        <v>o sistema mais comum de título da terra na Austrália</v>
      </c>
      <c r="F74" s="5" t="str">
        <f aca="false">IFERROR(__xludf.dummyfunction("GOOGLETRANSLATE(D74)"),"    13 por Stephen Curry, Golden State Warriors (vs. Nova Orleans Pelicans) em 7 de novembro de 2016 (13/17)")</f>
        <v>    13 por Stephen Curry, Golden State Warriors (vs. Nova Orleans Pelicans) em 7 de novembro de 2016 (13/17)</v>
      </c>
    </row>
    <row r="75" customFormat="false" ht="15.75" hidden="false" customHeight="true" outlineLevel="0" collapsed="false">
      <c r="A75" s="3" t="n">
        <v>72</v>
      </c>
      <c r="B75" s="5" t="s">
        <v>221</v>
      </c>
      <c r="C75" s="5" t="s">
        <v>222</v>
      </c>
      <c r="D75" s="5" t="s">
        <v>223</v>
      </c>
      <c r="E75" s="4" t="str">
        <f aca="false">IFERROR(__xludf.dummyfunction("GOOGLETRANSLATE(C76)"),"quem canta com Jackson Brown na carga")</f>
        <v>quem canta com Jackson Brown na carga</v>
      </c>
      <c r="F75" s="5" t="str">
        <f aca="false">IFERROR(__xludf.dummyfunction("GOOGLETRANSLATE(D75)")," O título de Torrens é um sistema de registro e transferência de terras, no qual um estado cria e mantém um registro de propriedades de terra, que serve como evidência conclusiva (denominada `` indefinibilidade '') do título da pessoa registrada no regist"&amp;"ro como o proprietário (proprietário) e de todos os outros interesses registrados no registro. Os interesses que não são garantidos são chamados de `` interesses primordiais ''. A propriedade da terra é transferida pelo registro de uma transferência de tí"&amp;"tulo, em vez do uso de ações. O registrador forneceria um certificado de título ao novo proprietário, que é apenas uma cópia do fólio relacionado do registro.")</f>
        <v> O título de Torrens é um sistema de registro e transferência de terras, no qual um estado cria e mantém um registro de propriedades de terra, que serve como evidência conclusiva (denominada `` indefinibilidade '') do título da pessoa registrada no registro como o proprietário (proprietário) e de todos os outros interesses registrados no registro. Os interesses que não são garantidos são chamados de `` interesses primordiais ''. A propriedade da terra é transferida pelo registro de uma transferência de título, em vez do uso de ações. O registrador forneceria um certificado de título ao novo proprietário, que é apenas uma cópia do fólio relacionado do registro.</v>
      </c>
    </row>
    <row r="76" customFormat="false" ht="15.75" hidden="false" customHeight="true" outlineLevel="0" collapsed="false">
      <c r="A76" s="3" t="n">
        <v>73</v>
      </c>
      <c r="B76" s="5" t="s">
        <v>224</v>
      </c>
      <c r="C76" s="5" t="s">
        <v>225</v>
      </c>
      <c r="D76" s="5" t="s">
        <v>226</v>
      </c>
      <c r="E76" s="4" t="str">
        <f aca="false">IFERROR(__xludf.dummyfunction("GOOGLETRANSLATE(C77)"),"que marcou a maioria das corridas no T20 International Innings")</f>
        <v>que marcou a maioria das corridas no T20 International Innings</v>
      </c>
      <c r="F76" s="5" t="str">
        <f aca="false">IFERROR(__xludf.dummyfunction("GOOGLETRANSLATE(D76)")," `` The Load - Out '' descreve as práticas diárias de uma banda e sua equipe de estrada em uma turnê de concerto, e as emoções evocadas em todo esse empreendimento. Os três primeiros versos da música consistem em Browne cantando e tocando piano com David "&amp;"Lindley tocando guitarra de aço. Mais tarde, eles se juntam por um sintetizador, seguido pelo resto da banda. Eventualmente, `` The Load - Out '' Segues em uma interpretação de Maurice Williams '1960 Hit `` Stay' ', cantada por Browne, Rosemary Butler e L"&amp;"indley. É Lindley quem canta o falsete.")</f>
        <v> `` The Load - Out '' descreve as práticas diárias de uma banda e sua equipe de estrada em uma turnê de concerto, e as emoções evocadas em todo esse empreendimento. Os três primeiros versos da música consistem em Browne cantando e tocando piano com David Lindley tocando guitarra de aço. Mais tarde, eles se juntam por um sintetizador, seguido pelo resto da banda. Eventualmente, `` The Load - Out '' Segues em uma interpretação de Maurice Williams '1960 Hit `` Stay' ', cantada por Browne, Rosemary Butler e Lindley. É Lindley quem canta o falsete.</v>
      </c>
    </row>
    <row r="77" customFormat="false" ht="15.75" hidden="false" customHeight="true" outlineLevel="0" collapsed="false">
      <c r="A77" s="3" t="n">
        <v>74</v>
      </c>
      <c r="B77" s="5" t="s">
        <v>227</v>
      </c>
      <c r="C77" s="5" t="s">
        <v>228</v>
      </c>
      <c r="D77" s="5" t="s">
        <v>229</v>
      </c>
      <c r="E77" s="4" t="str">
        <f aca="false">IFERROR(__xludf.dummyfunction("GOOGLETRANSLATE(C78)"),"O que acontece com o Dr. Shepherd no Gray's")</f>
        <v>O que acontece com o Dr. Shepherd no Gray's</v>
      </c>
      <c r="F77" s="5" t="str">
        <f aca="false">IFERROR(__xludf.dummyfunction("GOOGLETRANSLATE(D77)"),"   Executa o boliche da equipe de boliche da equipe de boliche da oposição Data Scorecard 69 4 - 0 - 69 - 0 Barry McCarthy Irlanda Afeganistão Grande Noida 12 de março de 2017 Scorecard 68 4 - 0 - 68 - 1 Kyle Abbott South Africa Indies Johannesburg 11 Jan"&amp;"eiro de 2015 Scorecard 64 4 - 0 - 64 - 1 James Anderson Inglaterra Austrália Sydney 9 de janeiro de 2007 Scorecard 64 4 - 0 - 64 - 0 Sanath Jayasuriya Sri Lanka Paquistão Joanesburgo 17 de setembro de 2007 Scorecard 63 4 - 0 - 0 - 0 - - 63 - 2 Rubel Hossa"&amp;"in Bangladesh Índias Ocidentais Dhaka 10 de dezembro de 2012 Os números de boliche de scorecard dados acima estão na forma de `` overs - donzels - corridas - postigos ''. Atualizado: 12 de março de 2017")</f>
        <v>   Executa o boliche da equipe de boliche da equipe de boliche da oposição Data Scorecard 69 4 - 0 - 69 - 0 Barry McCarthy Irlanda Afeganistão Grande Noida 12 de março de 2017 Scorecard 68 4 - 0 - 68 - 1 Kyle Abbott South Africa Indies Johannesburg 11 Janeiro de 2015 Scorecard 64 4 - 0 - 64 - 1 James Anderson Inglaterra Austrália Sydney 9 de janeiro de 2007 Scorecard 64 4 - 0 - 64 - 0 Sanath Jayasuriya Sri Lanka Paquistão Joanesburgo 17 de setembro de 2007 Scorecard 63 4 - 0 - 0 - 0 - - 63 - 2 Rubel Hossain Bangladesh Índias Ocidentais Dhaka 10 de dezembro de 2012 Os números de boliche de scorecard dados acima estão na forma de `` overs - donzels - corridas - postigos ''. Atualizado: 12 de março de 2017</v>
      </c>
    </row>
    <row r="78" customFormat="false" ht="15.75" hidden="false" customHeight="true" outlineLevel="0" collapsed="false">
      <c r="A78" s="3" t="n">
        <v>75</v>
      </c>
      <c r="B78" s="5" t="s">
        <v>230</v>
      </c>
      <c r="C78" s="5" t="s">
        <v>231</v>
      </c>
      <c r="D78" s="5" t="s">
        <v>232</v>
      </c>
      <c r="E78" s="4" t="str">
        <f aca="false">IFERROR(__xludf.dummyfunction("GOOGLETRANSLATE(C79)"),"Quando o livro 2 dos 100 sai")</f>
        <v>Quando o livro 2 dos 100 sai</v>
      </c>
      <c r="F78" s="5" t="str">
        <f aca="false">IFERROR(__xludf.dummyfunction("GOOGLETRANSLATE(D78)")," Na 11ª temporada, Derek está envolvido em um acidente de carro fatal enquanto dirige para o aeroporto para sua última viagem a Washington. Ele é capaz de ouvir e processar entradas auditivas, mas incapaz de falar. Ele é reconhecido por Winnie, uma das ví"&amp;"timas de um acidente em que ajudou anteriormente, que diz aos cirurgiões que o nome do paciente é Derek e que ele também é cirurgião. O hospital para o qual ele foi levado foi com falta de pessoal e sua lesão na cabeça não foi detectada com rapidez sufici"&amp;"ente pelos estagiários de plantão naquela noite. Embora o neurocirurgião de plantão seja paginado várias vezes, ele leva muito tempo para chegar e Derek é declarado morto no cérebro. A polícia chega à porta de Meredith e a leve para ver Derek, onde ela co"&amp;"ncorda em removê -lo do suporte à vida. Na época de sua morte, Meredith estava grávida do terceiro filho. Ela dá à luz uma filha a quem nomeia Ellis atrás de sua mãe.")</f>
        <v> Na 11ª temporada, Derek está envolvido em um acidente de carro fatal enquanto dirige para o aeroporto para sua última viagem a Washington. Ele é capaz de ouvir e processar entradas auditivas, mas incapaz de falar. Ele é reconhecido por Winnie, uma das vítimas de um acidente em que ajudou anteriormente, que diz aos cirurgiões que o nome do paciente é Derek e que ele também é cirurgião. O hospital para o qual ele foi levado foi com falta de pessoal e sua lesão na cabeça não foi detectada com rapidez suficiente pelos estagiários de plantão naquela noite. Embora o neurocirurgião de plantão seja paginado várias vezes, ele leva muito tempo para chegar e Derek é declarado morto no cérebro. A polícia chega à porta de Meredith e a leve para ver Derek, onde ela concorda em removê -lo do suporte à vida. Na época de sua morte, Meredith estava grávida do terceiro filho. Ela dá à luz uma filha a quem nomeia Ellis atrás de sua mãe.</v>
      </c>
    </row>
    <row r="79" customFormat="false" ht="15.75" hidden="false" customHeight="true" outlineLevel="0" collapsed="false">
      <c r="A79" s="3" t="n">
        <v>76</v>
      </c>
      <c r="B79" s="5" t="s">
        <v>233</v>
      </c>
      <c r="C79" s="5" t="s">
        <v>234</v>
      </c>
      <c r="D79" s="5" t="s">
        <v>235</v>
      </c>
      <c r="E79" s="4" t="str">
        <f aca="false">IFERROR(__xludf.dummyfunction("GOOGLETRANSLATE(C80)"),"Quando o Nissan Armada Body Style mudou")</f>
        <v>Quando o Nissan Armada Body Style mudou</v>
      </c>
      <c r="F79" s="5" t="str">
        <f aca="false">IFERROR(__xludf.dummyfunction("GOOGLETRANSLATE(D79)")," O 100 é uma série de romances de ficção científica para jovens adultos de Kass Morgan. O primeiro livro da série, The 100, foi publicado em 3 de setembro de 2013, por Little, Brown Books for Young Readers. O dia 21, sua sequência, foi lançado em 25 de se"&amp;"tembro de 2014 e o Homecoming foi lançado em 26 de fevereiro de 2015. Um quarto romance, Rebellion, foi lançado em 6 de dezembro de 2016.")</f>
        <v> O 100 é uma série de romances de ficção científica para jovens adultos de Kass Morgan. O primeiro livro da série, The 100, foi publicado em 3 de setembro de 2013, por Little, Brown Books for Young Readers. O dia 21, sua sequência, foi lançado em 25 de setembro de 2014 e o Homecoming foi lançado em 26 de fevereiro de 2015. Um quarto romance, Rebellion, foi lançado em 6 de dezembro de 2016.</v>
      </c>
    </row>
    <row r="80" customFormat="false" ht="15.75" hidden="false" customHeight="true" outlineLevel="0" collapsed="false">
      <c r="A80" s="3" t="n">
        <v>77</v>
      </c>
      <c r="B80" s="5" t="s">
        <v>236</v>
      </c>
      <c r="C80" s="5" t="s">
        <v>237</v>
      </c>
      <c r="D80" s="5" t="s">
        <v>238</v>
      </c>
      <c r="E80" s="4" t="str">
        <f aca="false">IFERROR(__xludf.dummyfunction("GOOGLETRANSLATE(C81)"),"De onde vem a síndrome do nome Down")</f>
        <v>De onde vem a síndrome do nome Down</v>
      </c>
      <c r="F80" s="5" t="str">
        <f aca="false">IFERROR(__xludf.dummyfunction("GOOGLETRANSLATE(D80)")," Em 10 de fevereiro de 2016, a Nissan apresentou a Armada de Segunda Geração no Chicago Auto Show e foi colocada à venda em agosto de 2016 como modelo de 2017. Esta versão é baseada na Nissan Patrol e Infiniti Qx80 e é montada no Japão, exceto o motor V8 "&amp;"de resistência, que é montado em Decherd, Tennessee. A Armada cresceu em comprimento e largura, mas a distância entre eixos e a altura foram moderadamente reduzidas. Além do resistência V8, foi introduzida uma transmissão de sete velocidade para melhorar "&amp;"a economia de combustível, a aceleração e o torque, juntamente com um aumento de potência de 317 para 390 hp a 5.200 rpm. O exterior difere moderadamente da patrulha atualizada, que foi introduzida no início de 2014. Como na geração anterior, a Armada con"&amp;"tinuou a oferecer 2WD e 4WD e disponível em acabamentos SV, SL e Platinum.")</f>
        <v> Em 10 de fevereiro de 2016, a Nissan apresentou a Armada de Segunda Geração no Chicago Auto Show e foi colocada à venda em agosto de 2016 como modelo de 2017. Esta versão é baseada na Nissan Patrol e Infiniti Qx80 e é montada no Japão, exceto o motor V8 de resistência, que é montado em Decherd, Tennessee. A Armada cresceu em comprimento e largura, mas a distância entre eixos e a altura foram moderadamente reduzidas. Além do resistência V8, foi introduzida uma transmissão de sete velocidade para melhorar a economia de combustível, a aceleração e o torque, juntamente com um aumento de potência de 317 para 390 hp a 5.200 rpm. O exterior difere moderadamente da patrulha atualizada, que foi introduzida no início de 2014. Como na geração anterior, a Armada continuou a oferecer 2WD e 4WD e disponível em acabamentos SV, SL e Platinum.</v>
      </c>
    </row>
    <row r="81" customFormat="false" ht="15.75" hidden="false" customHeight="true" outlineLevel="0" collapsed="false">
      <c r="A81" s="3" t="n">
        <v>78</v>
      </c>
      <c r="B81" s="5" t="s">
        <v>239</v>
      </c>
      <c r="C81" s="5" t="s">
        <v>240</v>
      </c>
      <c r="D81" s="5" t="s">
        <v>241</v>
      </c>
      <c r="E81" s="4" t="str">
        <f aca="false">IFERROR(__xludf.dummyfunction("GOOGLETRANSLATE(C82)"),"O que significa a faixa vermelha no uniforme marinho")</f>
        <v>O que significa a faixa vermelha no uniforme marinho</v>
      </c>
      <c r="F81" s="5" t="str">
        <f aca="false">IFERROR(__xludf.dummyfunction("GOOGLETRANSLATE(D81)")," A síndrome de Down é uma das anormalidades cromossômicas mais comuns em humanos. Ocorre em cerca de um por 1000 bebês nascidos a cada ano. Em 2015, a síndrome de Down estava presente em 5,4 milhões de indivíduos e resultou em 27.000 mortes abaixo de 43.0"&amp;"00 mortes em 1990. É nomeado após John Langdon Down, o médico britânico que descreveu completamente a síndrome em 1866. Alguns aspectos da condição foram descritos anteriormente por Jean - Étienne Dominique Esquirol em 1838 e Édouard Séguin em 1844. Em 19"&amp;"57, foi descoberta a causa genética da síndrome de Down, uma cópia extra do cromossomo 21.")</f>
        <v> A síndrome de Down é uma das anormalidades cromossômicas mais comuns em humanos. Ocorre em cerca de um por 1000 bebês nascidos a cada ano. Em 2015, a síndrome de Down estava presente em 5,4 milhões de indivíduos e resultou em 27.000 mortes abaixo de 43.000 mortes em 1990. É nomeado após John Langdon Down, o médico britânico que descreveu completamente a síndrome em 1866. Alguns aspectos da condição foram descritos anteriormente por Jean - Étienne Dominique Esquirol em 1838 e Édouard Séguin em 1844. Em 1957, foi descoberta a causa genética da síndrome de Down, uma cópia extra do cromossomo 21.</v>
      </c>
    </row>
    <row r="82" customFormat="false" ht="15.75" hidden="false" customHeight="true" outlineLevel="0" collapsed="false">
      <c r="A82" s="3" t="n">
        <v>79</v>
      </c>
      <c r="B82" s="5" t="s">
        <v>242</v>
      </c>
      <c r="C82" s="5" t="s">
        <v>243</v>
      </c>
      <c r="D82" s="5" t="s">
        <v>244</v>
      </c>
      <c r="E82" s="4" t="str">
        <f aca="false">IFERROR(__xludf.dummyfunction("GOOGLETRANSLATE(C83)"),"O número em beijar -me pelo telefone")</f>
        <v>O número em beijar -me pelo telefone</v>
      </c>
      <c r="F82" s="5" t="str">
        <f aca="false">IFERROR(__xludf.dummyfunction("GOOGLETRANSLATE(D82)")," A tradição sustenta que, na Batalha de Chapultepec, no México, em setembro de 1847, oficiais da Marinha e NCOs sofreram uma taxa de vítimas incomumente alta durante a batalha. Em 1849, os regulamentos uniformes determinaram que as faixas fossem alteradas"&amp;" para um vermelho sólido em homenagem às numerosas mortes marinhas. Dez anos depois, um cordão escarlate foi inserido nas costuras externas de oficiais e músicos não comissionados, enquanto um Welt Scarlet foi adicionado aos policiais. Finalmente, em 1904"&amp;", a faixa escarlate simples vista hoje foi adotada, com as variadas larguras prescritas para diferentes fileiras.")</f>
        <v> A tradição sustenta que, na Batalha de Chapultepec, no México, em setembro de 1847, oficiais da Marinha e NCOs sofreram uma taxa de vítimas incomumente alta durante a batalha. Em 1849, os regulamentos uniformes determinaram que as faixas fossem alteradas para um vermelho sólido em homenagem às numerosas mortes marinhas. Dez anos depois, um cordão escarlate foi inserido nas costuras externas de oficiais e músicos não comissionados, enquanto um Welt Scarlet foi adicionado aos policiais. Finalmente, em 1904, a faixa escarlate simples vista hoje foi adotada, com as variadas larguras prescritas para diferentes fileiras.</v>
      </c>
    </row>
    <row r="83" customFormat="false" ht="15.75" hidden="false" customHeight="true" outlineLevel="0" collapsed="false">
      <c r="A83" s="3" t="n">
        <v>80</v>
      </c>
      <c r="B83" s="5" t="s">
        <v>245</v>
      </c>
      <c r="C83" s="5" t="s">
        <v>246</v>
      </c>
      <c r="D83" s="5" t="s">
        <v>247</v>
      </c>
      <c r="E83" s="4" t="str">
        <f aca="false">IFERROR(__xludf.dummyfunction("GOOGLETRANSLATE(C84)"),"Quando começa a temporada de futebol comum para a NFL")</f>
        <v>Quando começa a temporada de futebol comum para a NFL</v>
      </c>
      <c r="F83" s="5" t="str">
        <f aca="false">IFERROR(__xludf.dummyfunction("GOOGLETRANSLATE(D83)")," O número de telefone, 678 - 999 - 8212, dado na música, se discado dos Estados Unidos, anteriormente conectado a um sistema de mensagens para o artista; O número agora pertence a um anunciante comercial desconhecido na Geórgia. Uma família desavisada no "&amp;"Reino Unido se viu inundada com ligações de fãs de lá que discaram o número, mas elogiaram o prefixo internacional de código de discagem para os Estados Unidos (001), em vez de digitar `` 016 '', que é o prefixo para números em maior Manchester, Inglaterr"&amp;"a, onde a família reside.")</f>
        <v> O número de telefone, 678 - 999 - 8212, dado na música, se discado dos Estados Unidos, anteriormente conectado a um sistema de mensagens para o artista; O número agora pertence a um anunciante comercial desconhecido na Geórgia. Uma família desavisada no Reino Unido se viu inundada com ligações de fãs de lá que discaram o número, mas elogiaram o prefixo internacional de código de discagem para os Estados Unidos (001), em vez de digitar `` 016 '', que é o prefixo para números em maior Manchester, Inglaterra, onde a família reside.</v>
      </c>
    </row>
    <row r="84" customFormat="false" ht="15.75" hidden="false" customHeight="true" outlineLevel="0" collapsed="false">
      <c r="A84" s="3" t="n">
        <v>81</v>
      </c>
      <c r="B84" s="5" t="s">
        <v>248</v>
      </c>
      <c r="C84" s="5" t="s">
        <v>249</v>
      </c>
      <c r="D84" s="5" t="s">
        <v>250</v>
      </c>
      <c r="E84" s="4" t="str">
        <f aca="false">IFERROR(__xludf.dummyfunction("GOOGLETRANSLATE(C85)"),"Quem faz o estado de Oregon joga na College World Series")</f>
        <v>Quem faz o estado de Oregon joga na College World Series</v>
      </c>
      <c r="F84" s="5" t="str">
        <f aca="false">IFERROR(__xludf.dummyfunction("GOOGLETRANSLATE(D84)")," A temporada da NFL de 2017 é a 98ª e atual temporada da história da Liga Nacional de Futebol (NFL). A temporada começou em 7 de setembro de 2017, com o Kansas City Chiefs derrotando o atual campeão do Super Bowl no New England Patriots 42 - 27 no jogo de"&amp;" kickoff da NFL. A temporada será concluída com o Super Bowl LII, o jogo do campeonato da liga, em 4 de fevereiro de 2018, no U.S. Bank Stadium em Minneapolis, Minnesota.")</f>
        <v> A temporada da NFL de 2017 é a 98ª e atual temporada da história da Liga Nacional de Futebol (NFL). A temporada começou em 7 de setembro de 2017, com o Kansas City Chiefs derrotando o atual campeão do Super Bowl no New England Patriots 42 - 27 no jogo de kickoff da NFL. A temporada será concluída com o Super Bowl LII, o jogo do campeonato da liga, em 4 de fevereiro de 2018, no U.S. Bank Stadium em Minneapolis, Minnesota.</v>
      </c>
    </row>
    <row r="85" customFormat="false" ht="15.75" hidden="false" customHeight="true" outlineLevel="0" collapsed="false">
      <c r="A85" s="3" t="n">
        <v>82</v>
      </c>
      <c r="B85" s="5" t="s">
        <v>251</v>
      </c>
      <c r="C85" s="5" t="s">
        <v>252</v>
      </c>
      <c r="D85" s="5" t="s">
        <v>253</v>
      </c>
      <c r="E85" s="4" t="str">
        <f aca="false">IFERROR(__xludf.dummyfunction("GOOGLETRANSLATE(C86)"),"que jogou nas últimas 3 finais da NBA")</f>
        <v>que jogou nas últimas 3 finais da NBA</v>
      </c>
      <c r="F85" s="5" t="str">
        <f aca="false">IFERROR(__xludf.dummyfunction("GOOGLETRANSLATE(D85)"),"   Ano Treinador campeão Runner - UP MAIS MELHOR JOGADOR 1947 California Clint Evans 17 - 8, 8 - 7 Yale 1948 Southern California Sam Barry 3 - 1, 3 - 8, 9 - 2 Yale 1949 Texas Bibb Falk 10 - - 3 Wake Forest Tom Hamilton, Texas 1950 Texas Bibb Falk 3 - 0 Es"&amp;"tado de Washington Ray Vancleef, Rutgers 1951 Oklahoma Jack Baer 3 - 2 Tennessee Sidney Hatfield, Tennessee 1952 Cruz Holy Jack Barry 8 - 4 Missouri James O'Neill, Holy Cross 1953 Michigan Ray Fisher 7 - 5 Texas J.L. Smith, Texas 1954 Missouri Hi Simmons "&amp;"4 - 1 Rollins Tom Yewcic, Michigan State 1955 Wake Forest Taylor Sanford 7 - 6 Oeste de Michigan Tom Borland, Oklahoma A &amp; M 1956 Minnesota Dick Siebert 12 - 1 Arizona Jerry Thomas, Minnesota 1957 Califórnia George Wolfman 1- 0 Penn State Cal Emery, Penn "&amp;"State 1958 Sul da Califórnia Rod DeDeaux 8- 7 Missouri Bill Thom, sul da Califórnia 1959 Oklahoma State Toby Greene 5- 3 Arizona Jim Dobsson 1959 , Oklahoma State 1960 Minnesota Dick Siebert 2 - 1 Southern California John Erickson, Minnesota 1961 Sul da C"&amp;"alifórnia Rod deDeaux 1 - 0 Oklahoma State Littleton Fowler, Oklahoma State 1962 Michigan Don Lund 5 - 4 Santa Clara Bob Garibaldi, Santa Cara 1963 Southern California Rod DeDeaux 5 -2 Arizona Bud Hollowell, sul da Califórnia 1964 Minnesota Dick Siebert 5"&amp;" -1 Missouri Joe Ferris, Maine 1965 Estado do Arizona Bobby Winkles 2 -1 Ohio State Sal Bando, Estado do Estado de Arizona 1966 O estado de Ohio Marty Karow 8 - 2 Estado de Oklahoma Steve Arlin, Estado de Ohio 1967 Estado do Arizona Bobby Winkles 11 - 2 H"&amp;"ouston Ron Davini, Estado do Arizona 1968 Sul da Califórnia Rod deDeaux 4 - 3 Southern Illinois Bill Seinsoth, sul da Califórnia 1969 Estado de Arizona Bobby Winkles 10 - 1 Tulsa John John Dolinsek, Estado do Arizona 1970 Sul da Califórnia Rod Dedaux 2 - "&amp;"1 Gene do Estado da Flórida Ammann, Estado da Flórida 1971 Sul da Califórnia Rod Dedaux 7 - 2 Southern Illinois Jerry Tabb, Tulsa 1972 Sul da Califórnia Rod Dedaux 1 - 0 Arizona State Russ McQueen, sul Califórnia 1973 Sul da Califórnia Rod Dedaux 4 - 3 Es"&amp;"tado do Arizona Dave Winfield, Minnesota Sul da Califórnia Rod Dedaux 7 - 3 Miami (FL) George Milke, sul da Califórnia Texas Cliff Gustafson 5 - 1 Carolina do Sul Mickey Reichenbach, Texas 1976 Arizona Jerry Kindall 7 - 1 Oriental Michigan Steve Powers, A"&amp;"rizona 1977 Estado do Arizona Jim Brock 2 - 1 Carolina do Sul Bob Horner, Estado do Arizona 1978 Sul da Califórnia Rod Dedaux 10 - 3 Estado do Arizona Rod Boxberger, sul da Califórnia 1979 Cal Fullerton Fullerton Augie Garrido 2 - - 1 Arkansas Tony Hudson"&amp;", Cal State Fullerton 1980 Arizona Jerry Kindall 5 - 3 Havaí Terry Francona, Arizona 1981 Estado do Arizona Jim Brock 7 - 4 Oklahoma State Stan Holmes, Estado do Arizona 1982 Miami (Fl) Ron Fraser 9 - 3 Wichita, Estado Dan Smith, Miami (FL) Texas Cliff Gu"&amp;"stafson 4 - 3 Alabama Calvin Schiraldi, Texas 1984 Cal State Fullerton Augie Garrido 3 - 1 Texas John Fishel, Cal State Fullerton 1985 Miami (FL) Ron Fraser 10 - 6 Texas Greg Ellena, Miami (FL) 1986 Arizona Jerry Kindall 10 - 2 Estado da Flórida Mike Senn"&amp;"e, Arizona Stanford Mark Marquês 9 - 5 Estado de Oklahoma Paul Carey, Stanford 1988 Stanford Mark Marquess 9 - 4 Estado do Arizona Lee Plemel, Stanford 1989 Wichita State Gene Stephenson 5 - 3 Texas Greg Brummett, Estado de Wichita 1990 Georgia Steve Webb"&amp;"er 2 - 1 Estado de Oklahoma Mike Rebhan, Georgia 1991 Lsu Skip Bertman 6 - 3 Wichita State Gary Hymel, LSU 1992 Pepperdine e Lopez 3 - 2 calçadas Fullerton Phil Nevin, Cal State Fullerton 1993 Lsu Skip Bertman 8 - 0 Estado de Wichita Todd Walker, LSU 1994"&amp;" Oklahoma Larry Cochell 13 - 5 Georgia Tech Chip Glass, Oklahoma 1995 State Fullerton Augie Garrido 11 - 5 Southern California Mark Kotsay, Cal State Fullerton LSU SKIP BERTMAN 9 - 8 MIAMI (FL) PAT BURRELL, MIAMI (FL) 1997 LSU SKIP BERTMAN 13 - 6 Alabama "&amp;"Brandon Larson, LSU 1998 Califórnia Mike Gillespie 21 - 14 Estado do Arizona Wes Rachels, sul da Califórnia 1999 Miami (FL) Jim Morris 6 - 5 Estado da Flórida Marshall McDougall, Florida State 2000 LSU Skip Bertman 6 - 5 Stanford Trey Hodges, LSU 2001 Mia"&amp;"mi (FL) Jim Morris 12 - 1 Stanford Charlton Jimerson, Miami (Fl) 2002 Texas Augie Garrido 12 -6 Street da Carolina do Sul Huston, Texas 2003 Rice Wayne Graham 4 -3, 3 -8, 14 -2 Stanford John Hudgins, Stanford Cal State Fullerton George Horton 6 -4, 3 - 2 "&amp;"Texas Jason Windsor, Cal State Fullerton 2005 Texas Augie Garrido 4 - 2, 6 - 2 Florida David Maroul, Texas 2006 Estado de Oregon Pat Casey 3 - 4, 11 - 7, 3 - 2 Carolina do Norte Jonah Nickerson, Oregon State 2007 Estado de Oregon Pat Casey 11 - 4, 9 - 3 C"&amp;"arolina do Norte Jorge Luis Reyes, Oregon State 2008 Estado de Fresno Mike Batesole 6 - 7, 19 - 10, 6 - 1 Georgia Tommy Mendonca, Fresno State 2009 LSU Paul Mainieri 7 - 6, 1 - 5, 11 - 4 Texas Jared Mitchell, LSU Carolina do Sul Ray Tanner 7 - 1, 2 - 1 UC"&amp;"LA Jackie Bradley, Jr., Carolina do Sul 2011 Carolina do Sul Ray Tanner 2 - 1, 5- 2 Florida Scott Wingo, Carolina do Sul 2012 Arizona Andy Lopez 5- 1, 4- 1 Carolina do Sul Rob Refsnyder, Arizona 2013 UCLA John Savage 3- 1, 8- 0 Mississippi State Adam Plut"&amp;"ko . 2016 Carolina costeira Gary Gilmore 0 - 3, 5 - 4, 4 - 3 Arizona Andrew Beckwith, Carolina Coastal 2017 Florida Kevin O'Sullivan 4 - 3, 6 - 1 LSU Alex Faedo, Flórida 2018 Oregon Pat Casey 1 - 4, 5 - 3, 5 - 0 Arkansas Adley Rutschman, Estado de Oregon")</f>
        <v>   Ano Treinador campeão Runner - UP MAIS MELHOR JOGADOR 1947 California Clint Evans 17 - 8, 8 - 7 Yale 1948 Southern California Sam Barry 3 - 1, 3 - 8, 9 - 2 Yale 1949 Texas Bibb Falk 10 - - 3 Wake Forest Tom Hamilton, Texas 1950 Texas Bibb Falk 3 - 0 Estado de Washington Ray Vancleef, Rutgers 1951 Oklahoma Jack Baer 3 - 2 Tennessee Sidney Hatfield, Tennessee 1952 Cruz Holy Jack Barry 8 - 4 Missouri James O'Neill, Holy Cross 1953 Michigan Ray Fisher 7 - 5 Texas J.L. Smith, Texas 1954 Missouri Hi Simmons 4 - 1 Rollins Tom Yewcic, Michigan State 1955 Wake Forest Taylor Sanford 7 - 6 Oeste de Michigan Tom Borland, Oklahoma A &amp; M 1956 Minnesota Dick Siebert 12 - 1 Arizona Jerry Thomas, Minnesota 1957 Califórnia George Wolfman 1- 0 Penn State Cal Emery, Penn State 1958 Sul da Califórnia Rod DeDeaux 8- 7 Missouri Bill Thom, sul da Califórnia 1959 Oklahoma State Toby Greene 5- 3 Arizona Jim Dobsson 1959 , Oklahoma State 1960 Minnesota Dick Siebert 2 - 1 Southern California John Erickson, Minnesota 1961 Sul da Califórnia Rod deDeaux 1 - 0 Oklahoma State Littleton Fowler, Oklahoma State 1962 Michigan Don Lund 5 - 4 Santa Clara Bob Garibaldi, Santa Cara 1963 Southern California Rod DeDeaux 5 -2 Arizona Bud Hollowell, sul da Califórnia 1964 Minnesota Dick Siebert 5 -1 Missouri Joe Ferris, Maine 1965 Estado do Arizona Bobby Winkles 2 -1 Ohio State Sal Bando, Estado do Estado de Arizona 1966 O estado de Ohio Marty Karow 8 - 2 Estado de Oklahoma Steve Arlin, Estado de Ohio 1967 Estado do Arizona Bobby Winkles 11 - 2 Houston Ron Davini, Estado do Arizona 1968 Sul da Califórnia Rod deDeaux 4 - 3 Southern Illinois Bill Seinsoth, sul da Califórnia 1969 Estado de Arizona Bobby Winkles 10 - 1 Tulsa John John Dolinsek, Estado do Arizona 1970 Sul da Califórnia Rod Dedaux 2 - 1 Gene do Estado da Flórida Ammann, Estado da Flórida 1971 Sul da Califórnia Rod Dedaux 7 - 2 Southern Illinois Jerry Tabb, Tulsa 1972 Sul da Califórnia Rod Dedaux 1 - 0 Arizona State Russ McQueen, sul Califórnia 1973 Sul da Califórnia Rod Dedaux 4 - 3 Estado do Arizona Dave Winfield, Minnesota Sul da Califórnia Rod Dedaux 7 - 3 Miami (FL) George Milke, sul da Califórnia Texas Cliff Gustafson 5 - 1 Carolina do Sul Mickey Reichenbach, Texas 1976 Arizona Jerry Kindall 7 - 1 Oriental Michigan Steve Powers, Arizona 1977 Estado do Arizona Jim Brock 2 - 1 Carolina do Sul Bob Horner, Estado do Arizona 1978 Sul da Califórnia Rod Dedaux 10 - 3 Estado do Arizona Rod Boxberger, sul da Califórnia 1979 Cal Fullerton Fullerton Augie Garrido 2 - - 1 Arkansas Tony Hudson, Cal State Fullerton 1980 Arizona Jerry Kindall 5 - 3 Havaí Terry Francona, Arizona 1981 Estado do Arizona Jim Brock 7 - 4 Oklahoma State Stan Holmes, Estado do Arizona 1982 Miami (Fl) Ron Fraser 9 - 3 Wichita, Estado Dan Smith, Miami (FL) Texas Cliff Gustafson 4 - 3 Alabama Calvin Schiraldi, Texas 1984 Cal State Fullerton Augie Garrido 3 - 1 Texas John Fishel, Cal State Fullerton 1985 Miami (FL) Ron Fraser 10 - 6 Texas Greg Ellena, Miami (FL) 1986 Arizona Jerry Kindall 10 - 2 Estado da Flórida Mike Senne, Arizona Stanford Mark Marquês 9 - 5 Estado de Oklahoma Paul Carey, Stanford 1988 Stanford Mark Marquess 9 - 4 Estado do Arizona Lee Plemel, Stanford 1989 Wichita State Gene Stephenson 5 - 3 Texas Greg Brummett, Estado de Wichita 1990 Georgia Steve Webber 2 - 1 Estado de Oklahoma Mike Rebhan, Georgia 1991 Lsu Skip Bertman 6 - 3 Wichita State Gary Hymel, LSU 1992 Pepperdine e Lopez 3 - 2 calçadas Fullerton Phil Nevin, Cal State Fullerton 1993 Lsu Skip Bertman 8 - 0 Estado de Wichita Todd Walker, LSU 1994 Oklahoma Larry Cochell 13 - 5 Georgia Tech Chip Glass, Oklahoma 1995 State Fullerton Augie Garrido 11 - 5 Southern California Mark Kotsay, Cal State Fullerton LSU SKIP BERTMAN 9 - 8 MIAMI (FL) PAT BURRELL, MIAMI (FL) 1997 LSU SKIP BERTMAN 13 - 6 Alabama Brandon Larson, LSU 1998 Califórnia Mike Gillespie 21 - 14 Estado do Arizona Wes Rachels, sul da Califórnia 1999 Miami (FL) Jim Morris 6 - 5 Estado da Flórida Marshall McDougall, Florida State 2000 LSU Skip Bertman 6 - 5 Stanford Trey Hodges, LSU 2001 Miami (FL) Jim Morris 12 - 1 Stanford Charlton Jimerson, Miami (Fl) 2002 Texas Augie Garrido 12 -6 Street da Carolina do Sul Huston, Texas 2003 Rice Wayne Graham 4 -3, 3 -8, 14 -2 Stanford John Hudgins, Stanford Cal State Fullerton George Horton 6 -4, 3 - 2 Texas Jason Windsor, Cal State Fullerton 2005 Texas Augie Garrido 4 - 2, 6 - 2 Florida David Maroul, Texas 2006 Estado de Oregon Pat Casey 3 - 4, 11 - 7, 3 - 2 Carolina do Norte Jonah Nickerson, Oregon State 2007 Estado de Oregon Pat Casey 11 - 4, 9 - 3 Carolina do Norte Jorge Luis Reyes, Oregon State 2008 Estado de Fresno Mike Batesole 6 - 7, 19 - 10, 6 - 1 Georgia Tommy Mendonca, Fresno State 2009 LSU Paul Mainieri 7 - 6, 1 - 5, 11 - 4 Texas Jared Mitchell, LSU Carolina do Sul Ray Tanner 7 - 1, 2 - 1 UCLA Jackie Bradley, Jr., Carolina do Sul 2011 Carolina do Sul Ray Tanner 2 - 1, 5- 2 Florida Scott Wingo, Carolina do Sul 2012 Arizona Andy Lopez 5- 1, 4- 1 Carolina do Sul Rob Refsnyder, Arizona 2013 UCLA John Savage 3- 1, 8- 0 Mississippi State Adam Plutko . 2016 Carolina costeira Gary Gilmore 0 - 3, 5 - 4, 4 - 3 Arizona Andrew Beckwith, Carolina Coastal 2017 Florida Kevin O'Sullivan 4 - 3, 6 - 1 LSU Alex Faedo, Flórida 2018 Oregon Pat Casey 1 - 4, 5 - 3, 5 - 0 Arkansas Adley Rutschman, Estado de Oregon</v>
      </c>
    </row>
    <row r="86" customFormat="false" ht="15.75" hidden="false" customHeight="true" outlineLevel="0" collapsed="false">
      <c r="A86" s="3" t="n">
        <v>83</v>
      </c>
      <c r="B86" s="5" t="s">
        <v>254</v>
      </c>
      <c r="C86" s="5" t="s">
        <v>255</v>
      </c>
      <c r="D86" s="5" t="s">
        <v>256</v>
      </c>
      <c r="E86" s="4" t="str">
        <f aca="false">IFERROR(__xludf.dummyfunction("GOOGLETRANSLATE(C87)"),"Quem vendeu mais álbuns Elvis ou Micheal Jackson")</f>
        <v>Quem vendeu mais álbuns Elvis ou Micheal Jackson</v>
      </c>
      <c r="F86" s="5" t="str">
        <f aca="false">IFERROR(__xludf.dummyfunction("GOOGLETRANSLATE(D86)"),"   Ano Campeões Ocidentais Resultados Campeões Orientais Referência 1950 Minneapolis Lakers 4 - 2 Syracuse Nationals 1951 Rochester Royals (2) 4 - 3 New York Knicks (3) 1952 Minneapolis Lakers (2) 4 - 3 New York Knicks (3) 1953 MINNEAPOLIS Lakers (1) 4 - "&amp;"1 New York Knicks (1) 1954 Minneapolis Lakers (1) 4 - 3 Syracuse Nationals (1) 1955 Fort Wayne Pistons (1) 3 - 4 Syracuse Nationals (1) 1956 Fort Wayne Pistons ( 1) 1 - 4 Philadelphia Warriors (1) 1957 St. Louis Hawks (1) 3 - 4 Boston Celtics (1) 1958 St."&amp;" Louis Hawks (1) 4 - 2 Boston Celtics (1) 1959 Minneapolis Lakers (2 ) 0 - 4 Boston Celtics (1) 1960 St. Louis Hawks (1) 3 - 4 Boston Celtics (1) 1961 St. Louis Hawks (1) 1 - 4 Boston Celtics (1) 1962 Los Angeles Lakers (1 ) 3 - 4 Boston Celtics (1) 1963 "&amp;"Los Angeles Lakers (1) 2 - 4 Boston Celtics (1) 1964 São Francisco Warriors (1) 1 - 4 Boston Celtics (1) 1965 Los Angeles Lakers (1) 1 -4 Boston Celtics (1) 1966 Los Angeles Lakers (1) 3-4 Boston Celtics (2) 1967 San Francisco Warriors (1) 2-4 Filadélfia "&amp;"76ers (1) 1968 Los Angeles Lakers (2) 2-2- 4 Boston Celtics (2) 1969 Los Angeles Lakers (1) 3 - 4 Boston Celtics (4) 1970 Los Angeles Lakers (2) 3 - 4 New York Knicks (1) 1971 Milwaukee Bucks (1) 4 - 0 Baltimore Bullets (1) 1972 Los Angeles Lakers (1) 4 -"&amp;" 1 New York Knicks (2) 1973 Los Angeles Lakers (2) 1 - 4 New York Knicks (2) Milwaukee Bucks (1) 3 - 4 Boston Celtics ( 1) Golden State Warriors (1) 4 - 0 Washington Bullets (2) 1976 Phoenix Suns (3) 2 - 4 Boston Celtics (1) 1977 Portland Trail Blazers (3"&amp;") 4 - 2 Philadelphia 76ers (1) 1978 Seattle Supersonics (4) 3 - 4 Washington Bullets (3) 1979 Seattle Supersonics (1) 4 - 1 Washington Bullets (1) 1980 Los Angeles Lakers (1) 4 - 2 Philadelphia 76ers (3) 1981 Houston Rockets (6) 2 -4 Boston Celtics (1) 19"&amp;"82 Los Angeles Lakers (1) 4 -2 Philadelphia 76ers (3) Los Angeles Lakers (1) 0 -4 Philadelphia 76ers (1) 1984 Los Angeles Lakers (1) 3 - 4 Boston Celtics (1) 1985 Los Angeles Lakers (1) 4 - 2 Boston Celtics (1) 1986 Houston Rockets (2) 2 - 4 Boston Celtic"&amp;"s (1) Los Angeles Lakers (1) 4 - 2 Boston Celtics ( 1) 1988 Los Angeles Lakers (1) 4 - 3 Detroit Pistons (2) 1989 Los Angeles Lakers (1) 0 - 4 Detroit Pistons (1) 1990 Portland Trail Blazers (3) 1 - 4 Detroit Pistons (1) 1991 Los Angeles Lakers (3) 1 - 4 "&amp;"Chicago Bulls (1) 1992 Portland Trail Blazers (1) 2 - 4 Chicago Bulls (1) 1993 Phoenix Suns (1) 2 - 4 Chicago Bulls (2) 1994 Houston Rockets (2) 4 - 3 New York Knicks (2) 1995 Houston Rockets (6) 4 - 0 Orlando Magic (1) Seattle Supersonics (1) 2 - 4 Chica"&amp;"go Bulls (1) 1997 Utah Jazz (1) 2 - - 4 Chicago Bulls (1) 1998 Utah Jazz (1) 2 - 4 Chicago Bulls (1) 1999 San Antonio Spurs (1) 4 - 1 New York Knicks (8) 2000 Los Angeles Lakers (1) 4 - 2 Indiana Pacers (1) 2001 Los Angeles Lakers (2) 4 - 1 Philadelphia 7"&amp;"6ers (1) 2002 Los Angeles Lakers (3) 4 - 0 Nets de Nova Jersey (1) 2003 San Antonio Spurs (1) 4 - 2 Novo Jersey Nets (2) Los Angeles Lakers (2) 1 - 4 Detroit Pistons (3) 2005 San Antonio Spurs (2) 4 - 3 Detroit Pistons (2) 2006 Dallas Mavericks (4) 2 - 4 "&amp;"Miami Heat (2 ) 2007 San Antonio Spurs (3) 4 - 0 Cleveland Cavaliers (2) 2008 Los Angeles Lakers (1) 2 - 4 Boston Celtics (1) 2009 Los Angeles Lakers (1) 4 - 1 Orlando Magic (3) Los Angeles Lakers (1) 4 - 3 Boston Celtics (4) 2011 Dallas Mavericks (3) 4 -"&amp;" 2 Miami Heat (2) 2012 Oklahoma City Thunder (2) 1 - 4 Miami Heat (2) 2013 San Antonio Spurs ( 2) 3 - 4 Miami Heat (1) 2014 San Antonio Spurs (1) 4 - 1 Miami Heat (2) 2015 Golden State Warriors (1) 4 - 2 Cleveland Cavaliers (2) 2016 Golden State Warriors "&amp;"(1) 3 - 4 Cleveland Cavaliers (1) 2017 Golden State Warriors (1) 4 - 1 Cleveland Cavaliers (2)")</f>
        <v>   Ano Campeões Ocidentais Resultados Campeões Orientais Referência 1950 Minneapolis Lakers 4 - 2 Syracuse Nationals 1951 Rochester Royals (2) 4 - 3 New York Knicks (3) 1952 Minneapolis Lakers (2) 4 - 3 New York Knicks (3) 1953 MINNEAPOLIS Lakers (1) 4 - 1 New York Knicks (1) 1954 Minneapolis Lakers (1) 4 - 3 Syracuse Nationals (1) 1955 Fort Wayne Pistons (1) 3 - 4 Syracuse Nationals (1) 1956 Fort Wayne Pistons ( 1) 1 - 4 Philadelphia Warriors (1) 1957 St. Louis Hawks (1) 3 - 4 Boston Celtics (1) 1958 St. Louis Hawks (1) 4 - 2 Boston Celtics (1) 1959 Minneapolis Lakers (2 ) 0 - 4 Boston Celtics (1) 1960 St. Louis Hawks (1) 3 - 4 Boston Celtics (1) 1961 St. Louis Hawks (1) 1 - 4 Boston Celtics (1) 1962 Los Angeles Lakers (1 ) 3 - 4 Boston Celtics (1) 1963 Los Angeles Lakers (1) 2 - 4 Boston Celtics (1) 1964 São Francisco Warriors (1) 1 - 4 Boston Celtics (1) 1965 Los Angeles Lakers (1) 1 -4 Boston Celtics (1) 1966 Los Angeles Lakers (1) 3-4 Boston Celtics (2) 1967 San Francisco Warriors (1) 2-4 Filadélfia 76ers (1) 1968 Los Angeles Lakers (2) 2-2- 4 Boston Celtics (2) 1969 Los Angeles Lakers (1) 3 - 4 Boston Celtics (4) 1970 Los Angeles Lakers (2) 3 - 4 New York Knicks (1) 1971 Milwaukee Bucks (1) 4 - 0 Baltimore Bullets (1) 1972 Los Angeles Lakers (1) 4 - 1 New York Knicks (2) 1973 Los Angeles Lakers (2) 1 - 4 New York Knicks (2) Milwaukee Bucks (1) 3 - 4 Boston Celtics ( 1) Golden State Warriors (1) 4 - 0 Washington Bullets (2) 1976 Phoenix Suns (3) 2 - 4 Boston Celtics (1) 1977 Portland Trail Blazers (3) 4 - 2 Philadelphia 76ers (1) 1978 Seattle Supersonics (4) 3 - 4 Washington Bullets (3) 1979 Seattle Supersonics (1) 4 - 1 Washington Bullets (1) 1980 Los Angeles Lakers (1) 4 - 2 Philadelphia 76ers (3) 1981 Houston Rockets (6) 2 -4 Boston Celtics (1) 1982 Los Angeles Lakers (1) 4 -2 Philadelphia 76ers (3) Los Angeles Lakers (1) 0 -4 Philadelphia 76ers (1) 1984 Los Angeles Lakers (1) 3 - 4 Boston Celtics (1) 1985 Los Angeles Lakers (1) 4 - 2 Boston Celtics (1) 1986 Houston Rockets (2) 2 - 4 Boston Celtics (1) Los Angeles Lakers (1) 4 - 2 Boston Celtics ( 1) 1988 Los Angeles Lakers (1) 4 - 3 Detroit Pistons (2) 1989 Los Angeles Lakers (1) 0 - 4 Detroit Pistons (1) 1990 Portland Trail Blazers (3) 1 - 4 Detroit Pistons (1) 1991 Los Angeles Lakers (3) 1 - 4 Chicago Bulls (1) 1992 Portland Trail Blazers (1) 2 - 4 Chicago Bulls (1) 1993 Phoenix Suns (1) 2 - 4 Chicago Bulls (2) 1994 Houston Rockets (2) 4 - 3 New York Knicks (2) 1995 Houston Rockets (6) 4 - 0 Orlando Magic (1) Seattle Supersonics (1) 2 - 4 Chicago Bulls (1) 1997 Utah Jazz (1) 2 - - 4 Chicago Bulls (1) 1998 Utah Jazz (1) 2 - 4 Chicago Bulls (1) 1999 San Antonio Spurs (1) 4 - 1 New York Knicks (8) 2000 Los Angeles Lakers (1) 4 - 2 Indiana Pacers (1) 2001 Los Angeles Lakers (2) 4 - 1 Philadelphia 76ers (1) 2002 Los Angeles Lakers (3) 4 - 0 Nets de Nova Jersey (1) 2003 San Antonio Spurs (1) 4 - 2 Novo Jersey Nets (2) Los Angeles Lakers (2) 1 - 4 Detroit Pistons (3) 2005 San Antonio Spurs (2) 4 - 3 Detroit Pistons (2) 2006 Dallas Mavericks (4) 2 - 4 Miami Heat (2 ) 2007 San Antonio Spurs (3) 4 - 0 Cleveland Cavaliers (2) 2008 Los Angeles Lakers (1) 2 - 4 Boston Celtics (1) 2009 Los Angeles Lakers (1) 4 - 1 Orlando Magic (3) Los Angeles Lakers (1) 4 - 3 Boston Celtics (4) 2011 Dallas Mavericks (3) 4 - 2 Miami Heat (2) 2012 Oklahoma City Thunder (2) 1 - 4 Miami Heat (2) 2013 San Antonio Spurs ( 2) 3 - 4 Miami Heat (1) 2014 San Antonio Spurs (1) 4 - 1 Miami Heat (2) 2015 Golden State Warriors (1) 4 - 2 Cleveland Cavaliers (2) 2016 Golden State Warriors (1) 3 - 4 Cleveland Cavaliers (1) 2017 Golden State Warriors (1) 4 - 1 Cleveland Cavaliers (2)</v>
      </c>
    </row>
    <row r="87" customFormat="false" ht="15.75" hidden="false" customHeight="true" outlineLevel="0" collapsed="false">
      <c r="A87" s="3" t="n">
        <v>84</v>
      </c>
      <c r="B87" s="5" t="s">
        <v>257</v>
      </c>
      <c r="C87" s="5" t="s">
        <v>258</v>
      </c>
      <c r="D87" s="5" t="s">
        <v>259</v>
      </c>
      <c r="E87" s="4" t="str">
        <f aca="false">IFERROR(__xludf.dummyfunction("GOOGLETRANSLATE(C88)"),"que interpreta o oficial Garcia na dieta de Santa Clarita")</f>
        <v>que interpreta o oficial Garcia na dieta de Santa Clarita</v>
      </c>
      <c r="F87" s="5" t="str">
        <f aca="false">IFERROR(__xludf.dummyfunction("GOOGLETRANSLATE(D87)")," Michael Jackson vendeu 750 milhões de recordes vivos, os Beatles venderam 500 + milhões de registros alive Elvis Presley vendeu 350 + milhões de discos vivos")</f>
        <v> Michael Jackson vendeu 750 milhões de recordes vivos, os Beatles venderam 500 + milhões de registros alive Elvis Presley vendeu 350 + milhões de discos vivos</v>
      </c>
    </row>
    <row r="88" customFormat="false" ht="15.75" hidden="false" customHeight="true" outlineLevel="0" collapsed="false">
      <c r="A88" s="3" t="n">
        <v>85</v>
      </c>
      <c r="B88" s="5" t="s">
        <v>260</v>
      </c>
      <c r="C88" s="5" t="s">
        <v>261</v>
      </c>
      <c r="D88" s="5" t="s">
        <v>262</v>
      </c>
      <c r="E88" s="4" t="str">
        <f aca="false">IFERROR(__xludf.dummyfunction("GOOGLETRANSLATE(C89)"),"Quando foi criada a grande pirâmide de Gizé")</f>
        <v>Quando foi criada a grande pirâmide de Gizé</v>
      </c>
      <c r="F88" s="5" t="str">
        <f aca="false">IFERROR(__xludf.dummyfunction("GOOGLETRANSLATE(D88)")," Natalie Morales como Anne Garcia, vice de um xerife, parceira de Dan, e muito religiosa. Ela se envolve romanticamente com Lisa depois que Dan desaparece.")</f>
        <v> Natalie Morales como Anne Garcia, vice de um xerife, parceira de Dan, e muito religiosa. Ela se envolve romanticamente com Lisa depois que Dan desaparece.</v>
      </c>
    </row>
    <row r="89" customFormat="false" ht="15.75" hidden="false" customHeight="true" outlineLevel="0" collapsed="false">
      <c r="A89" s="3" t="n">
        <v>86</v>
      </c>
      <c r="B89" s="5" t="s">
        <v>263</v>
      </c>
      <c r="C89" s="5" t="s">
        <v>264</v>
      </c>
      <c r="D89" s="5" t="s">
        <v>265</v>
      </c>
      <c r="E89" s="4" t="str">
        <f aca="false">IFERROR(__xludf.dummyfunction("GOOGLETRANSLATE(C90)"),"Quem cantou há um rato na minha cozinha")</f>
        <v>Quem cantou há um rato na minha cozinha</v>
      </c>
      <c r="F89" s="5" t="str">
        <f aca="false">IFERROR(__xludf.dummyfunction("GOOGLETRANSLATE(D89)")," Com base em uma marca em uma câmara interior nomeando a gangue de trabalho e uma referência à quarta dinastia faraó egípcia Khufu, os egiptólogos acreditam que a pirâmide foi construída como túmulo durante um período de 10 a 20 anos, concluindo cerca de "&amp;"2560 aC. Inicialmente a 146,5 metros (481 pés), a Grande Pirâmide era o homem mais alto - fez estrutura do mundo por mais de 3.800 anos. Originalmente, a Grande Pirâmide era coberta por pedras da carcaça que formavam uma superfície externa lisa; O que é v"&amp;"isto hoje é a estrutura central subjacente. Algumas das pedras de invólucro que já cobriam a estrutura ainda podem ser vistas ao redor da base. Houve várias teorias científicas e alternativas sobre as técnicas de construção da Grande Pirâmide. A maioria d"&amp;"as hipóteses de construção aceita baseia -se na idéia de que foi construída movendo pedras enormes de uma pedreira e arrastando e levantando -as no lugar.")</f>
        <v> Com base em uma marca em uma câmara interior nomeando a gangue de trabalho e uma referência à quarta dinastia faraó egípcia Khufu, os egiptólogos acreditam que a pirâmide foi construída como túmulo durante um período de 10 a 20 anos, concluindo cerca de 2560 aC. Inicialmente a 146,5 metros (481 pés), a Grande Pirâmide era o homem mais alto - fez estrutura do mundo por mais de 3.800 anos. Originalmente, a Grande Pirâmide era coberta por pedras da carcaça que formavam uma superfície externa lisa; O que é visto hoje é a estrutura central subjacente. Algumas das pedras de invólucro que já cobriam a estrutura ainda podem ser vistas ao redor da base. Houve várias teorias científicas e alternativas sobre as técnicas de construção da Grande Pirâmide. A maioria das hipóteses de construção aceita baseia -se na idéia de que foi construída movendo pedras enormes de uma pedreira e arrastando e levantando -as no lugar.</v>
      </c>
    </row>
    <row r="90" customFormat="false" ht="15.75" hidden="false" customHeight="true" outlineLevel="0" collapsed="false">
      <c r="A90" s="3" t="n">
        <v>87</v>
      </c>
      <c r="B90" s="5" t="s">
        <v>266</v>
      </c>
      <c r="C90" s="5" t="s">
        <v>267</v>
      </c>
      <c r="D90" s="5" t="s">
        <v>268</v>
      </c>
      <c r="E90" s="4" t="str">
        <f aca="false">IFERROR(__xludf.dummyfunction("GOOGLETRANSLATE(C91)"),"A contribuição da agricultura no produto interno bruto da Índia é")</f>
        <v>A contribuição da agricultura no produto interno bruto da Índia é</v>
      </c>
      <c r="F90" s="5" t="str">
        <f aca="false">IFERROR(__xludf.dummyfunction("GOOGLETRANSLATE(D90)")," `` Rat in Mi Kitchen '' é uma música e uma única escrita e tocada pelo grupo britânico, UB40. Possui Herb Alpert no trompete e foi a sexta faixa do álbum Rat na cozinha. Lançado em 1986, alcançou o número 12 nas paradas do Reino Unido em 1987, ficando po"&amp;"r sete semanas.")</f>
        <v> `` Rat in Mi Kitchen '' é uma música e uma única escrita e tocada pelo grupo britânico, UB40. Possui Herb Alpert no trompete e foi a sexta faixa do álbum Rat na cozinha. Lançado em 1986, alcançou o número 12 nas paradas do Reino Unido em 1987, ficando por sete semanas.</v>
      </c>
    </row>
    <row r="91" customFormat="false" ht="15.75" hidden="false" customHeight="true" outlineLevel="0" collapsed="false">
      <c r="A91" s="3" t="n">
        <v>88</v>
      </c>
      <c r="B91" s="5" t="s">
        <v>269</v>
      </c>
      <c r="C91" s="5" t="s">
        <v>270</v>
      </c>
      <c r="D91" s="5" t="s">
        <v>271</v>
      </c>
      <c r="E91" s="4" t="str">
        <f aca="false">IFERROR(__xludf.dummyfunction("GOOGLETRANSLATE(C92)"),"Quem está fazendo o show no intervalo em 2018")</f>
        <v>Quem está fazendo o show no intervalo em 2018</v>
      </c>
      <c r="F91" s="5" t="str">
        <f aca="false">IFERROR(__xludf.dummyfunction("GOOGLETRANSLATE(D91)")," A história da agricultura na Índia remonta à era da civilização do Vale do Indo e mesmo antes disso em algumas partes do sul da Índia. Hoje, a Índia ocupa o segundo mundo em todo o mundo na produção agrícola. A agricultura e setores aliados, como silvicu"&amp;"ltura e pesca, representaram 13,7 % do PIB (produto interno bruto) em 2013, cerca de 50 % da força de trabalho. A contribuição econômica da agricultura para o PIB da Índia está diminuindo constantemente com o amplo crescimento econômico de base do país. A"&amp;"inda assim, a agricultura é demograficamente o setor econômico mais amplo e desempenha um papel significativo no tecido econômico geral da Índia.")</f>
        <v> A história da agricultura na Índia remonta à era da civilização do Vale do Indo e mesmo antes disso em algumas partes do sul da Índia. Hoje, a Índia ocupa o segundo mundo em todo o mundo na produção agrícola. A agricultura e setores aliados, como silvicultura e pesca, representaram 13,7 % do PIB (produto interno bruto) em 2013, cerca de 50 % da força de trabalho. A contribuição econômica da agricultura para o PIB da Índia está diminuindo constantemente com o amplo crescimento econômico de base do país. Ainda assim, a agricultura é demograficamente o setor econômico mais amplo e desempenha um papel significativo no tecido econômico geral da Índia.</v>
      </c>
    </row>
    <row r="92" customFormat="false" ht="15.75" hidden="false" customHeight="true" outlineLevel="0" collapsed="false">
      <c r="A92" s="3" t="n">
        <v>89</v>
      </c>
      <c r="B92" s="5" t="s">
        <v>272</v>
      </c>
      <c r="C92" s="5" t="s">
        <v>273</v>
      </c>
      <c r="D92" s="5" t="s">
        <v>274</v>
      </c>
      <c r="E92" s="4" t="str">
        <f aca="false">IFERROR(__xludf.dummyfunction("GOOGLETRANSLATE(C93)"),"Razões pelas quais a África do Sul deve incluir energia renovável em seu mix de energia")</f>
        <v>Razões pelas quais a África do Sul deve incluir energia renovável em seu mix de energia</v>
      </c>
      <c r="F92" s="5" t="str">
        <f aca="false">IFERROR(__xludf.dummyfunction("GOOGLETRANSLATE(D92)")," O show de intervalo do Super Bowl LII (oficialmente conhecido como show de intervalo da Pepsi Super Bowl LII) ocorreu em 4 de fevereiro de 2018 no U.S. Bank Stadium em Minneapolis, Minnesota, como parte do Super Bowl LII. Justin Timberlake foi o artista "&amp;"em destaque, conforme confirmado pela National Football League (NFL) em 22 de outubro de 2017. Foi televisionado nacionalmente pela NBC.")</f>
        <v> O show de intervalo do Super Bowl LII (oficialmente conhecido como show de intervalo da Pepsi Super Bowl LII) ocorreu em 4 de fevereiro de 2018 no U.S. Bank Stadium em Minneapolis, Minnesota, como parte do Super Bowl LII. Justin Timberlake foi o artista em destaque, conforme confirmado pela National Football League (NFL) em 22 de outubro de 2017. Foi televisionado nacionalmente pela NBC.</v>
      </c>
    </row>
    <row r="93" customFormat="false" ht="15.75" hidden="false" customHeight="true" outlineLevel="0" collapsed="false">
      <c r="A93" s="3" t="n">
        <v>90</v>
      </c>
      <c r="B93" s="5" t="s">
        <v>275</v>
      </c>
      <c r="C93" s="5" t="s">
        <v>276</v>
      </c>
      <c r="D93" s="5" t="s">
        <v>277</v>
      </c>
      <c r="E93" s="4" t="str">
        <f aca="false">IFERROR(__xludf.dummyfunction("GOOGLETRANSLATE(C94)"),"Quais são as funções do Lok Sabha")</f>
        <v>Quais são as funções do Lok Sabha</v>
      </c>
      <c r="F93" s="5" t="str">
        <f aca="false">IFERROR(__xludf.dummyfunction("GOOGLETRANSLATE(D93)")," As duas principais barreiras que acompanham a energia renovável na África do Sul são; o sistema de inovação energética e o alto custo das tecnologias de energia renovável. O Programa de Compras de Produtores de Energia Renovável de Energia (REI4P) sugere"&amp;" que o custo associado à energia renovável será igual ao custo da energia não renovável até 2030. A energia renovável está se tornando mais eficiente, barata e amplamente usada. A África do Sul tem uma abundância de recursos renováveis ​​que podem efetiva"&amp;"mente fornecer a energia do país.")</f>
        <v> As duas principais barreiras que acompanham a energia renovável na África do Sul são; o sistema de inovação energética e o alto custo das tecnologias de energia renovável. O Programa de Compras de Produtores de Energia Renovável de Energia (REI4P) sugere que o custo associado à energia renovável será igual ao custo da energia não renovável até 2030. A energia renovável está se tornando mais eficiente, barata e amplamente usada. A África do Sul tem uma abundância de recursos renováveis ​​que podem efetivamente fornecer a energia do país.</v>
      </c>
    </row>
    <row r="94" customFormat="false" ht="15.75" hidden="false" customHeight="true" outlineLevel="0" collapsed="false">
      <c r="A94" s="3" t="n">
        <v>91</v>
      </c>
      <c r="B94" s="5" t="s">
        <v>278</v>
      </c>
      <c r="C94" s="5" t="s">
        <v>279</v>
      </c>
      <c r="D94" s="5" t="s">
        <v>280</v>
      </c>
      <c r="E94" s="4" t="str">
        <f aca="false">IFERROR(__xludf.dummyfunction("GOOGLETRANSLATE(C95)"),"Quando foi a primeira rodovia construída em Los Angeles")</f>
        <v>Quando foi a primeira rodovia construída em Los Angeles</v>
      </c>
      <c r="F94" s="5" t="str">
        <f aca="false">IFERROR(__xludf.dummyfunction("GOOGLETRANSLATE(D94)"),"  Moções de não confiança contra o governo podem ser introduzidas e aprovadas no Lok Sabha. Se aprovada por uma votação majoritária, o primeiro -ministro e o Conselho de Ministros renunciam coletivamente. O Rajya Sabha não tem poder sobre tal movimento e,"&amp;" portanto, não tem poder real sobre o executivo. Isso ocorre porque a Constituição da Índia apenas tornou o Conselho de Ministros da União responsável pelo Lok Sabha, não ao Rajya Sabha. As contas de dinheiro só podem ser introduzidas no Lok Sabha e, ao s"&amp;"erem aprovadas, são enviadas para o Rajya Sabha, onde pode ser deliberado por até 14 dias. Se não for rejeitado pelo Rajya Sabha, ou 14 dias de lapso da introdução do projeto de lei no Rajya Sabha sem nenhuma ação da Câmara, ou as recomendações feitas pel"&amp;"o Rajya Sabha não são aceitas pelo Lok Sabha, o projeto é considerado aprovado. O orçamento é apresentado no Lok Sabha pelo ministro das Finanças em nome do Presidente da Índia. Em questões referentes a projetos de lei não financeiros (ordinários), depois"&amp;" que o projeto foi aprovado pela casa onde foi originalmente apresentada (Lok Sabha ou Rajya Sabha), é enviada para a outra casa, onde pode ser mantido para um máximo período de 6 meses. Se a outra casa rejeitar o projeto de lei ou um período de 6 meses, "&amp;"sem nenhuma ação por essa casa, ou a casa que originalmente apresentou a conta não aceita as recomendações feitas pelos membros da outra casa, isso resulta em um impasse. Isso é resolvido por uma sessão conjunta de ambas as casas, presidida pelo President"&amp;"e do Lok Sabha e decidido por uma maioria simples. Embora a Constituição tenha colocado as duas casas na mesma posição a esse respeito, na realidade são as opiniões do Lok Sabha que prevalecem principalmente - devido à sua maior força numérica. Poderes ig"&amp;"uais com o Rajya Sabha ao iniciar e aprovar qualquer projeto de lei para a emenda constitucional (pela maioria dos membros totais da Câmara e pelo menos dois terços da maioria dos membros presentes e votando). Poderes iguais com o Rajya Sabha ao iniciar e"&amp;" passar uma moção para o impeachment do Presidente (por dois terços dos membros da Câmara). Poderes iguais com o Rajya Sabha no processo de impeachment (iniciando e transmitindo uma moção para a remoção) dos juízes da Suprema Corte e dos tribunais superio"&amp;"res estaduais (pela maioria dos membros da Câmara e pelo menos dois terços da maioria dos terços do membros presentes e votando), que pode ser removido pelo presidente da Índia. Poderes iguais com o Rajya Sabha ao iniciar e aprovar uma resolução declarand"&amp;"o guerra ou emergência nacional (por maioria dos terços) ou emergência constitucional (por maioria simples) em um estado. Se o Lok Sabha for dissolvido antes ou depois da declaração de uma emergência nacional, o Rajya Sabha se torna o único parlamento. Nã"&amp;"o pode ser dissolvido. Esta é uma limitação para o Lok Sabha. Mas existe a possibilidade de que o presidente possa exceder o termo para não mais de 1 ano sob a proclamação de emergência e o mesmo seria reduzido para seis meses se a proclamação referida de"&amp;"ixar de operar.")</f>
        <v>  Moções de não confiança contra o governo podem ser introduzidas e aprovadas no Lok Sabha. Se aprovada por uma votação majoritária, o primeiro -ministro e o Conselho de Ministros renunciam coletivamente. O Rajya Sabha não tem poder sobre tal movimento e, portanto, não tem poder real sobre o executivo. Isso ocorre porque a Constituição da Índia apenas tornou o Conselho de Ministros da União responsável pelo Lok Sabha, não ao Rajya Sabha. As contas de dinheiro só podem ser introduzidas no Lok Sabha e, ao serem aprovadas, são enviadas para o Rajya Sabha, onde pode ser deliberado por até 14 dias. Se não for rejeitado pelo Rajya Sabha, ou 14 dias de lapso da introdução do projeto de lei no Rajya Sabha sem nenhuma ação da Câmara, ou as recomendações feitas pelo Rajya Sabha não são aceitas pelo Lok Sabha, o projeto é considerado aprovado. O orçamento é apresentado no Lok Sabha pelo ministro das Finanças em nome do Presidente da Índia. Em questões referentes a projetos de lei não financeiros (ordinários), depois que o projeto foi aprovado pela casa onde foi originalmente apresentada (Lok Sabha ou Rajya Sabha), é enviada para a outra casa, onde pode ser mantido para um máximo período de 6 meses. Se a outra casa rejeitar o projeto de lei ou um período de 6 meses, sem nenhuma ação por essa casa, ou a casa que originalmente apresentou a conta não aceita as recomendações feitas pelos membros da outra casa, isso resulta em um impasse. Isso é resolvido por uma sessão conjunta de ambas as casas, presidida pelo Presidente do Lok Sabha e decidido por uma maioria simples. Embora a Constituição tenha colocado as duas casas na mesma posição a esse respeito, na realidade são as opiniões do Lok Sabha que prevalecem principalmente - devido à sua maior força numérica. Poderes iguais com o Rajya Sabha ao iniciar e aprovar qualquer projeto de lei para a emenda constitucional (pela maioria dos membros totais da Câmara e pelo menos dois terços da maioria dos membros presentes e votando). Poderes iguais com o Rajya Sabha ao iniciar e passar uma moção para o impeachment do Presidente (por dois terços dos membros da Câmara). Poderes iguais com o Rajya Sabha no processo de impeachment (iniciando e transmitindo uma moção para a remoção) dos juízes da Suprema Corte e dos tribunais superiores estaduais (pela maioria dos membros da Câmara e pelo menos dois terços da maioria dos terços do membros presentes e votando), que pode ser removido pelo presidente da Índia. Poderes iguais com o Rajya Sabha ao iniciar e aprovar uma resolução declarando guerra ou emergência nacional (por maioria dos terços) ou emergência constitucional (por maioria simples) em um estado. Se o Lok Sabha for dissolvido antes ou depois da declaração de uma emergência nacional, o Rajya Sabha se torna o único parlamento. Não pode ser dissolvido. Esta é uma limitação para o Lok Sabha. Mas existe a possibilidade de que o presidente possa exceder o termo para não mais de 1 ano sob a proclamação de emergência e o mesmo seria reduzido para seis meses se a proclamação referida deixar de operar.</v>
      </c>
    </row>
    <row r="95" customFormat="false" ht="15.75" hidden="false" customHeight="true" outlineLevel="0" collapsed="false">
      <c r="A95" s="3" t="n">
        <v>92</v>
      </c>
      <c r="B95" s="5" t="s">
        <v>281</v>
      </c>
      <c r="C95" s="5" t="s">
        <v>282</v>
      </c>
      <c r="D95" s="5" t="s">
        <v>283</v>
      </c>
      <c r="E95" s="4" t="str">
        <f aca="false">IFERROR(__xludf.dummyfunction("GOOGLETRANSLATE(C96)"),"Onde é um bom ano filmado com Russell Crowe")</f>
        <v>Onde é um bom ano filmado com Russell Crowe</v>
      </c>
      <c r="F95" s="5" t="str">
        <f aca="false">IFERROR(__xludf.dummyfunction("GOOGLETRANSLATE(D95)")," O Arroyo Seco Parkway, anteriormente conhecido como Pasadena Freeway, é a primeira rodovia no oeste dos Estados Unidos. Ele conecta Los Angeles a Pasadena ao lado do rio sazonal de Arroyo Seco. É notável não apenas por ser o primeiro, principalmente inau"&amp;"gurado em 1940, mas por representar a fase de transição entre as primeiras viagens e as rodovias modernas. Ele está em conformidade com os padrões modernos quando foi construído, mas agora é considerado uma estrada estreita e desatualizada. Uma extensão d"&amp;"e 1953 levou o extremo sul ao intercâmbio de quatro níveis no centro de Los Angeles e uma conexão com o restante do sistema de rodovias.")</f>
        <v> O Arroyo Seco Parkway, anteriormente conhecido como Pasadena Freeway, é a primeira rodovia no oeste dos Estados Unidos. Ele conecta Los Angeles a Pasadena ao lado do rio sazonal de Arroyo Seco. É notável não apenas por ser o primeiro, principalmente inaugurado em 1940, mas por representar a fase de transição entre as primeiras viagens e as rodovias modernas. Ele está em conformidade com os padrões modernos quando foi construído, mas agora é considerado uma estrada estreita e desatualizada. Uma extensão de 1953 levou o extremo sul ao intercâmbio de quatro níveis no centro de Los Angeles e uma conexão com o restante do sistema de rodovias.</v>
      </c>
    </row>
    <row r="96" customFormat="false" ht="15.75" hidden="false" customHeight="true" outlineLevel="0" collapsed="false">
      <c r="A96" s="3" t="n">
        <v>93</v>
      </c>
      <c r="B96" s="5" t="s">
        <v>284</v>
      </c>
      <c r="C96" s="5" t="s">
        <v>285</v>
      </c>
      <c r="D96" s="5" t="s">
        <v>286</v>
      </c>
      <c r="E96" s="4" t="str">
        <f aca="false">IFERROR(__xludf.dummyfunction("GOOGLETRANSLATE(C97)"),"Quando foi o Mágico de Oz feito em Technicolor")</f>
        <v>Quando foi o Mágico de Oz feito em Technicolor</v>
      </c>
      <c r="F96" s="5" t="str">
        <f aca="false">IFERROR(__xludf.dummyfunction("GOOGLETRANSLATE(D96)")," O filme foi filmado ao longo de nove semanas em 2005, principalmente em locais que Scott descreveu como `` oito minutos da minha casa ''. Os locais franceses foram filmados em Bonnieux, Cucuron e Gordes em Vaucluse, no aeroporto de Marselha Provence e na"&amp;" estação ferroviária de Avignon. Os locais de Londres incluíam Albion Riverside em Battersea, Broadgate, o Bluebird Cafe na King's Road, em Chelsea, e o Critério Restaurante em Piccadilly Circus. A cena com a partida de tênis entre Max e Duflot foi adicio"&amp;"nada no set, substituindo uma discussão nas videiras para fornecer `` uma cena de batalha ''. Como a piscina no Chateau La Canorgue não se encaixava naquele que Scott imaginava da cena, apenas as cenas fora da piscina foram filmadas lá. O depois que Max c"&amp;"aiu foi escavado e concreto nas proximidades, e o original substituiu digitalmente para combinar. A equipe de produção não pôde filmar a caverna do vinho de LA Canorgue enquanto filmava durante o período em que estava sendo usada; portanto, a adega de um "&amp;"hotel próximo foi transformada em uma caverna. Enquanto o sul da França não tem quadras de barro, pois o clima os torna difíceis de manter, Scott queria um por seu aspecto sujo e espancado, então a quadra de tênis foi construída do zero, incluindo postage"&amp;"ns diretamente dos tribunais de Wimbledon. O Cafe de Fanny foi filmado em um restaurante Gordes, com o designer Sonja Klaus decorando -o com itens comprados em segunda - lojas de mão, considerando que o personagem teria feito o mesmo. Klaus empregou uma d"&amp;"ecoração de kitsch na propriedade de Duflot para mostrar que era `` um personagem acompanhando os Jones - se estivesse na América, ele dirigia um cadillac dourado com assentos na pele de leopardo '' e decorava a água grande Bacia de Cucuron com velas flut"&amp;"uantes para `` Faça parecer um evento fabuloso '' para o jantar de Max com Fanny.")</f>
        <v> O filme foi filmado ao longo de nove semanas em 2005, principalmente em locais que Scott descreveu como `` oito minutos da minha casa ''. Os locais franceses foram filmados em Bonnieux, Cucuron e Gordes em Vaucluse, no aeroporto de Marselha Provence e na estação ferroviária de Avignon. Os locais de Londres incluíam Albion Riverside em Battersea, Broadgate, o Bluebird Cafe na King's Road, em Chelsea, e o Critério Restaurante em Piccadilly Circus. A cena com a partida de tênis entre Max e Duflot foi adicionada no set, substituindo uma discussão nas videiras para fornecer `` uma cena de batalha ''. Como a piscina no Chateau La Canorgue não se encaixava naquele que Scott imaginava da cena, apenas as cenas fora da piscina foram filmadas lá. O depois que Max caiu foi escavado e concreto nas proximidades, e o original substituiu digitalmente para combinar. A equipe de produção não pôde filmar a caverna do vinho de LA Canorgue enquanto filmava durante o período em que estava sendo usada; portanto, a adega de um hotel próximo foi transformada em uma caverna. Enquanto o sul da França não tem quadras de barro, pois o clima os torna difíceis de manter, Scott queria um por seu aspecto sujo e espancado, então a quadra de tênis foi construída do zero, incluindo postagens diretamente dos tribunais de Wimbledon. O Cafe de Fanny foi filmado em um restaurante Gordes, com o designer Sonja Klaus decorando -o com itens comprados em segunda - lojas de mão, considerando que o personagem teria feito o mesmo. Klaus empregou uma decoração de kitsch na propriedade de Duflot para mostrar que era `` um personagem acompanhando os Jones - se estivesse na América, ele dirigia um cadillac dourado com assentos na pele de leopardo '' e decorava a água grande Bacia de Cucuron com velas flutuantes para `` Faça parecer um evento fabuloso '' para o jantar de Max com Fanny.</v>
      </c>
    </row>
    <row r="97" customFormat="false" ht="15.75" hidden="false" customHeight="true" outlineLevel="0" collapsed="false">
      <c r="A97" s="3" t="n">
        <v>94</v>
      </c>
      <c r="B97" s="5" t="s">
        <v>287</v>
      </c>
      <c r="C97" s="5" t="s">
        <v>288</v>
      </c>
      <c r="D97" s="5" t="s">
        <v>289</v>
      </c>
      <c r="E97" s="4" t="str">
        <f aca="false">IFERROR(__xludf.dummyfunction("GOOGLETRANSLATE(C98)"),"Número de cartão vermelho na Copa do Mundo 2018")</f>
        <v>Número de cartão vermelho na Copa do Mundo 2018</v>
      </c>
      <c r="F97" s="5" t="str">
        <f aca="false">IFERROR(__xludf.dummyfunction("GOOGLETRANSLATE(D97)")," Notável por seu uso de Technicolor, narrativa de fantasia, partitura musical e personagens memoráveis, tornou -se um ícone da cultura popular americana. Foi indicado para seis prêmios da Academia, incluindo Melhor Filme, mas perdido para Gone With the Wi"&amp;"nd. Ele venceu em outras duas categorias, incluindo a melhor música original para `` sobre o arco -íris '' e a melhor pontuação original de Herbert Stothart. Embora o filme tenha sido considerado um sucesso crítico após o lançamento em agosto de 1939, ele"&amp;" não gerou lucro para a MGM, ganhando apenas US $ 3.017.000 com um orçamento de US $ 2.777.000, o que a tornou a produção mais cara da MGM até o momento.")</f>
        <v> Notável por seu uso de Technicolor, narrativa de fantasia, partitura musical e personagens memoráveis, tornou -se um ícone da cultura popular americana. Foi indicado para seis prêmios da Academia, incluindo Melhor Filme, mas perdido para Gone With the Wind. Ele venceu em outras duas categorias, incluindo a melhor música original para `` sobre o arco -íris '' e a melhor pontuação original de Herbert Stothart. Embora o filme tenha sido considerado um sucesso crítico após o lançamento em agosto de 1939, ele não gerou lucro para a MGM, ganhando apenas US $ 3.017.000 com um orçamento de US $ 2.777.000, o que a tornou a produção mais cara da MGM até o momento.</v>
      </c>
    </row>
    <row r="98" customFormat="false" ht="15.75" hidden="false" customHeight="true" outlineLevel="0" collapsed="false">
      <c r="A98" s="3" t="n">
        <v>95</v>
      </c>
      <c r="B98" s="5" t="s">
        <v>290</v>
      </c>
      <c r="C98" s="5" t="s">
        <v>291</v>
      </c>
      <c r="D98" s="5" t="s">
        <v>292</v>
      </c>
      <c r="E98" s="4" t="str">
        <f aca="false">IFERROR(__xludf.dummyfunction("GOOGLETRANSLATE(C99)"),"Onde o eclipse solar começa e termina")</f>
        <v>Onde o eclipse solar começa e termina</v>
      </c>
      <c r="F98" s="5" t="str">
        <f aca="false">IFERROR(__xludf.dummyfunction("GOOGLETRANSLATE(D98)"),"  Número total de cartões amarelos: 219 cartões amarelos médios por partida: 3,42 Número total de cartões vermelhos: 4 cartões vermelhos médios por partida: 0,06 Primeiro cartão amarelo do torneio: Aleksandr Golovin para a Rússia contra a Arábia Saudita P"&amp;"rimeiro cartão vermelho do torneio: Carlos Sánchez Moreno para a Colômbia contra o Japão mais rápido cartão amarelo do início: cartão amarelo mais rápido de 1º minuto depois de chegar como substituto: 1º minuto de cartão amarelo mais recente em uma partid"&amp;"a sem tempo extra: 90 + 8 minutos Aleksandar Prijović para Sérbia contra a Costa Rica, Cédric Soares para Portugal contra o mais recente cartão amarelo do Irã em uma partida com tempo extra: 118 minutos de demissão mais rápida do início: a última demissão"&amp;" de 3 minutos em uma partida sem tempo extra: 90 + 4º minutos a mais curta diferença entre duas cartas amarelas dadas ao mesmo jogador : 9 minutos Igor Smolnikov para a Rússia contra o Uruguai (reservado aos 27 minutos e novamente aos 36 minutos) mais car"&amp;"tões amarelos (equipe): 15 Croácia a maioria dos cartões vermelhos (equipe): 1 Colômbia, Alemanha, Rússia, Switzerland Metest Cards Yellow Cards ( Equipe): 1 Arábia Saudita A maioria dos cartões amarelos (jogador): 3 Sebastian Larsson A maioria dos cartõe"&amp;"s vermelhos (jogador): 1 Jérôme Boateng, Michael Lang, Carlos Sánchez Moreno, Igor Smolnikov A maioria dos cartões amarelos (fósforos): 8 Belgium vs Panam Argentina, Colômbia vs Inglaterra A maioria dos cartões vermelhos (Match): 1 Colômbia vs Japão, Alem"&amp;"anha vs Suécia, Uruguai vs Rússia, Suécia vs Suíça Menos cartões amarelos (Match): 0 Argentina vs Islândia, Uruguai x Arábia Saudi A maioria dos cartões em uma partida: Match: 8 Cards amarelos Bélgica vs Panamá, França vs Argentina, Colômbia vs Inglaterra")</f>
        <v>  Número total de cartões amarelos: 219 cartões amarelos médios por partida: 3,42 Número total de cartões vermelhos: 4 cartões vermelhos médios por partida: 0,06 Primeiro cartão amarelo do torneio: Aleksandr Golovin para a Rússia contra a Arábia Saudita Primeiro cartão vermelho do torneio: Carlos Sánchez Moreno para a Colômbia contra o Japão mais rápido cartão amarelo do início: cartão amarelo mais rápido de 1º minuto depois de chegar como substituto: 1º minuto de cartão amarelo mais recente em uma partida sem tempo extra: 90 + 8 minutos Aleksandar Prijović para Sérbia contra a Costa Rica, Cédric Soares para Portugal contra o mais recente cartão amarelo do Irã em uma partida com tempo extra: 118 minutos de demissão mais rápida do início: a última demissão de 3 minutos em uma partida sem tempo extra: 90 + 4º minutos a mais curta diferença entre duas cartas amarelas dadas ao mesmo jogador : 9 minutos Igor Smolnikov para a Rússia contra o Uruguai (reservado aos 27 minutos e novamente aos 36 minutos) mais cartões amarelos (equipe): 15 Croácia a maioria dos cartões vermelhos (equipe): 1 Colômbia, Alemanha, Rússia, Switzerland Metest Cards Yellow Cards ( Equipe): 1 Arábia Saudita A maioria dos cartões amarelos (jogador): 3 Sebastian Larsson A maioria dos cartões vermelhos (jogador): 1 Jérôme Boateng, Michael Lang, Carlos Sánchez Moreno, Igor Smolnikov A maioria dos cartões amarelos (fósforos): 8 Belgium vs Panam Argentina, Colômbia vs Inglaterra A maioria dos cartões vermelhos (Match): 1 Colômbia vs Japão, Alemanha vs Suécia, Uruguai vs Rússia, Suécia vs Suíça Menos cartões amarelos (Match): 0 Argentina vs Islândia, Uruguai x Arábia Saudi A maioria dos cartões em uma partida: Match: 8 Cards amarelos Bélgica vs Panamá, França vs Argentina, Colômbia vs Inglaterra</v>
      </c>
    </row>
    <row r="99" customFormat="false" ht="15.75" hidden="false" customHeight="true" outlineLevel="0" collapsed="false">
      <c r="A99" s="3" t="n">
        <v>96</v>
      </c>
      <c r="B99" s="5" t="s">
        <v>293</v>
      </c>
      <c r="C99" s="5" t="s">
        <v>294</v>
      </c>
      <c r="D99" s="5" t="s">
        <v>295</v>
      </c>
      <c r="E99" s="4" t="str">
        <f aca="false">IFERROR(__xludf.dummyfunction("GOOGLETRANSLATE(C100)"),"De onde vem o sobrenome Vigil")</f>
        <v>De onde vem o sobrenome Vigil</v>
      </c>
      <c r="F99" s="5" t="str">
        <f aca="false">IFERROR(__xludf.dummyfunction("GOOGLETRANSLATE(D99)")," O eclipse solar de 21 de agosto de 2017, apelidado de `` The Great American Eclipse '' da mídia, era um eclipse total visível dentro de uma banda em todo o contíguo Estados Unidos, passando do Pacífico para as costas atlânticas. Como um eclipse solar par"&amp;"cial, era visível em terras de Nunavut, no norte do Canadá, até o sul do norte da América do Sul. No noroeste da Europa e África, era parcialmente visível no final da noite. Na Ásia, era visível apenas na extremidade oriental, a Península de Chukchi.")</f>
        <v> O eclipse solar de 21 de agosto de 2017, apelidado de `` The Great American Eclipse '' da mídia, era um eclipse total visível dentro de uma banda em todo o contíguo Estados Unidos, passando do Pacífico para as costas atlânticas. Como um eclipse solar parcial, era visível em terras de Nunavut, no norte do Canadá, até o sul do norte da América do Sul. No noroeste da Europa e África, era parcialmente visível no final da noite. Na Ásia, era visível apenas na extremidade oriental, a Península de Chukchi.</v>
      </c>
    </row>
    <row r="100" customFormat="false" ht="15.75" hidden="false" customHeight="true" outlineLevel="0" collapsed="false">
      <c r="A100" s="3" t="n">
        <v>97</v>
      </c>
      <c r="B100" s="5" t="s">
        <v>296</v>
      </c>
      <c r="C100" s="5" t="s">
        <v>297</v>
      </c>
      <c r="D100" s="5" t="s">
        <v>298</v>
      </c>
      <c r="E100" s="4" t="str">
        <f aca="false">IFERROR(__xludf.dummyfunction("GOOGLETRANSLATE(C101)"),"que foi colocado no estado no Capitólio")</f>
        <v>que foi colocado no estado no Capitólio</v>
      </c>
      <c r="F100" s="5" t="str">
        <f aca="false">IFERROR(__xludf.dummyfunction("GOOGLETRANSLATE(D100)")," Vigil (Vee - Hill) é um sobrenome espanhol. Pessoas notáveis ​​com o sobrenome incluem:")</f>
        <v> Vigil (Vee - Hill) é um sobrenome espanhol. Pessoas notáveis ​​com o sobrenome incluem:</v>
      </c>
    </row>
    <row r="101" customFormat="false" ht="15.75" hidden="false" customHeight="true" outlineLevel="0" collapsed="false">
      <c r="A101" s="3" t="n">
        <v>98</v>
      </c>
      <c r="B101" s="5" t="s">
        <v>299</v>
      </c>
      <c r="C101" s="5" t="s">
        <v>300</v>
      </c>
      <c r="D101" s="5" t="s">
        <v>301</v>
      </c>
      <c r="E101" s="4" t="str">
        <f aca="false">IFERROR(__xludf.dummyfunction("GOOGLETRANSLATE(C102)"),"que foi presidente dos Estados Unidos em 1938")</f>
        <v>que foi presidente dos Estados Unidos em 1938</v>
      </c>
      <c r="F101" s="5" t="str">
        <f aca="false">IFERROR(__xludf.dummyfunction("GOOGLETRANSLATE(D101)"),"  1852 - Henry Clay, Long - Senador e Representante, Secretário de Estado, Presidente da Câmara e Candidato Presidencial de Três vezes 1865 - Presidente Abraham Lincoln, assassinado no cargo 1868 - Thaddeus Stevens, representante da Pensilvânia 1874 - Cha"&amp;"rles Sumner, senador de Massachusetts 1875 - O vice -presidente Henry Wilson, serviu sob Grant, morreu no cargo de 1881 - o presidente James Garfield, assassinado no cargo de 1886 - John A. Logan, senador de Illinois 1901 - Presidente William McKinley, as"&amp;"sassinado Enquanto estava no escritório de 1909 - Pierre L'Enfant - embora ele tenha morrido em 1825, seus restos mortais foram desinteressados; Ele foi homenageado por mentir no estado antes do reinterment no Cemitério Nacional de Arlington 1917 - Almira"&amp;"nte George Dewey, almirante da Marinha de 1921 - o soldado desconhecido da Primeira Guerra Mundial 1923 - Presidente Warren Harding, morreu no cargo 1930 - Presidente William Howard Taft, Presidente 1909 - 13, também Chefe de Justiça 1921 - 30 1948 - John"&amp;" J. Pershing, general dos exércitos dos Estados Unidos durante a Primeira Guerra Mundial e depois de 1953 - Robert A. Taft, senador dos EUA e líder majoritário 1958 - Os soldados desconhecidos da Segunda Guerra Mundial e da Guerra da Coréia de 1963 - Pres"&amp;"idente John F. Kennedy, assassinado no cargo de 1964 - General Douglas MacArthur, general do Exército 1964 - Presidente Herbert Hoover, servindo 1929 - 33 1969 - Presidente Dwight Eisenhower, Presidente 1953- 1961, Comandante Supremo Aliado durante a Segu"&amp;"nda Guerra Mundial 1969- Everett Dirksen, senador de Illinois, líder da minoria do Senado 1959- 1969 1972- J. Edgar Hoover, diretor do FBI 1929- 1972 1973 1973 - Presidente Lyndon B. Johnson, Presidente 1963- 1969 1978- Hubert Humphrey, vice-presidente 19"&amp;"65- 1969, Senador de Minnesota 1984- O soldado desconhecido da Guerra do Vietnã (mais tarde identificado como 1º. Tenente Michael J. Blassie) 1989 - Claude Pepper, Long - Senador e Representante 2004 - Presidente Ronald Reagan, Presidente 1981 - 1989 2006"&amp;" - 07 - Presidente Gerald Ford, Presidente 1974 - 1977 2012 - Daniel Inouye, Presidente Pro Tempore do Senado dos EUA, senador do Havaí e destinatário da Medalha de Honra")</f>
        <v>  1852 - Henry Clay, Long - Senador e Representante, Secretário de Estado, Presidente da Câmara e Candidato Presidencial de Três vezes 1865 - Presidente Abraham Lincoln, assassinado no cargo 1868 - Thaddeus Stevens, representante da Pensilvânia 1874 - Charles Sumner, senador de Massachusetts 1875 - O vice -presidente Henry Wilson, serviu sob Grant, morreu no cargo de 1881 - o presidente James Garfield, assassinado no cargo de 1886 - John A. Logan, senador de Illinois 1901 - Presidente William McKinley, assassinado Enquanto estava no escritório de 1909 - Pierre L'Enfant - embora ele tenha morrido em 1825, seus restos mortais foram desinteressados; Ele foi homenageado por mentir no estado antes do reinterment no Cemitério Nacional de Arlington 1917 - Almirante George Dewey, almirante da Marinha de 1921 - o soldado desconhecido da Primeira Guerra Mundial 1923 - Presidente Warren Harding, morreu no cargo 1930 - Presidente William Howard Taft, Presidente 1909 - 13, também Chefe de Justiça 1921 - 30 1948 - John J. Pershing, general dos exércitos dos Estados Unidos durante a Primeira Guerra Mundial e depois de 1953 - Robert A. Taft, senador dos EUA e líder majoritário 1958 - Os soldados desconhecidos da Segunda Guerra Mundial e da Guerra da Coréia de 1963 - Presidente John F. Kennedy, assassinado no cargo de 1964 - General Douglas MacArthur, general do Exército 1964 - Presidente Herbert Hoover, servindo 1929 - 33 1969 - Presidente Dwight Eisenhower, Presidente 1953- 1961, Comandante Supremo Aliado durante a Segunda Guerra Mundial 1969- Everett Dirksen, senador de Illinois, líder da minoria do Senado 1959- 1969 1972- J. Edgar Hoover, diretor do FBI 1929- 1972 1973 1973 - Presidente Lyndon B. Johnson, Presidente 1963- 1969 1978- Hubert Humphrey, vice-presidente 1965- 1969, Senador de Minnesota 1984- O soldado desconhecido da Guerra do Vietnã (mais tarde identificado como 1º. Tenente Michael J. Blassie) 1989 - Claude Pepper, Long - Senador e Representante 2004 - Presidente Ronald Reagan, Presidente 1981 - 1989 2006 - 07 - Presidente Gerald Ford, Presidente 1974 - 1977 2012 - Daniel Inouye, Presidente Pro Tempore do Senado dos EUA, senador do Havaí e destinatário da Medalha de Honra</v>
      </c>
    </row>
    <row r="102" customFormat="false" ht="15.75" hidden="false" customHeight="true" outlineLevel="0" collapsed="false">
      <c r="A102" s="3" t="n">
        <v>99</v>
      </c>
      <c r="B102" s="5" t="s">
        <v>302</v>
      </c>
      <c r="C102" s="5" t="s">
        <v>303</v>
      </c>
      <c r="D102" s="5" t="s">
        <v>304</v>
      </c>
      <c r="E102" s="4" t="str">
        <f aca="false">IFERROR(__xludf.dummyfunction("GOOGLETRANSLATE(C103)"),"Qual é o significado do nome melanesia")</f>
        <v>Qual é o significado do nome melanesia</v>
      </c>
      <c r="F102" s="5" t="str">
        <f aca="false">IFERROR(__xludf.dummyfunction("GOOGLETRANSLATE(D102)")," Presidente: Franklin D. Roosevelt (D - Nova York)")</f>
        <v> Presidente: Franklin D. Roosevelt (D - Nova York)</v>
      </c>
    </row>
    <row r="103" customFormat="false" ht="15.75" hidden="false" customHeight="true" outlineLevel="0" collapsed="false">
      <c r="A103" s="3" t="n">
        <v>100</v>
      </c>
      <c r="B103" s="5" t="s">
        <v>305</v>
      </c>
      <c r="C103" s="5" t="s">
        <v>306</v>
      </c>
      <c r="D103" s="5" t="s">
        <v>307</v>
      </c>
      <c r="E103" s="4" t="str">
        <f aca="false">IFERROR(__xludf.dummyfunction("GOOGLETRANSLATE(C104)"),"que interpretou Warren em Orange é o novo preto")</f>
        <v>que interpretou Warren em Orange é o novo preto</v>
      </c>
      <c r="F103" s="5" t="str">
        <f aca="false">IFERROR(__xludf.dummyfunction("GOOGLETRANSLATE(D103)")," O nome Melanesia (em Mélanésie Francês) foi usado pela primeira vez por Jules Dumont d'Urville em 1832 para denotar um agrupamento étnico e geográfico de ilhas cujos habitantes ele achavam distintos dos da Micronésia e da Polinésia.")</f>
        <v> O nome Melanesia (em Mélanésie Francês) foi usado pela primeira vez por Jules Dumont d'Urville em 1832 para denotar um agrupamento étnico e geográfico de ilhas cujos habitantes ele achavam distintos dos da Micronésia e da Polinésia.</v>
      </c>
    </row>
    <row r="104" customFormat="false" ht="15.75" hidden="false" customHeight="true" outlineLevel="0" collapsed="false">
      <c r="A104" s="3" t="n">
        <v>101</v>
      </c>
      <c r="B104" s="5" t="s">
        <v>308</v>
      </c>
      <c r="C104" s="5" t="s">
        <v>309</v>
      </c>
      <c r="D104" s="5" t="s">
        <v>310</v>
      </c>
      <c r="E104" s="4" t="str">
        <f aca="false">IFERROR(__xludf.dummyfunction("GOOGLETRANSLATE(C105)"),"que jogou Tre em Boyz no capô")</f>
        <v>que jogou Tre em Boyz no capô</v>
      </c>
      <c r="F104" s="5" t="str">
        <f aca="false">IFERROR(__xludf.dummyfunction("GOOGLETRANSLATE(D104)")," Uzoamaka nwanneka `` uzo '' aduba ( / ˈuːzoʊ əˈduːbə /; nascido em 10 de fevereiro de 1981) é uma atriz americana. Ela é conhecida por seu papel como Suzanne `` Crazy Eyes '' Warren na série original da Netflix Orange is The New Black (2013 - presente), "&amp;"para a qual ganhou um prêmio Emmy por excelente atriz convidada em uma série de comédia em 2014, Um prêmio Emmy de excelente atriz coadjuvante em uma série de drama em 2015 e dois prêmios Screen Actors Guild por excelente desempenho de uma ator de uma sér"&amp;"ie de comédia em 2014 e 2015. Ela é uma das únicas dois atores a ganhar um reconhecimento do Emmy Award nas categorias de comédia e drama para o mesmo papel, sendo o outro Ed Asner para o personagem Lou Grant.")</f>
        <v> Uzoamaka nwanneka `` uzo '' aduba ( / ˈuːzoʊ əˈduːbə /; nascido em 10 de fevereiro de 1981) é uma atriz americana. Ela é conhecida por seu papel como Suzanne `` Crazy Eyes '' Warren na série original da Netflix Orange is The New Black (2013 - presente), para a qual ganhou um prêmio Emmy por excelente atriz convidada em uma série de comédia em 2014, Um prêmio Emmy de excelente atriz coadjuvante em uma série de drama em 2015 e dois prêmios Screen Actors Guild por excelente desempenho de uma ator de uma série de comédia em 2014 e 2015. Ela é uma das únicas dois atores a ganhar um reconhecimento do Emmy Award nas categorias de comédia e drama para o mesmo papel, sendo o outro Ed Asner para o personagem Lou Grant.</v>
      </c>
    </row>
    <row r="105" customFormat="false" ht="15.75" hidden="false" customHeight="true" outlineLevel="0" collapsed="false">
      <c r="A105" s="3" t="n">
        <v>102</v>
      </c>
      <c r="B105" s="5" t="s">
        <v>311</v>
      </c>
      <c r="C105" s="5" t="s">
        <v>312</v>
      </c>
      <c r="D105" s="5" t="s">
        <v>313</v>
      </c>
      <c r="E105" s="4" t="str">
        <f aca="false">IFERROR(__xludf.dummyfunction("GOOGLETRANSLATE(C106)"),"Quem interpreta Marka Nichols em Orange é o novo preto")</f>
        <v>Quem interpreta Marka Nichols em Orange é o novo preto</v>
      </c>
      <c r="F105" s="5" t="str">
        <f aca="false">IFERROR(__xludf.dummyfunction("GOOGLETRANSLATE(D105)"),"  Cuba Gooding Jr. como estilos de Tre Desi Arnez Hines II como um cubo de gelo com 10 anos como Darrin `` Doughboy '' Baker Baha Jackson como Doughboy com 10 anos de Morris Chestnut como Ricky Baker Donovan McCrary como Ricky, 10 anos de idade Laurence F"&amp;"ishburne (Larry Fishburn) como Jason `` furioso '' estilos jr. Nia, desde Brandi Nicole Brown como Brandi, 10 anos, Angela Bassett como Reva Styles Tyra Ferrell como Brenda Baker Redge Green como Chris Kenneth A. Brown como Chris com 10 anos Dedrick D. Go"&amp;"bert como Dooky Baldwin C. Sykes como monstro Tracey Lewis - Sinclair como Shaniqua Alysia Rogers como Shanice Regina King como Shalika Lexie Bigham como Mad Dog Raymond Turner como Ferris Lloyd Avery II como Ferris 'Triggerman (Knucklehead # 2)")</f>
        <v>  Cuba Gooding Jr. como estilos de Tre Desi Arnez Hines II como um cubo de gelo com 10 anos como Darrin `` Doughboy '' Baker Baha Jackson como Doughboy com 10 anos de Morris Chestnut como Ricky Baker Donovan McCrary como Ricky, 10 anos de idade Laurence Fishburne (Larry Fishburn) como Jason `` furioso '' estilos jr. Nia, desde Brandi Nicole Brown como Brandi, 10 anos, Angela Bassett como Reva Styles Tyra Ferrell como Brenda Baker Redge Green como Chris Kenneth A. Brown como Chris com 10 anos Dedrick D. Gobert como Dooky Baldwin C. Sykes como monstro Tracey Lewis - Sinclair como Shaniqua Alysia Rogers como Shanice Regina King como Shalika Lexie Bigham como Mad Dog Raymond Turner como Ferris Lloyd Avery II como Ferris 'Triggerman (Knucklehead # 2)</v>
      </c>
    </row>
    <row r="106" customFormat="false" ht="15.75" hidden="false" customHeight="true" outlineLevel="0" collapsed="false">
      <c r="A106" s="3" t="n">
        <v>103</v>
      </c>
      <c r="B106" s="5" t="s">
        <v>314</v>
      </c>
      <c r="C106" s="5" t="s">
        <v>315</v>
      </c>
      <c r="D106" s="5" t="s">
        <v>316</v>
      </c>
      <c r="E106" s="4" t="str">
        <f aca="false">IFERROR(__xludf.dummyfunction("GOOGLETRANSLATE(C107)"),"Quando foi o último lobo morto na Escócia")</f>
        <v>Quando foi o último lobo morto na Escócia</v>
      </c>
      <c r="F106" s="5" t="str">
        <f aca="false">IFERROR(__xludf.dummyfunction("GOOGLETRANSLATE(D106)"),"   Ano Notas de papel do título 1981 Episódio do Texas Meredith: `` 1.339 '' 1983 - 1984 Loving Merrill Vochek Series Regular 1985 Brass Lori Cartwright TV Pilot 1985 The Equalizer Carlene Randall Episódio: `` Pilot '' 1986 Kay O'Brien Dr. Kay ' Kayo 'O'B"&amp;"rien Series regular, 13 episódios O empate Dr. Stephanie Davis Episódio: `` Coal Black Soul' '1988 Just In Time Joanna Farrell Series regular, 6 episódios 1988 ABC ABC Afterchool Especial Maria Acero Episódio: `` Data de estupro' ' 1989 - 1991 Trinta e al"&amp;"go Susannah Hart Recorrente, 15 episódios 1991 - 1996 Irmãs Georgiana 'Georgie' Reed Whitsig Series Regular, 127 episódios 1997 Edição Early Dr. Price Episódio: `` Love Is Blind '' 1997 Michael Hayes Dr. Episódio: `` The Doctor 'S. Tale' 'Lei e Ordem: Uni"&amp;"dade de Vítimas Especiais Leslie DeSantis Episódio: `` Folly' '2002 Tocada por um episódio de Angel Janice Lowry: `` Secreets and Lies' '2004 - 2010 Law &amp; Order : Juiz da unidade de vítimas especiais Taten Recurrente, 9 episódios 2008 Gossip Girl Sra. Boa"&amp;"rdman Episódio: `` Pode haver sangue '' A boa esposa Julie Bowers Episódio: `` Painkiller '' 2011 Fins de semana na Bellevue Lucinda TV Pilot 2011 . Keller Recurrejamento Recorrente, 3 episódios 2012 Cola branca Sra. Holloman Episódio: `` Dia do julgament"&amp;"o '' 2013 - 2018 Orange é o novo papel recorrente de Marka Nichols preto, 4 episódios 2014 Olive Kitteridge Joyce HBO Minissérie; Episódio: `` Tide de entrada '' 2014 `` Power '' Kate Egan 2018 `` The Blacklist '' Episódio: `` The Invisible Hand ''")</f>
        <v>   Ano Notas de papel do título 1981 Episódio do Texas Meredith: `` 1.339 '' 1983 - 1984 Loving Merrill Vochek Series Regular 1985 Brass Lori Cartwright TV Pilot 1985 The Equalizer Carlene Randall Episódio: `` Pilot '' 1986 Kay O'Brien Dr. Kay ' Kayo 'O'Brien Series regular, 13 episódios O empate Dr. Stephanie Davis Episódio: `` Coal Black Soul' '1988 Just In Time Joanna Farrell Series regular, 6 episódios 1988 ABC ABC Afterchool Especial Maria Acero Episódio: `` Data de estupro' ' 1989 - 1991 Trinta e algo Susannah Hart Recorrente, 15 episódios 1991 - 1996 Irmãs Georgiana 'Georgie' Reed Whitsig Series Regular, 127 episódios 1997 Edição Early Dr. Price Episódio: `` Love Is Blind '' 1997 Michael Hayes Dr. Episódio: `` The Doctor 'S. Tale' 'Lei e Ordem: Unidade de Vítimas Especiais Leslie DeSantis Episódio: `` Folly' '2002 Tocada por um episódio de Angel Janice Lowry: `` Secreets and Lies' '2004 - 2010 Law &amp; Order : Juiz da unidade de vítimas especiais Taten Recurrente, 9 episódios 2008 Gossip Girl Sra. Boardman Episódio: `` Pode haver sangue '' A boa esposa Julie Bowers Episódio: `` Painkiller '' 2011 Fins de semana na Bellevue Lucinda TV Pilot 2011 . Keller Recurrejamento Recorrente, 3 episódios 2012 Cola branca Sra. Holloman Episódio: `` Dia do julgamento '' 2013 - 2018 Orange é o novo papel recorrente de Marka Nichols preto, 4 episódios 2014 Olive Kitteridge Joyce HBO Minissérie; Episódio: `` Tide de entrada '' 2014 `` Power '' Kate Egan 2018 `` The Blacklist '' Episódio: `` The Invisible Hand ''</v>
      </c>
    </row>
    <row r="107" customFormat="false" ht="15.75" hidden="false" customHeight="true" outlineLevel="0" collapsed="false">
      <c r="A107" s="3" t="n">
        <v>104</v>
      </c>
      <c r="B107" s="5" t="s">
        <v>317</v>
      </c>
      <c r="C107" s="5" t="s">
        <v>318</v>
      </c>
      <c r="D107" s="5" t="s">
        <v>319</v>
      </c>
      <c r="E107" s="4" t="str">
        <f aca="false">IFERROR(__xludf.dummyfunction("GOOGLETRANSLATE(C108)"),"Quando foi a última vez que a Inglaterra estava na semifinal da Copa do Mundo")</f>
        <v>Quando foi a última vez que a Inglaterra estava na semifinal da Copa do Mundo</v>
      </c>
      <c r="F107" s="5" t="str">
        <f aca="false">IFERROR(__xludf.dummyfunction("GOOGLETRANSLATE(D107)")," Os lobos mais tarde causaram tantos danos aos rebanhos de gado de Sutherland que, em 1577, James VI tornou obrigatório caçar lobos três vezes por ano. As histórias do assassinato do suposto último lobo da Escócia variam. Os registros oficiais indicam que"&amp;" o último lobo escocês foi morto por Sir Ewen Cameron em 1680 em Killiecrankie (Perthshire), mas há relatos de que os lobos sobreviveram na Escócia até o século XVIII, e ainda existe um conto de um visto até 1888 .")</f>
        <v> Os lobos mais tarde causaram tantos danos aos rebanhos de gado de Sutherland que, em 1577, James VI tornou obrigatório caçar lobos três vezes por ano. As histórias do assassinato do suposto último lobo da Escócia variam. Os registros oficiais indicam que o último lobo escocês foi morto por Sir Ewen Cameron em 1680 em Killiecrankie (Perthshire), mas há relatos de que os lobos sobreviveram na Escócia até o século XVIII, e ainda existe um conto de um visto até 1888 .</v>
      </c>
    </row>
    <row r="108" customFormat="false" ht="15.75" hidden="false" customHeight="true" outlineLevel="0" collapsed="false">
      <c r="A108" s="3" t="n">
        <v>105</v>
      </c>
      <c r="B108" s="5" t="s">
        <v>320</v>
      </c>
      <c r="C108" s="5" t="s">
        <v>321</v>
      </c>
      <c r="D108" s="5" t="s">
        <v>322</v>
      </c>
      <c r="E108" s="4" t="str">
        <f aca="false">IFERROR(__xludf.dummyfunction("GOOGLETRANSLATE(C109)"),"qual é o valor de nulo em c")</f>
        <v>qual é o valor de nulo em c</v>
      </c>
      <c r="F108" s="5" t="str">
        <f aca="false">IFERROR(__xludf.dummyfunction("GOOGLETRANSLATE(D108)"),"   Posição durante todo o ano GP D * GF GA GD 1930 Não é um membro da FIFA 1934 1938 1950 Etapa do grupo 8th 0 0 1954 Quarter - Finals 7th 8 8 0 1958 Etapa do grupo 11th 0 5 - 1 1962 Quarter - Final 6 5 0 11 8 1970 Quarter - Finals 8º 0 0 Não qualificou 1"&amp;"978 1982 Etapa do segundo grupo 6th 5 0 6 5 1986 Quarter - final 8º 5 7 7 1990 Semi -finais 4th 7 8 6 1994 não qualificou 1998 rodada de 16 9th 7 2002 Quarter - Finals 6th 5 6 2006 Quarter - final 7th 5 0 6 Rodada de 16 13th 5 - 2 2014 Etapa do grupo 26th"&amp;" 0 - 2 2018 Semi -finais 4º 7 12 8 2022 TBD 2026 Total 15/11 1 Título 69 29 21 19 91 91 64 27")</f>
        <v>   Posição durante todo o ano GP D * GF GA GD 1930 Não é um membro da FIFA 1934 1938 1950 Etapa do grupo 8th 0 0 1954 Quarter - Finals 7th 8 8 0 1958 Etapa do grupo 11th 0 5 - 1 1962 Quarter - Final 6 5 0 11 8 1970 Quarter - Finals 8º 0 0 Não qualificou 1978 1982 Etapa do segundo grupo 6th 5 0 6 5 1986 Quarter - final 8º 5 7 7 1990 Semi -finais 4th 7 8 6 1994 não qualificou 1998 rodada de 16 9th 7 2002 Quarter - Finals 6th 5 6 2006 Quarter - final 7th 5 0 6 Rodada de 16 13th 5 - 2 2014 Etapa do grupo 26th 0 - 2 2018 Semi -finais 4º 7 12 8 2022 TBD 2026 Total 15/11 1 Título 69 29 21 19 91 91 64 27</v>
      </c>
    </row>
    <row r="109" customFormat="false" ht="15.75" hidden="false" customHeight="true" outlineLevel="0" collapsed="false">
      <c r="A109" s="3" t="n">
        <v>106</v>
      </c>
      <c r="B109" s="5" t="s">
        <v>323</v>
      </c>
      <c r="C109" s="5" t="s">
        <v>324</v>
      </c>
      <c r="D109" s="5" t="s">
        <v>325</v>
      </c>
      <c r="E109" s="4" t="str">
        <f aca="false">IFERROR(__xludf.dummyfunction("GOOGLETRANSLATE(C110)"),"Onde a marcha da morte de Bataan aconteceu")</f>
        <v>Onde a marcha da morte de Bataan aconteceu</v>
      </c>
      <c r="F109" s="5" t="str">
        <f aca="false">IFERROR(__xludf.dummyfunction("GOOGLETRANSLATE(D109)")," Em C, dois ponteiros nulos de qualquer tipo têm garantia de comparar igual. A macro nula pré -processadora é definida como uma constante de ponteiro nulo definido - definido, que em C99 pode ser expressa portavelmente como o valor inteiro 0 convertido im"&amp;"plicitamente ou explicitamente ao tipo vazio * (ponteiro para anular). O padrão C não diz que o ponteiro nulo é o mesmo que o ponteiro do endereço de memória 0, embora esse possa ser o caso na prática. A desreferência de um ponteiro nulo é um comportament"&amp;"o indefinido em C, e uma implementação em conformidade pode assumir que qualquer ponteiro desreferenciado não é nulo.")</f>
        <v> Em C, dois ponteiros nulos de qualquer tipo têm garantia de comparar igual. A macro nula pré -processadora é definida como uma constante de ponteiro nulo definido - definido, que em C99 pode ser expressa portavelmente como o valor inteiro 0 convertido implicitamente ou explicitamente ao tipo vazio * (ponteiro para anular). O padrão C não diz que o ponteiro nulo é o mesmo que o ponteiro do endereço de memória 0, embora esse possa ser o caso na prática. A desreferência de um ponteiro nulo é um comportamento indefinido em C, e uma implementação em conformidade pode assumir que qualquer ponteiro desreferenciado não é nulo.</v>
      </c>
    </row>
    <row r="110" customFormat="false" ht="15.75" hidden="false" customHeight="true" outlineLevel="0" collapsed="false">
      <c r="A110" s="3" t="n">
        <v>107</v>
      </c>
      <c r="B110" s="5" t="s">
        <v>326</v>
      </c>
      <c r="C110" s="5" t="s">
        <v>327</v>
      </c>
      <c r="D110" s="5" t="s">
        <v>328</v>
      </c>
      <c r="E110" s="4" t="str">
        <f aca="false">IFERROR(__xludf.dummyfunction("GOOGLETRANSLATE(C111)"),"Vince Carter Career High Points em um jogo")</f>
        <v>Vince Carter Career High Points em um jogo</v>
      </c>
      <c r="F110" s="5" t="str">
        <f aca="false">IFERROR(__xludf.dummyfunction("GOOGLETRANSLATE(D110)")," A Marcha da Morte de Bataan (Filipino: Marchang Kamatayan em Bataan; Japanese: Japão: ぐタび 恳 恳 死 恳 死 恳 死 恳 死 ね 死 恳 死 ね 死 ね 死 死 死 om ímãs om, ponto, Bataan e Mariveles to acampamento O'Donnell, Capas, Tarlac, via San Fernando, Pampanga, onde os prisioneiro"&amp;"s foram didos a A transferência começou em 9 de abril de 1942, após a batalha de três meses de Bataan nas Filipinas durante a Segunda Guerra Mundial A distância total marchou de Mariveles para San Fernando e da estação de trem de Capas para Camp O'Donnell"&amp;" é ventosia relatada por diferentes fontes de origem como entre 60 e 69,6 milhas (96,6 e 112,0 km) Fontes diferentes também relatam as vítimas de prisioneiros de guerra amplamente diferentes antes de chegar a Camp O'Donnell: de 5.000 a 18.000 mortes filip"&amp;"inas e 500 a 650 American Death durante a marcha A marcha foi caracterizada por abuso físico grave e lobo, e mais tarde foi julgado por uma comissão militar aliada como um crime de guerra japonês")</f>
        <v> A Marcha da Morte de Bataan (Filipino: Marchang Kamatayan em Bataan; Japanese: Japão: ぐタび 恳 恳 死 恳 死 恳 死 恳 死 ね 死 恳 死 ね 死 ね 死 死 死 om ímãs om, ponto, Bataan e Mariveles to acampamento O'Donnell, Capas, Tarlac, via San Fernando, Pampanga, onde os prisioneiros foram didos a A transferência começou em 9 de abril de 1942, após a batalha de três meses de Bataan nas Filipinas durante a Segunda Guerra Mundial A distância total marchou de Mariveles para San Fernando e da estação de trem de Capas para Camp O'Donnell é ventosia relatada por diferentes fontes de origem como entre 60 e 69,6 milhas (96,6 e 112,0 km) Fontes diferentes também relatam as vítimas de prisioneiros de guerra amplamente diferentes antes de chegar a Camp O'Donnell: de 5.000 a 18.000 mortes filipinas e 500 a 650 American Death durante a marcha A marcha foi caracterizada por abuso físico grave e lobo, e mais tarde foi julgado por uma comissão militar aliada como um crime de guerra japonês</v>
      </c>
    </row>
    <row r="111" customFormat="false" ht="15.75" hidden="false" customHeight="true" outlineLevel="0" collapsed="false">
      <c r="A111" s="3" t="n">
        <v>108</v>
      </c>
      <c r="B111" s="5" t="s">
        <v>329</v>
      </c>
      <c r="C111" s="5" t="s">
        <v>330</v>
      </c>
      <c r="D111" s="5" t="s">
        <v>331</v>
      </c>
      <c r="E111" s="4" t="str">
        <f aca="false">IFERROR(__xludf.dummyfunction("GOOGLETRANSLATE(C112)"),"onde eles colocam o chip em cães")</f>
        <v>onde eles colocam o chip em cães</v>
      </c>
      <c r="F111" s="5" t="str">
        <f aca="false">IFERROR(__xludf.dummyfunction("GOOGLETRANSLATE(D111)")," Pontos: 51 (2 vezes)")</f>
        <v> Pontos: 51 (2 vezes)</v>
      </c>
    </row>
    <row r="112" customFormat="false" ht="15.75" hidden="false" customHeight="true" outlineLevel="0" collapsed="false">
      <c r="A112" s="3" t="n">
        <v>109</v>
      </c>
      <c r="B112" s="5" t="s">
        <v>332</v>
      </c>
      <c r="C112" s="5" t="s">
        <v>333</v>
      </c>
      <c r="D112" s="5" t="s">
        <v>334</v>
      </c>
      <c r="E112" s="4" t="str">
        <f aca="false">IFERROR(__xludf.dummyfunction("GOOGLETRANSLATE(C113)"),"Como você chama o topo de uma coluna")</f>
        <v>Como você chama o topo de uma coluna</v>
      </c>
      <c r="F112" s="5" t="str">
        <f aca="false">IFERROR(__xludf.dummyfunction("GOOGLETRANSLATE(D112)")," Em cães e gatos, os chips geralmente são inseridos abaixo da pele na parte de trás do pescoço entre as omoplatas na linha média dorsal. De acordo com uma referência, os animais de estimação da Europa Continental recebem o implante no lado esquerdo do pes"&amp;"coço. O chip pode frequentemente ser sentido sob a pele. Camadas finas de tecido conjuntivo se formam ao redor do implante e mantenha -o no lugar.")</f>
        <v> Em cães e gatos, os chips geralmente são inseridos abaixo da pele na parte de trás do pescoço entre as omoplatas na linha média dorsal. De acordo com uma referência, os animais de estimação da Europa Continental recebem o implante no lado esquerdo do pescoço. O chip pode frequentemente ser sentido sob a pele. Camadas finas de tecido conjuntivo se formam ao redor do implante e mantenha -o no lugar.</v>
      </c>
    </row>
    <row r="113" customFormat="false" ht="15.75" hidden="false" customHeight="true" outlineLevel="0" collapsed="false">
      <c r="A113" s="3" t="n">
        <v>110</v>
      </c>
      <c r="B113" s="5" t="s">
        <v>335</v>
      </c>
      <c r="C113" s="5" t="s">
        <v>336</v>
      </c>
      <c r="D113" s="5" t="s">
        <v>337</v>
      </c>
      <c r="E113" s="4" t="str">
        <f aca="false">IFERROR(__xludf.dummyfunction("GOOGLETRANSLATE(C114)"),"Quais são os quatro acordos do livro")</f>
        <v>Quais são os quatro acordos do livro</v>
      </c>
      <c r="F113" s="5" t="str">
        <f aca="false">IFERROR(__xludf.dummyfunction("GOOGLETRANSLATE(D113)")," No topo do eixo, há uma capital, sobre a qual o telhado ou outros elementos arquitetônicos descansam. No caso de colunas dóricas, a capital geralmente consiste em uma almofada redonda, afinada, ou equinus, apoiando uma laje quadrada, conhecida como Abax "&amp;"ou Abacus. As capitais iônicas apresentam um par de volutas ou rolos, enquanto as capitais coríntias são decoradas com relevos na forma de folhas de acanto. Qualquer tipo de capital pode ser acompanhado pelas mesmas molduras que a base. No caso de colunas"&amp;" livres - em pé, os elementos decorativos no topo do eixo são conhecidos como um finial.")</f>
        <v> No topo do eixo, há uma capital, sobre a qual o telhado ou outros elementos arquitetônicos descansam. No caso de colunas dóricas, a capital geralmente consiste em uma almofada redonda, afinada, ou equinus, apoiando uma laje quadrada, conhecida como Abax ou Abacus. As capitais iônicas apresentam um par de volutas ou rolos, enquanto as capitais coríntias são decoradas com relevos na forma de folhas de acanto. Qualquer tipo de capital pode ser acompanhado pelas mesmas molduras que a base. No caso de colunas livres - em pé, os elementos decorativos no topo do eixo são conhecidos como um finial.</v>
      </c>
    </row>
    <row r="114" customFormat="false" ht="15.75" hidden="false" customHeight="true" outlineLevel="0" collapsed="false">
      <c r="A114" s="3" t="n">
        <v>111</v>
      </c>
      <c r="B114" s="5" t="s">
        <v>338</v>
      </c>
      <c r="C114" s="5" t="s">
        <v>339</v>
      </c>
      <c r="D114" s="5" t="s">
        <v>340</v>
      </c>
      <c r="E114" s="4" t="str">
        <f aca="false">IFERROR(__xludf.dummyfunction("GOOGLETRANSLATE(C115)"),"Quanto tempo levará a Voyager para passar pela nuvem de Oort")</f>
        <v>Quanto tempo levará a Voyager para passar pela nuvem de Oort</v>
      </c>
      <c r="F114" s="5" t="str">
        <f aca="false">IFERROR(__xludf.dummyfunction("GOOGLETRANSLATE(D114)"),"  Seja impecável com sua palavra. Não tome nada para o lado pessoal. Não faça suposições. Sempre faça o seu melhor.")</f>
        <v>  Seja impecável com sua palavra. Não tome nada para o lado pessoal. Não faça suposições. Sempre faça o seu melhor.</v>
      </c>
    </row>
    <row r="115" customFormat="false" ht="15.75" hidden="false" customHeight="true" outlineLevel="0" collapsed="false">
      <c r="A115" s="3" t="n">
        <v>112</v>
      </c>
      <c r="B115" s="5" t="s">
        <v>341</v>
      </c>
      <c r="C115" s="5" t="s">
        <v>342</v>
      </c>
      <c r="D115" s="5" t="s">
        <v>343</v>
      </c>
      <c r="E115" s="4" t="str">
        <f aca="false">IFERROR(__xludf.dummyfunction("GOOGLETRANSLATE(C116)"),"Quando o Rangers venceu pela última vez a Copa da Escócia")</f>
        <v>Quando o Rangers venceu pela última vez a Copa da Escócia</v>
      </c>
      <c r="F115" s="5" t="str">
        <f aca="false">IFERROR(__xludf.dummyfunction("GOOGLETRANSLATE(D115)")," As sondas espaciais ainda precisam chegar à área da nuvem de Oort. A Voyager 1, a mais rápida e mais distante das sondas espaciais interplanetárias que atualmente deixa o sistema solar, chegará à nuvem de Oort em cerca de 300 anos e levará cerca de 30.00"&amp;"0 anos para passar por ele. No entanto, por volta de 2025, os geradores termoelétricos do radioisótopo no Voyager 1 não fornecerão mais energia suficiente para operar nenhum de seus instrumentos científicos, impedindo qualquer exploração da Voyager 1. As "&amp;"outras quatro sondas que atualmente escapam do sistema solar já estão ou prevêem ser não funcionais quando atingem a nuvem de Oort; No entanto, pode ser possível encontrar um objeto da nuvem que foi derrubada no sistema solar interno.")</f>
        <v> As sondas espaciais ainda precisam chegar à área da nuvem de Oort. A Voyager 1, a mais rápida e mais distante das sondas espaciais interplanetárias que atualmente deixa o sistema solar, chegará à nuvem de Oort em cerca de 300 anos e levará cerca de 30.000 anos para passar por ele. No entanto, por volta de 2025, os geradores termoelétricos do radioisótopo no Voyager 1 não fornecerão mais energia suficiente para operar nenhum de seus instrumentos científicos, impedindo qualquer exploração da Voyager 1. As outras quatro sondas que atualmente escapam do sistema solar já estão ou prevêem ser não funcionais quando atingem a nuvem de Oort; No entanto, pode ser possível encontrar um objeto da nuvem que foi derrubada no sistema solar interno.</v>
      </c>
    </row>
    <row r="116" customFormat="false" ht="15.75" hidden="false" customHeight="true" outlineLevel="0" collapsed="false">
      <c r="A116" s="3" t="n">
        <v>113</v>
      </c>
      <c r="B116" s="5" t="s">
        <v>344</v>
      </c>
      <c r="C116" s="5" t="s">
        <v>345</v>
      </c>
      <c r="D116" s="5" t="s">
        <v>346</v>
      </c>
      <c r="E116" s="4" t="str">
        <f aca="false">IFERROR(__xludf.dummyfunction("GOOGLETRANSLATE(C117)"),"Uma condição idiopática associada ao tratamento de asprina durante certas infecções virais")</f>
        <v>Uma condição idiopática associada ao tratamento de asprina durante certas infecções virais</v>
      </c>
      <c r="F116" s="5" t="str">
        <f aca="false">IFERROR(__xludf.dummyfunction("GOOGLETRANSLATE(D116)"),"   Vencedor da temporada Score Runner - Notas de atendimento do local UP 1873 - 74 Queen 's Park (1) 2 - 0 Clydesdale Hampden Park (original) 2.500 1874 - 75 Queen's Park (2) 3 - 0 Renton Hampden Park ( Original) 7.000 1875 -76 Queen's Park (3) 1 -1 3rd L"&amp;"anark RV Hamilton Crescent 6.000 (R) 2 -0 Hampden Park (original) 10.000 1876 -77 Vale de Leven (1) 1 - 1 Rangers Hamilton Crescent 8.000 (R) 1 - 1 Hamilton Crescent 15.000 (SR) 3 - 2 Hampden Park (original) 12.000 1877 - 78 Vale de Leven (2) 1 - 0 3º Lan"&amp;"ark RV Hampden Park (original) 5.000 1878 - 79 Vale de Leven (3) 1 - 1 Rangers Hampden Park (original) 9.000 (R) Walkingver Hampden Park (original) 1879 - 80 Queen's Park (4) 3 - 0 Thornliebank Hampden Park ( original) 4.000 1880 - 81 Queen's Park (5) 2 -"&amp;" 1 ‡ Dumbarton Kinning Park 15.000 (R) 3 - 1 Parque Kinning 10.000 1881 - 82 Queen's Park (6) 2 - 2 Dumbarton Cathkin Parque (primeiro) 12.500 (R) 4 - 1 Cathkin Park (primeiro) 14.000 1882 - 83 Dumbarton (1) 2 - 2 Vale de Leven Hampden Park (original) 15."&amp;"000 (R) 2 - 1 Hampden Park (original ) 12.000 1883 - 84 Queen's Park (7) Walkover Vale de Leven Cathkin Park (Primeiro) 1884 - 85 Renton (1) 0 - 0 Vale de Leven Hampden Park (Segundo) 3.000 (R) 3 - 1 Hampden Park (segundo) 5.500 1885 -86 Queen's Park (8) "&amp;"3 -1 Renton Cathkin Park (primeiro) 7.000 1886 -87 Hibernian (1) 2 -1 Dumbarton Hampden Park (Second) 15.000 1887 - 88 Renton (2) 6 - 1 Cambuslang Hampden Park (segundo) 10.000 1888 - 89 3º Lanark RV (1) 3 - 0 ‡ Celtic Hampden Park (Segundo) 17.000 (R) 2 "&amp;"- 1 Hampden Park (segundo) 13.000 1889 - 90 Queen's Park (9) 1 - 1 Vale de Leven Ibrox Park (primeiro) 11.000 (R) 2 - 1 Ibrox Park (Primeiro) 13.000 1890 - 91 Coração de Midlothian (1) 1 - - 0 Dumbarton Hampden Park (Segundo) 10.836 1891 - 92 Celtic (1) 1"&amp;" - 0 ‡ Park Park do Queen Ibrox Park (Primeiro) 40.000 (R) 5 - 1 IBROX Park (Primeiro) 26.000 1892 - 93 Queen Parque (10) 0 - 1 ‡ Celtic Ibrox Park (Primeiro) 18.771 (R) 2 - 1 IBROX Park (Primeiro) 13.239 1893 - 94 Rangers (1) 3 - 1 Celtic Hampden Park (S"&amp;"econd) 17.000 1894 - 95 St. Bernard's (1) 2 - 1 Renton Ibrox Park (Primeiro) 10.000 1895 - 96 Coração de Midlothian (2) 3 - 1 Hibernian New Logie Green 16.034 1896 - 97 Rangers (2) 5 - 1 Dumbarton Hampden Park (segundo) 14.000 1897 - 98 Rangers (3) 2 - 0 "&amp;"Kilmarnock Hampden Park (segundo) 13.000 1898 - 99 Celtic (2) 2 - 0 Rangers Hampden Park (segundo) 25.000 1899 - - 1900 CELTIC (3) 4 - 3 Parque de Queen Ibrox Park 15.000 1900 - 01 Heart of Midlothian (3) 4 - 3 Celtic Ibrox Park 15.000 1901 - 02 Hibernian"&amp;" (2) 1 - 0 Celtic Celtic Park Park 16.000 1902 -03 Rangers (4) 1 -1 Coração do Parque Celtic Midlothian 13.000 (R) 0 -0 Celtic Park 35.000 (SR) 2 -0 Celtic Park 30.000 1903 -04 Celtic (4) 3 - 2 Rangers Hampden Park 64.472 1904 - 05 Terceiro Lanark (2) 0 -"&amp;" 0 Rangers Hampden Park 54.000 (R) 3 - 1 Hampden Park 55.000 1905 - 06 Coração de Midlothian (4) 1 - 0 Terceiro Lanark Ibrox Park Park Ibrox Park 30.000 1906 - 07 Celtic (5) 3 - 0 Coração de Midlothian Hampden Park 50.000 1907 - 08 Celtic (6) 5 - 1 St Mir"&amp;"ren Hampden Park 58.000 1909 - 10 Dundee (1) 2 - 2 Clyde Ibrox Parque 60.000 (R) 0 - 0 * IBROX Park 25.000 (SR) 2 - 1 IBROX Park 25.000 1910 - 11 Celtic (7) 0 - 0 Hamilton Academical Ibrox Park 45.000 (R) 2 - 0 Ibrox Park 25.000 1911 - 12 Celtic (8) 2 - 0"&amp;" Clyde Ibrox Park 45.000 1912 - 13 Falkirk (1) 2 - 0 Raith Rovers Celtic Park 45.000 1913 - 14 Celtic (9) 0 - 0 Hibernian Ibrox Park 56.000 ( R) 4 - 1 IBROX Park 40.000 1919 - 20 Kilmarnock (1) 3 - 2 Albion Rovers Hampden Park 95.000 1920 - 21 Partick Thi"&amp;"stle (1) 1 - 0 Rangers Celtic Park 28.294 1921 - 22 Morton (1 ) 1 - 0 Rangers Hampden Park 70.000 1922 - 23 Celtic (10) 1 - 0 Hibernian Hampden Park 82.000 1923 - 24 Airdrieonians (1) 2 - 0 Hibernian Ibrox Park 65.000 1924 - 25 Celtic (11) 2 - 1 Dundee Ha"&amp;"mpden Park 75.317 1925- 26 St Mirren (1) 2- 0 Celtic Hampden Park 98.000 1926- 27 Celtic (12) 3- 1 East Fife Hampden Park 80.070 1927- 28 Rangers (5) 4 4 - 0 Celtic Hampden Park 118,115 1928- 29 Kilmarnock (2) 2- 0 Rangers Hampden Park 114.780 1929- 30 Ra"&amp;"ngers (6) 0- 0 Park Hampden Park 107.475 (R) 2- 1 Hampden Park 103,688 1930 - 31 Celtic (13) 2 - 2 Motherwell Hampden Park 104.863 (R) 4 - 2 Hampden Park 98.509 1931 - 32 Rangers (7) 1 - 1 Kilmarnock Hampden Park 112.000 (R) 3 - 0 Hampden Parque 104.600 1"&amp;"932 - 33 Celtic (14) 1 - 0 Motherwell Hampden Park 102.339 1933 - 34 Rangers (8) 5 - 0 St. Mirren Hampden Park 113.430 1934 - 35 Rangers (9) 2 - 1 Hamilton Academical Hampden Parque 87.740 1935 - 36 Rangers (10) 1 - 0 Terceiro Lanark Hampden Park 88.859 1"&amp;"936 - 37 Celtic (15) 2 - 1 Aberdeen Hampden Park 147.365 1937 - 38 East Fife (1) 1 - 1 Kilmarnock Hampden Parque 80.091 (R) 4 - 2 * Hampden Park 92.716 1938 - 39 Clyde (1) 4 - 0 Motherwell Hampden Park 94.000 1946 - 47 Aberdeen (1) 2 - 1 Hibernian Hampden"&amp;" Park 82,140 1947 - 48 Rangers (11) 1 -1 * Morton Hampden Park 129.176 (R) 1 -0 * Hampden Park 133.750 1948 -49 Rangers (12) 4 -1 Clyde Hampden Park 108.435 1949 -50 Rangers (13) 3 - 0 East Fife Hampden Park 118.262 1950 - 51 Celtic (16) 1 - 0 Motherwell "&amp;"Hampden Park 131.943 1951 - 52 Motherwell (1) 4 - 0 Dundee Hampden Park 136.274 1952 - 53 Rangers (14) 1 - 1 - 1 - 1 - 1 Aberdeen Hampden Park 129.761 (R) 1 - 0 Hampden Park 113.700 1953 - 54 Celtic (17) 2 - 1 Aberdeen Hampden Park 130.060 1954 - 55 Clyde"&amp;" (2) 1 - 1 Celtic Hampden Park 106,234 (R) 1 - 0 Hampden Park 68.831 1955- 56 Coração de Midlothian (5) 3- 1 Celtic Hampden Park 132.840 1956- 57 Falkirk (2) 1- 1 Kilmarnock Hampden Park 83.000 (R) 2- 1 * Hampden Park 79.785 1957 - 58 Clyde (3) 1 - 0 Hibe"&amp;"rnian Hampden Park 95.123 1958 - 59 St Mirren (2) 3 - 1 Aberdeen Hampden Park 108.591 1959 - 60 Rangers (15) 2 - 0 Kilmarnock Hampden Park 108,017 1960 - 61 Dunfermline Athletic (1) 0 - 0 Celtic Hampden Park 113.618 (R) 2 - 0 Hampden Park 87.866 1961 - 62"&amp;" Rangers (16) 2 - 0 St. Mirren Hampden Park 127,940 1962 - 63 Rangers ( 17) 1 - 1 Celtic Hampden Park 129.643 (R) 3 - 0 Hampden Park 120.273 1963 - 64 Rangers (18) 3 - 1 Dundee Hampden Park 120.982 1964 - 65 Celtic (18) 3 - 2 Dunfermline atlético atlético"&amp;" Hampden Park 108.800 1965 - 66 Rangers (19) 0 - 0 Celtic Hampden Park 126.552 (R) 1 - 0 Hampden Park 98.202 1966 - 67 Celtic (19) 2 - 0 Aberdeen Hampden Park 126.102 1967 - 68 Dunfermline Athletic (2) 3 - 1 Coração de Midlothian Hampden Park 56.365 1968 "&amp;"- 69 Celtic (20) 4 - 0 Rangers Hampden Park 132.000 1969 - 70 Aberdeen (2) 3 - 1 Celtic Hampden Park 108.434 1970 - 71 Celtic (21) 1 - 1 Rangers Hampden Park 120.092 (R) 2 - 1 Hampden Park 103.332 1971 - 72 Celtic (22) 6 - 1 Hibernian Hampden Park 106,102"&amp;" 1972 - 73 Rangers (20) 3 - 2 Celtic Hampden Park 122.714 1973 - 74 Celtic (23) 3 - 0 Dundee United Hampden Park 75.959 1974 - 75 Celtic (24) 3 - 1 Airdrieonians Hampden Park 75.457 1975 - 76 Rangers (21) 3 - 1 Coração de Midlothian Hampden Park 85.354 19"&amp;"76 - 77 Celtic (25) 1 - 0 Rangers Hampden Park 54.252 1977 - 78 Rangers (22) 2 - 1 Aberdeen Hampden Park 61.563 1978 - 79 Rangers (23) 0 - 0 Hibernian. Hampden Park 50.610 (R) 0 - 0 * Hampden Park 33.504 (SR) 3 - 2 * Hampden Park 30.602 1979 - 80 Celtic ("&amp;"26) 1 - 0 * Rangers Hampden Park 70.303 1980 - 81 Rangers (24) 0 - 0 * Dundee United Hampden Park 53.000 (R) 4 - 1 Hampden Park 43.099 1981 - 82 Aberdeen (3) 4 - 1 * Rangers Hampden Park 53.788 1982 - 83 Aberdeen (4) 1 - 0 * Rangers Hampden Park 62.979 19"&amp;"83 - 84 Aberdeen (5) 2 - 1 * Celtic Hampden Park 58.900 1984 - 85 Celtic (27) 2 - 1 Dundee United Hampden Park 60.346 1985 - 86 Aberdeen (6) 3 - 0 Coração de Midlothian Hampden Park 62.841 1986 - 87 St Mirren (3) 1 - 0 * Dundee United Hampden Park 51.782 "&amp;"1987 - 88 Celtic (28) 2 - 1 Dundee United Hampden Park 74.000 1988 - 89 Celtic (29) 1 - 0 Rangers Hampden Park 72.069 1989 - 90 Aberdeen (7) 0 - 0 † Celtic Hampden Park 60.493 1990 - 91 Motherwell (2) 4 - 3 * Dundee United Hampden Park 57.319 1991 - 92 Ra"&amp;"ngers (25 ) 2 - 1 Airdrieonians Hampden Park 44.045 1992 - 93 Rangers (26) 2 - 1 Aberdeen Celtic Park 50.715 1993 - 94 Dundee United (1) 1 - 0 Rangers Hampden Park 37.450 1994 - 95 Celtic (30) 1 - 0 Airdrieonians Hampden Park 36.915 1995 - 96 Rangers (27)"&amp;" 5 - 1 Coração de Midlothian Hampden Park 37.730 1996 - 97 Kilmarnock (3) 1 - 0 Falkirk Ibrox Stadium 48.953 1997 - 98 Heart of Midlothian ( 6) 2 - 1 Rangers Celtic Park 48.946 1998 - 99 Rangers (28) 1 - 0 Celtic Hampden Park 52.670 1999 - 00 Rangers (29)"&amp;" 4 - 0 Aberdeen Hampden Park 50.865 2000 - 01 Celtic (31) 3 - 0 Hibernian Hampden Park 51.824 2001 - 02 Rangers (30) 3 - 2 Celtic Hampden Park 51.138 2002 - 03 Rangers (31) 1 - 0 Dundee Hampden Park 47.136 2003 - 04 Celtic (32) 3 - 3 - - 1 Dunfermline Ath"&amp;"letic Hampden Park 50.846 2004 - 05 Celtic (33) 1 - 0 Dundee United Hampden Park 50.635 2005 - 06 Coração de Midlothian (7) 1 - 1 † Gretna Hampden Park 51.232 2006 - 07 Celtic (34 ) 1 - 0 Dunfermline Athletic Hampden Park 49.600 2007 - 08 Rangers (32) 3 -"&amp;" 2 Queen of the South Hampden Park 48.821 2008 - 09 Rangers (33) 1 - 0 Falkirk Hampden Park 50.956 2009 - 10 Dundeee United (2) 3 -0 Ross County Hampden Park 47.122 2010 -11 Celtic (35) 3 -0 Motherwell Hampden Park 49.618 2011 -12 Heart of Midlothian (8) "&amp;"5 -1 Hibernian Hampden Park 51.041 2012 - 13 Celtic (36) 3 - 0 Hibernian Hampden Park 51.254 2013 - 14 St Johnstone (1) 2 - 0 Dundee United Celtic Park 47.345 2014 - 15 Inverness Caledonian Thistle (1) 2 - 1 Falkirk Hampden Park 37.149 2015 2015 - 16 Hibe"&amp;"rnian (3) 3- 2 Rangers Hampden Park 50.701 2016- 17 Celtic (37) 2- 1 Aberdeen Hampden Park 48.713 2017- 18 Celtic (38) 2- 0 Motherwell Hampden Park 49.967")</f>
        <v>   Vencedor da temporada Score Runner - Notas de atendimento do local UP 1873 - 74 Queen 's Park (1) 2 - 0 Clydesdale Hampden Park (original) 2.500 1874 - 75 Queen's Park (2) 3 - 0 Renton Hampden Park ( Original) 7.000 1875 -76 Queen's Park (3) 1 -1 3rd Lanark RV Hamilton Crescent 6.000 (R) 2 -0 Hampden Park (original) 10.000 1876 -77 Vale de Leven (1) 1 - 1 Rangers Hamilton Crescent 8.000 (R) 1 - 1 Hamilton Crescent 15.000 (SR) 3 - 2 Hampden Park (original) 12.000 1877 - 78 Vale de Leven (2) 1 - 0 3º Lanark RV Hampden Park (original) 5.000 1878 - 79 Vale de Leven (3) 1 - 1 Rangers Hampden Park (original) 9.000 (R) Walkingver Hampden Park (original) 1879 - 80 Queen's Park (4) 3 - 0 Thornliebank Hampden Park ( original) 4.000 1880 - 81 Queen's Park (5) 2 - 1 ‡ Dumbarton Kinning Park 15.000 (R) 3 - 1 Parque Kinning 10.000 1881 - 82 Queen's Park (6) 2 - 2 Dumbarton Cathkin Parque (primeiro) 12.500 (R) 4 - 1 Cathkin Park (primeiro) 14.000 1882 - 83 Dumbarton (1) 2 - 2 Vale de Leven Hampden Park (original) 15.000 (R) 2 - 1 Hampden Park (original ) 12.000 1883 - 84 Queen's Park (7) Walkover Vale de Leven Cathkin Park (Primeiro) 1884 - 85 Renton (1) 0 - 0 Vale de Leven Hampden Park (Segundo) 3.000 (R) 3 - 1 Hampden Park (segundo) 5.500 1885 -86 Queen's Park (8) 3 -1 Renton Cathkin Park (primeiro) 7.000 1886 -87 Hibernian (1) 2 -1 Dumbarton Hampden Park (Second) 15.000 1887 - 88 Renton (2) 6 - 1 Cambuslang Hampden Park (segundo) 10.000 1888 - 89 3º Lanark RV (1) 3 - 0 ‡ Celtic Hampden Park (Segundo) 17.000 (R) 2 - 1 Hampden Park (segundo) 13.000 1889 - 90 Queen's Park (9) 1 - 1 Vale de Leven Ibrox Park (primeiro) 11.000 (R) 2 - 1 Ibrox Park (Primeiro) 13.000 1890 - 91 Coração de Midlothian (1) 1 - - 0 Dumbarton Hampden Park (Segundo) 10.836 1891 - 92 Celtic (1) 1 - 0 ‡ Park Park do Queen Ibrox Park (Primeiro) 40.000 (R) 5 - 1 IBROX Park (Primeiro) 26.000 1892 - 93 Queen Parque (10) 0 - 1 ‡ Celtic Ibrox Park (Primeiro) 18.771 (R) 2 - 1 IBROX Park (Primeiro) 13.239 1893 - 94 Rangers (1) 3 - 1 Celtic Hampden Park (Second) 17.000 1894 - 95 St. Bernard's (1) 2 - 1 Renton Ibrox Park (Primeiro) 10.000 1895 - 96 Coração de Midlothian (2) 3 - 1 Hibernian New Logie Green 16.034 1896 - 97 Rangers (2) 5 - 1 Dumbarton Hampden Park (segundo) 14.000 1897 - 98 Rangers (3) 2 - 0 Kilmarnock Hampden Park (segundo) 13.000 1898 - 99 Celtic (2) 2 - 0 Rangers Hampden Park (segundo) 25.000 1899 - - 1900 CELTIC (3) 4 - 3 Parque de Queen Ibrox Park 15.000 1900 - 01 Heart of Midlothian (3) 4 - 3 Celtic Ibrox Park 15.000 1901 - 02 Hibernian (2) 1 - 0 Celtic Celtic Park Park 16.000 1902 -03 Rangers (4) 1 -1 Coração do Parque Celtic Midlothian 13.000 (R) 0 -0 Celtic Park 35.000 (SR) 2 -0 Celtic Park 30.000 1903 -04 Celtic (4) 3 - 2 Rangers Hampden Park 64.472 1904 - 05 Terceiro Lanark (2) 0 - 0 Rangers Hampden Park 54.000 (R) 3 - 1 Hampden Park 55.000 1905 - 06 Coração de Midlothian (4) 1 - 0 Terceiro Lanark Ibrox Park Park Ibrox Park 30.000 1906 - 07 Celtic (5) 3 - 0 Coração de Midlothian Hampden Park 50.000 1907 - 08 Celtic (6) 5 - 1 St Mirren Hampden Park 58.000 1909 - 10 Dundee (1) 2 - 2 Clyde Ibrox Parque 60.000 (R) 0 - 0 * IBROX Park 25.000 (SR) 2 - 1 IBROX Park 25.000 1910 - 11 Celtic (7) 0 - 0 Hamilton Academical Ibrox Park 45.000 (R) 2 - 0 Ibrox Park 25.000 1911 - 12 Celtic (8) 2 - 0 Clyde Ibrox Park 45.000 1912 - 13 Falkirk (1) 2 - 0 Raith Rovers Celtic Park 45.000 1913 - 14 Celtic (9) 0 - 0 Hibernian Ibrox Park 56.000 ( R) 4 - 1 IBROX Park 40.000 1919 - 20 Kilmarnock (1) 3 - 2 Albion Rovers Hampden Park 95.000 1920 - 21 Partick Thistle (1) 1 - 0 Rangers Celtic Park 28.294 1921 - 22 Morton (1 ) 1 - 0 Rangers Hampden Park 70.000 1922 - 23 Celtic (10) 1 - 0 Hibernian Hampden Park 82.000 1923 - 24 Airdrieonians (1) 2 - 0 Hibernian Ibrox Park 65.000 1924 - 25 Celtic (11) 2 - 1 Dundee Hampden Park 75.317 1925- 26 St Mirren (1) 2- 0 Celtic Hampden Park 98.000 1926- 27 Celtic (12) 3- 1 East Fife Hampden Park 80.070 1927- 28 Rangers (5) 4 4 - 0 Celtic Hampden Park 118,115 1928- 29 Kilmarnock (2) 2- 0 Rangers Hampden Park 114.780 1929- 30 Rangers (6) 0- 0 Park Hampden Park 107.475 (R) 2- 1 Hampden Park 103,688 1930 - 31 Celtic (13) 2 - 2 Motherwell Hampden Park 104.863 (R) 4 - 2 Hampden Park 98.509 1931 - 32 Rangers (7) 1 - 1 Kilmarnock Hampden Park 112.000 (R) 3 - 0 Hampden Parque 104.600 1932 - 33 Celtic (14) 1 - 0 Motherwell Hampden Park 102.339 1933 - 34 Rangers (8) 5 - 0 St. Mirren Hampden Park 113.430 1934 - 35 Rangers (9) 2 - 1 Hamilton Academical Hampden Parque 87.740 1935 - 36 Rangers (10) 1 - 0 Terceiro Lanark Hampden Park 88.859 1936 - 37 Celtic (15) 2 - 1 Aberdeen Hampden Park 147.365 1937 - 38 East Fife (1) 1 - 1 Kilmarnock Hampden Parque 80.091 (R) 4 - 2 * Hampden Park 92.716 1938 - 39 Clyde (1) 4 - 0 Motherwell Hampden Park 94.000 1946 - 47 Aberdeen (1) 2 - 1 Hibernian Hampden Park 82,140 1947 - 48 Rangers (11) 1 -1 * Morton Hampden Park 129.176 (R) 1 -0 * Hampden Park 133.750 1948 -49 Rangers (12) 4 -1 Clyde Hampden Park 108.435 1949 -50 Rangers (13) 3 - 0 East Fife Hampden Park 118.262 1950 - 51 Celtic (16) 1 - 0 Motherwell Hampden Park 131.943 1951 - 52 Motherwell (1) 4 - 0 Dundee Hampden Park 136.274 1952 - 53 Rangers (14) 1 - 1 - 1 - 1 - 1 Aberdeen Hampden Park 129.761 (R) 1 - 0 Hampden Park 113.700 1953 - 54 Celtic (17) 2 - 1 Aberdeen Hampden Park 130.060 1954 - 55 Clyde (2) 1 - 1 Celtic Hampden Park 106,234 (R) 1 - 0 Hampden Park 68.831 1955- 56 Coração de Midlothian (5) 3- 1 Celtic Hampden Park 132.840 1956- 57 Falkirk (2) 1- 1 Kilmarnock Hampden Park 83.000 (R) 2- 1 * Hampden Park 79.785 1957 - 58 Clyde (3) 1 - 0 Hibernian Hampden Park 95.123 1958 - 59 St Mirren (2) 3 - 1 Aberdeen Hampden Park 108.591 1959 - 60 Rangers (15) 2 - 0 Kilmarnock Hampden Park 108,017 1960 - 61 Dunfermline Athletic (1) 0 - 0 Celtic Hampden Park 113.618 (R) 2 - 0 Hampden Park 87.866 1961 - 62 Rangers (16) 2 - 0 St. Mirren Hampden Park 127,940 1962 - 63 Rangers ( 17) 1 - 1 Celtic Hampden Park 129.643 (R) 3 - 0 Hampden Park 120.273 1963 - 64 Rangers (18) 3 - 1 Dundee Hampden Park 120.982 1964 - 65 Celtic (18) 3 - 2 Dunfermline atlético atlético Hampden Park 108.800 1965 - 66 Rangers (19) 0 - 0 Celtic Hampden Park 126.552 (R) 1 - 0 Hampden Park 98.202 1966 - 67 Celtic (19) 2 - 0 Aberdeen Hampden Park 126.102 1967 - 68 Dunfermline Athletic (2) 3 - 1 Coração de Midlothian Hampden Park 56.365 1968 - 69 Celtic (20) 4 - 0 Rangers Hampden Park 132.000 1969 - 70 Aberdeen (2) 3 - 1 Celtic Hampden Park 108.434 1970 - 71 Celtic (21) 1 - 1 Rangers Hampden Park 120.092 (R) 2 - 1 Hampden Park 103.332 1971 - 72 Celtic (22) 6 - 1 Hibernian Hampden Park 106,102 1972 - 73 Rangers (20) 3 - 2 Celtic Hampden Park 122.714 1973 - 74 Celtic (23) 3 - 0 Dundee United Hampden Park 75.959 1974 - 75 Celtic (24) 3 - 1 Airdrieonians Hampden Park 75.457 1975 - 76 Rangers (21) 3 - 1 Coração de Midlothian Hampden Park 85.354 1976 - 77 Celtic (25) 1 - 0 Rangers Hampden Park 54.252 1977 - 78 Rangers (22) 2 - 1 Aberdeen Hampden Park 61.563 1978 - 79 Rangers (23) 0 - 0 Hibernian. Hampden Park 50.610 (R) 0 - 0 * Hampden Park 33.504 (SR) 3 - 2 * Hampden Park 30.602 1979 - 80 Celtic (26) 1 - 0 * Rangers Hampden Park 70.303 1980 - 81 Rangers (24) 0 - 0 * Dundee United Hampden Park 53.000 (R) 4 - 1 Hampden Park 43.099 1981 - 82 Aberdeen (3) 4 - 1 * Rangers Hampden Park 53.788 1982 - 83 Aberdeen (4) 1 - 0 * Rangers Hampden Park 62.979 1983 - 84 Aberdeen (5) 2 - 1 * Celtic Hampden Park 58.900 1984 - 85 Celtic (27) 2 - 1 Dundee United Hampden Park 60.346 1985 - 86 Aberdeen (6) 3 - 0 Coração de Midlothian Hampden Park 62.841 1986 - 87 St Mirren (3) 1 - 0 * Dundee United Hampden Park 51.782 1987 - 88 Celtic (28) 2 - 1 Dundee United Hampden Park 74.000 1988 - 89 Celtic (29) 1 - 0 Rangers Hampden Park 72.069 1989 - 90 Aberdeen (7) 0 - 0 † Celtic Hampden Park 60.493 1990 - 91 Motherwell (2) 4 - 3 * Dundee United Hampden Park 57.319 1991 - 92 Rangers (25 ) 2 - 1 Airdrieonians Hampden Park 44.045 1992 - 93 Rangers (26) 2 - 1 Aberdeen Celtic Park 50.715 1993 - 94 Dundee United (1) 1 - 0 Rangers Hampden Park 37.450 1994 - 95 Celtic (30) 1 - 0 Airdrieonians Hampden Park 36.915 1995 - 96 Rangers (27) 5 - 1 Coração de Midlothian Hampden Park 37.730 1996 - 97 Kilmarnock (3) 1 - 0 Falkirk Ibrox Stadium 48.953 1997 - 98 Heart of Midlothian ( 6) 2 - 1 Rangers Celtic Park 48.946 1998 - 99 Rangers (28) 1 - 0 Celtic Hampden Park 52.670 1999 - 00 Rangers (29) 4 - 0 Aberdeen Hampden Park 50.865 2000 - 01 Celtic (31) 3 - 0 Hibernian Hampden Park 51.824 2001 - 02 Rangers (30) 3 - 2 Celtic Hampden Park 51.138 2002 - 03 Rangers (31) 1 - 0 Dundee Hampden Park 47.136 2003 - 04 Celtic (32) 3 - 3 - - 1 Dunfermline Athletic Hampden Park 50.846 2004 - 05 Celtic (33) 1 - 0 Dundee United Hampden Park 50.635 2005 - 06 Coração de Midlothian (7) 1 - 1 † Gretna Hampden Park 51.232 2006 - 07 Celtic (34 ) 1 - 0 Dunfermline Athletic Hampden Park 49.600 2007 - 08 Rangers (32) 3 - 2 Queen of the South Hampden Park 48.821 2008 - 09 Rangers (33) 1 - 0 Falkirk Hampden Park 50.956 2009 - 10 Dundeee United (2) 3 -0 Ross County Hampden Park 47.122 2010 -11 Celtic (35) 3 -0 Motherwell Hampden Park 49.618 2011 -12 Heart of Midlothian (8) 5 -1 Hibernian Hampden Park 51.041 2012 - 13 Celtic (36) 3 - 0 Hibernian Hampden Park 51.254 2013 - 14 St Johnstone (1) 2 - 0 Dundee United Celtic Park 47.345 2014 - 15 Inverness Caledonian Thistle (1) 2 - 1 Falkirk Hampden Park 37.149 2015 2015 - 16 Hibernian (3) 3- 2 Rangers Hampden Park 50.701 2016- 17 Celtic (37) 2- 1 Aberdeen Hampden Park 48.713 2017- 18 Celtic (38) 2- 0 Motherwell Hampden Park 49.967</v>
      </c>
    </row>
    <row r="117" customFormat="false" ht="15.75" hidden="false" customHeight="true" outlineLevel="0" collapsed="false">
      <c r="A117" s="3" t="n">
        <v>114</v>
      </c>
      <c r="B117" s="5" t="s">
        <v>347</v>
      </c>
      <c r="C117" s="5" t="s">
        <v>348</v>
      </c>
      <c r="D117" s="5" t="s">
        <v>349</v>
      </c>
      <c r="E117" s="4" t="str">
        <f aca="false">IFERROR(__xludf.dummyfunction("GOOGLETRANSLATE(C118)"),"que interpretou Anthony no Dr. Quinn Medicine Woman")</f>
        <v>que interpretou Anthony no Dr. Quinn Medicine Woman</v>
      </c>
      <c r="F117" s="5" t="str">
        <f aca="false">IFERROR(__xludf.dummyfunction("GOOGLETRANSLATE(D117)")," A causa da síndrome de Reye é desconhecida. Geralmente começa logo após a recuperação de uma infecção viral, como influenza ou varicela. Cerca de 90 % dos casos estão associados ao uso de aspirina (salicilato) em crianças. Os erros inatos do metabolismo "&amp;"também são um fator de risco. Alterações nos exames de sangue podem incluir um nível de amônia no sangue alto, baixo nível de açúcar no sangue e tempo prolongado de protrombina. Muitas vezes, o fígado é aumentado.")</f>
        <v> A causa da síndrome de Reye é desconhecida. Geralmente começa logo após a recuperação de uma infecção viral, como influenza ou varicela. Cerca de 90 % dos casos estão associados ao uso de aspirina (salicilato) em crianças. Os erros inatos do metabolismo também são um fator de risco. Alterações nos exames de sangue podem incluir um nível de amônia no sangue alto, baixo nível de açúcar no sangue e tempo prolongado de protrombina. Muitas vezes, o fígado é aumentado.</v>
      </c>
    </row>
    <row r="118" customFormat="false" ht="15.75" hidden="false" customHeight="true" outlineLevel="0" collapsed="false">
      <c r="A118" s="3" t="n">
        <v>115</v>
      </c>
      <c r="B118" s="5" t="s">
        <v>350</v>
      </c>
      <c r="C118" s="5" t="s">
        <v>351</v>
      </c>
      <c r="D118" s="5" t="s">
        <v>352</v>
      </c>
      <c r="E118" s="4" t="str">
        <f aca="false">IFERROR(__xludf.dummyfunction("GOOGLETRANSLATE(C119)"),"Qual é a diferença entre comida do diabo e chocolate")</f>
        <v>Qual é a diferença entre comida do diabo e chocolate</v>
      </c>
      <c r="F118" s="5" t="str">
        <f aca="false">IFERROR(__xludf.dummyfunction("GOOGLETRANSLATE(D118)"),"  Orson Bean - Loren Bray Jim Knobeloch - Jake Slicker Frank Collison - Horace Bing William Shockley - Hank Lawson Geoffrey Lower - Rev. Timothy Johnson Henry G. Sanders - Robert e. Larry Sellers - Black Hawk (piloto), DANGEIRA DE CLOUD Jonelle Allen - Gr"&amp;"ace Nick Ramus - Chief Black Kettle (Seasons 1 - 3) Heidi Kozak - Emily Donovan (temporada 1) Gail Strickland - Olive Davis (temporada 1) Jennifer Youngs - Ingrid (temporadas 1 - 4) Helene Udy - Myra Bing (Seasons 1 - 4; Guest: Temporada 5) Haylie Johnson"&amp;" - Becky Bonner (Seasons 1 - 6) Barbara Babcock - Dorothy Jennings ( Seasons 2 -6) Georgann Johnson -Elizabeth Quinn (temporadas 2 -6) Alley Mills -Marjorie Quinn (Temporada 2 -6) Elinor Donahue -Rebecka Quinn Dickinson (Seasons 2 -6) Charlotte Chatton - "&amp;"Emma (Seasons 4 e 5) Michelle Bonilla - Teresa Morales (5ª temporada) Alex Meneses - Teresa Morales Slicker (temporada 6) Brandon Douglas - Randolph Cummings (Episódio 4.16), Dr. Andrew Cook (Seasons 4 - 6) Jason Leland Adams -George Armstrong Custer (est"&amp;"ações 2 e 3), Preston A. Lodge III (temporadas 4 -6) John Schneider -Red McCall (episódio 1.09), Daniel Simon (Seasons 5 e 6) Brenden Jefferson - Anthony (temporada 4) Brandon Hammond - Anthony (Seasons 5 e 6) Ben Murphy - Ethan Cooper (Temporada 1 - 3)")</f>
        <v>  Orson Bean - Loren Bray Jim Knobeloch - Jake Slicker Frank Collison - Horace Bing William Shockley - Hank Lawson Geoffrey Lower - Rev. Timothy Johnson Henry G. Sanders - Robert e. Larry Sellers - Black Hawk (piloto), DANGEIRA DE CLOUD Jonelle Allen - Grace Nick Ramus - Chief Black Kettle (Seasons 1 - 3) Heidi Kozak - Emily Donovan (temporada 1) Gail Strickland - Olive Davis (temporada 1) Jennifer Youngs - Ingrid (temporadas 1 - 4) Helene Udy - Myra Bing (Seasons 1 - 4; Guest: Temporada 5) Haylie Johnson - Becky Bonner (Seasons 1 - 6) Barbara Babcock - Dorothy Jennings ( Seasons 2 -6) Georgann Johnson -Elizabeth Quinn (temporadas 2 -6) Alley Mills -Marjorie Quinn (Temporada 2 -6) Elinor Donahue -Rebecka Quinn Dickinson (Seasons 2 -6) Charlotte Chatton - Emma (Seasons 4 e 5) Michelle Bonilla - Teresa Morales (5ª temporada) Alex Meneses - Teresa Morales Slicker (temporada 6) Brandon Douglas - Randolph Cummings (Episódio 4.16), Dr. Andrew Cook (Seasons 4 - 6) Jason Leland Adams -George Armstrong Custer (estações 2 e 3), Preston A. Lodge III (temporadas 4 -6) John Schneider -Red McCall (episódio 1.09), Daniel Simon (Seasons 5 e 6) Brenden Jefferson - Anthony (temporada 4) Brandon Hammond - Anthony (Seasons 5 e 6) Ben Murphy - Ethan Cooper (Temporada 1 - 3)</v>
      </c>
    </row>
    <row r="119" customFormat="false" ht="15.75" hidden="false" customHeight="true" outlineLevel="0" collapsed="false">
      <c r="A119" s="3" t="n">
        <v>116</v>
      </c>
      <c r="B119" s="5" t="s">
        <v>353</v>
      </c>
      <c r="C119" s="5" t="s">
        <v>354</v>
      </c>
      <c r="D119" s="5" t="s">
        <v>355</v>
      </c>
      <c r="E119" s="4" t="str">
        <f aca="false">IFERROR(__xludf.dummyfunction("GOOGLETRANSLATE(C120)"),"que ganhou o golfe aberto das mulheres nos EUA")</f>
        <v>que ganhou o golfe aberto das mulheres nos EUA</v>
      </c>
      <c r="F119" s="5" t="str">
        <f aca="false">IFERROR(__xludf.dummyfunction("GOOGLETRANSLATE(D119)")," O bolo de comida do Devil é um bolo de camada de chocolate úmido, arejado e rico. É considerado uma contraparte do bolo de comida de anjo branco ou amarelo. Devido a receitas diferentes e à mudança de disponibilidade de ingredientes ao longo do século XX"&amp;", é difícil qualificar com precisão o que distingue a comida do diabo do bolo de chocolate mais padrão, embora tradicionalmente tenha mais chocolate do que um bolo de chocolate comum, tornando -o mais escuro . O bolo geralmente é combinado com uma rica co"&amp;"bertura de chocolate.")</f>
        <v> O bolo de comida do Devil é um bolo de camada de chocolate úmido, arejado e rico. É considerado uma contraparte do bolo de comida de anjo branco ou amarelo. Devido a receitas diferentes e à mudança de disponibilidade de ingredientes ao longo do século XX, é difícil qualificar com precisão o que distingue a comida do diabo do bolo de chocolate mais padrão, embora tradicionalmente tenha mais chocolate do que um bolo de chocolate comum, tornando -o mais escuro . O bolo geralmente é combinado com uma rica cobertura de chocolate.</v>
      </c>
    </row>
    <row r="120" customFormat="false" ht="15.75" hidden="false" customHeight="true" outlineLevel="0" collapsed="false">
      <c r="A120" s="3" t="n">
        <v>117</v>
      </c>
      <c r="B120" s="5" t="s">
        <v>356</v>
      </c>
      <c r="C120" s="5" t="s">
        <v>357</v>
      </c>
      <c r="D120" s="5" t="s">
        <v>358</v>
      </c>
      <c r="E120" s="4" t="str">
        <f aca="false">IFERROR(__xludf.dummyfunction("GOOGLETRANSLATE(C121)"),"de quem é Mariah Carey falando em que pertencemos juntos")</f>
        <v>de quem é Mariah Carey falando em que pertencemos juntos</v>
      </c>
      <c r="F120" s="5" t="str">
        <f aca="false">IFERROR(__xludf.dummyfunction("GOOGLETRANSLATE(D120)"),"   Ano Campeão Campeão Campeão Localização do Local para a Par Purse ($) Compartilhamento de vencedores ($) 2017 Park Sung - Hyun Coréia do Sul Trump National Golf Club Bedminster, NJ 277 - 11 5.000.000 900.000 2016 Brittany Lang Lang Estados Unidos CORDE"&amp;"VALLE GOLF Club San Martin, CA 282 - 6 4.500.000 810.000 2015 chun em - gee corea Lancaster Country Club Lancaster, PA 272 - 8 4.500.000 810.000 2014 Michelle Wie United States Pinehurst Resort, Curso No. 2 Pinehurst, NC 278 - 2 4.000.000 720.000 2013 Inb"&amp;"ee Park (2) Sul) Korea Sebonack Golf Club Southampton, NY 280 - 8 3.250.000 585.000 2012 Choi Na - Yeon Coréia do Sul Blackwolf Run, Curso Composto Kohler, WI 281 - 7 3.250.000 585.000 2011 RYU SO - YOON Coréia do Sul Broadmo Golf Club, Curso Oriental, Co"&amp;"llorado, Collorado. - 3 3.250.000 585.000 Creamer Paula Estados Unidos Oakmont Country Club Oakmont, PA 281 - 3 3.250.000 585.000 2009 Eun - HEE Ji Ji Coréia do Sul Saucon Valley Country Club Bethlehem, PA 284 3,250.000 585.000 2008 INBEAÇÃO SUL MOREA INT"&amp;"ERLACHEN MENCHEN MENS 3.250.000 585.000 2007 Cristie Kerr Estados Unidos Lodge Lodge e Golf Club Southern Pines, NC 279 - 5 3.100.000 560.000 2006 Annika Sörenstam (3) Sweden Newport Country Club Clube, RI 284 3,100.000 560.000 2005 Birdie Kim Kim Country"&amp;" Clube , CO 287 + 3 3.100.000 560.000 MEG Mallon (2) Estados Unidos O Clube de Golfe de Orchards South Hadley, MA 274 - 10 3.100.000 560.000 2003 Hilary Lunke Estados Unidos Pumpkin Ridge Golf Club, Witch Hollow Course North Plains, ou 283 - 1 3,100.000 5"&amp;"60.000 2002 2002 Juli Inkster (2) Clube de Golfe de Prairie Dunes dos Estados Unidos Hutchinson, KS 276 - 4 3.000.000 535.000 2001 Karrie Webb (2) Australia Pine agulhas Lodge e Golf Club Southern Pines, NC 273 - 7.900.000 520.000 2000 2000 Karrie Webb Au"&amp;"stralia Merit Merit Club 282 - 6 2.750.000 500.000 1999 Juli Inkster Estados Unidos Old Waverly Golf Club West Point, MS 272 - 16 1.750.000 315.000 1998 Pak SE - RI Coréia do Sul Blackwolf Run, Curso Composto Kohler, Wi 290 + 6 1,500.000 267,500 1997 Alis"&amp;"on Nichler Clube, Witch Hollow Course North Plains, ou 274 - 10 1.300.000 232.500 Annika Sörenstam (2) Suécia Lodge Lodge e Golf Club Southern Pines, NC 272 - 8 1.200.000 212.500 1995 Annika Sörensts Sweden Sweden Broadmoor Golf Cluf, Curso - 2 1.000.000 "&amp;"175.000 1994 Patty Sheehan (2) Clube de Golfe e Country da Indianwood dos Estados Unidos, Old Course Lake Orion, MI 277 - 7 850.000 155.000 1993 Lauri Merten Estados Unidos Crooked Golf Club Carmel, em 280 - 8 800.000 144.000 1992 Pattyhan Sheehan United "&amp;"Estados Oakmont Country Club Oakmont, PA 280 - 4 700.000 130.000 1991 Meg Mallon Estados Unidos Clube de Country Colonial Fort Worth, TX 283 - 1 600.000 110.000 1990 Betsy King (2) Clube Athletic de Atlanta, Riverside Duluth, GA 284 - 400.000 500.000 85.0"&amp;"00 1989 Betsy King Estados Unidos Indianwood Golf and Country Club, Old Course Lake Orion, Mi 278 - 2 450.000 80.000 1988 Liselotte Neumann Suécia Baltimore Country Club, Cinco fazendas, Curso East Baltimore, MD 277 - 7 400.000 70.000 Laura Davies Plainfi"&amp;"eld Country Club Country Club Edison, NJ 285 - 3 325.000 55.000 1986 Jane Geddes Estados Unidos NCR Country Club Kettering, OH 287 - 1 300.000 50.000 1985 Kathy Baker Estados Unidos Baltusrol Golf Club, Upper Springfield, NJ 280 - 8 250.000 41.975 1984 Ho"&amp;"llis Stacy (3 280 - 80.000 41.975 1984 Hollis Stacy (3 280 - 80.000 41,975 1984 1984 Estados Salem Country Club Peabody, MA 290 + 2 225.000 36.000 Jan Stephenson Austrália Cedar Ridge Country Club Broken Arrow, OK 290 + 6 200.000 32.780 1982 Janet Alex Es"&amp;"tados Unidos Del Paso Clube Sacramento, CA 283 - 5 175.000 27.315 1981 Pat Bradley United States United States, La Grange Country Club La Grange, IL 279 - 9 150.000 22.000 1980 AMY ALCOTT Estados Unidos Richland Country Club Nashville, TN 280 - 4 140.000 "&amp;"20.047 1979 Jerilyn Britz Estados Unidos Brooklawn Country Club Fairfield, CT 284 125.000 19.000 1978 Hollis Stacy (2) United United Clube do país de Indianapolis Indianapolis, em 289 + 5 100.000 15.000 1977 Hollis Stacy Estados Unidos Hazeltine National "&amp;"Golf Club Chaska, MN 292 + 4 75.000 11.040 1976 Joanne Carner (2) Estados Unidos Rolling Green Golf Club Springfield, PA 292 + 8 60.000 9,054 Sandra Palmer, Estados Unidos, Atlantic City Country Club Northfield, NJ 295 + 7 55.000 8.044 Sandra Haynie Estad"&amp;"os Unidos La Grange Country Club La Grange, IL 295 + 7 40.000 6.073 1973 Susie Berning (3) Estados Unidos Clube de Country de Rochester, NY 290 + 2 40.000 6.000 1972 Susie Berning (2) Clube de golfe dos pés dos Estados Unidos, East Course Mamaroneck, NY 2"&amp;"99 + 11 40.000 6.000 1971 Joanne Carner Estados Unidos Kahkwa Club Erie, PA 288 31.000 5.000 1970 1970 Donna Caponi (2) Estados Unidos Muskoge Country Club Muskogee, OK 287 - 1 30.000 5.000 1969 Donna Caponi Estados Unidos Scenic Hills Country Club Pensac"&amp;"ola, FL 294 + 6 31.040 5.000 1968 Susie Berning Berning Estados Unidos Moselem Springs Golf Club Fleetwood, PA 289 + 5 25.000 5.000 1967 Catherine Lacoste (A) France Homestead Hot Springs, VA 294 + 6 25.000 0 1966 Sandra Spuzich Estados Unidos Hazeltine N"&amp;"ational Golf Club Chaska, MN 297 + 9 20.000 4.000 1965 Carol Mann Estados Unidos Atlantic City Club Northfield, NJ 290 + 2 17.780 3.800 1964 Mickey Wright (4) Estados Unidos San Diego Country Club Chula Vista, CA 290 - 2 9.900 2.090 1963 Mary Mills Estado"&amp;"s Unidos Kenwood Country Club Cincinnati, OH 289 - 3 9.000 1.900 1962 Murle Lindstrom Estados Unidos Dunes Golf and Beach Club Beach, SC 301 + 13 8. 8.000 1,800 1961 Mickey Wright (3) Estados Unidos Baltusrol Golf Club, Curso Lower Springfield, NJ 293 + 5"&amp;" 8.000 1.800 1960 Betsy Rawls (4) Estados Unidos Worcester Country Club Worcester, MA 292 + 4 7.200 1.710 1959 Mickey Wright (2) INCLUES Valley Country Club Pittsburgh, PA 287 - 1 7.200 1.800 1958 Mickey Wright Clube do País do Lago Florest dos Estados Un"&amp;"idos Bloomfield, MI 290 - 2 7.200 1.800 1957 Betsy Rawls (3) Estados Unidos Clube de Golf Winged Foot, Curso Leste, Mamaroneck, NY 299 + 7,20 1.800 1956 Kathy Cornelius Clube do Northland Country dos Estados Unidos Duluth, MN 302 + 11 6.000 1.500 1955 Fay"&amp;" Crocker Uruguai Wichita Country Club Wichita, KS 299 + 11 7.500 2.000 1954 Babe Zaharias (3) Salem dos Estados Unidos Clube Country Pea, Ma 29. 2.000 1953 Betsy Rawls (2) Clube de Country dos Estados Unidos de Rochester Rochester, NY 302 + 10 7.500 2.000"&amp;" 1952 Louise Suggs (2) Estados Unidos Bala Golf Club Philadelphia, PA 284 + 8 7.500 1.750 1951 Betsy Rawls Unidos DRUIDS HHROFT CLUC , GA 293 + 5 7.500 1.500 1950 Babe Zaharias (2) Estados Unidos Rolling Hills Country Club Wichita, KS 291 - 9 5.000 1.250 "&amp;"1949 Louise Suggs Estados Unidos Príncipe Georges Golf and Country Club Landover, MD 291 - 9 7.500 1,500 1948 Estados Atlantic City Country Club Northfield, NJ 300 7.500 1.200 1947 Betty Jameson Estados Unidos Starmount Forest Country Club Greensboro, NC "&amp;"295 - 9 7.500 1.200 1946 Patty Berg † Estados Unidos Spokane Country Club Spokane, WA 5 e 4 19.700 5.600")</f>
        <v>   Ano Campeão Campeão Campeão Localização do Local para a Par Purse ($) Compartilhamento de vencedores ($) 2017 Park Sung - Hyun Coréia do Sul Trump National Golf Club Bedminster, NJ 277 - 11 5.000.000 900.000 2016 Brittany Lang Lang Estados Unidos CORDEVALLE GOLF Club San Martin, CA 282 - 6 4.500.000 810.000 2015 chun em - gee corea Lancaster Country Club Lancaster, PA 272 - 8 4.500.000 810.000 2014 Michelle Wie United States Pinehurst Resort, Curso No. 2 Pinehurst, NC 278 - 2 4.000.000 720.000 2013 Inbee Park (2) Sul) Korea Sebonack Golf Club Southampton, NY 280 - 8 3.250.000 585.000 2012 Choi Na - Yeon Coréia do Sul Blackwolf Run, Curso Composto Kohler, WI 281 - 7 3.250.000 585.000 2011 RYU SO - YOON Coréia do Sul Broadmo Golf Club, Curso Oriental, Collorado, Collorado. - 3 3.250.000 585.000 Creamer Paula Estados Unidos Oakmont Country Club Oakmont, PA 281 - 3 3.250.000 585.000 2009 Eun - HEE Ji Ji Coréia do Sul Saucon Valley Country Club Bethlehem, PA 284 3,250.000 585.000 2008 INBEAÇÃO SUL MOREA INTERLACHEN MENCHEN MENS 3.250.000 585.000 2007 Cristie Kerr Estados Unidos Lodge Lodge e Golf Club Southern Pines, NC 279 - 5 3.100.000 560.000 2006 Annika Sörenstam (3) Sweden Newport Country Club Clube, RI 284 3,100.000 560.000 2005 Birdie Kim Kim Country Clube , CO 287 + 3 3.100.000 560.000 MEG Mallon (2) Estados Unidos O Clube de Golfe de Orchards South Hadley, MA 274 - 10 3.100.000 560.000 2003 Hilary Lunke Estados Unidos Pumpkin Ridge Golf Club, Witch Hollow Course North Plains, ou 283 - 1 3,100.000 560.000 2002 2002 Juli Inkster (2) Clube de Golfe de Prairie Dunes dos Estados Unidos Hutchinson, KS 276 - 4 3.000.000 535.000 2001 Karrie Webb (2) Australia Pine agulhas Lodge e Golf Club Southern Pines, NC 273 - 7.900.000 520.000 2000 2000 Karrie Webb Australia Merit Merit Club 282 - 6 2.750.000 500.000 1999 Juli Inkster Estados Unidos Old Waverly Golf Club West Point, MS 272 - 16 1.750.000 315.000 1998 Pak SE - RI Coréia do Sul Blackwolf Run, Curso Composto Kohler, Wi 290 + 6 1,500.000 267,500 1997 Alison Nichler Clube, Witch Hollow Course North Plains, ou 274 - 10 1.300.000 232.500 Annika Sörenstam (2) Suécia Lodge Lodge e Golf Club Southern Pines, NC 272 - 8 1.200.000 212.500 1995 Annika Sörensts Sweden Sweden Broadmoor Golf Cluf, Curso - 2 1.000.000 175.000 1994 Patty Sheehan (2) Clube de Golfe e Country da Indianwood dos Estados Unidos, Old Course Lake Orion, MI 277 - 7 850.000 155.000 1993 Lauri Merten Estados Unidos Crooked Golf Club Carmel, em 280 - 8 800.000 144.000 1992 Pattyhan Sheehan United Estados Oakmont Country Club Oakmont, PA 280 - 4 700.000 130.000 1991 Meg Mallon Estados Unidos Clube de Country Colonial Fort Worth, TX 283 - 1 600.000 110.000 1990 Betsy King (2) Clube Athletic de Atlanta, Riverside Duluth, GA 284 - 400.000 500.000 85.000 1989 Betsy King Estados Unidos Indianwood Golf and Country Club, Old Course Lake Orion, Mi 278 - 2 450.000 80.000 1988 Liselotte Neumann Suécia Baltimore Country Club, Cinco fazendas, Curso East Baltimore, MD 277 - 7 400.000 70.000 Laura Davies Plainfield Country Club Country Club Edison, NJ 285 - 3 325.000 55.000 1986 Jane Geddes Estados Unidos NCR Country Club Kettering, OH 287 - 1 300.000 50.000 1985 Kathy Baker Estados Unidos Baltusrol Golf Club, Upper Springfield, NJ 280 - 8 250.000 41.975 1984 Hollis Stacy (3 280 - 80.000 41.975 1984 Hollis Stacy (3 280 - 80.000 41,975 1984 1984 Estados Salem Country Club Peabody, MA 290 + 2 225.000 36.000 Jan Stephenson Austrália Cedar Ridge Country Club Broken Arrow, OK 290 + 6 200.000 32.780 1982 Janet Alex Estados Unidos Del Paso Clube Sacramento, CA 283 - 5 175.000 27.315 1981 Pat Bradley United States United States, La Grange Country Club La Grange, IL 279 - 9 150.000 22.000 1980 AMY ALCOTT Estados Unidos Richland Country Club Nashville, TN 280 - 4 140.000 20.047 1979 Jerilyn Britz Estados Unidos Brooklawn Country Club Fairfield, CT 284 125.000 19.000 1978 Hollis Stacy (2) United United Clube do país de Indianapolis Indianapolis, em 289 + 5 100.000 15.000 1977 Hollis Stacy Estados Unidos Hazeltine National Golf Club Chaska, MN 292 + 4 75.000 11.040 1976 Joanne Carner (2) Estados Unidos Rolling Green Golf Club Springfield, PA 292 + 8 60.000 9,054 Sandra Palmer, Estados Unidos, Atlantic City Country Club Northfield, NJ 295 + 7 55.000 8.044 Sandra Haynie Estados Unidos La Grange Country Club La Grange, IL 295 + 7 40.000 6.073 1973 Susie Berning (3) Estados Unidos Clube de Country de Rochester, NY 290 + 2 40.000 6.000 1972 Susie Berning (2) Clube de golfe dos pés dos Estados Unidos, East Course Mamaroneck, NY 299 + 11 40.000 6.000 1971 Joanne Carner Estados Unidos Kahkwa Club Erie, PA 288 31.000 5.000 1970 1970 Donna Caponi (2) Estados Unidos Muskoge Country Club Muskogee, OK 287 - 1 30.000 5.000 1969 Donna Caponi Estados Unidos Scenic Hills Country Club Pensacola, FL 294 + 6 31.040 5.000 1968 Susie Berning Berning Estados Unidos Moselem Springs Golf Club Fleetwood, PA 289 + 5 25.000 5.000 1967 Catherine Lacoste (A) France Homestead Hot Springs, VA 294 + 6 25.000 0 1966 Sandra Spuzich Estados Unidos Hazeltine National Golf Club Chaska, MN 297 + 9 20.000 4.000 1965 Carol Mann Estados Unidos Atlantic City Club Northfield, NJ 290 + 2 17.780 3.800 1964 Mickey Wright (4) Estados Unidos San Diego Country Club Chula Vista, CA 290 - 2 9.900 2.090 1963 Mary Mills Estados Unidos Kenwood Country Club Cincinnati, OH 289 - 3 9.000 1.900 1962 Murle Lindstrom Estados Unidos Dunes Golf and Beach Club Beach, SC 301 + 13 8. 8.000 1,800 1961 Mickey Wright (3) Estados Unidos Baltusrol Golf Club, Curso Lower Springfield, NJ 293 + 5 8.000 1.800 1960 Betsy Rawls (4) Estados Unidos Worcester Country Club Worcester, MA 292 + 4 7.200 1.710 1959 Mickey Wright (2) INCLUES Valley Country Club Pittsburgh, PA 287 - 1 7.200 1.800 1958 Mickey Wright Clube do País do Lago Florest dos Estados Unidos Bloomfield, MI 290 - 2 7.200 1.800 1957 Betsy Rawls (3) Estados Unidos Clube de Golf Winged Foot, Curso Leste, Mamaroneck, NY 299 + 7,20 1.800 1956 Kathy Cornelius Clube do Northland Country dos Estados Unidos Duluth, MN 302 + 11 6.000 1.500 1955 Fay Crocker Uruguai Wichita Country Club Wichita, KS 299 + 11 7.500 2.000 1954 Babe Zaharias (3) Salem dos Estados Unidos Clube Country Pea, Ma 29. 2.000 1953 Betsy Rawls (2) Clube de Country dos Estados Unidos de Rochester Rochester, NY 302 + 10 7.500 2.000 1952 Louise Suggs (2) Estados Unidos Bala Golf Club Philadelphia, PA 284 + 8 7.500 1.750 1951 Betsy Rawls Unidos DRUIDS HHROFT CLUC , GA 293 + 5 7.500 1.500 1950 Babe Zaharias (2) Estados Unidos Rolling Hills Country Club Wichita, KS 291 - 9 5.000 1.250 1949 Louise Suggs Estados Unidos Príncipe Georges Golf and Country Club Landover, MD 291 - 9 7.500 1,500 1948 Estados Atlantic City Country Club Northfield, NJ 300 7.500 1.200 1947 Betty Jameson Estados Unidos Starmount Forest Country Club Greensboro, NC 295 - 9 7.500 1.200 1946 Patty Berg † Estados Unidos Spokane Country Club Spokane, WA 5 e 4 19.700 5.600</v>
      </c>
    </row>
    <row r="121" customFormat="false" ht="15.75" hidden="false" customHeight="true" outlineLevel="0" collapsed="false">
      <c r="A121" s="3" t="n">
        <v>118</v>
      </c>
      <c r="B121" s="5" t="s">
        <v>359</v>
      </c>
      <c r="C121" s="5" t="s">
        <v>360</v>
      </c>
      <c r="D121" s="5" t="s">
        <v>361</v>
      </c>
      <c r="E121" s="4" t="str">
        <f aca="false">IFERROR(__xludf.dummyfunction("GOOGLETRANSLATE(C122)"),"Qual foi a 2ª Emenda adicionada à Constituição")</f>
        <v>Qual foi a 2ª Emenda adicionada à Constituição</v>
      </c>
      <c r="F121" s="5" t="str">
        <f aca="false">IFERROR(__xludf.dummyfunction("GOOGLETRANSLATE(D121)")," O videoclipe da música foi filmado como uma história de duas partes com `` é assim '', que apresentava Carey em sua festa de despedida de solteira. O vídeo para `` pertencemos juntos '' é uma continuação focada no casamento de Carey com um homem mais vel"&amp;"ho e poderoso e termina com a cantora fugindo com seu ex-amante. Surgiram rumores da conexão do vídeo com seu casamento de 1993 com Tommy Mottola. Carey tocou a música em vários shows de prêmios e aparições na televisão em todo o mundo, a saber, MTV Movie"&amp;" Awards, MTV Video Music Awards, Macy's Fourth de julho Parade, O Oprah Winfrey Show e o 48º Grammy Awards. Na Europa, a música foi tocada no The Live 8 Charity Concert, no Fashion Rocks em Mônaco e no Alemão Bambi Awards. Carey tocou a música em suas ave"&amp;"nturas de Mimi e Angels Advocate Tours.")</f>
        <v> O videoclipe da música foi filmado como uma história de duas partes com `` é assim '', que apresentava Carey em sua festa de despedida de solteira. O vídeo para `` pertencemos juntos '' é uma continuação focada no casamento de Carey com um homem mais velho e poderoso e termina com a cantora fugindo com seu ex-amante. Surgiram rumores da conexão do vídeo com seu casamento de 1993 com Tommy Mottola. Carey tocou a música em vários shows de prêmios e aparições na televisão em todo o mundo, a saber, MTV Movie Awards, MTV Video Music Awards, Macy's Fourth de julho Parade, O Oprah Winfrey Show e o 48º Grammy Awards. Na Europa, a música foi tocada no The Live 8 Charity Concert, no Fashion Rocks em Mônaco e no Alemão Bambi Awards. Carey tocou a música em suas aventuras de Mimi e Angels Advocate Tours.</v>
      </c>
    </row>
    <row r="122" customFormat="false" ht="15.75" hidden="false" customHeight="true" outlineLevel="0" collapsed="false">
      <c r="A122" s="3" t="n">
        <v>119</v>
      </c>
      <c r="B122" s="5" t="s">
        <v>362</v>
      </c>
      <c r="C122" s="5" t="s">
        <v>363</v>
      </c>
      <c r="D122" s="5" t="s">
        <v>364</v>
      </c>
      <c r="E122" s="4" t="str">
        <f aca="false">IFERROR(__xludf.dummyfunction("GOOGLETRANSLATE(C123)"),"onde fica a estátua original de David na Itália")</f>
        <v>onde fica a estátua original de David na Itália</v>
      </c>
      <c r="F122" s="5" t="str">
        <f aca="false">IFERROR(__xludf.dummyfunction("GOOGLETRANSLATE(D122)")," A Segunda Emenda (Emenda II) à Constituição dos Estados Unidos protege o direito do povo de manter e portar armas e foi adotada em 15 de dezembro de 1791, como parte das dez primeiras emendas contidas na Declaração de Direitos. A Suprema Corte dos Estado"&amp;"s Unidos decidiu que o direito pertence aos indivíduos para a autodefesa. Embora também decidisse que o direito não é ilimitado e não proíbe toda a regulamentação de armas de fogo ou dispositivos similares. Os governos estaduais e locais estão limitados n"&amp;"a mesma extensão que o governo federal de violar esse direito, de acordo com a incorporação da Declaração de Direitos.")</f>
        <v> A Segunda Emenda (Emenda II) à Constituição dos Estados Unidos protege o direito do povo de manter e portar armas e foi adotada em 15 de dezembro de 1791, como parte das dez primeiras emendas contidas na Declaração de Direitos. A Suprema Corte dos Estados Unidos decidiu que o direito pertence aos indivíduos para a autodefesa. Embora também decidisse que o direito não é ilimitado e não proíbe toda a regulamentação de armas de fogo ou dispositivos similares. Os governos estaduais e locais estão limitados na mesma extensão que o governo federal de violar esse direito, de acordo com a incorporação da Declaração de Direitos.</v>
      </c>
    </row>
    <row r="123" customFormat="false" ht="15.75" hidden="false" customHeight="true" outlineLevel="0" collapsed="false">
      <c r="A123" s="3" t="n">
        <v>120</v>
      </c>
      <c r="B123" s="5" t="s">
        <v>365</v>
      </c>
      <c r="C123" s="5" t="s">
        <v>366</v>
      </c>
      <c r="D123" s="5" t="s">
        <v>367</v>
      </c>
      <c r="E123" s="4" t="str">
        <f aca="false">IFERROR(__xludf.dummyfunction("GOOGLETRANSLATE(C124)"),"Quando a barragem de Teton quebrou em Idaho")</f>
        <v>Quando a barragem de Teton quebrou em Idaho</v>
      </c>
      <c r="F123" s="5" t="str">
        <f aca="false">IFERROR(__xludf.dummyfunction("GOOGLETRANSLATE(D123)")," David ficou em exibição na Galleria Dell'Accademia de Florença desde 1873. Além da réplica de tamanho completo que ocupava o local do original em frente ao Palazzo Vecchio, uma versão de bronze tem vista para Florence do Piazzale Michelangelo. O elenco d"&amp;"e gesso de David no Museu Victoria e Albert tem uma folha de figo destacável que é exibida nas proximidades. Legend afirma que a folha de figo foi criada em resposta ao choque da rainha Victoria ao ver primeiro a nudez da estátua e foi pendurado na figura"&amp;" antes das visitas reais, usando dois ganchos estrategicamente colocados. Em 2010, o governo italiano iniciou uma campanha para solidificar sua reivindicação à icônica estátua de mármore.")</f>
        <v> David ficou em exibição na Galleria Dell'Accademia de Florença desde 1873. Além da réplica de tamanho completo que ocupava o local do original em frente ao Palazzo Vecchio, uma versão de bronze tem vista para Florence do Piazzale Michelangelo. O elenco de gesso de David no Museu Victoria e Albert tem uma folha de figo destacável que é exibida nas proximidades. Legend afirma que a folha de figo foi criada em resposta ao choque da rainha Victoria ao ver primeiro a nudez da estátua e foi pendurado na figura antes das visitas reais, usando dois ganchos estrategicamente colocados. Em 2010, o governo italiano iniciou uma campanha para solidificar sua reivindicação à icônica estátua de mármore.</v>
      </c>
    </row>
    <row r="124" customFormat="false" ht="15.75" hidden="false" customHeight="true" outlineLevel="0" collapsed="false">
      <c r="A124" s="3" t="n">
        <v>121</v>
      </c>
      <c r="B124" s="5" t="s">
        <v>368</v>
      </c>
      <c r="C124" s="5" t="s">
        <v>369</v>
      </c>
      <c r="D124" s="5" t="s">
        <v>370</v>
      </c>
      <c r="E124" s="4" t="str">
        <f aca="false">IFERROR(__xludf.dummyfunction("GOOGLETRANSLATE(C125)"),"Qual era a motivação japonesa para bombardear Pearl Harbor")</f>
        <v>Qual era a motivação japonesa para bombardear Pearl Harbor</v>
      </c>
      <c r="F124" s="5" t="str">
        <f aca="false">IFERROR(__xludf.dummyfunction("GOOGLETRANSLATE(D124)")," A barragem de Teton era uma barragem de barro no rio Teton, em Idaho, Estados Unidos. Foi construído pelo Bureau of Reclamation, uma das oito agências federais autorizadas a construir barragens. Localizado na parte oriental do estado, entre os condados d"&amp;"e Fremont e Madison, sofreu uma falha catastrófica em 5 de junho de 1976, pois estava preenchido pela primeira vez.")</f>
        <v> A barragem de Teton era uma barragem de barro no rio Teton, em Idaho, Estados Unidos. Foi construído pelo Bureau of Reclamation, uma das oito agências federais autorizadas a construir barragens. Localizado na parte oriental do estado, entre os condados de Fremont e Madison, sofreu uma falha catastrófica em 5 de junho de 1976, pois estava preenchido pela primeira vez.</v>
      </c>
    </row>
    <row r="125" customFormat="false" ht="15.75" hidden="false" customHeight="true" outlineLevel="0" collapsed="false">
      <c r="A125" s="3" t="n">
        <v>122</v>
      </c>
      <c r="B125" s="5" t="s">
        <v>371</v>
      </c>
      <c r="C125" s="5" t="s">
        <v>372</v>
      </c>
      <c r="D125" s="5" t="s">
        <v>373</v>
      </c>
      <c r="E125" s="4" t="str">
        <f aca="false">IFERROR(__xludf.dummyfunction("GOOGLETRANSLATE(C126)"),"elenco de personagens em violinista no telhado")</f>
        <v>elenco de personagens em violinista no telhado</v>
      </c>
      <c r="F125" s="5" t="str">
        <f aca="false">IFERROR(__xludf.dummyfunction("GOOGLETRANSLATE(D125)")," O Japão pretendia o ataque como uma ação preventiva para impedir que a frota do Pacífico dos EUA interfira em suas ações militares planejadas no sudeste da Ásia contra territórios estrangeiros do Reino Unido, Holanda e Estados Unidos. Ao longo de sete ho"&amp;"ras, houve ataques japoneses coordenados aos EUA - realizados nas Filipinas, Guam e Wake Island e no Império Britânico na Malásia, Cingapura e Hong Kong.")</f>
        <v> O Japão pretendia o ataque como uma ação preventiva para impedir que a frota do Pacífico dos EUA interfira em suas ações militares planejadas no sudeste da Ásia contra territórios estrangeiros do Reino Unido, Holanda e Estados Unidos. Ao longo de sete horas, houve ataques japoneses coordenados aos EUA - realizados nas Filipinas, Guam e Wake Island e no Império Britânico na Malásia, Cingapura e Hong Kong.</v>
      </c>
    </row>
    <row r="126" customFormat="false" ht="15.75" hidden="false" customHeight="true" outlineLevel="0" collapsed="false">
      <c r="A126" s="3" t="n">
        <v>123</v>
      </c>
      <c r="B126" s="5" t="s">
        <v>374</v>
      </c>
      <c r="C126" s="5" t="s">
        <v>375</v>
      </c>
      <c r="D126" s="5" t="s">
        <v>376</v>
      </c>
      <c r="E126" s="4" t="str">
        <f aca="false">IFERROR(__xludf.dummyfunction("GOOGLETRANSLATE(C127)"),"Quando o filme foi feito por mim")</f>
        <v>Quando o filme foi feito por mim</v>
      </c>
      <c r="F126" s="5" t="str">
        <f aca="false">IFERROR(__xludf.dummyfunction("GOOGLETRANSLATE(D126)"),"  Tevye, um pobre leite com cinco filhas. Um firme defensor das tradições de sua fé, ele encontra muitas de suas convicções testadas pelas ações de suas três filhas mais velhas. Golde, esposa afiada de Tevye. Tzeitel, sua filha mais velha, cerca de dezeno"&amp;"ve. Ela ama seu amigo de infância, Motel e se casa com ele, mesmo que ele seja pobre, implorando ao pai que não a force a se casar com Lazar Wolf. Hodel, sua filha, cerca de dezessete. Inteligente e espirituoso, ela se apaixona por Perchik e mais tarde se"&amp;" junta a ele na Sibéria. Chava, sua filha, cerca de quinze. Um amante de livros tímidos, que se apaixona por Fyedka. Shprintze, sua filha, cerca de doze. Bielke, sua filha mais nova, cerca de nove. Motel Kamzoil, um alfaiate pobre, mas trabalhador, que am"&amp;"a, e mais tarde se casa com Tzeitel. Perchik, um estudioso e bolchevique revolucionário que vem a Anatevka e se apaixona por Hodel. Ele sai para Kiev e é exilado na Sibéria. Fyedka, um jovem cristão. Ele compartilha a paixão de Chava pela leitura e fica i"&amp;"ndignado com o tratamento dos russos aos judeus. Lazar Wolf, o rico açougueiro da vila. Viúvo de Fruma - Sarah. Tenta organizar um casamento para Tzeitel. Yente, o casamenteiro da vila fofoqueira que combina com Tzeitel e Lazar. Fruma - Sarah, a esposa mo"&amp;"rta de Lazar Wolf, que se levanta do túmulo em Tevye 'S' `` pesadelo ''. Vovó Tzeitel, a avó morta de Golde, também apareceu no `` pesadelo ''. Mordcha, o estalajadeiro. Rabino, o sábio rabino da vila. Constable, um homem cristão; o chefe da polícia russa"&amp;" local.")</f>
        <v>  Tevye, um pobre leite com cinco filhas. Um firme defensor das tradições de sua fé, ele encontra muitas de suas convicções testadas pelas ações de suas três filhas mais velhas. Golde, esposa afiada de Tevye. Tzeitel, sua filha mais velha, cerca de dezenove. Ela ama seu amigo de infância, Motel e se casa com ele, mesmo que ele seja pobre, implorando ao pai que não a force a se casar com Lazar Wolf. Hodel, sua filha, cerca de dezessete. Inteligente e espirituoso, ela se apaixona por Perchik e mais tarde se junta a ele na Sibéria. Chava, sua filha, cerca de quinze. Um amante de livros tímidos, que se apaixona por Fyedka. Shprintze, sua filha, cerca de doze. Bielke, sua filha mais nova, cerca de nove. Motel Kamzoil, um alfaiate pobre, mas trabalhador, que ama, e mais tarde se casa com Tzeitel. Perchik, um estudioso e bolchevique revolucionário que vem a Anatevka e se apaixona por Hodel. Ele sai para Kiev e é exilado na Sibéria. Fyedka, um jovem cristão. Ele compartilha a paixão de Chava pela leitura e fica indignado com o tratamento dos russos aos judeus. Lazar Wolf, o rico açougueiro da vila. Viúvo de Fruma - Sarah. Tenta organizar um casamento para Tzeitel. Yente, o casamenteiro da vila fofoqueira que combina com Tzeitel e Lazar. Fruma - Sarah, a esposa morta de Lazar Wolf, que se levanta do túmulo em Tevye 'S' `` pesadelo ''. Vovó Tzeitel, a avó morta de Golde, também apareceu no `` pesadelo ''. Mordcha, o estalajadeiro. Rabino, o sábio rabino da vila. Constable, um homem cristão; o chefe da polícia russa local.</v>
      </c>
    </row>
    <row r="127" customFormat="false" ht="15.75" hidden="false" customHeight="true" outlineLevel="0" collapsed="false">
      <c r="A127" s="3" t="n">
        <v>124</v>
      </c>
      <c r="B127" s="5" t="s">
        <v>377</v>
      </c>
      <c r="C127" s="5" t="s">
        <v>378</v>
      </c>
      <c r="D127" s="5" t="s">
        <v>379</v>
      </c>
      <c r="E127" s="4" t="str">
        <f aca="false">IFERROR(__xludf.dummyfunction("GOOGLETRANSLATE(C128)"),"que venceu o campeonato de snooker da Irlanda do Norte")</f>
        <v>que venceu o campeonato de snooker da Irlanda do Norte</v>
      </c>
      <c r="F127" s="5" t="str">
        <f aca="false">IFERROR(__xludf.dummyfunction("GOOGLETRANSLATE(D127)")," Stand By Me é um filme americano de 1986 - de - Age Comedy - Drama, dirigido por Rob Reiner e estrelado por Wil Wheaton, River Phoenix, Corey Feldman e Jerry O'Connell. O filme, cuja trama é baseada na novela de Stephen King, The Body (1982), e o título "&amp;"é derivado da música homônima de Ben E. King, que toca nos créditos finais, conta a história de quatro meninos em uma pequena cidade em Oregon que faz uma caminhada para encontrar o cadáver de uma criança desaparecida.")</f>
        <v> Stand By Me é um filme americano de 1986 - de - Age Comedy - Drama, dirigido por Rob Reiner e estrelado por Wil Wheaton, River Phoenix, Corey Feldman e Jerry O'Connell. O filme, cuja trama é baseada na novela de Stephen King, The Body (1982), e o título é derivado da música homônima de Ben E. King, que toca nos créditos finais, conta a história de quatro meninos em uma pequena cidade em Oregon que faz uma caminhada para encontrar o cadáver de uma criança desaparecida.</v>
      </c>
    </row>
    <row r="128" customFormat="false" ht="15.75" hidden="false" customHeight="true" outlineLevel="0" collapsed="false">
      <c r="A128" s="3" t="n">
        <v>125</v>
      </c>
      <c r="B128" s="5" t="s">
        <v>380</v>
      </c>
      <c r="C128" s="5" t="s">
        <v>381</v>
      </c>
      <c r="D128" s="5" t="s">
        <v>382</v>
      </c>
      <c r="E128" s="4" t="str">
        <f aca="false">IFERROR(__xludf.dummyfunction("GOOGLETRANSLATE(C129)"),"é a torre Eiffel feita de aço ou ferro")</f>
        <v>é a torre Eiffel feita de aço ou ferro</v>
      </c>
      <c r="F128" s="5" t="str">
        <f aca="false">IFERROR(__xludf.dummyfunction("GOOGLETRANSLATE(D128)"),"   Ano Vencedor Runner - UP SCORE Final Patrocinador Patrocinador Patrocinador Estação do Norte Irlanda Open (ranking) 2016 Mark King Barry Hawkins 9 - 8 Coral Belfast 2016/17 2017 Mark Williams Yan Bingtao 9 - 8 Dafabet 2017/18")</f>
        <v>   Ano Vencedor Runner - UP SCORE Final Patrocinador Patrocinador Patrocinador Estação do Norte Irlanda Open (ranking) 2016 Mark King Barry Hawkins 9 - 8 Coral Belfast 2016/17 2017 Mark Williams Yan Bingtao 9 - 8 Dafabet 2017/18</v>
      </c>
    </row>
    <row r="129" customFormat="false" ht="15.75" hidden="false" customHeight="true" outlineLevel="0" collapsed="false">
      <c r="A129" s="3" t="n">
        <v>126</v>
      </c>
      <c r="B129" s="5" t="s">
        <v>383</v>
      </c>
      <c r="C129" s="5" t="s">
        <v>384</v>
      </c>
      <c r="D129" s="5" t="s">
        <v>385</v>
      </c>
      <c r="E129" s="4" t="str">
        <f aca="false">IFERROR(__xludf.dummyfunction("GOOGLETRANSLATE(C130)"),"Onde está o Fort Myers Florida localizado na Flórida")</f>
        <v>Onde está o Fort Myers Florida localizado na Flórida</v>
      </c>
      <c r="F129" s="5" t="str">
        <f aca="false">IFERROR(__xludf.dummyfunction("GOOGLETRANSLATE(D129)")," A torre Eiffel ( / ˈaɪfəl ˈtaʊ. Ər / olho - fəl reboque - ər; francês: tour eiffel, pronunciado (tuʁ ‿ ɛfɛl) ouve) é uma torre de treliça de ferro forjado no Champ de Mars em Paris, França. Ele recebeu o nome do engenheiro Gustave Eiffel, cuja empresa pr"&amp;"ojetou e construiu a torre.")</f>
        <v> A torre Eiffel ( / ˈaɪfəl ˈtaʊ. Ər / olho - fəl reboque - ər; francês: tour eiffel, pronunciado (tuʁ ‿ ɛfɛl) ouve) é uma torre de treliça de ferro forjado no Champ de Mars em Paris, França. Ele recebeu o nome do engenheiro Gustave Eiffel, cuja empresa projetou e construiu a torre.</v>
      </c>
    </row>
    <row r="130" customFormat="false" ht="15.75" hidden="false" customHeight="true" outlineLevel="0" collapsed="false">
      <c r="A130" s="3" t="n">
        <v>127</v>
      </c>
      <c r="B130" s="5" t="s">
        <v>386</v>
      </c>
      <c r="C130" s="5" t="s">
        <v>387</v>
      </c>
      <c r="D130" s="5" t="s">
        <v>388</v>
      </c>
      <c r="E130" s="4" t="str">
        <f aca="false">IFERROR(__xludf.dummyfunction("GOOGLETRANSLATE(C131)"),"Qual é o nome do jovem amado por Salmacis")</f>
        <v>Qual é o nome do jovem amado por Salmacis</v>
      </c>
      <c r="F130" s="5" t="str">
        <f aca="false">IFERROR(__xludf.dummyfunction("GOOGLETRANSLATE(D130)"),"   Fort Myers, Florida City Sidney e Berne Davis Art Museum, no centro (s) de Fort Myers: `` `` City of Palms '', no Condado de Lee, na Flórida, no U.S. Census Bureau Mapa, mostrando limites da cidade coordenados: 26 ° 37 ′ n 81 ° 50 ′ W / 26.617 ° N 81,8"&amp;"33 ° W / 26.617; - 81.833 Coordenadas: 26 ° 37 ′ N 81 ° 50 ′ W / 26,617 ° N 81,833 ° W / 26.617; - 81.833 País Estado dos Estados Unidos Florida County Lee Fundou 24 de março de 1886 Conselho do Tipo do Governo - Gerente Prefeito Randy Henderson, Jr. Área"&amp;" Total de 48,97 mm2 (126,84 km) Terra 39,78 mm2 (103,02 km) Água 9,20 m² (23,82 km) Elevação 10 pés (3 m) População (2010) Total 62.298 estimativa (2016) 77.146 1,946946 / mq / mq / mq / mq / mq / mq / mq / mq / mq MI (Mist. / km) Fuso horário Eastern (ES"&amp;"T) (UTC - 5) Verão (DST) EDT (UTC - 4) Código (s) 33900 - 33999 Código (s) de área 239 Código 12 - 24125 GNIs ID do recurso 0282700 Site Cityftmyers. com")</f>
        <v>   Fort Myers, Florida City Sidney e Berne Davis Art Museum, no centro (s) de Fort Myers: `` `` City of Palms '', no Condado de Lee, na Flórida, no U.S. Census Bureau Mapa, mostrando limites da cidade coordenados: 26 ° 37 ′ n 81 ° 50 ′ W / 26.617 ° N 81,833 ° W / 26.617; - 81.833 Coordenadas: 26 ° 37 ′ N 81 ° 50 ′ W / 26,617 ° N 81,833 ° W / 26.617; - 81.833 País Estado dos Estados Unidos Florida County Lee Fundou 24 de março de 1886 Conselho do Tipo do Governo - Gerente Prefeito Randy Henderson, Jr. Área Total de 48,97 mm2 (126,84 km) Terra 39,78 mm2 (103,02 km) Água 9,20 m² (23,82 km) Elevação 10 pés (3 m) População (2010) Total 62.298 estimativa (2016) 77.146 1,946946 / mq / mq / mq / mq / mq / mq / mq / mq / mq MI (Mist. / km) Fuso horário Eastern (EST) (UTC - 5) Verão (DST) EDT (UTC - 4) Código (s) 33900 - 33999 Código (s) de área 239 Código 12 - 24125 GNIs ID do recurso 0282700 Site Cityftmyers. com</v>
      </c>
    </row>
    <row r="131" customFormat="false" ht="15.75" hidden="false" customHeight="true" outlineLevel="0" collapsed="false">
      <c r="A131" s="3" t="n">
        <v>128</v>
      </c>
      <c r="B131" s="5" t="s">
        <v>389</v>
      </c>
      <c r="C131" s="5" t="s">
        <v>390</v>
      </c>
      <c r="D131" s="5" t="s">
        <v>391</v>
      </c>
      <c r="E131" s="4" t="str">
        <f aca="false">IFERROR(__xludf.dummyfunction("GOOGLETRANSLATE(C132)"),"Quando é o próximo livro de magistério será lançado")</f>
        <v>Quando é o próximo livro de magistério será lançado</v>
      </c>
      <c r="F131" s="5" t="str">
        <f aca="false">IFERROR(__xludf.dummyfunction("GOOGLETRANSLATE(D131)")," Na mitologia grega, Hermafrodito ou Hermafroditos / Hərˌmæf. rəˈdaɪ. Təs / (ouça) (grego antigo: ἑρμαφρόδιτος) era filho de Afrodite e Hermes. Segundo Ovídio, ele nasceu um garoto notavelmente bonito com quem a ninfa de água Salmacis se apaixonou e orou "&amp;"para se unir para sempre. Um Deus, em resposta à sua oração, fundiu suas duas formas em uma e as transformou em uma forma andrógina. O nome dele é composto dos nomes de seus pais, Hermes e Afrodite. Ele era um dos Erotes.")</f>
        <v> Na mitologia grega, Hermafrodito ou Hermafroditos / Hərˌmæf. rəˈdaɪ. Təs / (ouça) (grego antigo: ἑρμαφρόδιτος) era filho de Afrodite e Hermes. Segundo Ovídio, ele nasceu um garoto notavelmente bonito com quem a ninfa de água Salmacis se apaixonou e orou para se unir para sempre. Um Deus, em resposta à sua oração, fundiu suas duas formas em uma e as transformou em uma forma andrógina. O nome dele é composto dos nomes de seus pais, Hermes e Afrodite. Ele era um dos Erotes.</v>
      </c>
    </row>
    <row r="132" customFormat="false" ht="15.75" hidden="false" customHeight="true" outlineLevel="0" collapsed="false">
      <c r="A132" s="3" t="n">
        <v>129</v>
      </c>
      <c r="B132" s="5" t="s">
        <v>392</v>
      </c>
      <c r="C132" s="5" t="s">
        <v>393</v>
      </c>
      <c r="D132" s="5" t="s">
        <v>394</v>
      </c>
      <c r="E132" s="4" t="str">
        <f aca="false">IFERROR(__xludf.dummyfunction("GOOGLETRANSLATE(C133)"),"que está se apresentando na cerimônia de abertura das Olimpíadas de 2018")</f>
        <v>que está se apresentando na cerimônia de abertura das Olimpíadas de 2018</v>
      </c>
      <c r="F132" s="5" t="str">
        <f aca="false">IFERROR(__xludf.dummyfunction("GOOGLETRANSLATE(D132)")," A máscara de prata (26 de outubro de 2017)")</f>
        <v> A máscara de prata (26 de outubro de 2017)</v>
      </c>
    </row>
    <row r="133" customFormat="false" ht="15.75" hidden="false" customHeight="true" outlineLevel="0" collapsed="false">
      <c r="A133" s="3" t="n">
        <v>130</v>
      </c>
      <c r="B133" s="5" t="s">
        <v>395</v>
      </c>
      <c r="C133" s="5" t="s">
        <v>396</v>
      </c>
      <c r="D133" s="5" t="s">
        <v>397</v>
      </c>
      <c r="E133" s="4" t="str">
        <f aca="false">IFERROR(__xludf.dummyfunction("GOOGLETRANSLATE(C134)"),"O que é uma trava de impasse em uma porta")</f>
        <v>O que é uma trava de impasse em uma porta</v>
      </c>
      <c r="F133" s="5" t="str">
        <f aca="false">IFERROR(__xludf.dummyfunction("GOOGLETRANSLATE(D133)"),"  Ha Hyun - Woo da banda Guckkasten, Ahn Ji - Jovem da dupla musical Bolbbalgan4, Lee Eun - Mi e Jeon In - Kwon com sua banda Deulgukhwa tocou e cantou John Lennon '' '`` imagine' na cerimônia de abertura. O coro das crianças do arco -íris executou um arr"&amp;"anjo, com instrumentos musicais tradicionais coreanos, do hino nacional, `` Aegukga ''. A música foi escrita para educar o público sobre várias etnias. A Insooni cantou a música tema do revezamento olímpico PyeongChang 2018, `` deixe todos brilharem ''.")</f>
        <v>  Ha Hyun - Woo da banda Guckkasten, Ahn Ji - Jovem da dupla musical Bolbbalgan4, Lee Eun - Mi e Jeon In - Kwon com sua banda Deulgukhwa tocou e cantou John Lennon '' '`` imagine' na cerimônia de abertura. O coro das crianças do arco -íris executou um arranjo, com instrumentos musicais tradicionais coreanos, do hino nacional, `` Aegukga ''. A música foi escrita para educar o público sobre várias etnias. A Insooni cantou a música tema do revezamento olímpico PyeongChang 2018, `` deixe todos brilharem ''.</v>
      </c>
    </row>
    <row r="134" customFormat="false" ht="15.75" hidden="false" customHeight="true" outlineLevel="0" collapsed="false">
      <c r="A134" s="3" t="n">
        <v>131</v>
      </c>
      <c r="B134" s="5" t="s">
        <v>398</v>
      </c>
      <c r="C134" s="5" t="s">
        <v>399</v>
      </c>
      <c r="D134" s="5" t="s">
        <v>400</v>
      </c>
      <c r="E134" s="4" t="str">
        <f aca="false">IFERROR(__xludf.dummyfunction("GOOGLETRANSLATE(C135)"),"que filme tem a música, não se esqueça de mim")</f>
        <v>que filme tem a música, não se esqueça de mim</v>
      </c>
      <c r="F134" s="5" t="str">
        <f aca="false">IFERROR(__xludf.dummyfunction("GOOGLETRANSLATE(D134)")," Um parafuso morto, a trava ou trava morta é um mecanismo de travamento distinto de uma trava de parafuso de mola porque um barro de imersão não pode ser movido para a posição aberta, exceto girando a chave. A trava do parafuso da mola mais comum usa uma "&amp;"mola para manter o parafuso no lugar, permitindo a retração aplicando força ao próprio parafuso. Um deadbolt pode, portanto, tornar uma porta mais resistente à entrada sem a chave correta.")</f>
        <v> Um parafuso morto, a trava ou trava morta é um mecanismo de travamento distinto de uma trava de parafuso de mola porque um barro de imersão não pode ser movido para a posição aberta, exceto girando a chave. A trava do parafuso da mola mais comum usa uma mola para manter o parafuso no lugar, permitindo a retração aplicando força ao próprio parafuso. Um deadbolt pode, portanto, tornar uma porta mais resistente à entrada sem a chave correta.</v>
      </c>
    </row>
    <row r="135" customFormat="false" ht="15.75" hidden="false" customHeight="true" outlineLevel="0" collapsed="false">
      <c r="A135" s="3" t="n">
        <v>132</v>
      </c>
      <c r="B135" s="5" t="s">
        <v>401</v>
      </c>
      <c r="C135" s="5" t="s">
        <v>402</v>
      </c>
      <c r="D135" s="5" t="s">
        <v>403</v>
      </c>
      <c r="E135" s="4" t="str">
        <f aca="false">IFERROR(__xludf.dummyfunction("GOOGLETRANSLATE(C136)"),"O desvio padrão de todos os valores possíveis é chamado")</f>
        <v>O desvio padrão de todos os valores possíveis é chamado</v>
      </c>
      <c r="F135" s="5" t="str">
        <f aca="false">IFERROR(__xludf.dummyfunction("GOOGLETRANSLATE(D135)")," `` Do não você (esqueça de mim) '' é uma música pop de 1985 tocada pela banda de rock escocesa Simple Minds. A música é mais conhecida por ser tocada durante os créditos de abertura e fechamento do filme de John Hughes, The Breakfast Club. Foi escrito e "&amp;"composto pelo produtor Keith Forsey e Steve Schiff, o último dos quais era guitarrista e compositor da banda de Nina Hagen.")</f>
        <v> `` Do não você (esqueça de mim) '' é uma música pop de 1985 tocada pela banda de rock escocesa Simple Minds. A música é mais conhecida por ser tocada durante os créditos de abertura e fechamento do filme de John Hughes, The Breakfast Club. Foi escrito e composto pelo produtor Keith Forsey e Steve Schiff, o último dos quais era guitarrista e compositor da banda de Nina Hagen.</v>
      </c>
    </row>
    <row r="136" customFormat="false" ht="15.75" hidden="false" customHeight="true" outlineLevel="0" collapsed="false">
      <c r="A136" s="3" t="n">
        <v>133</v>
      </c>
      <c r="B136" s="5" t="s">
        <v>404</v>
      </c>
      <c r="C136" s="5" t="s">
        <v>405</v>
      </c>
      <c r="D136" s="5" t="s">
        <v>406</v>
      </c>
      <c r="E136" s="4" t="str">
        <f aca="false">IFERROR(__xludf.dummyfunction("GOOGLETRANSLATE(C137)"),"Qual é a temperatura mais baixa já registrada em Vermont")</f>
        <v>Qual é a temperatura mais baixa já registrada em Vermont</v>
      </c>
      <c r="F136" s="5" t="str">
        <f aca="false">IFERROR(__xludf.dummyfunction("GOOGLETRANSLATE(D136)")," Além de expressar a variabilidade de uma população, o desvio padrão é comumente usado para medir a confiança nas conclusões estatísticas. Por exemplo, a margem de erro nos dados da pesquisa é determinada calculando o desvio padrão esperado nos resultados"&amp;" se a mesma pesquisa fosse conduzida várias vezes. Essa derivação de um desvio padrão é frequentemente chamada de `` erro padrão '' da estimativa ou `` erro padrão da média '' ao se referir a uma média. É calculado como o desvio padrão de todos os meios q"&amp;"ue seriam calculados a partir dessa população se um número infinito de amostras fosse desenhado e uma média para cada amostra fosse calculada. É muito importante observar que o desvio padrão de uma população e o erro padrão de uma estatística derivada des"&amp;"sa população (como a média) são bastante diferentes, mas relacionados (relacionados pelo inverso da raiz quadrada do número de observações) . A margem relatada de erro de uma pesquisa é calculada a partir do erro padrão da média (ou alternativamente do pr"&amp;"oduto do desvio padrão da população e do inverso da raiz quadrada do tamanho da amostra, o que é a mesma coisa) e é Normalmente, cerca do dobro do desvio padrão - a metade - largura de um intervalo de confiança de 95 %. Na ciência, os pesquisadores geralm"&amp;"ente relatam o desvio padrão de dados experimentais, e apenas efeitos que caem muito mais do que dois desvios padrão do que seria esperado são considerados estatisticamente significativos - erro aleatório normal ou variação nas medições é dessa maneira di"&amp;"stinguida de prováveis ​​efeitos ou associações genuínas. O desvio padrão também é importante em finanças, onde o desvio padrão na taxa de retorno de um investimento é uma medida da volatilidade do investimento.")</f>
        <v> Além de expressar a variabilidade de uma população, o desvio padrão é comumente usado para medir a confiança nas conclusões estatísticas. Por exemplo, a margem de erro nos dados da pesquisa é determinada calculando o desvio padrão esperado nos resultados se a mesma pesquisa fosse conduzida várias vezes. Essa derivação de um desvio padrão é frequentemente chamada de `` erro padrão '' da estimativa ou `` erro padrão da média '' ao se referir a uma média. É calculado como o desvio padrão de todos os meios que seriam calculados a partir dessa população se um número infinito de amostras fosse desenhado e uma média para cada amostra fosse calculada. É muito importante observar que o desvio padrão de uma população e o erro padrão de uma estatística derivada dessa população (como a média) são bastante diferentes, mas relacionados (relacionados pelo inverso da raiz quadrada do número de observações) . A margem relatada de erro de uma pesquisa é calculada a partir do erro padrão da média (ou alternativamente do produto do desvio padrão da população e do inverso da raiz quadrada do tamanho da amostra, o que é a mesma coisa) e é Normalmente, cerca do dobro do desvio padrão - a metade - largura de um intervalo de confiança de 95 %. Na ciência, os pesquisadores geralmente relatam o desvio padrão de dados experimentais, e apenas efeitos que caem muito mais do que dois desvios padrão do que seria esperado são considerados estatisticamente significativos - erro aleatório normal ou variação nas medições é dessa maneira distinguida de prováveis ​​efeitos ou associações genuínas. O desvio padrão também é importante em finanças, onde o desvio padrão na taxa de retorno de um investimento é uma medida da volatilidade do investimento.</v>
      </c>
    </row>
    <row r="137" customFormat="false" ht="15.75" hidden="false" customHeight="true" outlineLevel="0" collapsed="false">
      <c r="A137" s="3" t="n">
        <v>134</v>
      </c>
      <c r="B137" s="5" t="s">
        <v>407</v>
      </c>
      <c r="C137" s="5" t="s">
        <v>408</v>
      </c>
      <c r="D137" s="5" t="s">
        <v>409</v>
      </c>
      <c r="E137" s="4" t="str">
        <f aca="false">IFERROR(__xludf.dummyfunction("GOOGLETRANSLATE(C138)"),"Quando foi a última vez que o Monte Saint Helens explodiu")</f>
        <v>Quando foi a última vez que o Monte Saint Helens explodiu</v>
      </c>
      <c r="F137" s="5" t="str">
        <f aca="false">IFERROR(__xludf.dummyfunction("GOOGLETRANSLATE(D137)"),"   Estado recorde a data de alta temperatura local Registro de baixa temperatura Data (s) Alabama 110 ° F / 44 ° C 000000001925 - 09 - 05 - 0000 5 de setembro de 1925 Centerville - 27 ° F / - 33 ° C 000000001966 - 01 - 30 - 0000 30 de janeiro de 1966 Novo"&amp;" mercado Alasca 100 ° F / 38 ° C 000000001915 - 06 - 27 - 0000 27 de junho de 1915 Fort Yukon - 80 ° F / - 62 ° C 000000001971 - 01 - 23 - 0000 de janeiro Prospect Creek Arizona 128 ° F / 53 ° C 000000001994 - 06 - 29 - 0000 29 de junho de 1994 Lake Havas"&amp;"u City - 40 ° F / - 40 ° C 00000000001971 - 01 - 07 - 0000 7 de janeiro, 1971 McNary arkans 120 49 ° C 000000001936 - 08 - 10 - 0000 10 de agosto de 1936 Ozark - 29 ° F / - 34 ° C 000000001905 - 02 - 13 - 0000 13 de fevereiro, 1905 Gravette Califórnia 134"&amp;" ° F / 57 ° C 0000001913 - 0. 0000 10 de julho de 1913 Furnace Creek - 45 ° F / - 43 ° C 000000001937 - 01 - 20 - 0000 20 de janeiro de 1937 Boca Colorado 114 ° F / 46 ° C 000000001954 - 07 - 11 - 0000 julho, 1954 sedg. ° F / - 52 ° C 000000001985 - 02 - "&amp;"01 - 0000 1 de fevereiro de 1985 Maybell Connecticut 106 ° F / 41 ° C 000000001995 - 07 - 15 - 0000 15 de julho, 1995 Danbury - 37 ° F / − 38 ° C 00 02 - 16 - 0000 16 de fevereiro de 1943 Norfolk Delaware 110 ° F / 43 ° C 000000001930 - 07 - 21 - 0000 21 "&amp;"de julho de 1930 Millsboro - 17 ° F / - 27 ° C 0000001893 - 01 - 17 - 00 00 17, 1893 Distrito de Millsboro de Columbia 106 ° F / 41 ° C 000000001930 - 07 - 20 - 0000 20 de julho de 1930 Washington - 15 ° F / - 26 ° C 000000001899 - 02 - 11 - 0000 11 de fe"&amp;"vereiro de 1899 Washington Flora 109 ° F / 43 ° C 000000001931 - 06 - 29 - 0000 29 de junho de 1931 Monticello - 2 ° F / - 19 ° C 000000001899 - 02 - 13 - 0000 0000 0000, 1899 TaLahassee Georgia 112 ° / 44 ° C ° C 00. 20 de agosto de 1983 * Greenville - 1"&amp;"7 ° F / - 27 ° C 000000001940 - 01 - 27 - 0000 27 de janeiro de 1940 Chatsworth Hawaii 98 ° F / 37 ° C 000000001957 - 07 - 14 - 0000 14 de julho, 1957 punene * 15 ° F / - 9 ° C 000000001975 - 01 - 05 - 0000 5 de janeiro de 1975 Observadores de Mauna Kea I"&amp;"daho 118 ° F / 48 ° C 000000001934 - 07 - 28 - 0000 28 de julho de 1934 Orofino - 60 ° F / - 51 ° C 0000 28 de julho de 1934 - 01 - 18 - 0000 18 de janeiro de 1943 Island Park Illinois 117 ° F / 47 ° C 000000001954 - 07 - 14 - 0000 14 de julho de 1954 Sai"&amp;"nt Louis - 36 ° F / - 38 ° C 000000001999 - 01 - 05 - 0000 5 de janeiro de 1999 Congerville Indiana 116 ° F / 47 ° C 000000001936 - 07 - 14 - 0000 14 de julho de 1936 Collegeville - 36 ° F / - 38 ° C 00000000001994 - 01 - 19 - 0000 19, 1994 New Whiteland "&amp;"Iowa 118 ° F / 48 ° C 000000001934 - 07 - 20 - 0000 20 de julho de 1934 Keokuk - 47 ° F / - 44 ° C 000000001996 - 02 - 03 - 0000 3 de fevereiro de 1996 * Elkader Kansas 121 ° / 49 0000 - 24 - 0000 24 de julho de 1936 * Alton - 40 ° F / - 40 ° C 0000000019"&amp;"05 - 02 - 13 - 0000 13 de fevereiro de 1905 Líbano Kentucky 114 ° F / 46 ° C 000000001930 - 07 - 28 - 0000 28, 1930 GREENSBURG - 37 ° F / - 38 ° C 000000001994 - 01 - 19 - 0000 19 de janeiro de 1994 Shelbyville Louisiana 114 ° F / 46 ° C 000000001936 - 08"&amp;" - 10 - 0000 10, 1936 Plain Deleming - 16 ° ° C 000000001899 - 02 - 13 - 0000 13 de fevereiro de 1899 Minden Maine 105 ° F / 41 ° C 000000001911 - 07 - 10 - 0000 10 de julho de 1911 * Bridgton North - 50 ° F / - 46 ° C 000000002009 - - 0000 16 de janeiro "&amp;"de 2009 Clayton Lake Maryland 109 ° F / 43 ° C 000000001936 - 07 - 10 - 0000 10 de julho de 1936 * Cumberland - 40 ° F / - 40 ° C 000000001912 - 01 - 13 - 0000 Massachusetts 107 ° F / 42 ° C 000000001975 - 08 - 02 - 0000 2 de agosto de 1975 New Bedford - "&amp;"40 ° F / - 40 ° C 000000001984 - 01 - 22 - 0000 22 de janeiro, 1984 CHESTER MICHIGAN 112 ° F / 44 000000001936 - 07 - 13 - 0000 July 13 , 1936   Mio   − 51 ° F / − 46 ° C   000000001934 - 02 - 09 - 0000 February 9 , 1934   Vanderbilt     Minnesota   115 °"&amp;" F / 46 ° C   000000001917 - 07 - 29 - 0000 July 29 , 1917 Beardsley - 60 ° F / - 51 ° C 000000001996 - 02 - 02 - 0000 2 de fevereiro de 1996 Tower Mississippi 115 ° F / 46 ° C 000000001930 - 07 - 29 - 0000 29 de julho, 1930 Springs Holly 19 ° - 28 ° C 00"&amp;"0000001966 - 01 - 30 - 0000 30 de janeiro de 1966 Corinto Missouri 118 ° F / 48 ° C 000000001954 - 07 - 14 - 0000 14 de julho, 1954 * Varsóvia - 40 ° F / - 40 ° C 00000000190 - 13 - 0000 February 13 , 1905   Warsaw     Montana   117 ° F / 47 ° C   0000000"&amp;"01937 - 07 - 05 - 0000 July 5 , 1937   Medicine Lake   − 70 ° F / − 57 ° C   000000001954 - 01 - 20 - 0000 January 20 , 1954   Lincoln (Rogers Pass) Nebraska 118 ° F / 48 ° C 000000001936 - 07 - 24 - 0000 24 de julho de 1936 * Minden - 47 ° F / - 44 ° C 0"&amp;"00000001989 - 12 - 22 de dezembro 22, 1989 * Oshkosh Nevada 125 F / 52 ° C 000000001994 - 06 - 29 - 0000 29 de junho de 1994 Laughlin - 50 ° F / - 46 ° C 000000001937 - 01 - 08 - 0000 8 de janeiro de 1937 San Jacinto Hampshire 106 ° / 41 0000 07 - 04 - 00"&amp;"00 4 de julho de 1911 Nashua - 47 ° F / - 44 ° C 000000001885 - 01 - 22 - 0000 22 de janeiro de 1885 Randolph Nova Jersey 110 ° F / 43 ° C 000000001936 - 07 - 10 - 00 ° 1936 RUNYON - 34 ° F / - 37 ° C 000000001904 - 01 - 05 - 0000 5 de janeiro de 1904 Val"&amp;"e do rio Novo México 122 ° F / 50 ° C 000000001994 - 06 - 27 - 0000 27, 1994 Isolação de resíduos ° F / - 46 ° C 000000001951 - 02 - 01 - 0000 1 de fevereiro de 1951 Gavilan Nova York 109 ° F / 43 ° C 000000001926 - 07 - 22 - 0000 22, 1926 Troy - 52 ° F /"&amp;" − 47 ° ° C 00. - 02 - 18 - 0000 18 de fevereiro de 1979 * Old Forge Carolina do Norte 110 ° F / 43 ° C 000000001983 - 08 - 21 - 0000 21 de agosto de 1983 Fayetteville - 34 ° F / - 37 ° C 000000001985 - 01 - 21 - ° 00 21 de janeiro de 1985 Burnsville Dako"&amp;"ta do Norte 121 ° F / 49 ° C 000000001936 - 07 - 06 - 0000 6 de julho de 1936 Steele - 60 ° F / - 51 ° C 0000001936 - 02 - 15 - 0000 FEBREVERY 15, 1936, ohio. F / 45 ° C 000000001934 - 07 - 21 - 0000 21 de julho de 1934 Gallipolis - 39 ° F / - 39 ° C 0000"&amp;"001899 - 02 - 10 - 0000 10 de fevereiro, 1899 Miligan Oklahoma 120 ° / 49 0000 12 - 0000 12 de agosto de 1936 * Altus - 31 ° F / - 35 ° C 000000002011 - 02 - 10 - 0000 10 de fevereiro de 2011 Nowata Oregon 117 ° F / 47 ° C 000000001939 - 07 - 27 - 0000 ju"&amp;"lho, 1939 - 54 ° F / - 48 ° C 000000001933 - 02 - 10 - 0000 10 de fevereiro de 1933 * Seneca Pennsylvania 111 ° F / 44 ° C 00000000001936 - 07 - 10 ° F 10 de julho, 1936 * Phoenixville - 42 ° 00. ° C 000000001904 - 01 - 05 - 0000 5 de janeiro de 1904 SMET"&amp;"HPORT RHODE ILHA 104 ° F / 40 ° C 000000001975 - 08 - 02 - 0000 2 de agosto de 1975 Providence - 28 ° F / - 33 ° C 000000192 0000 17 de janeiro de 1942 Richmond Carolina do Sul 113 ° F / 45 ° C 000000002012 - 06 - 30 - 0000 30 de junho de 2012 * Camden - "&amp;"22 ° F / - 30 ° C 000000001985 - 01 - 21 - 0000 21 de janeiro, 1985 Landrum sul Dakota 120 ° F / 49 ° C 000000002006 - 07 - 15 - 0000 15 de julho de 2006 * Fort Pierre * - 58 ° F / - 50 ° C 000000001936 - 02 - 17 - 0000 17 de fevereiro, 1936 McINTOSHENESS"&amp;"EETEME ° C 000000001933 - 08 - 09 - 0000 9 de agosto de 1933 * PERRYVILLE - 32 ° F / - 36 ° C 000000001917 - 12 - 30 - 0000 30 de dezembro de 1917 Mountain City Texas 120 ° F / 49 ° C 00000019994 - 0000 28 de junho de 1994 * Monahans - 23 ° F / - 31 ° C 0"&amp;"00000001933 - 02 - 08 - 0000 8 de fevereiro de 1933 * Seminole Utah 117 ° F / 47 ° C 000000001985 - 07 - 05 - 0000 George - 69 ° F / - 46 ° C 000000001985 - 02 - 01 - 0000 1 de fevereiro de 1985 Peter afunda Vermont 105 ° F / 41 ° C 000000001911 - 07 - 04"&amp;" - 0000 4 de julho, 1911 Vernon - 50 ° ° C 000000001933 - 12 - 30 - 0000 30 de dezembro de 1933 Bloomfield Virginia 110 ° F / 43 ° C 000000001954 - 07 - 15 - 0000 15 de julho de 1954 Balcony Falls - 30 ° F / - 34 ° C 0000001985 -1 0000 22 de janeiro de 19"&amp;"85 Pembroke Washington 118 ° F / 48 ° C 000000001961 - 08 - 05 - 0000 5 de agosto de 1961 * Burbank - 48 ° F / - 44 ° C ° C 000000001968 - 12 - 30 - 0000 de dezembro, 1968 Maza 112 ° F / 44 ° C 000000001936 - 07 - 10 - 0000 10 de julho de 1936 * Martinsbu"&amp;"rg - 37 ° F / - 38 ° C 00000000001917 - 12 - 30 - 0000 30 de dezembro de 1917 CEWISBURGO WISCONSIN 114 ° F / 46 - 07 - 13 - 0000 13 de julho de 1936 Wisconsin dells - 55 ° F / - 48 ° C 000000001996 - 02 - 04 - 0000 4 de fevereiro de 1996 Couderay Wyoming "&amp;"115 ° F / 46 ° C 0000001983 - 08 , 1983 Bacia - 63 ° F / - 53 ° C 000000001933 - 02 - 09 - 0000 9 de fevereiro de 1933 Moran")</f>
        <v>   Estado recorde a data de alta temperatura local Registro de baixa temperatura Data (s) Alabama 110 ° F / 44 ° C 000000001925 - 09 - 05 - 0000 5 de setembro de 1925 Centerville - 27 ° F / - 33 ° C 000000001966 - 01 - 30 - 0000 30 de janeiro de 1966 Novo mercado Alasca 100 ° F / 38 ° C 000000001915 - 06 - 27 - 0000 27 de junho de 1915 Fort Yukon - 80 ° F / - 62 ° C 000000001971 - 01 - 23 - 0000 de janeiro Prospect Creek Arizona 128 ° F / 53 ° C 000000001994 - 06 - 29 - 0000 29 de junho de 1994 Lake Havasu City - 40 ° F / - 40 ° C 00000000001971 - 01 - 07 - 0000 7 de janeiro, 1971 McNary arkans 120 49 ° C 000000001936 - 08 - 10 - 0000 10 de agosto de 1936 Ozark - 29 ° F / - 34 ° C 000000001905 - 02 - 13 - 0000 13 de fevereiro, 1905 Gravette Califórnia 134 ° F / 57 ° C 0000001913 - 0. 0000 10 de julho de 1913 Furnace Creek - 45 ° F / - 43 ° C 000000001937 - 01 - 20 - 0000 20 de janeiro de 1937 Boca Colorado 114 ° F / 46 ° C 000000001954 - 07 - 11 - 0000 julho, 1954 sedg. ° F / - 52 ° C 000000001985 - 02 - 01 - 0000 1 de fevereiro de 1985 Maybell Connecticut 106 ° F / 41 ° C 000000001995 - 07 - 15 - 0000 15 de julho, 1995 Danbury - 37 ° F / − 38 ° C 00 02 - 16 - 0000 16 de fevereiro de 1943 Norfolk Delaware 110 ° F / 43 ° C 000000001930 - 07 - 21 - 0000 21 de julho de 1930 Millsboro - 17 ° F / - 27 ° C 0000001893 - 01 - 17 - 00 00 17, 1893 Distrito de Millsboro de Columbia 106 ° F / 41 ° C 000000001930 - 07 - 20 - 0000 20 de julho de 1930 Washington - 15 ° F / - 26 ° C 000000001899 - 02 - 11 - 0000 11 de fevereiro de 1899 Washington Flora 109 ° F / 43 ° C 000000001931 - 06 - 29 - 0000 29 de junho de 1931 Monticello - 2 ° F / - 19 ° C 000000001899 - 02 - 13 - 0000 0000 0000, 1899 TaLahassee Georgia 112 ° / 44 ° C ° C 00. 20 de agosto de 1983 * Greenville - 17 ° F / - 27 ° C 000000001940 - 01 - 27 - 0000 27 de janeiro de 1940 Chatsworth Hawaii 98 ° F / 37 ° C 000000001957 - 07 - 14 - 0000 14 de julho, 1957 punene * 15 ° F / - 9 ° C 000000001975 - 01 - 05 - 0000 5 de janeiro de 1975 Observadores de Mauna Kea Idaho 118 ° F / 48 ° C 000000001934 - 07 - 28 - 0000 28 de julho de 1934 Orofino - 60 ° F / - 51 ° C 0000 28 de julho de 1934 - 01 - 18 - 0000 18 de janeiro de 1943 Island Park Illinois 117 ° F / 47 ° C 000000001954 - 07 - 14 - 0000 14 de julho de 1954 Saint Louis - 36 ° F / - 38 ° C 000000001999 - 01 - 05 - 0000 5 de janeiro de 1999 Congerville Indiana 116 ° F / 47 ° C 000000001936 - 07 - 14 - 0000 14 de julho de 1936 Collegeville - 36 ° F / - 38 ° C 00000000001994 - 01 - 19 - 0000 19, 1994 New Whiteland Iowa 118 ° F / 48 ° C 000000001934 - 07 - 20 - 0000 20 de julho de 1934 Keokuk - 47 ° F / - 44 ° C 000000001996 - 02 - 03 - 0000 3 de fevereiro de 1996 * Elkader Kansas 121 ° / 49 0000 - 24 - 0000 24 de julho de 1936 * Alton - 40 ° F / - 40 ° C 000000001905 - 02 - 13 - 0000 13 de fevereiro de 1905 Líbano Kentucky 114 ° F / 46 ° C 000000001930 - 07 - 28 - 0000 28, 1930 GREENSBURG - 37 ° F / - 38 ° C 000000001994 - 01 - 19 - 0000 19 de janeiro de 1994 Shelbyville Louisiana 114 ° F / 46 ° C 000000001936 - 08 - 10 - 0000 10, 1936 Plain Deleming - 16 ° ° C 000000001899 - 02 - 13 - 0000 13 de fevereiro de 1899 Minden Maine 105 ° F / 41 ° C 000000001911 - 07 - 10 - 0000 10 de julho de 1911 * Bridgton North - 50 ° F / - 46 ° C 000000002009 - - 0000 16 de janeiro de 2009 Clayton Lake Maryland 109 ° F / 43 ° C 000000001936 - 07 - 10 - 0000 10 de julho de 1936 * Cumberland - 40 ° F / - 40 ° C 000000001912 - 01 - 13 - 0000 Massachusetts 107 ° F / 42 ° C 000000001975 - 08 - 02 - 0000 2 de agosto de 1975 New Bedford - 40 ° F / - 40 ° C 000000001984 - 01 - 22 - 0000 22 de janeiro, 1984 CHESTER MICHIGAN 112 ° F / 44 000000001936 - 07 - 13 - 0000 July 13 , 1936   Mio   − 51 ° F / − 46 ° C   000000001934 - 02 - 09 - 0000 February 9 , 1934   Vanderbilt     Minnesota   115 ° F / 46 ° C   000000001917 - 07 - 29 - 0000 July 29 , 1917 Beardsley - 60 ° F / - 51 ° C 000000001996 - 02 - 02 - 0000 2 de fevereiro de 1996 Tower Mississippi 115 ° F / 46 ° C 000000001930 - 07 - 29 - 0000 29 de julho, 1930 Springs Holly 19 ° - 28 ° C 000000001966 - 01 - 30 - 0000 30 de janeiro de 1966 Corinto Missouri 118 ° F / 48 ° C 000000001954 - 07 - 14 - 0000 14 de julho, 1954 * Varsóvia - 40 ° F / - 40 ° C 00000000190 - 13 - 0000 February 13 , 1905   Warsaw     Montana   117 ° F / 47 ° C   000000001937 - 07 - 05 - 0000 July 5 , 1937   Medicine Lake   − 70 ° F / − 57 ° C   000000001954 - 01 - 20 - 0000 January 20 , 1954   Lincoln (Rogers Pass) Nebraska 118 ° F / 48 ° C 000000001936 - 07 - 24 - 0000 24 de julho de 1936 * Minden - 47 ° F / - 44 ° C 000000001989 - 12 - 22 de dezembro 22, 1989 * Oshkosh Nevada 125 F / 52 ° C 000000001994 - 06 - 29 - 0000 29 de junho de 1994 Laughlin - 50 ° F / - 46 ° C 000000001937 - 01 - 08 - 0000 8 de janeiro de 1937 San Jacinto Hampshire 106 ° / 41 0000 07 - 04 - 0000 4 de julho de 1911 Nashua - 47 ° F / - 44 ° C 000000001885 - 01 - 22 - 0000 22 de janeiro de 1885 Randolph Nova Jersey 110 ° F / 43 ° C 000000001936 - 07 - 10 - 00 ° 1936 RUNYON - 34 ° F / - 37 ° C 000000001904 - 01 - 05 - 0000 5 de janeiro de 1904 Vale do rio Novo México 122 ° F / 50 ° C 000000001994 - 06 - 27 - 0000 27, 1994 Isolação de resíduos ° F / - 46 ° C 000000001951 - 02 - 01 - 0000 1 de fevereiro de 1951 Gavilan Nova York 109 ° F / 43 ° C 000000001926 - 07 - 22 - 0000 22, 1926 Troy - 52 ° F / − 47 ° ° C 00. - 02 - 18 - 0000 18 de fevereiro de 1979 * Old Forge Carolina do Norte 110 ° F / 43 ° C 000000001983 - 08 - 21 - 0000 21 de agosto de 1983 Fayetteville - 34 ° F / - 37 ° C 000000001985 - 01 - 21 - ° 00 21 de janeiro de 1985 Burnsville Dakota do Norte 121 ° F / 49 ° C 000000001936 - 07 - 06 - 0000 6 de julho de 1936 Steele - 60 ° F / - 51 ° C 0000001936 - 02 - 15 - 0000 FEBREVERY 15, 1936, ohio. F / 45 ° C 000000001934 - 07 - 21 - 0000 21 de julho de 1934 Gallipolis - 39 ° F / - 39 ° C 0000001899 - 02 - 10 - 0000 10 de fevereiro, 1899 Miligan Oklahoma 120 ° / 49 0000 12 - 0000 12 de agosto de 1936 * Altus - 31 ° F / - 35 ° C 000000002011 - 02 - 10 - 0000 10 de fevereiro de 2011 Nowata Oregon 117 ° F / 47 ° C 000000001939 - 07 - 27 - 0000 julho, 1939 - 54 ° F / - 48 ° C 000000001933 - 02 - 10 - 0000 10 de fevereiro de 1933 * Seneca Pennsylvania 111 ° F / 44 ° C 00000000001936 - 07 - 10 ° F 10 de julho, 1936 * Phoenixville - 42 ° 00. ° C 000000001904 - 01 - 05 - 0000 5 de janeiro de 1904 SMETHPORT RHODE ILHA 104 ° F / 40 ° C 000000001975 - 08 - 02 - 0000 2 de agosto de 1975 Providence - 28 ° F / - 33 ° C 000000192 0000 17 de janeiro de 1942 Richmond Carolina do Sul 113 ° F / 45 ° C 000000002012 - 06 - 30 - 0000 30 de junho de 2012 * Camden - 22 ° F / - 30 ° C 000000001985 - 01 - 21 - 0000 21 de janeiro, 1985 Landrum sul Dakota 120 ° F / 49 ° C 000000002006 - 07 - 15 - 0000 15 de julho de 2006 * Fort Pierre * - 58 ° F / - 50 ° C 000000001936 - 02 - 17 - 0000 17 de fevereiro, 1936 McINTOSHENESSEETEME ° C 000000001933 - 08 - 09 - 0000 9 de agosto de 1933 * PERRYVILLE - 32 ° F / - 36 ° C 000000001917 - 12 - 30 - 0000 30 de dezembro de 1917 Mountain City Texas 120 ° F / 49 ° C 00000019994 - 0000 28 de junho de 1994 * Monahans - 23 ° F / - 31 ° C 000000001933 - 02 - 08 - 0000 8 de fevereiro de 1933 * Seminole Utah 117 ° F / 47 ° C 000000001985 - 07 - 05 - 0000 George - 69 ° F / - 46 ° C 000000001985 - 02 - 01 - 0000 1 de fevereiro de 1985 Peter afunda Vermont 105 ° F / 41 ° C 000000001911 - 07 - 04 - 0000 4 de julho, 1911 Vernon - 50 ° ° C 000000001933 - 12 - 30 - 0000 30 de dezembro de 1933 Bloomfield Virginia 110 ° F / 43 ° C 000000001954 - 07 - 15 - 0000 15 de julho de 1954 Balcony Falls - 30 ° F / - 34 ° C 0000001985 -1 0000 22 de janeiro de 1985 Pembroke Washington 118 ° F / 48 ° C 000000001961 - 08 - 05 - 0000 5 de agosto de 1961 * Burbank - 48 ° F / - 44 ° C ° C 000000001968 - 12 - 30 - 0000 de dezembro, 1968 Maza 112 ° F / 44 ° C 000000001936 - 07 - 10 - 0000 10 de julho de 1936 * Martinsburg - 37 ° F / - 38 ° C 00000000001917 - 12 - 30 - 0000 30 de dezembro de 1917 CEWISBURGO WISCONSIN 114 ° F / 46 - 07 - 13 - 0000 13 de julho de 1936 Wisconsin dells - 55 ° F / - 48 ° C 000000001996 - 02 - 04 - 0000 4 de fevereiro de 1996 Couderay Wyoming 115 ° F / 46 ° C 0000001983 - 08 , 1983 Bacia - 63 ° F / - 53 ° C 000000001933 - 02 - 09 - 0000 9 de fevereiro de 1933 Moran</v>
      </c>
    </row>
    <row r="138" customFormat="false" ht="15.75" hidden="false" customHeight="true" outlineLevel="0" collapsed="false">
      <c r="A138" s="3" t="n">
        <v>135</v>
      </c>
      <c r="B138" s="5" t="s">
        <v>410</v>
      </c>
      <c r="C138" s="5" t="s">
        <v>411</v>
      </c>
      <c r="D138" s="5" t="s">
        <v>412</v>
      </c>
      <c r="E138" s="4" t="str">
        <f aca="false">IFERROR(__xludf.dummyfunction("GOOGLETRANSLATE(C139)"),"Quantas 7 elevens estão no mundo")</f>
        <v>Quantas 7 elevens estão no mundo</v>
      </c>
      <c r="F138" s="5" t="str">
        <f aca="false">IFERROR(__xludf.dummyfunction("GOOGLETRANSLATE(D138)")," Em 18 de maio de 1980, ocorreu uma grande erupção vulcânica em Mount St. Helens, um vulcão localizado no condado de Skamania, no estado de Washington. A erupção (um evento VEI 5) foi a erupção vulcânica mais significativa que ocorre nos 48 estados contíg"&amp;"uos dos EUA desde a erupção muito menor de 1915 do Lassen Peak na Califórnia. Muitas vezes foi declarado como a erupção vulcânica mais desastrosa da história dos EUA. A erupção foi precedida por uma série de dois meses de terremotos e episódios de ventila"&amp;"ção a vapor, causados ​​por uma injeção de magma a profundidade rasa abaixo do vulcão que criou uma grande protuberância e um sistema de fratura na encosta norte da montanha.")</f>
        <v> Em 18 de maio de 1980, ocorreu uma grande erupção vulcânica em Mount St. Helens, um vulcão localizado no condado de Skamania, no estado de Washington. A erupção (um evento VEI 5) foi a erupção vulcânica mais significativa que ocorre nos 48 estados contíguos dos EUA desde a erupção muito menor de 1915 do Lassen Peak na Califórnia. Muitas vezes foi declarado como a erupção vulcânica mais desastrosa da história dos EUA. A erupção foi precedida por uma série de dois meses de terremotos e episódios de ventilação a vapor, causados ​​por uma injeção de magma a profundidade rasa abaixo do vulcão que criou uma grande protuberância e um sistema de fratura na encosta norte da montanha.</v>
      </c>
    </row>
    <row r="139" customFormat="false" ht="15.75" hidden="false" customHeight="true" outlineLevel="0" collapsed="false">
      <c r="A139" s="3" t="n">
        <v>136</v>
      </c>
      <c r="B139" s="5" t="s">
        <v>413</v>
      </c>
      <c r="C139" s="5" t="s">
        <v>414</v>
      </c>
      <c r="D139" s="5" t="s">
        <v>415</v>
      </c>
      <c r="E139" s="4" t="str">
        <f aca="false">IFERROR(__xludf.dummyfunction("GOOGLETRANSLATE(C140)"),"Quando Booth e Brennan se tornam um casal")</f>
        <v>Quando Booth e Brennan se tornam um casal</v>
      </c>
      <c r="F139" s="5" t="str">
        <f aca="false">IFERROR(__xludf.dummyfunction("GOOGLETRANSLATE(D139)")," 7 - Onze Inc. é uma cadeia internacional americana japonesa de lojas de conveniência, com sede em Dallas, Texas. A cadeia era conhecida como Tote 'M Stores até ser renomeada em 1946. Sua empresa controladora, Seven - Eleven Japan Co., Ltd., opera, franqu"&amp;"ias e licenças 66.579 lojas em 17 países em 30 de junho de 2018. Sete - Onze O Japão está sediado em Chiyoda, Tóquio e mantido pelo Seven &amp; I Holdings Co.")</f>
        <v> 7 - Onze Inc. é uma cadeia internacional americana japonesa de lojas de conveniência, com sede em Dallas, Texas. A cadeia era conhecida como Tote 'M Stores até ser renomeada em 1946. Sua empresa controladora, Seven - Eleven Japan Co., Ltd., opera, franquias e licenças 66.579 lojas em 17 países em 30 de junho de 2018. Sete - Onze O Japão está sediado em Chiyoda, Tóquio e mantido pelo Seven &amp; I Holdings Co.</v>
      </c>
    </row>
    <row r="140" customFormat="false" ht="15.75" hidden="false" customHeight="true" outlineLevel="0" collapsed="false">
      <c r="A140" s="3" t="n">
        <v>137</v>
      </c>
      <c r="B140" s="5" t="s">
        <v>194</v>
      </c>
      <c r="C140" s="5" t="s">
        <v>416</v>
      </c>
      <c r="D140" s="5" t="s">
        <v>417</v>
      </c>
      <c r="E140" s="4" t="str">
        <f aca="false">IFERROR(__xludf.dummyfunction("GOOGLETRANSLATE(C141)"),"Quem cantou Nice One Cyril, bom filho")</f>
        <v>Quem cantou Nice One Cyril, bom filho</v>
      </c>
      <c r="F140" s="5" t="str">
        <f aca="false">IFERROR(__xludf.dummyfunction("GOOGLETRANSLATE(D140)")," No início da 7ª temporada, Brennan e Booth muito grávidas são um casal, mas estão indo e voltando entre os apartamentos. Booth sugere que eles tenham seu próprio lugar, enquanto Brennan quer que Booth se mude para o apartamento dela. Isso causa uma peque"&amp;"na brecha entre eles, mas é resolvida quando Booth admite por que ele quer se mudar para uma nova casa e Brennan tendo algum tempo para pensar sobre isso diz que é uma boa ideia porque ela precisa dele praticamente, emocional e sexualmente. No episódio 6,"&amp;" `` The Crack in the Code ', eles decidem comprar uma casa de dois andares nos subúrbios - que eles chamavam de brincadeira de `` The Mighty Hut' ' - que o estande encontrou em um leilão policial e reformado Ele (de acordo com um cheque enviado enviado a "&amp;"Brennan em `` The Heires in the Hill '', na 9ª temporada, o endereço `` Mighty Hut '' é `` 1297 Janus Street, Washington DC, 20002 '') . No episódio 7, `` O prisioneiro no cachimbo '', Brennan entra em trabalho de parto dentro de uma prisão assim que desc"&amp;"obre quem matou em um preso lá e Booth a apressa com a intenção de levá -la ao hospital mais próximo, mas ambos Saiba que ela não chegará a tempo. Isso os leva a dirigir para uma pousada perto da prisão. A princípio, eles são rejeitados e são instruídos a"&amp;" sair, mas depois de alguns suplicantes desesperados de um Brennan agonizado, os dois são levados a uma barraca onde ela dá à luz sua filha, Christine Angela Booth (nomeada após a mãe da temperança, Christine Brennan e a melhor amiga de Temperance, Angela"&amp;" Montenegro). Algum tempo após o parto, Temperança e Seeley voltam para sua casa, onde comemoram com seus amigos do Jeffersonian, que trouxe jantares que duram algumas noites e alguns suprimentos para bebês. Em `` o passado no presente '', Brennan se torn"&amp;"a o principal suspeito do assassinato de seu amigo esquizofrênico, Ethan Sawyer, depois de supostamente ameaçar matar Christine. Max aconselha Brennan a sair da grade e se esconder, mas ela e Booth não acompanham essa sugestão. No entanto, no final do epi"&amp;"sódio, depois que Christine é batizada em uma Igreja Católica, é revelado que Brennan decidiu seguir o conselho de seu pai e fugir com a filha até que o nome dela seja liberado. Pouco antes de Brennan foge da cidade com Christine, ela diz a Booth que o am"&amp;"a e não apenas por causa da filha deles. Depois que ela é liberada do assassinato de Sawyer, Brennan, Booth e Christine retomam sua vida familiar.")</f>
        <v> No início da 7ª temporada, Brennan e Booth muito grávidas são um casal, mas estão indo e voltando entre os apartamentos. Booth sugere que eles tenham seu próprio lugar, enquanto Brennan quer que Booth se mude para o apartamento dela. Isso causa uma pequena brecha entre eles, mas é resolvida quando Booth admite por que ele quer se mudar para uma nova casa e Brennan tendo algum tempo para pensar sobre isso diz que é uma boa ideia porque ela precisa dele praticamente, emocional e sexualmente. No episódio 6, `` The Crack in the Code ', eles decidem comprar uma casa de dois andares nos subúrbios - que eles chamavam de brincadeira de `` The Mighty Hut' ' - que o estande encontrou em um leilão policial e reformado Ele (de acordo com um cheque enviado enviado a Brennan em `` The Heires in the Hill '', na 9ª temporada, o endereço `` Mighty Hut '' é `` 1297 Janus Street, Washington DC, 20002 '') . No episódio 7, `` O prisioneiro no cachimbo '', Brennan entra em trabalho de parto dentro de uma prisão assim que descobre quem matou em um preso lá e Booth a apressa com a intenção de levá -la ao hospital mais próximo, mas ambos Saiba que ela não chegará a tempo. Isso os leva a dirigir para uma pousada perto da prisão. A princípio, eles são rejeitados e são instruídos a sair, mas depois de alguns suplicantes desesperados de um Brennan agonizado, os dois são levados a uma barraca onde ela dá à luz sua filha, Christine Angela Booth (nomeada após a mãe da temperança, Christine Brennan e a melhor amiga de Temperance, Angela Montenegro). Algum tempo após o parto, Temperança e Seeley voltam para sua casa, onde comemoram com seus amigos do Jeffersonian, que trouxe jantares que duram algumas noites e alguns suprimentos para bebês. Em `` o passado no presente '', Brennan se torna o principal suspeito do assassinato de seu amigo esquizofrênico, Ethan Sawyer, depois de supostamente ameaçar matar Christine. Max aconselha Brennan a sair da grade e se esconder, mas ela e Booth não acompanham essa sugestão. No entanto, no final do episódio, depois que Christine é batizada em uma Igreja Católica, é revelado que Brennan decidiu seguir o conselho de seu pai e fugir com a filha até que o nome dela seja liberado. Pouco antes de Brennan foge da cidade com Christine, ela diz a Booth que o ama e não apenas por causa da filha deles. Depois que ela é liberada do assassinato de Sawyer, Brennan, Booth e Christine retomam sua vida familiar.</v>
      </c>
    </row>
    <row r="141" customFormat="false" ht="15.75" hidden="false" customHeight="true" outlineLevel="0" collapsed="false">
      <c r="A141" s="3" t="n">
        <v>138</v>
      </c>
      <c r="B141" s="5" t="s">
        <v>418</v>
      </c>
      <c r="C141" s="5" t="s">
        <v>419</v>
      </c>
      <c r="D141" s="5" t="s">
        <v>420</v>
      </c>
      <c r="E141" s="4" t="str">
        <f aca="false">IFERROR(__xludf.dummyfunction("GOOGLETRANSLATE(C142)"),"quem cantou vinho tinto vermelho nos anos 80")</f>
        <v>quem cantou vinho tinto vermelho nos anos 80</v>
      </c>
      <c r="F141" s="5" t="str">
        <f aca="false">IFERROR(__xludf.dummyfunction("GOOGLETRANSLATE(D141)")," `` Nice One Cyril '' é um único coro de cockerel escrito por Harold Spiro e Helen Clarke. O título da música é uma referência a Cyril Knowles, um lateral esquerdo que tocou no Tottenham Hotspur. Foi lançado antes da final da Copa da Liga de Futebol de 19"&amp;"73, onde o Tottenham interpretou Norwich City. Chegou ao 14º lugar na parada britânica depois que o Tottenham venceu, e seus escritores Spiro e Clarke receberam um Prêmio Ivor Novello de Melhor Romance ou Canção Unida em 1974.")</f>
        <v> `` Nice One Cyril '' é um único coro de cockerel escrito por Harold Spiro e Helen Clarke. O título da música é uma referência a Cyril Knowles, um lateral esquerdo que tocou no Tottenham Hotspur. Foi lançado antes da final da Copa da Liga de Futebol de 1973, onde o Tottenham interpretou Norwich City. Chegou ao 14º lugar na parada britânica depois que o Tottenham venceu, e seus escritores Spiro e Clarke receberam um Prêmio Ivor Novello de Melhor Romance ou Canção Unida em 1974.</v>
      </c>
    </row>
    <row r="142" customFormat="false" ht="15.75" hidden="false" customHeight="true" outlineLevel="0" collapsed="false">
      <c r="A142" s="3" t="n">
        <v>139</v>
      </c>
      <c r="B142" s="5" t="s">
        <v>421</v>
      </c>
      <c r="C142" s="5" t="s">
        <v>422</v>
      </c>
      <c r="D142" s="5" t="s">
        <v>423</v>
      </c>
      <c r="E142" s="4" t="str">
        <f aca="false">IFERROR(__xludf.dummyfunction("GOOGLETRANSLATE(C143)"),"Quanto tempo você pode gravar em uma fita cassete")</f>
        <v>Quanto tempo você pode gravar em uma fita cassete</v>
      </c>
      <c r="F142" s="5" t="str">
        <f aca="false">IFERROR(__xludf.dummyfunction("GOOGLETRANSLATE(D142)")," `` Red Red Wine '' é uma música originalmente escrita, tocada e gravada pelo cantor americano Neil Diamond em 1967. Está incluído no segundo álbum de estúdio de Neil, Just For You. As letras são cantadas da perspectiva de uma pessoa que descobre que bebe"&amp;"r vinho tinto é a única maneira de esquecer seus problemas.")</f>
        <v> `` Red Red Wine '' é uma música originalmente escrita, tocada e gravada pelo cantor americano Neil Diamond em 1967. Está incluído no segundo álbum de estúdio de Neil, Just For You. As letras são cantadas da perspectiva de uma pessoa que descobre que beber vinho tinto é a única maneira de esquecer seus problemas.</v>
      </c>
    </row>
    <row r="143" customFormat="false" ht="15.75" hidden="false" customHeight="true" outlineLevel="0" collapsed="false">
      <c r="A143" s="3" t="n">
        <v>140</v>
      </c>
      <c r="B143" s="5" t="s">
        <v>424</v>
      </c>
      <c r="C143" s="5" t="s">
        <v>425</v>
      </c>
      <c r="D143" s="5" t="s">
        <v>426</v>
      </c>
      <c r="E143" s="4" t="str">
        <f aca="false">IFERROR(__xludf.dummyfunction("GOOGLETRANSLATE(C144)"),"O termo Muckraker tem sido usado para descrever autores cujos escritos lidam principalmente com")</f>
        <v>O termo Muckraker tem sido usado para descrever autores cujos escritos lidam principalmente com</v>
      </c>
      <c r="F143" s="5" t="str">
        <f aca="false">IFERROR(__xludf.dummyfunction("GOOGLETRANSLATE(D143)")," O comprimento da fita geralmente é medido em minutos do tempo total de jogo. As variedades mais populares são C46 (23 minutos de cada lado), C60 (30 minutos de cada lado), C90 e C120. Os comprimentos de C46 e C60 normalmente têm 15 a 16 micrômetros (0,59"&amp;" a 0,63 mils) de espessura, mas os C90s são de 10 a 11 μm (0,39 a 0,43 mils) e (o menos comuns) tem apenas 9 μm (0,35 mils), a render eles mais suscetíveis ao alongamento ou quebra. A BASF declarou o C60 com 88 metros (289 pés). Alguns fornecedores são ma"&amp;"is generosos que outros, fornecendo 132 ou 135 metros (433 ou 443 pés) em vez de 129 metros (423 pés) de fita para uma fita C90. Até as fitas C180 estavam disponíveis ao mesmo tempo, mas essas eram extremamente finas e frágeis e sofriam de efeitos como a "&amp;"impressão - o que os tornava inadequados para uso geral. O comprimento de 150 minutos ainda está disponível em Maxell (UR 150), Sony (CDIXI 150) e TDK (TDK AE 150).")</f>
        <v> O comprimento da fita geralmente é medido em minutos do tempo total de jogo. As variedades mais populares são C46 (23 minutos de cada lado), C60 (30 minutos de cada lado), C90 e C120. Os comprimentos de C46 e C60 normalmente têm 15 a 16 micrômetros (0,59 a 0,63 mils) de espessura, mas os C90s são de 10 a 11 μm (0,39 a 0,43 mils) e (o menos comuns) tem apenas 9 μm (0,35 mils), a render eles mais suscetíveis ao alongamento ou quebra. A BASF declarou o C60 com 88 metros (289 pés). Alguns fornecedores são mais generosos que outros, fornecendo 132 ou 135 metros (433 ou 443 pés) em vez de 129 metros (423 pés) de fita para uma fita C90. Até as fitas C180 estavam disponíveis ao mesmo tempo, mas essas eram extremamente finas e frágeis e sofriam de efeitos como a impressão - o que os tornava inadequados para uso geral. O comprimento de 150 minutos ainda está disponível em Maxell (UR 150), Sony (CDIXI 150) e TDK (TDK AE 150).</v>
      </c>
    </row>
    <row r="144" customFormat="false" ht="15.75" hidden="false" customHeight="true" outlineLevel="0" collapsed="false">
      <c r="A144" s="3" t="n">
        <v>141</v>
      </c>
      <c r="B144" s="5" t="s">
        <v>427</v>
      </c>
      <c r="C144" s="5" t="s">
        <v>428</v>
      </c>
      <c r="D144" s="5" t="s">
        <v>429</v>
      </c>
      <c r="E144" s="4" t="str">
        <f aca="false">IFERROR(__xludf.dummyfunction("GOOGLETRANSLATE(C145)"),"Quem escreveu a Carol de Natal, você ouve o que eu ouve")</f>
        <v>Quem escreveu a Carol de Natal, você ouve o que eu ouve</v>
      </c>
      <c r="F144" s="5" t="str">
        <f aca="false">IFERROR(__xludf.dummyfunction("GOOGLETRANSLATE(D144)")," O termo Muckraker foi usado na era progressista para caracterizar os jornalistas americanos de mente - que atacaram instituições e líderes estabelecidos como corruptos. Eles normalmente tinham grandes públicos em algumas revistas populares. Nos EUA, o te"&amp;"rmo moderno é o jornalismo investigativo - possui conotações diferentes e mais pejorativas no inglês britânico - e jornalistas investigativos nos EUA hoje são frequentemente chamados de 'Muckrakers'.")</f>
        <v> O termo Muckraker foi usado na era progressista para caracterizar os jornalistas americanos de mente - que atacaram instituições e líderes estabelecidos como corruptos. Eles normalmente tinham grandes públicos em algumas revistas populares. Nos EUA, o termo moderno é o jornalismo investigativo - possui conotações diferentes e mais pejorativas no inglês britânico - e jornalistas investigativos nos EUA hoje são frequentemente chamados de 'Muckrakers'.</v>
      </c>
    </row>
    <row r="145" customFormat="false" ht="15.75" hidden="false" customHeight="true" outlineLevel="0" collapsed="false">
      <c r="A145" s="3" t="n">
        <v>142</v>
      </c>
      <c r="B145" s="5" t="s">
        <v>430</v>
      </c>
      <c r="C145" s="5" t="s">
        <v>431</v>
      </c>
      <c r="D145" s="5" t="s">
        <v>432</v>
      </c>
      <c r="E145" s="4" t="str">
        <f aca="false">IFERROR(__xludf.dummyfunction("GOOGLETRANSLATE(C146)"),"Quantas equipes nas semifinais da Copa do Mundo")</f>
        <v>Quantas equipes nas semifinais da Copa do Mundo</v>
      </c>
      <c r="F145" s="5" t="str">
        <f aca="false">IFERROR(__xludf.dummyfunction("GOOGLETRANSLATE(D145)")," `` Você ouve o que eu ouço? '' é uma música escrita em outubro de 1962, com letras de Noël Regney e música de Gloria Shayne Baker. A dupla, casada na época, escreveu como um apelo à paz durante a crise dos mísseis cubanos. Regney foi convidado por um pro"&amp;"dutor de discos para escrever uma música de Natal, mas ele hesitou devido ao comercialismo do feriado de Natal. Ele vendeu dezenas de milhões de cópias e foi coberto por centenas de artistas.")</f>
        <v> `` Você ouve o que eu ouço? '' é uma música escrita em outubro de 1962, com letras de Noël Regney e música de Gloria Shayne Baker. A dupla, casada na época, escreveu como um apelo à paz durante a crise dos mísseis cubanos. Regney foi convidado por um produtor de discos para escrever uma música de Natal, mas ele hesitou devido ao comercialismo do feriado de Natal. Ele vendeu dezenas de milhões de cópias e foi coberto por centenas de artistas.</v>
      </c>
    </row>
    <row r="146" customFormat="false" ht="15.75" hidden="false" customHeight="true" outlineLevel="0" collapsed="false">
      <c r="A146" s="3" t="n">
        <v>143</v>
      </c>
      <c r="B146" s="5" t="s">
        <v>433</v>
      </c>
      <c r="C146" s="5" t="s">
        <v>434</v>
      </c>
      <c r="D146" s="5" t="s">
        <v>435</v>
      </c>
      <c r="E146" s="4" t="str">
        <f aca="false">IFERROR(__xludf.dummyfunction("GOOGLETRANSLATE(C147)"),"que interpreta Olivia Benson por lei e ordem")</f>
        <v>que interpreta Olivia Benson por lei e ordem</v>
      </c>
      <c r="F146" s="5" t="str">
        <f aca="false">IFERROR(__xludf.dummyfunction("GOOGLETRANSLATE(D146)")," A fase de eliminação é um torneio de eliminação único em que as equipes se jogam em um - fora de partida, com tempo extra e tiroteios de pênaltis usados ​​para decidir o vencedor, se necessário. Começa com a rodada de 16 (ou a segunda rodada), na qual o "&amp;"vencedor de cada grupo toca contra o corredor - de outro grupo. Isto é seguido pela trimestre - finais, semifinais, a terceira partida de lugar (contestada pelos semifinalistas perdedores) e pela final.")</f>
        <v> A fase de eliminação é um torneio de eliminação único em que as equipes se jogam em um - fora de partida, com tempo extra e tiroteios de pênaltis usados ​​para decidir o vencedor, se necessário. Começa com a rodada de 16 (ou a segunda rodada), na qual o vencedor de cada grupo toca contra o corredor - de outro grupo. Isto é seguido pela trimestre - finais, semifinais, a terceira partida de lugar (contestada pelos semifinalistas perdedores) e pela final.</v>
      </c>
    </row>
    <row r="147" customFormat="false" ht="15.75" hidden="false" customHeight="true" outlineLevel="0" collapsed="false">
      <c r="A147" s="3" t="n">
        <v>144</v>
      </c>
      <c r="B147" s="5" t="s">
        <v>436</v>
      </c>
      <c r="C147" s="5" t="s">
        <v>437</v>
      </c>
      <c r="D147" s="5" t="s">
        <v>438</v>
      </c>
      <c r="E147" s="4" t="str">
        <f aca="false">IFERROR(__xludf.dummyfunction("GOOGLETRANSLATE(C148)"),"Quantas cópias fizeram Fifty Shades of Grey")</f>
        <v>Quantas cópias fizeram Fifty Shades of Grey</v>
      </c>
      <c r="F147" s="5" t="str">
        <f aca="false">IFERROR(__xludf.dummyfunction("GOOGLETRANSLATE(D147)")," Mariska Magdolna Hargitay ( / məˈrɪʃkə ˈhːrɪteɪ / mə - rish - kə har - ghih - tay; nascido em 23 de janeiro de 1964) é uma atriz americana mais conhecida por seu papel como detetive / sergeant / tenente Olivia Benson sobre a série de dramáticos da NB. : "&amp;"Unidade de vítimas especiais, pela qual recebeu vários prêmios e indicações, incluindo a conquista de um prêmio Emmy Primetime e Prêmio Globo de Ouro.")</f>
        <v> Mariska Magdolna Hargitay ( / məˈrɪʃkə ˈhːrɪteɪ / mə - rish - kə har - ghih - tay; nascido em 23 de janeiro de 1964) é uma atriz americana mais conhecida por seu papel como detetive / sergeant / tenente Olivia Benson sobre a série de dramáticos da NB. : Unidade de vítimas especiais, pela qual recebeu vários prêmios e indicações, incluindo a conquista de um prêmio Emmy Primetime e Prêmio Globo de Ouro.</v>
      </c>
    </row>
    <row r="148" customFormat="false" ht="15.75" hidden="false" customHeight="true" outlineLevel="0" collapsed="false">
      <c r="A148" s="3" t="n">
        <v>145</v>
      </c>
      <c r="B148" s="5" t="s">
        <v>439</v>
      </c>
      <c r="C148" s="5" t="s">
        <v>440</v>
      </c>
      <c r="D148" s="5" t="s">
        <v>441</v>
      </c>
      <c r="E148" s="4" t="str">
        <f aca="false">IFERROR(__xludf.dummyfunction("GOOGLETRANSLATE(C149)"),"Quando foi fundada a cidade de Green Bay")</f>
        <v>Quando foi fundada a cidade de Green Bay</v>
      </c>
      <c r="F148" s="5" t="str">
        <f aca="false">IFERROR(__xludf.dummyfunction("GOOGLETRANSLATE(D148)")," Fifty Shades of Grey liderou as melhores listas de vendedores em todo o mundo, vendendo mais de 125 milhões de cópias em todo o mundo até junho de 2015. Ele foi traduzido para 52 idiomas e estabeleceu um recorde no Reino Unido como o brochura mais rápido"&amp;" - vendendo todos os tempos. A recepção crítica do livro, no entanto, tendia ao negativo, com a qualidade de sua prosa geralmente vista como pobre. Os recursos da Universal Pictures and Focus produziram uma adaptação cinematográfica, lançada em 13 de feve"&amp;"reiro de 2015 e também recebeu críticas geralmente desfavoráveis.")</f>
        <v> Fifty Shades of Grey liderou as melhores listas de vendedores em todo o mundo, vendendo mais de 125 milhões de cópias em todo o mundo até junho de 2015. Ele foi traduzido para 52 idiomas e estabeleceu um recorde no Reino Unido como o brochura mais rápido - vendendo todos os tempos. A recepção crítica do livro, no entanto, tendia ao negativo, com a qualidade de sua prosa geralmente vista como pobre. Os recursos da Universal Pictures and Focus produziram uma adaptação cinematográfica, lançada em 13 de fevereiro de 2015 e também recebeu críticas geralmente desfavoráveis.</v>
      </c>
    </row>
    <row r="149" customFormat="false" ht="15.75" hidden="false" customHeight="true" outlineLevel="0" collapsed="false">
      <c r="A149" s="3" t="n">
        <v>146</v>
      </c>
      <c r="B149" s="5" t="s">
        <v>442</v>
      </c>
      <c r="C149" s="5" t="s">
        <v>443</v>
      </c>
      <c r="D149" s="5" t="s">
        <v>444</v>
      </c>
      <c r="E149" s="4" t="str">
        <f aca="false">IFERROR(__xludf.dummyfunction("GOOGLETRANSLATE(C150)"),"Onde o Ilium The Ischium e o Pubis se encontram")</f>
        <v>Onde o Ilium The Ischium e o Pubis se encontram</v>
      </c>
      <c r="F149" s="5" t="str">
        <f aca="false">IFERROR(__xludf.dummyfunction("GOOGLETRANSLATE(D149)")," Nicolet fundou um pequeno posto comercial aqui em 1634, originalmente chamado La Baye ou La Baie des Puants (francês para `` a baía das águas fedorentas ''). O assentamento de Nicolet foi um dos mais antigos assentamentos permanentes europeus da América.")</f>
        <v> Nicolet fundou um pequeno posto comercial aqui em 1634, originalmente chamado La Baye ou La Baie des Puants (francês para `` a baía das águas fedorentas ''). O assentamento de Nicolet foi um dos mais antigos assentamentos permanentes europeus da América.</v>
      </c>
    </row>
    <row r="150" customFormat="false" ht="15.75" hidden="false" customHeight="true" outlineLevel="0" collapsed="false">
      <c r="A150" s="3" t="n">
        <v>147</v>
      </c>
      <c r="B150" s="5" t="s">
        <v>445</v>
      </c>
      <c r="C150" s="5" t="s">
        <v>446</v>
      </c>
      <c r="D150" s="5" t="s">
        <v>447</v>
      </c>
      <c r="E150" s="4" t="str">
        <f aca="false">IFERROR(__xludf.dummyfunction("GOOGLETRANSLATE(C151)"),"Quem é o fundador da Pak n Save")</f>
        <v>Quem é o fundador da Pak n Save</v>
      </c>
      <c r="F150" s="5" t="str">
        <f aca="false">IFERROR(__xludf.dummyfunction("GOOGLETRANSLATE(D150)")," O osso do quadril é formado por três partes: Ilium, Ischium e Pubis. No nascimento, esses três componentes são separados por cartilagem hialina. Eles se juntam um ao outro em uma parte em forma de Y de cartilagem no acetábulo. No final da puberdade, as t"&amp;"rês regiões terão se fundido e, aos 25 anos, eles terão ossificação. Os dois ossos do quadril se juntam na sínfise púbica. Juntamente com o sacro e o cóccix, os ossos do quadril formam a pélvis.")</f>
        <v> O osso do quadril é formado por três partes: Ilium, Ischium e Pubis. No nascimento, esses três componentes são separados por cartilagem hialina. Eles se juntam um ao outro em uma parte em forma de Y de cartilagem no acetábulo. No final da puberdade, as três regiões terão se fundido e, aos 25 anos, eles terão ossificação. Os dois ossos do quadril se juntam na sínfise púbica. Juntamente com o sacro e o cóccix, os ossos do quadril formam a pélvis.</v>
      </c>
    </row>
    <row r="151" customFormat="false" ht="15.75" hidden="false" customHeight="true" outlineLevel="0" collapsed="false">
      <c r="A151" s="3" t="n">
        <v>148</v>
      </c>
      <c r="B151" s="5" t="s">
        <v>448</v>
      </c>
      <c r="C151" s="5" t="s">
        <v>449</v>
      </c>
      <c r="D151" s="5" t="s">
        <v>450</v>
      </c>
      <c r="E151" s="4" t="str">
        <f aca="false">IFERROR(__xludf.dummyfunction("GOOGLETRANSLATE(C152)"),"Quantas espécies de plantas são encontradas na Índia")</f>
        <v>Quantas espécies de plantas são encontradas na Índia</v>
      </c>
      <c r="F151" s="5" t="str">
        <f aca="false">IFERROR(__xludf.dummyfunction("GOOGLETRANSLATE(D151)")," Pak'nsave foi desenvolvido após uma viagem por um grupo de executivos de alimentos para os Estados Unidos em 1985. Nessa visita, eles viram a Cub Foods, operados pela Supervalu, Pak 'n Save operados pela Safeway e outros supermercados de armazém de caixa"&amp;"s. Os alimentos copiaram este formato na Nova Zelândia. O formato original de Pak'nsave era quase uma cópia idêntica da cadeia de salvamento de Safeway no norte da Califórnia.")</f>
        <v> Pak'nsave foi desenvolvido após uma viagem por um grupo de executivos de alimentos para os Estados Unidos em 1985. Nessa visita, eles viram a Cub Foods, operados pela Supervalu, Pak 'n Save operados pela Safeway e outros supermercados de armazém de caixas. Os alimentos copiaram este formato na Nova Zelândia. O formato original de Pak'nsave era quase uma cópia idêntica da cadeia de salvamento de Safeway no norte da Califórnia.</v>
      </c>
    </row>
    <row r="152" customFormat="false" ht="15.75" hidden="false" customHeight="true" outlineLevel="0" collapsed="false">
      <c r="A152" s="3" t="n">
        <v>149</v>
      </c>
      <c r="B152" s="5" t="s">
        <v>451</v>
      </c>
      <c r="C152" s="5" t="s">
        <v>452</v>
      </c>
      <c r="D152" s="5" t="s">
        <v>453</v>
      </c>
      <c r="E152" s="4" t="str">
        <f aca="false">IFERROR(__xludf.dummyfunction("GOOGLETRANSLATE(C153)"),"Qual empresa não britânica possui os famosos rolos britânicos- Royce e Mini Brands")</f>
        <v>Qual empresa não britânica possui os famosos rolos britânicos- Royce e Mini Brands</v>
      </c>
      <c r="F152" s="5" t="str">
        <f aca="false">IFERROR(__xludf.dummyfunction("GOOGLETRANSLATE(D152)")," A flora da Índia é uma das mais ricas do mundo devido à ampla gama de clima, topologia e habitat do país. Estima -se que haja mais de 18.000 espécies de plantas com flores na Índia, que constituem cerca de 6 a 7 % do total de espécies vegetais no mundo. "&amp;"A Índia abriga mais de 50.000 espécies de plantas, incluindo uma variedade de endemias. O uso de plantas como fonte de medicamentos tem sido parte integrante da vida na Índia desde os primeiros tempos. Existem mais de 3000 espécies de plantas indianas ofi"&amp;"cialmente documentadas como possuindo grande potencial medicinal. A Índia é dividida em oito principais regiões florísticas: Himalaia Ocidental, Himalaia Oriental, Assam, Indo Plain, Ganges Plain, Deccan, Malabar e Ilhas Andaman.")</f>
        <v> A flora da Índia é uma das mais ricas do mundo devido à ampla gama de clima, topologia e habitat do país. Estima -se que haja mais de 18.000 espécies de plantas com flores na Índia, que constituem cerca de 6 a 7 % do total de espécies vegetais no mundo. A Índia abriga mais de 50.000 espécies de plantas, incluindo uma variedade de endemias. O uso de plantas como fonte de medicamentos tem sido parte integrante da vida na Índia desde os primeiros tempos. Existem mais de 3000 espécies de plantas indianas oficialmente documentadas como possuindo grande potencial medicinal. A Índia é dividida em oito principais regiões florísticas: Himalaia Ocidental, Himalaia Oriental, Assam, Indo Plain, Ganges Plain, Deccan, Malabar e Ilhas Andaman.</v>
      </c>
    </row>
    <row r="153" customFormat="false" ht="15.75" hidden="false" customHeight="true" outlineLevel="0" collapsed="false">
      <c r="A153" s="3" t="n">
        <v>150</v>
      </c>
      <c r="B153" s="5" t="s">
        <v>454</v>
      </c>
      <c r="C153" s="5" t="s">
        <v>455</v>
      </c>
      <c r="D153" s="5" t="s">
        <v>456</v>
      </c>
      <c r="E153" s="4" t="str">
        <f aca="false">IFERROR(__xludf.dummyfunction("GOOGLETRANSLATE(C154)"),"Quantas vezes os Dodgers foram para a World Series")</f>
        <v>Quantas vezes os Dodgers foram para a World Series</v>
      </c>
      <c r="F153" s="5" t="str">
        <f aca="false">IFERROR(__xludf.dummyfunction("GOOGLETRANSLATE(D153)")," As origens da indústria automotiva do Reino Unido datam dos últimos anos do século XIX. Na década de 1950, o Reino Unido era o segundo maior fabricante de carros do mundo (depois dos Estados Unidos) e o maior exportador. No entanto, nas décadas subsequen"&amp;"tes, a indústria experimentou um crescimento consideravelmente menor do que os países concorrentes como França, Alemanha e Japão e, em 2008, o Reino Unido foi o 12º - o maior produtor de carros medidos em volume. Desde o início dos anos 90, muitas marcas "&amp;"de carros britânicos foram adquiridos por empresas estrangeiras, incluindo BMW (Mini and Rolls - Royce), SAIC (MG), TATA (Jaguar e Land Rover) e Volkswagen Group (Bentley). Os direitos a muitas marcas atualmente adormecidas, incluindo Austin, Riley, Rover"&amp;" e Triumph, também são de propriedade de empresas estrangeiras.")</f>
        <v> As origens da indústria automotiva do Reino Unido datam dos últimos anos do século XIX. Na década de 1950, o Reino Unido era o segundo maior fabricante de carros do mundo (depois dos Estados Unidos) e o maior exportador. No entanto, nas décadas subsequentes, a indústria experimentou um crescimento consideravelmente menor do que os países concorrentes como França, Alemanha e Japão e, em 2008, o Reino Unido foi o 12º - o maior produtor de carros medidos em volume. Desde o início dos anos 90, muitas marcas de carros britânicos foram adquiridos por empresas estrangeiras, incluindo BMW (Mini and Rolls - Royce), SAIC (MG), TATA (Jaguar e Land Rover) e Volkswagen Group (Bentley). Os direitos a muitas marcas atualmente adormecidas, incluindo Austin, Riley, Rover e Triumph, também são de propriedade de empresas estrangeiras.</v>
      </c>
    </row>
    <row r="154" customFormat="false" ht="15.75" hidden="false" customHeight="true" outlineLevel="0" collapsed="false">
      <c r="A154" s="3" t="n">
        <v>151</v>
      </c>
      <c r="B154" s="5" t="s">
        <v>457</v>
      </c>
      <c r="C154" s="5" t="s">
        <v>458</v>
      </c>
      <c r="D154" s="5" t="s">
        <v>459</v>
      </c>
      <c r="E154" s="4" t="str">
        <f aca="false">IFERROR(__xludf.dummyfunction("GOOGLETRANSLATE(C155)"),"Ordem do Leão A bruxa e os livros de guarda -roupa")</f>
        <v>Ordem do Leão A bruxa e os livros de guarda -roupa</v>
      </c>
      <c r="F154" s="5" t="str">
        <f aca="false">IFERROR(__xludf.dummyfunction("GOOGLETRANSLATE(D154)")," Os Dodgers compartilham uma rivalidade feroz com o San Francisco Giants, a rivalidade mais antiga do beisebol, que remonta a quando as duas franquias jogavam na cidade de Nova York. Ambas as equipes se mudaram para o oeste para a temporada de 1958. Os Do"&amp;"dgers do Brooklyn e Los Angeles apareceram coletivamente na World Series 19 vezes, enquanto os Giants de Nova York e os Giants de São Francisco apareceram coletivamente 20 vezes e foram convidados 21 vezes. Os Giants venceram mais duas World Series (8); O"&amp;"s Dodgers venceram 22 galhos de flâmulas da Liga Nacional, enquanto os Giants detêm o recorde com 23. Embora as duas franquias tenham obtido um sucesso quase igual, as rivalidades da cidade são bastante desequilibradas e, em ambos os casos, o campeonato d"&amp;"e uma equipe antecedeu o primeiro do outro nesse local em particular. Quando as duas equipes estavam sediadas em Nova York, o Giants venceu cinco campeonatos da World Series e o Dodgers One. Após a mudança para a Califórnia, os Dodgers venceram cinco em L"&amp;"os Angeles, o Giants venceu três em São Francisco.")</f>
        <v> Os Dodgers compartilham uma rivalidade feroz com o San Francisco Giants, a rivalidade mais antiga do beisebol, que remonta a quando as duas franquias jogavam na cidade de Nova York. Ambas as equipes se mudaram para o oeste para a temporada de 1958. Os Dodgers do Brooklyn e Los Angeles apareceram coletivamente na World Series 19 vezes, enquanto os Giants de Nova York e os Giants de São Francisco apareceram coletivamente 20 vezes e foram convidados 21 vezes. Os Giants venceram mais duas World Series (8); Os Dodgers venceram 22 galhos de flâmulas da Liga Nacional, enquanto os Giants detêm o recorde com 23. Embora as duas franquias tenham obtido um sucesso quase igual, as rivalidades da cidade são bastante desequilibradas e, em ambos os casos, o campeonato de uma equipe antecedeu o primeiro do outro nesse local em particular. Quando as duas equipes estavam sediadas em Nova York, o Giants venceu cinco campeonatos da World Series e o Dodgers One. Após a mudança para a Califórnia, os Dodgers venceram cinco em Los Angeles, o Giants venceu três em São Francisco.</v>
      </c>
    </row>
    <row r="155" customFormat="false" ht="15.75" hidden="false" customHeight="true" outlineLevel="0" collapsed="false">
      <c r="A155" s="3" t="n">
        <v>152</v>
      </c>
      <c r="B155" s="5" t="s">
        <v>460</v>
      </c>
      <c r="C155" s="5" t="s">
        <v>461</v>
      </c>
      <c r="D155" s="5" t="s">
        <v>462</v>
      </c>
      <c r="E155" s="4" t="str">
        <f aca="false">IFERROR(__xludf.dummyfunction("GOOGLETRANSLATE(C156)"),"Em que nível está a clavícula com referência às costelas")</f>
        <v>Em que nível está a clavícula com referência às costelas</v>
      </c>
      <c r="F155" s="5" t="str">
        <f aca="false">IFERROR(__xludf.dummyfunction("GOOGLETRANSLATE(D155)")," As Crônicas de Nárnia As Crônicas de Nárnia (em ordem de publicação) The Lion, The Witch and the Wardrobe (1950) Príncipe Caspian (1951) A viagem de The Dawn Preader (1952) The Silver Chair (1953) O cavalo e seu cavalo Boy (1954) O sobrinho do mago (1955"&amp;") A última batalha (1956) Autor C.S. Ilustrador Lewis Pauline Baynes Country Reino Unido Língua Inglês Gênero Inglês Publicador de Literatura Fantasia HarperCollins Publicado em 16 de outubro de 1950 - 4 de setembro de 1956 Tipo de mídia (tipo capa dura e"&amp;" brochura)")</f>
        <v> As Crônicas de Nárnia As Crônicas de Nárnia (em ordem de publicação) The Lion, The Witch and the Wardrobe (1950) Príncipe Caspian (1951) A viagem de The Dawn Preader (1952) The Silver Chair (1953) O cavalo e seu cavalo Boy (1954) O sobrinho do mago (1955) A última batalha (1956) Autor C.S. Ilustrador Lewis Pauline Baynes Country Reino Unido Língua Inglês Gênero Inglês Publicador de Literatura Fantasia HarperCollins Publicado em 16 de outubro de 1950 - 4 de setembro de 1956 Tipo de mídia (tipo capa dura e brochura)</v>
      </c>
    </row>
    <row r="156" customFormat="false" ht="15.75" hidden="false" customHeight="true" outlineLevel="0" collapsed="false">
      <c r="A156" s="3" t="n">
        <v>153</v>
      </c>
      <c r="B156" s="5" t="s">
        <v>463</v>
      </c>
      <c r="C156" s="5" t="s">
        <v>464</v>
      </c>
      <c r="D156" s="5" t="s">
        <v>465</v>
      </c>
      <c r="E156" s="4" t="str">
        <f aca="false">IFERROR(__xludf.dummyfunction("GOOGLETRANSLATE(C157)"),"Qual é o pequeno jarro marrom feito de")</f>
        <v>Qual é o pequeno jarro marrom feito de</v>
      </c>
      <c r="F156" s="5" t="str">
        <f aca="false">IFERROR(__xludf.dummyfunction("GOOGLETRANSLATE(D156)")," A clavícula é um grande osso longo duplamente curvo que conecta o braço ao tronco do corpo. Localizado diretamente acima da primeira costela, ele atua como um suporte para manter a escápula no lugar para que o braço possa pendurar livremente. Medialmente"&amp;", articula -se com o Manubrium do esterno (esterno peitoral) na articulação esternoclavicular. Na extremidade lateral, articula -se com o acrômio, um processo da escápula (ombro) na articulação acromioclavicular. Tem uma extremidade medial arredondada e u"&amp;"ma extremidade lateral achatada.")</f>
        <v> A clavícula é um grande osso longo duplamente curvo que conecta o braço ao tronco do corpo. Localizado diretamente acima da primeira costela, ele atua como um suporte para manter a escápula no lugar para que o braço possa pendurar livremente. Medialmente, articula -se com o Manubrium do esterno (esterno peitoral) na articulação esternoclavicular. Na extremidade lateral, articula -se com o acrômio, um processo da escápula (ombro) na articulação acromioclavicular. Tem uma extremidade medial arredondada e uma extremidade lateral achatada.</v>
      </c>
    </row>
    <row r="157" customFormat="false" ht="15.75" hidden="false" customHeight="true" outlineLevel="0" collapsed="false">
      <c r="A157" s="3" t="n">
        <v>154</v>
      </c>
      <c r="B157" s="5" t="s">
        <v>466</v>
      </c>
      <c r="C157" s="5" t="s">
        <v>467</v>
      </c>
      <c r="D157" s="5" t="s">
        <v>468</v>
      </c>
      <c r="E157" s="4" t="str">
        <f aca="false">IFERROR(__xludf.dummyfunction("GOOGLETRANSLATE(C158)"),"Quando foi criado o mandado de habeas corpus")</f>
        <v>Quando foi criado o mandado de habeas corpus</v>
      </c>
      <c r="F157" s="5" t="str">
        <f aca="false">IFERROR(__xludf.dummyfunction("GOOGLETRANSLATE(D157)")," MICHIGAN - A rivalidade de futebol de Minnesota é uma rivalidade de futebol universitário americano entre o time de futebol de Michigan Wolverines da Universidade de Michigan e o time de futebol de Minnesota Golden Gophers da Universidade de Minnesota. O"&amp;" Little Brown Jug é um jarro de barro que serve como um troféu concedido ao vencedor do jogo. É uma das rivalidades mais antigas e mais jogadas no futebol universitário americano, datando de 1892. O Little Brown Jug é o troféu de rivalidade mais regular d"&amp;"o futebol universitário, o mais antigo jogo de troféus do futebol universitário da FBS e o segundo troféu de rivalidade mais antigo em geral, ao lado da Copa Territorial de 1899 (que não se tornou um troféu de viagem / troca até 2001 ), contestado entre o"&amp;" Arizona e o Estado do Arizona (que não se tornou uma faculdade de quatro anos até 1925).")</f>
        <v> MICHIGAN - A rivalidade de futebol de Minnesota é uma rivalidade de futebol universitário americano entre o time de futebol de Michigan Wolverines da Universidade de Michigan e o time de futebol de Minnesota Golden Gophers da Universidade de Minnesota. O Little Brown Jug é um jarro de barro que serve como um troféu concedido ao vencedor do jogo. É uma das rivalidades mais antigas e mais jogadas no futebol universitário americano, datando de 1892. O Little Brown Jug é o troféu de rivalidade mais regular do futebol universitário, o mais antigo jogo de troféus do futebol universitário da FBS e o segundo troféu de rivalidade mais antigo em geral, ao lado da Copa Territorial de 1899 (que não se tornou um troféu de viagem / troca até 2001 ), contestado entre o Arizona e o Estado do Arizona (que não se tornou uma faculdade de quatro anos até 1925).</v>
      </c>
    </row>
    <row r="158" customFormat="false" ht="15.75" hidden="false" customHeight="true" outlineLevel="0" collapsed="false">
      <c r="A158" s="3" t="n">
        <v>155</v>
      </c>
      <c r="B158" s="5" t="s">
        <v>469</v>
      </c>
      <c r="C158" s="5" t="s">
        <v>470</v>
      </c>
      <c r="D158" s="5" t="s">
        <v>471</v>
      </c>
      <c r="E158" s="4" t="str">
        <f aca="false">IFERROR(__xludf.dummyfunction("GOOGLETRANSLATE(C159)"),"onde eles estão jogando o torneio de golfe clássico John Deere")</f>
        <v>onde eles estão jogando o torneio de golfe clássico John Deere</v>
      </c>
      <c r="F158" s="5" t="str">
        <f aca="false">IFERROR(__xludf.dummyfunction("GOOGLETRANSLATE(D158)")," O habeas corpus deriva do direito comum inglês, onde o primeiro uso registrado foi em 1305, no reinado do rei Edward I da Inglaterra. O procedimento para a emissão de escritores de habeas corpus foi codificado pela primeira vez pela Lei Habeas Corpus de "&amp;"1679, após decisões judiciais que restringiram a eficácia do mandado. Um ato anterior havia sido aprovado em 1640 para derrubar uma decisão de que o comando da rainha era uma resposta suficiente para uma petição de habeas corpus. Winston Churchill, em seu"&amp;" capítulo sobre o direito comum inglês no nascimento da Grã -Bretanha, explica o processo assim:")</f>
        <v> O habeas corpus deriva do direito comum inglês, onde o primeiro uso registrado foi em 1305, no reinado do rei Edward I da Inglaterra. O procedimento para a emissão de escritores de habeas corpus foi codificado pela primeira vez pela Lei Habeas Corpus de 1679, após decisões judiciais que restringiram a eficácia do mandado. Um ato anterior havia sido aprovado em 1640 para derrubar uma decisão de que o comando da rainha era uma resposta suficiente para uma petição de habeas corpus. Winston Churchill, em seu capítulo sobre o direito comum inglês no nascimento da Grã -Bretanha, explica o processo assim:</v>
      </c>
    </row>
    <row r="159" customFormat="false" ht="15.75" hidden="false" customHeight="true" outlineLevel="0" collapsed="false">
      <c r="A159" s="3" t="n">
        <v>156</v>
      </c>
      <c r="B159" s="5" t="s">
        <v>472</v>
      </c>
      <c r="C159" s="5" t="s">
        <v>473</v>
      </c>
      <c r="D159" s="5" t="s">
        <v>474</v>
      </c>
      <c r="E159" s="4" t="str">
        <f aca="false">IFERROR(__xludf.dummyfunction("GOOGLETRANSLATE(C160)"),"Que tipos de elementos estão envolvidos na ligação covalente")</f>
        <v>Que tipos de elementos estão envolvidos na ligação covalente</v>
      </c>
      <c r="F159" s="5" t="str">
        <f aca="false">IFERROR(__xludf.dummyfunction("GOOGLETRANSLATE(D159)")," O John Deere Classic é um torneio profissional de golfe no PGA Tour. É jogado anualmente em julho, uma semana antes do British Open, no TPC Deere Run na Comunidade Quad Cities de Silvis, Illinois.")</f>
        <v> O John Deere Classic é um torneio profissional de golfe no PGA Tour. É jogado anualmente em julho, uma semana antes do British Open, no TPC Deere Run na Comunidade Quad Cities de Silvis, Illinois.</v>
      </c>
    </row>
    <row r="160" customFormat="false" ht="15.75" hidden="false" customHeight="true" outlineLevel="0" collapsed="false">
      <c r="A160" s="3" t="n">
        <v>157</v>
      </c>
      <c r="B160" s="5" t="s">
        <v>475</v>
      </c>
      <c r="C160" s="5" t="s">
        <v>476</v>
      </c>
      <c r="D160" s="5" t="s">
        <v>477</v>
      </c>
      <c r="E160" s="4" t="str">
        <f aca="false">IFERROR(__xludf.dummyfunction("GOOGLETRANSLATE(C161)"),"De onde vem o termo canção de cisne")</f>
        <v>De onde vem o termo canção de cisne</v>
      </c>
      <c r="F160" s="5" t="str">
        <f aca="false">IFERROR(__xludf.dummyfunction("GOOGLETRANSLATE(D160)")," Uma ligação covalente, também chamada de ligação molecular, é uma ligação química que envolve o compartilhamento de pares de elétrons entre átomos. Esses pares de elétrons são conhecidos como pares compartilhados ou pares de ligação, e o equilíbrio estáv"&amp;"el de forças atraentes e repulsivas entre átomos, quando compartilham elétrons, é conhecido como ligação covalente. Para muitas moléculas, o compartilhamento de elétrons permite que cada átomo atinja o equivalente a uma concha externa completa, correspond"&amp;"endo a uma configuração eletrônica estável.")</f>
        <v> Uma ligação covalente, também chamada de ligação molecular, é uma ligação química que envolve o compartilhamento de pares de elétrons entre átomos. Esses pares de elétrons são conhecidos como pares compartilhados ou pares de ligação, e o equilíbrio estável de forças atraentes e repulsivas entre átomos, quando compartilham elétrons, é conhecido como ligação covalente. Para muitas moléculas, o compartilhamento de elétrons permite que cada átomo atinja o equivalente a uma concha externa completa, correspondendo a uma configuração eletrônica estável.</v>
      </c>
    </row>
    <row r="161" customFormat="false" ht="15.75" hidden="false" customHeight="true" outlineLevel="0" collapsed="false">
      <c r="A161" s="3" t="n">
        <v>158</v>
      </c>
      <c r="B161" s="5" t="s">
        <v>478</v>
      </c>
      <c r="C161" s="5" t="s">
        <v>479</v>
      </c>
      <c r="D161" s="5" t="s">
        <v>480</v>
      </c>
      <c r="E161" s="4" t="str">
        <f aca="false">IFERROR(__xludf.dummyfunction("GOOGLETRANSLATE(C162)"),"Quantas páginas têm todos os livros de Harry Potter")</f>
        <v>Quantas páginas têm todos os livros de Harry Potter</v>
      </c>
      <c r="F161" s="5" t="str">
        <f aca="false">IFERROR(__xludf.dummyfunction("GOOGLETRANSLATE(D161)")," A canção do cisne (grego antigo: κύκνειον ᾆσμα; latim: Carmen cygni) é uma frase metafórica para um gesto, esforço ou desempenho final dado pouco antes da morte ou aposentadoria. A frase refere -se a uma crença antiga de que os cisnes (Cygnus spp.) Cante"&amp;"m uma bela música antes da morte, tendo sido silencioso (ou alternativamente, não tão musical) durante a maior parte de sua vida. Essa crença, cuja base na realidade é longa - debatida, tornou -se proverbial na Grécia antiga no século III aC e foi reitera"&amp;"da muitas vezes na poesia e arte ocidentais posteriores.")</f>
        <v> A canção do cisne (grego antigo: κύκνειον ᾆσμα; latim: Carmen cygni) é uma frase metafórica para um gesto, esforço ou desempenho final dado pouco antes da morte ou aposentadoria. A frase refere -se a uma crença antiga de que os cisnes (Cygnus spp.) Cantem uma bela música antes da morte, tendo sido silencioso (ou alternativamente, não tão musical) durante a maior parte de sua vida. Essa crença, cuja base na realidade é longa - debatida, tornou -se proverbial na Grécia antiga no século III aC e foi reiterada muitas vezes na poesia e arte ocidentais posteriores.</v>
      </c>
    </row>
    <row r="162" customFormat="false" ht="15.75" hidden="false" customHeight="true" outlineLevel="0" collapsed="false">
      <c r="A162" s="3" t="n">
        <v>159</v>
      </c>
      <c r="B162" s="5" t="s">
        <v>481</v>
      </c>
      <c r="C162" s="5" t="s">
        <v>482</v>
      </c>
      <c r="D162" s="5" t="s">
        <v>483</v>
      </c>
      <c r="E162" s="4" t="str">
        <f aca="false">IFERROR(__xludf.dummyfunction("GOOGLETRANSLATE(C163)"),"Quando foi a última vez que um presidente em exercício foi perdido")</f>
        <v>Quando foi a última vez que um presidente em exercício foi perdido</v>
      </c>
      <c r="F162" s="5" t="str">
        <f aca="false">IFERROR(__xludf.dummyfunction("GOOGLETRANSLATE(D162)")," Jenny Sawyer escreveu no Christian Science Monitor em 25 de julho de 2007 que os livros representam uma tendência perturbadora da narrativa comercial e da sociedade ocidental '' nessas histórias `` Centro Moral (sic) já desapareceu de grande parte da cul"&amp;"tura pop de hoje ... Após 10 anos, 4.195 páginas e mais de 375 milhões de cópias, J.K. A conquista imponente de Rowling carece da pedra angular da literatura de quase todas as grandes crianças: a jornada moral do herói ''. Harry Potter, argumenta Sawyer, "&amp;"nem enfrenta uma `` luta moral '' nem passa por nenhum crescimento ético e, portanto, não é `` nenhum guia nas circunstâncias em que o certo e o errado sejam nada menos que preto e branco ''. Por outro lado, Emily Griesinger descreveu a primeira passagem "&amp;"de Harry para a plataforma 93⁄4 como uma aplicação de fé e esperança, e seu encontro com o chapéu de classificação como o primeiro de muitos em que Harry é moldado pelas escolhas que ele faz. Ela também observou a `` Magia mais profunda '', pela qual o au"&amp;"to -sacrifício da mãe de Harry protege o garoto ao longo da série e que o poder - Voldemort faminto não entende.")</f>
        <v> Jenny Sawyer escreveu no Christian Science Monitor em 25 de julho de 2007 que os livros representam uma tendência perturbadora da narrativa comercial e da sociedade ocidental '' nessas histórias `` Centro Moral (sic) já desapareceu de grande parte da cultura pop de hoje ... Após 10 anos, 4.195 páginas e mais de 375 milhões de cópias, J.K. A conquista imponente de Rowling carece da pedra angular da literatura de quase todas as grandes crianças: a jornada moral do herói ''. Harry Potter, argumenta Sawyer, nem enfrenta uma `` luta moral '' nem passa por nenhum crescimento ético e, portanto, não é `` nenhum guia nas circunstâncias em que o certo e o errado sejam nada menos que preto e branco ''. Por outro lado, Emily Griesinger descreveu a primeira passagem de Harry para a plataforma 93⁄4 como uma aplicação de fé e esperança, e seu encontro com o chapéu de classificação como o primeiro de muitos em que Harry é moldado pelas escolhas que ele faz. Ela também observou a `` Magia mais profunda '', pela qual o auto -sacrifício da mãe de Harry protege o garoto ao longo da série e que o poder - Voldemort faminto não entende.</v>
      </c>
    </row>
    <row r="163" customFormat="false" ht="15.75" hidden="false" customHeight="true" outlineLevel="0" collapsed="false">
      <c r="A163" s="3" t="n">
        <v>160</v>
      </c>
      <c r="B163" s="5" t="s">
        <v>484</v>
      </c>
      <c r="C163" s="5" t="s">
        <v>485</v>
      </c>
      <c r="D163" s="5" t="s">
        <v>486</v>
      </c>
      <c r="E163" s="4" t="str">
        <f aca="false">IFERROR(__xludf.dummyfunction("GOOGLETRANSLATE(C164)"),"Nomeie a ponte mais alta do mundo construída pelo exército indiano")</f>
        <v>Nomeie a ponte mais alta do mundo construída pelo exército indiano</v>
      </c>
      <c r="F163" s="5" t="str">
        <f aca="false">IFERROR(__xludf.dummyfunction("GOOGLETRANSLATE(D163)"),"   Termo no Presidente do Escritório País Lost Eleição Notas 1797 - 1801 John Adams Eleição Presidencial dos Estados Unidos dos Estados Unidos, 1800 1825 - 1829 John Quincy Adams Eleição presidencial dos Estados Unidos dos Estados Unidos, 1888 - 1885 - 18"&amp;"89 GROVER CLEVEND CLEVELL 1889 - 1893 Benjamin Harrison Eleição presidencial dos Estados Unidos dos Estados Unidos, 1892 1909 - 1913 William Taft Eleição Presidencial dos Estados Unidos dos Estados Unidos, 1912 1929 - 1933 Herbert Hoover Os Estados Unidos"&amp;" Eleitoram os Estados Unidos Finnug. , 1937 1948 - 1955 Luigi Einaudi Itália Eleição presidencial italiana, 1955 1955 - 1962 Giovanni Gronchi Itália Eleição presidencial italiana, 1962 1960 - 1967 Aden Abdullah Osman Daar Somalia Somali Eleção Presidente,"&amp;" 1967 1967 - 1964 - 1971 Giuseppe , 1971 1974 - 1977 Gerald Ford Eleição Presidencial dos Estados Unidos dos Estados Unidos, 1976 1976 - 1980 Jimmy Carter Eleição presidencial dos Estados Unidos, 1980 1985 - 1990 Daniel Ortega Nicarágua Nicarágua Eleição "&amp;"Geral, 1990 1974 - 1981 Valéry Giscard d'Estaing França Eleição Presidencial Francesa, 1981 1972 - 1991 Mathieu Kérékou Benin Beninês Eleição Presidencial, 1991 1964 - 1991 Kenneth Kaunda Zâmbia Eleição Geral Zâmbia, 1991 1989 - 1993 George H.W. Bush Esta"&amp;"dos Unidos Eleição Presidencial dos Estados Unidos, 1992 1989 - 1992 VÁCLAV HAVEL Tchecoslováquia eleição presidencial da Tchecoslováquia, 1992 Mais tarde eleito presidente da República Tcheca. 1975 - 1993 1996 - 2001 Didier Ratsiraka Madagascar Eleição p"&amp;"residencial malgaxa, 1992 - 93 Eleição presidencial malgaxa, 2001 1987 - 1993 Pierre Buyoya Burundi Burundian Election, 1993 Retorn to Power em 1996 1981 - 1993 André Kolingba Central Republic Central African Central Eleição Geral Africana, 1993 1966 - 19"&amp;"94 Hastings Banda Malawi Malawian Geral Election, 1994 1991 - 1994 Leonid Kravchuk Ucrânia Ucrânia Eleição presidencial ucraniana, 1994 1990 - 1995 Lech Wałęsa Polônia Eleição Presidencial, 1995 também Lost 2000. 1991 - 1996 Eleição presidencial beninesa "&amp;"de Nicéphore Soglo Benin, 1996 também perdeu em 2001 1993 - 1996 Albert Zafy Madagascar Eleição presidencial malgaxia, 1996, 2001 1990 - 1997 PunsalmaagiinniGur Moldovan Eleição Presidencial, 1996 1990 - 1997 - PunsalmagiinniGiinbirb Moldovan Eleição Pres"&amp;"idencial, 1997 1999 - 2000 Robert Guéï Costa do Marfim da Costa Costa Costeira Ivoriana Eleição Presidencial, 2000 1989 - 1996 Ion Iliescu Romênia Eleição Geral Romênica, 1996 Retornou ao cargo após 2000 eleições. 1981 - 2000 ABDOU DIOUF ELEÇÃO PRESIDENTA"&amp;"L SENEGALESA SENEGALEGAL, 2000 1996 - 2001 PETAR STOYANOV BULGARIA BULGERIA Presideial Election, 2001 1998 - 2003 Valdas Adamkus Lituânia Lituânia Eleição Presidencial, 2002 - 2003 Returned to Office em 2004. 2000 - 2004 Hipólito Mejía Eleição presidencia"&amp;"l da República Dominicana da República Dominicana, 2004 2001 - 2004 MEGAWATI SUKARNOPUTRI Indonésia Eleição presidencial indonésia, 2004 também perdeu a eleição de 2009. 1999 - 2004 Rudolf Schuster Eslováquia Eleição Presidencial Eslovaca, 2004 2001 - 200"&amp;"6 Eleição presidencial da Estônia Estonia, 2006, 2005 - 2009 Nambyn Enkhbayar Mongolia Mongolian Presidencial Election Election, 2009 2000 - 2011 2011 2011 2011 - 2010 Dahir Riyale Kahin Somalilândia Somalilândia Eleição presidencial, 2010 2004 - 2010 Vik"&amp;"tor Yushchenko Ucrânia Eleição Presidencial Ucraniana, 2010 2007 - 2011 Valdis Zatlers Latvia General Election Election, 2011 2008 - 2011 - 2011 - 2011 - 2012 Nicolas Sarkozy France Eleição presidencial francesa, 2012 também foi executada em 2017, mas per"&amp;"deu a primária dos republicanos. 2000 - 2012 Abdoulaye Wade Senegal Senegalês Eleição Presidencial, 2012 2004 - 2012 Boris Tadić Eleição Presidencial Sérvia Sérvia, 2012 2007 - 2012 Danilo Türk Slovenia Slovenian Election, 2012 2012 - 2014 Joyce Banda Ban"&amp;"da. - 2015 IVO Josipović Croácia Eleição Presidencial Croata, 2014 - 15 2010 - 2015 Goodluck Jonathan Nigéria Eleição presidencial nigeriana, 2015 2015 - 2015 Bronisław Komorowski Polônia Eleição Presidente, 2015 - 1994, 2017, Yahya Jammeh The Giant Giann"&amp;"ial 2012 - 2017 JOHN MAHAMA GANA GANAIANA ELEÇÃO GERAL, 2016 2011 - 2016 Manuel Pinto da Costa São Tomé e Príncipe São Toméan Eleição Presidencial, 2016 2011 - 2016 Yevgeny Shevchuk Transnistria Eleição Presidencial Transnistria Eleição presidencial somal"&amp;"i, 2017 2012 - 2017 Leonid Tibilov South Ossétia Eleição presidencial do osso sul, 2017")</f>
        <v>   Termo no Presidente do Escritório País Lost Eleição Notas 1797 - 1801 John Adams Eleição Presidencial dos Estados Unidos dos Estados Unidos, 1800 1825 - 1829 John Quincy Adams Eleição presidencial dos Estados Unidos dos Estados Unidos, 1888 - 1885 - 1889 GROVER CLEVEND CLEVELL 1889 - 1893 Benjamin Harrison Eleição presidencial dos Estados Unidos dos Estados Unidos, 1892 1909 - 1913 William Taft Eleição Presidencial dos Estados Unidos dos Estados Unidos, 1912 1929 - 1933 Herbert Hoover Os Estados Unidos Eleitoram os Estados Unidos Finnug. , 1937 1948 - 1955 Luigi Einaudi Itália Eleição presidencial italiana, 1955 1955 - 1962 Giovanni Gronchi Itália Eleição presidencial italiana, 1962 1960 - 1967 Aden Abdullah Osman Daar Somalia Somali Eleção Presidente, 1967 1967 - 1964 - 1971 Giuseppe , 1971 1974 - 1977 Gerald Ford Eleição Presidencial dos Estados Unidos dos Estados Unidos, 1976 1976 - 1980 Jimmy Carter Eleição presidencial dos Estados Unidos, 1980 1985 - 1990 Daniel Ortega Nicarágua Nicarágua Eleição Geral, 1990 1974 - 1981 Valéry Giscard d'Estaing França Eleição Presidencial Francesa, 1981 1972 - 1991 Mathieu Kérékou Benin Beninês Eleição Presidencial, 1991 1964 - 1991 Kenneth Kaunda Zâmbia Eleição Geral Zâmbia, 1991 1989 - 1993 George H.W. Bush Estados Unidos Eleição Presidencial dos Estados Unidos, 1992 1989 - 1992 VÁCLAV HAVEL Tchecoslováquia eleição presidencial da Tchecoslováquia, 1992 Mais tarde eleito presidente da República Tcheca. 1975 - 1993 1996 - 2001 Didier Ratsiraka Madagascar Eleição presidencial malgaxa, 1992 - 93 Eleição presidencial malgaxa, 2001 1987 - 1993 Pierre Buyoya Burundi Burundian Election, 1993 Retorn to Power em 1996 1981 - 1993 André Kolingba Central Republic Central African Central Eleição Geral Africana, 1993 1966 - 1994 Hastings Banda Malawi Malawian Geral Election, 1994 1991 - 1994 Leonid Kravchuk Ucrânia Ucrânia Eleição presidencial ucraniana, 1994 1990 - 1995 Lech Wałęsa Polônia Eleição Presidencial, 1995 também Lost 2000. 1991 - 1996 Eleição presidencial beninesa de Nicéphore Soglo Benin, 1996 também perdeu em 2001 1993 - 1996 Albert Zafy Madagascar Eleição presidencial malgaxia, 1996, 2001 1990 - 1997 PunsalmaagiinniGur Moldovan Eleição Presidencial, 1996 1990 - 1997 - PunsalmagiinniGiinbirb Moldovan Eleição Presidencial, 1997 1999 - 2000 Robert Guéï Costa do Marfim da Costa Costa Costeira Ivoriana Eleição Presidencial, 2000 1989 - 1996 Ion Iliescu Romênia Eleição Geral Romênica, 1996 Retornou ao cargo após 2000 eleições. 1981 - 2000 ABDOU DIOUF ELEÇÃO PRESIDENTAL SENEGALESA SENEGALEGAL, 2000 1996 - 2001 PETAR STOYANOV BULGARIA BULGERIA Presideial Election, 2001 1998 - 2003 Valdas Adamkus Lituânia Lituânia Eleição Presidencial, 2002 - 2003 Returned to Office em 2004. 2000 - 2004 Hipólito Mejía Eleição presidencial da República Dominicana da República Dominicana, 2004 2001 - 2004 MEGAWATI SUKARNOPUTRI Indonésia Eleição presidencial indonésia, 2004 também perdeu a eleição de 2009. 1999 - 2004 Rudolf Schuster Eslováquia Eleição Presidencial Eslovaca, 2004 2001 - 2006 Eleição presidencial da Estônia Estonia, 2006, 2005 - 2009 Nambyn Enkhbayar Mongolia Mongolian Presidencial Election Election, 2009 2000 - 2011 2011 2011 2011 - 2010 Dahir Riyale Kahin Somalilândia Somalilândia Eleição presidencial, 2010 2004 - 2010 Viktor Yushchenko Ucrânia Eleição Presidencial Ucraniana, 2010 2007 - 2011 Valdis Zatlers Latvia General Election Election, 2011 2008 - 2011 - 2011 - 2011 - 2012 Nicolas Sarkozy France Eleição presidencial francesa, 2012 também foi executada em 2017, mas perdeu a primária dos republicanos. 2000 - 2012 Abdoulaye Wade Senegal Senegalês Eleição Presidencial, 2012 2004 - 2012 Boris Tadić Eleição Presidencial Sérvia Sérvia, 2012 2007 - 2012 Danilo Türk Slovenia Slovenian Election, 2012 2012 - 2014 Joyce Banda Banda. - 2015 IVO Josipović Croácia Eleição Presidencial Croata, 2014 - 15 2010 - 2015 Goodluck Jonathan Nigéria Eleição presidencial nigeriana, 2015 2015 - 2015 Bronisław Komorowski Polônia Eleição Presidente, 2015 - 1994, 2017, Yahya Jammeh The Giant Giannial 2012 - 2017 JOHN MAHAMA GANA GANAIANA ELEÇÃO GERAL, 2016 2011 - 2016 Manuel Pinto da Costa São Tomé e Príncipe São Toméan Eleição Presidencial, 2016 2011 - 2016 Yevgeny Shevchuk Transnistria Eleição Presidencial Transnistria Eleição presidencial somali, 2017 2012 - 2017 Leonid Tibilov South Ossétia Eleição presidencial do osso sul, 2017</v>
      </c>
    </row>
    <row r="164" customFormat="false" ht="15.75" hidden="false" customHeight="true" outlineLevel="0" collapsed="false">
      <c r="A164" s="3" t="n">
        <v>161</v>
      </c>
      <c r="B164" s="5" t="s">
        <v>487</v>
      </c>
      <c r="C164" s="5" t="s">
        <v>488</v>
      </c>
      <c r="D164" s="5" t="s">
        <v>489</v>
      </c>
      <c r="E164" s="4" t="str">
        <f aca="false">IFERROR(__xludf.dummyfunction("GOOGLETRANSLATE(C165)"),"O disco Xbox 360 funcionará no Xbox One")</f>
        <v>O disco Xbox 360 funcionará no Xbox One</v>
      </c>
      <c r="F164" s="5" t="str">
        <f aca="false">IFERROR(__xludf.dummyfunction("GOOGLETRANSLATE(D164)")," A Baily Bridge é a ponte na maior elevação do mundo. Esta ponte está localizada nas montanhas do Himalaia entre o rio Dras e o rio Suru, no vale de Ladakh, no estado indiano de Jammu e Caxemira. Tem 30 metros (98 pés) de comprimento e tem uma altitude de"&amp;" 5.602 metros (18.379 pés) acima do nível médio do mar. É uma ponte Bailey construída em 1982 pelo exército indiano.")</f>
        <v> A Baily Bridge é a ponte na maior elevação do mundo. Esta ponte está localizada nas montanhas do Himalaia entre o rio Dras e o rio Suru, no vale de Ladakh, no estado indiano de Jammu e Caxemira. Tem 30 metros (98 pés) de comprimento e tem uma altitude de 5.602 metros (18.379 pés) acima do nível médio do mar. É uma ponte Bailey construída em 1982 pelo exército indiano.</v>
      </c>
    </row>
    <row r="165" customFormat="false" ht="15.75" hidden="false" customHeight="true" outlineLevel="0" collapsed="false">
      <c r="A165" s="3" t="n">
        <v>162</v>
      </c>
      <c r="B165" s="5" t="s">
        <v>490</v>
      </c>
      <c r="C165" s="5" t="s">
        <v>491</v>
      </c>
      <c r="D165" s="5" t="s">
        <v>492</v>
      </c>
      <c r="E165" s="4" t="str">
        <f aca="false">IFERROR(__xludf.dummyfunction("GOOGLETRANSLATE(C166)"),"quem escreveu um artigo sobre finanças de guerra intitulado como pagar pela guerra")</f>
        <v>quem escreveu um artigo sobre finanças de guerra intitulado como pagar pela guerra</v>
      </c>
      <c r="F165" s="5" t="str">
        <f aca="false">IFERROR(__xludf.dummyfunction("GOOGLETRANSLATE(D165)")," O console de jogos Xbox One recebeu atualizações da Microsoft desde o seu lançamento em 2013, que permite jogar jogos selecionados de seus dois consoles antecessores, Xbox e Xbox 360. Em 15 de junho de 2015, a compatibilidade com versões anteriores com o"&amp;"s jogos do Xbox 360 suportado tornou -se disponível para os usuários elegíveis do programa de visualização do Xbox com uma atualização beta para o software Xbox One System. A atualização do painel contendo compatibilidade com versões anteriores foi lançad"&amp;"a publicamente em 12 de novembro de 2015. Em 24 de outubro de 2017, outra atualização adicionou jogos da biblioteca Xbox original. A seguir, é apresentada uma lista de todos os jogos compatíveis com versões anteriores no Xbox One nessa funcionalidade.")</f>
        <v> O console de jogos Xbox One recebeu atualizações da Microsoft desde o seu lançamento em 2013, que permite jogar jogos selecionados de seus dois consoles antecessores, Xbox e Xbox 360. Em 15 de junho de 2015, a compatibilidade com versões anteriores com os jogos do Xbox 360 suportado tornou -se disponível para os usuários elegíveis do programa de visualização do Xbox com uma atualização beta para o software Xbox One System. A atualização do painel contendo compatibilidade com versões anteriores foi lançada publicamente em 12 de novembro de 2015. Em 24 de outubro de 2017, outra atualização adicionou jogos da biblioteca Xbox original. A seguir, é apresentada uma lista de todos os jogos compatíveis com versões anteriores no Xbox One nessa funcionalidade.</v>
      </c>
    </row>
    <row r="166" customFormat="false" ht="15.75" hidden="false" customHeight="true" outlineLevel="0" collapsed="false">
      <c r="A166" s="3" t="n">
        <v>163</v>
      </c>
      <c r="B166" s="5" t="s">
        <v>493</v>
      </c>
      <c r="C166" s="5" t="s">
        <v>494</v>
      </c>
      <c r="D166" s="5" t="s">
        <v>495</v>
      </c>
      <c r="E166" s="4" t="str">
        <f aca="false">IFERROR(__xludf.dummyfunction("GOOGLETRANSLATE(C167)"),"Onde os Cavs tocavam antes da arena Gund")</f>
        <v>Onde os Cavs tocavam antes da arena Gund</v>
      </c>
      <c r="F166" s="5" t="str">
        <f aca="false">IFERROR(__xludf.dummyfunction("GOOGLETRANSLATE(D166)")," Como pagar pela guerra: um plano radical para o chanceler do tesouro é um livro de John Maynard Keynes, publicado em 1940 por Macmillan and Co., Ltd ... É uma aplicação de pensamento e princípios keynesianos a uma economia prática em prática problema e u"&amp;"m texto relativamente tardio. Keynes morreu em 1946.")</f>
        <v> Como pagar pela guerra: um plano radical para o chanceler do tesouro é um livro de John Maynard Keynes, publicado em 1940 por Macmillan and Co., Ltd ... É uma aplicação de pensamento e princípios keynesianos a uma economia prática em prática problema e um texto relativamente tardio. Keynes morreu em 1946.</v>
      </c>
    </row>
    <row r="167" customFormat="false" ht="15.75" hidden="false" customHeight="true" outlineLevel="0" collapsed="false">
      <c r="A167" s="3" t="n">
        <v>164</v>
      </c>
      <c r="B167" s="5" t="s">
        <v>496</v>
      </c>
      <c r="C167" s="5" t="s">
        <v>497</v>
      </c>
      <c r="D167" s="5" t="s">
        <v>498</v>
      </c>
      <c r="E167" s="4" t="str">
        <f aca="false">IFERROR(__xludf.dummyfunction("GOOGLETRANSLATE(C168)"),"A Proibição da 3ª Emenda de Soldados Forçados")</f>
        <v>A Proibição da 3ª Emenda de Soldados Forçados</v>
      </c>
      <c r="F167" s="5" t="str">
        <f aca="false">IFERROR(__xludf.dummyfunction("GOOGLETRANSLATE(D167)")," A arena foi inaugurada em outubro de 1994 como parte do complexo de esportes e entretenimento Gateway com campo progressivo adjacente, que foi inaugurado em abril daquele ano. É nomeado para os empréstimos do Chender Ricken, cujo presidente e fundador é "&amp;"Dan Gilbert, o proprietário majoritário dos Cavaliers, Monstros e Gladiadores. Desde sua abertura até agosto de 2005, era conhecida como Gund Arena, nomeada para o ex -proprietário do Cavaliers, Gordon Gund, depois que ele pagou pelos direitos de nomencla"&amp;"tura. O Q substituiu o Coliseu de Richfield como a principal instalação de entretenimento da região e a casa dos Cavaliers e suplantou o Wolstein Center na Cleveland State University, que foi inaugurado em 1990, como o concerto principal e o local atlétic"&amp;"o no centro de Cleveland.")</f>
        <v> A arena foi inaugurada em outubro de 1994 como parte do complexo de esportes e entretenimento Gateway com campo progressivo adjacente, que foi inaugurado em abril daquele ano. É nomeado para os empréstimos do Chender Ricken, cujo presidente e fundador é Dan Gilbert, o proprietário majoritário dos Cavaliers, Monstros e Gladiadores. Desde sua abertura até agosto de 2005, era conhecida como Gund Arena, nomeada para o ex -proprietário do Cavaliers, Gordon Gund, depois que ele pagou pelos direitos de nomenclatura. O Q substituiu o Coliseu de Richfield como a principal instalação de entretenimento da região e a casa dos Cavaliers e suplantou o Wolstein Center na Cleveland State University, que foi inaugurado em 1990, como o concerto principal e o local atlético no centro de Cleveland.</v>
      </c>
    </row>
    <row r="168" customFormat="false" ht="15.75" hidden="false" customHeight="true" outlineLevel="0" collapsed="false">
      <c r="A168" s="3" t="n">
        <v>165</v>
      </c>
      <c r="B168" s="5" t="s">
        <v>499</v>
      </c>
      <c r="C168" s="5" t="s">
        <v>500</v>
      </c>
      <c r="D168" s="5" t="s">
        <v>501</v>
      </c>
      <c r="E168" s="4" t="str">
        <f aca="false">IFERROR(__xludf.dummyfunction("GOOGLETRANSLATE(C169)"),"que venceu a corrida armamentista na Guerra Fria")</f>
        <v>que venceu a corrida armamentista na Guerra Fria</v>
      </c>
      <c r="F168" s="5" t="str">
        <f aca="false">IFERROR(__xludf.dummyfunction("GOOGLETRANSLATE(D168)")," A Terceira Emenda (Emenda III) à Constituição dos Estados Unidos coloca restrições ao trimestre de soldados em casas particulares sem o consentimento do proprietário, proibindo a prática em tempo de paz. A emenda é uma resposta a atos de trimestre aprova"&amp;"dos pelo Parlamento Britânico durante o acúmulo da Guerra Revolucionária Americana, que havia permitido ao Exército Britânico apresentar soldados em residências particulares.")</f>
        <v> A Terceira Emenda (Emenda III) à Constituição dos Estados Unidos coloca restrições ao trimestre de soldados em casas particulares sem o consentimento do proprietário, proibindo a prática em tempo de paz. A emenda é uma resposta a atos de trimestre aprovados pelo Parlamento Britânico durante o acúmulo da Guerra Revolucionária Americana, que havia permitido ao Exército Britânico apresentar soldados em residências particulares.</v>
      </c>
    </row>
    <row r="169" customFormat="false" ht="15.75" hidden="false" customHeight="true" outlineLevel="0" collapsed="false">
      <c r="A169" s="3" t="n">
        <v>166</v>
      </c>
      <c r="B169" s="5" t="s">
        <v>502</v>
      </c>
      <c r="C169" s="5" t="s">
        <v>503</v>
      </c>
      <c r="D169" s="5" t="s">
        <v>504</v>
      </c>
      <c r="E169" s="4" t="str">
        <f aca="false">IFERROR(__xludf.dummyfunction("GOOGLETRANSLATE(C170)"),"quem tem a bola rápida mais rápida na MLB")</f>
        <v>quem tem a bola rápida mais rápida na MLB</v>
      </c>
      <c r="F169" s="5" t="str">
        <f aca="false">IFERROR(__xludf.dummyfunction("GOOGLETRANSLATE(D169)")," Ao longo da década de 1970, a União Soviética e os Estados Unidos substituíram mísseis e ogivas antigos por novos, mais poderosos e eficazes. Isso continuou a piorar as relações soviéticas - dos EUA. Em 18 de junho de 1979, o tratado Salt II foi assinado"&amp;" em Viena. Este tratado limitou os arsenais nucleares de ambos os lados. No entanto, esse tratado, bem como a era do Détente, terminou com a invasão do Afeganistão pela União Soviética em janeiro de 1980. Os Estados Unidos mais uma vez aumentaram signific"&amp;"ativamente os gastos militares e nucleares, enquanto os soviéticos não conseguiram responder e continuaram a perseguir o Détente.")</f>
        <v> Ao longo da década de 1970, a União Soviética e os Estados Unidos substituíram mísseis e ogivas antigos por novos, mais poderosos e eficazes. Isso continuou a piorar as relações soviéticas - dos EUA. Em 18 de junho de 1979, o tratado Salt II foi assinado em Viena. Este tratado limitou os arsenais nucleares de ambos os lados. No entanto, esse tratado, bem como a era do Détente, terminou com a invasão do Afeganistão pela União Soviética em janeiro de 1980. Os Estados Unidos mais uma vez aumentaram significativamente os gastos militares e nucleares, enquanto os soviéticos não conseguiram responder e continuaram a perseguir o Détente.</v>
      </c>
    </row>
    <row r="170" customFormat="false" ht="15.75" hidden="false" customHeight="true" outlineLevel="0" collapsed="false">
      <c r="A170" s="3" t="n">
        <v>167</v>
      </c>
      <c r="B170" s="5" t="s">
        <v>505</v>
      </c>
      <c r="C170" s="5" t="s">
        <v>506</v>
      </c>
      <c r="D170" s="5" t="s">
        <v>507</v>
      </c>
      <c r="E170" s="4" t="str">
        <f aca="false">IFERROR(__xludf.dummyfunction("GOOGLETRANSLATE(C171)"),"Onde a celebração de Cinco de Mayo se originou")</f>
        <v>Onde a celebração de Cinco de Mayo se originou</v>
      </c>
      <c r="F170" s="5" t="str">
        <f aca="false">IFERROR(__xludf.dummyfunction("GOOGLETRANSLATE(D170)")," Em 11 de julho de 2014, Chapman quebrou o recorde, previamente detido por Bruce Sutter, pelas aparições mais consecutivas com um strikeout, tendo lançado pelo menos um batedor em 40 aparições consecutivas. A sequência de Chapman começou em 21 de agosto d"&amp;"e 2013 e durou 49 jogos consecutivos em duas temporadas, com o 49º e último jogo em 13 de agosto de 2014. Ele compartilha o recorde da velocidade de afinação mais rápida registrada na história da MLB, a 105,1 milhas por hora (169,1 km / h), bem como o rec"&amp;"orde mundial do Guinness para o campo de beisebol mais rápido.")</f>
        <v> Em 11 de julho de 2014, Chapman quebrou o recorde, previamente detido por Bruce Sutter, pelas aparições mais consecutivas com um strikeout, tendo lançado pelo menos um batedor em 40 aparições consecutivas. A sequência de Chapman começou em 21 de agosto de 2013 e durou 49 jogos consecutivos em duas temporadas, com o 49º e último jogo em 13 de agosto de 2014. Ele compartilha o recorde da velocidade de afinação mais rápida registrada na história da MLB, a 105,1 milhas por hora (169,1 km / h), bem como o recorde mundial do Guinness para o campo de beisebol mais rápido.</v>
      </c>
    </row>
    <row r="171" customFormat="false" ht="15.75" hidden="false" customHeight="true" outlineLevel="0" collapsed="false">
      <c r="A171" s="3" t="n">
        <v>168</v>
      </c>
      <c r="B171" s="5" t="s">
        <v>508</v>
      </c>
      <c r="C171" s="5" t="s">
        <v>509</v>
      </c>
      <c r="D171" s="5" t="s">
        <v>510</v>
      </c>
      <c r="E171" s="4" t="str">
        <f aca="false">IFERROR(__xludf.dummyfunction("GOOGLETRANSLATE(C172)"),"Onde está o vale de San Joaquin localizado em um mapa")</f>
        <v>Onde está o vale de San Joaquin localizado em um mapa</v>
      </c>
      <c r="F171" s="5" t="str">
        <f aca="false">IFERROR(__xludf.dummyfunction("GOOGLETRANSLATE(D171)")," Cinco de Mayo (pronunciado (ˈsiŋko ðe ˈmaʝo) na América Latina, espanhol para `` quinto de maio '') é uma celebração anual realizada em 5 de maio. Observa -se que a data comemora a improvável vitória do exército mexicano sobre o Império Francês na Batalh"&amp;"a de Puebla, em 5 de maio de 1862, sob a liderança do general Ignacio Zaragoza.")</f>
        <v> Cinco de Mayo (pronunciado (ˈsiŋko ðe ˈmaʝo) na América Latina, espanhol para `` quinto de maio '') é uma celebração anual realizada em 5 de maio. Observa -se que a data comemora a improvável vitória do exército mexicano sobre o Império Francês na Batalha de Puebla, em 5 de maio de 1862, sob a liderança do general Ignacio Zaragoza.</v>
      </c>
    </row>
    <row r="172" customFormat="false" ht="15.75" hidden="false" customHeight="true" outlineLevel="0" collapsed="false">
      <c r="A172" s="3" t="n">
        <v>169</v>
      </c>
      <c r="B172" s="5" t="s">
        <v>511</v>
      </c>
      <c r="C172" s="5" t="s">
        <v>512</v>
      </c>
      <c r="D172" s="5" t="s">
        <v>513</v>
      </c>
      <c r="E172" s="4" t="str">
        <f aca="false">IFERROR(__xludf.dummyfunction("GOOGLETRANSLATE(C173)"),"Qual é o termo adequado usado para a assinatura dada por celebridades a seus fãs")</f>
        <v>Qual é o termo adequado usado para a assinatura dada por celebridades a seus fãs</v>
      </c>
      <c r="F172" s="5" t="str">
        <f aca="false">IFERROR(__xludf.dummyfunction("GOOGLETRANSLATE(D172)")," O vale de San Joaquin ( / ˌsæn hw ː ˈkiːn / San Whah - Keen) é a área do vale central do Estado dos EUA da Califórnia, que fica ao sul do Sacramento - San Joaquin River Delta e é drenado pelo rio San Joaquin. Compreende sete condados do norte da Califórn"&amp;"ia - todos do condado de Kings; A maioria dos condados de Fresno, Merced, Stanislaus; Segmentos dos condados de Madera e Tulare - e a maioria do condado de Kern, no sul da Califórnia. Embora a maioria do vale seja rural, ele contém cidades como Fresno, Ba"&amp;"kersfield, Stockton, Modesto, Turlock, Porterville, Visalia, Merced e Hanford.")</f>
        <v> O vale de San Joaquin ( / ˌsæn hw ː ˈkiːn / San Whah - Keen) é a área do vale central do Estado dos EUA da Califórnia, que fica ao sul do Sacramento - San Joaquin River Delta e é drenado pelo rio San Joaquin. Compreende sete condados do norte da Califórnia - todos do condado de Kings; A maioria dos condados de Fresno, Merced, Stanislaus; Segmentos dos condados de Madera e Tulare - e a maioria do condado de Kern, no sul da Califórnia. Embora a maioria do vale seja rural, ele contém cidades como Fresno, Bakersfield, Stockton, Modesto, Turlock, Porterville, Visalia, Merced e Hanford.</v>
      </c>
    </row>
    <row r="173" customFormat="false" ht="15.75" hidden="false" customHeight="true" outlineLevel="0" collapsed="false">
      <c r="A173" s="3" t="n">
        <v>170</v>
      </c>
      <c r="B173" s="5" t="s">
        <v>514</v>
      </c>
      <c r="C173" s="5" t="s">
        <v>515</v>
      </c>
      <c r="D173" s="5" t="s">
        <v>516</v>
      </c>
      <c r="E173" s="4" t="str">
        <f aca="false">IFERROR(__xludf.dummyfunction("GOOGLETRANSLATE(C174)"),"quem é dono de Willy Wonka e a fábrica de chocolate")</f>
        <v>quem é dono de Willy Wonka e a fábrica de chocolate</v>
      </c>
      <c r="F173" s="5" t="str">
        <f aca="false">IFERROR(__xludf.dummyfunction("GOOGLETRANSLATE(D173)")," O autógrafo também se refere à assinatura artística de uma pessoa famosa. Este termo é usado em particular para a prática de coletar autógrafos de celebridades. O hobby de coletar autógrafos é conhecido como filografia.")</f>
        <v> O autógrafo também se refere à assinatura artística de uma pessoa famosa. Este termo é usado em particular para a prática de coletar autógrafos de celebridades. O hobby de coletar autógrafos é conhecido como filografia.</v>
      </c>
    </row>
    <row r="174" customFormat="false" ht="15.75" hidden="false" customHeight="true" outlineLevel="0" collapsed="false">
      <c r="A174" s="3" t="n">
        <v>171</v>
      </c>
      <c r="B174" s="5" t="s">
        <v>517</v>
      </c>
      <c r="C174" s="5" t="s">
        <v>518</v>
      </c>
      <c r="D174" s="5" t="s">
        <v>519</v>
      </c>
      <c r="E174" s="4" t="str">
        <f aca="false">IFERROR(__xludf.dummyfunction("GOOGLETRANSLATE(C175)"),"quem dirigiu o signo do videoclipe do Times")</f>
        <v>quem dirigiu o signo do videoclipe do Times</v>
      </c>
      <c r="F174" s="5" t="str">
        <f aca="false">IFERROR(__xludf.dummyfunction("GOOGLETRANSLATE(D174)")," O filme conta a história de Charlie Bucket (Peter Ostrum), enquanto ele recebe uma passagem de ouro e visita a fábrica de chocolate de Willy Wonka com outras quatro crianças de todo o mundo. As filmagens ocorreram em Munique em 1970, e o filme foi lançad"&amp;"o pela Paramount Pictures em 30 de junho de 1971. Com um orçamento de apenas US $ 3 milhões, o filme recebeu críticas geralmente positivas e ganhou US $ 4 milhões até o final de sua corrida original. A Paramount distribuiu o filme até 1977 e, a partir da "&amp;"década de 1980, a Warner Bros. assumiu o controle dos direitos para fins de entretenimento doméstico. O filme ganhou US $ 21 milhões durante seu relançamento pela Warner Bros. sob sua bandeira de entretenimento familiar em 1996. O filme tornou -se altamen"&amp;"te popular em parte através de repetidas exibições na televisão e vendas de entretenimento doméstico. Em 1972, o filme recebeu uma indicação ao Oscar de melhor trilha sonora original, e Wilder foi nomeado para um Globo de Ouro como Melhor Ator em um Music"&amp;"al ou Comédia, mas perdeu ambos para Fiddler no telhado. O filme também apresentou a música `` The Candy Man '', que se tornou um sucesso popular quando gravado por Sammy Davis Jr. Em 2014, o filme foi selecionado para preservação no Registro Nacional de "&amp;"Cinema dos Estados Unidos pela Biblioteca do Congresso como sendo `` cultural, historicamente ou esteticamente significativo ''.")</f>
        <v> O filme conta a história de Charlie Bucket (Peter Ostrum), enquanto ele recebe uma passagem de ouro e visita a fábrica de chocolate de Willy Wonka com outras quatro crianças de todo o mundo. As filmagens ocorreram em Munique em 1970, e o filme foi lançado pela Paramount Pictures em 30 de junho de 1971. Com um orçamento de apenas US $ 3 milhões, o filme recebeu críticas geralmente positivas e ganhou US $ 4 milhões até o final de sua corrida original. A Paramount distribuiu o filme até 1977 e, a partir da década de 1980, a Warner Bros. assumiu o controle dos direitos para fins de entretenimento doméstico. O filme ganhou US $ 21 milhões durante seu relançamento pela Warner Bros. sob sua bandeira de entretenimento familiar em 1996. O filme tornou -se altamente popular em parte através de repetidas exibições na televisão e vendas de entretenimento doméstico. Em 1972, o filme recebeu uma indicação ao Oscar de melhor trilha sonora original, e Wilder foi nomeado para um Globo de Ouro como Melhor Ator em um Musical ou Comédia, mas perdeu ambos para Fiddler no telhado. O filme também apresentou a música `` The Candy Man '', que se tornou um sucesso popular quando gravado por Sammy Davis Jr. Em 2014, o filme foi selecionado para preservação no Registro Nacional de Cinema dos Estados Unidos pela Biblioteca do Congresso como sendo `` cultural, historicamente ou esteticamente significativo ''.</v>
      </c>
    </row>
    <row r="175" customFormat="false" ht="15.75" hidden="false" customHeight="true" outlineLevel="0" collapsed="false">
      <c r="A175" s="3" t="n">
        <v>172</v>
      </c>
      <c r="B175" s="5" t="s">
        <v>520</v>
      </c>
      <c r="C175" s="5" t="s">
        <v>521</v>
      </c>
      <c r="D175" s="5" t="s">
        <v>522</v>
      </c>
      <c r="E175" s="4" t="str">
        <f aca="false">IFERROR(__xludf.dummyfunction("GOOGLETRANSLATE(C176)"),"que interpreta Cinderela em Once Upon a Time 2017")</f>
        <v>que interpreta Cinderela em Once Upon a Time 2017</v>
      </c>
      <c r="F175" s="5" t="str">
        <f aca="false">IFERROR(__xludf.dummyfunction("GOOGLETRANSLATE(D175)")," Dirigido por Woodkid, o videoclipe da música foi lançado em 8 de maio. Possui estilos cantando em um prado e voando nos céus, andando na água. Um escritor do USA Today descreveu os Styles como `` fazendo uma audição para ser a Marvel Comics Next Super -h"&amp;"erói ou em um novo épico bíblico ''. Foi filmado na Ilha de Skye, na Escócia. O piloto de dublês do vídeo, Will Banks, afirmou que os estilos voaram mais de 1.550 pés de altura durante as filmagens. Os bancos também alegaram que nenhum efeito de tela verd"&amp;"e ou CGI foram empregados durante as filmagens. Um dublê duplo foi usado para algumas cenas.")</f>
        <v> Dirigido por Woodkid, o videoclipe da música foi lançado em 8 de maio. Possui estilos cantando em um prado e voando nos céus, andando na água. Um escritor do USA Today descreveu os Styles como `` fazendo uma audição para ser a Marvel Comics Next Super -herói ou em um novo épico bíblico ''. Foi filmado na Ilha de Skye, na Escócia. O piloto de dublês do vídeo, Will Banks, afirmou que os estilos voaram mais de 1.550 pés de altura durante as filmagens. Os bancos também alegaram que nenhum efeito de tela verde ou CGI foram empregados durante as filmagens. Um dublê duplo foi usado para algumas cenas.</v>
      </c>
    </row>
    <row r="176" customFormat="false" ht="15.75" hidden="false" customHeight="true" outlineLevel="0" collapsed="false">
      <c r="A176" s="3" t="n">
        <v>173</v>
      </c>
      <c r="B176" s="5" t="s">
        <v>523</v>
      </c>
      <c r="C176" s="5" t="s">
        <v>524</v>
      </c>
      <c r="D176" s="5" t="s">
        <v>525</v>
      </c>
      <c r="E176" s="4" t="str">
        <f aca="false">IFERROR(__xludf.dummyfunction("GOOGLETRANSLATE(C177)"),"Quem interpreta Jon Snow em Game of Thrones")</f>
        <v>Quem interpreta Jon Snow em Game of Thrones</v>
      </c>
      <c r="F176" s="5" t="str">
        <f aca="false">IFERROR(__xludf.dummyfunction("GOOGLETRANSLATE(D176)")," Dania Ramirez como Cinderela / Jaconda")</f>
        <v> Dania Ramirez como Cinderela / Jaconda</v>
      </c>
    </row>
    <row r="177" customFormat="false" ht="15.75" hidden="false" customHeight="true" outlineLevel="0" collapsed="false">
      <c r="A177" s="3" t="n">
        <v>174</v>
      </c>
      <c r="B177" s="5" t="s">
        <v>526</v>
      </c>
      <c r="C177" s="5" t="s">
        <v>527</v>
      </c>
      <c r="D177" s="5" t="s">
        <v>528</v>
      </c>
      <c r="E177" s="4" t="str">
        <f aca="false">IFERROR(__xludf.dummyfunction("GOOGLETRANSLATE(C178)"),"qual termo é definido como a chance de um determinado evento ocorrer")</f>
        <v>qual termo é definido como a chance de um determinado evento ocorrer</v>
      </c>
      <c r="F177" s="5" t="str">
        <f aca="false">IFERROR(__xludf.dummyfunction("GOOGLETRANSLATE(D177)")," Christopher Catesby `` kit '' Harington (nascido em 26 de dezembro de 1986) é um ator e produtor inglês. Nascido em Acton, na Grande Londres, Harington começou sua carreira no teatro. Seu primeiro papel foi na adaptação do cavalo de guerra do National Th"&amp;"eatre. Sua estréia no cinema foi em Silent Hill: Revelation (2012). Desde então, ele apareceu em vários longas -metragens, como The Historical Romance Film Pompeii (2014), The Computer - Animated Film How To Train Your Dragon 2 (2014) e The British Drama "&amp;"Film Testament of Youth (2014).")</f>
        <v> Christopher Catesby `` kit '' Harington (nascido em 26 de dezembro de 1986) é um ator e produtor inglês. Nascido em Acton, na Grande Londres, Harington começou sua carreira no teatro. Seu primeiro papel foi na adaptação do cavalo de guerra do National Theatre. Sua estréia no cinema foi em Silent Hill: Revelation (2012). Desde então, ele apareceu em vários longas -metragens, como The Historical Romance Film Pompeii (2014), The Computer - Animated Film How To Train Your Dragon 2 (2014) e The British Drama Film Testament of Youth (2014).</v>
      </c>
    </row>
    <row r="178" customFormat="false" ht="15.75" hidden="false" customHeight="true" outlineLevel="0" collapsed="false">
      <c r="A178" s="3" t="n">
        <v>175</v>
      </c>
      <c r="B178" s="5" t="s">
        <v>529</v>
      </c>
      <c r="C178" s="5" t="s">
        <v>530</v>
      </c>
      <c r="D178" s="5" t="s">
        <v>531</v>
      </c>
      <c r="E178" s="4" t="str">
        <f aca="false">IFERROR(__xludf.dummyfunction("GOOGLETRANSLATE(C179)"),"elenco da versão de 1940 de orgulho e preconceito")</f>
        <v>elenco da versão de 1940 de orgulho e preconceito</v>
      </c>
      <c r="F178" s="5" t="str">
        <f aca="false">IFERROR(__xludf.dummyfunction("GOOGLETRANSLATE(D178)")," A probabilidade é a medida da probabilidade de ocorrer um evento. Veja Glossário de Probabilidade e Estatística. A probabilidade é quantificada como um número entre 0 e 1, onde, frouxamente, 0 indica impossibilidade e 1 indica certeza. Quanto maior a pro"&amp;"babilidade de um evento, maior a probabilidade de o evento ocorrer. Um exemplo simples é o lançamento de uma moeda justa (imparcial). Como a moeda é justa, os dois resultados (`` cabeças '' e `` caudas '') são igualmente prováveis; A probabilidade de `` c"&amp;"abeças '' é igual à probabilidade de `` caudas ''; E como nenhum outro resultado é possível, a probabilidade de `` cabeças '' ou `` caudas '' é de 1/2 (que também pode ser escrita como 0,5 ou 50 %).")</f>
        <v> A probabilidade é a medida da probabilidade de ocorrer um evento. Veja Glossário de Probabilidade e Estatística. A probabilidade é quantificada como um número entre 0 e 1, onde, frouxamente, 0 indica impossibilidade e 1 indica certeza. Quanto maior a probabilidade de um evento, maior a probabilidade de o evento ocorrer. Um exemplo simples é o lançamento de uma moeda justa (imparcial). Como a moeda é justa, os dois resultados (`` cabeças '' e `` caudas '') são igualmente prováveis; A probabilidade de `` cabeças '' é igual à probabilidade de `` caudas ''; E como nenhum outro resultado é possível, a probabilidade de `` cabeças '' ou `` caudas '' é de 1/2 (que também pode ser escrita como 0,5 ou 50 %).</v>
      </c>
    </row>
    <row r="179" customFormat="false" ht="15.75" hidden="false" customHeight="true" outlineLevel="0" collapsed="false">
      <c r="A179" s="3" t="n">
        <v>176</v>
      </c>
      <c r="B179" s="5" t="s">
        <v>532</v>
      </c>
      <c r="C179" s="5" t="s">
        <v>533</v>
      </c>
      <c r="D179" s="5" t="s">
        <v>534</v>
      </c>
      <c r="E179" s="4" t="str">
        <f aca="false">IFERROR(__xludf.dummyfunction("GOOGLETRANSLATE(C180)"),"Quando eles descobrem sobre Emily 90210")</f>
        <v>Quando eles descobrem sobre Emily 90210</v>
      </c>
      <c r="F179" s="5" t="str">
        <f aca="false">IFERROR(__xludf.dummyfunction("GOOGLETRANSLATE(D179)"),"  Gerer Garson Elizabeth Bennet Laurence Olivier como Fitzwilliam Darcy Mary Boland como a Sra. Bennet Edna May Oliver como Lady Catherine de Bourgh Maureen O'Sullivan como Jane Bennet Ann Rutherford como Lydia Bennet Keten Keten, como Caroline Bingley Ed"&amp;"mund Gwenn Gwenn Charlotte Lucas Collins Heather Angel como Kitty Bennet Marsha Hunt como Mary Bennet Melville Cooper como o Sr. Collins Edward Ashley Cooper como George Wickham Bruce Lester como Sr. Bingley E.E. Clive como Sir Willam Lucas Marjorie Wood "&amp;"como Lady Lucas Vernon como Captain Carter Carter")</f>
        <v>  Gerer Garson Elizabeth Bennet Laurence Olivier como Fitzwilliam Darcy Mary Boland como a Sra. Bennet Edna May Oliver como Lady Catherine de Bourgh Maureen O'Sullivan como Jane Bennet Ann Rutherford como Lydia Bennet Keten Keten, como Caroline Bingley Edmund Gwenn Gwenn Charlotte Lucas Collins Heather Angel como Kitty Bennet Marsha Hunt como Mary Bennet Melville Cooper como o Sr. Collins Edward Ashley Cooper como George Wickham Bruce Lester como Sr. Bingley E.E. Clive como Sir Willam Lucas Marjorie Wood como Lady Lucas Vernon como Captain Carter Carter</v>
      </c>
    </row>
    <row r="180" customFormat="false" ht="15.75" hidden="false" customHeight="true" outlineLevel="0" collapsed="false">
      <c r="A180" s="3" t="n">
        <v>177</v>
      </c>
      <c r="B180" s="5" t="s">
        <v>535</v>
      </c>
      <c r="C180" s="5" t="s">
        <v>536</v>
      </c>
      <c r="D180" s="5" t="s">
        <v>537</v>
      </c>
      <c r="E180" s="4" t="str">
        <f aca="false">IFERROR(__xludf.dummyfunction("GOOGLETRANSLATE(C181)"),"que ganhou mais Copas de Ouro da Concacaf")</f>
        <v>que ganhou mais Copas de Ouro da Concacaf</v>
      </c>
      <c r="F180" s="5" t="str">
        <f aca="false">IFERROR(__xludf.dummyfunction("GOOGLETRANSLATE(D180)"),"   Não . No. no título geral do título de temporada, dirigido por escrito pelos espectadores originais da Data Aérea dos EUA (milhões) 47 `` Senior Year, Baby '' Stuart Gillard Jennie Snyder Urman 13 de setembro de 2010 (2010 - 09 - 13) 1.96 Beverly Hills"&amp;" é abalada por An AN Terremoto durante o primeiro dia do ano letivo. Naomi passou o verão isoladamente, lidando com as consequências de seu estupro pelo Sr. Cannon e mantendo -o em segredo. Annie e Dixon estão lidando com a ausência de seu pai, que saiu d"&amp;"a família, enquanto Debbie tenta manter a família unida sem Harry e um emprego. Enquanto isso, Teddy e Silver ficam mais felizes do que nunca até sofrer uma lesão na perna que pode acabar com sua carreira de tênis para sempre. Annie solicita um estágio em"&amp;" uma companhia de teatro local chamada The Abbott Playhouse. Navid recebe Adrianna de volta de sua turnê com Javier, mas a chegada deles traz uma morte inesperada. Ivy retorna da Austrália com ela uma velha amiga de infância, chamada Oscar, que deixa Dixo"&amp;"n desconfortável. Em outros lugares, Annie e Liam enfrentam seus sentimentos um pelo outro. 48 `` Age of Heritância '' Liz Friedlander Padma L. Atluri 20 de setembro de 2010 (2010 - 09 - 20) 1,83 Depois de completar dezoito anos, Naomi descobre que agora "&amp;"pode acessar o dinheiro em seu grande fundo fiduciário, então ela decide jogar ela mesma uma grande festa de aniversário no Beach Club, onde contrata a banda do Honey Brothers para se apresentar. Enquanto isso, Dixon, Navid e Teddy decidem levar Oscar par"&amp;"a uma noite na cidade, mas a festa deles termina quando Ivy encontra uma foto do Facebook de um Dixon bêbado fazendo um corpo tiro de uma garota. Annie tem uma conexão instantânea com Charlie, um cara que ela conhece em uma cafeteria. Jen é forçada a ir p"&amp;"ara a cama até que ela entregue o bebê e não tenha escolha a não ser permitir que Ryan entre em sua vida. Em outros lugares, Adrianna usa o livro de músicas de Javier para voltar a favor da gravadora. Adrian Grenier, do Entourage, se apresenta com sua ban"&amp;"da na festa de aniversário de Naomi. 49 `` 2021 Vision '' Millicent Shelton Tod Himmel 27 de setembro de 2010 (2010 - 09 - 27) 1,96 Naomi tem flashbacks constantes em seu estupro e começa a tomar pílulas para dormir para dormir a noite toda. Cannon convid"&amp;"a Silver para seu apartamento para assistir seu novo documentário e desliza algo em sua bebida. Enquanto isso, Teddy acorda de uma noite bebendo e percebe que ele se conectou com alguém, mas não se lembra de quem. Dixon descobre que Ivy é virgem. Em seu e"&amp;"mprego interno, Annie confronta seu chefe, Katherine, sobre seu comportamento desajeitado e fica chocado quando faz com que Annie seja uma oferta, pode não ser capaz de recusar. Adrianna canta outra música roubada do livro de canções de Javier em seu serv"&amp;"iço memorial, mas ela logo se arrepende quando um vídeo do número de música dela se torna viral. 50 `` The Bachelors '' David Warren David S. Rosenthal 4 de outubro de 2010 (2010 - 10 - 04) 1,79 Silver Plans Um evento de caridade de câncer - conscientizaç"&amp;"ão para homenagear sua falecida mãe e atrair os meninos para aparecer em um leilão de bacharel. Ian, um estudante de teatro em West Bev, é trazido para ajudar a coreografar um número de dança para o leilão, mas tudo chega a uma posição - ainda quando Tedd"&amp;"y direciona algumas palavras negativas para ele. Os dois mais tarde entram em uma briga. Enquanto isso, Annie e Adrianna descobrem a verdade sobre Naomi e o Sr. Cannon de Silver. Em outros lugares, Annie descobre os problemas de dinheiro de Debbie desde q"&amp;"ue Harry saiu dela e decide aceitar a oferta de Katherine. Uma conexão surpreendente entre Charlie e Liam é revelada. O tio de Javier, Victor, começa a chantagear Adrianna com exposição, forçando -a a trabalhar para ele. Além disso, Ivy e Dixon decidem pa"&amp;"ssar a noite juntos, mas Dixon bate no freio quando sua ex -namorada, Sasha, volta com algumas notícias da vida. 51 5 `` Pegue -me se você Cannon '' Jim Conway Terrence Coli 11 de outubro de 2010 (2010 - 10 - 11) 1,81 Silver, Naomi e Adrianna criam um pla"&amp;"no para seduzir o Sr. Cannon para provar que ele estuprou Naomi, mas eles subestimam sua capacidade de controlar a situação. Teddy e Ian são forçados a fazer trabalho manual como punição por lutar. Dixon teme por sua vida e afasta Ivy, levando -a direto a"&amp;"os braços de Oscar (assim como ele planejou o tempo todo). Enquanto isso, Jen procura um novo assistente e Debbie solicita o trabalho. Debbie também descobre o acordo entre Annie e Katherine e proíbe Annie de cumpri -lo. 52 6 `` Quanto é aquele Liam na ja"&amp;"nela '' Stuart Gillard David S. Rosenthal e Jennie Snyder Urman 25 de outubro de 2010 (2010 - 10 - 25) 2.03 Quando Jen e Ryan descobrem o estupro de Naomi, Jen decide Tomar o assunto com suas próprias mãos, enquanto o trabalho de Ryan pode estar em risco "&amp;"quando ele incentiva Naomi a se apresentar com ele como testemunha, apesar de seu próprio segredo que acidentalmente destruir o sinal da escola será revelado. O gerente de Adrianna, Victor, continua a chantageá -la e vai ainda mais longe quando ele a ince"&amp;"ntiva a ficar de topless em uma foto. Annie descobre um lado mais sombrio de Charlie quando ela se esgueirar para observar uma leitura encenada de sua peça. Liam pousa uma modelagem de emprego na janela de uma loja de roupas e recebe uma oportunidade de e"&amp;"mprego de um cliente misterioso, chamado Laura, que ele não se recusou. Dixon pede desculpas a Ivy sem saber que ela decidiu perder a virgindade para outra pessoa. Além disso, Oscar confronta Ivy e Laurel sobre seu passado chocante. 53 7 `` Vejo Londres, "&amp;"vejo a França ... '' Krishna Rao Scott Weinger 1 de novembro de 2010 (2010 - 11 - 01) 2.00 Ryan ajuda Naomi a apresentar queixa contra o Sr. Cannon e, como resultado, tanto o Sr. Cannon e Ryan são suspensos de seus empregos. Oscar tem uma corrida - com o "&amp;"Sr. Cannon e, involuntariamente, ajuda Naomi com o caso dela quando ele se destaca nela como sua próxima conquista. Navid descobre que seu pai está empregando uma menina menor de idade em seu negócio de pornografia. Enquanto isso, Ivy diz a Dixon o que ac"&amp;"onteceu entre ela e Oscar, que ele previsivelmente não leva bem. Teddy luta com rumores e insinuações sobre sua suspeita de impotência. Liam continua seu trabalho de transportar bolsas para Laura, até descobrir que ela é uma traficante de drogas que admin"&amp;"istra um negócio na casa de sua mãe. Em outros lugares, Navid e Silver participam do jantar do Achievement Awards, enquanto Annie, Teddy, Liam, Dixon, Ivy e Ian participam de uma cerimônia de realização de Under - Achievement, chamada `` The Underies '', "&amp;"no Beach Club. 54 8 `` Mãe Dearest '' Oz Scott Paul Sciarrotta 8 de novembro de 2010 (2010 - 11 - 08) 1.89 Annie e Dixon Drive até Pomona para visitar o pai, mas inesperadamente encontrar uma jovem à sua porta, fazendo -os sair sem ver Harry . Mais tarde,"&amp;" Debbie diz a Annie e Dixon que ela sabe tudo sobre a mulher mais jovem que vive com Harry, que é sua nova esposa. A família Wilson decide seguir em frente, removendo todos os traços da existência de Harry da casa e de suas vidas e, a partir de então, ao "&amp;"vivo como se Harry nunca existisse. Depois de uma série de contratempos com seu bebê, Jen deixa Jacques com Ryan e sai da cidade. Ivy e Naomi se juntam às forças para humilhar e derrubar Oscar. Enquanto isso, Navid pede a Silver para ajudar a provar que s"&amp;"eu pai está mentindo para ele empregar meninas menores de idade em seu estúdio, pedindo a Silver para se disfarçar. Além disso, Victor exige que Adrianna participe de um evento de tapete vermelho com Joe Jonas, em vez de Navid. 55 9 `` eles 'tocando sua m"&amp;"úsica' 'Rob Hardy Jennie Snyder Urman e Jenna Lamia 15 de novembro de 2010 (2010 - 11 - 15) 1,76 Teddy decide visitar um bar gay em West Hollywood, mas é forçado a se voltar para Ian por ajuda quando ele esquece sua carteira. Enquanto isso, Annie está pro"&amp;"nta para levar seu relacionamento com Charlie para o próximo nível, mas fica mortificado quando seus amigos da faculdade vislumbram ela em lingerie. Enquanto isso, Ryan se vira para Debbie para conselhos dos pais, e os dois acabam se enganchando. Navid li"&amp;"da com as consequências da escola e em casa depois de entregar seu pai às autoridades. Além disso, Adrianna continua alheio à situação de Navid devido à sua nova fama. 56 10 `` Best Lei 'D Planos' 'David Warren David S. Rosenthal e Deborah Schoeneman 29 d"&amp;"e novembro de 2010 (2010 - 11 - 29) 2.01 Naomi volta ao mundo do namoro e tenta impressionar um dos amigos do surfista de Ivy , Zach, fingindo saber como navegar. Ainda chateada com a mãe por causa da situação do Oscar, Ivy decide construir um relacioname"&amp;"nto com seu pai afastado. Sem saber que ela tem sentimentos por Ryan, Annie e Dixon assinam Debbie para um serviço de namoro on -line. Enquanto estava na praia Luau, Teddy fica com ciúmes quando vê Ian com outro cara e permite que seus sentimentos control"&amp;"em suas ações. Enquanto isso, o relacionamento de Adrianna e Navid fica tenso, levando -o aos braços de prata. Em outros lugares, Liam aprende mais sobre Laura e seu ex-namorado, a quem ele tenta deixar com ciúmes a seu favor. 57 11 `` Holiday Madness '' "&amp;"Dennis Smith Rebecca Sinclair 6 de dezembro de 2010 (2010 - 12 - 06) 2.18 Adrianna aluga uma nova casa nova e joga uma festa de Natal para comemorar seu novo contrato. Depois de ter o suficiente de sua atitude egoísta, Victor decide revelar o segredo de A"&amp;"drianna na Internet. Annie passa a noite com Liam quando ele volta do hospital, e os dois reacendendo seu romance. As intenções inesperadas do pai de Ivy a levaram a se reconciliar com a mãe. Depois de decidir manter o relacionamento em segredo, Ian e Ted"&amp;"dy Kiss não sabem que Dixon os viu. Enquanto isso, Navid e Silver confessam seus verdadeiros sentimentos um pelo outro ... e compartilham um beijo. Em outros lugares, Naomi continua a rejeitar os avanços de Oscar, que tenta convidá -la para uma data para "&amp;"a festa de Natal. Naomi freqüenta solo e depois volta para casa, sem saber que o Sr. Cannon a está aguardando. 58 12 `` Liars '' Stuart Gillard Tod Himmel 24 de janeiro de 2011 (2011 - 01 - 24) 1,69 Naomi é levado refém em seu apartamento por um - Control"&amp;" Sr. Cannon, que também atrai prata para a situação. Enquanto isso, a prima de Annie e Dixon, Emily, de Kansas, chega à cidade para uma visita prolongada, mas Emily imediatamente se levanta aos nervos de Annie. Dixon confronta Teddy sobre seu beijo com Ia"&amp;"n e promete manter seu segredo. Ivy sofre um acidente quase fatal durante a prática de surf que a faz questionar sua capacidade de competir na competição de surf. O mundo de Adrianna continua desmoronando quando ela aparece em um talk show para contar a s"&amp;"ua história, e ela é surpresa por um convidado surpresa quando Victor parece dar `` seu '' lado da história. Dada a situação desastrosa de Adrianna, Navid e Silver continuam a manter o gancho - em segredo. 59 13 `` está ficando quente aqui '' Liz Friedlan"&amp;"der David S. Rosenthal 31 de janeiro de 2011 (2011 - 01 - 31) 1,67 Naomi, Adrianna, Silver e Annie decidem ter um fim de semana para meninas e ir a um Retiro de ioga em Ojai. Annie tenta ser uma boa prima e convida Emily para o fim de semana, mas a confro"&amp;"nta sobre ser uma desaceleração na viagem. Emily começa a mostrar suas verdadeiras cores desonestas quando ela propositalmente deixa de acordar Annie para uma sessão de Sweat Lodge e aproveita a oportunidade para manipular e virar o resto das meninas cont"&amp;"ra Annie. Naomi, que originalmente pensou que o retiro era bobo, de repente decide prolongar sua estadia como uma maneira de se recuperar de seu encontro com o Sr. Cannon. A prata corre para Navid no retiro, e os dois têm um encontro secreto. Adrianna ret"&amp;"orna do retiro e chama um jornal de tablóide para vender uma história exclusiva. De volta a Beverly Hills, Debbie planeja um jantar romântico em sua casa para Ryan, mas eles são interrompidos por Dixon, forçando Ryan a encontrar rapidamente um lugar para "&amp;"se esconder. Em outros lugares, Charlie finalmente percebe que Annie tem sentimentos por Liam e sai para estudar no exterior na França. 60 14 `` Tudo sobre um garoto '' Harry Sinclair Paul Sciarrotta 7 de fevereiro de 2011 (2011 - 02 - 07) 1,75 Navid term"&amp;"ina com Adrianna depois de aprender como ela usou o bebê que desistiu da adoção para vender uma história a um tabloid Revista de notícias. Adrianna então se inclina em prata para obter apoio e faz uma descoberta chocante. Enquanto isso, Annie tem a oportu"&amp;"nidade de fazer um teste para uma peça, mas Emily a sabota, deixando -a escapar sobre o romance de Debbie com Ryan. Teddy está sendo chantageado e fica surpreso ao descobrir quem está por trás disso. No incentivo de Ian, Teddy decide ir a seus amigos. Nao"&amp;"mi retorna de seu retiro espiritual e decide fazer uma festa para Guru Sona, mas percebe que ela pode não ser a pessoa que ela pensa que é. Além disso, Ivy tem reservas sobre voltar à água após seu acidente. 61 15 `` vingança com o nerd '' Millicent Shelt"&amp;"on Terrence Coli 14 de fevereiro de 2011 (2011 - 02 - 14) 1,37 Dixon e Navid convencem um produtor musical a gravar um videoclipe para Nelly no Shirazi Studios para manter o estúdio em luta nos negócios . As suspeitas de Adrianna sobre Navid terem traído "&amp;"nela são confirmadas, e ela informa Silver sobre sua trama por vingança. Enquanto isso, Emily tenta distrair Annie em um esforço para seduzir Liam. Teddy se volta para Silver para apoio depois de sair e seu rompimento com Ian. Em outros lugares, os produt"&amp;"ores de realidade seguem Adrianna e seus amigos tentando atirar em um piloto, e Naomi fica surpresa com sua reação a um parceiro de laboratório nerd, Max, que a ajuda com Guru Sona. 62 16 `` É hora '' 'Krishna Rao Padma Alturi 21 de fevereiro de 2011 (201"&amp;"1 - 02 - 21) 1.52 A astúcia e manipulativa Emily continua causando caos na vida de Annie, mexendo com Liam, seus amigos e e amigos e Maliciosamente recebe Annie demitida de seu estágio no Abbott Playhouse e chega até o ponto de provocar Annie a atacá -la "&amp;"fisicamente a suspender -a da escola. Annie finalmente percebe que ninguém vai acreditar nela sobre não - então - inocente e não - a verdadeira natureza de Good Emily e começa a trabalhar em um plano para derrotar Emily em seu próprio jogo. Enquanto isso,"&amp;" Silver convence Navid a assinar o lançamento do reality show de TV de Adrianna para ajudar a distraí -la de seu relacionamento secreto. Naomi mantém seus sentimentos por Max para si mesma. Ivy conhece um cara novo, chamado Raj, e eles iniciam uma amizade"&amp;" com o uso da maconha medicinal. Em outros lugares, Dixon, Navid e Liam levam Teddy na cidade para mostrar que eles estão tentando aceitá -lo depois de sair. Depois de assistir imagens de sua festa de Natal, Adrianna faz uma realização impressionante. 63 "&amp;"17 `` Blue Naomi '' Elizabeth Allen David S. Rosenthal 28 de fevereiro de 2011 (2011 - 02 - 28) 1,45 Naomi tenta impressionar Max ao se vestir em uma fantasia de avatar, mas não recebe a resposta que ela estava buscando. Dixon e Navid formalizam sua parce"&amp;"ria, e um encontro casual com Snoop Dogg pode significar boas notícias para eles e o Shirazi Studios 2.0. Os modos vingativos de Adrianna se aprofundam depois de descobrir a verdade sobre o romance de Navid e Silver, e ela promete voltar a ambos. Enquanto"&amp;" isso, Annie e Liam secretamente trabalham juntos para expor Emily à pessoa cínica que ela realmente é para todos. Como resultado, Emily decide deixar a cidade, mas não conta a Debbie da razão pela qual ela está saindo. Em outros lugares, Raj confia em Iv"&amp;"y sobre seu passado, revelando um segredo chocante. 64. de controle para todos. Naomi traz Max ao ardil que pretende pedir a ele para mais aulas com os trabalhos escolares. Annie e Liam passam um tempo de qualidade juntos para apreciar o cenário até que u"&amp;"m acidente confina Annie ao quarto de hotel. Teddy encontra Tripp, seu ex -colega de quarto de internato e Crush. Ivy usa o tempo para impedir que Raj depois de pensar que ele pode morrer em breve e confia em Dixon sobre seus problemas recentes. Enquanto "&amp;"isso, a brecha entre prata e Adrianna chega a uma cabeça chocante. 65 19 `` Nerdy Little Secrets '' Harry Sinclair David Rosenberg 25 de abril de 2011 (2011 - 04 - 25) 1,74 Naomi fica cansado e mais inseguro de esconder seu relacionamento com Max e, com m"&amp;"edo de que ele esteja traindo -o, a um evento de decatlo acadêmico para confrontá -lo, mas logo lamenta o que acontece. Navid fica preocupado quando a prata começa a se comportar de forma irregular depois que Adrianna passa secretamente os medicamentos bi"&amp;"polares de Silver. Enquanto isso, Annie forma um vínculo com Marla Templeton, uma atriz veterana para a qual ela é contratada para trabalhar. Em outros lugares, Raj ajuda Ivy a superar seu medo de entrar na água novamente. 66 20 `` Mulheres à beira '' Stu"&amp;"art Gillard Scott Weinger e Jenna Lamia 2 de maio de 2011 (2011 - 05 - 02) 1,47 Depois de receber algumas notícias angustiantes, a prata tem um colapso emocional, fazendo com que Navid e Dixon encenem uma intervenção. Enquanto isso, Annie convence Marla a"&amp;" participar de uma estréia de relançar um filme de Hollywood de um de seus filmes antigos depois que Marla confide em Annie sobre seus sérios problemas de saúde. Quando Teddy descobre que Marco está mentindo para ele, ele começa a questionar se Marco o es"&amp;"tá traindo, mas descobre que Marco está realmente escondendo outra coisa. Naomi descobre que Max foi aceito para uma faculdade em um estado diferente, enquanto Ryan tem um visitante inesperado quando Jen Clark retorna. 67 21 `` o baile antes da tempestade"&amp;" '' Mike Listo David Rosenthal &amp; Terrence Coli 9 de maio de 2011 (2011 - 05 - 09) 1,43, assim como todos estão se preparando para o próximo baile sênior, Annie e Dixon recebem algumas notícias devastadoras sobre o seu Futuros quando lhe são informados por"&amp;" Debbie que ela não pode se dar ao luxo de enviá -los para universidades privadas. Enquanto isso, Ivy descobre que a saúde de Raj piorou. Em outros lugares, Adrianna aproveita a oportunidade para tentar reacender seu relacionamento com Navid, enquanto Sil"&amp;"ver é hospitalizada em uma ala psicológica após sua recaída com seu transtorno bipolar. Silver começa a descobrir que Adrianna pode ter roubado sua medicação, mas tem dificuldade em convencer Navid. Além disso, o relacionamento de Naomi e Max é testado ao"&amp;" limite quando ela descobre que ele traiu um papel para ela. Em outros lugares, Jen tenta ganhar Ryan de volta, querendo que ele se mudasse para Paris com ela. 68 22 `` Para o futuro! '' Rebecca Sinclair Rebecca Sinclair e Paul Sciarotta 16 de maio de 201"&amp;"1 (2011 - 05 - 16) 1.64 À medida que a graduação se aproxima, Naomi toma uma decisão que pode impedi -la de se formar com sua aula quando toma toda a culpa por trapacear em seu mandato Para salvar Max de ter problemas com ela. Enquanto isso, Liam diz a An"&amp;"nie que ele não quer ir para a faculdade com ela, e Adrianna é excluída do grupo quando acidentalmente descobre seu esquema para se vingar de Silver. No dia seguinte, um casamento improvisado acontece quando Raj e Ivy se casam em uma cerimônia tradicional"&amp;" indiana. Entre o grupo, apenas a mãe de Ivy, Laurel, desaprova a escolha repentina de Ivy para se casar, pois ela está ciente da saúde falhada de Raj. Além disso, Debbie, sentindo que não há mais nada na Califórnia para ela, decide seguir em frente com s"&amp;"ua vida se mudando para Paris com Ryan. No final, Naomi visita Max em sua casa, onde ela diz que está grávida.")</f>
        <v>   Não . No. no título geral do título de temporada, dirigido por escrito pelos espectadores originais da Data Aérea dos EUA (milhões) 47 `` Senior Year, Baby '' Stuart Gillard Jennie Snyder Urman 13 de setembro de 2010 (2010 - 09 - 13) 1.96 Beverly Hills é abalada por An AN Terremoto durante o primeiro dia do ano letivo. Naomi passou o verão isoladamente, lidando com as consequências de seu estupro pelo Sr. Cannon e mantendo -o em segredo. Annie e Dixon estão lidando com a ausência de seu pai, que saiu da família, enquanto Debbie tenta manter a família unida sem Harry e um emprego. Enquanto isso, Teddy e Silver ficam mais felizes do que nunca até sofrer uma lesão na perna que pode acabar com sua carreira de tênis para sempre. Annie solicita um estágio em uma companhia de teatro local chamada The Abbott Playhouse. Navid recebe Adrianna de volta de sua turnê com Javier, mas a chegada deles traz uma morte inesperada. Ivy retorna da Austrália com ela uma velha amiga de infância, chamada Oscar, que deixa Dixon desconfortável. Em outros lugares, Annie e Liam enfrentam seus sentimentos um pelo outro. 48 `` Age of Heritância '' Liz Friedlander Padma L. Atluri 20 de setembro de 2010 (2010 - 09 - 20) 1,83 Depois de completar dezoito anos, Naomi descobre que agora pode acessar o dinheiro em seu grande fundo fiduciário, então ela decide jogar ela mesma uma grande festa de aniversário no Beach Club, onde contrata a banda do Honey Brothers para se apresentar. Enquanto isso, Dixon, Navid e Teddy decidem levar Oscar para uma noite na cidade, mas a festa deles termina quando Ivy encontra uma foto do Facebook de um Dixon bêbado fazendo um corpo tiro de uma garota. Annie tem uma conexão instantânea com Charlie, um cara que ela conhece em uma cafeteria. Jen é forçada a ir para a cama até que ela entregue o bebê e não tenha escolha a não ser permitir que Ryan entre em sua vida. Em outros lugares, Adrianna usa o livro de músicas de Javier para voltar a favor da gravadora. Adrian Grenier, do Entourage, se apresenta com sua banda na festa de aniversário de Naomi. 49 `` 2021 Vision '' Millicent Shelton Tod Himmel 27 de setembro de 2010 (2010 - 09 - 27) 1,96 Naomi tem flashbacks constantes em seu estupro e começa a tomar pílulas para dormir para dormir a noite toda. Cannon convida Silver para seu apartamento para assistir seu novo documentário e desliza algo em sua bebida. Enquanto isso, Teddy acorda de uma noite bebendo e percebe que ele se conectou com alguém, mas não se lembra de quem. Dixon descobre que Ivy é virgem. Em seu emprego interno, Annie confronta seu chefe, Katherine, sobre seu comportamento desajeitado e fica chocado quando faz com que Annie seja uma oferta, pode não ser capaz de recusar. Adrianna canta outra música roubada do livro de canções de Javier em seu serviço memorial, mas ela logo se arrepende quando um vídeo do número de música dela se torna viral. 50 `` The Bachelors '' David Warren David S. Rosenthal 4 de outubro de 2010 (2010 - 10 - 04) 1,79 Silver Plans Um evento de caridade de câncer - conscientização para homenagear sua falecida mãe e atrair os meninos para aparecer em um leilão de bacharel. Ian, um estudante de teatro em West Bev, é trazido para ajudar a coreografar um número de dança para o leilão, mas tudo chega a uma posição - ainda quando Teddy direciona algumas palavras negativas para ele. Os dois mais tarde entram em uma briga. Enquanto isso, Annie e Adrianna descobrem a verdade sobre Naomi e o Sr. Cannon de Silver. Em outros lugares, Annie descobre os problemas de dinheiro de Debbie desde que Harry saiu dela e decide aceitar a oferta de Katherine. Uma conexão surpreendente entre Charlie e Liam é revelada. O tio de Javier, Victor, começa a chantagear Adrianna com exposição, forçando -a a trabalhar para ele. Além disso, Ivy e Dixon decidem passar a noite juntos, mas Dixon bate no freio quando sua ex -namorada, Sasha, volta com algumas notícias da vida. 51 5 `` Pegue -me se você Cannon '' Jim Conway Terrence Coli 11 de outubro de 2010 (2010 - 10 - 11) 1,81 Silver, Naomi e Adrianna criam um plano para seduzir o Sr. Cannon para provar que ele estuprou Naomi, mas eles subestimam sua capacidade de controlar a situação. Teddy e Ian são forçados a fazer trabalho manual como punição por lutar. Dixon teme por sua vida e afasta Ivy, levando -a direto aos braços de Oscar (assim como ele planejou o tempo todo). Enquanto isso, Jen procura um novo assistente e Debbie solicita o trabalho. Debbie também descobre o acordo entre Annie e Katherine e proíbe Annie de cumpri -lo. 52 6 `` Quanto é aquele Liam na janela '' Stuart Gillard David S. Rosenthal e Jennie Snyder Urman 25 de outubro de 2010 (2010 - 10 - 25) 2.03 Quando Jen e Ryan descobrem o estupro de Naomi, Jen decide Tomar o assunto com suas próprias mãos, enquanto o trabalho de Ryan pode estar em risco quando ele incentiva Naomi a se apresentar com ele como testemunha, apesar de seu próprio segredo que acidentalmente destruir o sinal da escola será revelado. O gerente de Adrianna, Victor, continua a chantageá -la e vai ainda mais longe quando ele a incentiva a ficar de topless em uma foto. Annie descobre um lado mais sombrio de Charlie quando ela se esgueirar para observar uma leitura encenada de sua peça. Liam pousa uma modelagem de emprego na janela de uma loja de roupas e recebe uma oportunidade de emprego de um cliente misterioso, chamado Laura, que ele não se recusou. Dixon pede desculpas a Ivy sem saber que ela decidiu perder a virgindade para outra pessoa. Além disso, Oscar confronta Ivy e Laurel sobre seu passado chocante. 53 7 `` Vejo Londres, vejo a França ... '' Krishna Rao Scott Weinger 1 de novembro de 2010 (2010 - 11 - 01) 2.00 Ryan ajuda Naomi a apresentar queixa contra o Sr. Cannon e, como resultado, tanto o Sr. Cannon e Ryan são suspensos de seus empregos. Oscar tem uma corrida - com o Sr. Cannon e, involuntariamente, ajuda Naomi com o caso dela quando ele se destaca nela como sua próxima conquista. Navid descobre que seu pai está empregando uma menina menor de idade em seu negócio de pornografia. Enquanto isso, Ivy diz a Dixon o que aconteceu entre ela e Oscar, que ele previsivelmente não leva bem. Teddy luta com rumores e insinuações sobre sua suspeita de impotência. Liam continua seu trabalho de transportar bolsas para Laura, até descobrir que ela é uma traficante de drogas que administra um negócio na casa de sua mãe. Em outros lugares, Navid e Silver participam do jantar do Achievement Awards, enquanto Annie, Teddy, Liam, Dixon, Ivy e Ian participam de uma cerimônia de realização de Under - Achievement, chamada `` The Underies '', no Beach Club. 54 8 `` Mãe Dearest '' Oz Scott Paul Sciarrotta 8 de novembro de 2010 (2010 - 11 - 08) 1.89 Annie e Dixon Drive até Pomona para visitar o pai, mas inesperadamente encontrar uma jovem à sua porta, fazendo -os sair sem ver Harry . Mais tarde, Debbie diz a Annie e Dixon que ela sabe tudo sobre a mulher mais jovem que vive com Harry, que é sua nova esposa. A família Wilson decide seguir em frente, removendo todos os traços da existência de Harry da casa e de suas vidas e, a partir de então, ao vivo como se Harry nunca existisse. Depois de uma série de contratempos com seu bebê, Jen deixa Jacques com Ryan e sai da cidade. Ivy e Naomi se juntam às forças para humilhar e derrubar Oscar. Enquanto isso, Navid pede a Silver para ajudar a provar que seu pai está mentindo para ele empregar meninas menores de idade em seu estúdio, pedindo a Silver para se disfarçar. Além disso, Victor exige que Adrianna participe de um evento de tapete vermelho com Joe Jonas, em vez de Navid. 55 9 `` eles 'tocando sua música' 'Rob Hardy Jennie Snyder Urman e Jenna Lamia 15 de novembro de 2010 (2010 - 11 - 15) 1,76 Teddy decide visitar um bar gay em West Hollywood, mas é forçado a se voltar para Ian por ajuda quando ele esquece sua carteira. Enquanto isso, Annie está pronta para levar seu relacionamento com Charlie para o próximo nível, mas fica mortificado quando seus amigos da faculdade vislumbram ela em lingerie. Enquanto isso, Ryan se vira para Debbie para conselhos dos pais, e os dois acabam se enganchando. Navid lida com as consequências da escola e em casa depois de entregar seu pai às autoridades. Além disso, Adrianna continua alheio à situação de Navid devido à sua nova fama. 56 10 `` Best Lei 'D Planos' 'David Warren David S. Rosenthal e Deborah Schoeneman 29 de novembro de 2010 (2010 - 11 - 29) 2.01 Naomi volta ao mundo do namoro e tenta impressionar um dos amigos do surfista de Ivy , Zach, fingindo saber como navegar. Ainda chateada com a mãe por causa da situação do Oscar, Ivy decide construir um relacionamento com seu pai afastado. Sem saber que ela tem sentimentos por Ryan, Annie e Dixon assinam Debbie para um serviço de namoro on -line. Enquanto estava na praia Luau, Teddy fica com ciúmes quando vê Ian com outro cara e permite que seus sentimentos controlem suas ações. Enquanto isso, o relacionamento de Adrianna e Navid fica tenso, levando -o aos braços de prata. Em outros lugares, Liam aprende mais sobre Laura e seu ex-namorado, a quem ele tenta deixar com ciúmes a seu favor. 57 11 `` Holiday Madness '' Dennis Smith Rebecca Sinclair 6 de dezembro de 2010 (2010 - 12 - 06) 2.18 Adrianna aluga uma nova casa nova e joga uma festa de Natal para comemorar seu novo contrato. Depois de ter o suficiente de sua atitude egoísta, Victor decide revelar o segredo de Adrianna na Internet. Annie passa a noite com Liam quando ele volta do hospital, e os dois reacendendo seu romance. As intenções inesperadas do pai de Ivy a levaram a se reconciliar com a mãe. Depois de decidir manter o relacionamento em segredo, Ian e Teddy Kiss não sabem que Dixon os viu. Enquanto isso, Navid e Silver confessam seus verdadeiros sentimentos um pelo outro ... e compartilham um beijo. Em outros lugares, Naomi continua a rejeitar os avanços de Oscar, que tenta convidá -la para uma data para a festa de Natal. Naomi freqüenta solo e depois volta para casa, sem saber que o Sr. Cannon a está aguardando. 58 12 `` Liars '' Stuart Gillard Tod Himmel 24 de janeiro de 2011 (2011 - 01 - 24) 1,69 Naomi é levado refém em seu apartamento por um - Control Sr. Cannon, que também atrai prata para a situação. Enquanto isso, a prima de Annie e Dixon, Emily, de Kansas, chega à cidade para uma visita prolongada, mas Emily imediatamente se levanta aos nervos de Annie. Dixon confronta Teddy sobre seu beijo com Ian e promete manter seu segredo. Ivy sofre um acidente quase fatal durante a prática de surf que a faz questionar sua capacidade de competir na competição de surf. O mundo de Adrianna continua desmoronando quando ela aparece em um talk show para contar a sua história, e ela é surpresa por um convidado surpresa quando Victor parece dar `` seu '' lado da história. Dada a situação desastrosa de Adrianna, Navid e Silver continuam a manter o gancho - em segredo. 59 13 `` está ficando quente aqui '' Liz Friedlander David S. Rosenthal 31 de janeiro de 2011 (2011 - 01 - 31) 1,67 Naomi, Adrianna, Silver e Annie decidem ter um fim de semana para meninas e ir a um Retiro de ioga em Ojai. Annie tenta ser uma boa prima e convida Emily para o fim de semana, mas a confronta sobre ser uma desaceleração na viagem. Emily começa a mostrar suas verdadeiras cores desonestas quando ela propositalmente deixa de acordar Annie para uma sessão de Sweat Lodge e aproveita a oportunidade para manipular e virar o resto das meninas contra Annie. Naomi, que originalmente pensou que o retiro era bobo, de repente decide prolongar sua estadia como uma maneira de se recuperar de seu encontro com o Sr. Cannon. A prata corre para Navid no retiro, e os dois têm um encontro secreto. Adrianna retorna do retiro e chama um jornal de tablóide para vender uma história exclusiva. De volta a Beverly Hills, Debbie planeja um jantar romântico em sua casa para Ryan, mas eles são interrompidos por Dixon, forçando Ryan a encontrar rapidamente um lugar para se esconder. Em outros lugares, Charlie finalmente percebe que Annie tem sentimentos por Liam e sai para estudar no exterior na França. 60 14 `` Tudo sobre um garoto '' Harry Sinclair Paul Sciarrotta 7 de fevereiro de 2011 (2011 - 02 - 07) 1,75 Navid termina com Adrianna depois de aprender como ela usou o bebê que desistiu da adoção para vender uma história a um tabloid Revista de notícias. Adrianna então se inclina em prata para obter apoio e faz uma descoberta chocante. Enquanto isso, Annie tem a oportunidade de fazer um teste para uma peça, mas Emily a sabota, deixando -a escapar sobre o romance de Debbie com Ryan. Teddy está sendo chantageado e fica surpreso ao descobrir quem está por trás disso. No incentivo de Ian, Teddy decide ir a seus amigos. Naomi retorna de seu retiro espiritual e decide fazer uma festa para Guru Sona, mas percebe que ela pode não ser a pessoa que ela pensa que é. Além disso, Ivy tem reservas sobre voltar à água após seu acidente. 61 15 `` vingança com o nerd '' Millicent Shelton Terrence Coli 14 de fevereiro de 2011 (2011 - 02 - 14) 1,37 Dixon e Navid convencem um produtor musical a gravar um videoclipe para Nelly no Shirazi Studios para manter o estúdio em luta nos negócios . As suspeitas de Adrianna sobre Navid terem traído nela são confirmadas, e ela informa Silver sobre sua trama por vingança. Enquanto isso, Emily tenta distrair Annie em um esforço para seduzir Liam. Teddy se volta para Silver para apoio depois de sair e seu rompimento com Ian. Em outros lugares, os produtores de realidade seguem Adrianna e seus amigos tentando atirar em um piloto, e Naomi fica surpresa com sua reação a um parceiro de laboratório nerd, Max, que a ajuda com Guru Sona. 62 16 `` É hora '' 'Krishna Rao Padma Alturi 21 de fevereiro de 2011 (2011 - 02 - 21) 1.52 A astúcia e manipulativa Emily continua causando caos na vida de Annie, mexendo com Liam, seus amigos e e amigos e Maliciosamente recebe Annie demitida de seu estágio no Abbott Playhouse e chega até o ponto de provocar Annie a atacá -la fisicamente a suspender -a da escola. Annie finalmente percebe que ninguém vai acreditar nela sobre não - então - inocente e não - a verdadeira natureza de Good Emily e começa a trabalhar em um plano para derrotar Emily em seu próprio jogo. Enquanto isso, Silver convence Navid a assinar o lançamento do reality show de TV de Adrianna para ajudar a distraí -la de seu relacionamento secreto. Naomi mantém seus sentimentos por Max para si mesma. Ivy conhece um cara novo, chamado Raj, e eles iniciam uma amizade com o uso da maconha medicinal. Em outros lugares, Dixon, Navid e Liam levam Teddy na cidade para mostrar que eles estão tentando aceitá -lo depois de sair. Depois de assistir imagens de sua festa de Natal, Adrianna faz uma realização impressionante. 63 17 `` Blue Naomi '' Elizabeth Allen David S. Rosenthal 28 de fevereiro de 2011 (2011 - 02 - 28) 1,45 Naomi tenta impressionar Max ao se vestir em uma fantasia de avatar, mas não recebe a resposta que ela estava buscando. Dixon e Navid formalizam sua parceria, e um encontro casual com Snoop Dogg pode significar boas notícias para eles e o Shirazi Studios 2.0. Os modos vingativos de Adrianna se aprofundam depois de descobrir a verdade sobre o romance de Navid e Silver, e ela promete voltar a ambos. Enquanto isso, Annie e Liam secretamente trabalham juntos para expor Emily à pessoa cínica que ela realmente é para todos. Como resultado, Emily decide deixar a cidade, mas não conta a Debbie da razão pela qual ela está saindo. Em outros lugares, Raj confia em Ivy sobre seu passado, revelando um segredo chocante. 64. de controle para todos. Naomi traz Max ao ardil que pretende pedir a ele para mais aulas com os trabalhos escolares. Annie e Liam passam um tempo de qualidade juntos para apreciar o cenário até que um acidente confina Annie ao quarto de hotel. Teddy encontra Tripp, seu ex -colega de quarto de internato e Crush. Ivy usa o tempo para impedir que Raj depois de pensar que ele pode morrer em breve e confia em Dixon sobre seus problemas recentes. Enquanto isso, a brecha entre prata e Adrianna chega a uma cabeça chocante. 65 19 `` Nerdy Little Secrets '' Harry Sinclair David Rosenberg 25 de abril de 2011 (2011 - 04 - 25) 1,74 Naomi fica cansado e mais inseguro de esconder seu relacionamento com Max e, com medo de que ele esteja traindo -o, a um evento de decatlo acadêmico para confrontá -lo, mas logo lamenta o que acontece. Navid fica preocupado quando a prata começa a se comportar de forma irregular depois que Adrianna passa secretamente os medicamentos bipolares de Silver. Enquanto isso, Annie forma um vínculo com Marla Templeton, uma atriz veterana para a qual ela é contratada para trabalhar. Em outros lugares, Raj ajuda Ivy a superar seu medo de entrar na água novamente. 66 20 `` Mulheres à beira '' Stuart Gillard Scott Weinger e Jenna Lamia 2 de maio de 2011 (2011 - 05 - 02) 1,47 Depois de receber algumas notícias angustiantes, a prata tem um colapso emocional, fazendo com que Navid e Dixon encenem uma intervenção. Enquanto isso, Annie convence Marla a participar de uma estréia de relançar um filme de Hollywood de um de seus filmes antigos depois que Marla confide em Annie sobre seus sérios problemas de saúde. Quando Teddy descobre que Marco está mentindo para ele, ele começa a questionar se Marco o está traindo, mas descobre que Marco está realmente escondendo outra coisa. Naomi descobre que Max foi aceito para uma faculdade em um estado diferente, enquanto Ryan tem um visitante inesperado quando Jen Clark retorna. 67 21 `` o baile antes da tempestade '' Mike Listo David Rosenthal &amp; Terrence Coli 9 de maio de 2011 (2011 - 05 - 09) 1,43, assim como todos estão se preparando para o próximo baile sênior, Annie e Dixon recebem algumas notícias devastadoras sobre o seu Futuros quando lhe são informados por Debbie que ela não pode se dar ao luxo de enviá -los para universidades privadas. Enquanto isso, Ivy descobre que a saúde de Raj piorou. Em outros lugares, Adrianna aproveita a oportunidade para tentar reacender seu relacionamento com Navid, enquanto Silver é hospitalizada em uma ala psicológica após sua recaída com seu transtorno bipolar. Silver começa a descobrir que Adrianna pode ter roubado sua medicação, mas tem dificuldade em convencer Navid. Além disso, o relacionamento de Naomi e Max é testado ao limite quando ela descobre que ele traiu um papel para ela. Em outros lugares, Jen tenta ganhar Ryan de volta, querendo que ele se mudasse para Paris com ela. 68 22 `` Para o futuro! '' Rebecca Sinclair Rebecca Sinclair e Paul Sciarotta 16 de maio de 2011 (2011 - 05 - 16) 1.64 À medida que a graduação se aproxima, Naomi toma uma decisão que pode impedi -la de se formar com sua aula quando toma toda a culpa por trapacear em seu mandato Para salvar Max de ter problemas com ela. Enquanto isso, Liam diz a Annie que ele não quer ir para a faculdade com ela, e Adrianna é excluída do grupo quando acidentalmente descobre seu esquema para se vingar de Silver. No dia seguinte, um casamento improvisado acontece quando Raj e Ivy se casam em uma cerimônia tradicional indiana. Entre o grupo, apenas a mãe de Ivy, Laurel, desaprova a escolha repentina de Ivy para se casar, pois ela está ciente da saúde falhada de Raj. Além disso, Debbie, sentindo que não há mais nada na Califórnia para ela, decide seguir em frente com sua vida se mudando para Paris com Ryan. No final, Naomi visita Max em sua casa, onde ela diz que está grávida.</v>
      </c>
    </row>
    <row r="181" customFormat="false" ht="15.75" hidden="false" customHeight="true" outlineLevel="0" collapsed="false">
      <c r="A181" s="3" t="n">
        <v>178</v>
      </c>
      <c r="B181" s="5" t="s">
        <v>538</v>
      </c>
      <c r="C181" s="5" t="s">
        <v>539</v>
      </c>
      <c r="D181" s="5" t="s">
        <v>540</v>
      </c>
      <c r="E181" s="4" t="str">
        <f aca="false">IFERROR(__xludf.dummyfunction("GOOGLETRANSLATE(C182)"),"Quando os espanhóis vieram para a América do Sul")</f>
        <v>Quando os espanhóis vieram para a América do Sul</v>
      </c>
      <c r="F181" s="5" t="str">
        <f aca="false">IFERROR(__xludf.dummyfunction("GOOGLETRANSLATE(D181)"),"   Vencedores da equipe Runners - UP Terceiro Lugar Quarto Lugar México 7 (1993, 1996, 1998, 2003, 2009, 2011, 2015) 1 (2007) 3 (1991, 2013, 2017) - Estados Unidos 6 (1991, 2002, 2005, 2007, 2013, 2017) 4 (1993, 1998, 2009, 2011) 2 (1996, 2003) 1 (2015) C"&amp;"anadá 1 (2000) - 2 (2002, 2007) - Panamá - 2 (2005, 2013) 2 (2011, 2015) - Jamaica - 2 (2015, 2017) 1 (1993) 1 (1998) Brasil - 2 (1996, 2003) 1 (1998) - Honduras - 1 (1991) 4 (2005 , 2009, 2011, 2013) - Costa Rica - 1 (2002) 3 (1993, 2009, 2017) 2 (1991, "&amp;"2003) Colômbia - 1 (2000) 1 (2005) - Peru - - 1 (2000) - Trinidad e Tobago - - 1 (2000) - Guadalupe - - 1 (2007) - Guatemala - - - - 1 (1996) Coréia do Sul - - - 1 ( 2002)")</f>
        <v>   Vencedores da equipe Runners - UP Terceiro Lugar Quarto Lugar México 7 (1993, 1996, 1998, 2003, 2009, 2011, 2015) 1 (2007) 3 (1991, 2013, 2017) - Estados Unidos 6 (1991, 2002, 2005, 2007, 2013, 2017) 4 (1993, 1998, 2009, 2011) 2 (1996, 2003) 1 (2015) Canadá 1 (2000) - 2 (2002, 2007) - Panamá - 2 (2005, 2013) 2 (2011, 2015) - Jamaica - 2 (2015, 2017) 1 (1993) 1 (1998) Brasil - 2 (1996, 2003) 1 (1998) - Honduras - 1 (1991) 4 (2005 , 2009, 2011, 2013) - Costa Rica - 1 (2002) 3 (1993, 2009, 2017) 2 (1991, 2003) Colômbia - 1 (2000) 1 (2005) - Peru - - 1 (2000) - Trinidad e Tobago - - 1 (2000) - Guadalupe - - 1 (2007) - Guatemala - - - - 1 (1996) Coréia do Sul - - - 1 ( 2002)</v>
      </c>
    </row>
    <row r="182" customFormat="false" ht="15.75" hidden="false" customHeight="true" outlineLevel="0" collapsed="false">
      <c r="A182" s="3" t="n">
        <v>179</v>
      </c>
      <c r="B182" s="5" t="s">
        <v>541</v>
      </c>
      <c r="C182" s="5" t="s">
        <v>542</v>
      </c>
      <c r="D182" s="5" t="s">
        <v>543</v>
      </c>
      <c r="E182" s="4" t="str">
        <f aca="false">IFERROR(__xludf.dummyfunction("GOOGLETRANSLATE(C183)"),"Ok, o Google tem os Eagles já ganhou um Superbowl")</f>
        <v>Ok, o Google tem os Eagles já ganhou um Superbowl</v>
      </c>
      <c r="F182" s="5" t="str">
        <f aca="false">IFERROR(__xludf.dummyfunction("GOOGLETRANSLATE(D182)")," Começando com a chegada de 1492 de Christopher Columbus no Caribe e o controle contínuo de um vasto território por mais de três séculos, o Império Espanhol se expandiria nas ilhas do Caribe, metade da América do Sul, a maior parte da América Central e gr"&amp;"ande parte da América do Norte (incluindo o atual dia México, Flórida e as regiões costeiras do sudoeste e do Pacífico dos Estados Unidos). Estima-se que durante o período colonial (1492-1832), um total de 1,86 milhão de espanhóis estabelecidos nas Améric"&amp;"as e outros 3,5 milhões imigraram durante a era pós-colonial (1850-1950); A estimativa é de 250.000 no século XVI, e a maioria durante o século XVIII, pois a imigração foi incentivada pela nova dinastia Bourbon.")</f>
        <v> Começando com a chegada de 1492 de Christopher Columbus no Caribe e o controle contínuo de um vasto território por mais de três séculos, o Império Espanhol se expandiria nas ilhas do Caribe, metade da América do Sul, a maior parte da América Central e grande parte da América do Norte (incluindo o atual dia México, Flórida e as regiões costeiras do sudoeste e do Pacífico dos Estados Unidos). Estima-se que durante o período colonial (1492-1832), um total de 1,86 milhão de espanhóis estabelecidos nas Américas e outros 3,5 milhões imigraram durante a era pós-colonial (1850-1950); A estimativa é de 250.000 no século XVI, e a maioria durante o século XVIII, pois a imigração foi incentivada pela nova dinastia Bourbon.</v>
      </c>
    </row>
    <row r="183" customFormat="false" ht="15.75" hidden="false" customHeight="true" outlineLevel="0" collapsed="false">
      <c r="A183" s="3" t="n">
        <v>180</v>
      </c>
      <c r="B183" s="5" t="s">
        <v>544</v>
      </c>
      <c r="C183" s="5" t="s">
        <v>545</v>
      </c>
      <c r="D183" s="5" t="s">
        <v>546</v>
      </c>
      <c r="E183" s="4" t="str">
        <f aca="false">IFERROR(__xludf.dummyfunction("GOOGLETRANSLATE(C184)"),"que interpreta Vanessa Baxter em Last Man Standing")</f>
        <v>que interpreta Vanessa Baxter em Last Man Standing</v>
      </c>
      <c r="F183" s="5" t="str">
        <f aca="false">IFERROR(__xludf.dummyfunction("GOOGLETRANSLATE(D183)")," A história das águias da Filadélfia começa em 1933. Em sua história, os Eagles apareceram no Super Bowl três vezes, perdendo nas duas primeiras aparições, mas vencendo o terceiro, em 2018. Eles venceram três campeonatos da NFL, o precursor do Super Bowl,"&amp;" em quatro aparições.")</f>
        <v> A história das águias da Filadélfia começa em 1933. Em sua história, os Eagles apareceram no Super Bowl três vezes, perdendo nas duas primeiras aparições, mas vencendo o terceiro, em 2018. Eles venceram três campeonatos da NFL, o precursor do Super Bowl, em quatro aparições.</v>
      </c>
    </row>
    <row r="184" customFormat="false" ht="15.75" hidden="false" customHeight="true" outlineLevel="0" collapsed="false">
      <c r="A184" s="3" t="n">
        <v>181</v>
      </c>
      <c r="B184" s="5" t="s">
        <v>547</v>
      </c>
      <c r="C184" s="5" t="s">
        <v>548</v>
      </c>
      <c r="D184" s="5" t="s">
        <v>549</v>
      </c>
      <c r="E184" s="4" t="str">
        <f aca="false">IFERROR(__xludf.dummyfunction("GOOGLETRANSLATE(C185)"),"Quando os guardiões da história em quadrinhos do Galaxy foram lançados")</f>
        <v>Quando os guardiões da história em quadrinhos do Galaxy foram lançados</v>
      </c>
      <c r="F184" s="5" t="str">
        <f aca="false">IFERROR(__xludf.dummyfunction("GOOGLETRANSLATE(D184)")," De 2011 a 2017, Travis estrelou como Vanessa Baxter no seriado da ABC Last Man Standing. Em 2018, ela começou a estrelar ao lado de Michael Douglas na série de comédia da Netflix The Kominsky Method.")</f>
        <v> De 2011 a 2017, Travis estrelou como Vanessa Baxter no seriado da ABC Last Man Standing. Em 2018, ela começou a estrelar ao lado de Michael Douglas na série de comédia da Netflix The Kominsky Method.</v>
      </c>
    </row>
    <row r="185" customFormat="false" ht="15.75" hidden="false" customHeight="true" outlineLevel="0" collapsed="false">
      <c r="A185" s="3" t="n">
        <v>182</v>
      </c>
      <c r="B185" s="5" t="s">
        <v>550</v>
      </c>
      <c r="C185" s="5" t="s">
        <v>551</v>
      </c>
      <c r="D185" s="5" t="s">
        <v>552</v>
      </c>
      <c r="E185" s="4" t="str">
        <f aca="false">IFERROR(__xludf.dummyfunction("GOOGLETRANSLATE(C186)"),"onde é o nível do mar medido no Reino Unido")</f>
        <v>onde é o nível do mar medido no Reino Unido</v>
      </c>
      <c r="F185" s="5" t="str">
        <f aca="false">IFERROR(__xludf.dummyfunction("GOOGLETRANSLATE(D185)")," Os Guardiões da Galáxia originais são uma equipe de super -heróis que aparece em quadrinhos americanos publicados pela Marvel Comics. Os Guardiões aparecem pela primeira vez no Marvel Super-Heroes # 18 (janeiro de 1969).")</f>
        <v> Os Guardiões da Galáxia originais são uma equipe de super -heróis que aparece em quadrinhos americanos publicados pela Marvel Comics. Os Guardiões aparecem pela primeira vez no Marvel Super-Heroes # 18 (janeiro de 1969).</v>
      </c>
    </row>
    <row r="186" customFormat="false" ht="15.75" hidden="false" customHeight="true" outlineLevel="0" collapsed="false">
      <c r="A186" s="3" t="n">
        <v>183</v>
      </c>
      <c r="B186" s="5" t="s">
        <v>553</v>
      </c>
      <c r="C186" s="5" t="s">
        <v>554</v>
      </c>
      <c r="D186" s="5" t="s">
        <v>555</v>
      </c>
      <c r="E186" s="4" t="str">
        <f aca="false">IFERROR(__xludf.dummyfunction("GOOGLETRANSLATE(C187)"),"Filme dos anos 80 sobre uma criança em uma nave espacial")</f>
        <v>Filme dos anos 80 sobre uma criança em uma nave espacial</v>
      </c>
      <c r="F186" s="5" t="str">
        <f aca="false">IFERROR(__xludf.dummyfunction("GOOGLETRANSLATE(D186)")," No Reino Unido, o Datum de Ordnance (a altura de 0 metros nos mapas do Reino Unido) é o nível médio do mar medido em Newlyn, na Cornualha, entre 1915 e 1921. Antes de 1921, o dado era MSL no Dock de Victoria, Liverpool.")</f>
        <v> No Reino Unido, o Datum de Ordnance (a altura de 0 metros nos mapas do Reino Unido) é o nível médio do mar medido em Newlyn, na Cornualha, entre 1915 e 1921. Antes de 1921, o dado era MSL no Dock de Victoria, Liverpool.</v>
      </c>
    </row>
    <row r="187" customFormat="false" ht="15.75" hidden="false" customHeight="true" outlineLevel="0" collapsed="false">
      <c r="A187" s="3" t="n">
        <v>184</v>
      </c>
      <c r="B187" s="5" t="s">
        <v>556</v>
      </c>
      <c r="C187" s="5" t="s">
        <v>557</v>
      </c>
      <c r="D187" s="5" t="s">
        <v>558</v>
      </c>
      <c r="E187" s="4" t="str">
        <f aca="false">IFERROR(__xludf.dummyfunction("GOOGLETRANSLATE(C188)"),"onde ocorreu a primeira revolução da batalha do Texas")</f>
        <v>onde ocorreu a primeira revolução da batalha do Texas</v>
      </c>
      <c r="F187" s="5" t="str">
        <f aca="false">IFERROR(__xludf.dummyfunction("GOOGLETRANSLATE(D187)")," O Flight of the Navigator é um filme de aventura de ficção científica de 1986, dirigido por Randal Kleiser e escrito por Mark H. Baker, Michael Burton e Matt MacManus. É estrelado por Joey Cramer como David Freeman, um garoto de 12 anos - que é seqüestra"&amp;"do por uma nave espacial alienígena e se vê pega em um mundo que mudou ao seu redor.")</f>
        <v> O Flight of the Navigator é um filme de aventura de ficção científica de 1986, dirigido por Randal Kleiser e escrito por Mark H. Baker, Michael Burton e Matt MacManus. É estrelado por Joey Cramer como David Freeman, um garoto de 12 anos - que é seqüestrado por uma nave espacial alienígena e se vê pega em um mundo que mudou ao seu redor.</v>
      </c>
    </row>
    <row r="188" customFormat="false" ht="15.75" hidden="false" customHeight="true" outlineLevel="0" collapsed="false">
      <c r="A188" s="3" t="n">
        <v>185</v>
      </c>
      <c r="B188" s="5" t="s">
        <v>559</v>
      </c>
      <c r="C188" s="5" t="s">
        <v>560</v>
      </c>
      <c r="D188" s="5" t="s">
        <v>561</v>
      </c>
      <c r="E188" s="4" t="str">
        <f aca="false">IFERROR(__xludf.dummyfunction("GOOGLETRANSLATE(C189)"),"Quais são os componentes básicos de um nucleotídeo")</f>
        <v>Quais são os componentes básicos de um nucleotídeo</v>
      </c>
      <c r="F188" s="5" t="str">
        <f aca="false">IFERROR(__xludf.dummyfunction("GOOGLETRANSLATE(D188)"),"   Data (s) de noivado (s) de localização da batalha Victor Battle of Gonzales Gonzales em 2 de outubro de 1835 Esta batalha resultou nas primeiras vítimas da Revolução do Texas. Um soldado mexicano matou a batalha de Goliad Goliad em 10 de outubro de 183"&amp;"5, os texanos capturaram o Presidio La Bahia, bloqueando o exército mexicano no Texas de acessar o porto principal do Texas de Copano. Um texano foi ferido e as estimativas de baixas mexicanas variam de um a três soldados mortos e de três a sete feridos. "&amp;"Batalha de Lipantitlán San Patricio, 4 de novembro - 5 de 1835, os texanos capturaram e destruíram Fort Lipantitlán. A maioria dos soldados mexicanos se retirou para Matamoros. Um texano foi ferido e 3 - 5 soldados mexicanos foram mortos, com mais 14 - 17"&amp;" soldados mexicanos feridos. Batalha de Concepción San Antonio de Bexar 28 de outubro de 1835 Na última ofensiva ordenada pelo general Martin Perfecto de Cos durante a Revolução do Texas, os soldados mexicanos surpreenderam uma força texana acampada perto"&amp;" da concepção da missão. Os texanos repeliram vários ataques com o que o historiador Alwyn Barr descreveu como `` liderança capaz, uma posição forte e maior poder de fogo ''. Um texano ficou ferido e Richard Andrews se tornou o primeiro soldado texano a m"&amp;"orrer em batalha. Entre 14 e 76 soldados mexicanos foram mortos. O historiador Stephen Hardin acredita que `` a relativa facilidade da vitória em Concepción instilou nos texanos uma dependência de seus longos rifles e um desprezo por seus inimigos '', o q"&amp;"ue pode ter levado à derrota texana posterior em Coleto. Fight Grass San Antonio de Bexar 26 de novembro de 1835 Os texanos atacam um grande trem mexicano do exército. 4 texanos feridos e 17 baixas mexicanas. Resultou na captura de cavalos e feno (grama)."&amp;" Cerco de Bexar San Antonio de Bexar 12 de outubro - 11 de dezembro de 1835 Em um cerco de seis semanas, os texanos atacaram Bexar e lutaram de casa em casa por cinco dias. Depois que Cos se rendeu, todas as tropas mexicanas do Texas foram forçadas a se r"&amp;"etirar além do Rio Grande, deixando os texanos no controle militar. 150 mexicanos mortos ou feridos e 35 texanos mortos ou feridos. Battle of San Patricio San Patricio 27 de fevereiro de 1836 Esta foi a primeira campanha de batalha da Goliad. The Johnson "&amp;"- Grant Venture, a primeira revolução da Batalha da Texas, na qual o exército mexicano foi o vencedor. Das forças Johnson, 20 texanos mortos, 32 capturados e 1 perda mexicana, 4 feridos. Johnson e outros 4 escaparam após a captura e seguiram para Goliad. "&amp;"Johnson sobreviveria à Revolução do Texas. Batalha de Agua Dulce Agua Dulce 2 de março de 1836 Segunda Batalha da Campanha Goliad. De 27 homens das forças do Grant e Morris do Johnson - Grant Venture - 12/15 mortas; 6 capturados e presos em Matamoros; Sei"&amp;"s escaparam, dos quais cinco foram mortos na Batalha de Massacre de Goliad do Alamo San Antonio de Bexar, 23 de fevereiro - 6 de março de 1836, o presidente mexicano Antonio Lopez de Santa Anna, pessoalmente superou o cerco do Alamo e da batalha subsequen"&amp;"te, onde quase todos os 189 - 250 defensores texanos foram mortos. 600 mexicanos mortos ou feridos. A raiva pela falta de misericórdia de Santa Anna levou muitos colonos texanos a se juntarem ao exército texano. (Esta batalha é considerada uma das batalha"&amp;"s mais famosas da história americana e é a inspiração para dezenas de filmes e livros) Battle of Refugio Refugio 14 de março de 1836 Terceira Batalha da Campanha Goliad. Os texanos infligiram vítimas pesadas, mas dividiram suas forças e recuaram, terminan"&amp;"do em captura. Cerca de 50 texanos mortos e 98 capturados com algumas execuções posteriores, 29 poupadas como trabalhadores, sobreviventes enviados a Goliad e possivelmente 80 - 100 baixas mexicanas com 50 feridos. Batalha de Coleto nos arredores de Golia"&amp;"d, de 19 a 20 de março de 1836, a campanha final da Batalha da Goliad. Na tentativa de se encontrar com outras forças texanas, a ala mais ao sul do exército texano sai descaradamente sua localização fortemente fortificada no meio das forças de oposição. U"&amp;"ma batalha ocorre com 10 texanos mortos, 60 feridos e 200 mexicanos mortos ou feridos. Após o segundo dia de luta, é acordada uma rendição texana. Aproximadamente 342 dos texanos capturados não foram perdoados, mas foram executados em 27 de março no massa"&amp;"cre de Goliad com 20 poupados e 28 escaparam. A raiva pela falta de misericórdia de Santa Anna levou muitos futuros colonos texanos a se juntarem ao exército texano. Battle of San Jacinto, perto do moderno La Porte, Texas, 21 de abril de 1836, após uma ba"&amp;"talha de 18 minutos, os texanos derrotaram as forças de Santa Anna, eventualmente levando o prisioneiro de Santa Anna. Esta foi a última batalha da Revolução do Texas. 630 mexicanos mortos, 208 feridos, 730 capturados e 9 texanos mortos, 30 feridos.")</f>
        <v>   Data (s) de noivado (s) de localização da batalha Victor Battle of Gonzales Gonzales em 2 de outubro de 1835 Esta batalha resultou nas primeiras vítimas da Revolução do Texas. Um soldado mexicano matou a batalha de Goliad Goliad em 10 de outubro de 1835, os texanos capturaram o Presidio La Bahia, bloqueando o exército mexicano no Texas de acessar o porto principal do Texas de Copano. Um texano foi ferido e as estimativas de baixas mexicanas variam de um a três soldados mortos e de três a sete feridos. Batalha de Lipantitlán San Patricio, 4 de novembro - 5 de 1835, os texanos capturaram e destruíram Fort Lipantitlán. A maioria dos soldados mexicanos se retirou para Matamoros. Um texano foi ferido e 3 - 5 soldados mexicanos foram mortos, com mais 14 - 17 soldados mexicanos feridos. Batalha de Concepción San Antonio de Bexar 28 de outubro de 1835 Na última ofensiva ordenada pelo general Martin Perfecto de Cos durante a Revolução do Texas, os soldados mexicanos surpreenderam uma força texana acampada perto da concepção da missão. Os texanos repeliram vários ataques com o que o historiador Alwyn Barr descreveu como `` liderança capaz, uma posição forte e maior poder de fogo ''. Um texano ficou ferido e Richard Andrews se tornou o primeiro soldado texano a morrer em batalha. Entre 14 e 76 soldados mexicanos foram mortos. O historiador Stephen Hardin acredita que `` a relativa facilidade da vitória em Concepción instilou nos texanos uma dependência de seus longos rifles e um desprezo por seus inimigos '', o que pode ter levado à derrota texana posterior em Coleto. Fight Grass San Antonio de Bexar 26 de novembro de 1835 Os texanos atacam um grande trem mexicano do exército. 4 texanos feridos e 17 baixas mexicanas. Resultou na captura de cavalos e feno (grama). Cerco de Bexar San Antonio de Bexar 12 de outubro - 11 de dezembro de 1835 Em um cerco de seis semanas, os texanos atacaram Bexar e lutaram de casa em casa por cinco dias. Depois que Cos se rendeu, todas as tropas mexicanas do Texas foram forçadas a se retirar além do Rio Grande, deixando os texanos no controle militar. 150 mexicanos mortos ou feridos e 35 texanos mortos ou feridos. Battle of San Patricio San Patricio 27 de fevereiro de 1836 Esta foi a primeira campanha de batalha da Goliad. The Johnson - Grant Venture, a primeira revolução da Batalha da Texas, na qual o exército mexicano foi o vencedor. Das forças Johnson, 20 texanos mortos, 32 capturados e 1 perda mexicana, 4 feridos. Johnson e outros 4 escaparam após a captura e seguiram para Goliad. Johnson sobreviveria à Revolução do Texas. Batalha de Agua Dulce Agua Dulce 2 de março de 1836 Segunda Batalha da Campanha Goliad. De 27 homens das forças do Grant e Morris do Johnson - Grant Venture - 12/15 mortas; 6 capturados e presos em Matamoros; Seis escaparam, dos quais cinco foram mortos na Batalha de Massacre de Goliad do Alamo San Antonio de Bexar, 23 de fevereiro - 6 de março de 1836, o presidente mexicano Antonio Lopez de Santa Anna, pessoalmente superou o cerco do Alamo e da batalha subsequente, onde quase todos os 189 - 250 defensores texanos foram mortos. 600 mexicanos mortos ou feridos. A raiva pela falta de misericórdia de Santa Anna levou muitos colonos texanos a se juntarem ao exército texano. (Esta batalha é considerada uma das batalhas mais famosas da história americana e é a inspiração para dezenas de filmes e livros) Battle of Refugio Refugio 14 de março de 1836 Terceira Batalha da Campanha Goliad. Os texanos infligiram vítimas pesadas, mas dividiram suas forças e recuaram, terminando em captura. Cerca de 50 texanos mortos e 98 capturados com algumas execuções posteriores, 29 poupadas como trabalhadores, sobreviventes enviados a Goliad e possivelmente 80 - 100 baixas mexicanas com 50 feridos. Batalha de Coleto nos arredores de Goliad, de 19 a 20 de março de 1836, a campanha final da Batalha da Goliad. Na tentativa de se encontrar com outras forças texanas, a ala mais ao sul do exército texano sai descaradamente sua localização fortemente fortificada no meio das forças de oposição. Uma batalha ocorre com 10 texanos mortos, 60 feridos e 200 mexicanos mortos ou feridos. Após o segundo dia de luta, é acordada uma rendição texana. Aproximadamente 342 dos texanos capturados não foram perdoados, mas foram executados em 27 de março no massacre de Goliad com 20 poupados e 28 escaparam. A raiva pela falta de misericórdia de Santa Anna levou muitos futuros colonos texanos a se juntarem ao exército texano. Battle of San Jacinto, perto do moderno La Porte, Texas, 21 de abril de 1836, após uma batalha de 18 minutos, os texanos derrotaram as forças de Santa Anna, eventualmente levando o prisioneiro de Santa Anna. Esta foi a última batalha da Revolução do Texas. 630 mexicanos mortos, 208 feridos, 730 capturados e 9 texanos mortos, 30 feridos.</v>
      </c>
    </row>
    <row r="189" customFormat="false" ht="15.75" hidden="false" customHeight="true" outlineLevel="0" collapsed="false">
      <c r="A189" s="3" t="n">
        <v>186</v>
      </c>
      <c r="B189" s="5" t="s">
        <v>562</v>
      </c>
      <c r="C189" s="5" t="s">
        <v>563</v>
      </c>
      <c r="D189" s="5" t="s">
        <v>564</v>
      </c>
      <c r="E189" s="4" t="str">
        <f aca="false">IFERROR(__xludf.dummyfunction("GOOGLETRANSLATE(C190)"),"onde está a cláusula de devido processo encontrada na Constituição")</f>
        <v>onde está a cláusula de devido processo encontrada na Constituição</v>
      </c>
      <c r="F189" s="5" t="str">
        <f aca="false">IFERROR(__xludf.dummyfunction("GOOGLETRANSLATE(D189)")," Os nucleotídeos são moléculas orgânicas que servem como unidades de monômero para formar os polímeros de ácido nucleico desoxirribonucleico (DNA) e ácido ribonucleico (RNA), ambos biomoléculas essenciais em todas as formas da vida na Terra. Os nucleotíde"&amp;"os são os blocos de construção de ácidos nucleicos; Eles são compostos de três moléculas de subunidade: uma base nitrogenada, um açúcar de carbono de cinco (ribose ou desoxirribose) e pelo menos um grupo fosfato. Eles também são conhecidos como nucleotíde"&amp;"os de fosfato.")</f>
        <v> Os nucleotídeos são moléculas orgânicas que servem como unidades de monômero para formar os polímeros de ácido nucleico desoxirribonucleico (DNA) e ácido ribonucleico (RNA), ambos biomoléculas essenciais em todas as formas da vida na Terra. Os nucleotídeos são os blocos de construção de ácidos nucleicos; Eles são compostos de três moléculas de subunidade: uma base nitrogenada, um açúcar de carbono de cinco (ribose ou desoxirribose) e pelo menos um grupo fosfato. Eles também são conhecidos como nucleotídeos de fosfato.</v>
      </c>
    </row>
    <row r="190" customFormat="false" ht="15.75" hidden="false" customHeight="true" outlineLevel="0" collapsed="false">
      <c r="A190" s="3" t="n">
        <v>187</v>
      </c>
      <c r="B190" s="5" t="s">
        <v>565</v>
      </c>
      <c r="C190" s="5" t="s">
        <v>566</v>
      </c>
      <c r="D190" s="5" t="s">
        <v>567</v>
      </c>
      <c r="E190" s="4" t="str">
        <f aca="false">IFERROR(__xludf.dummyfunction("GOOGLETRANSLATE(C191)"),"onde está o grande camarão localizado na Austrália")</f>
        <v>onde está o grande camarão localizado na Austrália</v>
      </c>
      <c r="F190" s="5" t="str">
        <f aca="false">IFERROR(__xludf.dummyfunction("GOOGLETRANSLATE(D190)")," A quinta e a décima quarta alteração à Constituição dos Estados Unidos contêm uma cláusula de devido processo. O devido processo lida com a administração da justiça e, portanto, a cláusula do devido processo atua como uma salvaguarda da negação arbitrári"&amp;"a de vida, liberdade ou propriedade pelo governo fora da sanção da lei. A Suprema Corte dos Estados Unidos interpreta os cláusulas de maneira mais ampla, concluindo que essas cláusulas fornecem quatro proteções: devido processo processual (em procedimento"&amp;"s civis e criminais), devido processo substantivo, uma proibição contra leis vagas e como veículo para a incorporação do o projeto de lei de direitos .")</f>
        <v> A quinta e a décima quarta alteração à Constituição dos Estados Unidos contêm uma cláusula de devido processo. O devido processo lida com a administração da justiça e, portanto, a cláusula do devido processo atua como uma salvaguarda da negação arbitrária de vida, liberdade ou propriedade pelo governo fora da sanção da lei. A Suprema Corte dos Estados Unidos interpreta os cláusulas de maneira mais ampla, concluindo que essas cláusulas fornecem quatro proteções: devido processo processual (em procedimentos civis e criminais), devido processo substantivo, uma proibição contra leis vagas e como veículo para a incorporação do o projeto de lei de direitos .</v>
      </c>
    </row>
    <row r="191" customFormat="false" ht="15.75" hidden="false" customHeight="true" outlineLevel="0" collapsed="false">
      <c r="A191" s="3" t="n">
        <v>188</v>
      </c>
      <c r="B191" s="5" t="s">
        <v>568</v>
      </c>
      <c r="C191" s="5" t="s">
        <v>569</v>
      </c>
      <c r="D191" s="5" t="s">
        <v>570</v>
      </c>
      <c r="E191" s="4" t="str">
        <f aca="false">IFERROR(__xludf.dummyfunction("GOOGLETRANSLATE(C192)"),"que interpreta o dublê no comercial da GEICO")</f>
        <v>que interpreta o dublê no comercial da GEICO</v>
      </c>
      <c r="F191" s="5" t="str">
        <f aca="false">IFERROR(__xludf.dummyfunction("GOOGLETRANSLATE(D191)"),"   Nome Localização Tamanho construído Notas Imagem Big Ant Broken Hill 1980 Uma escultura de formiga de touro projetada pelo artista Pro Hart, que foi erguida em 1980 e originalmente estava no hotel Stephens Creek. Foi transferido para sua localização at"&amp;"ual, ao lado do Centro de Informações Turísticas em Broken Hill, depois de ser doado à cidade em 1990. Big Apple Batlow localizado no meio de um pomar a cerca de 3 km ao norte de Batlow, sem acesso público. Somente sua parte superior é visível da Batlow -"&amp;" Tumut Road, pois é amplamente bloqueada por macieiras. Big Apple Yerrinbool visível da Hume Highway - 34.348504, 150.554299 Big Duranbah de abacate localizado no mundo das frutas tropicais. O Big Axe Kew 1979 8 m (26 pés) localizado ao lado do Centro de "&amp;"Informações para Visitantes da KEW. A escultura original foi substituída em 2002 como resultado de danos induzidos por ANT. Big Ayers Rock North Arm Cove 1990 Este modelo de 1/40 de escala de Uluru era anteriormente uma atração no Leyland Brothers World e"&amp;" agora forma o telhado do restaurante de rock. Tecnicamente, não é uma `` grande coisa '' (como é substancialmente menor que o item em que é modelado), o restaurante de rock é vagamente agrupado com as grandes coisas como um objeto de arte na estrada. Big"&amp;" Banana Coffs Harbor 1964 13 m × 5 m (43 pés × 16 pés) às vezes afirmava ser a primeira grande novidade na Austrália. O grande complexo turístico de banana inclui uma loja de lembrança temática de banana, passeios pela plantação circundante e uma encosta "&amp;"de esqui interno. A grande lata de cerveja Cobar 1990 5 m × 2,5 m (16,4 ft × 8,2 pés) A grande lata de cerveja tem um novo design Tooheys e está localizado acima da entrada do Grand Hotel. Big Bench Broken Hill, Nova Gales do Sul de setembro de 2002 Como "&amp;"parte da exposição de paisagens e origens, um banco de 2,5 vezes em escala foi construído no topo da linha de lodo, que é uma colina alta de depósitos no centro da cidade de Broken Hill. O Big Blue Heeler Muswellbrook 2001 2 m (6,6 pés) de alta localizaçã"&amp;"o, localizado ao lado do Centro de Informações da Cidade. O Big Bogan Nyngan 2015 3,6 m (12 pés) de altura O Big Bogan é a ideia do reverendo Graham McLeod, da Igreja Anglicana de São Marcos de Nyngan. Localizado na rua Pangee, ao lado das linhas ferroviá"&amp;"rias. Big Bottles Mangrove Mountain e Hanwood Big Bowl Lake Cathie, Nova Gales do Sul uma réplica de 10 pés de altura de uma tigela de gramado, consistindo de um - e - uma meia toneladas de aço e concreto. BIG BULL WAUCHOPE 14 m × 21 m (46 pés × 69 pés) O"&amp;" Big Bull foi puxado em outubro de 2007. Grande bando de Bananas Coffs Harbor, anteriormente localizado em Sawtell, o grande monte de bananas foi realocado quando a estrada do Pacífico ignorou a cidade e agora fica ao sul do porto de Coffs. A Big Bicycle "&amp;"Chullora 9 m × 6 m (30 pés × 20 pés) A bicicleta construída por Jonh Ridley, Andy Lugiz e Phillip Becker adornam a entrada da estação de transferência de resíduos de Chullora, Chullora. Big Cheese Bodalla O Big Cheese está localizado na antiga fábrica de "&amp;"queijo Bodalla, nos príncipes Hwy, Bodalla. É a partir de 2013 fechado. Big Cherries Young originalmente localizou a Short Street, mas mudou -se com o Centro de Informações Turistas para Lovell Street para a antiga estação ferroviária. Big Chook Moonbi 19"&amp;"70s 2 m × 4 m (6,6 ft × 13,1 ft) Big Chook Mount Vernon 4 m × 4 m (13 pés × 13 pés) Big Fish Manilla O peixe grande está localizado na Big Fish Roadhouse em 79 Arthur Street Manilla . Big Flower Ourimbah Big Funil Spider Jamberoo, Nova Gales do Sul 2015 1"&amp;"9,7 m × 22,2 m (65 pés × 73 pés) A Big Funnel Spider foi construída no Jambeoo Action Park, localizado a 20 minutos ao sul de Wollongong e é um aço, fibra de fibra e concreto Estrutura 420 vezes maior que uma fêmea de Sydney - Spider. Foi concedido um rec"&amp;"orde mundial do Guinness como a maior escultura de aranha em agosto de 2015. O Big Gold Panner Bathurst 1979 5 m × 3 m (16,4 pés × 9,8 pés) localizado em frente ao Gold Panner Motor Inn. A Big Gold Pick e Pan Grenfell 2005 Pick 4 M, Pan 3 M (Diam) localiz"&amp;"ados entre o galpão de mercadorias e o edifício histórico da estação na antiga Delegacia da Estação Ferroviária, perto do extremo norte da West Street. A grande guitarra dourada Tamworth 1988 12 m × 4 m (39 pés × 13 pés) modelada nos troféus de guitarra d"&amp;"e ouro dada aos vencedores no Country Music Awards of Australia Cerimony Night durante o Tamworth Country Music Festival. O Big Knight Knockrow na entrada do Castelo da Macadâmia, um parque e uma loja temática de nozes. O Big Hammer Mudgee, localizado no "&amp;"Fairview Artspace, em Mudgee, é o trabalho de arte de um Tig Crawley `` Water Hammer ''. Esta instalação está localizada no jardim da frente e tem uma bela vista de Mudgee e o campo dos grandes fones de ouvido Newcastle 2015 3 m (9,8 pés) localizados em D"&amp;"arby St, este par de fones de ouvido totalmente operacional foi projetado por Mark Tisdell e construído em colaboração com Tom Irlanda (Fabration and Design Detalhando), Sean Bell (gráficos), Adrian Garner (Engenharia Elétrica), Brad Phillips e Rhian Leek"&amp;" (Architectural Design), com o apoio do Darby Street Traders Group. A Big Kookaburra Kurri Kurri 2009 4,5 m (15 pés) Escultura de Chris Fussell. Está localizado no Rotary Park. O Big Lamb Guyra 1988 erguido pela cidade e distrito para promover as indústri"&amp;"as de cordeiro e batata na Nova Inglaterra. O cordeiro fica sobre uma planta de batata. The Big Merino Goulburn 1985 15 m × 18 m (49 pés × 59 pés) Uma escultura de um Merino Ram, construído em 1985. Goulburn e o Big Merino foram ignorados pela Hume Highwa"&amp;"y em 1992, levando a uma redução no número de visitantes. Em 26 de maio de 2007, Rambo (como o Merino é conhecido localmente) foi realocado por Lower - carregador para uma nova casa à vista da rodovia. A lâmpada do Big Miner Lithgow Big Mosquito Hexham 19"&amp;"93 `` Ossie The Mossie '' no Hexham Bowls Club é modelada nas espécies locais de mosquitos de Ochlerotatus Alternans, conhecidos como `` cinza hexham ''. Inclui olhos iluminados que ligam à noite. Big Murray Cod Tocumwal 1967 2 m × 7 m (6,6 ft × 23,0 pés)"&amp;" localizado perto da esquina da Deniliquin Rd e Murray St, perto do rio Murray. Big Orange Tenterfield The Big Oyster Taree 12 m × 4 m (39 pés × 13 pés) A grande guitarra tocável Narrandera 1991 6 m × 2 m (19,7 ft × 6,6 pés) A maior guitarra tocável do mu"&amp;"ndo. Ploddy the Dinosaur Somersby 1963 situado no parque de répteis australiano e encomendado pelo fundador do parque, Eric Worrell. A estrutura de concreto, com base na forma de um diplodoco, tem 30 metros de comprimento e pesa quase 100 toneladas. O Big"&amp;" Potato Robertson 1977 10 m × 4 m (33 pés × 13 pés) Uma batata gigante construída pelo fazendeiro Jim Mauger em 1977. O Big Poo Kiama 2002 1 m × 5 m (3,3 pés × 16,4 pés) O grande cocô foi construído por moradores locais como um protesto contra a decisão d"&amp;"e Sydney Water de não reutilizar as águas residuais na área. Construído a partir de espuma, foi revelado por Ian Cohen em 29 de abril de 2002. O Big Prawn Ballina 1989 6 m × 9 m (20 pés × 30 pés) Em 24 de setembro de 2009, o Conselho de Ballina Shire voto"&amp;"u para permitir a demolição do grande camarão, mas essa permissão nunca foi acionada. O Bunnings Warehouse comprou o site em 2011 e reformou o camarão como parte da reconstrução. O camarão agora fica em um estande ao lado da entrada do estacionamento do a"&amp;"rmazém de Bunnings. Big Rabbit Trap Albert 2013 Uma grande armadilha de coelho, localizada no telhado do Rabbit Trap Hotel. O Big Rocket Moree 2009 14 m (46 pés) High The Big Rocket, lançado durante o Ano Internacional de Astronomia e o 40º aniversário do"&amp;" primeiro pouso da lua tripulada, contém dois slides e um playground com tema de centro de comando com tema. O cubo de Big Rubik, Maroubra 2008, um cubo de cimento pintado de acordo com o cubo de Rubik no topo de um dreno de águas pluviais na praia de Mar"&amp;"oubra. O Big Slurpee Coffs Harbor 2009 15,24 m (50 pés) desmantelado em 2009. O grande soldado Uralla em frente ao Museu Militar de Hassett. O grande Spider Urana 2009 The Big Spider (chamado `` Not So Itsy '' do artista) foi criado por Andrew Whitehead, "&amp;"um morador próximo da cidade. A aranha comemora o clube de futebol local, que foi, por muitos anos, conhecido como aranhas, e é construído a partir de uma variedade de materiais - incluindo uma banheira de lavagem e um silenciador de cachorro -quente. O m"&amp;"aior singleton de sol do mundo, um relógio de sol de 25 pés de altura, apresentado como um presente da mina de Lemington, para homenagear a ocasião do bicentenário australiano. Na época de sua criação, foi reconhecido pelo Guinness Book of World Records c"&amp;"omo o maior relógio de sol do mundo, e ainda afirma ser o maior de peça de sol no Hemisfério Sul. O Big Swan Dunedoo em frente ao Motel dos Cisnes. Big Tennis Racquet Barellan 3 de outubro de 2009 13,8 m (45 pés) Construído em homenagem a Evonne Goolagong"&amp;", que cresceu em Barellan. A grande truta Adaminaby 1973 10 m × 3 m (32,8 pés × 9,8 pés) projetada por Andy Lomnici, a grande truta está localizada na cidade de Adaminaby, perto do lago Eucumbene, nas montanhas nevadas. Inaugurado em 1973, a truta é const"&amp;"ruída a partir de fibra de vidro sobre uma estrutura de aço. A grande truta Oberon, a grande tartaruga Forster, esculpida em madeira, a grande tartaruga está localizada atrás da rua principal de Forster, em um calçadão à beira do rio. The Big Ugg Boots Th"&amp;"ornton, 20 de abril de 2015, a Mortels Sheepskin Factory abriga as grandes botas Ugg. Essas grandes botas UGG são 13 vezes o tamanho da bota Ugg de tamanho 8 de uma mulher. As grandes botas UGG estão localizadas na região de Hunter, em NSW. O Big Windmill"&amp;" Coffs Harbor 1972, embora o trabalho tenha começado no grande moinho de vento em 1972, a morte de Franz de Kever em 1974 atrasou a conclusão até 1982, como foi até que o local foi comprado por Hans Eecen que o trabalho foi capaz de retomar. Desde então, "&amp;"o grande moinho de vento mudou de mãos e agora é operado por Mark e Jodi Taylor. O site inclui um motel de 41 - quarto e um restaurante. The Big Wine Barrel Hanwood, Griffith 1973, localizado na vinícola McWilliam. A porta da adega com exibições histórica"&amp;"s e um mural de vidro gigante estão localizados dentro. A grande garrafa de vinho Pokolbin 1998 7 m × 1,5 m (23,0 pés × 4,9 pés) localizada no Hunter Valley Gardens. O pescoço forma uma chaminé para um fogo aberto contido no interior. O grande barril de v"&amp;"inho Mourquong 8 m × 6 m (26 pés × 20 pés) localizado na Constellation Stanley Winery * Edit - a partir de dezembro de 2013 não está mais lá. Construção é, mas foi pintado e não é acessível *")</f>
        <v>   Nome Localização Tamanho construído Notas Imagem Big Ant Broken Hill 1980 Uma escultura de formiga de touro projetada pelo artista Pro Hart, que foi erguida em 1980 e originalmente estava no hotel Stephens Creek. Foi transferido para sua localização atual, ao lado do Centro de Informações Turísticas em Broken Hill, depois de ser doado à cidade em 1990. Big Apple Batlow localizado no meio de um pomar a cerca de 3 km ao norte de Batlow, sem acesso público. Somente sua parte superior é visível da Batlow - Tumut Road, pois é amplamente bloqueada por macieiras. Big Apple Yerrinbool visível da Hume Highway - 34.348504, 150.554299 Big Duranbah de abacate localizado no mundo das frutas tropicais. O Big Axe Kew 1979 8 m (26 pés) localizado ao lado do Centro de Informações para Visitantes da KEW. A escultura original foi substituída em 2002 como resultado de danos induzidos por ANT. Big Ayers Rock North Arm Cove 1990 Este modelo de 1/40 de escala de Uluru era anteriormente uma atração no Leyland Brothers World e agora forma o telhado do restaurante de rock. Tecnicamente, não é uma `` grande coisa '' (como é substancialmente menor que o item em que é modelado), o restaurante de rock é vagamente agrupado com as grandes coisas como um objeto de arte na estrada. Big Banana Coffs Harbor 1964 13 m × 5 m (43 pés × 16 pés) às vezes afirmava ser a primeira grande novidade na Austrália. O grande complexo turístico de banana inclui uma loja de lembrança temática de banana, passeios pela plantação circundante e uma encosta de esqui interno. A grande lata de cerveja Cobar 1990 5 m × 2,5 m (16,4 ft × 8,2 pés) A grande lata de cerveja tem um novo design Tooheys e está localizado acima da entrada do Grand Hotel. Big Bench Broken Hill, Nova Gales do Sul de setembro de 2002 Como parte da exposição de paisagens e origens, um banco de 2,5 vezes em escala foi construído no topo da linha de lodo, que é uma colina alta de depósitos no centro da cidade de Broken Hill. O Big Blue Heeler Muswellbrook 2001 2 m (6,6 pés) de alta localização, localizado ao lado do Centro de Informações da Cidade. O Big Bogan Nyngan 2015 3,6 m (12 pés) de altura O Big Bogan é a ideia do reverendo Graham McLeod, da Igreja Anglicana de São Marcos de Nyngan. Localizado na rua Pangee, ao lado das linhas ferroviárias. Big Bottles Mangrove Mountain e Hanwood Big Bowl Lake Cathie, Nova Gales do Sul uma réplica de 10 pés de altura de uma tigela de gramado, consistindo de um - e - uma meia toneladas de aço e concreto. BIG BULL WAUCHOPE 14 m × 21 m (46 pés × 69 pés) O Big Bull foi puxado em outubro de 2007. Grande bando de Bananas Coffs Harbor, anteriormente localizado em Sawtell, o grande monte de bananas foi realocado quando a estrada do Pacífico ignorou a cidade e agora fica ao sul do porto de Coffs. A Big Bicycle Chullora 9 m × 6 m (30 pés × 20 pés) A bicicleta construída por Jonh Ridley, Andy Lugiz e Phillip Becker adornam a entrada da estação de transferência de resíduos de Chullora, Chullora. Big Cheese Bodalla O Big Cheese está localizado na antiga fábrica de queijo Bodalla, nos príncipes Hwy, Bodalla. É a partir de 2013 fechado. Big Cherries Young originalmente localizou a Short Street, mas mudou -se com o Centro de Informações Turistas para Lovell Street para a antiga estação ferroviária. Big Chook Moonbi 1970s 2 m × 4 m (6,6 ft × 13,1 ft) Big Chook Mount Vernon 4 m × 4 m (13 pés × 13 pés) Big Fish Manilla O peixe grande está localizado na Big Fish Roadhouse em 79 Arthur Street Manilla . Big Flower Ourimbah Big Funil Spider Jamberoo, Nova Gales do Sul 2015 19,7 m × 22,2 m (65 pés × 73 pés) A Big Funnel Spider foi construída no Jambeoo Action Park, localizado a 20 minutos ao sul de Wollongong e é um aço, fibra de fibra e concreto Estrutura 420 vezes maior que uma fêmea de Sydney - Spider. Foi concedido um recorde mundial do Guinness como a maior escultura de aranha em agosto de 2015. O Big Gold Panner Bathurst 1979 5 m × 3 m (16,4 pés × 9,8 pés) localizado em frente ao Gold Panner Motor Inn. A Big Gold Pick e Pan Grenfell 2005 Pick 4 M, Pan 3 M (Diam) localizados entre o galpão de mercadorias e o edifício histórico da estação na antiga Delegacia da Estação Ferroviária, perto do extremo norte da West Street. A grande guitarra dourada Tamworth 1988 12 m × 4 m (39 pés × 13 pés) modelada nos troféus de guitarra de ouro dada aos vencedores no Country Music Awards of Australia Cerimony Night durante o Tamworth Country Music Festival. O Big Knight Knockrow na entrada do Castelo da Macadâmia, um parque e uma loja temática de nozes. O Big Hammer Mudgee, localizado no Fairview Artspace, em Mudgee, é o trabalho de arte de um Tig Crawley `` Water Hammer ''. Esta instalação está localizada no jardim da frente e tem uma bela vista de Mudgee e o campo dos grandes fones de ouvido Newcastle 2015 3 m (9,8 pés) localizados em Darby St, este par de fones de ouvido totalmente operacional foi projetado por Mark Tisdell e construído em colaboração com Tom Irlanda (Fabration and Design Detalhando), Sean Bell (gráficos), Adrian Garner (Engenharia Elétrica), Brad Phillips e Rhian Leek (Architectural Design), com o apoio do Darby Street Traders Group. A Big Kookaburra Kurri Kurri 2009 4,5 m (15 pés) Escultura de Chris Fussell. Está localizado no Rotary Park. O Big Lamb Guyra 1988 erguido pela cidade e distrito para promover as indústrias de cordeiro e batata na Nova Inglaterra. O cordeiro fica sobre uma planta de batata. The Big Merino Goulburn 1985 15 m × 18 m (49 pés × 59 pés) Uma escultura de um Merino Ram, construído em 1985. Goulburn e o Big Merino foram ignorados pela Hume Highway em 1992, levando a uma redução no número de visitantes. Em 26 de maio de 2007, Rambo (como o Merino é conhecido localmente) foi realocado por Lower - carregador para uma nova casa à vista da rodovia. A lâmpada do Big Miner Lithgow Big Mosquito Hexham 1993 `` Ossie The Mossie '' no Hexham Bowls Club é modelada nas espécies locais de mosquitos de Ochlerotatus Alternans, conhecidos como `` cinza hexham ''. Inclui olhos iluminados que ligam à noite. Big Murray Cod Tocumwal 1967 2 m × 7 m (6,6 ft × 23,0 pés) localizado perto da esquina da Deniliquin Rd e Murray St, perto do rio Murray. Big Orange Tenterfield The Big Oyster Taree 12 m × 4 m (39 pés × 13 pés) A grande guitarra tocável Narrandera 1991 6 m × 2 m (19,7 ft × 6,6 pés) A maior guitarra tocável do mundo. Ploddy the Dinosaur Somersby 1963 situado no parque de répteis australiano e encomendado pelo fundador do parque, Eric Worrell. A estrutura de concreto, com base na forma de um diplodoco, tem 30 metros de comprimento e pesa quase 100 toneladas. O Big Potato Robertson 1977 10 m × 4 m (33 pés × 13 pés) Uma batata gigante construída pelo fazendeiro Jim Mauger em 1977. O Big Poo Kiama 2002 1 m × 5 m (3,3 pés × 16,4 pés) O grande cocô foi construído por moradores locais como um protesto contra a decisão de Sydney Water de não reutilizar as águas residuais na área. Construído a partir de espuma, foi revelado por Ian Cohen em 29 de abril de 2002. O Big Prawn Ballina 1989 6 m × 9 m (20 pés × 30 pés) Em 24 de setembro de 2009, o Conselho de Ballina Shire votou para permitir a demolição do grande camarão, mas essa permissão nunca foi acionada. O Bunnings Warehouse comprou o site em 2011 e reformou o camarão como parte da reconstrução. O camarão agora fica em um estande ao lado da entrada do estacionamento do armazém de Bunnings. Big Rabbit Trap Albert 2013 Uma grande armadilha de coelho, localizada no telhado do Rabbit Trap Hotel. O Big Rocket Moree 2009 14 m (46 pés) High The Big Rocket, lançado durante o Ano Internacional de Astronomia e o 40º aniversário do primeiro pouso da lua tripulada, contém dois slides e um playground com tema de centro de comando com tema. O cubo de Big Rubik, Maroubra 2008, um cubo de cimento pintado de acordo com o cubo de Rubik no topo de um dreno de águas pluviais na praia de Maroubra. O Big Slurpee Coffs Harbor 2009 15,24 m (50 pés) desmantelado em 2009. O grande soldado Uralla em frente ao Museu Militar de Hassett. O grande Spider Urana 2009 The Big Spider (chamado `` Not So Itsy '' do artista) foi criado por Andrew Whitehead, um morador próximo da cidade. A aranha comemora o clube de futebol local, que foi, por muitos anos, conhecido como aranhas, e é construído a partir de uma variedade de materiais - incluindo uma banheira de lavagem e um silenciador de cachorro -quente. O maior singleton de sol do mundo, um relógio de sol de 25 pés de altura, apresentado como um presente da mina de Lemington, para homenagear a ocasião do bicentenário australiano. Na época de sua criação, foi reconhecido pelo Guinness Book of World Records como o maior relógio de sol do mundo, e ainda afirma ser o maior de peça de sol no Hemisfério Sul. O Big Swan Dunedoo em frente ao Motel dos Cisnes. Big Tennis Racquet Barellan 3 de outubro de 2009 13,8 m (45 pés) Construído em homenagem a Evonne Goolagong, que cresceu em Barellan. A grande truta Adaminaby 1973 10 m × 3 m (32,8 pés × 9,8 pés) projetada por Andy Lomnici, a grande truta está localizada na cidade de Adaminaby, perto do lago Eucumbene, nas montanhas nevadas. Inaugurado em 1973, a truta é construída a partir de fibra de vidro sobre uma estrutura de aço. A grande truta Oberon, a grande tartaruga Forster, esculpida em madeira, a grande tartaruga está localizada atrás da rua principal de Forster, em um calçadão à beira do rio. The Big Ugg Boots Thornton, 20 de abril de 2015, a Mortels Sheepskin Factory abriga as grandes botas Ugg. Essas grandes botas UGG são 13 vezes o tamanho da bota Ugg de tamanho 8 de uma mulher. As grandes botas UGG estão localizadas na região de Hunter, em NSW. O Big Windmill Coffs Harbor 1972, embora o trabalho tenha começado no grande moinho de vento em 1972, a morte de Franz de Kever em 1974 atrasou a conclusão até 1982, como foi até que o local foi comprado por Hans Eecen que o trabalho foi capaz de retomar. Desde então, o grande moinho de vento mudou de mãos e agora é operado por Mark e Jodi Taylor. O site inclui um motel de 41 - quarto e um restaurante. The Big Wine Barrel Hanwood, Griffith 1973, localizado na vinícola McWilliam. A porta da adega com exibições históricas e um mural de vidro gigante estão localizados dentro. A grande garrafa de vinho Pokolbin 1998 7 m × 1,5 m (23,0 pés × 4,9 pés) localizada no Hunter Valley Gardens. O pescoço forma uma chaminé para um fogo aberto contido no interior. O grande barril de vinho Mourquong 8 m × 6 m (26 pés × 20 pés) localizado na Constellation Stanley Winery * Edit - a partir de dezembro de 2013 não está mais lá. Construção é, mas foi pintado e não é acessível *</v>
      </c>
    </row>
    <row r="192" customFormat="false" ht="15.75" hidden="false" customHeight="true" outlineLevel="0" collapsed="false">
      <c r="A192" s="3" t="n">
        <v>189</v>
      </c>
      <c r="B192" s="5" t="s">
        <v>571</v>
      </c>
      <c r="C192" s="5" t="s">
        <v>572</v>
      </c>
      <c r="D192" s="5" t="s">
        <v>573</v>
      </c>
      <c r="E192" s="4" t="str">
        <f aca="false">IFERROR(__xludf.dummyfunction("GOOGLETRANSLATE(C193)"),"diferença entre um cocker spaniel e springer spaniel")</f>
        <v>diferença entre um cocker spaniel e springer spaniel</v>
      </c>
      <c r="F192" s="5" t="str">
        <f aca="false">IFERROR(__xludf.dummyfunction("GOOGLETRANSLATE(D192)")," Blake Gibbons (nascido em 21 de junho de 1961 em Kern County, Califórnia) é um ator americano com um papel recorrente como Coleman no Hospital Geral da Longa Durny the Television Long Daytime Television.")</f>
        <v> Blake Gibbons (nascido em 21 de junho de 1961 em Kern County, Califórnia) é um ator americano com um papel recorrente como Coleman no Hospital Geral da Longa Durny the Television Long Daytime Television.</v>
      </c>
    </row>
    <row r="193" customFormat="false" ht="15.75" hidden="false" customHeight="true" outlineLevel="0" collapsed="false">
      <c r="A193" s="3" t="n">
        <v>190</v>
      </c>
      <c r="B193" s="5" t="s">
        <v>574</v>
      </c>
      <c r="C193" s="5" t="s">
        <v>575</v>
      </c>
      <c r="D193" s="5" t="s">
        <v>576</v>
      </c>
      <c r="E193" s="4" t="str">
        <f aca="false">IFERROR(__xludf.dummyfunction("GOOGLETRANSLATE(C194)"),"Por que o Parlamento Britânico é conhecido como Mãe dos Parlamentos")</f>
        <v>Por que o Parlamento Britânico é conhecido como Mãe dos Parlamentos</v>
      </c>
      <c r="F193" s="5" t="str">
        <f aca="false">IFERROR(__xludf.dummyfunction("GOOGLETRANSLATE(D193)")," O inglês Springer Spaniel é semelhante ao cocker spaniel em inglês e, à primeira vista, a única grande diferença é o tamanho menor deste último. No entanto, os alfaios ingleses também tendem a ter ouvidos mais curtos e mais altos do que os cockers ingles"&amp;"es. Além disso, os trituradores também tendem a ter um focinho mais longo; Seus olhos não são tão proeminentes e o casaco é menos abundante. As principais diferenças entre o Springer galês e o springer inglês são que os galeses têm cores mais limitadas e "&amp;"tendem a ser um pouco menores.")</f>
        <v> O inglês Springer Spaniel é semelhante ao cocker spaniel em inglês e, à primeira vista, a única grande diferença é o tamanho menor deste último. No entanto, os alfaios ingleses também tendem a ter ouvidos mais curtos e mais altos do que os cockers ingleses. Além disso, os trituradores também tendem a ter um focinho mais longo; Seus olhos não são tão proeminentes e o casaco é menos abundante. As principais diferenças entre o Springer galês e o springer inglês são que os galeses têm cores mais limitadas e tendem a ser um pouco menores.</v>
      </c>
    </row>
    <row r="194" customFormat="false" ht="15.75" hidden="false" customHeight="true" outlineLevel="0" collapsed="false">
      <c r="A194" s="3" t="n">
        <v>191</v>
      </c>
      <c r="B194" s="5" t="s">
        <v>577</v>
      </c>
      <c r="C194" s="5" t="s">
        <v>578</v>
      </c>
      <c r="D194" s="5" t="s">
        <v>579</v>
      </c>
      <c r="E194" s="4" t="str">
        <f aca="false">IFERROR(__xludf.dummyfunction("GOOGLETRANSLATE(C195)"),"que interpreta o diretor da CIA na Madame Secretário")</f>
        <v>que interpreta o diretor da CIA na Madame Secretário</v>
      </c>
      <c r="F194" s="5" t="str">
        <f aca="false">IFERROR(__xludf.dummyfunction("GOOGLETRANSLATE(D194)")," A expressão é frequentemente aplicada ao Parlamento do Reino Unido por causa da adoção do modelo de democracia parlamentar de Westminster por muitos países do ex -Império Britânico.")</f>
        <v> A expressão é frequentemente aplicada ao Parlamento do Reino Unido por causa da adoção do modelo de democracia parlamentar de Westminster por muitos países do ex -Império Britânico.</v>
      </c>
    </row>
    <row r="195" customFormat="false" ht="15.75" hidden="false" customHeight="true" outlineLevel="0" collapsed="false">
      <c r="A195" s="3" t="n">
        <v>192</v>
      </c>
      <c r="B195" s="5" t="s">
        <v>580</v>
      </c>
      <c r="C195" s="5" t="s">
        <v>581</v>
      </c>
      <c r="D195" s="5" t="s">
        <v>582</v>
      </c>
      <c r="E195" s="4" t="str">
        <f aca="false">IFERROR(__xludf.dummyfunction("GOOGLETRANSLATE(C196)"),"Quando foi a última vez que um time de Superbowl jogou em casa")</f>
        <v>Quando foi a última vez que um time de Superbowl jogou em casa</v>
      </c>
      <c r="F195" s="5" t="str">
        <f aca="false">IFERROR(__xludf.dummyfunction("GOOGLETRANSLATE(D195)")," Patrick Breen como Andrew Munsey (1ª temporada), diretor da CIA e um protegido do presidente Dalton.")</f>
        <v> Patrick Breen como Andrew Munsey (1ª temporada), diretor da CIA e um protegido do presidente Dalton.</v>
      </c>
    </row>
    <row r="196" customFormat="false" ht="15.75" hidden="false" customHeight="true" outlineLevel="0" collapsed="false">
      <c r="A196" s="3" t="n">
        <v>193</v>
      </c>
      <c r="B196" s="5" t="s">
        <v>583</v>
      </c>
      <c r="C196" s="5" t="s">
        <v>584</v>
      </c>
      <c r="D196" s="5" t="s">
        <v>585</v>
      </c>
      <c r="E196" s="4" t="str">
        <f aca="false">IFERROR(__xludf.dummyfunction("GOOGLETRANSLATE(C197)"),"Quando começa a Guerra Fria e termina")</f>
        <v>Quando começa a Guerra Fria e termina</v>
      </c>
      <c r="F196" s="5" t="str">
        <f aca="false">IFERROR(__xludf.dummyfunction("GOOGLETRANSLATE(D196)")," Até agora, nenhum time ainda conseguiu chegar ao jogo do campeonato em seu estádio em casa, ou até chegou perto. Apenas duas equipes da NFL chegaram ao Super Bowl hospedado em seu mercado doméstico: o San Francisco 49ers, que jogou o Super Bowl XIX no es"&amp;"tádio Stanford, em vez de Candlestick Park, e o Los Angeles Rams, que jogou o Super Bowl XIV no Rose Bowl, em vez do Coliseu do Memorial de Los Angeles. Além dos dois, o único outro local do Super Bowl que não era o estádio de casa para uma equipe da NFL "&amp;"na época era o Rice Stadium em Houston: o Houston Oilers havia jogado lá anteriormente, mas se mudou para o Astrodome vários anos antes do Super Bowl VIII. O Miami Orange Bowl foi o único estádio da AFL a sediar um Super Bowl e o único estádio a sediar Su"&amp;"per Bowls consecutivos, hospedando o Super Bowl II e III. O MetLife Stadium, que recebeu o Super Bowl XLVIII, é o estádio de duas equipes da NFL: o New York Giants e o New York Jets.")</f>
        <v> Até agora, nenhum time ainda conseguiu chegar ao jogo do campeonato em seu estádio em casa, ou até chegou perto. Apenas duas equipes da NFL chegaram ao Super Bowl hospedado em seu mercado doméstico: o San Francisco 49ers, que jogou o Super Bowl XIX no estádio Stanford, em vez de Candlestick Park, e o Los Angeles Rams, que jogou o Super Bowl XIV no Rose Bowl, em vez do Coliseu do Memorial de Los Angeles. Além dos dois, o único outro local do Super Bowl que não era o estádio de casa para uma equipe da NFL na época era o Rice Stadium em Houston: o Houston Oilers havia jogado lá anteriormente, mas se mudou para o Astrodome vários anos antes do Super Bowl VIII. O Miami Orange Bowl foi o único estádio da AFL a sediar um Super Bowl e o único estádio a sediar Super Bowls consecutivos, hospedando o Super Bowl II e III. O MetLife Stadium, que recebeu o Super Bowl XLVIII, é o estádio de duas equipes da NFL: o New York Giants e o New York Jets.</v>
      </c>
    </row>
    <row r="197" customFormat="false" ht="15.75" hidden="false" customHeight="true" outlineLevel="0" collapsed="false">
      <c r="A197" s="3" t="n">
        <v>194</v>
      </c>
      <c r="B197" s="5" t="s">
        <v>586</v>
      </c>
      <c r="C197" s="5" t="s">
        <v>587</v>
      </c>
      <c r="D197" s="5" t="s">
        <v>588</v>
      </c>
      <c r="E197" s="4" t="str">
        <f aca="false">IFERROR(__xludf.dummyfunction("GOOGLETRANSLATE(C198)"),"Qual era a religião oficial da União Soviética")</f>
        <v>Qual era a religião oficial da União Soviética</v>
      </c>
      <c r="F197" s="5" t="str">
        <f aca="false">IFERROR(__xludf.dummyfunction("GOOGLETRANSLATE(D197)")," A Guerra Fria era um estado de tensão geopolítica após a Segunda Guerra Mundial entre os poderes no bloco oriental (a União Soviética e seus estados satélites) e poderes no bloco ocidental (Estados Unidos, seus aliados da OTAN e outros). Os historiadores"&amp;" não concordam completamente nas datas, mas um período comum é o período entre 1947, ano em que a Doutrina Truman, uma Política Externa dos EUA que se comprometeu às nações de ajuda ameaçada pelo expansionismo soviético, foi anunciado e, em 1989, quando o"&amp;" comunismo caiu no leste Europa, ou 1991, quando a União Soviética entrou em colapso. O termo `` frio '' é usado porque não havia uma escala grande - lutando diretamente entre os dois lados, mas cada um apoiou as principais guerras regionais conhecidas co"&amp;"mo guerras por procuração.")</f>
        <v> A Guerra Fria era um estado de tensão geopolítica após a Segunda Guerra Mundial entre os poderes no bloco oriental (a União Soviética e seus estados satélites) e poderes no bloco ocidental (Estados Unidos, seus aliados da OTAN e outros). Os historiadores não concordam completamente nas datas, mas um período comum é o período entre 1947, ano em que a Doutrina Truman, uma Política Externa dos EUA que se comprometeu às nações de ajuda ameaçada pelo expansionismo soviético, foi anunciado e, em 1989, quando o comunismo caiu no leste Europa, ou 1991, quando a União Soviética entrou em colapso. O termo `` frio '' é usado porque não havia uma escala grande - lutando diretamente entre os dois lados, mas cada um apoiou as principais guerras regionais conhecidas como guerras por procuração.</v>
      </c>
    </row>
    <row r="198" customFormat="false" ht="15.75" hidden="false" customHeight="true" outlineLevel="0" collapsed="false">
      <c r="A198" s="3" t="n">
        <v>195</v>
      </c>
      <c r="B198" s="5" t="s">
        <v>589</v>
      </c>
      <c r="C198" s="5" t="s">
        <v>590</v>
      </c>
      <c r="D198" s="5" t="s">
        <v>591</v>
      </c>
      <c r="E198" s="4" t="str">
        <f aca="false">IFERROR(__xludf.dummyfunction("GOOGLETRANSLATE(C199)"),"uma variável que mede um resultado ou resultado de um estudo")</f>
        <v>uma variável que mede um resultado ou resultado de um estudo</v>
      </c>
      <c r="F198" s="5" t="str">
        <f aca="false">IFERROR(__xludf.dummyfunction("GOOGLETRANSLATE(D198)")," A União Soviética foi estabelecida pelos bolcheviques em 1922, no lugar do Império Russo. Na época da Revolução de 1917, a Igreja Ortodoxa Russa estava profundamente integrada ao estado autocrático, desfrutando do status oficial. Esse foi um fator signif"&amp;"icativo que contribuiu para a atitude bolchevique em relação à religião e aos passos que eles tomaram para controlá -lo. Assim, a URSS se tornou o primeiro estado a ter como objetivo de sua ideologia oficial a eliminação da religião existente e a prevençã"&amp;"o do implantamento futuro da crença religiosa, com o objetivo de estabelecer o ateísmo do estado (Gosateizm). Sob a doutrina do ateísmo do Estado na União Soviética, havia um `` Programa de conversão do governo - patrocinado pelo ateísmo '', conduzido pel"&amp;"os comunistas. O regime comunista direcionou as religiões com base nos interesses do Estado e, embora a maioria das religiões organizadas nunca tenha sido proibida, a propriedade religiosa foi confiscada, os crentes foram assediados e a religião foi ridic"&amp;"ularizada enquanto o ateísmo era propagado nas escolas. Em 1925, o governo fundou a Liga dos Ateus Militantes para intensificar a perseguição. Consequentemente, embora as expressões pessoais de fé religiosa não tenham sido explicitamente proibidas, um for"&amp;"te senso de estigma social foi imposto a eles pelas estruturas oficiais e pela mídia de massa e geralmente era considerado inaceitável para membros de certas profissões (professores, burocratas estaduais, soldados) para ser abertamente religioso.")</f>
        <v> A União Soviética foi estabelecida pelos bolcheviques em 1922, no lugar do Império Russo. Na época da Revolução de 1917, a Igreja Ortodoxa Russa estava profundamente integrada ao estado autocrático, desfrutando do status oficial. Esse foi um fator significativo que contribuiu para a atitude bolchevique em relação à religião e aos passos que eles tomaram para controlá -lo. Assim, a URSS se tornou o primeiro estado a ter como objetivo de sua ideologia oficial a eliminação da religião existente e a prevenção do implantamento futuro da crença religiosa, com o objetivo de estabelecer o ateísmo do estado (Gosateizm). Sob a doutrina do ateísmo do Estado na União Soviética, havia um `` Programa de conversão do governo - patrocinado pelo ateísmo '', conduzido pelos comunistas. O regime comunista direcionou as religiões com base nos interesses do Estado e, embora a maioria das religiões organizadas nunca tenha sido proibida, a propriedade religiosa foi confiscada, os crentes foram assediados e a religião foi ridicularizada enquanto o ateísmo era propagado nas escolas. Em 1925, o governo fundou a Liga dos Ateus Militantes para intensificar a perseguição. Consequentemente, embora as expressões pessoais de fé religiosa não tenham sido explicitamente proibidas, um forte senso de estigma social foi imposto a eles pelas estruturas oficiais e pela mídia de massa e geralmente era considerado inaceitável para membros de certas profissões (professores, burocratas estaduais, soldados) para ser abertamente religioso.</v>
      </c>
    </row>
    <row r="199" customFormat="false" ht="15.75" hidden="false" customHeight="true" outlineLevel="0" collapsed="false">
      <c r="A199" s="3" t="n">
        <v>196</v>
      </c>
      <c r="B199" s="5" t="s">
        <v>592</v>
      </c>
      <c r="C199" s="5" t="s">
        <v>593</v>
      </c>
      <c r="D199" s="5" t="s">
        <v>594</v>
      </c>
      <c r="E199" s="4" t="str">
        <f aca="false">IFERROR(__xludf.dummyfunction("GOOGLETRANSLATE(C200)"),"Quem escreveu Little Crazy Whit chamado Love Original Artist")</f>
        <v>Quem escreveu Little Crazy Whit chamado Love Original Artist</v>
      </c>
      <c r="F199" s="5" t="str">
        <f aca="false">IFERROR(__xludf.dummyfunction("GOOGLETRANSLATE(D199)")," Na modelagem matemática, modelagem estatística e ciências experimentais, os valores de variáveis ​​dependentes dependem dos valores de variáveis ​​independentes. As variáveis ​​dependentes representam a saída ou resultado cuja variação está sendo estudad"&amp;"a. As variáveis ​​independentes representam entradas ou causas, isto é, possíveis razões para variação ou, no cenário experimental, a variável controlada pelo pesquisador. Modelos e experimentos testam ou determinam os efeitos que as variáveis ​​independe"&amp;"ntes têm nas variáveis ​​dependentes. Às vezes, variáveis ​​independentes podem ser incluídas por outros motivos, como para seu potencial efeito de confusão, sem o desejo de testar seu efeito diretamente.")</f>
        <v> Na modelagem matemática, modelagem estatística e ciências experimentais, os valores de variáveis ​​dependentes dependem dos valores de variáveis ​​independentes. As variáveis ​​dependentes representam a saída ou resultado cuja variação está sendo estudada. As variáveis ​​independentes representam entradas ou causas, isto é, possíveis razões para variação ou, no cenário experimental, a variável controlada pelo pesquisador. Modelos e experimentos testam ou determinam os efeitos que as variáveis ​​independentes têm nas variáveis ​​dependentes. Às vezes, variáveis ​​independentes podem ser incluídas por outros motivos, como para seu potencial efeito de confusão, sem o desejo de testar seu efeito diretamente.</v>
      </c>
    </row>
    <row r="200" customFormat="false" ht="15.75" hidden="false" customHeight="true" outlineLevel="0" collapsed="false">
      <c r="A200" s="3" t="n">
        <v>197</v>
      </c>
      <c r="B200" s="5" t="s">
        <v>595</v>
      </c>
      <c r="C200" s="5" t="s">
        <v>596</v>
      </c>
      <c r="D200" s="5" t="s">
        <v>597</v>
      </c>
      <c r="E200" s="4" t="str">
        <f aca="false">IFERROR(__xludf.dummyfunction("GOOGLETRANSLATE(C201)"),"é o show de jogo The Chase ainda na TV")</f>
        <v>é o show de jogo The Chase ainda na TV</v>
      </c>
      <c r="F200" s="5" t="str">
        <f aca="false">IFERROR(__xludf.dummyfunction("GOOGLETRANSLATE(D200)")," `` Crazy Little Thing chamado Love '' é uma música da banda de rock britânica Queen. Escrito por Freddie Mercury em 1979, a faixa está incluída em seu álbum de 1980, The Game, e também aparece no álbum de compilação da banda, Greatest Hits em 1981. A mús"&amp;"ica atingiu o número dois na parada de singles do Reino Unido em 1979 e se tornou o primeiro número do grupo - um single no Billboard Hot 100 nos EUA em 1980, permanecendo lá por quatro semanas consecutivas. Ele liderou as paradas da ARIA australiana por "&amp;"sete semanas.")</f>
        <v> `` Crazy Little Thing chamado Love '' é uma música da banda de rock britânica Queen. Escrito por Freddie Mercury em 1979, a faixa está incluída em seu álbum de 1980, The Game, e também aparece no álbum de compilação da banda, Greatest Hits em 1981. A música atingiu o número dois na parada de singles do Reino Unido em 1979 e se tornou o primeiro número do grupo - um single no Billboard Hot 100 nos EUA em 1980, permanecendo lá por quatro semanas consecutivas. Ele liderou as paradas da ARIA australiana por sete semanas.</v>
      </c>
    </row>
    <row r="201" customFormat="false" ht="15.75" hidden="false" customHeight="true" outlineLevel="0" collapsed="false">
      <c r="A201" s="3" t="n">
        <v>198</v>
      </c>
      <c r="B201" s="5" t="s">
        <v>598</v>
      </c>
      <c r="C201" s="5" t="s">
        <v>599</v>
      </c>
      <c r="D201" s="5" t="s">
        <v>600</v>
      </c>
      <c r="E201" s="4" t="str">
        <f aca="false">IFERROR(__xludf.dummyfunction("GOOGLETRANSLATE(C202)"),"Quem é o ator que interpreta o bom dr")</f>
        <v>Quem é o ator que interpreta o bom dr</v>
      </c>
      <c r="F201" s="5" t="str">
        <f aca="false">IFERROR(__xludf.dummyfunction("GOOGLETRANSLATE(D201)")," Depois que a Fox passou a oportunidade de adicionar a série à sua programação, a Game Show Network (GSN), em conjunto com a ITV Studios America, pegou a série com uma ordem de oito - episódios em 9 de abril de 2013 e anunciou Brooke Burns como o Mostrar "&amp;"anfitrião e Labbett como o caçador em 29 de maio. Dan Patrick havia sido originalmente considerado o anfitrião. A primeira temporada estreou em 6 de agosto de 2013. Embora o programa ainda não tivesse estreado na época, a rede encomendou uma segunda tempo"&amp;"rada de oito episódios em 1º de julho de 2013, que estreou em 5 de novembro. Citando o status da série como um fenômeno de `` classificações '', a GSN acabou anunciando planos de renová -lo para uma terceira temporada, que estreou no verão de 2014. Durant"&amp;"e a terceira temporada, a série também estreou sua primeira edição de celebridades com os concorrentes de celebridades jogando para caridade. A GSN passou a renovar a série para uma quarta temporada antes do final da terceira temporada; Esta nova temporad"&amp;"a começou a ser exibida em 27 de janeiro de 2015. Após o sétimo episódio da temporada, a série continuou em outro hiato; Novos episódios da quarta temporada foram exibidos em 16 de julho de 2015. Nenhum novo episódio foi ao ar desde o final da quarta temp"&amp;"orada, que foi ao ar em 11 de dezembro de 2015.")</f>
        <v> Depois que a Fox passou a oportunidade de adicionar a série à sua programação, a Game Show Network (GSN), em conjunto com a ITV Studios America, pegou a série com uma ordem de oito - episódios em 9 de abril de 2013 e anunciou Brooke Burns como o Mostrar anfitrião e Labbett como o caçador em 29 de maio. Dan Patrick havia sido originalmente considerado o anfitrião. A primeira temporada estreou em 6 de agosto de 2013. Embora o programa ainda não tivesse estreado na época, a rede encomendou uma segunda temporada de oito episódios em 1º de julho de 2013, que estreou em 5 de novembro. Citando o status da série como um fenômeno de `` classificações '', a GSN acabou anunciando planos de renová -lo para uma terceira temporada, que estreou no verão de 2014. Durante a terceira temporada, a série também estreou sua primeira edição de celebridades com os concorrentes de celebridades jogando para caridade. A GSN passou a renovar a série para uma quarta temporada antes do final da terceira temporada; Esta nova temporada começou a ser exibida em 27 de janeiro de 2015. Após o sétimo episódio da temporada, a série continuou em outro hiato; Novos episódios da quarta temporada foram exibidos em 16 de julho de 2015. Nenhum novo episódio foi ao ar desde o final da quarta temporada, que foi ao ar em 11 de dezembro de 2015.</v>
      </c>
    </row>
    <row r="202" customFormat="false" ht="15.75" hidden="false" customHeight="true" outlineLevel="0" collapsed="false">
      <c r="A202" s="3" t="n">
        <v>199</v>
      </c>
      <c r="B202" s="5" t="s">
        <v>601</v>
      </c>
      <c r="C202" s="5" t="s">
        <v>602</v>
      </c>
      <c r="D202" s="5" t="s">
        <v>603</v>
      </c>
      <c r="E202" s="4" t="str">
        <f aca="false">IFERROR(__xludf.dummyfunction("GOOGLETRANSLATE(C203)"),"A visão baseada em recursos da empresa (RBV School) é")</f>
        <v>A visão baseada em recursos da empresa (RBV School) é</v>
      </c>
      <c r="F202" s="5" t="str">
        <f aca="false">IFERROR(__xludf.dummyfunction("GOOGLETRANSLATE(D202)")," A série é estrelada por Freddie Highmore como Shaun Murphy, um jovem residente cirúrgico com autismo e síndrome do Savant no Hospital San Jose St. Bonaventure. Antonia Thomas, Nicholas Gonzalez, Beau Garrett, Hill Harper, Richard Schiff e Tamlyn Tomita t"&amp;"ambém estrelam o show. A série recebeu um compromisso piloto na ABC depois que uma série anterior não avançou nos estúdios da CBS Television em 2015; O bom médico recebeu ordem de série em maio de 2017. Em 3 de outubro de 2017, a ABC pegou a série para um"&amp;"a temporada completa de 18 episódios. A série é filmada principalmente em Vancouver, Colúmbia Britânica.")</f>
        <v> A série é estrelada por Freddie Highmore como Shaun Murphy, um jovem residente cirúrgico com autismo e síndrome do Savant no Hospital San Jose St. Bonaventure. Antonia Thomas, Nicholas Gonzalez, Beau Garrett, Hill Harper, Richard Schiff e Tamlyn Tomita também estrelam o show. A série recebeu um compromisso piloto na ABC depois que uma série anterior não avançou nos estúdios da CBS Television em 2015; O bom médico recebeu ordem de série em maio de 2017. Em 3 de outubro de 2017, a ABC pegou a série para uma temporada completa de 18 episódios. A série é filmada principalmente em Vancouver, Colúmbia Britânica.</v>
      </c>
    </row>
    <row r="203" customFormat="false" ht="15.75" hidden="false" customHeight="true" outlineLevel="0" collapsed="false">
      <c r="A203" s="3" t="n">
        <v>200</v>
      </c>
      <c r="B203" s="5" t="s">
        <v>604</v>
      </c>
      <c r="C203" s="5" t="s">
        <v>605</v>
      </c>
      <c r="D203" s="5" t="s">
        <v>606</v>
      </c>
      <c r="E203" s="4" t="str">
        <f aca="false">IFERROR(__xludf.dummyfunction("GOOGLETRANSLATE(C204)"),"A bainha de mielina que cobre muitos axônios do SNC é formada por")</f>
        <v>A bainha de mielina que cobre muitos axônios do SNC é formada por</v>
      </c>
      <c r="F203" s="5" t="str">
        <f aca="false">IFERROR(__xludf.dummyfunction("GOOGLETRANSLATE(D203)")," A visão baseada em recursos (RBV) é uma ferramenta econômica usada para determinar os recursos estratégicos disponíveis para uma empresa. Esses recursos podem ser explorados pela empresa para obter vantagem competitiva sustentável. Barney (1991) formaliz"&amp;"ou essa teoria, embora tenha sido Wernerfelt (1984) que introduziu a idéia de barreiras de posição de recursos sendo aproximadamente análoga às barreiras de entrada na escola de posicionamento (ver Porter, 1980). A RBV propôs que as empresas fossem hetero"&amp;"gêneas porque possuem recursos heterogênicos.")</f>
        <v> A visão baseada em recursos (RBV) é uma ferramenta econômica usada para determinar os recursos estratégicos disponíveis para uma empresa. Esses recursos podem ser explorados pela empresa para obter vantagem competitiva sustentável. Barney (1991) formalizou essa teoria, embora tenha sido Wernerfelt (1984) que introduziu a idéia de barreiras de posição de recursos sendo aproximadamente análoga às barreiras de entrada na escola de posicionamento (ver Porter, 1980). A RBV propôs que as empresas fossem heterogêneas porque possuem recursos heterogênicos.</v>
      </c>
    </row>
    <row r="204" customFormat="false" ht="15.75" hidden="false" customHeight="true" outlineLevel="0" collapsed="false">
      <c r="A204" s="3" t="n">
        <v>201</v>
      </c>
      <c r="B204" s="5" t="s">
        <v>607</v>
      </c>
      <c r="C204" s="5" t="s">
        <v>608</v>
      </c>
      <c r="D204" s="5" t="s">
        <v>609</v>
      </c>
      <c r="E204" s="4" t="str">
        <f aca="false">IFERROR(__xludf.dummyfunction("GOOGLETRANSLATE(C205)"),"a história do sapo e o boi")</f>
        <v>a história do sapo e o boi</v>
      </c>
      <c r="F204" s="5" t="str">
        <f aca="false">IFERROR(__xludf.dummyfunction("GOOGLETRANSLATE(D204)")," A mielina é uma substância lipídica - rica (gordurosa) formada no sistema nervoso central (SNC) por células gliais chamadas oligodendrócitos e no sistema nervoso periférico (PNS) pelas células Schwann. A mielina isola os axônios das células nervosas para"&amp;" aumentar a velocidade na qual as informações (codificadas como um sinal elétrico) viajam de um corpo celular nervoso para outro (como no SNC) ou, por exemplo, de um corpo da célula nervosa para um músculo (como no PNS). O axônio mielinizado pode ser comp"&amp;"arado a um fio elétrico (o axônio) com material isolante (mielina) ao redor dele. No entanto, diferentemente da cobertura de plástico em um fio elétrico, a mielina não forma uma única bainha longa em todo o comprimento do axônio. Em vez disso, cada bainha"&amp;" de mielina isola o axônio sobre uma única seção e, em geral, cada axônio compreende várias seções mielinizadas longas, separadas uma da outra por lacunas curtas. Cada bainha de mielina é formada pela embalagem concêntrica de um processo de células oligod"&amp;"endrócitos ou Schwann ao redor do axônio.")</f>
        <v> A mielina é uma substância lipídica - rica (gordurosa) formada no sistema nervoso central (SNC) por células gliais chamadas oligodendrócitos e no sistema nervoso periférico (PNS) pelas células Schwann. A mielina isola os axônios das células nervosas para aumentar a velocidade na qual as informações (codificadas como um sinal elétrico) viajam de um corpo celular nervoso para outro (como no SNC) ou, por exemplo, de um corpo da célula nervosa para um músculo (como no PNS). O axônio mielinizado pode ser comparado a um fio elétrico (o axônio) com material isolante (mielina) ao redor dele. No entanto, diferentemente da cobertura de plástico em um fio elétrico, a mielina não forma uma única bainha longa em todo o comprimento do axônio. Em vez disso, cada bainha de mielina isola o axônio sobre uma única seção e, em geral, cada axônio compreende várias seções mielinizadas longas, separadas uma da outra por lacunas curtas. Cada bainha de mielina é formada pela embalagem concêntrica de um processo de células oligodendrócitos ou Schwann ao redor do axônio.</v>
      </c>
    </row>
    <row r="205" customFormat="false" ht="15.75" hidden="false" customHeight="true" outlineLevel="0" collapsed="false">
      <c r="A205" s="3" t="n">
        <v>202</v>
      </c>
      <c r="B205" s="5" t="s">
        <v>610</v>
      </c>
      <c r="C205" s="5" t="s">
        <v>611</v>
      </c>
      <c r="D205" s="5" t="s">
        <v>612</v>
      </c>
      <c r="E205" s="4" t="str">
        <f aca="false">IFERROR(__xludf.dummyfunction("GOOGLETRANSLATE(C206)"),"quem faz Frank matam na fábrica de vespas")</f>
        <v>quem faz Frank matam na fábrica de vespas</v>
      </c>
      <c r="F205" s="5" t="str">
        <f aca="false">IFERROR(__xludf.dummyfunction("GOOGLETRANSLATE(D205)")," O sapo e o boi aparecem entre as fábulas de Esopo e são numerados 376 no índice Perry. A história diz respeito a um sapo que tenta se inflar ao tamanho de um boi, mas explode na tentativa. Geralmente foi aplicado às relações econômicas.")</f>
        <v> O sapo e o boi aparecem entre as fábulas de Esopo e são numerados 376 no índice Perry. A história diz respeito a um sapo que tenta se inflar ao tamanho de um boi, mas explode na tentativa. Geralmente foi aplicado às relações econômicas.</v>
      </c>
    </row>
    <row r="206" customFormat="false" ht="15.75" hidden="false" customHeight="true" outlineLevel="0" collapsed="false">
      <c r="A206" s="3" t="n">
        <v>203</v>
      </c>
      <c r="B206" s="5" t="s">
        <v>613</v>
      </c>
      <c r="C206" s="5" t="s">
        <v>614</v>
      </c>
      <c r="D206" s="5" t="s">
        <v>615</v>
      </c>
      <c r="E206" s="4" t="str">
        <f aca="false">IFERROR(__xludf.dummyfunction("GOOGLETRANSLATE(C207)"),"Equipes do ano do ensino médio de natação")</f>
        <v>Equipes do ano do ensino médio de natação</v>
      </c>
      <c r="F206" s="5" t="str">
        <f aca="false">IFERROR(__xludf.dummyfunction("GOOGLETRANSLATE(D206)")," É revelado que, quando Frank era muito mais jovem, ele matou três de seus parentes: dois primos e seu irmão mais novo. Ele também exumou o crânio do cachorro que o castrou, e ele o usa como parte de seus rituais.")</f>
        <v> É revelado que, quando Frank era muito mais jovem, ele matou três de seus parentes: dois primos e seu irmão mais novo. Ele também exumou o crânio do cachorro que o castrou, e ele o usa como parte de seus rituais.</v>
      </c>
    </row>
    <row r="207" customFormat="false" ht="15.75" hidden="false" customHeight="true" outlineLevel="0" collapsed="false">
      <c r="A207" s="3" t="n">
        <v>204</v>
      </c>
      <c r="B207" s="5" t="s">
        <v>616</v>
      </c>
      <c r="C207" s="5" t="s">
        <v>617</v>
      </c>
      <c r="D207" s="5" t="s">
        <v>618</v>
      </c>
      <c r="E207" s="4" t="str">
        <f aca="false">IFERROR(__xludf.dummyfunction("GOOGLETRANSLATE(C208)"),"Qual é o significado de AD e BC")</f>
        <v>Qual é o significado de AD e BC</v>
      </c>
      <c r="F207" s="5" t="str">
        <f aca="false">IFERROR(__xludf.dummyfunction("GOOGLETRANSLATE(D207)"),"   Year Boys HS HS Prep Girls HS Girls Prep 1971 Prep N / A N / A N / A 1972 St Hilary N / A N / A N / A 1973 Prep N / A N / A N / A Santa Clara N / A N / A N / A Santa Clara N / A N / A N / A 1976 Jacksonville Episcopal N / A Upper Dublin N / A 1977 Miss"&amp;"ion Viejo The Peddie School Mission Viejo N / A 1978 Mission Viejo Jesuíta Missão Viejo N / A 1979 Mission Viejo The Hill School Mission Viejo n / A 1980 Mission Viejo Loyola - Blakefield   Mission Viejo   N / A     1981   Mission Viejo   Mercersburg   Mi"&amp;"ssion Viejo   N / A     1982   Mission Viejo   Mercersburg   Mission Viejo   The Peddie School       Mission Viejo   Mercersburg   Mission Viejo   Mercersburg     1984   Campolindo   Mercersburg   Mission Viejo   The Bolles School     1985   Mission Viejo"&amp;"   Germantown Academy   Mission Viejo   The Bolles School 1986 Missão Viejo Missão da Academia da Academia Viejo Missão da Academia da Academia Viejo Mercersburgo Academia de Germantown Academia Hinsdale Mercersburgo Edina St. Andrews Churchill Bellarmine"&amp;" Prep Mission Viejo A Peddie School Churchill The Peddie School North Penn A Peddie School 1991 Marino Pedd The Peddie School Churchill The Peddie School North Mc. Escola Plano St. Xavier Americus Germantown Academia humilde jesuíta Kingwood Davis Pine Cr"&amp;"est Humble Kingwood St. Xavier Davis Germantown Academy 1995 humilde Kingwood A Peddie School Carmel The Bolles School School Cypress Creek School School Carmel The Bolles School Cypress Creek Brother Rice Rice Mountain The Bolles 1998 The Woodlands The B"&amp;"olles School Carmel The Bolles School 1999 The Woodlands The Bolles School St. Charles Trinity Prep 2000 Firestone The Bolles School St. Charles The Bolles School Evanston Township St. Xavier Irvine Ursuline Academy 2002 Firestone St. Xavier Irvine Ursuli"&amp;"ne Academy 2003 Lake 2003 Forest St. Xavier Ann Arbor Pioneer Ursuline Academy Carmel St. Xavier Floresta do lago The Bolles School 2005 Upper Arlington Brophy Prep Ann Arbor Pioneer Germantown Academy 2006 Humble Kingwood A Bolles School Westlake Germant"&amp;"Own academy 2007 Trier Bellarmine PrespiniPrinArtLake GermantOwn A Academia Baylor School Austin Westlake Academia Germantown 2009 Saratoga High The Baylor School Carmel The Baylor School Hershey High The Bolles School Carmel Carondelet 2011 Hershey High "&amp;"The Bolles School Carmel The Bolles School 2012 A Carm JSERRA CATÓLICO 2014 Chesterton The Bolles School Carmel Crean Lutheran 2015 Upper St. Clair The Bolles School Carmel Crean Lutheran 2016 Upper Dublin La Salle Carmel Sagred Heart 2017 Carmel Cincinna"&amp;"ti St. Xavier Carmel Santa Margarita Católica Católica")</f>
        <v>   Year Boys HS HS Prep Girls HS Girls Prep 1971 Prep N / A N / A N / A 1972 St Hilary N / A N / A N / A 1973 Prep N / A N / A N / A Santa Clara N / A N / A N / A Santa Clara N / A N / A N / A 1976 Jacksonville Episcopal N / A Upper Dublin N / A 1977 Mission Viejo The Peddie School Mission Viejo N / A 1978 Mission Viejo Jesuíta Missão Viejo N / A 1979 Mission Viejo The Hill School Mission Viejo n / A 1980 Mission Viejo Loyola - Blakefield   Mission Viejo   N / A     1981   Mission Viejo   Mercersburg   Mission Viejo   N / A     1982   Mission Viejo   Mercersburg   Mission Viejo   The Peddie School       Mission Viejo   Mercersburg   Mission Viejo   Mercersburg     1984   Campolindo   Mercersburg   Mission Viejo   The Bolles School     1985   Mission Viejo   Germantown Academy   Mission Viejo   The Bolles School 1986 Missão Viejo Missão da Academia da Academia Viejo Missão da Academia da Academia Viejo Mercersburgo Academia de Germantown Academia Hinsdale Mercersburgo Edina St. Andrews Churchill Bellarmine Prep Mission Viejo A Peddie School Churchill The Peddie School North Penn A Peddie School 1991 Marino Pedd The Peddie School Churchill The Peddie School North Mc. Escola Plano St. Xavier Americus Germantown Academia humilde jesuíta Kingwood Davis Pine Crest Humble Kingwood St. Xavier Davis Germantown Academy 1995 humilde Kingwood A Peddie School Carmel The Bolles School School Cypress Creek School School Carmel The Bolles School Cypress Creek Brother Rice Rice Mountain The Bolles 1998 The Woodlands The Bolles School Carmel The Bolles School 1999 The Woodlands The Bolles School St. Charles Trinity Prep 2000 Firestone The Bolles School St. Charles The Bolles School Evanston Township St. Xavier Irvine Ursuline Academy 2002 Firestone St. Xavier Irvine Ursuline Academy 2003 Lake 2003 Forest St. Xavier Ann Arbor Pioneer Ursuline Academy Carmel St. Xavier Floresta do lago The Bolles School 2005 Upper Arlington Brophy Prep Ann Arbor Pioneer Germantown Academy 2006 Humble Kingwood A Bolles School Westlake GermantOwn academy 2007 Trier Bellarmine PrespiniPrinArtLake GermantOwn A Academia Baylor School Austin Westlake Academia Germantown 2009 Saratoga High The Baylor School Carmel The Baylor School Hershey High The Bolles School Carmel Carondelet 2011 Hershey High The Bolles School Carmel The Bolles School 2012 A Carm JSERRA CATÓLICO 2014 Chesterton The Bolles School Carmel Crean Lutheran 2015 Upper St. Clair The Bolles School Carmel Crean Lutheran 2016 Upper Dublin La Salle Carmel Sagred Heart 2017 Carmel Cincinnati St. Xavier Carmel Santa Margarita Católica Católica</v>
      </c>
    </row>
    <row r="208" customFormat="false" ht="15.75" hidden="false" customHeight="true" outlineLevel="0" collapsed="false">
      <c r="A208" s="3" t="n">
        <v>205</v>
      </c>
      <c r="B208" s="5" t="s">
        <v>619</v>
      </c>
      <c r="C208" s="5" t="s">
        <v>620</v>
      </c>
      <c r="D208" s="5" t="s">
        <v>621</v>
      </c>
      <c r="E208" s="4" t="str">
        <f aca="false">IFERROR(__xludf.dummyfunction("GOOGLETRANSLATE(C209)"),"quem é o maior goleador da NBA")</f>
        <v>quem é o maior goleador da NBA</v>
      </c>
      <c r="F208" s="5" t="str">
        <f aca="false">IFERROR(__xludf.dummyfunction("GOOGLETRANSLATE(D208)")," Os termos Anno Domini (AD) e antes de Cristo (BC) são usados ​​para rotular ou número de anos nos calendários julianos e gregorianos. O termo Anno Domini é latim medieval e significa `` no ano do Senhor '', mas é frequentemente apresentado usando `` noss"&amp;"o Senhor '' em vez de `` o Senhor '', retirado da frase original `` Anno Domini Nostri Jesu Christi '', que se traduz em `` no ano de nosso Senhor Jesus Cristo ''.")</f>
        <v> Os termos Anno Domini (AD) e antes de Cristo (BC) são usados ​​para rotular ou número de anos nos calendários julianos e gregorianos. O termo Anno Domini é latim medieval e significa `` no ano do Senhor '', mas é frequentemente apresentado usando `` nosso Senhor '' em vez de `` o Senhor '', retirado da frase original `` Anno Domini Nostri Jesu Christi '', que se traduz em `` no ano de nosso Senhor Jesus Cristo ''.</v>
      </c>
    </row>
    <row r="209" customFormat="false" ht="15.75" hidden="false" customHeight="true" outlineLevel="0" collapsed="false">
      <c r="A209" s="3" t="n">
        <v>206</v>
      </c>
      <c r="B209" s="5" t="s">
        <v>622</v>
      </c>
      <c r="C209" s="5" t="s">
        <v>623</v>
      </c>
      <c r="D209" s="5" t="s">
        <v>624</v>
      </c>
      <c r="E209" s="4" t="str">
        <f aca="false">IFERROR(__xludf.dummyfunction("GOOGLETRANSLATE(C210)"),"que interpreta o Sr. Coulter quando chama o coração")</f>
        <v>que interpreta o Sr. Coulter quando chama o coração</v>
      </c>
      <c r="F209" s="5" t="str">
        <f aca="false">IFERROR(__xludf.dummyfunction("GOOGLETRANSLATE(D209)"),"   A equipe (s) dos jogadores de classificação (s) jogou (s) jogadores (s) de jogos (s) de pontos (s) por pontos de campo, por gols médios, os gols de campo fizeram três - gols de campo fizeram os lances livres fizeram Kareem Abdul - Jabbar * Milwaukee Bu"&amp;"cks (1969 - 1975) Los Angeles Lakers (1975 - 1989) 38.387 1.560 24,6 15.837 6.712 Karl Malone * PF Utah Jazz (1985 - 2003) Los Angeles Lakers (2003 - 2004) 36.928 1,476 25,0 13,528 85 9.787) ) 33.643 1.346 25,0 11.719 1.827 8.378 Michael Jordan * SG Chica"&amp;"go Bulls (1984 - 1993, 1995 - 1998) Washington Wizards (2001 - 2003) 32.292 1.07 30.1 12,192 581 7,327 527 5. - 1965) Philadelphia 76ers (1965 - 1968) Los Angeles Lakers (1968 - 1973) 31.419 1.045 30,1 12.681 0 6.057 6 LeBron James ^ SF / PF Cleveland Cav"&amp;"aliers (2003 - 2014, 2014 - 2018) Miami Heat (2010 - 2014) Los Angeles Lakers (2018- presente) 31.231 1.150 27,2 11.350 1.626 6.905 7 Dirk Nowitzki ^ pf / c Dallas Mavericks (1999- presente) 31.187 1,471 21,2 11,0441.91.201.201818181818181. - 1996) Los An"&amp;"geles Lakers (1996- 2004) Miami Heat (2004- 2008) Phoenix Suns (2008- 2009) Cleveland Cavaliers (2009- 2010) Boston Celtics (2010- 2011) 28.596 1.207 23,7 11.330 5.935 9 Moses Malone * Buffalo Braves (1976) Houston Rockets (1976 - 1982) Philadelphia 76ers"&amp;" (1982 - 1986, 1993 - 1994) Washington Bullets (1986 - 1988) Atlanta Hawks (1988 - 1991) Milwaukee Bucks (1991) - 1993) San Antonio Spurs (1994- 1995) 27.409 1.329 20,6 9.435 8 ​​8.531 10 Elvin Hayes * PF / C San Diego / Houston Rockets (1968- 1972, 1981-"&amp;" 1984) Baltimore / Capital / Washington Bullets (1972) - 1981) 27.313 1.303 21,0 10.976 5 5.356 11 Hakeem Olajuwon * Houston Rockets (1984- 2001) Toronto Raptors (2001- 2002) 26.946 1,238 21,8 10,20 3.423 (OCCARSONCOUSTON * PGELTSONCATSONN * PGELATOMNN (2"&amp;"3010 19 1974, 26010 (2001- 2002) 26.946 1,238 21,8 10. 25. Bucks (1970 - 1974) 26.710 1.040 25,7 9.508 0 7.694 13 Dominique Wilkins * SF Atlanta Hawks (1982 - 1994) Los Angeles Clippers (1994) Boston Celtics (1994 - 1995) Sanonio Spurs (1996 - 1994) Magic"&amp;" (1999) 26.668 1.074 24,8 9.963 711 6.031 14 Tim Duncan PF / C San Antonio Spurs (1997 - 2016) 26.496 1.392 19.0 10.285 30 5.896 15 Paul Pierce SF / Sg Boston Celtics (1999 - 2013) - 2014) Washington Wizards (2014 - 2015) Los Angeles Clippers (2015 - 2017"&amp;") 26.397 1.343 19,7 8.668 2.143 6.918 16 John Havlicek * SF / SG Boston Celtics (1962 - 1978) 26,395 1,270 20. PF / C Minnesota Timberwolves (1995 - 2007, 2015 - 2016) Boston Celtics (2007 - 2013) Brooklyn Nets (2013 - 2015) 26.071 1.462 17,8 10.505 174 4"&amp;".887 18 Alex inglesa * SF Milwaukee Bucks (1976 - 1978 ) Indiana Pacers (1978 - 1980) Denver Nuggets (1980 - 1990) Dallas Mavericks (1990 - 1991) 25.613 1.193 21,5 10.659 18 4.277 19 Carmelo Anthony ^ SF Denver Nuggets (2003 - 2011) Nova York (2011 - - 20"&amp;"17) Oklahoma City Thunder (2017 - 2018) Houston Rockets (2018 - presente) 25.488 1.059 24,1 9.114 1.353 5.907 20 Reggie Miller * SG Indiana Pacers (1987 - 2005) 25.279 1,389 18.2 8,241. / SG Los Angeles Lakers (1960 - 1974) 25.192 932 27,0 9.016 0 7.160 2"&amp;"2 Vince Carter ^ SG / SF Toronto Raptors (1999 - 2004) New Jersey Nets (2004 - 2009) Orlando Magic (2009 - 2010) Phonixix Suns (2010 - 2011) Dallas Mavericks (2011 - 2014) Memphis Grizzlies (2014 - 2017) Sacramento Kings (2017 - 2018) Atlanta Hawks (2018 "&amp;"- presente) 24.915 1.411 York Knicks (1985 - 2000) Seattle Supersonics (2000 - 2001) Orlando Magic (2001 - 2002) 24.815 1.183 21,0 9.702 19 5.392 24 Ray Allen * SG Milwaukee Bucks (1996 - 2003) Seattle Supersonics (2003 - 2007 ) Boston Celtics (2007 - 201"&amp;"2) Miami Heat (2012 - 2014) 24.505 1.300 18,9 8.567 2.973 4.398 25 Allen Iverson * SG / PG Philadelphia 76ers (1996 - 2006, 2009 - 2010) ) Detroit Pistons (2008 - 2009) Memphis Grizzlies (2009) 24.368 914 26,7 8.467 1.059 6.375 26 Charles Barkley * PF Phi"&amp;"ladelphia 76ers (1984 - 1992) Phoenix (1992 - 1996) Houston (1996 - 1996 - 1992) Phoenix (1992 - 1996), Houston (1996 - 1992) - 200). 1.073 22,1 8.435 538 6.349 27 Robert Parish * Golden State Warriors (1976 - 1980) Boston Celtics (1980 - 1994) Charlotte "&amp;"Hornets (1994 - 1996) Chicago Bulls (1996 - 1997) 23.334 1,611 14.5 9,614 00 40r (1996) 2334, 1,611 14.5 9,614 00s. Dantley * SF Buffalo Braves (1976 - 1977) Indiana Pacers (1977) Los Angeles Lakers (1977 - 1979) Utah Jazz (1979 - 1986) Detroit Pistons (1"&amp;"986 - 1989) Dallas Mavericks (1989 - 1990) Milwaukee BUCKS (1991) 23.177 955 24,3 8.169 7 6.832 29 Elgin Baylor * SF Minneapolis / Los Angeles Lakers (1958 - 1971) 23.149 846 27,4 8.693 0 5. - 1998) 22.195 1.086 20,4 8.335 827 4.698 31 Dwyane Wade ^ Sg Mi"&amp;"ami Heat (2003- 2016, 2018- presente) Chicago Bulls (2016- 2017) Cleveland Cavaliers (2017- 2018) 22,155 988 22.4 8,066 42 42 42. 32 Gary Payton * PG Seattle Supersonics (1990 - 2003) Milwaukee Bucks (2003) Los Angeles Lakers (2003 - 2004) Boston Celtics "&amp;"(2004 - 2005) Miami Heat (2005 - 2007) 21.813 1,35 16,3 8,708 1,132 3,263 333333. Larry Bird * SF / PF Boston Celtics (1979 - 1992) 21.791 897 24,3 8.591 649 3,960 34 Hal Greer * SG / PG Syracuse Nationals / Filadelphia 76ers (1958 - 1973) 21,586 1,1222 1"&amp;"9.2.2.20.2.20.2.20 760. Supersonics / Oklahoma City Thunder (2007 -2016) Golden State Warriors (2016 -presente) 21.139 779 27,1 7.178 1.445 5.338 36 Walt Bellamy * Chicago Packers / Zephyrs / Baltimore Bullets (1961 -1965) New York Knicks (1965 - 1968) De"&amp;"troit Pistons (1968 - 1970) Atlanta Hawks (1970 - 1974) New Orleans Jazz (1974) 20.941 1.043 20,1 7.914 0 5.113 37 Bob Pettit * PF / C Milwaukee / St. Louis Hawks (1954 - 1965) 20,80 792 26,4 7.349 0 6.182 38 Pau Gasol ^ C / PF Memphis Grizzlies (2001 - 2"&amp;"008) Los Angeles Lakers (2008 - 2014) Chicago Bulls (2014 - 2016) San Antonio Spurs (2016 - presente) 20.815 1,202 17.3 7,95 176 4.737 39 David Robinson * San Antonio Spurs (1989 - 2003) 20.790 987 21,1 7.365 25 6.035 40 George Gervin * SG / SF San Antoni"&amp;"o Spurs (1976 - 1985) Chicago Bulls (1985 - 1986) 20.708 791 26.2.2. 4.541 41 Mitch Richmond * SG Golden State Warriors (1988 - 1991) Sacramento Kings (1991 - 1998) Washington Wizards (1999 - 2001) Los Angeles Lakers (2001 - 2002) 20.497 976 21.0 7.305 1."&amp;"326 4,561 42 SG / SF Boston Celtics (2001 - 2002) Phoenix Suns (2002 - 2005) Atlanta Hawks (2005 - 2012) Brooklyn Nets (2012 - 2016) Miami Heat (2016) Utah Jazz (2016 - 2018) Houston Rockets (2018) 20.405 1.276 16,0 7.822 1.978 2.783 43 Tom Chambers PF Sa"&amp;"n Diego Clippers (1981 - 1983) Seattle Supersonics (1983 - 1988) Phoenix Suns (1988 - 1993) Utah Jazz (1993 - 1995) Charlotte (1993) ) Philadelphia 76ers (1997) 20.049 1.107 18,1 7.378 227 5.066 44 Jamison Antawn Jamison PF / SF Golden State Warriors (199"&amp;"9 - 2003) Dallas Mavericks (2003 - 2004) Washington (2004) - 2010) Clelaland Cavaliers (2010 - 2010 - 2004) ) Los Angeles Lakers (2012 - 2013) Los Angeles Clippers (2013 - 2014) 20.042 1.083 18,5 7.679 1.163 3.521 45 John Stockton * PG Utah Jazz (1984 - 2"&amp;"003) 19.711 1,504 13.1 7,039 845 Jersey Nets (1977 - 1979, 1993) Utah Jazz (1979) Golden State Warriors (1980 - 1982) New York Knicks (1982 - 1985, 1987) Washington Bullets (1987 - 1991) 19.655 874 22,5 7.830 23 3,972 47 Clifford Robinson PF / SF Portland"&amp;" Trail Blazers (1989 - 1997) Phoenix Suns (1997 - 2001) Detroit Pistons (2001 - 2003) Golden State Warriors (2003 - 2005) New Jersey Nets (2005 - 2007) 19.591 1,380) 14.2 7.389 1.253 3.560 48 Walter Davis SG / SF Phoenix Suns (1977 - 1988) Denver Nuggets "&amp;"(1988 - 1991, 1991 - 1992) Portland Trail Blazers (1991) 19,521 1,033 18.9 8,118 157 3,128 4,28 4,128 49. (1982 - 1984) Milwaukee Bucks (1984 - 1989, 1995 - 1996) San Antonio Spurs (1989 - 1995) Seattle Supersonics (1996 - 1997) Philadelphia 76ers (1997 -"&amp;" 1998) New York Knicks (1998) Golden State Warriors (1999 - 2000.")</f>
        <v>   A equipe (s) dos jogadores de classificação (s) jogou (s) jogadores (s) de jogos (s) de pontos (s) por pontos de campo, por gols médios, os gols de campo fizeram três - gols de campo fizeram os lances livres fizeram Kareem Abdul - Jabbar * Milwaukee Bucks (1969 - 1975) Los Angeles Lakers (1975 - 1989) 38.387 1.560 24,6 15.837 6.712 Karl Malone * PF Utah Jazz (1985 - 2003) Los Angeles Lakers (2003 - 2004) 36.928 1,476 25,0 13,528 85 9.787) ) 33.643 1.346 25,0 11.719 1.827 8.378 Michael Jordan * SG Chicago Bulls (1984 - 1993, 1995 - 1998) Washington Wizards (2001 - 2003) 32.292 1.07 30.1 12,192 581 7,327 527 5. - 1965) Philadelphia 76ers (1965 - 1968) Los Angeles Lakers (1968 - 1973) 31.419 1.045 30,1 12.681 0 6.057 6 LeBron James ^ SF / PF Cleveland Cavaliers (2003 - 2014, 2014 - 2018) Miami Heat (2010 - 2014) Los Angeles Lakers (2018- presente) 31.231 1.150 27,2 11.350 1.626 6.905 7 Dirk Nowitzki ^ pf / c Dallas Mavericks (1999- presente) 31.187 1,471 21,2 11,0441.91.201.201818181818181. - 1996) Los Angeles Lakers (1996- 2004) Miami Heat (2004- 2008) Phoenix Suns (2008- 2009) Cleveland Cavaliers (2009- 2010) Boston Celtics (2010- 2011) 28.596 1.207 23,7 11.330 5.935 9 Moses Malone * Buffalo Braves (1976) Houston Rockets (1976 - 1982) Philadelphia 76ers (1982 - 1986, 1993 - 1994) Washington Bullets (1986 - 1988) Atlanta Hawks (1988 - 1991) Milwaukee Bucks (1991) - 1993) San Antonio Spurs (1994- 1995) 27.409 1.329 20,6 9.435 8 ​​8.531 10 Elvin Hayes * PF / C San Diego / Houston Rockets (1968- 1972, 1981- 1984) Baltimore / Capital / Washington Bullets (1972) - 1981) 27.313 1.303 21,0 10.976 5 5.356 11 Hakeem Olajuwon * Houston Rockets (1984- 2001) Toronto Raptors (2001- 2002) 26.946 1,238 21,8 10,20 3.423 (OCCARSONCOUSTON * PGELTSONCATSONN * PGELATOMNN (23010 19 1974, 26010 (2001- 2002) 26.946 1,238 21,8 10. 25. Bucks (1970 - 1974) 26.710 1.040 25,7 9.508 0 7.694 13 Dominique Wilkins * SF Atlanta Hawks (1982 - 1994) Los Angeles Clippers (1994) Boston Celtics (1994 - 1995) Sanonio Spurs (1996 - 1994) Magic (1999) 26.668 1.074 24,8 9.963 711 6.031 14 Tim Duncan PF / C San Antonio Spurs (1997 - 2016) 26.496 1.392 19.0 10.285 30 5.896 15 Paul Pierce SF / Sg Boston Celtics (1999 - 2013) - 2014) Washington Wizards (2014 - 2015) Los Angeles Clippers (2015 - 2017) 26.397 1.343 19,7 8.668 2.143 6.918 16 John Havlicek * SF / SG Boston Celtics (1962 - 1978) 26,395 1,270 20. PF / C Minnesota Timberwolves (1995 - 2007, 2015 - 2016) Boston Celtics (2007 - 2013) Brooklyn Nets (2013 - 2015) 26.071 1.462 17,8 10.505 174 4.887 18 Alex inglesa * SF Milwaukee Bucks (1976 - 1978 ) Indiana Pacers (1978 - 1980) Denver Nuggets (1980 - 1990) Dallas Mavericks (1990 - 1991) 25.613 1.193 21,5 10.659 18 4.277 19 Carmelo Anthony ^ SF Denver Nuggets (2003 - 2011) Nova York (2011 - - 2017) Oklahoma City Thunder (2017 - 2018) Houston Rockets (2018 - presente) 25.488 1.059 24,1 9.114 1.353 5.907 20 Reggie Miller * SG Indiana Pacers (1987 - 2005) 25.279 1,389 18.2 8,241. / SG Los Angeles Lakers (1960 - 1974) 25.192 932 27,0 9.016 0 7.160 22 Vince Carter ^ SG / SF Toronto Raptors (1999 - 2004) New Jersey Nets (2004 - 2009) Orlando Magic (2009 - 2010) Phonixix Suns (2010 - 2011) Dallas Mavericks (2011 - 2014) Memphis Grizzlies (2014 - 2017) Sacramento Kings (2017 - 2018) Atlanta Hawks (2018 - presente) 24.915 1.411 York Knicks (1985 - 2000) Seattle Supersonics (2000 - 2001) Orlando Magic (2001 - 2002) 24.815 1.183 21,0 9.702 19 5.392 24 Ray Allen * SG Milwaukee Bucks (1996 - 2003) Seattle Supersonics (2003 - 2007 ) Boston Celtics (2007 - 2012) Miami Heat (2012 - 2014) 24.505 1.300 18,9 8.567 2.973 4.398 25 Allen Iverson * SG / PG Philadelphia 76ers (1996 - 2006, 2009 - 2010) ) Detroit Pistons (2008 - 2009) Memphis Grizzlies (2009) 24.368 914 26,7 8.467 1.059 6.375 26 Charles Barkley * PF Philadelphia 76ers (1984 - 1992) Phoenix (1992 - 1996) Houston (1996 - 1996 - 1992) Phoenix (1992 - 1996), Houston (1996 - 1992) - 200). 1.073 22,1 8.435 538 6.349 27 Robert Parish * Golden State Warriors (1976 - 1980) Boston Celtics (1980 - 1994) Charlotte Hornets (1994 - 1996) Chicago Bulls (1996 - 1997) 23.334 1,611 14.5 9,614 00 40r (1996) 2334, 1,611 14.5 9,614 00s. Dantley * SF Buffalo Braves (1976 - 1977) Indiana Pacers (1977) Los Angeles Lakers (1977 - 1979) Utah Jazz (1979 - 1986) Detroit Pistons (1986 - 1989) Dallas Mavericks (1989 - 1990) Milwaukee BUCKS (1991) 23.177 955 24,3 8.169 7 6.832 29 Elgin Baylor * SF Minneapolis / Los Angeles Lakers (1958 - 1971) 23.149 846 27,4 8.693 0 5. - 1998) 22.195 1.086 20,4 8.335 827 4.698 31 Dwyane Wade ^ Sg Miami Heat (2003- 2016, 2018- presente) Chicago Bulls (2016- 2017) Cleveland Cavaliers (2017- 2018) 22,155 988 22.4 8,066 42 42 42. 32 Gary Payton * PG Seattle Supersonics (1990 - 2003) Milwaukee Bucks (2003) Los Angeles Lakers (2003 - 2004) Boston Celtics (2004 - 2005) Miami Heat (2005 - 2007) 21.813 1,35 16,3 8,708 1,132 3,263 333333. Larry Bird * SF / PF Boston Celtics (1979 - 1992) 21.791 897 24,3 8.591 649 3,960 34 Hal Greer * SG / PG Syracuse Nationals / Filadelphia 76ers (1958 - 1973) 21,586 1,1222 19.2.2.20.2.20.2.20 760. Supersonics / Oklahoma City Thunder (2007 -2016) Golden State Warriors (2016 -presente) 21.139 779 27,1 7.178 1.445 5.338 36 Walt Bellamy * Chicago Packers / Zephyrs / Baltimore Bullets (1961 -1965) New York Knicks (1965 - 1968) Detroit Pistons (1968 - 1970) Atlanta Hawks (1970 - 1974) New Orleans Jazz (1974) 20.941 1.043 20,1 7.914 0 5.113 37 Bob Pettit * PF / C Milwaukee / St. Louis Hawks (1954 - 1965) 20,80 792 26,4 7.349 0 6.182 38 Pau Gasol ^ C / PF Memphis Grizzlies (2001 - 2008) Los Angeles Lakers (2008 - 2014) Chicago Bulls (2014 - 2016) San Antonio Spurs (2016 - presente) 20.815 1,202 17.3 7,95 176 4.737 39 David Robinson * San Antonio Spurs (1989 - 2003) 20.790 987 21,1 7.365 25 6.035 40 George Gervin * SG / SF San Antonio Spurs (1976 - 1985) Chicago Bulls (1985 - 1986) 20.708 791 26.2.2. 4.541 41 Mitch Richmond * SG Golden State Warriors (1988 - 1991) Sacramento Kings (1991 - 1998) Washington Wizards (1999 - 2001) Los Angeles Lakers (2001 - 2002) 20.497 976 21.0 7.305 1.326 4,561 42 SG / SF Boston Celtics (2001 - 2002) Phoenix Suns (2002 - 2005) Atlanta Hawks (2005 - 2012) Brooklyn Nets (2012 - 2016) Miami Heat (2016) Utah Jazz (2016 - 2018) Houston Rockets (2018) 20.405 1.276 16,0 7.822 1.978 2.783 43 Tom Chambers PF San Diego Clippers (1981 - 1983) Seattle Supersonics (1983 - 1988) Phoenix Suns (1988 - 1993) Utah Jazz (1993 - 1995) Charlotte (1993) ) Philadelphia 76ers (1997) 20.049 1.107 18,1 7.378 227 5.066 44 Jamison Antawn Jamison PF / SF Golden State Warriors (1999 - 2003) Dallas Mavericks (2003 - 2004) Washington (2004) - 2010) Clelaland Cavaliers (2010 - 2010 - 2004) ) Los Angeles Lakers (2012 - 2013) Los Angeles Clippers (2013 - 2014) 20.042 1.083 18,5 7.679 1.163 3.521 45 John Stockton * PG Utah Jazz (1984 - 2003) 19.711 1,504 13.1 7,039 845 Jersey Nets (1977 - 1979, 1993) Utah Jazz (1979) Golden State Warriors (1980 - 1982) New York Knicks (1982 - 1985, 1987) Washington Bullets (1987 - 1991) 19.655 874 22,5 7.830 23 3,972 47 Clifford Robinson PF / SF Portland Trail Blazers (1989 - 1997) Phoenix Suns (1997 - 2001) Detroit Pistons (2001 - 2003) Golden State Warriors (2003 - 2005) New Jersey Nets (2005 - 2007) 19.591 1,380) 14.2 7.389 1.253 3.560 48 Walter Davis SG / SF Phoenix Suns (1977 - 1988) Denver Nuggets (1988 - 1991, 1991 - 1992) Portland Trail Blazers (1991) 19,521 1,033 18.9 8,118 157 3,128 4,28 4,128 49. (1982 - 1984) Milwaukee Bucks (1984 - 1989, 1995 - 1996) San Antonio Spurs (1989 - 1995) Seattle Supersonics (1996 - 1997) Philadelphia 76ers (1997 - 1998) New York Knicks (1998) Golden State Warriors (1999 - 2000.</v>
      </c>
    </row>
    <row r="210" customFormat="false" ht="15.75" hidden="false" customHeight="true" outlineLevel="0" collapsed="false">
      <c r="A210" s="3" t="n">
        <v>207</v>
      </c>
      <c r="B210" s="5" t="s">
        <v>625</v>
      </c>
      <c r="C210" s="5" t="s">
        <v>626</v>
      </c>
      <c r="D210" s="5" t="s">
        <v>627</v>
      </c>
      <c r="E210" s="4" t="str">
        <f aca="false">IFERROR(__xludf.dummyfunction("GOOGLETRANSLATE(C211)"),"Onde o filme foi com o vento")</f>
        <v>Onde o filme foi com o vento</v>
      </c>
      <c r="F210" s="5" t="str">
        <f aca="false">IFERROR(__xludf.dummyfunction("GOOGLETRANSLATE(D210)")," Kavan Smith como Leland Coulter")</f>
        <v> Kavan Smith como Leland Coulter</v>
      </c>
    </row>
    <row r="211" customFormat="false" ht="15.75" hidden="false" customHeight="true" outlineLevel="0" collapsed="false">
      <c r="A211" s="3" t="n">
        <v>208</v>
      </c>
      <c r="B211" s="5" t="s">
        <v>628</v>
      </c>
      <c r="C211" s="5" t="s">
        <v>629</v>
      </c>
      <c r="D211" s="5" t="s">
        <v>630</v>
      </c>
      <c r="E211" s="4" t="str">
        <f aca="false">IFERROR(__xludf.dummyfunction("GOOGLETRANSLATE(C212)"),"Eu preciso de um visto para ir para Taiwan de nós")</f>
        <v>Eu preciso de um visto para ir para Taiwan de nós</v>
      </c>
      <c r="F211" s="5" t="str">
        <f aca="false">IFERROR(__xludf.dummyfunction("GOOGLETRANSLATE(D211)")," Longe With the Wind está um filme de romance histórico épico americano de 1939, adaptado do romance de Margaret Mitchell em 1936 de mesmo nome. O filme foi produzido por David O. Selznick, da Selznick International Pictures, e dirigido por Victor Fleming"&amp;". Situado no sul americano contra o pano de fundo da Guerra Civil Americana e da era da reconstrução, o filme conta a história de Scarlett O'Hara, a filha forte - desejada de um proprietário da Plantação da Geórgia. Segue sua busca romântica por Ashley Wi"&amp;"lkes, que é casada com sua prima, Melanie Hamilton, e seu casamento subsequente com Rhett Butler. Os principais papéis são desempenhados por Vivien Leigh (Scarlett), Clark Gable (Rhett), Leslie Howard (Ashley) e Olivia de Havilland (Melanie).")</f>
        <v> Longe With the Wind está um filme de romance histórico épico americano de 1939, adaptado do romance de Margaret Mitchell em 1936 de mesmo nome. O filme foi produzido por David O. Selznick, da Selznick International Pictures, e dirigido por Victor Fleming. Situado no sul americano contra o pano de fundo da Guerra Civil Americana e da era da reconstrução, o filme conta a história de Scarlett O'Hara, a filha forte - desejada de um proprietário da Plantação da Geórgia. Segue sua busca romântica por Ashley Wilkes, que é casada com sua prima, Melanie Hamilton, e seu casamento subsequente com Rhett Butler. Os principais papéis são desempenhados por Vivien Leigh (Scarlett), Clark Gable (Rhett), Leslie Howard (Ashley) e Olivia de Havilland (Melanie).</v>
      </c>
    </row>
    <row r="212" customFormat="false" ht="15.75" hidden="false" customHeight="true" outlineLevel="0" collapsed="false">
      <c r="A212" s="3" t="n">
        <v>209</v>
      </c>
      <c r="B212" s="5" t="s">
        <v>631</v>
      </c>
      <c r="C212" s="5" t="s">
        <v>632</v>
      </c>
      <c r="D212" s="5" t="s">
        <v>633</v>
      </c>
      <c r="E212" s="4" t="str">
        <f aca="false">IFERROR(__xludf.dummyfunction("GOOGLETRANSLATE(C213)"),"Quando o Instituto da NBA é o tiro de 3 pontos")</f>
        <v>Quando o Instituto da NBA é o tiro de 3 pontos</v>
      </c>
      <c r="F212" s="5" t="str">
        <f aca="false">IFERROR(__xludf.dummyfunction("GOOGLETRANSLATE(D212)")," Além disso, os detentores de passaportes de emergência ou temporários com validade de mais de 6 meses emitidos por visto - países isentos são elegíveis para visto na chegada por uma taxa. A duração da permanência é de 30 dias, independentemente da nacion"&amp;"alidade e não pode ser estendida. Essa medida não se aplica aos detentores de passaportes de emergência ou temporários emitidos pelo Japão ou pelos Estados Unidos à medida que são isentos de visto.")</f>
        <v> Além disso, os detentores de passaportes de emergência ou temporários com validade de mais de 6 meses emitidos por visto - países isentos são elegíveis para visto na chegada por uma taxa. A duração da permanência é de 30 dias, independentemente da nacionalidade e não pode ser estendida. Essa medida não se aplica aos detentores de passaportes de emergência ou temporários emitidos pelo Japão ou pelos Estados Unidos à medida que são isentos de visto.</v>
      </c>
    </row>
    <row r="213" customFormat="false" ht="15.75" hidden="false" customHeight="true" outlineLevel="0" collapsed="false">
      <c r="A213" s="3" t="n">
        <v>210</v>
      </c>
      <c r="B213" s="5" t="s">
        <v>634</v>
      </c>
      <c r="C213" s="5" t="s">
        <v>635</v>
      </c>
      <c r="D213" s="5" t="s">
        <v>636</v>
      </c>
      <c r="E213" s="4" t="str">
        <f aca="false">IFERROR(__xludf.dummyfunction("GOOGLETRANSLATE(C214)"),"Quem é o capitão de Chennai Super King")</f>
        <v>Quem é o capitão de Chennai Super King</v>
      </c>
      <c r="F213" s="5" t="str">
        <f aca="false">IFERROR(__xludf.dummyfunction("GOOGLETRANSLATE(D213)")," Na temporada de 1979 - 80, depois de testá -la na pré -temporada anterior, a NBA adotou a linha de três pontos, apesar da visão de muitos de que era um truque. Chris Ford, do Boston Celtics, é amplamente creditado por fazer os três primeiros pontos na hi"&amp;"stória da NBA em 12 de outubro de 1979. Kevin Grevey, do Washington Bullets, também fez uma no mesmo dia.")</f>
        <v> Na temporada de 1979 - 80, depois de testá -la na pré -temporada anterior, a NBA adotou a linha de três pontos, apesar da visão de muitos de que era um truque. Chris Ford, do Boston Celtics, é amplamente creditado por fazer os três primeiros pontos na história da NBA em 12 de outubro de 1979. Kevin Grevey, do Washington Bullets, também fez uma no mesmo dia.</v>
      </c>
    </row>
    <row r="214" customFormat="false" ht="15.75" hidden="false" customHeight="true" outlineLevel="0" collapsed="false">
      <c r="A214" s="3" t="n">
        <v>211</v>
      </c>
      <c r="B214" s="5" t="s">
        <v>637</v>
      </c>
      <c r="C214" s="5" t="s">
        <v>638</v>
      </c>
      <c r="D214" s="5" t="s">
        <v>639</v>
      </c>
      <c r="E214" s="4" t="str">
        <f aca="false">IFERROR(__xludf.dummyfunction("GOOGLETRANSLATE(C215)"),"quem escreveu te ver novamente por miley cyrus")</f>
        <v>quem escreveu te ver novamente por miley cyrus</v>
      </c>
      <c r="F214" s="5" t="str">
        <f aca="false">IFERROR(__xludf.dummyfunction("GOOGLETRANSLATE(D214)")," Mahendra Singh Dhoni, que era o capitão da equipe Indian Limited - Overs em 2008, foi comprada pelo Super Kings por US $ 1,5 milhão no leilão de jogadores de 2008. Ele era o jogador mais caro do IPL até 2009, quando o Super Kings contratou o inglês tudo "&amp;"- Rounder Andrew Flintoff por US $ 1,55 milhão, ele não faz parte da equipe agora. Dhoni é o capitão de maior sucesso no IPL, tendo liderado a equipe a seis finais (vice -campeões de 2008, 2012, 2013, 2015), vencendo dois (2010, 2011). Ele tem uma taxa de"&amp;" sucesso de 61,05 % como capitão, que é o melhor entre todos os capitães do IPL, que foi capitão em pelo menos 20 jogos.")</f>
        <v> Mahendra Singh Dhoni, que era o capitão da equipe Indian Limited - Overs em 2008, foi comprada pelo Super Kings por US $ 1,5 milhão no leilão de jogadores de 2008. Ele era o jogador mais caro do IPL até 2009, quando o Super Kings contratou o inglês tudo - Rounder Andrew Flintoff por US $ 1,55 milhão, ele não faz parte da equipe agora. Dhoni é o capitão de maior sucesso no IPL, tendo liderado a equipe a seis finais (vice -campeões de 2008, 2012, 2013, 2015), vencendo dois (2010, 2011). Ele tem uma taxa de sucesso de 61,05 % como capitão, que é o melhor entre todos os capitães do IPL, que foi capitão em pelo menos 20 jogos.</v>
      </c>
    </row>
    <row r="215" customFormat="false" ht="15.75" hidden="false" customHeight="true" outlineLevel="0" collapsed="false">
      <c r="A215" s="3" t="n">
        <v>212</v>
      </c>
      <c r="B215" s="5" t="s">
        <v>640</v>
      </c>
      <c r="C215" s="5" t="s">
        <v>641</v>
      </c>
      <c r="D215" s="5" t="s">
        <v>642</v>
      </c>
      <c r="E215" s="4" t="str">
        <f aca="false">IFERROR(__xludf.dummyfunction("GOOGLETRANSLATE(C216)"),"Quem é a voz de Clifford, o Big Red Dog")</f>
        <v>Quem é a voz de Clifford, o Big Red Dog</v>
      </c>
      <c r="F215" s="5" t="str">
        <f aca="false">IFERROR(__xludf.dummyfunction("GOOGLETRANSLATE(D215)")," `` Vejo você novamente '' é o single de estréia do artista de gravação americano Miley Cyrus. Foi gravado para Hannah Montana 2: Meet Miley Cyrus (2007), o segundo álbum da trilha sonora da série original do Disney Channel Hannah Montana e o álbum de est"&amp;"údio de Cyrus. Foi escrito por Cyrus (creditado como Destiny Hope Cyrus) com os produtores da música Antonina Armato e Tim James. Foi lançado como o single principal do álbum da Hollywood Records. Mais tarde, foi remixado pela Rock Máfia e lançado em 25 d"&amp;"e agosto de 2008 pela Hollywood Records, como o segundo single do segundo álbum de estúdio de Cyrus, Breakout (2008). Musicalmente, a faixa é um número de rock pop que contém influências de vários gêneros musicais, incluindo música eletrônica. Liricamente"&amp;", a faixa fala do romance adolescente.")</f>
        <v> `` Vejo você novamente '' é o single de estréia do artista de gravação americano Miley Cyrus. Foi gravado para Hannah Montana 2: Meet Miley Cyrus (2007), o segundo álbum da trilha sonora da série original do Disney Channel Hannah Montana e o álbum de estúdio de Cyrus. Foi escrito por Cyrus (creditado como Destiny Hope Cyrus) com os produtores da música Antonina Armato e Tim James. Foi lançado como o single principal do álbum da Hollywood Records. Mais tarde, foi remixado pela Rock Máfia e lançado em 25 de agosto de 2008 pela Hollywood Records, como o segundo single do segundo álbum de estúdio de Cyrus, Breakout (2008). Musicalmente, a faixa é um número de rock pop que contém influências de vários gêneros musicais, incluindo música eletrônica. Liricamente, a faixa fala do romance adolescente.</v>
      </c>
    </row>
    <row r="216" customFormat="false" ht="15.75" hidden="false" customHeight="true" outlineLevel="0" collapsed="false">
      <c r="A216" s="3" t="n">
        <v>213</v>
      </c>
      <c r="B216" s="5" t="s">
        <v>643</v>
      </c>
      <c r="C216" s="5" t="s">
        <v>644</v>
      </c>
      <c r="D216" s="5" t="s">
        <v>645</v>
      </c>
      <c r="E216" s="4" t="str">
        <f aca="false">IFERROR(__xludf.dummyfunction("GOOGLETRANSLATE(C217)"),"Quando foi o primeiro cone de sorvete feito")</f>
        <v>Quando foi o primeiro cone de sorvete feito</v>
      </c>
      <c r="F216" s="5" t="str">
        <f aca="false">IFERROR(__xludf.dummyfunction("GOOGLETRANSLATE(D216)"),"  Clifford the Big Red Dog (dublado por John Ritter; Tom Eastwood na versão britânica): um gigante Red Labrador Retriever / Vizsla Cross. A representação do tamanho de Clifford é inconsistente; Ele é frequentemente mostrado como com cerca de 7 metros de a"&amp;"ltura (7,6 m) de patas para a cabeça, mas pode parecer muito maior. O personagem é baseado no amigo imaginário da esposa do criador Norman Bridwell. Clifford é dedicado a sua proprietária Emily Elizabeth. Ele é amigável, tímido, amável, leal, gentil e pre"&amp;"stativo, mas às vezes se apóia por causa de seu tamanho, ou é tentado a problemas por seus amigos e pelos que conhece. Apesar de ser o protagonista, ele raramente tem episódios focados nele, geralmente servindo como a voz - da - razão das aventuras de seu"&amp;" amigo. Cleo (dublado por Cree Summer; Regine Candler na versão britânica): um enérgico, egoísta e problemas - tornando o poodle roxo com uma tendência a não dizer a verdade. O slogan dela é `` eu já o guiei errado? '' O que ela inadvertidamente faz imedi"&amp;"atamente depois. Ela é uma das melhores amigas de Clifford. Seu dono é a sra. Diller. T - osso (dublado por Kel Mitchell; Benjamin Small na versão britânica): um bulldog amarelo e laranja masculino com um grande apetite. Ele é muitas vezes covarde, desaje"&amp;"itado e cauteloso, mas tem seus momentos de bravura. Ele é um dos melhores amigos de Clifford. T - Bone está apaixonado por Mimi, outro cachorro que visita de tempos em tempos. Seu dono é o xerife Lewis. T - Bone tinha um melhor amigo chamado Hamburger (d"&amp;"ublado pelo parceiro de comédia de longa data de Kel Mitchell, Kenan Thompson), que se mudou antes da chegada de Clifford. Mac (dublado por Cameron Clarke): Um galgo azul masculino com um senso inflado de auto -importância, que muda entre uma indiferença "&amp;"e querendo fazer parte de Clifford, Cleo e T -Bone Circle of Friends. Mac compete em shows de cães. Ele pode ser vaidoso, mandão e egoísta. No entanto, ele parece ser dedicado ao seu proprietário Jetta. É revelado em alguns episódios que seu nome é abrevi"&amp;"ado para Maquiavel.")</f>
        <v>  Clifford the Big Red Dog (dublado por John Ritter; Tom Eastwood na versão britânica): um gigante Red Labrador Retriever / Vizsla Cross. A representação do tamanho de Clifford é inconsistente; Ele é frequentemente mostrado como com cerca de 7 metros de altura (7,6 m) de patas para a cabeça, mas pode parecer muito maior. O personagem é baseado no amigo imaginário da esposa do criador Norman Bridwell. Clifford é dedicado a sua proprietária Emily Elizabeth. Ele é amigável, tímido, amável, leal, gentil e prestativo, mas às vezes se apóia por causa de seu tamanho, ou é tentado a problemas por seus amigos e pelos que conhece. Apesar de ser o protagonista, ele raramente tem episódios focados nele, geralmente servindo como a voz - da - razão das aventuras de seu amigo. Cleo (dublado por Cree Summer; Regine Candler na versão britânica): um enérgico, egoísta e problemas - tornando o poodle roxo com uma tendência a não dizer a verdade. O slogan dela é `` eu já o guiei errado? '' O que ela inadvertidamente faz imediatamente depois. Ela é uma das melhores amigas de Clifford. Seu dono é a sra. Diller. T - osso (dublado por Kel Mitchell; Benjamin Small na versão britânica): um bulldog amarelo e laranja masculino com um grande apetite. Ele é muitas vezes covarde, desajeitado e cauteloso, mas tem seus momentos de bravura. Ele é um dos melhores amigos de Clifford. T - Bone está apaixonado por Mimi, outro cachorro que visita de tempos em tempos. Seu dono é o xerife Lewis. T - Bone tinha um melhor amigo chamado Hamburger (dublado pelo parceiro de comédia de longa data de Kel Mitchell, Kenan Thompson), que se mudou antes da chegada de Clifford. Mac (dublado por Cameron Clarke): Um galgo azul masculino com um senso inflado de auto -importância, que muda entre uma indiferença e querendo fazer parte de Clifford, Cleo e T -Bone Circle of Friends. Mac compete em shows de cães. Ele pode ser vaidoso, mandão e egoísta. No entanto, ele parece ser dedicado ao seu proprietário Jetta. É revelado em alguns episódios que seu nome é abreviado para Maquiavel.</v>
      </c>
    </row>
    <row r="217" customFormat="false" ht="15.75" hidden="false" customHeight="true" outlineLevel="0" collapsed="false">
      <c r="A217" s="3" t="n">
        <v>214</v>
      </c>
      <c r="B217" s="5" t="s">
        <v>646</v>
      </c>
      <c r="C217" s="5" t="s">
        <v>647</v>
      </c>
      <c r="D217" s="5" t="s">
        <v>648</v>
      </c>
      <c r="E217" s="4" t="str">
        <f aca="false">IFERROR(__xludf.dummyfunction("GOOGLETRANSLATE(C218)"),"onde está o Super Bowl sendo jogado neste ano")</f>
        <v>onde está o Super Bowl sendo jogado neste ano</v>
      </c>
      <c r="F217" s="5" t="str">
        <f aca="false">IFERROR(__xludf.dummyfunction("GOOGLETRANSLATE(D217)")," Os cones comestíveis foram mencionados nos livros de culinária francesa em 1825, quando Julien Archambault descreveu como alguém poderia rolar um cone de `` pequenos waffles ''. Outra referência impressa a um cone comestível está na Sra. A.B. O livro de "&amp;"culinária de Marshall, escrito em 1888 por Agnes B. Marshall (1855 - 1905) da Inglaterra. Sua receita para `` corneta com creme 'disse que `` Os cornets foram feitos com amêndoas e assados ​​no forno, não pressionados entre os ferros' '.")</f>
        <v> Os cones comestíveis foram mencionados nos livros de culinária francesa em 1825, quando Julien Archambault descreveu como alguém poderia rolar um cone de `` pequenos waffles ''. Outra referência impressa a um cone comestível está na Sra. A.B. O livro de culinária de Marshall, escrito em 1888 por Agnes B. Marshall (1855 - 1905) da Inglaterra. Sua receita para `` corneta com creme 'disse que `` Os cornets foram feitos com amêndoas e assados ​​no forno, não pressionados entre os ferros' '.</v>
      </c>
    </row>
    <row r="218" customFormat="false" ht="15.75" hidden="false" customHeight="true" outlineLevel="0" collapsed="false">
      <c r="A218" s="3" t="n">
        <v>215</v>
      </c>
      <c r="B218" s="5" t="s">
        <v>649</v>
      </c>
      <c r="C218" s="5" t="s">
        <v>650</v>
      </c>
      <c r="D218" s="5" t="s">
        <v>651</v>
      </c>
      <c r="E218" s="4" t="str">
        <f aca="false">IFERROR(__xludf.dummyfunction("GOOGLETRANSLATE(C219)"),"Quando aconteceu o nome da Grã -Bretanha")</f>
        <v>Quando aconteceu o nome da Grã -Bretanha</v>
      </c>
      <c r="F218" s="5" t="str">
        <f aca="false">IFERROR(__xludf.dummyfunction("GOOGLETRANSLATE(D218)")," O Super Bowl LII foi um jogo de futebol americano jogado para determinar o campeão da Liga Nacional de Futebol (NFL) na temporada de 2017. O campeão da Conferência Nacional de Futebol (NFC), Philadelphia Eagles, derrotou a American Football Conference (A"&amp;"FC) e a atual campeã do Super Bowl LI New England Patriots, 41 - 33, para ganhar seu primeiro Super Bowl e seu primeiro título da NFL desde 1960. O jogo foi disputado em 4 de fevereiro de 2018, no U.S. Bank Stadium, em Minneapolis, Minnesota. Foi a segund"&amp;"a vez que um Super Bowl foi jogado em Minneapolis, a cidade mais ao norte para sediar o evento, depois do Super Bowl XXVI no Metrodome durante a temporada de 1991, e o sexto Super Bowl realizado em uma cidade climática.")</f>
        <v> O Super Bowl LII foi um jogo de futebol americano jogado para determinar o campeão da Liga Nacional de Futebol (NFL) na temporada de 2017. O campeão da Conferência Nacional de Futebol (NFC), Philadelphia Eagles, derrotou a American Football Conference (AFC) e a atual campeã do Super Bowl LI New England Patriots, 41 - 33, para ganhar seu primeiro Super Bowl e seu primeiro título da NFL desde 1960. O jogo foi disputado em 4 de fevereiro de 2018, no U.S. Bank Stadium, em Minneapolis, Minnesota. Foi a segunda vez que um Super Bowl foi jogado em Minneapolis, a cidade mais ao norte para sediar o evento, depois do Super Bowl XXVI no Metrodome durante a temporada de 1991, e o sexto Super Bowl realizado em uma cidade climática.</v>
      </c>
    </row>
    <row r="219" customFormat="false" ht="15.75" hidden="false" customHeight="true" outlineLevel="0" collapsed="false">
      <c r="A219" s="3" t="n">
        <v>216</v>
      </c>
      <c r="B219" s="5" t="s">
        <v>652</v>
      </c>
      <c r="C219" s="5" t="s">
        <v>653</v>
      </c>
      <c r="D219" s="5" t="s">
        <v>654</v>
      </c>
      <c r="E219" s="4" t="str">
        <f aca="false">IFERROR(__xludf.dummyfunction("GOOGLETRANSLATE(C220)"),"onde está o Cactus Bowl sendo tocado")</f>
        <v>onde está o Cactus Bowl sendo tocado</v>
      </c>
      <c r="F219" s="5" t="str">
        <f aca="false">IFERROR(__xludf.dummyfunction("GOOGLETRANSLATE(D219)")," Após o período Anglo -Saxon, a Grã -Bretanha foi usada apenas como um termo histórico. Geoffrey, de Monmouth, em sua História pseudo -histórica, Regum Britanniae (c. 1136) refere -se à ilha como Britannia Major (`` Grande Grã -Bretanha ''), para distingu"&amp;"i -lo da Britannia Minor (`` menor na Grã -Bretanha ''), a região continental que se aproxima que se aproxima à Brittany moderna, que havia sido resolvida nos séculos V e VI por migrantes da Grã -Bretanha. O termo Grã -Bretanha foi usado oficialmente em 1"&amp;"474, no instrumento que elaborava a proposta de um casamento entre Cecily, filha de Edward IV, da Inglaterra, e Tiago, filho de Tiago III, da Escócia, que o descreveu como `` esta Ilha Nobill , Callit Gret Britanee ''. Foi usado novamente em 1604, quando "&amp;"o rei James VI e eu se denominamos `` Rei de Great Brittaine, França e Irlanda ''.")</f>
        <v> Após o período Anglo -Saxon, a Grã -Bretanha foi usada apenas como um termo histórico. Geoffrey, de Monmouth, em sua História pseudo -histórica, Regum Britanniae (c. 1136) refere -se à ilha como Britannia Major (`` Grande Grã -Bretanha ''), para distingui -lo da Britannia Minor (`` menor na Grã -Bretanha ''), a região continental que se aproxima que se aproxima à Brittany moderna, que havia sido resolvida nos séculos V e VI por migrantes da Grã -Bretanha. O termo Grã -Bretanha foi usado oficialmente em 1474, no instrumento que elaborava a proposta de um casamento entre Cecily, filha de Edward IV, da Inglaterra, e Tiago, filho de Tiago III, da Escócia, que o descreveu como `` esta Ilha Nobill , Callit Gret Britanee ''. Foi usado novamente em 1604, quando o rei James VI e eu se denominamos `` Rei de Great Brittaine, França e Irlanda ''.</v>
      </c>
    </row>
    <row r="220" customFormat="false" ht="15.75" hidden="false" customHeight="true" outlineLevel="0" collapsed="false">
      <c r="A220" s="3" t="n">
        <v>217</v>
      </c>
      <c r="B220" s="5" t="s">
        <v>655</v>
      </c>
      <c r="C220" s="5" t="s">
        <v>656</v>
      </c>
      <c r="D220" s="5" t="s">
        <v>657</v>
      </c>
      <c r="E220" s="4" t="str">
        <f aca="false">IFERROR(__xludf.dummyfunction("GOOGLETRANSLATE(C221)"),"Quando Tiger Woods venceu seu último torneio de PGA")</f>
        <v>Quando Tiger Woods venceu seu último torneio de PGA</v>
      </c>
      <c r="F220" s="5" t="str">
        <f aca="false">IFERROR(__xludf.dummyfunction("GOOGLETRANSLATE(D220)")," O Cactus Bowl está sendo jogado temporariamente em sua casa anterior de Chase Field em Phoenix, enquanto o Sun Devil Stadium passa por reformas. As reformas estão sendo realizadas durante a entressafra, exigindo que o estado do Arizona feche o estádio na"&amp;" conclusão da temporada de futebol até 2017. Durante esse período, o jogo é um dos três jogos de tigela disputados em estádios específicos de beisebol; O Gasparilla Bowl, tocado no Tropicana Field, e o ripstripe Bowl, tocado no Yankee Stadium, são os outr"&amp;"os.")</f>
        <v> O Cactus Bowl está sendo jogado temporariamente em sua casa anterior de Chase Field em Phoenix, enquanto o Sun Devil Stadium passa por reformas. As reformas estão sendo realizadas durante a entressafra, exigindo que o estado do Arizona feche o estádio na conclusão da temporada de futebol até 2017. Durante esse período, o jogo é um dos três jogos de tigela disputados em estádios específicos de beisebol; O Gasparilla Bowl, tocado no Tropicana Field, e o ripstripe Bowl, tocado no Yankee Stadium, são os outros.</v>
      </c>
    </row>
    <row r="221" customFormat="false" ht="15.75" hidden="false" customHeight="true" outlineLevel="0" collapsed="false">
      <c r="A221" s="3" t="n">
        <v>218</v>
      </c>
      <c r="B221" s="5" t="s">
        <v>658</v>
      </c>
      <c r="C221" s="5" t="s">
        <v>659</v>
      </c>
      <c r="D221" s="5" t="s">
        <v>660</v>
      </c>
      <c r="E221" s="4" t="str">
        <f aca="false">IFERROR(__xludf.dummyfunction("GOOGLETRANSLATE(C222)"),"Onde o show de Newhart foi filmado em Vermont")</f>
        <v>Onde o show de Newhart foi filmado em Vermont</v>
      </c>
      <c r="F221" s="5" t="str">
        <f aca="false">IFERROR(__xludf.dummyfunction("GOOGLETRANSLATE(D221)"),"   Tiger Woods Woods em junho de 2014 Nome completo Eldrick Tont Woods Apelido de Tiger (1975 - 12 - 30) 30 de dezembro de 1975 (42 anos) Cypress, California Altura 6 pés 1 em (185 cm) Peso 185 lb (84 kg) Nacionalidade Estados Unidos Residência Júpiter Is"&amp;"land, cônjuge da Flórida Elin Nordegren (2004 - 2010) Children Career College Stanford University (não se formou) transformou a turnê atual da PGA (s) PGA Tour (ingressada em 1996) Professional Wins 106 Número de vitórias do Tour PGA Tour 79 (2nd TODOS OS"&amp;" TEMPOS) Tour europeu 40 (3º TODOS OUTROS) Japão Tour Asian Tour PGA Tour da Australásia Outros 16 melhores resultados em principais campeonatos (vitórias: 14) O torneio de Masters venceu: 1997, 2001, 2002, 2005 Open U.S. Open Won: 2000, 2002 , 2008 O Ope"&amp;"n Championship venceu: 2000, 2005, 2006 PGA Championship venceu: 1999, 2000, 2006, 2007 Realizações e prêmios PGA Tour Rookie of the Year PGA Player of the Year 1997, 1999, 2000, 2001, 2002, 2003, 2003, 2005 , 2006, 2007, 2009, 2013 PGA Tour Player of the"&amp;" Year 1997, 1999, 2000, 2001, 2002, 2003, 2005, 2006, 2007, 2009, 2013 PGA Tour líder vencedor do dinheiro 1997, 1999, 2000, 2001, 2002, 2002, 2005, 2006, 2007, 2009, 2013 Vardon Trophy 1999, 2000, 2001, 2002, 2003, 2005, 2007, 2009, 2013 Byron Nelson Awa"&amp;"rd 1999, 2000, 2001, 2002, 2003, 2005, 2006, 2007, 2009 Feds Cup, FedEx, Champion 2007, 2009 (para uma lista completa de prêmios, veja aqui)")</f>
        <v>   Tiger Woods Woods em junho de 2014 Nome completo Eldrick Tont Woods Apelido de Tiger (1975 - 12 - 30) 30 de dezembro de 1975 (42 anos) Cypress, California Altura 6 pés 1 em (185 cm) Peso 185 lb (84 kg) Nacionalidade Estados Unidos Residência Júpiter Island, cônjuge da Flórida Elin Nordegren (2004 - 2010) Children Career College Stanford University (não se formou) transformou a turnê atual da PGA (s) PGA Tour (ingressada em 1996) Professional Wins 106 Número de vitórias do Tour PGA Tour 79 (2nd TODOS OS TEMPOS) Tour europeu 40 (3º TODOS OUTROS) Japão Tour Asian Tour PGA Tour da Australásia Outros 16 melhores resultados em principais campeonatos (vitórias: 14) O torneio de Masters venceu: 1997, 2001, 2002, 2005 Open U.S. Open Won: 2000, 2002 , 2008 O Open Championship venceu: 2000, 2005, 2006 PGA Championship venceu: 1999, 2000, 2006, 2007 Realizações e prêmios PGA Tour Rookie of the Year PGA Player of the Year 1997, 1999, 2000, 2001, 2002, 2003, 2003, 2005 , 2006, 2007, 2009, 2013 PGA Tour Player of the Year 1997, 1999, 2000, 2001, 2002, 2003, 2005, 2006, 2007, 2009, 2013 PGA Tour líder vencedor do dinheiro 1997, 1999, 2000, 2001, 2002, 2002, 2005, 2006, 2007, 2009, 2013 Vardon Trophy 1999, 2000, 2001, 2002, 2003, 2005, 2007, 2009, 2013 Byron Nelson Award 1999, 2000, 2001, 2002, 2003, 2005, 2006, 2007, 2009 Feds Cup, FedEx, Champion 2007, 2009 (para uma lista completa de prêmios, veja aqui)</v>
      </c>
    </row>
    <row r="222" customFormat="false" ht="15.75" hidden="false" customHeight="true" outlineLevel="0" collapsed="false">
      <c r="A222" s="3" t="n">
        <v>219</v>
      </c>
      <c r="B222" s="5" t="s">
        <v>661</v>
      </c>
      <c r="C222" s="5" t="s">
        <v>662</v>
      </c>
      <c r="D222" s="5" t="s">
        <v>663</v>
      </c>
      <c r="E222" s="4" t="str">
        <f aca="false">IFERROR(__xludf.dummyfunction("GOOGLETRANSLATE(C223)"),"quem canta a música no homem no castelo alto")</f>
        <v>quem canta a música no homem no castelo alto</v>
      </c>
      <c r="F222" s="5" t="str">
        <f aca="false">IFERROR(__xludf.dummyfunction("GOOGLETRANSLATE(D222)")," The Waybury Inn é uma pousada na 457 East Main Street, em Middlebury, Vermont, Estados Unidos. A pousada foi construída em 1810 e é uma das mais antigas acomodações do viajante operacional do estado. Foi listado no Registro Nacional de Lugares Históricos"&amp;" em 1983. É bem conhecido por seu uso em fotos externas da série de televisão de Newhart.")</f>
        <v> The Waybury Inn é uma pousada na 457 East Main Street, em Middlebury, Vermont, Estados Unidos. A pousada foi construída em 1810 e é uma das mais antigas acomodações do viajante operacional do estado. Foi listado no Registro Nacional de Lugares Históricos em 1983. É bem conhecido por seu uso em fotos externas da série de televisão de Newhart.</v>
      </c>
    </row>
    <row r="223" customFormat="false" ht="15.75" hidden="false" customHeight="true" outlineLevel="0" collapsed="false">
      <c r="A223" s="3" t="n">
        <v>220</v>
      </c>
      <c r="B223" s="5" t="s">
        <v>664</v>
      </c>
      <c r="C223" s="5" t="s">
        <v>665</v>
      </c>
      <c r="D223" s="5" t="s">
        <v>666</v>
      </c>
      <c r="E223" s="4" t="str">
        <f aca="false">IFERROR(__xludf.dummyfunction("GOOGLETRANSLATE(C224)"),"quem é o elenco original de qualquer maneira")</f>
        <v>quem é o elenco original de qualquer maneira</v>
      </c>
      <c r="F223" s="5" t="str">
        <f aca="false">IFERROR(__xludf.dummyfunction("GOOGLETRANSLATE(D223)")," Uma performance de Jeanette Olsson é usada como música de abertura da série original da Amazon, The Man in the High Castle.")</f>
        <v> Uma performance de Jeanette Olsson é usada como música de abertura da série original da Amazon, The Man in the High Castle.</v>
      </c>
    </row>
    <row r="224" customFormat="false" ht="15.75" hidden="false" customHeight="true" outlineLevel="0" collapsed="false">
      <c r="A224" s="3" t="n">
        <v>221</v>
      </c>
      <c r="B224" s="5" t="s">
        <v>667</v>
      </c>
      <c r="C224" s="5" t="s">
        <v>668</v>
      </c>
      <c r="D224" s="5" t="s">
        <v>669</v>
      </c>
      <c r="E224" s="4" t="str">
        <f aca="false">IFERROR(__xludf.dummyfunction("GOOGLETRANSLATE(C225)"),"Quantos funcionários o Departamento de Educação tem")</f>
        <v>Quantos funcionários o Departamento de Educação tem</v>
      </c>
      <c r="F224" s="5" t="str">
        <f aca="false">IFERROR(__xludf.dummyfunction("GOOGLETRANSLATE(D224)")," Como o original do Reino Unido, a versão dos EUA de quem é a linha é? Apresenta quatro artistas, dois dos quais, Colin Mochrie e Ryan Stiles, eram artistas regulares e permanentes em todo o formato original, tendo aparecido com destaque no original do Re"&amp;"ino Unido; Stiles desde sua primeira aparição em sua segunda temporada em 1989, enquanto Mochrie desde sua primeira aparição na temporada seguinte em 1991, com as duas aparições regulares na versão do Reino Unido de 1995 até seu fim em 1999. Outro artista"&amp;" que fez aparições frequentes e recorrentes foi Wayne Brady, que apareceu na maioria dos episódios do formato original. Durante seu mandato como anfitrião, Drew Carey também participou, embora apenas em um jogo, depois que um dos artistas foi declarado o "&amp;"`` vencedor '' e permitiu tomar seu lugar em sua mesa no estúdio; O anfitrião Aisha Tyler não participou de jogos quando o programa foi revivido, mas ocasionalmente se juntou a uma cena rápida durante as cenas de um jogo de chapéu. A partir de 2017, Mochr"&amp;"ie é o único artista que apareceu em todos os episódios da versão americana.")</f>
        <v> Como o original do Reino Unido, a versão dos EUA de quem é a linha é? Apresenta quatro artistas, dois dos quais, Colin Mochrie e Ryan Stiles, eram artistas regulares e permanentes em todo o formato original, tendo aparecido com destaque no original do Reino Unido; Stiles desde sua primeira aparição em sua segunda temporada em 1989, enquanto Mochrie desde sua primeira aparição na temporada seguinte em 1991, com as duas aparições regulares na versão do Reino Unido de 1995 até seu fim em 1999. Outro artista que fez aparições frequentes e recorrentes foi Wayne Brady, que apareceu na maioria dos episódios do formato original. Durante seu mandato como anfitrião, Drew Carey também participou, embora apenas em um jogo, depois que um dos artistas foi declarado o `` vencedor '' e permitiu tomar seu lugar em sua mesa no estúdio; O anfitrião Aisha Tyler não participou de jogos quando o programa foi revivido, mas ocasionalmente se juntou a uma cena rápida durante as cenas de um jogo de chapéu. A partir de 2017, Mochrie é o único artista que apareceu em todos os episódios da versão americana.</v>
      </c>
    </row>
    <row r="225" customFormat="false" ht="15.75" hidden="false" customHeight="true" outlineLevel="0" collapsed="false">
      <c r="A225" s="3" t="n">
        <v>222</v>
      </c>
      <c r="B225" s="5" t="s">
        <v>670</v>
      </c>
      <c r="C225" s="5" t="s">
        <v>671</v>
      </c>
      <c r="D225" s="5" t="s">
        <v>672</v>
      </c>
      <c r="E225" s="4" t="str">
        <f aca="false">IFERROR(__xludf.dummyfunction("GOOGLETRANSLATE(C226)"),"há tempo extra na semifinal da Copa Scottish")</f>
        <v>há tempo extra na semifinal da Copa Scottish</v>
      </c>
      <c r="F225" s="5" t="str">
        <f aca="false">IFERROR(__xludf.dummyfunction("GOOGLETRANSLATE(D225)")," O Departamento de Educação é administrado pelo Secretário de Educação dos Estados Unidos. Possui aproximadamente 4.400 funcionários e um orçamento anual de US $ 68 bilhões (2016). Sua abreviação oficial é `` ed '' (`` doe '' refere -se ao Departamento de"&amp;" Energia dos Estados Unidos) e também é frequentemente abreviado informalmente como `` doed ''.")</f>
        <v> O Departamento de Educação é administrado pelo Secretário de Educação dos Estados Unidos. Possui aproximadamente 4.400 funcionários e um orçamento anual de US $ 68 bilhões (2016). Sua abreviação oficial é `` ed '' (`` doe '' refere -se ao Departamento de Energia dos Estados Unidos) e também é frequentemente abreviado informalmente como `` doed ''.</v>
      </c>
    </row>
    <row r="226" customFormat="false" ht="15.75" hidden="false" customHeight="true" outlineLevel="0" collapsed="false">
      <c r="A226" s="3" t="n">
        <v>223</v>
      </c>
      <c r="B226" s="5" t="s">
        <v>673</v>
      </c>
      <c r="C226" s="5" t="s">
        <v>674</v>
      </c>
      <c r="D226" s="5" t="s">
        <v>675</v>
      </c>
      <c r="E226" s="4" t="str">
        <f aca="false">IFERROR(__xludf.dummyfunction("GOOGLETRANSLATE(C227)"),"Quando o primeiro filho do gorro saiu")</f>
        <v>Quando o primeiro filho do gorro saiu</v>
      </c>
      <c r="F226" s="5" t="str">
        <f aca="false">IFERROR(__xludf.dummyfunction("GOOGLETRANSLATE(D226)")," A competição é um torneio de knock -out. Em cada rodada de jogos, as equipes são emparelhadas aleatoriamente, com o primeiro time desenhado listado como o time da casa. Cada jogo dura 90 minutos mais qualquer tempo de parada adicional. O vencedor de cada"&amp;" jogo avança para a próxima rodada, enquanto o perdedor é eliminado do torneio. Se um jogo terminar, o jogo será reproduzido no campo da outra equipe em uma data posterior. Se a reprodução também terminar, 30 minutos de tempo extra são reproduzidos, segui"&amp;"dos por uma sessão de pênaltis - se ainda não houver vencedor claro. Nas rodadas semifinais e finais, se o jogo terminar em um empate, não haverá repetição; O vencedor é decidido em tempo extra ou por uma filmagem de pênaltis - fora.")</f>
        <v> A competição é um torneio de knock -out. Em cada rodada de jogos, as equipes são emparelhadas aleatoriamente, com o primeiro time desenhado listado como o time da casa. Cada jogo dura 90 minutos mais qualquer tempo de parada adicional. O vencedor de cada jogo avança para a próxima rodada, enquanto o perdedor é eliminado do torneio. Se um jogo terminar, o jogo será reproduzido no campo da outra equipe em uma data posterior. Se a reprodução também terminar, 30 minutos de tempo extra são reproduzidos, seguidos por uma sessão de pênaltis - se ainda não houver vencedor claro. Nas rodadas semifinais e finais, se o jogo terminar em um empate, não haverá repetição; O vencedor é decidido em tempo extra ou por uma filmagem de pênaltis - fora.</v>
      </c>
    </row>
    <row r="227" customFormat="false" ht="15.75" hidden="false" customHeight="true" outlineLevel="0" collapsed="false">
      <c r="A227" s="3" t="n">
        <v>224</v>
      </c>
      <c r="B227" s="5" t="s">
        <v>676</v>
      </c>
      <c r="C227" s="5" t="s">
        <v>677</v>
      </c>
      <c r="D227" s="5" t="s">
        <v>678</v>
      </c>
      <c r="E227" s="4" t="str">
        <f aca="false">IFERROR(__xludf.dummyfunction("GOOGLETRANSLATE(C228)"),"quanto dinheiro a Argentina ganha com o turismo")</f>
        <v>quanto dinheiro a Argentina ganha com o turismo</v>
      </c>
      <c r="F227" s="5" t="str">
        <f aca="false">IFERROR(__xludf.dummyfunction("GOOGLETRANSLATE(D227)")," Nove bebês originais de gorro original foram lançados em 1993: pernas o sapo, grito o porco, localize o cachorro, piscar a orca, espalhar a baleia, chocolate o alce, patti o ornitorrinco, brownie o urso (mais tarde renomeado `` cubbie ''), e biçadeiras a"&amp;" lagosta (com alguns erros de tag com `` perfuradores ''). Eles não estavam em produção de fábrica até 1994. As vendas foram lentas a princípio, a ponto de que, em 1995, muitos varejistas se recusaram a comprar os produtos nos pacotes que Ty os ofereceu, "&amp;"enquanto outros se recusavam a comprá -los de qualquer forma. A popularidade logo cresceu, no entanto, primeiro começando localmente em Chicago antes de se transformar em uma mania nacional nos EUA.")</f>
        <v> Nove bebês originais de gorro original foram lançados em 1993: pernas o sapo, grito o porco, localize o cachorro, piscar a orca, espalhar a baleia, chocolate o alce, patti o ornitorrinco, brownie o urso (mais tarde renomeado `` cubbie ''), e biçadeiras a lagosta (com alguns erros de tag com `` perfuradores ''). Eles não estavam em produção de fábrica até 1994. As vendas foram lentas a princípio, a ponto de que, em 1995, muitos varejistas se recusaram a comprar os produtos nos pacotes que Ty os ofereceu, enquanto outros se recusavam a comprá -los de qualquer forma. A popularidade logo cresceu, no entanto, primeiro começando localmente em Chicago antes de se transformar em uma mania nacional nos EUA.</v>
      </c>
    </row>
    <row r="228" customFormat="false" ht="15.75" hidden="false" customHeight="true" outlineLevel="0" collapsed="false">
      <c r="A228" s="3" t="n">
        <v>225</v>
      </c>
      <c r="B228" s="5" t="s">
        <v>679</v>
      </c>
      <c r="C228" s="5" t="s">
        <v>680</v>
      </c>
      <c r="D228" s="5" t="s">
        <v>681</v>
      </c>
      <c r="E228" s="4" t="str">
        <f aca="false">IFERROR(__xludf.dummyfunction("GOOGLETRANSLATE(C229)"),"Quando foi a última vez que a Guatemala foi para a Copa do Mundo")</f>
        <v>Quando foi a última vez que a Guatemala foi para a Copa do Mundo</v>
      </c>
      <c r="F228" s="5" t="str">
        <f aca="false">IFERROR(__xludf.dummyfunction("GOOGLETRANSLATE(D228)")," De acordo com o relatório de competitividade de viagens e turismo do Fórum Econômico Mundial, o turismo gerou mais de US $ 22 bilhões, ou 3,9 % do PIB, e a indústria empregou mais de 671.000 pessoas, ou aproximadamente 3,7 % da força de trabalho total. O"&amp;" turismo do exterior contribuiu com US $ 5,3 bilhões, tendo se tornado a terceira maior fonte de câmbio em 2004. Cerca de 5,7 milhões de visitantes estrangeiros chegaram em 2017, refletindo uma duplicação nos visitantes desde 2002, apesar de uma apreciaçã"&amp;"o relativa do peso.")</f>
        <v> De acordo com o relatório de competitividade de viagens e turismo do Fórum Econômico Mundial, o turismo gerou mais de US $ 22 bilhões, ou 3,9 % do PIB, e a indústria empregou mais de 671.000 pessoas, ou aproximadamente 3,7 % da força de trabalho total. O turismo do exterior contribuiu com US $ 5,3 bilhões, tendo se tornado a terceira maior fonte de câmbio em 2004. Cerca de 5,7 milhões de visitantes estrangeiros chegaram em 2017, refletindo uma duplicação nos visitantes desde 2002, apesar de uma apreciação relativa do peso.</v>
      </c>
    </row>
    <row r="229" customFormat="false" ht="15.75" hidden="false" customHeight="true" outlineLevel="0" collapsed="false">
      <c r="A229" s="3" t="n">
        <v>226</v>
      </c>
      <c r="B229" s="5" t="s">
        <v>682</v>
      </c>
      <c r="C229" s="5" t="s">
        <v>683</v>
      </c>
      <c r="D229" s="5" t="s">
        <v>684</v>
      </c>
      <c r="E229" s="4" t="str">
        <f aca="false">IFERROR(__xludf.dummyfunction("GOOGLETRANSLATE(C230)"),"onde está o desfile do dia de Ação de Graças da Macy")</f>
        <v>onde está o desfile do dia de Ação de Graças da Macy</v>
      </c>
      <c r="F229" s="5" t="str">
        <f aca="false">IFERROR(__xludf.dummyfunction("GOOGLETRANSLATE(D229)")," A equipe fez três aparições no torneio olímpico, competindo nos Jogos Olímpicos de 1968, 1976 e 1988. A Guatemala nunca se classificou para um torneio final da Copa do Mundo, embora tenham chegado à rodada final de qualificação em quatro ocasiões.")</f>
        <v> A equipe fez três aparições no torneio olímpico, competindo nos Jogos Olímpicos de 1968, 1976 e 1988. A Guatemala nunca se classificou para um torneio final da Copa do Mundo, embora tenham chegado à rodada final de qualificação em quatro ocasiões.</v>
      </c>
    </row>
    <row r="230" customFormat="false" ht="15.75" hidden="false" customHeight="true" outlineLevel="0" collapsed="false">
      <c r="A230" s="3" t="n">
        <v>227</v>
      </c>
      <c r="B230" s="5" t="s">
        <v>685</v>
      </c>
      <c r="C230" s="5" t="s">
        <v>686</v>
      </c>
      <c r="D230" s="5" t="s">
        <v>687</v>
      </c>
      <c r="E230" s="4" t="str">
        <f aca="false">IFERROR(__xludf.dummyfunction("GOOGLETRANSLATE(C231)"),"O que grupos religiosos viviam nas colônias da Nova Inglaterra")</f>
        <v>O que grupos religiosos viviam nas colônias da Nova Inglaterra</v>
      </c>
      <c r="F230" s="5" t="str">
        <f aca="false">IFERROR(__xludf.dummyfunction("GOOGLETRANSLATE(D230)")," O desfile anual do Dia de Ação de Graças de Macy, na cidade de Nova York, o maior desfile do mundo, é apresentado pela cadeia de lojas de departamentos Macy, com sede nos EUA. A tradição começou em 1924, amarrando -a pelo segundo - mais antigo desfile de"&amp;" Ação de Graças nos Estados Unidos com o desfile de Ação de Graças da América em Detroit (com os dois desfiles sendo quatro anos mais jovens que o desfile do Dia de Ação de Graças do Dunkin 'Dunkin' Dunkin na Filadélfia). O evento de três horas de Macy é "&amp;"realizado em Manhattan, a partir das 9:00 da manhã, horário padrão do Eastern no Dia de Ação de Graças, e é televisionado nacionalmente na NBC desde 1952.")</f>
        <v> O desfile anual do Dia de Ação de Graças de Macy, na cidade de Nova York, o maior desfile do mundo, é apresentado pela cadeia de lojas de departamentos Macy, com sede nos EUA. A tradição começou em 1924, amarrando -a pelo segundo - mais antigo desfile de Ação de Graças nos Estados Unidos com o desfile de Ação de Graças da América em Detroit (com os dois desfiles sendo quatro anos mais jovens que o desfile do Dia de Ação de Graças do Dunkin 'Dunkin' Dunkin na Filadélfia). O evento de três horas de Macy é realizado em Manhattan, a partir das 9:00 da manhã, horário padrão do Eastern no Dia de Ação de Graças, e é televisionado nacionalmente na NBC desde 1952.</v>
      </c>
    </row>
    <row r="231" customFormat="false" ht="15.75" hidden="false" customHeight="true" outlineLevel="0" collapsed="false">
      <c r="A231" s="3" t="n">
        <v>228</v>
      </c>
      <c r="B231" s="5" t="s">
        <v>688</v>
      </c>
      <c r="C231" s="5" t="s">
        <v>689</v>
      </c>
      <c r="D231" s="5" t="s">
        <v>690</v>
      </c>
      <c r="E231" s="4" t="str">
        <f aca="false">IFERROR(__xludf.dummyfunction("GOOGLETRANSLATE(C232)"),"Descreva as principais seções do índice")</f>
        <v>Descreva as principais seções do índice</v>
      </c>
      <c r="F231" s="5" t="str">
        <f aca="false">IFERROR(__xludf.dummyfunction("GOOGLETRANSLATE(D231)")," Um grupo maior de puritanos chegou em 1630, deixando a Inglaterra porque desejavam adorar de uma maneira que diferisse da Igreja da Inglaterra. Seus pontos de vista estavam de acordo com os dos peregrinos que chegaram ao Mayflower, exceto que os peregrin"&amp;"os eram `` separatistas '', que achavam que precisavam se separar da Igreja da Inglaterra, enquanto os puritanos posteriores estavam contentes em permanecer sob o guarda -chuva da Igreja da Inglaterra. As colônias separadas foram governadas independenteme"&amp;"nte do outro até 1691, quando a colônia de Plymouth foi absorvida pela colônia da Baía de Massachusetts para formar a província de Massachusetts Bay.")</f>
        <v> Um grupo maior de puritanos chegou em 1630, deixando a Inglaterra porque desejavam adorar de uma maneira que diferisse da Igreja da Inglaterra. Seus pontos de vista estavam de acordo com os dos peregrinos que chegaram ao Mayflower, exceto que os peregrinos eram `` separatistas '', que achavam que precisavam se separar da Igreja da Inglaterra, enquanto os puritanos posteriores estavam contentes em permanecer sob o guarda -chuva da Igreja da Inglaterra. As colônias separadas foram governadas independentemente do outro até 1691, quando a colônia de Plymouth foi absorvida pela colônia da Baía de Massachusetts para formar a província de Massachusetts Bay.</v>
      </c>
    </row>
    <row r="232" customFormat="false" ht="15.75" hidden="false" customHeight="true" outlineLevel="0" collapsed="false">
      <c r="A232" s="3" t="n">
        <v>229</v>
      </c>
      <c r="B232" s="5" t="s">
        <v>691</v>
      </c>
      <c r="C232" s="5" t="s">
        <v>692</v>
      </c>
      <c r="D232" s="5" t="s">
        <v>693</v>
      </c>
      <c r="E232" s="4" t="str">
        <f aca="false">IFERROR(__xludf.dummyfunction("GOOGLETRANSLATE(C233)"),"Onde os ácidos graxos de cadeia longa entram pela primeira vez na corrente sanguínea")</f>
        <v>Onde os ácidos graxos de cadeia longa entram pela primeira vez na corrente sanguínea</v>
      </c>
      <c r="F232" s="5" t="str">
        <f aca="false">IFERROR(__xludf.dummyfunction("GOOGLETRANSLATE(D232)")," Um índice geralmente inclui os títulos ou descrições dos cabeçalhos de primeiro nível, como títulos de capítulos em obras mais longas, e geralmente inclui títulos de segundo ou seção de nível ou seção (A -cabeças) dentro dos capítulos, e ocasionalmente a"&amp;"té terceiro - terceiro - títulos de nível (subseções ou cabeças B). A profundidade dos detalhes no conteúdo depende da duração do trabalho, com trabalhos mais longos tendo menos. Relatórios formais (dez ou mais páginas e por muito tempo para colocar em um"&amp;" memorando ou carta) também têm um índice. Dentro de um livro em inglês, o índice geralmente aparece após a página de título, avisos de direitos autorais e, em periódicos técnicos, o resumo; e antes de quaisquer listas de tabelas ou figuras, o prefácio e "&amp;"o prefácio.")</f>
        <v> Um índice geralmente inclui os títulos ou descrições dos cabeçalhos de primeiro nível, como títulos de capítulos em obras mais longas, e geralmente inclui títulos de segundo ou seção de nível ou seção (A -cabeças) dentro dos capítulos, e ocasionalmente até terceiro - terceiro - títulos de nível (subseções ou cabeças B). A profundidade dos detalhes no conteúdo depende da duração do trabalho, com trabalhos mais longos tendo menos. Relatórios formais (dez ou mais páginas e por muito tempo para colocar em um memorando ou carta) também têm um índice. Dentro de um livro em inglês, o índice geralmente aparece após a página de título, avisos de direitos autorais e, em periódicos técnicos, o resumo; e antes de quaisquer listas de tabelas ou figuras, o prefácio e o prefácio.</v>
      </c>
    </row>
    <row r="233" customFormat="false" ht="15.75" hidden="false" customHeight="true" outlineLevel="0" collapsed="false">
      <c r="A233" s="3" t="n">
        <v>230</v>
      </c>
      <c r="B233" s="5" t="s">
        <v>694</v>
      </c>
      <c r="C233" s="5" t="s">
        <v>695</v>
      </c>
      <c r="D233" s="5" t="s">
        <v>696</v>
      </c>
      <c r="E233" s="4" t="str">
        <f aca="false">IFERROR(__xludf.dummyfunction("GOOGLETRANSLATE(C234)"),"onde está a retina localizada nos olhos")</f>
        <v>onde está a retina localizada nos olhos</v>
      </c>
      <c r="F233" s="5" t="str">
        <f aca="false">IFERROR(__xludf.dummyfunction("GOOGLETRANSLATE(D233)")," Os lipídios sanguíneos (ou gorduras sanguíneos) são lipídios no sangue, livres ou ligados a outras moléculas. Eles são transportados principalmente em uma cápsula de proteína, e a densidade dos lipídios e o tipo de proteína determina o destino da partícu"&amp;"la e sua influência no metabolismo. A concentração de lipídios no sangue depende da ingestão e excreção do intestino, e captação e secreção das células. Os lipídios sanguíneos são principalmente ácidos graxos e colesterol. A hiperlipidemia é a presença de"&amp;" níveis elevados ou anormais de lipídios e / ou lipoproteínas no sangue e é um importante fator de risco para doenças cardiovasculares.")</f>
        <v> Os lipídios sanguíneos (ou gorduras sanguíneos) são lipídios no sangue, livres ou ligados a outras moléculas. Eles são transportados principalmente em uma cápsula de proteína, e a densidade dos lipídios e o tipo de proteína determina o destino da partícula e sua influência no metabolismo. A concentração de lipídios no sangue depende da ingestão e excreção do intestino, e captação e secreção das células. Os lipídios sanguíneos são principalmente ácidos graxos e colesterol. A hiperlipidemia é a presença de níveis elevados ou anormais de lipídios e / ou lipoproteínas no sangue e é um importante fator de risco para doenças cardiovasculares.</v>
      </c>
    </row>
    <row r="234" customFormat="false" ht="15.75" hidden="false" customHeight="true" outlineLevel="0" collapsed="false">
      <c r="A234" s="3" t="n">
        <v>231</v>
      </c>
      <c r="B234" s="5" t="s">
        <v>697</v>
      </c>
      <c r="C234" s="5" t="s">
        <v>698</v>
      </c>
      <c r="D234" s="5" t="s">
        <v>699</v>
      </c>
      <c r="E234" s="4" t="str">
        <f aca="false">IFERROR(__xludf.dummyfunction("GOOGLETRANSLATE(C235)"),"quem fez a voz para Elsa em Frozen")</f>
        <v>quem fez a voz para Elsa em Frozen</v>
      </c>
      <c r="F234" s="5" t="str">
        <f aca="false">IFERROR(__xludf.dummyfunction("GOOGLETRANSLATE(D234)")," A retina é a camada mais interna, sensível à luz, ou `` casaco '', do tecido da concha do olho da maioria dos vertebrados e alguns moluscos. A óptica do olho cria uma imagem bidimensional focada do mundo visual na retina, que traduz essa imagem em impuls"&amp;"os neurais elétricos ao cérebro para criar percepção visual, a retina que serve a mesma função que filme ou CCD em um Câmera .")</f>
        <v> A retina é a camada mais interna, sensível à luz, ou `` casaco '', do tecido da concha do olho da maioria dos vertebrados e alguns moluscos. A óptica do olho cria uma imagem bidimensional focada do mundo visual na retina, que traduz essa imagem em impulsos neurais elétricos ao cérebro para criar percepção visual, a retina que serve a mesma função que filme ou CCD em um Câmera .</v>
      </c>
    </row>
    <row r="235" customFormat="false" ht="15.75" hidden="false" customHeight="true" outlineLevel="0" collapsed="false">
      <c r="A235" s="3" t="n">
        <v>232</v>
      </c>
      <c r="B235" s="5" t="s">
        <v>700</v>
      </c>
      <c r="C235" s="5" t="s">
        <v>701</v>
      </c>
      <c r="D235" s="5" t="s">
        <v>702</v>
      </c>
      <c r="E235" s="4" t="str">
        <f aca="false">IFERROR(__xludf.dummyfunction("GOOGLETRANSLATE(C236)"),"O que o general fez com Claire em House of Cards")</f>
        <v>O que o general fez com Claire em House of Cards</v>
      </c>
      <c r="F235" s="5" t="str">
        <f aca="false">IFERROR(__xludf.dummyfunction("GOOGLETRANSLATE(D235)")," A rainha Elsa de Arendelle é uma personagem fictícia que aparece no 53º filme animado de Walt Disney Pictures Frozen. Ela é dublada principalmente pela atriz e cantora da Broadway, Idina Menzel. No início do filme, ela é dublada por Eva Bella quando cria"&amp;"nça e por Spencer Lacey Ganus quando adolescente.")</f>
        <v> A rainha Elsa de Arendelle é uma personagem fictícia que aparece no 53º filme animado de Walt Disney Pictures Frozen. Ela é dublada principalmente pela atriz e cantora da Broadway, Idina Menzel. No início do filme, ela é dublada por Eva Bella quando criança e por Spencer Lacey Ganus quando adolescente.</v>
      </c>
    </row>
    <row r="236" customFormat="false" ht="15.75" hidden="false" customHeight="true" outlineLevel="0" collapsed="false">
      <c r="A236" s="3" t="n">
        <v>233</v>
      </c>
      <c r="B236" s="5" t="s">
        <v>703</v>
      </c>
      <c r="C236" s="5" t="s">
        <v>704</v>
      </c>
      <c r="D236" s="5" t="s">
        <v>705</v>
      </c>
      <c r="E236" s="4" t="str">
        <f aca="false">IFERROR(__xludf.dummyfunction("GOOGLETRANSLATE(C237)"),"Que episódio na terceira temporada Jim e Pam se reúnem")</f>
        <v>Que episódio na terceira temporada Jim e Pam se reúnem</v>
      </c>
      <c r="F236" s="5" t="str">
        <f aca="false">IFERROR(__xludf.dummyfunction("GOOGLETRANSLATE(D236)")," A principal história de Claire na segunda temporada é sua defesa, como segunda -dama, para uma conta de prevenção de agressão sexual. Durante sua campanha pelo projeto, surge um segredo de seus dias de faculdade: durante uma entrevista televisionada naci"&amp;"onalmente, ela admite que foi estuprada na faculdade e que seu estuprador, Dalton McGinnis (Peter Bradbury), é agora um general de alto escalão. (Ela já havia tido um encontro desconfortável com McGinnis em um jantar da Casa Branca, durante o qual havia c"&amp;"ontado a Frank o que o general havia feito com ela.) Ela também admite ter abortado uma gravidez que ela afirma ser o resultado do estupro; Mais tarde, é revelado que ela de fato abortou o filho de Frank, com seu consentimento. Ela então converte o foco n"&amp;"essa questão em apoio político que se torna crítico para a ascensão dos Underwoods no Salão Oval.")</f>
        <v> A principal história de Claire na segunda temporada é sua defesa, como segunda -dama, para uma conta de prevenção de agressão sexual. Durante sua campanha pelo projeto, surge um segredo de seus dias de faculdade: durante uma entrevista televisionada nacionalmente, ela admite que foi estuprada na faculdade e que seu estuprador, Dalton McGinnis (Peter Bradbury), é agora um general de alto escalão. (Ela já havia tido um encontro desconfortável com McGinnis em um jantar da Casa Branca, durante o qual havia contado a Frank o que o general havia feito com ela.) Ela também admite ter abortado uma gravidez que ela afirma ser o resultado do estupro; Mais tarde, é revelado que ela de fato abortou o filho de Frank, com seu consentimento. Ela então converte o foco nessa questão em apoio político que se torna crítico para a ascensão dos Underwoods no Salão Oval.</v>
      </c>
    </row>
    <row r="237" customFormat="false" ht="15.75" hidden="false" customHeight="true" outlineLevel="0" collapsed="false">
      <c r="A237" s="3" t="n">
        <v>234</v>
      </c>
      <c r="B237" s="5" t="s">
        <v>706</v>
      </c>
      <c r="C237" s="5" t="s">
        <v>707</v>
      </c>
      <c r="D237" s="5" t="s">
        <v>708</v>
      </c>
      <c r="E237" s="4" t="str">
        <f aca="false">IFERROR(__xludf.dummyfunction("GOOGLETRANSLATE(C238)"),"Quem vendeu mais registros até o momento")</f>
        <v>Quem vendeu mais registros até o momento</v>
      </c>
      <c r="F237" s="5" t="str">
        <f aca="false">IFERROR(__xludf.dummyfunction("GOOGLETRANSLATE(D237)")," Pam participa de uma mostra de arte, mas poucas pessoas participam. Seu colega de trabalho, Oscar, traz seu parceiro que, sem saber que Pam está atrás dele, critica seu trabalho ao proclamar que `` arte real requer coragem. O Oscar continua dizendo que a"&amp;" coragem não é um dos pontos fortes de Pam. Afetada por esta declaração, Pam diz à equipe de documentários que ela será mais honesta, culminando em uma dramática caminhada de carvão durante o próximo episódio - Último episódio da temporada, `` jogos de pr"&amp;"aia '' e um discurso aparentemente sincero para Jim em frente a todo o escritório sobre o relacionamento deles. Michael também chega ao show de arte e revela seu coração e lealdade erraticamente gentis ao comprar, enquadrar e pendurar o desenho de Pam do "&amp;"prédio de Dunder Mifflin no escritório. No final da temporada, `` o trabalho '', ela deixa uma nota amigável na pasta de Jim e uma antiga lembrança que descreve a tampa de iogurte da 'medalha de ouro' dos Jogos Olímpicos do Escritório, que ele vê durante "&amp;"uma entrevista para um emprego na empresa Na cidade de Nova York . Enquanto ele lhe é perguntado como ele `` funcionaria aqui em Nova York '', Jim demonstra que teria sua mente em Scranton, ainda distraído pelo pensamento de Pam. Jim retira seu nome de co"&amp;"nsideração e volta ao escritório, onde interrompe uma cabeça falante que Pam está fazendo para a equipe de documentários convidando -a para jantar. Ela aceita alegremente, visivelmente comoveu, abandonando uma linha de pensamento sobre como ficaria bem se"&amp;" Jim conseguisse o emprego e nunca voltasse a Scranton. Karen sai logo depois, tornando -se gerente regional da filial de Utica, de Dunder Mifflin.")</f>
        <v> Pam participa de uma mostra de arte, mas poucas pessoas participam. Seu colega de trabalho, Oscar, traz seu parceiro que, sem saber que Pam está atrás dele, critica seu trabalho ao proclamar que `` arte real requer coragem. O Oscar continua dizendo que a coragem não é um dos pontos fortes de Pam. Afetada por esta declaração, Pam diz à equipe de documentários que ela será mais honesta, culminando em uma dramática caminhada de carvão durante o próximo episódio - Último episódio da temporada, `` jogos de praia '' e um discurso aparentemente sincero para Jim em frente a todo o escritório sobre o relacionamento deles. Michael também chega ao show de arte e revela seu coração e lealdade erraticamente gentis ao comprar, enquadrar e pendurar o desenho de Pam do prédio de Dunder Mifflin no escritório. No final da temporada, `` o trabalho '', ela deixa uma nota amigável na pasta de Jim e uma antiga lembrança que descreve a tampa de iogurte da 'medalha de ouro' dos Jogos Olímpicos do Escritório, que ele vê durante uma entrevista para um emprego na empresa Na cidade de Nova York . Enquanto ele lhe é perguntado como ele `` funcionaria aqui em Nova York '', Jim demonstra que teria sua mente em Scranton, ainda distraído pelo pensamento de Pam. Jim retira seu nome de consideração e volta ao escritório, onde interrompe uma cabeça falante que Pam está fazendo para a equipe de documentários convidando -a para jantar. Ela aceita alegremente, visivelmente comoveu, abandonando uma linha de pensamento sobre como ficaria bem se Jim conseguisse o emprego e nunca voltasse a Scranton. Karen sai logo depois, tornando -se gerente regional da filial de Utica, de Dunder Mifflin.</v>
      </c>
    </row>
    <row r="238" customFormat="false" ht="15.75" hidden="false" customHeight="true" outlineLevel="0" collapsed="false">
      <c r="A238" s="3" t="n">
        <v>235</v>
      </c>
      <c r="B238" s="5" t="s">
        <v>709</v>
      </c>
      <c r="C238" s="5" t="s">
        <v>710</v>
      </c>
      <c r="D238" s="5" t="s">
        <v>711</v>
      </c>
      <c r="E238" s="4" t="str">
        <f aca="false">IFERROR(__xludf.dummyfunction("GOOGLETRANSLATE(C239)"),"Faça os gols fora da conta nos playoffs da Liga Um")</f>
        <v>Faça os gols fora da conta nos playoffs da Liga Um</v>
      </c>
      <c r="F238" s="5" t="str">
        <f aca="false">IFERROR(__xludf.dummyfunction("GOOGLETRANSLATE(D238)"),"   O ano de lançamento ativo do país / período do país de artista, o ano do primeiro registro, as unidades certificadas totais de gênero (dos mercados disponíveis) reivindicaram vendas The Beatles United Reino United 1960 - 1970 1962 Rock / Pop Total Disp"&amp;"onível unidades certificadas: 271,9 milhões de nós: 212.250 milhões de jpn: 4.950 milhões GER: 8 milhões de Reino Unido: 18.445 milhões de FRA: 3,890 milhões de latas: 14.455 milhões Aus: 3,060 milhões 500.000 Pol: 175.000 NZ: 660.000 600 milhões 500 milh"&amp;"ões de Elvis Presley Estados Unidos 1954 - 1977 1954 Rock and Roll / Pop / País Total Disponível Unidades Certificadas: 224,5 milhões US: 199.150 milhões : 2,590 milhões de latas: 2,925 milhões de AUS: 1,797 milhão de sutiã: 125.000 NLD: 555.000 ITA: 105."&amp;"000 spa: 300.000 SWE 380.000 Den: 120.000 SWI: 185.000 mex: 105.000 Arg: 110.000 BEL: 115.000 AUT: 205.000 FIN: 213,945 nz: Milhões de 500 milhões de Michael Jackson Estados Unidos 1964 - 2009 1971 Pop / Rock / Dance / Soul / R &amp; B Total Disponível Unidad"&amp;"es Certificadas: 229,5 milhões US: 145,3 milhões de JPN: 4,650 milhões GER: 11.275 milhões de Reino Unido: 29.045 milhões de Fra: 11.375 milhões CAN: 4,670 milhões de AUS: 6,775 milhões de sutiã: 280.000 NLD: 2,105 milhões de ITA: 1,195 milhão de spa: 1,9"&amp;"95 milhão de SWE: 1,230 milhão de den: 1,289 milhão de SWI: 910.000 mex: 3,670 milhões de arg: 124.000 BEL: 665.000 AUT: 1,197 milhão : 384.127 NZ: 902.500 350 milhões 300 milhões de Madonna Estados Unidos 1979 - Apresentando 1982 Pop / Dance / Electronic"&amp;"a Total Disponível Unidades Certificadas: 172,9 milhões de EUA: 85,675 milhões de JPN: 6,450 milhões GER: 12,4 milhões de Reino Unido: 29,245 milhões de FRA: 12.81 milhões de latas : 6.030 milhões AUS: 4,787 milhões de sutiã: 3,440 milhões de NLD: 1,735 m"&amp;"ilhão de ITA: 465.000 spa: 2,815 milhões de SWE: 1,070 milhão de den: 407.000 SWI: 1,080 milhão de mex: 510.000 arg: 1,098 Bel: 740.000 AUT: 602.500 pol: 510.000 Fin: 510.000 Fin: 1,098 BEL: 740.000 AUT: 602.500 pol: 652.686 NZ: 417.500 300 milhões 275 mi"&amp;"lhões Elton John United Reino Unido 1964 - Presente 1969 Pop / Rock Total disponível unidades certificadas: 182,8 milhões de EUA: 129,350 milhões de JPN: 1,1 milhão de GER: 7,9 milhões de Reino Unido: 23.395 milhões de FRA: 4,825 milhões de latas: 5,975 M"&amp;"ilhões de AUS: 2,947 milhões de sutiã: 835.000 NLD: 975.000 SPA: 1,2 milhão de SWE: 740.000 Den: 195.000 SWI: 1,313 milhão de mex: 100.000 Arg: 128.000 BEL: 565.000 AUT: 765.000 POL: 150.000 Fin: 163.481 nz: 255.000 Milhões de 250 milhões Led Zeppelin Rei"&amp;"no Unido 1968 - 1980 1969 Hard Rock / Blues Rock / Folk Rock Total disponível unidades certificadas: 140 milhões de nós: 114,1 milhões de JPN: 400.000 GER: 3,775 milhões Reino Unido: 9.530 milhões de FRA: 2,310 milhões de latas: 4,710 milhões Aus: 2.8 Mil"&amp;"hões de sutiã: 820.000 ITA: 465.000 spa: 450.000 SWI: 211.000 arg: 360.000 pol: 120.000 300 milhões 200 milhões JPN: 100.000 GER: 7,5 milhões no Reino Unido: 11,720 milhões de FRA: 6,360 milhões de latas: 6,790 milhões de AUS: 2,932 milhões de sutiã: 515."&amp;"000 NLD: 435.000 ITA: 2,035 milhões de spa: 625.000 SWE: 220.000 SWI: 390.000 Arg: 582.000 BEL: 115.000 SWE: 220.000 SWI: 390.000 Arg: 582.000 Bel: 115.000 SWE: 220.000 SWI: 390.000 Arg: 582.000 Bel: 115.000 SWE: 220.000 SWI: 390.000 Arg: 582.000 BEL: 115"&amp;".000 SWE: 220.000 SWI: 390.000 AGR: 582.000 BEL: 460.000 POL: 590.000 NZ: 787.500 250 milhões de 200 milhões")</f>
        <v>   O ano de lançamento ativo do país / período do país de artista, o ano do primeiro registro, as unidades certificadas totais de gênero (dos mercados disponíveis) reivindicaram vendas The Beatles United Reino United 1960 - 1970 1962 Rock / Pop Total Disponível unidades certificadas: 271,9 milhões de nós: 212.250 milhões de jpn: 4.950 milhões GER: 8 milhões de Reino Unido: 18.445 milhões de FRA: 3,890 milhões de latas: 14.455 milhões Aus: 3,060 milhões 500.000 Pol: 175.000 NZ: 660.000 600 milhões 500 milhões de Elvis Presley Estados Unidos 1954 - 1977 1954 Rock and Roll / Pop / País Total Disponível Unidades Certificadas: 224,5 milhões US: 199.150 milhões : 2,590 milhões de latas: 2,925 milhões de AUS: 1,797 milhão de sutiã: 125.000 NLD: 555.000 ITA: 105.000 spa: 300.000 SWE 380.000 Den: 120.000 SWI: 185.000 mex: 105.000 Arg: 110.000 BEL: 115.000 AUT: 205.000 FIN: 213,945 nz: Milhões de 500 milhões de Michael Jackson Estados Unidos 1964 - 2009 1971 Pop / Rock / Dance / Soul / R &amp; B Total Disponível Unidades Certificadas: 229,5 milhões US: 145,3 milhões de JPN: 4,650 milhões GER: 11.275 milhões de Reino Unido: 29.045 milhões de Fra: 11.375 milhões CAN: 4,670 milhões de AUS: 6,775 milhões de sutiã: 280.000 NLD: 2,105 milhões de ITA: 1,195 milhão de spa: 1,995 milhão de SWE: 1,230 milhão de den: 1,289 milhão de SWI: 910.000 mex: 3,670 milhões de arg: 124.000 BEL: 665.000 AUT: 1,197 milhão : 384.127 NZ: 902.500 350 milhões 300 milhões de Madonna Estados Unidos 1979 - Apresentando 1982 Pop / Dance / Electronica Total Disponível Unidades Certificadas: 172,9 milhões de EUA: 85,675 milhões de JPN: 6,450 milhões GER: 12,4 milhões de Reino Unido: 29,245 milhões de FRA: 12.81 milhões de latas : 6.030 milhões AUS: 4,787 milhões de sutiã: 3,440 milhões de NLD: 1,735 milhão de ITA: 465.000 spa: 2,815 milhões de SWE: 1,070 milhão de den: 407.000 SWI: 1,080 milhão de mex: 510.000 arg: 1,098 Bel: 740.000 AUT: 602.500 pol: 510.000 Fin: 510.000 Fin: 1,098 BEL: 740.000 AUT: 602.500 pol: 652.686 NZ: 417.500 300 milhões 275 milhões Elton John United Reino Unido 1964 - Presente 1969 Pop / Rock Total disponível unidades certificadas: 182,8 milhões de EUA: 129,350 milhões de JPN: 1,1 milhão de GER: 7,9 milhões de Reino Unido: 23.395 milhões de FRA: 4,825 milhões de latas: 5,975 Milhões de AUS: 2,947 milhões de sutiã: 835.000 NLD: 975.000 SPA: 1,2 milhão de SWE: 740.000 Den: 195.000 SWI: 1,313 milhão de mex: 100.000 Arg: 128.000 BEL: 565.000 AUT: 765.000 POL: 150.000 Fin: 163.481 nz: 255.000 Milhões de 250 milhões Led Zeppelin Reino Unido 1968 - 1980 1969 Hard Rock / Blues Rock / Folk Rock Total disponível unidades certificadas: 140 milhões de nós: 114,1 milhões de JPN: 400.000 GER: 3,775 milhões Reino Unido: 9.530 milhões de FRA: 2,310 milhões de latas: 4,710 milhões Aus: 2.8 Milhões de sutiã: 820.000 ITA: 465.000 spa: 450.000 SWI: 211.000 arg: 360.000 pol: 120.000 300 milhões 200 milhões JPN: 100.000 GER: 7,5 milhões no Reino Unido: 11,720 milhões de FRA: 6,360 milhões de latas: 6,790 milhões de AUS: 2,932 milhões de sutiã: 515.000 NLD: 435.000 ITA: 2,035 milhões de spa: 625.000 SWE: 220.000 SWI: 390.000 Arg: 582.000 BEL: 115.000 SWE: 220.000 SWI: 390.000 Arg: 582.000 Bel: 115.000 SWE: 220.000 SWI: 390.000 Arg: 582.000 Bel: 115.000 SWE: 220.000 SWI: 390.000 Arg: 582.000 BEL: 115.000 SWE: 220.000 SWI: 390.000 AGR: 582.000 BEL: 460.000 POL: 590.000 NZ: 787.500 250 milhões de 200 milhões</v>
      </c>
    </row>
    <row r="239" customFormat="false" ht="15.75" hidden="false" customHeight="true" outlineLevel="0" collapsed="false">
      <c r="A239" s="3" t="n">
        <v>236</v>
      </c>
      <c r="B239" s="5" t="s">
        <v>712</v>
      </c>
      <c r="C239" s="5" t="s">
        <v>713</v>
      </c>
      <c r="D239" s="5" t="s">
        <v>714</v>
      </c>
      <c r="E239" s="4" t="str">
        <f aca="false">IFERROR(__xludf.dummyfunction("GOOGLETRANSLATE(C240)"),"Quando Deus da guerra sai para PC")</f>
        <v>Quando Deus da guerra sai para PC</v>
      </c>
      <c r="F239" s="5" t="str">
        <f aca="false">IFERROR(__xludf.dummyfunction("GOOGLETRANSLATE(D239)")," Antes dos gols de 1999 - 2000, os gols foram usados ​​como empate - o disjuntor após o tempo foi reproduzido, no entanto, isso foi abolido após uma iniciativa de clube lançada até então - o presidente da cidade de Ipswich, David Sheepshanks, depois que s"&amp;"eu clube se perdeu duas vezes para fora Metas em 1997 e 1999. Desde então, os gols fora não fizeram nenhum papel no sistema de jogo.")</f>
        <v> Antes dos gols de 1999 - 2000, os gols foram usados ​​como empate - o disjuntor após o tempo foi reproduzido, no entanto, isso foi abolido após uma iniciativa de clube lançada até então - o presidente da cidade de Ipswich, David Sheepshanks, depois que seu clube se perdeu duas vezes para fora Metas em 1997 e 1999. Desde então, os gols fora não fizeram nenhum papel no sistema de jogo.</v>
      </c>
    </row>
    <row r="240" customFormat="false" ht="15.75" hidden="false" customHeight="true" outlineLevel="0" collapsed="false">
      <c r="A240" s="3" t="n">
        <v>237</v>
      </c>
      <c r="B240" s="5" t="s">
        <v>715</v>
      </c>
      <c r="C240" s="5" t="s">
        <v>716</v>
      </c>
      <c r="D240" s="5" t="s">
        <v>717</v>
      </c>
      <c r="E240" s="4" t="str">
        <f aca="false">IFERROR(__xludf.dummyfunction("GOOGLETRANSLATE(C241)"),"Como você passa uma emenda à Constituição")</f>
        <v>Como você passa uma emenda à Constituição</v>
      </c>
      <c r="F240" s="5" t="str">
        <f aca="false">IFERROR(__xludf.dummyfunction("GOOGLETRANSLATE(D240)")," O God of War é um jogo de Aventuras da Terceira Pessoa - Desenvolvido pelo Studio de Santa Monica e publicado pela Sony Interactive Entertainment (SIE). Lançado em 20 de abril de 2018, para o console PlayStation 4 (PS4), é a oitava parcela da série God o"&amp;"f War, o oitavo cronologicamente, e a sequência de God of War III de 2010. Ao contrário dos jogos anteriores, que foram vagamente baseados na mitologia grega, este jogo é vagamente baseado na mitologia nórdica. Os principais protagonistas são Kratos, o ex"&amp;" -deus grego da guerra, e seu jovem filho Atreus. Após a morte da segunda esposa de Kratos e da mãe de Atreus, eles viajam para cumprir sua promessa e espalhar suas cinzas no pico mais alto dos nove reinos. Kratos mantém seu perturbado um segredo de Atreu"&amp;"s, que não tem conhecimento de sua natureza divina. Ao longo de sua jornada, eles encontram monstros e deuses do mundo nórdico.")</f>
        <v> O God of War é um jogo de Aventuras da Terceira Pessoa - Desenvolvido pelo Studio de Santa Monica e publicado pela Sony Interactive Entertainment (SIE). Lançado em 20 de abril de 2018, para o console PlayStation 4 (PS4), é a oitava parcela da série God of War, o oitavo cronologicamente, e a sequência de God of War III de 2010. Ao contrário dos jogos anteriores, que foram vagamente baseados na mitologia grega, este jogo é vagamente baseado na mitologia nórdica. Os principais protagonistas são Kratos, o ex -deus grego da guerra, e seu jovem filho Atreus. Após a morte da segunda esposa de Kratos e da mãe de Atreus, eles viajam para cumprir sua promessa e espalhar suas cinzas no pico mais alto dos nove reinos. Kratos mantém seu perturbado um segredo de Atreus, que não tem conhecimento de sua natureza divina. Ao longo de sua jornada, eles encontram monstros e deuses do mundo nórdico.</v>
      </c>
    </row>
    <row r="241" customFormat="false" ht="15.75" hidden="false" customHeight="true" outlineLevel="0" collapsed="false">
      <c r="A241" s="3" t="n">
        <v>238</v>
      </c>
      <c r="B241" s="5" t="s">
        <v>718</v>
      </c>
      <c r="C241" s="5" t="s">
        <v>719</v>
      </c>
      <c r="D241" s="5" t="s">
        <v>720</v>
      </c>
      <c r="E241" s="4" t="str">
        <f aca="false">IFERROR(__xludf.dummyfunction("GOOGLETRANSLATE(C242)"),"Quando a Croácia terminou em 3º na Copa do Mundo")</f>
        <v>Quando a Croácia terminou em 3º na Copa do Mundo</v>
      </c>
      <c r="F241" s="5" t="str">
        <f aca="false">IFERROR(__xludf.dummyfunction("GOOGLETRANSLATE(D241)")," O artigo cinco da Constituição dos Estados Unidos descreve o processo pelo qual a Constituição, o estado de governo da nação, pode ser alterada. A alteração da Constituição consiste em propor uma emenda ou emendas e ratificação subsequente. As emendas po"&amp;"dem ser propostas pelo Congresso com uma votação de dois terços na Câmara dos Deputados e no Senado ou por uma convenção de estados exigidos por dois terços das legislaturas estaduais. Para se tornar parte da Constituição, uma emenda deve ser ratificada p"&amp;"or um - conforme determinado pelo Congresso - pelas legislaturas de três quartos dos estados ou convenções ratificantes do estado em três quartos dos estados. O voto de cada Estado (para ratificar ou rejeitar uma emenda proposta) carrega peso igual, indep"&amp;"endentemente da população de um estado ou do tempo no sindicato.")</f>
        <v> O artigo cinco da Constituição dos Estados Unidos descreve o processo pelo qual a Constituição, o estado de governo da nação, pode ser alterada. A alteração da Constituição consiste em propor uma emenda ou emendas e ratificação subsequente. As emendas podem ser propostas pelo Congresso com uma votação de dois terços na Câmara dos Deputados e no Senado ou por uma convenção de estados exigidos por dois terços das legislaturas estaduais. Para se tornar parte da Constituição, uma emenda deve ser ratificada por um - conforme determinado pelo Congresso - pelas legislaturas de três quartos dos estados ou convenções ratificantes do estado em três quartos dos estados. O voto de cada Estado (para ratificar ou rejeitar uma emenda proposta) carrega peso igual, independentemente da população de um estado ou do tempo no sindicato.</v>
      </c>
    </row>
    <row r="242" customFormat="false" ht="15.75" hidden="false" customHeight="true" outlineLevel="0" collapsed="false">
      <c r="A242" s="3" t="n">
        <v>239</v>
      </c>
      <c r="B242" s="5" t="s">
        <v>721</v>
      </c>
      <c r="C242" s="5" t="s">
        <v>722</v>
      </c>
      <c r="D242" s="5" t="s">
        <v>723</v>
      </c>
      <c r="E242" s="4" t="str">
        <f aca="false">IFERROR(__xludf.dummyfunction("GOOGLETRANSLATE(C243)"),"Quem ganhou, sou uma celebridade, me tire da Austrália aqui")</f>
        <v>Quem ganhou, sou uma celebridade, me tire da Austrália aqui</v>
      </c>
      <c r="F242" s="5" t="str">
        <f aca="false">IFERROR(__xludf.dummyfunction("GOOGLETRANSLATE(D242)")," Apesar do trimestre - a saída final, Blažević continuou a liderar a Croácia na campanha de qualificação para a Copa do Mundo de 1998, que terminou com sucesso após uma vitória agregada contra a Ucrânia no jogo de duas pernas. Na fase de grupos da Copa do"&amp;" Mundo, a Croácia venceu a Jamaica e o Japão, mas perdeu para a Argentina, antes de derrotar a Romênia para chegar a um quarto de empate contra a Alemanha, ficou em segundo lugar no mundo. A Croácia venceu 3 - 0 com gols de Robert Jarni, Goran Vlaović e D"&amp;"avor Šuker, tudo depois que Christian Wörns foi expulso. A Croácia então enfrentou a nação anfitriã, na França, na semifinal. Depois de uma primeira - metade, a Croácia assumiu a liderança, apenas para conceder dois gols ao defender o zagueiro Lilian Thur"&amp;"am e perder 1 - 2. Na terceira partida, a Croácia venceu o Holanda 2 - 1, com Davor Šuker ganhando o Golden Boot Award por marcar o maior número de gols do torneio com seis gols em sete jogos. A performance da Croácia em 1998 foi uma das melhores performa"&amp;"nces de estréia na Copa do Mundo (igualando o terceiro lugar de Portugal na estréia na Copa do Mundo de 1966) e, como resultado, a Croácia subiu para o número três no ranking mundial da FIFA de 1999, sua classificação mais alta até o momento. Para suas re"&amp;"alizações, a equipe dos anos 90 foi apelidada de `` Golden Generation. '' Uma parcela considerável deste esquadrão (Jarni, Štimac, Boban, Prosinečki e Šuker), venceu anteriormente o Campeonato Mundial da Juventude da FIFA de 1987 com a Equipe da Iugoslávi"&amp;"a sob - 20.")</f>
        <v> Apesar do trimestre - a saída final, Blažević continuou a liderar a Croácia na campanha de qualificação para a Copa do Mundo de 1998, que terminou com sucesso após uma vitória agregada contra a Ucrânia no jogo de duas pernas. Na fase de grupos da Copa do Mundo, a Croácia venceu a Jamaica e o Japão, mas perdeu para a Argentina, antes de derrotar a Romênia para chegar a um quarto de empate contra a Alemanha, ficou em segundo lugar no mundo. A Croácia venceu 3 - 0 com gols de Robert Jarni, Goran Vlaović e Davor Šuker, tudo depois que Christian Wörns foi expulso. A Croácia então enfrentou a nação anfitriã, na França, na semifinal. Depois de uma primeira - metade, a Croácia assumiu a liderança, apenas para conceder dois gols ao defender o zagueiro Lilian Thuram e perder 1 - 2. Na terceira partida, a Croácia venceu o Holanda 2 - 1, com Davor Šuker ganhando o Golden Boot Award por marcar o maior número de gols do torneio com seis gols em sete jogos. A performance da Croácia em 1998 foi uma das melhores performances de estréia na Copa do Mundo (igualando o terceiro lugar de Portugal na estréia na Copa do Mundo de 1966) e, como resultado, a Croácia subiu para o número três no ranking mundial da FIFA de 1999, sua classificação mais alta até o momento. Para suas realizações, a equipe dos anos 90 foi apelidada de `` Golden Generation. '' Uma parcela considerável deste esquadrão (Jarni, Štimac, Boban, Prosinečki e Šuker), venceu anteriormente o Campeonato Mundial da Juventude da FIFA de 1987 com a Equipe da Iugoslávia sob - 20.</v>
      </c>
    </row>
    <row r="243" customFormat="false" ht="15.75" hidden="false" customHeight="true" outlineLevel="0" collapsed="false">
      <c r="A243" s="3" t="n">
        <v>240</v>
      </c>
      <c r="B243" s="5" t="s">
        <v>724</v>
      </c>
      <c r="C243" s="5" t="s">
        <v>725</v>
      </c>
      <c r="D243" s="5" t="s">
        <v>726</v>
      </c>
      <c r="E243" s="4" t="str">
        <f aca="false">IFERROR(__xludf.dummyfunction("GOOGLETRANSLATE(C244)"),"onde está a acetilcolina liberada no sistema nervoso simpático")</f>
        <v>onde está a acetilcolina liberada no sistema nervoso simpático</v>
      </c>
      <c r="F243" s="5" t="str">
        <f aca="false">IFERROR(__xludf.dummyfunction("GOOGLETRANSLATE(D243)"),"   CELEBRIDADE CONHECIDA PARA DIA DIA DIA EXIDO O resultado de Fiona O'Loughlin, vencedor do comediante 45 Shannon Noll Singer 45 Runner - UP Danny Green Boxer 7 45 Terceiro lugar Vicky Pattison Reality Star (I 'M a Celeb UK, vencedor) 17 44 EXTECIDO 10º "&amp;"Simone Holtznagel Model) 41 despejo 9º Peter Rowsthorn Ator &amp; comediante 40 Encometo 8º Jackie Gillies Psychic &amp; Reality TV Star 39 Encontro de Josh Josh Gibson AFL Jogador 38 despejou 6º Paul Burrell, ex -Royal Butler (eu sou uma celebridade no Reino Uni"&amp;"do, Runner Up) 17 37 EXTECIDO 5º LISA Oldfield Reality Reality) Estrela de TV 24 34 despejada 4ª David Oldfield Ex -Político 24 30 Desculpe 3º Kerry Armstrong Atriz 23 EXTECIADO 2º TIFFANY DARWISH Singer 16 despejado 1º Anthony Mundine Boxer 12 retirou Be"&amp;"rnard Tomic Tennis Player retirado")</f>
        <v>   CELEBRIDADE CONHECIDA PARA DIA DIA DIA EXIDO O resultado de Fiona O'Loughlin, vencedor do comediante 45 Shannon Noll Singer 45 Runner - UP Danny Green Boxer 7 45 Terceiro lugar Vicky Pattison Reality Star (I 'M a Celeb UK, vencedor) 17 44 EXTECIDO 10º Simone Holtznagel Model) 41 despejo 9º Peter Rowsthorn Ator &amp; comediante 40 Encometo 8º Jackie Gillies Psychic &amp; Reality TV Star 39 Encontro de Josh Josh Gibson AFL Jogador 38 despejou 6º Paul Burrell, ex -Royal Butler (eu sou uma celebridade no Reino Unido, Runner Up) 17 37 EXTECIDO 5º LISA Oldfield Reality Reality) Estrela de TV 24 34 despejada 4ª David Oldfield Ex -Político 24 30 Desculpe 3º Kerry Armstrong Atriz 23 EXTECIADO 2º TIFFANY DARWISH Singer 16 despejado 1º Anthony Mundine Boxer 12 retirou Bernard Tomic Tennis Player retirado</v>
      </c>
    </row>
    <row r="244" customFormat="false" ht="15.75" hidden="false" customHeight="true" outlineLevel="0" collapsed="false">
      <c r="A244" s="3" t="n">
        <v>241</v>
      </c>
      <c r="B244" s="5" t="s">
        <v>727</v>
      </c>
      <c r="C244" s="5" t="s">
        <v>728</v>
      </c>
      <c r="D244" s="5" t="s">
        <v>729</v>
      </c>
      <c r="E244" s="4" t="str">
        <f aca="false">IFERROR(__xludf.dummyfunction("GOOGLETRANSLATE(C245)"),"nomeado na melhor categoria de filme estrangeiro no Oscar Mother India perdido para")</f>
        <v>nomeado na melhor categoria de filme estrangeiro no Oscar Mother India perdido para</v>
      </c>
      <c r="F244" s="5" t="str">
        <f aca="false">IFERROR(__xludf.dummyfunction("GOOGLETRANSLATE(D244)")," Em um nível esquemático, os sistemas nervosos simpáticos e parassimpáticos são organizados essencialmente da mesma maneira: os neurônios pré -ganglionares no sistema nervoso central enviam projeções para neurônios localizados nos gânglios autonômicos; Es"&amp;"ses neurônios enviam projeções de saída para praticamente todos os tecidos do corpo. Nos dois ramos, as conexões internas - as projeções do sistema nervoso central para os gânglios autonômicos - usam acetilcolina como neurotransmissor, e os receptores que"&amp;" ativa são do tipo nicotínico. No sistema nervoso parassimpático, as conexões de saída - as projeções dos neurônios ganglionares a tecidos que não pertencem ao sistema nervoso - também liberam acetilcolina, agindo sobre receptores muscarínicos. No sistema"&amp;" nervoso simpático, as conexões de saída liberam principalmente a noradrenalina, embora a acetilcolina seja liberada em alguns pontos, como a inervação do sudomotor das glândulas suor.")</f>
        <v> Em um nível esquemático, os sistemas nervosos simpáticos e parassimpáticos são organizados essencialmente da mesma maneira: os neurônios pré -ganglionares no sistema nervoso central enviam projeções para neurônios localizados nos gânglios autonômicos; Esses neurônios enviam projeções de saída para praticamente todos os tecidos do corpo. Nos dois ramos, as conexões internas - as projeções do sistema nervoso central para os gânglios autonômicos - usam acetilcolina como neurotransmissor, e os receptores que ativa são do tipo nicotínico. No sistema nervoso parassimpático, as conexões de saída - as projeções dos neurônios ganglionares a tecidos que não pertencem ao sistema nervoso - também liberam acetilcolina, agindo sobre receptores muscarínicos. No sistema nervoso simpático, as conexões de saída liberam principalmente a noradrenalina, embora a acetilcolina seja liberada em alguns pontos, como a inervação do sudomotor das glândulas suor.</v>
      </c>
    </row>
    <row r="245" customFormat="false" ht="15.75" hidden="false" customHeight="true" outlineLevel="0" collapsed="false">
      <c r="A245" s="3" t="n">
        <v>242</v>
      </c>
      <c r="B245" s="5" t="s">
        <v>730</v>
      </c>
      <c r="C245" s="5" t="s">
        <v>731</v>
      </c>
      <c r="D245" s="5" t="s">
        <v>732</v>
      </c>
      <c r="E245" s="4" t="str">
        <f aca="false">IFERROR(__xludf.dummyfunction("GOOGLETRANSLATE(C246)"),"Quantos membros da Guarda Nacional estão lá")</f>
        <v>Quantos membros da Guarda Nacional estão lá</v>
      </c>
      <c r="F245" s="5" t="str">
        <f aca="false">IFERROR(__xludf.dummyfunction("GOOGLETRANSLATE(D245)")," Mãe Índia, sua estrela Nargis e o diretor Khan receberam muitos prêmios e indicações. Nargis ganhou o prêmio Filmfare Best Atriz em 1958 e se tornou o primeiro indiano a receber o prêmio de Melhor Atriz no Karlovy Vary International Film Festival na Repú"&amp;"blica Tcheca atual. Mother India ganhou o Filmfare Award de Melhor Filme e conquistou vários outros prêmios de filmes, incluindo o Melhor Diretor de Khan, Melhor Canil o diretor de fotografia do Faredoon Irani e o melhor som para R. Kaushik. Em 1958, o fi"&amp;"lme se tornou o primeiro envio da Índia para o Oscar de Melhor Filme de Língua Estrangeira e foi escolhido como uma das cinco indicações para a categoria. A versão internacional, de 120 minutos, foi enviada para o Oscar. Além disso, esta versão tinha lege"&amp;"ndas em inglês e lançou o logotipo da Mehboob Productions, que apresentava o martelo e a falcional comunista, para apaziguar a academia. A versão de 120 minutos foi posteriormente distribuída nos EUA e no Reino Unido pela Columbia Pictures. O filme chegou"&amp;" perto de ganhar o Oscar, mas perdeu para as noites de Cabiria de Federico Fellini por um único voto. Khan ficou totalmente decepcionado por não ganhar o prêmio. `` Ele viu os outros filmes na briga e acreditava que a Mãe Índia era muito superior a eles '"&amp;"', lembrou Sunil Dutt anos depois. Ele também ganhou dois prêmios no 5º National Film Awards em 1957: um certificado de mérito All India para o melhor longa -metragem e certificado de mérito de melhor longa -metragem em hindi.")</f>
        <v> Mãe Índia, sua estrela Nargis e o diretor Khan receberam muitos prêmios e indicações. Nargis ganhou o prêmio Filmfare Best Atriz em 1958 e se tornou o primeiro indiano a receber o prêmio de Melhor Atriz no Karlovy Vary International Film Festival na República Tcheca atual. Mother India ganhou o Filmfare Award de Melhor Filme e conquistou vários outros prêmios de filmes, incluindo o Melhor Diretor de Khan, Melhor Canil o diretor de fotografia do Faredoon Irani e o melhor som para R. Kaushik. Em 1958, o filme se tornou o primeiro envio da Índia para o Oscar de Melhor Filme de Língua Estrangeira e foi escolhido como uma das cinco indicações para a categoria. A versão internacional, de 120 minutos, foi enviada para o Oscar. Além disso, esta versão tinha legendas em inglês e lançou o logotipo da Mehboob Productions, que apresentava o martelo e a falcional comunista, para apaziguar a academia. A versão de 120 minutos foi posteriormente distribuída nos EUA e no Reino Unido pela Columbia Pictures. O filme chegou perto de ganhar o Oscar, mas perdeu para as noites de Cabiria de Federico Fellini por um único voto. Khan ficou totalmente decepcionado por não ganhar o prêmio. `` Ele viu os outros filmes na briga e acreditava que a Mãe Índia era muito superior a eles '', lembrou Sunil Dutt anos depois. Ele também ganhou dois prêmios no 5º National Film Awards em 1957: um certificado de mérito All India para o melhor longa -metragem e certificado de mérito de melhor longa -metragem em hindi.</v>
      </c>
    </row>
    <row r="246" customFormat="false" ht="15.75" hidden="false" customHeight="true" outlineLevel="0" collapsed="false">
      <c r="A246" s="3" t="n">
        <v>243</v>
      </c>
      <c r="B246" s="5" t="s">
        <v>733</v>
      </c>
      <c r="C246" s="5" t="s">
        <v>734</v>
      </c>
      <c r="D246" s="5" t="s">
        <v>735</v>
      </c>
      <c r="E246" s="4" t="str">
        <f aca="false">IFERROR(__xludf.dummyfunction("GOOGLETRANSLATE(C247)"),"que interpretou Edward 40 Hands como eu conheci sua mãe")</f>
        <v>que interpretou Edward 40 Hands como eu conheci sua mãe</v>
      </c>
      <c r="F246" s="5" t="str">
        <f aca="false">IFERROR(__xludf.dummyfunction("GOOGLETRANSLATE(D246)"),"   Guarda Nacional dos Estados Unidos Milícias do Governo Colonial Ativo Inglês: Desde 13 de dezembro de 1636 como `` Guarda Nacional '': Desde 1824 em Nova York, desde 1903 Dual Nacional em todo o estado - Federal Reserve Forças: Desde 1933, país dos Est"&amp;"ados Unidos Federal (10 U.S.C. § E) Estado e Territorial (32 U.S.C.) Exército dos Estados Unidos Exército Unido O componente de reserva de função da Força Aérea da Milícia das Forças Armadas dos EUA dos Estados Unidos Tamanho 450.100 Parte do Bureau da Gu"&amp;"arda Nacional Garrison / HQ Todos os 50 Estados dos EUA e Organizado dos EUA Territórios, a Commonwealth of Porto Rico e o apelido (s) do Distrito de Columbia `` Guarda Aérea '' '`` Guarda do Exército' 'lema (s) `` sempre pronto, sempre lá! Comandantes -c"&amp;"hefe dos comandantes do Departamento de Guarda Nacional Joseph L. Lengyel, selo da USAF Insignia do selo da Guarda Nacional do Exército da Guarda Nacional Aérea")</f>
        <v>   Guarda Nacional dos Estados Unidos Milícias do Governo Colonial Ativo Inglês: Desde 13 de dezembro de 1636 como `` Guarda Nacional '': Desde 1824 em Nova York, desde 1903 Dual Nacional em todo o estado - Federal Reserve Forças: Desde 1933, país dos Estados Unidos Federal (10 U.S.C. § E) Estado e Territorial (32 U.S.C.) Exército dos Estados Unidos Exército Unido O componente de reserva de função da Força Aérea da Milícia das Forças Armadas dos EUA dos Estados Unidos Tamanho 450.100 Parte do Bureau da Guarda Nacional Garrison / HQ Todos os 50 Estados dos EUA e Organizado dos EUA Territórios, a Commonwealth of Porto Rico e o apelido (s) do Distrito de Columbia `` Guarda Aérea '' '`` Guarda do Exército' 'lema (s) `` sempre pronto, sempre lá! Comandantes -chefe dos comandantes do Departamento de Guarda Nacional Joseph L. Lengyel, selo da USAF Insignia do selo da Guarda Nacional do Exército da Guarda Nacional Aérea</v>
      </c>
    </row>
    <row r="247" customFormat="false" ht="15.75" hidden="false" customHeight="true" outlineLevel="0" collapsed="false">
      <c r="A247" s="3" t="n">
        <v>244</v>
      </c>
      <c r="B247" s="5" t="s">
        <v>736</v>
      </c>
      <c r="C247" s="5" t="s">
        <v>737</v>
      </c>
      <c r="D247" s="5" t="s">
        <v>738</v>
      </c>
      <c r="E247" s="4" t="str">
        <f aca="false">IFERROR(__xludf.dummyfunction("GOOGLETRANSLATE(C248)"),"Onde a Esperanza mora na casa na rua Mango")</f>
        <v>Onde a Esperanza mora na casa na rua Mango</v>
      </c>
      <c r="F247" s="5" t="str">
        <f aca="false">IFERROR(__xludf.dummyfunction("GOOGLETRANSLATE(D247)")," Marshall ainda está de ressaca após o casamento de Puncy e faz uma `` declaração varrendo 'que ele ficará permanentemente permanentemente sóbrio. O Future Ted diz que Marshall '' `declarações amplas '' normalmente não funciona. Marshall recebe uma ligaçã"&amp;"o da Garrison Cootes, parceira de um dos maiores escritórios de advocacia ambiental do país. Ele diz a Marshall que a empresa está `` muito interessada '' no pedido de emprego de Marshall, e ele receberá uma oferta de emprego depois que a empresa concluir"&amp;" uma extensa verificação de antecedentes. O perigo de uma verificação de antecedentes diz respeito a Marshall, que teme que um vídeo da era da faculdade dele que se destaca através do Wesleyan se chamando de `` beerCules '', que agora está disponível on -"&amp;"line, pode resultar na queda da oferta de emprego da Garrison. Marshall entra em contato com o uploader, Pete Durkensen, um velho conhecido da faculdade, e pede que ele remova o vídeo. No entanto, Marshall acaba ficando bêbado e risando novamente, o efeit"&amp;"o de interpretar Edward Fourtyhands com Pete, embora Pete originalmente quisesse tocar dardos e, portanto, outro vídeo `` beócules '' é enviado. A recusa de Pete em derrubá -lo solicita Lily a chantageá -lo com informações que ela afirma ter recebido de m"&amp;"ulheres que o namoravam na faculdade. Eventualmente, Garrison vê o vídeo, mas oferece a Marshall um emprego de qualquer maneira; O vídeo não é um problema com ele. Mais tarde, Pete liga para Marshall e se oferece para remover o vídeo, mas Marshall se recu"&amp;"sa.")</f>
        <v> Marshall ainda está de ressaca após o casamento de Puncy e faz uma `` declaração varrendo 'que ele ficará permanentemente permanentemente sóbrio. O Future Ted diz que Marshall '' `declarações amplas '' normalmente não funciona. Marshall recebe uma ligação da Garrison Cootes, parceira de um dos maiores escritórios de advocacia ambiental do país. Ele diz a Marshall que a empresa está `` muito interessada '' no pedido de emprego de Marshall, e ele receberá uma oferta de emprego depois que a empresa concluir uma extensa verificação de antecedentes. O perigo de uma verificação de antecedentes diz respeito a Marshall, que teme que um vídeo da era da faculdade dele que se destaca através do Wesleyan se chamando de `` beerCules '', que agora está disponível on -line, pode resultar na queda da oferta de emprego da Garrison. Marshall entra em contato com o uploader, Pete Durkensen, um velho conhecido da faculdade, e pede que ele remova o vídeo. No entanto, Marshall acaba ficando bêbado e risando novamente, o efeito de interpretar Edward Fourtyhands com Pete, embora Pete originalmente quisesse tocar dardos e, portanto, outro vídeo `` beócules '' é enviado. A recusa de Pete em derrubá -lo solicita Lily a chantageá -lo com informações que ela afirma ter recebido de mulheres que o namoravam na faculdade. Eventualmente, Garrison vê o vídeo, mas oferece a Marshall um emprego de qualquer maneira; O vídeo não é um problema com ele. Mais tarde, Pete liga para Marshall e se oferece para remover o vídeo, mas Marshall se recusa.</v>
      </c>
    </row>
    <row r="248" customFormat="false" ht="15.75" hidden="false" customHeight="true" outlineLevel="0" collapsed="false">
      <c r="A248" s="3" t="n">
        <v>245</v>
      </c>
      <c r="B248" s="5" t="s">
        <v>739</v>
      </c>
      <c r="C248" s="5" t="s">
        <v>740</v>
      </c>
      <c r="D248" s="5" t="s">
        <v>741</v>
      </c>
      <c r="E248" s="4" t="str">
        <f aca="false">IFERROR(__xludf.dummyfunction("GOOGLETRANSLATE(C249)"),"Xbox 360 Games você pode jogar no Xbox One")</f>
        <v>Xbox 360 Games você pode jogar no Xbox One</v>
      </c>
      <c r="F248" s="5" t="str">
        <f aca="false">IFERROR(__xludf.dummyfunction("GOOGLETRANSLATE(D248)")," A casa na Mango Street é uma vinda de 1984 - de - romance de idade do mexicano - a escritora americana Sandra Cisneros. Ele lida com Esperanza Cordero, uma jovem garota latina, e sua vida crescendo em Chicago com chicanos e porto -riquenhos. Esperanza es"&amp;"tá determinada a `` dizer adeus '' ao seu bairro latino empobrecido, voltando -se para uma vida nas ruas. Os principais temas incluem sua busca por uma vida melhor e a importância de sua promessa de voltar para `` aqueles (ela) deixou para trás ''. O roma"&amp;"nce foi aclamado pela crítica e também se tornou um best -seller do New York Times. Também foi adaptado em uma peça de teatro de Tanya Saracho.")</f>
        <v> A casa na Mango Street é uma vinda de 1984 - de - romance de idade do mexicano - a escritora americana Sandra Cisneros. Ele lida com Esperanza Cordero, uma jovem garota latina, e sua vida crescendo em Chicago com chicanos e porto -riquenhos. Esperanza está determinada a `` dizer adeus '' ao seu bairro latino empobrecido, voltando -se para uma vida nas ruas. Os principais temas incluem sua busca por uma vida melhor e a importância de sua promessa de voltar para `` aqueles (ela) deixou para trás ''. O romance foi aclamado pela crítica e também se tornou um best -seller do New York Times. Também foi adaptado em uma peça de teatro de Tanya Saracho.</v>
      </c>
    </row>
    <row r="249" customFormat="false" ht="15.75" hidden="false" customHeight="true" outlineLevel="0" collapsed="false">
      <c r="A249" s="3" t="n">
        <v>246</v>
      </c>
      <c r="B249" s="5" t="s">
        <v>742</v>
      </c>
      <c r="C249" s="5" t="s">
        <v>743</v>
      </c>
      <c r="D249" s="5" t="s">
        <v>492</v>
      </c>
      <c r="E249" s="4" t="str">
        <f aca="false">IFERROR(__xludf.dummyfunction("GOOGLETRANSLATE(C250)"),"quem era o piloto de chocolate e por que foi esse apelido")</f>
        <v>quem era o piloto de chocolate e por que foi esse apelido</v>
      </c>
      <c r="F249" s="5" t="str">
        <f aca="false">IFERROR(__xludf.dummyfunction("GOOGLETRANSLATE(D249)")," O console de jogos Xbox One recebeu atualizações da Microsoft desde o seu lançamento em 2013, que permite jogar jogos selecionados de seus dois consoles antecessores, Xbox e Xbox 360. Em 15 de junho de 2015, a compatibilidade com versões anteriores com o"&amp;"s jogos do Xbox 360 suportado tornou -se disponível para os usuários elegíveis do programa de visualização do Xbox com uma atualização beta para o software Xbox One System. A atualização do painel contendo compatibilidade com versões anteriores foi lançad"&amp;"a publicamente em 12 de novembro de 2015. Em 24 de outubro de 2017, outra atualização adicionou jogos da biblioteca Xbox original. A seguir, é apresentada uma lista de todos os jogos compatíveis com versões anteriores no Xbox One nessa funcionalidade.")</f>
        <v> O console de jogos Xbox One recebeu atualizações da Microsoft desde o seu lançamento em 2013, que permite jogar jogos selecionados de seus dois consoles antecessores, Xbox e Xbox 360. Em 15 de junho de 2015, a compatibilidade com versões anteriores com os jogos do Xbox 360 suportado tornou -se disponível para os usuários elegíveis do programa de visualização do Xbox com uma atualização beta para o software Xbox One System. A atualização do painel contendo compatibilidade com versões anteriores foi lançada publicamente em 12 de novembro de 2015. Em 24 de outubro de 2017, outra atualização adicionou jogos da biblioteca Xbox original. A seguir, é apresentada uma lista de todos os jogos compatíveis com versões anteriores no Xbox One nessa funcionalidade.</v>
      </c>
    </row>
    <row r="250" customFormat="false" ht="15.75" hidden="false" customHeight="true" outlineLevel="0" collapsed="false">
      <c r="A250" s="3" t="n">
        <v>247</v>
      </c>
      <c r="B250" s="5" t="s">
        <v>744</v>
      </c>
      <c r="C250" s="5" t="s">
        <v>745</v>
      </c>
      <c r="D250" s="5" t="s">
        <v>746</v>
      </c>
      <c r="E250" s="4" t="str">
        <f aca="false">IFERROR(__xludf.dummyfunction("GOOGLETRANSLATE(C251)"),"quem está deixando todos doentes em pequenos detalhes")</f>
        <v>quem está deixando todos doentes em pequenos detalhes</v>
      </c>
      <c r="F250" s="5" t="str">
        <f aca="false">IFERROR(__xludf.dummyfunction("GOOGLETRANSLATE(D250)")," Halvorsen cresceu na zona rural de Utah, mas sempre desejava voar. Ele obteve sua licença de piloto particular em 1941 e depois se juntou à Patrulha Aérea Civil. Ele ingressou nas Forças Aéreas do Exército dos Estados Unidos em 1942 e foi designado para "&amp;"a Alemanha em 10 de julho de 1948 para ser um piloto para o transporte aéreo de Berlim. Halvorsen pilotou C - 47s e C - 54s durante o transporte aéreo de Berlim (`` Operação Vittles ''). Durante esse período, ele fundou a `` Operação Little Vittles '', um"&amp;" esforço para aumentar o moral em Berlim, deixando Candy via pára -quedas em miniatura para os moradores da cidade. Halvorsen começou `` Little Vittles '', sem autorização de seus superiores, mas no ano seguinte se tornou um herói nacional com apoio de to"&amp;"dos os Estados Unidos. A operação de Halvorsen caiu mais de 23 toneladas de doces para os moradores de Berlim. Ele ficou conhecido como o `` Berlin Candy Bomber '' ', `` tio Wigplly Wings' 'e `` o folheto de chocolate' '.")</f>
        <v> Halvorsen cresceu na zona rural de Utah, mas sempre desejava voar. Ele obteve sua licença de piloto particular em 1941 e depois se juntou à Patrulha Aérea Civil. Ele ingressou nas Forças Aéreas do Exército dos Estados Unidos em 1942 e foi designado para a Alemanha em 10 de julho de 1948 para ser um piloto para o transporte aéreo de Berlim. Halvorsen pilotou C - 47s e C - 54s durante o transporte aéreo de Berlim (`` Operação Vittles ''). Durante esse período, ele fundou a `` Operação Little Vittles '', um esforço para aumentar o moral em Berlim, deixando Candy via pára -quedas em miniatura para os moradores da cidade. Halvorsen começou `` Little Vittles '', sem autorização de seus superiores, mas no ano seguinte se tornou um herói nacional com apoio de todos os Estados Unidos. A operação de Halvorsen caiu mais de 23 toneladas de doces para os moradores de Berlim. Ele ficou conhecido como o `` Berlin Candy Bomber '' ', `` tio Wigplly Wings' 'e `` o folheto de chocolate' '.</v>
      </c>
    </row>
    <row r="251" customFormat="false" ht="15.75" hidden="false" customHeight="true" outlineLevel="0" collapsed="false">
      <c r="A251" s="3" t="n">
        <v>248</v>
      </c>
      <c r="B251" s="5" t="s">
        <v>747</v>
      </c>
      <c r="C251" s="5" t="s">
        <v>748</v>
      </c>
      <c r="D251" s="5" t="s">
        <v>749</v>
      </c>
      <c r="E251" s="4" t="str">
        <f aca="false">IFERROR(__xludf.dummyfunction("GOOGLETRANSLATE(C252)"),"no fundo da hierarquia das necessidades está")</f>
        <v>no fundo da hierarquia das necessidades está</v>
      </c>
      <c r="F251" s="5" t="str">
        <f aca="false">IFERROR(__xludf.dummyfunction("GOOGLETRANSLATE(D251)")," Durante o filme, alguém está tentando deixar os estudantes doentes no colégio interno de luxo, Danforth Academy. Os adolescentes Abby, Paige, Claire e Taylor se juntam às forças para resolver o mistério. Outros adolescentes, que poderiam ser suspeitos em"&amp;" potencial, incluem Mia e Riley - duas meninas que têm tudo o que o dinheiro pode comprar; Emily - The Know - It - All Principal da filha; o maluco Sean Meneskie e a estranha professora da escola. Os quatro melhores amigos devem descobrir quem é. No final"&amp;", eles descobriram que o culpado era Mia, ela fez isso para que seu pai pudesse ganhar mais dinheiro para pagar por seu campo de modelagem. Ela enganou todo mundo a pensar que a comida da cafeteria estava contaminada para comprar comida das máquinas de ve"&amp;"nda automática (que é a empresa de seu pai)")</f>
        <v> Durante o filme, alguém está tentando deixar os estudantes doentes no colégio interno de luxo, Danforth Academy. Os adolescentes Abby, Paige, Claire e Taylor se juntam às forças para resolver o mistério. Outros adolescentes, que poderiam ser suspeitos em potencial, incluem Mia e Riley - duas meninas que têm tudo o que o dinheiro pode comprar; Emily - The Know - It - All Principal da filha; o maluco Sean Meneskie e a estranha professora da escola. Os quatro melhores amigos devem descobrir quem é. No final, eles descobriram que o culpado era Mia, ela fez isso para que seu pai pudesse ganhar mais dinheiro para pagar por seu campo de modelagem. Ela enganou todo mundo a pensar que a comida da cafeteria estava contaminada para comprar comida das máquinas de venda automática (que é a empresa de seu pai)</v>
      </c>
    </row>
    <row r="252" customFormat="false" ht="15.75" hidden="false" customHeight="true" outlineLevel="0" collapsed="false">
      <c r="A252" s="3" t="n">
        <v>249</v>
      </c>
      <c r="B252" s="5" t="s">
        <v>750</v>
      </c>
      <c r="C252" s="5" t="s">
        <v>751</v>
      </c>
      <c r="D252" s="5" t="s">
        <v>752</v>
      </c>
      <c r="E252" s="4" t="str">
        <f aca="false">IFERROR(__xludf.dummyfunction("GOOGLETRANSLATE(C253)"),"Onde está a base militar localizada na Alemanha")</f>
        <v>Onde está a base militar localizada na Alemanha</v>
      </c>
      <c r="F252" s="5" t="str">
        <f aca="false">IFERROR(__xludf.dummyfunction("GOOGLETRANSLATE(D252)")," As necessidades fisiológicas são os requisitos físicos para a sobrevivência humana. Se esses requisitos não forem atendidos, o corpo humano não poderá funcionar corretamente e acabará falhando. Pensa -se que as necessidades fisiológicas são as mais impor"&amp;"tantes; Eles devem ser encontrados primeiro. Esta é a primeira e básica necessidade sobre a hierarquia de necessidades. Sem eles, as outras necessidades não podem acompanhar.")</f>
        <v> As necessidades fisiológicas são os requisitos físicos para a sobrevivência humana. Se esses requisitos não forem atendidos, o corpo humano não poderá funcionar corretamente e acabará falhando. Pensa -se que as necessidades fisiológicas são as mais importantes; Eles devem ser encontrados primeiro. Esta é a primeira e básica necessidade sobre a hierarquia de necessidades. Sem eles, as outras necessidades não podem acompanhar.</v>
      </c>
    </row>
    <row r="253" customFormat="false" ht="15.75" hidden="false" customHeight="true" outlineLevel="0" collapsed="false">
      <c r="A253" s="3" t="n">
        <v>250</v>
      </c>
      <c r="B253" s="5" t="s">
        <v>753</v>
      </c>
      <c r="C253" s="5" t="s">
        <v>754</v>
      </c>
      <c r="D253" s="5" t="s">
        <v>755</v>
      </c>
      <c r="E253" s="4" t="str">
        <f aca="false">IFERROR(__xludf.dummyfunction("GOOGLETRANSLATE(C254)"),"A maior faixa entre marés altas e baixas consecutivas ocorre na qual a fase lunar")</f>
        <v>A maior faixa entre marés altas e baixas consecutivas ocorre na qual a fase lunar</v>
      </c>
      <c r="F253" s="5" t="str">
        <f aca="false">IFERROR(__xludf.dummyfunction("GOOGLETRANSLATE(D253)")," A Base Aérea de Ramstein é uma base da Força Aérea dos Estados Unidos na Renânia - Palatinate, um estado no sudoeste da Alemanha. Serve como sede para as Forças Aéreas dos Estados Unidos na Europa - Forças Aéreas da África (USAFE - AFAFRICA) e também par"&amp;"a o Comando Aéreo Aliado da OTAN (AIRCOM). Ramstein está localizado perto da cidade de Ramstein - Miesenbach, no distrito rural de Kaiserslautern.")</f>
        <v> A Base Aérea de Ramstein é uma base da Força Aérea dos Estados Unidos na Renânia - Palatinate, um estado no sudoeste da Alemanha. Serve como sede para as Forças Aéreas dos Estados Unidos na Europa - Forças Aéreas da África (USAFE - AFAFRICA) e também para o Comando Aéreo Aliado da OTAN (AIRCOM). Ramstein está localizado perto da cidade de Ramstein - Miesenbach, no distrito rural de Kaiserslautern.</v>
      </c>
    </row>
    <row r="254" customFormat="false" ht="15.75" hidden="false" customHeight="true" outlineLevel="0" collapsed="false">
      <c r="A254" s="3" t="n">
        <v>251</v>
      </c>
      <c r="B254" s="5" t="s">
        <v>756</v>
      </c>
      <c r="C254" s="5" t="s">
        <v>757</v>
      </c>
      <c r="D254" s="5" t="s">
        <v>758</v>
      </c>
      <c r="E254" s="4" t="str">
        <f aca="false">IFERROR(__xludf.dummyfunction("GOOGLETRANSLATE(C255)"),"Quando você não me conhece agora sai")</f>
        <v>Quando você não me conhece agora sai</v>
      </c>
      <c r="F254" s="5" t="str">
        <f aca="false">IFERROR(__xludf.dummyfunction("GOOGLETRANSLATE(D254)")," A faixa de maré mais extrema ocorre durante as marés da primavera, quando as forças gravitacionais do sol e da lua estão alinhadas (Syzygy), reforçando -se na mesma direção ((lua nova)) ou em direções opostas (lua cheia). Durante as marés de NEAP, quando"&amp;" os vetores da força gravitacional da Lua e do Sol atuam em quadratura (fazendo um ângulo reto com a órbita da Terra), a diferença entre marés alta e baixa é menor. As marés de NEAP ocorrem durante o primeiro e o último trimestre das fases da lua. A maior"&amp;" faixa de maré anual pode ser esperada na época do equinócio, se coincidente com uma maré de primavera.")</f>
        <v> A faixa de maré mais extrema ocorre durante as marés da primavera, quando as forças gravitacionais do sol e da lua estão alinhadas (Syzygy), reforçando -se na mesma direção ((lua nova)) ou em direções opostas (lua cheia). Durante as marés de NEAP, quando os vetores da força gravitacional da Lua e do Sol atuam em quadratura (fazendo um ângulo reto com a órbita da Terra), a diferença entre marés alta e baixa é menor. As marés de NEAP ocorrem durante o primeiro e o último trimestre das fases da lua. A maior faixa de maré anual pode ser esperada na época do equinócio, se coincidente com uma maré de primavera.</v>
      </c>
    </row>
    <row r="255" customFormat="false" ht="15.75" hidden="false" customHeight="true" outlineLevel="0" collapsed="false">
      <c r="A255" s="3" t="n">
        <v>252</v>
      </c>
      <c r="B255" s="5" t="s">
        <v>759</v>
      </c>
      <c r="C255" s="5" t="s">
        <v>760</v>
      </c>
      <c r="D255" s="5" t="s">
        <v>761</v>
      </c>
      <c r="E255" s="4" t="str">
        <f aca="false">IFERROR(__xludf.dummyfunction("GOOGLETRANSLATE(C256)"),"Quando é a última vez que o Kansas City Chiefs foi para o Superbowl")</f>
        <v>Quando é a última vez que o Kansas City Chiefs foi para o Superbowl</v>
      </c>
      <c r="F255" s="5" t="str">
        <f aca="false">IFERROR(__xludf.dummyfunction("GOOGLETRANSLATE(D255)")," `` Se você não me conhece agora '' é uma música escrita por Kenny Gamble e Leon Huff, e gravada pelo grupo musical de Philly Soul Harold Melvin e as notas azuis. Tornou -se seu primeiro sucesso depois de ser lançado como single em 1972, superando o gráfi"&amp;"co de R&amp;B dos EUA e chegando ao número três no gráfico pop dos EUA.")</f>
        <v> `` Se você não me conhece agora '' é uma música escrita por Kenny Gamble e Leon Huff, e gravada pelo grupo musical de Philly Soul Harold Melvin e as notas azuis. Tornou -se seu primeiro sucesso depois de ser lançado como single em 1972, superando o gráfico de R&amp;B dos EUA e chegando ao número três no gráfico pop dos EUA.</v>
      </c>
    </row>
    <row r="256" customFormat="false" ht="15.75" hidden="false" customHeight="true" outlineLevel="0" collapsed="false">
      <c r="A256" s="3" t="n">
        <v>253</v>
      </c>
      <c r="B256" s="5" t="s">
        <v>762</v>
      </c>
      <c r="C256" s="5" t="s">
        <v>763</v>
      </c>
      <c r="D256" s="5" t="s">
        <v>764</v>
      </c>
      <c r="E256" s="4" t="str">
        <f aca="false">IFERROR(__xludf.dummyfunction("GOOGLETRANSLATE(C257)"),"Onde o ciclo Calvin (reações escuras) ocorre")</f>
        <v>Onde o ciclo Calvin (reações escuras) ocorre</v>
      </c>
      <c r="F256" s="5" t="str">
        <f aca="false">IFERROR(__xludf.dummyfunction("GOOGLETRANSLATE(D256)"),"   A temporada atual de Kansas City Chiefs foi criada em 14 de agosto de 1959; 58 anos atrás (14 de agosto de 1959) Primeira temporada: 1960 Play in and sediado no Arrowhead Stadium Kansas City, Missouri Logo Wordmark League / Conference Affiliações Ameri"&amp;"can Football League (1960 - 1969) Divisão Ocidental (1960 - 1969) (1970 - presente) American Football Conference (1970 - presente) AFC West (1970 - presente) Cores uniformes de equipes uniformes vermelhas, ouro, mascote branco Warpaint (1963 - 1988, 2009 "&amp;"- presente) K.C. Wolf (1989 - presente) Proprietário (s) de pessoal (s) Presidente da família Clark Hunt CEO Clark Hunt Presidente Mark Mark Donovan Gerente Geral Brett Veach treinador Andy Reid Team History Dallas Texans (1960 - 1962) Kansas City Chiefs "&amp;"(1963 - presente) A equipe apelida de Redwood Forest (Defense, 1969 - 1971) Campeonatos de Campeonatos Campeonatos (2) † Campeonatos AFL (3) 1962, 1966, 1969 AFL - Campeonatos de Divisão da AFL - NFL Super Bowl (1) 1969 (iv) Campeonatos de Divisão da Conf"&amp;"erência (0) (0) Campeonatos de Divisão ( 9) AFL West: 1962, 1966 AFC West: 1971, 1993, 1995, 1997, 2003, 2010, 2016 † - não inclui o campeonato AFL ou NFL vencido durante as mesmas temporadas que os campeonatos da AFL - NFL Super Bowl antes do 1970 AFL - "&amp;"NFL Incorporação de playoffs (19) AFL: 1962, 1966, 1968, 1969 NFL: 1971, 1986, 1990, 1991, 1992, 1993, 1994, 1995, 1997, 2003, 2006, 2010, 2013, 2015, 2016 Home Fields Cotton Bowl (1960 - 1962) estádio municipal (1963 - 1971) Stadium de Arrowhead (1972 - "&amp;"presente)")</f>
        <v>   A temporada atual de Kansas City Chiefs foi criada em 14 de agosto de 1959; 58 anos atrás (14 de agosto de 1959) Primeira temporada: 1960 Play in and sediado no Arrowhead Stadium Kansas City, Missouri Logo Wordmark League / Conference Affiliações American Football League (1960 - 1969) Divisão Ocidental (1960 - 1969) (1970 - presente) American Football Conference (1970 - presente) AFC West (1970 - presente) Cores uniformes de equipes uniformes vermelhas, ouro, mascote branco Warpaint (1963 - 1988, 2009 - presente) K.C. Wolf (1989 - presente) Proprietário (s) de pessoal (s) Presidente da família Clark Hunt CEO Clark Hunt Presidente Mark Mark Donovan Gerente Geral Brett Veach treinador Andy Reid Team History Dallas Texans (1960 - 1962) Kansas City Chiefs (1963 - presente) A equipe apelida de Redwood Forest (Defense, 1969 - 1971) Campeonatos de Campeonatos Campeonatos (2) † Campeonatos AFL (3) 1962, 1966, 1969 AFL - Campeonatos de Divisão da AFL - NFL Super Bowl (1) 1969 (iv) Campeonatos de Divisão da Conferência (0) (0) Campeonatos de Divisão ( 9) AFL West: 1962, 1966 AFC West: 1971, 1993, 1995, 1997, 2003, 2010, 2016 † - não inclui o campeonato AFL ou NFL vencido durante as mesmas temporadas que os campeonatos da AFL - NFL Super Bowl antes do 1970 AFL - NFL Incorporação de playoffs (19) AFL: 1962, 1966, 1968, 1969 NFL: 1971, 1986, 1990, 1991, 1992, 1993, 1994, 1995, 1997, 2003, 2006, 2010, 2013, 2015, 2016 Home Fields Cotton Bowl (1960 - 1962) estádio municipal (1963 - 1971) Stadium de Arrowhead (1972 - presente)</v>
      </c>
    </row>
    <row r="257" customFormat="false" ht="15.75" hidden="false" customHeight="true" outlineLevel="0" collapsed="false">
      <c r="A257" s="3" t="n">
        <v>254</v>
      </c>
      <c r="B257" s="5" t="s">
        <v>765</v>
      </c>
      <c r="C257" s="5" t="s">
        <v>766</v>
      </c>
      <c r="D257" s="5" t="s">
        <v>767</v>
      </c>
      <c r="E257" s="4" t="str">
        <f aca="false">IFERROR(__xludf.dummyfunction("GOOGLETRANSLATE(C258)"),"Qualquer um milhão de dólares vencedores em quem quer ser um milionário")</f>
        <v>Qualquer um milhão de dólares vencedores em quem quer ser um milionário</v>
      </c>
      <c r="F257" s="5" t="str">
        <f aca="false">IFERROR(__xludf.dummyfunction("GOOGLETRANSLATE(D257)")," As reações leves - independentes, ou reações escuras, da fotossíntese são reações químicas que convertem dióxido de carbono e outros compostos em glicose. Essas reações ocorrem no estroma, a área cheia de fluido de um cloroplasto fora das membranas tilac"&amp;"óides. Essas reações tomam os produtos (ATP e NADPH) de reações dependentes da luz e realizam mais processos químicos neles. Existem três fases nas reações de luz - independentes, chamadas coletivamente do ciclo Calvin: fixação de carbono, reações de redu"&amp;"ção e regeneração de ribulose 1, 5 - bisfosfato (RubP).")</f>
        <v> As reações leves - independentes, ou reações escuras, da fotossíntese são reações químicas que convertem dióxido de carbono e outros compostos em glicose. Essas reações ocorrem no estroma, a área cheia de fluido de um cloroplasto fora das membranas tilacóides. Essas reações tomam os produtos (ATP e NADPH) de reações dependentes da luz e realizam mais processos químicos neles. Existem três fases nas reações de luz - independentes, chamadas coletivamente do ciclo Calvin: fixação de carbono, reações de redução e regeneração de ribulose 1, 5 - bisfosfato (RubP).</v>
      </c>
    </row>
    <row r="258" customFormat="false" ht="15.75" hidden="false" customHeight="true" outlineLevel="0" collapsed="false">
      <c r="A258" s="3" t="n">
        <v>255</v>
      </c>
      <c r="B258" s="5" t="s">
        <v>768</v>
      </c>
      <c r="C258" s="5" t="s">
        <v>769</v>
      </c>
      <c r="D258" s="5" t="s">
        <v>770</v>
      </c>
      <c r="E258" s="4" t="str">
        <f aca="false">IFERROR(__xludf.dummyfunction("GOOGLETRANSLATE(C259)"),"O que o mecanismo chama de serviço")</f>
        <v>O que o mecanismo chama de serviço</v>
      </c>
      <c r="F258" s="5" t="str">
        <f aca="false">IFERROR(__xludf.dummyfunction("GOOGLETRANSLATE(D258)")," Ao longo do histórico de programas, 12 pessoas responderam à pergunta final corretamente e foram embora com o prêmio máximo. Esses incluem :")</f>
        <v> Ao longo do histórico de programas, 12 pessoas responderam à pergunta final corretamente e foram embora com o prêmio máximo. Esses incluem :</v>
      </c>
    </row>
    <row r="259" customFormat="false" ht="15.75" hidden="false" customHeight="true" outlineLevel="0" collapsed="false">
      <c r="A259" s="3" t="n">
        <v>256</v>
      </c>
      <c r="B259" s="5" t="s">
        <v>771</v>
      </c>
      <c r="C259" s="5" t="s">
        <v>772</v>
      </c>
      <c r="D259" s="5" t="s">
        <v>773</v>
      </c>
      <c r="E259" s="4" t="str">
        <f aca="false">IFERROR(__xludf.dummyfunction("GOOGLETRANSLATE(C260)"),"Quando o KC disfarçado volta em 2017")</f>
        <v>Quando o KC disfarçado volta em 2017</v>
      </c>
      <c r="F259" s="5" t="str">
        <f aca="false">IFERROR(__xludf.dummyfunction("GOOGLETRANSLATE(D259)")," O mecanismo IW é um mecanismo de jogo desenvolvido pela Infinity Ward, Treyarch e Sledgehammer Games for the Call of Duty Series. O mecanismo foi originalmente baseado no ID Tech 3 como seu núcleo, já que o próprio motor é proprietário com a inclusão do "&amp;"software GTKRADAINT BY ID. Foi usado pelos jogos do Infinity Ward, Treyarch, Raven Software e Sledgehammer.")</f>
        <v> O mecanismo IW é um mecanismo de jogo desenvolvido pela Infinity Ward, Treyarch e Sledgehammer Games for the Call of Duty Series. O mecanismo foi originalmente baseado no ID Tech 3 como seu núcleo, já que o próprio motor é proprietário com a inclusão do software GTKRADAINT BY ID. Foi usado pelos jogos do Infinity Ward, Treyarch, Raven Software e Sledgehammer.</v>
      </c>
    </row>
    <row r="260" customFormat="false" ht="15.75" hidden="false" customHeight="true" outlineLevel="0" collapsed="false">
      <c r="A260" s="3" t="n">
        <v>257</v>
      </c>
      <c r="B260" s="5" t="s">
        <v>774</v>
      </c>
      <c r="C260" s="5" t="s">
        <v>775</v>
      </c>
      <c r="D260" s="5" t="s">
        <v>776</v>
      </c>
      <c r="E260" s="4" t="str">
        <f aca="false">IFERROR(__xludf.dummyfunction("GOOGLETRANSLATE(C261)"),"Qual é o sentido do júri no sobrevivente australiano")</f>
        <v>Qual é o sentido do júri no sobrevivente australiano</v>
      </c>
      <c r="F260" s="5" t="str">
        <f aca="false">IFERROR(__xludf.dummyfunction("GOOGLETRANSLATE(D260)"),"   Os episódios da temporada foi ao ar originalmente ao ar pela primeira vez, foi ao ar em 27 de janeiro de 2015 de 2015 (2015 - 01 - 18) 24 de janeiro de 2016 (2016 - 01 - 24) 24 de março de 2016 (2016 - 03 - 06) 13 de janeiro de 2017 (2017 - 01 - 13) TB"&amp;"A 7 de julho de 2017 (2017 - 07 - 07) TBA")</f>
        <v>   Os episódios da temporada foi ao ar originalmente ao ar pela primeira vez, foi ao ar em 27 de janeiro de 2015 de 2015 (2015 - 01 - 18) 24 de janeiro de 2016 (2016 - 01 - 24) 24 de março de 2016 (2016 - 03 - 06) 13 de janeiro de 2017 (2017 - 01 - 13) TBA 7 de julho de 2017 (2017 - 07 - 07) TBA</v>
      </c>
    </row>
    <row r="261" customFormat="false" ht="15.75" hidden="false" customHeight="true" outlineLevel="0" collapsed="false">
      <c r="A261" s="3" t="n">
        <v>258</v>
      </c>
      <c r="B261" s="5" t="s">
        <v>777</v>
      </c>
      <c r="C261" s="5" t="s">
        <v>778</v>
      </c>
      <c r="D261" s="5" t="s">
        <v>779</v>
      </c>
      <c r="E261" s="4" t="str">
        <f aca="false">IFERROR(__xludf.dummyfunction("GOOGLETRANSLATE(C262)"),"recorde mundial por muito tempo, mantendo um balão no ar")</f>
        <v>recorde mundial por muito tempo, mantendo um balão no ar</v>
      </c>
      <c r="F261" s="5" t="str">
        <f aca="false">IFERROR(__xludf.dummyfunction("GOOGLETRANSLATE(D261)")," Na metade do jogo, as tribos são `` mescladas '' em uma única tribo, e as competições são individualmente; Ganhar imunidade impede que esse jogador seja votado. A maioria dos jogadores que são votados durante esse estágio se torna membros do `` júri do c"&amp;"onselho tribal ''. Uma vez que apenas duas pessoas permanecem, o `` Conselho Tribal Final '' é realizado onde os jogadores restantes defendem seu caso aos membros do júri sobre o motivo pelo qual deveriam vencer o jogo. Os jurados devem então votar no qua"&amp;"l o finalista deve receber o título de `` único sobrevivente australiano '' e o grande prêmio de um prêmio de caridade de US $ 500.000 (ou um caridade de US $ 100.000 na temporada de celebridades).")</f>
        <v> Na metade do jogo, as tribos são `` mescladas '' em uma única tribo, e as competições são individualmente; Ganhar imunidade impede que esse jogador seja votado. A maioria dos jogadores que são votados durante esse estágio se torna membros do `` júri do conselho tribal ''. Uma vez que apenas duas pessoas permanecem, o `` Conselho Tribal Final '' é realizado onde os jogadores restantes defendem seu caso aos membros do júri sobre o motivo pelo qual deveriam vencer o jogo. Os jurados devem então votar no qual o finalista deve receber o título de `` único sobrevivente australiano '' e o grande prêmio de um prêmio de caridade de US $ 500.000 (ou um caridade de US $ 100.000 na temporada de celebridades).</v>
      </c>
    </row>
    <row r="262" customFormat="false" ht="15.75" hidden="false" customHeight="true" outlineLevel="0" collapsed="false">
      <c r="A262" s="3" t="n">
        <v>259</v>
      </c>
      <c r="B262" s="5" t="s">
        <v>780</v>
      </c>
      <c r="C262" s="5" t="s">
        <v>781</v>
      </c>
      <c r="D262" s="5" t="s">
        <v>782</v>
      </c>
      <c r="E262" s="4" t="str">
        <f aca="false">IFERROR(__xludf.dummyfunction("GOOGLETRANSLATE(C263)"),"Quando os anjos se tornaram os anjos de Los Angeles")</f>
        <v>Quando os anjos se tornaram os anjos de Los Angeles</v>
      </c>
      <c r="F262" s="5" t="str">
        <f aca="false">IFERROR(__xludf.dummyfunction("GOOGLETRANSLATE(D262)"),"   Duração (HHH: MM: SS) Data Localização Aeronave Piloto Comentários Referência 477: 47: 00 1º de março - 21, 1999 Château - d'Ax, Suíça; circunavegação Bertrand Piccard e Brian Jones Breitling Orbiter 3 355: 50: 00 19 de junho a 3 de julho de 2002 North"&amp;"am, WA (Austrália) Coçavigação de Steve Fossett Cameron Balloons R - 550 (N277SF) Voo solo longo em qualquer tipo de aeronave 268: 20: 20: 00 12 de julho - 23, 2016 Northam, WA Austrália; Fedor de circunvigação Konyukhov Cameron Balloons R - 550 mais curt"&amp;"os em todo o mundo 82: 05: 00 9 - 12 de setembro de 1995 Wil, Switzerland para Lucincik, Ucrânia (1.395, 4 km) Johann Fuerstner e Gerald Stuerzlinger D -Ostz. Em Gordon Bennett Gas Balloon Race")</f>
        <v>   Duração (HHH: MM: SS) Data Localização Aeronave Piloto Comentários Referência 477: 47: 00 1º de março - 21, 1999 Château - d'Ax, Suíça; circunavegação Bertrand Piccard e Brian Jones Breitling Orbiter 3 355: 50: 00 19 de junho a 3 de julho de 2002 Northam, WA (Austrália) Coçavigação de Steve Fossett Cameron Balloons R - 550 (N277SF) Voo solo longo em qualquer tipo de aeronave 268: 20: 20: 00 12 de julho - 23, 2016 Northam, WA Austrália; Fedor de circunvigação Konyukhov Cameron Balloons R - 550 mais curtos em todo o mundo 82: 05: 00 9 - 12 de setembro de 1995 Wil, Switzerland para Lucincik, Ucrânia (1.395, 4 km) Johann Fuerstner e Gerald Stuerzlinger D -Ostz. Em Gordon Bennett Gas Balloon Race</v>
      </c>
    </row>
    <row r="263" customFormat="false" ht="15.75" hidden="false" customHeight="true" outlineLevel="0" collapsed="false">
      <c r="A263" s="3" t="n">
        <v>260</v>
      </c>
      <c r="B263" s="5" t="s">
        <v>783</v>
      </c>
      <c r="C263" s="5" t="s">
        <v>784</v>
      </c>
      <c r="D263" s="5" t="s">
        <v>785</v>
      </c>
      <c r="E263" s="4" t="str">
        <f aca="false">IFERROR(__xludf.dummyfunction("GOOGLETRANSLATE(C264)"),"Quando o Orlando Magic ganhou o campeonato da NBA")</f>
        <v>Quando o Orlando Magic ganhou o campeonato da NBA</v>
      </c>
      <c r="F263" s="5" t="str">
        <f aca="false">IFERROR(__xludf.dummyfunction("GOOGLETRANSLATE(D263)")," O Los Angeles Angels é uma franquia profissional de beisebol americana com sede em Anaheim, Califórnia. Os Angels competem na Major League Baseball (MLB) como um clube membro da Divisão Oeste da Liga Americana (AL). Os Angels jogam jogos em casa no Angel"&amp;" Stadium desde 1966. A atual franquia da Major League foi criada como uma equipe de expansão em 1961 por Gene Autry, o primeiro proprietário da equipe. O nome `` Angels '' foi levado por Autry em homenagem ao Los Angeles Angels original, uma franquia da l"&amp;"iga menor na Liga da Costa do Pacífico (PCL), que tocou no sul de Los Angeles de 1903 a 1957. Ele comprou os direitos do nome dos Anjos de Walter O'Malley, o então proprietário de Los Angeles Dodgers, que adquiriu a franquia da PCL de Philip K. Wrigley, p"&amp;"roprietária dos pais de Chicago Cubs na época, como parte dos Dodgers ' Mova -se para o sul da Califórnia.")</f>
        <v> O Los Angeles Angels é uma franquia profissional de beisebol americana com sede em Anaheim, Califórnia. Os Angels competem na Major League Baseball (MLB) como um clube membro da Divisão Oeste da Liga Americana (AL). Os Angels jogam jogos em casa no Angel Stadium desde 1966. A atual franquia da Major League foi criada como uma equipe de expansão em 1961 por Gene Autry, o primeiro proprietário da equipe. O nome `` Angels '' foi levado por Autry em homenagem ao Los Angeles Angels original, uma franquia da liga menor na Liga da Costa do Pacífico (PCL), que tocou no sul de Los Angeles de 1903 a 1957. Ele comprou os direitos do nome dos Anjos de Walter O'Malley, o então proprietário de Los Angeles Dodgers, que adquiriu a franquia da PCL de Philip K. Wrigley, proprietária dos pais de Chicago Cubs na época, como parte dos Dodgers ' Mova -se para o sul da Califórnia.</v>
      </c>
    </row>
    <row r="264" customFormat="false" ht="15.75" hidden="false" customHeight="true" outlineLevel="0" collapsed="false">
      <c r="A264" s="3" t="n">
        <v>261</v>
      </c>
      <c r="B264" s="5" t="s">
        <v>786</v>
      </c>
      <c r="C264" s="5" t="s">
        <v>787</v>
      </c>
      <c r="D264" s="5" t="s">
        <v>788</v>
      </c>
      <c r="E264" s="4" t="str">
        <f aca="false">IFERROR(__xludf.dummyfunction("GOOGLETRANSLATE(C265)"),"onde os nervos cranianos se ramificam no cérebro")</f>
        <v>onde os nervos cranianos se ramificam no cérebro</v>
      </c>
      <c r="F264" s="5" t="str">
        <f aca="false">IFERROR(__xludf.dummyfunction("GOOGLETRANSLATE(D264)"),"   Orlando Magic 2017 - 18 Orlando Magic Season Conference Divisão Oriental A sudeste fundou a história de Orlando Magic 1989 - Arena Arena Amway Center Localização Orlando, Florida Team Colors Blue, Black, CEO da prata Alex Martins Presidente Jeff Weltma"&amp;"n Gerente Geral John Hammond Conteúdo Frank Vogel Propriedade RDV Sports, inc. (Richard DeVos, CEO) Afiliação (s) Lakeland Magic Championships 0 títulos da conferência 2 (1995, 2009) Títulos da divisão 5 (1995, 1996, 2008, 2009, 2010) Números aposentados "&amp;"1 (6) Site www.nba.com/Magicic Uniformes em casa em terceiro")</f>
        <v>   Orlando Magic 2017 - 18 Orlando Magic Season Conference Divisão Oriental A sudeste fundou a história de Orlando Magic 1989 - Arena Arena Amway Center Localização Orlando, Florida Team Colors Blue, Black, CEO da prata Alex Martins Presidente Jeff Weltman Gerente Geral John Hammond Conteúdo Frank Vogel Propriedade RDV Sports, inc. (Richard DeVos, CEO) Afiliação (s) Lakeland Magic Championships 0 títulos da conferência 2 (1995, 2009) Títulos da divisão 5 (1995, 1996, 2008, 2009, 2010) Números aposentados 1 (6) Site www.nba.com/Magicic Uniformes em casa em terceiro</v>
      </c>
    </row>
    <row r="265" customFormat="false" ht="15.75" hidden="false" customHeight="true" outlineLevel="0" collapsed="false">
      <c r="A265" s="3" t="n">
        <v>262</v>
      </c>
      <c r="B265" s="5" t="s">
        <v>789</v>
      </c>
      <c r="C265" s="5" t="s">
        <v>790</v>
      </c>
      <c r="D265" s="5" t="s">
        <v>791</v>
      </c>
      <c r="E265" s="4" t="str">
        <f aca="false">IFERROR(__xludf.dummyfunction("GOOGLETRANSLATE(C266)"),"Quantos senadores afro-americanos existem no 115º Congresso")</f>
        <v>Quantos senadores afro-americanos existem no 115º Congresso</v>
      </c>
      <c r="F265" s="5" t="str">
        <f aca="false">IFERROR(__xludf.dummyfunction("GOOGLETRANSLATE(D265)")," Os nervos terminais, os nervos olfativos (i) e os nervos ópticos (II) emergem do cérebro ou do cérebro anterior, e os dez pares restantes surgem do tronco cerebral, que é a parte inferior do cérebro.")</f>
        <v> Os nervos terminais, os nervos olfativos (i) e os nervos ópticos (II) emergem do cérebro ou do cérebro anterior, e os dez pares restantes surgem do tronco cerebral, que é a parte inferior do cérebro.</v>
      </c>
    </row>
    <row r="266" customFormat="false" ht="15.75" hidden="false" customHeight="true" outlineLevel="0" collapsed="false">
      <c r="A266" s="3" t="n">
        <v>263</v>
      </c>
      <c r="B266" s="5" t="s">
        <v>792</v>
      </c>
      <c r="C266" s="5" t="s">
        <v>793</v>
      </c>
      <c r="D266" s="5" t="s">
        <v>794</v>
      </c>
      <c r="E266" s="4" t="str">
        <f aca="false">IFERROR(__xludf.dummyfunction("GOOGLETRANSLATE(C267)"),"Qual é a música Quint canta em mandíbulas")</f>
        <v>Qual é a música Quint canta em mandíbulas</v>
      </c>
      <c r="F266" s="5" t="str">
        <f aca="false">IFERROR(__xludf.dummyfunction("GOOGLETRANSLATE(D266)"),"   O senador estadual assumiu o cargo de deixar o cargo do Partido Congresso Ref. Nota Hiram Rhodes Revels (1827 -1901) Mississippi 25 de fevereiro de 1870 3 de março de 1871 Republicano 41º (1869 -1871) Blanche Bruce (1841 -1898) Mississippi 4 de março d"&amp;"e 1875, 3 de março, 1881 Republicano 44 (1875) 1877) 45th (1877 - 1879) 46th (1879 - 1881) Edward Brooke (1919 - 2015) Massachusetts 3 de janeiro de 1967 3 de janeiro de 1979 Republicano 90th (1967 - 1969) 91 (1969 - 1971) 92nd ( 1971 - 1973) 93 (1973 - 1"&amp;"975) 94th (1975 - 1977) 95th (1977 - 1979) Carol Moseley Braun (nascido em 1947) Illinois, 3 de janeiro de 1993, 3 de janeiro de 1999 Democratic 103rd (1993 - 1995) 104th (1995 - 1997) 105 (1997 - 1999) Barack Obama (nascido em 1961) Illinois, 3 de janeir"&amp;"o de 2005, 16 de novembro de 2008 Democratic 109th (2005 - 2007) 110th (2007 - 2009) Roland Burris (nascido em 1937) Illinois 15 de janeiro de 2009 29 de novembro de 2010 Democrata 111th (2009 -2011) Tim Scott (nascido em 1965) Carolina do Sul 2 de janeir"&amp;"o de 2013 Republicano em exercício 112 (2011 -2013) 113 (2013 -2015) 114th (2015 - 2017) 115th (2017 - 2019) MO Cowan (nascido em 1969) Massachusetts 1 de fevereiro de 2013 16 de julho de 2013 Democratic 113th (2013 - 2015) Cory Booker (nascido em 1969) N"&amp;"ova Jersey 31 de outubro de 2013 Democrata 113 (2013 - 2013) - 2015) 114th (2015 - 2017) 115th (2017 - 2019) Kamala Harris (nascida em 1964) Califórnia 3 de janeiro de 2017 democrata em 115th (2017 - 2019)")</f>
        <v>   O senador estadual assumiu o cargo de deixar o cargo do Partido Congresso Ref. Nota Hiram Rhodes Revels (1827 -1901) Mississippi 25 de fevereiro de 1870 3 de março de 1871 Republicano 41º (1869 -1871) Blanche Bruce (1841 -1898) Mississippi 4 de março de 1875, 3 de março, 1881 Republicano 44 (1875) 1877) 45th (1877 - 1879) 46th (1879 - 1881) Edward Brooke (1919 - 2015) Massachusetts 3 de janeiro de 1967 3 de janeiro de 1979 Republicano 90th (1967 - 1969) 91 (1969 - 1971) 92nd ( 1971 - 1973) 93 (1973 - 1975) 94th (1975 - 1977) 95th (1977 - 1979) Carol Moseley Braun (nascido em 1947) Illinois, 3 de janeiro de 1993, 3 de janeiro de 1999 Democratic 103rd (1993 - 1995) 104th (1995 - 1997) 105 (1997 - 1999) Barack Obama (nascido em 1961) Illinois, 3 de janeiro de 2005, 16 de novembro de 2008 Democratic 109th (2005 - 2007) 110th (2007 - 2009) Roland Burris (nascido em 1937) Illinois 15 de janeiro de 2009 29 de novembro de 2010 Democrata 111th (2009 -2011) Tim Scott (nascido em 1965) Carolina do Sul 2 de janeiro de 2013 Republicano em exercício 112 (2011 -2013) 113 (2013 -2015) 114th (2015 - 2017) 115th (2017 - 2019) MO Cowan (nascido em 1969) Massachusetts 1 de fevereiro de 2013 16 de julho de 2013 Democratic 113th (2013 - 2015) Cory Booker (nascido em 1969) Nova Jersey 31 de outubro de 2013 Democrata 113 (2013 - 2013) - 2015) 114th (2015 - 2017) 115th (2017 - 2019) Kamala Harris (nascida em 1964) Califórnia 3 de janeiro de 2017 democrata em 115th (2017 - 2019)</v>
      </c>
    </row>
    <row r="267" customFormat="false" ht="15.75" hidden="false" customHeight="true" outlineLevel="0" collapsed="false">
      <c r="A267" s="3" t="n">
        <v>264</v>
      </c>
      <c r="B267" s="5" t="s">
        <v>795</v>
      </c>
      <c r="C267" s="5" t="s">
        <v>796</v>
      </c>
      <c r="D267" s="5" t="s">
        <v>797</v>
      </c>
      <c r="E267" s="4" t="str">
        <f aca="false">IFERROR(__xludf.dummyfunction("GOOGLETRANSLATE(C268)"),"Salário do Comissário Assistente de Imposto de Renda na Índia")</f>
        <v>Salário do Comissário Assistente de Imposto de Renda na Índia</v>
      </c>
      <c r="F267" s="5" t="str">
        <f aca="false">IFERROR(__xludf.dummyfunction("GOOGLETRANSLATE(D267)")," A música apareceu notavelmente no filme de 1975 Jaws. Também foi cantado no cinema de 2003 e comandante: o lado oposto do mundo, baseado nos livros O'Brian.")</f>
        <v> A música apareceu notavelmente no filme de 1975 Jaws. Também foi cantado no cinema de 2003 e comandante: o lado oposto do mundo, baseado nos livros O'Brian.</v>
      </c>
    </row>
    <row r="268" customFormat="false" ht="15.75" hidden="false" customHeight="true" outlineLevel="0" collapsed="false">
      <c r="A268" s="3" t="n">
        <v>265</v>
      </c>
      <c r="B268" s="5" t="s">
        <v>798</v>
      </c>
      <c r="C268" s="5" t="s">
        <v>799</v>
      </c>
      <c r="D268" s="5" t="s">
        <v>800</v>
      </c>
      <c r="E268" s="4" t="str">
        <f aca="false">IFERROR(__xludf.dummyfunction("GOOGLETRANSLATE(C269)"),"Quando o jogo completo dos Paladins sai")</f>
        <v>Quando o jogo completo dos Paladins sai</v>
      </c>
      <c r="F268" s="5" t="str">
        <f aca="false">IFERROR(__xludf.dummyfunction("GOOGLETRANSLATE(D268)"),"     Posição / nota de pagamento no nível do governo da Índia e posição equivalente a posição ou designação no governo da Índia, posição ou designação na Ordem (s) do Estado (s) Ordem de Precedência (conforme a Ordem Presidencial) Multi -Tasking Staff / E"&amp;"ntrada - Nível 2400 Assistente de Imposto Assistente Sub Inspetor de Polícia 4200 Assistente Tributário Sênior Sub Inspetor de Polícia 4600 Inspetor de Imposto de Renda / Agente de Imposto de Renda CID / Nível de Entrada / Inspetor Policial 4800 Oficial d"&amp;"e Imposto de Renda / Agente Especial do Imposto de Renda CID / Diretor Adicional Adicional Inspetor Sênior de Polícia / Tehsiladr 6 Junior Scala Time Comissário Assistente de Imposto de Renda / Entrada - Nível (Probatizador do IRS) Magistrado do Distrito "&amp;"/ Vice -Superintendente da Polícia 7 Comissário Vice Comissário Conjunto de Renda Administrativa Vice -Secretário Magistrado do Distrito / Secretário Especial / Superintendente de Polícia 9 Grau de Seleção Comissário Adicional de Imposto de Renda Magistra"&amp;"do Distrito / Secretário Especial / Superintendente Sênior de Polícia 10 Comissário Sênior de Grade Administrativo de Imposto de Renda Secretário Conjunto de Divisão Secretário / Vice-Inspetor Geral de Polícia 26 11 Comissário principal de grau administra"&amp;"tivo superior do imposto de renda com Comissário Divisional Adicional / Secretário Principal / Diretor Geral de Polícia. Force) 25 13 APEX SCALE PRINCIPAL COMISSÁRIO PRINCIPAL DE RENDO / PRESIDENTE CBDT / Membro CBDT / DG Central Economic Intelligence Bur"&amp;"eau Secretário Especial Adicional Secretário Chefe 23")</f>
        <v>     Posição / nota de pagamento no nível do governo da Índia e posição equivalente a posição ou designação no governo da Índia, posição ou designação na Ordem (s) do Estado (s) Ordem de Precedência (conforme a Ordem Presidencial) Multi -Tasking Staff / Entrada - Nível 2400 Assistente de Imposto Assistente Sub Inspetor de Polícia 4200 Assistente Tributário Sênior Sub Inspetor de Polícia 4600 Inspetor de Imposto de Renda / Agente de Imposto de Renda CID / Nível de Entrada / Inspetor Policial 4800 Oficial de Imposto de Renda / Agente Especial do Imposto de Renda CID / Diretor Adicional Adicional Inspetor Sênior de Polícia / Tehsiladr 6 Junior Scala Time Comissário Assistente de Imposto de Renda / Entrada - Nível (Probatizador do IRS) Magistrado do Distrito / Vice -Superintendente da Polícia 7 Comissário Vice Comissário Conjunto de Renda Administrativa Vice -Secretário Magistrado do Distrito / Secretário Especial / Superintendente de Polícia 9 Grau de Seleção Comissário Adicional de Imposto de Renda Magistrado Distrito / Secretário Especial / Superintendente Sênior de Polícia 10 Comissário Sênior de Grade Administrativo de Imposto de Renda Secretário Conjunto de Divisão Secretário / Vice-Inspetor Geral de Polícia 26 11 Comissário principal de grau administrativo superior do imposto de renda com Comissário Divisional Adicional / Secretário Principal / Diretor Geral de Polícia. Force) 25 13 APEX SCALE PRINCIPAL COMISSÁRIO PRINCIPAL DE RENDO / PRESIDENTE CBDT / Membro CBDT / DG Central Economic Intelligence Bureau Secretário Especial Adicional Secretário Chefe 23</v>
      </c>
    </row>
    <row r="269" customFormat="false" ht="15.75" hidden="false" customHeight="true" outlineLevel="0" collapsed="false">
      <c r="A269" s="3" t="n">
        <v>266</v>
      </c>
      <c r="B269" s="5" t="s">
        <v>801</v>
      </c>
      <c r="C269" s="5" t="s">
        <v>802</v>
      </c>
      <c r="D269" s="5" t="s">
        <v>803</v>
      </c>
      <c r="E269" s="4" t="str">
        <f aca="false">IFERROR(__xludf.dummyfunction("GOOGLETRANSLATE(C270)"),"Onde está o cara que interpreta Calvin em 227")</f>
        <v>Onde está o cara que interpreta Calvin em 227</v>
      </c>
      <c r="F269" s="5" t="str">
        <f aca="false">IFERROR(__xludf.dummyfunction("GOOGLETRANSLATE(D269)"),"   Paladins: Campeões do Reino Modo (s) multiplayer")</f>
        <v>   Paladins: Campeões do Reino Modo (s) multiplayer</v>
      </c>
    </row>
    <row r="270" customFormat="false" ht="15.75" hidden="false" customHeight="true" outlineLevel="0" collapsed="false">
      <c r="A270" s="3" t="n">
        <v>267</v>
      </c>
      <c r="B270" s="5" t="s">
        <v>804</v>
      </c>
      <c r="C270" s="5" t="s">
        <v>805</v>
      </c>
      <c r="D270" s="5" t="s">
        <v>806</v>
      </c>
      <c r="E270" s="4" t="str">
        <f aca="false">IFERROR(__xludf.dummyfunction("GOOGLETRANSLATE(C271)"),"Quem é o garoto que jogou o banjo na libertação")</f>
        <v>Quem é o garoto que jogou o banjo na libertação</v>
      </c>
      <c r="F270" s="5" t="str">
        <f aca="false">IFERROR(__xludf.dummyfunction("GOOGLETRANSLATE(D270)")," Também foi lançado em 227 Sandra Clark (Jackée Harry), o jovem vizinho de Mary que constantemente brigava com ela sobre suas respectivas visões sobre a vida. Embora o relacionamento deles tenha sido antagônico a princípio, Mary e Sandra se tornaram bons "&amp;"amigos com o passar do tempo. Também morava no prédio, Pearl Shay (Helen Martin), uma vizinha agitada - mas - bocal, conhecida por bisbilhotar e ter um forte senso de humor. Pearl tinha um neto chamado Calvin Dobbs (Curtis Baldwin), com quem Brenda tinha "&amp;"uma queda e finalmente namoraria mais tarde na corrida da série.")</f>
        <v> Também foi lançado em 227 Sandra Clark (Jackée Harry), o jovem vizinho de Mary que constantemente brigava com ela sobre suas respectivas visões sobre a vida. Embora o relacionamento deles tenha sido antagônico a princípio, Mary e Sandra se tornaram bons amigos com o passar do tempo. Também morava no prédio, Pearl Shay (Helen Martin), uma vizinha agitada - mas - bocal, conhecida por bisbilhotar e ter um forte senso de humor. Pearl tinha um neto chamado Calvin Dobbs (Curtis Baldwin), com quem Brenda tinha uma queda e finalmente namoraria mais tarde na corrida da série.</v>
      </c>
    </row>
    <row r="271" customFormat="false" ht="15.75" hidden="false" customHeight="true" outlineLevel="0" collapsed="false">
      <c r="A271" s="3" t="n">
        <v>268</v>
      </c>
      <c r="B271" s="5" t="s">
        <v>807</v>
      </c>
      <c r="C271" s="5" t="s">
        <v>808</v>
      </c>
      <c r="D271" s="5" t="s">
        <v>809</v>
      </c>
      <c r="E271" s="4" t="str">
        <f aca="false">IFERROR(__xludf.dummyfunction("GOOGLETRANSLATE(C272)"),"quem escreveu o que diabos eu disse")</f>
        <v>quem escreveu o que diabos eu disse</v>
      </c>
      <c r="F271" s="5" t="str">
        <f aca="false">IFERROR(__xludf.dummyfunction("GOOGLETRANSLATE(D271)")," Billy Redden (nascido em 1956) é um ator americano, mais conhecido por seu papel como sertão, Mountain Boy, na libertação de filmes de 1972. Ele interpretou Lonnie, um banjo - interpretando o adolescente do país no norte da Geórgia, que interpretou o not"&amp;"ável `` duelo de banjos '' com Drew Ballinger (Ronny Cox). O filme foi aclamado pela crítica e recebeu indicações por prêmios em várias categorias.")</f>
        <v> Billy Redden (nascido em 1956) é um ator americano, mais conhecido por seu papel como sertão, Mountain Boy, na libertação de filmes de 1972. Ele interpretou Lonnie, um banjo - interpretando o adolescente do país no norte da Geórgia, que interpretou o notável `` duelo de banjos '' com Drew Ballinger (Ronny Cox). O filme foi aclamado pela crítica e recebeu indicações por prêmios em várias categorias.</v>
      </c>
    </row>
    <row r="272" customFormat="false" ht="15.75" hidden="false" customHeight="true" outlineLevel="0" collapsed="false">
      <c r="A272" s="3" t="n">
        <v>269</v>
      </c>
      <c r="B272" s="5" t="s">
        <v>810</v>
      </c>
      <c r="C272" s="5" t="s">
        <v>811</v>
      </c>
      <c r="D272" s="5" t="s">
        <v>812</v>
      </c>
      <c r="E272" s="4" t="str">
        <f aca="false">IFERROR(__xludf.dummyfunction("GOOGLETRANSLATE(C273)"),"Quem ganhou a maior Little League World Series")</f>
        <v>Quem ganhou a maior Little League World Series</v>
      </c>
      <c r="F272" s="5" t="str">
        <f aca="false">IFERROR(__xludf.dummyfunction("GOOGLETRANSLATE(D272)")," `` O que diabos eu disse '' é uma música do artista de música country Dierks Bentley. Foi lançado como o quarto single de seu oitavo álbum de estúdio, Black. A música é sobre ficar intoxicada e dar a uma garota falsas promessas. Esta é a segunda colabora"&amp;"ção de Bentley, Kear e Tompkins, seguindo o single de sucesso `` bêbado em um avião ''. No entanto, a música teve um desempenho inferior e se tornou o mais baixo single de carreira da carreira de Bentley.")</f>
        <v> `` O que diabos eu disse '' é uma música do artista de música country Dierks Bentley. Foi lançado como o quarto single de seu oitavo álbum de estúdio, Black. A música é sobre ficar intoxicada e dar a uma garota falsas promessas. Esta é a segunda colaboração de Bentley, Kear e Tompkins, seguindo o single de sucesso `` bêbado em um avião ''. No entanto, a música teve um desempenho inferior e se tornou o mais baixo single de carreira da carreira de Bentley.</v>
      </c>
    </row>
    <row r="273" customFormat="false" ht="15.75" hidden="false" customHeight="true" outlineLevel="0" collapsed="false">
      <c r="A273" s="3" t="n">
        <v>270</v>
      </c>
      <c r="B273" s="5" t="s">
        <v>813</v>
      </c>
      <c r="C273" s="5" t="s">
        <v>814</v>
      </c>
      <c r="D273" s="5" t="s">
        <v>815</v>
      </c>
      <c r="E273" s="4" t="str">
        <f aca="false">IFERROR(__xludf.dummyfunction("GOOGLETRANSLATE(C274)"),"Qual é a música ruim pelo U2")</f>
        <v>Qual é a música ruim pelo U2</v>
      </c>
      <c r="F273" s="5" t="str">
        <f aca="false">IFERROR(__xludf.dummyfunction("GOOGLETRANSLATE(D273)"),"   Campeonatos de equipe de classificação Anos de Taiwan 17 1969, 1971, 1972, 1973, 1974, 1977, 1978, 1979, 1980, 1981, 1986, 1987, 1988, 1990, 1991, 1995, 1996 Japan 11 1967, 1968, 1976, 1999, 1999, 2001, 1991, 1995, 1996 Japan 11 1967, 1968, 1976, 1999,"&amp;" 1999, 2001, , 2003 , 2010 , 2012 , 2013 , 2015 , 2017       California   7   1961 , 1962 , 1963 , 1992 , 1993 , 2009 , 2011       Pennsylvania     1947 , 1948 , 1955 , 1960     Connecticut   1951 , 1952 , 1965 , 1989     New Jersey   1949 , 1970 , 1975 ,"&amp;" 1998 7 México 1957, 1958, 1997 Geórgia 1983, 2006, 2007 Coréia do Sul 1984, 1985, 2014 Nova York 1954, 1964, 2016 10 Texas 1950, 1966 Venezuela 1994, 2000 Hawaii 2005, 2008 13 Alabama 1953 1953 Mexico 1956, Michigan, 1900, 2000, 2005, 2008 13 Washington "&amp;"1982 Kentucky 2002 Curaçao")</f>
        <v>   Campeonatos de equipe de classificação Anos de Taiwan 17 1969, 1971, 1972, 1973, 1974, 1977, 1978, 1979, 1980, 1981, 1986, 1987, 1988, 1990, 1991, 1995, 1996 Japan 11 1967, 1968, 1976, 1999, 1999, 2001, 1991, 1995, 1996 Japan 11 1967, 1968, 1976, 1999, 1999, 2001, , 2003 , 2010 , 2012 , 2013 , 2015 , 2017       California   7   1961 , 1962 , 1963 , 1992 , 1993 , 2009 , 2011       Pennsylvania     1947 , 1948 , 1955 , 1960     Connecticut   1951 , 1952 , 1965 , 1989     New Jersey   1949 , 1970 , 1975 , 1998 7 México 1957, 1958, 1997 Geórgia 1983, 2006, 2007 Coréia do Sul 1984, 1985, 2014 Nova York 1954, 1964, 2016 10 Texas 1950, 1966 Venezuela 1994, 2000 Hawaii 2005, 2008 13 Alabama 1953 1953 Mexico 1956, Michigan, 1900, 2000, 2005, 2008 13 Washington 1982 Kentucky 2002 Curaçao</v>
      </c>
    </row>
    <row r="274" customFormat="false" ht="15.75" hidden="false" customHeight="true" outlineLevel="0" collapsed="false">
      <c r="A274" s="3" t="n">
        <v>271</v>
      </c>
      <c r="B274" s="5" t="s">
        <v>816</v>
      </c>
      <c r="C274" s="5" t="s">
        <v>817</v>
      </c>
      <c r="D274" s="5" t="s">
        <v>818</v>
      </c>
      <c r="E274" s="4" t="str">
        <f aca="false">IFERROR(__xludf.dummyfunction("GOOGLETRANSLATE(C275)"),"Quem é Danae na história da cabeça de Gorgon")</f>
        <v>Quem é Danae na história da cabeça de Gorgon</v>
      </c>
      <c r="F274" s="5" t="str">
        <f aca="false">IFERROR(__xludf.dummyfunction("GOOGLETRANSLATE(D274)")," `` Bad '' é uma música da banda de rock U2 e a sétima faixa do seu álbum de 1984, The Incorgettable Fire. Uma música sobre vício em heroína, é considerada uma favorita dos fãs e é uma das músicas mais frequentemente tocadas do U2 em concerto.")</f>
        <v> `` Bad '' é uma música da banda de rock U2 e a sétima faixa do seu álbum de 1984, The Incorgettable Fire. Uma música sobre vício em heroína, é considerada uma favorita dos fãs e é uma das músicas mais frequentemente tocadas do U2 em concerto.</v>
      </c>
    </row>
    <row r="275" customFormat="false" ht="15.75" hidden="false" customHeight="true" outlineLevel="0" collapsed="false">
      <c r="A275" s="3" t="n">
        <v>272</v>
      </c>
      <c r="B275" s="5" t="s">
        <v>819</v>
      </c>
      <c r="C275" s="5" t="s">
        <v>820</v>
      </c>
      <c r="D275" s="5" t="s">
        <v>821</v>
      </c>
      <c r="E275" s="4" t="str">
        <f aca="false">IFERROR(__xludf.dummyfunction("GOOGLETRANSLATE(C276)"),"quem projetou a ponte de sol em Redding CA")</f>
        <v>quem projetou a ponte de sol em Redding CA</v>
      </c>
      <c r="F275" s="5" t="str">
        <f aca="false">IFERROR(__xludf.dummyfunction("GOOGLETRANSLATE(D275)")," Na mitologia grega, Danaë ( / ˈdæn. I. Iː / ou / ˈdæn. Ə. a filha e o único filho do rei Acrísio de Argos e sua esposa rainha Eurídice. Ela era a mãe do herói Perseus por Zeus. Ela foi creditada por fundar a cidade de Ardea em Latium durante a Idade do B"&amp;"ronze.")</f>
        <v> Na mitologia grega, Danaë ( / ˈdæn. I. Iː / ou / ˈdæn. Ə. a filha e o único filho do rei Acrísio de Argos e sua esposa rainha Eurídice. Ela era a mãe do herói Perseus por Zeus. Ela foi creditada por fundar a cidade de Ardea em Latium durante a Idade do Bronze.</v>
      </c>
    </row>
    <row r="276" customFormat="false" ht="15.75" hidden="false" customHeight="true" outlineLevel="0" collapsed="false">
      <c r="A276" s="3" t="n">
        <v>273</v>
      </c>
      <c r="B276" s="5" t="s">
        <v>822</v>
      </c>
      <c r="C276" s="5" t="s">
        <v>823</v>
      </c>
      <c r="D276" s="5" t="s">
        <v>824</v>
      </c>
      <c r="E276" s="4" t="str">
        <f aca="false">IFERROR(__xludf.dummyfunction("GOOGLETRANSLATE(C277)"),"presidentes que ganharam o voto popular, mas não a eleição")</f>
        <v>presidentes que ganharam o voto popular, mas não a eleição</v>
      </c>
      <c r="F276" s="5" t="str">
        <f aca="false">IFERROR(__xludf.dummyfunction("GOOGLETRANSLATE(D276)")," A ponte de sol é uma ponte de Sparred Bridge, semelhante ao desenho anterior do Puente Del Alamillo, de Calatrava, em Sevilha, Espanha (1992). Esse tipo de ponte não equilibra as forças usando um arranjo simétrico de forças a cabo em cada lado de sua tor"&amp;"re de suporte; Em vez disso, ele usa uma torre cantilever, ajustada em um ângulo de 42 graus e carregada por cabo permanece em apenas um lado. Esse design exige que o Spar resista às forças de flexão e torção e que sua fundação resista a derrubar. Embora "&amp;"isso leve a uma estrutura menos eficiente estruturalmente, a declaração arquitetônica é dramática. A ponte tem 210 m de comprimento e atravessa o rio sem tocar a água, um critério de projeto que ajuda a proteger os terrenos de desova de salmão sob a ponte"&amp;". As estadias de cabo não estão centradas na passarela, mas dividem a ponte em um caminho maior e menor.")</f>
        <v> A ponte de sol é uma ponte de Sparred Bridge, semelhante ao desenho anterior do Puente Del Alamillo, de Calatrava, em Sevilha, Espanha (1992). Esse tipo de ponte não equilibra as forças usando um arranjo simétrico de forças a cabo em cada lado de sua torre de suporte; Em vez disso, ele usa uma torre cantilever, ajustada em um ângulo de 42 graus e carregada por cabo permanece em apenas um lado. Esse design exige que o Spar resista às forças de flexão e torção e que sua fundação resista a derrubar. Embora isso leve a uma estrutura menos eficiente estruturalmente, a declaração arquitetônica é dramática. A ponte tem 210 m de comprimento e atravessa o rio sem tocar a água, um critério de projeto que ajuda a proteger os terrenos de desova de salmão sob a ponte. As estadias de cabo não estão centradas na passarela, mas dividem a ponte em um caminho maior e menor.</v>
      </c>
    </row>
    <row r="277" customFormat="false" ht="15.75" hidden="false" customHeight="true" outlineLevel="0" collapsed="false">
      <c r="A277" s="3" t="n">
        <v>274</v>
      </c>
      <c r="B277" s="5" t="s">
        <v>825</v>
      </c>
      <c r="C277" s="5" t="s">
        <v>826</v>
      </c>
      <c r="D277" s="5" t="s">
        <v>827</v>
      </c>
      <c r="E277" s="4" t="str">
        <f aca="false">IFERROR(__xludf.dummyfunction("GOOGLETRANSLATE(C278)"),"Qual era o objetivo do Conselho Nacional de Planejamento de Recursos")</f>
        <v>Qual era o objetivo do Conselho Nacional de Planejamento de Recursos</v>
      </c>
      <c r="F277" s="5" t="str">
        <f aca="false">IFERROR(__xludf.dummyfunction("GOOGLETRANSLATE(D277)"),"   Democrata - Republicano Democrata D Republicano R Votos de Votos de Votos de Votos de Votos de Votos % Margem % 1824 Adams, John Quincy Adams DR 84 /261 32,18 113,122 - 38,149 30.92 % −. , Andrew Jackson     DR   26.90 %     1876   Hayes , Rutherford B"&amp;". Hayes       185 / 369   50.14 %   4,034,311   − 254,235   47.92 %   − 3.02 %   Tilden , Samuel J. Tilden       81.80 %     1888   Harrison , Benjamin Harrison       233 / 401   58.10 %   5,443,892   − 90,596   47.80 %   − 0.79 %   Cleveland , Grover Cle"&amp;"veland       79.30 %     2000   Bush , George W. Bush       271 / 538   50.37 %   50,456,002   − 543,895   47.87 %   − 0.51 %   Gore , Al Gore       51.20 %     2016   Trump , Donald Trump       304 / 538   56.50 %   62,984,825   − 2,868,691   46.09 %   −"&amp;" 2,10 % Clinton, Hillary Clinton 55,30 %")</f>
        <v>   Democrata - Republicano Democrata D Republicano R Votos de Votos de Votos de Votos de Votos de Votos % Margem % 1824 Adams, John Quincy Adams DR 84 /261 32,18 113,122 - 38,149 30.92 % −. , Andrew Jackson     DR   26.90 %     1876   Hayes , Rutherford B. Hayes       185 / 369   50.14 %   4,034,311   − 254,235   47.92 %   − 3.02 %   Tilden , Samuel J. Tilden       81.80 %     1888   Harrison , Benjamin Harrison       233 / 401   58.10 %   5,443,892   − 90,596   47.80 %   − 0.79 %   Cleveland , Grover Cleveland       79.30 %     2000   Bush , George W. Bush       271 / 538   50.37 %   50,456,002   − 543,895   47.87 %   − 0.51 %   Gore , Al Gore       51.20 %     2016   Trump , Donald Trump       304 / 538   56.50 %   62,984,825   − 2,868,691   46.09 %   − 2,10 % Clinton, Hillary Clinton 55,30 %</v>
      </c>
    </row>
    <row r="278" customFormat="false" ht="15.75" hidden="false" customHeight="true" outlineLevel="0" collapsed="false">
      <c r="A278" s="3" t="n">
        <v>275</v>
      </c>
      <c r="B278" s="5" t="s">
        <v>828</v>
      </c>
      <c r="C278" s="5" t="s">
        <v>829</v>
      </c>
      <c r="D278" s="5" t="s">
        <v>830</v>
      </c>
      <c r="E278" s="4" t="str">
        <f aca="false">IFERROR(__xludf.dummyfunction("GOOGLETRANSLATE(C279)"),"Quando a Suprema Corte decidiu o caso Miranda vs. Arizona")</f>
        <v>Quando a Suprema Corte decidiu o caso Miranda vs. Arizona</v>
      </c>
      <c r="F278" s="5" t="str">
        <f aca="false">IFERROR(__xludf.dummyfunction("GOOGLETRANSLATE(D278)")," O Conselho de Recursos de Segurança Nacional era uma agência do governo dos Estados Unidos criada pela Lei de Segurança Nacional de 1947, cujo objetivo era aconselhar o presidente, em tempos de guerra, sobre como mobilizar recursos naturais, mão de obra "&amp;"e o estabelecimento científico para atender às demandas de o Departamento de Defesa.")</f>
        <v> O Conselho de Recursos de Segurança Nacional era uma agência do governo dos Estados Unidos criada pela Lei de Segurança Nacional de 1947, cujo objetivo era aconselhar o presidente, em tempos de guerra, sobre como mobilizar recursos naturais, mão de obra e o estabelecimento científico para atender às demandas de o Departamento de Defesa.</v>
      </c>
    </row>
    <row r="279" customFormat="false" ht="15.75" hidden="false" customHeight="true" outlineLevel="0" collapsed="false">
      <c r="A279" s="3" t="n">
        <v>276</v>
      </c>
      <c r="B279" s="5" t="s">
        <v>831</v>
      </c>
      <c r="C279" s="5" t="s">
        <v>832</v>
      </c>
      <c r="D279" s="5" t="s">
        <v>833</v>
      </c>
      <c r="E279" s="4" t="str">
        <f aca="false">IFERROR(__xludf.dummyfunction("GOOGLETRANSLATE(C280)"),"que interpreta Vinny, o cachorro em cara de família")</f>
        <v>que interpreta Vinny, o cachorro em cara de família</v>
      </c>
      <c r="F279" s="5" t="str">
        <f aca="false">IFERROR(__xludf.dummyfunction("GOOGLETRANSLATE(D279)")," Miranda v. Arizona, 384 U.S. 436 (1966), foi uma decisão marcante da Suprema Corte dos Estados Unidos. Em uma maioria de 5 - 4, Charlie sustentou que as declarações inculpatórias e exculpatórias feitas em resposta ao interrogatório por um réu sob custódi"&amp;"a policial serão admissíveis apenas se a promotoria puder mostrar que o réu foi informado do direito de consultar com um advogado antes e durante o interrogatório e do direito contra a auto -incriminação antes do interrogatório policial, e que o réu não a"&amp;"penas entendeu esses direitos, mas voluntariamente os renunciou.")</f>
        <v> Miranda v. Arizona, 384 U.S. 436 (1966), foi uma decisão marcante da Suprema Corte dos Estados Unidos. Em uma maioria de 5 - 4, Charlie sustentou que as declarações inculpatórias e exculpatórias feitas em resposta ao interrogatório por um réu sob custódia policial serão admissíveis apenas se a promotoria puder mostrar que o réu foi informado do direito de consultar com um advogado antes e durante o interrogatório e do direito contra a auto -incriminação antes do interrogatório policial, e que o réu não apenas entendeu esses direitos, mas voluntariamente os renunciou.</v>
      </c>
    </row>
    <row r="280" customFormat="false" ht="15.75" hidden="false" customHeight="true" outlineLevel="0" collapsed="false">
      <c r="A280" s="3" t="n">
        <v>277</v>
      </c>
      <c r="B280" s="5" t="s">
        <v>834</v>
      </c>
      <c r="C280" s="5" t="s">
        <v>835</v>
      </c>
      <c r="D280" s="5" t="s">
        <v>836</v>
      </c>
      <c r="E280" s="4" t="str">
        <f aca="false">IFERROR(__xludf.dummyfunction("GOOGLETRANSLATE(C281)"),"Quantos livros de Anne of Green Gables existem")</f>
        <v>Quantos livros de Anne of Green Gables existem</v>
      </c>
      <c r="F280" s="5" t="str">
        <f aca="false">IFERROR(__xludf.dummyfunction("GOOGLETRANSLATE(D280)")," No final de 2013, ele expressou o personagem de Vinny Griffin, que era o cachorro de estimação da família em Family Guy (substituindo Brian Griffin após sua morte; Brian seria mais tarde salvo através de dois episódios de viagem no tempo após a estréia d"&amp;"e Vinny). Sirico também fez uma participação especial ao vivo no episódio `` Stewie, Chris e Brian, a excelente aventura '', onde ele ameaça Stewie, que insultou os italianos, chamando -os de ""pessoas ridículas"".")</f>
        <v> No final de 2013, ele expressou o personagem de Vinny Griffin, que era o cachorro de estimação da família em Family Guy (substituindo Brian Griffin após sua morte; Brian seria mais tarde salvo através de dois episódios de viagem no tempo após a estréia de Vinny). Sirico também fez uma participação especial ao vivo no episódio `` Stewie, Chris e Brian, a excelente aventura '', onde ele ameaça Stewie, que insultou os italianos, chamando -os de "pessoas ridículas".</v>
      </c>
    </row>
    <row r="281" customFormat="false" ht="15.75" hidden="false" customHeight="true" outlineLevel="0" collapsed="false">
      <c r="A281" s="3" t="n">
        <v>278</v>
      </c>
      <c r="B281" s="5" t="s">
        <v>837</v>
      </c>
      <c r="C281" s="5" t="s">
        <v>838</v>
      </c>
      <c r="D281" s="5" t="s">
        <v>839</v>
      </c>
      <c r="E281" s="4" t="str">
        <f aca="false">IFERROR(__xludf.dummyfunction("GOOGLETRANSLATE(C282)"),"Lista das principais cidades da Flórida pela população")</f>
        <v>Lista das principais cidades da Flórida pela população</v>
      </c>
      <c r="F281" s="5" t="str">
        <f aca="false">IFERROR(__xludf.dummyfunction("GOOGLETRANSLATE(D281)"),"  Ana of California: A Novel (2015), de Andi Teran, é um `` giro contemporâneo em Anne of Green Gables. O caráter principal de Anne Shirley foi adaptado a Ana Cortez, uma órfã de 15 anos - que `` não conta a uma planta de tomate de um mato de amora '' qua"&amp;"ndo sai de East Los Angeles para a fazenda do norte da Califórnia de Emmett e Abbie Garber.")</f>
        <v>  Ana of California: A Novel (2015), de Andi Teran, é um `` giro contemporâneo em Anne of Green Gables. O caráter principal de Anne Shirley foi adaptado a Ana Cortez, uma órfã de 15 anos - que `` não conta a uma planta de tomate de um mato de amora '' quando sai de East Los Angeles para a fazenda do norte da Califórnia de Emmett e Abbie Garber.</v>
      </c>
    </row>
    <row r="282" customFormat="false" ht="15.75" hidden="false" customHeight="true" outlineLevel="0" collapsed="false">
      <c r="A282" s="3" t="n">
        <v>279</v>
      </c>
      <c r="B282" s="5" t="s">
        <v>840</v>
      </c>
      <c r="C282" s="5" t="s">
        <v>841</v>
      </c>
      <c r="D282" s="5" t="s">
        <v>842</v>
      </c>
      <c r="E282" s="4" t="str">
        <f aca="false">IFERROR(__xludf.dummyfunction("GOOGLETRANSLATE(C283)"),"que venceu o Superbowl nos últimos 5 anos")</f>
        <v>que venceu o Superbowl nos últimos 5 anos</v>
      </c>
      <c r="F282" s="5" t="str">
        <f aca="false">IFERROR(__xludf.dummyfunction("GOOGLETRANSLATE(D282)"),"   Nome da classificação População Áreas metropolitanas Miami 5.502.379 Miami - ft. Lauderdale - Pompano Beach Metropolitan Statistical Area       Tampa - St. Petersburg   2,441,770   Tampa - St. Petersburg - Clearwater , Florida Metropolitan Statistical "&amp;"Area       Orlando   1,510,516   Orlando - Kissimmee , Florida , Metropolitan Statistical Area       Jacksonville   1,065,219   Jacksonville Metropolitan Statistical Area       Sarasota - Bradenton   643,260   Bradenton - Sarasota - Venice , Florida Metro"&amp;"politan Statistical Area and Punta Gorda , Florida Metropolitan Statistical Area     6   Cape Coral - Fort Myers   530,290   Cape Coral - Fort Myers , Florida Metropolitan Statistical Area     7   Palm Bay - Melbourne   452,791   Palm Bay - Melbourne - Ti"&amp;"tusville , Florida Metropolitan Statistical Area     8   Port St. Lucie   376,047   Port St. Lucie , Florida Metropolitan Statistical Area     9   Palm Coast - Daytona Beach - Port Orange   349,064   Deltona - Daytona Beach - Ormond Beach , Florida Metrop"&amp;"olitan Statistical Area     10   Pensacola   340,067   Pensacola - Ferry Pass - Brent Metropolitan Statistical Area     11   Kissimmee   314,071 ORLANDO - Área estatística Metropolitana 12 Bonita Crings 310.298 Nápoles - Marco Island, Florida Metropolitan"&amp;" Area Statistical e Cape Coral - Fort Myers, Florida Metropolitan Area Statistical 13 Lakeland 262,596 lakelandela, Florida metropolitana Estatística opolitana Área 15 Haven Winter 201.289 Lakeland, Área Estatística Metropolitana da Flórida 16 Fort Walton"&amp;" Beach - Navarra - Wright 191.917 Fort Walton Beach - Crestview - Destin, Florida Metropolitan Statistical Area 17 e Pensacola - Ferry Pass - Brent, Florida Florida Metropolitan Area 17 Area 17 - Área de Pensacola - Área de Pensacola - Brent, Florida1, Fl"&amp;"orida. Área estatística metropolitana 18 Deltona 182.169 Deltona - Daytona Beach - Ormond Beach, Área Estatística Metropolitana da Flórida 19 Porto de Norte - Port Charlotte 169.541 Punta Gorda, Florida Metropolitan Statics Area e Sarasota - BRADENTON - V"&amp;"ENSOPO, Florida Metropolitan Area Statics e Sarasota - Vadenton - VENSOCIOL, Florida Metropolitan Area Statistic e Sarasota - Vadenton - VENSOPO, Florida Metrópol Opolitano Statistical Area     21   Sebastian - Vero Beach South - Florida Ridge   149,422  "&amp;" Sebastian - Vero Beach , Florida Metropolitan Statistical Area , Palm Bay - Melbourne - Titusville , Florida Metropolitan Statistical Area and Port St. Lucie , Florida Metropolitan Statistical Area     22   Spring Hill   148,220   Tampa - St . Petersburg"&amp;" - Clearwater , Florida Metropolitan Statistical Area     23   Panama City   143,280   Panama City - Lynn Haven , Florida Metropolitan Statistical Area     24   Leesburg - Eustis - Tavares   131,337   Orlando - Kissimmee , Florida , Metropolitan Statistic"&amp;"al Area     25   Lady Lake - The Villages   112,991   Orlando - Kissimmee , Florida, Área Estatística Metropolitana, Ocala, Flórida Área Estatística Metropolitana e Sumter County 26 Homosassa Springs - Beverly Hills - Citrus Springs 80.962 Homosassa Sprin"&amp;"gs, Florida Metropolitan Statistical Area 27 Augustine 69.173 Metropolitan Metropolitana Clearwater, Área Estatística Metropolitana da Flórida 29 Sebring - Avon Park 61.625 Sebring, Área Estatística Metropolitana da Flórida 30 Titusville 54.386 Palm Bay -"&amp;" Melbourne - Titusville, Florida Metropolitan Statistical Área estatística")</f>
        <v>   Nome da classificação População Áreas metropolitanas Miami 5.502.379 Miami - ft. Lauderdale - Pompano Beach Metropolitan Statistical Area       Tampa - St. Petersburg   2,441,770   Tampa - St. Petersburg - Clearwater , Florida Metropolitan Statistical Area       Orlando   1,510,516   Orlando - Kissimmee , Florida , Metropolitan Statistical Area       Jacksonville   1,065,219   Jacksonville Metropolitan Statistical Area       Sarasota - Bradenton   643,260   Bradenton - Sarasota - Venice , Florida Metropolitan Statistical Area and Punta Gorda , Florida Metropolitan Statistical Area     6   Cape Coral - Fort Myers   530,290   Cape Coral - Fort Myers , Florida Metropolitan Statistical Area     7   Palm Bay - Melbourne   452,791   Palm Bay - Melbourne - Titusville , Florida Metropolitan Statistical Area     8   Port St. Lucie   376,047   Port St. Lucie , Florida Metropolitan Statistical Area     9   Palm Coast - Daytona Beach - Port Orange   349,064   Deltona - Daytona Beach - Ormond Beach , Florida Metropolitan Statistical Area     10   Pensacola   340,067   Pensacola - Ferry Pass - Brent Metropolitan Statistical Area     11   Kissimmee   314,071 ORLANDO - Área estatística Metropolitana 12 Bonita Crings 310.298 Nápoles - Marco Island, Florida Metropolitan Area Statistical e Cape Coral - Fort Myers, Florida Metropolitan Area Statistical 13 Lakeland 262,596 lakelandela, Florida metropolitana Estatística opolitana Área 15 Haven Winter 201.289 Lakeland, Área Estatística Metropolitana da Flórida 16 Fort Walton Beach - Navarra - Wright 191.917 Fort Walton Beach - Crestview - Destin, Florida Metropolitan Statistical Area 17 e Pensacola - Ferry Pass - Brent, Florida Florida Metropolitan Area 17 Area 17 - Área de Pensacola - Área de Pensacola - Brent, Florida1, Florida. Área estatística metropolitana 18 Deltona 182.169 Deltona - Daytona Beach - Ormond Beach, Área Estatística Metropolitana da Flórida 19 Porto de Norte - Port Charlotte 169.541 Punta Gorda, Florida Metropolitan Statics Area e Sarasota - BRADENTON - VENSOPO, Florida Metropolitan Area Statics e Sarasota - Vadenton - VENSOCIOL, Florida Metropolitan Area Statistic e Sarasota - Vadenton - VENSOPO, Florida Metrópol Opolitano Statistical Area     21   Sebastian - Vero Beach South - Florida Ridge   149,422   Sebastian - Vero Beach , Florida Metropolitan Statistical Area , Palm Bay - Melbourne - Titusville , Florida Metropolitan Statistical Area and Port St. Lucie , Florida Metropolitan Statistical Area     22   Spring Hill   148,220   Tampa - St . Petersburg - Clearwater , Florida Metropolitan Statistical Area     23   Panama City   143,280   Panama City - Lynn Haven , Florida Metropolitan Statistical Area     24   Leesburg - Eustis - Tavares   131,337   Orlando - Kissimmee , Florida , Metropolitan Statistical Area     25   Lady Lake - The Villages   112,991   Orlando - Kissimmee , Florida, Área Estatística Metropolitana, Ocala, Flórida Área Estatística Metropolitana e Sumter County 26 Homosassa Springs - Beverly Hills - Citrus Springs 80.962 Homosassa Springs, Florida Metropolitan Statistical Area 27 Augustine 69.173 Metropolitan Metropolitana Clearwater, Área Estatística Metropolitana da Flórida 29 Sebring - Avon Park 61.625 Sebring, Área Estatística Metropolitana da Flórida 30 Titusville 54.386 Palm Bay - Melbourne - Titusville, Florida Metropolitan Statistical Área estatística</v>
      </c>
    </row>
    <row r="283" customFormat="false" ht="15.75" hidden="false" customHeight="true" outlineLevel="0" collapsed="false">
      <c r="A283" s="3" t="n">
        <v>280</v>
      </c>
      <c r="B283" s="5" t="s">
        <v>843</v>
      </c>
      <c r="C283" s="5" t="s">
        <v>844</v>
      </c>
      <c r="D283" s="5" t="s">
        <v>845</v>
      </c>
      <c r="E283" s="4" t="str">
        <f aca="false">IFERROR(__xludf.dummyfunction("GOOGLETRANSLATE(C284)"),"que foi convocado no mesmo ano que Kevin Durant")</f>
        <v>que foi convocado no mesmo ano que Kevin Durant</v>
      </c>
      <c r="F283" s="5" t="str">
        <f aca="false">IFERROR(__xludf.dummyfunction("GOOGLETRANSLATE(D283)"),"   Data do jogo vencedora a partitura da equipe perdida Venue City Presença Ref 01! I 000000001967 - 01 - 15 - 0000 15 de janeiro de 1967 Green Bay Packers 01! Green Bay Packers (1, 1 - 0) 3510! 35 - 10 Kansas City Chiefs 01! Kansas City Chiefs (1, 0 - 1)"&amp;" Los Angeles Memorial Coliseum 01! Los Angeles Memorial Coliseum Los Angeles, Califórnia 01! Los Angeles, Califórnia 061946! 61.946 02! II 000000001968 - 01 - 14 - 0000 14 de janeiro de 1968 Green Bay Packers 02! Green Bay Packers (2, 2 - 0) 3314! 33 - 14"&amp;" Oakland Raiders 01! Oakland Raiders (1, 0 - 1) Miami Orange Bowl 01! Miami Orange Bowl Miami, Flórida 01! Miami, Flórida 075546! 75.546 03! Iii 000000001969 - 01 - 12 - 0000 12 de janeiro de 1969 New York Jets 01! New York Jets (1, 1 - 0) 1607! 16 - 7 In"&amp;"dianapolis Colts 01! Baltimore Colts (1, 0 - 1) Miami Orange Bowl 02! Miami Orange Bowl (2) Miami, Flórida 02! Miami, Flórida (2) 075389! 75.389 04! IV 000000001970 - 01 - 11 - 0000 11 de janeiro de 1970 Kansas City Chiefs 02! Kansas City Chiefs (2, 1 - 1"&amp;") 2307! 23 - 7 Minnesota Vikings 01! Minnesota Vikings (1, 0 - 1) TULANE PARTE 01! Tulane Stadium Nova Orleans, Louisiana 01! Nova Orleans, Louisiana 080562! 80.562 05! V 000000001971 - 01 - 17 - 0000 17 de janeiro de 1971 Indianapolis Colts 02! Baltimore"&amp;" Colts (2, 1 - 1) 1613! 16 - 13 Dallas Cowboys 01! Dallas Cowboys (1, 0 - 1) Miami Orange Bowl 03! Miami Orange Bowl (3) Miami, Flórida 03! Miami, Flórida (3) 079204! 79.204 06! VI 000000001972 - 01 - 16 - 0000 16 de janeiro de 1972 Dallas Cowboys 02! Dal"&amp;"las Cowboys (2, 1 - 1) 2403! 24 - 3 Miami Dolphins 01! Miami Dolphins (1, 0 - 1) TULANE PARTIOM 02! Tulane Stadium (2) Nova Orleans, Louisiana 02! Nova Orleans, Louisiana (2) 081023! 81.023 07! VII 000000001973 - 01 - 14 - 0000 14 de janeiro de 1973 Miami"&amp;" Dolphins 02! Miami Dolphins (2, 1 - 1) 1407! 14 - 7 Washington Redskins 01! Washington Redskins (1, 0 - 1) Los Angeles Memorial Coliseum 02! Los Angeles Memorial Coliseum (2) Los Angeles, Califórnia 02! Los Angeles, Califórnia (2) 090182! 90.182 08! VIII"&amp;" 000000001974 - 01 - 13 - 0000 13 de janeiro de 1974 Miami Dolphins 03! Miami Dolphins (3, 2 - 1) 2407! 24 - 7 Minnesota Vikings 02! Minnesota Vikings (2, 0 - 2) estádio de arroz 01! Rice Stadium Houston, Texas 01! Houston, Texas 071882! 71.882 09! IX 000"&amp;"000001975 - 01 - 12 - 0000 12 de janeiro de 1975 Pittsburgh Steelers 01! Pittsburgh Steelers (1, 1 - 0) 1606! 16 - 6 Minnesota Vikings 03! Minnesota Vikings (3, 0 - 3) Estádio Tulane 03! Tulane Stadium (3) Nova Orleans, Louisiana 03! Nova Orleans, Louisia"&amp;"na (3) 080997! 80.997 10! X 000000001976 - 01 - 18 - 0000 18 de janeiro de 1976 Pittsburgh Steelers 02! Pittsburgh Steelers (2, 2 - 0) 2117! 21 - 17 Dallas Cowboys 03! Dallas Cowboys (3, 1 - 2) Miami Orange Bowl 04! Miami Orange Bowl (4) Miami, Flórida 04"&amp;"! Miami, Flórida (4) 080187! 80.187 11! XI 000000001977 - 01 - 09 - 0000 9 de janeiro de 1977 Oakland Raiders 02! Oakland Raiders (2, 1 - 1) 3214! 32 - 14 Minnesota Vikings 04! Minnesota Vikings (4, 0 - 4) Rose Bowl 01! Rose Bowl Los Angeles, Califórnia 0"&amp;"3! Pasadena, Califórnia (3) 103438! 103.438 12! XII 000000001978 - 01 - 15 - 0000 15 de janeiro de 1978 Dallas Cowboys 04! Dallas Cowboys (4, 2 - 2) 2710! 27 - 10 Denver Broncos 01! Denver Broncos (1, 0 - 1) Louisiana Superdome 01! Louisiana Superdome Nov"&amp;"a Orleans, Louisiana 04! Nova Orleans, Louisiana (4) 076400! 76.400 13! XIII 000000001979 - 01 - 21 - 0000 21 de janeiro de 1979 Pittsburgh Steelers 03! Pittsburgh Steelers (3, 3 - 0) 3531! 35 - 31 Dallas Cowboys 05! Dallas Cowboys (5, 2 - 3) Miami Orange"&amp;" Bowl 05! Miami Orange Bowl (5) Miami, Flórida 05! Miami, Flórida (5) 079484! 79.484 14! XIV 000000001980 - 01 - 20 - 0000 20 de janeiro de 1980 Pittsburgh Steelers 04! Pittsburgh Steelers (4, 4 - 0) 3119! 31 - 19 Los Angeles Rams 01! Los Angeles Rams (1,"&amp;" 0 - 1) Rose Bowl 02! Rose Bowl (2) Los Angeles, Califórnia 04! Pasadena, Califórnia (4) 103985! 103.985 15! XV 000000001981 - 01 - 25 - 0000 25 de janeiro de 1981 Oakland Raiders 03! Oakland Raiders (3, 2 - 1) 2710! 27 - 10 Philadelphia Eagles 01! Philad"&amp;"elphia Eagles (1, 0 - 1) Louisiana Superdome 02! Louisiana Superdome (2) Nova Orleans, Louisiana 05! Nova Orleans, Louisiana (5) 076135! 76.135 16! XVI 000000001982 - 01 - 24 - 0000 24 de janeiro de 1982 San Francisco 49ers 01! San Francisco 49ers (1, 1 -"&amp;" 0) 2621! 26 - 21 Cincinnati Bengals 01! Cincinnati Bengals (1, 0 - 1) Pontiac Silverdome 01! Pontiac Silverdome Detroit, Michigan 01! Pontiac, Michigan 081270! 81.270 17! XVII 000000001983 - 01 - 30 - 0000 30 de janeiro de 1983 Washington Redskins 02! Wa"&amp;"shington Redskins (2, 1 - 1) 2717! 27 - 17 Miami Dolphins 04! Miami Dolphins (4, 2 - 2) Rose Bowl 03! Rose Bowl (3) Los Angeles, Califórnia 05! Pasadena, Califórnia (5) 103667! 103.667 18! XVIII 000000001984 - 01 - 22 - 0000 22 de janeiro de 1984 Oakland "&amp;"Raiders 04! Los Angeles Raiders (4, 3 - 1) 3809! 38 - 9 Washington Redskins 03! Washington Redskins (3, 1 - 2) Tampa Stadium 01! Tampa Stadium Tampa, Flórida 01! Tampa, Flórida 072920! 72.920 19! XIX 000000001985 - 01 - 20 - 0000 20 de janeiro de 1985 San"&amp;" Francisco 49ers 02! San Francisco 49ers (2, 2 - 0) 3816! 38 - 16 Miami Dolphins 05! Miami Dolphins (5, 2 - 3) estádio de Stanford 01! Stanford Stadium São Francisco, Califórnia 01! Stanford, Califórnia 084059! 84.059 20! XX 000000001986 - 01 - 26 - 0000 "&amp;"26 de janeiro de 1986 Chicago Bears 01! Chicago Bears (1, 1 - 0) 4610! 46 - 10 New England Patriots 01! New England Patriots (1, 0 - 1) Louisiana Superdome 03! Louisiana Superdome (3) Nova Orleans, Louisiana 06! Nova Orleans, Louisiana (6) 073818! 73.818 "&amp;"21! XXI 000000001987 - 01 - 25 - 0000 25 de janeiro de 1987 New York Giants 01! New York Giants (1, 1 - 0) 3920! 39 - 20 Denver Broncos 02! Denver Broncos (2, 0 - 2) Rose Bowl 04! Rose Bowl (4) Los Angeles, Califórnia 06! Pasadena, Califórnia (6) 101063! "&amp;"101.063 22! XXII 000000001988 - 01 - 31 - 0000 31 de janeiro de 1988 Washington Redskins 04! Washington Redskins (4, 2 - 2) 4210! 42 - 10 Denver Broncos 03! Denver Broncos (3, 0 - 3) Estádio Qualcomm 01! SAN DIEGO - Jack Murphy Stadium San Diego, Califórn"&amp;"ia 01! San Diego, Califórnia 073302! 73.302 23! Xxiii 000000001989 - 01 - 22 - 0000 22 de janeiro de 1989 San Francisco 49ers 03! San Francisco 49ers (3, 3 - 0) 2016! 20 - 16 Cincinnati Bengals 02! Cincinnati Bengals (2, 0 - 2) Estádio de Hard Rock 01! Jo"&amp;"e Robbie Stadium Miami, Flórida 06! Miami Gardens, Flórida (6) 075129! 75.129 24! XXIV 000000001990 - 01 - 28 - 0000 28 de janeiro de 1990 San Francisco 49ers 04! San Francisco 49ers (4, 4 - 0) 5510! 55 - 10 Denver Broncos 04! Denver Broncos (4, 0 - 4) Lo"&amp;"uisiana Superdome 04! Louisiana Superdome (4) Nova Orleans, Louisiana 07! Nova Orleans, Louisiana (7) 072919! 72.919 25! XXV 000000001991 - 01 - 27 - 0000 27 de janeiro de 1991 New York Giants 02! New York Giants (2, 2 - 0) 2019! 20 - 19 Buffalo Bills 01!"&amp;" Buffalo Bills (1, 0 - 1) Tampa Stadium 02! Tampa Stadium (2) Tampa, Flórida 02! Tampa, Flórida (2) 073813! 73.813 26! XXVI 000000001992 - 01 - 26 - 0000 26 de janeiro de 1992 Washington Redskins 05! Washington Redskins (5, 3 - 2) 3724! 37 - 24 Buffalo Bi"&amp;"lls 02! Buffalo Bills (2, 0 - 2) Metrodome 01! Metrodome Minneapolis, Minnesota 01! Minneapolis, Minnesota 063130! 63.130 27! XXVII 000000001993 - 01 - 31 - 0000 31 de janeiro de 1993 Dallas Cowboys 06! Dallas Cowboys (6, 3 - 3) 5217! 52 - 17 Buffalo Bill"&amp;"s 03! Buffalo Bills (3, 0 - 3) Rose Bowl 05! Rose Bowl (5) Los Angeles, Califórnia 07! Pasadena, Califórnia (7) 098374! 98.374 28! Xxviii 000000001994 - 01 - 30 - 0000 30 de janeiro de 1994 Dallas Cowboys 07! Dallas Cowboys (7, 4 - 3) 3013! 30 - 13 Buffal"&amp;"o Bills 04! Buffalo Bills (4, 0 - 4) Georgia Dome 01! Georgia Dome Atlanta, Geórgia 01! Atlanta, Georgia 072817! 72.817 29! XXIX 000000001995 - 01 - 29 - 0000 29 de janeiro de 1995 San Francisco 49ers 05! San Francisco 49ers (5, 5 - 0) 4926! 49 - 26 San D"&amp;"iego Chargers 01! San Diego Chargers (1, 0 - 1) Estádio de Hard Rock 02! Joe Robbie Stadium (2) Miami, Flórida 07! Miami Gardens, Flórida (7) 074107! 74.107 30! XXX 000000001996 - 01 - 28 - 0000 28 de janeiro de 1996 Dallas Cowboys 08! Dallas Cowboys (8, "&amp;"5 - 3) 2717! 27 - 17 Pittsburgh Steelers 05! Pittsburgh Steelers (5, 4 - 1) Sun Devil Stadium 01! Sun Devil Stadium Phoenix, Arizona 01! Tempe, Arizona 076347! 76.347 31! XXXI 000000001997 - 01 - 26 - 0000 26 de janeiro de 1997 Green Bay Packers 03! Green"&amp;" Bay Packers (3, 3 - 0) 3521! 35 - 21 New England Patriots 02! New England Patriots (2, 0 - 2) Louisiana Superdome 05! Louisiana Superdome (5) Nova Orleans, Louisiana 08! Nova Orleans, Louisiana (8) 072301! 72.301 32! Xxxii 000000001998 - 01 - 25 - 0000 2"&amp;"5 de janeiro de 1998 Denver Broncos 05! Denver Broncos (5, 1 - 4) 3124! 31 - 24 Green Bay Packers 04! Green Bay Packers (4, 3 - 1) Qualcomm Stadium 02! Qualcomm Stadium (2) San Diego, Califórnia 02! San Diego, Califórnia (2) 068912! 68.912 33! Xxxiii 0000"&amp;"00001999 - 01 - 31 - 0000 31 de janeiro de 1999 Denver Broncos 06! Denver Broncos (6, 2 - 4) 3419! 34 - 19 Atlanta Falcons 01! Atlanta Falcons (1, 0 - 1) Estádio de Hard Rock 03! Proty Player Stadium (3) Miami, Flórida 08! Miami Gardens, Flórida (8) 07480"&amp;"3! 74.803 34! Xxxiv 000000002000 - 01 - 30 - 0000 30 de janeiro de 2000 Los Angeles Rams 02! St. Louis Rams (2, 1 - 1) 2316! 23 - 16 Tennessee Titans 01! Tennessee Titans (1, 0 - 1) Georgia Dome 02! Dome da Geórgia (2) Atlanta, Geórgia 02! Atlanta, Geórgi"&amp;"a (2) 072625! 72.625 35! XXXV 000000002001 - 01 - 28 - 0000 28 de janeiro de 2001 Baltimore Ravens 01! Baltimore Ravens (1, 1 - 0) 3407! 34 - 7 New York Giants 03! New York Giants (3, 2 - 1) Raymond James Stadium 01! Raymond James Stadium Tampa, Flórida 0"&amp;"3! Tampa, Flórida (3) 071921! 71.921 36! XXXVI 000000002002 - 02 - 03 - 0000 3 de fevereiro de 2002 New England Patriots 03! New England Patriots (3, 1 - 2) 2017! 20 - 17 Los Angeles Rams 03! St. Louis Rams (3, 1 - 2) Louisiana Superdome 06! Louisiana Sup"&amp;"erdome (6) Nova Orleans, Louisiana 09! Nova Orleans, Louisiana (9) 072922! 72.922 37! Xxxvii 000000002003 - 01 - 26 - 0000 26 de janeiro de 2003 Tampa Bay Buccaneers 01! Tampa Bay Buccaneers (1, 1 - 0) 4821! 48 - 21 Oakland Raiders 05! Oakland Raiders (5,"&amp;" 3 - 2) Qualcomm Stadium 03! Qualcomm Stadium (3) San Diego, Califórnia 03! San Diego, Califórnia (3) 067603! 67.603 38! Xxxviii 000000002004 - 02 - 01 - 0000 1 de fevereiro de 2004 New England Patriots 04! New England Patriots (4, 2 - 2) 3229! 32 - 29 Ca"&amp;"rolina Panthers 01! Carolina Panthers (1, 0 - 1) estádio NRG 01! Reliant Stadium Houston, Texas 02! Houston, Texas (2) 071525! 71.525 39! XXXIX 000000002005 - 02 - 06 - 0000 6 de fevereiro de 2005 New England Patriots 05! New England Patriots (5, 3 - 2) 2"&amp;"421! 24 - 21 Philadelphia Eagles 02! Philadelphia Eagles (2, 0 - 2) Alltel Stadium 01! Altel Stadium Jacksonville, Flórida 01! Jacksonville, Flórida 078125! 78.125 40! XL 000000002006 - 02 - 05 - 0000 5 de fevereiro de 2006 Pittsburgh Steelers 06! Pittsbu"&amp;"rgh Steelers (6, 5 - 1) 2110! 21 - 10 Seattle Seahawks 01! Seattle Seahawks (1, 0 - 1) Ford Campo 01! Ford Field Detroit, Michigan 02! Detroit, Michigan (2) 068206! 68.206 41! XLI 000000002007 - 02 - 04 - 0000 4 de fevereiro de 2007 Indianapolis Colts 03!"&amp;" Indianapolis Colts (3, 2 - 1) 2917! 29 - 17 Chicago Bears 02! Chicago Bears (2, 1 - 1) Estádio de Hard Rock 04! Dolphin Stadium (4) Miami, Flórida 09! Miami Gardens, Flórida (9) 074512! 74.512 42! XLII 000000002008 - 02 - 03 - 0000 3 de fevereiro de 2008"&amp;" New York Giants 04! New York Giants (4, 3 - 1) 1714! 17 - 14 New England Patriots 06! New England Patriots (6, 3 - 3) University of Phoenix Stadium 01! Universidade de Phoenix Stadium Phoenix, Arizona 02! Glendale, Arizona (2) 071101! 71.101 43! XLIII 00"&amp;"0000002009 - 02 - 01 - 0000 1 de fevereiro de 2009 Pittsburgh Steelers 07! Pittsburgh Steelers (7, 6 - 1) 2723! 27 - 23 Arizona Cardinals 01! Arizona Cardinals (1, 0 - 1) Raymond James Stadium 02! Raymond James Stadium (2) Tampa, Flórida 04! Tampa, Flórid"&amp;"a (4) 070774! 70.774 44! XLIV 000000002010 - 02 - 07 - 0000 7 de fevereiro de 2010 New Orleans Saints 01! Santos de Nova Orleans (1, 1 - 0) 3117! 31 - 17 Indianapolis Colts 04! Indianapolis Colts (4, 2 - 2) estádio de hard rock 05! Sun Life Stadium (5) Mi"&amp;"ami, Flórida 10! Miami Gardens, Flórida (10) 074059! 74.059 45! XLV 000000002011 - 02 - 06 - 0000 6 de fevereiro de 2011 Green Bay Packers 05! Green Bay Packers (5, 4 - 1) 3125! 31 - 25 Pittsburgh Steelers 08! Pittsburgh Steelers (8, 6 - 2) Cowboys Stadiu"&amp;"m 01! Cowboys Stadium Arlington, Texas 01! Arlington, Texas 103219! 103.219 46! XLVI 000000002012 - 02 - 05 - 0000 5 de fevereiro de 2012 New York Giants 05! New York Giants (5, 4 - 1) 2117! 21 - 17 New England Patriots 07! New England Patriots (7, 3 - 4)"&amp;" Lucas Oil Stadium 01! Lucas Oil Stadium Indianapolis, Indiana 01! Indianapolis, Indiana 068658! 68.658 47! XLVII 000000002013 - 02 - 03 - 0000 3 de fevereiro de 2013 Baltimore Ravens 02! Baltimore Ravens (2, 2 - 0) 3431! 34 - 31 San Francisco 49ers 06! S"&amp;"an Francisco 49ers (6, 5 - 1) Louisiana Superdome 07! Mercedes - Benz Superdome (7) Nova Orleans, Louisiana 10! Nova Orleans, Louisiana (10) 071024! 71.024 48! XLVIII 000000002014 - 02 - 02 - 0000 2 de fevereiro de 2014 Seattle Seahawks 02! Seattle Seahaw"&amp;"ks (2, 1 - 1) 4308! 43 - 8 Denver Broncos 07! Denver Broncos (7, 2 - 5) MetLife Stadium 01! MetLife Stadium East Rutherford, Nova Jersey 01! East Rutherford, Nova Jersey 082529! 82.529 49! XLIX 000000002015 - 02 - 01 - 0000 1 de fevereiro de 2015 New Engl"&amp;"and Patriots 08! New England Patriots (8, 4 - 4) 2824! 28 - 24 Seattle Seahawks 03! Seattle Seahawks (3, 1 - 2) Estádio da Universidade de Phoenix 02! Stadium da Universidade de Phoenix (2) Phoenix, Arizona 03! Glendale, Arizona (3) 070288! 70.288 50! 50 "&amp;"000000002016 - 02 - 07 - 0000 7 de fevereiro de 2016 Denver Broncos 08! Denver Broncos (8, 3 - 5) 2410! 24 - 10 Carolina Panthers 02! Carolina Panthers (2, 0 - 2) estádio de Levi 01! Stadium de Levi São Francisco, Califórnia 02! Santa Clara, Califórnia (2"&amp;") 071088! 71.088 51! Li 000000002017 - 02 - 05 - 0000 5 de fevereiro de 2017 New England Patriots 09! New England Patriots (9, 5 - 4) 3428! 34 - 28 (OT) Atlanta Falcons 02! Atlanta Falcons (2, 0 - 2) estádio NRG 02! NRG Stadium (2) Houston, Texas 03! Hous"&amp;"ton, Texas (3) 070807! 70.807 52! Lii 000000002018 - 02 - 04 - 0000 4 de fevereiro de 2018 Philadelphia Eagles 03! Philadelphia Eagles (3, 1 - 2) 4133! 41 - 33 New England Patriots 10! New England Patriots (10, 5 - 5) estádio bancário dos EUA 01! U.S. Ban"&amp;"k Stadium Minneapolis, Minnesota 02! Minneapolis, Minnesota (2) 067612! 67.612 53! Liii 000000002019 - 02 - 03 - 0000 3 de fevereiro de 2019 x 2019! 2018 - 19 AFC Campeão em 2018 - 19 NFC Campeão 0019! - X 2019! Para ser determinado (TBD) Mercedes - Benz "&amp;"Stadium 01! Mercedes - Benz Stadium Atlanta, Geórgia 03! Atlanta, Geórgia (3) TBD 54! LIV 000000002020 - 02 - 02 - 0000 2 de fevereiro de 2020 x 2020! 2019 - 20 Campeão da NFC em 2019 - 20 Campeão da AFC 0020! - x 2020! Ser determinado Hard Rock Stadium 0"&amp;"6! Hard Rock Stadium (6) Miami, Flórida 11! Miami Gardens, Flórida (11) TBD 55! LV 000000002021 - 02 - 07 - 0000 7 de fevereiro de 2021 x 2020! 2020 - 21 Campeão da AFC em 2020 - 21 NFC Campeão 0021! - x 2021! Ser determinado Raymond James Stadium 03! Ray"&amp;"mond James Stadium (3) Tampa, Flórida 05! Tampa, Flórida (5) TBD 56! LVI 000000002022 - 02 - 06 - 0000 6 de fevereiro de 2022 x 2021! 2021 - 22 Campeão da NFC em 2021 - 22 Campeão da AFC 0022! - x 2022! Ser determinado City of Champions Stadium 01! Los An"&amp;"geles Stadium no Hollywood Park Los Angeles, Califórnia 08! Inglewood, Califórnia (8) TBD Data do jogo venceu a partitura da equipe perdida para a equipe da equipe da cidade")</f>
        <v>   Data do jogo vencedora a partitura da equipe perdida Venue City Presença Ref 01! I 000000001967 - 01 - 15 - 0000 15 de janeiro de 1967 Green Bay Packers 01! Green Bay Packers (1, 1 - 0) 3510! 35 - 10 Kansas City Chiefs 01! Kansas City Chiefs (1, 0 - 1) Los Angeles Memorial Coliseum 01! Los Angeles Memorial Coliseum Los Angeles, Califórnia 01! Los Angeles, Califórnia 061946! 61.946 02! II 000000001968 - 01 - 14 - 0000 14 de janeiro de 1968 Green Bay Packers 02! Green Bay Packers (2, 2 - 0) 3314! 33 - 14 Oakland Raiders 01! Oakland Raiders (1, 0 - 1) Miami Orange Bowl 01! Miami Orange Bowl Miami, Flórida 01! Miami, Flórida 075546! 75.546 03! Iii 000000001969 - 01 - 12 - 0000 12 de janeiro de 1969 New York Jets 01! New York Jets (1, 1 - 0) 1607! 16 - 7 Indianapolis Colts 01! Baltimore Colts (1, 0 - 1) Miami Orange Bowl 02! Miami Orange Bowl (2) Miami, Flórida 02! Miami, Flórida (2) 075389! 75.389 04! IV 000000001970 - 01 - 11 - 0000 11 de janeiro de 1970 Kansas City Chiefs 02! Kansas City Chiefs (2, 1 - 1) 2307! 23 - 7 Minnesota Vikings 01! Minnesota Vikings (1, 0 - 1) TULANE PARTE 01! Tulane Stadium Nova Orleans, Louisiana 01! Nova Orleans, Louisiana 080562! 80.562 05! V 000000001971 - 01 - 17 - 0000 17 de janeiro de 1971 Indianapolis Colts 02! Baltimore Colts (2, 1 - 1) 1613! 16 - 13 Dallas Cowboys 01! Dallas Cowboys (1, 0 - 1) Miami Orange Bowl 03! Miami Orange Bowl (3) Miami, Flórida 03! Miami, Flórida (3) 079204! 79.204 06! VI 000000001972 - 01 - 16 - 0000 16 de janeiro de 1972 Dallas Cowboys 02! Dallas Cowboys (2, 1 - 1) 2403! 24 - 3 Miami Dolphins 01! Miami Dolphins (1, 0 - 1) TULANE PARTIOM 02! Tulane Stadium (2) Nova Orleans, Louisiana 02! Nova Orleans, Louisiana (2) 081023! 81.023 07! VII 000000001973 - 01 - 14 - 0000 14 de janeiro de 1973 Miami Dolphins 02! Miami Dolphins (2, 1 - 1) 1407! 14 - 7 Washington Redskins 01! Washington Redskins (1, 0 - 1) Los Angeles Memorial Coliseum 02! Los Angeles Memorial Coliseum (2) Los Angeles, Califórnia 02! Los Angeles, Califórnia (2) 090182! 90.182 08! VIII 000000001974 - 01 - 13 - 0000 13 de janeiro de 1974 Miami Dolphins 03! Miami Dolphins (3, 2 - 1) 2407! 24 - 7 Minnesota Vikings 02! Minnesota Vikings (2, 0 - 2) estádio de arroz 01! Rice Stadium Houston, Texas 01! Houston, Texas 071882! 71.882 09! IX 000000001975 - 01 - 12 - 0000 12 de janeiro de 1975 Pittsburgh Steelers 01! Pittsburgh Steelers (1, 1 - 0) 1606! 16 - 6 Minnesota Vikings 03! Minnesota Vikings (3, 0 - 3) Estádio Tulane 03! Tulane Stadium (3) Nova Orleans, Louisiana 03! Nova Orleans, Louisiana (3) 080997! 80.997 10! X 000000001976 - 01 - 18 - 0000 18 de janeiro de 1976 Pittsburgh Steelers 02! Pittsburgh Steelers (2, 2 - 0) 2117! 21 - 17 Dallas Cowboys 03! Dallas Cowboys (3, 1 - 2) Miami Orange Bowl 04! Miami Orange Bowl (4) Miami, Flórida 04! Miami, Flórida (4) 080187! 80.187 11! XI 000000001977 - 01 - 09 - 0000 9 de janeiro de 1977 Oakland Raiders 02! Oakland Raiders (2, 1 - 1) 3214! 32 - 14 Minnesota Vikings 04! Minnesota Vikings (4, 0 - 4) Rose Bowl 01! Rose Bowl Los Angeles, Califórnia 03! Pasadena, Califórnia (3) 103438! 103.438 12! XII 000000001978 - 01 - 15 - 0000 15 de janeiro de 1978 Dallas Cowboys 04! Dallas Cowboys (4, 2 - 2) 2710! 27 - 10 Denver Broncos 01! Denver Broncos (1, 0 - 1) Louisiana Superdome 01! Louisiana Superdome Nova Orleans, Louisiana 04! Nova Orleans, Louisiana (4) 076400! 76.400 13! XIII 000000001979 - 01 - 21 - 0000 21 de janeiro de 1979 Pittsburgh Steelers 03! Pittsburgh Steelers (3, 3 - 0) 3531! 35 - 31 Dallas Cowboys 05! Dallas Cowboys (5, 2 - 3) Miami Orange Bowl 05! Miami Orange Bowl (5) Miami, Flórida 05! Miami, Flórida (5) 079484! 79.484 14! XIV 000000001980 - 01 - 20 - 0000 20 de janeiro de 1980 Pittsburgh Steelers 04! Pittsburgh Steelers (4, 4 - 0) 3119! 31 - 19 Los Angeles Rams 01! Los Angeles Rams (1, 0 - 1) Rose Bowl 02! Rose Bowl (2) Los Angeles, Califórnia 04! Pasadena, Califórnia (4) 103985! 103.985 15! XV 000000001981 - 01 - 25 - 0000 25 de janeiro de 1981 Oakland Raiders 03! Oakland Raiders (3, 2 - 1) 2710! 27 - 10 Philadelphia Eagles 01! Philadelphia Eagles (1, 0 - 1) Louisiana Superdome 02! Louisiana Superdome (2) Nova Orleans, Louisiana 05! Nova Orleans, Louisiana (5) 076135! 76.135 16! XVI 000000001982 - 01 - 24 - 0000 24 de janeiro de 1982 San Francisco 49ers 01! San Francisco 49ers (1, 1 - 0) 2621! 26 - 21 Cincinnati Bengals 01! Cincinnati Bengals (1, 0 - 1) Pontiac Silverdome 01! Pontiac Silverdome Detroit, Michigan 01! Pontiac, Michigan 081270! 81.270 17! XVII 000000001983 - 01 - 30 - 0000 30 de janeiro de 1983 Washington Redskins 02! Washington Redskins (2, 1 - 1) 2717! 27 - 17 Miami Dolphins 04! Miami Dolphins (4, 2 - 2) Rose Bowl 03! Rose Bowl (3) Los Angeles, Califórnia 05! Pasadena, Califórnia (5) 103667! 103.667 18! XVIII 000000001984 - 01 - 22 - 0000 22 de janeiro de 1984 Oakland Raiders 04! Los Angeles Raiders (4, 3 - 1) 3809! 38 - 9 Washington Redskins 03! Washington Redskins (3, 1 - 2) Tampa Stadium 01! Tampa Stadium Tampa, Flórida 01! Tampa, Flórida 072920! 72.920 19! XIX 000000001985 - 01 - 20 - 0000 20 de janeiro de 1985 San Francisco 49ers 02! San Francisco 49ers (2, 2 - 0) 3816! 38 - 16 Miami Dolphins 05! Miami Dolphins (5, 2 - 3) estádio de Stanford 01! Stanford Stadium São Francisco, Califórnia 01! Stanford, Califórnia 084059! 84.059 20! XX 000000001986 - 01 - 26 - 0000 26 de janeiro de 1986 Chicago Bears 01! Chicago Bears (1, 1 - 0) 4610! 46 - 10 New England Patriots 01! New England Patriots (1, 0 - 1) Louisiana Superdome 03! Louisiana Superdome (3) Nova Orleans, Louisiana 06! Nova Orleans, Louisiana (6) 073818! 73.818 21! XXI 000000001987 - 01 - 25 - 0000 25 de janeiro de 1987 New York Giants 01! New York Giants (1, 1 - 0) 3920! 39 - 20 Denver Broncos 02! Denver Broncos (2, 0 - 2) Rose Bowl 04! Rose Bowl (4) Los Angeles, Califórnia 06! Pasadena, Califórnia (6) 101063! 101.063 22! XXII 000000001988 - 01 - 31 - 0000 31 de janeiro de 1988 Washington Redskins 04! Washington Redskins (4, 2 - 2) 4210! 42 - 10 Denver Broncos 03! Denver Broncos (3, 0 - 3) Estádio Qualcomm 01! SAN DIEGO - Jack Murphy Stadium San Diego, Califórnia 01! San Diego, Califórnia 073302! 73.302 23! Xxiii 000000001989 - 01 - 22 - 0000 22 de janeiro de 1989 San Francisco 49ers 03! San Francisco 49ers (3, 3 - 0) 2016! 20 - 16 Cincinnati Bengals 02! Cincinnati Bengals (2, 0 - 2) Estádio de Hard Rock 01! Joe Robbie Stadium Miami, Flórida 06! Miami Gardens, Flórida (6) 075129! 75.129 24! XXIV 000000001990 - 01 - 28 - 0000 28 de janeiro de 1990 San Francisco 49ers 04! San Francisco 49ers (4, 4 - 0) 5510! 55 - 10 Denver Broncos 04! Denver Broncos (4, 0 - 4) Louisiana Superdome 04! Louisiana Superdome (4) Nova Orleans, Louisiana 07! Nova Orleans, Louisiana (7) 072919! 72.919 25! XXV 000000001991 - 01 - 27 - 0000 27 de janeiro de 1991 New York Giants 02! New York Giants (2, 2 - 0) 2019! 20 - 19 Buffalo Bills 01! Buffalo Bills (1, 0 - 1) Tampa Stadium 02! Tampa Stadium (2) Tampa, Flórida 02! Tampa, Flórida (2) 073813! 73.813 26! XXVI 000000001992 - 01 - 26 - 0000 26 de janeiro de 1992 Washington Redskins 05! Washington Redskins (5, 3 - 2) 3724! 37 - 24 Buffalo Bills 02! Buffalo Bills (2, 0 - 2) Metrodome 01! Metrodome Minneapolis, Minnesota 01! Minneapolis, Minnesota 063130! 63.130 27! XXVII 000000001993 - 01 - 31 - 0000 31 de janeiro de 1993 Dallas Cowboys 06! Dallas Cowboys (6, 3 - 3) 5217! 52 - 17 Buffalo Bills 03! Buffalo Bills (3, 0 - 3) Rose Bowl 05! Rose Bowl (5) Los Angeles, Califórnia 07! Pasadena, Califórnia (7) 098374! 98.374 28! Xxviii 000000001994 - 01 - 30 - 0000 30 de janeiro de 1994 Dallas Cowboys 07! Dallas Cowboys (7, 4 - 3) 3013! 30 - 13 Buffalo Bills 04! Buffalo Bills (4, 0 - 4) Georgia Dome 01! Georgia Dome Atlanta, Geórgia 01! Atlanta, Georgia 072817! 72.817 29! XXIX 000000001995 - 01 - 29 - 0000 29 de janeiro de 1995 San Francisco 49ers 05! San Francisco 49ers (5, 5 - 0) 4926! 49 - 26 San Diego Chargers 01! San Diego Chargers (1, 0 - 1) Estádio de Hard Rock 02! Joe Robbie Stadium (2) Miami, Flórida 07! Miami Gardens, Flórida (7) 074107! 74.107 30! XXX 000000001996 - 01 - 28 - 0000 28 de janeiro de 1996 Dallas Cowboys 08! Dallas Cowboys (8, 5 - 3) 2717! 27 - 17 Pittsburgh Steelers 05! Pittsburgh Steelers (5, 4 - 1) Sun Devil Stadium 01! Sun Devil Stadium Phoenix, Arizona 01! Tempe, Arizona 076347! 76.347 31! XXXI 000000001997 - 01 - 26 - 0000 26 de janeiro de 1997 Green Bay Packers 03! Green Bay Packers (3, 3 - 0) 3521! 35 - 21 New England Patriots 02! New England Patriots (2, 0 - 2) Louisiana Superdome 05! Louisiana Superdome (5) Nova Orleans, Louisiana 08! Nova Orleans, Louisiana (8) 072301! 72.301 32! Xxxii 000000001998 - 01 - 25 - 0000 25 de janeiro de 1998 Denver Broncos 05! Denver Broncos (5, 1 - 4) 3124! 31 - 24 Green Bay Packers 04! Green Bay Packers (4, 3 - 1) Qualcomm Stadium 02! Qualcomm Stadium (2) San Diego, Califórnia 02! San Diego, Califórnia (2) 068912! 68.912 33! Xxxiii 000000001999 - 01 - 31 - 0000 31 de janeiro de 1999 Denver Broncos 06! Denver Broncos (6, 2 - 4) 3419! 34 - 19 Atlanta Falcons 01! Atlanta Falcons (1, 0 - 1) Estádio de Hard Rock 03! Proty Player Stadium (3) Miami, Flórida 08! Miami Gardens, Flórida (8) 074803! 74.803 34! Xxxiv 000000002000 - 01 - 30 - 0000 30 de janeiro de 2000 Los Angeles Rams 02! St. Louis Rams (2, 1 - 1) 2316! 23 - 16 Tennessee Titans 01! Tennessee Titans (1, 0 - 1) Georgia Dome 02! Dome da Geórgia (2) Atlanta, Geórgia 02! Atlanta, Geórgia (2) 072625! 72.625 35! XXXV 000000002001 - 01 - 28 - 0000 28 de janeiro de 2001 Baltimore Ravens 01! Baltimore Ravens (1, 1 - 0) 3407! 34 - 7 New York Giants 03! New York Giants (3, 2 - 1) Raymond James Stadium 01! Raymond James Stadium Tampa, Flórida 03! Tampa, Flórida (3) 071921! 71.921 36! XXXVI 000000002002 - 02 - 03 - 0000 3 de fevereiro de 2002 New England Patriots 03! New England Patriots (3, 1 - 2) 2017! 20 - 17 Los Angeles Rams 03! St. Louis Rams (3, 1 - 2) Louisiana Superdome 06! Louisiana Superdome (6) Nova Orleans, Louisiana 09! Nova Orleans, Louisiana (9) 072922! 72.922 37! Xxxvii 000000002003 - 01 - 26 - 0000 26 de janeiro de 2003 Tampa Bay Buccaneers 01! Tampa Bay Buccaneers (1, 1 - 0) 4821! 48 - 21 Oakland Raiders 05! Oakland Raiders (5, 3 - 2) Qualcomm Stadium 03! Qualcomm Stadium (3) San Diego, Califórnia 03! San Diego, Califórnia (3) 067603! 67.603 38! Xxxviii 000000002004 - 02 - 01 - 0000 1 de fevereiro de 2004 New England Patriots 04! New England Patriots (4, 2 - 2) 3229! 32 - 29 Carolina Panthers 01! Carolina Panthers (1, 0 - 1) estádio NRG 01! Reliant Stadium Houston, Texas 02! Houston, Texas (2) 071525! 71.525 39! XXXIX 000000002005 - 02 - 06 - 0000 6 de fevereiro de 2005 New England Patriots 05! New England Patriots (5, 3 - 2) 2421! 24 - 21 Philadelphia Eagles 02! Philadelphia Eagles (2, 0 - 2) Alltel Stadium 01! Altel Stadium Jacksonville, Flórida 01! Jacksonville, Flórida 078125! 78.125 40! XL 000000002006 - 02 - 05 - 0000 5 de fevereiro de 2006 Pittsburgh Steelers 06! Pittsburgh Steelers (6, 5 - 1) 2110! 21 - 10 Seattle Seahawks 01! Seattle Seahawks (1, 0 - 1) Ford Campo 01! Ford Field Detroit, Michigan 02! Detroit, Michigan (2) 068206! 68.206 41! XLI 000000002007 - 02 - 04 - 0000 4 de fevereiro de 2007 Indianapolis Colts 03! Indianapolis Colts (3, 2 - 1) 2917! 29 - 17 Chicago Bears 02! Chicago Bears (2, 1 - 1) Estádio de Hard Rock 04! Dolphin Stadium (4) Miami, Flórida 09! Miami Gardens, Flórida (9) 074512! 74.512 42! XLII 000000002008 - 02 - 03 - 0000 3 de fevereiro de 2008 New York Giants 04! New York Giants (4, 3 - 1) 1714! 17 - 14 New England Patriots 06! New England Patriots (6, 3 - 3) University of Phoenix Stadium 01! Universidade de Phoenix Stadium Phoenix, Arizona 02! Glendale, Arizona (2) 071101! 71.101 43! XLIII 000000002009 - 02 - 01 - 0000 1 de fevereiro de 2009 Pittsburgh Steelers 07! Pittsburgh Steelers (7, 6 - 1) 2723! 27 - 23 Arizona Cardinals 01! Arizona Cardinals (1, 0 - 1) Raymond James Stadium 02! Raymond James Stadium (2) Tampa, Flórida 04! Tampa, Flórida (4) 070774! 70.774 44! XLIV 000000002010 - 02 - 07 - 0000 7 de fevereiro de 2010 New Orleans Saints 01! Santos de Nova Orleans (1, 1 - 0) 3117! 31 - 17 Indianapolis Colts 04! Indianapolis Colts (4, 2 - 2) estádio de hard rock 05! Sun Life Stadium (5) Miami, Flórida 10! Miami Gardens, Flórida (10) 074059! 74.059 45! XLV 000000002011 - 02 - 06 - 0000 6 de fevereiro de 2011 Green Bay Packers 05! Green Bay Packers (5, 4 - 1) 3125! 31 - 25 Pittsburgh Steelers 08! Pittsburgh Steelers (8, 6 - 2) Cowboys Stadium 01! Cowboys Stadium Arlington, Texas 01! Arlington, Texas 103219! 103.219 46! XLVI 000000002012 - 02 - 05 - 0000 5 de fevereiro de 2012 New York Giants 05! New York Giants (5, 4 - 1) 2117! 21 - 17 New England Patriots 07! New England Patriots (7, 3 - 4) Lucas Oil Stadium 01! Lucas Oil Stadium Indianapolis, Indiana 01! Indianapolis, Indiana 068658! 68.658 47! XLVII 000000002013 - 02 - 03 - 0000 3 de fevereiro de 2013 Baltimore Ravens 02! Baltimore Ravens (2, 2 - 0) 3431! 34 - 31 San Francisco 49ers 06! San Francisco 49ers (6, 5 - 1) Louisiana Superdome 07! Mercedes - Benz Superdome (7) Nova Orleans, Louisiana 10! Nova Orleans, Louisiana (10) 071024! 71.024 48! XLVIII 000000002014 - 02 - 02 - 0000 2 de fevereiro de 2014 Seattle Seahawks 02! Seattle Seahawks (2, 1 - 1) 4308! 43 - 8 Denver Broncos 07! Denver Broncos (7, 2 - 5) MetLife Stadium 01! MetLife Stadium East Rutherford, Nova Jersey 01! East Rutherford, Nova Jersey 082529! 82.529 49! XLIX 000000002015 - 02 - 01 - 0000 1 de fevereiro de 2015 New England Patriots 08! New England Patriots (8, 4 - 4) 2824! 28 - 24 Seattle Seahawks 03! Seattle Seahawks (3, 1 - 2) Estádio da Universidade de Phoenix 02! Stadium da Universidade de Phoenix (2) Phoenix, Arizona 03! Glendale, Arizona (3) 070288! 70.288 50! 50 000000002016 - 02 - 07 - 0000 7 de fevereiro de 2016 Denver Broncos 08! Denver Broncos (8, 3 - 5) 2410! 24 - 10 Carolina Panthers 02! Carolina Panthers (2, 0 - 2) estádio de Levi 01! Stadium de Levi São Francisco, Califórnia 02! Santa Clara, Califórnia (2) 071088! 71.088 51! Li 000000002017 - 02 - 05 - 0000 5 de fevereiro de 2017 New England Patriots 09! New England Patriots (9, 5 - 4) 3428! 34 - 28 (OT) Atlanta Falcons 02! Atlanta Falcons (2, 0 - 2) estádio NRG 02! NRG Stadium (2) Houston, Texas 03! Houston, Texas (3) 070807! 70.807 52! Lii 000000002018 - 02 - 04 - 0000 4 de fevereiro de 2018 Philadelphia Eagles 03! Philadelphia Eagles (3, 1 - 2) 4133! 41 - 33 New England Patriots 10! New England Patriots (10, 5 - 5) estádio bancário dos EUA 01! U.S. Bank Stadium Minneapolis, Minnesota 02! Minneapolis, Minnesota (2) 067612! 67.612 53! Liii 000000002019 - 02 - 03 - 0000 3 de fevereiro de 2019 x 2019! 2018 - 19 AFC Campeão em 2018 - 19 NFC Campeão 0019! - X 2019! Para ser determinado (TBD) Mercedes - Benz Stadium 01! Mercedes - Benz Stadium Atlanta, Geórgia 03! Atlanta, Geórgia (3) TBD 54! LIV 000000002020 - 02 - 02 - 0000 2 de fevereiro de 2020 x 2020! 2019 - 20 Campeão da NFC em 2019 - 20 Campeão da AFC 0020! - x 2020! Ser determinado Hard Rock Stadium 06! Hard Rock Stadium (6) Miami, Flórida 11! Miami Gardens, Flórida (11) TBD 55! LV 000000002021 - 02 - 07 - 0000 7 de fevereiro de 2021 x 2020! 2020 - 21 Campeão da AFC em 2020 - 21 NFC Campeão 0021! - x 2021! Ser determinado Raymond James Stadium 03! Raymond James Stadium (3) Tampa, Flórida 05! Tampa, Flórida (5) TBD 56! LVI 000000002022 - 02 - 06 - 0000 6 de fevereiro de 2022 x 2021! 2021 - 22 Campeão da NFC em 2021 - 22 Campeão da AFC 0022! - x 2022! Ser determinado City of Champions Stadium 01! Los Angeles Stadium no Hollywood Park Los Angeles, Califórnia 08! Inglewood, Califórnia (8) TBD Data do jogo venceu a partitura da equipe perdida para a equipe da equipe da cidade</v>
      </c>
    </row>
    <row r="284" customFormat="false" ht="15.75" hidden="false" customHeight="true" outlineLevel="0" collapsed="false">
      <c r="A284" s="3" t="n">
        <v>281</v>
      </c>
      <c r="B284" s="5" t="s">
        <v>846</v>
      </c>
      <c r="C284" s="5" t="s">
        <v>847</v>
      </c>
      <c r="D284" s="5" t="s">
        <v>848</v>
      </c>
      <c r="E284" s="4" t="str">
        <f aca="false">IFERROR(__xludf.dummyfunction("GOOGLETRANSLATE(C285)"),"Quantos assinantes para obter um botão de reprodução de prata")</f>
        <v>Quantos assinantes para obter um botão de reprodução de prata</v>
      </c>
      <c r="F284" s="5" t="str">
        <f aca="false">IFERROR(__xludf.dummyfunction("GOOGLETRANSLATE(D284)"),"   Round Pick Posição Posição da equipe de nacionalidade Equipe / equipe de clube Oden, Greg Greg Oden Estados Unidos Portland Trail Blazers Estado de Ohio (fr.) Durant, Kevin Kevin Durant * SF Estados Unidos Seattle Supersonics Texas (fr.) Horford, Al Al"&amp;" Horford República Dominicana Atlanta Atlanta Hawks Florida (Jr.) Conley, Mike Mike Conley PG Estados Unidos Memphis Grizzlies Ohio State (fr.) 5 Green, Jeff Jeff Green SF Estados Unidos Boston Celtics (negociado com Seattle) Georgetown (Jr.) 6 Yi, Jianli"&amp;"an Yi Jianlian Pf China Milwaukee Bucks Guangdong Southern Tigers (China) 7 Brewer, Corey Corey Brewer SF Estados Unidos Minnesota Timberwolves Flórida (Jr.) 8 Wright, Brandan Brandan Wright PF PF Estados Unidos Charlotte Bobcats (negociado para Golden St"&amp;"ate) North Carolina (fr.) , Joakim Joakim Noah France Estados Unidos Chicago Bulls (de Nova York) Flórida (jr. ) 10 Hawes, Spencer Spencer Hawes dos Estados Unidos Sacramento Kings Washington (fr.) 11 Direito, Acie Law Pg Estados Unidos Atlanta Hawks (de "&amp;"Indiana) Texas A&amp;M (sr.) 12 Young, Thaddeus Thaddeus Young PF PF Philadelphia 76ers Georgia Tech Tech (Fr.) 13 Wright, Julian Julian Wright SF Estados Unidos New Orleans Hornets Kansas (So.) 14 Thornton, Al Al Thornton SF Estados Unidos Los Angeles Clippe"&amp;"rs State da Flórida (sr.) 15 Stuckey, Rodney Rodney Stuckey SGET Estados Unidos Detroit Pistons (de Orlando) Oriental Washington (So.) 16 Young, Nick Young SG Estados Unidos Washington Wizards USC (Jr.) 17 Williams, Sean Williams PF Estados Unidos New Jer"&amp;"sey Nets Boston College (Jr.) 18 Belinelli, Marco Marco Belinelli SG Itália Golden State Warriors Fortitudo Bolonha (Itália) 19 Crittenton, Javaris Javaris Crittenton PG Estados Unidos Los Angeles Lakers Georgia Tech (fr. ) 20 Smith, Jason Jason Smith PF "&amp;"Estados Unidos Miami Heat (negociado para a Filadélfia) Estado do Colorado (Jr.) 21 Cook, Daequan Daequan Cook SG Estados Unidos Philadelphia 76ers (de Denver, negociado para Miami) Ohio State (fr.) 22 Dudley , Jared Jared Dudley SF Estados Unidos Charlot"&amp;"te Bobcats (de Toronto via Cleveland) Boston College (sr.) 23 Chandler, Wilson Wilson Chandler SF Estados Unidos New York Knicks (de Chicago) DePaul (So.) 24 Fernándos, Rudy Fernández Phoenix Suns (de Cleveland via Boston, negociado para Portland) Joventu"&amp;"t Badalona (Espanha) 25 Almond, Morris Morris Almond SG Estados Unidos Rice Jazz Jazz (sr.) 26 Brooks, Aaron Aaron Brooks PG dos Estados Unidos Houston Rockets Oregon (sr.) 27 Afflalo, Arron Arron Afflalo SG Estados Unidos Detroit Pistons UCLA (Jr.) 28 Sp"&amp;"litter, Tiago Tiago Brasil Brasil San Antonio Spurs Tau Cerámica (Espanha) 29 Tucker, Alando Alando Tucker SF Estados Unidos Phoenix Wisconsin (Sr. ) 30 Koponen, Petteri Petteri Koponen SG Finlândia Philadelphia 76ers (de Dallas via Golden State e Denver,"&amp;" negociado para Portland) Tapiolan Honka (Finlândia) 31 Landry, Carl Carl Landry PF PF Estados Unidos Seattle Supersonics (de Memphis, Traduzido a Houston) Purdue ( Sr.) 32 Pruitt, Gabe Gabe Pruitt PG Estados Unidos Boston Celtics USC (Jr.) 33 Williams, M"&amp;"arcus Marcus Williams SF Estados Unidos San Antonio Spurs (de Milwaukee) Arizona (So.) 34 Fazekas, Nick Nick Fazekas Pf Dallas Unitidas Mavericks (de Atlanta) Nevada (sr.) 35 Davis, Glen Glen Davis PF Estados Unidos Seattle Supersonics (negociado com Bost"&amp;"on) LSU (Jr.) 36 Davidson, Jermareo Jermareo Davidson PF Os Estados Unidos Golden State Warris (de Minnesota, negociado para Charlotte ) Alabama (sr.) 37 McRoberts, Josh Josh McRoberts PF Estados Unidos Portland Trail Blazers Duke (SO. )       38   Fesenk"&amp;"o , Kyrylo Kyrylo Fesenko     Ukraine   Philadelphia 76ers ( from New York via Chicago , traded to Utah )   SK Cherkassy ( Ukraine ) )       39   Barać , Stanko Stanko Barać     Croatia   Miami Heat ( from Sacramento via Utah and Orlando , traded to India"&amp;"na )   Široki Brijeg ( Bosnia and Herzegovina )       40   Sun , Yue Sun Yue   SF   China   Los Angeles Lakers ( from Charlotte )   Beijing Olympians ( ABA )       41   Richard , Chris Chris Richard   PF   United States   Minnesota Timberwolves ( from Phi"&amp;"ladelphia )   Florida ( Sr . )       42   Byars , Derrick Derrick BYARS SG Estados Unidos Portland Trail Blazers (de Indiana, negociado para a Filadélfia) Vanderbilt (sr.) 43 Haluska, Adam Adam Haluska SG Estados Unidos New Orleans Hornets Iowa (sr.) 44 T"&amp;"erry, Reyshawn Reyshawn Terry SF Estados Unidos Orlando Magic (TRADED para Dallas) Carolina do Norte (sr.) 45 Jordânia, Jared Jared Jordan PG Estados Unidos Los Angeles Clippers Marist (sr. ) 46 LASME, Stephane Stephane lasme PF Gabão Golden State Warrior"&amp;"s (de Nova Jersey) Massachusetts (sr.) 47 McGuire, Dominic Dominic McGuire SF Estados Unidos Washington Wizards Fresno State (JR.) 48 Gasol, Marc Marc Gasol Spain Los Lers. traded to Memphis )   Akasvayu Girona ( Spain )       49   Gray , Aaron Aaron Gray"&amp;"     United States   Chicago Bulls ( from Golden State via Phoenix , Boston and Denver )   Pittsburgh ( Sr . )       50   Seibutis , Renaldas Renaldas Seibutis   SG   Lithuania   Dallas Mavericks ( from Miami via L.A. Lakers) Maroussi (Grécia) 51 Curry, J"&amp;"ameson Jameson Curry Pg Bulls de Chicago dos Estados Unidos (de Denver) Oklahoma State (JR.) 52 Green, Taurean Green Pg Georgia Portland Trail Blazers (de Toronto) Flórida (Jr.) 53 Nichols, Demetris Demetris Nichols SF Blazers de Trail Estados Unidos (de "&amp;"Chicago, negociado para Nova York) Syracuse (sr. ) 54 Newley, Brad Brad Newley SF Australia Houston Rockets (de Cleveland via Orlando) Crocodilos de Townsville (Austrália) 55 Hill, Herbert Herbert Hill PF Estados Unidos Utah Jazz (negociado com Filadélfia"&amp;") Providence (sr.) 56 sessões, Ramon Ramon Ramon Sessions Pg United States   Milwaukee Bucks ( from Houston )   Nevada ( Jr . )       57   Mejia , Sammy Sammy Mejia   SG   Dominican Republic   Detroit Pistons   DePaul ( Sr . )       58   Printezis , Giorg"&amp;"os Giorgos Printezis   PF   Greece   San Antonio Spurs ( traded to Toronto )   Olympia Larissa ( Greece ) 59 Strawberry, D.J. D.J. Strawberry pg Estados Unidos Phoenix Suns Maryland (sr.) 60 Raković, Milovan Milovan Raković Sérbia Dallas Mavericks (negoci"&amp;"ada para Orlando) Mega Ishrana (Sérvia)")</f>
        <v>   Round Pick Posição Posição da equipe de nacionalidade Equipe / equipe de clube Oden, Greg Greg Oden Estados Unidos Portland Trail Blazers Estado de Ohio (fr.) Durant, Kevin Kevin Durant * SF Estados Unidos Seattle Supersonics Texas (fr.) Horford, Al Al Horford República Dominicana Atlanta Atlanta Hawks Florida (Jr.) Conley, Mike Mike Conley PG Estados Unidos Memphis Grizzlies Ohio State (fr.) 5 Green, Jeff Jeff Green SF Estados Unidos Boston Celtics (negociado com Seattle) Georgetown (Jr.) 6 Yi, Jianlian Yi Jianlian Pf China Milwaukee Bucks Guangdong Southern Tigers (China) 7 Brewer, Corey Corey Brewer SF Estados Unidos Minnesota Timberwolves Flórida (Jr.) 8 Wright, Brandan Brandan Wright PF PF Estados Unidos Charlotte Bobcats (negociado para Golden State) North Carolina (fr.) , Joakim Joakim Noah France Estados Unidos Chicago Bulls (de Nova York) Flórida (jr. ) 10 Hawes, Spencer Spencer Hawes dos Estados Unidos Sacramento Kings Washington (fr.) 11 Direito, Acie Law Pg Estados Unidos Atlanta Hawks (de Indiana) Texas A&amp;M (sr.) 12 Young, Thaddeus Thaddeus Young PF PF Philadelphia 76ers Georgia Tech Tech (Fr.) 13 Wright, Julian Julian Wright SF Estados Unidos New Orleans Hornets Kansas (So.) 14 Thornton, Al Al Thornton SF Estados Unidos Los Angeles Clippers State da Flórida (sr.) 15 Stuckey, Rodney Rodney Stuckey SGET Estados Unidos Detroit Pistons (de Orlando) Oriental Washington (So.) 16 Young, Nick Young SG Estados Unidos Washington Wizards USC (Jr.) 17 Williams, Sean Williams PF Estados Unidos New Jersey Nets Boston College (Jr.) 18 Belinelli, Marco Marco Belinelli SG Itália Golden State Warriors Fortitudo Bolonha (Itália) 19 Crittenton, Javaris Javaris Crittenton PG Estados Unidos Los Angeles Lakers Georgia Tech (fr. ) 20 Smith, Jason Jason Smith PF Estados Unidos Miami Heat (negociado para a Filadélfia) Estado do Colorado (Jr.) 21 Cook, Daequan Daequan Cook SG Estados Unidos Philadelphia 76ers (de Denver, negociado para Miami) Ohio State (fr.) 22 Dudley , Jared Jared Dudley SF Estados Unidos Charlotte Bobcats (de Toronto via Cleveland) Boston College (sr.) 23 Chandler, Wilson Wilson Chandler SF Estados Unidos New York Knicks (de Chicago) DePaul (So.) 24 Fernándos, Rudy Fernández Phoenix Suns (de Cleveland via Boston, negociado para Portland) Joventut Badalona (Espanha) 25 Almond, Morris Morris Almond SG Estados Unidos Rice Jazz Jazz (sr.) 26 Brooks, Aaron Aaron Brooks PG dos Estados Unidos Houston Rockets Oregon (sr.) 27 Afflalo, Arron Arron Afflalo SG Estados Unidos Detroit Pistons UCLA (Jr.) 28 Splitter, Tiago Tiago Brasil Brasil San Antonio Spurs Tau Cerámica (Espanha) 29 Tucker, Alando Alando Tucker SF Estados Unidos Phoenix Wisconsin (Sr. ) 30 Koponen, Petteri Petteri Koponen SG Finlândia Philadelphia 76ers (de Dallas via Golden State e Denver, negociado para Portland) Tapiolan Honka (Finlândia) 31 Landry, Carl Carl Landry PF PF Estados Unidos Seattle Supersonics (de Memphis, Traduzido a Houston) Purdue ( Sr.) 32 Pruitt, Gabe Gabe Pruitt PG Estados Unidos Boston Celtics USC (Jr.) 33 Williams, Marcus Marcus Williams SF Estados Unidos San Antonio Spurs (de Milwaukee) Arizona (So.) 34 Fazekas, Nick Nick Fazekas Pf Dallas Unitidas Mavericks (de Atlanta) Nevada (sr.) 35 Davis, Glen Glen Davis PF Estados Unidos Seattle Supersonics (negociado com Boston) LSU (Jr.) 36 Davidson, Jermareo Jermareo Davidson PF Os Estados Unidos Golden State Warris (de Minnesota, negociado para Charlotte ) Alabama (sr.) 37 McRoberts, Josh Josh McRoberts PF Estados Unidos Portland Trail Blazers Duke (SO. )       38   Fesenko , Kyrylo Kyrylo Fesenko     Ukraine   Philadelphia 76ers ( from New York via Chicago , traded to Utah )   SK Cherkassy ( Ukraine ) )       39   Barać , Stanko Stanko Barać     Croatia   Miami Heat ( from Sacramento via Utah and Orlando , traded to Indiana )   Široki Brijeg ( Bosnia and Herzegovina )       40   Sun , Yue Sun Yue   SF   China   Los Angeles Lakers ( from Charlotte )   Beijing Olympians ( ABA )       41   Richard , Chris Chris Richard   PF   United States   Minnesota Timberwolves ( from Philadelphia )   Florida ( Sr . )       42   Byars , Derrick Derrick BYARS SG Estados Unidos Portland Trail Blazers (de Indiana, negociado para a Filadélfia) Vanderbilt (sr.) 43 Haluska, Adam Adam Haluska SG Estados Unidos New Orleans Hornets Iowa (sr.) 44 Terry, Reyshawn Reyshawn Terry SF Estados Unidos Orlando Magic (TRADED para Dallas) Carolina do Norte (sr.) 45 Jordânia, Jared Jared Jordan PG Estados Unidos Los Angeles Clippers Marist (sr. ) 46 LASME, Stephane Stephane lasme PF Gabão Golden State Warriors (de Nova Jersey) Massachusetts (sr.) 47 McGuire, Dominic Dominic McGuire SF Estados Unidos Washington Wizards Fresno State (JR.) 48 Gasol, Marc Marc Gasol Spain Los Lers. traded to Memphis )   Akasvayu Girona ( Spain )       49   Gray , Aaron Aaron Gray     United States   Chicago Bulls ( from Golden State via Phoenix , Boston and Denver )   Pittsburgh ( Sr . )       50   Seibutis , Renaldas Renaldas Seibutis   SG   Lithuania   Dallas Mavericks ( from Miami via L.A. Lakers) Maroussi (Grécia) 51 Curry, Jameson Jameson Curry Pg Bulls de Chicago dos Estados Unidos (de Denver) Oklahoma State (JR.) 52 Green, Taurean Green Pg Georgia Portland Trail Blazers (de Toronto) Flórida (Jr.) 53 Nichols, Demetris Demetris Nichols SF Blazers de Trail Estados Unidos (de Chicago, negociado para Nova York) Syracuse (sr. ) 54 Newley, Brad Brad Newley SF Australia Houston Rockets (de Cleveland via Orlando) Crocodilos de Townsville (Austrália) 55 Hill, Herbert Herbert Hill PF Estados Unidos Utah Jazz (negociado com Filadélfia) Providence (sr.) 56 sessões, Ramon Ramon Ramon Sessions Pg United States   Milwaukee Bucks ( from Houston )   Nevada ( Jr . )       57   Mejia , Sammy Sammy Mejia   SG   Dominican Republic   Detroit Pistons   DePaul ( Sr . )       58   Printezis , Giorgos Giorgos Printezis   PF   Greece   San Antonio Spurs ( traded to Toronto )   Olympia Larissa ( Greece ) 59 Strawberry, D.J. D.J. Strawberry pg Estados Unidos Phoenix Suns Maryland (sr.) 60 Raković, Milovan Milovan Raković Sérbia Dallas Mavericks (negociada para Orlando) Mega Ishrana (Sérvia)</v>
      </c>
    </row>
    <row r="285" customFormat="false" ht="15.75" hidden="false" customHeight="true" outlineLevel="0" collapsed="false">
      <c r="A285" s="3" t="n">
        <v>282</v>
      </c>
      <c r="B285" s="5" t="s">
        <v>849</v>
      </c>
      <c r="C285" s="5" t="s">
        <v>850</v>
      </c>
      <c r="D285" s="5" t="s">
        <v>851</v>
      </c>
      <c r="E285" s="4" t="str">
        <f aca="false">IFERROR(__xludf.dummyfunction("GOOGLETRANSLATE(C286)"),"quem escreveu os oceanos da música onde os pés podem falhar")</f>
        <v>quem escreveu os oceanos da música onde os pés podem falhar</v>
      </c>
      <c r="F285" s="5" t="str">
        <f aca="false">IFERROR(__xludf.dummyfunction("GOOGLETRANSLATE(D285)")," O botão de reprodução de prata, para canais que superam 100.000 assinantes. Versão antiga feita de cobre banhado a níquel - liga de níquel.")</f>
        <v> O botão de reprodução de prata, para canais que superam 100.000 assinantes. Versão antiga feita de cobre banhado a níquel - liga de níquel.</v>
      </c>
    </row>
    <row r="286" customFormat="false" ht="15.75" hidden="false" customHeight="true" outlineLevel="0" collapsed="false">
      <c r="A286" s="3" t="n">
        <v>283</v>
      </c>
      <c r="B286" s="5" t="s">
        <v>852</v>
      </c>
      <c r="C286" s="5" t="s">
        <v>853</v>
      </c>
      <c r="D286" s="5" t="s">
        <v>854</v>
      </c>
      <c r="E286" s="4" t="str">
        <f aca="false">IFERROR(__xludf.dummyfunction("GOOGLETRANSLATE(C287)"),"Quando foi introduzido o livre movimento na UE")</f>
        <v>Quando foi introduzido o livre movimento na UE</v>
      </c>
      <c r="F286" s="5" t="str">
        <f aca="false">IFERROR(__xludf.dummyfunction("GOOGLETRANSLATE(D286)"),"   `` Oceanos (onde os pés podem falhar) '' Single de Hillsong United do álbum Zion Lançado em 23 de agosto de 2013 (2013 - 08 - 23) Download digital download gravado 2013 Gênero Length 8: 55 (versão do álbum) 4: 09 (Rádio Versão) Label Hillsong Capitol C"&amp;"MG Songwriter Matt Crocker Joel Houston Salomon Ligthelm Produtor (S) Michael Guy Chislett Hillsong United Singles Chronology `` Scandal of Grace '' (2013) `` Oceanos (onde os pés May) '' (2013 ) `` Touch the Sky '' (2015) `` Scandal of Grace '' (2013) ``"&amp;" Oceanos (onde os pés podem falhar) '' (2013) `` Touch the Sky '' (2015)")</f>
        <v>   `` Oceanos (onde os pés podem falhar) '' Single de Hillsong United do álbum Zion Lançado em 23 de agosto de 2013 (2013 - 08 - 23) Download digital download gravado 2013 Gênero Length 8: 55 (versão do álbum) 4: 09 (Rádio Versão) Label Hillsong Capitol CMG Songwriter Matt Crocker Joel Houston Salomon Ligthelm Produtor (S) Michael Guy Chislett Hillsong United Singles Chronology `` Scandal of Grace '' (2013) `` Oceanos (onde os pés May) '' (2013 ) `` Touch the Sky '' (2015) `` Scandal of Grace '' (2013) `` Oceanos (onde os pés podem falhar) '' (2013) `` Touch the Sky '' (2015)</v>
      </c>
    </row>
    <row r="287" customFormat="false" ht="15.75" hidden="false" customHeight="true" outlineLevel="0" collapsed="false">
      <c r="A287" s="3" t="n">
        <v>284</v>
      </c>
      <c r="B287" s="5" t="s">
        <v>855</v>
      </c>
      <c r="C287" s="5" t="s">
        <v>856</v>
      </c>
      <c r="D287" s="5" t="s">
        <v>857</v>
      </c>
      <c r="E287" s="4" t="str">
        <f aca="false">IFERROR(__xludf.dummyfunction("GOOGLETRANSLATE(C288)"),"Qual é a grande cruz em Effingham Illinois")</f>
        <v>Qual é a grande cruz em Effingham Illinois</v>
      </c>
      <c r="F287" s="5" t="str">
        <f aca="false">IFERROR(__xludf.dummyfunction("GOOGLETRANSLATE(D287)")," O Tratado de Paris (1951), estabelecendo a comunidade européia de carvão e siderúrgica, estabeleceu o direito à livre circulação para os trabalhadores nessas indústrias e o Tratado de Roma (1957) forneceu o direito à livre circulação de trabalhadores na "&amp;"comunidade econômica européia. A Diretiva 2004/38 / CE, à direita de se mover e residir livremente, reunindo livremente os diferentes aspectos do direito do movimento em um documento, substituindo inter alia a diretiva 1968/660 / EEC. Também esclarece que"&amp;"stões processuais e fortalece os direitos dos membros da família de cidadãos europeus usando a liberdade de movimento. De acordo com o local oficial do Parlamento Europeu, a explicação da liberdade dos trabalhadores é a seguinte:")</f>
        <v> O Tratado de Paris (1951), estabelecendo a comunidade européia de carvão e siderúrgica, estabeleceu o direito à livre circulação para os trabalhadores nessas indústrias e o Tratado de Roma (1957) forneceu o direito à livre circulação de trabalhadores na comunidade econômica européia. A Diretiva 2004/38 / CE, à direita de se mover e residir livremente, reunindo livremente os diferentes aspectos do direito do movimento em um documento, substituindo inter alia a diretiva 1968/660 / EEC. Também esclarece questões processuais e fortalece os direitos dos membros da família de cidadãos europeus usando a liberdade de movimento. De acordo com o local oficial do Parlamento Europeu, a explicação da liberdade dos trabalhadores é a seguinte:</v>
      </c>
    </row>
    <row r="288" customFormat="false" ht="15.75" hidden="false" customHeight="true" outlineLevel="0" collapsed="false">
      <c r="A288" s="3" t="n">
        <v>285</v>
      </c>
      <c r="B288" s="5" t="s">
        <v>858</v>
      </c>
      <c r="C288" s="5" t="s">
        <v>859</v>
      </c>
      <c r="D288" s="5" t="s">
        <v>860</v>
      </c>
      <c r="E288" s="4" t="str">
        <f aca="false">IFERROR(__xludf.dummyfunction("GOOGLETRANSLATE(C289)"),"Quando a doença do pé e da boca começou a começar")</f>
        <v>Quando a doença do pé e da boca começou a começar</v>
      </c>
      <c r="F288" s="5" t="str">
        <f aca="false">IFERROR(__xludf.dummyfunction("GOOGLETRANSLATE(D288)")," Uma cruz de aço de 198 - pés (60 m) erguida pela Fundação Cross está localizada em Effingham. A cruz é feita de mais de 180 toneladas de aço e custa mais de US $ 1 milhão. A Fundação Cross afirma que a cruz é a `` maior '' nos Estados Unidos em 198 - 60 "&amp;"m com um período de 113 pés (34 m). Enquanto a grande cruz de 208 pés (63 m) em Santo Agostinho, na Flórida, acredita -se ser a cruz mais alta do Hemisfério Ocidental, é mais fino que a cruz em Effingham e tem uma extensão estreita.")</f>
        <v> Uma cruz de aço de 198 - pés (60 m) erguida pela Fundação Cross está localizada em Effingham. A cruz é feita de mais de 180 toneladas de aço e custa mais de US $ 1 milhão. A Fundação Cross afirma que a cruz é a `` maior '' nos Estados Unidos em 198 - 60 m com um período de 113 pés (34 m). Enquanto a grande cruz de 208 pés (63 m) em Santo Agostinho, na Flórida, acredita -se ser a cruz mais alta do Hemisfério Ocidental, é mais fino que a cruz em Effingham e tem uma extensão estreita.</v>
      </c>
    </row>
    <row r="289" customFormat="false" ht="15.75" hidden="false" customHeight="true" outlineLevel="0" collapsed="false">
      <c r="A289" s="3" t="n">
        <v>286</v>
      </c>
      <c r="B289" s="5" t="s">
        <v>861</v>
      </c>
      <c r="C289" s="5" t="s">
        <v>862</v>
      </c>
      <c r="D289" s="5" t="s">
        <v>863</v>
      </c>
      <c r="E289" s="4" t="str">
        <f aca="false">IFERROR(__xludf.dummyfunction("GOOGLETRANSLATE(C290)"),"Lista das maiores cidades do estado de Nova York")</f>
        <v>Lista das maiores cidades do estado de Nova York</v>
      </c>
      <c r="F289" s="5" t="str">
        <f aca="false">IFERROR(__xludf.dummyfunction("GOOGLETRANSLATE(D289)")," Os casos de HFMD foram descritos clinicamente no Canadá e na Nova Zelândia em 1957. A doença foi denominada `` doenças do pé e da boca '', por Thomas Henry Flewett, após um surto semelhante em 1960.")</f>
        <v> Os casos de HFMD foram descritos clinicamente no Canadá e na Nova Zelândia em 1957. A doença foi denominada `` doenças do pé e da boca '', por Thomas Henry Flewett, após um surto semelhante em 1960.</v>
      </c>
    </row>
    <row r="290" customFormat="false" ht="15.75" hidden="false" customHeight="true" outlineLevel="0" collapsed="false">
      <c r="A290" s="3" t="n">
        <v>287</v>
      </c>
      <c r="B290" s="5" t="s">
        <v>864</v>
      </c>
      <c r="C290" s="5" t="s">
        <v>865</v>
      </c>
      <c r="D290" s="5" t="s">
        <v>866</v>
      </c>
      <c r="E290" s="4" t="str">
        <f aca="false">IFERROR(__xludf.dummyfunction("GOOGLETRANSLATE(C291)"),"quem desistiu do primeiro home run de Mickey Mantle")</f>
        <v>quem desistiu do primeiro home run de Mickey Mantle</v>
      </c>
      <c r="F290" s="5" t="str">
        <f aca="false">IFERROR(__xludf.dummyfunction("GOOGLETRANSLATE(D290)"),"   City   County   Population ( 2011 census estimate )   Incorporation date   FIPS code ( subdivision )   FIPS code ( place )   GNIS feature ID     Albany   Albany   97,660   1686   3600101000   3601000   00978659     Amsterdam   Montgomery   18,507   183"&amp;"0   3605702066   3602066   00978677     Auburn   Cayuga   27,590   1848   3601103078   3603078   00978695     Batavia   Genesee   15,444   1915   3603704715   3604715 00978713     Beacon   Dutchess   15,565   1913   3602705100   3605100   00978716     Bin"&amp;"ghamton   Broome   46,996   1867   3600706607   3606607   00978733     Buffalo   Erie   261,025   1832   3602911000   3611000   00978764     Canandaigua   Ontario   10,604   1913   3606912144   3612144   00978784     Cohoes   Albany   16,133   1869   3600"&amp;"116749   3616749   00978847     Corning   Steuben   11,187   1890   3610118256   3618256   00978867     Cortland   Cortland   19,212   1900   3602318388   3618388   00978870 Dunkirk   Chautauqua   12,511   1888   3601321105   3621105   00978911     Elmira"&amp;"   Chemung   29,204   1864   3601524229   3624229   00978938     Fulton   Oswego   11,906   1902   3607527815   3627815   00978979     Geneva   Ontario Seneca   13,324   1898   3606928640 3609928640   3628640   00978992     Glen Cove   Nassau   27,063   1"&amp;"918   3605929113   3629113   00979003     Glens Falls   Warren   14,728   1908   3611329333   3629333   00979004     Gloversville   Fulton   15,621   1890 3603529443   3629443   00979006     Hornell   Steuben   8,566   1888   3610135672   3635672   009790"&amp;"78     Hudson   Columbia   6,657   1785   3602135969   3635969   00979083     Ithaca   Tompkins   30,054   1888   3610938077   3638077   00979099     Jamestown   Chautauqua   31,020   1886   3601338264   3638264   00979102     Johnstown   Fulton   8,718  "&amp;" 1895   3603538781   3638781   00979110     Kingston   Ulster   23,887   1872   3611139727   3639727   00979118     Lackawanna   Erie   18,121   1909   3602940189 3640189 00979124 Little Falls Herkimer 5.188 1895 3604342741 3642741 00979157 LOCKPORT NIAGA"&amp;"RA 21.119 1865 3606343082 3643082 00979164 Praia longa Mechanicville Saratoga 5.227 1915 3609146360 3646360 00979207 Middletown Orange 28.243 1888 3607147042 3647042 00979217 Mount Vernon 477,780 1892 36119494921217 77,606   1889   3611950617   3650617   "&amp;"00979271     New York City   Bronx , Kings , New York , Queens , and Richmond   8,550,405   1653     3651000   02395220     Newburgh   Orange   29,026   1865   3607150034   3650034   00979258     Niagara Falls   Niagara   50,086   1892   3606351055   3651"&amp;"055   00979276     North Tonawanda   Niagara   31,501   1897   3606353682   3653682   00979293     Norwich   Chenango   7,139   1914 3601753979   3653979   00979296     Ogdensburg   St. Lawrence   11,104   1868   3608954485   3654485   00979301     Olean "&amp;"  Cattaraugus   14,363   1854   3600954716   3654716   00979305     Oneida   Madison   11,387   1901   3605354837   3654837   00979308     Oneonta   Otsego   13,843   1908   3607754881   3654881   00979309     Oswego   Oswego   18,158   1848   3607555574 "&amp;"  3655574   00979325     Peekskill   Westchester   23,755   1940   3611956979   3656979   00979348     Plattsburgh   Clinton   19,949 1902 3601958574 3658574 00979376 PORT JERVIS ORANGE 8.878 1907 3607159388 3659388 00979387 Poughkeepsie Dutchess 32,790 1"&amp;"854 3602759641 3659641 3097015999999999999999999999999999999999999999999999999999999999999999999999999999999999990970SIE ROPSIE 32.790 1854 3602759641 3659641 8361148 3661148 00979414 Rochester Monroe 210.855 1834 3605563000 3663000 00979426 Roma Oneida 3"&amp;"3.6660 1870 3606563418 363418 00979430 Ryee 156563418 Salamanca Cattaraugus 5.780 1913   3600964749   3664749   00979450     Saratoga Springs   Saratoga   26,727   1915   3609165255   3665255   00979462     Schenectady   Schenectady   66,273   1798   3609"&amp;"365508   3665508   00979468     Sherrill   Oneida   3,147   1916   3606566993   3666993   00979493     Syracuse   Onondaga   145,151   1848   3606773000   3673000   00979539     Tonawanda   Erie   15,112   1904   3602974166   3674166   00979550     Troy  "&amp;" Rensselaer   50,120   1816   3608375484   3675484   00979559     Utica   Oneida   62,110 1832   3606576540   3676540   00979575     Watertown   Jefferson   27,423   1869   3604578608   3678608   00979604     Watervliet   Albany   10,230   1896   36001786"&amp;"74   3678674   00979606     White Plains   Westchester   57,258   1916   3611981677   3681677   00979637     Yonkers   Westchester   197,399   1872   3611984000   3684000   00979660")</f>
        <v>   City   County   Population ( 2011 census estimate )   Incorporation date   FIPS code ( subdivision )   FIPS code ( place )   GNIS feature ID     Albany   Albany   97,660   1686   3600101000   3601000   00978659     Amsterdam   Montgomery   18,507   1830   3605702066   3602066   00978677     Auburn   Cayuga   27,590   1848   3601103078   3603078   00978695     Batavia   Genesee   15,444   1915   3603704715   3604715 00978713     Beacon   Dutchess   15,565   1913   3602705100   3605100   00978716     Binghamton   Broome   46,996   1867   3600706607   3606607   00978733     Buffalo   Erie   261,025   1832   3602911000   3611000   00978764     Canandaigua   Ontario   10,604   1913   3606912144   3612144   00978784     Cohoes   Albany   16,133   1869   3600116749   3616749   00978847     Corning   Steuben   11,187   1890   3610118256   3618256   00978867     Cortland   Cortland   19,212   1900   3602318388   3618388   00978870 Dunkirk   Chautauqua   12,511   1888   3601321105   3621105   00978911     Elmira   Chemung   29,204   1864   3601524229   3624229   00978938     Fulton   Oswego   11,906   1902   3607527815   3627815   00978979     Geneva   Ontario Seneca   13,324   1898   3606928640 3609928640   3628640   00978992     Glen Cove   Nassau   27,063   1918   3605929113   3629113   00979003     Glens Falls   Warren   14,728   1908   3611329333   3629333   00979004     Gloversville   Fulton   15,621   1890 3603529443   3629443   00979006     Hornell   Steuben   8,566   1888   3610135672   3635672   00979078     Hudson   Columbia   6,657   1785   3602135969   3635969   00979083     Ithaca   Tompkins   30,054   1888   3610938077   3638077   00979099     Jamestown   Chautauqua   31,020   1886   3601338264   3638264   00979102     Johnstown   Fulton   8,718   1895   3603538781   3638781   00979110     Kingston   Ulster   23,887   1872   3611139727   3639727   00979118     Lackawanna   Erie   18,121   1909   3602940189 3640189 00979124 Little Falls Herkimer 5.188 1895 3604342741 3642741 00979157 LOCKPORT NIAGARA 21.119 1865 3606343082 3643082 00979164 Praia longa Mechanicville Saratoga 5.227 1915 3609146360 3646360 00979207 Middletown Orange 28.243 1888 3607147042 3647042 00979217 Mount Vernon 477,780 1892 36119494921217 77,606   1889   3611950617   3650617   00979271     New York City   Bronx , Kings , New York , Queens , and Richmond   8,550,405   1653     3651000   02395220     Newburgh   Orange   29,026   1865   3607150034   3650034   00979258     Niagara Falls   Niagara   50,086   1892   3606351055   3651055   00979276     North Tonawanda   Niagara   31,501   1897   3606353682   3653682   00979293     Norwich   Chenango   7,139   1914 3601753979   3653979   00979296     Ogdensburg   St. Lawrence   11,104   1868   3608954485   3654485   00979301     Olean   Cattaraugus   14,363   1854   3600954716   3654716   00979305     Oneida   Madison   11,387   1901   3605354837   3654837   00979308     Oneonta   Otsego   13,843   1908   3607754881   3654881   00979309     Oswego   Oswego   18,158   1848   3607555574   3655574   00979325     Peekskill   Westchester   23,755   1940   3611956979   3656979   00979348     Plattsburgh   Clinton   19,949 1902 3601958574 3658574 00979376 PORT JERVIS ORANGE 8.878 1907 3607159388 3659388 00979387 Poughkeepsie Dutchess 32,790 1854 3602759641 3659641 3097015999999999999999999999999999999999999999999999999999999999999999999999999999999999990970SIE ROPSIE 32.790 1854 3602759641 3659641 8361148 3661148 00979414 Rochester Monroe 210.855 1834 3605563000 3663000 00979426 Roma Oneida 33.6660 1870 3606563418 363418 00979430 Ryee 156563418 Salamanca Cattaraugus 5.780 1913   3600964749   3664749   00979450     Saratoga Springs   Saratoga   26,727   1915   3609165255   3665255   00979462     Schenectady   Schenectady   66,273   1798   3609365508   3665508   00979468     Sherrill   Oneida   3,147   1916   3606566993   3666993   00979493     Syracuse   Onondaga   145,151   1848   3606773000   3673000   00979539     Tonawanda   Erie   15,112   1904   3602974166   3674166   00979550     Troy   Rensselaer   50,120   1816   3608375484   3675484   00979559     Utica   Oneida   62,110 1832   3606576540   3676540   00979575     Watertown   Jefferson   27,423   1869   3604578608   3678608   00979604     Watervliet   Albany   10,230   1896   3600178674   3678674   00979606     White Plains   Westchester   57,258   1916   3611981677   3681677   00979637     Yonkers   Westchester   197,399   1872   3611984000   3684000   00979660</v>
      </c>
    </row>
    <row r="291" customFormat="false" ht="15.75" hidden="false" customHeight="true" outlineLevel="0" collapsed="false">
      <c r="A291" s="3" t="n">
        <v>288</v>
      </c>
      <c r="B291" s="5" t="s">
        <v>867</v>
      </c>
      <c r="C291" s="5" t="s">
        <v>868</v>
      </c>
      <c r="D291" s="5" t="s">
        <v>869</v>
      </c>
      <c r="E291" s="4" t="str">
        <f aca="false">IFERROR(__xludf.dummyfunction("GOOGLETRANSLATE(C292)"),"Qual era o significado de Marbury vs Madison")</f>
        <v>Qual era o significado de Marbury vs Madison</v>
      </c>
      <c r="F291" s="5" t="str">
        <f aca="false">IFERROR(__xludf.dummyfunction("GOOGLETRANSLATE(D291)")," Em 1º de maio de 1951, Gumpert tornou -se parte da história do beisebol, pois permitiu o primeiro home run de Mickey Mantle. 1951 também vi Gumpert fazer sua única aparência de estrela, na qual ele não lançou. Em 13 de novembro de 1951, Gumpert foi negoc"&amp;"iado junto com Don Lenhardt para o Boston Red Sox para Mel Hoderlein e Chuck Stobbs. Depois de jogar 10 jogos pelo Red Sox, ele foi negociado novamente, desta vez para os senadores de Washington com Walt Masterson para Sid Hudson.")</f>
        <v> Em 1º de maio de 1951, Gumpert tornou -se parte da história do beisebol, pois permitiu o primeiro home run de Mickey Mantle. 1951 também vi Gumpert fazer sua única aparência de estrela, na qual ele não lançou. Em 13 de novembro de 1951, Gumpert foi negociado junto com Don Lenhardt para o Boston Red Sox para Mel Hoderlein e Chuck Stobbs. Depois de jogar 10 jogos pelo Red Sox, ele foi negociado novamente, desta vez para os senadores de Washington com Walt Masterson para Sid Hudson.</v>
      </c>
    </row>
    <row r="292" customFormat="false" ht="15.75" hidden="false" customHeight="true" outlineLevel="0" collapsed="false">
      <c r="A292" s="3" t="n">
        <v>289</v>
      </c>
      <c r="B292" s="5" t="s">
        <v>870</v>
      </c>
      <c r="C292" s="5" t="s">
        <v>871</v>
      </c>
      <c r="D292" s="5" t="s">
        <v>872</v>
      </c>
      <c r="E292" s="4" t="str">
        <f aca="false">IFERROR(__xludf.dummyfunction("GOOGLETRANSLATE(C293)"),"quanto dinheiro o turismo traz para o Nepal")</f>
        <v>quanto dinheiro o turismo traz para o Nepal</v>
      </c>
      <c r="F292" s="5" t="str">
        <f aca="false">IFERROR(__xludf.dummyfunction("GOOGLETRANSLATE(D292)")," Marbury v. Madison, 5 U.S. (1 Cranch) 137 (1803), foi um caso da Suprema Corte dos EUA que estabeleceu o princípio da revisão judicial nos Estados Unidos, o que significa que os tribunais americanos têm o poder de derrubar leis, estatutos e executivos Aç"&amp;"ões que violam a Constituição dos EUA. A decisão marcante do tribunal, emitida em 1803, ajudou a definir a fronteira entre os ramos executivos e judiciais constitucionalmente separados da forma americana de governo.")</f>
        <v> Marbury v. Madison, 5 U.S. (1 Cranch) 137 (1803), foi um caso da Suprema Corte dos EUA que estabeleceu o princípio da revisão judicial nos Estados Unidos, o que significa que os tribunais americanos têm o poder de derrubar leis, estatutos e executivos Ações que violam a Constituição dos EUA. A decisão marcante do tribunal, emitida em 1803, ajudou a definir a fronteira entre os ramos executivos e judiciais constitucionalmente separados da forma americana de governo.</v>
      </c>
    </row>
    <row r="293" customFormat="false" ht="15.75" hidden="false" customHeight="true" outlineLevel="0" collapsed="false">
      <c r="A293" s="3" t="n">
        <v>290</v>
      </c>
      <c r="B293" s="5" t="s">
        <v>873</v>
      </c>
      <c r="C293" s="5" t="s">
        <v>874</v>
      </c>
      <c r="D293" s="5" t="s">
        <v>875</v>
      </c>
      <c r="E293" s="4" t="str">
        <f aca="false">IFERROR(__xludf.dummyfunction("GOOGLETRANSLATE(C294)"),"quem tinha a maior economia do mundo em 2014")</f>
        <v>quem tinha a maior economia do mundo em 2014</v>
      </c>
      <c r="F293" s="5" t="str">
        <f aca="false">IFERROR(__xludf.dummyfunction("GOOGLETRANSLATE(D293)")," O Monte Everest, o pico da montanha mais alto do mundo, está localizado no Nepal. Montanhismo e outros tipos de turismo de aventura e ecoturismo são atrações importantes para os visitantes. O Patrimônio Mundial Lumbini, local de nascimento de Gautama Bud"&amp;"a, está localizado no sul da região oeste do Nepal (que apesar do nome está localizado no centro do país) e há outros importantes locais de peregrinação religiosa em todo o país. A indústria turística é vista como uma maneira de aliviar a pobreza e obter "&amp;"maior equidade social no país. O turismo traz US $ 471 MA ano para o Nepal.")</f>
        <v> O Monte Everest, o pico da montanha mais alto do mundo, está localizado no Nepal. Montanhismo e outros tipos de turismo de aventura e ecoturismo são atrações importantes para os visitantes. O Patrimônio Mundial Lumbini, local de nascimento de Gautama Buda, está localizado no sul da região oeste do Nepal (que apesar do nome está localizado no centro do país) e há outros importantes locais de peregrinação religiosa em todo o país. A indústria turística é vista como uma maneira de aliviar a pobreza e obter maior equidade social no país. O turismo traz US $ 471 MA ano para o Nepal.</v>
      </c>
    </row>
    <row r="294" customFormat="false" ht="15.75" hidden="false" customHeight="true" outlineLevel="0" collapsed="false">
      <c r="A294" s="3" t="n">
        <v>291</v>
      </c>
      <c r="B294" s="5" t="s">
        <v>876</v>
      </c>
      <c r="C294" s="5" t="s">
        <v>877</v>
      </c>
      <c r="D294" s="5" t="s">
        <v>878</v>
      </c>
      <c r="E294" s="4" t="str">
        <f aca="false">IFERROR(__xludf.dummyfunction("GOOGLETRANSLATE(C295)"),"Quais são os três ramos do governo nos Estados Unidos")</f>
        <v>Quais são os três ramos do governo nos Estados Unidos</v>
      </c>
      <c r="F294" s="5" t="str">
        <f aca="false">IFERROR(__xludf.dummyfunction("GOOGLETRANSLATE(D294)")," Embora o ranking das economias nacionais tenha mudado consideravelmente ao longo do tempo, os Estados Unidos mantiveram sua posição superior desde a idade dourada, um período de tempo em que sua economia viu uma rápida expansão, superando o Império Britâ"&amp;"nico e a dinastia Qing na produção agregada. Desde a transição da China para uma economia baseada em mercado por meio de privatização e desregulamentação, o país viu seu aumento no nono em 1978 para o segundo para apenas os Estados Unidos em 2016, à medid"&amp;"a que o crescimento econômico acelerou e sua participação no PIB nominal global subiu de 2 % em 1980 a 15 % em 2016. A Índia também experimentou um boom econômico semelhante desde a implementação da liberalização econômica no início dos anos 90. Quando as"&amp;" entidades supranacionais são incluídas, a União Europeia é a segunda maior economia do mundo. Foi o maior de 2004, quando dez países ingressaram no sindicato até 2014, após o que foi superado pelos Estados Unidos.")</f>
        <v> Embora o ranking das economias nacionais tenha mudado consideravelmente ao longo do tempo, os Estados Unidos mantiveram sua posição superior desde a idade dourada, um período de tempo em que sua economia viu uma rápida expansão, superando o Império Britânico e a dinastia Qing na produção agregada. Desde a transição da China para uma economia baseada em mercado por meio de privatização e desregulamentação, o país viu seu aumento no nono em 1978 para o segundo para apenas os Estados Unidos em 2016, à medida que o crescimento econômico acelerou e sua participação no PIB nominal global subiu de 2 % em 1980 a 15 % em 2016. A Índia também experimentou um boom econômico semelhante desde a implementação da liberalização econômica no início dos anos 90. Quando as entidades supranacionais são incluídas, a União Europeia é a segunda maior economia do mundo. Foi o maior de 2004, quando dez países ingressaram no sindicato até 2014, após o que foi superado pelos Estados Unidos.</v>
      </c>
    </row>
    <row r="295" customFormat="false" ht="15.75" hidden="false" customHeight="true" outlineLevel="0" collapsed="false">
      <c r="A295" s="3" t="n">
        <v>292</v>
      </c>
      <c r="B295" s="5" t="s">
        <v>879</v>
      </c>
      <c r="C295" s="5" t="s">
        <v>880</v>
      </c>
      <c r="D295" s="5" t="s">
        <v>881</v>
      </c>
      <c r="E295" s="4" t="str">
        <f aca="false">IFERROR(__xludf.dummyfunction("GOOGLETRANSLATE(C296)"),"Quem está ganhando os Cowboys ou os Redskins")</f>
        <v>Quem está ganhando os Cowboys ou os Redskins</v>
      </c>
      <c r="F295" s="5" t="str">
        <f aca="false">IFERROR(__xludf.dummyfunction("GOOGLETRANSLATE(D295)")," O governo federal dos Estados Unidos (governo federal dos EUA) é o governo nacional dos Estados Unidos, uma república na América do Norte, composta por 50 estados, um distrito, Washington, DC (capital do país) e vários territórios. O governo federal é co"&amp;"mposto por três ramos distintos: legislativo, executivo e judicial, cujos poderes são investidos pela Constituição dos EUA no Congresso, pelo Presidente e pelos tribunais federais, respectivamente. Os poderes e deveres desses ramos são definidos ainda mai"&amp;"s pelos atos do Congresso, incluindo a criação de departamentos executivos e tribunais inferiores à Suprema Corte.")</f>
        <v> O governo federal dos Estados Unidos (governo federal dos EUA) é o governo nacional dos Estados Unidos, uma república na América do Norte, composta por 50 estados, um distrito, Washington, DC (capital do país) e vários territórios. O governo federal é composto por três ramos distintos: legislativo, executivo e judicial, cujos poderes são investidos pela Constituição dos EUA no Congresso, pelo Presidente e pelos tribunais federais, respectivamente. Os poderes e deveres desses ramos são definidos ainda mais pelos atos do Congresso, incluindo a criação de departamentos executivos e tribunais inferiores à Suprema Corte.</v>
      </c>
    </row>
    <row r="296" customFormat="false" ht="15.75" hidden="false" customHeight="true" outlineLevel="0" collapsed="false">
      <c r="A296" s="3" t="n">
        <v>293</v>
      </c>
      <c r="B296" s="5" t="s">
        <v>882</v>
      </c>
      <c r="C296" s="5" t="s">
        <v>883</v>
      </c>
      <c r="D296" s="5" t="s">
        <v>884</v>
      </c>
      <c r="E296" s="4" t="str">
        <f aca="false">IFERROR(__xludf.dummyfunction("GOOGLETRANSLATE(C297)"),"O que o HHR representa em um Chevy")</f>
        <v>O que o HHR representa em um Chevy</v>
      </c>
      <c r="F296" s="5" t="str">
        <f aca="false">IFERROR(__xludf.dummyfunction("GOOGLETRANSLATE(D296)"),"     Cowboys vence Redskins ganha lancho para o Cowboys Points Redskins Pontos da temporada regular 70 42 2.594 2.162 pós -temporada 0 0 20 57 Total 70 44 2.614 2,219")</f>
        <v>     Cowboys vence Redskins ganha lancho para o Cowboys Points Redskins Pontos da temporada regular 70 42 2.594 2.162 pós -temporada 0 0 20 57 Total 70 44 2.614 2,219</v>
      </c>
    </row>
    <row r="297" customFormat="false" ht="15.75" hidden="false" customHeight="true" outlineLevel="0" collapsed="false">
      <c r="A297" s="3" t="n">
        <v>294</v>
      </c>
      <c r="B297" s="5" t="s">
        <v>885</v>
      </c>
      <c r="C297" s="5" t="s">
        <v>886</v>
      </c>
      <c r="D297" s="5" t="s">
        <v>887</v>
      </c>
      <c r="E297" s="4" t="str">
        <f aca="false">IFERROR(__xludf.dummyfunction("GOOGLETRANSLATE(C298)"),"Quando foi o manuscrito sobrevivente mais antigo de Beowulf escrito")</f>
        <v>Quando foi o manuscrito sobrevivente mais antigo de Beowulf escrito</v>
      </c>
      <c r="F297" s="5" t="str">
        <f aca="false">IFERROR(__xludf.dummyfunction("GOOGLETRANSLATE(D297)")," O nome HHR é um inicialismo para o telhado alto do patrimônio.")</f>
        <v> O nome HHR é um inicialismo para o telhado alto do patrimônio.</v>
      </c>
    </row>
    <row r="298" customFormat="false" ht="15.75" hidden="false" customHeight="true" outlineLevel="0" collapsed="false">
      <c r="A298" s="3" t="n">
        <v>295</v>
      </c>
      <c r="B298" s="5" t="s">
        <v>888</v>
      </c>
      <c r="C298" s="5" t="s">
        <v>889</v>
      </c>
      <c r="D298" s="5" t="s">
        <v>890</v>
      </c>
      <c r="E298" s="4" t="str">
        <f aca="false">IFERROR(__xludf.dummyfunction("GOOGLETRANSLATE(C299)"),"quem canta a música, desculpe por te decepcionar")</f>
        <v>quem canta a música, desculpe por te decepcionar</v>
      </c>
      <c r="F298" s="5" t="str">
        <f aca="false">IFERROR(__xludf.dummyfunction("GOOGLETRANSLATE(D298)"),"   Primeira página de Beowulf de Beowulf em Cotton Vitellius A. XV Autor (s) Desconhecido Idioma Desconhecido Sáxão Ocidental Dialeto do inglês antigo Data c. 700 - 1000 AD (data do poema), c. 975 - 1010 dC (data do manuscrito) O manuscrito do estado de e"&amp;"xistência sofreu danos causados ​​pelo incêndio em 1731 Manuscrito (s) algodão Vitellius A. xv edição impressa primeiro edição thorkelin (1815) gênero de poesia heroica heroica heroica versículo forma aliterativa de comprimento c. 3182 Linhas sujeitas as "&amp;"batalhas de Beowulf, o herói geatista, em jovens e personagens de velhice Beowulf, Hygelac, Hrothgar, WealhÞeow, Hrothulf, Æschere, Uncerth, Grendel, Mãe de Grendel, Wiglaf, Hildeburh.")</f>
        <v>   Primeira página de Beowulf de Beowulf em Cotton Vitellius A. XV Autor (s) Desconhecido Idioma Desconhecido Sáxão Ocidental Dialeto do inglês antigo Data c. 700 - 1000 AD (data do poema), c. 975 - 1010 dC (data do manuscrito) O manuscrito do estado de existência sofreu danos causados ​​pelo incêndio em 1731 Manuscrito (s) algodão Vitellius A. xv edição impressa primeiro edição thorkelin (1815) gênero de poesia heroica heroica heroica versículo forma aliterativa de comprimento c. 3182 Linhas sujeitas as batalhas de Beowulf, o herói geatista, em jovens e personagens de velhice Beowulf, Hygelac, Hrothgar, WealhÞeow, Hrothulf, Æschere, Uncerth, Grendel, Mãe de Grendel, Wiglaf, Hildeburh.</v>
      </c>
    </row>
    <row r="299" customFormat="false" ht="15.75" hidden="false" customHeight="true" outlineLevel="0" collapsed="false">
      <c r="A299" s="3" t="n">
        <v>296</v>
      </c>
      <c r="B299" s="5" t="s">
        <v>891</v>
      </c>
      <c r="C299" s="5" t="s">
        <v>892</v>
      </c>
      <c r="D299" s="5" t="s">
        <v>893</v>
      </c>
      <c r="E299" s="4" t="str">
        <f aca="false">IFERROR(__xludf.dummyfunction("GOOGLETRANSLATE(C300)"),"Quando foi o primeiro bloco de torre construído na Inglaterra")</f>
        <v>Quando foi o primeiro bloco de torre construído na Inglaterra</v>
      </c>
      <c r="F299" s="5" t="str">
        <f aca="false">IFERROR(__xludf.dummyfunction("GOOGLETRANSLATE(D299)")," `` Decepcionar você '' é uma música do artista e compositor da American Christian Hip Hop NF. Ele serve como o terceiro single de seu terceiro álbum de estúdio, Perception, e foi lançado em 14 de setembro de 2017, para download e streaming digital, inclu"&amp;"indo um vídeo de áudio. É seu primeiro single número 1 na parada de músicas cristãs quentes. É sua primeira música a ser certificada em ouro pela RIAA.")</f>
        <v> `` Decepcionar você '' é uma música do artista e compositor da American Christian Hip Hop NF. Ele serve como o terceiro single de seu terceiro álbum de estúdio, Perception, e foi lançado em 14 de setembro de 2017, para download e streaming digital, incluindo um vídeo de áudio. É seu primeiro single número 1 na parada de músicas cristãs quentes. É sua primeira música a ser certificada em ouro pela RIAA.</v>
      </c>
    </row>
    <row r="300" customFormat="false" ht="15.75" hidden="false" customHeight="true" outlineLevel="0" collapsed="false">
      <c r="A300" s="3" t="n">
        <v>297</v>
      </c>
      <c r="B300" s="5" t="s">
        <v>894</v>
      </c>
      <c r="C300" s="5" t="s">
        <v>895</v>
      </c>
      <c r="D300" s="5" t="s">
        <v>896</v>
      </c>
      <c r="E300" s="4" t="str">
        <f aca="false">IFERROR(__xludf.dummyfunction("GOOGLETRANSLATE(C301)"),"que escreveu sobre o idílico 'Ilha de Innisfree'")</f>
        <v>que escreveu sobre o idílico 'Ilha de Innisfree'</v>
      </c>
      <c r="F300" s="5" t="str">
        <f aca="false">IFERROR(__xludf.dummyfunction("GOOGLETRANSLATE(D300)")," Os blocos de torre começaram a ser construídos na Grã -Bretanha após a Segunda Guerra Mundial. O primeiro bloco residencial da torre, `` The Lawn '' foi construído em Harlow, Essex, em 1951; Agora é um edifício listado por Grau II. Em muitos casos, os bl"&amp;"ocos de torre foram vistos como um `` rápido - corrigir '' para curar problemas causados ​​por residências desmoronadas e insalubres do século XIX ou para substituir edifícios destruídos pelo bombardeio aéreo alemão. Argumentou -se que as torres cercadas "&amp;"por espaço público aberto poderiam fornecer a mesma densidade populacional que as moradias e pequenos jardins particulares que substituíram, oferecendo salas maiores e vistas aprimoradas enquanto são mais baratas para serem construídas.")</f>
        <v> Os blocos de torre começaram a ser construídos na Grã -Bretanha após a Segunda Guerra Mundial. O primeiro bloco residencial da torre, `` The Lawn '' foi construído em Harlow, Essex, em 1951; Agora é um edifício listado por Grau II. Em muitos casos, os blocos de torre foram vistos como um `` rápido - corrigir '' para curar problemas causados ​​por residências desmoronadas e insalubres do século XIX ou para substituir edifícios destruídos pelo bombardeio aéreo alemão. Argumentou -se que as torres cercadas por espaço público aberto poderiam fornecer a mesma densidade populacional que as moradias e pequenos jardins particulares que substituíram, oferecendo salas maiores e vistas aprimoradas enquanto são mais baratas para serem construídas.</v>
      </c>
    </row>
    <row r="301" customFormat="false" ht="15.75" hidden="false" customHeight="true" outlineLevel="0" collapsed="false">
      <c r="A301" s="3" t="n">
        <v>298</v>
      </c>
      <c r="B301" s="5" t="s">
        <v>897</v>
      </c>
      <c r="C301" s="5" t="s">
        <v>898</v>
      </c>
      <c r="D301" s="5" t="s">
        <v>899</v>
      </c>
      <c r="E301" s="4" t="str">
        <f aca="false">IFERROR(__xludf.dummyfunction("GOOGLETRANSLATE(C302)"),"Quantos anos você tem que ter no Texas para possuir uma arma")</f>
        <v>Quantos anos você tem que ter no Texas para possuir uma arma</v>
      </c>
      <c r="F301" s="5" t="str">
        <f aca="false">IFERROR(__xludf.dummyfunction("GOOGLETRANSLATE(D301)")," `` The Lake Isle of Innisfree '' é um poema de doze - linha composto por três quadras escritas por William Butler Yeats em 1888 e publicada pela primeira vez no National Observer em 1890. Foi reimpresso na condessa Kathleen e em várias lendas e letras em"&amp;" 1892 e como uma ilustração da Cuala Press Broadside em 1932.")</f>
        <v> `` The Lake Isle of Innisfree '' é um poema de doze - linha composto por três quadras escritas por William Butler Yeats em 1888 e publicada pela primeira vez no National Observer em 1890. Foi reimpresso na condessa Kathleen e em várias lendas e letras em 1892 e como uma ilustração da Cuala Press Broadside em 1932.</v>
      </c>
    </row>
    <row r="302" customFormat="false" ht="15.75" hidden="false" customHeight="true" outlineLevel="0" collapsed="false">
      <c r="A302" s="3" t="n">
        <v>299</v>
      </c>
      <c r="B302" s="5" t="s">
        <v>900</v>
      </c>
      <c r="C302" s="5" t="s">
        <v>901</v>
      </c>
      <c r="D302" s="5" t="s">
        <v>902</v>
      </c>
      <c r="E302" s="4" t="str">
        <f aca="false">IFERROR(__xludf.dummyfunction("GOOGLETRANSLATE(C303)"),"que foi enviado para a Inglaterra para converter os anglo-saxões pagãos")</f>
        <v>que foi enviado para a Inglaterra para converter os anglo-saxões pagãos</v>
      </c>
      <c r="F302" s="5" t="str">
        <f aca="false">IFERROR(__xludf.dummyfunction("GOOGLETRANSLATE(D302)")," O Texas não tem leis sobre posse de arma de fogo, independentemente da idade, sem condenações por crime; Todas as restrições existentes na lei estadual refletem a lei federal. Uma pessoa de qualquer idade, exceto certos criminosos, pode possuir uma arma "&amp;"de fogo, como em uma faixa de tiro. O Texas e a lei federal apenas regulam a propriedade de todas as armas de fogo aos 18 anos de idade ou mais e regulam a transferência de armas de fogo para 21 anos ou mais pelos revendedores da FFL. No entanto, um cidad"&amp;"ão particular pode vender, presente, arrendamento etc. Uma arma para qualquer pessoa com mais de 18 anos que não é criminoso. As armas da NFA também estão sujeitas apenas a restrições federais; Não existem regulamentos estaduais. As ordenanças municipais "&amp;"e municipais de posse e transporte geralmente são substituídas (antecipadas) devido à redação da Constituição do Texas, que dá ao Legislativo do Texas (e sozinho) o poder de `` regular o uso de armas, com o objetivo de prevenir o crime ''. O Código Penal "&amp;"Seção 1.08 também proíbe as jurisdições locais de promulgar ou aplicar qualquer lei que conflite com o estatuto do estado. As ordenanças locais que restringem a descarga de uma arma de fogo são geralmente permitidas, pois a lei estadual tem pouca ou nenhu"&amp;"ma especificação, mas essas restrições não impedem a lei estadual sobre a justificação do uso da força e da força mortal.")</f>
        <v> O Texas não tem leis sobre posse de arma de fogo, independentemente da idade, sem condenações por crime; Todas as restrições existentes na lei estadual refletem a lei federal. Uma pessoa de qualquer idade, exceto certos criminosos, pode possuir uma arma de fogo, como em uma faixa de tiro. O Texas e a lei federal apenas regulam a propriedade de todas as armas de fogo aos 18 anos de idade ou mais e regulam a transferência de armas de fogo para 21 anos ou mais pelos revendedores da FFL. No entanto, um cidadão particular pode vender, presente, arrendamento etc. Uma arma para qualquer pessoa com mais de 18 anos que não é criminoso. As armas da NFA também estão sujeitas apenas a restrições federais; Não existem regulamentos estaduais. As ordenanças municipais e municipais de posse e transporte geralmente são substituídas (antecipadas) devido à redação da Constituição do Texas, que dá ao Legislativo do Texas (e sozinho) o poder de `` regular o uso de armas, com o objetivo de prevenir o crime ''. O Código Penal Seção 1.08 também proíbe as jurisdições locais de promulgar ou aplicar qualquer lei que conflite com o estatuto do estado. As ordenanças locais que restringem a descarga de uma arma de fogo são geralmente permitidas, pois a lei estadual tem pouca ou nenhuma especificação, mas essas restrições não impedem a lei estadual sobre a justificação do uso da força e da força mortal.</v>
      </c>
    </row>
    <row r="303" customFormat="false" ht="15.75" hidden="false" customHeight="true" outlineLevel="0" collapsed="false">
      <c r="A303" s="3" t="n">
        <v>300</v>
      </c>
      <c r="B303" s="5" t="s">
        <v>903</v>
      </c>
      <c r="C303" s="5" t="s">
        <v>904</v>
      </c>
      <c r="D303" s="5" t="s">
        <v>905</v>
      </c>
      <c r="E303" s="4" t="str">
        <f aca="false">IFERROR(__xludf.dummyfunction("GOOGLETRANSLATE(C304)"),"qual figura de fala usa palavras que imitam os sons que eles se referem")</f>
        <v>qual figura de fala usa palavras que imitam os sons que eles se referem</v>
      </c>
      <c r="F303" s="5" t="str">
        <f aca="false">IFERROR(__xludf.dummyfunction("GOOGLETRANSLATE(D303)")," Em 595, quando o Papa Gregório, decidi enviar uma missão para converter os anglo -saxões ao cristianismo, o reino de Kent foi governado por Æthelberht. Ele se casara com uma princesa cristã chamada Bertha antes de 588 e talvez antes de 560. Bertha era fi"&amp;"lha de Charibert I, um dos reis merovingianos dos Franks. Como uma das condições de seu casamento, ela trouxe um bispo chamado Liudhard com ela para Kent como seu capelão. Eles restauraram uma igreja em Canterbury que datou dos tempos romanos, possivelmen"&amp;"te a igreja atual - Day St Martin. Æthelberht era na época um pagão, mas ele permitia que sua esposa liberdade de culto. Liudhard não parece ter feito muitos convertidos entre os anglo -saxões, e se não for a descoberta de uma moeda de ouro com a inscriçã"&amp;"o leudardus eps (EPS é uma abreviação de episcopus, a palavra latina para bishop) sua existência pode ter sido duvidada . Um dos biógrafos de Bertha afirma que, influenciado por sua esposa, Æthelberht solicitou ao Papa Gregory que enviasse missionários. O"&amp;" historiador Ian Wood sente que a iniciativa veio da corte de Kentish e da rainha.")</f>
        <v> Em 595, quando o Papa Gregório, decidi enviar uma missão para converter os anglo -saxões ao cristianismo, o reino de Kent foi governado por Æthelberht. Ele se casara com uma princesa cristã chamada Bertha antes de 588 e talvez antes de 560. Bertha era filha de Charibert I, um dos reis merovingianos dos Franks. Como uma das condições de seu casamento, ela trouxe um bispo chamado Liudhard com ela para Kent como seu capelão. Eles restauraram uma igreja em Canterbury que datou dos tempos romanos, possivelmente a igreja atual - Day St Martin. Æthelberht era na época um pagão, mas ele permitia que sua esposa liberdade de culto. Liudhard não parece ter feito muitos convertidos entre os anglo -saxões, e se não for a descoberta de uma moeda de ouro com a inscrição leudardus eps (EPS é uma abreviação de episcopus, a palavra latina para bishop) sua existência pode ter sido duvidada . Um dos biógrafos de Bertha afirma que, influenciado por sua esposa, Æthelberht solicitou ao Papa Gregory que enviasse missionários. O historiador Ian Wood sente que a iniciativa veio da corte de Kentish e da rainha.</v>
      </c>
    </row>
    <row r="304" customFormat="false" ht="15.75" hidden="false" customHeight="true" outlineLevel="0" collapsed="false">
      <c r="A304" s="3" t="n">
        <v>301</v>
      </c>
      <c r="B304" s="5" t="s">
        <v>906</v>
      </c>
      <c r="C304" s="5" t="s">
        <v>907</v>
      </c>
      <c r="D304" s="5" t="s">
        <v>908</v>
      </c>
      <c r="E304" s="4" t="str">
        <f aca="false">IFERROR(__xludf.dummyfunction("GOOGLETRANSLATE(C305)"),"quem ganhou mais oscars durante sua carreira")</f>
        <v>quem ganhou mais oscars durante sua carreira</v>
      </c>
      <c r="F304" s="5" t="str">
        <f aca="false">IFERROR(__xludf.dummyfunction("GOOGLETRANSLATE(D304)")," Onomatopoeia ( / ˌɒnəˌmætəˈpiːə, - ˌmː - / (escute); do grego ὀνοματοποιία; ὄνομα para `` name '' e ποιέω para `` eu '' ou '' '`` `` `` `` `` `` `` `` πOMat' '' '' '' '' '' '' '' '' '' '' '' '' '' '' '' '' '' '' '' '' '' '' '' '' '' '' '' '' '' '' '' '' "&amp;"'' '' '' sou é. é o processo de criação de uma palavra que imita foneticamente, se assemelha ou sugere o som que ela descreve. Como essas palavras são substantivos incontáveis, o Onomatopeia refere -se à propriedade de tais palavras. As ocorrências comuns"&amp;" de palavras que nosso processo de onomatopéia inclui ruídos de animais como `` oink '', `` miaow '' (ou `` meow ''), `` roar '' e `` chirp ''. Onomatopéia pode diferir entre os idiomas: está em conformidade em certa medida ao sistema linguístico mais amp"&amp;"lo; Portanto, o som de um relógio pode ser expresso como carrapato em inglês, tictac em espanhol, dī dā em mandarim, katchin katchin em japonês ou `` tik - tik '' em hindi.")</f>
        <v> Onomatopoeia ( / ˌɒnəˌmætəˈpiːə, - ˌmː - / (escute); do grego ὀνοματοποιία; ὄνομα para `` name '' e ποιέω para `` eu '' ou '' '`` `` `` `` `` `` `` `` πOMat' '' '' '' '' '' '' '' '' '' '' '' '' '' '' '' '' '' '' '' '' '' '' '' '' '' '' '' '' '' '' '' '' '' '' '' sou é. é o processo de criação de uma palavra que imita foneticamente, se assemelha ou sugere o som que ela descreve. Como essas palavras são substantivos incontáveis, o Onomatopeia refere -se à propriedade de tais palavras. As ocorrências comuns de palavras que nosso processo de onomatopéia inclui ruídos de animais como `` oink '', `` miaow '' (ou `` meow ''), `` roar '' e `` chirp ''. Onomatopéia pode diferir entre os idiomas: está em conformidade em certa medida ao sistema linguístico mais amplo; Portanto, o som de um relógio pode ser expresso como carrapato em inglês, tictac em espanhol, dī dā em mandarim, katchin katchin em japonês ou `` tik - tik '' em hindi.</v>
      </c>
    </row>
    <row r="305" customFormat="false" ht="15.75" hidden="false" customHeight="true" outlineLevel="0" collapsed="false">
      <c r="A305" s="3" t="n">
        <v>302</v>
      </c>
      <c r="B305" s="5" t="s">
        <v>909</v>
      </c>
      <c r="C305" s="5" t="s">
        <v>910</v>
      </c>
      <c r="D305" s="5" t="s">
        <v>911</v>
      </c>
      <c r="E305" s="4" t="str">
        <f aca="false">IFERROR(__xludf.dummyfunction("GOOGLETRANSLATE(C306)"),"Quando Atenas foi a capital da Grécia")</f>
        <v>Quando Atenas foi a capital da Grécia</v>
      </c>
      <c r="F305" s="5" t="str">
        <f aca="false">IFERROR(__xludf.dummyfunction("GOOGLETRANSLATE(D305)"),"   Ator / atriz Melhor ator / atriz prêmios Melhor ator coadjuvante / atriz ACTRÊNCIA A concurso total de indicações totais de indicações HEPBURN, Katharine Katharine Hepburn Morning Glory (1933) Adivinhe quem está chegando ao jantar (1967) The Lion in Wi"&amp;"nter (1968) em Golden Pond (1981, 1981 ) 12 DIA - Lewis, Daniel Daniel Day - Lewis My Left Pee (1989) Haverá Blood (2007) Lincoln (2012) 6 Streep, Meryl Meryl Streep Sophie's Choice (1982) The Iron Lady (2011) Kramer vs. Kramer (1979) 21 Nicholson, Jack J"&amp;"ack Nicholson One voou sobre o Cuckoo's Nest (1975) tão bom quanto recebe (1997) Termos de carinho (1983) 12 Bergman, Ingrid Ingrid Bergman Gaslight (1944) Anastasia (1956) assassinato No Orient Express (1974) 7 Brennan, Walter Walter Brennan Venha e Get "&amp;"It (1936) Kentucky (1938) O Westerner (1940) Davis, Bette Bette Davis Dangerous (1935) Jezebel (1938) 10 TRACY, Spencer Spencer Tracy Captainous Captainouous (1937) Boys Town (1938) 9 Brando, Marlon Marlon Brando à beira -mar (1954) O padrinho (1972) 8 Le"&amp;"mmon, Jack Jack Lemmon Save the Tiger (1973) Mister Roberts (1955) 8 Washington, Denzel Denzel Washington Dia (2001) Glory (1989) 8 Blanchett, Cate Cate Blanchett Blue Jasmine (2013) The Aviator (2004) 7 De Niro, Robert Robert De Niro Raging Bull (1980) O"&amp;" padrinho Parte II (1974) 7 Fonda, Jane Jane Jane Fonda Klute (1971) Coming Home (1978) 7 Hoffman, Dustin Dustin Hoffman Kramer vs. Kramer (1979) Rain Man (1988) 7 Caine, Michael Michael Caine Hannah e suas irmãs (1986) The Cider House Rules (1999) 6 Lang"&amp;"e, Jessica Jessica Lange Blue Sky (1994) Tootsie (1982) 6 Smith, Maggie Maggie Smith, a primeira da senhorita Jean Brodie (1969), California Suite (1978) 6 Cooper, Gary Gary Cooper Sergeant York (1941) High Noon (1952) 5 De Havilland , Olivia Olivia de Ha"&amp;"villand, cada uma delas (1946), a herdeira (1949) 5 Hackman, Gene Gene Hackman The French Connection (1971) Unborgiven (1992) 5 Hanks, Tom Tom Hanks Philadelphia (1993) Forrest Gump (1994) 5 de março. , Fredric Fredric March Dr. Jekyll e Sr. Hyde (1931) O"&amp;"s melhores anos de nossas vidas (1946) 5 Penn, Sean Penn Mystic River (2003) Milk (2008) 5 Taylor, Elizabeth Elizabeth Taylor Butterfield 8 (1960) que tem medo da Virginia Woolf? (1966) 5 Foster, Jodie Jodie Foster O acusado (1988) O Silêncio dos Lambs (1"&amp;"991) Jackson, Glenda Glenda Jackson Women in Love (1970) Um toque de classe (1973) Quinn, Anthony Anthony Quinn Viva Zapata! (1952) Winters Lust for Life (1956), Shelley Shelley Winters The Diário de Anne Frank (1959) Um pedaço de Blue (1965) Douglas, Mel"&amp;"vyn Melvyn Douglas Hud (1963) está lá (1979) Field, Sally Sally Field Norma Rae (1979) Places In The Heart (1984) Robards, Jason Jason Robards All the Prescher's Men (1976) Julia (1977) Ustinov, Peter Ustinov Spartacus (1960) Topkapi (1964) Wiest, Dianne "&amp;"Dianne Wiest Hannah e suas irmãs (1986) Bullets sobre Broadway (1994) Hayes, Helen Helen Hayes The Sin of Madelon Claudet (1931) Aeroporto (1970) Leigh, Vivien Leigh foi com o vento (1939) Um bonde chamado Desire (1951) Rainer, Luise Luise Rainer The Grea"&amp;"t Ziegfeld (1936) The Good Earth (1937) Spacey, Kevin Kevin Spacey American Beauty (1999) Os suspeitos de sempre (1995) Swank, Hilary Hilary Swank Boys não chorar Christoph Christoph Waltz Inglourious Basterds (2009) Django Unchained (2012)")</f>
        <v>   Ator / atriz Melhor ator / atriz prêmios Melhor ator coadjuvante / atriz ACTRÊNCIA A concurso total de indicações totais de indicações HEPBURN, Katharine Katharine Hepburn Morning Glory (1933) Adivinhe quem está chegando ao jantar (1967) The Lion in Winter (1968) em Golden Pond (1981, 1981 ) 12 DIA - Lewis, Daniel Daniel Day - Lewis My Left Pee (1989) Haverá Blood (2007) Lincoln (2012) 6 Streep, Meryl Meryl Streep Sophie's Choice (1982) The Iron Lady (2011) Kramer vs. Kramer (1979) 21 Nicholson, Jack Jack Nicholson One voou sobre o Cuckoo's Nest (1975) tão bom quanto recebe (1997) Termos de carinho (1983) 12 Bergman, Ingrid Ingrid Bergman Gaslight (1944) Anastasia (1956) assassinato No Orient Express (1974) 7 Brennan, Walter Walter Brennan Venha e Get It (1936) Kentucky (1938) O Westerner (1940) Davis, Bette Bette Davis Dangerous (1935) Jezebel (1938) 10 TRACY, Spencer Spencer Tracy Captainous Captainouous (1937) Boys Town (1938) 9 Brando, Marlon Marlon Brando à beira -mar (1954) O padrinho (1972) 8 Lemmon, Jack Jack Lemmon Save the Tiger (1973) Mister Roberts (1955) 8 Washington, Denzel Denzel Washington Dia (2001) Glory (1989) 8 Blanchett, Cate Cate Blanchett Blue Jasmine (2013) The Aviator (2004) 7 De Niro, Robert Robert De Niro Raging Bull (1980) O padrinho Parte II (1974) 7 Fonda, Jane Jane Jane Fonda Klute (1971) Coming Home (1978) 7 Hoffman, Dustin Dustin Hoffman Kramer vs. Kramer (1979) Rain Man (1988) 7 Caine, Michael Michael Caine Hannah e suas irmãs (1986) The Cider House Rules (1999) 6 Lange, Jessica Jessica Lange Blue Sky (1994) Tootsie (1982) 6 Smith, Maggie Maggie Smith, a primeira da senhorita Jean Brodie (1969), California Suite (1978) 6 Cooper, Gary Gary Cooper Sergeant York (1941) High Noon (1952) 5 De Havilland , Olivia Olivia de Havilland, cada uma delas (1946), a herdeira (1949) 5 Hackman, Gene Gene Hackman The French Connection (1971) Unborgiven (1992) 5 Hanks, Tom Tom Hanks Philadelphia (1993) Forrest Gump (1994) 5 de março. , Fredric Fredric March Dr. Jekyll e Sr. Hyde (1931) Os melhores anos de nossas vidas (1946) 5 Penn, Sean Penn Mystic River (2003) Milk (2008) 5 Taylor, Elizabeth Elizabeth Taylor Butterfield 8 (1960) que tem medo da Virginia Woolf? (1966) 5 Foster, Jodie Jodie Foster O acusado (1988) O Silêncio dos Lambs (1991) Jackson, Glenda Glenda Jackson Women in Love (1970) Um toque de classe (1973) Quinn, Anthony Anthony Quinn Viva Zapata! (1952) Winters Lust for Life (1956), Shelley Shelley Winters The Diário de Anne Frank (1959) Um pedaço de Blue (1965) Douglas, Melvyn Melvyn Douglas Hud (1963) está lá (1979) Field, Sally Sally Field Norma Rae (1979) Places In The Heart (1984) Robards, Jason Jason Robards All the Prescher's Men (1976) Julia (1977) Ustinov, Peter Ustinov Spartacus (1960) Topkapi (1964) Wiest, Dianne Dianne Wiest Hannah e suas irmãs (1986) Bullets sobre Broadway (1994) Hayes, Helen Helen Hayes The Sin of Madelon Claudet (1931) Aeroporto (1970) Leigh, Vivien Leigh foi com o vento (1939) Um bonde chamado Desire (1951) Rainer, Luise Luise Rainer The Great Ziegfeld (1936) The Good Earth (1937) Spacey, Kevin Kevin Spacey American Beauty (1999) Os suspeitos de sempre (1995) Swank, Hilary Hilary Swank Boys não chorar Christoph Christoph Waltz Inglourious Basterds (2009) Django Unchained (2012)</v>
      </c>
    </row>
    <row r="306" customFormat="false" ht="15.75" hidden="false" customHeight="true" outlineLevel="0" collapsed="false">
      <c r="A306" s="3" t="n">
        <v>303</v>
      </c>
      <c r="B306" s="5" t="s">
        <v>912</v>
      </c>
      <c r="C306" s="5" t="s">
        <v>913</v>
      </c>
      <c r="D306" s="5" t="s">
        <v>914</v>
      </c>
      <c r="E306" s="4" t="str">
        <f aca="false">IFERROR(__xludf.dummyfunction("GOOGLETRANSLATE(C307)"),"O que aconteceu com as torres gêmeas em Nova York")</f>
        <v>O que aconteceu com as torres gêmeas em Nova York</v>
      </c>
      <c r="F306" s="5" t="str">
        <f aca="false">IFERROR(__xludf.dummyfunction("GOOGLETRANSLATE(D306)")," Atenas se tornou a capital da Grécia em 1834, após Nafplion, que foi a capital provisória de 1829. O município (cidade) de Atenas também é a capital da região de Attica. O termo Atenas pode se referir ao município de Atenas, à Grande Atenas ou a toda a á"&amp;"rea urbana de Atenas.")</f>
        <v> Atenas se tornou a capital da Grécia em 1834, após Nafplion, que foi a capital provisória de 1829. O município (cidade) de Atenas também é a capital da região de Attica. O termo Atenas pode se referir ao município de Atenas, à Grande Atenas ou a toda a área urbana de Atenas.</v>
      </c>
    </row>
    <row r="307" customFormat="false" ht="15.75" hidden="false" customHeight="true" outlineLevel="0" collapsed="false">
      <c r="A307" s="3" t="n">
        <v>304</v>
      </c>
      <c r="B307" s="5" t="s">
        <v>915</v>
      </c>
      <c r="C307" s="5" t="s">
        <v>916</v>
      </c>
      <c r="D307" s="5" t="s">
        <v>917</v>
      </c>
      <c r="E307" s="4" t="str">
        <f aca="false">IFERROR(__xludf.dummyfunction("GOOGLETRANSLATE(C308)"),"que interpretou Lady Guinevere à noite no Museu 3")</f>
        <v>que interpretou Lady Guinevere à noite no Museu 3</v>
      </c>
      <c r="F307" s="5" t="str">
        <f aca="false">IFERROR(__xludf.dummyfunction("GOOGLETRANSLATE(D307)")," Quatro aviões de passageiros operavam por duas principais transportadoras aéreas de passageiros dos EUA (United Airlines e American Airlines) - que se afastaram de aeroportos da parte nordeste dos Estados Unidos com destino à Califórnia - foram seqüestra"&amp;"dos por 19 terroristas da Al - Qaeda. Dois dos aviões, o voo 11 da American Airlines e o United Airlines Flight 175, foram colhidos nas torres norte e sul, respectivamente, do complexo do World Trade Center em Baixo Manhattan. Dentro de uma hora e 42 minu"&amp;"tos, ambas as torres de 110 anos desabaram. Os detritos e os incêndios resultantes causaram colapso parcial ou completo de todos os outros edifícios do complexo do World Trade Center, incluindo a torre 47 - Story 7 World Trade Center, além de danos signif"&amp;"icativos a dez outras grandes estruturas circundantes. Um terceiro avião, o voo 77 da American Airlines, foi colidido com o Pentágono (a sede do Departamento de Defesa dos Estados Unidos) no Condado de Arlington, Virgínia, que levou a um colapso parcial d"&amp;"o lado oeste do edifício. O quarto avião, o voo 93 da United Airlines, foi lançado inicialmente em direção a Washington, DC, mas colidiu com um campo no município de Stonycreek, perto de Shanksville, Pensilvânia, depois que seus passageiros frustraram os "&amp;"seqüestradores. 9/11 foi o incidente mais mortal para bombeiros e policiais da história dos Estados Unidos, com 343 e 72 mortos, respectivamente.")</f>
        <v> Quatro aviões de passageiros operavam por duas principais transportadoras aéreas de passageiros dos EUA (United Airlines e American Airlines) - que se afastaram de aeroportos da parte nordeste dos Estados Unidos com destino à Califórnia - foram seqüestrados por 19 terroristas da Al - Qaeda. Dois dos aviões, o voo 11 da American Airlines e o United Airlines Flight 175, foram colhidos nas torres norte e sul, respectivamente, do complexo do World Trade Center em Baixo Manhattan. Dentro de uma hora e 42 minutos, ambas as torres de 110 anos desabaram. Os detritos e os incêndios resultantes causaram colapso parcial ou completo de todos os outros edifícios do complexo do World Trade Center, incluindo a torre 47 - Story 7 World Trade Center, além de danos significativos a dez outras grandes estruturas circundantes. Um terceiro avião, o voo 77 da American Airlines, foi colidido com o Pentágono (a sede do Departamento de Defesa dos Estados Unidos) no Condado de Arlington, Virgínia, que levou a um colapso parcial do lado oeste do edifício. O quarto avião, o voo 93 da United Airlines, foi lançado inicialmente em direção a Washington, DC, mas colidiu com um campo no município de Stonycreek, perto de Shanksville, Pensilvânia, depois que seus passageiros frustraram os seqüestradores. 9/11 foi o incidente mais mortal para bombeiros e policiais da história dos Estados Unidos, com 343 e 72 mortos, respectivamente.</v>
      </c>
    </row>
    <row r="308" customFormat="false" ht="15.75" hidden="false" customHeight="true" outlineLevel="0" collapsed="false">
      <c r="A308" s="3" t="n">
        <v>305</v>
      </c>
      <c r="B308" s="5" t="s">
        <v>918</v>
      </c>
      <c r="C308" s="5" t="s">
        <v>919</v>
      </c>
      <c r="D308" s="5" t="s">
        <v>920</v>
      </c>
      <c r="E308" s="4" t="str">
        <f aca="false">IFERROR(__xludf.dummyfunction("GOOGLETRANSLATE(C309)"),"quem quer ser um milionário vencedor do Reino Unido")</f>
        <v>quem quer ser um milionário vencedor do Reino Unido</v>
      </c>
      <c r="F308" s="5" t="str">
        <f aca="false">IFERROR(__xludf.dummyfunction("GOOGLETRANSLATE(D308)")," Lancelot trava uma apresentação do musical de Camelot, estrelado por Hugh Jackman e Alice Eve como rei Arthur e rainha Guinevere, mas Larry e os outros o perseguem até o teto, onde as exposições de Nova York começam a morrer. Lancelot então vê que a miss"&amp;"ão era sobre eles e devolve o tablet. O luar restaura a potência do tablet, salvando as exposições. Eles decidem que Ahkmenrah e o tablet devem ficar com seus pais, mesmo que isso signifique que as exposições de Nova York não ganharão mais vida. De volta "&amp;"a Nova York, Larry passa alguns momentos finais com seus amigos antes do nascer do sol.")</f>
        <v> Lancelot trava uma apresentação do musical de Camelot, estrelado por Hugh Jackman e Alice Eve como rei Arthur e rainha Guinevere, mas Larry e os outros o perseguem até o teto, onde as exposições de Nova York começam a morrer. Lancelot então vê que a missão era sobre eles e devolve o tablet. O luar restaura a potência do tablet, salvando as exposições. Eles decidem que Ahkmenrah e o tablet devem ficar com seus pais, mesmo que isso signifique que as exposições de Nova York não ganharão mais vida. De volta a Nova York, Larry passa alguns momentos finais com seus amigos antes do nascer do sol.</v>
      </c>
    </row>
    <row r="309" customFormat="false" ht="15.75" hidden="false" customHeight="true" outlineLevel="0" collapsed="false">
      <c r="A309" s="3" t="n">
        <v>306</v>
      </c>
      <c r="B309" s="5" t="s">
        <v>921</v>
      </c>
      <c r="C309" s="5" t="s">
        <v>922</v>
      </c>
      <c r="D309" s="5" t="s">
        <v>923</v>
      </c>
      <c r="E309" s="4" t="str">
        <f aca="false">IFERROR(__xludf.dummyfunction("GOOGLETRANSLATE(C310)"),"Quantas assistências Ozil tem em sua carreira")</f>
        <v>Quantas assistências Ozil tem em sua carreira</v>
      </c>
      <c r="F309" s="5" t="str">
        <f aca="false">IFERROR(__xludf.dummyfunction("GOOGLETRANSLATE(D309)"),"  Judith Cynthia Aline Keppel, uma designer de jardim amarrada em dinheiro na época. Em 20 de novembro de 2000, ela se tornou a primeira concorrente a ganhar o prêmio máximo e, até o momento, a única mulher a recebeu no original britânico. Após seu sucess"&amp;"o, Keppel mais tarde se tornou parte da equipe de especialistas em questionários para o Game Show da BBC, Eggheads. David Edwards, ex -professor de física da Cheadle High School e Denstone College em Staffordshire. Em 21 de abril de 2001, ele se tornou o "&amp;"primeiro homem a ganhar o prêmio máximo. Após seu sucesso, Edwards competiu em ambas as séries de você é um egghead? , em 2008 e 2009, respectivamente, mas não conseguiu vencer as séries e garantir um lugar como painelista em Eggheads. Robert Kempe Brydge"&amp;"s, um banqueiro de Oxford de Holland Park, Londres. Em 29 de setembro de 2001, ele se tornou a terceira pessoa a ganhar o prêmio principal do programa. Pat Gibson, um jogador de teste irlandês de vários campeões mundiais. Em 24 de abril de 2004, ele se to"&amp;"rnou a quarta pessoa a ganhar o prêmio máximo e é a única pessoa na história do programa a alcançar a pergunta final com duas linhas de vida ainda intactas. Ingram Wilcox, um entusiasta do teste britânico. Em 23 de setembro de 2006, ele se tornou a quinta"&amp;" pessoa a ganhar o prêmio máximo e é até o momento, a pessoa mais recente a responder à pergunta final do programa.")</f>
        <v>  Judith Cynthia Aline Keppel, uma designer de jardim amarrada em dinheiro na época. Em 20 de novembro de 2000, ela se tornou a primeira concorrente a ganhar o prêmio máximo e, até o momento, a única mulher a recebeu no original britânico. Após seu sucesso, Keppel mais tarde se tornou parte da equipe de especialistas em questionários para o Game Show da BBC, Eggheads. David Edwards, ex -professor de física da Cheadle High School e Denstone College em Staffordshire. Em 21 de abril de 2001, ele se tornou o primeiro homem a ganhar o prêmio máximo. Após seu sucesso, Edwards competiu em ambas as séries de você é um egghead? , em 2008 e 2009, respectivamente, mas não conseguiu vencer as séries e garantir um lugar como painelista em Eggheads. Robert Kempe Brydges, um banqueiro de Oxford de Holland Park, Londres. Em 29 de setembro de 2001, ele se tornou a terceira pessoa a ganhar o prêmio principal do programa. Pat Gibson, um jogador de teste irlandês de vários campeões mundiais. Em 24 de abril de 2004, ele se tornou a quarta pessoa a ganhar o prêmio máximo e é a única pessoa na história do programa a alcançar a pergunta final com duas linhas de vida ainda intactas. Ingram Wilcox, um entusiasta do teste britânico. Em 23 de setembro de 2006, ele se tornou a quinta pessoa a ganhar o prêmio máximo e é até o momento, a pessoa mais recente a responder à pergunta final do programa.</v>
      </c>
    </row>
    <row r="310" customFormat="false" ht="15.75" hidden="false" customHeight="true" outlineLevel="0" collapsed="false">
      <c r="A310" s="3" t="n">
        <v>307</v>
      </c>
      <c r="B310" s="5" t="s">
        <v>924</v>
      </c>
      <c r="C310" s="5" t="s">
        <v>925</v>
      </c>
      <c r="D310" s="5" t="s">
        <v>926</v>
      </c>
      <c r="E310" s="4" t="str">
        <f aca="false">IFERROR(__xludf.dummyfunction("GOOGLETRANSLATE(C311)"),"monarca no final da Segunda Guerra Mundial")</f>
        <v>monarca no final da Segunda Guerra Mundial</v>
      </c>
      <c r="F310" s="5" t="str">
        <f aca="false">IFERROR(__xludf.dummyfunction("GOOGLETRANSLATE(D310)")," Özil toca principalmente como meio -campista atacante, mas também pode ser implantado como ala. Ele iniciou sua carreira sênior como membro de sua cidade natal, Schalke 04, na Bundesliga, partindo duas temporadas depois para se juntar a Werder Bremen por"&amp;" 5 milhões de euros. Ele recebeu o intervalo - a atenção na Copa do Mundo da FIFA de 2010, onde aos 22 anos, Özil foi fundamental na campanha do time, onde chegaram às meias -finais, perdendo para eventuais campeões da Espanha. Ele também foi nomeado para"&amp;" o Golden Ball Award, além de ser classificado em primeiro lugar em assistências nas principais competições européias e domésticas com 25. Isso lhe recebeu uma transferência de € 15 milhões para o clube da Liga Real Madrid.")</f>
        <v> Özil toca principalmente como meio -campista atacante, mas também pode ser implantado como ala. Ele iniciou sua carreira sênior como membro de sua cidade natal, Schalke 04, na Bundesliga, partindo duas temporadas depois para se juntar a Werder Bremen por 5 milhões de euros. Ele recebeu o intervalo - a atenção na Copa do Mundo da FIFA de 2010, onde aos 22 anos, Özil foi fundamental na campanha do time, onde chegaram às meias -finais, perdendo para eventuais campeões da Espanha. Ele também foi nomeado para o Golden Ball Award, além de ser classificado em primeiro lugar em assistências nas principais competições européias e domésticas com 25. Isso lhe recebeu uma transferência de € 15 milhões para o clube da Liga Real Madrid.</v>
      </c>
    </row>
    <row r="311" customFormat="false" ht="15.75" hidden="false" customHeight="true" outlineLevel="0" collapsed="false">
      <c r="A311" s="3" t="n">
        <v>308</v>
      </c>
      <c r="B311" s="5" t="s">
        <v>927</v>
      </c>
      <c r="C311" s="5" t="s">
        <v>928</v>
      </c>
      <c r="D311" s="5" t="s">
        <v>929</v>
      </c>
      <c r="E311" s="4" t="str">
        <f aca="false">IFERROR(__xludf.dummyfunction("GOOGLETRANSLATE(C312)"),"quem é o dono da mansão Wagoner em Decatur TX")</f>
        <v>quem é o dono da mansão Wagoner em Decatur TX</v>
      </c>
      <c r="F311" s="5" t="str">
        <f aca="false">IFERROR(__xludf.dummyfunction("GOOGLETRANSLATE(D311)")," George VI (Albert Frederick Arthur George; 14 de dezembro de 1895 - 6 de fevereiro de 1952) foi rei do Reino Unido e os domínios da Commonwealth britânica de 11 de dezembro de 1936 até sua morte em 1952. Ele foi o último imperador da Índia e o primeiro c"&amp;"hefe da Commonwealth.")</f>
        <v> George VI (Albert Frederick Arthur George; 14 de dezembro de 1895 - 6 de fevereiro de 1952) foi rei do Reino Unido e os domínios da Commonwealth britânica de 11 de dezembro de 1936 até sua morte em 1952. Ele foi o último imperador da Índia e o primeiro chefe da Commonwealth.</v>
      </c>
    </row>
    <row r="312" customFormat="false" ht="15.75" hidden="false" customHeight="true" outlineLevel="0" collapsed="false">
      <c r="A312" s="3" t="n">
        <v>309</v>
      </c>
      <c r="B312" s="5" t="s">
        <v>930</v>
      </c>
      <c r="C312" s="5" t="s">
        <v>931</v>
      </c>
      <c r="D312" s="5" t="s">
        <v>932</v>
      </c>
      <c r="E312" s="4" t="str">
        <f aca="false">IFERROR(__xludf.dummyfunction("GOOGLETRANSLATE(C313)"),"Quantos países posso visitar com passaporte britânico")</f>
        <v>Quantos países posso visitar com passaporte britânico</v>
      </c>
      <c r="F312" s="5" t="str">
        <f aca="false">IFERROR(__xludf.dummyfunction("GOOGLETRANSLATE(D312)")," A Mansão Wagoner (também conhecida como El Castile) é uma mansão histórica em Decatur, Texas. A mansão de dezesseis quartos foi construída em 1883 pela família Wagoner. Foi comprado em 1942 pelo Sr. e Sra. Phil Luker.")</f>
        <v> A Mansão Wagoner (também conhecida como El Castile) é uma mansão histórica em Decatur, Texas. A mansão de dezesseis quartos foi construída em 1883 pela família Wagoner. Foi comprado em 1942 pelo Sr. e Sra. Phil Luker.</v>
      </c>
    </row>
    <row r="313" customFormat="false" ht="15.75" hidden="false" customHeight="true" outlineLevel="0" collapsed="false">
      <c r="A313" s="3" t="n">
        <v>310</v>
      </c>
      <c r="B313" s="5" t="s">
        <v>933</v>
      </c>
      <c r="C313" s="5" t="s">
        <v>934</v>
      </c>
      <c r="D313" s="5" t="s">
        <v>935</v>
      </c>
      <c r="E313" s="4" t="str">
        <f aca="false">IFERROR(__xludf.dummyfunction("GOOGLETRANSLATE(C314)"),"Quando a 11ª temporada da teoria do Big Bang será lançada")</f>
        <v>Quando a 11ª temporada da teoria do Big Bang será lançada</v>
      </c>
      <c r="F313" s="5" t="str">
        <f aca="false">IFERROR(__xludf.dummyfunction("GOOGLETRANSLATE(D313)")," Os requisitos de visto para cidadãos britânicos são restrições de entrada administrativa pelas autoridades de outros estados colocados aos cidadãos do Reino Unido. Em 22 de maio de 2018, os cidadãos britânicos tinham visto - gratuito ou visto na chegada "&amp;"ao acesso a 186 países e territórios, classificando o 4º British Passport em termos de liberdade de viagem (empatada em passaportes austríacos, holandeses, luxemburgos, noruegueses, portugueses e Estados Unidos ) De acordo com o Henley Passport Index. Alé"&amp;"m disso, a Organização Mundial de Turismo também publicou um relatório em 15 de janeiro de 2016, classificando o Passport British 1st in the World (empatado com a Dinamarca, Finlândia, Alemanha, Itália, Luxemburgo e Cingapura) em termos de liberdade de vi"&amp;"agem, com um índice de mobilidade de 160 ( de 215 sem visto ponderado por 1, visto na chegada ponderado em 0,7, EVISA em 0,5 e visto tradicional ponderado por 0).")</f>
        <v> Os requisitos de visto para cidadãos britânicos são restrições de entrada administrativa pelas autoridades de outros estados colocados aos cidadãos do Reino Unido. Em 22 de maio de 2018, os cidadãos britânicos tinham visto - gratuito ou visto na chegada ao acesso a 186 países e territórios, classificando o 4º British Passport em termos de liberdade de viagem (empatada em passaportes austríacos, holandeses, luxemburgos, noruegueses, portugueses e Estados Unidos ) De acordo com o Henley Passport Index. Além disso, a Organização Mundial de Turismo também publicou um relatório em 15 de janeiro de 2016, classificando o Passport British 1st in the World (empatado com a Dinamarca, Finlândia, Alemanha, Itália, Luxemburgo e Cingapura) em termos de liberdade de viagem, com um índice de mobilidade de 160 ( de 215 sem visto ponderado por 1, visto na chegada ponderado em 0,7, EVISA em 0,5 e visto tradicional ponderado por 0).</v>
      </c>
    </row>
    <row r="314" customFormat="false" ht="15.75" hidden="false" customHeight="true" outlineLevel="0" collapsed="false">
      <c r="A314" s="3" t="n">
        <v>311</v>
      </c>
      <c r="B314" s="5" t="s">
        <v>936</v>
      </c>
      <c r="C314" s="5" t="s">
        <v>937</v>
      </c>
      <c r="D314" s="5" t="s">
        <v>938</v>
      </c>
      <c r="E314" s="4" t="str">
        <f aca="false">IFERROR(__xludf.dummyfunction("GOOGLETRANSLATE(C315)"),"Quando os Oakland Raiders tocam na Cidade do México")</f>
        <v>Quando os Oakland Raiders tocam na Cidade do México</v>
      </c>
      <c r="F314" s="5" t="str">
        <f aca="false">IFERROR(__xludf.dummyfunction("GOOGLETRANSLATE(D314)")," A décima primeira temporada da comédia de televisão americana The Big Bang Theory estreou na CBS na segunda -feira, 25 de setembro de 2017. Ele voltou ao seu horário regular de quinta -feira em 2 de novembro de 2017, depois que o futebol da noite de quin"&amp;"ta -feira na CBS terminou.")</f>
        <v> A décima primeira temporada da comédia de televisão americana The Big Bang Theory estreou na CBS na segunda -feira, 25 de setembro de 2017. Ele voltou ao seu horário regular de quinta -feira em 2 de novembro de 2017, depois que o futebol da noite de quinta -feira na CBS terminou.</v>
      </c>
    </row>
    <row r="315" customFormat="false" ht="15.75" hidden="false" customHeight="true" outlineLevel="0" collapsed="false">
      <c r="A315" s="3" t="n">
        <v>312</v>
      </c>
      <c r="B315" s="5" t="s">
        <v>939</v>
      </c>
      <c r="C315" s="5" t="s">
        <v>940</v>
      </c>
      <c r="D315" s="5" t="s">
        <v>941</v>
      </c>
      <c r="E315" s="4" t="str">
        <f aca="false">IFERROR(__xludf.dummyfunction("GOOGLETRANSLATE(C316)"),"que interpreta a avó de Carl em Mike e Molly")</f>
        <v>que interpreta a avó de Carl em Mike e Molly</v>
      </c>
      <c r="F315" s="5" t="str">
        <f aca="false">IFERROR(__xludf.dummyfunction("GOOGLETRANSLATE(D315)"),"   Data da semana Do início do adversário Oponente Record Game Site de TV NFL.com Recapitulação 10 de setembro 10:00 PDT New York Jets W 45 - 20 2 - 0 OAKLAND - Alameda County Coliseum CBS RECAP 24 DE SETEMBRO 5: 30:00 PDT em Washington Redskins L 10 - 27"&amp;" 2 - 1 Fedexfield NBC Recap -se 1 de outubro 1: 25 PM PDT em Denver Broncos L 10 - 16 2 - 2 Field da Autoridade Esportiva em Mile High CBS RECAP 5 de outubro 8 1: 05 PDT Baltimore Ravens L 17 - 30 2 - 3 Oakland - Alameda County Coliseum CBS RECAP 6 de out"&amp;"ubro 15 1: 25 PM PDT Los Angeles Chargers L 16 - 17 2 - 4 Oakland - Alameda County Coliseum CBS RECAP 7 de outubro 19 5: 25:00 PDT Kansas City Chiefs W 31 - 30 3 - 4 OAKLAND - RECAPA DE VÍDEO DE VÍDEO DE ALAMEDA CONDADO CONDADOR CBS / NFLN / Amazon 8 de o"&amp;"utubro 29 de outubro 10:00 PDT em Buffalo Bills L 14 - 34 3 - 5 Novo campo CBS CBS Recapitulação 9 de novembro 5 das 17h30 PST no Miami Dolphins Hard Rock Stadium NBC 10 Bye 11 de novembro 19 13: 25:00 PST New England Patriots Estadio Azteca (Cidade do Mé"&amp;"xico) CBS 12 de novembro 26 de novembro 1: 25 pm PST Denver Broncos Oakland - Coliseu do Condado de Alameda CBS 13 de dezembro 3 1: 25:00 PST New York Giants Oakland - Alameda County Coliseum Fox 14 de dezembro 10 10: 00 PST no Kansas City Chiefs Arrowhea"&amp;"d Stadium CBS 15 de dezembro 17 17:30 PST Dallas Cowboys Oakland - Alameda County Coliseum NBC 16 de dezembro 25 17:30 PST na Philadelphia Eagles Lincoln Financial Field 17 de dezembro, 31 de dezembro: 25:00 PST no Los Angeles Chargers Stubhub Center CBS")</f>
        <v>   Data da semana Do início do adversário Oponente Record Game Site de TV NFL.com Recapitulação 10 de setembro 10:00 PDT New York Jets W 45 - 20 2 - 0 OAKLAND - Alameda County Coliseum CBS RECAP 24 DE SETEMBRO 5: 30:00 PDT em Washington Redskins L 10 - 27 2 - 1 Fedexfield NBC Recap -se 1 de outubro 1: 25 PM PDT em Denver Broncos L 10 - 16 2 - 2 Field da Autoridade Esportiva em Mile High CBS RECAP 5 de outubro 8 1: 05 PDT Baltimore Ravens L 17 - 30 2 - 3 Oakland - Alameda County Coliseum CBS RECAP 6 de outubro 15 1: 25 PM PDT Los Angeles Chargers L 16 - 17 2 - 4 Oakland - Alameda County Coliseum CBS RECAP 7 de outubro 19 5: 25:00 PDT Kansas City Chiefs W 31 - 30 3 - 4 OAKLAND - RECAPA DE VÍDEO DE VÍDEO DE ALAMEDA CONDADO CONDADOR CBS / NFLN / Amazon 8 de outubro 29 de outubro 10:00 PDT em Buffalo Bills L 14 - 34 3 - 5 Novo campo CBS CBS Recapitulação 9 de novembro 5 das 17h30 PST no Miami Dolphins Hard Rock Stadium NBC 10 Bye 11 de novembro 19 13: 25:00 PST New England Patriots Estadio Azteca (Cidade do México) CBS 12 de novembro 26 de novembro 1: 25 pm PST Denver Broncos Oakland - Coliseu do Condado de Alameda CBS 13 de dezembro 3 1: 25:00 PST New York Giants Oakland - Alameda County Coliseum Fox 14 de dezembro 10 10: 00 PST no Kansas City Chiefs Arrowhead Stadium CBS 15 de dezembro 17 17:30 PST Dallas Cowboys Oakland - Alameda County Coliseum NBC 16 de dezembro 25 17:30 PST na Philadelphia Eagles Lincoln Financial Field 17 de dezembro, 31 de dezembro: 25:00 PST no Los Angeles Chargers Stubhub Center CBS</v>
      </c>
    </row>
    <row r="316" customFormat="false" ht="15.75" hidden="false" customHeight="true" outlineLevel="0" collapsed="false">
      <c r="A316" s="3" t="n">
        <v>313</v>
      </c>
      <c r="B316" s="5" t="s">
        <v>942</v>
      </c>
      <c r="C316" s="5" t="s">
        <v>943</v>
      </c>
      <c r="D316" s="5" t="s">
        <v>944</v>
      </c>
      <c r="E316" s="4" t="str">
        <f aca="false">IFERROR(__xludf.dummyfunction("GOOGLETRANSLATE(C317)"),"Quando o ataque contra episódios de Titan sai")</f>
        <v>Quando o ataque contra episódios de Titan sai</v>
      </c>
      <c r="F316" s="5" t="str">
        <f aca="false">IFERROR(__xludf.dummyfunction("GOOGLETRANSLATE(D316)")," Cleo King (nascido em Harriet Cleo King; 21 de agosto de 1962) é uma atriz americana de personagens, mais conhecida por seus papéis na televisão.")</f>
        <v> Cleo King (nascido em Harriet Cleo King; 21 de agosto de 1962) é uma atriz americana de personagens, mais conhecida por seus papéis na televisão.</v>
      </c>
    </row>
    <row r="317" customFormat="false" ht="15.75" hidden="false" customHeight="true" outlineLevel="0" collapsed="false">
      <c r="A317" s="3" t="n">
        <v>314</v>
      </c>
      <c r="B317" s="5" t="s">
        <v>945</v>
      </c>
      <c r="C317" s="5" t="s">
        <v>946</v>
      </c>
      <c r="D317" s="5" t="s">
        <v>947</v>
      </c>
      <c r="E317" s="4" t="str">
        <f aca="false">IFERROR(__xludf.dummyfunction("GOOGLETRANSLATE(C318)"),"que interpreta o irmão mais novo em malucos e geeks")</f>
        <v>que interpreta o irmão mais novo em malucos e geeks</v>
      </c>
      <c r="F317" s="5" t="str">
        <f aca="false">IFERROR(__xludf.dummyfunction("GOOGLETRANSLATE(D317)")," Em 17 de junho de 2017, uma terceira temporada foi anunciada no final do episódio final da segunda temporada, com uma data de lançamento prevista para julho de 2018.")</f>
        <v> Em 17 de junho de 2017, uma terceira temporada foi anunciada no final do episódio final da segunda temporada, com uma data de lançamento prevista para julho de 2018.</v>
      </c>
    </row>
    <row r="318" customFormat="false" ht="15.75" hidden="false" customHeight="true" outlineLevel="0" collapsed="false">
      <c r="A318" s="3" t="n">
        <v>315</v>
      </c>
      <c r="B318" s="5" t="s">
        <v>948</v>
      </c>
      <c r="C318" s="5" t="s">
        <v>949</v>
      </c>
      <c r="D318" s="5" t="s">
        <v>950</v>
      </c>
      <c r="E318" s="4" t="str">
        <f aca="false">IFERROR(__xludf.dummyfunction("GOOGLETRANSLATE(C319)"),"Quando é o episódio 3 da 4ª temporada de Flash saindo")</f>
        <v>Quando é o episódio 3 da 4ª temporada de Flash saindo</v>
      </c>
      <c r="F318" s="5" t="str">
        <f aca="false">IFERROR(__xludf.dummyfunction("GOOGLETRANSLATE(D318)"),"  Linda Cardellini como Lindsay Weir John Francis Daley como Sam Weir James Franco como Daniel DeSario Samm Levine como Neal Schweiber Seth Rogen como Ken Miller Jason Segel como Nick Andolis Martin Starr como Bill Haverchuck Becky Ann Baker como Jean Wei"&amp;"re Joe Flaherty Kim Kelly")</f>
        <v>  Linda Cardellini como Lindsay Weir John Francis Daley como Sam Weir James Franco como Daniel DeSario Samm Levine como Neal Schweiber Seth Rogen como Ken Miller Jason Segel como Nick Andolis Martin Starr como Bill Haverchuck Becky Ann Baker como Jean Weire Joe Flaherty Kim Kelly</v>
      </c>
    </row>
    <row r="319" customFormat="false" ht="15.75" hidden="false" customHeight="true" outlineLevel="0" collapsed="false">
      <c r="A319" s="3" t="n">
        <v>316</v>
      </c>
      <c r="B319" s="5" t="s">
        <v>951</v>
      </c>
      <c r="C319" s="5" t="s">
        <v>952</v>
      </c>
      <c r="D319" s="5" t="s">
        <v>953</v>
      </c>
      <c r="E319" s="4" t="str">
        <f aca="false">IFERROR(__xludf.dummyfunction("GOOGLETRANSLATE(C320)"),"que tocou Hyde no show dos anos 70")</f>
        <v>que tocou Hyde no show dos anos 70</v>
      </c>
      <c r="F319" s="5" t="str">
        <f aca="false">IFERROR(__xludf.dummyfunction("GOOGLETRANSLATE(D319)"),"   Não . Nº geral no título da temporada dirigido por escrito pela data do ar original Prod. Código dos espectadores dos EUA (milhões) 70 `` The Flash Reborn '' Glen Winter Story de: Andrew Kreisberg Teleplay Por: Todd Helbing e Eric Wallace 10 de outubro"&amp;" de 2017 (2017 - 10 - 10) T27. 13401 2.84 A IRIS está ajudando a equipe Flash em Central City há seis meses, mas se recusando a sofrer Barry. Um samurai voador com superpotências aparece em Central City, ameaçando destruir a cidade se o flash real não o e"&amp;"nfrentar. A Cisco revela que formulou uma maneira de trazer de volta Barry sem desestabilizar a força de velocidade e rastreia Caitlin em busca de ajuda. Contra a direção de Iris, o Team Flash retorna com sucesso Barry, que parece divagar declarações alea"&amp;"tórias e escrever continuamente símbolos nas paredes. Wally envolve o samurai, mas é derrotado. A Cisco decifra os escritos de Barry e encontra uma frase aparentemente sem sentido. Na tentativa de recuperar as memórias de Barry, Iris se entrega aos samura"&amp;"is. O plano funciona e Barry acelera, resgatando Iris e derrotando o samurai, que é revelado como um robô. Caitlin se junta ao time flash, mas é revelado que está trabalhando para um mafioso chamado Amunet no bar, enquanto continua a impedir que a persona"&amp;"lidade do Frost Frost emergente. O `` samuroid '' é revelado que foi controlado pelo pensador, cujo plano era extrair o flash para seus próximos esquemas. 71 `` Sinais Mistos '' Alexandra La Roche Jonathan Butler e Gabriel Garza 17 de outubro de 2017 (201"&amp;"7 - 10 - 17) T27. 13402 2.54 Quando Barry, Joe e Cisco se reportam a uma cena do crime, eles descobrem restos de um código misterioso. A Cisco apresenta a Barry um processo tecnologicamente avançado, destinado a facilitar suas atividades. Ele testa, tenta"&amp;"ndo salvar alguém de um carro de falta, causado pelo Metahuman Ramsey Deacon. Gypsy chega na Terra - 1 para uma data com a Cisco, que é forçada a cancelá -la para se concentrar no diácono. Agindo em uma sugestão de Caitlin, Iris assina ela e Barry para a "&amp;"terapia de casais para resolver seu relacionamento. Deacon sequestra uma testemunha, que anteriormente era membro de uma equipe de tecnologia que o vendeu fora de sua idéia. Barry e Wally vão salvá -lo, mas Deacon usa suas habilidades para enviar o traje "&amp;"de Barry. Por meio das instruções de Iris, Barry joga raios para si mesmo, curvando -se ao traje. Ele então incapacita Deacon, que está trancado na asa meta de altura de ferro, revelou fazer parte do plano do pensador. A Cisco finalmente sai com Gypsy. Qu"&amp;"er saber como Deacon ganhou seus poderes ausentes durante o incidente do acelerador de partículas, Barry e Joe aprendem com Deacon que existem `` outros ''. 72 `` sorte seja uma senhora '' Armen V. Kevorkian Sam Chalsen &amp; Judalina Neira 24 de outubro de 2"&amp;"017 (2017 - 10 - 24) T27. 13403 2.62 Em flashbacks, o pensador observa Becky Sharpe, uma mulher com azar aparentemente interminável, e determina que ela será facilmente manipulada. No presente, Becky rouba um banco e foge quando Barry escorrega em bolas d"&amp;"e gude. Harry chega da Terra - 2, e diz a Wally que Jesse decidiu terminar para se concentrar em seu vigilantismo. A Cisco deduz que Becky é um metahumano com o poder da sorte favorável e induz a infortúnio aos outros. Barry percebe que o portal que ele u"&amp;"sou para escapar da força de velocidade expôs um ônibus inteiro de pessoas, incluindo Becky e Deacon, à matéria escura transformadora. Harry informa a Cisco que Jesse o expulsou de seu crime - equipe de combate devido à sua atitude. Os poderes de Becky se"&amp;" expandem fora de controle, reativando o acelerador de partículas, que Harry permite deliberadamente, anulando os poderes de Becky e levando ao seu encarceramento. Cisco e Harry identificam doze novos metahumanos criados no ônibus, e este suspeita que um "&amp;"partido desconhecido manipulou eventos em torno do retorno de Barry. Wally decide sair em uma jornada para se encontrar. O pensador é revelado que está espionando S.T.A.R. Laboratórios através do capacete `` samuroid '"". Joe descobre que Cecile está gráv"&amp;"ida. 73 `` Jornada alongada para a noite '' Tom Cavanagh Sterling Gates &amp; Thomas Pound 31 de outubro de 2017 (2017 - 10 - 31) T27. 13404 1.99 O pai de Gypsy, Breather, ataca Cisco, prometendo caçar e matá -lo em 24 horas, permitindo que o romance sobreviv"&amp;"a. O Team Flash descobre que o motorista do ônibus foi assassinado e rastreia outro passageiro, Ralph Dibny, ex -detetive corrupto do CCPD exposto por Barry e atualmente um infame investigador particular. Enquanto dois bandidos atacam Dibny, ele é revelad"&amp;"o que tem o poder de esticar. Caitlin estabiliza seus poderes com um soro. A equipe descobre que Ralph está chantageando o prefeito Bellows por adultério, com este último revelado por ter contratado os bandidos. Barry confronta Ralph por suas ações enquan"&amp;"to este o repreende, alegando ter sido um `` bom policial ''. Mais tarde, ele para de chantagear, que ainda tenta matá -lo enquanto a breather confunde a primeira com um plastóide, as espécies que invadiram a Terra - 19 anteriormente e o ataca. A Cisco in"&amp;"tervém e salva Ralph, a quem Barry, tendo revelado seu alter -ego, convence -se a ajudar a prender um fole em fuga. Admirando a galanteria da Cisco, Breathering permite o relacionamento. Barry recruta Ralph para o Team Flash e descobre que alguém chamado "&amp;"DeVoe instruiu Ralph a assistir a Fellows. Barry lembra que Abra Kadabra e Savitar mencionaram Devoe. Enquanto isso, Caitlin encontra uma mensagem na porta do apartamento dela. 74 5 `` Girls Night Out '' Laura Belsey Lauren Certo e Kristen Kim 7 de novemb"&amp;"ro de 2017 (2017 - 11 - 07) T27. 13405 2.38 Enquanto não conseguiu rastrear Devoe, o Team Flash é visitado por Felicity, que se junta à festa de solteira de Iris. Zombando dos planos da Cisco para a festa de solteiro de Barry, Ralph leva os homens a um cl"&amp;"ube de strip, onde eles aprendem que a filha de Cecile, Joanie, está trabalhando. Joe a confronta, que afirma que está apenas fazendo pesquisas feministas. Ralph incita uma briga, levando à prisão dos homens até Harry fazer a fiança. Enquanto isso, o exec"&amp;"utor de Amunet, Norvock, exige o retorno de Caitlin e ataca as mulheres quando ela se recusa. Killer Frost emerge e repele, mais tarde dizendo a Iris que Caitlin aceitou o emprego de Amunet em troca dos meios para controlar a geada. Aprendendo que Amunet "&amp;"está segurando um metahumano que ela chama de `` o carinheiro '', cujas lágrimas são um narcótico forte, prisioneiro e pretende vendê -lo, o partido de Iris decide detê -la. Embora Caitlin se recusa a participar, ela ataca Amunet ao ver seus amigos em per"&amp;"igo. Usando um ímã forte, a equipe rouba os fragmentos de metal de Amunet, deixando -a impotente. Iris dissuade Frost de matar Amunet, que promete vingança. Ambas as partes se recusam a contar um ao outro sobre suas aventuras. Iris pede que Caitlin seja s"&amp;"ua dama de honra, enquanto Joe convence Joanie a contar a Cecile sobre sua pesquisa. DeVoe captura o caramba. 75 6 `` Quando Harry conheceu Harry ... '' Brent Crowell Jonathan Butler e Gabriel Garza 14 de novembro de 2017 (2017 - 11 - 14) T27. 13406 2.46 "&amp;"Barry treina Ralph para usar suas habilidades, com a Cisco fazendo um traje estendido para ele. Outro ônibus metahuman, um nativo de Lakota Sioux chamado Mina Chayton, que pode animar estátuas, começa a atacar a cidade central e roubar peças de um colar d"&amp;"e bisonte preto, que ela afirma pertencer à sua tribo. Quando Barry e Ralph o alcançam, ela ataca Barry com uma estátua de caverna e tenta uma escapada. Ralph escolhe detê -la, mas uma garotinha está ferida no processo. Ralph lamenta suas ações, mas é con"&amp;"fortado por Barry. Chayton escapa do CCPD, indo atrás da última peça de colar realizada no museu. Quando Barry e Ralph a confrontam, ela dá vida a um esqueleto de dinossauro. Barry prende Chayton enquanto Ralph salva um segurança do esqueleto. Mais tarde,"&amp;" Ralph revela que enviou o colar de volta à tribo de Chayton, antes de visitar a garotinha no hospital, usando suas habilidades para entretê -la. Enquanto isso, Harry, tentando fazer amigos, trabalha com seus doppelgangers de terra alternativa, o Conselho"&amp;" de Wells. Eles descobrem que Devoe é um homem chamado Clifford DeVoe. Barry e Joe vão para a casa de DeVoe, para descobrir que ele é um homem de meia idade em uma cadeira de rodas. 76 7 `` Portanto eu sou '' David McWhirter Eric Wallace e Thomas Pound 21"&amp;" de novembro de 2017 (2017 - 11 - 21) T27. 13407 2.20 Barry e Joe Interrogam DeVoe e sua esposa para tentar obter mais informações. Nos flashbacks, Devoe e sua esposa constroem um limite de pensamento para melhorar sua capacidade cerebral, alimentando -o "&amp;"através da explosão do acelerador de partículas. O aumento do poder cerebral de Devoe acelera sua esclerose lateral amiotrófica, forçando sua esposa a construir uma cadeira especial para mantê -lo vivo. Barry descobre a câmera na cabeça do samuroid e conf"&amp;"ronta Devoe, que revela sua verdadeira identidade, levando a Cisco o apelidando `` The Thinker ''. Wally retorna ao Team Flash de Blue Valley. 77 8 `` Crise na terra - x, parte 3 '' Dermott Downs Story de: Andrew Kreisberg e Marc Guggenheim Teleplay por: "&amp;"Todd Helbing 28 de novembro de 2017 (2017 - 11 - 28) T27. 13408 2.82 Barry, Oliver, Sara, Alex, Martin e Jax acordam em um campo de concentração nazista na Terra - X, com algemas de amortecimento de poder. Os Ss que chegam - Sturmbannführer é revelado com"&amp;"o a Terra - X doppelgänger de Quentin Lance, que os leva para execução, antes de serem salvos pelo Citizen Cold (a terra - x doppelgänger de Leonard Snart) e o raio (Ray Terill). Snart e Terrill os levam para a sede subterrânea dos combatentes da liberdad"&amp;"e, onde a equipe encontra o líder do Movimento da Resistência Winn Schott (Terra de Winn Schott - X Doppelgänger). Eles aprenderam que o único caminho de volta à Terra - 1 é através de um portão temporal em uma instalação nazista, que Schott planeja explo"&amp;"dir para amarrar Arrow escuro (terra de Oliver - x doppelgänger) na terra - 1. Oliver se disfarça de seta escura para se infiltrar na instalação, descobre que o dispositivo do dia do juízo do dia contra o paralelo Terras é um tempo militarizado chamado We"&amp;"llenreiter e salva um prisioneiro (que é a terra de Felicity - x doppelgänger) de Quentin. Barry e Ray combatem o tornado vermelho dos lutadores da liberdade para impedir que ele destrua o portão temporal, enquanto o resto da equipe entra na instalação. A"&amp;"o tentar reativar o portal do gateway, Stein é filmado e gravemente ferido. De volta à Terra - 1, Thawne se prepara para realizar uma cirurgia em Kara para salvar a Overgirl em S.T.A.R. Laboratórios. Felicity e Iris tentam detê -lo, mas são capturados. Es"&amp;"te episódio continua um evento de crossover que começa no episódio 8 da Supergirl Season 3 e no Arrow 6 Episódio 8, e conclui sobre o episódio 8 de Legends of Tomorrow Season 3. 78 9 `` Do N't Run '' Stefan Pleszczynski Sam Chalsen &amp; Judalina Neira 5 de d"&amp;"ezembro de 2017 (2017 - 12 - 05) T27. 13409 2.22 Enquanto faz compras no Natal, Barry é emboscado e sequestrado por DeVoe enquanto Caitlin é sequestrado de Jitters por Amunet. A Iris afirma que eles precisam procurar os dois, apesar da afirmação de Wells "&amp;"de que eles têm tempo e recursos insuficientes e que só podem se dar ao luxo de procurar um. Barry é mantido no covil de Devoe. Caitlin é forçado por Amunet a realizar uma cirurgia em um metahumano chamado Dominic Lanse, que pode ler mentes. Eles tentam e"&amp;"scapar, mas Amunet bloqueia sua saída. Caitlin consegue incapacitar brevemente Amunet, e ela e Dominic fogem do prédio em que estão sendo mantidos. Uma vez do lado de fora, eles são resgatados pela Cisco e Ralph, como Iris optou por se concentrar em encon"&amp;"trar Caitlin. Barry consegue escapar de Devoe. O Team Flash celebra o Natal na West House e Dominic se junta a eles. Barry recebe um alerta de segurança de seu apartamento. Quando ele chega, ele recebe um telefonema de Dominic, que revela que Amunet re-Ki"&amp;"dnapped Dominic e Devoe transferiram sua consciência para o corpo de Dominic. Barry descobre o corpo original de Devoe morto no chão do apartamento e ele percebe que Devoe o enquadrou por seu `` assassinato ''; A polícia chega e Barry se deixa preso, não "&amp;"querendo deixar Iris novamente. 79 10 `` The Trial of the Flash '' Philip Chipera Lauren Certo &amp; Kristen Kim 16 de janeiro de 2018 (2018 - 01 - 16) TBA TBD TBD")</f>
        <v>   Não . Nº geral no título da temporada dirigido por escrito pela data do ar original Prod. Código dos espectadores dos EUA (milhões) 70 `` The Flash Reborn '' Glen Winter Story de: Andrew Kreisberg Teleplay Por: Todd Helbing e Eric Wallace 10 de outubro de 2017 (2017 - 10 - 10) T27. 13401 2.84 A IRIS está ajudando a equipe Flash em Central City há seis meses, mas se recusando a sofrer Barry. Um samurai voador com superpotências aparece em Central City, ameaçando destruir a cidade se o flash real não o enfrentar. A Cisco revela que formulou uma maneira de trazer de volta Barry sem desestabilizar a força de velocidade e rastreia Caitlin em busca de ajuda. Contra a direção de Iris, o Team Flash retorna com sucesso Barry, que parece divagar declarações aleatórias e escrever continuamente símbolos nas paredes. Wally envolve o samurai, mas é derrotado. A Cisco decifra os escritos de Barry e encontra uma frase aparentemente sem sentido. Na tentativa de recuperar as memórias de Barry, Iris se entrega aos samurais. O plano funciona e Barry acelera, resgatando Iris e derrotando o samurai, que é revelado como um robô. Caitlin se junta ao time flash, mas é revelado que está trabalhando para um mafioso chamado Amunet no bar, enquanto continua a impedir que a personalidade do Frost Frost emergente. O `` samuroid '' é revelado que foi controlado pelo pensador, cujo plano era extrair o flash para seus próximos esquemas. 71 `` Sinais Mistos '' Alexandra La Roche Jonathan Butler e Gabriel Garza 17 de outubro de 2017 (2017 - 10 - 17) T27. 13402 2.54 Quando Barry, Joe e Cisco se reportam a uma cena do crime, eles descobrem restos de um código misterioso. A Cisco apresenta a Barry um processo tecnologicamente avançado, destinado a facilitar suas atividades. Ele testa, tentando salvar alguém de um carro de falta, causado pelo Metahuman Ramsey Deacon. Gypsy chega na Terra - 1 para uma data com a Cisco, que é forçada a cancelá -la para se concentrar no diácono. Agindo em uma sugestão de Caitlin, Iris assina ela e Barry para a terapia de casais para resolver seu relacionamento. Deacon sequestra uma testemunha, que anteriormente era membro de uma equipe de tecnologia que o vendeu fora de sua idéia. Barry e Wally vão salvá -lo, mas Deacon usa suas habilidades para enviar o traje de Barry. Por meio das instruções de Iris, Barry joga raios para si mesmo, curvando -se ao traje. Ele então incapacita Deacon, que está trancado na asa meta de altura de ferro, revelou fazer parte do plano do pensador. A Cisco finalmente sai com Gypsy. Quer saber como Deacon ganhou seus poderes ausentes durante o incidente do acelerador de partículas, Barry e Joe aprendem com Deacon que existem `` outros ''. 72 `` sorte seja uma senhora '' Armen V. Kevorkian Sam Chalsen &amp; Judalina Neira 24 de outubro de 2017 (2017 - 10 - 24) T27. 13403 2.62 Em flashbacks, o pensador observa Becky Sharpe, uma mulher com azar aparentemente interminável, e determina que ela será facilmente manipulada. No presente, Becky rouba um banco e foge quando Barry escorrega em bolas de gude. Harry chega da Terra - 2, e diz a Wally que Jesse decidiu terminar para se concentrar em seu vigilantismo. A Cisco deduz que Becky é um metahumano com o poder da sorte favorável e induz a infortúnio aos outros. Barry percebe que o portal que ele usou para escapar da força de velocidade expôs um ônibus inteiro de pessoas, incluindo Becky e Deacon, à matéria escura transformadora. Harry informa a Cisco que Jesse o expulsou de seu crime - equipe de combate devido à sua atitude. Os poderes de Becky se expandem fora de controle, reativando o acelerador de partículas, que Harry permite deliberadamente, anulando os poderes de Becky e levando ao seu encarceramento. Cisco e Harry identificam doze novos metahumanos criados no ônibus, e este suspeita que um partido desconhecido manipulou eventos em torno do retorno de Barry. Wally decide sair em uma jornada para se encontrar. O pensador é revelado que está espionando S.T.A.R. Laboratórios através do capacete `` samuroid '". Joe descobre que Cecile está grávida. 73 `` Jornada alongada para a noite '' Tom Cavanagh Sterling Gates &amp; Thomas Pound 31 de outubro de 2017 (2017 - 10 - 31) T27. 13404 1.99 O pai de Gypsy, Breather, ataca Cisco, prometendo caçar e matá -lo em 24 horas, permitindo que o romance sobreviva. O Team Flash descobre que o motorista do ônibus foi assassinado e rastreia outro passageiro, Ralph Dibny, ex -detetive corrupto do CCPD exposto por Barry e atualmente um infame investigador particular. Enquanto dois bandidos atacam Dibny, ele é revelado que tem o poder de esticar. Caitlin estabiliza seus poderes com um soro. A equipe descobre que Ralph está chantageando o prefeito Bellows por adultério, com este último revelado por ter contratado os bandidos. Barry confronta Ralph por suas ações enquanto este o repreende, alegando ter sido um `` bom policial ''. Mais tarde, ele para de chantagear, que ainda tenta matá -lo enquanto a breather confunde a primeira com um plastóide, as espécies que invadiram a Terra - 19 anteriormente e o ataca. A Cisco intervém e salva Ralph, a quem Barry, tendo revelado seu alter -ego, convence -se a ajudar a prender um fole em fuga. Admirando a galanteria da Cisco, Breathering permite o relacionamento. Barry recruta Ralph para o Team Flash e descobre que alguém chamado DeVoe instruiu Ralph a assistir a Fellows. Barry lembra que Abra Kadabra e Savitar mencionaram Devoe. Enquanto isso, Caitlin encontra uma mensagem na porta do apartamento dela. 74 5 `` Girls Night Out '' Laura Belsey Lauren Certo e Kristen Kim 7 de novembro de 2017 (2017 - 11 - 07) T27. 13405 2.38 Enquanto não conseguiu rastrear Devoe, o Team Flash é visitado por Felicity, que se junta à festa de solteira de Iris. Zombando dos planos da Cisco para a festa de solteiro de Barry, Ralph leva os homens a um clube de strip, onde eles aprendem que a filha de Cecile, Joanie, está trabalhando. Joe a confronta, que afirma que está apenas fazendo pesquisas feministas. Ralph incita uma briga, levando à prisão dos homens até Harry fazer a fiança. Enquanto isso, o executor de Amunet, Norvock, exige o retorno de Caitlin e ataca as mulheres quando ela se recusa. Killer Frost emerge e repele, mais tarde dizendo a Iris que Caitlin aceitou o emprego de Amunet em troca dos meios para controlar a geada. Aprendendo que Amunet está segurando um metahumano que ela chama de `` o carinheiro '', cujas lágrimas são um narcótico forte, prisioneiro e pretende vendê -lo, o partido de Iris decide detê -la. Embora Caitlin se recusa a participar, ela ataca Amunet ao ver seus amigos em perigo. Usando um ímã forte, a equipe rouba os fragmentos de metal de Amunet, deixando -a impotente. Iris dissuade Frost de matar Amunet, que promete vingança. Ambas as partes se recusam a contar um ao outro sobre suas aventuras. Iris pede que Caitlin seja sua dama de honra, enquanto Joe convence Joanie a contar a Cecile sobre sua pesquisa. DeVoe captura o caramba. 75 6 `` Quando Harry conheceu Harry ... '' Brent Crowell Jonathan Butler e Gabriel Garza 14 de novembro de 2017 (2017 - 11 - 14) T27. 13406 2.46 Barry treina Ralph para usar suas habilidades, com a Cisco fazendo um traje estendido para ele. Outro ônibus metahuman, um nativo de Lakota Sioux chamado Mina Chayton, que pode animar estátuas, começa a atacar a cidade central e roubar peças de um colar de bisonte preto, que ela afirma pertencer à sua tribo. Quando Barry e Ralph o alcançam, ela ataca Barry com uma estátua de caverna e tenta uma escapada. Ralph escolhe detê -la, mas uma garotinha está ferida no processo. Ralph lamenta suas ações, mas é confortado por Barry. Chayton escapa do CCPD, indo atrás da última peça de colar realizada no museu. Quando Barry e Ralph a confrontam, ela dá vida a um esqueleto de dinossauro. Barry prende Chayton enquanto Ralph salva um segurança do esqueleto. Mais tarde, Ralph revela que enviou o colar de volta à tribo de Chayton, antes de visitar a garotinha no hospital, usando suas habilidades para entretê -la. Enquanto isso, Harry, tentando fazer amigos, trabalha com seus doppelgangers de terra alternativa, o Conselho de Wells. Eles descobrem que Devoe é um homem chamado Clifford DeVoe. Barry e Joe vão para a casa de DeVoe, para descobrir que ele é um homem de meia idade em uma cadeira de rodas. 76 7 `` Portanto eu sou '' David McWhirter Eric Wallace e Thomas Pound 21 de novembro de 2017 (2017 - 11 - 21) T27. 13407 2.20 Barry e Joe Interrogam DeVoe e sua esposa para tentar obter mais informações. Nos flashbacks, Devoe e sua esposa constroem um limite de pensamento para melhorar sua capacidade cerebral, alimentando -o através da explosão do acelerador de partículas. O aumento do poder cerebral de Devoe acelera sua esclerose lateral amiotrófica, forçando sua esposa a construir uma cadeira especial para mantê -lo vivo. Barry descobre a câmera na cabeça do samuroid e confronta Devoe, que revela sua verdadeira identidade, levando a Cisco o apelidando `` The Thinker ''. Wally retorna ao Team Flash de Blue Valley. 77 8 `` Crise na terra - x, parte 3 '' Dermott Downs Story de: Andrew Kreisberg e Marc Guggenheim Teleplay por: Todd Helbing 28 de novembro de 2017 (2017 - 11 - 28) T27. 13408 2.82 Barry, Oliver, Sara, Alex, Martin e Jax acordam em um campo de concentração nazista na Terra - X, com algemas de amortecimento de poder. Os Ss que chegam - Sturmbannführer é revelado como a Terra - X doppelgänger de Quentin Lance, que os leva para execução, antes de serem salvos pelo Citizen Cold (a terra - x doppelgänger de Leonard Snart) e o raio (Ray Terill). Snart e Terrill os levam para a sede subterrânea dos combatentes da liberdade, onde a equipe encontra o líder do Movimento da Resistência Winn Schott (Terra de Winn Schott - X Doppelgänger). Eles aprenderam que o único caminho de volta à Terra - 1 é através de um portão temporal em uma instalação nazista, que Schott planeja explodir para amarrar Arrow escuro (terra de Oliver - x doppelgänger) na terra - 1. Oliver se disfarça de seta escura para se infiltrar na instalação, descobre que o dispositivo do dia do juízo do dia contra o paralelo Terras é um tempo militarizado chamado Wellenreiter e salva um prisioneiro (que é a terra de Felicity - x doppelgänger) de Quentin. Barry e Ray combatem o tornado vermelho dos lutadores da liberdade para impedir que ele destrua o portão temporal, enquanto o resto da equipe entra na instalação. Ao tentar reativar o portal do gateway, Stein é filmado e gravemente ferido. De volta à Terra - 1, Thawne se prepara para realizar uma cirurgia em Kara para salvar a Overgirl em S.T.A.R. Laboratórios. Felicity e Iris tentam detê -lo, mas são capturados. Este episódio continua um evento de crossover que começa no episódio 8 da Supergirl Season 3 e no Arrow 6 Episódio 8, e conclui sobre o episódio 8 de Legends of Tomorrow Season 3. 78 9 `` Do N't Run '' Stefan Pleszczynski Sam Chalsen &amp; Judalina Neira 5 de dezembro de 2017 (2017 - 12 - 05) T27. 13409 2.22 Enquanto faz compras no Natal, Barry é emboscado e sequestrado por DeVoe enquanto Caitlin é sequestrado de Jitters por Amunet. A Iris afirma que eles precisam procurar os dois, apesar da afirmação de Wells de que eles têm tempo e recursos insuficientes e que só podem se dar ao luxo de procurar um. Barry é mantido no covil de Devoe. Caitlin é forçado por Amunet a realizar uma cirurgia em um metahumano chamado Dominic Lanse, que pode ler mentes. Eles tentam escapar, mas Amunet bloqueia sua saída. Caitlin consegue incapacitar brevemente Amunet, e ela e Dominic fogem do prédio em que estão sendo mantidos. Uma vez do lado de fora, eles são resgatados pela Cisco e Ralph, como Iris optou por se concentrar em encontrar Caitlin. Barry consegue escapar de Devoe. O Team Flash celebra o Natal na West House e Dominic se junta a eles. Barry recebe um alerta de segurança de seu apartamento. Quando ele chega, ele recebe um telefonema de Dominic, que revela que Amunet re-Kidnapped Dominic e Devoe transferiram sua consciência para o corpo de Dominic. Barry descobre o corpo original de Devoe morto no chão do apartamento e ele percebe que Devoe o enquadrou por seu `` assassinato ''; A polícia chega e Barry se deixa preso, não querendo deixar Iris novamente. 79 10 `` The Trial of the Flash '' Philip Chipera Lauren Certo &amp; Kristen Kim 16 de janeiro de 2018 (2018 - 01 - 16) TBA TBD TBD</v>
      </c>
    </row>
    <row r="320" customFormat="false" ht="15.75" hidden="false" customHeight="true" outlineLevel="0" collapsed="false">
      <c r="A320" s="3" t="n">
        <v>317</v>
      </c>
      <c r="B320" s="5" t="s">
        <v>954</v>
      </c>
      <c r="C320" s="5" t="s">
        <v>955</v>
      </c>
      <c r="D320" s="5" t="s">
        <v>956</v>
      </c>
      <c r="E320" s="4" t="str">
        <f aca="false">IFERROR(__xludf.dummyfunction("GOOGLETRANSLATE(C321)"),"Quando dizemos que uma solução é insaturada")</f>
        <v>Quando dizemos que uma solução é insaturada</v>
      </c>
      <c r="F320" s="5" t="str">
        <f aca="false">IFERROR(__xludf.dummyfunction("GOOGLETRANSLATE(D320)")," Daniel Peter Masterson (nascido em 13 de março de 1976) é um ator e disc jockey americano. Masterson é conhecido por seus papéis como Steven Hyde naquele show dos anos 70 (1998 - 2006) e como Jameson `` Rooster '' Bennett no rancho (2016 - 2018).")</f>
        <v> Daniel Peter Masterson (nascido em 13 de março de 1976) é um ator e disc jockey americano. Masterson é conhecido por seus papéis como Steven Hyde naquele show dos anos 70 (1998 - 2006) e como Jameson `` Rooster '' Bennett no rancho (2016 - 2018).</v>
      </c>
    </row>
    <row r="321" customFormat="false" ht="15.75" hidden="false" customHeight="true" outlineLevel="0" collapsed="false">
      <c r="A321" s="3" t="n">
        <v>318</v>
      </c>
      <c r="B321" s="5" t="s">
        <v>957</v>
      </c>
      <c r="C321" s="5" t="s">
        <v>958</v>
      </c>
      <c r="D321" s="5" t="s">
        <v>959</v>
      </c>
      <c r="E321" s="4" t="str">
        <f aca="false">IFERROR(__xludf.dummyfunction("GOOGLETRANSLATE(C322)"),"você precisa de uma licença para carry aberto no Texas")</f>
        <v>você precisa de uma licença para carry aberto no Texas</v>
      </c>
      <c r="F321" s="5" t="str">
        <f aca="false">IFERROR(__xludf.dummyfunction("GOOGLETRANSLATE(D321)")," Na química orgânica, um composto saturado é um composto químico que possui uma cadeia de átomos de carbono ligados por ligações únicas. Alcanes são hidrocarbonetos saturados. Um composto insaturado é um composto químico que contém ligações duplas de carb"&amp;"ono ou ligações triplas, como as encontradas em alcenos ou alcinos, respectivamente. Os compostos saturados e insaturados não precisam consistir apenas em uma cadeia de átomos de carbono. Eles podem formar cadeia reta, corrente ramificada ou arranjos de a"&amp;"nel. Eles também podem ter grupos funcionais. É nesse sentido que os ácidos graxos são classificados como saturados ou insaturados. A quantidade de insaturação de um ácido graxo pode ser determinada encontrando seu número de iodo.")</f>
        <v> Na química orgânica, um composto saturado é um composto químico que possui uma cadeia de átomos de carbono ligados por ligações únicas. Alcanes são hidrocarbonetos saturados. Um composto insaturado é um composto químico que contém ligações duplas de carbono ou ligações triplas, como as encontradas em alcenos ou alcinos, respectivamente. Os compostos saturados e insaturados não precisam consistir apenas em uma cadeia de átomos de carbono. Eles podem formar cadeia reta, corrente ramificada ou arranjos de anel. Eles também podem ter grupos funcionais. É nesse sentido que os ácidos graxos são classificados como saturados ou insaturados. A quantidade de insaturação de um ácido graxo pode ser determinada encontrando seu número de iodo.</v>
      </c>
    </row>
    <row r="322" customFormat="false" ht="15.75" hidden="false" customHeight="true" outlineLevel="0" collapsed="false">
      <c r="A322" s="3" t="n">
        <v>319</v>
      </c>
      <c r="B322" s="5" t="s">
        <v>960</v>
      </c>
      <c r="C322" s="5" t="s">
        <v>961</v>
      </c>
      <c r="D322" s="5" t="s">
        <v>962</v>
      </c>
      <c r="E322" s="4" t="str">
        <f aca="false">IFERROR(__xludf.dummyfunction("GOOGLETRANSLATE(C323)"),"Que gênero é a nossa cidade por Thornton Wilder")</f>
        <v>Que gênero é a nossa cidade por Thornton Wilder</v>
      </c>
      <c r="F322" s="5" t="str">
        <f aca="false">IFERROR(__xludf.dummyfunction("GOOGLETRANSLATE(D322)"),"  Carry Open? Sim Sim PC 46.02 Armas longas e armas de pó preto (incluindo pistola) O transporte aberto não é proibido por lei, a menos que de uma maneira `` calculada para causar alarme. '' A partir de 1º de janeiro de 2016, os indivíduos com uma licença"&amp;" de transporte de arma terão permissão para levar abertamente, de acordo com o projeto de lei 910 da sessão legislativa de 2015. Os não-residentes de estados cujas licenças são reconhecidas pelo Texas também poderão abrir o transporte de acordo com a nova"&amp;" lei.")</f>
        <v>  Carry Open? Sim Sim PC 46.02 Armas longas e armas de pó preto (incluindo pistola) O transporte aberto não é proibido por lei, a menos que de uma maneira `` calculada para causar alarme. '' A partir de 1º de janeiro de 2016, os indivíduos com uma licença de transporte de arma terão permissão para levar abertamente, de acordo com o projeto de lei 910 da sessão legislativa de 2015. Os não-residentes de estados cujas licenças são reconhecidas pelo Texas também poderão abrir o transporte de acordo com a nova lei.</v>
      </c>
    </row>
    <row r="323" customFormat="false" ht="15.75" hidden="false" customHeight="true" outlineLevel="0" collapsed="false">
      <c r="A323" s="3" t="n">
        <v>320</v>
      </c>
      <c r="B323" s="5" t="s">
        <v>963</v>
      </c>
      <c r="C323" s="5" t="s">
        <v>964</v>
      </c>
      <c r="D323" s="5" t="s">
        <v>965</v>
      </c>
      <c r="E323" s="4" t="str">
        <f aca="false">IFERROR(__xludf.dummyfunction("GOOGLETRANSLATE(C324)"),"Onde Bobby Flay foi para o ensino médio")</f>
        <v>Onde Bobby Flay foi para o ensino médio</v>
      </c>
      <c r="F323" s="5" t="str">
        <f aca="false">IFERROR(__xludf.dummyfunction("GOOGLETRANSLATE(D323)"),"   Nossa cidade de 1938, de 1938, capa da Biblioteca do Congresso Raro Book e Divisão de Coleções Especiais, escrita pelo gerente de palcos de Thornton Wilder Stage, Sra. Myrtle Webb Sr. Charles Webb Emily Webb Joe Crowell Jr. Sra. Julia Gibbs Dra. Frank "&amp;"F. Gibbs Simon Stimson Sra. Soames George Gibbs Howie Newsome Rebecca Gibbs Wally Webb Professora Willard Woman no homem da varanda no auditório Lady na caixa Sra. Louella Soames Warren Si Crowell Três jogadores de beisebol Sam Craig Joe Stoddard Date est"&amp;"reou em 22 de janeiro de 1938, estreou o McCarter Theatre Princeton, o idioma original de Nova Jersey, a vida e a morte em inglês e a morte em um drama de gênero de cidade pequena americana, 1901 a 1913. Grover's Corners, New Hampshire, perto de Massachus"&amp;"etts.")</f>
        <v>   Nossa cidade de 1938, de 1938, capa da Biblioteca do Congresso Raro Book e Divisão de Coleções Especiais, escrita pelo gerente de palcos de Thornton Wilder Stage, Sra. Myrtle Webb Sr. Charles Webb Emily Webb Joe Crowell Jr. Sra. Julia Gibbs Dra. Frank F. Gibbs Simon Stimson Sra. Soames George Gibbs Howie Newsome Rebecca Gibbs Wally Webb Professora Willard Woman no homem da varanda no auditório Lady na caixa Sra. Louella Soames Warren Si Crowell Três jogadores de beisebol Sam Craig Joe Stoddard Date estreou em 22 de janeiro de 1938, estreou o McCarter Theatre Princeton, o idioma original de Nova Jersey, a vida e a morte em inglês e a morte em um drama de gênero de cidade pequena americana, 1901 a 1913. Grover's Corners, New Hampshire, perto de Massachusetts.</v>
      </c>
    </row>
    <row r="324" customFormat="false" ht="15.75" hidden="false" customHeight="true" outlineLevel="0" collapsed="false">
      <c r="A324" s="3" t="n">
        <v>321</v>
      </c>
      <c r="B324" s="5" t="s">
        <v>966</v>
      </c>
      <c r="C324" s="5" t="s">
        <v>967</v>
      </c>
      <c r="D324" s="5" t="s">
        <v>968</v>
      </c>
      <c r="E324" s="4" t="str">
        <f aca="false">IFERROR(__xludf.dummyfunction("GOOGLETRANSLATE(C325)"),"Quem cantou a vida da música na pista rápida")</f>
        <v>Quem cantou a vida da música na pista rápida</v>
      </c>
      <c r="F324" s="5" t="str">
        <f aca="false">IFERROR(__xludf.dummyfunction("GOOGLETRANSLATE(D324)")," Flay abandonou o ensino médio aos 17 anos. Ele disse que seus primeiros empregos na indústria de restaurantes estavam em uma pizzaria e Baskin - Robbins. Ele então assumiu uma posição fazendo saladas no restaurante Joe Allen, no distrito teatro de Manhat"&amp;"tan, onde seu pai era parceiro. O proprietário, Joe Allen, ficou impressionado com a habilidade natural de Flay e concordou em pagar a mensalidade de seu parceiro no Instituto de Culinária Francesa.")</f>
        <v> Flay abandonou o ensino médio aos 17 anos. Ele disse que seus primeiros empregos na indústria de restaurantes estavam em uma pizzaria e Baskin - Robbins. Ele então assumiu uma posição fazendo saladas no restaurante Joe Allen, no distrito teatro de Manhattan, onde seu pai era parceiro. O proprietário, Joe Allen, ficou impressionado com a habilidade natural de Flay e concordou em pagar a mensalidade de seu parceiro no Instituto de Culinária Francesa.</v>
      </c>
    </row>
    <row r="325" customFormat="false" ht="15.75" hidden="false" customHeight="true" outlineLevel="0" collapsed="false">
      <c r="A325" s="3" t="n">
        <v>322</v>
      </c>
      <c r="B325" s="5" t="s">
        <v>969</v>
      </c>
      <c r="C325" s="5" t="s">
        <v>970</v>
      </c>
      <c r="D325" s="5" t="s">
        <v>971</v>
      </c>
      <c r="E325" s="4" t="str">
        <f aca="false">IFERROR(__xludf.dummyfunction("GOOGLETRANSLATE(C326)"),"Que tipo de bomba os EUA caíram no Japão")</f>
        <v>Que tipo de bomba os EUA caíram no Japão</v>
      </c>
      <c r="F325" s="5" t="str">
        <f aca="false">IFERROR(__xludf.dummyfunction("GOOGLETRANSLATE(D325)")," `` Life in the Fast Lane '' é uma música escrita por Joe Walsh, Glenn Frey e Don Henley e gravada pela banda de rock americana The Eagles em seu álbum de estúdio de 1976 Hotel California. Foi o terceiro single lançado deste álbum e atingiu o número 11 no"&amp;" Billboard Hot 100.")</f>
        <v> `` Life in the Fast Lane '' é uma música escrita por Joe Walsh, Glenn Frey e Don Henley e gravada pela banda de rock americana The Eagles em seu álbum de estúdio de 1976 Hotel California. Foi o terceiro single lançado deste álbum e atingiu o número 11 no Billboard Hot 100.</v>
      </c>
    </row>
    <row r="326" customFormat="false" ht="15.75" hidden="false" customHeight="true" outlineLevel="0" collapsed="false">
      <c r="A326" s="3" t="n">
        <v>323</v>
      </c>
      <c r="B326" s="5" t="s">
        <v>972</v>
      </c>
      <c r="C326" s="5" t="s">
        <v>973</v>
      </c>
      <c r="D326" s="5" t="s">
        <v>974</v>
      </c>
      <c r="E326" s="4" t="str">
        <f aca="false">IFERROR(__xludf.dummyfunction("GOOGLETRANSLATE(C327)"),"quem é a garota do movimento do Extremo Oriente como um G6")</f>
        <v>quem é a garota do movimento do Extremo Oriente como um G6</v>
      </c>
      <c r="F326" s="5" t="str">
        <f aca="false">IFERROR(__xludf.dummyfunction("GOOGLETRANSLATE(D326)")," Durante a fase final da Segunda Guerra Mundial, os Estados Unidos lançaram armas nucleares nas cidades japonesas de Hiroshima e Nagasaki nos 6 e 9 de agosto de 1945, respectivamente. Os Estados Unidos abandonaram as bombas com o consentimento do Reino Un"&amp;"ido, conforme descrito no Acordo de Quebec. Os dois atentados, que mataram pelo menos 129.000 pessoas, continuam sendo o único uso de armas nucleares para a guerra na história.")</f>
        <v> Durante a fase final da Segunda Guerra Mundial, os Estados Unidos lançaram armas nucleares nas cidades japonesas de Hiroshima e Nagasaki nos 6 e 9 de agosto de 1945, respectivamente. Os Estados Unidos abandonaram as bombas com o consentimento do Reino Unido, conforme descrito no Acordo de Quebec. Os dois atentados, que mataram pelo menos 129.000 pessoas, continuam sendo o único uso de armas nucleares para a guerra na história.</v>
      </c>
    </row>
    <row r="327" customFormat="false" ht="15.75" hidden="false" customHeight="true" outlineLevel="0" collapsed="false">
      <c r="A327" s="3" t="n">
        <v>324</v>
      </c>
      <c r="B327" s="5" t="s">
        <v>975</v>
      </c>
      <c r="C327" s="5" t="s">
        <v>976</v>
      </c>
      <c r="D327" s="5" t="s">
        <v>977</v>
      </c>
      <c r="E327" s="4" t="str">
        <f aca="false">IFERROR(__xludf.dummyfunction("GOOGLETRANSLATE(C328)"),"Qual é o menor país do Caribe")</f>
        <v>Qual é o menor país do Caribe</v>
      </c>
      <c r="F327" s="5" t="str">
        <f aca="false">IFERROR(__xludf.dummyfunction("GOOGLETRANSLATE(D327)")," `` Like a G6 '' é uma música de 2010 escrita e tocada pelo Movimento do Extremo Oriente, The Cataracs e Dev, com os dois últimos sendo creditados como artistas em destaque. É o single líder do terceiro álbum de estúdio do Far East Movement, Free Wired, e"&amp;" a produção foi tratada pelos Cataracs. Para o refrão, Dev amostra um versículo de seu próprio single `` boaty bounce '', que também foi escrito e produzido pelos Cataracs.")</f>
        <v> `` Like a G6 '' é uma música de 2010 escrita e tocada pelo Movimento do Extremo Oriente, The Cataracs e Dev, com os dois últimos sendo creditados como artistas em destaque. É o single líder do terceiro álbum de estúdio do Far East Movement, Free Wired, e a produção foi tratada pelos Cataracs. Para o refrão, Dev amostra um versículo de seu próprio single `` boaty bounce '', que também foi escrito e produzido pelos Cataracs.</v>
      </c>
    </row>
    <row r="328" customFormat="false" ht="15.75" hidden="false" customHeight="true" outlineLevel="0" collapsed="false">
      <c r="A328" s="3" t="n">
        <v>325</v>
      </c>
      <c r="B328" s="5" t="s">
        <v>978</v>
      </c>
      <c r="C328" s="5" t="s">
        <v>979</v>
      </c>
      <c r="D328" s="5" t="s">
        <v>980</v>
      </c>
      <c r="E328" s="4" t="str">
        <f aca="false">IFERROR(__xludf.dummyfunction("GOOGLETRANSLATE(C329)"),"que interpreta Eric em uma vez")</f>
        <v>que interpreta Eric em uma vez</v>
      </c>
      <c r="F328" s="5" t="str">
        <f aca="false">IFERROR(__xludf.dummyfunction("GOOGLETRANSLATE(D328)"),"   País de classificação (ou território dependente) abbr. 1º de julho de 2017 % de projeção de pop. Average relative annual growth ( % )   Average absolute annual growth   Estimated doubling time ( Years )   Official figure ( where available )   Date of l"&amp;"ast figure   Source       Cuba   CU   11,252,000   26.48   0.25   28,000   278   11,238,317   December 31 , 2014   Official estimate       Haiti   HT   10,981,229   25.49   0.98   97,000   71   9,980,243 2015 Estimativa oficial A República Dominicana faz "&amp;"10.766.998 23,87 2,31 248.000 30 10.911.819 2015 Estimativa oficial porto -rico (EUA) Pr 3,508.000 8.26 - 1,13 - 40.000 - 3,548.397 Julho 27, 2014 Official estimativa Jamaica 4 Estimativa oficial 6 Trinidad e Tobago TT 1.357.000 3,19 0,52 7.000 134 1.349."&amp;"667 2015 Estimativa oficial 7 Guadeloupe (França) GP 405.000 0,95 0,25 1.000 280 403.314 1 de janeiro, 2012 Official 8 Martinique (France) MQ 383.000 0.9. Estimativa 9 Bahamas BS 379.000 0,89 1,34 5.000 52 369.670 2015 Estimativa oficial 10 Barbados BB 28"&amp;"3.000 0,67 0,35 1.000 196 277.821 1 de maio de 2010 2010 Resultado do Censo 11 May Lucia LC 172.000 0,40 0,58 1.000 119 166,526,526, May 10, 10.42.000 0,58 1.000 119 166,526,526 May 10. Kingdom of the Netherlands )   CW   157,000   0.37   0.64   1,000   1"&amp;"08   154,843   January 1 , 2014   Official estimate     13   Aruba ( Kingdom of the Netherlands )   AW   110,000   0.26   1.85   2,000   38   109,517   2015   Official estimate     14   Saint Vincent and the Grenadines   VC   110,000   0.26   0.00   0   -"&amp;"   109,434   2014 Estimativa oficial 15 Ilhas Virgens dos Estados Unidos (EUA) VI 105.000 0,25 0,00 0 - 106.405 1 de abril de 2010 Resultado do censo de 2010 16 Granada GD 104.000 0,24 0,00 0 - 103.328 12 de maio, 2011 RESULTADO DE CENSUS preliminares de "&amp;"2011 17 Antigua e Barbuda AG 89.000 0.21 1.14 1,14 1.000 1.000 1.000 1.000 1.000 1.000 1.000 1.000 1.000 1.000 1.000 1.000 1.000 1.000 1.000 1.000 1.000 1.000 1.000 1.000 1.000 1.000 1.000 1.000. 61 85.567 27 de maio de 2011 Final 2011 Resultado do censo "&amp;"18 Dominica DM 71.000 0,17 0,00 0 - 71.293 14 de maio de 2011 Resultado preliminar de 2011 2011 Resultado 19 Ilhas Cayman (Reino Unido) KY 59.000 0,14 3,51 2.000 20 58,238 Dezembro 31, 2014 Official estimativa 20 Kitt Kitt. Nevis KN 46.000 0,11 0,00 0 - 4"&amp;"6.204 15 de maio de 2011 Resultado do censo de 2011 21 Sint Maarten (Reino da Holanda) SX 39.000 0,09 2,63 1.000 27 37.224 1 de fevereiro de 2014 Estimativa oficial 22 Turks e Caicos Islands (UK) TC 37.000 0,09 5.7.7 5.7 5.7 22 ilhas Turks e Caicos () TC "&amp;"37.000 0,09 5.7 5.7 5.7 5.7 22 ilhas Turks e Caicos () TC 37.000 12 31.618 25 de janeiro de 2012 Resultado preliminar de 2012 de 2012 23 Saint Martin (França) MF 36.000 0,08 0,00 0 - 35.742 1 de janeiro de 2012 Estimativa oficial 24 Ilhas Virgens Britânic"&amp;"as (Reino Unido) VG 31.000 0,07 3,33 1.000 21 28.054 Julho 12, 2010 Censo de 2010 Census Resultado 25 Holanda do Caribe (Reino da Holanda) e 26.000 0,06 4,00 1.000 18 24.593 1 de janeiro de 2015 Estimativa oficial 26 Anguilla (Reino Unido) AI 14.000 0,03 "&amp;"0,00 0 - 13.037 11 de maio de 2011 Final 2011 Resultado 27 0,02 0,00 0 - 9.131 1 de janeiro de 2012 Estimativa oficial 28 Montserrat (Reino Unido) MS 5.000 0,01 0,00 0 - 4.922 12 de maio, 2011 2011 Resultado do censo Total 42.491.000 100,00 0,86 364.000 8"&amp;"1")</f>
        <v>   País de classificação (ou território dependente) abbr. 1º de julho de 2017 % de projeção de pop. Average relative annual growth ( % )   Average absolute annual growth   Estimated doubling time ( Years )   Official figure ( where available )   Date of last figure   Source       Cuba   CU   11,252,000   26.48   0.25   28,000   278   11,238,317   December 31 , 2014   Official estimate       Haiti   HT   10,981,229   25.49   0.98   97,000   71   9,980,243 2015 Estimativa oficial A República Dominicana faz 10.766.998 23,87 2,31 248.000 30 10.911.819 2015 Estimativa oficial porto -rico (EUA) Pr 3,508.000 8.26 - 1,13 - 40.000 - 3,548.397 Julho 27, 2014 Official estimativa Jamaica 4 Estimativa oficial 6 Trinidad e Tobago TT 1.357.000 3,19 0,52 7.000 134 1.349.667 2015 Estimativa oficial 7 Guadeloupe (França) GP 405.000 0,95 0,25 1.000 280 403.314 1 de janeiro, 2012 Official 8 Martinique (France) MQ 383.000 0.9. Estimativa 9 Bahamas BS 379.000 0,89 1,34 5.000 52 369.670 2015 Estimativa oficial 10 Barbados BB 283.000 0,67 0,35 1.000 196 277.821 1 de maio de 2010 2010 Resultado do Censo 11 May Lucia LC 172.000 0,40 0,58 1.000 119 166,526,526, May 10, 10.42.000 0,58 1.000 119 166,526,526 May 10. Kingdom of the Netherlands )   CW   157,000   0.37   0.64   1,000   108   154,843   January 1 , 2014   Official estimate     13   Aruba ( Kingdom of the Netherlands )   AW   110,000   0.26   1.85   2,000   38   109,517   2015   Official estimate     14   Saint Vincent and the Grenadines   VC   110,000   0.26   0.00   0   -   109,434   2014 Estimativa oficial 15 Ilhas Virgens dos Estados Unidos (EUA) VI 105.000 0,25 0,00 0 - 106.405 1 de abril de 2010 Resultado do censo de 2010 16 Granada GD 104.000 0,24 0,00 0 - 103.328 12 de maio, 2011 RESULTADO DE CENSUS preliminares de 2011 17 Antigua e Barbuda AG 89.000 0.21 1.14 1,14 1.000 1.000 1.000 1.000 1.000 1.000 1.000 1.000 1.000 1.000 1.000 1.000 1.000 1.000 1.000 1.000 1.000 1.000 1.000 1.000 1.000 1.000 1.000 1.000. 61 85.567 27 de maio de 2011 Final 2011 Resultado do censo 18 Dominica DM 71.000 0,17 0,00 0 - 71.293 14 de maio de 2011 Resultado preliminar de 2011 2011 Resultado 19 Ilhas Cayman (Reino Unido) KY 59.000 0,14 3,51 2.000 20 58,238 Dezembro 31, 2014 Official estimativa 20 Kitt Kitt. Nevis KN 46.000 0,11 0,00 0 - 46.204 15 de maio de 2011 Resultado do censo de 2011 21 Sint Maarten (Reino da Holanda) SX 39.000 0,09 2,63 1.000 27 37.224 1 de fevereiro de 2014 Estimativa oficial 22 Turks e Caicos Islands (UK) TC 37.000 0,09 5.7.7 5.7 5.7 22 ilhas Turks e Caicos () TC 37.000 0,09 5.7 5.7 5.7 5.7 22 ilhas Turks e Caicos () TC 37.000 12 31.618 25 de janeiro de 2012 Resultado preliminar de 2012 de 2012 23 Saint Martin (França) MF 36.000 0,08 0,00 0 - 35.742 1 de janeiro de 2012 Estimativa oficial 24 Ilhas Virgens Britânicas (Reino Unido) VG 31.000 0,07 3,33 1.000 21 28.054 Julho 12, 2010 Censo de 2010 Census Resultado 25 Holanda do Caribe (Reino da Holanda) e 26.000 0,06 4,00 1.000 18 24.593 1 de janeiro de 2015 Estimativa oficial 26 Anguilla (Reino Unido) AI 14.000 0,03 0,00 0 - 13.037 11 de maio de 2011 Final 2011 Resultado 27 0,02 0,00 0 - 9.131 1 de janeiro de 2012 Estimativa oficial 28 Montserrat (Reino Unido) MS 5.000 0,01 0,00 0 - 4.922 12 de maio, 2011 2011 Resultado do censo Total 42.491.000 100,00 0,86 364.000 81</v>
      </c>
    </row>
    <row r="329" customFormat="false" ht="15.75" hidden="false" customHeight="true" outlineLevel="0" collapsed="false">
      <c r="A329" s="3" t="n">
        <v>326</v>
      </c>
      <c r="B329" s="5" t="s">
        <v>981</v>
      </c>
      <c r="C329" s="5" t="s">
        <v>982</v>
      </c>
      <c r="D329" s="5" t="s">
        <v>983</v>
      </c>
      <c r="E329" s="4" t="str">
        <f aca="false">IFERROR(__xludf.dummyfunction("GOOGLETRANSLATE(C330)"),"Quem é o ator que interpreta Ron Weasley")</f>
        <v>Quem é o ator que interpreta Ron Weasley</v>
      </c>
      <c r="F329" s="5" t="str">
        <f aca="false">IFERROR(__xludf.dummyfunction("GOOGLETRANSLATE(D329)")," Mark Gilbert McKinney, conhecido profissionalmente como Gil McKinney, (nascido em 5 de fevereiro de 1979) é um ator de cinema e televisão americano. Ele é mais conhecido por interpretar o Dr. Paul Grady em ER, Derek Bishop na sexta -feira à noite Lights "&amp;"e Prince Eric em Once Upon A Time, e por ser a voz e o rosto (via MovionsCan) de Jack Kelso no videogame L.A. Noire. Gil também apareceu em Supernatural como Henry Winchester.")</f>
        <v> Mark Gilbert McKinney, conhecido profissionalmente como Gil McKinney, (nascido em 5 de fevereiro de 1979) é um ator de cinema e televisão americano. Ele é mais conhecido por interpretar o Dr. Paul Grady em ER, Derek Bishop na sexta -feira à noite Lights e Prince Eric em Once Upon A Time, e por ser a voz e o rosto (via MovionsCan) de Jack Kelso no videogame L.A. Noire. Gil também apareceu em Supernatural como Henry Winchester.</v>
      </c>
    </row>
    <row r="330" customFormat="false" ht="15.75" hidden="false" customHeight="true" outlineLevel="0" collapsed="false">
      <c r="A330" s="3" t="n">
        <v>327</v>
      </c>
      <c r="B330" s="5" t="s">
        <v>984</v>
      </c>
      <c r="C330" s="5" t="s">
        <v>985</v>
      </c>
      <c r="D330" s="5" t="s">
        <v>986</v>
      </c>
      <c r="E330" s="4" t="str">
        <f aca="false">IFERROR(__xludf.dummyfunction("GOOGLETRANSLATE(C331)"),"o que a expressão a panela chamando de chaleira preta significa")</f>
        <v>o que a expressão a panela chamando de chaleira preta significa</v>
      </c>
      <c r="F330" s="5" t="str">
        <f aca="false">IFERROR(__xludf.dummyfunction("GOOGLETRANSLATE(D330)")," Rupert Alexander Lloyd Grint (nascido em 24 de agosto de 1988) é um ator e produtor inglês. Ele ganhou destaque ao interpretar Ron Weasley, um dos três personagens principais da série de filmes de Harry Potter. Grint foi escalado como Ron aos 11 anos, te"&amp;"ndo atuado apenas em peças escolares e em seu grupo de teatro local. De 2001 a 2011, ele estrelou todos os oito filmes de Harry Potter ao lado de Daniel Radcliffe tocando como Harry Potter e Emma Watson jogando como Hermione Granger.")</f>
        <v> Rupert Alexander Lloyd Grint (nascido em 24 de agosto de 1988) é um ator e produtor inglês. Ele ganhou destaque ao interpretar Ron Weasley, um dos três personagens principais da série de filmes de Harry Potter. Grint foi escalado como Ron aos 11 anos, tendo atuado apenas em peças escolares e em seu grupo de teatro local. De 2001 a 2011, ele estrelou todos os oito filmes de Harry Potter ao lado de Daniel Radcliffe tocando como Harry Potter e Emma Watson jogando como Hermione Granger.</v>
      </c>
    </row>
    <row r="331" customFormat="false" ht="15.75" hidden="false" customHeight="true" outlineLevel="0" collapsed="false">
      <c r="A331" s="3" t="n">
        <v>328</v>
      </c>
      <c r="B331" s="5" t="s">
        <v>987</v>
      </c>
      <c r="C331" s="5" t="s">
        <v>988</v>
      </c>
      <c r="D331" s="5" t="s">
        <v>989</v>
      </c>
      <c r="E331" s="4" t="str">
        <f aca="false">IFERROR(__xludf.dummyfunction("GOOGLETRANSLATE(C332)"),"De onde vem o sobrenome strickland")</f>
        <v>De onde vem o sobrenome strickland</v>
      </c>
      <c r="F331" s="5" t="str">
        <f aca="false">IFERROR(__xludf.dummyfunction("GOOGLETRANSLATE(D331)")," `` O pote que chama a chaleira preto '' é um idioma proverbial que parece ser de origem espanhola, das quais versões começaram a aparecer em inglês na primeira metade do século XVII. É encoberto nas fontes originais como sendo usado por uma pessoa que é "&amp;"culpada da mesma coisa que eles acusam de outra e, portanto, é um exemplo de projeção psicológica.")</f>
        <v> `` O pote que chama a chaleira preto '' é um idioma proverbial que parece ser de origem espanhola, das quais versões começaram a aparecer em inglês na primeira metade do século XVII. É encoberto nas fontes originais como sendo usado por uma pessoa que é culpada da mesma coisa que eles acusam de outra e, portanto, é um exemplo de projeção psicológica.</v>
      </c>
    </row>
    <row r="332" customFormat="false" ht="15.75" hidden="false" customHeight="true" outlineLevel="0" collapsed="false">
      <c r="A332" s="3" t="n">
        <v>329</v>
      </c>
      <c r="B332" s="5" t="s">
        <v>990</v>
      </c>
      <c r="C332" s="5" t="s">
        <v>991</v>
      </c>
      <c r="D332" s="5" t="s">
        <v>992</v>
      </c>
      <c r="E332" s="4" t="str">
        <f aca="false">IFERROR(__xludf.dummyfunction("GOOGLETRANSLATE(C333)"),"Quem cantou sua mãe não dançando e seu pai não balança e rola")</f>
        <v>Quem cantou sua mãe não dançando e seu pai não balança e rola</v>
      </c>
      <c r="F332" s="5" t="str">
        <f aca="false">IFERROR(__xludf.dummyfunction("GOOGLETRANSLATE(D332)")," O sobrenome inglês Strickland é derivado do local - nome Stercaland, de velhas origens nórdicas, encontrada em Westmorland, ao sul de Penrith. Ele tem sido usado como um nome de família pelo menos desde o final do século XII, quando Walter, de CastleCarr"&amp;"ock, casou -se com Christian de Leteham, uma herdeira da propriedade de terras que cobria a área onde estão agora as aldeias de Great Strickland e Little Strickland. Depois desse casamento, Walter ficou conhecido como Walter de Strickland, escrito de vári"&amp;"as maneiras.")</f>
        <v> O sobrenome inglês Strickland é derivado do local - nome Stercaland, de velhas origens nórdicas, encontrada em Westmorland, ao sul de Penrith. Ele tem sido usado como um nome de família pelo menos desde o final do século XII, quando Walter, de CastleCarrock, casou -se com Christian de Leteham, uma herdeira da propriedade de terras que cobria a área onde estão agora as aldeias de Great Strickland e Little Strickland. Depois desse casamento, Walter ficou conhecido como Walter de Strickland, escrito de várias maneiras.</v>
      </c>
    </row>
    <row r="333" customFormat="false" ht="15.75" hidden="false" customHeight="true" outlineLevel="0" collapsed="false">
      <c r="A333" s="3" t="n">
        <v>330</v>
      </c>
      <c r="B333" s="5" t="s">
        <v>993</v>
      </c>
      <c r="C333" s="5" t="s">
        <v>994</v>
      </c>
      <c r="D333" s="5" t="s">
        <v>995</v>
      </c>
      <c r="E333" s="4" t="str">
        <f aca="false">IFERROR(__xludf.dummyfunction("GOOGLETRANSLATE(C334)"),"A atual Kentucky foi cedida pelo que o estado em 1792")</f>
        <v>A atual Kentucky foi cedida pelo que o estado em 1792</v>
      </c>
      <c r="F333" s="5" t="str">
        <f aca="false">IFERROR(__xludf.dummyfunction("GOOGLETRANSLATE(D333)")," `` Sua mamãe Do N't Dance '' é uma música de 1972 da dupla de rock Loggins e Messina. Lançado em seu álbum auto -intitulado Loggins e Messina, ele alcançou o número quatro no gráfico pop da Billboard e o número 19 na parada de audição fácil da Billboard "&amp;"como single no início de 1973.")</f>
        <v> `` Sua mamãe Do N't Dance '' é uma música de 1972 da dupla de rock Loggins e Messina. Lançado em seu álbum auto -intitulado Loggins e Messina, ele alcançou o número quatro no gráfico pop da Billboard e o número 19 na parada de audição fácil da Billboard como single no início de 1973.</v>
      </c>
    </row>
    <row r="334" customFormat="false" ht="15.75" hidden="false" customHeight="true" outlineLevel="0" collapsed="false">
      <c r="A334" s="3" t="n">
        <v>331</v>
      </c>
      <c r="B334" s="5" t="s">
        <v>996</v>
      </c>
      <c r="C334" s="5" t="s">
        <v>997</v>
      </c>
      <c r="D334" s="5" t="s">
        <v>998</v>
      </c>
      <c r="E334" s="4" t="str">
        <f aca="false">IFERROR(__xludf.dummyfunction("GOOGLETRANSLATE(C335)"),"que ordenhou a vaca com a buzina amassada")</f>
        <v>que ordenhou a vaca com a buzina amassada</v>
      </c>
      <c r="F334" s="5" t="str">
        <f aca="false">IFERROR(__xludf.dummyfunction("GOOGLETRANSLATE(D334)")," No final, a maioria das reivindicações trans -Apalaches foi cedida ao governo federal entre 1781 e 1787; Nova York, New Hampshire e o governo até então não reconhecido Vermont resolveram suas disputas em 1791, e Kentucky foi separado da Virgínia e transf"&amp;"ormado em um novo estado em 1792. As Cessões não foram totalmente altruístas - em alguns casos, as Cessões foram feitas em troca da suposição federal das dívidas revolucionárias de guerra dos estados - mas as cessões razoavelmente graciosas dos estados de"&amp;" suas reivindicações frequentemente conflitantes impediram precocemente, talvez catastrófica, entrevistados entre Os estados da jovem república e amenizavam os medos dos `` sem terra '', afirma o suficiente para convencê -los a ratificar a nova Constituiç"&amp;"ão dos Estados Unidos. As Cessões também prepararam o cenário para o assentamento do meio -oeste e a expansão dos EUA no centro do continente norte -americano, e também estabeleceram o padrão pelo qual a terra recém -adquirida pelos Estados Unidos seria o"&amp;"rganizada em novos estados, e não anexado aos antigos.")</f>
        <v> No final, a maioria das reivindicações trans -Apalaches foi cedida ao governo federal entre 1781 e 1787; Nova York, New Hampshire e o governo até então não reconhecido Vermont resolveram suas disputas em 1791, e Kentucky foi separado da Virgínia e transformado em um novo estado em 1792. As Cessões não foram totalmente altruístas - em alguns casos, as Cessões foram feitas em troca da suposição federal das dívidas revolucionárias de guerra dos estados - mas as cessões razoavelmente graciosas dos estados de suas reivindicações frequentemente conflitantes impediram precocemente, talvez catastrófica, entrevistados entre Os estados da jovem república e amenizavam os medos dos `` sem terra '', afirma o suficiente para convencê -los a ratificar a nova Constituição dos Estados Unidos. As Cessões também prepararam o cenário para o assentamento do meio -oeste e a expansão dos EUA no centro do continente norte -americano, e também estabeleceram o padrão pelo qual a terra recém -adquirida pelos Estados Unidos seria organizada em novos estados, e não anexado aos antigos.</v>
      </c>
    </row>
    <row r="335" customFormat="false" ht="15.75" hidden="false" customHeight="true" outlineLevel="0" collapsed="false">
      <c r="A335" s="3" t="n">
        <v>332</v>
      </c>
      <c r="B335" s="5" t="s">
        <v>999</v>
      </c>
      <c r="C335" s="5" t="s">
        <v>1000</v>
      </c>
      <c r="D335" s="5" t="s">
        <v>1001</v>
      </c>
      <c r="E335" s="4" t="str">
        <f aca="false">IFERROR(__xludf.dummyfunction("GOOGLETRANSLATE(C336)"),"Quantos assentos necessários para tornar o governo no Paquistão 2018")</f>
        <v>Quantos assentos necessários para tornar o governo no Paquistão 2018</v>
      </c>
      <c r="F335" s="5" t="str">
        <f aca="false">IFERROR(__xludf.dummyfunction("GOOGLETRANSLATE(D335)"),"  Esta é a donzela, tudo abandonado que ordenhou a vaca com a buzina amassada que jogou o cachorro que preocupou o gato que matou o rato que comeu o malte que estava na casa que Jack construiu.")</f>
        <v>  Esta é a donzela, tudo abandonado que ordenhou a vaca com a buzina amassada que jogou o cachorro que preocupou o gato que matou o rato que comeu o malte que estava na casa que Jack construiu.</v>
      </c>
    </row>
    <row r="336" customFormat="false" ht="15.75" hidden="false" customHeight="true" outlineLevel="0" collapsed="false">
      <c r="A336" s="3" t="n">
        <v>333</v>
      </c>
      <c r="B336" s="5" t="s">
        <v>1002</v>
      </c>
      <c r="C336" s="5" t="s">
        <v>1003</v>
      </c>
      <c r="D336" s="5" t="s">
        <v>1004</v>
      </c>
      <c r="E336" s="4" t="str">
        <f aca="false">IFERROR(__xludf.dummyfunction("GOOGLETRANSLATE(C337)"),"Quem são os atores do Jurassic Park Fallen Kingdom")</f>
        <v>Quem são os atores do Jurassic Park Fallen Kingdom</v>
      </c>
      <c r="F336" s="5" t="str">
        <f aca="false">IFERROR(__xludf.dummyfunction("GOOGLETRANSLATE(D336)")," Eleição geral paquistanesa, 2018 ← 2013 25 de julho de 2018 Próximo → ← Membros eleitos de membros → Todos os 342 assentos na Assembléia Nacional 172 assentos necessários para uma participação de pesquisas de opinião majoritária 51,6 % (3,4 pp) Primeiro "&amp;"partido líder do partido Imran Khan Shehbaz Sharif Bilawal Bhutto Zardari Partido PTI PML (N) Líder de PPP desde 25 de abril de 1996 6 de março de 2018 30 de dezembro de 2007 Seat 's Mianwali - I Lahore - X Larkana - I Last Election 35 Seats, 16,92 % 166 "&amp;"assentos, 32,77 % 42 assentos, assentos, 15,23 % dos assentos ganhos 149 /342 82/342 54/342 Mudança de assento 114 84 12 Voto popular 16.903.702 12.934.589 6.924.356 porcentagem 31,82 % 24,35 % 13,8 % swing 14,90 pp 8.42 PP 2.29 Ministro Imran Khan Pti")</f>
        <v> Eleição geral paquistanesa, 2018 ← 2013 25 de julho de 2018 Próximo → ← Membros eleitos de membros → Todos os 342 assentos na Assembléia Nacional 172 assentos necessários para uma participação de pesquisas de opinião majoritária 51,6 % (3,4 pp) Primeiro partido líder do partido Imran Khan Shehbaz Sharif Bilawal Bhutto Zardari Partido PTI PML (N) Líder de PPP desde 25 de abril de 1996 6 de março de 2018 30 de dezembro de 2007 Seat 's Mianwali - I Lahore - X Larkana - I Last Election 35 Seats, 16,92 % 166 assentos, 32,77 % 42 assentos, assentos, 15,23 % dos assentos ganhos 149 /342 82/342 54/342 Mudança de assento 114 84 12 Voto popular 16.903.702 12.934.589 6.924.356 porcentagem 31,82 % 24,35 % 13,8 % swing 14,90 pp 8.42 PP 2.29 Ministro Imran Khan Pti</v>
      </c>
    </row>
    <row r="337" customFormat="false" ht="15.75" hidden="false" customHeight="true" outlineLevel="0" collapsed="false">
      <c r="A337" s="3" t="n">
        <v>334</v>
      </c>
      <c r="B337" s="5" t="s">
        <v>1005</v>
      </c>
      <c r="C337" s="5" t="s">
        <v>1006</v>
      </c>
      <c r="D337" s="5" t="s">
        <v>1007</v>
      </c>
      <c r="E337" s="4" t="str">
        <f aca="false">IFERROR(__xludf.dummyfunction("GOOGLETRANSLATE(C338)"),"Quem cantou a música Chandni O Meeri Chandni")</f>
        <v>Quem cantou a música Chandni O Meeri Chandni</v>
      </c>
      <c r="F337" s="5" t="str">
        <f aca="false">IFERROR(__xludf.dummyfunction("GOOGLETRANSLATE(D337)"),"  Chris Pratt como Owen Grady: um veterano da Marinha e ex -treinador Velociraptor para o Jurassic World. Bryce Dallas Howard como Claire Dearing: O ex -gerente de operações do Jurassic World, agora um dinossauro - ativista dos direitos, que fundou o Grup"&amp;"o de Proteção de Dinossauros para salvar os dinossauros sobreviventes de Isla Nublar. RAFE SPALL COMO ELI MILLS: A ambiciosa assistente de Lockwood que recruta Owen e Claire para resgatar os dinossauros. Falando das ações de seu personagem ao longo do fil"&amp;"me, Spall observou que `` ambição é uma emoção tão poderosa, você pode se envolver nela e acabar fazendo as coisas para ter sucesso. Esse personagem acredita que ele está fazendo o certo. Ele foi encarregado de empurrar a fortuna de Lockwood para o futuro"&amp;" e fazê -lo sobreviver depois que ele morre. Mills sente que ele está simplesmente fazendo o que lhe foi solicitado. '' Justice Smith como Franklin Webb: um ex -técnico de TI do Jurassic World que agora é o analista e hacker de sistemas do Grupo de Proteç"&amp;"ão de Dinossauros. Daniella Pineda como Zia Rodriguez: um ex -fuzileiro naval que agora é o Paleoveterinário do Grupo de Proteção de Dinossauros. James Cromwell como Sir Benjamin Lockwood: ex -parceiro de John Hammond no desenvolvimento da tecnologia para"&amp;" clonar dinossauros. Toby Jones como Gunnar Eversol: um anfitrião de leiloeiro da Lockwood Estate que vende os dinossauros de Isla Nublar para lucro. Em uma entrevista, Jones comparou seu personagem ao de `` um traficante de armas desonestas; Ele vê lucro"&amp;"s em vender essas criaturas como armas. Ele é totalmente moralmente neutro sobre o que está vendendo. Ele só está interessado em se beneficiar ou não. '' Ted Levine como Ken Wheatley: um mercenário experiente que comanda a operação de resgate em Isla Nubl"&amp;"ar. B.D. Wong como Henry Wu: o ex -chefe geneticista do Jurassic World e do Jurassic Park original. Falando das ações de seu personagem, Wong afirmou: `` Eu acho que ele é motivado por seu amor pela ciência e seu próprio ego, o que é bem apoiado por suas "&amp;"enormes realizações ... Acho O sofrimento humano que ocorre como resultado porque ele acha que está olhando para uma imagem maior. '' Sermão de Isabella como Maisie Lockwood: a neta juvenil de Lockwood e a ala legal após a morte de seus pais. Geraldine Ch"&amp;"aplin como íris: a governanta de Lockwood, a babá de Maisie e o protetor dos segredos da família Lockwood. Jeff Goldblum como Ian Malcolm: um especialista em teoria do caos que já consultou o Jurassic Park do Ingen. Em uma entrevista ao podcast, Goldblum "&amp;"revelou de seu papel `` é pequeno ... quem sabe, eles podem me cortar completamente! Mas se eu ficar, serei um raminho de salsa ou um pouco de enfeite, esperançosamente com algum impacto! O diretor Bayona confirmou que o papel de Goldblum é simplesmente u"&amp;"ma participação especial, afirmando: `` Ele não tem um papel importante na ação, mas é definitivamente muito significativo em termos da história. Peter Jason como senador Sherwood: um senador que está entre os que debatem sobre salvar os dinossauros na Is"&amp;"la Nublar.")</f>
        <v>  Chris Pratt como Owen Grady: um veterano da Marinha e ex -treinador Velociraptor para o Jurassic World. Bryce Dallas Howard como Claire Dearing: O ex -gerente de operações do Jurassic World, agora um dinossauro - ativista dos direitos, que fundou o Grupo de Proteção de Dinossauros para salvar os dinossauros sobreviventes de Isla Nublar. RAFE SPALL COMO ELI MILLS: A ambiciosa assistente de Lockwood que recruta Owen e Claire para resgatar os dinossauros. Falando das ações de seu personagem ao longo do filme, Spall observou que `` ambição é uma emoção tão poderosa, você pode se envolver nela e acabar fazendo as coisas para ter sucesso. Esse personagem acredita que ele está fazendo o certo. Ele foi encarregado de empurrar a fortuna de Lockwood para o futuro e fazê -lo sobreviver depois que ele morre. Mills sente que ele está simplesmente fazendo o que lhe foi solicitado. '' Justice Smith como Franklin Webb: um ex -técnico de TI do Jurassic World que agora é o analista e hacker de sistemas do Grupo de Proteção de Dinossauros. Daniella Pineda como Zia Rodriguez: um ex -fuzileiro naval que agora é o Paleoveterinário do Grupo de Proteção de Dinossauros. James Cromwell como Sir Benjamin Lockwood: ex -parceiro de John Hammond no desenvolvimento da tecnologia para clonar dinossauros. Toby Jones como Gunnar Eversol: um anfitrião de leiloeiro da Lockwood Estate que vende os dinossauros de Isla Nublar para lucro. Em uma entrevista, Jones comparou seu personagem ao de `` um traficante de armas desonestas; Ele vê lucros em vender essas criaturas como armas. Ele é totalmente moralmente neutro sobre o que está vendendo. Ele só está interessado em se beneficiar ou não. '' Ted Levine como Ken Wheatley: um mercenário experiente que comanda a operação de resgate em Isla Nublar. B.D. Wong como Henry Wu: o ex -chefe geneticista do Jurassic World e do Jurassic Park original. Falando das ações de seu personagem, Wong afirmou: `` Eu acho que ele é motivado por seu amor pela ciência e seu próprio ego, o que é bem apoiado por suas enormes realizações ... Acho O sofrimento humano que ocorre como resultado porque ele acha que está olhando para uma imagem maior. '' Sermão de Isabella como Maisie Lockwood: a neta juvenil de Lockwood e a ala legal após a morte de seus pais. Geraldine Chaplin como íris: a governanta de Lockwood, a babá de Maisie e o protetor dos segredos da família Lockwood. Jeff Goldblum como Ian Malcolm: um especialista em teoria do caos que já consultou o Jurassic Park do Ingen. Em uma entrevista ao podcast, Goldblum revelou de seu papel `` é pequeno ... quem sabe, eles podem me cortar completamente! Mas se eu ficar, serei um raminho de salsa ou um pouco de enfeite, esperançosamente com algum impacto! O diretor Bayona confirmou que o papel de Goldblum é simplesmente uma participação especial, afirmando: `` Ele não tem um papel importante na ação, mas é definitivamente muito significativo em termos da história. Peter Jason como senador Sherwood: um senador que está entre os que debatem sobre salvar os dinossauros na Isla Nublar.</v>
      </c>
    </row>
    <row r="338" customFormat="false" ht="15.75" hidden="false" customHeight="true" outlineLevel="0" collapsed="false">
      <c r="A338" s="3" t="n">
        <v>335</v>
      </c>
      <c r="B338" s="5" t="s">
        <v>1008</v>
      </c>
      <c r="C338" s="5" t="s">
        <v>1009</v>
      </c>
      <c r="D338" s="5" t="s">
        <v>1010</v>
      </c>
      <c r="E338" s="4" t="str">
        <f aca="false">IFERROR(__xludf.dummyfunction("GOOGLETRANSLATE(C339)"),"que é conhecido como o pai do jogador de críquete da Índia")</f>
        <v>que é conhecido como o pai do jogador de críquete da Índia</v>
      </c>
      <c r="F338" s="5" t="str">
        <f aca="false">IFERROR(__xludf.dummyfunction("GOOGLETRANSLATE(D338)"),"   Não. Título Singer (s) Comprimento 1. 'Mero Haathon Mein' 'Lata Mangeshkar 05: 34 2. 'Mehbooba' 'Lata Mangeshkar, Vinod Rathod 04: 53 3. `` Principal Sasural Nahi Jaaungi '' Pamela Chopra 04: 06 4. 'Mitwa (Tere Mere Honton PE)' 'Lata Mangeshkar, Babla "&amp;"Mehta 04: 31 5. `` AA Meri Jaan '' Lata Mangeshkar 04: 21 6. 'Dance Music' 'Instrumental 03: 16 7. `` Chandni O Meri Chandni '' Sridevi, Jolly Mukherjee 04: 32 8. 'Lagi Aaj Sawan Ki' 'Suresh Wadkar, Anupama Deshpande 03: 259. 'Parbat Se Kaali' 'Asha Bhosl"&amp;"e, Vinod Rathod 04: 22 10. 'Tu Mujhe Suna' 'Nitin Mukesh, Suresh Wadkar 04: 30 11. 'Mere Haathon Mein' 'Instrumental 05: 47")</f>
        <v>   Não. Título Singer (s) Comprimento 1. 'Mero Haathon Mein' 'Lata Mangeshkar 05: 34 2. 'Mehbooba' 'Lata Mangeshkar, Vinod Rathod 04: 53 3. `` Principal Sasural Nahi Jaaungi '' Pamela Chopra 04: 06 4. 'Mitwa (Tere Mere Honton PE)' 'Lata Mangeshkar, Babla Mehta 04: 31 5. `` AA Meri Jaan '' Lata Mangeshkar 04: 21 6. 'Dance Music' 'Instrumental 03: 16 7. `` Chandni O Meri Chandni '' Sridevi, Jolly Mukherjee 04: 32 8. 'Lagi Aaj Sawan Ki' 'Suresh Wadkar, Anupama Deshpande 03: 259. 'Parbat Se Kaali' 'Asha Bhosle, Vinod Rathod 04: 22 10. 'Tu Mujhe Suna' 'Nitin Mukesh, Suresh Wadkar 04: 30 11. 'Mere Haathon Mein' 'Instrumental 05: 47</v>
      </c>
    </row>
    <row r="339" customFormat="false" ht="15.75" hidden="false" customHeight="true" outlineLevel="0" collapsed="false">
      <c r="A339" s="3" t="n">
        <v>336</v>
      </c>
      <c r="B339" s="5" t="s">
        <v>1011</v>
      </c>
      <c r="C339" s="5" t="s">
        <v>1012</v>
      </c>
      <c r="D339" s="5" t="s">
        <v>1013</v>
      </c>
      <c r="E339" s="4" t="str">
        <f aca="false">IFERROR(__xludf.dummyfunction("GOOGLETRANSLATE(C340)"),"onde é lactase encontrada no corpo humano")</f>
        <v>onde é lactase encontrada no corpo humano</v>
      </c>
      <c r="F339" s="5" t="str">
        <f aca="false">IFERROR(__xludf.dummyfunction("GOOGLETRANSLATE(D339)")," M. Suryanarayan (1930 - 2010) foi um jogador de críquete de primeira classe indiano que nasceu em 1º de fevereiro de 1930 durante a presidência de Madras. M. Suryanarayan é o primeiro filho de M. Baliah Naidu e o neto de Buchi Babu Naidu, que também é co"&amp;"nhecido como o 'pai do críquete do sul da Índia', o Doyen de Madras Cricket. Ele também foi membro da primeira equipe de Triumph do Troféu Ranji de Tamilnadu em 1954 - 1955, que a equipe de Madras venceu contra Holkar. Ele era um batedor de mão direita e "&amp;"um jogador médio de braço direito. O hindu descrevendo seu críquete disse uma vez: `` O rebatedor dele se assemelha muito ao de seu pai - arrojado e despreocupado - e sua capa - Drive, uma alegria de assistir, tem um impulso incrível ... '' E acrescentou "&amp;"que ele teve `` Enriqueceu Madras Sport como seu pai ''. Seu único irmão mais novo M.M Kumar representou no troféu de Ranji.")</f>
        <v> M. Suryanarayan (1930 - 2010) foi um jogador de críquete de primeira classe indiano que nasceu em 1º de fevereiro de 1930 durante a presidência de Madras. M. Suryanarayan é o primeiro filho de M. Baliah Naidu e o neto de Buchi Babu Naidu, que também é conhecido como o 'pai do críquete do sul da Índia', o Doyen de Madras Cricket. Ele também foi membro da primeira equipe de Triumph do Troféu Ranji de Tamilnadu em 1954 - 1955, que a equipe de Madras venceu contra Holkar. Ele era um batedor de mão direita e um jogador médio de braço direito. O hindu descrevendo seu críquete disse uma vez: `` O rebatedor dele se assemelha muito ao de seu pai - arrojado e despreocupado - e sua capa - Drive, uma alegria de assistir, tem um impulso incrível ... '' E acrescentou que ele teve `` Enriqueceu Madras Sport como seu pai ''. Seu único irmão mais novo M.M Kumar representou no troféu de Ranji.</v>
      </c>
    </row>
    <row r="340" customFormat="false" ht="15.75" hidden="false" customHeight="true" outlineLevel="0" collapsed="false">
      <c r="A340" s="3" t="n">
        <v>337</v>
      </c>
      <c r="B340" s="5" t="s">
        <v>1014</v>
      </c>
      <c r="C340" s="5" t="s">
        <v>1015</v>
      </c>
      <c r="D340" s="5" t="s">
        <v>1016</v>
      </c>
      <c r="E340" s="4" t="str">
        <f aca="false">IFERROR(__xludf.dummyfunction("GOOGLETRANSLATE(C341)"),"Quando foi a primeira etapa pirâmide construída no Egito")</f>
        <v>Quando foi a primeira etapa pirâmide construída no Egito</v>
      </c>
      <c r="F340" s="5" t="str">
        <f aca="false">IFERROR(__xludf.dummyfunction("GOOGLETRANSLATE(D340)")," A lactase é uma enzima produzida por muitos organismos. Está localizado na borda da escova do intestino delgado de humanos e outros mamíferos. A lactase é essencial para a digestão completa do leite integral; Ele quebra a lactose, um açúcar que dá ao lei"&amp;"te sua doçura. Na falta de lactase, uma pessoa que consome produtos lácteos pode experimentar os sintomas da intolerância à lactose. A lactase pode ser comprada como suplemento alimentar e é adicionada ao leite para produzir produtos de leite `` lactose -"&amp;" grátis '.")</f>
        <v> A lactase é uma enzima produzida por muitos organismos. Está localizado na borda da escova do intestino delgado de humanos e outros mamíferos. A lactase é essencial para a digestão completa do leite integral; Ele quebra a lactose, um açúcar que dá ao leite sua doçura. Na falta de lactase, uma pessoa que consome produtos lácteos pode experimentar os sintomas da intolerância à lactose. A lactase pode ser comprada como suplemento alimentar e é adicionada ao leite para produzir produtos de leite `` lactose - grátis '.</v>
      </c>
    </row>
    <row r="341" customFormat="false" ht="15.75" hidden="false" customHeight="true" outlineLevel="0" collapsed="false">
      <c r="A341" s="3" t="n">
        <v>338</v>
      </c>
      <c r="B341" s="5" t="s">
        <v>1017</v>
      </c>
      <c r="C341" s="5" t="s">
        <v>1018</v>
      </c>
      <c r="D341" s="5" t="s">
        <v>1019</v>
      </c>
      <c r="E341" s="4" t="str">
        <f aca="false">IFERROR(__xludf.dummyfunction("GOOGLETRANSLATE(C342)"),"Que três coisas fizeram o compromisso do Missouri")</f>
        <v>Que três coisas fizeram o compromisso do Missouri</v>
      </c>
      <c r="F341" s="5" t="str">
        <f aca="false">IFERROR(__xludf.dummyfunction("GOOGLETRANSLATE(D341)")," A pirâmide do djoser (ou djeser e zoser), ou pirâmide de etapa (kbhw - ntrw em egípcia) é uma arqueológica que permanece na necrópole de saqqara, no Egito, a noroeste da cidade de Memphis. Foi construído durante o século 27 aC para o enterro do Djoser do"&amp;" Faraó por seu vizir, Imhotep. É a característica central de um vasto complexo mortuário em um enorme pátio cercado por estruturas e decoração cerimoniais.")</f>
        <v> A pirâmide do djoser (ou djeser e zoser), ou pirâmide de etapa (kbhw - ntrw em egípcia) é uma arqueológica que permanece na necrópole de saqqara, no Egito, a noroeste da cidade de Memphis. Foi construído durante o século 27 aC para o enterro do Djoser do Faraó por seu vizir, Imhotep. É a característica central de um vasto complexo mortuário em um enorme pátio cercado por estruturas e decoração cerimoniais.</v>
      </c>
    </row>
    <row r="342" customFormat="false" ht="15.75" hidden="false" customHeight="true" outlineLevel="0" collapsed="false">
      <c r="A342" s="3" t="n">
        <v>339</v>
      </c>
      <c r="B342" s="5" t="s">
        <v>1020</v>
      </c>
      <c r="C342" s="5" t="s">
        <v>1021</v>
      </c>
      <c r="D342" s="5" t="s">
        <v>1022</v>
      </c>
      <c r="E342" s="4" t="str">
        <f aca="false">IFERROR(__xludf.dummyfunction("GOOGLETRANSLATE(C343)"),"Quando os contos de Canterbury foram escritos e em que idioma")</f>
        <v>Quando os contos de Canterbury foram escritos e em que idioma</v>
      </c>
      <c r="F342" s="5" t="str">
        <f aca="false">IFERROR(__xludf.dummyfunction("GOOGLETRANSLATE(D342)")," O compromisso do Missouri foi a legislação que previa a admissão nos Estados Unidos do Maine como um estado livre, juntamente com o Missouri como estado de escravo, mantendo assim o equilíbrio de poder entre o norte e o sul no Senado dos Estados Unidos. "&amp;"Como parte do compromisso, a escravidão foi proibida ao norte do paralelo de 36 ° 30 ', excluindo o Missouri. O 16º Congresso dos Estados Unidos aprovou a legislação em 9 de maio de 1820, e o presidente James Monroe assinou em 6 de março de 1820.")</f>
        <v> O compromisso do Missouri foi a legislação que previa a admissão nos Estados Unidos do Maine como um estado livre, juntamente com o Missouri como estado de escravo, mantendo assim o equilíbrio de poder entre o norte e o sul no Senado dos Estados Unidos. Como parte do compromisso, a escravidão foi proibida ao norte do paralelo de 36 ° 30 ', excluindo o Missouri. O 16º Congresso dos Estados Unidos aprovou a legislação em 9 de maio de 1820, e o presidente James Monroe assinou em 6 de março de 1820.</v>
      </c>
    </row>
    <row r="343" customFormat="false" ht="15.75" hidden="false" customHeight="true" outlineLevel="0" collapsed="false">
      <c r="A343" s="3" t="n">
        <v>340</v>
      </c>
      <c r="B343" s="5" t="s">
        <v>1023</v>
      </c>
      <c r="C343" s="5" t="s">
        <v>1024</v>
      </c>
      <c r="D343" s="5" t="s">
        <v>1025</v>
      </c>
      <c r="E343" s="4" t="str">
        <f aca="false">IFERROR(__xludf.dummyfunction("GOOGLETRANSLATE(C344)"),"Escritor inglês do século XX conhecido por suas obras feministas e mágicas")</f>
        <v>Escritor inglês do século XX conhecido por suas obras feministas e mágicas</v>
      </c>
      <c r="F343" s="5" t="str">
        <f aca="false">IFERROR(__xludf.dummyfunction("GOOGLETRANSLATE(D343)")," The Canterbury Tales (Inglês Médio: Contos de Caunterbury) é uma coleção de 24 andares que custa mais de 17.000 linhas escritas em inglês médio por Geoffrey Chaucer entre 1387 e 1400. Em 1386, Chaucer tornou -se controlador de costumes e justiça da paz e"&amp;", em 1389, secretário da obra do rei. Foi nesses anos que Chaucer começou a trabalhar em seu texto mais famoso, The Canterbury Tales. Os contos (principalmente escritos em verso, embora alguns estejam em prosa) são apresentados como parte de uma história "&amp;"- contando um grupo de peregrinos enquanto viajam juntos em uma jornada de Londres a Canterbury para visitar o Santuário de Saint Thomas Becket em Canterbury Catedral. O prêmio para este concurso é uma refeição gratuita no Tabard Inn em Southwark em seu r"&amp;"etorno.")</f>
        <v> The Canterbury Tales (Inglês Médio: Contos de Caunterbury) é uma coleção de 24 andares que custa mais de 17.000 linhas escritas em inglês médio por Geoffrey Chaucer entre 1387 e 1400. Em 1386, Chaucer tornou -se controlador de costumes e justiça da paz e, em 1389, secretário da obra do rei. Foi nesses anos que Chaucer começou a trabalhar em seu texto mais famoso, The Canterbury Tales. Os contos (principalmente escritos em verso, embora alguns estejam em prosa) são apresentados como parte de uma história - contando um grupo de peregrinos enquanto viajam juntos em uma jornada de Londres a Canterbury para visitar o Santuário de Saint Thomas Becket em Canterbury Catedral. O prêmio para este concurso é uma refeição gratuita no Tabard Inn em Southwark em seu retorno.</v>
      </c>
    </row>
    <row r="344" customFormat="false" ht="15.75" hidden="false" customHeight="true" outlineLevel="0" collapsed="false">
      <c r="A344" s="3" t="n">
        <v>341</v>
      </c>
      <c r="B344" s="5" t="s">
        <v>1026</v>
      </c>
      <c r="C344" s="5" t="s">
        <v>1027</v>
      </c>
      <c r="D344" s="5" t="s">
        <v>1028</v>
      </c>
      <c r="E344" s="4" t="str">
        <f aca="false">IFERROR(__xludf.dummyfunction("GOOGLETRANSLATE(C345)"),"onde você encontrará o Magnético Pólo Norte da Terra")</f>
        <v>onde você encontrará o Magnético Pólo Norte da Terra</v>
      </c>
      <c r="F344" s="5" t="str">
        <f aca="false">IFERROR(__xludf.dummyfunction("GOOGLETRANSLATE(D344)")," Angela Olive Carter - Pearce (née Stalker; 7 de maio de 1940 - 16 de fevereiro de 1992), que publicou sob o pseudônimo Angela Carter, era uma romancista inglesa, escritora e jornalista, conhecida por seu realismo feminista, mágico e Picaresque Works . El"&amp;"a é mais conhecida por seu livro The Bloody Chamber, publicado em 1979. Em 2008, o Times ficou em décimo Carter em sua lista de `` os 50 maiores escritores britânicos desde 1945 ''. Em 2012, as noites no Circus foram selecionadas como o melhor vencedor de"&amp;" todos os tempos do prêmio James Tait Black Memorial.")</f>
        <v> Angela Olive Carter - Pearce (née Stalker; 7 de maio de 1940 - 16 de fevereiro de 1992), que publicou sob o pseudônimo Angela Carter, era uma romancista inglesa, escritora e jornalista, conhecida por seu realismo feminista, mágico e Picaresque Works . Ela é mais conhecida por seu livro The Bloody Chamber, publicado em 1979. Em 2008, o Times ficou em décimo Carter em sua lista de `` os 50 maiores escritores britânicos desde 1945 ''. Em 2012, as noites no Circus foram selecionadas como o melhor vencedor de todos os tempos do prêmio James Tait Black Memorial.</v>
      </c>
    </row>
    <row r="345" customFormat="false" ht="15.75" hidden="false" customHeight="true" outlineLevel="0" collapsed="false">
      <c r="A345" s="3" t="n">
        <v>342</v>
      </c>
      <c r="B345" s="5" t="s">
        <v>1029</v>
      </c>
      <c r="C345" s="5" t="s">
        <v>1030</v>
      </c>
      <c r="D345" s="5" t="s">
        <v>1031</v>
      </c>
      <c r="E345" s="4" t="str">
        <f aca="false">IFERROR(__xludf.dummyfunction("GOOGLETRANSLATE(C346)"),"Qual é o comprimento da onda da luz verde")</f>
        <v>Qual é o comprimento da onda da luz verde</v>
      </c>
      <c r="F345" s="5" t="str">
        <f aca="false">IFERROR(__xludf.dummyfunction("GOOGLETRANSLATE(D345)")," O pólo magnético norte se move ao longo do tempo devido a alterações magnéticas no núcleo da Terra. Em 2001, foi determinado pelo Levantamento Geológico do Canadá para ficar a oeste da ilha de Ellesmere, no norte do Canadá, a 81 ° 18 ′ N 110 ° 48 ′ W / 8"&amp;"1,3 ° N 110,8 ° W / 81,3; - 110,8 (Magnetic North Pólo 2001). Estava situado a 83 ° 06 ′ N 117 ° 48 ′ W / 83,1 ° N 117,8 ° W / 83,1; - 117,8 (Magnetic North Pólo 2005 EST) em 2005. Em 2009, enquanto ainda está situado dentro da reivindicação territorial d"&amp;"o Ártico Canadense a 84 ° 54 ′ N 131 ° 00 ′ W / 84,9 ° N 131,0 ° W / 84,9; - 131.0 (Magnetic North Pólo 2009), estava se movendo em direção à Rússia entre 55 e 60 quilômetros (34 e 37 mi) por ano. A partir de 2017, o pólo deve ter passado além da reivindi"&amp;"cação territorial do Ártico Canadense para 86 ° 30 ′ N 172 ° 36 ′ com 86,5 ° N 172,6 ° W / 86,5; - 172,6 (Magnetic North Pólo 2017 EST).")</f>
        <v> O pólo magnético norte se move ao longo do tempo devido a alterações magnéticas no núcleo da Terra. Em 2001, foi determinado pelo Levantamento Geológico do Canadá para ficar a oeste da ilha de Ellesmere, no norte do Canadá, a 81 ° 18 ′ N 110 ° 48 ′ W / 81,3 ° N 110,8 ° W / 81,3; - 110,8 (Magnetic North Pólo 2001). Estava situado a 83 ° 06 ′ N 117 ° 48 ′ W / 83,1 ° N 117,8 ° W / 83,1; - 117,8 (Magnetic North Pólo 2005 EST) em 2005. Em 2009, enquanto ainda está situado dentro da reivindicação territorial do Ártico Canadense a 84 ° 54 ′ N 131 ° 00 ′ W / 84,9 ° N 131,0 ° W / 84,9; - 131.0 (Magnetic North Pólo 2009), estava se movendo em direção à Rússia entre 55 e 60 quilômetros (34 e 37 mi) por ano. A partir de 2017, o pólo deve ter passado além da reivindicação territorial do Ártico Canadense para 86 ° 30 ′ N 172 ° 36 ′ com 86,5 ° N 172,6 ° W / 86,5; - 172,6 (Magnetic North Pólo 2017 EST).</v>
      </c>
    </row>
    <row r="346" customFormat="false" ht="15.75" hidden="false" customHeight="true" outlineLevel="0" collapsed="false">
      <c r="A346" s="3" t="n">
        <v>343</v>
      </c>
      <c r="B346" s="5" t="s">
        <v>1032</v>
      </c>
      <c r="C346" s="5" t="s">
        <v>1033</v>
      </c>
      <c r="D346" s="5" t="s">
        <v>1034</v>
      </c>
      <c r="E346" s="4" t="str">
        <f aca="false">IFERROR(__xludf.dummyfunction("GOOGLETRANSLATE(C347)"),"equipes de beisebol que nunca foram para a World Series")</f>
        <v>equipes de beisebol que nunca foram para a World Series</v>
      </c>
      <c r="F346" s="5" t="str">
        <f aca="false">IFERROR(__xludf.dummyfunction("GOOGLETRANSLATE(D346)"),"       Frequência de comprimento de onda de cor Violet de energia de fótons 380 - 450 nm 668 - 789 THz 2,75 - 3,26 eV azul 450 - 495 nm 606 - 668 THz 2.50 - 2,75 eV Verde 495 - 570 nm 526 - 606 THz 2.17 - - 2,50 eV Amarelo 570 - 590 nm 508 - 526 THz 2.10 "&amp;"- 2,17 eV Orange 590 - 620 nm 484 - 508 THz 2,00 - 2,10 eV RED 620 - 750 NM 400 - 484 THz 1.65 - 2,00 Ev")</f>
        <v>       Frequência de comprimento de onda de cor Violet de energia de fótons 380 - 450 nm 668 - 789 THz 2,75 - 3,26 eV azul 450 - 495 nm 606 - 668 THz 2.50 - 2,75 eV Verde 495 - 570 nm 526 - 606 THz 2.17 - - 2,50 eV Amarelo 570 - 590 nm 508 - 526 THz 2.10 - 2,17 eV Orange 590 - 620 nm 484 - 508 THz 2,00 - 2,10 eV RED 620 - 750 NM 400 - 484 THz 1.65 - 2,00 Ev</v>
      </c>
    </row>
    <row r="347" customFormat="false" ht="15.75" hidden="false" customHeight="true" outlineLevel="0" collapsed="false">
      <c r="A347" s="3" t="n">
        <v>344</v>
      </c>
      <c r="B347" s="5" t="s">
        <v>1035</v>
      </c>
      <c r="C347" s="5" t="s">
        <v>1036</v>
      </c>
      <c r="D347" s="5" t="s">
        <v>1037</v>
      </c>
      <c r="E347" s="4" t="str">
        <f aca="false">IFERROR(__xludf.dummyfunction("GOOGLETRANSLATE(C348)"),"Quando é melhor ligar para Saul sai na Netflix")</f>
        <v>Quando é melhor ligar para Saul sai na Netflix</v>
      </c>
      <c r="F347" s="5" t="str">
        <f aca="false">IFERROR(__xludf.dummyfunction("GOOGLETRANSLATE(D347)"),"   A equipe do Seasons Last Pennant 49 Washington Nationals Never (franquia começou em 1969) 41 Seattle Mariners Never (Franchise começou em 1977) 38 Pittsburgh Pirates 1979 35 Milwaukee Brewers 1982 (nunca ingressou no NL em 1998) 34 Baltimore Orioles 27"&amp;" Cincinnati Reds 1990 27 Oks. 1990 26 Minnesota gêmeos 1991 24 Toronto Blue Jays 1993 19 19 San Diego Padres 1998 18 Atlanta Braves 1999 16 Arizona Diamondbacks 2001 15 Los Angeles Angels 2002 14 Miami Marlins 2003 12 New York Yankees 2005 10 Rockies Colo"&amp;"rado 2007 9 Tamppa Baía Raios 2008 8 8 8 2009.")</f>
        <v>   A equipe do Seasons Last Pennant 49 Washington Nationals Never (franquia começou em 1969) 41 Seattle Mariners Never (Franchise começou em 1977) 38 Pittsburgh Pirates 1979 35 Milwaukee Brewers 1982 (nunca ingressou no NL em 1998) 34 Baltimore Orioles 27 Cincinnati Reds 1990 27 Oks. 1990 26 Minnesota gêmeos 1991 24 Toronto Blue Jays 1993 19 19 San Diego Padres 1998 18 Atlanta Braves 1999 16 Arizona Diamondbacks 2001 15 Los Angeles Angels 2002 14 Miami Marlins 2003 12 New York Yankees 2005 10 Rockies Colorado 2007 9 Tamppa Baía Raios 2008 8 8 8 2009.</v>
      </c>
    </row>
    <row r="348" customFormat="false" ht="15.75" hidden="false" customHeight="true" outlineLevel="0" collapsed="false">
      <c r="A348" s="3" t="n">
        <v>345</v>
      </c>
      <c r="B348" s="5" t="s">
        <v>1038</v>
      </c>
      <c r="C348" s="5" t="s">
        <v>1039</v>
      </c>
      <c r="D348" s="5" t="s">
        <v>1040</v>
      </c>
      <c r="E348" s="4" t="str">
        <f aca="false">IFERROR(__xludf.dummyfunction("GOOGLETRANSLATE(C349)"),"Que tipo de chinês eles falam em Pequim")</f>
        <v>Que tipo de chinês eles falam em Pequim</v>
      </c>
      <c r="F348" s="5" t="str">
        <f aca="false">IFERROR(__xludf.dummyfunction("GOOGLETRANSLATE(D348)")," Em dezembro de 2013, a Netflix anunciou que toda a primeira temporada estaria disponível para streaming nos EUA após a exibição do final da primeira temporada e, na América Latina e Europa, cada episódio estaria disponível alguns dias após o ar graus nos"&amp;" EUA No entanto, a primeira temporada não foi lançada na Netflix nos EUA até 1º de fevereiro de 2016.")</f>
        <v> Em dezembro de 2013, a Netflix anunciou que toda a primeira temporada estaria disponível para streaming nos EUA após a exibição do final da primeira temporada e, na América Latina e Europa, cada episódio estaria disponível alguns dias após o ar graus nos EUA No entanto, a primeira temporada não foi lançada na Netflix nos EUA até 1º de fevereiro de 2016.</v>
      </c>
    </row>
    <row r="349" customFormat="false" ht="15.75" hidden="false" customHeight="true" outlineLevel="0" collapsed="false">
      <c r="A349" s="3" t="n">
        <v>346</v>
      </c>
      <c r="B349" s="5" t="s">
        <v>1041</v>
      </c>
      <c r="C349" s="5" t="s">
        <v>1042</v>
      </c>
      <c r="D349" s="5" t="s">
        <v>1043</v>
      </c>
      <c r="E349" s="4" t="str">
        <f aca="false">IFERROR(__xludf.dummyfunction("GOOGLETRANSLATE(C350)"),"O que o PT representa no exército")</f>
        <v>O que o PT representa no exército</v>
      </c>
      <c r="F349" s="5" t="str">
        <f aca="false">IFERROR(__xludf.dummyfunction("GOOGLETRANSLATE(D349)")," O dialeto de Pequim (chinês simplificado: 北京 话 话; chinês tradicional: 北京 話; pinyin: běijīnghuà), também conhecido como pecinese, é o dialeto de prestígio de mandarim falado na área urbana de Pequim, China. É a base fonológica do chinês padrão, que é o id"&amp;"ioma oficial na República do Povo da China e na República da China e uma das línguas oficiais em Cingapura.")</f>
        <v> O dialeto de Pequim (chinês simplificado: 北京 话 话; chinês tradicional: 北京 話; pinyin: běijīnghuà), também conhecido como pecinese, é o dialeto de prestígio de mandarim falado na área urbana de Pequim, China. É a base fonológica do chinês padrão, que é o idioma oficial na República do Povo da China e na República da China e uma das línguas oficiais em Cingapura.</v>
      </c>
    </row>
    <row r="350" customFormat="false" ht="15.75" hidden="false" customHeight="true" outlineLevel="0" collapsed="false">
      <c r="A350" s="3" t="n">
        <v>347</v>
      </c>
      <c r="B350" s="5" t="s">
        <v>1044</v>
      </c>
      <c r="C350" s="5" t="s">
        <v>1045</v>
      </c>
      <c r="D350" s="5" t="s">
        <v>1046</v>
      </c>
      <c r="E350" s="4" t="str">
        <f aca="false">IFERROR(__xludf.dummyfunction("GOOGLETRANSLATE(C351)"),"que desempenhou o papel de olhos de cobra em Gi Joe")</f>
        <v>que desempenhou o papel de olhos de cobra em Gi Joe</v>
      </c>
      <c r="F350" s="5" t="str">
        <f aca="false">IFERROR(__xludf.dummyfunction("GOOGLETRANSLATE(D350)")," Um uniforme de treinamento físico é um uniforme militar usado durante o exercício, calistenia, exercícios e, em alguns casos, períodos de tempo muito casuais (tempo de folga - tempo de serviço durante o treinamento inicial de entrada no Exército dos EUA,"&amp;" por exemplo). O Exército dos Estados Unidos, o Corpo de Fuzileiros Navais, a Marinha, a Força Aérea e a Guarda Costeira exigem o uso de um uniforme de treinamento físico (PT) durante o exercício da unidade (incluindo exercícios de formação, calistenia e "&amp;"condicionamento). Algumas unidades militares produzem camisetas exclusivas com insígnias e lema unitários e, para eventos especiais, esta camisa faz parte do uniforme. Ocasionalmente, o exercício será realizado nos uniformes de utilidade daquela filial, n"&amp;"ormalmente com a blusa removida e a camiseta exposta (também conhecida como `` botas e utes '').")</f>
        <v> Um uniforme de treinamento físico é um uniforme militar usado durante o exercício, calistenia, exercícios e, em alguns casos, períodos de tempo muito casuais (tempo de folga - tempo de serviço durante o treinamento inicial de entrada no Exército dos EUA, por exemplo). O Exército dos Estados Unidos, o Corpo de Fuzileiros Navais, a Marinha, a Força Aérea e a Guarda Costeira exigem o uso de um uniforme de treinamento físico (PT) durante o exercício da unidade (incluindo exercícios de formação, calistenia e condicionamento). Algumas unidades militares produzem camisetas exclusivas com insígnias e lema unitários e, para eventos especiais, esta camisa faz parte do uniforme. Ocasionalmente, o exercício será realizado nos uniformes de utilidade daquela filial, normalmente com a blusa removida e a camiseta exposta (também conhecida como `` botas e utes '').</v>
      </c>
    </row>
    <row r="351" customFormat="false" ht="15.75" hidden="false" customHeight="true" outlineLevel="0" collapsed="false">
      <c r="A351" s="3" t="n">
        <v>348</v>
      </c>
      <c r="B351" s="5" t="s">
        <v>1047</v>
      </c>
      <c r="C351" s="5" t="s">
        <v>1048</v>
      </c>
      <c r="D351" s="5" t="s">
        <v>1049</v>
      </c>
      <c r="E351" s="4" t="str">
        <f aca="false">IFERROR(__xludf.dummyfunction("GOOGLETRANSLATE(C352)"),"que ganhou os títulos de tênis mais grand slam solteiros")</f>
        <v>que ganhou os títulos de tênis mais grand slam solteiros</v>
      </c>
      <c r="F351" s="5" t="str">
        <f aca="false">IFERROR(__xludf.dummyfunction("GOOGLETRANSLATE(D351)")," Raymond `` Ray '' Park (nascido em 23 de agosto de 1974) é um ator, autor e artista marcial escocês. Ele é mais conhecido por interpretar Darth Maul em Star Wars: Episódio I - The Phantom Menace, sapo em X -Men, Snake - Olhos em G.I. Joe: A ascensão de C"&amp;"obra e G.I. Joe: retaliação e Edgar em heróis.")</f>
        <v> Raymond `` Ray '' Park (nascido em 23 de agosto de 1974) é um ator, autor e artista marcial escocês. Ele é mais conhecido por interpretar Darth Maul em Star Wars: Episódio I - The Phantom Menace, sapo em X -Men, Snake - Olhos em G.I. Joe: A ascensão de Cobra e G.I. Joe: retaliação e Edgar em heróis.</v>
      </c>
    </row>
    <row r="352" customFormat="false" ht="15.75" hidden="false" customHeight="true" outlineLevel="0" collapsed="false">
      <c r="A352" s="3" t="n">
        <v>349</v>
      </c>
      <c r="B352" s="5" t="s">
        <v>1050</v>
      </c>
      <c r="C352" s="5" t="s">
        <v>1051</v>
      </c>
      <c r="D352" s="5" t="s">
        <v>1052</v>
      </c>
      <c r="E352" s="4" t="str">
        <f aca="false">IFERROR(__xludf.dummyfunction("GOOGLETRANSLATE(C353)"),"que interpretou o jovem Michael Myers no Halloween 1978")</f>
        <v>que interpretou o jovem Michael Myers no Halloween 1978</v>
      </c>
      <c r="F352" s="5" t="str">
        <f aca="false">IFERROR(__xludf.dummyfunction("GOOGLETRANSLATE(D352)"),"   Jogador de classificação Total anos Australian Open Open Wimbledon US Open Roger Federer 20 2003 - 2018 6 8 5 Rafael Nadal 16 2005 - 2017 10 Pete Sampras 14 1990 - 2002 0 7 5 Roy Emerson 12 1961 - 1967 6 Novak Djokovic 12 2008 - 2016 6 6 Rod Laver 11 1"&amp;"960 - 1969 Björn Borg 11 1974 - 1981 0 6 5 0 8 Bill Tilden 10 1920 - 1930 0 0 7 9 Fred Perry 8 1933 - 1936 Ken Rosewall 8 1953 - 1972 0 Jimmy Connors 8 1974 - 1983 0 5 Ivan Lendl 8 1984 - 1990 0 Andre Agassi 8 1992 - 2003 14 Richard Sears 7 1881 - 1887 0 "&amp;"0 7 William Renshaw 7 1881 - 1889 0 0 7 0 William Larned 7 1901 - 1911 0 0 0 7 René Lacoste 7 1925 - 1929 0 Henri Cochet 7 1926 - 1932 0 John Newcombe 7 1967 - 1975 0 John McEnroe 7 1979 - 1984 0 0 Mats Wilander 7 1982 - 1988 0 0 22 Laurence Doherty 6 190"&amp;"2 - 1906 0 0 5 Tony Wilding 6 1906 - 1913 0 0 Jack Crawford 6 1931 - 1935 0 Don Budge 6 1937 - 1938 Stefan Edberg 6 1985 - 1992 0 Boris Becker 6 1985 - 1996 0 28 Frank Sedgman 5 1949 - 1952 0 Tony Trabert 5 1953 - 1955 0")</f>
        <v>   Jogador de classificação Total anos Australian Open Open Wimbledon US Open Roger Federer 20 2003 - 2018 6 8 5 Rafael Nadal 16 2005 - 2017 10 Pete Sampras 14 1990 - 2002 0 7 5 Roy Emerson 12 1961 - 1967 6 Novak Djokovic 12 2008 - 2016 6 6 Rod Laver 11 1960 - 1969 Björn Borg 11 1974 - 1981 0 6 5 0 8 Bill Tilden 10 1920 - 1930 0 0 7 9 Fred Perry 8 1933 - 1936 Ken Rosewall 8 1953 - 1972 0 Jimmy Connors 8 1974 - 1983 0 5 Ivan Lendl 8 1984 - 1990 0 Andre Agassi 8 1992 - 2003 14 Richard Sears 7 1881 - 1887 0 0 7 William Renshaw 7 1881 - 1889 0 0 7 0 William Larned 7 1901 - 1911 0 0 0 7 René Lacoste 7 1925 - 1929 0 Henri Cochet 7 1926 - 1932 0 John Newcombe 7 1967 - 1975 0 John McEnroe 7 1979 - 1984 0 0 Mats Wilander 7 1982 - 1988 0 0 22 Laurence Doherty 6 1902 - 1906 0 0 5 Tony Wilding 6 1906 - 1913 0 0 Jack Crawford 6 1931 - 1935 0 Don Budge 6 1937 - 1938 Stefan Edberg 6 1985 - 1992 0 Boris Becker 6 1985 - 1996 0 28 Frank Sedgman 5 1949 - 1952 0 Tony Trabert 5 1953 - 1955 0</v>
      </c>
    </row>
    <row r="353" customFormat="false" ht="15.75" hidden="false" customHeight="true" outlineLevel="0" collapsed="false">
      <c r="A353" s="3" t="n">
        <v>350</v>
      </c>
      <c r="B353" s="5" t="s">
        <v>1053</v>
      </c>
      <c r="C353" s="5" t="s">
        <v>1054</v>
      </c>
      <c r="D353" s="5" t="s">
        <v>1055</v>
      </c>
      <c r="E353" s="4" t="str">
        <f aca="false">IFERROR(__xludf.dummyfunction("GOOGLETRANSLATE(C354)"),"Quem cantou os vocais líderes no sol do seu amor")</f>
        <v>Quem cantou os vocais líderes no sol do seu amor</v>
      </c>
      <c r="F353" s="5" t="str">
        <f aca="false">IFERROR(__xludf.dummyfunction("GOOGLETRANSLATE(D353)")," Nick Castle como Michael Myers / The Shape Tony Moran como Michael Myers (desmascarado) Will Sandin como Michael Myers (6 anos)")</f>
        <v> Nick Castle como Michael Myers / The Shape Tony Moran como Michael Myers (desmascarado) Will Sandin como Michael Myers (6 anos)</v>
      </c>
    </row>
    <row r="354" customFormat="false" ht="15.75" hidden="false" customHeight="true" outlineLevel="0" collapsed="false">
      <c r="A354" s="3" t="n">
        <v>351</v>
      </c>
      <c r="B354" s="5" t="s">
        <v>1056</v>
      </c>
      <c r="C354" s="5" t="s">
        <v>1057</v>
      </c>
      <c r="D354" s="5" t="s">
        <v>1058</v>
      </c>
      <c r="E354" s="4" t="str">
        <f aca="false">IFERROR(__xludf.dummyfunction("GOOGLETRANSLATE(C355)"),"Quando a temporada regular da NBA começa em 2017")</f>
        <v>Quando a temporada regular da NBA começa em 2017</v>
      </c>
      <c r="F354" s="5" t="str">
        <f aca="false">IFERROR(__xludf.dummyfunction("GOOGLETRANSLATE(D354)")," `` Sunshine of Your Love '' é uma música de 1967 da British Rock Band Cream. Com elementos de Hard Rock, Psychedelia e Pop, é uma das músicas mais conhecidas e mais populares de Cream. O baixista de creme e vocalista Jack Bruce baseou -o em um riff de ba"&amp;"ixo distinto, ou frase musical repetida, ele se desenvolveu depois de assistir a um concerto de Jimi Hendrix. O guitarrista Eric Clapton e o letrista Pete Brown mais tarde contribuíram para a música. O engenheiro de gravação Tom Dowd sugeriu o arranjo do "&amp;"ritmo no qual o baterista Ginger Baker interpreta um ritmo distinto de Tom - Tom Drum, embora Baker tenha afirmado que era sua idéia.")</f>
        <v> `` Sunshine of Your Love '' é uma música de 1967 da British Rock Band Cream. Com elementos de Hard Rock, Psychedelia e Pop, é uma das músicas mais conhecidas e mais populares de Cream. O baixista de creme e vocalista Jack Bruce baseou -o em um riff de baixo distinto, ou frase musical repetida, ele se desenvolveu depois de assistir a um concerto de Jimi Hendrix. O guitarrista Eric Clapton e o letrista Pete Brown mais tarde contribuíram para a música. O engenheiro de gravação Tom Dowd sugeriu o arranjo do ritmo no qual o baterista Ginger Baker interpreta um ritmo distinto de Tom - Tom Drum, embora Baker tenha afirmado que era sua idéia.</v>
      </c>
    </row>
    <row r="355" customFormat="false" ht="15.75" hidden="false" customHeight="true" outlineLevel="0" collapsed="false">
      <c r="A355" s="3" t="n">
        <v>352</v>
      </c>
      <c r="B355" s="5" t="s">
        <v>1059</v>
      </c>
      <c r="C355" s="5" t="s">
        <v>1060</v>
      </c>
      <c r="D355" s="5" t="s">
        <v>1061</v>
      </c>
      <c r="E355" s="4" t="str">
        <f aca="false">IFERROR(__xludf.dummyfunction("GOOGLETRANSLATE(C356)"),"Quantas rodas da fortuna existem em todo o mundo")</f>
        <v>Quantas rodas da fortuna existem em todo o mundo</v>
      </c>
      <c r="F355" s="5" t="str">
        <f aca="false">IFERROR(__xludf.dummyfunction("GOOGLETRANSLATE(D355)")," A temporada de 2017 - 18 da NBA é a 72ª temporada da National Basketball Association (NBA). A temporada regular começou em 17 de outubro de 2017, mais cedo do que as temporadas anteriores para reduzir o número de equipes de jogos `` de volta - para trás "&amp;"'' estão programadas para jogar, com os corredores de 2017 - o Cleveland Cavaliers hospedando um jogo contra o Boston Celtics na Quicken Loans Arena, em Cleveland, Ohio. Os jogos de Natal serão disputados em 25 de dezembro. O jogo NBA All - Star 2018 será"&amp;" disputado em 18 de fevereiro de 2018, no Staples Center em Los Angeles, Califórnia. A temporada regular terminará em 11 de abril de 2018 e os playoffs começarão em 14 de abril de 2018.")</f>
        <v> A temporada de 2017 - 18 da NBA é a 72ª temporada da National Basketball Association (NBA). A temporada regular começou em 17 de outubro de 2017, mais cedo do que as temporadas anteriores para reduzir o número de equipes de jogos `` de volta - para trás '' estão programadas para jogar, com os corredores de 2017 - o Cleveland Cavaliers hospedando um jogo contra o Boston Celtics na Quicken Loans Arena, em Cleveland, Ohio. Os jogos de Natal serão disputados em 25 de dezembro. O jogo NBA All - Star 2018 será disputado em 18 de fevereiro de 2018, no Staples Center em Los Angeles, Califórnia. A temporada regular terminará em 11 de abril de 2018 e os playoffs começarão em 14 de abril de 2018.</v>
      </c>
    </row>
    <row r="356" customFormat="false" ht="15.75" hidden="false" customHeight="true" outlineLevel="0" collapsed="false">
      <c r="A356" s="3" t="n">
        <v>353</v>
      </c>
      <c r="B356" s="5" t="s">
        <v>1062</v>
      </c>
      <c r="C356" s="5" t="s">
        <v>1063</v>
      </c>
      <c r="D356" s="5" t="s">
        <v>1064</v>
      </c>
      <c r="E356" s="4" t="str">
        <f aca="false">IFERROR(__xludf.dummyfunction("GOOGLETRANSLATE(C357)"),"Papel dos esporos no desenvolvimento de c. doença difíceis")</f>
        <v>Papel dos esporos no desenvolvimento de c. doença difíceis</v>
      </c>
      <c r="F356" s="5" t="str">
        <f aca="false">IFERROR(__xludf.dummyfunction("GOOGLETRANSLATE(D356)"),"   Nome da região ou country Local Hosts Hostess Datas da rede Argentina Tiempo límite ATP Gerardo Sofovich América TV 2001 Roda da Fortune da Fortune Ernie Sigley (1981 - 84) John Burgess (1984 - 96) Tony Barber (1996) Rob Elliott (1997 - 2003 ) Steve Oe"&amp;"mcke (2004 - 05) Larry Emdur (2006) Adriana Xenides (1981 - 96, 1997 - 99) Kerrie Friend (1996 - 97) Sophie Falkerer (1999 - 2005) Laura Csortan (2006) Seven Network) 21 de julho de 1981 - 2004 Novembro de 2005 - 28 de julho de 2006 Milhões de dólares da "&amp;"fortuna Tim Campbell Kelly Landry Nine Rede 26 de maio de 2008 - 27 de junho de 2008 Bélgica (Flanders) Rad van fortuin (NL) Mike Verdrengh (NL ) Walter Capiau (NL) Bart Kaëll Walter Grootaers (NL; Fr) Koen Wauters Luc Appermont Bart van den Bossche Auror"&amp;"e Be Els Deborah Valerie e Zoe Brt Vtm Canvas 1989 - 97 2004 - 06 Brasil Roletrando (PT) Roda a Roda ( pt )   Silvio Santos Patricia Abravanel   Patricia Salvador Cláudia Barone   SBT   August 23 , 1981 -- September 26 , 1993 October 13 , 2003 -- present "&amp;"    Bulgaria   Колелото на късмета ( bg ) Koleloto na kasmeta   Rumen Lukanov   Jasmina Toshkova   Nova TV   January 18 , 2010     Canada ( Quebec) La Roue Chanceuse (FR) Donald Lautrec Lyne Sarrazin TQs em 1 de maio de 1989 - 1992 Chile La Rueda de la Fo"&amp;"rtuna (ES) Rodolfo Torrealba Canal 13 1978 - 79 Colombia La Rueda de Laurna Mauro Urquiojo Gonloo Vivancho TV RCN 1998 - 99 2012 - 13 Croácia Kolo Sreće Oliver Mlakar (1993 - 2002) Boris Mirković (2015 -) Maja Vracaric (1993 - 2002) Iva Jerković (2015 -) "&amp;"Hrt1 (1993 - 2002) RTL Televisija (2015 -) 1993 - 2002 18 de maio de 2015 - atual República Tcheca Kolotoč Pavel Poulicek Dalibor Gondik Honza Musil Adela Gondikova Radka Ruster TV Nova 1997 - 2002 Dinamarca Lykkkehjulet Michael Meyer (1988) - 96, 1997 - "&amp;"2000) Keld Heick (1996 - 97) Lars Herlow (2000 - 01) Pia Dresner (1988) Carina Jensen (1989 - 94) Maria Millet (1995 - 2001) TV2 1 de outubro de 1988 - 2001 Ecuador la Rueda de la Fortuna Pancho Cabanilla Ecuavisa 2004- Apresentando o Egito egypt} الحياة "&amp;"Dayret Al Hayat Kareem Kojak Heba Sameer Goudah Hayat, 2 de agosto de 19, 2012- 2013 Estonia Õnneratas Supuraspävävik emill Rúsicas de 2012- 2013 Estonia Õnneratas. (2011 - 12) Kristjan Jõekalda (2012 - 13) TV3 (1999 - 2000) Kanal 2 (2011 - 13) 1999 - 200"&amp;"0 2011 - 13 Finlândia Onnenpyörä (Fi) Jethro Rosted (FI) (2018) Piso Kim (FI; DE) (1993) Janne Porkka (FI) (1993 - 2001) Tiina Vierto (1993 - 1995) Susan Sirén (1995 - 1998) Kati Jalojärvi (1998 - 1999) Saija Palin (1999 - 2001) La Roue de la Fortune Mich"&amp;"el Robbe (1987) Christian Morin (1987 - 92) Alexandre Debanne (1993 - 94) Olivier Chiabodo (1995 - 97) Christophe Dechavanne (2006 - 12) Benjamin Casaldi (janeiro - março de 2012 ) Annie Pujol (1987 - 94) Sandra Rossi (1995) Frederique Calvez (1995 - 97) "&amp;"Victoria Silvstedt (2006 - 12) Valerie Begue (janeiro - março de 2012) TF1 5 de janeiro de 1987 - abril de 1997 , 2006 - 23 de março de 2012 Geórgia იღბლიანი ბორბალი Igbliani borbali duta skhirtladze Vaniko Tarkhnishvili Shorena Begashvili Rustavi 2 de ma"&amp;"rço de 2011 - Apresenta a Alemanha Glücksad (De) Frederic Meisner (de) Peter Bond (de) Maren Gilzer (de) Sath.) 1 de novembro de 1988 - 15 de maio de 1998 Frederic Meisner (1998 - 2001) Thomas Ohrner (2001 - 2002) Sonya Kraus (1998 - 2002) Katrin Wrobel ("&amp;"DE) (2002) Kabel Eins, 18 de maio de 1998 - - 31 de outubro de 2002 Frederic Meisner Ramona Drews 9 Live 1 de março de 2004 - 5 de março de 2005 Jan Hahn (de) Isabel Edvardson RtlPlus 17 de outubro de 2016 - Apresentado Kinder - Glücksrad Petra Hausberg N"&amp;"o Hostess Sat. 1 de maio de 1992 - 1993 Glücksrad - Gala Peter Bond e Frederic Meisner Maren Gilzer e Gundis Zambo 1993 - 96 Grécia Chipre ο τροχός της τύχης O TROKÓS TIS TIS TUKIS GEORGE Artsonna Julia Nova ANT1 MEGA Star Channel   1990 -- 96 1997 -- 98 "&amp;"2015 -- present     Hungary   Szerencsekerék ( hu )   Tamás Gajdos ( hu ) Viktor Klausmann ( hu ) Vizy András Dóra Prokopp ( hu ) Andrea Szulák ( hu ; de )   Rácz Zsuzsi   MTV1 TV2 Story4TV 1993 - 97 1997 - 2001 2011 - 12 Roda de surf da Índia da Fortune "&amp;"Mohan Kapoor Zee TV 1995 - 97 Indonésia Roda Impian (ID) Pilih Atau Dia Charles Bonar Sirait Vicki (2001 - 02) Ike (2002) SCTV AntV Indosiar 6 de agosto de 2001 - 2 de agosto de 2002 2003 - 29 de julho de 2005 2 de janeiro de 2006 - 3 de março de 2006 Isr"&amp;"ael גלגל המזל Galgal Hamazal (He) Erez Tal Gil Sassover (He) Efrat Rotem Meirav Levin Galit Burg ( ele) Ruth Gonzales (He) Ingrid Feldman (He) Tal Man (He) Sigal Shachmon Anat Elimelech Channel 2 1994 - 2000 Itália La Ruota della Fortuna Mike Bongiorno (1"&amp;"985, 1989 - 2003) Casti (1987 - 88) Enrico Papi (2007 - 09) Raffaella de Riso (1987 - 88) Michelle Klippenstein (1988) Ylenia Carrisi (1989, 1992) Paola Barale (1989 - 95) Roberta Capua (1995) Antonella (1995 - 96) Claudia) Grego (1996 - 97) Ana Laura Rib"&amp;"as (1997) Miriana Trevisan (1997 - 2002) Nancy Comelli (2002 - 03) Victoria Silvstedt (2007 - 09) Canale 5 (1985) Odeon TV (1987 - 88) RETE 4 (1989 -2003) Italia 1 (2007 -09) 1985 em setembro de 1987 -1988 1989 -2003 2007 -09 Lituânia laimės ratas dos ano"&amp;"s 90 Macedonia iada 11 Malaysia Roda Impian Halim Othman (1996 - 2002) Hani Mohsin (2002 - 06) Kieran (2009) Zalda Zainal Abby Abadi Spelli Liza AF1 Irma Hasmie Fauziah Gous Astro Ria TV3 1996 2006 2009 México lauuua de laura Flores Anastasia Canal de Las"&amp;" Estrellas 1995 - 97 Holanda Rad Van fortuin (NL) Hans van der Togt (NL) Carlo Boszhard Andre Hazes Jr. (2016) Leontine Borsato (NL) Patricia Rietveld Cindy Pielstroom Stephanie Tency (FY; NL) (2016) RTL 4 SBS 6 1989 - 98 2009 22 de agosto de 2016 - 27 de"&amp;" julho de 2017 Roda da Fortune da Fortune Leishman Jason Gunn Gunn Gunn Lana COC - Kroft Sonia Gray TV2 TV em fevereiro de 1991 - 1996 14 de abril de 2008 - 2 de maio de 2009 Noruega Lykkehjulet (NO; SV) Ragnar Otnes (NO) Knut Bjørnsen Vendela Kirsebom Ul"&amp;"rika Nilsson Lise Nilsen TV3 1990 26, 2007 Panamá La Rueda de la Fortuna Rassiel Rodriguez Jorge Ortega Nadage Herrera Telemetro 2001 2011 Peru la Ruleta de la Suerte Christian Rivero Gisela Valcarcel Frecuencia Latina 2011 - 12 Filipinas Rustane Padella "&amp;"Kris Aquinom Victoria London Londres 5 ABS - CBN 19 de novembro de 2001 - outubro de 2002, 14 de janeiro de 2008 - 25 de julho de 2008 Polônia Koło Fortuny Wojciech Pijanowski (1992 - 95) Paweł Wawrzecki (1995) Stanisław Mikulski (1995 - 98) Krzysztof Tyn"&amp;"yiCi (1995) 2007 - 09) Rafał Brzozowski (2017 - presente) Magda Masny (1992 - 98) Marta Lewandowska (2007 - 09) Izabella Krzan (2017 - presente) TVP2 2 de outubro de 1992 - 1 de setembro de 1998 29 de outubro 29 , 2007 - 27 de outubro de 2009 11 de setemb"&amp;"ro de 2017 - Presente Portugal A Roda da Strene (PT) Herman José Ruth e Rita Candido Mota Vanessa Palma (PT) RTP1 SIC 1990 - 94 2008 Romania roata norocului doritrescu mihai calin (2008 1997 - 99) Liviu Varciu (2012 - 13) (Adrian Cristea) Bursucu (2015 - "&amp;"presente) Cristiana Ruduta Ana Maria Barnoschi TVR1 Pro TV Kanal d em março de 1997 П п п п п п ч ч ч ч ч ч ч ч ч ч ч ч ч чеnders pózas de vladislav listyev (1990 - 91) Leonid Yakubovich (1991 - presente) Valdis Pelsh (25 de dezembro de 2002) Rimma Agafos"&amp;"hina (1991 - presente) Vid 1TV, 25 de outubro, 1990 - SERBIA SERBIA KOLOREE MORRAD) Vučelić TV HAPPY 2015 - Apresenta Cingapura Wheel of Fortune Singapore Bernard Lim Eunice Olsen MediaCorp Channel 5 8 de maio de 2002 Eslováquia Kolesso Šťastia Jozef Proč"&amp;"ko Tibor Hlista Roman Feders Laco Híveš Roman POMOVJBO Peter Marcin Luká July 25 , 2016 -- January 23 , 2017     Slovenia   Kolo sreče   Mito Trefalt   Damjana Golavšek   TV SLO1   1990s     Spain   La ruleta de la fortuna La ruleta de la suerte   Mayra G"&amp;"ómez Kemp Ramón García Irma Soriano Bigote Arrocet Mabel Lozano Belén Rueda Fernando Esteso Jesús Vázquez Andoni Ferreño Goyo González Carlos Lozano Jorge Hernandez Diana Fernandez (1991 - 97) Paloma Lopez (2006 - 15) Laura Moure (2015 - presente) Antena "&amp;"3 Telecinco Antena 3 1990 - 92 1993 - 97 2006 - Apresentando o sudoeste Lykkehjjulet. Sv; NÃO) MILJONLOTTERIET LYCKOHJULET RAGNAR OTNES HANS WIKLUND ULRIKA NILSSON HANNAH GRAAF TV3 TV8 TURKEIRA DO EM TURKEIRO DECRIMENTOS MUNZ ümit Güner Tarık Tarcan Halit"&amp;" Kıvançante Yılzo Mehmet Ali Erbila Oğlu Arto Hamdi Alkan Petek Dinçöz İlker Ayrık Trt TRT 2 Show TV Cine5 Kanal D eko TV Super Kanal Tgrt Atv Kanal 1 Fox Türkiye Star TV TNT TNT Türkiye Kanal d 1975 - 92 1986 - 92 1992 - 96, 2005 - 06 1993 - 96 1997 - 20"&amp;"03 1997 - 2000 2000 2000 - 03 2003 - 04 2007 - 08 2008 - 09 2011 - 12 2014 - Apresentando o ATAMAN ERKUL KANAL D 2000 REINO UNIDO DO REINO DO FORTUNE Nicky Campbell (1988 - 96) Bradley Walsh (1997) John Leslie ( 1998 - 2001) Paul Hendy (2001) Angela Ekaet"&amp;"te (1988) Carol Smillie (1989 - 94) Jenny Powell (1995 - 2001) Terri Seymour (2001) ITV 19 de julho de 1988 - 21 de dezembro de 2001 Estados Unidos Canadá (Inglês) Wheel of Fortune Chuck Woolery (1975 - 81) Pat Sajak (1981 - 89) Rolf Benirschke (1989) Bob"&amp;" Goen (1989 - 91) Susan Stafford (1975 - 82) Vanna White (1982 - 91 ) NBC (1975 - 89, 1991) CBS (1989 - 91) 6 de janeiro de 1975 - 30 de junho de 1989 17 de julho de 1989 - 20 de setembro de 1991 Pat Sajak Vanna White Sindication 19 de setembro de 1983 - "&amp;"roda atual 2000 David Sidoni Tanika Ray (como `` Cyber ​​Lucy '') CBS 13 de setembro de 1997 - 7 de fevereiro de 1998 Venezuela La Estrella de La Fortuna Orlando Urdaneta Corina Azopedo Luis Velázco Juan Manuel Montesinos Maru Winkemann) Kỳ Diệu (VI) Lại "&amp;"Văn Sâm (Primeiro show em 2001) Trịnh Long Vũ (2001 - 06) Tuấn Tú (2006 - 13) DANH TùNG (2014 - 15) Bùi ​​ức Bảo (2015 - 2016) Ph. (2001 - 03) Hương Giang (2003 - 06) Maika (2007 - 09, semelhante ao Wheel 2000 nos EUA) Hồng Nhung (2009 - 2016) VTV3 31 de "&amp;"março de 2001 - 24 de dezembro de 2016")</f>
        <v>   Nome da região ou country Local Hosts Hostess Datas da rede Argentina Tiempo límite ATP Gerardo Sofovich América TV 2001 Roda da Fortune da Fortune Ernie Sigley (1981 - 84) John Burgess (1984 - 96) Tony Barber (1996) Rob Elliott (1997 - 2003 ) Steve Oemcke (2004 - 05) Larry Emdur (2006) Adriana Xenides (1981 - 96, 1997 - 99) Kerrie Friend (1996 - 97) Sophie Falkerer (1999 - 2005) Laura Csortan (2006) Seven Network) 21 de julho de 1981 - 2004 Novembro de 2005 - 28 de julho de 2006 Milhões de dólares da fortuna Tim Campbell Kelly Landry Nine Rede 26 de maio de 2008 - 27 de junho de 2008 Bélgica (Flanders) Rad van fortuin (NL) Mike Verdrengh (NL ) Walter Capiau (NL) Bart Kaëll Walter Grootaers (NL; Fr) Koen Wauters Luc Appermont Bart van den Bossche Aurore Be Els Deborah Valerie e Zoe Brt Vtm Canvas 1989 - 97 2004 - 06 Brasil Roletrando (PT) Roda a Roda ( pt )   Silvio Santos Patricia Abravanel   Patricia Salvador Cláudia Barone   SBT   August 23 , 1981 -- September 26 , 1993 October 13 , 2003 -- present     Bulgaria   Колелото на късмета ( bg ) Koleloto na kasmeta   Rumen Lukanov   Jasmina Toshkova   Nova TV   January 18 , 2010     Canada ( Quebec) La Roue Chanceuse (FR) Donald Lautrec Lyne Sarrazin TQs em 1 de maio de 1989 - 1992 Chile La Rueda de la Fortuna (ES) Rodolfo Torrealba Canal 13 1978 - 79 Colombia La Rueda de Laurna Mauro Urquiojo Gonloo Vivancho TV RCN 1998 - 99 2012 - 13 Croácia Kolo Sreće Oliver Mlakar (1993 - 2002) Boris Mirković (2015 -) Maja Vracaric (1993 - 2002) Iva Jerković (2015 -) Hrt1 (1993 - 2002) RTL Televisija (2015 -) 1993 - 2002 18 de maio de 2015 - atual República Tcheca Kolotoč Pavel Poulicek Dalibor Gondik Honza Musil Adela Gondikova Radka Ruster TV Nova 1997 - 2002 Dinamarca Lykkkehjulet Michael Meyer (1988) - 96, 1997 - 2000) Keld Heick (1996 - 97) Lars Herlow (2000 - 01) Pia Dresner (1988) Carina Jensen (1989 - 94) Maria Millet (1995 - 2001) TV2 1 de outubro de 1988 - 2001 Ecuador la Rueda de la Fortuna Pancho Cabanilla Ecuavisa 2004- Apresentando o Egito egypt} الحياة Dayret Al Hayat Kareem Kojak Heba Sameer Goudah Hayat, 2 de agosto de 19, 2012- 2013 Estonia Õnneratas Supuraspävävik emill Rúsicas de 2012- 2013 Estonia Õnneratas. (2011 - 12) Kristjan Jõekalda (2012 - 13) TV3 (1999 - 2000) Kanal 2 (2011 - 13) 1999 - 2000 2011 - 13 Finlândia Onnenpyörä (Fi) Jethro Rosted (FI) (2018) Piso Kim (FI; DE) (1993) Janne Porkka (FI) (1993 - 2001) Tiina Vierto (1993 - 1995) Susan Sirén (1995 - 1998) Kati Jalojärvi (1998 - 1999) Saija Palin (1999 - 2001) La Roue de la Fortune Michel Robbe (1987) Christian Morin (1987 - 92) Alexandre Debanne (1993 - 94) Olivier Chiabodo (1995 - 97) Christophe Dechavanne (2006 - 12) Benjamin Casaldi (janeiro - março de 2012 ) Annie Pujol (1987 - 94) Sandra Rossi (1995) Frederique Calvez (1995 - 97) Victoria Silvstedt (2006 - 12) Valerie Begue (janeiro - março de 2012) TF1 5 de janeiro de 1987 - abril de 1997 , 2006 - 23 de março de 2012 Geórgia იღბლიანი ბორბალი Igbliani borbali duta skhirtladze Vaniko Tarkhnishvili Shorena Begashvili Rustavi 2 de março de 2011 - Apresenta a Alemanha Glücksad (De) Frederic Meisner (de) Peter Bond (de) Maren Gilzer (de) Sath.) 1 de novembro de 1988 - 15 de maio de 1998 Frederic Meisner (1998 - 2001) Thomas Ohrner (2001 - 2002) Sonya Kraus (1998 - 2002) Katrin Wrobel (DE) (2002) Kabel Eins, 18 de maio de 1998 - - 31 de outubro de 2002 Frederic Meisner Ramona Drews 9 Live 1 de março de 2004 - 5 de março de 2005 Jan Hahn (de) Isabel Edvardson RtlPlus 17 de outubro de 2016 - Apresentado Kinder - Glücksrad Petra Hausberg No Hostess Sat. 1 de maio de 1992 - 1993 Glücksrad - Gala Peter Bond e Frederic Meisner Maren Gilzer e Gundis Zambo 1993 - 96 Grécia Chipre ο τροχός της τύχης O TROKÓS TIS TIS TUKIS GEORGE Artsonna Julia Nova ANT1 MEGA Star Channel   1990 -- 96 1997 -- 98 2015 -- present     Hungary   Szerencsekerék ( hu )   Tamás Gajdos ( hu ) Viktor Klausmann ( hu ) Vizy András Dóra Prokopp ( hu ) Andrea Szulák ( hu ; de )   Rácz Zsuzsi   MTV1 TV2 Story4TV 1993 - 97 1997 - 2001 2011 - 12 Roda de surf da Índia da Fortune Mohan Kapoor Zee TV 1995 - 97 Indonésia Roda Impian (ID) Pilih Atau Dia Charles Bonar Sirait Vicki (2001 - 02) Ike (2002) SCTV AntV Indosiar 6 de agosto de 2001 - 2 de agosto de 2002 2003 - 29 de julho de 2005 2 de janeiro de 2006 - 3 de março de 2006 Israel גלגל המזל Galgal Hamazal (He) Erez Tal Gil Sassover (He) Efrat Rotem Meirav Levin Galit Burg ( ele) Ruth Gonzales (He) Ingrid Feldman (He) Tal Man (He) Sigal Shachmon Anat Elimelech Channel 2 1994 - 2000 Itália La Ruota della Fortuna Mike Bongiorno (1985, 1989 - 2003) Casti (1987 - 88) Enrico Papi (2007 - 09) Raffaella de Riso (1987 - 88) Michelle Klippenstein (1988) Ylenia Carrisi (1989, 1992) Paola Barale (1989 - 95) Roberta Capua (1995) Antonella (1995 - 96) Claudia) Grego (1996 - 97) Ana Laura Ribas (1997) Miriana Trevisan (1997 - 2002) Nancy Comelli (2002 - 03) Victoria Silvstedt (2007 - 09) Canale 5 (1985) Odeon TV (1987 - 88) RETE 4 (1989 -2003) Italia 1 (2007 -09) 1985 em setembro de 1987 -1988 1989 -2003 2007 -09 Lituânia laimės ratas dos anos 90 Macedonia iada 11 Malaysia Roda Impian Halim Othman (1996 - 2002) Hani Mohsin (2002 - 06) Kieran (2009) Zalda Zainal Abby Abadi Spelli Liza AF1 Irma Hasmie Fauziah Gous Astro Ria TV3 1996 2006 2009 México lauuua de laura Flores Anastasia Canal de Las Estrellas 1995 - 97 Holanda Rad Van fortuin (NL) Hans van der Togt (NL) Carlo Boszhard Andre Hazes Jr. (2016) Leontine Borsato (NL) Patricia Rietveld Cindy Pielstroom Stephanie Tency (FY; NL) (2016) RTL 4 SBS 6 1989 - 98 2009 22 de agosto de 2016 - 27 de julho de 2017 Roda da Fortune da Fortune Leishman Jason Gunn Gunn Gunn Lana COC - Kroft Sonia Gray TV2 TV em fevereiro de 1991 - 1996 14 de abril de 2008 - 2 de maio de 2009 Noruega Lykkehjulet (NO; SV) Ragnar Otnes (NO) Knut Bjørnsen Vendela Kirsebom Ulrika Nilsson Lise Nilsen TV3 1990 26, 2007 Panamá La Rueda de la Fortuna Rassiel Rodriguez Jorge Ortega Nadage Herrera Telemetro 2001 2011 Peru la Ruleta de la Suerte Christian Rivero Gisela Valcarcel Frecuencia Latina 2011 - 12 Filipinas Rustane Padella Kris Aquinom Victoria London Londres 5 ABS - CBN 19 de novembro de 2001 - outubro de 2002, 14 de janeiro de 2008 - 25 de julho de 2008 Polônia Koło Fortuny Wojciech Pijanowski (1992 - 95) Paweł Wawrzecki (1995) Stanisław Mikulski (1995 - 98) Krzysztof TynyiCi (1995) 2007 - 09) Rafał Brzozowski (2017 - presente) Magda Masny (1992 - 98) Marta Lewandowska (2007 - 09) Izabella Krzan (2017 - presente) TVP2 2 de outubro de 1992 - 1 de setembro de 1998 29 de outubro 29 , 2007 - 27 de outubro de 2009 11 de setembro de 2017 - Presente Portugal A Roda da Strene (PT) Herman José Ruth e Rita Candido Mota Vanessa Palma (PT) RTP1 SIC 1990 - 94 2008 Romania roata norocului doritrescu mihai calin (2008 1997 - 99) Liviu Varciu (2012 - 13) (Adrian Cristea) Bursucu (2015 - presente) Cristiana Ruduta Ana Maria Barnoschi TVR1 Pro TV Kanal d em março de 1997 П п п п п п ч ч ч ч ч ч ч ч ч ч ч ч ч чеnders pózas de vladislav listyev (1990 - 91) Leonid Yakubovich (1991 - presente) Valdis Pelsh (25 de dezembro de 2002) Rimma Agafoshina (1991 - presente) Vid 1TV, 25 de outubro, 1990 - SERBIA SERBIA KOLOREE MORRAD) Vučelić TV HAPPY 2015 - Apresenta Cingapura Wheel of Fortune Singapore Bernard Lim Eunice Olsen MediaCorp Channel 5 8 de maio de 2002 Eslováquia Kolesso Šťastia Jozef Pročko Tibor Hlista Roman Feders Laco Híveš Roman POMOVJBO Peter Marcin Luká July 25 , 2016 -- January 23 , 2017     Slovenia   Kolo sreče   Mito Trefalt   Damjana Golavšek   TV SLO1   1990s     Spain   La ruleta de la fortuna La ruleta de la suerte   Mayra Gómez Kemp Ramón García Irma Soriano Bigote Arrocet Mabel Lozano Belén Rueda Fernando Esteso Jesús Vázquez Andoni Ferreño Goyo González Carlos Lozano Jorge Hernandez Diana Fernandez (1991 - 97) Paloma Lopez (2006 - 15) Laura Moure (2015 - presente) Antena 3 Telecinco Antena 3 1990 - 92 1993 - 97 2006 - Apresentando o sudoeste Lykkehjjulet. Sv; NÃO) MILJONLOTTERIET LYCKOHJULET RAGNAR OTNES HANS WIKLUND ULRIKA NILSSON HANNAH GRAAF TV3 TV8 TURKEIRA DO EM TURKEIRO DECRIMENTOS MUNZ ümit Güner Tarık Tarcan Halit Kıvançante Yılzo Mehmet Ali Erbila Oğlu Arto Hamdi Alkan Petek Dinçöz İlker Ayrık Trt TRT 2 Show TV Cine5 Kanal D eko TV Super Kanal Tgrt Atv Kanal 1 Fox Türkiye Star TV TNT TNT Türkiye Kanal d 1975 - 92 1986 - 92 1992 - 96, 2005 - 06 1993 - 96 1997 - 2003 1997 - 2000 2000 2000 - 03 2003 - 04 2007 - 08 2008 - 09 2011 - 12 2014 - Apresentando o ATAMAN ERKUL KANAL D 2000 REINO UNIDO DO REINO DO FORTUNE Nicky Campbell (1988 - 96) Bradley Walsh (1997) John Leslie ( 1998 - 2001) Paul Hendy (2001) Angela Ekaette (1988) Carol Smillie (1989 - 94) Jenny Powell (1995 - 2001) Terri Seymour (2001) ITV 19 de julho de 1988 - 21 de dezembro de 2001 Estados Unidos Canadá (Inglês) Wheel of Fortune Chuck Woolery (1975 - 81) Pat Sajak (1981 - 89) Rolf Benirschke (1989) Bob Goen (1989 - 91) Susan Stafford (1975 - 82) Vanna White (1982 - 91 ) NBC (1975 - 89, 1991) CBS (1989 - 91) 6 de janeiro de 1975 - 30 de junho de 1989 17 de julho de 1989 - 20 de setembro de 1991 Pat Sajak Vanna White Sindication 19 de setembro de 1983 - roda atual 2000 David Sidoni Tanika Ray (como `` Cyber ​​Lucy '') CBS 13 de setembro de 1997 - 7 de fevereiro de 1998 Venezuela La Estrella de La Fortuna Orlando Urdaneta Corina Azopedo Luis Velázco Juan Manuel Montesinos Maru Winkemann) Kỳ Diệu (VI) Lại Văn Sâm (Primeiro show em 2001) Trịnh Long Vũ (2001 - 06) Tuấn Tú (2006 - 13) DANH TùNG (2014 - 15) Bùi ​​ức Bảo (2015 - 2016) Ph. (2001 - 03) Hương Giang (2003 - 06) Maika (2007 - 09, semelhante ao Wheel 2000 nos EUA) Hồng Nhung (2009 - 2016) VTV3 31 de março de 2001 - 24 de dezembro de 2016</v>
      </c>
    </row>
    <row r="357" customFormat="false" ht="15.75" hidden="false" customHeight="true" outlineLevel="0" collapsed="false">
      <c r="A357" s="3" t="n">
        <v>354</v>
      </c>
      <c r="B357" s="5" t="s">
        <v>1065</v>
      </c>
      <c r="C357" s="5" t="s">
        <v>1066</v>
      </c>
      <c r="D357" s="5" t="s">
        <v>1067</v>
      </c>
      <c r="E357" s="4" t="str">
        <f aca="false">IFERROR(__xludf.dummyfunction("GOOGLETRANSLATE(C358)"),"Quem foi o vencedor do Super Dancer Capítulo 1")</f>
        <v>Quem foi o vencedor do Super Dancer Capítulo 1</v>
      </c>
      <c r="F357" s="5" t="str">
        <f aca="false">IFERROR(__xludf.dummyfunction("GOOGLETRANSLATE(D357)")," C. difficile é transmitido de pessoa para pessoa pela via fecal - oral. O organismo forma esporos resistentes ao calor que não são mortos por limpadores de mãos à base de álcool ou limpeza de superfície de rotina. Assim, esses esporos sobrevivem em ambie"&amp;"ntes clínicos por longos períodos. Por esse motivo, as bactérias podem ser cultivadas a partir de quase qualquer superfície. Depois que os esporos são ingeridos, sua resistência ao ácido permite que eles passem pelo estômago ileso. Após a exposição a ácid"&amp;"os biliares, eles germinam e se multiplicam em células vegetativas no cólon.")</f>
        <v> C. difficile é transmitido de pessoa para pessoa pela via fecal - oral. O organismo forma esporos resistentes ao calor que não são mortos por limpadores de mãos à base de álcool ou limpeza de superfície de rotina. Assim, esses esporos sobrevivem em ambientes clínicos por longos períodos. Por esse motivo, as bactérias podem ser cultivadas a partir de quase qualquer superfície. Depois que os esporos são ingeridos, sua resistência ao ácido permite que eles passem pelo estômago ileso. Após a exposição a ácidos biliares, eles germinam e se multiplicam em células vegetativas no cólon.</v>
      </c>
    </row>
    <row r="358" customFormat="false" ht="15.75" hidden="false" customHeight="true" outlineLevel="0" collapsed="false">
      <c r="A358" s="3" t="n">
        <v>355</v>
      </c>
      <c r="B358" s="5" t="s">
        <v>1068</v>
      </c>
      <c r="C358" s="5" t="s">
        <v>1069</v>
      </c>
      <c r="D358" s="5" t="s">
        <v>1070</v>
      </c>
      <c r="E358" s="4" t="str">
        <f aca="false">IFERROR(__xludf.dummyfunction("GOOGLETRANSLATE(C359)"),"Quem cantou o deserto em um cavalo sem nome")</f>
        <v>Quem cantou o deserto em um cavalo sem nome</v>
      </c>
      <c r="F358" s="5" t="str">
        <f aca="false">IFERROR(__xludf.dummyfunction("GOOGLETRANSLATE(D358)")," O Super Dancer é uma série de televisão de dança do Hindi Kids Indian Kids, que vai ao ar na Sony Entertainment Television e na Sony Entertainment Television Asia. O vencedor da primeira temporada desta série é Ditya Bhande. A série é produzida por Ranje"&amp;"et Thakur e Hemant Ruprell para suas produções de Frames de quadros de produção. O show foi vencido por Ditya Bhande e o coreógrafo Ruel Dausan.")</f>
        <v> O Super Dancer é uma série de televisão de dança do Hindi Kids Indian Kids, que vai ao ar na Sony Entertainment Television e na Sony Entertainment Television Asia. O vencedor da primeira temporada desta série é Ditya Bhande. A série é produzida por Ranjeet Thakur e Hemant Ruprell para suas produções de Frames de quadros de produção. O show foi vencido por Ditya Bhande e o coreógrafo Ruel Dausan.</v>
      </c>
    </row>
    <row r="359" customFormat="false" ht="15.75" hidden="false" customHeight="true" outlineLevel="0" collapsed="false">
      <c r="A359" s="3" t="n">
        <v>356</v>
      </c>
      <c r="B359" s="5" t="s">
        <v>1071</v>
      </c>
      <c r="C359" s="5" t="s">
        <v>1072</v>
      </c>
      <c r="D359" s="5" t="s">
        <v>1073</v>
      </c>
      <c r="E359" s="4" t="str">
        <f aca="false">IFERROR(__xludf.dummyfunction("GOOGLETRANSLATE(C360)"),"Eu não quero trabalhar, eu só quero bater nessas bateria o dia todo")</f>
        <v>Eu não quero trabalhar, eu só quero bater nessas bateria o dia todo</v>
      </c>
      <c r="F359" s="5" t="str">
        <f aca="false">IFERROR(__xludf.dummyfunction("GOOGLETRANSLATE(D359)")," `` Um cavalo sem nome '' é uma música escrita por Dewey Bunnell e originalmente gravada pela banda de rock folk America. Foi o primeiro e mais sucesso single da banda, lançado no final de 1971 na Europa e no início de 1972 nos EUA, e liderou as paradas e"&amp;"m vários países. Foi certificado em ouro pela Associação da Indústria de Gravação da América.")</f>
        <v> `` Um cavalo sem nome '' é uma música escrita por Dewey Bunnell e originalmente gravada pela banda de rock folk America. Foi o primeiro e mais sucesso single da banda, lançado no final de 1971 na Europa e no início de 1972 nos EUA, e liderou as paradas em vários países. Foi certificado em ouro pela Associação da Indústria de Gravação da América.</v>
      </c>
    </row>
    <row r="360" customFormat="false" ht="15.75" hidden="false" customHeight="true" outlineLevel="0" collapsed="false">
      <c r="A360" s="3" t="n">
        <v>357</v>
      </c>
      <c r="B360" s="5" t="s">
        <v>1074</v>
      </c>
      <c r="C360" s="5" t="s">
        <v>1075</v>
      </c>
      <c r="D360" s="5" t="s">
        <v>1076</v>
      </c>
      <c r="E360" s="4" t="str">
        <f aca="false">IFERROR(__xludf.dummyfunction("GOOGLETRANSLATE(C361)"),"Quem interpreta o produtor de discos em Pitch Perfect 2")</f>
        <v>Quem interpreta o produtor de discos em Pitch Perfect 2</v>
      </c>
      <c r="F360" s="5" t="str">
        <f aca="false">IFERROR(__xludf.dummyfunction("GOOGLETRANSLATE(D360)")," `` Bang the Drum o dia todo '' é uma música de 1983 de Todd Rundgren. As letras descrevem, na primeira pessoa, a unidade do cantor para o `` bate no tambor o dia todo '', com exclusão de todo o resto. Todos os instrumentos nesta faixa são executados pelo"&amp;" Rundgren. A música se tornou popular como um hino anti-trabalho ou hino da celebração.")</f>
        <v> `` Bang the Drum o dia todo '' é uma música de 1983 de Todd Rundgren. As letras descrevem, na primeira pessoa, a unidade do cantor para o `` bate no tambor o dia todo '', com exclusão de todo o resto. Todos os instrumentos nesta faixa são executados pelo Rundgren. A música se tornou popular como um hino anti-trabalho ou hino da celebração.</v>
      </c>
    </row>
    <row r="361" customFormat="false" ht="15.75" hidden="false" customHeight="true" outlineLevel="0" collapsed="false">
      <c r="A361" s="3" t="n">
        <v>358</v>
      </c>
      <c r="B361" s="5" t="s">
        <v>1077</v>
      </c>
      <c r="C361" s="5" t="s">
        <v>1078</v>
      </c>
      <c r="D361" s="5" t="s">
        <v>1079</v>
      </c>
      <c r="E361" s="4" t="str">
        <f aca="false">IFERROR(__xludf.dummyfunction("GOOGLETRANSLATE(C362)"),"Quando o episódio 5 do que há de errado com o secretário Kim sai")</f>
        <v>Quando o episódio 5 do que há de errado com o secretário Kim sai</v>
      </c>
      <c r="F361" s="5" t="str">
        <f aca="false">IFERROR(__xludf.dummyfunction("GOOGLETRANSLATE(D361)")," Anna Kendrick como Beca Mitchell, a líder sênior dos Bellas, conhecida por criar o som único moderno - do dia dos Bellas. Ela é uma aspirante a produtora de discos e agora é estagiária da Residual Heat, uma gravadora.")</f>
        <v> Anna Kendrick como Beca Mitchell, a líder sênior dos Bellas, conhecida por criar o som único moderno - do dia dos Bellas. Ela é uma aspirante a produtora de discos e agora é estagiária da Residual Heat, uma gravadora.</v>
      </c>
    </row>
    <row r="362" customFormat="false" ht="15.75" hidden="false" customHeight="true" outlineLevel="0" collapsed="false">
      <c r="A362" s="3" t="n">
        <v>359</v>
      </c>
      <c r="B362" s="5" t="s">
        <v>1080</v>
      </c>
      <c r="C362" s="5" t="s">
        <v>1081</v>
      </c>
      <c r="D362" s="5" t="s">
        <v>1082</v>
      </c>
      <c r="E362" s="4" t="str">
        <f aca="false">IFERROR(__xludf.dummyfunction("GOOGLETRANSLATE(C363)"),"quem era o líder da Polônia na Segunda Guerra Mundial")</f>
        <v>quem era o líder da Polônia na Segunda Guerra Mundial</v>
      </c>
      <c r="F362" s="5" t="str">
        <f aca="false">IFERROR(__xludf.dummyfunction("GOOGLETRANSLATE(D362)"),"   Episódio # Data de transmissão original Audiência média Compartilhe AGB Nielsen Ratings TNMS Ratings em todo o país Seul 6 de junho de 2018 5.757 % 6,446 % 6,3 % 7 de junho de 2018 5.403 % 5.529 % 5,6 % 13 de junho de 2018 6,950 % 8,252 % 8,3 % 14, 14,"&amp;" 2018 6.379 % 6,945 % 6,3 % 5 de junho 20, 2018 6.855 % 7,500 % 7,0 % 6 de junho 21, 2018 7.687 % 8,554 % 7,7 % 7 de junho 27, 2018 7,281 % 8,201 % 8,5 % 8 Junho 28 de junho de 2018 8,120 % 9,326 % 8.326 8.3 9.3 % 9,5 % 8 de junho 28 de junho de 2018 8,12"&amp;"0 % 9,326 % 8.326 4 de julho de 2018 7.767 % 9.428 % 8,8 % 10 de julho 5 de julho de 2018 8.403 % 9.545 % 9,2 % 11 11 de julho de 2018 8.665 % 10,565 % 10,6 % 12 julho 12, 2018 8.393 % 10.052 % 9,7 % 13 18 18, 2018 7.673 % 8,717 % 8,7 % 14 julho 19 de jul"&amp;"ho de 2018 8,100 % 9,506 % 9,2 % 15 julho 25, 2018 7,107 % 7,725 % 8,0 % 16 julho 26, 2018 8,602 % 10,001 % 9,8 % Média 7.446 % 8,518 % 8,3 %")</f>
        <v>   Episódio # Data de transmissão original Audiência média Compartilhe AGB Nielsen Ratings TNMS Ratings em todo o país Seul 6 de junho de 2018 5.757 % 6,446 % 6,3 % 7 de junho de 2018 5.403 % 5.529 % 5,6 % 13 de junho de 2018 6,950 % 8,252 % 8,3 % 14, 14, 2018 6.379 % 6,945 % 6,3 % 5 de junho 20, 2018 6.855 % 7,500 % 7,0 % 6 de junho 21, 2018 7.687 % 8,554 % 7,7 % 7 de junho 27, 2018 7,281 % 8,201 % 8,5 % 8 Junho 28 de junho de 2018 8,120 % 9,326 % 8.326 8.3 9.3 % 9,5 % 8 de junho 28 de junho de 2018 8,120 % 9,326 % 8.326 4 de julho de 2018 7.767 % 9.428 % 8,8 % 10 de julho 5 de julho de 2018 8.403 % 9.545 % 9,2 % 11 11 de julho de 2018 8.665 % 10,565 % 10,6 % 12 julho 12, 2018 8.393 % 10.052 % 9,7 % 13 18 18, 2018 7.673 % 8,717 % 8,7 % 14 julho 19 de julho de 2018 8,100 % 9,506 % 9,2 % 15 julho 25, 2018 7,107 % 7,725 % 8,0 % 16 julho 26, 2018 8,602 % 10,001 % 9,8 % Média 7.446 % 8,518 % 8,3 %</v>
      </c>
    </row>
    <row r="363" customFormat="false" ht="15.75" hidden="false" customHeight="true" outlineLevel="0" collapsed="false">
      <c r="A363" s="3" t="n">
        <v>360</v>
      </c>
      <c r="B363" s="5" t="s">
        <v>1083</v>
      </c>
      <c r="C363" s="5" t="s">
        <v>1084</v>
      </c>
      <c r="D363" s="5" t="s">
        <v>1085</v>
      </c>
      <c r="E363" s="4" t="str">
        <f aca="false">IFERROR(__xludf.dummyfunction("GOOGLETRANSLATE(C364)"),"Quando o mundo da queda do Jurássico Sai")</f>
        <v>Quando o mundo da queda do Jurássico Sai</v>
      </c>
      <c r="F363" s="5" t="str">
        <f aca="false">IFERROR(__xludf.dummyfunction("GOOGLETRANSLATE(D363)")," Durante a Segunda Guerra Mundial, Sikorski tornou -se primeiro -ministro do governo polonês no exílio, comandante - em - chefe das forças armadas polonesas e um vigoroso defensor da causa polonesa na esfera diplomática. Ele apoiou o restabelecimento das "&amp;"relações diplomáticas entre a Polônia e a União Soviética, que haviam sido cortadas após o pacto soviético com a Alemanha e a invasão de 1939 da Polônia - no entanto, o líder soviético Joseph Stalin interrompeu as relações diplomáticas soviéticas em abril"&amp;" de 1943 após Sikorski O pedido de que a Cruz Vermelha Internacional investiga o massacre da floresta de Katyń.")</f>
        <v> Durante a Segunda Guerra Mundial, Sikorski tornou -se primeiro -ministro do governo polonês no exílio, comandante - em - chefe das forças armadas polonesas e um vigoroso defensor da causa polonesa na esfera diplomática. Ele apoiou o restabelecimento das relações diplomáticas entre a Polônia e a União Soviética, que haviam sido cortadas após o pacto soviético com a Alemanha e a invasão de 1939 da Polônia - no entanto, o líder soviético Joseph Stalin interrompeu as relações diplomáticas soviéticas em abril de 1943 após Sikorski O pedido de que a Cruz Vermelha Internacional investiga o massacre da floresta de Katyń.</v>
      </c>
    </row>
    <row r="364" customFormat="false" ht="15.75" hidden="false" customHeight="true" outlineLevel="0" collapsed="false">
      <c r="A364" s="3" t="n">
        <v>361</v>
      </c>
      <c r="B364" s="5" t="s">
        <v>1086</v>
      </c>
      <c r="C364" s="5" t="s">
        <v>1087</v>
      </c>
      <c r="D364" s="5" t="s">
        <v>1088</v>
      </c>
      <c r="E364" s="4" t="str">
        <f aca="false">IFERROR(__xludf.dummyfunction("GOOGLETRANSLATE(C365)"),"onde os tigres do Missouri conseguiram seu nome")</f>
        <v>onde os tigres do Missouri conseguiram seu nome</v>
      </c>
      <c r="F364" s="5" t="str">
        <f aca="false">IFERROR(__xludf.dummyfunction("GOOGLETRANSLATE(D364)")," As filmagens ocorreram de fevereiro a julho de 2017 no Reino Unido e no Havaí. Produzido e distribuído pela Universal Pictures, Fallen Kingdom estreou em Madri em 21 de maio de 2018 e foi lançado internacionalmente no início de junho de 2018 e nos Estado"&amp;"s Unidos em 22 de junho de 2018. O filme arrecadou mais de US $ 1,2 bilhão em todo o mundo, tornando -o o terceiro filme jurássico a passar pela marca, o terceiro filme de maior bilheteria de 2018 e o 13º filme de bilheteria de todos os tempos. Ele recebe"&amp;"u críticas mistas dos críticos, que elogiaram a performance de Pratt, a direção de Bayona, os visuais e os `` momentos surpreendentemente sombrios '', embora muitos criticassem o roteiro e a falta de inovação, com alguns sugerindo curso . Uma sequência se"&amp;"m título deve ser lançada em 11 de junho de 2021, com Trevorrow retornando para dirigir.")</f>
        <v> As filmagens ocorreram de fevereiro a julho de 2017 no Reino Unido e no Havaí. Produzido e distribuído pela Universal Pictures, Fallen Kingdom estreou em Madri em 21 de maio de 2018 e foi lançado internacionalmente no início de junho de 2018 e nos Estados Unidos em 22 de junho de 2018. O filme arrecadou mais de US $ 1,2 bilhão em todo o mundo, tornando -o o terceiro filme jurássico a passar pela marca, o terceiro filme de maior bilheteria de 2018 e o 13º filme de bilheteria de todos os tempos. Ele recebeu críticas mistas dos críticos, que elogiaram a performance de Pratt, a direção de Bayona, os visuais e os `` momentos surpreendentemente sombrios '', embora muitos criticassem o roteiro e a falta de inovação, com alguns sugerindo curso . Uma sequência sem título deve ser lançada em 11 de junho de 2021, com Trevorrow retornando para dirigir.</v>
      </c>
    </row>
    <row r="365" customFormat="false" ht="15.75" hidden="false" customHeight="true" outlineLevel="0" collapsed="false">
      <c r="A365" s="3" t="n">
        <v>362</v>
      </c>
      <c r="B365" s="5" t="s">
        <v>1089</v>
      </c>
      <c r="C365" s="5" t="s">
        <v>1090</v>
      </c>
      <c r="D365" s="5" t="s">
        <v>1091</v>
      </c>
      <c r="E365" s="4" t="str">
        <f aca="false">IFERROR(__xludf.dummyfunction("GOOGLETRANSLATE(C366)"),"que interpretou o pai de Spock em Star Trek")</f>
        <v>que interpretou o pai de Spock em Star Trek</v>
      </c>
      <c r="F365" s="5" t="str">
        <f aca="false">IFERROR(__xludf.dummyfunction("GOOGLETRANSLATE(D365)")," Os programas de atletismo do Missouri Tigers incluem as equipes esportivas extramurais e intramurais da Universidade do Missouri, localizadas em Columbia, Missouri, Estados Unidos. O nome vem de um bando de guardas armados chamado The Fighting Tigers of "&amp;"Columbia, que, em 1864, protegeu Columbia de guerrilheiros durante a Guerra Civil.")</f>
        <v> Os programas de atletismo do Missouri Tigers incluem as equipes esportivas extramurais e intramurais da Universidade do Missouri, localizadas em Columbia, Missouri, Estados Unidos. O nome vem de um bando de guardas armados chamado The Fighting Tigers of Columbia, que, em 1864, protegeu Columbia de guerrilheiros durante a Guerra Civil.</v>
      </c>
    </row>
    <row r="366" customFormat="false" ht="15.75" hidden="false" customHeight="true" outlineLevel="0" collapsed="false">
      <c r="A366" s="3" t="n">
        <v>363</v>
      </c>
      <c r="B366" s="5" t="s">
        <v>1092</v>
      </c>
      <c r="C366" s="5" t="s">
        <v>1093</v>
      </c>
      <c r="D366" s="5" t="s">
        <v>1094</v>
      </c>
      <c r="E366" s="4" t="str">
        <f aca="false">IFERROR(__xludf.dummyfunction("GOOGLETRANSLATE(C367)"),"que foi derrotado e morto na quarta guerra de Mysore em Srirangapatna")</f>
        <v>que foi derrotado e morto na quarta guerra de Mysore em Srirangapatna</v>
      </c>
      <c r="F366" s="5" t="str">
        <f aca="false">IFERROR(__xludf.dummyfunction("GOOGLETRANSLATE(D366)")," Sarek / ˈsærɛk / é um personagem fictício na franquia Star Trek Media. Ele é astrofísico vulcan, o embaixador da Vulcan na Federação dos Planetas Unidos e o pai de Spock. O personagem foi originado por Mark Lenard no episódio de 1967 `` Journey to Babel "&amp;"'' (Lenard anteriormente retratou um comandante romulano em outro episódio da série original, 1966 'S `` Balanço do Terror' '). Lenard mais tarde dublou Sarek na série animada e apareceu nos filmes de Star Trek e na série Star Trek: The Next Generation.")</f>
        <v> Sarek / ˈsærɛk / é um personagem fictício na franquia Star Trek Media. Ele é astrofísico vulcan, o embaixador da Vulcan na Federação dos Planetas Unidos e o pai de Spock. O personagem foi originado por Mark Lenard no episódio de 1967 `` Journey to Babel '' (Lenard anteriormente retratou um comandante romulano em outro episódio da série original, 1966 'S `` Balanço do Terror' '). Lenard mais tarde dublou Sarek na série animada e apareceu nos filmes de Star Trek e na série Star Trek: The Next Generation.</v>
      </c>
    </row>
    <row r="367" customFormat="false" ht="15.75" hidden="false" customHeight="true" outlineLevel="0" collapsed="false">
      <c r="A367" s="3" t="n">
        <v>364</v>
      </c>
      <c r="B367" s="5" t="s">
        <v>1095</v>
      </c>
      <c r="C367" s="5" t="s">
        <v>1096</v>
      </c>
      <c r="D367" s="5" t="s">
        <v>1097</v>
      </c>
      <c r="E367" s="4" t="str">
        <f aca="false">IFERROR(__xludf.dummyfunction("GOOGLETRANSLATE(C368)"),"quem foi o primeiro indiano que venceu o campeonato mundial de badminton júnior")</f>
        <v>quem foi o primeiro indiano que venceu o campeonato mundial de badminton júnior</v>
      </c>
      <c r="F367" s="5" t="str">
        <f aca="false">IFERROR(__xludf.dummyfunction("GOOGLETRANSLATE(D367)")," Este foi o conflito final dos quatro Anglo - Mysore Wars. Os britânicos capturaram a capital de Mysore. O governante Tipu Sultan foi morto na batalha. A Grã -Bretanha assumiu o controle indireto de Mysore, restaurando a dinastia Wodeyar ao trono de Mysor"&amp;"e (com um comissário britânico para aconselhá -lo sobre todas as questões). O jovem herdeiro de Tipu Sultan, Fateh Ali, foi enviado para o exílio. O reino de Mysore tornou -se um estado principesco em uma aliança subsidiária com a Índia britânica e cedeu "&amp;"Coimbatore, Dakshina Kannada e Uttara Kannada para os britânicos.")</f>
        <v> Este foi o conflito final dos quatro Anglo - Mysore Wars. Os britânicos capturaram a capital de Mysore. O governante Tipu Sultan foi morto na batalha. A Grã -Bretanha assumiu o controle indireto de Mysore, restaurando a dinastia Wodeyar ao trono de Mysore (com um comissário britânico para aconselhá -lo sobre todas as questões). O jovem herdeiro de Tipu Sultan, Fateh Ali, foi enviado para o exílio. O reino de Mysore tornou -se um estado principesco em uma aliança subsidiária com a Índia britânica e cedeu Coimbatore, Dakshina Kannada e Uttara Kannada para os britânicos.</v>
      </c>
    </row>
    <row r="368" customFormat="false" ht="15.75" hidden="false" customHeight="true" outlineLevel="0" collapsed="false">
      <c r="A368" s="3" t="n">
        <v>365</v>
      </c>
      <c r="B368" s="5" t="s">
        <v>1098</v>
      </c>
      <c r="C368" s="5" t="s">
        <v>1099</v>
      </c>
      <c r="D368" s="5" t="s">
        <v>1100</v>
      </c>
      <c r="E368" s="4" t="str">
        <f aca="false">IFERROR(__xludf.dummyfunction("GOOGLETRANSLATE(C369)"),"Quando foi construído o Museu Nacional de História Natural")</f>
        <v>Quando foi construído o Museu Nacional de História Natural</v>
      </c>
      <c r="F368" s="5" t="str">
        <f aca="false">IFERROR(__xludf.dummyfunction("GOOGLETRANSLATE(D368)")," Nehwal alcançou vários marcos em Badminton para a Índia. Ela é a única indiana a ganhar pelo menos uma medalha em todos os eventos individuais do BWF, a saber, as Olimpíadas, o Campeonato Mundial do BWF e o BWF World Junior Championships. Ela é a primeir"&amp;"a jogadora indiana de badminton a ter conquistado uma medalha olímpica, além de ser a única indiana a vencer o BWF World Junior Championships ou ter chegado à final do BWF World Championships. Em 2006, Nehwal se tornou a primeira mulher indiana e a mais j"&amp;"ovem asiática a vencer um torneio de 4 estrelas. Ela também tem a distinção de ser a primeira indiana a ganhar um título da Super Series. Na Uber Cup de 2014, ela capitão a equipe indiana e permaneceu invicto, ajudando a Índia a ganhar medalha de bronze. "&amp;"Foi a primeira medalha da Índia em qualquer evento da BWF Major Team. Ela é um modelo para muitos jovens jogadores de badminton.")</f>
        <v> Nehwal alcançou vários marcos em Badminton para a Índia. Ela é a única indiana a ganhar pelo menos uma medalha em todos os eventos individuais do BWF, a saber, as Olimpíadas, o Campeonato Mundial do BWF e o BWF World Junior Championships. Ela é a primeira jogadora indiana de badminton a ter conquistado uma medalha olímpica, além de ser a única indiana a vencer o BWF World Junior Championships ou ter chegado à final do BWF World Championships. Em 2006, Nehwal se tornou a primeira mulher indiana e a mais jovem asiática a vencer um torneio de 4 estrelas. Ela também tem a distinção de ser a primeira indiana a ganhar um título da Super Series. Na Uber Cup de 2014, ela capitão a equipe indiana e permaneceu invicto, ajudando a Índia a ganhar medalha de bronze. Foi a primeira medalha da Índia em qualquer evento da BWF Major Team. Ela é um modelo para muitos jovens jogadores de badminton.</v>
      </c>
    </row>
    <row r="369" customFormat="false" ht="15.75" hidden="false" customHeight="true" outlineLevel="0" collapsed="false">
      <c r="A369" s="3" t="n">
        <v>366</v>
      </c>
      <c r="B369" s="5" t="s">
        <v>1101</v>
      </c>
      <c r="C369" s="5" t="s">
        <v>1102</v>
      </c>
      <c r="D369" s="5" t="s">
        <v>1103</v>
      </c>
      <c r="E369" s="4" t="str">
        <f aca="false">IFERROR(__xludf.dummyfunction("GOOGLETRANSLATE(C370)"),"que está concorrendo ao governador da Carolina do Sul 2018")</f>
        <v>que está concorrendo ao governador da Carolina do Sul 2018</v>
      </c>
      <c r="F369" s="5" t="str">
        <f aca="false">IFERROR(__xludf.dummyfunction("GOOGLETRANSLATE(D369)")," O Museu Nacional de História Natural é um Museu de História Natural administrado pela Smithsonian Institution, localizada no National Mall em Washington, DC, Estados Unidos. Tem admissão gratuita e está aberto 364 dias por ano. Em 2016, com 7,1 milhões d"&amp;"e visitantes, foi o quarto museu mais visitado do mundo e o museu de história natural mais visitado do mundo. Inaugurado em 1910, o museu no National Mall foi um dos primeiros prédios da Smithsonian construído exclusivamente para realizar as coleções e in"&amp;"stalações de pesquisa nacionais. O edifício principal possui uma área geral de 1.500.000 pés quadrados (140.000 m) com 325.000 pés quadrados (30.200 m) de exposição e espaço público e abriga mais de 1.000 funcionários.")</f>
        <v> O Museu Nacional de História Natural é um Museu de História Natural administrado pela Smithsonian Institution, localizada no National Mall em Washington, DC, Estados Unidos. Tem admissão gratuita e está aberto 364 dias por ano. Em 2016, com 7,1 milhões de visitantes, foi o quarto museu mais visitado do mundo e o museu de história natural mais visitado do mundo. Inaugurado em 1910, o museu no National Mall foi um dos primeiros prédios da Smithsonian construído exclusivamente para realizar as coleções e instalações de pesquisa nacionais. O edifício principal possui uma área geral de 1.500.000 pés quadrados (140.000 m) com 325.000 pés quadrados (30.200 m) de exposição e espaço público e abriga mais de 1.000 funcionários.</v>
      </c>
    </row>
    <row r="370" customFormat="false" ht="15.75" hidden="false" customHeight="true" outlineLevel="0" collapsed="false">
      <c r="A370" s="3" t="n">
        <v>367</v>
      </c>
      <c r="B370" s="5" t="s">
        <v>1104</v>
      </c>
      <c r="C370" s="5" t="s">
        <v>1105</v>
      </c>
      <c r="D370" s="5" t="s">
        <v>1106</v>
      </c>
      <c r="E370" s="4" t="str">
        <f aca="false">IFERROR(__xludf.dummyfunction("GOOGLETRANSLATE(C371)"),"Quem é o vocalista do Fall Out Boy")</f>
        <v>Quem é o vocalista do Fall Out Boy</v>
      </c>
      <c r="F370" s="5" t="str">
        <f aca="false">IFERROR(__xludf.dummyfunction("GOOGLETRANSLATE(D370)"),"  Kevin Bryant, tenente -governador do titular Yancey McGill, ex -tenente -governador democrata e ex -senador democrata Henry McMaster, governador em exercício Catherine Templeton, ex -diretora do Departamento de Saúde e Controle Ambiental da Carolina do "&amp;"Sul e ex -diretora do Departamento de Laborismo, licenciamento e regulamentação")</f>
        <v>  Kevin Bryant, tenente -governador do titular Yancey McGill, ex -tenente -governador democrata e ex -senador democrata Henry McMaster, governador em exercício Catherine Templeton, ex -diretora do Departamento de Saúde e Controle Ambiental da Carolina do Sul e ex -diretora do Departamento de Laborismo, licenciamento e regulamentação</v>
      </c>
    </row>
    <row r="371" customFormat="false" ht="15.75" hidden="false" customHeight="true" outlineLevel="0" collapsed="false">
      <c r="A371" s="3" t="n">
        <v>368</v>
      </c>
      <c r="B371" s="5" t="s">
        <v>1107</v>
      </c>
      <c r="C371" s="5" t="s">
        <v>1108</v>
      </c>
      <c r="D371" s="5" t="s">
        <v>1109</v>
      </c>
      <c r="E371" s="4" t="str">
        <f aca="false">IFERROR(__xludf.dummyfunction("GOOGLETRANSLATE(C372)"),"que morreu no bombardeio da Igreja Batista da 16th Street")</f>
        <v>que morreu no bombardeio da Igreja Batista da 16th Street</v>
      </c>
      <c r="F371" s="5" t="str">
        <f aca="false">IFERROR(__xludf.dummyfunction("GOOGLETRANSLATE(D371)")," Fall Out Boy é uma banda de rock americana formada em Wilmette, Illinois, um subúrbio de Chicago, em 2001. A banda consiste no vocalista e guitarrista do ritmo Patrick Stump, o baixista Pete Wentz, o guitarrista Joe Trohman e o baterista Andy Hurley. A b"&amp;"anda se originou da cena punk hardcore de Chicago, com a qual todos os membros estavam envolvidos em um ponto. O grupo foi formado por Wentz e Trohman como um projeto do lado pop punk das respectivas bandas hardcore dos membros, e Stump se juntou logo dep"&amp;"ois. O grupo passou por uma sucessão de bateristas antes de desembarcar Hurley e gravar o álbum de estréia do grupo, Take This to Your Grave (2003). O álbum se tornou um sucesso subterrâneo e ajudou a banda a ganhar uma base de fãs dedicada através de tur"&amp;"nês pesadas, além de algum sucesso comercial moderado. Leve isso ao seu túmulo tem sido geralmente citado como um plano influente para a música pop punk nos anos 2000.")</f>
        <v> Fall Out Boy é uma banda de rock americana formada em Wilmette, Illinois, um subúrbio de Chicago, em 2001. A banda consiste no vocalista e guitarrista do ritmo Patrick Stump, o baixista Pete Wentz, o guitarrista Joe Trohman e o baterista Andy Hurley. A banda se originou da cena punk hardcore de Chicago, com a qual todos os membros estavam envolvidos em um ponto. O grupo foi formado por Wentz e Trohman como um projeto do lado pop punk das respectivas bandas hardcore dos membros, e Stump se juntou logo depois. O grupo passou por uma sucessão de bateristas antes de desembarcar Hurley e gravar o álbum de estréia do grupo, Take This to Your Grave (2003). O álbum se tornou um sucesso subterrâneo e ajudou a banda a ganhar uma base de fãs dedicada através de turnês pesadas, além de algum sucesso comercial moderado. Leve isso ao seu túmulo tem sido geralmente citado como um plano influente para a música pop punk nos anos 2000.</v>
      </c>
    </row>
    <row r="372" customFormat="false" ht="15.75" hidden="false" customHeight="true" outlineLevel="0" collapsed="false">
      <c r="A372" s="3" t="n">
        <v>369</v>
      </c>
      <c r="B372" s="5" t="s">
        <v>1110</v>
      </c>
      <c r="C372" s="5" t="s">
        <v>1111</v>
      </c>
      <c r="D372" s="5" t="s">
        <v>1112</v>
      </c>
      <c r="E372" s="4" t="str">
        <f aca="false">IFERROR(__xludf.dummyfunction("GOOGLETRANSLATE(C373)"),"Quem canta estou apaixonado por um monstro no Hotel Transylvania")</f>
        <v>Quem canta estou apaixonado por um monstro no Hotel Transylvania</v>
      </c>
      <c r="F372" s="5" t="str">
        <f aca="false">IFERROR(__xludf.dummyfunction("GOOGLETRANSLATE(D372)")," Quatro meninas, Addie Mae Collins (14 anos, nascida em 18 de abril de 1949), Carol Denise McNair (11 anos, nascida em 17 de novembro de 1951), Carole Robertson (14 anos, nascida em 24 de abril de 1949) e Cynthia Wesley (14 anos , nascido em 30 de abril d"&amp;"e 1949), foram mortos no ataque. A explosão foi tão intensa que um dos corpos das meninas foi decapitado e tão gravemente mutilado na explosão de que seu corpo só podia ser identificado através de suas roupas e um anel, enquanto outra vítima foi morta por"&amp;" um pedaço de argamassa incorporado em seu crânio . Todas as quatro meninas foram declaradas mortas na chegada à Clínica de Emergência Hillman. O então pastor da igreja, o reverendo John Cross, se lembraria de 2001 que os corpos das meninas foram posterio"&amp;"rmente encontrados `` empilhados um no outro, se agarram ''.")</f>
        <v> Quatro meninas, Addie Mae Collins (14 anos, nascida em 18 de abril de 1949), Carol Denise McNair (11 anos, nascida em 17 de novembro de 1951), Carole Robertson (14 anos, nascida em 24 de abril de 1949) e Cynthia Wesley (14 anos , nascido em 30 de abril de 1949), foram mortos no ataque. A explosão foi tão intensa que um dos corpos das meninas foi decapitado e tão gravemente mutilado na explosão de que seu corpo só podia ser identificado através de suas roupas e um anel, enquanto outra vítima foi morta por um pedaço de argamassa incorporado em seu crânio . Todas as quatro meninas foram declaradas mortas na chegada à Clínica de Emergência Hillman. O então pastor da igreja, o reverendo John Cross, se lembraria de 2001 que os corpos das meninas foram posteriormente encontrados `` empilhados um no outro, se agarram ''.</v>
      </c>
    </row>
    <row r="373" customFormat="false" ht="15.75" hidden="false" customHeight="true" outlineLevel="0" collapsed="false">
      <c r="A373" s="3" t="n">
        <v>370</v>
      </c>
      <c r="B373" s="5" t="s">
        <v>1113</v>
      </c>
      <c r="C373" s="5" t="s">
        <v>1114</v>
      </c>
      <c r="D373" s="5" t="s">
        <v>1115</v>
      </c>
      <c r="E373" s="4" t="str">
        <f aca="false">IFERROR(__xludf.dummyfunction("GOOGLETRANSLATE(C374)"),"como são chamados os zumbis em The Last of Us")</f>
        <v>como são chamados os zumbis em The Last of Us</v>
      </c>
      <c r="F373" s="5" t="str">
        <f aca="false">IFERROR(__xludf.dummyfunction("GOOGLETRANSLATE(D373)")," `` I 'estou apaixonado por um monstro' 'é uma música gravada pelo grupo de garotas americano Fifth Harmony para o filme de fantasia de animação por computador - comédia, Hotel Transylvania 2. Foi escrito por Harmony Samuels, Carmen Reece, Sarah Mancuso, "&amp;"Edgar Etienne e Ericka Coulter com produção tratada por Samuels. Foi lançado para varejistas digitais em 14 de agosto de 2015 através da Epic Records e Syco Music e atendida ao Rádio Contemporâneo nos Estados Unidos quatro dias depois em 18 de agosto. `` "&amp;"I 'estou apaixonado por um monstro' 'é uma música pop que combina elementos de R&amp;B, soul, rock e hip hop com ritmos `` jazzy' ', juntamente com batidas pesadas e funky. Os críticos fizeram comparações com o estilo musical de grupos femininos como os supre"&amp;"mos.")</f>
        <v> `` I 'estou apaixonado por um monstro' 'é uma música gravada pelo grupo de garotas americano Fifth Harmony para o filme de fantasia de animação por computador - comédia, Hotel Transylvania 2. Foi escrito por Harmony Samuels, Carmen Reece, Sarah Mancuso, Edgar Etienne e Ericka Coulter com produção tratada por Samuels. Foi lançado para varejistas digitais em 14 de agosto de 2015 através da Epic Records e Syco Music e atendida ao Rádio Contemporâneo nos Estados Unidos quatro dias depois em 18 de agosto. `` I 'estou apaixonado por um monstro' 'é uma música pop que combina elementos de R&amp;B, soul, rock e hip hop com ritmos `` jazzy' ', juntamente com batidas pesadas e funky. Os críticos fizeram comparações com o estilo musical de grupos femininos como os supremos.</v>
      </c>
    </row>
    <row r="374" customFormat="false" ht="15.75" hidden="false" customHeight="true" outlineLevel="0" collapsed="false">
      <c r="A374" s="3" t="n">
        <v>371</v>
      </c>
      <c r="B374" s="5" t="s">
        <v>1116</v>
      </c>
      <c r="C374" s="5" t="s">
        <v>1117</v>
      </c>
      <c r="D374" s="5" t="s">
        <v>1118</v>
      </c>
      <c r="E374" s="4" t="str">
        <f aca="false">IFERROR(__xludf.dummyfunction("GOOGLETRANSLATE(C375)"),"Quando o primeiro Go Pro foi lançado")</f>
        <v>Quando o primeiro Go Pro foi lançado</v>
      </c>
      <c r="F374" s="5" t="str">
        <f aca="false">IFERROR(__xludf.dummyfunction("GOOGLETRANSLATE(D374)")," Em setembro de 2013, um surto de um fungo mutante Cordyceps devasta os Estados Unidos, transformando seus hospedeiros humanos em monstros canibalistas conhecidos como infectados. Nos subúrbios de Austin, Texas, Joel (Troy Baker) foge do caos com seu irmã"&amp;"o Tommy (Jeffrey Pierce) e a filha Sarah (Hana Hayes). Enquanto fogem, Sarah é baleada por um soldado e morre nos braços de Joel. Nos vinte anos a seguir, a maior parte da civilização é destruída pela infecção. Os sobreviventes vivem em zonas de quarenten"&amp;"a fortemente policiadas, assentamentos independentes e grupos nômades. Joel trabalha como contrabandista com seu parceiro Tess (Annie Wersching) na zona de quarentena, no extremo norte de Boston, Massachusetts. Eles caçam Robert (Robin Atkin Downes), um t"&amp;"raficante de mercado negro, para recuperar um cache de armas roubadas. Antes que Tess o mate, Robert revela que trocou o cache com os vaga -lumes, uma milícia rebelde que se opondo às autoridades da zona de quarentena.")</f>
        <v> Em setembro de 2013, um surto de um fungo mutante Cordyceps devasta os Estados Unidos, transformando seus hospedeiros humanos em monstros canibalistas conhecidos como infectados. Nos subúrbios de Austin, Texas, Joel (Troy Baker) foge do caos com seu irmão Tommy (Jeffrey Pierce) e a filha Sarah (Hana Hayes). Enquanto fogem, Sarah é baleada por um soldado e morre nos braços de Joel. Nos vinte anos a seguir, a maior parte da civilização é destruída pela infecção. Os sobreviventes vivem em zonas de quarentena fortemente policiadas, assentamentos independentes e grupos nômades. Joel trabalha como contrabandista com seu parceiro Tess (Annie Wersching) na zona de quarentena, no extremo norte de Boston, Massachusetts. Eles caçam Robert (Robin Atkin Downes), um traficante de mercado negro, para recuperar um cache de armas roubadas. Antes que Tess o mate, Robert revela que trocou o cache com os vaga -lumes, uma milícia rebelde que se opondo às autoridades da zona de quarentena.</v>
      </c>
    </row>
    <row r="375" customFormat="false" ht="15.75" hidden="false" customHeight="true" outlineLevel="0" collapsed="false">
      <c r="A375" s="3" t="n">
        <v>372</v>
      </c>
      <c r="B375" s="5" t="s">
        <v>1119</v>
      </c>
      <c r="C375" s="5" t="s">
        <v>1120</v>
      </c>
      <c r="D375" s="5" t="s">
        <v>1121</v>
      </c>
      <c r="E375" s="4" t="str">
        <f aca="false">IFERROR(__xludf.dummyfunction("GOOGLETRANSLATE(C376)"),"Quando foi a última vez que a Argentina venceu a Copa do Mundo")</f>
        <v>Quando foi a última vez que a Argentina venceu a Copa do Mundo</v>
      </c>
      <c r="F375" s="5" t="str">
        <f aca="false">IFERROR(__xludf.dummyfunction("GOOGLETRANSLATE(D375)")," Em 2004, a empresa vendeu seu primeiro sistema de câmera, que usou filme de 35 mm. As câmeras de vídeo e vídeo digitais foram introduzidas posteriormente. A partir de 2014, uma câmera de vídeo fixa - Lens HD com uma ampla lente de 170 graus estava dispon"&amp;"ível; Dois ou mais podem ser emparelhados para criar 360 vídeo.")</f>
        <v> Em 2004, a empresa vendeu seu primeiro sistema de câmera, que usou filme de 35 mm. As câmeras de vídeo e vídeo digitais foram introduzidas posteriormente. A partir de 2014, uma câmera de vídeo fixa - Lens HD com uma ampla lente de 170 graus estava disponível; Dois ou mais podem ser emparelhados para criar 360 vídeo.</v>
      </c>
    </row>
    <row r="376" customFormat="false" ht="15.75" hidden="false" customHeight="true" outlineLevel="0" collapsed="false">
      <c r="A376" s="3" t="n">
        <v>373</v>
      </c>
      <c r="B376" s="5" t="s">
        <v>1122</v>
      </c>
      <c r="C376" s="5" t="s">
        <v>1123</v>
      </c>
      <c r="D376" s="5" t="s">
        <v>1124</v>
      </c>
      <c r="E376" s="4" t="str">
        <f aca="false">IFERROR(__xludf.dummyfunction("GOOGLETRANSLATE(C377)"),"quem eram os jogadores de futebol profissional em pequenos gigantes")</f>
        <v>quem eram os jogadores de futebol profissional em pequenos gigantes</v>
      </c>
      <c r="F376" s="5" t="str">
        <f aca="false">IFERROR(__xludf.dummyfunction("GOOGLETRANSLATE(D376)"),"   Posição do ano, GP D * GS GA 1930 Segundo 5 0 18 9 1934 Primeira rodada 9 0 0 1938 Não entrou em 1950 não entrou em 1954 não entrou em 1958 Etapa do grupo 13 0 5 10 1962 Etapa 10 1966 Quarter - Finals 5 1970 não qualificar o segundo estágio do grupo do"&amp;" segundo grupo 8 6 9 12 1978 Campeões 7 5 15 1982 Etapa do segundo grupo 11 5 0 8 7 1986 Campeões 7 6 0 14 5 1990 Runners - Up 7 5 1994 Rodada de 16 10 0 8 6 1998 Quarter - Finals 6 5 10 2002 Etapa do grupo 18 2006 Quarter - Finals 6 5 0 11 Quarter - Fina"&amp;"ls 5 5 0 10 6 2014 Runners - UP 7 5 1 * 8 2018 Qualificado 2022 a ser determinado Total 2 Títulos 16/20 77 42 14 21 131 84")</f>
        <v>   Posição do ano, GP D * GS GA 1930 Segundo 5 0 18 9 1934 Primeira rodada 9 0 0 1938 Não entrou em 1950 não entrou em 1954 não entrou em 1958 Etapa do grupo 13 0 5 10 1962 Etapa 10 1966 Quarter - Finals 5 1970 não qualificar o segundo estágio do grupo do segundo grupo 8 6 9 12 1978 Campeões 7 5 15 1982 Etapa do segundo grupo 11 5 0 8 7 1986 Campeões 7 6 0 14 5 1990 Runners - Up 7 5 1994 Rodada de 16 10 0 8 6 1998 Quarter - Finals 6 5 10 2002 Etapa do grupo 18 2006 Quarter - Finals 6 5 0 11 Quarter - Finals 5 5 0 10 6 2014 Runners - UP 7 5 1 * 8 2018 Qualificado 2022 a ser determinado Total 2 Títulos 16/20 77 42 14 21 131 84</v>
      </c>
    </row>
    <row r="377" customFormat="false" ht="15.75" hidden="false" customHeight="true" outlineLevel="0" collapsed="false">
      <c r="A377" s="3" t="n">
        <v>374</v>
      </c>
      <c r="B377" s="5" t="s">
        <v>1125</v>
      </c>
      <c r="C377" s="5" t="s">
        <v>1126</v>
      </c>
      <c r="D377" s="5" t="s">
        <v>1127</v>
      </c>
      <c r="E377" s="4" t="str">
        <f aca="false">IFERROR(__xludf.dummyfunction("GOOGLETRANSLATE(C378)"),"que é dono do Banco de Reserva na África do Sul")</f>
        <v>que é dono do Banco de Reserva na África do Sul</v>
      </c>
      <c r="F377" s="5" t="str">
        <f aca="false">IFERROR(__xludf.dummyfunction("GOOGLETRANSLATE(D377)")," Assim que o time de Danny começa a perder a esperança, um ônibus chega por carregar as estrelas da NFL John Madden, Emmitt Smith, Bruce Smith, Tim Brown e Steve Emtman. Eles ensinam e inspiram os jovens jogadores a acreditar que podem vencer.")</f>
        <v> Assim que o time de Danny começa a perder a esperança, um ônibus chega por carregar as estrelas da NFL John Madden, Emmitt Smith, Bruce Smith, Tim Brown e Steve Emtman. Eles ensinam e inspiram os jovens jogadores a acreditar que podem vencer.</v>
      </c>
    </row>
    <row r="378" customFormat="false" ht="15.75" hidden="false" customHeight="true" outlineLevel="0" collapsed="false">
      <c r="A378" s="3" t="n">
        <v>375</v>
      </c>
      <c r="B378" s="5" t="s">
        <v>1128</v>
      </c>
      <c r="C378" s="5" t="s">
        <v>1129</v>
      </c>
      <c r="D378" s="5" t="s">
        <v>1130</v>
      </c>
      <c r="E378" s="4" t="str">
        <f aca="false">IFERROR(__xludf.dummyfunction("GOOGLETRANSLATE(C379)"),"onde os testículos se desenvolvem no embrião")</f>
        <v>onde os testículos se desenvolvem no embrião</v>
      </c>
      <c r="F378" s="5" t="str">
        <f aca="false">IFERROR(__xludf.dummyfunction("GOOGLETRANSLATE(D378)")," O Reserve Bank é de propriedade privada, com 2 milhões de ações emitidas. A única limitação da participação acionária é que nenhum acionista único pode possuir mais de 10.000 ações individualmente. Atualmente, existem 696 acionistas, no relatório do índi"&amp;"ce de acionistas de 31 de agosto de 2018, possuindo ações no Banco Reserva da África do Sul.")</f>
        <v> O Reserve Bank é de propriedade privada, com 2 milhões de ações emitidas. A única limitação da participação acionária é que nenhum acionista único pode possuir mais de 10.000 ações individualmente. Atualmente, existem 696 acionistas, no relatório do índice de acionistas de 31 de agosto de 2018, possuindo ações no Banco Reserva da África do Sul.</v>
      </c>
    </row>
    <row r="379" customFormat="false" ht="15.75" hidden="false" customHeight="true" outlineLevel="0" collapsed="false">
      <c r="A379" s="3" t="n">
        <v>376</v>
      </c>
      <c r="B379" s="5" t="s">
        <v>1131</v>
      </c>
      <c r="C379" s="5" t="s">
        <v>1132</v>
      </c>
      <c r="D379" s="5" t="s">
        <v>1133</v>
      </c>
      <c r="E379" s="4" t="str">
        <f aca="false">IFERROR(__xludf.dummyfunction("GOOGLETRANSLATE(C380)"),"é o filme de aniquilação apenas o primeiro livro")</f>
        <v>é o filme de aniquilação apenas o primeiro livro</v>
      </c>
      <c r="F379" s="5" t="str">
        <f aca="false">IFERROR(__xludf.dummyfunction("GOOGLETRANSLATE(D379)")," O desenvolvimento das gônadas faz parte do desenvolvimento pré -natal do sistema reprodutivo e, finalmente, forma os testículos nos homens e os ovários nas fêmeas. As gônadas se desenvolvem inicialmente a partir da camada mesotelial do peritônio.")</f>
        <v> O desenvolvimento das gônadas faz parte do desenvolvimento pré -natal do sistema reprodutivo e, finalmente, forma os testículos nos homens e os ovários nas fêmeas. As gônadas se desenvolvem inicialmente a partir da camada mesotelial do peritônio.</v>
      </c>
    </row>
    <row r="380" customFormat="false" ht="15.75" hidden="false" customHeight="true" outlineLevel="0" collapsed="false">
      <c r="A380" s="3" t="n">
        <v>377</v>
      </c>
      <c r="B380" s="5" t="s">
        <v>1134</v>
      </c>
      <c r="C380" s="5" t="s">
        <v>1135</v>
      </c>
      <c r="D380" s="5" t="s">
        <v>1136</v>
      </c>
      <c r="E380" s="4" t="str">
        <f aca="false">IFERROR(__xludf.dummyfunction("GOOGLETRANSLATE(C381)"),"quem faz as vozes desculpe incomodá -lo")</f>
        <v>quem faz as vozes desculpe incomodá -lo</v>
      </c>
      <c r="F380" s="5" t="str">
        <f aca="false">IFERROR(__xludf.dummyfunction("GOOGLETRANSLATE(D380)")," Em março de 2013, foi anunciado que a Paramount Pictures e a Scott Rudin Productions haviam adquirido os direitos do cinema à aniquilação, o primeiro romance na trilogia Southern Reach de Jeff Vandermeer e que o filme seria produzido por Scott Rudin e El"&amp;"i Bush. Alex Garland foi contratado para adaptar e dirigir o filme no ano seguinte. Garland revelou à rotina criativa que sua adaptação foi necessariamente baseada apenas no primeiro romance da trilogia:")</f>
        <v> Em março de 2013, foi anunciado que a Paramount Pictures e a Scott Rudin Productions haviam adquirido os direitos do cinema à aniquilação, o primeiro romance na trilogia Southern Reach de Jeff Vandermeer e que o filme seria produzido por Scott Rudin e Eli Bush. Alex Garland foi contratado para adaptar e dirigir o filme no ano seguinte. Garland revelou à rotina criativa que sua adaptação foi necessariamente baseada apenas no primeiro romance da trilogia:</v>
      </c>
    </row>
    <row r="381" customFormat="false" ht="15.75" hidden="false" customHeight="true" outlineLevel="0" collapsed="false">
      <c r="A381" s="3" t="n">
        <v>378</v>
      </c>
      <c r="B381" s="5" t="s">
        <v>1137</v>
      </c>
      <c r="C381" s="5" t="s">
        <v>1138</v>
      </c>
      <c r="D381" s="5" t="s">
        <v>1139</v>
      </c>
      <c r="E381" s="4" t="str">
        <f aca="false">IFERROR(__xludf.dummyfunction("GOOGLETRANSLATE(C382)"),"Quando foi a primeira joia feita")</f>
        <v>Quando foi a primeira joia feita</v>
      </c>
      <c r="F381" s="5" t="str">
        <f aca="false">IFERROR(__xludf.dummyfunction("GOOGLETRANSLATE(D381)"),"  Lakeith Stanfield como Cassius `` Cash '' Green David Cross como Cash 'S `` White Voice' 'Mahari Crown como Fake Cash Tessa Thompson como Detroit, a namorada de Cash Lily James como Voz Branca de Detroit Jermaine Fowler como Salvador Omari Hardwick Como"&amp;" o Sr. _______ Patton Oswalt como a voz branca do Sr. _______ como Terry Terry como Sergio Green, o tio Danny Glover, do Cash, como Langston Steven Yeun como armário de Squeeze como Steve Lift Kate Berlant como Diana Debauchery Michael X.. Sommers como Jo"&amp;"hnny Robert Longstreet como Anderson Forest Whitaker como Primeiro Equisapien / DeMarius Rosario Dawson como voz no elevador Tom Woodruff Jr.")</f>
        <v>  Lakeith Stanfield como Cassius `` Cash '' Green David Cross como Cash 'S `` White Voice' 'Mahari Crown como Fake Cash Tessa Thompson como Detroit, a namorada de Cash Lily James como Voz Branca de Detroit Jermaine Fowler como Salvador Omari Hardwick Como o Sr. _______ Patton Oswalt como a voz branca do Sr. _______ como Terry Terry como Sergio Green, o tio Danny Glover, do Cash, como Langston Steven Yeun como armário de Squeeze como Steve Lift Kate Berlant como Diana Debauchery Michael X.. Sommers como Johnny Robert Longstreet como Anderson Forest Whitaker como Primeiro Equisapien / DeMarius Rosario Dawson como voz no elevador Tom Woodruff Jr.</v>
      </c>
    </row>
    <row r="382" customFormat="false" ht="15.75" hidden="false" customHeight="true" outlineLevel="0" collapsed="false">
      <c r="A382" s="3" t="n">
        <v>379</v>
      </c>
      <c r="B382" s="5" t="s">
        <v>1140</v>
      </c>
      <c r="C382" s="5" t="s">
        <v>1141</v>
      </c>
      <c r="D382" s="5" t="s">
        <v>1142</v>
      </c>
      <c r="E382" s="4" t="str">
        <f aca="false">IFERROR(__xludf.dummyfunction("GOOGLETRANSLATE(C383)"),"para que é o toner usado no rosto")</f>
        <v>para que é o toner usado no rosto</v>
      </c>
      <c r="F382" s="5" t="str">
        <f aca="false">IFERROR(__xludf.dummyfunction("GOOGLETRANSLATE(D382)")," As jóias (inglês britânico) ou jóias (inglês americano) consistem em pequenos itens decorativos usados ​​para adorno pessoal, como broches, anéis, colares, brincos, pingentes e pulseiras. As jóias podem ser anexadas ao corpo ou às roupas, e o termo é res"&amp;"trito a ornamentos duráveis, excluindo flores, por exemplo. Por muitos séculos, o metal, geralmente combinado com pedras preciosas, tem sido o material normal para jóias, mas outros materiais como conchas e outros materiais vegetais podem ser usados. É um"&amp;" dos tipos mais antigos de artefato arqueológico - com contas de 100.000 anos - feitas de conchas de Nassarius que se consideram as jóias mais antigas conhecidas. As formas básicas de jóias variam entre culturas, mas geralmente são extremamente longas - v"&amp;"ividas; Nas culturas européias, as formas mais comuns de jóias listadas acima persistiram desde os tempos antigos, enquanto outras formas como adornos para o nariz ou o tornozelo, importantes em outras culturas, são muito menos comuns.")</f>
        <v> As jóias (inglês britânico) ou jóias (inglês americano) consistem em pequenos itens decorativos usados ​​para adorno pessoal, como broches, anéis, colares, brincos, pingentes e pulseiras. As jóias podem ser anexadas ao corpo ou às roupas, e o termo é restrito a ornamentos duráveis, excluindo flores, por exemplo. Por muitos séculos, o metal, geralmente combinado com pedras preciosas, tem sido o material normal para jóias, mas outros materiais como conchas e outros materiais vegetais podem ser usados. É um dos tipos mais antigos de artefato arqueológico - com contas de 100.000 anos - feitas de conchas de Nassarius que se consideram as jóias mais antigas conhecidas. As formas básicas de jóias variam entre culturas, mas geralmente são extremamente longas - vividas; Nas culturas européias, as formas mais comuns de jóias listadas acima persistiram desde os tempos antigos, enquanto outras formas como adornos para o nariz ou o tornozelo, importantes em outras culturas, são muito menos comuns.</v>
      </c>
    </row>
    <row r="383" customFormat="false" ht="15.75" hidden="false" customHeight="true" outlineLevel="0" collapsed="false">
      <c r="A383" s="3" t="n">
        <v>380</v>
      </c>
      <c r="B383" s="5" t="s">
        <v>1143</v>
      </c>
      <c r="C383" s="5" t="s">
        <v>1144</v>
      </c>
      <c r="D383" s="5" t="s">
        <v>1145</v>
      </c>
      <c r="E383" s="4" t="str">
        <f aca="false">IFERROR(__xludf.dummyfunction("GOOGLETRANSLATE(C384)"),"Quais eram algumas características dos flappers (a mulher moderna dos anos 20)")</f>
        <v>Quais eram algumas características dos flappers (a mulher moderna dos anos 20)</v>
      </c>
      <c r="F383" s="5" t="str">
        <f aca="false">IFERROR(__xludf.dummyfunction("GOOGLETRANSLATE(D383)")," Em cosméticos, toner de pele ou simplesmente toner refere -se a uma loção ou lavagem projetada para limpar a pele e encolher a aparência dos poros, geralmente usados ​​no rosto. Os toners podem ser aplicados à pele de maneiras diferentes:")</f>
        <v> Em cosméticos, toner de pele ou simplesmente toner refere -se a uma loção ou lavagem projetada para limpar a pele e encolher a aparência dos poros, geralmente usados ​​no rosto. Os toners podem ser aplicados à pele de maneiras diferentes:</v>
      </c>
    </row>
    <row r="384" customFormat="false" ht="15.75" hidden="false" customHeight="true" outlineLevel="0" collapsed="false">
      <c r="A384" s="3" t="n">
        <v>381</v>
      </c>
      <c r="B384" s="5" t="s">
        <v>1146</v>
      </c>
      <c r="C384" s="5" t="s">
        <v>1147</v>
      </c>
      <c r="D384" s="5" t="s">
        <v>1148</v>
      </c>
      <c r="E384" s="4" t="str">
        <f aca="false">IFERROR(__xludf.dummyfunction("GOOGLETRANSLATE(C385)"),"Quem era o ator original em Walking Tall")</f>
        <v>Quem era o ator original em Walking Tall</v>
      </c>
      <c r="F384" s="5" t="str">
        <f aca="false">IFERROR(__xludf.dummyfunction("GOOGLETRANSLATE(D384)")," Os flappers eram uma geração de jovens mulheres ocidentais na década de 1920 que usavam saias curtas, balançavam o cabelo, ouviam o jazz e exibiam seu desdém pelo que foi considerado um comportamento aceitável. Os flappers foram vistos como impetuosos po"&amp;"r usar maquiagem excessiva, beber, tratar o sexo de maneira casual, fumar, dirigir automóveis e desrespeitar normas sociais e sexuais. Os flappers tiveram suas origens no período liberal dos vinte e poucos anos, a turbulência social e social e o aumento d"&amp;"a troca cultural transatlântica que se seguiu ao fim da Primeira Guerra Mundial, bem como a exportação da cultura americana de jazz para a Europa.")</f>
        <v> Os flappers eram uma geração de jovens mulheres ocidentais na década de 1920 que usavam saias curtas, balançavam o cabelo, ouviam o jazz e exibiam seu desdém pelo que foi considerado um comportamento aceitável. Os flappers foram vistos como impetuosos por usar maquiagem excessiva, beber, tratar o sexo de maneira casual, fumar, dirigir automóveis e desrespeitar normas sociais e sexuais. Os flappers tiveram suas origens no período liberal dos vinte e poucos anos, a turbulência social e social e o aumento da troca cultural transatlântica que se seguiu ao fim da Primeira Guerra Mundial, bem como a exportação da cultura americana de jazz para a Europa.</v>
      </c>
    </row>
    <row r="385" customFormat="false" ht="15.75" hidden="false" customHeight="true" outlineLevel="0" collapsed="false">
      <c r="A385" s="3" t="n">
        <v>382</v>
      </c>
      <c r="B385" s="5" t="s">
        <v>1149</v>
      </c>
      <c r="C385" s="5" t="s">
        <v>1150</v>
      </c>
      <c r="D385" s="5" t="s">
        <v>1151</v>
      </c>
      <c r="E385" s="4" t="str">
        <f aca="false">IFERROR(__xludf.dummyfunction("GOOGLETRANSLATE(C386)"),"Quem tem mais seguidores no Twitter na Índia")</f>
        <v>Quem tem mais seguidores no Twitter na Índia</v>
      </c>
      <c r="F385" s="5" t="str">
        <f aca="false">IFERROR(__xludf.dummyfunction("GOOGLETRANSLATE(D385)")," Walking Tall é um filme semi -bioópico de ação americano de 1973 do xerife Buford Pusser, um lutador profissional - virou -se Lawman no Condado de McNairy, Tennessee. Ele estrelou Joe Don Baker como Pusser. O filme foi dirigido por Phil Karlson. Com base"&amp;" na vida de Pusser, era uma combinação de fatos muito fracamente baseados e revisionismo de Hollywood. Desde então, tornou -se um clássico cult conhecido, com duas sequências diretas, um filme de TV, uma breve série de TV e um remake que teve suas duas se"&amp;"quências.")</f>
        <v> Walking Tall é um filme semi -bioópico de ação americano de 1973 do xerife Buford Pusser, um lutador profissional - virou -se Lawman no Condado de McNairy, Tennessee. Ele estrelou Joe Don Baker como Pusser. O filme foi dirigido por Phil Karlson. Com base na vida de Pusser, era uma combinação de fatos muito fracamente baseados e revisionismo de Hollywood. Desde então, tornou -se um clássico cult conhecido, com duas sequências diretas, um filme de TV, uma breve série de TV e um remake que teve suas duas sequências.</v>
      </c>
    </row>
    <row r="386" customFormat="false" ht="15.75" hidden="false" customHeight="true" outlineLevel="0" collapsed="false">
      <c r="A386" s="3" t="n">
        <v>383</v>
      </c>
      <c r="B386" s="5" t="s">
        <v>1152</v>
      </c>
      <c r="C386" s="5" t="s">
        <v>1153</v>
      </c>
      <c r="D386" s="5" t="s">
        <v>1154</v>
      </c>
      <c r="E386" s="4" t="str">
        <f aca="false">IFERROR(__xludf.dummyfunction("GOOGLETRANSLATE(C387)"),"quem escreveu a música um beijo para construir um sonho")</f>
        <v>quem escreveu a música um beijo para construir um sonho</v>
      </c>
      <c r="F386" s="5" t="str">
        <f aca="false">IFERROR(__xludf.dummyfunction("GOOGLETRANSLATE(D386)"),"   Nome da conta de classificação Seguidores do proprietário (milhões) Profissão Pousio 1. @ Katyperry Katy Perry 106 Músico dos Estados Unidos 2. @ Justinbieber Justin Bieber 103 Canadá 3. @ Barackobama Barack Obama 96 Ex -Presidente dos EUA nos Estados "&amp;"Unidos 4. @ Taylorswift13 Taylor Swift 86 Músico 5. @ Rihanna Rihanna 81 Barbados 6. @ Theellenshow Ellen DeGeneres 75 Comediante Estados Unidos 7. @ Ladygaga Lady Gaga 73 Músico 8. @ YouTube YouTube 70 Plataforma de mídia social 9. @ Jtimberlake Justin T"&amp;"imberlake 63 Músico e Ator 10. @ Cristiano Cristiano Ronaldo 63 jogador de futebol Portugal 11. @ Twitter Twitter 62 Plataforma de mídia social Estados Unidos 12. @ Kimkardashian Kim Kardashian West 57 Reality TV Personalidade 13. @ Britneyspears Britney "&amp;"Spears 56 Músico 14. @ Arianagrande Ariana Grande 55 15. @ Selenagomez Selena Gomez 54 Músico e Atriz 16. @ CNNBRK CNN BURASS NOTÍCIAS 53 Notícias 17. @ ddlovato demi lovato 51 músico e atriz 18. @ Jimmyfallon Jimmy Fallon 49 comediante 19. @ Shakira Shak"&amp;"ira 49 Músico Colômbia 20. @ JLO Jennifer Lopez 44 Músico e Atriz Estados Unidos 21. @ RealDonaldTrump Donald Trump 42 Presidente dos EUA e Personalidade de TV 22. @ Billgates Bill Gates 40 Empresário 23. @ NYTimes The New York Times 40 Newspaper 24. @ Op"&amp;"rah Oprah Winfrey 39 empresária 25. @ Instagram Instagram 39 Plataforma de mídia social 26. @ Kingjames LeBron James 39 Jogador de basquete 27. @ CNN CNN 38 Channel de televisão 28. @ Mileycyrus Miley Cyrus 37 Músico e Atriz 29. @ Brunomars Bruno Mars 36 "&amp;"Músico 30. @ Drake Drake 36 Rapper Canadá 31. @ Narendramodi Narendra Modi 36 Primeiro Ministro da Índia 32. @ Niallofficial Niall Horan 36 Músico Irlanda 33. @ BBCBRAING BBC BUICA NOTÍCIAS 35 NEWS REINO UNIDO 34. @ SportsCenter SportsCenter 35 Canal de t"&amp;"elevisão Estados Unidos 35. @ Kevinhart4real kevin hart 35 comediante 36. @ Neymarjr Neymar 34 jogador de futebol Brasil 37. @ ESPN ESPN 34 Canal de televisão Estados Unidos 38. @ wizkhalifa wiz khalifa 32 rapper 39. @ Liltunechi lil wayne 32 rapper 40. @"&amp;" OneDirection One Direction 32 Banda United Reino / Irlanda 41. @ Harry_styles Harry Styles 31 Músico do Reino Unido 42. @ Pink P! NK 31 Estados Unidos 43. @ Srbachchan Amitabh Bachchan 31 Ator Índia 44. @ IAMSRK SHAH RUKH KHAN 30 45. @ Louis_Tomlinson Lo"&amp;"uis Tomlinson 30 Músico Reino Unido 46. @ Liampayne Liam Payne 29 47. @ Aliciakeys Alicia Keys 29 Estados Unidos 48. @ Adele Adele 29 Reino Unido 49. @ Kaka kaká 29 futebol brasil 50. @ Realmentenph Neil Patrick Harris 28 Ator Unidos em 1 de novembro de 2"&amp;"017")</f>
        <v>   Nome da conta de classificação Seguidores do proprietário (milhões) Profissão Pousio 1. @ Katyperry Katy Perry 106 Músico dos Estados Unidos 2. @ Justinbieber Justin Bieber 103 Canadá 3. @ Barackobama Barack Obama 96 Ex -Presidente dos EUA nos Estados Unidos 4. @ Taylorswift13 Taylor Swift 86 Músico 5. @ Rihanna Rihanna 81 Barbados 6. @ Theellenshow Ellen DeGeneres 75 Comediante Estados Unidos 7. @ Ladygaga Lady Gaga 73 Músico 8. @ YouTube YouTube 70 Plataforma de mídia social 9. @ Jtimberlake Justin Timberlake 63 Músico e Ator 10. @ Cristiano Cristiano Ronaldo 63 jogador de futebol Portugal 11. @ Twitter Twitter 62 Plataforma de mídia social Estados Unidos 12. @ Kimkardashian Kim Kardashian West 57 Reality TV Personalidade 13. @ Britneyspears Britney Spears 56 Músico 14. @ Arianagrande Ariana Grande 55 15. @ Selenagomez Selena Gomez 54 Músico e Atriz 16. @ CNNBRK CNN BURASS NOTÍCIAS 53 Notícias 17. @ ddlovato demi lovato 51 músico e atriz 18. @ Jimmyfallon Jimmy Fallon 49 comediante 19. @ Shakira Shakira 49 Músico Colômbia 20. @ JLO Jennifer Lopez 44 Músico e Atriz Estados Unidos 21. @ RealDonaldTrump Donald Trump 42 Presidente dos EUA e Personalidade de TV 22. @ Billgates Bill Gates 40 Empresário 23. @ NYTimes The New York Times 40 Newspaper 24. @ Oprah Oprah Winfrey 39 empresária 25. @ Instagram Instagram 39 Plataforma de mídia social 26. @ Kingjames LeBron James 39 Jogador de basquete 27. @ CNN CNN 38 Channel de televisão 28. @ Mileycyrus Miley Cyrus 37 Músico e Atriz 29. @ Brunomars Bruno Mars 36 Músico 30. @ Drake Drake 36 Rapper Canadá 31. @ Narendramodi Narendra Modi 36 Primeiro Ministro da Índia 32. @ Niallofficial Niall Horan 36 Músico Irlanda 33. @ BBCBRAING BBC BUICA NOTÍCIAS 35 NEWS REINO UNIDO 34. @ SportsCenter SportsCenter 35 Canal de televisão Estados Unidos 35. @ Kevinhart4real kevin hart 35 comediante 36. @ Neymarjr Neymar 34 jogador de futebol Brasil 37. @ ESPN ESPN 34 Canal de televisão Estados Unidos 38. @ wizkhalifa wiz khalifa 32 rapper 39. @ Liltunechi lil wayne 32 rapper 40. @ OneDirection One Direction 32 Banda United Reino / Irlanda 41. @ Harry_styles Harry Styles 31 Músico do Reino Unido 42. @ Pink P! NK 31 Estados Unidos 43. @ Srbachchan Amitabh Bachchan 31 Ator Índia 44. @ IAMSRK SHAH RUKH KHAN 30 45. @ Louis_Tomlinson Louis Tomlinson 30 Músico Reino Unido 46. @ Liampayne Liam Payne 29 47. @ Aliciakeys Alicia Keys 29 Estados Unidos 48. @ Adele Adele 29 Reino Unido 49. @ Kaka kaká 29 futebol brasil 50. @ Realmentenph Neil Patrick Harris 28 Ator Unidos em 1 de novembro de 2017</v>
      </c>
    </row>
    <row r="387" customFormat="false" ht="15.75" hidden="false" customHeight="true" outlineLevel="0" collapsed="false">
      <c r="A387" s="3" t="n">
        <v>384</v>
      </c>
      <c r="B387" s="5" t="s">
        <v>1155</v>
      </c>
      <c r="C387" s="5" t="s">
        <v>1156</v>
      </c>
      <c r="D387" s="5" t="s">
        <v>1157</v>
      </c>
      <c r="E387" s="4" t="str">
        <f aca="false">IFERROR(__xludf.dummyfunction("GOOGLETRANSLATE(C388)"),"a terra de Make Believe Hope New Jersey")</f>
        <v>a terra de Make Believe Hope New Jersey</v>
      </c>
      <c r="F387" s="5" t="str">
        <f aca="false">IFERROR(__xludf.dummyfunction("GOOGLETRANSLATE(D387)")," `` Um beijo para construir um sonho '' é uma música composta por Bert Kalmar, Harry Ruby e Oscar Hammerstein II em 1935. Foi registrado por Louis Armstrong em 1951. Também foi realizado por Armstrong e Mickey Rooney com William DeMarest, por Sally Forres"&amp;"t e por Kay Brown (praticamente todo o elenco fez parte ou toda a música) no filme de 1951 `` The Strip '' e foi Uma espécie de tema recorrente no filme. A música foi nomeada para o Oscar de Melhor Música Original em 1951, mas perdeu para `` no legal, leg"&amp;"al, legal da noite ''. Outra gravação popular foi feita por uma das convidadas do filme - Stars, Monica Lewis, e no início de 1952, a versão de Hugo Winterhalter e sua orquestra, com o vocalista Johnny Parker, chegou ao gráfico pop 20 nos Estados Unidos.")</f>
        <v> `` Um beijo para construir um sonho '' é uma música composta por Bert Kalmar, Harry Ruby e Oscar Hammerstein II em 1935. Foi registrado por Louis Armstrong em 1951. Também foi realizado por Armstrong e Mickey Rooney com William DeMarest, por Sally Forrest e por Kay Brown (praticamente todo o elenco fez parte ou toda a música) no filme de 1951 `` The Strip '' e foi Uma espécie de tema recorrente no filme. A música foi nomeada para o Oscar de Melhor Música Original em 1951, mas perdeu para `` no legal, legal, legal da noite ''. Outra gravação popular foi feita por uma das convidadas do filme - Stars, Monica Lewis, e no início de 1952, a versão de Hugo Winterhalter e sua orquestra, com o vocalista Johnny Parker, chegou ao gráfico pop 20 nos Estados Unidos.</v>
      </c>
    </row>
    <row r="388" customFormat="false" ht="15.75" hidden="false" customHeight="true" outlineLevel="0" collapsed="false">
      <c r="A388" s="3" t="n">
        <v>385</v>
      </c>
      <c r="B388" s="5" t="s">
        <v>1158</v>
      </c>
      <c r="C388" s="5" t="s">
        <v>1159</v>
      </c>
      <c r="D388" s="5" t="s">
        <v>1160</v>
      </c>
      <c r="E388" s="4" t="str">
        <f aca="false">IFERROR(__xludf.dummyfunction("GOOGLETRANSLATE(C389)"),"Quando o tempo real com Bill Maher volta")</f>
        <v>Quando o tempo real com Bill Maher volta</v>
      </c>
      <c r="F388" s="5" t="str">
        <f aca="false">IFERROR(__xludf.dummyfunction("GOOGLETRANSLATE(D388)")," A terra de Make Believe é ​​um parque de diversões familiar que atende principalmente a crianças menores de 8 anos de idade. Inaugurado em 1954, está em Hope Township, Nova Jersey, Estados Unidos, na Rota 611 do condado, a três quilômetros da saída 12 da"&amp;" Interstate 80. Ele se centra em torno de `` recreação segura e saudável '', com passeios e atrações divertidas que são apreciadas principalmente por crianças menores de 8 anos, mas também têm algumas atrações para pessoas de todas as idades, mas não tão "&amp;"extremas que assustam crianças pequenas misturadas.")</f>
        <v> A terra de Make Believe é ​​um parque de diversões familiar que atende principalmente a crianças menores de 8 anos de idade. Inaugurado em 1954, está em Hope Township, Nova Jersey, Estados Unidos, na Rota 611 do condado, a três quilômetros da saída 12 da Interstate 80. Ele se centra em torno de `` recreação segura e saudável '', com passeios e atrações divertidas que são apreciadas principalmente por crianças menores de 8 anos, mas também têm algumas atrações para pessoas de todas as idades, mas não tão extremas que assustam crianças pequenas misturadas.</v>
      </c>
    </row>
    <row r="389" customFormat="false" ht="15.75" hidden="false" customHeight="true" outlineLevel="0" collapsed="false">
      <c r="A389" s="3" t="n">
        <v>386</v>
      </c>
      <c r="B389" s="5" t="s">
        <v>1161</v>
      </c>
      <c r="C389" s="5" t="s">
        <v>1162</v>
      </c>
      <c r="D389" s="5" t="s">
        <v>1163</v>
      </c>
      <c r="E389" s="4" t="str">
        <f aca="false">IFERROR(__xludf.dummyfunction("GOOGLETRANSLATE(C390)"),"quem foi o último presidente a não ser reeleito")</f>
        <v>quem foi o último presidente a não ser reeleito</v>
      </c>
      <c r="F389" s="5" t="str">
        <f aca="false">IFERROR(__xludf.dummyfunction("GOOGLETRANSLATE(D389)"),"   Não . No. Nº de convidados da temporada Data do ar original Os espectadores dos EUA (milhões) 446 Larry Wilmore, Michael Wolff, Andrew Sullivan, Saru Jayaraman, 19 de janeiro de 2018 (2018 - 01 - 19) 1.89 447 Roger McNamee, Rick Wilson, Ro Khanna, Mich"&amp;"elle Goldberg, Goldberg , Zooey Deschanel 26 de janeiro de 2018 (2018 - 01 - 26) 1,85 448 Anthony Scaramucci, Donna Brazile, Richard Haass, David Frum 2 de fevereiro de 2018 (2018 - 02 - 02) 1.91 449 Bari Weiss, Adam Schiff, Richard, Richard) Painter, Joh"&amp;"ann Hari 9 de fevereiro de 2018 (2018 - 02 - 09) 1,88 450 5 Salman Rushdie, Vicente Fox, Anna Deavere Smith, Fran Lebowitz 16 de fevereiro de 2018 (2018 - 02 - 16) 1.84 451 6 6 Eric Holder, Jon Meacham, Amy Chua, David Hogg, Cameron Kasky 2 de março de 20"&amp;"18 (2018 - 03 - 02) 1,91 452 7 Kathy Griffin, Ana Navarro, Erick Erickson, Bari Weiss, Trae Crowder 9 de março de 2018 (2018 - 03 - 09) 1.97 453 8 8 Beto O'Rourke, Billy Bush, Andrew Ross Sorkin, Pete Dominick, Nayyera Haq 16 de março de 2018 (2018 - 03 -"&amp;" 16) 1,86 454 9 Chris Hayes, Mitch Landrieu, Gina McCarthy, Mona Charen, Malcolm Nance 23 de março, 2018 (2018 ( 2018 - 03 - 23) 1,80 455 10 Geraldo Rivera, Heather McGhee, Max Boot, Eliot Spitzer, Louie Anderson, 6 de abril de 2018 (2018 - 04 - 06) 1,84 "&amp;"456 11 Brian Schatz, Andy Cohen, Jason Kander, Maya Wiley, Jonathan Chait 13 de abril de 2018 (2018 - 04 - 13) 1,56 457 12 Michael Avenatti, Frank Bruni, Alex Wagner, Jordan Peterson, Jay Inslee, 20 de abril de 2018 (2018 - 04 - 20) 1,75 458 13 Ronan Farr"&amp;"ow, Ross Douthat, ian ian Bremmer, Ana Marie Cox, John Podhoretz 27 de abril de 2018 (2018 - 04 - 27) 1,68 459 14 Jon Meacham, Michael Hayden, Matt Welch, Sally Kohn, Michael Tubbs 4 de maio de 2018 (2018 - 05 - 04) 1.50 460 15 15 15 Ethan Hawke, Robert R"&amp;"eich, Killer Mike, Duncan D. Hunter 11 de maio de 2018 (2018 - 05 - 11) 1,52 461 16 Dan Savage, Bari Weiss, Evan McMullin, Dambisa Moyo, Clint Watts 18 de maio de 2018 (2018 - 05 - 05 - 05 18 )   1.80     462   17   Bernie Sanders , Charlamagne tha God , "&amp;"Paul Begala , Bret Stephens , Natasha Bertrand   June 1 , 2018 ( 2018 - 06 - 01 )   1.77     463   18   Fareed Zakaria , John Heilemann , Michael Eric Dyson , Linda Chavez , Shermichael Singleton   June 8, 2018 (2018 - 06 - 08) 1,46 464 19 George Will, Ka"&amp;"ren Bass, Billy Eichner, Margaret Hoover, Michael Weiss, 15 de junho de 2018 (2018 - 06 - 15) 1.68 465 20 Michael Smerconish, Michael Pollan, Neera Tanden, Tanden, Colion Noir, Josh Barro, 22 de junho de 2018 (2018 - 06 - 22) 1,57 466 21 Michael Moore, Br"&amp;"adley Whitford, Jennifer Rubin, Lawrence Wilkerson, Ben Shapiro 29 de junho de 2018 (2018 - 06 - 29) 1.67 467 22 22 Nancy Maclean, 2018 (2018 - 06 - 29) 1.67 467 22 22 Nancy Maclean, 2018 Steve Schmidt, Charles Blow, Malcolm Nance, Kristen Soltis Anderson"&amp;" 3 de agosto de 2018 (2018 - 08 - 03) 1,44 468 23 D.L. Hughley, Lawrence O'Donnell, Seth Moulton, Steven Pinker, Christina Bellantoni, 10 de agosto de 2018 (2018 - 08 - 10) 1,59 469 24 Preet Bharara, Jennifer Granholm, Charlie Sykes, Jonathan Swan, Adam C"&amp;"onover, 17 de agosto de 2018 (2018 -2018 -2018 -2018 -2018 -2018 -2018 -2018 -2018 -2018 -2018 (2018 08 - 17) 1.69 470 25 John Brennan, David Corn, Rick Wilson, Saru Jayaraman, Kara Swisher 24 de agosto de 2018 (2018 - 08 - 24) 1.66 471 26 Jim Carrey, Dav"&amp;"id Axelrod, Charlie Dent, Michelle Goldberg, Jack Bryan Setembro, setembro 7, 2018 (2018 - 09 - 07) 1.68 472 27 John Kerry, Steve Ballmer, S.E. Cupp, Mark Leibovich, Richard Clarke 14 de setembro de 2018 (2018 - 09 - 14) 1,74 473 28 Michael Moore, Thom Ha"&amp;"rtmann, P.J. O'Rourke, Catherine Rampell, Steve Hilton 21 de setembro de 2018 (2018 - 09 - 21) 1.70 474 29   Steve Bannon , Neil deGrasse Tyson , Evelyn Farkas , Max Brooks , April Ryan   September 28 , 2018 ( 2018 - 09 - 28 )   1.76     475   30   Doris "&amp;"Kearns Goodwin , Soledad O'Brien , David Jolly , Andrew Sullivan , Jeff Bridges   October 5 , 2018 (2018 - 10 - 05) 1,73 476 31 Omarosa Manigault Newman, Eddie Glaude, Steve Kornacki, Reihan Salam, Rebecca Traister 12 de outubro de 2018 (2018 - 10 - 12) 1"&amp;",74 477 32 Stormy Daniels, Anthony Scaramucci, Betsy Woodr, majorx, majorx, majorx, majorx, majorx, majorx, majorx, majerx, main, main -stormy, main -stormy. Boot, Jonathan Haidt 26 de outubro de 2018 (2018 - 10 - 26) TBD 478 33 Barbra Streisand, Chelsea "&amp;"Handler, Jim Vandehei, Anthony Romero 2 de novembro de 2018 (2018 - 11 - 02) TBD 479 34 9 de novembro, 2018 (2018 - 2018 - 11 - 02) 11 - 09) TBD 480 35 16 de novembro de 2018 (2018 - 11 - 16) TBD")</f>
        <v>   Não . No. Nº de convidados da temporada Data do ar original Os espectadores dos EUA (milhões) 446 Larry Wilmore, Michael Wolff, Andrew Sullivan, Saru Jayaraman, 19 de janeiro de 2018 (2018 - 01 - 19) 1.89 447 Roger McNamee, Rick Wilson, Ro Khanna, Michelle Goldberg, Goldberg , Zooey Deschanel 26 de janeiro de 2018 (2018 - 01 - 26) 1,85 448 Anthony Scaramucci, Donna Brazile, Richard Haass, David Frum 2 de fevereiro de 2018 (2018 - 02 - 02) 1.91 449 Bari Weiss, Adam Schiff, Richard, Richard) Painter, Johann Hari 9 de fevereiro de 2018 (2018 - 02 - 09) 1,88 450 5 Salman Rushdie, Vicente Fox, Anna Deavere Smith, Fran Lebowitz 16 de fevereiro de 2018 (2018 - 02 - 16) 1.84 451 6 6 Eric Holder, Jon Meacham, Amy Chua, David Hogg, Cameron Kasky 2 de março de 2018 (2018 - 03 - 02) 1,91 452 7 Kathy Griffin, Ana Navarro, Erick Erickson, Bari Weiss, Trae Crowder 9 de março de 2018 (2018 - 03 - 09) 1.97 453 8 8 Beto O'Rourke, Billy Bush, Andrew Ross Sorkin, Pete Dominick, Nayyera Haq 16 de março de 2018 (2018 - 03 - 16) 1,86 454 9 Chris Hayes, Mitch Landrieu, Gina McCarthy, Mona Charen, Malcolm Nance 23 de março, 2018 (2018 ( 2018 - 03 - 23) 1,80 455 10 Geraldo Rivera, Heather McGhee, Max Boot, Eliot Spitzer, Louie Anderson, 6 de abril de 2018 (2018 - 04 - 06) 1,84 456 11 Brian Schatz, Andy Cohen, Jason Kander, Maya Wiley, Jonathan Chait 13 de abril de 2018 (2018 - 04 - 13) 1,56 457 12 Michael Avenatti, Frank Bruni, Alex Wagner, Jordan Peterson, Jay Inslee, 20 de abril de 2018 (2018 - 04 - 20) 1,75 458 13 Ronan Farrow, Ross Douthat, ian ian Bremmer, Ana Marie Cox, John Podhoretz 27 de abril de 2018 (2018 - 04 - 27) 1,68 459 14 Jon Meacham, Michael Hayden, Matt Welch, Sally Kohn, Michael Tubbs 4 de maio de 2018 (2018 - 05 - 04) 1.50 460 15 15 15 Ethan Hawke, Robert Reich, Killer Mike, Duncan D. Hunter 11 de maio de 2018 (2018 - 05 - 11) 1,52 461 16 Dan Savage, Bari Weiss, Evan McMullin, Dambisa Moyo, Clint Watts 18 de maio de 2018 (2018 - 05 - 05 - 05 18 )   1.80     462   17   Bernie Sanders , Charlamagne tha God , Paul Begala , Bret Stephens , Natasha Bertrand   June 1 , 2018 ( 2018 - 06 - 01 )   1.77     463   18   Fareed Zakaria , John Heilemann , Michael Eric Dyson , Linda Chavez , Shermichael Singleton   June 8, 2018 (2018 - 06 - 08) 1,46 464 19 George Will, Karen Bass, Billy Eichner, Margaret Hoover, Michael Weiss, 15 de junho de 2018 (2018 - 06 - 15) 1.68 465 20 Michael Smerconish, Michael Pollan, Neera Tanden, Tanden, Colion Noir, Josh Barro, 22 de junho de 2018 (2018 - 06 - 22) 1,57 466 21 Michael Moore, Bradley Whitford, Jennifer Rubin, Lawrence Wilkerson, Ben Shapiro 29 de junho de 2018 (2018 - 06 - 29) 1.67 467 22 22 Nancy Maclean, 2018 (2018 - 06 - 29) 1.67 467 22 22 Nancy Maclean, 2018 Steve Schmidt, Charles Blow, Malcolm Nance, Kristen Soltis Anderson 3 de agosto de 2018 (2018 - 08 - 03) 1,44 468 23 D.L. Hughley, Lawrence O'Donnell, Seth Moulton, Steven Pinker, Christina Bellantoni, 10 de agosto de 2018 (2018 - 08 - 10) 1,59 469 24 Preet Bharara, Jennifer Granholm, Charlie Sykes, Jonathan Swan, Adam Conover, 17 de agosto de 2018 (2018 -2018 -2018 -2018 -2018 -2018 -2018 -2018 -2018 -2018 -2018 (2018 08 - 17) 1.69 470 25 John Brennan, David Corn, Rick Wilson, Saru Jayaraman, Kara Swisher 24 de agosto de 2018 (2018 - 08 - 24) 1.66 471 26 Jim Carrey, David Axelrod, Charlie Dent, Michelle Goldberg, Jack Bryan Setembro, setembro 7, 2018 (2018 - 09 - 07) 1.68 472 27 John Kerry, Steve Ballmer, S.E. Cupp, Mark Leibovich, Richard Clarke 14 de setembro de 2018 (2018 - 09 - 14) 1,74 473 28 Michael Moore, Thom Hartmann, P.J. O'Rourke, Catherine Rampell, Steve Hilton 21 de setembro de 2018 (2018 - 09 - 21) 1.70 474 29   Steve Bannon , Neil deGrasse Tyson , Evelyn Farkas , Max Brooks , April Ryan   September 28 , 2018 ( 2018 - 09 - 28 )   1.76     475   30   Doris Kearns Goodwin , Soledad O'Brien , David Jolly , Andrew Sullivan , Jeff Bridges   October 5 , 2018 (2018 - 10 - 05) 1,73 476 31 Omarosa Manigault Newman, Eddie Glaude, Steve Kornacki, Reihan Salam, Rebecca Traister 12 de outubro de 2018 (2018 - 10 - 12) 1,74 477 32 Stormy Daniels, Anthony Scaramucci, Betsy Woodr, majorx, majorx, majorx, majorx, majorx, majorx, majorx, majerx, main, main -stormy, main -stormy. Boot, Jonathan Haidt 26 de outubro de 2018 (2018 - 10 - 26) TBD 478 33 Barbra Streisand, Chelsea Handler, Jim Vandehei, Anthony Romero 2 de novembro de 2018 (2018 - 11 - 02) TBD 479 34 9 de novembro, 2018 (2018 - 2018 - 11 - 02) 11 - 09) TBD 480 35 16 de novembro de 2018 (2018 - 11 - 16) TBD</v>
      </c>
    </row>
    <row r="390" customFormat="false" ht="15.75" hidden="false" customHeight="true" outlineLevel="0" collapsed="false">
      <c r="A390" s="3" t="n">
        <v>387</v>
      </c>
      <c r="B390" s="5" t="s">
        <v>1164</v>
      </c>
      <c r="C390" s="5" t="s">
        <v>1165</v>
      </c>
      <c r="D390" s="5" t="s">
        <v>1166</v>
      </c>
      <c r="E390" s="4" t="str">
        <f aca="false">IFERROR(__xludf.dummyfunction("GOOGLETRANSLATE(C391)"),"De onde veio o termo bolos de enxada")</f>
        <v>De onde veio o termo bolos de enxada</v>
      </c>
      <c r="F390" s="5" t="str">
        <f aca="false">IFERROR(__xludf.dummyfunction("GOOGLETRANSLATE(D390)"),"   Presidente de classificação Length in Days Ordem de presidência Número de termos Franklin D. Roosevelt 7003442200000000000 ♠ 4.422 32nd 4 de março de 1933 - 12 de abril de 1945 Três termos completos; morreu 2 meses e 23 dias em quarto termo Thomas Jeff"&amp;"erson 7003292200000000000 ♠ 2,922 3 de março 4 de março de 1801 - 4 de março de 1809 Dois termos completos James Madison 700329222000000000 James 2,922 4 de março 4 de março, 1809 - 4 de março, 1817 dois Termos dois dois 70032922000000000 ♠ 2.922 5 de mar"&amp;"ço 4 de março de 1817 -4 de março de 1825 Dois termos completos Andrew Jackson 7003292200000000000 ♠ 2.922 7 de março 4, 1829 -4 de março de 1837 dois termos completos de Ulysses S. Grant 70032922200 @ 1837 21629000000 # 1837 Termos completos S. 4 de març"&amp;"o de 1877 Dois termos completos Grover Cleveland 2.922 22 de março 4 de março de 1885-4 de março de 1889 Dois termos completos (não consecutivos) 24 de março de 1893-4 de março de 1897 Woodrow Wilson 7003292200000000000 ♠ 2,922 28 28 de março, 1913 - 4 de"&amp;" março de 1921 Dois termos completos Dwight D. Eisenhower 7003292200000000000 ♠ 2.922 34 de janeiro de 1953- 20 de janeiro de 1961 Dois termos completos Ronald Reagan 700329222000000000 cos 922 40º 4 de janeiro, 1981- 1989, 1989, dois Termos Termos BILHOS"&amp;" 24 de janeiro, 1989, 1989, 1989, dois Termos Termos, dois Termos, Bill Termos. CLINTON 7003292200000000000 cos. - 20 de janeiro de 2017 Dois termos completos 14 George Washington 7003286500000000000 ♠ 2.865 1º de abril de 30 de abril de 1789 - 4 de março"&amp;" de 1797 Termos completos 15 Harry S. Truman 7003284000000000000 ♠ 2,840 33rd 12, 1945 - 20 de janeiro, 1953 ONE Part 33rd 12, 1945 - 20, 1953, 1950000, 1920000000, 2,840. (3 anos, 9 meses e 8 dias), seguido por um período completo 16 Theodore Roosevelt 7"&amp;"003272800000000000 ♠ 2.728 26 de setembro 14 de setembro de 1901 - 4 de março de 1909 Um termo parcial (3 anos, 5 meses e 18 dias), seguido Por um período completo 17 Calvin Coolidge 7003204100000000000 ♠ 2.041 30 de agosto 2 de 1923 - 4 de março de 1929 "&amp;"Um termo parcial (1 ano, 7 meses e 2 dias), seguido por um período completo 18 de richard nixon 7003202700000000000 cos. , 1969 - 9 de agosto de 1974 Um termo completo; Renunciou 1 ano, 6 meses e 20 dias no segundo mandato 19 Lyndon B. Johnson 70031886000"&amp;"00000000 ♠ 1.886 36 de novembro 22 de novembro de 1963 - 20 de janeiro de 1969 Um termo parcial (1 ano, 1 mês e 29 dias), seguido por um Termo completo 20 William McKinley 7003165400000000000 ♠ 1.654 25 de março de 1897 - 14 de setembro de 1901 Um termo c"&amp;"ompleto; assassinado 6 meses e 2 dias em segundo mandato, morrendo 8 dias depois, 6 meses e 10 dias após o período 21 Abraham Lincoln 7003150300000000000 ♠ 1,503 16 de março, 4 de março de 1861 - 15 de abril de 1865 Um termo; Assassinado 1 mês e 10 dias n"&amp;"o segundo mandato, morrendo 1 dia depois, 1 mês e 11 dias após o termo 22 amarre John Quincy Adams 70031461000000000 ♠ 1,461 6 de março 4 de março de 1825 - 4 de março de 1829 Um período inteiro Martin Van 7003146100000000000 ♠ 1,461 8 de março 4 de março"&amp;" de 1837 - 4 de março de 1841 Um termo completo James K. Polk 7003146100000000000 ♠ 1.461 11 de março 4 de março 1845 - 4 de março de 1849 One Termo Franklin Pierce 7003146100000000000 cost. , 1857 Um termo completo James Buchanan 7003146100000000000 ♠ 1."&amp;"461 15 de março 4 de março de 1857 - 4 de março de 1861 Um termo Rutherford B. Hayes 7003146100000000000 ♠ 1,461 19th 4 de março, 1877 - 4 de março, 1881 One Full Term 23 de março de 4 de março de 1889 - 4 de março de 1893 Um termo William Howard Taft 700"&amp;"3146100000000000 ♠ 1.461 27 de março 4 de março de 1909 - 4 de março de 1913 Um termo completo Herbert Hoover 700314611000000000 ♠ 1,4611113 310 de março, 70031461100000000 cos. Um Jimmy Carter 70031461000000000 ♠ 1.461 39 de janeiro, 20 de janeiro de 197"&amp;"7 - 20 de janeiro de 1981, um termo de George H.W. Bush 7003146100000000000 ♠ 1.461 41 de janeiro 20 de janeiro de 1989 - 20 de janeiro de 1993 Um período inteiro 33 John Adams 70031460000000000 ♠ 1,460 2 de abril, 4, 1797 - 4 de março de 1801 Um termo co"&amp;"mpleto 34 John 4003143, - 4 de março de 1845 Um termo parcial (3 anos e 11 meses) 35 Andrew Johnson 7003141900000000000 ♠ 1.419 17 de abril 15 de abril de 1865 - 4 de março de 1869 Um termo parcial (3 anos, 10 meses e 17 dias) 36 Chester A. Arthur 7003126"&amp;"200000000000 ♠ 1.262 21 de setembro 19 de setembro de 1881 - 4 de março de 1885 Um termo parcial (3 anos, 5 meses e 13 dias) 37 John F. Kennedy 7003103600000000000 ival Anos, 10 meses e 2 dias no mandato 38 Millard Fillmore 7002969000000000000 ♠ 969 13 de"&amp;" julho 9 de julho de 1850 - 4 de março de 1853 Um termo parcial (2 anos, 7 meses e 23 dias) 39 de agosto de 9 de agosto 9 de agosto 700289500000000000000 cos. , 1974 - 20 de janeiro de 1977 Um termo parcial (2 anos, 5 meses e 11 dias) 40 Warren G. Harding"&amp;" 7002881000000000000 ♠ 881 29 de março de 1921 - 2 de agosto de 1923 morreu 2 anos, 4 meses e 29 Dias do Termo 41 Donald Trump 700256800000000000000 ♠ 568 45th 20 de janeiro de 2017 - Servindo o primeiro mandato 42 Zachary Taylor 7002492000000000000 ♠ 492"&amp;" 12 de março, 4 de março, 1849 - 9 de julho, 1850 morreu 1 ano, 4 meses e 5 dias em termos 43 James A. Garfield 70021999000000000000 ♠ 199 20 de março, 4 de março de 1881 - 19 de setembro de 1881 assassinou 3 meses e 28 dias em termo, morrendo 79 dias dep"&amp;"ois, 6 meses e 15 dias no mandato 44 William Henry Harrison 7001310000000000000 ♠ 31 310, 44 de março 4, 4 de março 4, 1841 - 4 de abril de 1841 morreu 31 dias")</f>
        <v>   Presidente de classificação Length in Days Ordem de presidência Número de termos Franklin D. Roosevelt 7003442200000000000 ♠ 4.422 32nd 4 de março de 1933 - 12 de abril de 1945 Três termos completos; morreu 2 meses e 23 dias em quarto termo Thomas Jefferson 7003292200000000000 ♠ 2,922 3 de março 4 de março de 1801 - 4 de março de 1809 Dois termos completos James Madison 700329222000000000 James 2,922 4 de março 4 de março, 1809 - 4 de março, 1817 dois Termos dois dois 70032922000000000 ♠ 2.922 5 de março 4 de março de 1817 -4 de março de 1825 Dois termos completos Andrew Jackson 7003292200000000000 ♠ 2.922 7 de março 4, 1829 -4 de março de 1837 dois termos completos de Ulysses S. Grant 70032922200 @ 1837 21629000000 # 1837 Termos completos S. 4 de março de 1877 Dois termos completos Grover Cleveland 2.922 22 de março 4 de março de 1885-4 de março de 1889 Dois termos completos (não consecutivos) 24 de março de 1893-4 de março de 1897 Woodrow Wilson 7003292200000000000 ♠ 2,922 28 28 de março, 1913 - 4 de março de 1921 Dois termos completos Dwight D. Eisenhower 7003292200000000000 ♠ 2.922 34 de janeiro de 1953- 20 de janeiro de 1961 Dois termos completos Ronald Reagan 700329222000000000 cos 922 40º 4 de janeiro, 1981- 1989, 1989, dois Termos Termos BILHOS 24 de janeiro, 1989, 1989, 1989, dois Termos Termos, dois Termos, Bill Termos. CLINTON 7003292200000000000 cos. - 20 de janeiro de 2017 Dois termos completos 14 George Washington 7003286500000000000 ♠ 2.865 1º de abril de 30 de abril de 1789 - 4 de março de 1797 Termos completos 15 Harry S. Truman 7003284000000000000 ♠ 2,840 33rd 12, 1945 - 20 de janeiro, 1953 ONE Part 33rd 12, 1945 - 20, 1953, 1950000, 1920000000, 2,840. (3 anos, 9 meses e 8 dias), seguido por um período completo 16 Theodore Roosevelt 7003272800000000000 ♠ 2.728 26 de setembro 14 de setembro de 1901 - 4 de março de 1909 Um termo parcial (3 anos, 5 meses e 18 dias), seguido Por um período completo 17 Calvin Coolidge 7003204100000000000 ♠ 2.041 30 de agosto 2 de 1923 - 4 de março de 1929 Um termo parcial (1 ano, 7 meses e 2 dias), seguido por um período completo 18 de richard nixon 7003202700000000000 cos. , 1969 - 9 de agosto de 1974 Um termo completo; Renunciou 1 ano, 6 meses e 20 dias no segundo mandato 19 Lyndon B. Johnson 7003188600000000000 ♠ 1.886 36 de novembro 22 de novembro de 1963 - 20 de janeiro de 1969 Um termo parcial (1 ano, 1 mês e 29 dias), seguido por um Termo completo 20 William McKinley 7003165400000000000 ♠ 1.654 25 de março de 1897 - 14 de setembro de 1901 Um termo completo; assassinado 6 meses e 2 dias em segundo mandato, morrendo 8 dias depois, 6 meses e 10 dias após o período 21 Abraham Lincoln 7003150300000000000 ♠ 1,503 16 de março, 4 de março de 1861 - 15 de abril de 1865 Um termo; Assassinado 1 mês e 10 dias no segundo mandato, morrendo 1 dia depois, 1 mês e 11 dias após o termo 22 amarre John Quincy Adams 70031461000000000 ♠ 1,461 6 de março 4 de março de 1825 - 4 de março de 1829 Um período inteiro Martin Van 7003146100000000000 ♠ 1,461 8 de março 4 de março de 1837 - 4 de março de 1841 Um termo completo James K. Polk 7003146100000000000 ♠ 1.461 11 de março 4 de março 1845 - 4 de março de 1849 One Termo Franklin Pierce 7003146100000000000 cost. , 1857 Um termo completo James Buchanan 7003146100000000000 ♠ 1.461 15 de março 4 de março de 1857 - 4 de março de 1861 Um termo Rutherford B. Hayes 7003146100000000000 ♠ 1,461 19th 4 de março, 1877 - 4 de março, 1881 One Full Term 23 de março de 4 de março de 1889 - 4 de março de 1893 Um termo William Howard Taft 7003146100000000000 ♠ 1.461 27 de março 4 de março de 1909 - 4 de março de 1913 Um termo completo Herbert Hoover 700314611000000000 ♠ 1,4611113 310 de março, 70031461100000000 cos. Um Jimmy Carter 70031461000000000 ♠ 1.461 39 de janeiro, 20 de janeiro de 1977 - 20 de janeiro de 1981, um termo de George H.W. Bush 7003146100000000000 ♠ 1.461 41 de janeiro 20 de janeiro de 1989 - 20 de janeiro de 1993 Um período inteiro 33 John Adams 70031460000000000 ♠ 1,460 2 de abril, 4, 1797 - 4 de março de 1801 Um termo completo 34 John 4003143, - 4 de março de 1845 Um termo parcial (3 anos e 11 meses) 35 Andrew Johnson 7003141900000000000 ♠ 1.419 17 de abril 15 de abril de 1865 - 4 de março de 1869 Um termo parcial (3 anos, 10 meses e 17 dias) 36 Chester A. Arthur 7003126200000000000 ♠ 1.262 21 de setembro 19 de setembro de 1881 - 4 de março de 1885 Um termo parcial (3 anos, 5 meses e 13 dias) 37 John F. Kennedy 7003103600000000000 ival Anos, 10 meses e 2 dias no mandato 38 Millard Fillmore 7002969000000000000 ♠ 969 13 de julho 9 de julho de 1850 - 4 de março de 1853 Um termo parcial (2 anos, 7 meses e 23 dias) 39 de agosto de 9 de agosto 9 de agosto 700289500000000000000 cos. , 1974 - 20 de janeiro de 1977 Um termo parcial (2 anos, 5 meses e 11 dias) 40 Warren G. Harding 7002881000000000000 ♠ 881 29 de março de 1921 - 2 de agosto de 1923 morreu 2 anos, 4 meses e 29 Dias do Termo 41 Donald Trump 700256800000000000000 ♠ 568 45th 20 de janeiro de 2017 - Servindo o primeiro mandato 42 Zachary Taylor 7002492000000000000 ♠ 492 12 de março, 4 de março, 1849 - 9 de julho, 1850 morreu 1 ano, 4 meses e 5 dias em termos 43 James A. Garfield 70021999000000000000 ♠ 199 20 de março, 4 de março de 1881 - 19 de setembro de 1881 assassinou 3 meses e 28 dias em termo, morrendo 79 dias depois, 6 meses e 15 dias no mandato 44 William Henry Harrison 7001310000000000000 ♠ 31 310, 44 de março 4, 4 de março 4, 1841 - 4 de abril de 1841 morreu 31 dias</v>
      </c>
    </row>
    <row r="391" customFormat="false" ht="15.75" hidden="false" customHeight="true" outlineLevel="0" collapsed="false">
      <c r="A391" s="3" t="n">
        <v>388</v>
      </c>
      <c r="B391" s="5" t="s">
        <v>1167</v>
      </c>
      <c r="C391" s="5" t="s">
        <v>1168</v>
      </c>
      <c r="D391" s="5" t="s">
        <v>1169</v>
      </c>
      <c r="E391" s="4" t="str">
        <f aca="false">IFERROR(__xludf.dummyfunction("GOOGLETRANSLATE(C392)"),"última temporada de dançar com as estrelas elenco")</f>
        <v>última temporada de dançar com as estrelas elenco</v>
      </c>
      <c r="F391" s="5" t="str">
        <f aca="false">IFERROR(__xludf.dummyfunction("GOOGLETRANSLATE(D391)")," De acordo com o Oxford English Dictionary, o termo Hoecake ocorre pela primeira vez em 1745, e o termo é usado por escritores americanos como Joel Barlow e Washington Irving. A origem do nome é o método de preparação: eles foram cozidos em um tipo de pan"&amp;"ela de ferro chamada enxada. Há evidências conflitantes sobre a crença comum de que eles foram cozidos nas lâminas de enxadas de jardinagem. Um Hoecake pode ser feito de massa de pão de milho ou sobras de biscoito. Um pão de milho é mais espesso que uma p"&amp;"anqueca de pão de milho.")</f>
        <v> De acordo com o Oxford English Dictionary, o termo Hoecake ocorre pela primeira vez em 1745, e o termo é usado por escritores americanos como Joel Barlow e Washington Irving. A origem do nome é o método de preparação: eles foram cozidos em um tipo de panela de ferro chamada enxada. Há evidências conflitantes sobre a crença comum de que eles foram cozidos nas lâminas de enxadas de jardinagem. Um Hoecake pode ser feito de massa de pão de milho ou sobras de biscoito. Um pão de milho é mais espesso que uma panqueca de pão de milho.</v>
      </c>
    </row>
    <row r="392" customFormat="false" ht="15.75" hidden="false" customHeight="true" outlineLevel="0" collapsed="false">
      <c r="A392" s="3" t="n">
        <v>389</v>
      </c>
      <c r="B392" s="5" t="s">
        <v>1170</v>
      </c>
      <c r="C392" s="5" t="s">
        <v>1171</v>
      </c>
      <c r="D392" s="5" t="s">
        <v>1172</v>
      </c>
      <c r="E392" s="4" t="str">
        <f aca="false">IFERROR(__xludf.dummyfunction("GOOGLETRANSLATE(C393)"),"História da Bíblia sobre construir sua casa na rocha")</f>
        <v>História da Bíblia sobre construir sua casa na rocha</v>
      </c>
      <c r="F392" s="5" t="str">
        <f aca="false">IFERROR(__xludf.dummyfunction("GOOGLETRANSLATE(D392)"),"   Notabilidade da celebridade (conhecida por) status de parceiro profissional ref. O ator e o comediante de Chris Kattan, Witney Carson, eliminou o 1º de 27 de março de 2017, a comediante e o cantor Keo Motsepe eliminou o 2º em 3 de abril de 2017 Sr. T a"&amp;"tor e o ex -lutador Kym Herjavec eliminou o 3º lugar em 10 de abril, 2017 Erika Jayne Singer &amp; Reality Reality &amp; television star   Gleb Savchenko   Eliminated 4th on April 17 , 2017       Heather Morris   Glee actress &amp; dancer   Maksim Chmerkovskiy Alan B"&amp;"ersten ( weeks 2 - 5 )   Eliminated 5th on April 24 , 2017       Nancy Kerrigan   Former Olympic figure skater   Artem Chigvintsev   Eliminated 6th on May 1 , 2017       Nick Viall   The Bachelor star   Peta Murgatroyd     Bonner Bolton   Model &amp; bull rid"&amp;"er   Sharna Burgess   Eliminated 8th on May 8 , 2017       Simone Biles   Olympic artistic gymnast   Sasha Farber   Eliminated 9th on May 15 , 2017       Normani Kordei   Fifth Harmony singer   Valentin Chmerkovskiy   Third place on May 23 , 2017       Da"&amp;"vid Ross ex -apanhador da MLB Lindsay Arnold Runner - Up em 23 de maio de 2017 Rashad Jennings NFL Running Back Emma Slater Winner em 23 de maio de 2017")</f>
        <v>   Notabilidade da celebridade (conhecida por) status de parceiro profissional ref. O ator e o comediante de Chris Kattan, Witney Carson, eliminou o 1º de 27 de março de 2017, a comediante e o cantor Keo Motsepe eliminou o 2º em 3 de abril de 2017 Sr. T ator e o ex -lutador Kym Herjavec eliminou o 3º lugar em 10 de abril, 2017 Erika Jayne Singer &amp; Reality Reality &amp; television star   Gleb Savchenko   Eliminated 4th on April 17 , 2017       Heather Morris   Glee actress &amp; dancer   Maksim Chmerkovskiy Alan Bersten ( weeks 2 - 5 )   Eliminated 5th on April 24 , 2017       Nancy Kerrigan   Former Olympic figure skater   Artem Chigvintsev   Eliminated 6th on May 1 , 2017       Nick Viall   The Bachelor star   Peta Murgatroyd     Bonner Bolton   Model &amp; bull rider   Sharna Burgess   Eliminated 8th on May 8 , 2017       Simone Biles   Olympic artistic gymnast   Sasha Farber   Eliminated 9th on May 15 , 2017       Normani Kordei   Fifth Harmony singer   Valentin Chmerkovskiy   Third place on May 23 , 2017       David Ross ex -apanhador da MLB Lindsay Arnold Runner - Up em 23 de maio de 2017 Rashad Jennings NFL Running Back Emma Slater Winner em 23 de maio de 2017</v>
      </c>
    </row>
    <row r="393" customFormat="false" ht="15.75" hidden="false" customHeight="true" outlineLevel="0" collapsed="false">
      <c r="A393" s="3" t="n">
        <v>390</v>
      </c>
      <c r="B393" s="5" t="s">
        <v>1173</v>
      </c>
      <c r="C393" s="5" t="s">
        <v>1174</v>
      </c>
      <c r="D393" s="5" t="s">
        <v>1175</v>
      </c>
      <c r="E393" s="4" t="str">
        <f aca="false">IFERROR(__xludf.dummyfunction("GOOGLETRANSLATE(C394)"),"Quantos episódios temporada 3 Odd Mom")</f>
        <v>Quantos episódios temporada 3 Odd Mom</v>
      </c>
      <c r="F393" s="5" t="str">
        <f aca="false">IFERROR(__xludf.dummyfunction("GOOGLETRANSLATE(D393)")," A parábola dos construtores sábios e tolos (também conhecida como a casa na rocha) é uma parábola de Jesus que aparece no Evangelho de Mateus (7: 24 - 27) e Luke (6: 46 - 49) .")</f>
        <v> A parábola dos construtores sábios e tolos (também conhecida como a casa na rocha) é uma parábola de Jesus que aparece no Evangelho de Mateus (7: 24 - 27) e Luke (6: 46 - 49) .</v>
      </c>
    </row>
    <row r="394" customFormat="false" ht="15.75" hidden="false" customHeight="true" outlineLevel="0" collapsed="false">
      <c r="A394" s="3" t="n">
        <v>391</v>
      </c>
      <c r="B394" s="5" t="s">
        <v>1176</v>
      </c>
      <c r="C394" s="5" t="s">
        <v>1177</v>
      </c>
      <c r="D394" s="5" t="s">
        <v>1178</v>
      </c>
      <c r="E394" s="4" t="str">
        <f aca="false">IFERROR(__xludf.dummyfunction("GOOGLETRANSLATE(C395)"),"Quantos capítulos em Ruth na Bíblia")</f>
        <v>Quantos capítulos em Ruth na Bíblia</v>
      </c>
      <c r="F394" s="5" t="str">
        <f aca="false">IFERROR(__xludf.dummyfunction("GOOGLETRANSLATE(D394)"),"   Os episódios da temporada foi ao ar originalmente ao ar pela última vez em 10 de junho de 2015 (2015 - 06 - 08) 3 de agosto de 2015 (2015 - 08 - 03) 10 de junho de 20 de junho de 2016 (2016 - 06 - 20) 29 de agosto de 2016 (2016 - 08 - 29) 10 de julho d"&amp;"e 2017 (2017 - 07 - 12) 13 de setembro de 2017 (2017 - 09 - 13)")</f>
        <v>   Os episódios da temporada foi ao ar originalmente ao ar pela última vez em 10 de junho de 2015 (2015 - 06 - 08) 3 de agosto de 2015 (2015 - 08 - 03) 10 de junho de 20 de junho de 2016 (2016 - 06 - 20) 29 de agosto de 2016 (2016 - 08 - 29) 10 de julho de 2017 (2017 - 07 - 12) 13 de setembro de 2017 (2017 - 09 - 13)</v>
      </c>
    </row>
    <row r="395" customFormat="false" ht="15.75" hidden="false" customHeight="true" outlineLevel="0" collapsed="false">
      <c r="A395" s="3" t="n">
        <v>392</v>
      </c>
      <c r="B395" s="5" t="s">
        <v>1179</v>
      </c>
      <c r="C395" s="5" t="s">
        <v>1180</v>
      </c>
      <c r="D395" s="5" t="s">
        <v>1181</v>
      </c>
      <c r="E395" s="4" t="str">
        <f aca="false">IFERROR(__xludf.dummyfunction("GOOGLETRANSLATE(C396)"),"Existem férias importantes ou festivais no Islã")</f>
        <v>Existem férias importantes ou festivais no Islã</v>
      </c>
      <c r="F395" s="5" t="str">
        <f aca="false">IFERROR(__xludf.dummyfunction("GOOGLETRANSLATE(D395)")," O livro está estruturado em quatro capítulos:")</f>
        <v> O livro está estruturado em quatro capítulos:</v>
      </c>
    </row>
    <row r="396" customFormat="false" ht="15.75" hidden="false" customHeight="true" outlineLevel="0" collapsed="false">
      <c r="A396" s="3" t="n">
        <v>393</v>
      </c>
      <c r="B396" s="5" t="s">
        <v>1182</v>
      </c>
      <c r="C396" s="5" t="s">
        <v>1183</v>
      </c>
      <c r="D396" s="5" t="s">
        <v>1184</v>
      </c>
      <c r="E396" s="4" t="str">
        <f aca="false">IFERROR(__xludf.dummyfunction("GOOGLETRANSLATE(C397)"),"Quais são os 3 leites no bolo Tres Leches")</f>
        <v>Quais são os 3 leites no bolo Tres Leches</v>
      </c>
      <c r="F396" s="5" t="str">
        <f aca="false">IFERROR(__xludf.dummyfunction("GOOGLETRANSLATE(D396)"),"   Festival do mês do dia Muharram New Islâmico Ano Primeiro Dia do Calendário Islâmico 12 Rabi 'Al - Awwal Eid - E -Milād - Unnabī Aniversário do Profeta Muhammad 27 Rajab Miraj - Jornada noturna de Ramadan de Un -Nabi Muhammad 27 Ramadan Laylat al - Qad"&amp;"r na noite em que os primeiros versículos do Alcorão foram recebidos por Muhammad 30/11 Ramadã Chaand Raat na última noite do Ramadã comemorou no dia 29 ou 30, dependendo de quando a lua nova é avistada Shawal Eid Ul Fitr a celebração no final do mês em j"&amp;"ejum ( Ramadã) 10 dhu al - hijjah eid al - adha a celebração do sacrifício de Abraham")</f>
        <v>   Festival do mês do dia Muharram New Islâmico Ano Primeiro Dia do Calendário Islâmico 12 Rabi 'Al - Awwal Eid - E -Milād - Unnabī Aniversário do Profeta Muhammad 27 Rajab Miraj - Jornada noturna de Ramadan de Un -Nabi Muhammad 27 Ramadan Laylat al - Qadr na noite em que os primeiros versículos do Alcorão foram recebidos por Muhammad 30/11 Ramadã Chaand Raat na última noite do Ramadã comemorou no dia 29 ou 30, dependendo de quando a lua nova é avistada Shawal Eid Ul Fitr a celebração no final do mês em jejum ( Ramadã) 10 dhu al - hijjah eid al - adha a celebração do sacrifício de Abraham</v>
      </c>
    </row>
    <row r="397" customFormat="false" ht="15.75" hidden="false" customHeight="true" outlineLevel="0" collapsed="false">
      <c r="A397" s="3" t="n">
        <v>394</v>
      </c>
      <c r="B397" s="5" t="s">
        <v>1185</v>
      </c>
      <c r="C397" s="5" t="s">
        <v>1186</v>
      </c>
      <c r="D397" s="5" t="s">
        <v>1187</v>
      </c>
      <c r="E397" s="4" t="str">
        <f aca="false">IFERROR(__xludf.dummyfunction("GOOGLETRANSLATE(C398)"),"onde foi o filme que será o dia filmado")</f>
        <v>onde foi o filme que será o dia filmado</v>
      </c>
      <c r="F397" s="5" t="str">
        <f aca="false">IFERROR(__xludf.dummyfunction("GOOGLETRANSLATE(D397)")," Um bolo de Tres Leches (espanhol: pastel de Tres Leches, Tres Leches ou Bizcho de Tres Leches), também conhecido como Pan três leches (`` `Run Three Milks Pão ''), é um bolo de esponja, um bolo de manteiga de receitas - Mergulhado em três tipos de leite:"&amp;" leite evaporado, leite condensado e creme de leite")</f>
        <v> Um bolo de Tres Leches (espanhol: pastel de Tres Leches, Tres Leches ou Bizcho de Tres Leches), também conhecido como Pan três leches (`` `Run Three Milks Pão ''), é um bolo de esponja, um bolo de manteiga de receitas - Mergulhado em três tipos de leite: leite evaporado, leite condensado e creme de leite</v>
      </c>
    </row>
    <row r="398" customFormat="false" ht="15.75" hidden="false" customHeight="true" outlineLevel="0" collapsed="false">
      <c r="A398" s="3" t="n">
        <v>395</v>
      </c>
      <c r="B398" s="5" t="s">
        <v>1188</v>
      </c>
      <c r="C398" s="5" t="s">
        <v>1189</v>
      </c>
      <c r="D398" s="5" t="s">
        <v>1190</v>
      </c>
      <c r="E398" s="4" t="str">
        <f aca="false">IFERROR(__xludf.dummyfunction("GOOGLETRANSLATE(C399)"),"Quantos animais morreram na tragédia do lago Nyos")</f>
        <v>Quantos animais morreram na tragédia do lago Nyos</v>
      </c>
      <c r="F398" s="5" t="str">
        <f aca="false">IFERROR(__xludf.dummyfunction("GOOGLETRANSLATE(D398)")," Esse será o dia em que é um filme de drama britânico de 1973, dirigido por Claude Whatham, escrito por Ray Connolly, e estrelado por David Essex, Rosemary Leach e Ringo Starr. Está ambientado no final da década de 1950 / início da década de 1960 e foi pa"&amp;"rcialmente filmado na Ilha de Wight.")</f>
        <v> Esse será o dia em que é um filme de drama britânico de 1973, dirigido por Claude Whatham, escrito por Ray Connolly, e estrelado por David Essex, Rosemary Leach e Ringo Starr. Está ambientado no final da década de 1950 / início da década de 1960 e foi parcialmente filmado na Ilha de Wight.</v>
      </c>
    </row>
    <row r="399" customFormat="false" ht="15.75" hidden="false" customHeight="true" outlineLevel="0" collapsed="false">
      <c r="A399" s="3" t="n">
        <v>396</v>
      </c>
      <c r="B399" s="5" t="s">
        <v>1191</v>
      </c>
      <c r="C399" s="5" t="s">
        <v>1192</v>
      </c>
      <c r="D399" s="5" t="s">
        <v>1193</v>
      </c>
      <c r="E399" s="4" t="str">
        <f aca="false">IFERROR(__xludf.dummyfunction("GOOGLETRANSLATE(C400)"),"quem é a garota dançando com pitbull na madeira")</f>
        <v>quem é a garota dançando com pitbull na madeira</v>
      </c>
      <c r="F399" s="5" t="str">
        <f aca="false">IFERROR(__xludf.dummyfunction("GOOGLETRANSLATE(D399)")," Em 21 de agosto de 1986, uma erupção limna no Lago Nyos, no noroeste dos Camarões, matou 1.746 pessoas e 3.500 gado.")</f>
        <v> Em 21 de agosto de 1986, uma erupção limna no Lago Nyos, no noroeste dos Camarões, matou 1.746 pessoas e 3.500 gado.</v>
      </c>
    </row>
    <row r="400" customFormat="false" ht="15.75" hidden="false" customHeight="true" outlineLevel="0" collapsed="false">
      <c r="A400" s="3" t="n">
        <v>397</v>
      </c>
      <c r="B400" s="5" t="s">
        <v>1194</v>
      </c>
      <c r="C400" s="5" t="s">
        <v>1195</v>
      </c>
      <c r="D400" s="5" t="s">
        <v>1196</v>
      </c>
      <c r="E400" s="4" t="str">
        <f aca="false">IFERROR(__xludf.dummyfunction("GOOGLETRANSLATE(C401)"),"que ganhou campeonatos nacionais no futebol universitário")</f>
        <v>que ganhou campeonatos nacionais no futebol universitário</v>
      </c>
      <c r="F400" s="5" t="str">
        <f aca="false">IFERROR(__xludf.dummyfunction("GOOGLETRANSLATE(D400)")," Kesha filmou suas cenas em 5 de novembro de 2013, enquanto Pitbull filmou suas cenas uma semana depois em 12 de novembro de 2013. O vídeo também apresenta uma participação especial da modelo italiana Raffaella Moduguno e da Bloody Jug Band, um grupo amer"&amp;"icano de Orlando, que se apresenta no palco como a banda House do Bar. As cenas da praia foram filmadas em Ilhas Exuma, Bahamas.")</f>
        <v> Kesha filmou suas cenas em 5 de novembro de 2013, enquanto Pitbull filmou suas cenas uma semana depois em 12 de novembro de 2013. O vídeo também apresenta uma participação especial da modelo italiana Raffaella Moduguno e da Bloody Jug Band, um grupo americano de Orlando, que se apresenta no palco como a banda House do Bar. As cenas da praia foram filmadas em Ilhas Exuma, Bahamas.</v>
      </c>
    </row>
    <row r="401" customFormat="false" ht="15.75" hidden="false" customHeight="true" outlineLevel="0" collapsed="false">
      <c r="A401" s="3" t="n">
        <v>398</v>
      </c>
      <c r="B401" s="5" t="s">
        <v>1197</v>
      </c>
      <c r="C401" s="5" t="s">
        <v>1198</v>
      </c>
      <c r="D401" s="5" t="s">
        <v>1199</v>
      </c>
      <c r="E401" s="4" t="str">
        <f aca="false">IFERROR(__xludf.dummyfunction("GOOGLETRANSLATE(C402)"),"que jogou Kevin, precisamos falar sobre Kevin")</f>
        <v>que jogou Kevin, precisamos falar sobre Kevin</v>
      </c>
      <c r="F401" s="5" t="str">
        <f aca="false">IFERROR(__xludf.dummyfunction("GOOGLETRANSLATE(D401)"),"   School   Claimed national championships   Seasons   Source     Princeton   28   1869 , 1870 , 1872 , 1873 , 1874 , 1875 , 1877 , 1878 , 1879 , 1880 , 1881 , 1884 , 1885 , 1886 , 1889 , 1893 , 1894 , 1896 , 1898 , 1899 , 1903 , 1906 , 1911 , 1920 , 1922"&amp;" , 1933 , 1935 , 1950       Yale   27   1872 , 1874 , 1876 , 1877 , 1879 , 1880 , 1881 , 1882 , 1883 , 1884 , 1886 , 1887 , 1888 , 1891 , 1892 , 1893 , 1894 , 1895 , 1897, 1900, 1901, 1902, 1905, 1906, 1907, 1909, 1927 Alabama 17 1925, 1926, 1930, 1934, 1"&amp;"941, 1961, 1964, 1965, 1973, 1978, 1979, 1992, 2009, 2011, 2012, 2012, 2012, 1965, 1973, 1978, 1979, 1992, 2009, 2011, 2012, 2012, 2015, 2017 Michigan 11 1901, 1902, 1903, 1904, 1918, 1923, 1932, 1933, 1947, 1948, 1997 Notre Dame 11 1924, 1929, 1930, 1943"&amp;", 1946, 1947, 1949, 1966, 1973, 1988, 1988 USC 11 1928, 1931, 1932, 1939, 1962, 1967, 1972, 1974, 1978, 2003, 2004 Pittsburgh 9 1915, 1916, 1918, 1929, 1931, 1934, 1936, 1937, 1976 State 8 1942, 1931, 1934, 1936, 1937, 1976, 1976, 1929, 1931, 1934, 1936, "&amp;"1937, 1976, 1976, 1929, 1931, 1934, 1936, 1937, 1976, 1920 , 1961 , 1968 , 1970 , 2002 , 2014       Harvard   7   1890 , 1898 , 1899 , 1910 , 1912 , 1913 , 1919       Minnesota   7   1904 , 1934 , 1935 , 1936 , 1940 , 1941 , 1960       Oklahoma   7   1950"&amp;" , 1955 , 1956 , 1974 , 1975, 1985, 2000 Penn 7 1894, 1895, 1897, 1904, 1907, 1908, 1924 Estado de Michigan 6 1951, 1952, 1955, 1957, 1965, 1966 Tennessee 6 1938, 1940, 1950, 1951, 1967, 1998 Califórnia 5 1920 , 1921, 1922, 1923, 1937 Cornell 5 1915, 1921"&amp;", 1922, 1923, 1939 Illinois 5 1914, 1919, 1923, 1927, 1951 Miami (FL) 5 1983, 1987, 1989, 1991, 2001 da Nova York 5 1970, 1971, 1994, 1995. Florida State     1993 , 1999 , 2013       Lafayette     1896 , 1921 , 1926       LSU     1958 , 2003 , 2007       "&amp;"Ole Miss     1959 , 1960 , 1962       SMU     1935 , 1981 , 1982       Texas A&amp;M     1919 , 1927 , 1939       Auburn     1957 , 2010       Chicago     1905 , 1913       Clemson     1981 , 2016 Georgia 1942, 1980 Penn State 1982, 1986 TCU 1935, 1938 Stanfo"&amp;"rd 1926, 1940 Arkansas 1964 Boston College 1940 BYU 1984 Centro 1921 Colorado 1990 Dartmouth 1925 Kentucky 1950 Maryland 1953 Navy 1926 Oklahoma 1945")</f>
        <v>   School   Claimed national championships   Seasons   Source     Princeton   28   1869 , 1870 , 1872 , 1873 , 1874 , 1875 , 1877 , 1878 , 1879 , 1880 , 1881 , 1884 , 1885 , 1886 , 1889 , 1893 , 1894 , 1896 , 1898 , 1899 , 1903 , 1906 , 1911 , 1920 , 1922 , 1933 , 1935 , 1950       Yale   27   1872 , 1874 , 1876 , 1877 , 1879 , 1880 , 1881 , 1882 , 1883 , 1884 , 1886 , 1887 , 1888 , 1891 , 1892 , 1893 , 1894 , 1895 , 1897, 1900, 1901, 1902, 1905, 1906, 1907, 1909, 1927 Alabama 17 1925, 1926, 1930, 1934, 1941, 1961, 1964, 1965, 1973, 1978, 1979, 1992, 2009, 2011, 2012, 2012, 2012, 1965, 1973, 1978, 1979, 1992, 2009, 2011, 2012, 2012, 2015, 2017 Michigan 11 1901, 1902, 1903, 1904, 1918, 1923, 1932, 1933, 1947, 1948, 1997 Notre Dame 11 1924, 1929, 1930, 1943, 1946, 1947, 1949, 1966, 1973, 1988, 1988 USC 11 1928, 1931, 1932, 1939, 1962, 1967, 1972, 1974, 1978, 2003, 2004 Pittsburgh 9 1915, 1916, 1918, 1929, 1931, 1934, 1936, 1937, 1976 State 8 1942, 1931, 1934, 1936, 1937, 1976, 1976, 1929, 1931, 1934, 1936, 1937, 1976, 1976, 1929, 1931, 1934, 1936, 1937, 1976, 1920 , 1961 , 1968 , 1970 , 2002 , 2014       Harvard   7   1890 , 1898 , 1899 , 1910 , 1912 , 1913 , 1919       Minnesota   7   1904 , 1934 , 1935 , 1936 , 1940 , 1941 , 1960       Oklahoma   7   1950 , 1955 , 1956 , 1974 , 1975, 1985, 2000 Penn 7 1894, 1895, 1897, 1904, 1907, 1908, 1924 Estado de Michigan 6 1951, 1952, 1955, 1957, 1965, 1966 Tennessee 6 1938, 1940, 1950, 1951, 1967, 1998 Califórnia 5 1920 , 1921, 1922, 1923, 1937 Cornell 5 1915, 1921, 1922, 1923, 1939 Illinois 5 1914, 1919, 1923, 1927, 1951 Miami (FL) 5 1983, 1987, 1989, 1991, 2001 da Nova York 5 1970, 1971, 1994, 1995. Florida State     1993 , 1999 , 2013       Lafayette     1896 , 1921 , 1926       LSU     1958 , 2003 , 2007       Ole Miss     1959 , 1960 , 1962       SMU     1935 , 1981 , 1982       Texas A&amp;M     1919 , 1927 , 1939       Auburn     1957 , 2010       Chicago     1905 , 1913       Clemson     1981 , 2016 Georgia 1942, 1980 Penn State 1982, 1986 TCU 1935, 1938 Stanford 1926, 1940 Arkansas 1964 Boston College 1940 BYU 1984 Centro 1921 Colorado 1990 Dartmouth 1925 Kentucky 1950 Maryland 1953 Navy 1926 Oklahoma 1945</v>
      </c>
    </row>
    <row r="402" customFormat="false" ht="15.75" hidden="false" customHeight="true" outlineLevel="0" collapsed="false">
      <c r="A402" s="3" t="n">
        <v>399</v>
      </c>
      <c r="B402" s="5" t="s">
        <v>1200</v>
      </c>
      <c r="C402" s="5" t="s">
        <v>1201</v>
      </c>
      <c r="D402" s="5" t="s">
        <v>1202</v>
      </c>
      <c r="E402" s="4" t="str">
        <f aca="false">IFERROR(__xludf.dummyfunction("GOOGLETRANSLATE(C403)"),"O que você quer dizer com sistema de entrada dupla de contabilidade")</f>
        <v>O que você quer dizer com sistema de entrada dupla de contabilidade</v>
      </c>
      <c r="F402" s="5" t="str">
        <f aca="false">IFERROR(__xludf.dummyfunction("GOOGLETRANSLATE(D402)"),"  Tilda Swinton como Eva Khatchadourian John C. Reilly como Franklin Plaskett Ezra Miller como Kevin Khatchadourian Jasper Newell como o jovem Kevin Rocky Duer como o bebê Kevin Ashley Gerasimovich como Celia Khatchadoun Siobhan Fallon Hogan como Wanda Al"&amp;"ex Manette como Colin")</f>
        <v>  Tilda Swinton como Eva Khatchadourian John C. Reilly como Franklin Plaskett Ezra Miller como Kevin Khatchadourian Jasper Newell como o jovem Kevin Rocky Duer como o bebê Kevin Ashley Gerasimovich como Celia Khatchadoun Siobhan Fallon Hogan como Wanda Alex Manette como Colin</v>
      </c>
    </row>
    <row r="403" customFormat="false" ht="15.75" hidden="false" customHeight="true" outlineLevel="0" collapsed="false">
      <c r="A403" s="3" t="n">
        <v>400</v>
      </c>
      <c r="B403" s="5" t="s">
        <v>1203</v>
      </c>
      <c r="C403" s="5" t="s">
        <v>1204</v>
      </c>
      <c r="D403" s="5" t="s">
        <v>1205</v>
      </c>
      <c r="E403" s="4" t="str">
        <f aca="false">IFERROR(__xludf.dummyfunction("GOOGLETRANSLATE(C404)"),"quem inventou a primeira propriedade na sociedade francesa")</f>
        <v>quem inventou a primeira propriedade na sociedade francesa</v>
      </c>
      <c r="F403" s="5" t="str">
        <f aca="false">IFERROR(__xludf.dummyfunction("GOOGLETRANSLATE(D403)")," Double - contabilidade de entrada, em contabilidade, é um sistema de contabilidade assim nomeado porque cada entrada de uma conta requer uma entrada correspondente e oposta a uma conta diferente. Por exemplo, a gravação de ganhos de US $ 100 exigiria faz"&amp;"er duas entradas: uma entrada de débito de US $ 100 em uma conta chamada `` dinheiro '' e uma entrada de crédito de US $ 100 para uma conta chamada `` receita. ''")</f>
        <v> Double - contabilidade de entrada, em contabilidade, é um sistema de contabilidade assim nomeado porque cada entrada de uma conta requer uma entrada correspondente e oposta a uma conta diferente. Por exemplo, a gravação de ganhos de US $ 100 exigiria fazer duas entradas: uma entrada de débito de US $ 100 em uma conta chamada `` dinheiro '' e uma entrada de crédito de US $ 100 para uma conta chamada `` receita. ''</v>
      </c>
    </row>
    <row r="404" customFormat="false" ht="15.75" hidden="false" customHeight="true" outlineLevel="0" collapsed="false">
      <c r="A404" s="3" t="n">
        <v>401</v>
      </c>
      <c r="B404" s="5" t="s">
        <v>1206</v>
      </c>
      <c r="C404" s="5" t="s">
        <v>1207</v>
      </c>
      <c r="D404" s="5" t="s">
        <v>1208</v>
      </c>
      <c r="E404" s="4" t="str">
        <f aca="false">IFERROR(__xludf.dummyfunction("GOOGLETRANSLATE(C405)"),"Quando foi a última vez que Green Bay Packers venceu um superbowl")</f>
        <v>Quando foi a última vez que Green Bay Packers venceu um superbowl</v>
      </c>
      <c r="F404" s="5" t="str">
        <f aca="false">IFERROR(__xludf.dummyfunction("GOOGLETRANSLATE(D404)")," O sistema mais conhecido é o Régime Antigo Francês (Regime Antigo), um sistema imobiliário de três - usado até a Revolução Francesa (1789 - 1799). A monarquia era para o rei e a rainha e esse sistema era composto de clero (a primeira propriedade), nobres"&amp;" (a segunda propriedade) e camponeses e burguesia (a terceira propriedade). Em algumas regiões, principalmente a Escandinávia e a Rússia, os hambúrgueres (a classe de comerciantes urbanos) e os plebeus rurais foram divididos em propriedades separadas, cri"&amp;"ando um sistema imobiliário de quatro - com plebeus rurais classificando o mais baixo como o quarto patrimônio. Além disso, os pobres que não são da cidade poderiam ser deixados do lado de fora das propriedades, deixando-as sem direitos políticos. Na Ingl"&amp;"aterra, um sistema imobiliário evoluiu que combinava nobreza e bispos em uma propriedade ordens com `` commons '' como a segunda propriedade. Este sistema produziu as duas casas do Parlamento, a Câmara dos Comuns e a Câmara dos Lordes. No sul da Alemanha,"&amp;" um sistema imobiliário de nobreza (príncipes e clero alto), ritters (cavaleiros) e burghers foi usado.")</f>
        <v> O sistema mais conhecido é o Régime Antigo Francês (Regime Antigo), um sistema imobiliário de três - usado até a Revolução Francesa (1789 - 1799). A monarquia era para o rei e a rainha e esse sistema era composto de clero (a primeira propriedade), nobres (a segunda propriedade) e camponeses e burguesia (a terceira propriedade). Em algumas regiões, principalmente a Escandinávia e a Rússia, os hambúrgueres (a classe de comerciantes urbanos) e os plebeus rurais foram divididos em propriedades separadas, criando um sistema imobiliário de quatro - com plebeus rurais classificando o mais baixo como o quarto patrimônio. Além disso, os pobres que não são da cidade poderiam ser deixados do lado de fora das propriedades, deixando-as sem direitos políticos. Na Inglaterra, um sistema imobiliário evoluiu que combinava nobreza e bispos em uma propriedade ordens com `` commons '' como a segunda propriedade. Este sistema produziu as duas casas do Parlamento, a Câmara dos Comuns e a Câmara dos Lordes. No sul da Alemanha, um sistema imobiliário de nobreza (príncipes e clero alto), ritters (cavaleiros) e burghers foi usado.</v>
      </c>
    </row>
    <row r="405" customFormat="false" ht="15.75" hidden="false" customHeight="true" outlineLevel="0" collapsed="false">
      <c r="A405" s="3" t="n">
        <v>402</v>
      </c>
      <c r="B405" s="5" t="s">
        <v>1209</v>
      </c>
      <c r="C405" s="5" t="s">
        <v>1210</v>
      </c>
      <c r="D405" s="5" t="s">
        <v>1211</v>
      </c>
      <c r="E405" s="4" t="str">
        <f aca="false">IFERROR(__xludf.dummyfunction("GOOGLETRANSLATE(C406)"),"que interpreta Rafael Barba por lei e ordem")</f>
        <v>que interpreta Rafael Barba por lei e ordem</v>
      </c>
      <c r="F405" s="5" t="str">
        <f aca="false">IFERROR(__xludf.dummyfunction("GOOGLETRANSLATE(D405)"),"   A temporada atual de Green Bay Packers, criada em 11 de agosto de 1919; 98 anos atrás (11 de agosto de 1919) Primeira temporada: 1919 Brincho e sede em Lambeau Field, Green Bay, Wisconsin Logo Wordmark League / Conference Affiliações Independente (1919"&amp;" - 1920) Liga Nacional de Futebol (1921 - presente) Divisão ocidental (Divisão Ocidental (1919 - 1920) (1921 - presente) 1933 - 1949) Conferência Nacional (1950 - 1952) Conferência Oeste (1953 - 1966) Divisão Central (1967 - 1969) Conferência Nacional de "&amp;"Futebol (1970 - presente) Divisão Central (1970 - 2001) Divisão Norte (2002 - Presente) Cores uniformes de equipe de uniforme atual, verde escuro, ouro, música de luta branca `` go! Vocês empacotadores vão! 'Pessoal Proprietário (S) Green Bay Packers, Inc"&amp;". (360.760 acionistas - governados por um presidente do Conselho de Administração) Mark H. Murphy CEO Mark H. Murphy Presidente Mark H. Murphy Gerente Geral Brian Gutekunst Coach Mike McCarthy História da equipe Green Bay Packers (1919 - Presente) Apelido"&amp;"u a equipe Indian Packers (1919) Blues (1922) Big Bay Blues (1920) Bays (1918 - 1940) The Pack (atual) The Green and Gold (Current) Campeonatos da Liga dos Campeonatos (13 ) † Campeonatos da NFL (AFL antes de 1970-fusão da NFL) (11) 1929, 1930, 1931, 1936"&amp;", 1939, 1944, 1961, 1962, 1965, 1966, 1967 AFL-NFL Super Bowl Championships (2) 1966 ( I), 1967 (ii) Campeonatos do Super Bowl (2) 1996 (xxxi), 2010 (xlv) Campeonatos de conferências (9) NFL Western: 1960, 1961, 1962, 1965, 1966, 1967 NFC: 1996, 1997, 201"&amp;"0 Division Championships (18) NFL West: 1936, 1938, 1939, 1944 NFL Central: 1967 NFC Central: 1972, 1995, 1996, 1997 NFC North: 2002, 2003, 2004, 2007, 2011, 2012, 2013, 2014, 2016 † - faz Não inclui os campeonatos da AFL ou da NFL vencidos durante as mes"&amp;"mas temporadas que o AFL - NFL Super Bowl Championships antes das aparências de playoffs de fusão da AFL - NFL de 1970 (32) NFL: 1936, 1938, 1939, 1941, 1944, 1960, 1961, 1962, 1962 , 1965, 1966, 1967, 1972, 1982, 1993, 1994, 1995, 1996, 1997, 1998, 2001,"&amp;" 2002, 2003, 2004, 2007, 2009, 2010, 2012, 2012, 2013, 2014, 2015, 2016 Home Fields HAGEMEISTER PARK (1919 - 1922) BELLEVUE PARK (1923 - 1924) City Stadium (1925 - 1956) Borchert Field (1933) Wisconsin State Fair Park (1934 - 1951) Marquette Stadium (1952"&amp;") Milwaukee County Stadium (1953) - 1994) Lambeau Field (1957 - presente)")</f>
        <v>   A temporada atual de Green Bay Packers, criada em 11 de agosto de 1919; 98 anos atrás (11 de agosto de 1919) Primeira temporada: 1919 Brincho e sede em Lambeau Field, Green Bay, Wisconsin Logo Wordmark League / Conference Affiliações Independente (1919 - 1920) Liga Nacional de Futebol (1921 - presente) Divisão ocidental (Divisão Ocidental (1919 - 1920) (1921 - presente) 1933 - 1949) Conferência Nacional (1950 - 1952) Conferência Oeste (1953 - 1966) Divisão Central (1967 - 1969) Conferência Nacional de Futebol (1970 - presente) Divisão Central (1970 - 2001) Divisão Norte (2002 - Presente) Cores uniformes de equipe de uniforme atual, verde escuro, ouro, música de luta branca `` go! Vocês empacotadores vão! 'Pessoal Proprietário (S) Green Bay Packers, Inc. (360.760 acionistas - governados por um presidente do Conselho de Administração) Mark H. Murphy CEO Mark H. Murphy Presidente Mark H. Murphy Gerente Geral Brian Gutekunst Coach Mike McCarthy História da equipe Green Bay Packers (1919 - Presente) Apelidou a equipe Indian Packers (1919) Blues (1922) Big Bay Blues (1920) Bays (1918 - 1940) The Pack (atual) The Green and Gold (Current) Campeonatos da Liga dos Campeonatos (13 ) † Campeonatos da NFL (AFL antes de 1970-fusão da NFL) (11) 1929, 1930, 1931, 1936, 1939, 1944, 1961, 1962, 1965, 1966, 1967 AFL-NFL Super Bowl Championships (2) 1966 ( I), 1967 (ii) Campeonatos do Super Bowl (2) 1996 (xxxi), 2010 (xlv) Campeonatos de conferências (9) NFL Western: 1960, 1961, 1962, 1965, 1966, 1967 NFC: 1996, 1997, 2010 Division Championships (18) NFL West: 1936, 1938, 1939, 1944 NFL Central: 1967 NFC Central: 1972, 1995, 1996, 1997 NFC North: 2002, 2003, 2004, 2007, 2011, 2012, 2013, 2014, 2016 † - faz Não inclui os campeonatos da AFL ou da NFL vencidos durante as mesmas temporadas que o AFL - NFL Super Bowl Championships antes das aparências de playoffs de fusão da AFL - NFL de 1970 (32) NFL: 1936, 1938, 1939, 1941, 1944, 1960, 1961, 1962, 1962 , 1965, 1966, 1967, 1972, 1982, 1993, 1994, 1995, 1996, 1997, 1998, 2001, 2002, 2003, 2004, 2007, 2009, 2010, 2012, 2012, 2013, 2014, 2015, 2016 Home Fields HAGEMEISTER PARK (1919 - 1922) BELLEVUE PARK (1923 - 1924) City Stadium (1925 - 1956) Borchert Field (1933) Wisconsin State Fair Park (1934 - 1951) Marquette Stadium (1952) Milwaukee County Stadium (1953) - 1994) Lambeau Field (1957 - presente)</v>
      </c>
    </row>
    <row r="406" customFormat="false" ht="15.75" hidden="false" customHeight="true" outlineLevel="0" collapsed="false">
      <c r="A406" s="3" t="n">
        <v>403</v>
      </c>
      <c r="B406" s="5" t="s">
        <v>1212</v>
      </c>
      <c r="C406" s="5" t="s">
        <v>1213</v>
      </c>
      <c r="D406" s="5" t="s">
        <v>1214</v>
      </c>
      <c r="E406" s="4" t="str">
        <f aca="false">IFERROR(__xludf.dummyfunction("GOOGLETRANSLATE(C407)"),"quem faz na 8ª temporada de The Walking Dead")</f>
        <v>quem faz na 8ª temporada de The Walking Dead</v>
      </c>
      <c r="F406" s="5" t="str">
        <f aca="false">IFERROR(__xludf.dummyfunction("GOOGLETRANSLATE(D406)")," Raúl Eduardo Esparza (nascido em 24 de outubro de 1970) é um ator, cantor e artista de voz americano, mais conhecido por seu papel como Rafael Barba in Law &amp; Order: Special Victims Unit. Ele recebeu indicações de Tony por seu papel como Philip Salon no t"&amp;"abu musical de Boy George em 2004; Robert, um homem vazio desprovido de conexão na empresa de comédia musical em 2006; Um homem preguiçoso e sarcástico no Harold Pinter's's the Homecoming; e um agressivo produtor de filmes voláteis na velocidade de David "&amp;"Mamet, o arado. Ele desempenhou o papel de Riff Raff na Broadway no renascimento do Rocky Horror Show e no papel de Caractacus Potts no musical da Broadway Chitty Chitty Bang Bang.")</f>
        <v> Raúl Eduardo Esparza (nascido em 24 de outubro de 1970) é um ator, cantor e artista de voz americano, mais conhecido por seu papel como Rafael Barba in Law &amp; Order: Special Victims Unit. Ele recebeu indicações de Tony por seu papel como Philip Salon no tabu musical de Boy George em 2004; Robert, um homem vazio desprovido de conexão na empresa de comédia musical em 2006; Um homem preguiçoso e sarcástico no Harold Pinter's's the Homecoming; e um agressivo produtor de filmes voláteis na velocidade de David Mamet, o arado. Ele desempenhou o papel de Riff Raff na Broadway no renascimento do Rocky Horror Show e no papel de Caractacus Potts no musical da Broadway Chitty Chitty Bang Bang.</v>
      </c>
    </row>
    <row r="407" customFormat="false" ht="15.75" hidden="false" customHeight="true" outlineLevel="0" collapsed="false">
      <c r="A407" s="3" t="n">
        <v>404</v>
      </c>
      <c r="B407" s="5" t="s">
        <v>1215</v>
      </c>
      <c r="C407" s="5" t="s">
        <v>1216</v>
      </c>
      <c r="D407" s="5" t="s">
        <v>1217</v>
      </c>
      <c r="E407" s="4" t="str">
        <f aca="false">IFERROR(__xludf.dummyfunction("GOOGLETRANSLATE(C408)"),"Quando foi publicado o amor de J Alfred Prufrock")</f>
        <v>Quando foi publicado o amor de J Alfred Prufrock</v>
      </c>
      <c r="F407" s="5" t="str">
        <f aca="false">IFERROR(__xludf.dummyfunction("GOOGLETRANSLATE(D407)"),"   Não . Nº de título geral no título da temporada, dirigido por escrito pelos espectadores originais da Data Aérea dos EUA (milhões) 100 `` Mercy '' Greg Nicotero Scott M. Gimple 22 de outubro de 2017 (2017 - 10 - 22) 11.44 Rick, Maggie e Ezequiel Rally "&amp;"seu comunidades juntas para derrubar Negan. Gregory tenta ter os moradores do Hilltop com Negan, mas todos ficam firmemente atrás de Maggie. O grupo ataca o santuário, derrubando suas cercas e inundando o complexo com os caminhantes. Com o santuário desfi"&amp;"gurado, todo mundo sai, exceto Gabriel, que relutantemente fica para salvar Gregory, mas é deixado para trás quando Gregory o abandonar. Cercado por caminhantes, Gabriel se esconde em um trailer, onde está preso com Negan. 101 `` The Damned '' Rosemary Ro"&amp;"driguez Matthew Negrete &amp; Channing Powell 29 de outubro de 2017 (2017 - 10 - 29) 8.92 As forças de Rick se separaram em partes separadas para atacar vários postos externos dos Savores, durante os quais muitos membros do grupo são mortas ; Eric está gravem"&amp;"ente ferido e apressado por Aaron. Jesus impede Tara e Morgan de executar um grupo de salvadores rendidos. Enquanto limpava um posto avançado com Daryl, Rick é confrontado e mantido à mão armada por Morales, um sobrevivente que ele conheceu no acampamento"&amp;" inicial de Atlanta, que agora está com os salvadores. 102 `` Monsters '' Greg Nicotero Matthew Negrete &amp; Channing Powell 5 de novembro de 2017 (2017 - 11 - 05) 8.52 Daryl encontra Morales ameaçando Rick e o mata; A dupla então persegue um grupo de salvad"&amp;"ores que estão transportando armas para outro posto avançado. Gregory retorna ao Hilltop e, após uma discussão acalorada, Maggie finalmente o permite de volta à comunidade. Eric morre de seus ferimentos, deixando Aaron perturbado. Apesar das objeções de T"&amp;"ara e Morgan, Jesus lidera o grupo de salvadores entregados ao Hilltop. O grupo de Ezequiel ataca outro composto salvador, durante o qual os combatentes do reino são aniquilados enquanto protegem Ezequiel. 103 `` Algum cara '' Dan Liu David Leslie Johnson"&amp;" 12 de novembro de 2017 (2017 - 11 - 12) 8.69 O grupo de Ezequiel está impressionado com os salvadores, que matam todos eles, exceto por Ezequiel e Jerry. Carol limpa o interior do complexo, matando todos, exceto dois salvadores, que quase escapam, mas ac"&amp;"abam sendo pegos por Rick e Daryl. A caminho do reino, Ezequiel, Jerry e Carol estão cercados por caminhantes, mas Shiva se sacrifica para salvá -los. O trio retorna ao reino, onde a confiança de Ezequiel em si mesmo como líder diminuiu. 104 5 `` The Big "&amp;"Scary U '' Michael E. Satrazemis História de: Scott M. Gimple e David Leslie Johnson e Angela Kang Teleplay por: David Leslie Johnson e Angela Kang 19 de novembro de 2017 (2017 - 11 - 19) 7.85 Depois Confessando seus pecados um para o outro, Gabriel e Neg"&amp;"an conseguem escapar do trailer. Simon e os outros tenentes suspeitam um do outro, sabendo que as forças de Rick devem ter informações internas. Os trabalhadores do santuário ficam cada vez mais frustrados com suas condições de vida, e um tumulto quase se"&amp;" segue, até que Negan retorne e restaure a ordem. Gabriel está trancado em uma célula, onde Eugene o descobre doente e sofrimento. Enquanto isso, Rick e Daryl discutem sobre como tirar os salvadores, levando Daryl a abandonar Rick. 105 6 `` O rei, a viúva"&amp;" e Rick '' John Polson Angela Kang e Corey Reed 26 de novembro de 2017 (2017 - 11 - 26) 8.28 Rick visita Jadis na esperança de convencê -la a se voltar contra Negan; Jadis recusa e trava Rick em um contêiner de remessa. Carl encontra Siddiq na floresta e "&amp;"o recruta para Alexandria. Daryl e Tara planejam se desviar dos planos de Rick destruindo o santuário. Ezekiel se isola no reino, onde Carol tenta encorajá -lo a ser o líder que seu povo precisa. Maggie tem o grupo de salvadores capturados colocados em um"&amp;"a área de espera e força Gregory a se juntar a eles como punição por trair o Hilltop. 106 7 `` Time para depois de '' Larry Teng Matthew Negrete e Corey Reed 3 de dezembro de 2017 (2017 - 12 - 03) 7.47 Depois de saber da associação de Dwight com o grupo d"&amp;"e Rick, Eugene afirma sua lealdade a Negan e descreve um Planeje se livrar dos caminhantes em torno do santuário. Com a ajuda de Morgan e Tara, Daryl dirige um caminhão pelas paredes do santuário, inundando seu interior com os caminhantes, matando muitos "&amp;"salvadores. Rick finalmente convence Jadis e os catadores a se alinharem com ele, e planejam forçar os salvadores a se render. No entanto, quando eles chegam ao santuário, Rick fica horrorizado ao ver as paredes violadas e nenhum sinal do rebanho de Walke"&amp;"r. 107 8 `` Como é ser '' Michael E. Satrazemis David Leslie Johnson e Angela Kang 10 de dezembro de 2017 (2017 - 12 - 10) 7.89 O plano de Eugene permite que os salvadores escapem do santuário e separadamente, o separadamente, o separadamente, o Salvadore"&amp;"s Waylay, as forças de Alexandria, Hilltop e Reino. Os catadores abandonam Rick, após o que ele retorna a Alexandria. Aaron e Enid são emboscados por soldados da Oceanside, levando Enid a matar a Natânia. Ezequiel garante que os moradores do reino possam "&amp;"escapar antes de se trancar na comunidade com os salvadores. Eugene ajuda Gabriel e Doutor Carson a escapar do santuário para aliviar sua consciência. Negan ataca Alexandria, mas Carl inventa um plano para permitir que os moradores de Alexandria escapasse"&amp;"m para os esgotos. Carl revela que foi mordido por um caminhante enquanto escolta Siddiq para Alexandria. 108 9 `` Honor '' Greg Nicotero Matthew Negrete &amp; Channing Powell, 25 de fevereiro de 2018 (2018 - 02 - 25) 8.28 Percebendo que seu tempo vivo é limi"&amp;"tado, Carl escreve várias cartas para seus entes queridos. Depois que os salvadores saem de Alexandria, os sobreviventes fazem o topo da colina, enquanto Rick e Michonne ficam para trás para se despedir de um Carl moribundo, que implora a Rick para constr"&amp;"uir um futuro melhor ao lado dos Salvadores. Morgan e Carol lançam uma missão de resgate para Ezequiel e retomam com sucesso o reino dos salvadores invasores; Seu tenente, Gavin, é morto pelo vingativo irmão mais novo de Benjamin, Henry. 109 10 `` The Los"&amp;"t and the Phlenderers '' David Boyd Angela Kang e Channing Powell e Corey Reed 4 de março de 2018 (2018 - 03 - 04) 6.82 Aaron e Enid tentam convencer o Oceanside a se juntar à luta contra os Saviors, mas eles recusar ; Enid retorna ao Hilltop enquanto Aar"&amp;"on opta por ficar em Oceanside até que ele possa convencê -los a se juntar. Ao saber do tanque do tesouro com Rick, Negan ordena que Simon mate apenas um dos pessoas de Jadis. Rick e Michonne viajam para o Junkyard para avisar os Jadis sobre o ataque imin"&amp;"ente dos salvadores, mas eles são tarde demais; Simon ordenou que os salvadores matassem todo o grupo; Jadis, que conseguiu escapar de atrair seus camaradas reanimados em um triturador de lixo para se proteger. 110 11 `` morto ou vivo ou '' Michael E. Sat"&amp;"razemis Eddie Guzelian 11 de março de 2018 (2018 - 03 - 11) 6.60 Os salvadores caçam os alexandrãos sobreviventes enquanto chegam ao topo da colina; Dwight afirma sua lealdade ao grupo de Rick, enquanto distrai os salvadores e ajuda a levar o grupo à segu"&amp;"rança. Eugene lidera uma tripulação de salvadores na criação de balas em um novo posto avançado, enquanto Negan planeja manchar as armas dos salvadoras com o sangue de Walker, a fim de fazer os outros `` girar '' em vez de matá -los. O doutor Carson tenta"&amp;" ajudar um Gabriel febril e quase cego à segurança, mas os salvadores acabam alcançando, matando Carson e recuperando Gabriel. 111 12 `` The Key '' Greg Nicotero Corey Reed &amp; Channing Powell 18 de março de 2018 (2018 - 03 - 18) 6.66 Maggie, Enid, Michonne"&amp;" e Rosita encontram uma mulher aparentemente benevolente chamada Georgie, que lhes dá comida e documentos em troca para registros fonógrafos; Georgie afirma que os documentos são `` uma chave para o futuro ''. Negan lidera os salvadores ao topo da colina "&amp;"para enviar um aviso por meio de suas armas recém -contaminadas; Rick persegue os salvadores e persegue Negan em um prédio. Negan finalmente escapa, apenas para ser capturado à mão armada por Jadis. Incapaz de encontrar Negan, Simon instrui os salvadores "&amp;"a atacar o Hilltop e `` expunir '' a comunidade para sempre. 112 13 `` Não nos desvie '' Jeffrey F. Janeiro Angela Kang e Matthew Negrete 25 de março de 2018 (2018 - 03 - 25) 6.77 Os salvadores atacam o topo da colina com suas armas contaminadas, levando "&amp;"a uma batalha na qual ambos os lados Sofra baixas pesadas. Tara é não fatalmente filmada por Dwight, em um esforço para impedir que Simon a matasse. Durante a noite, os feridos morrem de suas feridas contaminadas e atacam os sobreviventes do sono após a r"&amp;"eanimação. Henry tenta se vingar do assassinato de seu irmão, levando à fuga dos prisioneiros do Salvador e ao desaparecimento de Henry. Tendo visto a atitude insensível dos salvadores, Alden e vários outros salvadores optam por permanecer no Hilltop, em "&amp;"vez de retornar aos Salvadores. 113 14 `` Ainda tenho que dizer algo '' Michael E. Satrazemis Eddie Guzelian 1 de abril de 2018 (2018 - 04 - 01) 6.30 Carol e Morgan procuram Henry enquanto Rick caça os prisioneiros Salvadores escape; Morgan abandona Carol"&amp;" e se junta a Rick, e eles encontram e matam os prisioneiros. Jadis tortura Negan até informar que ele não tinha nada a ver com Simon Massacando seu povo; Um helicóptero voa nas proximidades, mas Jadis não consegue chamar sua atenção. Daryl e Rosita consp"&amp;"iram para impedir Eugene de criar munição para os salvadores. Carol encontra Henry vivo na floresta e eles retornam ao Hilltop. Após o retorno de Rick e Morgan, Michonne incentiva Rick a ler a carta de Carl. 114 15 `` Worth '' Michael Sloveis David Leslie"&amp;" Johnson - McGoldrick &amp; Corey Reed 8 de abril de 2018 (2018 - 04 - 08) 6.67 Negan retorna ao santuário e recupera o controle dos salvadores. Dwight secretamente prepara anotações para Rick sobre os planos de Negan e depois envia Gregory para entregar as n"&amp;"otas. Daryl e Rosita capturam Eugene de seu posto avançado, mas ele consegue escapar e continua empurrando seus trabalhadores a criar balas. Dwight atrai Simon para uma reunião em que Negan o aborda por ir contra suas ordens com os catadores e o mata em u"&amp;"ma briga. Negan então revela que Laura o informou sobre o tapume de Dwight com Rick, e que seu planejamento era um ardil ao saber da deslealdade de Dwight. Negan é contatado por Michonne - que lê a carta de Carl a ele a pedido de fazer as pazes; Negan con"&amp;"tinua com a intenção de matar Rick e seus aliados de uma vez por todas. 115 16 `` Wrath '' Greg Nicotero Scott M. Gimple e Angela Kang e Matthew Negrete 15 de abril de 2018 (2018 - 04 - 15) 7.92 O grupo de Rick segue os falsos planos dados a eles por Greg"&amp;"ory, levando -os a uma armadilha . À medida que os salvadores disparam, suas armas saem pela culatra devido à sua munição ser sabotada por Eugene. Os salvadores sobreviventes se rendem, enquanto Rick persegue Negan; Os dois Brawl e Rick conseguem cortar o"&amp;" pescoço de Negan, mas imediatamente o Siddiq tende a ferir, sabendo que Carl queria que Negan sobrevivesse. Enquanto isso, um ataque no Hilltop é interrompido com a ajuda de Aaron e os soldados da Oceanside. Os sobreviventes se reagrupam e reconstruem su"&amp;"as comunidades, mas a decisão de Rick de poupar Negan Angers Maggie e ela promete agir contra Rick no futuro.")</f>
        <v>   Não . Nº de título geral no título da temporada, dirigido por escrito pelos espectadores originais da Data Aérea dos EUA (milhões) 100 `` Mercy '' Greg Nicotero Scott M. Gimple 22 de outubro de 2017 (2017 - 10 - 22) 11.44 Rick, Maggie e Ezequiel Rally seu comunidades juntas para derrubar Negan. Gregory tenta ter os moradores do Hilltop com Negan, mas todos ficam firmemente atrás de Maggie. O grupo ataca o santuário, derrubando suas cercas e inundando o complexo com os caminhantes. Com o santuário desfigurado, todo mundo sai, exceto Gabriel, que relutantemente fica para salvar Gregory, mas é deixado para trás quando Gregory o abandonar. Cercado por caminhantes, Gabriel se esconde em um trailer, onde está preso com Negan. 101 `` The Damned '' Rosemary Rodriguez Matthew Negrete &amp; Channing Powell 29 de outubro de 2017 (2017 - 10 - 29) 8.92 As forças de Rick se separaram em partes separadas para atacar vários postos externos dos Savores, durante os quais muitos membros do grupo são mortas ; Eric está gravemente ferido e apressado por Aaron. Jesus impede Tara e Morgan de executar um grupo de salvadores rendidos. Enquanto limpava um posto avançado com Daryl, Rick é confrontado e mantido à mão armada por Morales, um sobrevivente que ele conheceu no acampamento inicial de Atlanta, que agora está com os salvadores. 102 `` Monsters '' Greg Nicotero Matthew Negrete &amp; Channing Powell 5 de novembro de 2017 (2017 - 11 - 05) 8.52 Daryl encontra Morales ameaçando Rick e o mata; A dupla então persegue um grupo de salvadores que estão transportando armas para outro posto avançado. Gregory retorna ao Hilltop e, após uma discussão acalorada, Maggie finalmente o permite de volta à comunidade. Eric morre de seus ferimentos, deixando Aaron perturbado. Apesar das objeções de Tara e Morgan, Jesus lidera o grupo de salvadores entregados ao Hilltop. O grupo de Ezequiel ataca outro composto salvador, durante o qual os combatentes do reino são aniquilados enquanto protegem Ezequiel. 103 `` Algum cara '' Dan Liu David Leslie Johnson 12 de novembro de 2017 (2017 - 11 - 12) 8.69 O grupo de Ezequiel está impressionado com os salvadores, que matam todos eles, exceto por Ezequiel e Jerry. Carol limpa o interior do complexo, matando todos, exceto dois salvadores, que quase escapam, mas acabam sendo pegos por Rick e Daryl. A caminho do reino, Ezequiel, Jerry e Carol estão cercados por caminhantes, mas Shiva se sacrifica para salvá -los. O trio retorna ao reino, onde a confiança de Ezequiel em si mesmo como líder diminuiu. 104 5 `` The Big Scary U '' Michael E. Satrazemis História de: Scott M. Gimple e David Leslie Johnson e Angela Kang Teleplay por: David Leslie Johnson e Angela Kang 19 de novembro de 2017 (2017 - 11 - 19) 7.85 Depois Confessando seus pecados um para o outro, Gabriel e Negan conseguem escapar do trailer. Simon e os outros tenentes suspeitam um do outro, sabendo que as forças de Rick devem ter informações internas. Os trabalhadores do santuário ficam cada vez mais frustrados com suas condições de vida, e um tumulto quase se segue, até que Negan retorne e restaure a ordem. Gabriel está trancado em uma célula, onde Eugene o descobre doente e sofrimento. Enquanto isso, Rick e Daryl discutem sobre como tirar os salvadores, levando Daryl a abandonar Rick. 105 6 `` O rei, a viúva e Rick '' John Polson Angela Kang e Corey Reed 26 de novembro de 2017 (2017 - 11 - 26) 8.28 Rick visita Jadis na esperança de convencê -la a se voltar contra Negan; Jadis recusa e trava Rick em um contêiner de remessa. Carl encontra Siddiq na floresta e o recruta para Alexandria. Daryl e Tara planejam se desviar dos planos de Rick destruindo o santuário. Ezekiel se isola no reino, onde Carol tenta encorajá -lo a ser o líder que seu povo precisa. Maggie tem o grupo de salvadores capturados colocados em uma área de espera e força Gregory a se juntar a eles como punição por trair o Hilltop. 106 7 `` Time para depois de '' Larry Teng Matthew Negrete e Corey Reed 3 de dezembro de 2017 (2017 - 12 - 03) 7.47 Depois de saber da associação de Dwight com o grupo de Rick, Eugene afirma sua lealdade a Negan e descreve um Planeje se livrar dos caminhantes em torno do santuário. Com a ajuda de Morgan e Tara, Daryl dirige um caminhão pelas paredes do santuário, inundando seu interior com os caminhantes, matando muitos salvadores. Rick finalmente convence Jadis e os catadores a se alinharem com ele, e planejam forçar os salvadores a se render. No entanto, quando eles chegam ao santuário, Rick fica horrorizado ao ver as paredes violadas e nenhum sinal do rebanho de Walker. 107 8 `` Como é ser '' Michael E. Satrazemis David Leslie Johnson e Angela Kang 10 de dezembro de 2017 (2017 - 12 - 10) 7.89 O plano de Eugene permite que os salvadores escapem do santuário e separadamente, o separadamente, o separadamente, o Salvadores Waylay, as forças de Alexandria, Hilltop e Reino. Os catadores abandonam Rick, após o que ele retorna a Alexandria. Aaron e Enid são emboscados por soldados da Oceanside, levando Enid a matar a Natânia. Ezequiel garante que os moradores do reino possam escapar antes de se trancar na comunidade com os salvadores. Eugene ajuda Gabriel e Doutor Carson a escapar do santuário para aliviar sua consciência. Negan ataca Alexandria, mas Carl inventa um plano para permitir que os moradores de Alexandria escapassem para os esgotos. Carl revela que foi mordido por um caminhante enquanto escolta Siddiq para Alexandria. 108 9 `` Honor '' Greg Nicotero Matthew Negrete &amp; Channing Powell, 25 de fevereiro de 2018 (2018 - 02 - 25) 8.28 Percebendo que seu tempo vivo é limitado, Carl escreve várias cartas para seus entes queridos. Depois que os salvadores saem de Alexandria, os sobreviventes fazem o topo da colina, enquanto Rick e Michonne ficam para trás para se despedir de um Carl moribundo, que implora a Rick para construir um futuro melhor ao lado dos Salvadores. Morgan e Carol lançam uma missão de resgate para Ezequiel e retomam com sucesso o reino dos salvadores invasores; Seu tenente, Gavin, é morto pelo vingativo irmão mais novo de Benjamin, Henry. 109 10 `` The Lost and the Phlenderers '' David Boyd Angela Kang e Channing Powell e Corey Reed 4 de março de 2018 (2018 - 03 - 04) 6.82 Aaron e Enid tentam convencer o Oceanside a se juntar à luta contra os Saviors, mas eles recusar ; Enid retorna ao Hilltop enquanto Aaron opta por ficar em Oceanside até que ele possa convencê -los a se juntar. Ao saber do tanque do tesouro com Rick, Negan ordena que Simon mate apenas um dos pessoas de Jadis. Rick e Michonne viajam para o Junkyard para avisar os Jadis sobre o ataque iminente dos salvadores, mas eles são tarde demais; Simon ordenou que os salvadores matassem todo o grupo; Jadis, que conseguiu escapar de atrair seus camaradas reanimados em um triturador de lixo para se proteger. 110 11 `` morto ou vivo ou '' Michael E. Satrazemis Eddie Guzelian 11 de março de 2018 (2018 - 03 - 11) 6.60 Os salvadores caçam os alexandrãos sobreviventes enquanto chegam ao topo da colina; Dwight afirma sua lealdade ao grupo de Rick, enquanto distrai os salvadores e ajuda a levar o grupo à segurança. Eugene lidera uma tripulação de salvadores na criação de balas em um novo posto avançado, enquanto Negan planeja manchar as armas dos salvadoras com o sangue de Walker, a fim de fazer os outros `` girar '' em vez de matá -los. O doutor Carson tenta ajudar um Gabriel febril e quase cego à segurança, mas os salvadores acabam alcançando, matando Carson e recuperando Gabriel. 111 12 `` The Key '' Greg Nicotero Corey Reed &amp; Channing Powell 18 de março de 2018 (2018 - 03 - 18) 6.66 Maggie, Enid, Michonne e Rosita encontram uma mulher aparentemente benevolente chamada Georgie, que lhes dá comida e documentos em troca para registros fonógrafos; Georgie afirma que os documentos são `` uma chave para o futuro ''. Negan lidera os salvadores ao topo da colina para enviar um aviso por meio de suas armas recém -contaminadas; Rick persegue os salvadores e persegue Negan em um prédio. Negan finalmente escapa, apenas para ser capturado à mão armada por Jadis. Incapaz de encontrar Negan, Simon instrui os salvadores a atacar o Hilltop e `` expunir '' a comunidade para sempre. 112 13 `` Não nos desvie '' Jeffrey F. Janeiro Angela Kang e Matthew Negrete 25 de março de 2018 (2018 - 03 - 25) 6.77 Os salvadores atacam o topo da colina com suas armas contaminadas, levando a uma batalha na qual ambos os lados Sofra baixas pesadas. Tara é não fatalmente filmada por Dwight, em um esforço para impedir que Simon a matasse. Durante a noite, os feridos morrem de suas feridas contaminadas e atacam os sobreviventes do sono após a reanimação. Henry tenta se vingar do assassinato de seu irmão, levando à fuga dos prisioneiros do Salvador e ao desaparecimento de Henry. Tendo visto a atitude insensível dos salvadores, Alden e vários outros salvadores optam por permanecer no Hilltop, em vez de retornar aos Salvadores. 113 14 `` Ainda tenho que dizer algo '' Michael E. Satrazemis Eddie Guzelian 1 de abril de 2018 (2018 - 04 - 01) 6.30 Carol e Morgan procuram Henry enquanto Rick caça os prisioneiros Salvadores escape; Morgan abandona Carol e se junta a Rick, e eles encontram e matam os prisioneiros. Jadis tortura Negan até informar que ele não tinha nada a ver com Simon Massacando seu povo; Um helicóptero voa nas proximidades, mas Jadis não consegue chamar sua atenção. Daryl e Rosita conspiram para impedir Eugene de criar munição para os salvadores. Carol encontra Henry vivo na floresta e eles retornam ao Hilltop. Após o retorno de Rick e Morgan, Michonne incentiva Rick a ler a carta de Carl. 114 15 `` Worth '' Michael Sloveis David Leslie Johnson - McGoldrick &amp; Corey Reed 8 de abril de 2018 (2018 - 04 - 08) 6.67 Negan retorna ao santuário e recupera o controle dos salvadores. Dwight secretamente prepara anotações para Rick sobre os planos de Negan e depois envia Gregory para entregar as notas. Daryl e Rosita capturam Eugene de seu posto avançado, mas ele consegue escapar e continua empurrando seus trabalhadores a criar balas. Dwight atrai Simon para uma reunião em que Negan o aborda por ir contra suas ordens com os catadores e o mata em uma briga. Negan então revela que Laura o informou sobre o tapume de Dwight com Rick, e que seu planejamento era um ardil ao saber da deslealdade de Dwight. Negan é contatado por Michonne - que lê a carta de Carl a ele a pedido de fazer as pazes; Negan continua com a intenção de matar Rick e seus aliados de uma vez por todas. 115 16 `` Wrath '' Greg Nicotero Scott M. Gimple e Angela Kang e Matthew Negrete 15 de abril de 2018 (2018 - 04 - 15) 7.92 O grupo de Rick segue os falsos planos dados a eles por Gregory, levando -os a uma armadilha . À medida que os salvadores disparam, suas armas saem pela culatra devido à sua munição ser sabotada por Eugene. Os salvadores sobreviventes se rendem, enquanto Rick persegue Negan; Os dois Brawl e Rick conseguem cortar o pescoço de Negan, mas imediatamente o Siddiq tende a ferir, sabendo que Carl queria que Negan sobrevivesse. Enquanto isso, um ataque no Hilltop é interrompido com a ajuda de Aaron e os soldados da Oceanside. Os sobreviventes se reagrupam e reconstruem suas comunidades, mas a decisão de Rick de poupar Negan Angers Maggie e ela promete agir contra Rick no futuro.</v>
      </c>
    </row>
    <row r="408" customFormat="false" ht="15.75" hidden="false" customHeight="true" outlineLevel="0" collapsed="false">
      <c r="A408" s="3" t="n">
        <v>405</v>
      </c>
      <c r="B408" s="5" t="s">
        <v>1218</v>
      </c>
      <c r="C408" s="5" t="s">
        <v>1219</v>
      </c>
      <c r="D408" s="5" t="s">
        <v>1220</v>
      </c>
      <c r="E408" s="4" t="str">
        <f aca="false">IFERROR(__xludf.dummyfunction("GOOGLETRANSLATE(C409)"),"Onde está a série Hallmark Good Witch Filmed")</f>
        <v>Onde está a série Hallmark Good Witch Filmed</v>
      </c>
      <c r="F408" s="5" t="str">
        <f aca="false">IFERROR(__xludf.dummyfunction("GOOGLETRANSLATE(D408)")," `` The Love Song of J. Alfred Prufrock '', comumente conhecido como `` Prufrock '', é o primeiro poema publicado profissionalmente da American - Born, poeta britânico T.S. Eliot (1888 - 1965). Eliot começou a escrever `` Prufrock '' em fevereiro de 1910,"&amp;" e foi publicado pela primeira vez na edição de junho de 1915 da poesia: uma revista de verso por instigação de Ezra Pound (1885 - 1972). Mais tarde, foi impresso como parte de um panfleto de doze - poema (ou livro de capas) intitulado Prufrock e outras o"&amp;"bservações em 1917. Na época de sua publicação, Prufrock era considerado estranho, mas agora é visto como anunciando uma mudança cultural paradigmática do verso romântico do final do século XIX e letras georgianas para o modernismo.")</f>
        <v> `` The Love Song of J. Alfred Prufrock '', comumente conhecido como `` Prufrock '', é o primeiro poema publicado profissionalmente da American - Born, poeta britânico T.S. Eliot (1888 - 1965). Eliot começou a escrever `` Prufrock '' em fevereiro de 1910, e foi publicado pela primeira vez na edição de junho de 1915 da poesia: uma revista de verso por instigação de Ezra Pound (1885 - 1972). Mais tarde, foi impresso como parte de um panfleto de doze - poema (ou livro de capas) intitulado Prufrock e outras observações em 1917. Na época de sua publicação, Prufrock era considerado estranho, mas agora é visto como anunciando uma mudança cultural paradigmática do verso romântico do final do século XIX e letras georgianas para o modernismo.</v>
      </c>
    </row>
    <row r="409" customFormat="false" ht="15.75" hidden="false" customHeight="true" outlineLevel="0" collapsed="false">
      <c r="A409" s="3" t="n">
        <v>406</v>
      </c>
      <c r="B409" s="5" t="s">
        <v>1221</v>
      </c>
      <c r="C409" s="5" t="s">
        <v>1222</v>
      </c>
      <c r="D409" s="5" t="s">
        <v>1223</v>
      </c>
      <c r="E409" s="4" t="str">
        <f aca="false">IFERROR(__xludf.dummyfunction("GOOGLETRANSLATE(C410)"),"Quem era o cantor original de Jesus pessoal")</f>
        <v>Quem era o cantor original de Jesus pessoal</v>
      </c>
      <c r="F409" s="5" t="str">
        <f aca="false">IFERROR(__xludf.dummyfunction("GOOGLETRANSLATE(D409)")," Embora ambientado em `` Middleton, EUA '', foi filmado em Hamilton e Niagara no lago, Ontário. Na sequência, o charme da Good Witch, o mapa na parede da delegacia mostra Middleton North e West of Chicago, nas proximidades do condado de DuPage. Os nomes d"&amp;"os subúrbios e interestaduais que estão a oeste de Chicago podem ser vistos claramente.")</f>
        <v> Embora ambientado em `` Middleton, EUA '', foi filmado em Hamilton e Niagara no lago, Ontário. Na sequência, o charme da Good Witch, o mapa na parede da delegacia mostra Middleton North e West of Chicago, nas proximidades do condado de DuPage. Os nomes dos subúrbios e interestaduais que estão a oeste de Chicago podem ser vistos claramente.</v>
      </c>
    </row>
    <row r="410" customFormat="false" ht="15.75" hidden="false" customHeight="true" outlineLevel="0" collapsed="false">
      <c r="A410" s="3" t="n">
        <v>407</v>
      </c>
      <c r="B410" s="5" t="s">
        <v>1224</v>
      </c>
      <c r="C410" s="5" t="s">
        <v>1225</v>
      </c>
      <c r="D410" s="5" t="s">
        <v>1226</v>
      </c>
      <c r="E410" s="4" t="str">
        <f aca="false">IFERROR(__xludf.dummyfunction("GOOGLETRANSLATE(C411)"),"que interpreta a sra. Davis no Homem de Ferro 3")</f>
        <v>que interpreta a sra. Davis no Homem de Ferro 3</v>
      </c>
      <c r="F410" s="5" t="str">
        <f aca="false">IFERROR(__xludf.dummyfunction("GOOGLETRANSLATE(D410)")," `` Jesus pessoal '' é uma música da banda eletrônica inglesa Depeche Mode, lançada em 28 de agosto de 1989 como o single principal de seu sétimo álbum, Violator (1990). Atingiu o número 13 na parada de singles do Reino Unido e o número 28 na Billboard Ho"&amp;"t 100. O single foi o primeiro a tornar o Top 40 dos EUA desde 1984 'S `` pessoas são pessoas' 'e foi seu primeiro single de ouro - certificado nos EUA (rapidamente seguido por seu sucessor, `` aproveitar o silêncio' ').")</f>
        <v> `` Jesus pessoal '' é uma música da banda eletrônica inglesa Depeche Mode, lançada em 28 de agosto de 1989 como o single principal de seu sétimo álbum, Violator (1990). Atingiu o número 13 na parada de singles do Reino Unido e o número 28 na Billboard Hot 100. O single foi o primeiro a tornar o Top 40 dos EUA desde 1984 'S `` pessoas são pessoas' 'e foi seu primeiro single de ouro - certificado nos EUA (rapidamente seguido por seu sucessor, `` aproveitar o silêncio' ').</v>
      </c>
    </row>
    <row r="411" customFormat="false" ht="15.75" hidden="false" customHeight="true" outlineLevel="0" collapsed="false">
      <c r="A411" s="3" t="n">
        <v>408</v>
      </c>
      <c r="B411" s="5" t="s">
        <v>1227</v>
      </c>
      <c r="C411" s="5" t="s">
        <v>1228</v>
      </c>
      <c r="D411" s="5" t="s">
        <v>1229</v>
      </c>
      <c r="E411" s="4" t="str">
        <f aca="false">IFERROR(__xludf.dummyfunction("GOOGLETRANSLATE(C412)"),"Qual é o nome dos caras azuis de Guardiões da Galáxia")</f>
        <v>Qual é o nome dos caras azuis de Guardiões da Galáxia</v>
      </c>
      <c r="F411" s="5" t="str">
        <f aca="false">IFERROR(__xludf.dummyfunction("GOOGLETRANSLATE(D411)"),"   Ano no ano notas 1995 A aventura incrivelmente verdadeira de duas garotas no amor Regina 1995 Running Wild Judith 1995 A jornada de agosto do rei Jenny da prisão dos segredos Lynn's Friend 2000 Sordid vive Glyndora 2001 The Pledge Strom 2005 Nossa próp"&amp;"ria frigideira 2005 Domino Edna Edna Fender 2006 Nichts ALS GESESTER ANNIE 2008 Parque de trailer do terror Daryl 2008 Dark Canvas Wilma 2008 Changeling Patient Prêmio da Associação de Críticos de Melhor Ensemble (2º lugar) Nomeado - San Diego Diego Criti"&amp;"cs Society Award de Melhor Atriz Coadjuvante Nomeada - San Diego Critics Society Award de Melhor Ensemble Performance 2011 Child of the Desert Elia 2011 Super 8 Edie 2011 Piratas do The the Caribe: Contos do Código: Evidência Wedlocked Oona 2012 Katrina F"&amp;"leishman 2012 Blues para Willadean Rayleen Hobbs 2012 Contos de magia cotidiana Maggie 2012 A pessoa mais feliz na América Meg 2012 sendo Flynn Marie 2012 O papel de parede amarelo Jennie Gilman 2012 O homem que abriu a mão da mão de Vicente Fernandez Den"&amp;"ise 2012 A viagem de culpa Tammy 2012 perdeu de propósito Retta Lee 2012 9 LONS COMPLETAS Billie 2013 C.O.G. Debbie 2013 Os ensaios de Cate McCall Sra. Stubbs 2013 Teddy Bears Lori 2013 Iron Man 3 Sra. Davis 2013 Southern Baptist Sissies Odette 2014 O que"&amp;" Lola quer mama 2014 Dark Averling the Stars Rita 2014 Bird Bird em A Blizzard Sra. Hillman 2014 A posse de posse de Rita 2014 Michael King Beverly 2014 San Patricios Colleen Donnelly 2015 Regressão Rose Gray 2015 Waffle Street Crazy Kathy 2015 Blood Pai "&amp;"Cherise 2016 Hell ou High Water Elsie 2016")</f>
        <v>   Ano no ano notas 1995 A aventura incrivelmente verdadeira de duas garotas no amor Regina 1995 Running Wild Judith 1995 A jornada de agosto do rei Jenny da prisão dos segredos Lynn's Friend 2000 Sordid vive Glyndora 2001 The Pledge Strom 2005 Nossa própria frigideira 2005 Domino Edna Edna Fender 2006 Nichts ALS GESESTER ANNIE 2008 Parque de trailer do terror Daryl 2008 Dark Canvas Wilma 2008 Changeling Patient Prêmio da Associação de Críticos de Melhor Ensemble (2º lugar) Nomeado - San Diego Diego Critics Society Award de Melhor Atriz Coadjuvante Nomeada - San Diego Critics Society Award de Melhor Ensemble Performance 2011 Child of the Desert Elia 2011 Super 8 Edie 2011 Piratas do The the Caribe: Contos do Código: Evidência Wedlocked Oona 2012 Katrina Fleishman 2012 Blues para Willadean Rayleen Hobbs 2012 Contos de magia cotidiana Maggie 2012 A pessoa mais feliz na América Meg 2012 sendo Flynn Marie 2012 O papel de parede amarelo Jennie Gilman 2012 O homem que abriu a mão da mão de Vicente Fernandez Denise 2012 A viagem de culpa Tammy 2012 perdeu de propósito Retta Lee 2012 9 LONS COMPLETAS Billie 2013 C.O.G. Debbie 2013 Os ensaios de Cate McCall Sra. Stubbs 2013 Teddy Bears Lori 2013 Iron Man 3 Sra. Davis 2013 Southern Baptist Sissies Odette 2014 O que Lola quer mama 2014 Dark Averling the Stars Rita 2014 Bird Bird em A Blizzard Sra. Hillman 2014 A posse de posse de Rita 2014 Michael King Beverly 2014 San Patricios Colleen Donnelly 2015 Regressão Rose Gray 2015 Waffle Street Crazy Kathy 2015 Blood Pai Cherise 2016 Hell ou High Water Elsie 2016</v>
      </c>
    </row>
    <row r="412" customFormat="false" ht="15.75" hidden="false" customHeight="true" outlineLevel="0" collapsed="false">
      <c r="A412" s="3" t="n">
        <v>409</v>
      </c>
      <c r="B412" s="5" t="s">
        <v>1230</v>
      </c>
      <c r="C412" s="5" t="s">
        <v>1231</v>
      </c>
      <c r="D412" s="5" t="s">
        <v>1232</v>
      </c>
      <c r="E412" s="4" t="str">
        <f aca="false">IFERROR(__xludf.dummyfunction("GOOGLETRANSLATE(C413)"),"Uma história da Cinderela uma vez uma música Katie e Luke Kiss")</f>
        <v>Uma história da Cinderela uma vez uma música Katie e Luke Kiss</v>
      </c>
      <c r="F412" s="5" t="str">
        <f aca="false">IFERROR(__xludf.dummyfunction("GOOGLETRANSLATE(D412)")," Michael Rooker como Yondu Udonta: um bandido azul - com pele que é o líder dos Ravagers e uma figura paterna a Quill. Yondu ajuda a Quill a roubar a esfera antes de Quill o trai, deixando Yondu e os Ravagers para perseguir os Guardiões. No personagem, di"&amp;"sse Rooker, ele tem `` algumas questões interessantes - não é um cara legal, não um cara mau. Existe esperança e há um coração dentro de Yondu. '' Gunn criou a versão do filme do personagem especificamente com Rooker em mente, enquanto empresta o Mohawk d"&amp;"o personagem e o uso de uma seta controlada por apito dos quadrinhos. Rooker, totalmente comprometido com o papel, uma vez que soubesse seu papel na série de TV The Walking Dead estaria terminando. A maquiagem de Rooker levou aproximadamente quatro horas "&amp;"para aplicar.")</f>
        <v> Michael Rooker como Yondu Udonta: um bandido azul - com pele que é o líder dos Ravagers e uma figura paterna a Quill. Yondu ajuda a Quill a roubar a esfera antes de Quill o trai, deixando Yondu e os Ravagers para perseguir os Guardiões. No personagem, disse Rooker, ele tem `` algumas questões interessantes - não é um cara legal, não um cara mau. Existe esperança e há um coração dentro de Yondu. '' Gunn criou a versão do filme do personagem especificamente com Rooker em mente, enquanto empresta o Mohawk do personagem e o uso de uma seta controlada por apito dos quadrinhos. Rooker, totalmente comprometido com o papel, uma vez que soubesse seu papel na série de TV The Walking Dead estaria terminando. A maquiagem de Rooker levou aproximadamente quatro horas para aplicar.</v>
      </c>
    </row>
    <row r="413" customFormat="false" ht="15.75" hidden="false" customHeight="true" outlineLevel="0" collapsed="false">
      <c r="A413" s="3" t="n">
        <v>410</v>
      </c>
      <c r="B413" s="5" t="s">
        <v>1233</v>
      </c>
      <c r="C413" s="5" t="s">
        <v>1234</v>
      </c>
      <c r="D413" s="5" t="s">
        <v>1235</v>
      </c>
      <c r="E413" s="4" t="str">
        <f aca="false">IFERROR(__xludf.dummyfunction("GOOGLETRANSLATE(C414)"),"Quem é o usuário mais seguido no Instagram")</f>
        <v>Quem é o usuário mais seguido no Instagram</v>
      </c>
      <c r="F413" s="5" t="str">
        <f aca="false">IFERROR(__xludf.dummyfunction("GOOGLETRANSLATE(D413)")," Luke quer encontrar a garota que cantou para ele. Na sala de música, ele vê Bev Lip - sincronizando a voz de Katie (`` fazer você acreditar ''). Saltando para o óbvio - mas - conclusão errada, Luke se apaixona por Bev e a convida a escrever mais músicas "&amp;"com ele. Muito com o horror de Bev, ele a trata em um restaurante naquela noite. Luke fica impressionado com a aptidão musical de Bev, sem saber que Katie está enviando mensagens para ela o que ela deveria dizer (porque Bev a forçou a ajudar). No dia segu"&amp;"inte, Luke passa pela casa de Bev e a bate com Victor, a quem ele dá aulas de violão. Katie também se reconecta com Luke, que não gosta quando ela tem que sair novamente - desta vez, para jogar fora o retrato premiado de Gail, que Victor arruinou cortando"&amp;" seu rosto. Bev corta Luke, a quem ela força Victor a ajudá -la a enganar usando dispositivos de comunicação eletrônicos em miniatura, para que Katie possa treiná -la até outro encontro. Katie reúne uma música no local (`` possibilidades ''), que Luke can"&amp;"ta, pensando que é bev. Ela e Luke Kiss, que quebra o coração de Katie. Victor notou a angústia de Katie e simpatiza com ela.")</f>
        <v> Luke quer encontrar a garota que cantou para ele. Na sala de música, ele vê Bev Lip - sincronizando a voz de Katie (`` fazer você acreditar ''). Saltando para o óbvio - mas - conclusão errada, Luke se apaixona por Bev e a convida a escrever mais músicas com ele. Muito com o horror de Bev, ele a trata em um restaurante naquela noite. Luke fica impressionado com a aptidão musical de Bev, sem saber que Katie está enviando mensagens para ela o que ela deveria dizer (porque Bev a forçou a ajudar). No dia seguinte, Luke passa pela casa de Bev e a bate com Victor, a quem ele dá aulas de violão. Katie também se reconecta com Luke, que não gosta quando ela tem que sair novamente - desta vez, para jogar fora o retrato premiado de Gail, que Victor arruinou cortando seu rosto. Bev corta Luke, a quem ela força Victor a ajudá -la a enganar usando dispositivos de comunicação eletrônicos em miniatura, para que Katie possa treiná -la até outro encontro. Katie reúne uma música no local (`` possibilidades ''), que Luke canta, pensando que é bev. Ela e Luke Kiss, que quebra o coração de Katie. Victor notou a angústia de Katie e simpatiza com ela.</v>
      </c>
    </row>
    <row r="414" customFormat="false" ht="15.75" hidden="false" customHeight="true" outlineLevel="0" collapsed="false">
      <c r="A414" s="3" t="n">
        <v>411</v>
      </c>
      <c r="B414" s="5" t="s">
        <v>155</v>
      </c>
      <c r="C414" s="5" t="s">
        <v>1236</v>
      </c>
      <c r="D414" s="5" t="s">
        <v>1237</v>
      </c>
      <c r="E414" s="4" t="str">
        <f aca="false">IFERROR(__xludf.dummyfunction("GOOGLETRANSLATE(C415)"),"Quando fumava em bares banidos no Reino Unido")</f>
        <v>Quando fumava em bares banidos no Reino Unido</v>
      </c>
      <c r="F414" s="5" t="str">
        <f aca="false">IFERROR(__xludf.dummyfunction("GOOGLETRANSLATE(D414)")," Esta lista contém as 25 principais contas com o maior número de seguidores na foto social - compartilhando o Instagram. Em maio de 2018, o usuário mais seguido é a conta do Instagram, com mais de 235 milhões de seguidores. Selena Gomez é a pessoa mais se"&amp;"guida, com mais de 137 milhões de seguidores. Dez contas excederam 100 milhões de seguidores no site.")</f>
        <v> Esta lista contém as 25 principais contas com o maior número de seguidores na foto social - compartilhando o Instagram. Em maio de 2018, o usuário mais seguido é a conta do Instagram, com mais de 235 milhões de seguidores. Selena Gomez é a pessoa mais seguida, com mais de 137 milhões de seguidores. Dez contas excederam 100 milhões de seguidores no site.</v>
      </c>
    </row>
    <row r="415" customFormat="false" ht="15.75" hidden="false" customHeight="true" outlineLevel="0" collapsed="false">
      <c r="A415" s="3" t="n">
        <v>412</v>
      </c>
      <c r="B415" s="5" t="s">
        <v>1238</v>
      </c>
      <c r="C415" s="5" t="s">
        <v>1239</v>
      </c>
      <c r="D415" s="5" t="s">
        <v>1240</v>
      </c>
      <c r="E415" s="4" t="str">
        <f aca="false">IFERROR(__xludf.dummyfunction("GOOGLETRANSLATE(C416)"),"Quando os trens precisam soprar as buzinas")</f>
        <v>Quando os trens precisam soprar as buzinas</v>
      </c>
      <c r="F415" s="5" t="str">
        <f aca="false">IFERROR(__xludf.dummyfunction("GOOGLETRANSLATE(D415)")," A proibição de tabagismo na Inglaterra, tornando ilegal fumar em todos os locais de trabalho fechado na Inglaterra, entrou em vigor em 1 de julho de 2007 como conseqüência da Lei de Saúde de 2006. Bans semelhantes já haviam sido introduzidas pelo resto d"&amp;"o Reino Unido: na Escócia em 26 de março de 2006, no País de Gales, em 2 de abril de 2007 e na Irlanda do Norte em 30 de abril de 2007.")</f>
        <v> A proibição de tabagismo na Inglaterra, tornando ilegal fumar em todos os locais de trabalho fechado na Inglaterra, entrou em vigor em 1 de julho de 2007 como conseqüência da Lei de Saúde de 2006. Bans semelhantes já haviam sido introduzidas pelo resto do Reino Unido: na Escócia em 26 de março de 2006, no País de Gales, em 2 de abril de 2007 e na Irlanda do Norte em 30 de abril de 2007.</v>
      </c>
    </row>
    <row r="416" customFormat="false" ht="15.75" hidden="false" customHeight="true" outlineLevel="0" collapsed="false">
      <c r="A416" s="3" t="n">
        <v>413</v>
      </c>
      <c r="B416" s="5" t="s">
        <v>1241</v>
      </c>
      <c r="C416" s="5" t="s">
        <v>1242</v>
      </c>
      <c r="D416" s="5" t="s">
        <v>1243</v>
      </c>
      <c r="E416" s="4" t="str">
        <f aca="false">IFERROR(__xludf.dummyfunction("GOOGLETRANSLATE(C417)"),"Qual é o índice de mercado total de Wilshire 5000")</f>
        <v>Qual é o índice de mercado total de Wilshire 5000</v>
      </c>
      <c r="F416" s="5" t="str">
        <f aca="false">IFERROR(__xludf.dummyfunction("GOOGLETRANSLATE(D416)")," Em 27 de abril de 2005, a Federal Railroad Administration (FRA), que aplica os regulamentos de segurança ferroviária, publicou a regra final sobre o uso de chifres de locomotivas nas passagens de classe ferroviária. A partir de 24 de junho de 2005, a reg"&amp;"ra exige que os chifres da locomotiva sejam soados em todas as passagens públicas de pelo menos 15 segundos, mas não mais de 20 segundos antes de entrar em um cruzamento. Esta regra se aplica quando a velocidade do trem está abaixo de 45 mph (70 km / h). "&amp;"A 45 mph ou mais, os trens ainda são obrigados a soar sua buzina no local designado (geralmente indicado com um posto de apito).")</f>
        <v> Em 27 de abril de 2005, a Federal Railroad Administration (FRA), que aplica os regulamentos de segurança ferroviária, publicou a regra final sobre o uso de chifres de locomotivas nas passagens de classe ferroviária. A partir de 24 de junho de 2005, a regra exige que os chifres da locomotiva sejam soados em todas as passagens públicas de pelo menos 15 segundos, mas não mais de 20 segundos antes de entrar em um cruzamento. Esta regra se aplica quando a velocidade do trem está abaixo de 45 mph (70 km / h). A 45 mph ou mais, os trens ainda são obrigados a soar sua buzina no local designado (geralmente indicado com um posto de apito).</v>
      </c>
    </row>
    <row r="417" customFormat="false" ht="15.75" hidden="false" customHeight="true" outlineLevel="0" collapsed="false">
      <c r="A417" s="3" t="n">
        <v>414</v>
      </c>
      <c r="B417" s="5" t="s">
        <v>1244</v>
      </c>
      <c r="C417" s="5" t="s">
        <v>1245</v>
      </c>
      <c r="D417" s="5" t="s">
        <v>1246</v>
      </c>
      <c r="E417" s="4" t="str">
        <f aca="false">IFERROR(__xludf.dummyfunction("GOOGLETRANSLATE(C418)"),"que ganhou o campeonato nacional de futebol do ensino médio")</f>
        <v>que ganhou o campeonato nacional de futebol do ensino médio</v>
      </c>
      <c r="F417" s="5" t="str">
        <f aca="false">IFERROR(__xludf.dummyfunction("GOOGLETRANSLATE(D417)")," O índice total de mercado Wilshire 5000, ou mais simplesmente o Wilshire 5000, é um índice ponderado de capitalização de mercado do mercado do valor de mercado de todas as ações negociadas ativamente nos Estados Unidos. Em 31 de dezembro de 2016, o índic"&amp;"e continha apenas 3.618 componentes. O índice visa medir o desempenho das empresas de capital aberto com sede nos Estados Unidos, com dados de preços prontamente disponíveis (ações do Boletim Board / Penny e ações de empresas extremamente pequenas são exc"&amp;"luídas). Portanto, o índice inclui a maioria das ações ordinárias e os REITs negociados principalmente através da Bolsa de Valores de Nova York, NASDAQ ou American Stock Exchange. Parcerias limitadas e ADRs não estão incluídos. Pode ser rastreado seguindo"&amp;" o ticker ^ W5000.")</f>
        <v> O índice total de mercado Wilshire 5000, ou mais simplesmente o Wilshire 5000, é um índice ponderado de capitalização de mercado do mercado do valor de mercado de todas as ações negociadas ativamente nos Estados Unidos. Em 31 de dezembro de 2016, o índice continha apenas 3.618 componentes. O índice visa medir o desempenho das empresas de capital aberto com sede nos Estados Unidos, com dados de preços prontamente disponíveis (ações do Boletim Board / Penny e ações de empresas extremamente pequenas são excluídas). Portanto, o índice inclui a maioria das ações ordinárias e os REITs negociados principalmente através da Bolsa de Valores de Nova York, NASDAQ ou American Stock Exchange. Parcerias limitadas e ADRs não estão incluídos. Pode ser rastreado seguindo o ticker ^ W5000.</v>
      </c>
    </row>
    <row r="418" customFormat="false" ht="15.75" hidden="false" customHeight="true" outlineLevel="0" collapsed="false">
      <c r="A418" s="3" t="n">
        <v>415</v>
      </c>
      <c r="B418" s="5" t="s">
        <v>1247</v>
      </c>
      <c r="C418" s="5" t="s">
        <v>1248</v>
      </c>
      <c r="D418" s="5" t="s">
        <v>1249</v>
      </c>
      <c r="E418" s="4" t="str">
        <f aca="false">IFERROR(__xludf.dummyfunction("GOOGLETRANSLATE(C419)"),"Quando os ilhéus do Estreito de Torres vieram para a Austrália")</f>
        <v>Quando os ilhéus do Estreito de Torres vieram para a Austrália</v>
      </c>
      <c r="F418" s="5" t="str">
        <f aca="false">IFERROR(__xludf.dummyfunction("GOOGLETRANSLATE(D418)"),"   Ano Campeão (s) Record Selector (s) 1910 Oak Park, IL 10 - 2 Robert Zupppke NSNS 1911 Oak Park, IL 10 - 0 Robert Zulppke NSNS 1912 Oak Park, IL 13 10 - 0, IL 10 - 1 Glenn Thistlewate NSNS 1914 Envett, MA 13 - 0 Kee O'Donnell NSNS 1915 Detroit, MI, Cent"&amp;"ral 11 - 1 Edbert C. Buss NSNS Niveett, - - - - - - - - - - Cleo O'Donnell NNSNS 1916 San Diego , CA Scott, Toledo, Ohio 12 - 0 0 10 - 0 Nibs Preço Tom Merrell NNSNS 1917 NOWN Champion, Tech 0 Nrisburg G, PA, Tech 12 - 0 Paul Smith NSNS 1920 Everett, WA 9"&amp;" - 0 - 1 Enoch Bagshaw nsns Oak Park, IL 9 - 0 - 1 Glenn Thistlewaite NSNS 1921 Jacksonville, FL, DUVAL 8 - 0 NSNS desconhecido 1922 Toledo, OH, Scott 9 - 0 Dr. William A. Neill NSNS 1923 East Cleveland, OH, Shaw 9 - 1 John Snavely NSNS Toledo, OH, Scott "&amp;"10 - 0 Dr. William A. Neill NSNS 1924 Toledo, OH, Waite 10 - 0 Joe C. Collins NSNS 1925 Pine Bluff, AR 16 - 0 Foy Hammons NSNS 1926 Tuscaloosa, - 0 Purn ns - 0 Purn ns NS Score, 0 Paul Tyson NSSON NSNS 1928 Medford, ou 9 - 0 Pink Callison NSNS 1929 Tuscal"&amp;"oosa, AL 9 - 0 Paul Bulmin nsns 1930 Phoenix, AZ - 0 R.R. ROBINSON NSNS 1931 Ashland , Ky 10 -- 0 Paul Jenkins Nsns 1932 Toledo , Oh , Waitite 12 -- 0 Donald McCallister nsns 1933 Oklahoma City , ok , Capitol Hill 12 - 0 , , McKinley 11 -- 0 Jimmy Aiken N"&amp;"sns 1935 Massellon , Oh, Washington 10 - 0 Paul Brown NSNS 1936 Massellon, OH, Washington - 0 Paul Brown NSNS 1, KY, Manual - 0 Ray Baer LSA, NNSNS 1939 Massellon, OH, Washington 10 - 0 Paul Brown NSNS Pine Bluff Pine Bluff Bluff Pine Bluff , AR 11 - 0 - "&amp;"1 Allen Dunaway LSA 1 Essellon, OH, Wash, IL, Leo 11 - 0 Whitey Cronin NSNS 1942 Miami - 0 Lyles Alley Alley NSNS 1943 Miami, FL 9 - 0 Tom Moore nsns - 0 Raymond Burnett NSNS 1947 East Chicago, Roosevelt 9 - 0 NSNS UNKNOWN Lynn, MA, Classical 11 - 1 Bill "&amp;"Joyce (1) NSNS - 0 Joe Golding NSNS 1950 Massellon, OH, Washington 10 - 0 Chuck Mather nsns 1951 1951 Waymouth, MA 9 - 0 Harry Arlanson (2) NSNS 1952 Massillon, OH Primeiro 1, OH, Washington 10 - 0 Chuck Mather NSNS 1954 Vallejo - 0 Bob Patterson NSNS 195"&amp;"5 San Diego, CA 12 - 0 Dois dois Maleyley , Central, Charles NNS 14 - 0 12 - 0 Wilson Matthews Nnsns Downey HS, Downey, Califórnia 11 - 0 NSNS 1958 Oak Ridge, TN, Oak Ridge 10 - 0 Jack Armstrong Arms 1959 Massillon, OH, foi apenas . 8 - 0 - 2 Ottis Moonye"&amp;"y NSNS 1961 Massellon, OH, Washington 11 - 0 Leo Strang nsns 1962 Valdosta - 0 Wright Bazemore NSNS 1963 Chicago, Rita - 0 Edward Buckley NSNS 1964 Coral Gables, FL 12 - 0 Nick Kot Kots NSNS 1965 Miami, FL 12 - 0 Robert Carlton NSNS 1966 Pico Rivera, CA -"&amp;" 0 Sus 13 -, Reagan 14 - 0 Travis Raven nsns Coral Gables, FL 13 - 0 Nick Kotys nsns 1968 Austin, Reagan - 0 Travis Raven nsns coral nss - - 0 Nick Kotys nsns Valdosta, GA 12 - 0 - 1 Wright Bazemore nsns 1970 Regan, Austin, Texas 14 - 1 Travis Raven NSNS "&amp;"1971 Valdosta, GA 13 - 0 Wright Bazemore NSNS 1972 Bristol, TN 13 - 0 John Cropp NSNS 1973 Chattanooga, TN, Baylor 13 - 0 E.B. Etter Nsns Thomasville , ga 12 -- 1 JIM Hughes Nsns losns Los Angeles , CA , Loyola 13 -- 0 MARTY SHUNESSY NSNSSY NSNSSY NSNS 19"&amp;"76 Moelerller , Cincinnati , Oh erry faust nnsns rovit Robins rovit Robins robust nnsns rovin 13 - 0 Robert Davis SNS 1977 Cincinnati, OH, Moeller 12 - 0 Gerry Faust nsns 1978 Annandale, VA 14 - 0 Bob Hardage nsns - 0 Norry 0 Norry, Oel 12 0 n n n Nes Cin"&amp;"ati, Oh, Moeler - 0 Gerry FAUST NSNS 1981 Warner Robins, GA 15 - 0 Robert Davis NSNS 1982 Cincinnati, OH, Moeller 13 - 0 Steve Klonne NSNS, EUA Berwick Area 15 - 0 Nick Hyder NSNS, EUA 1985 East St. LOUIS, IL 14 - 0 BOB SHANNON NSNS, EUA 1986 VALDOSTA, GA"&amp;" 15 - 0 Nick Hyder NSNS, EUA Fontana, CA 14 - 0 Dick Bruich NPP TX 16 - 0 Gerald Bience nsns Pensacola, Fl, Floresta de Pine 14 - 0 Carl Madison NSNS, EUA Prichard, AL, Vigor 13- 0 Harold Clarand, OH, St. Ignatius 13 - 0 Chuck Kyle USA Odessa, TX, Permian"&amp;" 16 - 0 Gary Gaine, NSNS Houston, Texas Aldine High School 15 - 0 Bill Smith NPP Lawton, OK, Eisenhodwer 14 - 0 Tim Residing 14 - 0 Jimmy `` Chick 'Chick' Childress NSNS 1991 Indianapolis, IN, Ben Davis 14 - 0 Dick Dullaghan NPP, NSNS Lagrange, GA 15 - GA"&amp;" 14 - 0 Nick Hyder NPP, NSNS Cleveland, OH, St. Ignácio 14 -0 Chuck Kyle NPP, NSNS, EUA Concord, CA, De la Salle 13 -0 Bob Ladouceur NPP, NSNS Santa Ana, CA, Mater Dei 14 -0 Bruce Rollinson USA 1995 Berwick Area, PA 15 - 0 George Curry EUA Cleveland, Oh, "&amp;"St. Louis. Ignatius 14 - 0 Chuck Kyle NPP, NSNS Hampton, VA 14 - 0 Mike Smith NPP, NSNS Santa Ana, CA, Mater Dei 14 - 0 Bruce Roll Rollnson USA Canton, McKinley, McKinley 1om VA 13 - 0 Mike Smith NPP, NSNS 1998 CONCORD, CA, DE LA SALLE 12 - 0 BOB LADOUCEU"&amp;"R NPP, NSNS, EUA 1999 Concord, CA, De la Salle - - 0 John Parchman EUA Shreveport, LA, Evangel Christian 15 - 0 Dennis Dunn NPP 2000 Concord, CA, de la Salle 13 - 0 Bob Ladouceur NPP, EUA Concord - 0 Bob Ladou 12 - EUA 2002 Concord, CA, De la Salle 13 - 0"&amp;" Bob Ladouceur NPP, EUA 2003 Concord, CA, De De La Salle 13 - 0 Bob Ladouceur NPP, EUA Southlake, EUA NP, EUA NP, EUA, EUA 2005 Lakeland, FL 15 - 0 Bill Castle US Southlake, TX, Carroll 16 - 0 Todd Dodge NPP, Freeman 2006 Lakeland, FL 15 - 0 Bill Castle N"&amp;"PP Sodgema, Carroll 16 - - 0 a 2007 Cincinnati, OH, St. Xavier 15 - 0 Steve Specht NPP, Freeman Miami, FL, Northwestern 15 - 0 Billy Rolle USA 2008 Fort Lauderdale, FL, St. Tomás de Aquino 15 - 0 George Smith NPP, EUA, Freeman 2009 Ramsey, NJ, Don Bosco P"&amp;"rep 12 - 0 Greg Toal NPP, EUA, Freeman Fort Lauderdale, FL, St. Tomás de Aquino 15 - 0 George Smith NP Panola Sul, MS 15 - 0 Lance Pogue EUA, Freeman 2011 Ramsey, NJ, Don Bosco Prep 11 - 0 Greg Toal NPP, EUA, Freeman 14 - 0 J.T. Curtis NPP, EUA 2013 Miami"&amp;", FL, Booker do Washington 16 - 0 Jason Negro NPP, EUA 2014 Las Vegas, NV, Bispo Gorman 15 - 0 Tony Sanchez, EUA, NV, Bishop Gorman 15 - 0 Kenny Sanchez USA 2016 LAS VEGAS, NV, BISPO GORMAN 15 - 0 KENNY SANCHEZ NPP, EUA, Futebol da escola gratuita América")</f>
        <v>   Ano Campeão (s) Record Selector (s) 1910 Oak Park, IL 10 - 2 Robert Zupppke NSNS 1911 Oak Park, IL 10 - 0 Robert Zulppke NSNS 1912 Oak Park, IL 13 10 - 0, IL 10 - 1 Glenn Thistlewate NSNS 1914 Envett, MA 13 - 0 Kee O'Donnell NSNS 1915 Detroit, MI, Central 11 - 1 Edbert C. Buss NSNS Niveett, - - - - - - - - - - Cleo O'Donnell NNSNS 1916 San Diego , CA Scott, Toledo, Ohio 12 - 0 0 10 - 0 Nibs Preço Tom Merrell NNSNS 1917 NOWN Champion, Tech 0 Nrisburg G, PA, Tech 12 - 0 Paul Smith NSNS 1920 Everett, WA 9 - 0 - 1 Enoch Bagshaw nsns Oak Park, IL 9 - 0 - 1 Glenn Thistlewaite NSNS 1921 Jacksonville, FL, DUVAL 8 - 0 NSNS desconhecido 1922 Toledo, OH, Scott 9 - 0 Dr. William A. Neill NSNS 1923 East Cleveland, OH, Shaw 9 - 1 John Snavely NSNS Toledo, OH, Scott 10 - 0 Dr. William A. Neill NSNS 1924 Toledo, OH, Waite 10 - 0 Joe C. Collins NSNS 1925 Pine Bluff, AR 16 - 0 Foy Hammons NSNS 1926 Tuscaloosa, - 0 Purn ns - 0 Purn ns NS Score, 0 Paul Tyson NSSON NSNS 1928 Medford, ou 9 - 0 Pink Callison NSNS 1929 Tuscaloosa, AL 9 - 0 Paul Bulmin nsns 1930 Phoenix, AZ - 0 R.R. ROBINSON NSNS 1931 Ashland , Ky 10 -- 0 Paul Jenkins Nsns 1932 Toledo , Oh , Waitite 12 -- 0 Donald McCallister nsns 1933 Oklahoma City , ok , Capitol Hill 12 - 0 , , McKinley 11 -- 0 Jimmy Aiken Nsns 1935 Massellon , Oh, Washington 10 - 0 Paul Brown NSNS 1936 Massellon, OH, Washington - 0 Paul Brown NSNS 1, KY, Manual - 0 Ray Baer LSA, NNSNS 1939 Massellon, OH, Washington 10 - 0 Paul Brown NSNS Pine Bluff Pine Bluff Bluff Pine Bluff , AR 11 - 0 - 1 Allen Dunaway LSA 1 Essellon, OH, Wash, IL, Leo 11 - 0 Whitey Cronin NSNS 1942 Miami - 0 Lyles Alley Alley NSNS 1943 Miami, FL 9 - 0 Tom Moore nsns - 0 Raymond Burnett NSNS 1947 East Chicago, Roosevelt 9 - 0 NSNS UNKNOWN Lynn, MA, Classical 11 - 1 Bill Joyce (1) NSNS - 0 Joe Golding NSNS 1950 Massellon, OH, Washington 10 - 0 Chuck Mather nsns 1951 1951 Waymouth, MA 9 - 0 Harry Arlanson (2) NSNS 1952 Massillon, OH Primeiro 1, OH, Washington 10 - 0 Chuck Mather NSNS 1954 Vallejo - 0 Bob Patterson NSNS 1955 San Diego, CA 12 - 0 Dois dois Maleyley , Central, Charles NNS 14 - 0 12 - 0 Wilson Matthews Nnsns Downey HS, Downey, Califórnia 11 - 0 NSNS 1958 Oak Ridge, TN, Oak Ridge 10 - 0 Jack Armstrong Arms 1959 Massillon, OH, foi apenas . 8 - 0 - 2 Ottis Moonyey NSNS 1961 Massellon, OH, Washington 11 - 0 Leo Strang nsns 1962 Valdosta - 0 Wright Bazemore NSNS 1963 Chicago, Rita - 0 Edward Buckley NSNS 1964 Coral Gables, FL 12 - 0 Nick Kot Kots NSNS 1965 Miami, FL 12 - 0 Robert Carlton NSNS 1966 Pico Rivera, CA - 0 Sus 13 -, Reagan 14 - 0 Travis Raven nsns Coral Gables, FL 13 - 0 Nick Kotys nsns 1968 Austin, Reagan - 0 Travis Raven nsns coral nss - - 0 Nick Kotys nsns Valdosta, GA 12 - 0 - 1 Wright Bazemore nsns 1970 Regan, Austin, Texas 14 - 1 Travis Raven NSNS 1971 Valdosta, GA 13 - 0 Wright Bazemore NSNS 1972 Bristol, TN 13 - 0 John Cropp NSNS 1973 Chattanooga, TN, Baylor 13 - 0 E.B. Etter Nsns Thomasville , ga 12 -- 1 JIM Hughes Nsns losns Los Angeles , CA , Loyola 13 -- 0 MARTY SHUNESSY NSNSSY NSNSSY NSNS 1976 Moelerller , Cincinnati , Oh erry faust nnsns rovit Robins rovit Robins robust nnsns rovin 13 - 0 Robert Davis SNS 1977 Cincinnati, OH, Moeller 12 - 0 Gerry Faust nsns 1978 Annandale, VA 14 - 0 Bob Hardage nsns - 0 Norry 0 Norry, Oel 12 0 n n n Nes Cinati, Oh, Moeler - 0 Gerry FAUST NSNS 1981 Warner Robins, GA 15 - 0 Robert Davis NSNS 1982 Cincinnati, OH, Moeller 13 - 0 Steve Klonne NSNS, EUA Berwick Area 15 - 0 Nick Hyder NSNS, EUA 1985 East St. LOUIS, IL 14 - 0 BOB SHANNON NSNS, EUA 1986 VALDOSTA, GA 15 - 0 Nick Hyder NSNS, EUA Fontana, CA 14 - 0 Dick Bruich NPP TX 16 - 0 Gerald Bience nsns Pensacola, Fl, Floresta de Pine 14 - 0 Carl Madison NSNS, EUA Prichard, AL, Vigor 13- 0 Harold Clarand, OH, St. Ignatius 13 - 0 Chuck Kyle USA Odessa, TX, Permian 16 - 0 Gary Gaine, NSNS Houston, Texas Aldine High School 15 - 0 Bill Smith NPP Lawton, OK, Eisenhodwer 14 - 0 Tim Residing 14 - 0 Jimmy `` Chick 'Chick' Childress NSNS 1991 Indianapolis, IN, Ben Davis 14 - 0 Dick Dullaghan NPP, NSNS Lagrange, GA 15 - GA 14 - 0 Nick Hyder NPP, NSNS Cleveland, OH, St. Ignácio 14 -0 Chuck Kyle NPP, NSNS, EUA Concord, CA, De la Salle 13 -0 Bob Ladouceur NPP, NSNS Santa Ana, CA, Mater Dei 14 -0 Bruce Rollinson USA 1995 Berwick Area, PA 15 - 0 George Curry EUA Cleveland, Oh, St. Louis. Ignatius 14 - 0 Chuck Kyle NPP, NSNS Hampton, VA 14 - 0 Mike Smith NPP, NSNS Santa Ana, CA, Mater Dei 14 - 0 Bruce Roll Rollnson USA Canton, McKinley, McKinley 1om VA 13 - 0 Mike Smith NPP, NSNS 1998 CONCORD, CA, DE LA SALLE 12 - 0 BOB LADOUCEUR NPP, NSNS, EUA 1999 Concord, CA, De la Salle - - 0 John Parchman EUA Shreveport, LA, Evangel Christian 15 - 0 Dennis Dunn NPP 2000 Concord, CA, de la Salle 13 - 0 Bob Ladouceur NPP, EUA Concord - 0 Bob Ladou 12 - EUA 2002 Concord, CA, De la Salle 13 - 0 Bob Ladouceur NPP, EUA 2003 Concord, CA, De De La Salle 13 - 0 Bob Ladouceur NPP, EUA Southlake, EUA NP, EUA NP, EUA, EUA 2005 Lakeland, FL 15 - 0 Bill Castle US Southlake, TX, Carroll 16 - 0 Todd Dodge NPP, Freeman 2006 Lakeland, FL 15 - 0 Bill Castle NPP Sodgema, Carroll 16 - - 0 a 2007 Cincinnati, OH, St. Xavier 15 - 0 Steve Specht NPP, Freeman Miami, FL, Northwestern 15 - 0 Billy Rolle USA 2008 Fort Lauderdale, FL, St. Tomás de Aquino 15 - 0 George Smith NPP, EUA, Freeman 2009 Ramsey, NJ, Don Bosco Prep 12 - 0 Greg Toal NPP, EUA, Freeman Fort Lauderdale, FL, St. Tomás de Aquino 15 - 0 George Smith NP Panola Sul, MS 15 - 0 Lance Pogue EUA, Freeman 2011 Ramsey, NJ, Don Bosco Prep 11 - 0 Greg Toal NPP, EUA, Freeman 14 - 0 J.T. Curtis NPP, EUA 2013 Miami, FL, Booker do Washington 16 - 0 Jason Negro NPP, EUA 2014 Las Vegas, NV, Bispo Gorman 15 - 0 Tony Sanchez, EUA, NV, Bishop Gorman 15 - 0 Kenny Sanchez USA 2016 LAS VEGAS, NV, BISPO GORMAN 15 - 0 KENNY SANCHEZ NPP, EUA, Futebol da escola gratuita América</v>
      </c>
    </row>
    <row r="419" customFormat="false" ht="15.75" hidden="false" customHeight="true" outlineLevel="0" collapsed="false">
      <c r="A419" s="3" t="n">
        <v>416</v>
      </c>
      <c r="B419" s="5" t="s">
        <v>1250</v>
      </c>
      <c r="C419" s="5" t="s">
        <v>1251</v>
      </c>
      <c r="D419" s="5" t="s">
        <v>1252</v>
      </c>
      <c r="E419" s="4" t="str">
        <f aca="false">IFERROR(__xludf.dummyfunction("GOOGLETRANSLATE(C420)"),"quanto tempo demorou para construir uma grande pirâmide de gizé")</f>
        <v>quanto tempo demorou para construir uma grande pirâmide de gizé</v>
      </c>
      <c r="F419" s="5" t="str">
        <f aca="false">IFERROR(__xludf.dummyfunction("GOOGLETRANSLATE(D419)")," O tenente James Cook reivindicou pela primeira vez a soberania britânica sobre a parte oriental da Austrália na ilha de possessão em 1770. A missão da Sociedade Missionária de Londres, liderada pelo Rev. Samuel MacFarlane, chegou a Erub (Darnley Island) "&amp;"em 1 de julho de 1871. Os ilhéus se referem a isso como `` a vinda da luz '', e todas as comunidades da ilha comemoram a ocasião anualmente em 1º de julho. Em 1879, Queensland anexou as ilhas do Estreito de Torres. Assim, eles se tornaram parte da colônia"&amp;" britânica de Queensland e (depois de 1901) do estado australiano de Queensland - embora alguns deles estejam na costa da Nova Guiné.")</f>
        <v> O tenente James Cook reivindicou pela primeira vez a soberania britânica sobre a parte oriental da Austrália na ilha de possessão em 1770. A missão da Sociedade Missionária de Londres, liderada pelo Rev. Samuel MacFarlane, chegou a Erub (Darnley Island) em 1 de julho de 1871. Os ilhéus se referem a isso como `` a vinda da luz '', e todas as comunidades da ilha comemoram a ocasião anualmente em 1º de julho. Em 1879, Queensland anexou as ilhas do Estreito de Torres. Assim, eles se tornaram parte da colônia britânica de Queensland e (depois de 1901) do estado australiano de Queensland - embora alguns deles estejam na costa da Nova Guiné.</v>
      </c>
    </row>
    <row r="420" customFormat="false" ht="15.75" hidden="false" customHeight="true" outlineLevel="0" collapsed="false">
      <c r="A420" s="3" t="n">
        <v>417</v>
      </c>
      <c r="B420" s="5" t="s">
        <v>1253</v>
      </c>
      <c r="C420" s="5" t="s">
        <v>1254</v>
      </c>
      <c r="D420" s="5" t="s">
        <v>1255</v>
      </c>
      <c r="E420" s="4" t="str">
        <f aca="false">IFERROR(__xludf.dummyfunction("GOOGLETRANSLATE(C421)"),"Quando foi realizada a primeira Copa do Mundo feminina")</f>
        <v>Quando foi realizada a primeira Copa do Mundo feminina</v>
      </c>
      <c r="F420" s="5" t="str">
        <f aca="false">IFERROR(__xludf.dummyfunction("GOOGLETRANSLATE(D420)")," Com base nessas estimativas, a construção da pirâmide em 20 anos envolveria a instalação de aproximadamente 800 toneladas de pedra todos os dias. Além disso, como consiste em cerca de 2,3 milhões de blocos, a conclusão do edifício em 20 anos envolveria a"&amp;" movimentação de uma média de mais de 12 dos blocos em prática a cada hora, dia e noite. As primeiras medições de precisão da pirâmide foram feitas pelo egiptologista Sir Flinders Petrie em 1880 - 82 e publicado como pirâmides e templos de Gizeh. Quase to"&amp;"dos os relatórios são baseados em suas medidas. Muitas das pedras da carcaça e os blocos de câmara interna da Grande Pirâmide se encaixam em conjunto com precisão extremamente alta. Com base nas medições realizadas nas pedras do nordeste da carcaça, a abe"&amp;"rtura média das juntas tem apenas 0,5 milímetros de largura (1/50 de polegada).")</f>
        <v> Com base nessas estimativas, a construção da pirâmide em 20 anos envolveria a instalação de aproximadamente 800 toneladas de pedra todos os dias. Além disso, como consiste em cerca de 2,3 milhões de blocos, a conclusão do edifício em 20 anos envolveria a movimentação de uma média de mais de 12 dos blocos em prática a cada hora, dia e noite. As primeiras medições de precisão da pirâmide foram feitas pelo egiptologista Sir Flinders Petrie em 1880 - 82 e publicado como pirâmides e templos de Gizeh. Quase todos os relatórios são baseados em suas medidas. Muitas das pedras da carcaça e os blocos de câmara interna da Grande Pirâmide se encaixam em conjunto com precisão extremamente alta. Com base nas medições realizadas nas pedras do nordeste da carcaça, a abertura média das juntas tem apenas 0,5 milímetros de largura (1/50 de polegada).</v>
      </c>
    </row>
    <row r="421" customFormat="false" ht="15.75" hidden="false" customHeight="true" outlineLevel="0" collapsed="false">
      <c r="A421" s="3" t="n">
        <v>418</v>
      </c>
      <c r="B421" s="5" t="s">
        <v>1256</v>
      </c>
      <c r="C421" s="5" t="s">
        <v>1257</v>
      </c>
      <c r="D421" s="5" t="s">
        <v>1258</v>
      </c>
      <c r="E421" s="4" t="str">
        <f aca="false">IFERROR(__xludf.dummyfunction("GOOGLETRANSLATE(C422)"),"que interpretou a mãe de Spock em Star Trek 2009")</f>
        <v>que interpretou a mãe de Spock em Star Trek 2009</v>
      </c>
      <c r="F421" s="5" t="str">
        <f aca="false">IFERROR(__xludf.dummyfunction("GOOGLETRANSLATE(D421)")," A Copa do Mundo das Mulheres da FIFA é uma competição internacional de futebol contestada pelas equipes nacionais das mulheres seniores dos membros da Fédération Internationale de Football Association (FIFA), o órgão de governo global do esporte. A compe"&amp;"tição é realizada a cada quatro anos desde 1991, quando o torneio inaugural, então chamou o Campeonato Mundial das Mulheres da FIFA, foi realizado na China.")</f>
        <v> A Copa do Mundo das Mulheres da FIFA é uma competição internacional de futebol contestada pelas equipes nacionais das mulheres seniores dos membros da Fédération Internationale de Football Association (FIFA), o órgão de governo global do esporte. A competição é realizada a cada quatro anos desde 1991, quando o torneio inaugural, então chamou o Campeonato Mundial das Mulheres da FIFA, foi realizado na China.</v>
      </c>
    </row>
    <row r="422" customFormat="false" ht="15.75" hidden="false" customHeight="true" outlineLevel="0" collapsed="false">
      <c r="A422" s="3" t="n">
        <v>419</v>
      </c>
      <c r="B422" s="5" t="s">
        <v>1259</v>
      </c>
      <c r="C422" s="5" t="s">
        <v>1260</v>
      </c>
      <c r="D422" s="5" t="s">
        <v>1261</v>
      </c>
      <c r="E422" s="4" t="str">
        <f aca="false">IFERROR(__xludf.dummyfunction("GOOGLETRANSLATE(C423)"),"Quem interpreta Bell em Beauty and the Beast")</f>
        <v>Quem interpreta Bell em Beauty and the Beast</v>
      </c>
      <c r="F422" s="5" t="str">
        <f aca="false">IFERROR(__xludf.dummyfunction("GOOGLETRANSLATE(D422)")," Winona Ryder como Amanda Grayson, mãe de Spock.")</f>
        <v> Winona Ryder como Amanda Grayson, mãe de Spock.</v>
      </c>
    </row>
    <row r="423" customFormat="false" ht="15.75" hidden="false" customHeight="true" outlineLevel="0" collapsed="false">
      <c r="A423" s="3" t="n">
        <v>420</v>
      </c>
      <c r="B423" s="5" t="s">
        <v>1262</v>
      </c>
      <c r="C423" s="5" t="s">
        <v>1263</v>
      </c>
      <c r="D423" s="5" t="s">
        <v>1264</v>
      </c>
      <c r="E423" s="4" t="str">
        <f aca="false">IFERROR(__xludf.dummyfunction("GOOGLETRANSLATE(C424)"),"onde está o campeonato nacional de futebol universitário jogou este ano")</f>
        <v>onde está o campeonato nacional de futebol universitário jogou este ano</v>
      </c>
      <c r="F423" s="5" t="str">
        <f aca="false">IFERROR(__xludf.dummyfunction("GOOGLETRANSLATE(D423)")," Belle recebeu aclamação generalizada dos críticos de cinema que apreciaram a bravura, a inteligência e a independência do personagem. A recepção em relação ao seu feminismo, no entanto, tem sido mais mista, com comentaristas acusando as ações do personag"&amp;"em de ser orientado para o romance. A quinta princesa da Disney, Belle é frequentemente classificada entre os melhores da franquia. Altamente considerado como um dos exemplos mais fortes da Disney de um personagem feminista, os críticos concordam que Bell"&amp;"e ajudou a liderar uma geração de heroínas de cinema independentes enquanto mudam a reputação de uma princesa da Disney. Também um dos personagens mais emblemáticos da Disney, Belle foi a única heroína animada indicada para os maiores heróis do American F"&amp;"ilm Institute no ranking de filmes. O personagem também aparece nas várias sequências e spin do filme, bem como em sua própria série de televisão de ação ao vivo. A atriz americana Susan Egan originou o papel de Belle na adaptação musical da Broadway do f"&amp;"ilme, pela qual foi indicada ao Tony Award de Melhor Atriz em um musical. Emma Watson interpreta uma versão ao vivo - ação do personagem em uma adaptação de ação ao vivo de 2017 do filme original de 1991.")</f>
        <v> Belle recebeu aclamação generalizada dos críticos de cinema que apreciaram a bravura, a inteligência e a independência do personagem. A recepção em relação ao seu feminismo, no entanto, tem sido mais mista, com comentaristas acusando as ações do personagem de ser orientado para o romance. A quinta princesa da Disney, Belle é frequentemente classificada entre os melhores da franquia. Altamente considerado como um dos exemplos mais fortes da Disney de um personagem feminista, os críticos concordam que Belle ajudou a liderar uma geração de heroínas de cinema independentes enquanto mudam a reputação de uma princesa da Disney. Também um dos personagens mais emblemáticos da Disney, Belle foi a única heroína animada indicada para os maiores heróis do American Film Institute no ranking de filmes. O personagem também aparece nas várias sequências e spin do filme, bem como em sua própria série de televisão de ação ao vivo. A atriz americana Susan Egan originou o papel de Belle na adaptação musical da Broadway do filme, pela qual foi indicada ao Tony Award de Melhor Atriz em um musical. Emma Watson interpreta uma versão ao vivo - ação do personagem em uma adaptação de ação ao vivo de 2017 do filme original de 1991.</v>
      </c>
    </row>
    <row r="424" customFormat="false" ht="15.75" hidden="false" customHeight="true" outlineLevel="0" collapsed="false">
      <c r="A424" s="3" t="n">
        <v>421</v>
      </c>
      <c r="B424" s="5" t="s">
        <v>1265</v>
      </c>
      <c r="C424" s="5" t="s">
        <v>1266</v>
      </c>
      <c r="D424" s="5" t="s">
        <v>1267</v>
      </c>
      <c r="E424" s="4" t="str">
        <f aca="false">IFERROR(__xludf.dummyfunction("GOOGLETRANSLATE(C425)"),"De onde veio o termo beijo francês")</f>
        <v>De onde veio o termo beijo francês</v>
      </c>
      <c r="F424" s="5" t="str">
        <f aca="false">IFERROR(__xludf.dummyfunction("GOOGLETRANSLATE(D424)"),"O Campeonato Nacional de Playoff de Futebol College de 2017 foi um jogo de boliche que foi usado para determinar um campeão nacional de futebol universitário na subdivisão da NCAA Division I Football Bowl para a temporada de 2016. O jogo foi disputado no "&amp;"Raymond James Stadium em Tampa, Flórida, em 9 de janeiro de 2017. Foi o jogo culminante da temporada de 2016 - 17 Bowl. O")</f>
        <v>O Campeonato Nacional de Playoff de Futebol College de 2017 foi um jogo de boliche que foi usado para determinar um campeão nacional de futebol universitário na subdivisão da NCAA Division I Football Bowl para a temporada de 2016. O jogo foi disputado no Raymond James Stadium em Tampa, Flórida, em 9 de janeiro de 2017. Foi o jogo culminante da temporada de 2016 - 17 Bowl. O</v>
      </c>
    </row>
    <row r="425" customFormat="false" ht="15.75" hidden="false" customHeight="true" outlineLevel="0" collapsed="false">
      <c r="A425" s="3" t="n">
        <v>422</v>
      </c>
      <c r="B425" s="5" t="s">
        <v>1268</v>
      </c>
      <c r="C425" s="5" t="s">
        <v>1269</v>
      </c>
      <c r="D425" s="5" t="s">
        <v>1270</v>
      </c>
      <c r="E425" s="4" t="str">
        <f aca="false">IFERROR(__xludf.dummyfunction("GOOGLETRANSLATE(C426)"),"Qual é o animal mais ameaçado do mundo")</f>
        <v>Qual é o animal mais ameaçado do mundo</v>
      </c>
      <c r="F425" s="5" t="str">
        <f aca="false">IFERROR(__xludf.dummyfunction("GOOGLETRANSLATE(D425)")," Um beijo francês é assim chamado porque, no início do século XX, no mundo de falantes ingleses, os franceses haviam adquirido uma reputação de práticas sexuais mais aventureiras e apaixonadas. Originou -se na América e na Grã -Bretanha. Na França, é refe"&amp;"rido como un Baiser Amoureux (`` um beijo 'de um amante' ') ou Un Baiser Avec la Langue (`` um beijo com a língua' '), mesmo que nos últimos tempos fosse conhecido como conhecido como Baiser Florentin (`` Beijo Florentino ''). O Petit Robert 2014 French D"&amp;"ictionary, lançado em 30 de maio de 2013, acrescentou o verbo francês `` SE Galocher '' - gíria por beijar com línguas - tornando -a pela primeira vez uma única palavra descreveu a prática (exceto em Quebec, onde O verbo `` francês '' significa beijo fran"&amp;"cês; Austrália, onde o termo `` pash '' é usado; o verbo inglês '' shift '' é usado em conversas casuais na Irlanda; o verbo alemão Knutschen; os verbos italianos limonare e pomiciare; e o verbo húngaro megcsókol / csókolózik).")</f>
        <v> Um beijo francês é assim chamado porque, no início do século XX, no mundo de falantes ingleses, os franceses haviam adquirido uma reputação de práticas sexuais mais aventureiras e apaixonadas. Originou -se na América e na Grã -Bretanha. Na França, é referido como un Baiser Amoureux (`` um beijo 'de um amante' ') ou Un Baiser Avec la Langue (`` um beijo com a língua' '), mesmo que nos últimos tempos fosse conhecido como conhecido como Baiser Florentin (`` Beijo Florentino ''). O Petit Robert 2014 French Dictionary, lançado em 30 de maio de 2013, acrescentou o verbo francês `` SE Galocher '' - gíria por beijar com línguas - tornando -a pela primeira vez uma única palavra descreveu a prática (exceto em Quebec, onde O verbo `` francês '' significa beijo francês; Austrália, onde o termo `` pash '' é usado; o verbo inglês '' shift '' é usado em conversas casuais na Irlanda; o verbo alemão Knutschen; os verbos italianos limonare e pomiciare; e o verbo húngaro megcsókol / csókolózik).</v>
      </c>
    </row>
    <row r="426" customFormat="false" ht="15.75" hidden="false" customHeight="true" outlineLevel="0" collapsed="false">
      <c r="A426" s="3" t="n">
        <v>423</v>
      </c>
      <c r="B426" s="5" t="s">
        <v>1271</v>
      </c>
      <c r="C426" s="5" t="s">
        <v>1272</v>
      </c>
      <c r="D426" s="5" t="s">
        <v>1273</v>
      </c>
      <c r="E426" s="4" t="str">
        <f aca="false">IFERROR(__xludf.dummyfunction("GOOGLETRANSLATE(C427)"),"Qual é a idade legal para fumar na Austrália")</f>
        <v>Qual é a idade legal para fumar na Austrália</v>
      </c>
      <c r="F426" s="5" t="str">
        <f aca="false">IFERROR(__xludf.dummyfunction("GOOGLETRANSLATE(D426)")," As 100 espécies de espécies mais ameaçadas do mundo, tipo de imagem comum, localização (s) estimada sobre ameaças populacionais de abies Beshanzuensis Baishan Fir Plant (Flor) Baishanzu Mountain, Zhejiang, China Cinco indivíduos maduros Agricultura Actin"&amp;"ote Zikani inseto (Butterfly) perto de São Paulo, atlântico Floresta, Brasil, perda de habitat desconhecida da expansão humana Aipysurus foliosquama folhas em escala do mar - repteis de cobra Recife de Ashmore e recife de hibernia, timor marinho desconhec"&amp;"ido - provavelmente degradação do recife de coral Habitat Amanipodagrion Florestas, insetos de água plana (damselfly) amani -sigl, siglagrion Floresta, insetos de asa -alvo (damselfly) amani -sigl. , Poluição da população da Tanzânia e poluição da água An"&amp;"isolabis Seychellensis inseto Morne Blanc, ilha mahé, Seychelles Desconhecida Espécies Invasivas Mudança Climática Antilophia Bokermanni ARARIPE Manakin Bird Chapado do ARARIPE, CEAR SUL, Brasil 779 Indivíduos Gentiles Divisão de água Afato Aphanius Costa"&amp;" do antigo lago aci, peru poucas centenas de pares de pares de pares e predação pela construção de rodovias de gambusia Aproteles bulmerae bulmer de bastão de frutas mamíferos caverna luxuplupwintern, província ocidental, papua nova guinéia 150 Cave de ca"&amp;"ça de caça ARDEA INSIGNIS Mianmar 70 -400 indivíduos Desenvolvimento de hidrelétricas Ardeotis Nigriceps Great Baved Bavera Indiana Rajastão, Gujarat, Maharashtra, Andhra Pradesh, Karnataka e Madhya, Índia 50 -249 Indivíduos maduros Remoção agrícola de Be"&amp;"chys Yniphora Ploughshare Tortoise 770 Coleção ilegal para o comércio internacional de animais de estimação Atelopus Balios Rio Pescado Stopfoot Toad Amphibian Azuay, Cañar e Guyas Províncias, South - Equador Ocidental Desconhecido Chitiomicose Loging Agu"&amp;"stural A agricultura Athya Athya intaguscarcarcar poChard Bird vulccan Lages Industring Industring Industing Industing BELATEME peixe azurina eupalama galapagos donzel peixe peixe desconhecido mudanças climáticas desconhecidas mudanças oceanográficas rela"&amp;"cionadas à pesca de 1982 /1983 el nino bahaba taipingingensis gigante croaker amarelo peixe chinesa costa do rio Yangtze, porcela Medicina Batagur Baska Réptil comum de Batagur (Tartaruga) Bangladesh, Camboja, Índia, Indonésia e Malásia Exportação ilegal "&amp;"desconhecida China Bazzânia ButhiNica Budini e Lafeti Khola, Butão 2 Sub -populações Florestos Desenvolvimento de Baatragus Hunterra Hirola -Mamal (Antia -Populações Florestas Desenvolvimento de Integração) Desenvolvimento Solimal (Antia -Populações (Anti"&amp;"a -Populações Desenvolvimento de Floresta) Hirola -Mamal (Antia -Populações Florestas Desenvolvimento) e possivelmente South - Concurso de Perda de Habitat da Somália Ocidental com a gado de Bombus Franklini Franklini Franklin Inseto (Bee) Oregon e Califó"&amp;"rnia Doença desconhecida De Bumblebees Comercial Destruição e Degradação de Brachitas Brachyteles Hypoxanthus Muriques Muriques Muriques Mummales Muracho Mumal Eastern Brasil Brasil - Desmatamento de grande escala e madeireira Bradypus pygmaeus pygmy de t"&amp;"rês ilhos mamíferos de preguiçosos Isla escudo de veraguas, madeira ilegal de mangue de mangue para lenha e consumo de caça a caça a Callitriche Pulchra Plant (água fresca) Pool de gavdos, recompensa de habimlos de recompensa A piscina dos habitantes loca"&amp;"is de Calumma Tarzan Tarzan Ansibe Anosibe An'ala Região, Oriental Agricultura Cavia Intermedia Santa Catarina Mamíferos de Mamíferos de Porco (Redent) Do Sul Island, Santa Catarina, Brasil 40 - 60 Distúrbios da Habitat Possível resultado da caça ao resul"&amp;"tado of having such a small population       Cercopithecus roloway   Roloway guenon   Mammal ( primate )     Côte d'Ivoire   Unknown     hunting   habitat loss       Coleura seychellensis   Seychelles sheath - tailed bat   Mammal ( bat )     Two small cav"&amp;"es on Silhouette and Mahé , Seychelles       habitat degradation   predation by invasive species       Cryptomyces maximus Willow blister   Fungi     Pembrokeshire , United Kingdom   Unknown     limited habitat       Cryptotis nelsoni   Nelson 's small - "&amp;"eared shrew   Mammal ( shrew )     Volcán San Martín Tuxtla , Veracruz , Mexico   Unknown     logging   cattle grazing   fire   agriculture       Cyclura collei   Jamaican iguana Jamaican rock iguana   Reptile     Hellshire Hills , Jamaica   Unknown habit"&amp;"at destruction   predation by introduced species       Daubentonia Madagascariensis   Aye - aye   Mammal ( primate )     Deciduous forest , East Madagascar   Unknown     poaching     limited habitat       Dendrophylax fawcettii   Cayman Islands ghost orch"&amp;"id   Plant ( orchid )     Ironwood Forest , George Town , Grand Cayman   Unknown     infrastructure development       Dicerorhinus sumatrensis   Sumatran rhino   Mammal (Rhino) Sabah, Sarawak e Peninsular Malaysia, Kalimantan e Sumatra, a caça à Indonésia"&amp;" (Horn é usada na medicina tradicional) Diomedea Amsterdamensis Amsterdam Albatross Birds Raids em Plackuau des Tourbières, ilha de Amsterdã, Oceano Índico. 100 Indivíduos maduros doenças incidentais por - captura na área de Oshoek de Pesca de Linha Diosc"&amp;"orea Strydomiana, Mpumalanga, Coleção da África do Sul 200 Para uso medicinal Diospyros Katendei Planta (Árvore) Kasyoha - Kitomi Reserva florestal, Uganda 20 indivíduos em uma única população da população agrícola Atividade Classificação ilegal Classific"&amp;"ação de árvore O ouro aluvial escavando pequena população Dipterocarpus lamellatus planta (árvore) Reserva florestal de Siangau, Sabah, Malásia 12 Indivíduos Fazendo da Criação florestal das planícies de plantações industriais Descoglossus nigrivador hula"&amp;" hula rã de garoa de anfíbios a vedação de hula de hula a vencer a restrição de rãos de gama de rãos de gama. habitat destruction       Dombeya mauritiana     Plant     Mauritius   Unknown     encroachment by invasive plant species   habitat loss due to c"&amp;"annabis cultivation       Elaeocarpus bojeri   Bois Dentelle   Plant ( tree )     Grand Bassin , Mauritius       habitat degradation       Eleutherodactylus glandulifer   La Hotte glanded frog   Amphibian     Massif de la Hotte , Haiti   Unknown     charc"&amp;"oal production   slash - and - burn agriculture       Eleutherodactylus thorcetes   Macaya breast - spot frog   Amphibian     Formon and Macaya peaks , Masif de la Hotte , Haiti   Unknown     charcoal production   slash - and - burn agriculture       Erio"&amp;"syce chilensis   Chilenito ( cactus )   Plant     Pta Molles and Pichidungui , Chile       collection of flowering plants       Erythrina schliebenii   Coral tree   Plant     Namatimbili - Ngarama Forest , Tanzania       limited habitat and small populati"&amp;"on size increase vulnerability       Euphorbia tanaensis     Plant ( tree )     Witu Forest Reserve , Kenya   4 mature individuals     illegal logging   agricultural expansion   infrastructure development       Eurynorhyncus pygmeus   Spoon - billed sandp"&amp;"iper   Bird     Breeds in Russia , migrates Ao longo da via de mosca australiana da Ásia da Ásia para o inverno na Índia, Bangladesh e Myanmar 100 pares de reprodução precedindo a recuperação de terras Ficus katendei Plant Kasyoha - Reserva florestal de K"&amp;"itomi, rio Ishasha, Uganda Agricultura Illegal Tree Birration Aluvial Digging Digging Geronticus Eremita Marrocos, Turquia e Síria. Winters da população síria no centro da Etiópia. 200 - 249 Indivíduos maduros Degradação de habitat e destruição Planta de "&amp;"macrosiphon Gigasiphon (Flor) Kaya Muhaka, Gongoni e Mrima Reservas florestais, Quênia, Reserva Natural Amani, Reserva Florestal de Kilombero Ocidental e Reserva de Kihansi, Tanzania 33 Extração de Timbers Predação por porcos selvagens Gocea Ohridana Molu"&amp;"sc Lake Ohrid, Macedônia desconhecida crescendo níveis de poluição - Tire os eventos de sedimentação da água Heleophryne Rosei Tabela Mountain Frogue Fropo Amfibiano Montanha da Tabela, Província do Cabo Ocidental, Sul África Desconhecida Plantas Invasiva"&amp;"s) Hemicycla -Paeteliana Mollusca (Sul da África Desconhecido Jandia peninsula , Fuerteventura , Canary Islands   Unknown     overgrazing   trampling by goats and tourists       Heteromirafa sidamoensis   Liben lark   Bird     Liben Plains , southern Ethi"&amp;"opia   90 -- 256     agricultural expansion   overgrazing   fire suppression       Hibiscadelphus woodii     Plant ( tree )     Kalalau Valley , Hawaii   Unknown     habitat degradation due to feral ungulates competição com espécies invasoras de plantas h"&amp;"ucho perryi sakhalin taimen peixes rios russos e japoneses, Oceano Pacífico entre a Rússia e o Japão Desconhecido sobrepepes Excedentes Damas Agricultura Outros usos da terra Johora Singaporensis Singapura Singapura Cruste Crustane Bukit Timah Reserva da "&amp;"natureza e streamlet perto de Bukit Batok, Sinalizão Sinalizador reduction in water quality and quantity       Lathyrus belinensis   Belin vetchling   Plant     Outskirts of Belin village , Antalya , Turkey       urbanisation   over-grazing   conifer plan"&amp;"ting   road widening       Leiopelma archeyi   Archey 's frog   Amphibian     Coromandel peninsula and Whareorino Forest , New Zealand   Unknown     Chytridiomycosis   predation by invasive species       Lithobates sevosus Dusky Gopher Frog Amphibian Harr"&amp;"ison County, Mississippi, EUA 60 - 100 DOENÇÕES FUNGALM MUDANÇA CLIMA - Uso Altera Lophura Edwardsi Edwards de Bird Quang Binh, Quang Tri e Thua Thien - Hue, Vietn Nam Habitat Living Habitating Haking Magnolia wolfii Plant (planta RESARALDA RISARALDA, ISO"&amp;"LAMENTO DE COLOMBIA DE ESPÉCIAS TAXAS DE BAIXA REGENERAÇÃO MARGARITIFERA MAROCANA Mollogud Denna, abidem e oued Beth, Desenvolvimento de Poluição de Marrocos Moominia Willii Molusc (Snail) Ilha da Silhueta Cubrina, Seychelles Spientsive Spicesive Climate "&amp;"Mudamal Primus Primusnus Cubrina Greater FinaNnel, Melleds Mumeds Mumamal MolliMal Primusnus Primusnan Cubsan Cubrinet )     Cueva La Barca , Isle of Pines , Cuba       habitat loss   human disturbance       Nepenthes attenboroughii   Attenborough 's pitc"&amp;"her plant   Plant     Mount Victoria , Palawan , Philippines   Unknown     poaching       Nomascus hainanus   Hainan black crested gibbon   Mammal ( primate )     Hainan Island , China   20     hunting       Neurergus kaiseri   Luristan newt Montanhas de "&amp;"Zagros de Anfíbios, Lorestão, Irã Coleção ilegal para comércio de animais Oreocnemis Phoenix Mulanje Red Dossel Inseto (Damselfly) Platô Mulanje, Malawi Desconhecido Habitat Phatius SanitWonStwongSonse -se a exaustão de fábricas de fábricas de fábricas de"&amp;" fábricas de fábricas de fábricas de fábricas de fábricas de fábricas de fábricas de fábricas de fábricas de fábricas de fábricas de fábricas de fábricas de fábricas de fábricas de fábricas de fábricas de fábricas de fábricas de fábricas de dreno. , China"&amp;", Lao PDR, Tailândia e Vietnã Coleção de sobrepesca desconhecida para o comércio de aquários Pardios Burchellanus Cerrado Cerrado, Expansão Humana Brasil Limitada de Faixa de Phocoena Sinus Vaquita Mamíferos (PoreSe) Norno do Gulf da Califórnia, México Ca"&amp;"ptura em México Em Peixesen S Gilhas Tipo de planta de árvore de abeto (árvore) Cama de qinling, China Destruição desconhecida da floresta Pinus squamata qiaojia Planta de pinheiro (árvore) qiaojia, yunnan, China Distribuição limitada tamanho da população"&amp;" Poeciloteria metallica gooty tarântula tarântula metálica PeaCock Peacock e Salegurugh Spider Nandyal e Giddalur e Giddalur Gidlur, Gidlur, Giddalur, Gidluriursaling, PeaCock Metallic PeaCock e Salepurur Salegus. , Índia Desmatados Desmatados Desmatados "&amp;"Coleção de letras civis Pomarea Whitneyi Fatuhiva Monarch Bird Fatu Hiva, Ilhas Marquesas, Polinésia Francesa 50 Predação por espécies introduzidas - Rattus rattus e catos ferozes Pristis Pristis Prindis SAWFISH Tropicais e águas -oculares subtropical. At"&amp;"ualmente, amplamente restrito ao norte da Austrália, a exploração desconhecida removeu as espécies de 95 % de sua faixa histórica prolemur simus maior mamífera de bambu lêmur (primata) sudeste e sul florestas tropicais de Madagascar 500 Mineração Agricult"&amp;"ura) A profeta ilegal de candidato a Silky Sifaka Mammalsalsalsalsalsalsalsalsals) (Proscultura Mining) A agricultura), que a pós -mamãe) da mamãe) da mamãe) da mamãe) da mamãe) (mineração) a mamãe ilegal da mamãe) a mamãe ilegal) a Silky Sifaka Mammals ("&amp;" Andapa basin , and Marojeju Massif , Madagascar   100 -- 1,000     hunting   habitat disturbance       Psammobates geometricus   Geometric tortoise   Reptile     Western Cape Province , South Africa   Unknown     loss of habitat destruction   predation  "&amp;"     Pseudoryx nghetinhensis   Saola   Mammal     Annamite mountains , on the Viet Nam - PDR Laos border   Unknown     habitat destruction Caça Psiadia cataractae planta Maurício Concurso do Projeto de Desenvolvimento Desconhecido de Espécies Invasivas de"&amp;" Plantas Psorodonotus Ebneri Beydaglari Bush - Insect de críquete Beydaglari Range, Antalaya, Burquia Desconhecida CLIMATE Habitat Laine Ki Rafetus Swinhoei Red River Giant Softhell Turke Nettlen Rebilan Rebilan Ki Ki Ki Ki Swinhei River Giant Softhenclel"&amp;" Turken Rebilan Rebilan Honem Honem Ki Ki Ki Swinhei River Giant Softhell Turken Rebilan Rebaste e zoológico de Suzhou, China caçando para consumo de áreas úmidas Destruição Poluição de rinocerontes Sondaicus javan rinoceronte mamífero (rinino) Parque nac"&amp;"ional Ujung Kulon, java, caça à Indonésia para medicina tradicional pequena população rinocithecus avunculus snub - liquiding mammamal (mamamal de macacão) nortimenteno) Rhizanthella Gardneri Australiana Ocidental Planta de orquídea subterrânea (Orquídea)"&amp;" Austrália Ocidental, Austrália Liberação da terra para a salinização por mudanças climáticas da agricultura Rhynchocyon spp. Boni Giant Sengi Mammal (musaranho) Boni - Dodori Floresta, área de Lamu, Desenvolvimento desconhecido do Quênia, causando perda "&amp;"de habitat risiocnemis Seidenschwarzi Cebu Frill - inseto de asa (damselfily) Rivuto do Kawasan, Cebu, Cebu, Philathy Habitat Degradation Degradation e Rio Reabu, Plantates, Habitats Degradation) e Plantlet River Reabu, Cebu, Philathy Habitat degradado Mo"&amp;"untains , Egypt   Unknown , 10 sub-populations     domestic animal grazing   climate change and drought   medicinal plant collecting   limited range       Salanoia durrelli   Durrell 's vontsira   Mammal ( mongoose )     Marshes of Lake Alaotra , Madagasc"&amp;"ar   Unknown     loss of habitat       Santamartamys rufodorsalis   Red crested tree rat   Mammal ( rodent ) Sierra Nevada de Santa Marta, Colômbia Desconhecida Desenvolvimento Urbano Cultivo de Café Scaturiginichthys Vermeilipinnis Vermelho - Blue marinh"&amp;"ado - Pesca dos olhos Estação de Edgbaston, Estação Central Western Queensland, Austrália 2.000 - 4.000 Predation By Introduzido Espécie Squatina Squatina Stune StuRa Stunesa Pesca Breadna Islands Unsknow Benthic Benthic Benthic Criação chinesa de aves de"&amp;" andorinhas em Zhejiang e Fujian, China. Fora da estação de reprodução na Indonésia, Malásia, Filipinas, Taiwan, Tailândia. habitat destruction   egg collection       Syngnathus watermeyeri   Estuarine pipefish   Fish     Kariega Estuary to East Kleinemon"&amp;"de Estuary , Eastern Cape Province , South Africa   Unknown     dam construction is altering river flows   flood events into estuaries       Tahina spectabilis   Suicide palm Dimaka   Plant     Analalava district , north - western Madagascar   90     fire"&amp;"s   logging   agricultural developments       Telmatobufo bullocki   Bullock 's false toad   Amphibian ( frog )     Nahuelbuta , Arauco Province , Chile   Unknown     construction of hydro - electricity       Tokudaia muenninki   Okinawa spiny rat   Mamma"&amp;"l ( rodent )     Okinawa Island , Japan   Unknown     habitat loss   predation by feral cats       Trigonostigma somphongsi   Somphongs 's rasbora Fish Mae Khlong Basin, Tailândia Conversão de terras agrícolas e urbanização desconhecidas Valencia Letourne"&amp;"uxi Peixe Albânia do sul da Albânia e Western Grécia Desconhecida Destruição de Habitats Interação agressiva com gambusia Voanioala Gerardii Coco de coco odroala Península, Madagasca Ateriormente, o maior número de coco de coco zansena, a prevista de coco"&amp;", a prevista de coco de coco da pálpebra da zomba de zíronização, a madagasia, a premissa de coco da floresta, para a premissa de zomba de coco, para o siníssico, a premissa de coco de coco de coco zagumia, a madagasína, para o queda de coco, a picana de "&amp;"coco de coco de coco da pálpebra da zóia. Montanhas de Mamíferos Ciclopes, Província de Papua, Indonésia Modificação e degradação de habitats Indonésia Apreciação agrícola da invasão agrícola muda o cultivo e a caça pelas pessoas locais. ^ Pule para: `` R"&amp;"elatório lista os 100 mais ameaçados do mundo")</f>
        <v> As 100 espécies de espécies mais ameaçadas do mundo, tipo de imagem comum, localização (s) estimada sobre ameaças populacionais de abies Beshanzuensis Baishan Fir Plant (Flor) Baishanzu Mountain, Zhejiang, China Cinco indivíduos maduros Agricultura Actinote Zikani inseto (Butterfly) perto de São Paulo, atlântico Floresta, Brasil, perda de habitat desconhecida da expansão humana Aipysurus foliosquama folhas em escala do mar - repteis de cobra Recife de Ashmore e recife de hibernia, timor marinho desconhecido - provavelmente degradação do recife de coral Habitat Amanipodagrion Florestas, insetos de água plana (damselfly) amani -sigl, siglagrion Floresta, insetos de asa -alvo (damselfly) amani -sigl. , Poluição da população da Tanzânia e poluição da água Anisolabis Seychellensis inseto Morne Blanc, ilha mahé, Seychelles Desconhecida Espécies Invasivas Mudança Climática Antilophia Bokermanni ARARIPE Manakin Bird Chapado do ARARIPE, CEAR SUL, Brasil 779 Indivíduos Gentiles Divisão de água Afato Aphanius Costa do antigo lago aci, peru poucas centenas de pares de pares de pares e predação pela construção de rodovias de gambusia Aproteles bulmerae bulmer de bastão de frutas mamíferos caverna luxuplupwintern, província ocidental, papua nova guinéia 150 Cave de caça de caça ARDEA INSIGNIS Mianmar 70 -400 indivíduos Desenvolvimento de hidrelétricas Ardeotis Nigriceps Great Baved Bavera Indiana Rajastão, Gujarat, Maharashtra, Andhra Pradesh, Karnataka e Madhya, Índia 50 -249 Indivíduos maduros Remoção agrícola de Bechys Yniphora Ploughshare Tortoise 770 Coleção ilegal para o comércio internacional de animais de estimação Atelopus Balios Rio Pescado Stopfoot Toad Amphibian Azuay, Cañar e Guyas Províncias, South - Equador Ocidental Desconhecido Chitiomicose Loging Agustural A agricultura Athya Athya intaguscarcarcar poChard Bird vulccan Lages Industring Industring Industing Industing BELATEME peixe azurina eupalama galapagos donzel peixe peixe desconhecido mudanças climáticas desconhecidas mudanças oceanográficas relacionadas à pesca de 1982 /1983 el nino bahaba taipingingensis gigante croaker amarelo peixe chinesa costa do rio Yangtze, porcela Medicina Batagur Baska Réptil comum de Batagur (Tartaruga) Bangladesh, Camboja, Índia, Indonésia e Malásia Exportação ilegal desconhecida China Bazzânia ButhiNica Budini e Lafeti Khola, Butão 2 Sub -populações Florestos Desenvolvimento de Baatragus Hunterra Hirola -Mamal (Antia -Populações Florestas Desenvolvimento de Integração) Desenvolvimento Solimal (Antia -Populações (Antia -Populações Desenvolvimento de Floresta) Hirola -Mamal (Antia -Populações Florestas Desenvolvimento) e possivelmente South - Concurso de Perda de Habitat da Somália Ocidental com a gado de Bombus Franklini Franklini Franklin Inseto (Bee) Oregon e Califórnia Doença desconhecida De Bumblebees Comercial Destruição e Degradação de Brachitas Brachyteles Hypoxanthus Muriques Muriques Muriques Mummales Muracho Mumal Eastern Brasil Brasil - Desmatamento de grande escala e madeireira Bradypus pygmaeus pygmy de três ilhos mamíferos de preguiçosos Isla escudo de veraguas, madeira ilegal de mangue de mangue para lenha e consumo de caça a caça a Callitriche Pulchra Plant (água fresca) Pool de gavdos, recompensa de habimlos de recompensa A piscina dos habitantes locais de Calumma Tarzan Tarzan Ansibe Anosibe An'ala Região, Oriental Agricultura Cavia Intermedia Santa Catarina Mamíferos de Mamíferos de Porco (Redent) Do Sul Island, Santa Catarina, Brasil 40 - 60 Distúrbios da Habitat Possível resultado da caça ao resultado of having such a small population       Cercopithecus roloway   Roloway guenon   Mammal ( primate )     Côte d'Ivoire   Unknown     hunting   habitat loss       Coleura seychellensis   Seychelles sheath - tailed bat   Mammal ( bat )     Two small caves on Silhouette and Mahé , Seychelles       habitat degradation   predation by invasive species       Cryptomyces maximus Willow blister   Fungi     Pembrokeshire , United Kingdom   Unknown     limited habitat       Cryptotis nelsoni   Nelson 's small - eared shrew   Mammal ( shrew )     Volcán San Martín Tuxtla , Veracruz , Mexico   Unknown     logging   cattle grazing   fire   agriculture       Cyclura collei   Jamaican iguana Jamaican rock iguana   Reptile     Hellshire Hills , Jamaica   Unknown habitat destruction   predation by introduced species       Daubentonia Madagascariensis   Aye - aye   Mammal ( primate )     Deciduous forest , East Madagascar   Unknown     poaching     limited habitat       Dendrophylax fawcettii   Cayman Islands ghost orchid   Plant ( orchid )     Ironwood Forest , George Town , Grand Cayman   Unknown     infrastructure development       Dicerorhinus sumatrensis   Sumatran rhino   Mammal (Rhino) Sabah, Sarawak e Peninsular Malaysia, Kalimantan e Sumatra, a caça à Indonésia (Horn é usada na medicina tradicional) Diomedea Amsterdamensis Amsterdam Albatross Birds Raids em Plackuau des Tourbières, ilha de Amsterdã, Oceano Índico. 100 Indivíduos maduros doenças incidentais por - captura na área de Oshoek de Pesca de Linha Dioscorea Strydomiana, Mpumalanga, Coleção da África do Sul 200 Para uso medicinal Diospyros Katendei Planta (Árvore) Kasyoha - Kitomi Reserva florestal, Uganda 20 indivíduos em uma única população da população agrícola Atividade Classificação ilegal Classificação de árvore O ouro aluvial escavando pequena população Dipterocarpus lamellatus planta (árvore) Reserva florestal de Siangau, Sabah, Malásia 12 Indivíduos Fazendo da Criação florestal das planícies de plantações industriais Descoglossus nigrivador hula hula rã de garoa de anfíbios a vedação de hula de hula a vencer a restrição de rãos de gama de rãos de gama. habitat destruction       Dombeya mauritiana     Plant     Mauritius   Unknown     encroachment by invasive plant species   habitat loss due to cannabis cultivation       Elaeocarpus bojeri   Bois Dentelle   Plant ( tree )     Grand Bassin , Mauritius       habitat degradation       Eleutherodactylus glandulifer   La Hotte glanded frog   Amphibian     Massif de la Hotte , Haiti   Unknown     charcoal production   slash - and - burn agriculture       Eleutherodactylus thorcetes   Macaya breast - spot frog   Amphibian     Formon and Macaya peaks , Masif de la Hotte , Haiti   Unknown     charcoal production   slash - and - burn agriculture       Eriosyce chilensis   Chilenito ( cactus )   Plant     Pta Molles and Pichidungui , Chile       collection of flowering plants       Erythrina schliebenii   Coral tree   Plant     Namatimbili - Ngarama Forest , Tanzania       limited habitat and small population size increase vulnerability       Euphorbia tanaensis     Plant ( tree )     Witu Forest Reserve , Kenya   4 mature individuals     illegal logging   agricultural expansion   infrastructure development       Eurynorhyncus pygmeus   Spoon - billed sandpiper   Bird     Breeds in Russia , migrates Ao longo da via de mosca australiana da Ásia da Ásia para o inverno na Índia, Bangladesh e Myanmar 100 pares de reprodução precedindo a recuperação de terras Ficus katendei Plant Kasyoha - Reserva florestal de Kitomi, rio Ishasha, Uganda Agricultura Illegal Tree Birration Aluvial Digging Digging Geronticus Eremita Marrocos, Turquia e Síria. Winters da população síria no centro da Etiópia. 200 - 249 Indivíduos maduros Degradação de habitat e destruição Planta de macrosiphon Gigasiphon (Flor) Kaya Muhaka, Gongoni e Mrima Reservas florestais, Quênia, Reserva Natural Amani, Reserva Florestal de Kilombero Ocidental e Reserva de Kihansi, Tanzania 33 Extração de Timbers Predação por porcos selvagens Gocea Ohridana Molusc Lake Ohrid, Macedônia desconhecida crescendo níveis de poluição - Tire os eventos de sedimentação da água Heleophryne Rosei Tabela Mountain Frogue Fropo Amfibiano Montanha da Tabela, Província do Cabo Ocidental, Sul África Desconhecida Plantas Invasivas) Hemicycla -Paeteliana Mollusca (Sul da África Desconhecido Jandia peninsula , Fuerteventura , Canary Islands   Unknown     overgrazing   trampling by goats and tourists       Heteromirafa sidamoensis   Liben lark   Bird     Liben Plains , southern Ethiopia   90 -- 256     agricultural expansion   overgrazing   fire suppression       Hibiscadelphus woodii     Plant ( tree )     Kalalau Valley , Hawaii   Unknown     habitat degradation due to feral ungulates competição com espécies invasoras de plantas hucho perryi sakhalin taimen peixes rios russos e japoneses, Oceano Pacífico entre a Rússia e o Japão Desconhecido sobrepepes Excedentes Damas Agricultura Outros usos da terra Johora Singaporensis Singapura Singapura Cruste Crustane Bukit Timah Reserva da natureza e streamlet perto de Bukit Batok, Sinalizão Sinalizador reduction in water quality and quantity       Lathyrus belinensis   Belin vetchling   Plant     Outskirts of Belin village , Antalya , Turkey       urbanisation   over-grazing   conifer planting   road widening       Leiopelma archeyi   Archey 's frog   Amphibian     Coromandel peninsula and Whareorino Forest , New Zealand   Unknown     Chytridiomycosis   predation by invasive species       Lithobates sevosus Dusky Gopher Frog Amphibian Harrison County, Mississippi, EUA 60 - 100 DOENÇÕES FUNGALM MUDANÇA CLIMA - Uso Altera Lophura Edwardsi Edwards de Bird Quang Binh, Quang Tri e Thua Thien - Hue, Vietn Nam Habitat Living Habitating Haking Magnolia wolfii Plant (planta RESARALDA RISARALDA, ISOLAMENTO DE COLOMBIA DE ESPÉCIAS TAXAS DE BAIXA REGENERAÇÃO MARGARITIFERA MAROCANA Mollogud Denna, abidem e oued Beth, Desenvolvimento de Poluição de Marrocos Moominia Willii Molusc (Snail) Ilha da Silhueta Cubrina, Seychelles Spientsive Spicesive Climate Mudamal Primus Primusnus Cubrina Greater FinaNnel, Melleds Mumeds Mumamal MolliMal Primusnus Primusnan Cubsan Cubrinet )     Cueva La Barca , Isle of Pines , Cuba       habitat loss   human disturbance       Nepenthes attenboroughii   Attenborough 's pitcher plant   Plant     Mount Victoria , Palawan , Philippines   Unknown     poaching       Nomascus hainanus   Hainan black crested gibbon   Mammal ( primate )     Hainan Island , China   20     hunting       Neurergus kaiseri   Luristan newt Montanhas de Zagros de Anfíbios, Lorestão, Irã Coleção ilegal para comércio de animais Oreocnemis Phoenix Mulanje Red Dossel Inseto (Damselfly) Platô Mulanje, Malawi Desconhecido Habitat Phatius SanitWonStwongSonse -se a exaustão de fábricas de fábricas de fábricas de fábricas de fábricas de fábricas de fábricas de fábricas de fábricas de fábricas de fábricas de fábricas de fábricas de fábricas de fábricas de fábricas de fábricas de fábricas de fábricas de fábricas de fábricas de fábricas de fábricas de dreno. , China, Lao PDR, Tailândia e Vietnã Coleção de sobrepesca desconhecida para o comércio de aquários Pardios Burchellanus Cerrado Cerrado, Expansão Humana Brasil Limitada de Faixa de Phocoena Sinus Vaquita Mamíferos (PoreSe) Norno do Gulf da Califórnia, México Captura em México Em Peixesen S Gilhas Tipo de planta de árvore de abeto (árvore) Cama de qinling, China Destruição desconhecida da floresta Pinus squamata qiaojia Planta de pinheiro (árvore) qiaojia, yunnan, China Distribuição limitada tamanho da população Poeciloteria metallica gooty tarântula tarântula metálica PeaCock Peacock e Salegurugh Spider Nandyal e Giddalur e Giddalur Gidlur, Gidlur, Giddalur, Gidluriursaling, PeaCock Metallic PeaCock e Salepurur Salegus. , Índia Desmatados Desmatados Desmatados Coleção de letras civis Pomarea Whitneyi Fatuhiva Monarch Bird Fatu Hiva, Ilhas Marquesas, Polinésia Francesa 50 Predação por espécies introduzidas - Rattus rattus e catos ferozes Pristis Pristis Prindis SAWFISH Tropicais e águas -oculares subtropical. Atualmente, amplamente restrito ao norte da Austrália, a exploração desconhecida removeu as espécies de 95 % de sua faixa histórica prolemur simus maior mamífera de bambu lêmur (primata) sudeste e sul florestas tropicais de Madagascar 500 Mineração Agricultura) A profeta ilegal de candidato a Silky Sifaka Mammalsalsalsalsalsalsalsalsals) (Proscultura Mining) A agricultura), que a pós -mamãe) da mamãe) da mamãe) da mamãe) da mamãe) (mineração) a mamãe ilegal da mamãe) a mamãe ilegal) a Silky Sifaka Mammals ( Andapa basin , and Marojeju Massif , Madagascar   100 -- 1,000     hunting   habitat disturbance       Psammobates geometricus   Geometric tortoise   Reptile     Western Cape Province , South Africa   Unknown     loss of habitat destruction   predation       Pseudoryx nghetinhensis   Saola   Mammal     Annamite mountains , on the Viet Nam - PDR Laos border   Unknown     habitat destruction Caça Psiadia cataractae planta Maurício Concurso do Projeto de Desenvolvimento Desconhecido de Espécies Invasivas de Plantas Psorodonotus Ebneri Beydaglari Bush - Insect de críquete Beydaglari Range, Antalaya, Burquia Desconhecida CLIMATE Habitat Laine Ki Rafetus Swinhoei Red River Giant Softhell Turke Nettlen Rebilan Rebilan Ki Ki Ki Ki Swinhei River Giant Softhenclel Turken Rebilan Rebilan Honem Honem Ki Ki Ki Swinhei River Giant Softhell Turken Rebilan Rebaste e zoológico de Suzhou, China caçando para consumo de áreas úmidas Destruição Poluição de rinocerontes Sondaicus javan rinoceronte mamífero (rinino) Parque nacional Ujung Kulon, java, caça à Indonésia para medicina tradicional pequena população rinocithecus avunculus snub - liquiding mammamal (mamamal de macacão) nortimenteno) Rhizanthella Gardneri Australiana Ocidental Planta de orquídea subterrânea (Orquídea) Austrália Ocidental, Austrália Liberação da terra para a salinização por mudanças climáticas da agricultura Rhynchocyon spp. Boni Giant Sengi Mammal (musaranho) Boni - Dodori Floresta, área de Lamu, Desenvolvimento desconhecido do Quênia, causando perda de habitat risiocnemis Seidenschwarzi Cebu Frill - inseto de asa (damselfily) Rivuto do Kawasan, Cebu, Cebu, Philathy Habitat Degradation Degradation e Rio Reabu, Plantates, Habitats Degradation) e Plantlet River Reabu, Cebu, Philathy Habitat degradado Mountains , Egypt   Unknown , 10 sub-populations     domestic animal grazing   climate change and drought   medicinal plant collecting   limited range       Salanoia durrelli   Durrell 's vontsira   Mammal ( mongoose )     Marshes of Lake Alaotra , Madagascar   Unknown     loss of habitat       Santamartamys rufodorsalis   Red crested tree rat   Mammal ( rodent ) Sierra Nevada de Santa Marta, Colômbia Desconhecida Desenvolvimento Urbano Cultivo de Café Scaturiginichthys Vermeilipinnis Vermelho - Blue marinhado - Pesca dos olhos Estação de Edgbaston, Estação Central Western Queensland, Austrália 2.000 - 4.000 Predation By Introduzido Espécie Squatina Squatina Stune StuRa Stunesa Pesca Breadna Islands Unsknow Benthic Benthic Benthic Criação chinesa de aves de andorinhas em Zhejiang e Fujian, China. Fora da estação de reprodução na Indonésia, Malásia, Filipinas, Taiwan, Tailândia. habitat destruction   egg collection       Syngnathus watermeyeri   Estuarine pipefish   Fish     Kariega Estuary to East Kleinemonde Estuary , Eastern Cape Province , South Africa   Unknown     dam construction is altering river flows   flood events into estuaries       Tahina spectabilis   Suicide palm Dimaka   Plant     Analalava district , north - western Madagascar   90     fires   logging   agricultural developments       Telmatobufo bullocki   Bullock 's false toad   Amphibian ( frog )     Nahuelbuta , Arauco Province , Chile   Unknown     construction of hydro - electricity       Tokudaia muenninki   Okinawa spiny rat   Mammal ( rodent )     Okinawa Island , Japan   Unknown     habitat loss   predation by feral cats       Trigonostigma somphongsi   Somphongs 's rasbora Fish Mae Khlong Basin, Tailândia Conversão de terras agrícolas e urbanização desconhecidas Valencia Letourneuxi Peixe Albânia do sul da Albânia e Western Grécia Desconhecida Destruição de Habitats Interação agressiva com gambusia Voanioala Gerardii Coco de coco odroala Península, Madagasca Ateriormente, o maior número de coco de coco zansena, a prevista de coco, a prevista de coco de coco da pálpebra da zomba de zíronização, a madagasia, a premissa de coco da floresta, para a premissa de zomba de coco, para o siníssico, a premissa de coco de coco de coco zagumia, a madagasína, para o queda de coco, a picana de coco de coco de coco da pálpebra da zóia. Montanhas de Mamíferos Ciclopes, Província de Papua, Indonésia Modificação e degradação de habitats Indonésia Apreciação agrícola da invasão agrícola muda o cultivo e a caça pelas pessoas locais. ^ Pule para: `` Relatório lista os 100 mais ameaçados do mundo</v>
      </c>
    </row>
    <row r="427" customFormat="false" ht="15.75" hidden="false" customHeight="true" outlineLevel="0" collapsed="false">
      <c r="A427" s="3" t="n">
        <v>424</v>
      </c>
      <c r="B427" s="5" t="s">
        <v>1274</v>
      </c>
      <c r="C427" s="5" t="s">
        <v>1275</v>
      </c>
      <c r="D427" s="5" t="s">
        <v>1276</v>
      </c>
      <c r="E427" s="4" t="str">
        <f aca="false">IFERROR(__xludf.dummyfunction("GOOGLETRANSLATE(C428)"),"Qual é o ABV de Pabst Blue Ribbon")</f>
        <v>Qual é o ABV de Pabst Blue Ribbon</v>
      </c>
      <c r="F427" s="5" t="str">
        <f aca="false">IFERROR(__xludf.dummyfunction("GOOGLETRANSLATE(D427)"),"   Country de Jure observa o fumo da idade Compra Age Australia Regulamentos por estado / território: Província / Território para o fumo da idade Notas de idade Australian Capital Território Nenhum 18 É ilegal vender produtos de tabaco a uma pessoa com me"&amp;"nos de 18 anos de idade. Além disso, é ilegal comprar um produto de tabaco para um menor. Novo Gales do Sul Nenhum 18 É ilegal vender qualquer produto de tabaco ou não-tobaco para uma pessoa com menos de 18 anos de idade. Território do Norte Nenhum 18 É i"&amp;"legal vender qualquer produto de tabaco a um menor ou em nome de menores. É ilegal fumar em um veículo com uma pessoa com menos de 18 anos de idade presente. Queensland Nenhum 18 É ilegal para um adulto fornecer um produto de tabaco a uma pessoa com menos"&amp;" de 18 anos; No entanto, um adulto responsável por uma criança não comete uma ofensa fornecendo um produto para fumar para a criança. Austrália do Sul Nenhum 18 É uma ofensa fornecer qualquer produto de tabaco a uma pessoa com menos de 18 anos. Tasmânia N"&amp;"enhum 18 É ilegal vender ou fornecer tabaco a uma pessoa com menos de 18 anos. A idade mínima era de 16 anos antes de 1 de janeiro de 1997. Victoria Nenhum 18 É ilegal fornecer tabaco a um menor. Fumar em um veículo com uma pessoa com menos de 18 anos é u"&amp;"ma ofensa. Austrália Ocidental Nenhum 18 É ilegal vender, entregar ou fornecer tabaco ou fumante implementar a um menor. Compra em nome de pessoas com menos de 18 anos proibidos. Fiji Nenhum 18 É ilegal vender e fornecer tabaco a um menor. Micronésia, est"&amp;"ados federados de 18 anos É ilegal vender e fornecer tabaco a um menor. Nova Zelândia Nenhum 18 É ilegal vender e fornecer tabaco a menos de 18 anos. Nenhuma idade mínima antes de 1903. Idade mínima de 15 anos de 1903 a 1988. Idade mínima de 16 anos de 19"&amp;"88 a 1998. 'Palau Nenhum 18 21 (apenas papéis rolantes e Elaus) é ilegal vender ou dar produtos de tabaco a qualquer pessoa com menos de 18 anos de idade. Se o comprador parece ter menos de 30 anos, o ID deve ser verificado antes da venda. É ilegal empreg"&amp;"ar qualquer pessoa com menos de 21 anos que lida com produtos de tabaco. É ilegal vender papéis e elaus para qualquer pessoa com menos de 21 anos. Papua Nova Guiné Nenhum 18 É ilegal vender ou dar tabaco a uma pessoa com menos de 18 anos. Samoa 21 É ilega"&amp;"l vender tabaco para qualquer pessoa com menos de 21 anos. Não é ilegal para uma pessoa com menos de 21 anos possuir ou fumar tabaco em público. Ilhas Salomão Nenhuma 18 É ilegal vender, dar ou fornecer tabaco a um menor. Tonga Nenhum 18 É ilegal vender, "&amp;"dar ou fornecer tabaco a um menor. Tokelau 16 É ilegal para uma pessoa com menos de 16 anos fumar tabaco. Vanuatu 18 É ilegal vender tabaco para uma pessoa com menos de 18 anos. É ilegal para pessoas com menos de 18 anos fumar tabaco.")</f>
        <v>   Country de Jure observa o fumo da idade Compra Age Australia Regulamentos por estado / território: Província / Território para o fumo da idade Notas de idade Australian Capital Território Nenhum 18 É ilegal vender produtos de tabaco a uma pessoa com menos de 18 anos de idade. Além disso, é ilegal comprar um produto de tabaco para um menor. Novo Gales do Sul Nenhum 18 É ilegal vender qualquer produto de tabaco ou não-tobaco para uma pessoa com menos de 18 anos de idade. Território do Norte Nenhum 18 É ilegal vender qualquer produto de tabaco a um menor ou em nome de menores. É ilegal fumar em um veículo com uma pessoa com menos de 18 anos de idade presente. Queensland Nenhum 18 É ilegal para um adulto fornecer um produto de tabaco a uma pessoa com menos de 18 anos; No entanto, um adulto responsável por uma criança não comete uma ofensa fornecendo um produto para fumar para a criança. Austrália do Sul Nenhum 18 É uma ofensa fornecer qualquer produto de tabaco a uma pessoa com menos de 18 anos. Tasmânia Nenhum 18 É ilegal vender ou fornecer tabaco a uma pessoa com menos de 18 anos. A idade mínima era de 16 anos antes de 1 de janeiro de 1997. Victoria Nenhum 18 É ilegal fornecer tabaco a um menor. Fumar em um veículo com uma pessoa com menos de 18 anos é uma ofensa. Austrália Ocidental Nenhum 18 É ilegal vender, entregar ou fornecer tabaco ou fumante implementar a um menor. Compra em nome de pessoas com menos de 18 anos proibidos. Fiji Nenhum 18 É ilegal vender e fornecer tabaco a um menor. Micronésia, estados federados de 18 anos É ilegal vender e fornecer tabaco a um menor. Nova Zelândia Nenhum 18 É ilegal vender e fornecer tabaco a menos de 18 anos. Nenhuma idade mínima antes de 1903. Idade mínima de 15 anos de 1903 a 1988. Idade mínima de 16 anos de 1988 a 1998. 'Palau Nenhum 18 21 (apenas papéis rolantes e Elaus) é ilegal vender ou dar produtos de tabaco a qualquer pessoa com menos de 18 anos de idade. Se o comprador parece ter menos de 30 anos, o ID deve ser verificado antes da venda. É ilegal empregar qualquer pessoa com menos de 21 anos que lida com produtos de tabaco. É ilegal vender papéis e elaus para qualquer pessoa com menos de 21 anos. Papua Nova Guiné Nenhum 18 É ilegal vender ou dar tabaco a uma pessoa com menos de 18 anos. Samoa 21 É ilegal vender tabaco para qualquer pessoa com menos de 21 anos. Não é ilegal para uma pessoa com menos de 21 anos possuir ou fumar tabaco em público. Ilhas Salomão Nenhuma 18 É ilegal vender, dar ou fornecer tabaco a um menor. Tonga Nenhum 18 É ilegal vender, dar ou fornecer tabaco a um menor. Tokelau 16 É ilegal para uma pessoa com menos de 16 anos fumar tabaco. Vanuatu 18 É ilegal vender tabaco para uma pessoa com menos de 18 anos. É ilegal para pessoas com menos de 18 anos fumar tabaco.</v>
      </c>
    </row>
    <row r="428" customFormat="false" ht="15.75" hidden="false" customHeight="true" outlineLevel="0" collapsed="false">
      <c r="A428" s="3" t="n">
        <v>425</v>
      </c>
      <c r="B428" s="5" t="s">
        <v>1277</v>
      </c>
      <c r="C428" s="5" t="s">
        <v>1278</v>
      </c>
      <c r="D428" s="5" t="s">
        <v>1279</v>
      </c>
      <c r="E428" s="4" t="str">
        <f aca="false">IFERROR(__xludf.dummyfunction("GOOGLETRANSLATE(C429)"),"Quais são as equipes do Pro Kabaddi 2018")</f>
        <v>Quais são as equipes do Pro Kabaddi 2018</v>
      </c>
      <c r="F428" s="5" t="str">
        <f aca="false">IFERROR(__xludf.dummyfunction("GOOGLETRANSLATE(D428)")," A Pabst Blue Ribbon America possui um acordo de licenciamento e um acordo de joint venture com a C&amp;C Group Plc e está sendo distribuído na República da Irlanda através da C&amp;C Gleeson e na Irlanda do Norte através de tennos da Irlanda do Norte. É vendido "&amp;"em latas e garrafas e garrafas e em um barril de 30L. O ABV é de 4,6 %.")</f>
        <v> A Pabst Blue Ribbon America possui um acordo de licenciamento e um acordo de joint venture com a C&amp;C Group Plc e está sendo distribuído na República da Irlanda através da C&amp;C Gleeson e na Irlanda do Norte através de tennos da Irlanda do Norte. É vendido em latas e garrafas e garrafas e em um barril de 30L. O ABV é de 4,6 %.</v>
      </c>
    </row>
    <row r="429" customFormat="false" ht="15.75" hidden="false" customHeight="true" outlineLevel="0" collapsed="false">
      <c r="A429" s="3" t="n">
        <v>426</v>
      </c>
      <c r="B429" s="5" t="s">
        <v>1280</v>
      </c>
      <c r="C429" s="5" t="s">
        <v>1281</v>
      </c>
      <c r="D429" s="5" t="s">
        <v>1282</v>
      </c>
      <c r="E429" s="4" t="str">
        <f aca="false">IFERROR(__xludf.dummyfunction("GOOGLETRANSLATE(C430)"),"Quando a nova temporada de destruída será lançada")</f>
        <v>Quando a nova temporada de destruída será lançada</v>
      </c>
      <c r="F429" s="5" t="str">
        <f aca="false">IFERROR(__xludf.dummyfunction("GOOGLETRANSLATE(D429)"),"   Capacidade da cidade / Estado Capacidade de Bengala guerreiros Kolkata, Bengala Ocidental estádio interno de Bengala Netaji 7004120000000000000 ♠ 12.000 Bengaluru Bulning Bengaluru, Karnataka Shree Shree Chhatrapati Sports Sports 7003420000000000000 se"&amp;"x 4,200 DATRAPATI Complexo Khatrapi 7003420000000000 Último 4,200 DATRAPATI Complexo Khatrapi 7003420000000000 Últio 00000 ♠ 4.494 Jaipur Pink Panthers Panchkula, Haryana Tau Devilal Sports Complexo 7003700000000000000 ♠ 7.000 Patna pirates Patna, Bihar P"&amp;"atliputra Sports Complex 700420000000000000000 ♠ 20.000 Puneri Paltan Pune, Shrie Shree Shree Shrie Shrie Shree Shree Shree Shree Shree Shree Shree Shree Shree Shree Shree Shree Shree Shree Shree Shree Shree Shree Shree Shree Shree Shree Shree Shree Shree"&amp;" Shree Shree Shree Shree Shree. Abad / Vizag TELANGANA GACHIBOWLI ESTADO INTERIOR 70035000000000000 ♠ 5.000 U MUMBA MUMBAI, MAHARASHTRA DOME@NSCI SVP Stadium 70035000000000000 cos de 43 anos de idade, a ahmedabad 4000000000000000000 cos de 5.000 Gianstium"&amp;" 730s. Pradesh Shaheed Viade Shaheed Viathh Pathik Sparts x 7003800000000000000 ♠ 8.000 Tamil Thalaivas Chennai, Tamilnadu Jawaharlal Nehru Stadium 7003500000000000000 ♠ 5.000 Haryana Steelers Sonipat, Haryana Motilal Nehru School of Sports 70032000000000"&amp;"00000 2.000")</f>
        <v>   Capacidade da cidade / Estado Capacidade de Bengala guerreiros Kolkata, Bengala Ocidental estádio interno de Bengala Netaji 7004120000000000000 ♠ 12.000 Bengaluru Bulning Bengaluru, Karnataka Shree Shree Chhatrapati Sports Sports 7003420000000000000 sex 4,200 DATRAPATI Complexo Khatrapi 7003420000000000 Último 4,200 DATRAPATI Complexo Khatrapi 7003420000000000 Últio 00000 ♠ 4.494 Jaipur Pink Panthers Panchkula, Haryana Tau Devilal Sports Complexo 7003700000000000000 ♠ 7.000 Patna pirates Patna, Bihar Patliputra Sports Complex 700420000000000000000 ♠ 20.000 Puneri Paltan Pune, Shrie Shree Shree Shrie Shrie Shree Shree Shree Shree Shree Shree Shree Shree Shree Shree Shree Shree Shree Shree Shree Shree Shree Shree Shree Shree Shree Shree Shree Shree Shree Shree Shree Shree Shree Shree. Abad / Vizag TELANGANA GACHIBOWLI ESTADO INTERIOR 70035000000000000 ♠ 5.000 U MUMBA MUMBAI, MAHARASHTRA DOME@NSCI SVP Stadium 70035000000000000 cos de 43 anos de idade, a ahmedabad 4000000000000000000 cos de 5.000 Gianstium 730s. Pradesh Shaheed Viade Shaheed Viathh Pathik Sparts x 7003800000000000000 ♠ 8.000 Tamil Thalaivas Chennai, Tamilnadu Jawaharlal Nehru Stadium 7003500000000000000 ♠ 5.000 Haryana Steelers Sonipat, Haryana Motilal Nehru School of Sports 7003200000000000000 2.000</v>
      </c>
    </row>
    <row r="430" customFormat="false" ht="15.75" hidden="false" customHeight="true" outlineLevel="0" collapsed="false">
      <c r="A430" s="3" t="n">
        <v>427</v>
      </c>
      <c r="B430" s="5" t="s">
        <v>1283</v>
      </c>
      <c r="C430" s="5" t="s">
        <v>1284</v>
      </c>
      <c r="D430" s="5" t="s">
        <v>1285</v>
      </c>
      <c r="E430" s="4" t="str">
        <f aca="false">IFERROR(__xludf.dummyfunction("GOOGLETRANSLATE(C431)"),"Quem está concorrendo ao prefeito de Charlotte NC")</f>
        <v>Quem está concorrendo ao prefeito de Charlotte NC</v>
      </c>
      <c r="F430" s="5" t="str">
        <f aca="false">IFERROR(__xludf.dummyfunction("GOOGLETRANSLATE(D430)")," Em 6 de julho de 2016, o TBS renovou o show para uma segunda temporada, que foi filmada em Fiji. A segunda temporada estreou em 20 de junho de 2017. Em 13 de setembro de 2017, a TBS renovou a série para uma terceira temporada, que estreou em 7 de agosto "&amp;"de 2018.")</f>
        <v> Em 6 de julho de 2016, o TBS renovou o show para uma segunda temporada, que foi filmada em Fiji. A segunda temporada estreou em 20 de junho de 2017. Em 13 de setembro de 2017, a TBS renovou a série para uma terceira temporada, que estreou em 7 de agosto de 2018.</v>
      </c>
    </row>
    <row r="431" customFormat="false" ht="15.75" hidden="false" customHeight="true" outlineLevel="0" collapsed="false">
      <c r="A431" s="3" t="n">
        <v>428</v>
      </c>
      <c r="B431" s="5" t="s">
        <v>1286</v>
      </c>
      <c r="C431" s="5" t="s">
        <v>1287</v>
      </c>
      <c r="D431" s="5" t="s">
        <v>1288</v>
      </c>
      <c r="E431" s="4" t="str">
        <f aca="false">IFERROR(__xludf.dummyfunction("GOOGLETRANSLATE(C432)"),"De onde vem o olho de olho")</f>
        <v>De onde vem o olho de olho</v>
      </c>
      <c r="F431" s="5" t="str">
        <f aca="false">IFERROR(__xludf.dummyfunction("GOOGLETRANSLATE(D431)"),"   Candidatos Eleição Geral - 7 de novembro Partido candidato Votos por cento VI Lyles democrata 71.876 59,13 % Kenny Smith Republicano 49.555 40,77 %")</f>
        <v>   Candidatos Eleição Geral - 7 de novembro Partido candidato Votos por cento VI Lyles democrata 71.876 59,13 % Kenny Smith Republicano 49.555 40,77 %</v>
      </c>
    </row>
    <row r="432" customFormat="false" ht="15.75" hidden="false" customHeight="true" outlineLevel="0" collapsed="false">
      <c r="A432" s="3" t="n">
        <v>429</v>
      </c>
      <c r="B432" s="5" t="s">
        <v>1289</v>
      </c>
      <c r="C432" s="5" t="s">
        <v>1290</v>
      </c>
      <c r="D432" s="5" t="s">
        <v>1291</v>
      </c>
      <c r="E432" s="4" t="str">
        <f aca="false">IFERROR(__xludf.dummyfunction("GOOGLETRANSLATE(C433)"),"que foi primeiro -ministro quando a rainha foi coroada")</f>
        <v>que foi primeiro -ministro quando a rainha foi coroada</v>
      </c>
      <c r="F432" s="5" t="str">
        <f aca="false">IFERROR(__xludf.dummyfunction("GOOGLETRANSLATE(D432)")," Primeiro referenciado no Código de Hamurabi (que antecede a Bíblia Hebraica.) Na lei hebraica, o `` olho por olho '' era restringir a compensação ao valor da perda. Assim, pode ser melhor ler 'apenas um olho para um olho'. A frase bíblica `` um olho para"&amp;" um olho '' em Êxodo e levítico (עין תחת עין, ayin tachat ayin) literalmente significa 'um olho no lugar de um olho' enquanto uma frase ligeiramente diferente (עַיִן בְּעַיִן שֵׁן, literalmente `` `olho por olho; dente para um dente '') é usado em outra p"&amp;"assagem (em Deuteronômio) da Bíblia Hebraica, especificamente, na primeira de suas três subdivisões, a Torá. Por exemplo, uma passagem em Levítico afirma: `` e um homem que machuca seu compatriota - como ele fez, então isso será feito a ele (a saber) frat"&amp;"ura por fraturas, olho para olho, dente para dente. Assim como ele machucou uma pessoa, isso será feito a ele. '' (Lev. 24: 19 - 21)")</f>
        <v> Primeiro referenciado no Código de Hamurabi (que antecede a Bíblia Hebraica.) Na lei hebraica, o `` olho por olho '' era restringir a compensação ao valor da perda. Assim, pode ser melhor ler 'apenas um olho para um olho'. A frase bíblica `` um olho para um olho '' em Êxodo e levítico (עין תחת עין, ayin tachat ayin) literalmente significa 'um olho no lugar de um olho' enquanto uma frase ligeiramente diferente (עַיִן בְּעַיִן שֵׁן, literalmente `` `olho por olho; dente para um dente '') é usado em outra passagem (em Deuteronômio) da Bíblia Hebraica, especificamente, na primeira de suas três subdivisões, a Torá. Por exemplo, uma passagem em Levítico afirma: `` e um homem que machuca seu compatriota - como ele fez, então isso será feito a ele (a saber) fratura por fraturas, olho para olho, dente para dente. Assim como ele machucou uma pessoa, isso será feito a ele. '' (Lev. 24: 19 - 21)</v>
      </c>
    </row>
    <row r="433" customFormat="false" ht="15.75" hidden="false" customHeight="true" outlineLevel="0" collapsed="false">
      <c r="A433" s="3" t="n">
        <v>430</v>
      </c>
      <c r="B433" s="5" t="s">
        <v>1292</v>
      </c>
      <c r="C433" s="5" t="s">
        <v>1293</v>
      </c>
      <c r="D433" s="5" t="s">
        <v>1294</v>
      </c>
      <c r="E433" s="4" t="str">
        <f aca="false">IFERROR(__xludf.dummyfunction("GOOGLETRANSLATE(C434)"),"Qual é o termo máximo que um presidente dos EUA pode servir")</f>
        <v>Qual é o termo máximo que um presidente dos EUA pode servir</v>
      </c>
      <c r="F433" s="5" t="str">
        <f aca="false">IFERROR(__xludf.dummyfunction("GOOGLETRANSLATE(D433)")," Winston Churchill era o primeiro -ministro do Reino Unido quando Elizabeth se tornou rainha.")</f>
        <v> Winston Churchill era o primeiro -ministro do Reino Unido quando Elizabeth se tornou rainha.</v>
      </c>
    </row>
    <row r="434" customFormat="false" ht="15.75" hidden="false" customHeight="true" outlineLevel="0" collapsed="false">
      <c r="A434" s="3" t="n">
        <v>431</v>
      </c>
      <c r="B434" s="5" t="s">
        <v>1295</v>
      </c>
      <c r="C434" s="5" t="s">
        <v>1296</v>
      </c>
      <c r="D434" s="5" t="s">
        <v>1297</v>
      </c>
      <c r="E434" s="4" t="str">
        <f aca="false">IFERROR(__xludf.dummyfunction("GOOGLETRANSLATE(C435)"),"Quando acabou com a política de 1 filho da China")</f>
        <v>Quando acabou com a política de 1 filho da China</v>
      </c>
      <c r="F434" s="5" t="str">
        <f aca="false">IFERROR(__xludf.dummyfunction("GOOGLETRANSLATE(D434)")," Os limites de mandato, também chamados de rotação no cargo, restringem o número de termos de escritório que um detentor do escritório pode manter. Por exemplo, de acordo com a 22ª Emenda, o Presidente dos Estados Unidos pode cumprir dois mandatos de quat"&amp;"ro anos e servir não mais de 10 anos.")</f>
        <v> Os limites de mandato, também chamados de rotação no cargo, restringem o número de termos de escritório que um detentor do escritório pode manter. Por exemplo, de acordo com a 22ª Emenda, o Presidente dos Estados Unidos pode cumprir dois mandatos de quatro anos e servir não mais de 10 anos.</v>
      </c>
    </row>
    <row r="435" customFormat="false" ht="15.75" hidden="false" customHeight="true" outlineLevel="0" collapsed="false">
      <c r="A435" s="3" t="n">
        <v>432</v>
      </c>
      <c r="B435" s="5" t="s">
        <v>1298</v>
      </c>
      <c r="C435" s="5" t="s">
        <v>1299</v>
      </c>
      <c r="D435" s="5" t="s">
        <v>1300</v>
      </c>
      <c r="E435" s="4" t="str">
        <f aca="false">IFERROR(__xludf.dummyfunction("GOOGLETRANSLATE(C436)"),"Quando a segunda temporada de Dragon Ball Super sai")</f>
        <v>Quando a segunda temporada de Dragon Ball Super sai</v>
      </c>
      <c r="F435" s="5" t="str">
        <f aca="false">IFERROR(__xludf.dummyfunction("GOOGLETRANSLATE(D435)")," A política única, uma parte da política de planejamento familiar, era uma política de planejamento populacional da China. Foi introduzido em 1979 e começou a ser formalmente eliminado perto do final de 2015 e do início de 2016. A política foi aplicada ap"&amp;"enas a Han Chinese e permitiu exceções para muitos grupos, incluindo minorias étnicas. Em 2007, 36 % da população da China estava sujeita a uma restrição rigorosa de crianças, com 53 % adicionais sendo autorizados a ter um segundo filho se o primeiro filh"&amp;"o fosse uma menina. Os governos provinciais impuseram multas por violações, e os governos locais e nacionais criaram comissões para aumentar a conscientização e realizar trabalhos de registro e inspeção.")</f>
        <v> A política única, uma parte da política de planejamento familiar, era uma política de planejamento populacional da China. Foi introduzido em 1979 e começou a ser formalmente eliminado perto do final de 2015 e do início de 2016. A política foi aplicada apenas a Han Chinese e permitiu exceções para muitos grupos, incluindo minorias étnicas. Em 2007, 36 % da população da China estava sujeita a uma restrição rigorosa de crianças, com 53 % adicionais sendo autorizados a ter um segundo filho se o primeiro filho fosse uma menina. Os governos provinciais impuseram multas por violações, e os governos locais e nacionais criaram comissões para aumentar a conscientização e realizar trabalhos de registro e inspeção.</v>
      </c>
    </row>
    <row r="436" customFormat="false" ht="15.75" hidden="false" customHeight="true" outlineLevel="0" collapsed="false">
      <c r="A436" s="3" t="n">
        <v>433</v>
      </c>
      <c r="B436" s="5" t="s">
        <v>1301</v>
      </c>
      <c r="C436" s="5" t="s">
        <v>1302</v>
      </c>
      <c r="D436" s="5" t="s">
        <v>1303</v>
      </c>
      <c r="E436" s="4" t="str">
        <f aca="false">IFERROR(__xludf.dummyfunction("GOOGLETRANSLATE(C437)"),"quem ganhou eu sou uma celebridade 2018 austrália")</f>
        <v>quem ganhou eu sou uma celebridade 2018 austrália</v>
      </c>
      <c r="F436" s="5" t="str">
        <f aca="false">IFERROR(__xludf.dummyfunction("GOOGLETRANSLATE(D436)"),"   Episódios da saga Japaneses Airdates ingleses Airdates inglesa God of Destruction Beerus 14 (1 - 14) 5 de julho de 2015 - 11 de outubro de 2015 7 de janeiro de 2017 - 15 de abril de 2017 Golden Freeza 13 (15 - 27) 18 de outubro de 2015 - 17 de janeiro "&amp;"de 2016 22 de abril de 2017- 29 de julho de 2017 Universo 6 19 (28- 46) 24 de janeiro de 2016- 5 de junho de 2016 5 de agosto de 2017- 13 de janeiro de 2018 `` Future '' ' Trunks 30 (47 - 76) 12 de junho de 2016 - 29 de janeiro de 2017 20 de janeiro de 20"&amp;"18 - TBA 5 Universo Sobrevivência 55 (77 - 131) 5 de fevereiro de 2017 - 25 de março de 2018 TBA")</f>
        <v>   Episódios da saga Japaneses Airdates ingleses Airdates inglesa God of Destruction Beerus 14 (1 - 14) 5 de julho de 2015 - 11 de outubro de 2015 7 de janeiro de 2017 - 15 de abril de 2017 Golden Freeza 13 (15 - 27) 18 de outubro de 2015 - 17 de janeiro de 2016 22 de abril de 2017- 29 de julho de 2017 Universo 6 19 (28- 46) 24 de janeiro de 2016- 5 de junho de 2016 5 de agosto de 2017- 13 de janeiro de 2018 `` Future '' ' Trunks 30 (47 - 76) 12 de junho de 2016 - 29 de janeiro de 2017 20 de janeiro de 2018 - TBA 5 Universo Sobrevivência 55 (77 - 131) 5 de fevereiro de 2017 - 25 de março de 2018 TBA</v>
      </c>
    </row>
    <row r="437" customFormat="false" ht="15.75" hidden="false" customHeight="true" outlineLevel="0" collapsed="false">
      <c r="A437" s="3" t="n">
        <v>434</v>
      </c>
      <c r="B437" s="5" t="s">
        <v>1304</v>
      </c>
      <c r="C437" s="5" t="s">
        <v>1305</v>
      </c>
      <c r="D437" s="5" t="s">
        <v>1306</v>
      </c>
      <c r="E437" s="4" t="str">
        <f aca="false">IFERROR(__xludf.dummyfunction("GOOGLETRANSLATE(C438)"),"onde está a ponte de 11 pés de 8 polegadas")</f>
        <v>onde está a ponte de 11 pés de 8 polegadas</v>
      </c>
      <c r="F437" s="5" t="str">
        <f aca="false">IFERROR(__xludf.dummyfunction("GOOGLETRANSLATE(D437)"),"   Apresentadores da temporada Data de início Data Data Dias em Campmates Honre o vencedor do acampamento, segundo lugar, terceiro lugar, Chris Brown e Julia Morris, 1 de fevereiro de 2015 (2015 - 02 - 01) 15 de março de 2015 (2015 - 03 - 15) 45 14 Freddi"&amp;"e Flintoff Barry Hall Swan Chrissie Swan Swan Swan Swan Swan Swan Swan Swan Swan Swan Swan Swan Swan Swan 31 de janeiro de 2016 (2016 - 01 - 31) 13 de março de 2016 (2016 - 03 - 13) 45 12 Brendan Fevola Paul Harragon Laurina Fleure 29 de janeiro de 2017 ("&amp;"2017 - 01 - 29) 13 de março de 2017 (2017 - 03 - 13) 46 14 Casey Donovan Dane Swan Natalie Bassingthwaiighte 28 de janeiro de 2018 (2018 - 01 - 28) 12 de março de 2018 (2018 - 03 - 12) 45 15 Fiona O'Loughlin Shannon Noll Danny Green 5 2019 2019 2019")</f>
        <v>   Apresentadores da temporada Data de início Data Data Dias em Campmates Honre o vencedor do acampamento, segundo lugar, terceiro lugar, Chris Brown e Julia Morris, 1 de fevereiro de 2015 (2015 - 02 - 01) 15 de março de 2015 (2015 - 03 - 15) 45 14 Freddie Flintoff Barry Hall Swan Chrissie Swan Swan Swan Swan Swan Swan Swan Swan Swan Swan Swan Swan Swan Swan 31 de janeiro de 2016 (2016 - 01 - 31) 13 de março de 2016 (2016 - 03 - 13) 45 12 Brendan Fevola Paul Harragon Laurina Fleure 29 de janeiro de 2017 (2017 - 01 - 29) 13 de março de 2017 (2017 - 03 - 13) 46 14 Casey Donovan Dane Swan Natalie Bassingthwaiighte 28 de janeiro de 2018 (2018 - 01 - 28) 12 de março de 2018 (2018 - 03 - 12) 45 15 Fiona O'Loughlin Shannon Noll Danny Green 5 2019 2019 2019</v>
      </c>
    </row>
    <row r="438" customFormat="false" ht="15.75" hidden="false" customHeight="true" outlineLevel="0" collapsed="false">
      <c r="A438" s="3" t="n">
        <v>435</v>
      </c>
      <c r="B438" s="5" t="s">
        <v>1307</v>
      </c>
      <c r="C438" s="5" t="s">
        <v>1308</v>
      </c>
      <c r="D438" s="5" t="s">
        <v>1309</v>
      </c>
      <c r="E438" s="4" t="str">
        <f aca="false">IFERROR(__xludf.dummyfunction("GOOGLETRANSLATE(C439)"),"que disse que o erro é humano para perdoar o divino")</f>
        <v>que disse que o erro é humano para perdoar o divino</v>
      </c>
      <c r="F438" s="5" t="str">
        <f aca="false">IFERROR(__xludf.dummyfunction("GOOGLETRANSLATE(D438)")," A ponte de 11 pés 8 (formalmente conhecida como Norfolk Southern - o viaduto da Gregson Street e apelidado de lata - abridor) é uma ponte ferroviária em Durham, Carolina do Norte, Estados Unidos, que atraiu cobertura da mídia e atenção popular porque veí"&amp;"culos altos, como Caminhões e trailers freqüentemente colidem com o viaduto incomumente baixo, resultando em danos que variam de ar condicionado de teto RV sendo raspados para telhados de caminhão inteiros sendo removidos. A ponte antiga de 78 anos, ao lo"&amp;"ngo da South Gregson Street, fornece apenas 3,56 m de folga vertical. Não pode ser levantado, porque as travessias ferroviárias próximas também teriam que ser criadas com ele. A rua também não pode ser reduzida, porque uma grande linha de esgoto corre a a"&amp;"penas 1,2 m (1,2 m) na Gregson Street.")</f>
        <v> A ponte de 11 pés 8 (formalmente conhecida como Norfolk Southern - o viaduto da Gregson Street e apelidado de lata - abridor) é uma ponte ferroviária em Durham, Carolina do Norte, Estados Unidos, que atraiu cobertura da mídia e atenção popular porque veículos altos, como Caminhões e trailers freqüentemente colidem com o viaduto incomumente baixo, resultando em danos que variam de ar condicionado de teto RV sendo raspados para telhados de caminhão inteiros sendo removidos. A ponte antiga de 78 anos, ao longo da South Gregson Street, fornece apenas 3,56 m de folga vertical. Não pode ser levantado, porque as travessias ferroviárias próximas também teriam que ser criadas com ele. A rua também não pode ser reduzida, porque uma grande linha de esgoto corre a apenas 1,2 m (1,2 m) na Gregson Street.</v>
      </c>
    </row>
    <row r="439" customFormat="false" ht="15.75" hidden="false" customHeight="true" outlineLevel="0" collapsed="false">
      <c r="A439" s="3" t="n">
        <v>436</v>
      </c>
      <c r="B439" s="5" t="s">
        <v>1310</v>
      </c>
      <c r="C439" s="5" t="s">
        <v>1311</v>
      </c>
      <c r="D439" s="5" t="s">
        <v>1312</v>
      </c>
      <c r="E439" s="4" t="str">
        <f aca="false">IFERROR(__xludf.dummyfunction("GOOGLETRANSLATE(C440)"),"Quem cantou fazê -los rir em cantando na chuva")</f>
        <v>Quem cantou fazê -los rir em cantando na chuva</v>
      </c>
      <c r="F439" s="5" t="str">
        <f aca="false">IFERROR(__xludf.dummyfunction("GOOGLETRANSLATE(D439)")," Um ensaio sobre críticas é um dos primeiros grandes poemas escritos pelo escritor inglês Alexander Pope (1688 - 1744). É a fonte das citações famosas `` errar é humana, perdoar divino '' e `` um pouco de aprendizado é uma coisa prejudicial '', freqüentem"&amp;"ente citada como `` um pouco de conhecimento é uma coisa prejudicial. '' Apareceu pela primeira vez em 1711 depois de ter sido escrito em 1709, e fica claro a partir da correspondência do Papa que muitas das idéias do poema existiam em forma de prosa desd"&amp;"e pelo menos 1706. Composto em dísticos heróicos (pares de linhas de rima adjacente de pentâmetro iâmbico) e escritos no modo horatiano de sátira, é um ensaio de verso preocupado principalmente com a forma como os escritores e os críticos se comportam no "&amp;"novo comércio literário da idade contemporânea do papa. O poema cobre uma série de boas críticas e conselhos e representa muitos dos principais ideais literários da idade do papa.")</f>
        <v> Um ensaio sobre críticas é um dos primeiros grandes poemas escritos pelo escritor inglês Alexander Pope (1688 - 1744). É a fonte das citações famosas `` errar é humana, perdoar divino '' e `` um pouco de aprendizado é uma coisa prejudicial '', freqüentemente citada como `` um pouco de conhecimento é uma coisa prejudicial. '' Apareceu pela primeira vez em 1711 depois de ter sido escrito em 1709, e fica claro a partir da correspondência do Papa que muitas das idéias do poema existiam em forma de prosa desde pelo menos 1706. Composto em dísticos heróicos (pares de linhas de rima adjacente de pentâmetro iâmbico) e escritos no modo horatiano de sátira, é um ensaio de verso preocupado principalmente com a forma como os escritores e os críticos se comportam no novo comércio literário da idade contemporânea do papa. O poema cobre uma série de boas críticas e conselhos e representa muitos dos principais ideais literários da idade do papa.</v>
      </c>
    </row>
    <row r="440" customFormat="false" ht="15.75" hidden="false" customHeight="true" outlineLevel="0" collapsed="false">
      <c r="A440" s="3" t="n">
        <v>437</v>
      </c>
      <c r="B440" s="5" t="s">
        <v>1313</v>
      </c>
      <c r="C440" s="5" t="s">
        <v>1314</v>
      </c>
      <c r="D440" s="5" t="s">
        <v>1315</v>
      </c>
      <c r="E440" s="4" t="str">
        <f aca="false">IFERROR(__xludf.dummyfunction("GOOGLETRANSLATE(C441)"),"Misture vermelho e verde para fazer esta cor")</f>
        <v>Misture vermelho e verde para fazer esta cor</v>
      </c>
      <c r="F440" s="5" t="str">
        <f aca="false">IFERROR(__xludf.dummyfunction("GOOGLETRANSLATE(D440)")," `` Make 'Em Laugh' 'é uma música apresentada pela primeira vez no filme de 1952 Singin' in the Rain, tocada freneticamente por Donald O'Connor. Escrito por Nacio Herb Brown e Arthur Freed, a música é baseada de perto em Cole Porter 'S `` Be A Clown' '. T"&amp;"erminou em # 49 nos 100 anos da AFI ... 100 músicas da Pesquisa de Top Tunes in American Cinema.")</f>
        <v> `` Make 'Em Laugh' 'é uma música apresentada pela primeira vez no filme de 1952 Singin' in the Rain, tocada freneticamente por Donald O'Connor. Escrito por Nacio Herb Brown e Arthur Freed, a música é baseada de perto em Cole Porter 'S `` Be A Clown' '. Terminou em # 49 nos 100 anos da AFI ... 100 músicas da Pesquisa de Top Tunes in American Cinema.</v>
      </c>
    </row>
    <row r="441" customFormat="false" ht="15.75" hidden="false" customHeight="true" outlineLevel="0" collapsed="false">
      <c r="A441" s="3" t="n">
        <v>438</v>
      </c>
      <c r="B441" s="5" t="s">
        <v>1316</v>
      </c>
      <c r="C441" s="5" t="s">
        <v>1317</v>
      </c>
      <c r="D441" s="5" t="s">
        <v>1318</v>
      </c>
      <c r="E441" s="4" t="str">
        <f aca="false">IFERROR(__xludf.dummyfunction("GOOGLETRANSLATE(C442)"),"Em que mês é no calendário hindu")</f>
        <v>Em que mês é no calendário hindu</v>
      </c>
      <c r="F441" s="5" t="str">
        <f aca="false">IFERROR(__xludf.dummyfunction("GOOGLETRANSLATE(D441)")," Por convenção, as três cores primárias na mistura aditiva são vermelhas, verdes e azuis. Na ausência de cor, quando nenhuma cor é exibida, o resultado é preto. Se todas as três cores primárias estiverem mostrando, o resultado será branco. Quando o vermel"&amp;"ho e o verde se combinam, o resultado é amarelo. Quando o vermelho e o azul se combinam, o resultado é magenta. Quando o azul e o verde se combinam, o resultado é ciano.")</f>
        <v> Por convenção, as três cores primárias na mistura aditiva são vermelhas, verdes e azuis. Na ausência de cor, quando nenhuma cor é exibida, o resultado é preto. Se todas as três cores primárias estiverem mostrando, o resultado será branco. Quando o vermelho e o verde se combinam, o resultado é amarelo. Quando o vermelho e o azul se combinam, o resultado é magenta. Quando o azul e o verde se combinam, o resultado é ciano.</v>
      </c>
    </row>
    <row r="442" customFormat="false" ht="15.75" hidden="false" customHeight="true" outlineLevel="0" collapsed="false">
      <c r="A442" s="3" t="n">
        <v>439</v>
      </c>
      <c r="B442" s="5" t="s">
        <v>1319</v>
      </c>
      <c r="C442" s="5" t="s">
        <v>1320</v>
      </c>
      <c r="D442" s="5" t="s">
        <v>1321</v>
      </c>
      <c r="E442" s="4" t="str">
        <f aca="false">IFERROR(__xludf.dummyfunction("GOOGLETRANSLATE(C443)"),"Qual é o nome antigo do Banco Estadual da Índia")</f>
        <v>Qual é o nome antigo do Banco Estadual da Índia</v>
      </c>
      <c r="F442" s="5" t="str">
        <f aca="false">IFERROR(__xludf.dummyfunction("GOOGLETRANSLATE(D442)"),"   Vikrami meses solares Vikrami meses meses gregorianos ṛtu (estação) hindi / marathi nome Kannada Nome malaiala nome odia nome odia nome telugu name meṣa vaisakha abr - maio grīṣma (verão) grishmô) risa ṛma) ഗ്രീഷ്മം (grīṣma (verão)) இளவேளவேனில் (Ilaven"&amp;"il) గ్మ గ్మ ఋతువు (Grīṣma ṛtuvu) Vṛṣabha jyeshtha May - junho Mithuna Ashadha junho - julho Varṣā ಮದಲ್ದ ದದ್ಮಲ್ಯು (Varṣā ṛtu) முதுவேனில் (Mudhuvenil) ఋతు ఋతు (VarA Rutuvu) Karkaṭaṭaavana (Auguvu) முதுவேனில் Shaavana (Auguvu) முதுவேனில் (Auguvu)) முதுவேனில்"&amp;" (Auguvu)) முதுவேனில் (Auguvu)) முதுவேனில் (Auguvu)) முதுவேனில் (Auguvu) முதுவேனில் (Auguvu)) முதுவேனில் (Auguvu) முதுவேனில் Augustu) (VarAnha முதுவேனில் Auguvu)) Sept śarad (outono) Sharad Sharad (Shôôt) Shridṛtu) (Sharat) ଶରତ (Śarata) கார் (Kaar) శూదృతు"&amp;"వు (Śaradṛtuvu) Kanyā Ashvin setp - Oct - Oct Tulā Kartik out - Nov -Nov (Autumn) Hemant Hemanta (Hemôn) Hemtam ) ta ) குளிர் ( kulir ) హేమంత ఋతువు ( hēmaṃta ṛtuvu ) vṛścik Dhanu Pausha Dec - Jan Śiva ( winter ) shishira shith ( śiśira ṛtu ) ( śiśiram ) ଶ"&amp;"ୀତ / śīta / Śiśira ) ( śīta / Śiśira ) Unpani ) శిర ఋతువు ( Śiva ) Makara Magha Jan - fev kumbha phalguna fev - mar vasanta (primavera) vasant (bôntô) vasaṃta (vasaṃta ṛtu) (vasaṃtam) ṛtuvu) mīna Chaitra mar - abr)")</f>
        <v>   Vikrami meses solares Vikrami meses meses gregorianos ṛtu (estação) hindi / marathi nome Kannada Nome malaiala nome odia nome odia nome telugu name meṣa vaisakha abr - maio grīṣma (verão) grishmô) risa ṛma) ഗ്രീഷ്മം (grīṣma (verão)) இளவேளவேனில் (Ilavenil) గ్మ గ్మ ఋతువు (Grīṣma ṛtuvu) Vṛṣabha jyeshtha May - junho Mithuna Ashadha junho - julho Varṣā ಮದಲ್ದ ದದ್ಮಲ್ಯು (Varṣā ṛtu) முதுவேனில் (Mudhuvenil) ఋతు ఋతు (VarA Rutuvu) Karkaṭaṭaavana (Auguvu) முதுவேனில் Shaavana (Auguvu) முதுவேனில் (Auguvu)) முதுவேனில் (Auguvu)) முதுவேனில் (Auguvu)) முதுவேனில் (Auguvu)) முதுவேனில் (Auguvu) முதுவேனில் (Auguvu)) முதுவேனில் (Auguvu) முதுவேனில் Augustu) (VarAnha முதுவேனில் Auguvu)) Sept śarad (outono) Sharad Sharad (Shôôt) Shridṛtu) (Sharat) ଶରତ (Śarata) கார் (Kaar) శూదృతువు (Śaradṛtuvu) Kanyā Ashvin setp - Oct - Oct Tulā Kartik out - Nov -Nov (Autumn) Hemant Hemanta (Hemôn) Hemtam ) ta ) குளிர் ( kulir ) హేమంత ఋతువు ( hēmaṃta ṛtuvu ) vṛścik Dhanu Pausha Dec - Jan Śiva ( winter ) shishira shith ( śiśira ṛtu ) ( śiśiram ) ଶୀତ / śīta / Śiśira ) ( śīta / Śiśira ) Unpani ) శిర ఋతువు ( Śiva ) Makara Magha Jan - fev kumbha phalguna fev - mar vasanta (primavera) vasant (bôntô) vasaṃta (vasaṃta ṛtu) (vasaṃtam) ṛtuvu) mīna Chaitra mar - abr)</v>
      </c>
    </row>
    <row r="443" customFormat="false" ht="15.75" hidden="false" customHeight="true" outlineLevel="0" collapsed="false">
      <c r="A443" s="3" t="n">
        <v>440</v>
      </c>
      <c r="B443" s="5" t="s">
        <v>1322</v>
      </c>
      <c r="C443" s="5" t="s">
        <v>1323</v>
      </c>
      <c r="D443" s="5" t="s">
        <v>1324</v>
      </c>
      <c r="E443" s="4" t="str">
        <f aca="false">IFERROR(__xludf.dummyfunction("GOOGLETRANSLATE(C444)"),"Onde o maior desfile de Halloween ocorre todos os anos")</f>
        <v>Onde o maior desfile de Halloween ocorre todos os anos</v>
      </c>
      <c r="F443" s="5" t="str">
        <f aca="false">IFERROR(__xludf.dummyfunction("GOOGLETRANSLATE(D443)")," O banco desce do Banco de Calcutá, fundado em 1806, através do Banco Imperial da Índia, tornando -o o mais antigo banco comercial do subcontinente indiano. O Banco de Madras se fundiu nos outros dois `` bancos de presidência '' na Índia britânica, no Ban"&amp;"co de Calcutá e no Banco de Bombaim, para formar o Banco Imperial da Índia, que por sua vez se tornou o Banco Estadual da Índia em 1955. O governo da Índia assumiu o controle do Banco Imperial da Índia em 1955, com o Reserve Bank of India (Banco Central d"&amp;"a Índia) tomando uma participação de 60 %, renomeando -a no Banco Estadual da Índia. Em 2008, o governo assumiu a participação do Banco da Reserva da Índia.")</f>
        <v> O banco desce do Banco de Calcutá, fundado em 1806, através do Banco Imperial da Índia, tornando -o o mais antigo banco comercial do subcontinente indiano. O Banco de Madras se fundiu nos outros dois `` bancos de presidência '' na Índia britânica, no Banco de Calcutá e no Banco de Bombaim, para formar o Banco Imperial da Índia, que por sua vez se tornou o Banco Estadual da Índia em 1955. O governo da Índia assumiu o controle do Banco Imperial da Índia em 1955, com o Reserve Bank of India (Banco Central da Índia) tomando uma participação de 60 %, renomeando -a no Banco Estadual da Índia. Em 2008, o governo assumiu a participação do Banco da Reserva da Índia.</v>
      </c>
    </row>
    <row r="444" customFormat="false" ht="15.75" hidden="false" customHeight="true" outlineLevel="0" collapsed="false">
      <c r="A444" s="3" t="n">
        <v>441</v>
      </c>
      <c r="B444" s="5" t="s">
        <v>1325</v>
      </c>
      <c r="C444" s="5" t="s">
        <v>1326</v>
      </c>
      <c r="D444" s="5" t="s">
        <v>1327</v>
      </c>
      <c r="E444" s="4" t="str">
        <f aca="false">IFERROR(__xludf.dummyfunction("GOOGLETRANSLATE(C445)"),"quem canta em eu não estou bravo com o CHA")</f>
        <v>quem canta em eu não estou bravo com o CHA</v>
      </c>
      <c r="F444" s="5" t="str">
        <f aca="false">IFERROR(__xludf.dummyfunction("GOOGLETRANSLATE(D444)")," A Village Halloween Parade, de Nova York, é um desfile anual de férias e um concurso de rua apresentado na noite de todos os Halloween na vila de Greenwich, em Nova York. O desfile do Halloween da vila, iniciado em 1973 pelo marioneiro e fabricante de má"&amp;"scaras de Greenwich Village, Ralph Lee, que afirma ser o maior desfile do mundo do mundo, onde nos últimos anos se relata ter 60.000 manifestantes e 2 milhões de espectadores. .")</f>
        <v> A Village Halloween Parade, de Nova York, é um desfile anual de férias e um concurso de rua apresentado na noite de todos os Halloween na vila de Greenwich, em Nova York. O desfile do Halloween da vila, iniciado em 1973 pelo marioneiro e fabricante de máscaras de Greenwich Village, Ralph Lee, que afirma ser o maior desfile do mundo do mundo, onde nos últimos anos se relata ter 60.000 manifestantes e 2 milhões de espectadores. .</v>
      </c>
    </row>
    <row r="445" customFormat="false" ht="15.75" hidden="false" customHeight="true" outlineLevel="0" collapsed="false">
      <c r="A445" s="3" t="n">
        <v>442</v>
      </c>
      <c r="B445" s="5" t="s">
        <v>1328</v>
      </c>
      <c r="C445" s="5" t="s">
        <v>1329</v>
      </c>
      <c r="D445" s="5" t="s">
        <v>1330</v>
      </c>
      <c r="E445" s="4" t="str">
        <f aca="false">IFERROR(__xludf.dummyfunction("GOOGLETRANSLATE(C446)"),"Quando o críquete feminino começou na Índia")</f>
        <v>Quando o críquete feminino começou na Índia</v>
      </c>
      <c r="F445" s="5" t="str">
        <f aca="false">IFERROR(__xludf.dummyfunction("GOOGLETRANSLATE(D445)")," `` I Ai N't Lanft of Cha '' é uma música do rapper 2pac lançada logo após sua morte como o sexto single de seu álbum All Eyez On Me. Foi também o seu último single usando o nome de artifício 2pac. A música apresenta o cantor de Soul Contemporary, Danny B"&amp;"oy, que forneceu os vocais para o gancho da música. A música se saiu bem no Reino Unido, atingindo o número 13 na parada de singles do Reino Unido e nas paradas de R&amp;B do Reino Unido chegando ao número 3. Não foi lançado como single nos Estados Unidos, to"&amp;"rnando -o inelegível para gráficos nas paradas de singles da Billboard (devido às regras do gráfico na época), mas atingiu os números 18 e 58 nas paradas de Airplay R&amp;B e Pop, respectivamente. Ele também chegou ao número dois na parada de singles da Nova "&amp;"Zelândia.")</f>
        <v> `` I Ai N't Lanft of Cha '' é uma música do rapper 2pac lançada logo após sua morte como o sexto single de seu álbum All Eyez On Me. Foi também o seu último single usando o nome de artifício 2pac. A música apresenta o cantor de Soul Contemporary, Danny Boy, que forneceu os vocais para o gancho da música. A música se saiu bem no Reino Unido, atingindo o número 13 na parada de singles do Reino Unido e nas paradas de R&amp;B do Reino Unido chegando ao número 3. Não foi lançado como single nos Estados Unidos, tornando -o inelegível para gráficos nas paradas de singles da Billboard (devido às regras do gráfico na época), mas atingiu os números 18 e 58 nas paradas de Airplay R&amp;B e Pop, respectivamente. Ele também chegou ao número dois na parada de singles da Nova Zelândia.</v>
      </c>
    </row>
    <row r="446" customFormat="false" ht="15.75" hidden="false" customHeight="true" outlineLevel="0" collapsed="false">
      <c r="A446" s="3" t="n">
        <v>443</v>
      </c>
      <c r="B446" s="5" t="s">
        <v>1331</v>
      </c>
      <c r="C446" s="5" t="s">
        <v>1332</v>
      </c>
      <c r="D446" s="5" t="s">
        <v>1333</v>
      </c>
      <c r="E446" s="4" t="str">
        <f aca="false">IFERROR(__xludf.dummyfunction("GOOGLETRANSLATE(C447)"),"Por que a Lei do Selo de 1765 aconteceu")</f>
        <v>Por que a Lei do Selo de 1765 aconteceu</v>
      </c>
      <c r="F446" s="5" t="str">
        <f aca="false">IFERROR(__xludf.dummyfunction("GOOGLETRANSLATE(D446)")," Os britânicos trouxeram o críquete para a Índia no início dos anos 1700, com a primeira partida de críquete disputada em 1721. O primeiro clube de críquete indiano foi estabelecido pela comunidade Parsi em Bombaim, em 1848; O clube jogou sua primeira par"&amp;"tida contra os europeus em 1877. A primeira equipe oficial de críquete indiana foi formada em 1911 e visitou a Inglaterra, onde jogou equipes do condado inglês. A equipe da Índia fez sua estréia no teste contra a Inglaterra em 1932. Na mesma época (1934),"&amp;" o teste das primeiras mulheres foi disputado entre a Inglaterra e a Austrália. No entanto, o críquete das mulheres chegou à Índia muito mais tarde; A Associação de Críquete das Mulheres da Índia foi formada em 1973. A equipe das mulheres indianas jogou s"&amp;"ua primeira partida de teste em 1976, contra as Índias Ocidentais. A Índia registrou sua primeira vitória de teste em novembro de 1978 contra as Índias Ocidentais sob a capitania de Shantha Rangaswamy no MOIN - Ul - Haq Stadium em Patna.")</f>
        <v> Os britânicos trouxeram o críquete para a Índia no início dos anos 1700, com a primeira partida de críquete disputada em 1721. O primeiro clube de críquete indiano foi estabelecido pela comunidade Parsi em Bombaim, em 1848; O clube jogou sua primeira partida contra os europeus em 1877. A primeira equipe oficial de críquete indiana foi formada em 1911 e visitou a Inglaterra, onde jogou equipes do condado inglês. A equipe da Índia fez sua estréia no teste contra a Inglaterra em 1932. Na mesma época (1934), o teste das primeiras mulheres foi disputado entre a Inglaterra e a Austrália. No entanto, o críquete das mulheres chegou à Índia muito mais tarde; A Associação de Críquete das Mulheres da Índia foi formada em 1973. A equipe das mulheres indianas jogou sua primeira partida de teste em 1976, contra as Índias Ocidentais. A Índia registrou sua primeira vitória de teste em novembro de 1978 contra as Índias Ocidentais sob a capitania de Shantha Rangaswamy no MOIN - Ul - Haq Stadium em Patna.</v>
      </c>
    </row>
    <row r="447" customFormat="false" ht="15.75" hidden="false" customHeight="true" outlineLevel="0" collapsed="false">
      <c r="A447" s="3" t="n">
        <v>444</v>
      </c>
      <c r="B447" s="5" t="s">
        <v>1334</v>
      </c>
      <c r="C447" s="5" t="s">
        <v>1335</v>
      </c>
      <c r="D447" s="5" t="s">
        <v>1336</v>
      </c>
      <c r="E447" s="4" t="str">
        <f aca="false">IFERROR(__xludf.dummyfunction("GOOGLETRANSLATE(C448)"),"que construiu a estátua no Rio de Janeiro")</f>
        <v>que construiu a estátua no Rio de Janeiro</v>
      </c>
      <c r="F447" s="5" t="str">
        <f aca="false">IFERROR(__xludf.dummyfunction("GOOGLETRANSLATE(D447)")," O objetivo do imposto era pagar pelas tropas militares britânicas estacionadas nas colônias americanas após a guerra francesa e indiana, que foi o teatro norte -americano da guerra dos sete anos. No entanto, os colonos nunca haviam temido uma invasão fra"&amp;"ncesa para começar, e sustentaram que já haviam pago sua parte das despesas de guerra. Eles sugeriram que na verdade era uma questão de patrocínio britânico a excedentes de oficiais britânicos e soldados de carreira que deveriam ser pagos por Londres.")</f>
        <v> O objetivo do imposto era pagar pelas tropas militares britânicas estacionadas nas colônias americanas após a guerra francesa e indiana, que foi o teatro norte -americano da guerra dos sete anos. No entanto, os colonos nunca haviam temido uma invasão francesa para começar, e sustentaram que já haviam pago sua parte das despesas de guerra. Eles sugeriram que na verdade era uma questão de patrocínio britânico a excedentes de oficiais britânicos e soldados de carreira que deveriam ser pagos por Londres.</v>
      </c>
    </row>
    <row r="448" customFormat="false" ht="15.75" hidden="false" customHeight="true" outlineLevel="0" collapsed="false">
      <c r="A448" s="3" t="n">
        <v>445</v>
      </c>
      <c r="B448" s="5" t="s">
        <v>1337</v>
      </c>
      <c r="C448" s="5" t="s">
        <v>1338</v>
      </c>
      <c r="D448" s="5" t="s">
        <v>1339</v>
      </c>
      <c r="E448" s="4" t="str">
        <f aca="false">IFERROR(__xludf.dummyfunction("GOOGLETRANSLATE(C449)"),"Gripe que se espalhou por uma grande área em 1918")</f>
        <v>Gripe que se espalhou por uma grande área em 1918</v>
      </c>
      <c r="F448" s="5" t="str">
        <f aca="false">IFERROR(__xludf.dummyfunction("GOOGLETRANSLATE(D448)"),"  O designer criado pelo escultor francês Paul Landawski e construído pelo engenheiro Heitor da Silva Costa Brasil em colaboração com o engenheiro francês Albert Caquot. O escultor romeno Gheorghe Leonida criou o rosto da estátua")</f>
        <v>  O designer criado pelo escultor francês Paul Landawski e construído pelo engenheiro Heitor da Silva Costa Brasil em colaboração com o engenheiro francês Albert Caquot. O escultor romeno Gheorghe Leonida criou o rosto da estátua</v>
      </c>
    </row>
    <row r="449" customFormat="false" ht="15.75" hidden="false" customHeight="true" outlineLevel="0" collapsed="false">
      <c r="A449" s="3" t="n">
        <v>446</v>
      </c>
      <c r="B449" s="5" t="s">
        <v>1340</v>
      </c>
      <c r="C449" s="5" t="s">
        <v>1341</v>
      </c>
      <c r="D449" s="5" t="s">
        <v>1342</v>
      </c>
      <c r="E449" s="4" t="str">
        <f aca="false">IFERROR(__xludf.dummyfunction("GOOGLETRANSLATE(C450)"),"Quando foi a Lei de Terras dos Nativos de 1913 revogada")</f>
        <v>Quando foi a Lei de Terras dos Nativos de 1913 revogada</v>
      </c>
      <c r="F449" s="5" t="str">
        <f aca="false">IFERROR(__xludf.dummyfunction("GOOGLETRANSLATE(D449)")," A pandemia de gripe de 1918 (janeiro de 1918 - dezembro de 1920) foi uma pandemia de influenza incomumente mortal, a primeira das duas pandemias envolvendo o vírus da influenza H1N1. Infectou 500 milhões de pessoas em todo o mundo, incluindo pessoas em i"&amp;"lhas remotas do Pacífico e no Ártico, e resultou na morte de 50 a 100 milhões (três a cinco por cento da população do mundo), tornando -o um dos mais mortais naturais Desastres na história humana.")</f>
        <v> A pandemia de gripe de 1918 (janeiro de 1918 - dezembro de 1920) foi uma pandemia de influenza incomumente mortal, a primeira das duas pandemias envolvendo o vírus da influenza H1N1. Infectou 500 milhões de pessoas em todo o mundo, incluindo pessoas em ilhas remotas do Pacífico e no Ártico, e resultou na morte de 50 a 100 milhões (três a cinco por cento da população do mundo), tornando -o um dos mais mortais naturais Desastres na história humana.</v>
      </c>
    </row>
    <row r="450" customFormat="false" ht="15.75" hidden="false" customHeight="true" outlineLevel="0" collapsed="false">
      <c r="A450" s="3" t="n">
        <v>447</v>
      </c>
      <c r="B450" s="5" t="s">
        <v>1343</v>
      </c>
      <c r="C450" s="5" t="s">
        <v>1344</v>
      </c>
      <c r="D450" s="5" t="s">
        <v>1345</v>
      </c>
      <c r="E450" s="4" t="str">
        <f aca="false">IFERROR(__xludf.dummyfunction("GOOGLETRANSLATE(C451)"),"Qual é o ponto cego do olho")</f>
        <v>Qual é o ponto cego do olho</v>
      </c>
      <c r="F450" s="5" t="str">
        <f aca="false">IFERROR(__xludf.dummyfunction("GOOGLETRANSLATE(D450)"),"   Lei da Terra dos Nativos, 1913 ACT para fazer mais provisões quanto à compra e arrendamento de terras por nativos e outras pessoas nas várias partes da União e para outros propósitos em conexão com a propriedade e ocupação da terra por nativos e outras"&amp;" pessoas. era discriminatório e destinado ao controle branco da terra. Lei de citação nº 27 de 1913 promulgada pelo Parlamento da África do Sul Data do Assent Royal 16 de junho de 1913 Data começou em 19 de junho de 1913 Data revogada em 30 de junho de 19"&amp;"91, administrada pelo Ministro de Assuntos Nativos, abolição da Legislação de Medidas de Terras Racial, 1991 Legislação relacionada nativa Lei de confiança e terra, 1936 Status: revogada")</f>
        <v>   Lei da Terra dos Nativos, 1913 ACT para fazer mais provisões quanto à compra e arrendamento de terras por nativos e outras pessoas nas várias partes da União e para outros propósitos em conexão com a propriedade e ocupação da terra por nativos e outras pessoas. era discriminatório e destinado ao controle branco da terra. Lei de citação nº 27 de 1913 promulgada pelo Parlamento da África do Sul Data do Assent Royal 16 de junho de 1913 Data começou em 19 de junho de 1913 Data revogada em 30 de junho de 1991, administrada pelo Ministro de Assuntos Nativos, abolição da Legislação de Medidas de Terras Racial, 1991 Legislação relacionada nativa Lei de confiança e terra, 1936 Status: revogada</v>
      </c>
    </row>
    <row r="451" customFormat="false" ht="15.75" hidden="false" customHeight="true" outlineLevel="0" collapsed="false">
      <c r="A451" s="3" t="n">
        <v>448</v>
      </c>
      <c r="B451" s="5" t="s">
        <v>1346</v>
      </c>
      <c r="C451" s="5" t="s">
        <v>1347</v>
      </c>
      <c r="D451" s="5" t="s">
        <v>1348</v>
      </c>
      <c r="E451" s="4" t="str">
        <f aca="false">IFERROR(__xludf.dummyfunction("GOOGLETRANSLATE(C452)"),"Quantos Kanals em um acre no Paquistão")</f>
        <v>Quantos Kanals em um acre no Paquistão</v>
      </c>
      <c r="F451" s="5" t="str">
        <f aca="false">IFERROR(__xludf.dummyfunction("GOOGLETRANSLATE(D451)")," Um ponto cego, Scotoma, é uma obscuridade do campo visual. Um ponto cego específico conhecido como ponto cego fisiológico, `` ponto cego '' ou punkum cecum na literatura médica, é o lugar no campo visual que corresponde à falta de luz - detectando célula"&amp;"s fotorreceptoras no disco óptico da retina onde o nervo óptico passa pelo disco óptico. Como não há células para detectar luz no disco óptico, a parte correspondente do campo de visão é invisível. Alguns processos em nossos cérebros interpola o ponto ceg"&amp;"o com base nos detalhes e informações circundantes do outro olho, por isso normalmente não percebemos o ponto cego.")</f>
        <v> Um ponto cego, Scotoma, é uma obscuridade do campo visual. Um ponto cego específico conhecido como ponto cego fisiológico, `` ponto cego '' ou punkum cecum na literatura médica, é o lugar no campo visual que corresponde à falta de luz - detectando células fotorreceptoras no disco óptico da retina onde o nervo óptico passa pelo disco óptico. Como não há células para detectar luz no disco óptico, a parte correspondente do campo de visão é invisível. Alguns processos em nossos cérebros interpola o ponto cego com base nos detalhes e informações circundantes do outro olho, por isso normalmente não percebemos o ponto cego.</v>
      </c>
    </row>
    <row r="452" customFormat="false" ht="15.75" hidden="false" customHeight="true" outlineLevel="0" collapsed="false">
      <c r="A452" s="3" t="n">
        <v>449</v>
      </c>
      <c r="B452" s="5" t="s">
        <v>1349</v>
      </c>
      <c r="C452" s="5" t="s">
        <v>1350</v>
      </c>
      <c r="D452" s="5" t="s">
        <v>1351</v>
      </c>
      <c r="E452" s="4" t="str">
        <f aca="false">IFERROR(__xludf.dummyfunction("GOOGLETRANSLATE(C453)"),"Destaque as recentes mudanças no setor de telecomunicações na Índia")</f>
        <v>Destaque as recentes mudanças no setor de telecomunicações na Índia</v>
      </c>
      <c r="F452" s="5" t="str">
        <f aca="false">IFERROR(__xludf.dummyfunction("GOOGLETRANSLATE(D452)")," 4. 160 Marlas ou 8 Kanals 4839.99998 Sq. yds. Diga 4840 sq. yds. (1 acre ou 1 killa)")</f>
        <v> 4. 160 Marlas ou 8 Kanals 4839.99998 Sq. yds. Diga 4840 sq. yds. (1 acre ou 1 killa)</v>
      </c>
    </row>
    <row r="453" customFormat="false" ht="15.75" hidden="false" customHeight="true" outlineLevel="0" collapsed="false">
      <c r="A453" s="3" t="n">
        <v>450</v>
      </c>
      <c r="B453" s="5" t="s">
        <v>1352</v>
      </c>
      <c r="C453" s="5" t="s">
        <v>1353</v>
      </c>
      <c r="D453" s="5" t="s">
        <v>1354</v>
      </c>
      <c r="E453" s="4" t="str">
        <f aca="false">IFERROR(__xludf.dummyfunction("GOOGLETRANSLATE(C454)"),"Como você chama uma pessoa que faz acrobacias")</f>
        <v>Como você chama uma pessoa que faz acrobacias</v>
      </c>
      <c r="F453" s="5" t="str">
        <f aca="false">IFERROR(__xludf.dummyfunction("GOOGLETRANSLATE(D453)")," A indústria de telecomunicações indiana passou por um alto ritmo de liberalização e crescimento do mercado desde os anos 90 e agora se tornou o mais competitivo do mundo e um dos mercados de telecomunicações que mais crescem. O setor cresceu mais de vint"&amp;"e vezes em apenas dez anos, de menos de 37 milhões de assinantes no ano de 2001 para mais de 846 milhões de assinantes no ano de 2011. A Índia tem a segunda maior base de usuários de telefonia móvel do mundo, com mais de 1183,04 milhões de usuários em set"&amp;"embro de 2017. Possui o segundo maior usuário da Internet do mundo - com mais de 324 milhões em setembro de 2017.")</f>
        <v> A indústria de telecomunicações indiana passou por um alto ritmo de liberalização e crescimento do mercado desde os anos 90 e agora se tornou o mais competitivo do mundo e um dos mercados de telecomunicações que mais crescem. O setor cresceu mais de vinte vezes em apenas dez anos, de menos de 37 milhões de assinantes no ano de 2001 para mais de 846 milhões de assinantes no ano de 2011. A Índia tem a segunda maior base de usuários de telefonia móvel do mundo, com mais de 1183,04 milhões de usuários em setembro de 2017. Possui o segundo maior usuário da Internet do mundo - com mais de 324 milhões em setembro de 2017.</v>
      </c>
    </row>
    <row r="454" customFormat="false" ht="15.75" hidden="false" customHeight="true" outlineLevel="0" collapsed="false">
      <c r="A454" s="3" t="n">
        <v>451</v>
      </c>
      <c r="B454" s="5" t="s">
        <v>1355</v>
      </c>
      <c r="C454" s="5" t="s">
        <v>1356</v>
      </c>
      <c r="D454" s="5" t="s">
        <v>1357</v>
      </c>
      <c r="E454" s="4" t="str">
        <f aca="false">IFERROR(__xludf.dummyfunction("GOOGLETRANSLATE(C455)"),"Qual é o nome do gato em Tom e Jerry")</f>
        <v>Qual é o nome do gato em Tom e Jerry</v>
      </c>
      <c r="F454" s="5" t="str">
        <f aca="false">IFERROR(__xludf.dummyfunction("GOOGLETRANSLATE(D454)")," Os tecidos usados ​​como sedas são muito fortes, com algumas doações e flexibilidade. O tecido é de 2 - como lycra de poliéster esticar ou nylon tricot. A largura varia dependendo da rotina e do acrobata. O tecido é geralmente bastante longo, pois é dobr"&amp;"ado para montar, dando ao acrobata duas tiras de tecido para trabalhar.")</f>
        <v> Os tecidos usados ​​como sedas são muito fortes, com algumas doações e flexibilidade. O tecido é de 2 - como lycra de poliéster esticar ou nylon tricot. A largura varia dependendo da rotina e do acrobata. O tecido é geralmente bastante longo, pois é dobrado para montar, dando ao acrobata duas tiras de tecido para trabalhar.</v>
      </c>
    </row>
    <row r="455" customFormat="false" ht="15.75" hidden="false" customHeight="true" outlineLevel="0" collapsed="false">
      <c r="A455" s="3" t="n">
        <v>452</v>
      </c>
      <c r="B455" s="5" t="s">
        <v>1358</v>
      </c>
      <c r="C455" s="5" t="s">
        <v>1359</v>
      </c>
      <c r="D455" s="5" t="s">
        <v>1360</v>
      </c>
      <c r="E455" s="4" t="str">
        <f aca="false">IFERROR(__xludf.dummyfunction("GOOGLETRANSLATE(C456)"),"Quando o filme que eu só posso imaginar saiu")</f>
        <v>Quando o filme que eu só posso imaginar saiu</v>
      </c>
      <c r="F455" s="5" t="str">
        <f aca="false">IFERROR(__xludf.dummyfunction("GOOGLETRANSLATE(D455)")," Tom (chamado `` Jasper '' em sua aparição de estréia) é um gato de abreviação doméstico cinza e branco. `` Tom '' é um nome genérico para um gato masculino. Ele geralmente é, mas nem sempre, retratado como vivendo uma vida confortável ou até mimada, enqu"&amp;"anto Jerry (chamado `` Jinx '' em sua aparição de estréia) é um pequeno rato caseiro que sempre vive próximo a Tom. Apesar de ser muito enérgico, determinado e muito maior, Tom não é páreo para o juiz de Jerry. Jerry também possui força surpreendente para"&amp;" seu tamanho, aproximadamente o equivalente a Tom, levantando itens como bigornas com relativa facilidade e sucastado impactos consideráveis. Embora os gatos normalmente perseguem ratos para consumi -los, é bastante raro Tom realmente tentar consumir Jerr"&amp;"y. A maioria de suas tentativas é apenas atormentar ou humilhar Jerry, às vezes em vingança, e às vezes para obter uma recompensa de um humano por pegar Jerry. Pelo final `` desaparecer - fora de cada desenho animado, Jerry geralmente emerge triunfante, e"&amp;"nquanto Tom é mostrado como o perdedor.")</f>
        <v> Tom (chamado `` Jasper '' em sua aparição de estréia) é um gato de abreviação doméstico cinza e branco. `` Tom '' é um nome genérico para um gato masculino. Ele geralmente é, mas nem sempre, retratado como vivendo uma vida confortável ou até mimada, enquanto Jerry (chamado `` Jinx '' em sua aparição de estréia) é um pequeno rato caseiro que sempre vive próximo a Tom. Apesar de ser muito enérgico, determinado e muito maior, Tom não é páreo para o juiz de Jerry. Jerry também possui força surpreendente para seu tamanho, aproximadamente o equivalente a Tom, levantando itens como bigornas com relativa facilidade e sucastado impactos consideráveis. Embora os gatos normalmente perseguem ratos para consumi -los, é bastante raro Tom realmente tentar consumir Jerry. A maioria de suas tentativas é apenas atormentar ou humilhar Jerry, às vezes em vingança, e às vezes para obter uma recompensa de um humano por pegar Jerry. Pelo final `` desaparecer - fora de cada desenho animado, Jerry geralmente emerge triunfante, enquanto Tom é mostrado como o perdedor.</v>
      </c>
    </row>
    <row r="456" customFormat="false" ht="15.75" hidden="false" customHeight="true" outlineLevel="0" collapsed="false">
      <c r="A456" s="3" t="n">
        <v>453</v>
      </c>
      <c r="B456" s="5" t="s">
        <v>1361</v>
      </c>
      <c r="C456" s="5" t="s">
        <v>1362</v>
      </c>
      <c r="D456" s="5" t="s">
        <v>1363</v>
      </c>
      <c r="E456" s="4" t="str">
        <f aca="false">IFERROR(__xludf.dummyfunction("GOOGLETRANSLATE(C457)"),"que inventaram as forças aliadas na Segunda Guerra Mundial")</f>
        <v>que inventaram as forças aliadas na Segunda Guerra Mundial</v>
      </c>
      <c r="F456" s="5" t="str">
        <f aca="false">IFERROR(__xludf.dummyfunction("GOOGLETRANSLATE(D456)"),"   I Can Only Imagine     Theatrical release poster     Directed by   Erwin Brothers     Produced by     Cindy Bond   Kevin Downes   Daryl Lefever   Mickey Liddell   Pete Shilaimon   Raymond Harris   Joe Knopp       Screenplay by     Jon Erwin   Brent McC"&amp;"orkle       Story by     Alex Cramer   Jon Erwin   Brent McCorkle       Based on   The life story of Bart Millard     Starring J. Michael Finley Madeline Carroll Trace Adkins Priscilla Shirer Cloris Leachman Dennis Quaid Tanya Clarke Música da cinematogra"&amp;"fia Brent McCorkle Kristopher Kimlin editada por Andrew Erwin Brent Brent McCorkle Production Companies Kevin Downes Productions Mission Pictures distribuídos pela Lionsgate ROADATRACTRACTTiotes Librar - 03 - 16) Tempo de execução 110 minutos País do país"&amp;" Estados Unidos Orçamento inglês $ 7 milhões bilheteria $ 85,4 milhões")</f>
        <v>   I Can Only Imagine     Theatrical release poster     Directed by   Erwin Brothers     Produced by     Cindy Bond   Kevin Downes   Daryl Lefever   Mickey Liddell   Pete Shilaimon   Raymond Harris   Joe Knopp       Screenplay by     Jon Erwin   Brent McCorkle       Story by     Alex Cramer   Jon Erwin   Brent McCorkle       Based on   The life story of Bart Millard     Starring J. Michael Finley Madeline Carroll Trace Adkins Priscilla Shirer Cloris Leachman Dennis Quaid Tanya Clarke Música da cinematografia Brent McCorkle Kristopher Kimlin editada por Andrew Erwin Brent Brent McCorkle Production Companies Kevin Downes Productions Mission Pictures distribuídos pela Lionsgate ROADATRACTRACTTiotes Librar - 03 - 16) Tempo de execução 110 minutos País do país Estados Unidos Orçamento inglês $ 7 milhões bilheteria $ 85,4 milhões</v>
      </c>
    </row>
    <row r="457" customFormat="false" ht="15.75" hidden="false" customHeight="true" outlineLevel="0" collapsed="false">
      <c r="A457" s="3" t="n">
        <v>454</v>
      </c>
      <c r="B457" s="5" t="s">
        <v>1364</v>
      </c>
      <c r="C457" s="5" t="s">
        <v>1365</v>
      </c>
      <c r="D457" s="5" t="s">
        <v>1366</v>
      </c>
      <c r="E457" s="4" t="str">
        <f aca="false">IFERROR(__xludf.dummyfunction("GOOGLETRANSLATE(C458)"),"que matou Katie no filme Mystic River")</f>
        <v>que matou Katie no filme Mystic River</v>
      </c>
      <c r="F457" s="5" t="str">
        <f aca="false">IFERROR(__xludf.dummyfunction("GOOGLETRANSLATE(D457)")," No início da guerra, em 1 de setembro de 1939, os aliados consistiam na França, Polônia e Reino Unido, e estados dependentes, como a Índia britânica. Em poucos dias, eles se juntaram aos Domínios Independentes da Commonwealth British: Austrália, Canadá, "&amp;"Nova Zelândia e África do Sul. Após o início da invasão alemã da Europa do Norte até a campanha dos Balcãs, a Holanda, a Bélgica, a Grécia e a Iugoslávia se juntaram aos aliados. Depois de ter cooperado com a Alemanha na Polônia invasora, enquanto permane"&amp;"cendo neutro no conflito aliado do eixo, o Perforce da União Soviética se juntou aos Aliados em junho de 1941, depois de ser invadido pela Alemanha. Os Estados Unidos forneceram material de guerra e dinheiro o tempo todo, e ingressaram oficialmente em dez"&amp;"embro de 1941, após o ataque japonês a Pearl Harbor. A China já estava em uma guerra prolongada com o Japão desde o incidente da ponte Lugou de 1937, mas ingressou oficialmente nos aliados em 1941.")</f>
        <v> No início da guerra, em 1 de setembro de 1939, os aliados consistiam na França, Polônia e Reino Unido, e estados dependentes, como a Índia britânica. Em poucos dias, eles se juntaram aos Domínios Independentes da Commonwealth British: Austrália, Canadá, Nova Zelândia e África do Sul. Após o início da invasão alemã da Europa do Norte até a campanha dos Balcãs, a Holanda, a Bélgica, a Grécia e a Iugoslávia se juntaram aos aliados. Depois de ter cooperado com a Alemanha na Polônia invasora, enquanto permanecendo neutro no conflito aliado do eixo, o Perforce da União Soviética se juntou aos Aliados em junho de 1941, depois de ser invadido pela Alemanha. Os Estados Unidos forneceram material de guerra e dinheiro o tempo todo, e ingressaram oficialmente em dezembro de 1941, após o ataque japonês a Pearl Harbor. A China já estava em uma guerra prolongada com o Japão desde o incidente da ponte Lugou de 1937, mas ingressou oficialmente nos aliados em 1941.</v>
      </c>
    </row>
    <row r="458" customFormat="false" ht="15.75" hidden="false" customHeight="true" outlineLevel="0" collapsed="false">
      <c r="A458" s="3" t="n">
        <v>455</v>
      </c>
      <c r="B458" s="5" t="s">
        <v>1367</v>
      </c>
      <c r="C458" s="5" t="s">
        <v>1368</v>
      </c>
      <c r="D458" s="5" t="s">
        <v>1369</v>
      </c>
      <c r="E458" s="4" t="str">
        <f aca="false">IFERROR(__xludf.dummyfunction("GOOGLETRANSLATE(C459)"),"Em que álbum de Iron Maiden é o soldado")</f>
        <v>Em que álbum de Iron Maiden é o soldado</v>
      </c>
      <c r="F458" s="5" t="str">
        <f aca="false">IFERROR(__xludf.dummyfunction("GOOGLETRANSLATE(D458)")," Jimmy e seus amigos ficam bêbados em um bar local. Quando Dave sai do bar, os homens o seguem. Jimmy diz a Dave que ele atirou em `` Just Ray '' Harris no mesmo local portá -lo e mandá -lo para a prisão. Jimmy informa a Dave que sua esposa pensa que assa"&amp;"ssinou Katie e diz a Dave que ele o deixará viver se confessa. Dave diz repetidamente a Jimmy que ele matou alguém, mas não foi Katie: ele espancou um molestador de crianças até a morte depois de encontrá -lo fazendo sexo com uma prostituta infantil em um"&amp;" carro. Jimmy não acredita na reivindicação de Dave e o ameaça com uma faca. Quando Dave finalmente admite matar Katie pensando que ele pode escapar com sua vida, Jimmy o mata e descarta seu corpo no rio místico adjacente.")</f>
        <v> Jimmy e seus amigos ficam bêbados em um bar local. Quando Dave sai do bar, os homens o seguem. Jimmy diz a Dave que ele atirou em `` Just Ray '' Harris no mesmo local portá -lo e mandá -lo para a prisão. Jimmy informa a Dave que sua esposa pensa que assassinou Katie e diz a Dave que ele o deixará viver se confessa. Dave diz repetidamente a Jimmy que ele matou alguém, mas não foi Katie: ele espancou um molestador de crianças até a morte depois de encontrá -lo fazendo sexo com uma prostituta infantil em um carro. Jimmy não acredita na reivindicação de Dave e o ameaça com uma faca. Quando Dave finalmente admite matar Katie pensando que ele pode escapar com sua vida, Jimmy o mata e descarta seu corpo no rio místico adjacente.</v>
      </c>
    </row>
    <row r="459" customFormat="false" ht="15.75" hidden="false" customHeight="true" outlineLevel="0" collapsed="false">
      <c r="A459" s="3" t="n">
        <v>456</v>
      </c>
      <c r="B459" s="5" t="s">
        <v>1370</v>
      </c>
      <c r="C459" s="5" t="s">
        <v>1371</v>
      </c>
      <c r="D459" s="5" t="s">
        <v>1372</v>
      </c>
      <c r="E459" s="4" t="str">
        <f aca="false">IFERROR(__xludf.dummyfunction("GOOGLETRANSLATE(C460)"),"quem escreveu a música batendo na porta do céu")</f>
        <v>quem escreveu a música batendo na porta do céu</v>
      </c>
      <c r="F459" s="5" t="str">
        <f aca="false">IFERROR(__xludf.dummyfunction("GOOGLETRANSLATE(D459)")," `` The Trooper '' é uma música da banda de heavy metal inglês Iron Maiden. Foi lançado como o segundo single em 20 de junho de 1983 do quarto álbum de estúdio da banda, Piece of Mind (1983). Foi uma das poucas músicas para obter muito airplay de rádio no"&amp;"s EUA, chegando ao 28º lugar nas paradas de rock dos EUA. Também alcançou sucesso no Reino Unido, chegando ao 12º lugar nas paradas de singles do Reino Unido, além de ganhar uma recepção muito melhor do que o single anterior da banda, `` Flight of Icarus "&amp;"''.")</f>
        <v> `` The Trooper '' é uma música da banda de heavy metal inglês Iron Maiden. Foi lançado como o segundo single em 20 de junho de 1983 do quarto álbum de estúdio da banda, Piece of Mind (1983). Foi uma das poucas músicas para obter muito airplay de rádio nos EUA, chegando ao 28º lugar nas paradas de rock dos EUA. Também alcançou sucesso no Reino Unido, chegando ao 12º lugar nas paradas de singles do Reino Unido, além de ganhar uma recepção muito melhor do que o single anterior da banda, `` Flight of Icarus ''.</v>
      </c>
    </row>
    <row r="460" customFormat="false" ht="15.75" hidden="false" customHeight="true" outlineLevel="0" collapsed="false">
      <c r="A460" s="3" t="n">
        <v>457</v>
      </c>
      <c r="B460" s="5" t="s">
        <v>1373</v>
      </c>
      <c r="C460" s="5" t="s">
        <v>1374</v>
      </c>
      <c r="D460" s="5" t="s">
        <v>1375</v>
      </c>
      <c r="E460" s="4" t="str">
        <f aca="false">IFERROR(__xludf.dummyfunction("GOOGLETRANSLATE(C461)"),"O que é quem entre os alunos do ensino médio americano")</f>
        <v>O que é quem entre os alunos do ensino médio americano</v>
      </c>
      <c r="F460" s="5" t="str">
        <f aca="false">IFERROR(__xludf.dummyfunction("GOOGLETRANSLATE(D460)")," `` Knockin 'on Heaven' São '' é uma música escrita e cantada por Bob Dylan, para a trilha sonora do filme de 1973 Pat Garrett e Billy the Kid. Lançado como single, alcançou o 12º lugar na parada de singles Hot 100 Billboard. Descrito pelo biógrafo de Dyl"&amp;"an Clinton Heylin como `` um exercício de esplêndida simplicidade '', a música, medida simplesmente em termos do número de outros artistas que o cobriram, é uma das composições mais populares dos pós-1960 de Dylan.")</f>
        <v> `` Knockin 'on Heaven' São '' é uma música escrita e cantada por Bob Dylan, para a trilha sonora do filme de 1973 Pat Garrett e Billy the Kid. Lançado como single, alcançou o 12º lugar na parada de singles Hot 100 Billboard. Descrito pelo biógrafo de Dylan Clinton Heylin como `` um exercício de esplêndida simplicidade '', a música, medida simplesmente em termos do número de outros artistas que o cobriram, é uma das composições mais populares dos pós-1960 de Dylan.</v>
      </c>
    </row>
    <row r="461" customFormat="false" ht="15.75" hidden="false" customHeight="true" outlineLevel="0" collapsed="false">
      <c r="A461" s="3" t="n">
        <v>458</v>
      </c>
      <c r="B461" s="5" t="s">
        <v>1376</v>
      </c>
      <c r="C461" s="5" t="s">
        <v>1377</v>
      </c>
      <c r="D461" s="5" t="s">
        <v>1378</v>
      </c>
      <c r="E461" s="4" t="str">
        <f aca="false">IFERROR(__xludf.dummyfunction("GOOGLETRANSLATE(C462)"),"De onde vem as bactérias que causam a garganta Strep")</f>
        <v>De onde vem as bactérias que causam a garganta Strep</v>
      </c>
      <c r="F461" s="5" t="str">
        <f aca="false">IFERROR(__xludf.dummyfunction("GOOGLETRANSLATE(D461)")," Quem é quem entre os alunos do ensino médio americano era um site e publicação (de propriedade e gerenciado pela Educational Communications Inc.) que listou o que considerou ser estudantes do ensino médio `` que se destacaram em acadêmicos, atividades ex"&amp;"tracurriculares e serviço comunitário. '' Agora está fechado devido à falência.")</f>
        <v> Quem é quem entre os alunos do ensino médio americano era um site e publicação (de propriedade e gerenciado pela Educational Communications Inc.) que listou o que considerou ser estudantes do ensino médio `` que se destacaram em acadêmicos, atividades extracurriculares e serviço comunitário. '' Agora está fechado devido à falência.</v>
      </c>
    </row>
    <row r="462" customFormat="false" ht="15.75" hidden="false" customHeight="true" outlineLevel="0" collapsed="false">
      <c r="A462" s="3" t="n">
        <v>459</v>
      </c>
      <c r="B462" s="5" t="s">
        <v>1379</v>
      </c>
      <c r="C462" s="5" t="s">
        <v>1380</v>
      </c>
      <c r="D462" s="5" t="s">
        <v>1381</v>
      </c>
      <c r="E462" s="4" t="str">
        <f aca="false">IFERROR(__xludf.dummyfunction("GOOGLETRANSLATE(C463)"),"que interpreta Billy em Young e o inquieto")</f>
        <v>que interpreta Billy em Young e o inquieto</v>
      </c>
      <c r="F462" s="5" t="str">
        <f aca="false">IFERROR(__xludf.dummyfunction("GOOGLETRANSLATE(D462)")," A garganta da estreita é causada pelo grupo beta do grupo A - estreptococcus hemolítico (gás ou S. pyogenes). Outras bactérias como o não - Grupo A beta - estreptococos hemolíticos e fusobacterium também podem causar faringite. É espalhado por contato di"&amp;"reto e próximo com uma pessoa infectada; Assim, a aglomeração, como pode ser encontrado nas forças armadas e nas escolas, aumenta a taxa de transmissão. As bactérias secas em poeira não são infecciosas, embora bactérias úmidas em escovas de dentes ou iten"&amp;"s semelhantes possam persistir por até quinze dias. Alimentos contaminados podem resultar em surtos, mas isso é raro. Das crianças sem sinais ou sintomas, 12 % carregam gás na faringe e, após o tratamento, aproximadamente 15 % deles permanecem positivos e"&amp;" são verdadeiros `` portadores ''.")</f>
        <v> A garganta da estreita é causada pelo grupo beta do grupo A - estreptococcus hemolítico (gás ou S. pyogenes). Outras bactérias como o não - Grupo A beta - estreptococos hemolíticos e fusobacterium também podem causar faringite. É espalhado por contato direto e próximo com uma pessoa infectada; Assim, a aglomeração, como pode ser encontrado nas forças armadas e nas escolas, aumenta a taxa de transmissão. As bactérias secas em poeira não são infecciosas, embora bactérias úmidas em escovas de dentes ou itens semelhantes possam persistir por até quinze dias. Alimentos contaminados podem resultar em surtos, mas isso é raro. Das crianças sem sinais ou sintomas, 12 % carregam gás na faringe e, após o tratamento, aproximadamente 15 % deles permanecem positivos e são verdadeiros `` portadores ''.</v>
      </c>
    </row>
    <row r="463" customFormat="false" ht="15.75" hidden="false" customHeight="true" outlineLevel="0" collapsed="false">
      <c r="A463" s="3" t="n">
        <v>460</v>
      </c>
      <c r="B463" s="5" t="s">
        <v>1382</v>
      </c>
      <c r="C463" s="5" t="s">
        <v>1383</v>
      </c>
      <c r="D463" s="5" t="s">
        <v>1384</v>
      </c>
      <c r="E463" s="4" t="str">
        <f aca="false">IFERROR(__xludf.dummyfunction("GOOGLETRANSLATE(C464)"),"Onde estava o autor quando ele escreveu a bandeira Star Spangled")</f>
        <v>Onde estava o autor quando ele escreveu a bandeira Star Spangled</v>
      </c>
      <c r="F463" s="5" t="str">
        <f aca="false">IFERROR(__xludf.dummyfunction("GOOGLETRANSLATE(D463)")," Em dezembro de 2015, foi anunciado que Thompson se juntaria aos jovens e inquietos como Billy Abbott; Ele começou a aparecer em 10 de janeiro de 2016.")</f>
        <v> Em dezembro de 2015, foi anunciado que Thompson se juntaria aos jovens e inquietos como Billy Abbott; Ele começou a aparecer em 10 de janeiro de 2016.</v>
      </c>
    </row>
    <row r="464" customFormat="false" ht="15.75" hidden="false" customHeight="true" outlineLevel="0" collapsed="false">
      <c r="A464" s="3" t="n">
        <v>461</v>
      </c>
      <c r="B464" s="5" t="s">
        <v>1385</v>
      </c>
      <c r="C464" s="5" t="s">
        <v>1386</v>
      </c>
      <c r="D464" s="5" t="s">
        <v>1387</v>
      </c>
      <c r="E464" s="4" t="str">
        <f aca="false">IFERROR(__xludf.dummyfunction("GOOGLETRANSLATE(C465)"),"A razão pela qual os telhados de pagode japoneses diminuem em tamanho")</f>
        <v>A razão pela qual os telhados de pagode japoneses diminuem em tamanho</v>
      </c>
      <c r="F464" s="5" t="str">
        <f aca="false">IFERROR(__xludf.dummyfunction("GOOGLETRANSLATE(D464)")," `` The Star - Banner Spangled '' é o hino nacional dos Estados Unidos da América. A letra vem de `` Defense of Fort M'Henry '', um poema escrito em 14 de setembro de 1814, no 35 ano - advogado e poeta amador Francis Scott Key depois de testemunhar o bomb"&amp;"ardeio de Fort McHenry por navios britânicos do The the Marinha Real em Baltimore Harbor durante a Batalha de Baltimore na Guerra de 1812. Key foi inspirado pela grande bandeira americana, a estrela - Banner Spangled, voando triunfantemente acima do forte"&amp;" durante a vitória americana.")</f>
        <v> `` The Star - Banner Spangled '' é o hino nacional dos Estados Unidos da América. A letra vem de `` Defense of Fort M'Henry '', um poema escrito em 14 de setembro de 1814, no 35 ano - advogado e poeta amador Francis Scott Key depois de testemunhar o bombardeio de Fort McHenry por navios britânicos do The the Marinha Real em Baltimore Harbor durante a Batalha de Baltimore na Guerra de 1812. Key foi inspirado pela grande bandeira americana, a estrela - Banner Spangled, voando triunfantemente acima do forte durante a vitória americana.</v>
      </c>
    </row>
    <row r="465" customFormat="false" ht="15.75" hidden="false" customHeight="true" outlineLevel="0" collapsed="false">
      <c r="A465" s="3" t="n">
        <v>462</v>
      </c>
      <c r="B465" s="5" t="s">
        <v>1388</v>
      </c>
      <c r="C465" s="5" t="s">
        <v>1389</v>
      </c>
      <c r="D465" s="5" t="s">
        <v>1390</v>
      </c>
      <c r="E465" s="4" t="str">
        <f aca="false">IFERROR(__xludf.dummyfunction("GOOGLETRANSLATE(C466)"),"Quando o círculo ártico recebe 24 horas de luz do dia")</f>
        <v>Quando o círculo ártico recebe 24 horas de luz do dia</v>
      </c>
      <c r="F465" s="5" t="str">
        <f aca="false">IFERROR(__xludf.dummyfunction("GOOGLETRANSLATE(D465)")," A borda dos beirais de um pagode forma uma linha reta, com cada borda seguinte sendo mais curta que a outra. Quanto mais diferença de comprimento (um parâmetro chamado Teigen (逓減 逓減, diminuição gradual) em japonês) entre as histórias, mais sólido e segur"&amp;"o o pagode parece ser. Teigen e o finial são maiores em pagodes mais antigos, dando -lhes uma sensação de solidez. Vice -versa, os pagodes recentes tendem a ser mais íngremes e têm finials mais curtos, criando silhuetas de sovelter.")</f>
        <v> A borda dos beirais de um pagode forma uma linha reta, com cada borda seguinte sendo mais curta que a outra. Quanto mais diferença de comprimento (um parâmetro chamado Teigen (逓減 逓減, diminuição gradual) em japonês) entre as histórias, mais sólido e seguro o pagode parece ser. Teigen e o finial são maiores em pagodes mais antigos, dando -lhes uma sensação de solidez. Vice -versa, os pagodes recentes tendem a ser mais íngremes e têm finials mais curtos, criando silhuetas de sovelter.</v>
      </c>
    </row>
    <row r="466" customFormat="false" ht="15.75" hidden="false" customHeight="true" outlineLevel="0" collapsed="false">
      <c r="A466" s="3" t="n">
        <v>463</v>
      </c>
      <c r="B466" s="5" t="s">
        <v>1391</v>
      </c>
      <c r="C466" s="5" t="s">
        <v>1392</v>
      </c>
      <c r="D466" s="5" t="s">
        <v>1393</v>
      </c>
      <c r="E466" s="4" t="str">
        <f aca="false">IFERROR(__xludf.dummyfunction("GOOGLETRANSLATE(C467)"),"Qual é a música que eles assobiam no clube de café da manhã")</f>
        <v>Qual é a música que eles assobiam no clube de café da manhã</v>
      </c>
      <c r="F466" s="5" t="str">
        <f aca="false">IFERROR(__xludf.dummyfunction("GOOGLETRANSLATE(D466)")," O sol da meia -noite é um fenômeno natural que ocorre nos meses de verão em locais ao norte do círculo ártico ou ao sul do círculo antártico, quando o sol permanece visível na meia -noite local.")</f>
        <v> O sol da meia -noite é um fenômeno natural que ocorre nos meses de verão em locais ao norte do círculo ártico ou ao sul do círculo antártico, quando o sol permanece visível na meia -noite local.</v>
      </c>
    </row>
    <row r="467" customFormat="false" ht="15.75" hidden="false" customHeight="true" outlineLevel="0" collapsed="false">
      <c r="A467" s="3" t="n">
        <v>464</v>
      </c>
      <c r="B467" s="5" t="s">
        <v>1394</v>
      </c>
      <c r="C467" s="5" t="s">
        <v>1395</v>
      </c>
      <c r="D467" s="5" t="s">
        <v>1396</v>
      </c>
      <c r="E467" s="4" t="str">
        <f aca="false">IFERROR(__xludf.dummyfunction("GOOGLETRANSLATE(C468)"),"O que o acrossoma faz em uma célula espermática")</f>
        <v>O que o acrossoma faz em uma célula espermática</v>
      </c>
      <c r="F467" s="5" t="str">
        <f aca="false">IFERROR(__xludf.dummyfunction("GOOGLETRANSLATE(D467)")," A música tem sido usada em mais de quarenta filmes, incluindo The Love Race (1931), The Lady Vanishes (1938), o mouse que Roeded (1959), The Parent Trap (1961) e The Breakfast Club (1985).")</f>
        <v> A música tem sido usada em mais de quarenta filmes, incluindo The Love Race (1931), The Lady Vanishes (1938), o mouse que Roeded (1959), The Parent Trap (1961) e The Breakfast Club (1985).</v>
      </c>
    </row>
    <row r="468" customFormat="false" ht="15.75" hidden="false" customHeight="true" outlineLevel="0" collapsed="false">
      <c r="A468" s="3" t="n">
        <v>465</v>
      </c>
      <c r="B468" s="5" t="s">
        <v>1397</v>
      </c>
      <c r="C468" s="5" t="s">
        <v>1398</v>
      </c>
      <c r="D468" s="5" t="s">
        <v>1399</v>
      </c>
      <c r="E468" s="4" t="str">
        <f aca="false">IFERROR(__xludf.dummyfunction("GOOGLETRANSLATE(C469)"),"Qual era o plano de Joker no Cavaleiro das Trevas")</f>
        <v>Qual era o plano de Joker no Cavaleiro das Trevas</v>
      </c>
      <c r="F468" s="5" t="str">
        <f aca="false">IFERROR(__xludf.dummyfunction("GOOGLETRANSLATE(D468)")," Nos mamíferos, a reação do acrossoma libera haluronidase e acrosina; Seu papel na fertilização ainda não está claro. A reação acrossomal não começa até que o esperma entre em contato com a zona pelúcida do oócito. Ao entrar em contato com a Zona Pellucid"&amp;"a, as enzimas acosomais começam a se dissolver e o filamento de actina entra em contato com a Zona Pellucida. Uma vez que os dois se encontram, ocorre um influxo de cálcio, causando uma cascata de sinalização. Os grânulos corticais dentro do oócito se fun"&amp;"dem na membrana externa e ocorre uma reação de bloco rápido transitório.")</f>
        <v> Nos mamíferos, a reação do acrossoma libera haluronidase e acrosina; Seu papel na fertilização ainda não está claro. A reação acrossomal não começa até que o esperma entre em contato com a zona pelúcida do oócito. Ao entrar em contato com a Zona Pellucida, as enzimas acosomais começam a se dissolver e o filamento de actina entra em contato com a Zona Pellucida. Uma vez que os dois se encontram, ocorre um influxo de cálcio, causando uma cascata de sinalização. Os grânulos corticais dentro do oócito se fundem na membrana externa e ocorre uma reação de bloco rápido transitório.</v>
      </c>
    </row>
    <row r="469" customFormat="false" ht="15.75" hidden="false" customHeight="true" outlineLevel="0" collapsed="false">
      <c r="A469" s="3" t="n">
        <v>466</v>
      </c>
      <c r="B469" s="5" t="s">
        <v>1400</v>
      </c>
      <c r="C469" s="5" t="s">
        <v>1401</v>
      </c>
      <c r="D469" s="5" t="s">
        <v>1402</v>
      </c>
      <c r="E469" s="4" t="str">
        <f aca="false">IFERROR(__xludf.dummyfunction("GOOGLETRANSLATE(C470)"),"Qual é o nome de Arasamaram em inglês")</f>
        <v>Qual é o nome de Arasamaram em inglês</v>
      </c>
      <c r="F469" s="5" t="str">
        <f aca="false">IFERROR(__xludf.dummyfunction("GOOGLETRANSLATE(D469)")," A interpretação do filme do Coringa incorpora temas de caos, anarquia e obsessão: ao longo do filme, o personagem expressa um desejo de perturbar a ordem social através do crime e se define por seu conflito com Batman. O personagem também explora técnica"&amp;"s encontradas nas apresentações anteriores de Ledger, incluindo seu ato de palhaço no filme de fantasia de Terry Gilliam, The Brothers Grimm. Além disso, faz referência a pinturas do artista Francis Bacon, o romance de Anthony Burgess, A Clockwork Orange "&amp;"e vários músicos de rock punk.")</f>
        <v> A interpretação do filme do Coringa incorpora temas de caos, anarquia e obsessão: ao longo do filme, o personagem expressa um desejo de perturbar a ordem social através do crime e se define por seu conflito com Batman. O personagem também explora técnicas encontradas nas apresentações anteriores de Ledger, incluindo seu ato de palhaço no filme de fantasia de Terry Gilliam, The Brothers Grimm. Além disso, faz referência a pinturas do artista Francis Bacon, o romance de Anthony Burgess, A Clockwork Orange e vários músicos de rock punk.</v>
      </c>
    </row>
    <row r="470" customFormat="false" ht="15.75" hidden="false" customHeight="true" outlineLevel="0" collapsed="false">
      <c r="A470" s="3" t="n">
        <v>467</v>
      </c>
      <c r="B470" s="5" t="s">
        <v>1403</v>
      </c>
      <c r="C470" s="5" t="s">
        <v>1404</v>
      </c>
      <c r="D470" s="5" t="s">
        <v>1405</v>
      </c>
      <c r="E470" s="4" t="str">
        <f aca="false">IFERROR(__xludf.dummyfunction("GOOGLETRANSLATE(C471)"),"maior área selvagem a leste do rio Mississippi")</f>
        <v>maior área selvagem a leste do rio Mississippi</v>
      </c>
      <c r="F470" s="5" t="str">
        <f aca="false">IFERROR(__xludf.dummyfunction("GOOGLETRANSLATE(D470)")," Ficus religioso ou figo sagrado é uma espécie de fig nativa do subcontinente indiano e da Indochina. Pertence às Moraceae, a família FIG ou Mulberry. Também é conhecido como árvore bodhi, árvore de Pippala, árvore peepul, árvore peepal ou árvore ashwatth"&amp;"a (na Índia e no Nepal).")</f>
        <v> Ficus religioso ou figo sagrado é uma espécie de fig nativa do subcontinente indiano e da Indochina. Pertence às Moraceae, a família FIG ou Mulberry. Também é conhecido como árvore bodhi, árvore de Pippala, árvore peepul, árvore peepal ou árvore ashwattha (na Índia e no Nepal).</v>
      </c>
    </row>
    <row r="471" customFormat="false" ht="15.75" hidden="false" customHeight="true" outlineLevel="0" collapsed="false">
      <c r="A471" s="3" t="n">
        <v>468</v>
      </c>
      <c r="B471" s="5" t="s">
        <v>1406</v>
      </c>
      <c r="C471" s="5" t="s">
        <v>1407</v>
      </c>
      <c r="D471" s="5" t="s">
        <v>1408</v>
      </c>
      <c r="E471" s="4" t="str">
        <f aca="false">IFERROR(__xludf.dummyfunction("GOOGLETRANSLATE(C472)"),"quem ganhou o prêmio de pessoa esportiva do ano 2017")</f>
        <v>quem ganhou o prêmio de pessoa esportiva do ano 2017</v>
      </c>
      <c r="F471" s="5" t="str">
        <f aca="false">IFERROR(__xludf.dummyfunction("GOOGLETRANSLATE(D471)"),"   Nome da área (s) da área (s) da área da região selvagem: Agência / agências de km2 localizadas inteiramente ou parcialmente em Wrangell - Saint Elias Wilderness Alaska 9.078.675 36.740.1 nps wrangell - parque nacional de St. Elias ARCELIETIENCIDENDENDE"&amp;"NDIDADE ALASSIDA 8.000.000 32,374.9 FWS ARCS ARCOUTIE BEATIDENDERNEDIDADE 8.000.000 32,374.9 Wilderness Alaska 7.167.192 29.004,6 portões NPs do Parque Nacional do Ártico Noatak Wilderness Alaska 5.765.427 23.331,9 NPS NOATAK NACIONAL PERSERVENDO MENIFICA"&amp;"ÇÃO KATMAI WORDERNENS ALASKA 3.384.358 13,696.0 NPS Katmai Katmai 44.3 NPS Death Valley National Park Glacier Bay Wilderness Alaska 2.664.876 10.784,4 NPS Glacier BAY NACIONAL LAKE Clark Wilderness Alaska 2.619.550 10.600.9 NPS LAKE Clark Parque Nacional "&amp;"Frank Church - Rio de Not Return Wilderness Idaho 2.366.757 9.577.9 FS / BLM Payette Floresta nacional / Floresta nacional nacional / Salmão Floresta nacional / Bibreotom Florestas / ROOT Florestas nacionais / florestas nacionais / florestas nacionais flo"&amp;"restas nacionais / florestas nacionais / bibliotecas Florestas nacionais Togiak Wilderness Alaska 2.274.066 9.202,8 FWS Togiak Refúgio nacional da vida selvagem FJORDS MONUMENTO NACIONAL MONUMENTO NACIONAL Alaska 2,142.442 8.670.2 FS Misty Fjords Monument"&amp;" (Floresta Nacional da Tongess)) Denali Wilder Alaska 2,2.2.10 Monuments nacional de fjords 2,3.3.3.8, nacional de fjords Monument (Floresta Nacional da finson). Alasca 1.354.247 5.480,4 FWS Kenai National Wildlife Refuge Selway - Bitterroot Wilderness   "&amp;"Idaho / Montana   1,340,502   5,424.8   FS   Nez Perce National Forest / Bitterroot National Forest / Clearwater National Forest / Lolo National Forest     Aleutian Islands Wilderness   Alaska   1,300,000   5,260.9   FWS   Aleutian Islands National Wildli"&amp;"fe Refuge     Andreafsky Wilderness   Alaska   1,300,000   5,260.9   FWS   Yukon Delta National Wildlife Refuge     Marjory Stoneman Douglas Wilderness Florida 1.296.500 5.246,7 NPS Everglades National Park Innoko Wilderness Alaska 1.240.000 5.018.1 FWS I"&amp;"nnoko National Wildlife Refuge Bob Marshall Florestão Montana 1,009 e 4,084.7 Flathall 55 3.869,8 Monumento Nacional da Ilha do Admiralty FS (Floresta Nacional Tongass) Absaroka - Beartooth Wilderness   Montana / Wyoming   943,626   3,818.7   FS   Gallati"&amp;"n National Forest / Custer National Forest / Shoshone National Forest     Unimak Wilderness   Alaska   910,000   3,682.6   FWS   Alaska Maritime National Wildlife Refuge     Olympic Wilderness   Washington   876,669   3,547.8   NPS   Olympic National Park"&amp;"     Boundary Waters Canoe Area Wilderness   Minnesota   1,090,000   4,411.1   FS Forest Superior Nacional Cabeza Prieta Adexagem Arizona 803.418 3.251,3 FWS Cabeza Prieta Nacional Refuge Refuge Sequoia - Kings Canyon Wilderness California 768.222 3,108.9"&amp;" NPS Kings Canyon National Park / Sequoia Parque nacional Yosemite Wyoming 704.274 2.850,1 FIDADE NACIONAL FS SHOSHONE Mojave Wilderness California 695.200 2.813,4 NPS Mojave National Preserve Tracy Arm - Fords Terror Wilderness Alaska 653.179 2.643.3 FS "&amp;"Tongass National Florestes John MUIRNENDENDENDENDENS CALIFORNIONCIONS 650.734 2,633 FS SIERRA SIERRA / INYO FORMURHO FORMURHOMEN MINATER MINAr. ES Parque Nacional / Lago Ross Área de Recreação Nacional / Área de Recreação Nacional de Chelan Lake Nunivak W"&amp;"ilderness Alaska 600.000 2.428.1 FWS Yukon Delta Refúgio Nacional da Vida Selvagem Joshua Árvore Wilderness California 594.502 2,405.9 NPS Joshua Tree Nacional Parque TETON Wilderness 3 2.309,0 FS WENACKEE NACIONAL FLORESTA / Mount Baker Floresta Nacional"&amp;" Gila deserto Novo México 558.014 2.258.2 FS GILA NACIONAL PASAYTEN WILDERNENTE Washington 529.477 2.142.7 FLILING NACIONAL FILIDADE / MONTH BLILIFORHA NACIONAL FS / Florestas Nacionais Florestas / Florestas Nacional Florestas / Florestas Nacional Florest"&amp;"as / Florestas Nacionais Florestas / Mount Florestas / Mount Florestas Blorerness Califórnia 525,627 27.127.127.10 Floresta nacional da Floresta Nacional de Seis Rios Arizona 516.200 2.089,0 FWS Refúgio Nacional da Vida Selvagem Kofa Weminuche Wilderness "&amp;"Colorado 488.210 1,975,7 FS HOURLIMENTES SAN JUAN FLORESTA NACIONAL / RIO Grande floresta alta Uintas Wilderness Utah 456,705 1,882.2.2.2.2.2.70 Florestas nacionais. 48.926 1.816.7 FS Tongass Nacional Bridger Bridger Wilderness Wyoming 428.087 1.732,4 FS "&amp;"Bridger Floresta Nacional Becharof Wilderness Alaska 400.000 1,618.7 FWS Becharof National Wildlife Refuge Koyukukuk Wilderness Alaska 400.000 1,618.7 ALVENDLE .2 FS Wenatchee Nacional Floresta / Snoqualmie Floresta Nacional Okefenokee Wilderness Georgia "&amp;"353.981 1.432,5 FWS OKEFENOKEE Nacional Refúgio Norte de Absaroka Dexerness Wyoming 350.488 1,418.4 FS Shoshone Nacional da floresta da floresta nacional Wilderness / Whitman Florest 350,461 1,18.3 Fs Wutlowa 350 Florestas Florestas / Florestas Florestas "&amp;"350.461 1,8.3 Fs. Floresta Nacional Baranof South Wilderness Alaska 319.568 1.293,2 FS Tongass National Forest     Gros Ventre Wilderness   Wyoming   317,874   1,286.4   FS   Teton National Forest     Black Rock Desert Wilderness   Nevada   314,829   1,27"&amp;"4.1   BLM   Black Rock Desert -- High Rock Canyon Emigrant Trails National Conservation Area     Organ Pipe Cactus Wilderness   Arizona   312,600   1,265.0   NPS   Organ Pipe Cactus National Monument     Izembek Wilderness   Alaska   307,982   1,246.4 FWS"&amp;" IZEMBEK NACIONAL VIDA SIVERNDIDA VIDA SIVERNENTE VII A VII GOLDENDERNIONCIONAL Califórnia 303.511 1.228,3 FS INYO NACIONAL FORESTA / FORMA NACIONAL DO NACIONAL TRÊS Irmãs Wilderness Oregon 286.708 1,160.3 FS Willamette Florestas nacionais da floresta 0,7"&amp;"0801660.3 Festra de floresta nacional , 328 1.081,8 BLM West Chichagof - Yakobi Wilderness Alaska 265.286 1.073,6 FS FORMA NACIONAL TONGASS LEE METCALF WILDERNENTE MONTANA 254.288 1,029.1 FS / BLM GALLATIN FLORESTA NACIONAL / BEAVERHEAD MONTANHAS BRANCAS "&amp;"BRANCAS NA Califórnia 252.577 1,022222222222222222.2, Blmen. 1,4 FLIOT NACIONAL FS TONTO / Coconino National Forest Semidi Wilderness Alaska 250.000 1.011,7 FWS Alaska Maritime National Wildlife Refúgio Rocky Mountain National Park National Wilderness Col"&amp;"orado 249.339 1,009.0 NPS Rocky Mountain National Mountains Mountains Kerlingness Califórnia 245,320 992.8 Blm / Fs Inyo Florestes Nacional da Florestidade 245.320 992.8 Blm / Fs Inyo Florde Wilderness California 240.024 971,3 FS / BLM LOS PADRES NACIONAL"&amp;" FLORESTA NACIONAL SELAWIK Wilderness Alaska 240.000 971.2 FWS Selawik National Wildlife Refuge Scakinggoat Wilderness Montana 239.936 971.0 FS Lewis e Clark National Forest / Helena Florestas Florestas / Lolo / Lolo Florestas / 971.0 Fs Lewis e Clark Nat"&amp;"ional Florestas / Lolo Florestas / Lolo Florestas / Lolo Florestas / 971.0 Fs Lewis e Clark National Florestas / Florestas Florestas / Lolo / Florestas / 971. Wilderness Colorado 235.214 951.9 FS White River Nacional Floresta Nacional / Routt Floresta Nac"&amp;"ional ANSEL Adams Wilderness California 231.533 937.0 FS / NPS Sierra Nacional Floresta / INYO Floresta Nacional / Demônios Post Monumento Nacional Rainous Rainier Washingness 228,480 924.6 NPS NPS Rainlier Rainlium 228,044   922.9   FS / NPS   San Isabel"&amp;" National Forest / Rio Grande National Forest / Great Sand Dunes National Park     Pecos Wilderness   New Mexico   223,333   903.8   FS   Santa Fe National Forest / Carson National Forest     Sespe Wilderness   California   219,700   889.1   FS   Los Padr"&amp;"es National Forest     Sawtooth Wilderness   Idaho   217,088   878.5 FS Sawtooth National Recreation Area (floresta nacional de Boise / Floresta Nacional da Floresta / Floresta Nacional de Sawtooth) Hells Canyon Wilderness Oregon / Idaho 214.944 869.8 FS "&amp;"/ BLM Hells Canyon National Recreation Area (Wallowa National Forest / Nez Perce National Forest / Payette National Florest / Whitman Whitman Floresta) Hump Gospel Wilderness Idaho 205.796 832,8 FS NEZ FORMA NACIONAL ALDO LEOPOLD VERDADENDO NOVO MÉXICO 20"&amp;"2.016 817.5 FS GILA NACIONAL FLORESTH KINHERNENSNENDERNENTIONCONALODNOIFICAL 199.444 807.1 BLM Fitzpatricking Wilderness Wyoming 198520 1992.444 807. .8 FS Los Padres National Forest High Peaks Wilderness Nova York 192.685 779.8 NYS dec Adirondack Park Cl"&amp;"oud Peak Wilderness Wyoming 189.039 765.0 FS Bighorn National Florest Sheephole Vale / Wilderness California 186.673 755.4 BLM SISKIYOU Wilderness / Califórnia 182,802 739. Snowmass Wilderness Colorado 181.512 734.6 FS Branco Floresta Nacional da Floresta"&amp;" Nacional / Gunnison Yolla Bolly - Eel de Eel Médio Califórnia 180.877 732.0 FS / BLM Mendocino National Florest / Trinity Floresta Nacional / Seis Rios Florestas Nacionais Kalmiops Wilderness Wilderness 179,75572777. Wilderness   Washington / Oregon   17"&amp;"7,423   718.0   FS   Umatilla National Forest     Turtle Mountains Wilderness   California   177,136   716.8   BLM       West Elk Wilderness   Colorado   176,412   713.9   FS   Gunnison National Forest     Kobuk Valley Wilderness   Alaska   174,545   706."&amp;"4   NPS   Kobuk Valley National Park     Steens Mountain Wilderness   Oregon   170,025   688.1   BLM       William O. Douglas Wilderness Washington 168.232 680,8 FS Snoqualmie Floresta Nacional / Gifford Pinchot Picos da Floresta Nacional da Floresta Colo"&amp;"rado 167,414 677.5 FS San Isabel Floresta nacional / Gunnison Nacional / Branco Rio Nacional Montanhas Antiga Woman Wilderness CALIFORNO 162,985 659.6 6.6110 - Blm CARRONDERNO -BRANCO - ice -RIVILIDADE NACIONIAL Woman Womerness Wilderness 162,985 659.6 6."&amp;" Forest / Stanislaus National Forest     Mount Zirkel Wilderness   Colorado   159,935   647.2   FS   Routt National Forest     Superstition Wilderness   Arizona   159,757   646.5   FS   Tonto National Forest     South San Juan Wilderness   Colorado   158,"&amp;"790   642.6   FS   Rio Grande National Forest / San Juan National Forest     Anaconda - Pintler Wilderness   Montana   158,615   641.9   FS   Beaverhead Floresta nacional / Deerlodge Floresta Nacional / Bitterroot Montanhas Mórmon Nacionais Mórmon Wildern"&amp;"ess Nevada 157.938 639.2 Blm Lake Chelan - Wilderness Washington Washington 151.435 612.8 FS Okanogan Floresta nacional / Wenatchee Floresto nacional Kelso Wilderness Wilderness 144,2622 58. Nacional Forest Isle Royale Wilderness Michigan 132.018 534.3 NP"&amp;"S Isle Royale Parque Nacional Hawaii Vulcões Wilderness Hawaii 130.790 529.3 NPS Hawaii Volcões nacionais do parque nacional Wilderness, Califórnia, 130,081 526.4 FS / Blm sequoia sequoia florestrmrmsrmness ARSTRASTRATRA Montanha 130,081 526.4 FS / Blm Se"&amp;"quoia Forestrmrmrmsrmil 626 524.6 FS Gunnison National Forest / Rio Grande National Forest     Hoover Wilderness   California   128,421   519.7   FS   Toiyabe National Forest / Inyo National Forest     Zion Wilderness   Utah   124,406   503.5   NPS   Zion"&amp;" National Park     Meadow Valley Range Wilderness   Nevada   123,488   499.7   BLM       Jedediah Smith Wilderness   Wyoming   123,451   499.6   FS   Targhee National Forest     Holy Cross Wilderness   Colorado 122.884 497,3 FS FORMA NACIONAL DA FORMAÇÃO "&amp;"NACIONAL / SAN ISABEL NACIONAL SCHELLS SCHELLS NEVADA 121.497 491.7 FS Humboldt Nacional North Fork John Day Wilderness Oregon Lostless Lostless Wosrless Wosrled Browerl. Wilderness Washington 117.528 475.6 FS MOUNT BAKER FORMAÇÃO NACIONAL JIM MCCLURE - J"&amp;"ERRY PAIXO VERDADEIRA IDAHO 116.898 473.1 FS / BLM SALMON - Florestas nacionais da floresta nacional Sky Wilderness Aregon 116.300 470.6 FS Rio Rio Rio Florma nacional / WinemaMa Floresta Florestas nacionais acolhedores Wilderness Arizona 112.400 454.9 BL"&amp;"M Emigrantes deserto Califórnia 112.277 454.4 FS Stanislaus Floresta Nacional Delamar Montanhas Devadeira Nevada 111.328 450.5 BLM Jarbidge Wilderness Nevada 111,087 449. 9.400 442,7 BLM Vermilion Cliffs National Monument / Grand Staircase - Escalante Nat"&amp;"ional Monument     Goat Rocks Wilderness   Washington   107,018   433.1   FS   Gifford Pinchot National Forest / Snoqualmie National Forest     Mount Jefferson Wilderness   Oregon   107,008   433.0   FS   Willamette National Forest / Deschutes National Fo"&amp;"rest / Mount Hood National Forest     Wild Sky Wilderness   Washington   106,577   431.3   FS   Snoqualmie National Floresta NOPAH Wilderness California 106.571 431,3 BLM Uncompahgre Wilderness Colorado 102.721 415.7 FS / BLM Uncompahgre Floresta Nacional"&amp;" Popo de Florestas Florestas / Florestas Nacionais Florestas / Florestas Florestas 40 412.3 412.3 Florestas Florestas 40 412.3 412.3 Florestas Florestas 40 412.3 412.3 Florestas Florestas 412 412.3 Florestas 412.3 412.3 Florestas 412.3 412.3 412.3 Florest"&amp;"as Florestais Cedar Mountain Wilderness Utah 100.000 404,7 Blm Mokelumne Wilderness California 99.161 401,3 FS ELDORADO FORESTA NACIONAL / STANISLAUS Floresta nacional / Toiyabe Florestas nacionais rios Wilderness Wilderness ALASKA 98,729 399.5 FS Florest"&amp;"as nacional. , 429 394.3 BLM San Gorgonio Wilderness California 94.664 383,1 FS / BLM San Bernardino Montanhas da floresta nacional da floresta Montana 94.272 381.5 FS Kootenai Floresta nacional / Kaniksu Nacional de florestas da floresta de rubiamento da"&amp;" floresta 376.7 Florestas de florestas da floresta De Wales Wilderness Alasca 90.968 368.1 FS Tongass Nacional Floresta Cecil D. Andrus - Núsculas brancas deserto Idaho 90.769 367,3 FS / BLM SAWTOOTH NACIONAL BRUNEau - rios de jarbidge Wilderness Idaho 89"&amp;".996 364.2 Blm Mt. Moriah Wilderness Nevada 89.790 363,4 FS / BLM Humboldt Floresta Nacional Paiute Dexorness Arizona 87.900 355.7 BLM Grand Canyon - Monumento nacional de parasão Chiricahua Wildernessi Arizona 87,700 354.9 FS Coronado ChoMehuevi Moundern"&amp;"essi 87,700 354.9 FS Coronado Chemehuevi Moundernessi 87,700 354.9 FS Coronado Chemehuevi A 85.748 347,0 BLM STEPLADDER MONTANHAS WORDERNESS CALIFÓRNIA 83.536 338.1 BLM Etolin South Wilderness Alaska 82.619 334.3 FS Tongass National Forest Hunter - Fringp"&amp;"an Wilderness Colorado 82.026 331.9 FS White River Florestas Nacional Bering Sea Wilderness Aleaska 81.340 329.2 FWS Alaska / FS Sequoia National Forest Shenandoah Wilderness Virginia 79.579 322,0 NPS SHENandoah Parque Nacional Lassen Wilderness Vulcânico"&amp;" Califórnia 78.982 319.6 NPS LASSEN Parque Nacional Vulcânico Mount Grafton Wilderness Nevada 78.754 318.7 BLM Picos indianos Wilderness 77,71111111 da floresta 318. 76.317 308.8 FS CORONADO NACIONAL RESPENHAÇÃO DA PRIMAÇÃO DA PRIMAÇÃO DA PRIMAÇÃO DA PRIM"&amp;"EIRA DE SPRIÊNCIA NA CALIFÓRNIA 76.280 308.7 Montanhas Blm Whipple Wilderness California 76.032 307.7 Blm Black Ridge Canyons Wilderness Colorado / Utah 75.439 305.3 Blm McInnis Canyons Conservação National ARCUS GLANÇO GLANÇENSENDIDADE 7. FS Arapaho Flor"&amp;"esta Nacional / Pike Floresta Nacional Rio Wilderness Alaska 74.298 300,7 FS FLORESTA NACIONAL DE TONGASS OWENS PETO DE PATO DE CALIFÓRNIA 74.060 299.7 MISTÓRIAS MISSÃO MISTÓRIAS VERDIDAS MONTANAS 73.877 299.0 FS FLORESTA NACIONAL RATAH RATAH RAIRRADO 73,"&amp;"08 295. 72,575   293.7   BLM       Pahrump Valley Wilderness   California   72,528   293.5   BLM       Santa Rosa Wilderness   California   72,259   292.4   BLM / FS   San Bernardino National Forest     Saguaro Wilderness   Arizona   70,905   286.9   NPS "&amp;"  Saguaro National Park     South Warner Wilderness   California   70,614   285.8   FS   Modoc National Forest     Kanab Creek Wilderness   Arizona   70,460   285.1   FS / BLM   Kaibab National Forest     Bristol Mountains Wilderness   California   70,028"&amp;"   283.4   BLM       Strawberry Mountain Wilderness   Oregon   69,350   280.6   FS   Malheur National Forest     Highland Ridge Wilderness   Nevada   68,627   277.7   BLM       Hemingway -- Boulders Wilderness   Idaho   67,998   275.2   FS   Sawtooth Nati"&amp;"onal Forest     Dick Smith Wilderness   California   67,800   274.4   FS   Los Padres National Monte da floresta Wilderness Oregon 67.320 272,4 FS MT. Capuz Nacional Floresta Sul Egan Range Wilderness Nevada 67.214 272.0 BlM Tebenkof Bay Wilderness Alaska"&amp;" 66.812 270.4 FS Tongass National Florest Comanche Peak Wilderness Colorado 66.791 270.3 FS Roosevelt Dominguez da floresta Colorado 65.393 264,6 FS Gunnison National Florest / Rio Branco Montanhas Nacionais da Floresta Nacional Deserto Nevada 64.984 263."&amp;"0 BLM Black Rock Desert - High Rock Canyon Emigrant Trails Area de conservação nacional Mark O. Hatfield Wilderness Oregon 64.960 262.9 FS Mt. Capuz National Floresta Nacional Badlands Wilderness Dakota do Sul 64.144 259,6 NPS Badlands Nacional Parque Nac"&amp;"ional Woolsey Peak Wilderness Arizona 64.000 259.0 BLM Desolação deserto Califórnia 63,475 256.9 FS Eldorado Floresta Norte Maricopa Desenhando Wilderness Arizona 63,200 255.8 255.8 Blorado Sonorn Sonorn Sonorn Sonorn Wilderness Arizona 63,200 255.8200 25"&amp;"5.8 BLIMOR SOM SONOR SOM SONOR SONOR SONOR SONOR SONOR SONOR SONOR / FS Gunnison Floresta Nacional Cebolla Wilderness Novo México 61.500 248,9 BLM SALMON - HULKEBERRYBERRY WORDERNENTE Oregon 61.340 248,2 FS MT. Floresta nacional Floresta quatro picos dese"&amp;"rto Arizona 61.074 247,2 FS TONTO NACIONAL FORESTA NACIONAL KUIU deserto Alasca 60.581 245,2 FS Floresta nacional nacional Maricopa Montanhas Nacional Soxerness Werderness Wilderness 60.100 243.2 BLM Sonoran Desert Monuments Sul Sierra Sierra -Wilderness "&amp;"California Wilderness California 60.076 243.1 FS Mendocino National High Rock Lake Lake Wilderness Nevada 59.094 239.1 Blm Black Rock Desert - High Rock Canyon Emigrantes Trilhas Área de Conservação Nacional Mount Charleston Nacional de Refratação Naciona"&amp;"l (Fs / Blm Charleston National Rrecha (ToIy Toiyy NEVADA 57.442 232.5 FS / Blm Mountains Spring Área de Relés (Toi Nacional (Fs / Blm Mountains Nacional da área de recreação (To Ivada 57,42 232.5 FS / Blm Spring Spring Area Rrecheation (Toi Rreian. Wilde"&amp;"rness Arizona 56.933 230.4 FS Coronado Floresta nacional Pahute Pico da região selvagem Nevada 56.890 230.2 BLM Black Rock Desert - High Rock Canyon Emigrantes trilhas nacionais da floresta nacional Sycamore Canyon Wilderness ARIZONA 55,937 226.4 FS PRESC"&amp;"OTS PRESCOMOR Nevada 54.535 220,7 BLM Black Rock Desert - High Rock Canyon Emigrant Trails Área de conservação nacional Mount Thielsen Wilderness Oregon 54.267 219.6 FS WIRMA NACIONAL FORESTO / UMPQUA Floresta nacional / Deschutes Florestas nacionais pico"&amp;" de diamante Wilderness / Willetim 54,185 219. Wilderness California 53.887 218.1 FS / BLM MENDOCINO NACIONAL FLORESTA BIG JACKS CREEK WIDERNDO IDAHO 52.826 213.8 BLM MOUNT Washington Wilderness Oregon 52.738 213.4 FS Willamette National Forest / Deschute"&amp;"s Florestas nacionais East Fork Canyon Wilderness Nevada 52. Emigrantes trilhas da área de conservação nacional Grant Range Wilderness Nevada 52.600 212.9 FS Humboldt Norda nacional nórdica Pico da região selvagem Washington 52.180 211.2 FS Snoqualmie Nac"&amp;"ional da floresta Sacata Wilderness 51,48 51.900 210.0 BLM Weepah Spring Wildeness Nevada 51,48.90 210.0 BLM Weepah Spring Wilderness Nevada 51,480.90 210.0 BLM Weepah Spring Wilderness Nevada 51,480.90 210.0 BLM Weepah Spring Wilderness Nevada 51,48.90 2"&amp;"10.0 BLM Weepah Spring Wildendne M Montanhas Orocópias deserto Califórnia 50.562 204.6 BLM COSO Wilderness Califórnia 50.520 204.4 Blm Chama River Canyon Wilderness Novo México 50.300 203.6 FS Santa Fest Florestal Nacional / Floresta Nacional Nacional Flo"&amp;"resta Petrificada Área Nacional de Wilderness Wilderness Arizona 50.260 203.4 NPS PETRIFIDADE PETRIFICADO PINE VALLEY Montanha montanhosa Floresta Nacional")</f>
        <v>   Nome da área (s) da área (s) da área da região selvagem: Agência / agências de km2 localizadas inteiramente ou parcialmente em Wrangell - Saint Elias Wilderness Alaska 9.078.675 36.740.1 nps wrangell - parque nacional de St. Elias ARCELIETIENCIDENDENDENDIDADE ALASSIDA 8.000.000 32,374.9 FWS ARCS ARCOUTIE BEATIDENDERNEDIDADE 8.000.000 32,374.9 Wilderness Alaska 7.167.192 29.004,6 portões NPs do Parque Nacional do Ártico Noatak Wilderness Alaska 5.765.427 23.331,9 NPS NOATAK NACIONAL PERSERVENDO MENIFICAÇÃO KATMAI WORDERNENS ALASKA 3.384.358 13,696.0 NPS Katmai Katmai 44.3 NPS Death Valley National Park Glacier Bay Wilderness Alaska 2.664.876 10.784,4 NPS Glacier BAY NACIONAL LAKE Clark Wilderness Alaska 2.619.550 10.600.9 NPS LAKE Clark Parque Nacional Frank Church - Rio de Not Return Wilderness Idaho 2.366.757 9.577.9 FS / BLM Payette Floresta nacional / Floresta nacional nacional / Salmão Floresta nacional / Bibreotom Florestas / ROOT Florestas nacionais / florestas nacionais / florestas nacionais florestas nacionais / florestas nacionais / bibliotecas Florestas nacionais Togiak Wilderness Alaska 2.274.066 9.202,8 FWS Togiak Refúgio nacional da vida selvagem FJORDS MONUMENTO NACIONAL MONUMENTO NACIONAL Alaska 2,142.442 8.670.2 FS Misty Fjords Monument (Floresta Nacional da Tongess)) Denali Wilder Alaska 2,2.2.10 Monuments nacional de fjords 2,3.3.3.8, nacional de fjords Monument (Floresta Nacional da finson). Alasca 1.354.247 5.480,4 FWS Kenai National Wildlife Refuge Selway - Bitterroot Wilderness   Idaho / Montana   1,340,502   5,424.8   FS   Nez Perce National Forest / Bitterroot National Forest / Clearwater National Forest / Lolo National Forest     Aleutian Islands Wilderness   Alaska   1,300,000   5,260.9   FWS   Aleutian Islands National Wildlife Refuge     Andreafsky Wilderness   Alaska   1,300,000   5,260.9   FWS   Yukon Delta National Wildlife Refuge     Marjory Stoneman Douglas Wilderness Florida 1.296.500 5.246,7 NPS Everglades National Park Innoko Wilderness Alaska 1.240.000 5.018.1 FWS Innoko National Wildlife Refuge Bob Marshall Florestão Montana 1,009 e 4,084.7 Flathall 55 3.869,8 Monumento Nacional da Ilha do Admiralty FS (Floresta Nacional Tongass) Absaroka - Beartooth Wilderness   Montana / Wyoming   943,626   3,818.7   FS   Gallatin National Forest / Custer National Forest / Shoshone National Forest     Unimak Wilderness   Alaska   910,000   3,682.6   FWS   Alaska Maritime National Wildlife Refuge     Olympic Wilderness   Washington   876,669   3,547.8   NPS   Olympic National Park     Boundary Waters Canoe Area Wilderness   Minnesota   1,090,000   4,411.1   FS Forest Superior Nacional Cabeza Prieta Adexagem Arizona 803.418 3.251,3 FWS Cabeza Prieta Nacional Refuge Refuge Sequoia - Kings Canyon Wilderness California 768.222 3,108.9 NPS Kings Canyon National Park / Sequoia Parque nacional Yosemite Wyoming 704.274 2.850,1 FIDADE NACIONAL FS SHOSHONE Mojave Wilderness California 695.200 2.813,4 NPS Mojave National Preserve Tracy Arm - Fords Terror Wilderness Alaska 653.179 2.643.3 FS Tongass National Florestes John MUIRNENDENDENDENDENS CALIFORNIONCIONS 650.734 2,633 FS SIERRA SIERRA / INYO FORMURHO FORMURHOMEN MINATER MINAr. ES Parque Nacional / Lago Ross Área de Recreação Nacional / Área de Recreação Nacional de Chelan Lake Nunivak Wilderness Alaska 600.000 2.428.1 FWS Yukon Delta Refúgio Nacional da Vida Selvagem Joshua Árvore Wilderness California 594.502 2,405.9 NPS Joshua Tree Nacional Parque TETON Wilderness 3 2.309,0 FS WENACKEE NACIONAL FLORESTA / Mount Baker Floresta Nacional Gila deserto Novo México 558.014 2.258.2 FS GILA NACIONAL PASAYTEN WILDERNENTE Washington 529.477 2.142.7 FLILING NACIONAL FILIDADE / MONTH BLILIFORHA NACIONAL FS / Florestas Nacionais Florestas / Florestas Nacional Florestas / Florestas Nacional Florestas / Florestas Nacionais Florestas / Mount Florestas / Mount Florestas Blorerness Califórnia 525,627 27.127.127.10 Floresta nacional da Floresta Nacional de Seis Rios Arizona 516.200 2.089,0 FWS Refúgio Nacional da Vida Selvagem Kofa Weminuche Wilderness Colorado 488.210 1,975,7 FS HOURLIMENTES SAN JUAN FLORESTA NACIONAL / RIO Grande floresta alta Uintas Wilderness Utah 456,705 1,882.2.2.2.2.2.70 Florestas nacionais. 48.926 1.816.7 FS Tongass Nacional Bridger Bridger Wilderness Wyoming 428.087 1.732,4 FS Bridger Floresta Nacional Becharof Wilderness Alaska 400.000 1,618.7 FWS Becharof National Wildlife Refuge Koyukukuk Wilderness Alaska 400.000 1,618.7 ALVENDLE .2 FS Wenatchee Nacional Floresta / Snoqualmie Floresta Nacional Okefenokee Wilderness Georgia 353.981 1.432,5 FWS OKEFENOKEE Nacional Refúgio Norte de Absaroka Dexerness Wyoming 350.488 1,418.4 FS Shoshone Nacional da floresta da floresta nacional Wilderness / Whitman Florest 350,461 1,18.3 Fs Wutlowa 350 Florestas Florestas / Florestas Florestas 350.461 1,8.3 Fs. Floresta Nacional Baranof South Wilderness Alaska 319.568 1.293,2 FS Tongass National Forest     Gros Ventre Wilderness   Wyoming   317,874   1,286.4   FS   Teton National Forest     Black Rock Desert Wilderness   Nevada   314,829   1,274.1   BLM   Black Rock Desert -- High Rock Canyon Emigrant Trails National Conservation Area     Organ Pipe Cactus Wilderness   Arizona   312,600   1,265.0   NPS   Organ Pipe Cactus National Monument     Izembek Wilderness   Alaska   307,982   1,246.4 FWS IZEMBEK NACIONAL VIDA SIVERNDIDA VIDA SIVERNENTE VII A VII GOLDENDERNIONCIONAL Califórnia 303.511 1.228,3 FS INYO NACIONAL FORESTA / FORMA NACIONAL DO NACIONAL TRÊS Irmãs Wilderness Oregon 286.708 1,160.3 FS Willamette Florestas nacionais da floresta 0,70801660.3 Festra de floresta nacional , 328 1.081,8 BLM West Chichagof - Yakobi Wilderness Alaska 265.286 1.073,6 FS FORMA NACIONAL TONGASS LEE METCALF WILDERNENTE MONTANA 254.288 1,029.1 FS / BLM GALLATIN FLORESTA NACIONAL / BEAVERHEAD MONTANHAS BRANCAS BRANCAS NA Califórnia 252.577 1,022222222222222222.2, Blmen. 1,4 FLIOT NACIONAL FS TONTO / Coconino National Forest Semidi Wilderness Alaska 250.000 1.011,7 FWS Alaska Maritime National Wildlife Refúgio Rocky Mountain National Park National Wilderness Colorado 249.339 1,009.0 NPS Rocky Mountain National Mountains Mountains Kerlingness Califórnia 245,320 992.8 Blm / Fs Inyo Florestes Nacional da Florestidade 245.320 992.8 Blm / Fs Inyo Florde Wilderness California 240.024 971,3 FS / BLM LOS PADRES NACIONAL FLORESTA NACIONAL SELAWIK Wilderness Alaska 240.000 971.2 FWS Selawik National Wildlife Refuge Scakinggoat Wilderness Montana 239.936 971.0 FS Lewis e Clark National Forest / Helena Florestas Florestas / Lolo / Lolo Florestas / 971.0 Fs Lewis e Clark National Florestas / Lolo Florestas / Lolo Florestas / Lolo Florestas / 971.0 Fs Lewis e Clark National Florestas / Florestas Florestas / Lolo / Florestas / 971. Wilderness Colorado 235.214 951.9 FS White River Nacional Floresta Nacional / Routt Floresta Nacional ANSEL Adams Wilderness California 231.533 937.0 FS / NPS Sierra Nacional Floresta / INYO Floresta Nacional / Demônios Post Monumento Nacional Rainous Rainier Washingness 228,480 924.6 NPS NPS Rainlier Rainlium 228,044   922.9   FS / NPS   San Isabel National Forest / Rio Grande National Forest / Great Sand Dunes National Park     Pecos Wilderness   New Mexico   223,333   903.8   FS   Santa Fe National Forest / Carson National Forest     Sespe Wilderness   California   219,700   889.1   FS   Los Padres National Forest     Sawtooth Wilderness   Idaho   217,088   878.5 FS Sawtooth National Recreation Area (floresta nacional de Boise / Floresta Nacional da Floresta / Floresta Nacional de Sawtooth) Hells Canyon Wilderness Oregon / Idaho 214.944 869.8 FS / BLM Hells Canyon National Recreation Area (Wallowa National Forest / Nez Perce National Forest / Payette National Florest / Whitman Whitman Floresta) Hump Gospel Wilderness Idaho 205.796 832,8 FS NEZ FORMA NACIONAL ALDO LEOPOLD VERDADENDO NOVO MÉXICO 202.016 817.5 FS GILA NACIONAL FLORESTH KINHERNENSNENDERNENTIONCONALODNOIFICAL 199.444 807.1 BLM Fitzpatricking Wilderness Wyoming 198520 1992.444 807. .8 FS Los Padres National Forest High Peaks Wilderness Nova York 192.685 779.8 NYS dec Adirondack Park Cloud Peak Wilderness Wyoming 189.039 765.0 FS Bighorn National Florest Sheephole Vale / Wilderness California 186.673 755.4 BLM SISKIYOU Wilderness / Califórnia 182,802 739. Snowmass Wilderness Colorado 181.512 734.6 FS Branco Floresta Nacional da Floresta Nacional / Gunnison Yolla Bolly - Eel de Eel Médio Califórnia 180.877 732.0 FS / BLM Mendocino National Florest / Trinity Floresta Nacional / Seis Rios Florestas Nacionais Kalmiops Wilderness Wilderness 179,75572777. Wilderness   Washington / Oregon   177,423   718.0   FS   Umatilla National Forest     Turtle Mountains Wilderness   California   177,136   716.8   BLM       West Elk Wilderness   Colorado   176,412   713.9   FS   Gunnison National Forest     Kobuk Valley Wilderness   Alaska   174,545   706.4   NPS   Kobuk Valley National Park     Steens Mountain Wilderness   Oregon   170,025   688.1   BLM       William O. Douglas Wilderness Washington 168.232 680,8 FS Snoqualmie Floresta Nacional / Gifford Pinchot Picos da Floresta Nacional da Floresta Colorado 167,414 677.5 FS San Isabel Floresta nacional / Gunnison Nacional / Branco Rio Nacional Montanhas Antiga Woman Wilderness CALIFORNO 162,985 659.6 6.6110 - Blm CARRONDERNO -BRANCO - ice -RIVILIDADE NACIONIAL Woman Womerness Wilderness 162,985 659.6 6. Forest / Stanislaus National Forest     Mount Zirkel Wilderness   Colorado   159,935   647.2   FS   Routt National Forest     Superstition Wilderness   Arizona   159,757   646.5   FS   Tonto National Forest     South San Juan Wilderness   Colorado   158,790   642.6   FS   Rio Grande National Forest / San Juan National Forest     Anaconda - Pintler Wilderness   Montana   158,615   641.9   FS   Beaverhead Floresta nacional / Deerlodge Floresta Nacional / Bitterroot Montanhas Mórmon Nacionais Mórmon Wilderness Nevada 157.938 639.2 Blm Lake Chelan - Wilderness Washington Washington 151.435 612.8 FS Okanogan Floresta nacional / Wenatchee Floresto nacional Kelso Wilderness Wilderness 144,2622 58. Nacional Forest Isle Royale Wilderness Michigan 132.018 534.3 NPS Isle Royale Parque Nacional Hawaii Vulcões Wilderness Hawaii 130.790 529.3 NPS Hawaii Volcões nacionais do parque nacional Wilderness, Califórnia, 130,081 526.4 FS / Blm sequoia sequoia florestrmrmsrmness ARSTRASTRATRA Montanha 130,081 526.4 FS / Blm Sequoia Forestrmrmrmsrmil 626 524.6 FS Gunnison National Forest / Rio Grande National Forest     Hoover Wilderness   California   128,421   519.7   FS   Toiyabe National Forest / Inyo National Forest     Zion Wilderness   Utah   124,406   503.5   NPS   Zion National Park     Meadow Valley Range Wilderness   Nevada   123,488   499.7   BLM       Jedediah Smith Wilderness   Wyoming   123,451   499.6   FS   Targhee National Forest     Holy Cross Wilderness   Colorado 122.884 497,3 FS FORMA NACIONAL DA FORMAÇÃO NACIONAL / SAN ISABEL NACIONAL SCHELLS SCHELLS NEVADA 121.497 491.7 FS Humboldt Nacional North Fork John Day Wilderness Oregon Lostless Lostless Wosrless Wosrled Browerl. Wilderness Washington 117.528 475.6 FS MOUNT BAKER FORMAÇÃO NACIONAL JIM MCCLURE - JERRY PAIXO VERDADEIRA IDAHO 116.898 473.1 FS / BLM SALMON - Florestas nacionais da floresta nacional Sky Wilderness Aregon 116.300 470.6 FS Rio Rio Rio Florma nacional / WinemaMa Floresta Florestas nacionais acolhedores Wilderness Arizona 112.400 454.9 BLM Emigrantes deserto Califórnia 112.277 454.4 FS Stanislaus Floresta Nacional Delamar Montanhas Devadeira Nevada 111.328 450.5 BLM Jarbidge Wilderness Nevada 111,087 449. 9.400 442,7 BLM Vermilion Cliffs National Monument / Grand Staircase - Escalante National Monument     Goat Rocks Wilderness   Washington   107,018   433.1   FS   Gifford Pinchot National Forest / Snoqualmie National Forest     Mount Jefferson Wilderness   Oregon   107,008   433.0   FS   Willamette National Forest / Deschutes National Forest / Mount Hood National Forest     Wild Sky Wilderness   Washington   106,577   431.3   FS   Snoqualmie National Floresta NOPAH Wilderness California 106.571 431,3 BLM Uncompahgre Wilderness Colorado 102.721 415.7 FS / BLM Uncompahgre Floresta Nacional Popo de Florestas Florestas / Florestas Nacionais Florestas / Florestas Florestas 40 412.3 412.3 Florestas Florestas 40 412.3 412.3 Florestas Florestas 40 412.3 412.3 Florestas Florestas 412 412.3 Florestas 412.3 412.3 Florestas 412.3 412.3 412.3 Florestas Florestais Cedar Mountain Wilderness Utah 100.000 404,7 Blm Mokelumne Wilderness California 99.161 401,3 FS ELDORADO FORESTA NACIONAL / STANISLAUS Floresta nacional / Toiyabe Florestas nacionais rios Wilderness Wilderness ALASKA 98,729 399.5 FS Florestas nacional. , 429 394.3 BLM San Gorgonio Wilderness California 94.664 383,1 FS / BLM San Bernardino Montanhas da floresta nacional da floresta Montana 94.272 381.5 FS Kootenai Floresta nacional / Kaniksu Nacional de florestas da floresta de rubiamento da floresta 376.7 Florestas de florestas da floresta De Wales Wilderness Alasca 90.968 368.1 FS Tongass Nacional Floresta Cecil D. Andrus - Núsculas brancas deserto Idaho 90.769 367,3 FS / BLM SAWTOOTH NACIONAL BRUNEau - rios de jarbidge Wilderness Idaho 89.996 364.2 Blm Mt. Moriah Wilderness Nevada 89.790 363,4 FS / BLM Humboldt Floresta Nacional Paiute Dexorness Arizona 87.900 355.7 BLM Grand Canyon - Monumento nacional de parasão Chiricahua Wildernessi Arizona 87,700 354.9 FS Coronado ChoMehuevi Moundernessi 87,700 354.9 FS Coronado Chemehuevi Moundernessi 87,700 354.9 FS Coronado Chemehuevi A 85.748 347,0 BLM STEPLADDER MONTANHAS WORDERNESS CALIFÓRNIA 83.536 338.1 BLM Etolin South Wilderness Alaska 82.619 334.3 FS Tongass National Forest Hunter - Fringpan Wilderness Colorado 82.026 331.9 FS White River Florestas Nacional Bering Sea Wilderness Aleaska 81.340 329.2 FWS Alaska / FS Sequoia National Forest Shenandoah Wilderness Virginia 79.579 322,0 NPS SHENandoah Parque Nacional Lassen Wilderness Vulcânico Califórnia 78.982 319.6 NPS LASSEN Parque Nacional Vulcânico Mount Grafton Wilderness Nevada 78.754 318.7 BLM Picos indianos Wilderness 77,71111111 da floresta 318. 76.317 308.8 FS CORONADO NACIONAL RESPENHAÇÃO DA PRIMAÇÃO DA PRIMAÇÃO DA PRIMAÇÃO DA PRIMEIRA DE SPRIÊNCIA NA CALIFÓRNIA 76.280 308.7 Montanhas Blm Whipple Wilderness California 76.032 307.7 Blm Black Ridge Canyons Wilderness Colorado / Utah 75.439 305.3 Blm McInnis Canyons Conservação National ARCUS GLANÇO GLANÇENSENDIDADE 7. FS Arapaho Floresta Nacional / Pike Floresta Nacional Rio Wilderness Alaska 74.298 300,7 FS FLORESTA NACIONAL DE TONGASS OWENS PETO DE PATO DE CALIFÓRNIA 74.060 299.7 MISTÓRIAS MISSÃO MISTÓRIAS VERDIDAS MONTANAS 73.877 299.0 FS FLORESTA NACIONAL RATAH RATAH RAIRRADO 73,08 295. 72,575   293.7   BLM       Pahrump Valley Wilderness   California   72,528   293.5   BLM       Santa Rosa Wilderness   California   72,259   292.4   BLM / FS   San Bernardino National Forest     Saguaro Wilderness   Arizona   70,905   286.9   NPS   Saguaro National Park     South Warner Wilderness   California   70,614   285.8   FS   Modoc National Forest     Kanab Creek Wilderness   Arizona   70,460   285.1   FS / BLM   Kaibab National Forest     Bristol Mountains Wilderness   California   70,028   283.4   BLM       Strawberry Mountain Wilderness   Oregon   69,350   280.6   FS   Malheur National Forest     Highland Ridge Wilderness   Nevada   68,627   277.7   BLM       Hemingway -- Boulders Wilderness   Idaho   67,998   275.2   FS   Sawtooth National Forest     Dick Smith Wilderness   California   67,800   274.4   FS   Los Padres National Monte da floresta Wilderness Oregon 67.320 272,4 FS MT. Capuz Nacional Floresta Sul Egan Range Wilderness Nevada 67.214 272.0 BlM Tebenkof Bay Wilderness Alaska 66.812 270.4 FS Tongass National Florest Comanche Peak Wilderness Colorado 66.791 270.3 FS Roosevelt Dominguez da floresta Colorado 65.393 264,6 FS Gunnison National Florest / Rio Branco Montanhas Nacionais da Floresta Nacional Deserto Nevada 64.984 263.0 BLM Black Rock Desert - High Rock Canyon Emigrant Trails Area de conservação nacional Mark O. Hatfield Wilderness Oregon 64.960 262.9 FS Mt. Capuz National Floresta Nacional Badlands Wilderness Dakota do Sul 64.144 259,6 NPS Badlands Nacional Parque Nacional Woolsey Peak Wilderness Arizona 64.000 259.0 BLM Desolação deserto Califórnia 63,475 256.9 FS Eldorado Floresta Norte Maricopa Desenhando Wilderness Arizona 63,200 255.8 255.8 Blorado Sonorn Sonorn Sonorn Sonorn Wilderness Arizona 63,200 255.8200 255.8 BLIMOR SOM SONOR SOM SONOR SONOR SONOR SONOR SONOR SONOR SONOR / FS Gunnison Floresta Nacional Cebolla Wilderness Novo México 61.500 248,9 BLM SALMON - HULKEBERRYBERRY WORDERNENTE Oregon 61.340 248,2 FS MT. Floresta nacional Floresta quatro picos deserto Arizona 61.074 247,2 FS TONTO NACIONAL FORESTA NACIONAL KUIU deserto Alasca 60.581 245,2 FS Floresta nacional nacional Maricopa Montanhas Nacional Soxerness Werderness Wilderness 60.100 243.2 BLM Sonoran Desert Monuments Sul Sierra Sierra -Wilderness California Wilderness California 60.076 243.1 FS Mendocino National High Rock Lake Lake Wilderness Nevada 59.094 239.1 Blm Black Rock Desert - High Rock Canyon Emigrantes Trilhas Área de Conservação Nacional Mount Charleston Nacional de Refratação Nacional (Fs / Blm Charleston National Rrecha (ToIy Toiyy NEVADA 57.442 232.5 FS / Blm Mountains Spring Área de Relés (Toi Nacional (Fs / Blm Mountains Nacional da área de recreação (To Ivada 57,42 232.5 FS / Blm Spring Spring Area Rrecheation (Toi Rreian. Wilderness Arizona 56.933 230.4 FS Coronado Floresta nacional Pahute Pico da região selvagem Nevada 56.890 230.2 BLM Black Rock Desert - High Rock Canyon Emigrantes trilhas nacionais da floresta nacional Sycamore Canyon Wilderness ARIZONA 55,937 226.4 FS PRESCOTS PRESCOMOR Nevada 54.535 220,7 BLM Black Rock Desert - High Rock Canyon Emigrant Trails Área de conservação nacional Mount Thielsen Wilderness Oregon 54.267 219.6 FS WIRMA NACIONAL FORESTO / UMPQUA Floresta nacional / Deschutes Florestas nacionais pico de diamante Wilderness / Willetim 54,185 219. Wilderness California 53.887 218.1 FS / BLM MENDOCINO NACIONAL FLORESTA BIG JACKS CREEK WIDERNDO IDAHO 52.826 213.8 BLM MOUNT Washington Wilderness Oregon 52.738 213.4 FS Willamette National Forest / Deschutes Florestas nacionais East Fork Canyon Wilderness Nevada 52. Emigrantes trilhas da área de conservação nacional Grant Range Wilderness Nevada 52.600 212.9 FS Humboldt Norda nacional nórdica Pico da região selvagem Washington 52.180 211.2 FS Snoqualmie Nacional da floresta Sacata Wilderness 51,48 51.900 210.0 BLM Weepah Spring Wildeness Nevada 51,48.90 210.0 BLM Weepah Spring Wilderness Nevada 51,480.90 210.0 BLM Weepah Spring Wilderness Nevada 51,480.90 210.0 BLM Weepah Spring Wilderness Nevada 51,48.90 210.0 BLM Weepah Spring Wildendne M Montanhas Orocópias deserto Califórnia 50.562 204.6 BLM COSO Wilderness Califórnia 50.520 204.4 Blm Chama River Canyon Wilderness Novo México 50.300 203.6 FS Santa Fest Florestal Nacional / Floresta Nacional Nacional Floresta Petrificada Área Nacional de Wilderness Wilderness Arizona 50.260 203.4 NPS PETRIFIDADE PETRIFICADO PINE VALLEY Montanha montanhosa Floresta Nacional</v>
      </c>
    </row>
    <row r="472" customFormat="false" ht="15.75" hidden="false" customHeight="true" outlineLevel="0" collapsed="false">
      <c r="A472" s="3" t="n">
        <v>469</v>
      </c>
      <c r="B472" s="5" t="s">
        <v>1409</v>
      </c>
      <c r="C472" s="5" t="s">
        <v>1410</v>
      </c>
      <c r="D472" s="5" t="s">
        <v>1411</v>
      </c>
      <c r="E472" s="4" t="str">
        <f aca="false">IFERROR(__xludf.dummyfunction("GOOGLETRANSLATE(C473)"),"Qual é a forma completa da doença de ALS")</f>
        <v>Qual é a forma completa da doença de ALS</v>
      </c>
      <c r="F472" s="5" t="str">
        <f aca="false">IFERROR(__xludf.dummyfunction("GOOGLETRANSLATE(D472)"),"   Ano Sportsman Sportswoman Team Breakthrough Retorno Ação de Disabilidade Momento REF 2000 Woods, Tiger Tiger Woods Jones, Marion Marion Jones * Manchester United F.C. García, Sergio Sergio García Armstrong, Lance Lance Armstrong * Sauvage, Louise Sauva"&amp;"ge Palmer, Shaun Shaun Palmer N / A 2001 Woods, Tiger Tiger Woods Freeman, Cathy Cathy Freeman France Francy Football Sain, Marat Marat Marat Safin Capriati, Jennnifer Jennn Jenn Jenn Jenn Jenn Jenn Jenn Sain, Marat Marat Safin Capriati, , Vinny Vinny Lau"&amp;"wers   Horn , Mike Mike Horn   N / A       2002   Schumacher , Michael Michael Schumacher   Capriati , Jennifer Jennifer Capriati   Australia national cricket team   Montoya , Juan Pablo Juan Pablo Montoya   Ivanišević , Goran Goran Ivanišević   Vergeer ,"&amp;" Esther Esther Vergeer   Burnquist , Bob Bob Burnquist   N / A 2003 Armstrong, Lance Lance Armstrong * Williams, Serena Williams Brasil Brasil Football Team Ming, Yao Yao Ming Ronaldo Milton, Michael Michael Milton Potter, Dean Potter N / A Schumacher, Mi"&amp;"chael Michael Schumacher Sörennstam, Annika Annika Sö. Equipe da União Wie, Michelle Michelle Wie Maier, Hermann Hermann Maier Connor, Earle Earle Connor * Beachley, Layne Layne Beachley N / A 2005 Federer, Roger Roger Federer Holmes, Kelly Kelly Kelly Ho"&amp;"lmes Greeece Alex se equipe de futebol Xiang, Liu Liu Xiang Zanardi, Holmes Greeece Alex, Alex, Xiang, Liu Xiang Zanardi, Holmes Greece, ALEXE Zanardi   Petitclerc , Chantal Chantal Petitclerc   McArthur , Ellen Ellen McArthur   N / A       2006   Federer"&amp;" , Roger Roger Federer   Kostelić , Janica Janica Kostelić   Renault F1 team   Nadal , Rafael Rafael Nadal   Hingis , Martina Martina Hingis   van Dyk , Ernst Ernst van Dyk   d'Arrigo , Angelo Angelo d'Arrigo   N / A       2007   Federer , Roger Roger Fed"&amp;"erer   Isinbayeva , Yelena Yelena Isinbayeva   Italy national football team   Williams , Serena Serena Williams   Braxenthaler , Martin Martin Braxenthaler   Mauresmo , Amélie Amélie Mauresmo   Slater , Kelly Kelly Slater   N / A       2008   Federer , Ro"&amp;"ger Roger Federer   Henin , Justine Justine Henin   South Africa national rugby union team   Radcliffe , Paula Paula Radcliffe   Vergeer , Esther Esther Vergeer   Hamilton , Lewis Lewis Hamilton   White , Shaun Shaun White   N / A       2009   Bolt , Usai"&amp;"n Usain Bolt   Isinbayeva , Yelena Yelena Isinbayeva   China Olympic team   Klitschko , Vitali Vitali Klitschko Dias, Daniel Daniel Dias Adlington, Rebecca Rebecca Adlington Slater, Kelly Kelly Kelly Slater N / A Bolt, Usain Bolt Williams, Serena Serena W"&amp;"illiams Brawn F1 Team Clijsters, Kim Kim Kim Clijsters Dunen Duion Jenson Button   Gilmore , Stephanie Stephanie Gilmore   N / A       2011   Nadal , Rafael Rafael Nadal   Vonn , Lindsey Lindsey Vonn   Spain national football team   Rossi , Valentino Vale"&amp;"ntino Rossi   Bentele , Verena Verena Bentele   Kaymer , Martin Martin Kaymer   Slater , Kelly Kelly Slater   N / A       2012   Djokovic Novok Novak Djokovic Cheruiyot, Vivian Cheruiyot Barcelona FC Barcelona Clarke, Darren Darren Clarke Pistorius, Oscar"&amp;" Pistorius Pistorius McIlroy, Rory Rory McIlroy Slater, Kelly Kelly Slater N / A 2013 Bolt, Usain Bolt Bolt. team   Sánchez , Félix Félix Sánchez   Dias , Daniel Daniel Dias   Murray , Andy Andy Murray   Baumgartner , Felix Felix Baumgartner   N / A      "&amp;" 2014   Vettel , Sebastian Sebastian Vettel   Franklin , Missy Missy Franklin   Bayern FC Bayern Munich   Nadal , Rafael Rafael Nadal   Bochet , Marie Marie Bochet   Márquez , Marc Marc Márquez   Bestwick , Jamie Jamie Bestwick   N / A       2015   Djokov"&amp;"ic , Novak Novak Djokovic   Dibaba , Genzebe Genzebe Dibaba   Germany national football team   Burger , Schalk Schalk Burger   McFadden , Tatyana Tatyana McFadden   Ricciardo , Daniel Daniel Ricciardo   Eustace , Alan Alan Eustace   N / A 2016 Djokovic, N"&amp;"ovak Novak Djokovic Williams, Serena Williams New Zealand National Rugby Union Team Carter, Dan Dan Carter Dias, Daniel Daniel Dias Spieth, Jordan Jordan Spieth Frodeno, Jan Jan Frodeno N / A 2017 Bolt, Usain Bolt Biles Biles Chicago Cubs Phelps, Michael "&amp;"Michael Phelps Vio, Beatrice Beatrice Vio Rosberg, Nico Nico Rosberg Atherton, Rachel Rachel Atherton Barca FC Barcelona sob - 12s")</f>
        <v>   Ano Sportsman Sportswoman Team Breakthrough Retorno Ação de Disabilidade Momento REF 2000 Woods, Tiger Tiger Woods Jones, Marion Marion Jones * Manchester United F.C. García, Sergio Sergio García Armstrong, Lance Lance Armstrong * Sauvage, Louise Sauvage Palmer, Shaun Shaun Palmer N / A 2001 Woods, Tiger Tiger Woods Freeman, Cathy Cathy Freeman France Francy Football Sain, Marat Marat Marat Safin Capriati, Jennnifer Jennn Jenn Jenn Jenn Jenn Jenn Jenn Sain, Marat Marat Safin Capriati, , Vinny Vinny Lauwers   Horn , Mike Mike Horn   N / A       2002   Schumacher , Michael Michael Schumacher   Capriati , Jennifer Jennifer Capriati   Australia national cricket team   Montoya , Juan Pablo Juan Pablo Montoya   Ivanišević , Goran Goran Ivanišević   Vergeer , Esther Esther Vergeer   Burnquist , Bob Bob Burnquist   N / A 2003 Armstrong, Lance Lance Armstrong * Williams, Serena Williams Brasil Brasil Football Team Ming, Yao Yao Ming Ronaldo Milton, Michael Michael Milton Potter, Dean Potter N / A Schumacher, Michael Michael Schumacher Sörennstam, Annika Annika Sö. Equipe da União Wie, Michelle Michelle Wie Maier, Hermann Hermann Maier Connor, Earle Earle Connor * Beachley, Layne Layne Beachley N / A 2005 Federer, Roger Roger Federer Holmes, Kelly Kelly Kelly Holmes Greeece Alex se equipe de futebol Xiang, Liu Liu Xiang Zanardi, Holmes Greeece Alex, Alex, Xiang, Liu Xiang Zanardi, Holmes Greece, ALEXE Zanardi   Petitclerc , Chantal Chantal Petitclerc   McArthur , Ellen Ellen McArthur   N / A       2006   Federer , Roger Roger Federer   Kostelić , Janica Janica Kostelić   Renault F1 team   Nadal , Rafael Rafael Nadal   Hingis , Martina Martina Hingis   van Dyk , Ernst Ernst van Dyk   d'Arrigo , Angelo Angelo d'Arrigo   N / A       2007   Federer , Roger Roger Federer   Isinbayeva , Yelena Yelena Isinbayeva   Italy national football team   Williams , Serena Serena Williams   Braxenthaler , Martin Martin Braxenthaler   Mauresmo , Amélie Amélie Mauresmo   Slater , Kelly Kelly Slater   N / A       2008   Federer , Roger Roger Federer   Henin , Justine Justine Henin   South Africa national rugby union team   Radcliffe , Paula Paula Radcliffe   Vergeer , Esther Esther Vergeer   Hamilton , Lewis Lewis Hamilton   White , Shaun Shaun White   N / A       2009   Bolt , Usain Usain Bolt   Isinbayeva , Yelena Yelena Isinbayeva   China Olympic team   Klitschko , Vitali Vitali Klitschko Dias, Daniel Daniel Dias Adlington, Rebecca Rebecca Adlington Slater, Kelly Kelly Kelly Slater N / A Bolt, Usain Bolt Williams, Serena Serena Williams Brawn F1 Team Clijsters, Kim Kim Kim Clijsters Dunen Duion Jenson Button   Gilmore , Stephanie Stephanie Gilmore   N / A       2011   Nadal , Rafael Rafael Nadal   Vonn , Lindsey Lindsey Vonn   Spain national football team   Rossi , Valentino Valentino Rossi   Bentele , Verena Verena Bentele   Kaymer , Martin Martin Kaymer   Slater , Kelly Kelly Slater   N / A       2012   Djokovic Novok Novak Djokovic Cheruiyot, Vivian Cheruiyot Barcelona FC Barcelona Clarke, Darren Darren Clarke Pistorius, Oscar Pistorius Pistorius McIlroy, Rory Rory McIlroy Slater, Kelly Kelly Slater N / A 2013 Bolt, Usain Bolt Bolt. team   Sánchez , Félix Félix Sánchez   Dias , Daniel Daniel Dias   Murray , Andy Andy Murray   Baumgartner , Felix Felix Baumgartner   N / A       2014   Vettel , Sebastian Sebastian Vettel   Franklin , Missy Missy Franklin   Bayern FC Bayern Munich   Nadal , Rafael Rafael Nadal   Bochet , Marie Marie Bochet   Márquez , Marc Marc Márquez   Bestwick , Jamie Jamie Bestwick   N / A       2015   Djokovic , Novak Novak Djokovic   Dibaba , Genzebe Genzebe Dibaba   Germany national football team   Burger , Schalk Schalk Burger   McFadden , Tatyana Tatyana McFadden   Ricciardo , Daniel Daniel Ricciardo   Eustace , Alan Alan Eustace   N / A 2016 Djokovic, Novak Novak Djokovic Williams, Serena Williams New Zealand National Rugby Union Team Carter, Dan Dan Carter Dias, Daniel Daniel Dias Spieth, Jordan Jordan Spieth Frodeno, Jan Jan Frodeno N / A 2017 Bolt, Usain Bolt Biles Biles Chicago Cubs Phelps, Michael Michael Phelps Vio, Beatrice Beatrice Vio Rosberg, Nico Nico Rosberg Atherton, Rachel Rachel Atherton Barca FC Barcelona sob - 12s</v>
      </c>
    </row>
    <row r="473" customFormat="false" ht="15.75" hidden="false" customHeight="true" outlineLevel="0" collapsed="false">
      <c r="A473" s="3" t="n">
        <v>470</v>
      </c>
      <c r="B473" s="5" t="s">
        <v>1412</v>
      </c>
      <c r="C473" s="5" t="s">
        <v>1413</v>
      </c>
      <c r="D473" s="5" t="s">
        <v>1414</v>
      </c>
      <c r="E473" s="4" t="str">
        <f aca="false">IFERROR(__xludf.dummyfunction("GOOGLETRANSLATE(C474)"),"Quantos livros estão na série Narnia")</f>
        <v>Quantos livros estão na série Narnia</v>
      </c>
      <c r="F473" s="5" t="str">
        <f aca="false">IFERROR(__xludf.dummyfunction("GOOGLETRANSLATE(D473)")," A esclerose lateral amiotrófica (ELA), também conhecida como doença do neurônio motor (MND), e a doença de Lou Gehrig, é uma doença específica que causa a morte de neurônios que controlam os músculos voluntários. Alguns também usam o termo doença do neur"&amp;"ônio motor para um grupo de condições das quais a ALS é a mais comum. A ALS é caracterizada por músculos rígidos, contração muscular e pior pior da fraqueza devido a músculos que diminuem o tamanho. Isso resulta em dificuldade em falar, engolir e eventual"&amp;"mente respirar.")</f>
        <v> A esclerose lateral amiotrófica (ELA), também conhecida como doença do neurônio motor (MND), e a doença de Lou Gehrig, é uma doença específica que causa a morte de neurônios que controlam os músculos voluntários. Alguns também usam o termo doença do neurônio motor para um grupo de condições das quais a ALS é a mais comum. A ALS é caracterizada por músculos rígidos, contração muscular e pior pior da fraqueza devido a músculos que diminuem o tamanho. Isso resulta em dificuldade em falar, engolir e eventualmente respirar.</v>
      </c>
    </row>
    <row r="474" customFormat="false" ht="15.75" hidden="false" customHeight="true" outlineLevel="0" collapsed="false">
      <c r="A474" s="3" t="n">
        <v>471</v>
      </c>
      <c r="B474" s="5" t="s">
        <v>1415</v>
      </c>
      <c r="C474" s="5" t="s">
        <v>1416</v>
      </c>
      <c r="D474" s="5" t="s">
        <v>1417</v>
      </c>
      <c r="E474" s="4" t="str">
        <f aca="false">IFERROR(__xludf.dummyfunction("GOOGLETRANSLATE(C475)"),"que interpreta Sons of Anarchy Presidente em maia")</f>
        <v>que interpreta Sons of Anarchy Presidente em maia</v>
      </c>
      <c r="F474" s="5" t="str">
        <f aca="false">IFERROR(__xludf.dummyfunction("GOOGLETRANSLATE(D474)")," As Crônicas de Nárnia são uma série de sete romances de fantasia de C.S. Lewis. É considerado um clássico da literatura infantil e é o trabalho mais conhecido do autor, tendo vendido mais de 100 milhões de cópias em 47 idiomas. Escrito por Lewis, ilustra"&amp;"do por Pauline Baynes, e originalmente publicado em Londres entre 1950 e 1956, as Crônicas de Nárnia foram adaptadas várias vezes, completas ou em parte, para rádio, televisão, palco e cinema.")</f>
        <v> As Crônicas de Nárnia são uma série de sete romances de fantasia de C.S. Lewis. É considerado um clássico da literatura infantil e é o trabalho mais conhecido do autor, tendo vendido mais de 100 milhões de cópias em 47 idiomas. Escrito por Lewis, ilustrado por Pauline Baynes, e originalmente publicado em Londres entre 1950 e 1956, as Crônicas de Nárnia foram adaptadas várias vezes, completas ou em parte, para rádio, televisão, palco e cinema.</v>
      </c>
    </row>
    <row r="475" customFormat="false" ht="15.75" hidden="false" customHeight="true" outlineLevel="0" collapsed="false">
      <c r="A475" s="3" t="n">
        <v>472</v>
      </c>
      <c r="B475" s="5" t="s">
        <v>1418</v>
      </c>
      <c r="C475" s="5" t="s">
        <v>1419</v>
      </c>
      <c r="D475" s="5" t="s">
        <v>1420</v>
      </c>
      <c r="E475" s="4" t="str">
        <f aca="false">IFERROR(__xludf.dummyfunction("GOOGLETRANSLATE(C476)"),"Faça uma lista dos gases presentes na atmosfera da Terra")</f>
        <v>Faça uma lista dos gases presentes na atmosfera da Terra</v>
      </c>
      <c r="F475" s="5" t="str">
        <f aca="false">IFERROR(__xludf.dummyfunction("GOOGLETRANSLATE(D475)")," Marcus Álvarez é um personagem fictício da série de televisão FX Sons of Anarchy e seu spinoff Mayans MC, interpretado por Emilio Rivera. Ele inicialmente serve como antagonista do show, mas gradualmente chega a uma relação menos hostil com os filhos da "&amp;"anarquia. Ele é o líder dos maias, um clube de motociclistas mexicanos - Outlaw.")</f>
        <v> Marcus Álvarez é um personagem fictício da série de televisão FX Sons of Anarchy e seu spinoff Mayans MC, interpretado por Emilio Rivera. Ele inicialmente serve como antagonista do show, mas gradualmente chega a uma relação menos hostil com os filhos da anarquia. Ele é o líder dos maias, um clube de motociclistas mexicanos - Outlaw.</v>
      </c>
    </row>
    <row r="476" customFormat="false" ht="15.75" hidden="false" customHeight="true" outlineLevel="0" collapsed="false">
      <c r="A476" s="3" t="n">
        <v>473</v>
      </c>
      <c r="B476" s="5" t="s">
        <v>1421</v>
      </c>
      <c r="C476" s="5" t="s">
        <v>1422</v>
      </c>
      <c r="D476" s="5" t="s">
        <v>1423</v>
      </c>
      <c r="E476" s="4" t="str">
        <f aca="false">IFERROR(__xludf.dummyfunction("GOOGLETRANSLATE(C477)"),"Quando foi a última vez que uma equipe esportiva de Detroit venceu um campeonato")</f>
        <v>Quando foi a última vez que uma equipe esportiva de Detroit venceu um campeonato</v>
      </c>
      <c r="F476" s="5" t="str">
        <f aca="false">IFERROR(__xludf.dummyfunction("GOOGLETRANSLATE(D476)")," Os principais constituintes do ar seco, por volume de volume, fórmula de nomes de gás em PPMV em % de nitrogênio 780.840 78.084 oxigênio o 209.460 20.946 Argon AR 9.340 0.9340 Dióxido de carbono HE 5.00 0.04 NEON NE 18.18 0.001818 Helium Helium : Vapor d"&amp;"e água H O 10 - 50.000 0,001 % - 5 % Notas: A fração de volume é igual à fração molar apenas para gás ideal, consulte também o volume (termodinâmica) PPMV: Peças por milhão por volume de vapor de água é de cerca de 0,25 % em massa sobre a massa sobre A at"&amp;"mosfera completa vapor varia fortemente")</f>
        <v> Os principais constituintes do ar seco, por volume de volume, fórmula de nomes de gás em PPMV em % de nitrogênio 780.840 78.084 oxigênio o 209.460 20.946 Argon AR 9.340 0.9340 Dióxido de carbono HE 5.00 0.04 NEON NE 18.18 0.001818 Helium Helium : Vapor de água H O 10 - 50.000 0,001 % - 5 % Notas: A fração de volume é igual à fração molar apenas para gás ideal, consulte também o volume (termodinâmica) PPMV: Peças por milhão por volume de vapor de água é de cerca de 0,25 % em massa sobre a massa sobre A atmosfera completa vapor varia fortemente</v>
      </c>
    </row>
    <row r="477" customFormat="false" ht="15.75" hidden="false" customHeight="true" outlineLevel="0" collapsed="false">
      <c r="A477" s="3" t="n">
        <v>474</v>
      </c>
      <c r="B477" s="5" t="s">
        <v>1424</v>
      </c>
      <c r="C477" s="5" t="s">
        <v>1425</v>
      </c>
      <c r="D477" s="5" t="s">
        <v>1426</v>
      </c>
      <c r="E477" s="4" t="str">
        <f aca="false">IFERROR(__xludf.dummyfunction("GOOGLETRANSLATE(C478)"),"quem marcou mais gols na Premier League inglesa")</f>
        <v>quem marcou mais gols na Premier League inglesa</v>
      </c>
      <c r="F477" s="5" t="str">
        <f aca="false">IFERROR(__xludf.dummyfunction("GOOGLETRANSLATE(D477)")," 2008 O Detroit Shock ganha seu terceiro campeonato da WNBA nas finais da WNBA. É o terceiro título da equipe em seis temporadas.")</f>
        <v> 2008 O Detroit Shock ganha seu terceiro campeonato da WNBA nas finais da WNBA. É o terceiro título da equipe em seis temporadas.</v>
      </c>
    </row>
    <row r="478" customFormat="false" ht="15.75" hidden="false" customHeight="true" outlineLevel="0" collapsed="false">
      <c r="A478" s="3" t="n">
        <v>475</v>
      </c>
      <c r="B478" s="5" t="s">
        <v>1427</v>
      </c>
      <c r="C478" s="5" t="s">
        <v>1428</v>
      </c>
      <c r="D478" s="5" t="s">
        <v>1429</v>
      </c>
      <c r="E478" s="4" t="str">
        <f aca="false">IFERROR(__xludf.dummyfunction("GOOGLETRANSLATE(C479)"),"Qual é a diferença entre padre e bispo")</f>
        <v>Qual é a diferença entre padre e bispo</v>
      </c>
      <c r="F478" s="5" t="str">
        <f aca="false">IFERROR(__xludf.dummyfunction("GOOGLETRANSLATE(D478)")," Lista de jogadores da Premier League com 100 ou mais gols classificam os jogadores da Premier League Club (S) GOTS RATION RATIO Shearer, Alan Alan Shearer Blackburn Rovers, Newcastle United 260 441 0.59 Rooney, Wayne Wayne Rooney Everton, Manchester Unit"&amp;"ed 208 491 0.42 Cole, Andy Andy Andy Andy Cole   Newcastle United , Manchester United , Blackburn Rovers , Fulham , Manchester City , Portsmouth   187   414   0.45       Lampard , Frank Frank Lampard   West Ham United , Chelsea , Manchester City   177   6"&amp;"09   0.29       Henry , Thierry Thierry Henry   Arsenal   175   258   0.68     6   Fowler , Robbie Robbie Fowler Liverpool, Leeds United, Manchester City 163 379 0,43 7 Defoe, Jermain Jermain Defoe West Ham United, Portsmouth, Tottenham Hotspur, Sunderlan"&amp;"d, Bournemouth 162 491 0.33 8 Owen, Michael Michael Owen Liverpool, Newcastle United, ManChester United, Stoke, 150 32, Michael Owen Liverpool, Newcastle United, ManChester United, Stoke, 150 32. 9 Ferdinand, Les Les Ferdinand Queens Park Rangers, Newcast"&amp;"le United, Tottenham Hotspur, West Ham United, Leicester City, Bolton Wanderers 149 351 0.42 10 Sheringham, Teddy Teddy Sheringham Nottingham Forest, Tottenham Hotspur, ManChester United, Portddy portdy, portdy Sheringham Nottingham Forest, Totten Hotspur"&amp;", ManChester United, Portsmouth 0.35     11   van Persie , Robin Robin van Persie   Arsenal , Manchester United   144   280   0.51     12   Agüero , Sergio Sergio Agüero   Manchester City   143   206   0.69     13   Hasselbaink , Jimmy Floyd Jimmy Floyd H"&amp;"asselbaink   Leeds United , Chelsea , Middlesbrough , Charlton Athletic   127   288   0.44     14   Keane , Robbie Robbie Keane   Coventry City , Leeds United , Tottenham Hotspur , Liverpool , West Ham United , Aston Villa   126   349   0.36     15   Anel"&amp;"ka , Nicolas Nicolas Anelka   Arsenal , Liverpool , Manchester City , Bolton Wanderers , Chelsea , West Bromwich Albion   125   364   0.34     16   Yorke , Dwight Dwight Yorke Aston Villa, Manchester United, Blackburn Rovers, Birmingham City, Sunderland 1"&amp;"23 375 0,33 17 Gerrard, Steven Steven Gerrard Liverpool 120 504 0.24 18 Wright, Ian Ian Wright Arsen, Du Du United 113 213 213 0.53. United , Coventry City , Aston Villa   111   312   0.36     20   Heskey , Emile Emile Heskey   Leicester City , Liverpool "&amp;", Birmingham City , Wigan Athletic , Aston Villa   110   516   0.21     21   Giggs , Ryan Ryan Giggs   Manchester United   109   632   0.17     22   Kane , Harry Harry Kane   Tottenham Hotspur   108   153   0.71     23   Crouch , Peter Peter Crouch   Asto"&amp;"n Villa , Southampton , Liverpool , Portsmouth , Tottenham Hotspur , Stoke City   108   462   0.23     23   Scholes , Paul Paul Scholes   Manchester United   107   499   0.21     25   Bent , Darren Darren Bent   Ipswich Town , Charlton Athletic , Tottenha"&amp;"m Hotspur , Sunderland , Aston Villa , Fulham   106   276   0.38     26   Drogba , Didier Didier Drogba   Chelsea   104   254   0.41     27   Lukaku , Romelu Romelu Lukaku   West Bromwich Albion , Everton , Manchester United   101   220   0.46     28   Le"&amp;" Tissier , Matt Matt Le Tissier   Southampton   100   270 0,37 tocadores de Italics Show ainda jogando futebol profissional; Bold shows jogadores ainda jogando na Premier League.")</f>
        <v> Lista de jogadores da Premier League com 100 ou mais gols classificam os jogadores da Premier League Club (S) GOTS RATION RATIO Shearer, Alan Alan Shearer Blackburn Rovers, Newcastle United 260 441 0.59 Rooney, Wayne Wayne Rooney Everton, Manchester United 208 491 0.42 Cole, Andy Andy Andy Andy Cole   Newcastle United , Manchester United , Blackburn Rovers , Fulham , Manchester City , Portsmouth   187   414   0.45       Lampard , Frank Frank Lampard   West Ham United , Chelsea , Manchester City   177   609   0.29       Henry , Thierry Thierry Henry   Arsenal   175   258   0.68     6   Fowler , Robbie Robbie Fowler Liverpool, Leeds United, Manchester City 163 379 0,43 7 Defoe, Jermain Jermain Defoe West Ham United, Portsmouth, Tottenham Hotspur, Sunderland, Bournemouth 162 491 0.33 8 Owen, Michael Michael Owen Liverpool, Newcastle United, ManChester United, Stoke, 150 32, Michael Owen Liverpool, Newcastle United, ManChester United, Stoke, 150 32. 9 Ferdinand, Les Les Ferdinand Queens Park Rangers, Newcastle United, Tottenham Hotspur, West Ham United, Leicester City, Bolton Wanderers 149 351 0.42 10 Sheringham, Teddy Teddy Sheringham Nottingham Forest, Tottenham Hotspur, ManChester United, Portddy portdy, portdy Sheringham Nottingham Forest, Totten Hotspur, ManChester United, Portsmouth 0.35     11   van Persie , Robin Robin van Persie   Arsenal , Manchester United   144   280   0.51     12   Agüero , Sergio Sergio Agüero   Manchester City   143   206   0.69     13   Hasselbaink , Jimmy Floyd Jimmy Floyd Hasselbaink   Leeds United , Chelsea , Middlesbrough , Charlton Athletic   127   288   0.44     14   Keane , Robbie Robbie Keane   Coventry City , Leeds United , Tottenham Hotspur , Liverpool , West Ham United , Aston Villa   126   349   0.36     15   Anelka , Nicolas Nicolas Anelka   Arsenal , Liverpool , Manchester City , Bolton Wanderers , Chelsea , West Bromwich Albion   125   364   0.34     16   Yorke , Dwight Dwight Yorke Aston Villa, Manchester United, Blackburn Rovers, Birmingham City, Sunderland 123 375 0,33 17 Gerrard, Steven Steven Gerrard Liverpool 120 504 0.24 18 Wright, Ian Ian Wright Arsen, Du Du United 113 213 213 0.53. United , Coventry City , Aston Villa   111   312   0.36     20   Heskey , Emile Emile Heskey   Leicester City , Liverpool , Birmingham City , Wigan Athletic , Aston Villa   110   516   0.21     21   Giggs , Ryan Ryan Giggs   Manchester United   109   632   0.17     22   Kane , Harry Harry Kane   Tottenham Hotspur   108   153   0.71     23   Crouch , Peter Peter Crouch   Aston Villa , Southampton , Liverpool , Portsmouth , Tottenham Hotspur , Stoke City   108   462   0.23     23   Scholes , Paul Paul Scholes   Manchester United   107   499   0.21     25   Bent , Darren Darren Bent   Ipswich Town , Charlton Athletic , Tottenham Hotspur , Sunderland , Aston Villa , Fulham   106   276   0.38     26   Drogba , Didier Didier Drogba   Chelsea   104   254   0.41     27   Lukaku , Romelu Romelu Lukaku   West Bromwich Albion , Everton , Manchester United   101   220   0.46     28   Le Tissier , Matt Matt Le Tissier   Southampton   100   270 0,37 tocadores de Italics Show ainda jogando futebol profissional; Bold shows jogadores ainda jogando na Premier League.</v>
      </c>
    </row>
    <row r="479" customFormat="false" ht="15.75" hidden="false" customHeight="true" outlineLevel="0" collapsed="false">
      <c r="A479" s="3" t="n">
        <v>476</v>
      </c>
      <c r="B479" s="5" t="s">
        <v>1430</v>
      </c>
      <c r="C479" s="5" t="s">
        <v>1431</v>
      </c>
      <c r="D479" s="5" t="s">
        <v>1432</v>
      </c>
      <c r="E479" s="4" t="str">
        <f aca="false">IFERROR(__xludf.dummyfunction("GOOGLETRANSLATE(C480)"),"Qual é a elevação de Uluru-kata (em metros) na Austrália")</f>
        <v>Qual é a elevação de Uluru-kata (em metros) na Austrália</v>
      </c>
      <c r="F479" s="5" t="str">
        <f aca="false">IFERROR(__xludf.dummyfunction("GOOGLETRANSLATE(D479)")," Todo o clero, incluindo diáconos, padres e bispos, pode pregar, ensinar, batizar, testemunhar casamentos e conduzir liturgias funerárias. Somente padres e bispos podem celebrar os sacramentos da Eucaristia (embora outros possam ser ministros da Santa Com"&amp;"unhão), penitência (reconciliação, confissão), confirmação (os padres podem administrar esse sacramento com a aprovação eclesiástica anterior) e a unção dos doentes. Somente os bispos podem administrar o sacramento das ordens sagradas, pelas quais os home"&amp;"ns são ordenados como bispos, padres ou diáconos.")</f>
        <v> Todo o clero, incluindo diáconos, padres e bispos, pode pregar, ensinar, batizar, testemunhar casamentos e conduzir liturgias funerárias. Somente padres e bispos podem celebrar os sacramentos da Eucaristia (embora outros possam ser ministros da Santa Comunhão), penitência (reconciliação, confissão), confirmação (os padres podem administrar esse sacramento com a aprovação eclesiástica anterior) e a unção dos doentes. Somente os bispos podem administrar o sacramento das ordens sagradas, pelas quais os homens são ordenados como bispos, padres ou diáconos.</v>
      </c>
    </row>
    <row r="480" customFormat="false" ht="15.75" hidden="false" customHeight="true" outlineLevel="0" collapsed="false">
      <c r="A480" s="3" t="n">
        <v>477</v>
      </c>
      <c r="B480" s="5" t="s">
        <v>1433</v>
      </c>
      <c r="C480" s="5" t="s">
        <v>1434</v>
      </c>
      <c r="D480" s="5" t="s">
        <v>1435</v>
      </c>
      <c r="E480" s="4" t="str">
        <f aca="false">IFERROR(__xludf.dummyfunction("GOOGLETRANSLATE(C481)"),"Um ótimo dia no Harlem quem é quem")</f>
        <v>Um ótimo dia no Harlem quem é quem</v>
      </c>
      <c r="F480" s="5" t="str">
        <f aca="false">IFERROR(__xludf.dummyfunction("GOOGLETRANSLATE(D480)"),"   Uluru (Uluṟu) Ayers Vista aérea rock da elevação do Território do Norte do Estado da Austrália ULU Austrália 863 m (2.831 pés) Propriedade 348 m (1.142 pés) Coordena 25 20 25.34500 ° S 131.03611 ° E / - 25.34500; 131.03611 Coordenadas: 25 ° 20 42 '' S "&amp;"131 ° 02 10 '' E 131.03611 ELOGOTENY PETERMANN NOME DO PRÓMEIO MUNDIAL PATERIAL UNESCO Nome do ULU - Kata Tjuṯa Ano do Parque Nacional de 1987 ( # 11) Número 447 Critérios V, VI, VII, Site ULUW")</f>
        <v>   Uluru (Uluṟu) Ayers Vista aérea rock da elevação do Território do Norte do Estado da Austrália ULU Austrália 863 m (2.831 pés) Propriedade 348 m (1.142 pés) Coordena 25 20 25.34500 ° S 131.03611 ° E / - 25.34500; 131.03611 Coordenadas: 25 ° 20 42 '' S 131 ° 02 10 '' E 131.03611 ELOGOTENY PETERMANN NOME DO PRÓMEIO MUNDIAL PATERIAL UNESCO Nome do ULU - Kata Tjuṯa Ano do Parque Nacional de 1987 ( # 11) Número 447 Critérios V, VI, VII, Site ULUW</v>
      </c>
    </row>
    <row r="481" customFormat="false" ht="15.75" hidden="false" customHeight="true" outlineLevel="0" collapsed="false">
      <c r="A481" s="3" t="n">
        <v>478</v>
      </c>
      <c r="B481" s="5" t="s">
        <v>1436</v>
      </c>
      <c r="C481" s="5" t="s">
        <v>1437</v>
      </c>
      <c r="D481" s="5" t="s">
        <v>1438</v>
      </c>
      <c r="E481" s="4" t="str">
        <f aca="false">IFERROR(__xludf.dummyfunction("GOOGLETRANSLATE(C482)"),"Quantas estações existem de cavaleiro cavaleiro")</f>
        <v>Quantas estações existem de cavaleiro cavaleiro</v>
      </c>
      <c r="F481" s="5" t="str">
        <f aca="false">IFERROR(__xludf.dummyfunction("GOOGLETRANSLATE(D481)"),"     Red Allen Buster Bailey Conde Basie Emmett Berry Arte Blakey Lawrence Brown Scoville Browne Buck Clayton Bill Crump Vic Dickenson Roy Eldridge Artigar Bud Freeman Dizzy Gillespie Tyree Glenn Benny Golson Sonny Greer Johnny Gigi Gigi Gryce Coleman Haw"&amp;"kins J.C. Hilton Jefferson Osie Johnson Hank Jones Jo Jones Jimmy Jones Taft Jordan Max Kaminsky Gene Krupa Eddie Locke Marian McPartland Charles Mingue Miff Miff thelonious Monk Gerry Mulligan Oscar Pettifor RURSTILHELL LUBLELL ROLOTS SONNY Rollins Jimmy"&amp;" Rushing Rushing Rushing Rushing Rushing Stewart Maxine Sullivan Joe Thomas Wilbur Ware Dickie Wells George Wettling Ernie Wilkins Mary Lou Williams Lester Young")</f>
        <v>     Red Allen Buster Bailey Conde Basie Emmett Berry Arte Blakey Lawrence Brown Scoville Browne Buck Clayton Bill Crump Vic Dickenson Roy Eldridge Artigar Bud Freeman Dizzy Gillespie Tyree Glenn Benny Golson Sonny Greer Johnny Gigi Gigi Gryce Coleman Hawkins J.C. Hilton Jefferson Osie Johnson Hank Jones Jo Jones Jimmy Jones Taft Jordan Max Kaminsky Gene Krupa Eddie Locke Marian McPartland Charles Mingue Miff Miff thelonious Monk Gerry Mulligan Oscar Pettifor RURSTILHELL LUBLELL ROLOTS SONNY Rollins Jimmy Rushing Rushing Rushing Rushing Rushing Stewart Maxine Sullivan Joe Thomas Wilbur Ware Dickie Wells George Wettling Ernie Wilkins Mary Lou Williams Lester Young</v>
      </c>
    </row>
    <row r="482" customFormat="false" ht="15.75" hidden="false" customHeight="true" outlineLevel="0" collapsed="false">
      <c r="A482" s="3" t="n">
        <v>479</v>
      </c>
      <c r="B482" s="5" t="s">
        <v>1439</v>
      </c>
      <c r="C482" s="5" t="s">
        <v>1440</v>
      </c>
      <c r="D482" s="5" t="s">
        <v>1441</v>
      </c>
      <c r="E482" s="4" t="str">
        <f aca="false">IFERROR(__xludf.dummyfunction("GOOGLETRANSLATE(C483)"),"quem a garota em alguém que eu costumava conhecer")</f>
        <v>quem a garota em alguém que eu costumava conhecer</v>
      </c>
      <c r="F482" s="5" t="str">
        <f aca="false">IFERROR(__xludf.dummyfunction("GOOGLETRANSLATE(D482)")," A série original de Knight Rider seguiu as aventuras de Michael Knight, um lutador de crimes modernos - do Dia que usa um automóvel tecnologicamente avançado e artificialmente inteligente. Este carro é praticamente indestrutível, devido a um revestimento"&amp;" de alta tecnologia aplicado a ele. Esta série estreou em 1982 e durou quatro temporadas na NBC. Essas aventuras foram continuadas com os filmes da televisão Knight Rider 2000 e Knight Rider 2010 e o curto -time morado Knight Rider. Um outro filme de tele"&amp;"visão, Knight Rider, serviu como piloto da série de televisão de 2008, Knight Rider. Em 1985, uma série Spin - Off, Code of Vengeance, também estreou.")</f>
        <v> A série original de Knight Rider seguiu as aventuras de Michael Knight, um lutador de crimes modernos - do Dia que usa um automóvel tecnologicamente avançado e artificialmente inteligente. Este carro é praticamente indestrutível, devido a um revestimento de alta tecnologia aplicado a ele. Esta série estreou em 1982 e durou quatro temporadas na NBC. Essas aventuras foram continuadas com os filmes da televisão Knight Rider 2000 e Knight Rider 2010 e o curto -time morado Knight Rider. Um outro filme de televisão, Knight Rider, serviu como piloto da série de televisão de 2008, Knight Rider. Em 1985, uma série Spin - Off, Code of Vengeance, também estreou.</v>
      </c>
    </row>
    <row r="483" customFormat="false" ht="15.75" hidden="false" customHeight="true" outlineLevel="0" collapsed="false">
      <c r="A483" s="3" t="n">
        <v>480</v>
      </c>
      <c r="B483" s="5" t="s">
        <v>1442</v>
      </c>
      <c r="C483" s="5" t="s">
        <v>1443</v>
      </c>
      <c r="D483" s="5" t="s">
        <v>1444</v>
      </c>
      <c r="E483" s="4" t="str">
        <f aca="false">IFERROR(__xludf.dummyfunction("GOOGLETRANSLATE(C484)"),"O que significa o quinto parágrafo da declaração de independência")</f>
        <v>O que significa o quinto parágrafo da declaração de independência</v>
      </c>
      <c r="F483" s="5" t="str">
        <f aca="false">IFERROR(__xludf.dummyfunction("GOOGLETRANSLATE(D483)")," `` Alguém que eu conhecia '' foi realizado várias vezes nos principais programas de TV dos EUA, como The Voice, American Idol e Saturday Night Live. Foi coberto pelo grupo de rock indie canadense da Terra usando uma única guitarra tocada simultaneamente "&amp;"pelos cinco membros da banda e pelos atores Darren Criss e Matt Bomer no episódio de Glee `` Big Brother ''. O videoclipe que o acompanha foi dirigido pela artista australiana Natasha Pincus. O vídeo, que recebeu mais de 1,1 bilhão de visualizações no You"&amp;"Tube em agosto de 2018, estreou em 5 de julho de 2011. Ele mostra Gotye e Kimbra nus contra um cenário branco. Enquanto eles cantam, um padrão de tinta cobre gradualmente a pele e o pano de fundo através da animação de stop motion.")</f>
        <v> `` Alguém que eu conhecia '' foi realizado várias vezes nos principais programas de TV dos EUA, como The Voice, American Idol e Saturday Night Live. Foi coberto pelo grupo de rock indie canadense da Terra usando uma única guitarra tocada simultaneamente pelos cinco membros da banda e pelos atores Darren Criss e Matt Bomer no episódio de Glee `` Big Brother ''. O videoclipe que o acompanha foi dirigido pela artista australiana Natasha Pincus. O vídeo, que recebeu mais de 1,1 bilhão de visualizações no YouTube em agosto de 2018, estreou em 5 de julho de 2011. Ele mostra Gotye e Kimbra nus contra um cenário branco. Enquanto eles cantam, um padrão de tinta cobre gradualmente a pele e o pano de fundo através da animação de stop motion.</v>
      </c>
    </row>
    <row r="484" customFormat="false" ht="15.75" hidden="false" customHeight="true" outlineLevel="0" collapsed="false">
      <c r="A484" s="3" t="n">
        <v>481</v>
      </c>
      <c r="B484" s="5" t="s">
        <v>1445</v>
      </c>
      <c r="C484" s="5" t="s">
        <v>1446</v>
      </c>
      <c r="D484" s="5" t="s">
        <v>1447</v>
      </c>
      <c r="E484" s="4" t="str">
        <f aca="false">IFERROR(__xludf.dummyfunction("GOOGLETRANSLATE(C485)"),"Quando o Scarecrow aparece em Mágico de Oz")</f>
        <v>Quando o Scarecrow aparece em Mágico de Oz</v>
      </c>
      <c r="F484" s="5" t="str">
        <f aca="false">IFERROR(__xludf.dummyfunction("GOOGLETRANSLATE(D484)"),"   Introdução afirma como uma questão de lei natural a capacidade do povo de assumir a independência política; reconhece que os fundamentos para essa independência devem ser razoáveis ​​e, portanto, explicáveis, e devem ser explicados. No Congresso, 4 de "&amp;"julho de 1776. A declaração unânime dos treze Estados Unidos da América, quando, no decorrer dos eventos humanos, torna -se necessário que um povo dissolve as bandas políticas que os conectaram a outro e assumirem entre os poderes da terra, os separados e"&amp;" separados e Estação igual à qual as leis da natureza e da natureza as autorizam, um respeito decente às opiniões da humanidade exige que elas declarem as causas que as impelam à separação. O preâmbulo descreve uma filosofia geral do governo que justifica"&amp;" a revolução quando o governo prejudica os direitos naturais. Consideramos essas verdades que todos os homens são criados iguais, que são dotados por seu criador com certos direitos inalienáveis, que entre eles são a vida, a liberdade e a busca da felicid"&amp;"ade. Para garantir esses direitos, os governos são instituídos entre os homens, obtendo seus justos poderes do consentimento dos governados, que sempre que qualquer forma de governo se torna destrutiva desses fins, é o direito do povo de alterá -lo ou abo"&amp;"lir -o, e Instituir um novo governo, estabelecendo sua base sobre tais princípios e organizando seus poderes de tal forma, pois para eles parecerá mais provável de afetar sua segurança e felicidade. A prudência, de fato, determinará que os governos estabe"&amp;"lecidos há muito tempo não devem ser alterados para causas leves e transitórias; E, portanto, toda a experiência, mostrou que a humanidade está mais disposta a sofrer, enquanto os males são sofridos, do que a se certa abolindo as formas às quais estão aco"&amp;"stumadas. Mas quando uma longa linha de abusos e usurpações, perseguir invariavelmente o mesmo objeto evidencia um design para reduzi -los sob o despotismo absoluto, é o direito deles, é seu dever, de fora do governo e fornecer novos guardas para sua futu"&amp;"ra segurança . Indicto Um Lei de Participação Documentando os Rei `` Lesões e Usurpações '' dos Americanos 'Direitos e Liberdades dos Americanos. Tal tem sido o sofrimento do paciente dessas colônias; E agora é a necessidade que os restringe a alterar seu"&amp;"s antigos sistemas de governo. A história do atual rei da Grã -Bretanha é uma história de lesões e usurpações repetidas, todas tendo em objeto direto o estabelecimento de uma tirania absoluta sobre esses estados. Para provar isso, deixe os fatos serem sub"&amp;"metidos a um mundo sincero. Ele recusou seu consentimento às leis, o mais saudável e necessário para o bem público. Ele proibiu seus governadores de aprovar leis de importância imediata e premente, a menos que suspensas em sua operação até que seu consent"&amp;"imento seja obtido; E quando tão suspenso, ele negligenciou totalmente. Ele se recusou a aprovar outras leis para a acomodação de grandes distritos de pessoas, a menos que essas pessoas abandonassem o direito de representação no Legislativo, um direito in"&amp;"estimável a elas e formidável apenas para tiranos. Ele abriu juntos órgãos legislativos em lugares incomuns, desconfortáveis ​​e distantes do depositário de seus registros públicos, com o único objetivo de fatigá -los em conformidade com suas medidas. Ele"&amp;" dissolveu casas representativas repetidamente, por se opor à firmeza viril de suas invasões sobre os direitos do povo. Ele se recusou por um longo tempo, após tais dissoluções, para fazer com que outros sejam eleitos, pelos quais os poderes legislativos,"&amp;" incapazes de aniquilação, retornaram às pessoas em geral para o exercício; O estado permanecendo nesse meio tempo exposto a todos os perigos da invasão de fora e convulsões dentro. Ele se esforçou para impedir a população desses estados; Para esse fim, o"&amp;"bstruindo as leis pela naturalização de estrangeiros; Recusando -se a passar por outros para incentivar suas migrações por cá e a elevar as condições de novas apropriações de terras. Ele obstruiu a administração da justiça, recusando seu consentimento às "&amp;"leis por estabelecer poderes judiciários. Ele tornou os juízes dependentes de sua vontade sozinhos para o mandato de seus escritórios e o valor e o pagamento de seus salários. Ele ergueu uma infinidade de novos escritórios e enviou enxames de oficiais par"&amp;"a assediar nosso povo e comer sua substância. Ele manteve entre nós, em tempos de paz, exércitos permanecendo sem o consentimento de nossas legislaturas. Ele afetou para tornar os militares independentes e superiores ao poder civil. Ele se combinou com ou"&amp;"tras pessoas para nos sujeitar a uma jurisdição estrangeira à nossa Constituição e não reconhecida por nossas leis; Dando seu consentimento a seus atos de legislação presa: por trimestre grandes órgãos de tropas armadas entre nós: por protegê -los, por um"&amp;" julgamento simulado da punição por qualquer assassinato que eles devem cometer nos habitantes desses estados: por cortar nosso comércio com com o comércio com Todas as partes do mundo: por impor impostos a nós sem o nosso consentimento: por nos privar em"&amp;" muitos casos, do benefício do julgamento pelo júri: por transportar -nos além do mar para ser julgado por ofensas fingidas: para abolir o sistema livre de leis inglesas Em uma província vizinha, estabelecendo nela um governo arbitrário e ampliando seus l"&amp;"imites, a fim de torná -lo ao mesmo tempo um exemplo e encaixar um instrumento para introduzir a mesma regra absoluta nessas colônias para tirar nossas cartas, abolir nossas leis mais valiosas e alterar fundamentalmente As formas de nossos governos: por s"&amp;"uspender nossas próprias legislaturas e se declarar investiram com poder para nos legislar em todos os casos. Ele abdicou o governo aqui, declarando -nos fora de sua proteção e travando guerra contra nós. Ele saqueou nossos mares, devastou nossas costas, "&amp;"queimou nossas cidades e destruiu a vida de nosso povo. Naquele momento, ele está transportando grandes exércitos de mercenários estrangeiros para completar as obras da morte, desolação e tirania, já começando com circunstâncias de crueldade e perfídia ma"&amp;"l paralelizadas nas idades mais bárbaras e totalmente indignas de uma nação civilizada. Ele restringiu nossos concidadãos em cativeiro no alto mar para portar armas contra seu país, a se tornarem executores de seus amigos e irmãos, ou a se cair por suas m"&amp;"ãos. Ele excitou insurreições domésticas entre nós e se esforçou para trazer os habitantes de nossas fronteiras, os impiedosos selvagens indianos cuja regra conhecida de guerra é uma destruição indistinta de todas as idades, sexos e condições. Em todas as"&amp;" etapas dessas opressões, solicitamos a reparação nos termos mais humildes: nossas petições repetidas foram respondidas apenas por lesões repetidas. Um príncipe, cujo caráter é assim marcado por todo ato que pode definir um tirano, é impróprio para ser o "&amp;"governante de um povo livre. Denúncia Esta seção termina essencialmente o caso da independência. As condições que justificam a revolução foram mostradas. Nem estamos querendo atenção aos nossos irmãos britânicos. Nós os alertamos de tempos em tempos de te"&amp;"ntativas por sua legislatura de estender uma jurisdição injustificável sobre nós. Lembramos -lhes das circunstâncias de nossa emigração e liquidação aqui. Apelamos à sua justiça e magnanimidade nativa, e as conjuramos pelos laços de nossos parentes comuns"&amp;" para negar essas usurpações, o que, inevitavelmente, interromperia nossas conexões e correspondências. Eles também foram surdos à voz da justiça e da consanguinidade. Devemos, portanto, concordar com a necessidade, que denuncia nossa separação e os segur"&amp;"a, enquanto mantivemos o resto da humanidade, inimigos na guerra, em paz amigos. Conclusão Os signatários afirmam que existem condições sob as quais as pessoas devem mudar seu governo, que os britânicos produziram tais condições e, por necessidade, as col"&amp;"ônias devem eliminar laços políticos com a coroa britânica e se tornarem estados independentes. A conclusão contém, em sua essência, a resolução Lee que foi aprovada em 2 de julho. Nós, portanto, os representantes dos Estados Unidos da América, no Congres"&amp;"so Geral, reunimos, apelando para o juiz supremo do mundo pela retidão de nossas intenções, fazemos, em nome e pela autoridade das boas pessoas dessas colônias , publicar e declarar solenemente que essas colônias unidas são, e do direito, deve ser estados"&amp;" livres e independentes; que eles são absolvidos de toda lealdade à coroa britânica e que toda a conexão política entre eles e o estado da Grã -Bretanha é e deve ser totalmente dissolvida; e que, como estados livres e independentes, eles têm pleno poder p"&amp;"ara cobrar guerra, concluir a paz, contratar alianças, estabelecer comércio e fazer todos os outros atos e coisas que os estados independentes podem fazer. E para o apoio dessa declaração, com uma firme dependência da proteção da Providência Divina, nos c"&amp;"omprometemos mutuamente em nossas vidas, em nossas fortunas e nossa sagrada honra. Assinaturas A primeira e mais famosa assinatura na cópia absorvida foi a de John Hancock, presidente do Congresso Continental. Dois futuros presidentes (Thomas Jefferson e "&amp;"John Adams) e um pai e grande avô de dois outros presidentes (Benjamin Harrison) estavam entre os signatários. Edward Rutledge (26 anos) era o signatário mais jovem, e Benjamin Franklin (70 anos) era o assinante mais antigo. The fifty - six signers of the"&amp;" Declaration represented the new states as follows ( from north to south ) :      New Hampshire : Josiah Bartlett , William Whipple , Matthew Thornton   Massachusetts : Samuel Adams , John Adams , John Hancock , Robert Treat Paine , Elbridge Gerry   Rhode"&amp;" Ilha: Stephen Hopkins, William Ellery Connecticut: Roger Sherman, Samuel Huntington, William Williams, Oliver Wolcott Nova York: William Floyd, Philip Livingston, Francis Lewis, Lewis Morris New Jersey: Richard Stockton, John Witherspoon, Francis Howkins"&amp;"on, John Hartn: John Stockton, John Witherspoon, Francis Howkinson, John Jersey, John Stockton, John Witherspoon, Francis Hookkins, Clark   Pennsylvania : Robert Morris , Benjamin Rush , Benjamin Franklin , John Morton , George Clymer , James Smith , Geor"&amp;"ge Taylor , James Wilson , George Ross   Delaware : George Read , Caesar Rodney , Thomas McKean   Maryland : Samuel Chase , William Paca , Thomas Stone , Charles Carroll of Carrollton   Virginia : George Wythe , Richard Henry Lee , Thomas Jefferson , Benj"&amp;"amin Harrison , Thomas Nelson Jr. , Francis Lightfoot Lee , Carter Braxton   North Carolina : William Hooper , Joseph Hewes , John Penn   South Carolina : Edward Rutledge , Thomas Heyward Jr ., Thomas Lynch Jr., Arthur Middleton Georgia: Button Gwinnett, "&amp;"Lyman Hall, George Walton")</f>
        <v>   Introdução afirma como uma questão de lei natural a capacidade do povo de assumir a independência política; reconhece que os fundamentos para essa independência devem ser razoáveis ​​e, portanto, explicáveis, e devem ser explicados. No Congresso, 4 de julho de 1776. A declaração unânime dos treze Estados Unidos da América, quando, no decorrer dos eventos humanos, torna -se necessário que um povo dissolve as bandas políticas que os conectaram a outro e assumirem entre os poderes da terra, os separados e separados e Estação igual à qual as leis da natureza e da natureza as autorizam, um respeito decente às opiniões da humanidade exige que elas declarem as causas que as impelam à separação. O preâmbulo descreve uma filosofia geral do governo que justifica a revolução quando o governo prejudica os direitos naturais. Consideramos essas verdades que todos os homens são criados iguais, que são dotados por seu criador com certos direitos inalienáveis, que entre eles são a vida, a liberdade e a busca da felicidade. Para garantir esses direitos, os governos são instituídos entre os homens, obtendo seus justos poderes do consentimento dos governados, que sempre que qualquer forma de governo se torna destrutiva desses fins, é o direito do povo de alterá -lo ou abolir -o, e Instituir um novo governo, estabelecendo sua base sobre tais princípios e organizando seus poderes de tal forma, pois para eles parecerá mais provável de afetar sua segurança e felicidade. A prudência, de fato, determinará que os governos estabelecidos há muito tempo não devem ser alterados para causas leves e transitórias; E, portanto, toda a experiência, mostrou que a humanidade está mais disposta a sofrer, enquanto os males são sofridos, do que a se certa abolindo as formas às quais estão acostumadas. Mas quando uma longa linha de abusos e usurpações, perseguir invariavelmente o mesmo objeto evidencia um design para reduzi -los sob o despotismo absoluto, é o direito deles, é seu dever, de fora do governo e fornecer novos guardas para sua futura segurança . Indicto Um Lei de Participação Documentando os Rei `` Lesões e Usurpações '' dos Americanos 'Direitos e Liberdades dos Americanos. Tal tem sido o sofrimento do paciente dessas colônias; E agora é a necessidade que os restringe a alterar seus antigos sistemas de governo. A história do atual rei da Grã -Bretanha é uma história de lesões e usurpações repetidas, todas tendo em objeto direto o estabelecimento de uma tirania absoluta sobre esses estados. Para provar isso, deixe os fatos serem submetidos a um mundo sincero. Ele recusou seu consentimento às leis, o mais saudável e necessário para o bem público. Ele proibiu seus governadores de aprovar leis de importância imediata e premente, a menos que suspensas em sua operação até que seu consentimento seja obtido; E quando tão suspenso, ele negligenciou totalmente. Ele se recusou a aprovar outras leis para a acomodação de grandes distritos de pessoas, a menos que essas pessoas abandonassem o direito de representação no Legislativo, um direito inestimável a elas e formidável apenas para tiranos. Ele abriu juntos órgãos legislativos em lugares incomuns, desconfortáveis ​​e distantes do depositário de seus registros públicos, com o único objetivo de fatigá -los em conformidade com suas medidas. Ele dissolveu casas representativas repetidamente, por se opor à firmeza viril de suas invasões sobre os direitos do povo. Ele se recusou por um longo tempo, após tais dissoluções, para fazer com que outros sejam eleitos, pelos quais os poderes legislativos, incapazes de aniquilação, retornaram às pessoas em geral para o exercício; O estado permanecendo nesse meio tempo exposto a todos os perigos da invasão de fora e convulsões dentro. Ele se esforçou para impedir a população desses estados; Para esse fim, obstruindo as leis pela naturalização de estrangeiros; Recusando -se a passar por outros para incentivar suas migrações por cá e a elevar as condições de novas apropriações de terras. Ele obstruiu a administração da justiça, recusando seu consentimento às leis por estabelecer poderes judiciários. Ele tornou os juízes dependentes de sua vontade sozinhos para o mandato de seus escritórios e o valor e o pagamento de seus salários. Ele ergueu uma infinidade de novos escritórios e enviou enxames de oficiais para assediar nosso povo e comer sua substância. Ele manteve entre nós, em tempos de paz, exércitos permanecendo sem o consentimento de nossas legislaturas. Ele afetou para tornar os militares independentes e superiores ao poder civil. Ele se combinou com outras pessoas para nos sujeitar a uma jurisdição estrangeira à nossa Constituição e não reconhecida por nossas leis; Dando seu consentimento a seus atos de legislação presa: por trimestre grandes órgãos de tropas armadas entre nós: por protegê -los, por um julgamento simulado da punição por qualquer assassinato que eles devem cometer nos habitantes desses estados: por cortar nosso comércio com com o comércio com Todas as partes do mundo: por impor impostos a nós sem o nosso consentimento: por nos privar em muitos casos, do benefício do julgamento pelo júri: por transportar -nos além do mar para ser julgado por ofensas fingidas: para abolir o sistema livre de leis inglesas Em uma província vizinha, estabelecendo nela um governo arbitrário e ampliando seus limites, a fim de torná -lo ao mesmo tempo um exemplo e encaixar um instrumento para introduzir a mesma regra absoluta nessas colônias para tirar nossas cartas, abolir nossas leis mais valiosas e alterar fundamentalmente As formas de nossos governos: por suspender nossas próprias legislaturas e se declarar investiram com poder para nos legislar em todos os casos. Ele abdicou o governo aqui, declarando -nos fora de sua proteção e travando guerra contra nós. Ele saqueou nossos mares, devastou nossas costas, queimou nossas cidades e destruiu a vida de nosso povo. Naquele momento, ele está transportando grandes exércitos de mercenários estrangeiros para completar as obras da morte, desolação e tirania, já começando com circunstâncias de crueldade e perfídia mal paralelizadas nas idades mais bárbaras e totalmente indignas de uma nação civilizada. Ele restringiu nossos concidadãos em cativeiro no alto mar para portar armas contra seu país, a se tornarem executores de seus amigos e irmãos, ou a se cair por suas mãos. Ele excitou insurreições domésticas entre nós e se esforçou para trazer os habitantes de nossas fronteiras, os impiedosos selvagens indianos cuja regra conhecida de guerra é uma destruição indistinta de todas as idades, sexos e condições. Em todas as etapas dessas opressões, solicitamos a reparação nos termos mais humildes: nossas petições repetidas foram respondidas apenas por lesões repetidas. Um príncipe, cujo caráter é assim marcado por todo ato que pode definir um tirano, é impróprio para ser o governante de um povo livre. Denúncia Esta seção termina essencialmente o caso da independência. As condições que justificam a revolução foram mostradas. Nem estamos querendo atenção aos nossos irmãos britânicos. Nós os alertamos de tempos em tempos de tentativas por sua legislatura de estender uma jurisdição injustificável sobre nós. Lembramos -lhes das circunstâncias de nossa emigração e liquidação aqui. Apelamos à sua justiça e magnanimidade nativa, e as conjuramos pelos laços de nossos parentes comuns para negar essas usurpações, o que, inevitavelmente, interromperia nossas conexões e correspondências. Eles também foram surdos à voz da justiça e da consanguinidade. Devemos, portanto, concordar com a necessidade, que denuncia nossa separação e os segura, enquanto mantivemos o resto da humanidade, inimigos na guerra, em paz amigos. Conclusão Os signatários afirmam que existem condições sob as quais as pessoas devem mudar seu governo, que os britânicos produziram tais condições e, por necessidade, as colônias devem eliminar laços políticos com a coroa britânica e se tornarem estados independentes. A conclusão contém, em sua essência, a resolução Lee que foi aprovada em 2 de julho. Nós, portanto, os representantes dos Estados Unidos da América, no Congresso Geral, reunimos, apelando para o juiz supremo do mundo pela retidão de nossas intenções, fazemos, em nome e pela autoridade das boas pessoas dessas colônias , publicar e declarar solenemente que essas colônias unidas são, e do direito, deve ser estados livres e independentes; que eles são absolvidos de toda lealdade à coroa britânica e que toda a conexão política entre eles e o estado da Grã -Bretanha é e deve ser totalmente dissolvida; e que, como estados livres e independentes, eles têm pleno poder para cobrar guerra, concluir a paz, contratar alianças, estabelecer comércio e fazer todos os outros atos e coisas que os estados independentes podem fazer. E para o apoio dessa declaração, com uma firme dependência da proteção da Providência Divina, nos comprometemos mutuamente em nossas vidas, em nossas fortunas e nossa sagrada honra. Assinaturas A primeira e mais famosa assinatura na cópia absorvida foi a de John Hancock, presidente do Congresso Continental. Dois futuros presidentes (Thomas Jefferson e John Adams) e um pai e grande avô de dois outros presidentes (Benjamin Harrison) estavam entre os signatários. Edward Rutledge (26 anos) era o signatário mais jovem, e Benjamin Franklin (70 anos) era o assinante mais antigo. The fifty - six signers of the Declaration represented the new states as follows ( from north to south ) :      New Hampshire : Josiah Bartlett , William Whipple , Matthew Thornton   Massachusetts : Samuel Adams , John Adams , John Hancock , Robert Treat Paine , Elbridge Gerry   Rhode Ilha: Stephen Hopkins, William Ellery Connecticut: Roger Sherman, Samuel Huntington, William Williams, Oliver Wolcott Nova York: William Floyd, Philip Livingston, Francis Lewis, Lewis Morris New Jersey: Richard Stockton, John Witherspoon, Francis Howkinson, John Hartn: John Stockton, John Witherspoon, Francis Howkinson, John Jersey, John Stockton, John Witherspoon, Francis Hookkins, Clark   Pennsylvania : Robert Morris , Benjamin Rush , Benjamin Franklin , John Morton , George Clymer , James Smith , George Taylor , James Wilson , George Ross   Delaware : George Read , Caesar Rodney , Thomas McKean   Maryland : Samuel Chase , William Paca , Thomas Stone , Charles Carroll of Carrollton   Virginia : George Wythe , Richard Henry Lee , Thomas Jefferson , Benjamin Harrison , Thomas Nelson Jr. , Francis Lightfoot Lee , Carter Braxton   North Carolina : William Hooper , Joseph Hewes , John Penn   South Carolina : Edward Rutledge , Thomas Heyward Jr ., Thomas Lynch Jr., Arthur Middleton Georgia: Button Gwinnett, Lyman Hall, George Walton</v>
      </c>
    </row>
    <row r="485" customFormat="false" ht="15.75" hidden="false" customHeight="true" outlineLevel="0" collapsed="false">
      <c r="A485" s="3" t="n">
        <v>482</v>
      </c>
      <c r="B485" s="5" t="s">
        <v>1448</v>
      </c>
      <c r="C485" s="5" t="s">
        <v>1449</v>
      </c>
      <c r="D485" s="5" t="s">
        <v>1450</v>
      </c>
      <c r="E485" s="4" t="str">
        <f aca="false">IFERROR(__xludf.dummyfunction("GOOGLETRANSLATE(C486)"),"Onde anos Jackson jogou basquete universitário")</f>
        <v>Onde anos Jackson jogou basquete universitário</v>
      </c>
      <c r="F485" s="5" t="str">
        <f aca="false">IFERROR(__xludf.dummyfunction("GOOGLETRANSLATE(D485)")," No clássico romance de Baum, The Wonderful Wizard of Oz, The Living Scarecrow encontra Dorothy Gale em um campo no país Munchkin enquanto ela está a caminho da cidade de Emerald. Ele conta a ela sobre sua criação e de como ele a princípio assustou os cor"&amp;"vos, antes que um mais velho percebesse que ele era um homem de palha, fazendo com que os outros corvos começassem a comer o milho. O velho Crow então contou o espantalho sobre a importância dos cérebros. O `` irracional '' Scarecrow se junta a Dorothy na"&amp;" esperança de que o mago lhe dê um cérebro. Mais tarde, eles se juntam ao Tin Woodman e pelo leão covarde. Quando o grupo vai para o oeste, ele mata os corvos da bruxa torcendo o pescoço. Ele é desmontado pelos macacos voadores e suas roupas jogadas por u"&amp;"ma árvore, mas quando suas roupas estão cheias de palha, ele está de volta. Depois que Dorothy e seus amigos concluíram sua missão de matar a Bruxa Malvada do Ocidente, o mago dá aos cérebros de espantalhos (feitos de farelo, alfinetes e agulhas - na real"&amp;"idade um placebo, pois ele foi o mais inteligente dos viajantes durante todo esse tempo ) . Antes de deixar Oz em um balão, o mago nomeia o espantalho para governar a cidade de Emerald em seu lugar. Ele acompanha Dorothy e os outros até o palácio da boa b"&amp;"ruxa do sul de Glinda, e ela usa o boné de ouro para convocar os macacos alados, que levam o espantalho de volta à cidade de Emerald.")</f>
        <v> No clássico romance de Baum, The Wonderful Wizard of Oz, The Living Scarecrow encontra Dorothy Gale em um campo no país Munchkin enquanto ela está a caminho da cidade de Emerald. Ele conta a ela sobre sua criação e de como ele a princípio assustou os corvos, antes que um mais velho percebesse que ele era um homem de palha, fazendo com que os outros corvos começassem a comer o milho. O velho Crow então contou o espantalho sobre a importância dos cérebros. O `` irracional '' Scarecrow se junta a Dorothy na esperança de que o mago lhe dê um cérebro. Mais tarde, eles se juntam ao Tin Woodman e pelo leão covarde. Quando o grupo vai para o oeste, ele mata os corvos da bruxa torcendo o pescoço. Ele é desmontado pelos macacos voadores e suas roupas jogadas por uma árvore, mas quando suas roupas estão cheias de palha, ele está de volta. Depois que Dorothy e seus amigos concluíram sua missão de matar a Bruxa Malvada do Ocidente, o mago dá aos cérebros de espantalhos (feitos de farelo, alfinetes e agulhas - na realidade um placebo, pois ele foi o mais inteligente dos viajantes durante todo esse tempo ) . Antes de deixar Oz em um balão, o mago nomeia o espantalho para governar a cidade de Emerald em seu lugar. Ele acompanha Dorothy e os outros até o palácio da boa bruxa do sul de Glinda, e ela usa o boné de ouro para convocar os macacos alados, que levam o espantalho de volta à cidade de Emerald.</v>
      </c>
    </row>
    <row r="486" customFormat="false" ht="15.75" hidden="false" customHeight="true" outlineLevel="0" collapsed="false">
      <c r="A486" s="3" t="n">
        <v>483</v>
      </c>
      <c r="B486" s="5" t="s">
        <v>1451</v>
      </c>
      <c r="C486" s="5" t="s">
        <v>1452</v>
      </c>
      <c r="D486" s="5" t="s">
        <v>1453</v>
      </c>
      <c r="E486" s="4" t="str">
        <f aca="false">IFERROR(__xludf.dummyfunction("GOOGLETRANSLATE(C487)"),"Quando os EUA começaram a usar o horário de verão")</f>
        <v>Quando os EUA começaram a usar o horário de verão</v>
      </c>
      <c r="F486" s="5" t="str">
        <f aca="false">IFERROR(__xludf.dummyfunction("GOOGLETRANSLATE(D486)")," Jaren Jackson Sr. (nascido em 27 de outubro de 1967) é um treinador de basquete profissional americano e ex -jogador de basquete profissional. Um guarda de tiro de 6'4 '' (1,93 m) nascido em Nova Orleans, Louisiana, Jackson tocou na Universidade de Georg"&amp;"etown de 1985 a 1989 e se formou com um diploma de bacharel em finanças. Ele nunca foi convocado para a NBA, mas jogou 13 temporadas para várias equipes. Ele é mais conhecido por seu mandato no San Antonio Spurs, que ele ajudou a vencer seu primeiro campe"&amp;"onato da NBA em 1999.")</f>
        <v> Jaren Jackson Sr. (nascido em 27 de outubro de 1967) é um treinador de basquete profissional americano e ex -jogador de basquete profissional. Um guarda de tiro de 6'4 '' (1,93 m) nascido em Nova Orleans, Louisiana, Jackson tocou na Universidade de Georgetown de 1985 a 1989 e se formou com um diploma de bacharel em finanças. Ele nunca foi convocado para a NBA, mas jogou 13 temporadas para várias equipes. Ele é mais conhecido por seu mandato no San Antonio Spurs, que ele ajudou a vencer seu primeiro campeonato da NBA em 1999.</v>
      </c>
    </row>
    <row r="487" customFormat="false" ht="15.75" hidden="false" customHeight="true" outlineLevel="0" collapsed="false">
      <c r="A487" s="3" t="n">
        <v>484</v>
      </c>
      <c r="B487" s="5" t="s">
        <v>1454</v>
      </c>
      <c r="C487" s="5" t="s">
        <v>1455</v>
      </c>
      <c r="D487" s="5" t="s">
        <v>1456</v>
      </c>
      <c r="E487" s="4" t="str">
        <f aca="false">IFERROR(__xludf.dummyfunction("GOOGLETRANSLATE(C488)"),"que liderou a NBA na pontuação no ano passado")</f>
        <v>que liderou a NBA na pontuação no ano passado</v>
      </c>
      <c r="F487" s="5" t="str">
        <f aca="false">IFERROR(__xludf.dummyfunction("GOOGLETRANSLATE(D487)")," O horário de verão foi estabelecido pela Lei do Tempo Padrão de 1918. A lei pretendia economizar eletricidade por sete meses do ano, durante a Primeira Guerra Mundial foi revogada em 1919 por causa de um veto presidencial, mas os fusos tempos de tempo pa"&amp;"drão permaneceram por lei, com a Comissão de Comércio Interestadual (ICC) tendo a autoridade sobre os limites do fuso horário. O horário da luz do dia se tornou um assunto local.")</f>
        <v> O horário de verão foi estabelecido pela Lei do Tempo Padrão de 1918. A lei pretendia economizar eletricidade por sete meses do ano, durante a Primeira Guerra Mundial foi revogada em 1919 por causa de um veto presidencial, mas os fusos tempos de tempo padrão permaneceram por lei, com a Comissão de Comércio Interestadual (ICC) tendo a autoridade sobre os limites do fuso horário. O horário da luz do dia se tornou um assunto local.</v>
      </c>
    </row>
    <row r="488" customFormat="false" ht="15.75" hidden="false" customHeight="true" outlineLevel="0" collapsed="false">
      <c r="A488" s="3" t="n">
        <v>485</v>
      </c>
      <c r="B488" s="5" t="s">
        <v>1457</v>
      </c>
      <c r="C488" s="5" t="s">
        <v>1458</v>
      </c>
      <c r="D488" s="5" t="s">
        <v>1459</v>
      </c>
      <c r="E488" s="4" t="str">
        <f aca="false">IFERROR(__xludf.dummyfunction("GOOGLETRANSLATE(C489)"),"Quais países estavam envolvidos na Guerra da Crimeia quais foram as causas da guerra")</f>
        <v>Quais países estavam envolvidos na Guerra da Crimeia quais foram as causas da guerra</v>
      </c>
      <c r="F488" s="5" t="str">
        <f aca="false">IFERROR(__xludf.dummyfunction("GOOGLETRANSLATE(D488)"),"   A temporada da temporada Age Pos Team Games jogou gols de campo Made 3 - Point Field Gots fez lances livres fizeram pontos totais Pontos por jogo Ref 1946 - 47 Joe Fulks * 25 f / c Philadelphia Warriors 60 475 - 439 1.389 23.2 1947 - 48 Max Zaslofsky 2"&amp;"2 g / f Chicago Stags 48 373 - 261 1.007 21,0 1948 - 49 George Mikan * 24 Minneapolis Lakers 60 583 - 532 1.698 28,3 1949 - 50 George Mikan * (2) 25 MINNEPOLIS LAKERS 68 680 27.4 1950 - 51 George Mikan * (3) 26 Minneapolis Lakers 68 678 - 576 1.932 28,4 1"&amp;"951 - 52 Paul Arizin * 23 f / g Philadelphia Warriors 66 548 - 578 1,674 25,4 1952 - 53 NeiltonSton * 23 * 23 23. 23. Warriors 70 504 - 556 1.564 22,3 1953 - 54 Neil Johnston * (2) 24 Philadelphia Warriors 72 591 - 577 1.759 24,5 1954 - 55 Neil Johnston *"&amp;" (3) 25 Philadelphia 72 1954 - 55 1. - 56 BOB PETTIT * 23 F / C St. Louis Hawks 72 646 - 557 1.849 25,7 1956 - 57 Paul Arizin * (2) 28 F / G Philadelphia Warriors 71 613 - 591 1.817 25,6 1957 - 58 George Yardley * * 29 f / g Detroit Pistons 72 673 - 655 2"&amp;".001 27,8 1958 - 59 BOB PETTIT * (2) 26 F / C St. Louis Hawks 72 719 - 667 2,105 29.2 1959 - 60 Wiltlain * 23 Philadelphia Warriors 72 1,065 - 577 2.707 37,6 1960- 61 Wilt Chamberlain * (2) 24 Philadelphia Warriors 79 1.251- 531 3.033 38,4 1961- 62 Wilt C"&amp;"hamberlain * (3) 25 Philadelphia Warriors 80 1,597 Chamberlain * (4) 26 Warriors de São Francisco 80 1.463 - 660 3.586 44,8 1963 - 64 Wilt Chamberlain * (5) 27 Warriors de São Francisco 80 1,204 - 540 2.948 36,9 1964 - 65 Wiltlain * (6) 28 28 26. Warriors"&amp;" Philadelphia 76ers 73 1.063 - 408 2.534 34,7 1965 - 66 Wilt Chamberlain * (7) 29 Philadelphia 76ers 79 1.074 - 501 2,649 33,5 1966 - 67 Rick Barry * 22 São francisco Warriors 78 1,010 1966 - 67 Rick * 22 22 São frâncisco 78 1,010 1966 - 67 Rick * 22 22 S"&amp;"ão frâncisco 78 1,010 1966 - 67 Rick * 22 22 São francisco - 68 Dave Bing * 24 Detroit Pistons 79 835 - 472 2.142 27.1 1968 - 69 Elvin Hayes * 23 f / c San Diego Rockets 82 930 - 467 2.327 28,4 1969 - 70 Jerry West * 31 Los Angeles Lakers 74 831 - - 647 2"&amp;".309 31.2 1970 - 71 Lew Alcindor * 23 Milwaukee Bucks 82 1.063 - 470 2.596 31,7 1971 - 72 Kareem Abdul - Jabbar * (2) 24 Milwaukee Bucks 81 1,159 - 504 2,822222222222222222222222222222S, 24 Kansas City - Omaha Kings 80 1.028 - 663 2.719 34,0 1973 - 74 Bob"&amp;" McAdoo * 22 C / F Buffalo Braves 74 901 - 459 2,261 30,6 1974 - 75 Bob McAdoo * (2) 23 C / F Buffalo Braves 82 1.095 -641 2.831 34,5 1975 -76 Bob McAdoo * (3) 24 C / F Buffalo Braves 78 934 -559 2.427 31,1 1976 -77 Pete Maravich * 29 Jazz de Nova Orleans"&amp;" 73 886 -501 2,273 31.177 1977 - 78 George Gervin * 25 g / f San Antonio Spurs 82 864 - 504 2.232 27,2 1978 - 79 George Gervin * (2) 26 g / f San Antonio Spurs 80 947 - 471 2.365 29.6 1979 - 80 George Gervin * ( 3) 27 g / f San Antonio Spurs 78 1.024 32 5"&amp;"05 2.585 33,1 1980 - 81 Adrian Dantley * 24 f / g utah jazz 80 909 632 2.452 30,7 1981 - 82 George Gervin * (4) 29 g / f São Antonio Spurs 79 993 10 555 2.551 32,3 1982 - 83 Alex English * 29 Nuggets Denver 82 959 406 2.326 28,4 1983 - 84 Adrian Dantley *"&amp;" (2) 27 F / G Utah Jazz 79 802 813 2,418 30.6 1984 - 85 Bernard New York Knicks 55 691 426 1.809 32,9 1985 - 86 Dominique Wilkins * 26 Atlanta Hawks 78 888 13 577 2.366 30,3 1986 - 87 Michael Jordan * 23 Chicago Bulls 82 1,098 J. 24 Chicago Bulls 82 1.069"&amp;" 7 723 2.868 35,0 1988 -89 Michael Jordan * (3) 25 Bulls de Chicago 81 966 27 674 2.633 32,5 1989 -90 Michael Jordan * (4) 26 Chicago Bulls 82 1,034 92 593 2,77 91 Michael Jordan * (5) 27 Chicago Bulls 82 990 29 571 2.580 31,5 1991 - 92 Michael Jordan * ("&amp;"6) 28 Chicago Bulls 80 943 27 491 2.404 30.1 81 476 2.541 32,6 1993 - 94 David Robinson * 28 San Antonio Spurs 80 840 10 693 2.383 29,8 1994 - 95 Shaquille O'Neal * 22 Orlando Magic 79 930 0 455 2,315 29.3 1995 - 96 Michael Jordan * (8) Chicago Bulls 82 9"&amp;"16 111 548 2.491 30,4 1996 - 97 Michael Jordan * (9) 33 Chicago Bulls 82 920 111 480 2.431 29.6 1997 - 98 Michael Jordan * (10) 34 Bulls 82 881 30 565 2,357 28.7. Allen Iverson * 23 Philadelphia 76ers 48 435 58 356 1.284 26,8 1999 - 00 Shaquille O'Neal * "&amp;"(2) 27 Los Angeles Lakers 79 956 0 432 2,344 29.7 2000 - 01 Allen iverson * (2) 25 Philadphia 76 585 2.207 31.1 2001 - 02 Allen Iverson * (3) 26 Philadelphia 76ers 60 665 78 475 1.883 31,4 2002 - 03 Tracy McGrady * 23 g / f Orlando Magic 75 829 173 576 2."&amp;"407 32.1 2003 - 04 ) 24 g / f Orlando Magic 67 653 174 398 1.878 28,0 2004 - 05 Allen Iverson * (4) 29 Philadelphia 76ers 75 771 104 656 2,302 30,7 2005 - 06 Kobe 27 Los Angeles Lakers 80 978 180 180 69666666666 60 69660 69660 69660 20,7 20,7 20,7 20,7 60"&amp;" 69660 20. - 07 Kobe Bryant (2) 28 Los Angeles Lakers 77 813 137 667 2.430 31,6 2007 - 08 LeBron James ^ 23 Cleveland Cavaliers 75 794 113 549 2.250 30.0 2008 - 09 DWYANE ^ 27. - 10 Kevin Durant ^ 21 Oklahoma City Thunder 82 794 128 756 2.472 30.1 2010- 1"&amp;"1 Kevin Durant ^ (2) 22 22 Oklahoma City Thunder 78 711 145 594 2,161 27,7 2011- 12 Kevin Durant ^ (3) 23 23 23 23 27 66 643 133 431 1.850 28,0 2012 - 13 Carmelo Anthony ^ 28 New York Knicks 67 669 157 425 1.920 28,7 2013 - 14 Kevin Durant ^ (4) 25 Oklaho"&amp;"ma City Thunder 81 849 192 703 2,593 32.0 2014 - 15 - 15 Russell. 26 Oklahoma City Thunder 67 627 86 546 1.886 28,1 2015 -16 Stephen Curry ^ 28 Golden State Warriors 79 805 402 363 2.375 30,1 2016 -17 Russell Westbrook ^ (2) 28 28 Oklahoma City Thunder 81"&amp;" 824 200 710 710 2,55 31.6.620 18 James Harden 28 Houston Rockets 72 651 265 624 2.191 30.4")</f>
        <v>   A temporada da temporada Age Pos Team Games jogou gols de campo Made 3 - Point Field Gots fez lances livres fizeram pontos totais Pontos por jogo Ref 1946 - 47 Joe Fulks * 25 f / c Philadelphia Warriors 60 475 - 439 1.389 23.2 1947 - 48 Max Zaslofsky 22 g / f Chicago Stags 48 373 - 261 1.007 21,0 1948 - 49 George Mikan * 24 Minneapolis Lakers 60 583 - 532 1.698 28,3 1949 - 50 George Mikan * (2) 25 MINNEPOLIS LAKERS 68 680 27.4 1950 - 51 George Mikan * (3) 26 Minneapolis Lakers 68 678 - 576 1.932 28,4 1951 - 52 Paul Arizin * 23 f / g Philadelphia Warriors 66 548 - 578 1,674 25,4 1952 - 53 NeiltonSton * 23 * 23 23. 23. Warriors 70 504 - 556 1.564 22,3 1953 - 54 Neil Johnston * (2) 24 Philadelphia Warriors 72 591 - 577 1.759 24,5 1954 - 55 Neil Johnston * (3) 25 Philadelphia 72 1954 - 55 1. - 56 BOB PETTIT * 23 F / C St. Louis Hawks 72 646 - 557 1.849 25,7 1956 - 57 Paul Arizin * (2) 28 F / G Philadelphia Warriors 71 613 - 591 1.817 25,6 1957 - 58 George Yardley * * 29 f / g Detroit Pistons 72 673 - 655 2.001 27,8 1958 - 59 BOB PETTIT * (2) 26 F / C St. Louis Hawks 72 719 - 667 2,105 29.2 1959 - 60 Wiltlain * 23 Philadelphia Warriors 72 1,065 - 577 2.707 37,6 1960- 61 Wilt Chamberlain * (2) 24 Philadelphia Warriors 79 1.251- 531 3.033 38,4 1961- 62 Wilt Chamberlain * (3) 25 Philadelphia Warriors 80 1,597 Chamberlain * (4) 26 Warriors de São Francisco 80 1.463 - 660 3.586 44,8 1963 - 64 Wilt Chamberlain * (5) 27 Warriors de São Francisco 80 1,204 - 540 2.948 36,9 1964 - 65 Wiltlain * (6) 28 28 26. Warriors Philadelphia 76ers 73 1.063 - 408 2.534 34,7 1965 - 66 Wilt Chamberlain * (7) 29 Philadelphia 76ers 79 1.074 - 501 2,649 33,5 1966 - 67 Rick Barry * 22 São francisco Warriors 78 1,010 1966 - 67 Rick * 22 22 São frâncisco 78 1,010 1966 - 67 Rick * 22 22 São frâncisco 78 1,010 1966 - 67 Rick * 22 22 São francisco - 68 Dave Bing * 24 Detroit Pistons 79 835 - 472 2.142 27.1 1968 - 69 Elvin Hayes * 23 f / c San Diego Rockets 82 930 - 467 2.327 28,4 1969 - 70 Jerry West * 31 Los Angeles Lakers 74 831 - - 647 2.309 31.2 1970 - 71 Lew Alcindor * 23 Milwaukee Bucks 82 1.063 - 470 2.596 31,7 1971 - 72 Kareem Abdul - Jabbar * (2) 24 Milwaukee Bucks 81 1,159 - 504 2,822222222222222222222222222222S, 24 Kansas City - Omaha Kings 80 1.028 - 663 2.719 34,0 1973 - 74 Bob McAdoo * 22 C / F Buffalo Braves 74 901 - 459 2,261 30,6 1974 - 75 Bob McAdoo * (2) 23 C / F Buffalo Braves 82 1.095 -641 2.831 34,5 1975 -76 Bob McAdoo * (3) 24 C / F Buffalo Braves 78 934 -559 2.427 31,1 1976 -77 Pete Maravich * 29 Jazz de Nova Orleans 73 886 -501 2,273 31.177 1977 - 78 George Gervin * 25 g / f San Antonio Spurs 82 864 - 504 2.232 27,2 1978 - 79 George Gervin * (2) 26 g / f San Antonio Spurs 80 947 - 471 2.365 29.6 1979 - 80 George Gervin * ( 3) 27 g / f San Antonio Spurs 78 1.024 32 505 2.585 33,1 1980 - 81 Adrian Dantley * 24 f / g utah jazz 80 909 632 2.452 30,7 1981 - 82 George Gervin * (4) 29 g / f São Antonio Spurs 79 993 10 555 2.551 32,3 1982 - 83 Alex English * 29 Nuggets Denver 82 959 406 2.326 28,4 1983 - 84 Adrian Dantley * (2) 27 F / G Utah Jazz 79 802 813 2,418 30.6 1984 - 85 Bernard New York Knicks 55 691 426 1.809 32,9 1985 - 86 Dominique Wilkins * 26 Atlanta Hawks 78 888 13 577 2.366 30,3 1986 - 87 Michael Jordan * 23 Chicago Bulls 82 1,098 J. 24 Chicago Bulls 82 1.069 7 723 2.868 35,0 1988 -89 Michael Jordan * (3) 25 Bulls de Chicago 81 966 27 674 2.633 32,5 1989 -90 Michael Jordan * (4) 26 Chicago Bulls 82 1,034 92 593 2,77 91 Michael Jordan * (5) 27 Chicago Bulls 82 990 29 571 2.580 31,5 1991 - 92 Michael Jordan * (6) 28 Chicago Bulls 80 943 27 491 2.404 30.1 81 476 2.541 32,6 1993 - 94 David Robinson * 28 San Antonio Spurs 80 840 10 693 2.383 29,8 1994 - 95 Shaquille O'Neal * 22 Orlando Magic 79 930 0 455 2,315 29.3 1995 - 96 Michael Jordan * (8) Chicago Bulls 82 916 111 548 2.491 30,4 1996 - 97 Michael Jordan * (9) 33 Chicago Bulls 82 920 111 480 2.431 29.6 1997 - 98 Michael Jordan * (10) 34 Bulls 82 881 30 565 2,357 28.7. Allen Iverson * 23 Philadelphia 76ers 48 435 58 356 1.284 26,8 1999 - 00 Shaquille O'Neal * (2) 27 Los Angeles Lakers 79 956 0 432 2,344 29.7 2000 - 01 Allen iverson * (2) 25 Philadphia 76 585 2.207 31.1 2001 - 02 Allen Iverson * (3) 26 Philadelphia 76ers 60 665 78 475 1.883 31,4 2002 - 03 Tracy McGrady * 23 g / f Orlando Magic 75 829 173 576 2.407 32.1 2003 - 04 ) 24 g / f Orlando Magic 67 653 174 398 1.878 28,0 2004 - 05 Allen Iverson * (4) 29 Philadelphia 76ers 75 771 104 656 2,302 30,7 2005 - 06 Kobe 27 Los Angeles Lakers 80 978 180 180 69666666666 60 69660 69660 69660 20,7 20,7 20,7 20,7 60 69660 20. - 07 Kobe Bryant (2) 28 Los Angeles Lakers 77 813 137 667 2.430 31,6 2007 - 08 LeBron James ^ 23 Cleveland Cavaliers 75 794 113 549 2.250 30.0 2008 - 09 DWYANE ^ 27. - 10 Kevin Durant ^ 21 Oklahoma City Thunder 82 794 128 756 2.472 30.1 2010- 11 Kevin Durant ^ (2) 22 22 Oklahoma City Thunder 78 711 145 594 2,161 27,7 2011- 12 Kevin Durant ^ (3) 23 23 23 23 27 66 643 133 431 1.850 28,0 2012 - 13 Carmelo Anthony ^ 28 New York Knicks 67 669 157 425 1.920 28,7 2013 - 14 Kevin Durant ^ (4) 25 Oklahoma City Thunder 81 849 192 703 2,593 32.0 2014 - 15 - 15 Russell. 26 Oklahoma City Thunder 67 627 86 546 1.886 28,1 2015 -16 Stephen Curry ^ 28 Golden State Warriors 79 805 402 363 2.375 30,1 2016 -17 Russell Westbrook ^ (2) 28 28 Oklahoma City Thunder 81 824 200 710 710 2,55 31.6.620 18 James Harden 28 Houston Rockets 72 651 265 624 2.191 30.4</v>
      </c>
    </row>
    <row r="489" customFormat="false" ht="15.75" hidden="false" customHeight="true" outlineLevel="0" collapsed="false">
      <c r="A489" s="3" t="n">
        <v>486</v>
      </c>
      <c r="B489" s="5" t="s">
        <v>1460</v>
      </c>
      <c r="C489" s="5" t="s">
        <v>1461</v>
      </c>
      <c r="D489" s="5" t="s">
        <v>1462</v>
      </c>
      <c r="E489" s="4" t="str">
        <f aca="false">IFERROR(__xludf.dummyfunction("GOOGLETRANSLATE(C490)"),"De onde vem o sobrenome cruzado")</f>
        <v>De onde vem o sobrenome cruzado</v>
      </c>
      <c r="F489" s="5" t="str">
        <f aca="false">IFERROR(__xludf.dummyfunction("GOOGLETRANSLATE(D489)")," A Guerra da Crimeia (francesa: guerre de crimée; russo: кы́ы́ы́с в вйна́, translit. Krymskaya voina ou russo: втт́чная в в Âsi; savina; savina; savina; savina; savina; turkm: savina italia: savina; O conflito militar lutou de outubro de 1853 a fevereiro "&amp;"de 1856, no qual o Império Russo perdeu para uma aliança do Império Otomano, França, Grã -Bretanha e Sardenha. A causa imediata envolveu os direitos das minorias cristãs na Terra Santa, que fazia parte do Império Otomano. Os franceses promoveram os direit"&amp;"os dos católicos romanos, enquanto a Rússia promoveu os da Igreja Ortodoxa Oriental. O termo mais longo envolveu o declínio do Império Otomano e a falta de vontade da Grã -Bretanha e da França em permitir que a Rússia ganhasse território e poder às custas"&amp;" otomanas. Observou -se amplamente que as causas, em um caso envolvendo uma discussão sobre uma chave, nunca revelaram uma `` maior confusão de propósito '', mas levaram a uma guerra notada por seu açougue internacional '' notoriamente incompetente ''.")</f>
        <v> A Guerra da Crimeia (francesa: guerre de crimée; russo: кы́ы́ы́с в вйна́, translit. Krymskaya voina ou russo: втт́чная в в Âsi; savina; savina; savina; savina; savina; turkm: savina italia: savina; O conflito militar lutou de outubro de 1853 a fevereiro de 1856, no qual o Império Russo perdeu para uma aliança do Império Otomano, França, Grã -Bretanha e Sardenha. A causa imediata envolveu os direitos das minorias cristãs na Terra Santa, que fazia parte do Império Otomano. Os franceses promoveram os direitos dos católicos romanos, enquanto a Rússia promoveu os da Igreja Ortodoxa Oriental. O termo mais longo envolveu o declínio do Império Otomano e a falta de vontade da Grã -Bretanha e da França em permitir que a Rússia ganhasse território e poder às custas otomanas. Observou -se amplamente que as causas, em um caso envolvendo uma discussão sobre uma chave, nunca revelaram uma `` maior confusão de propósito '', mas levaram a uma guerra notada por seu açougue internacional '' notoriamente incompetente ''.</v>
      </c>
    </row>
    <row r="490" customFormat="false" ht="15.75" hidden="false" customHeight="true" outlineLevel="0" collapsed="false">
      <c r="A490" s="3" t="n">
        <v>487</v>
      </c>
      <c r="B490" s="5" t="s">
        <v>1463</v>
      </c>
      <c r="C490" s="5" t="s">
        <v>1464</v>
      </c>
      <c r="D490" s="5" t="s">
        <v>1465</v>
      </c>
      <c r="E490" s="4" t="str">
        <f aca="false">IFERROR(__xludf.dummyfunction("GOOGLETRANSLATE(C491)"),"Qual equipe do país venceu a FIFA 2017 sob 17 WorldCup")</f>
        <v>Qual equipe do país venceu a FIFA 2017 sob 17 WorldCup</v>
      </c>
      <c r="F490" s="5" t="str">
        <f aca="false">IFERROR(__xludf.dummyfunction("GOOGLETRANSLATE(D490)")," Cross é um sobrenome topográfico inglês para alguém que morava em uma estrada perto de uma cruz de pedra.")</f>
        <v> Cross é um sobrenome topográfico inglês para alguém que morava em uma estrada perto de uma cruz de pedra.</v>
      </c>
    </row>
    <row r="491" customFormat="false" ht="15.75" hidden="false" customHeight="true" outlineLevel="0" collapsed="false">
      <c r="A491" s="3" t="n">
        <v>488</v>
      </c>
      <c r="B491" s="5" t="s">
        <v>1466</v>
      </c>
      <c r="C491" s="5" t="s">
        <v>1467</v>
      </c>
      <c r="D491" s="5" t="s">
        <v>1468</v>
      </c>
      <c r="E491" s="4" t="str">
        <f aca="false">IFERROR(__xludf.dummyfunction("GOOGLETRANSLATE(C492)"),"Quando está a quarta temporada do flash")</f>
        <v>Quando está a quarta temporada do flash</v>
      </c>
      <c r="F491" s="5" t="str">
        <f aca="false">IFERROR(__xludf.dummyfunction("GOOGLETRANSLATE(D491)")," 2017 FIFA U -17 Copa do Mundo २०१७ फीफा अंडर - १७ विश्व कप Detalhes do torneio Host Country India Datas 6 - 28 Equipes de outubro 24 (de 6 Confederações) Local (s) 6 (em 6 cidades anfitrias) Posições finais Champions England (1º título ) Runners - UP Esp"&amp;"anha Terceiro Lugar Brasil Quarto lugar As partidas das estatísticas do Mali Tournament jogaram 52 gols marcaram 183 (3,52 por partida) presença 1.347.133 (25.906 por partida) Gabadão Rhian Brewster (8 gols) Melhor jogador Phil Foden Gabriel Brazão Fair P"&amp;"lay Award Brasil ← 2015 2019 →")</f>
        <v> 2017 FIFA U -17 Copa do Mundo २०१७ फीफा अंडर - १७ विश्व कप Detalhes do torneio Host Country India Datas 6 - 28 Equipes de outubro 24 (de 6 Confederações) Local (s) 6 (em 6 cidades anfitrias) Posições finais Champions England (1º título ) Runners - UP Espanha Terceiro Lugar Brasil Quarto lugar As partidas das estatísticas do Mali Tournament jogaram 52 gols marcaram 183 (3,52 por partida) presença 1.347.133 (25.906 por partida) Gabadão Rhian Brewster (8 gols) Melhor jogador Phil Foden Gabriel Brazão Fair Play Award Brasil ← 2015 2019 →</v>
      </c>
    </row>
    <row r="492" customFormat="false" ht="15.75" hidden="false" customHeight="true" outlineLevel="0" collapsed="false">
      <c r="A492" s="3" t="n">
        <v>489</v>
      </c>
      <c r="B492" s="5" t="s">
        <v>1469</v>
      </c>
      <c r="C492" s="5" t="s">
        <v>1470</v>
      </c>
      <c r="D492" s="5" t="s">
        <v>1471</v>
      </c>
      <c r="E492" s="4" t="str">
        <f aca="false">IFERROR(__xludf.dummyfunction("GOOGLETRANSLATE(C493)"),"papel de um CTO em uma empresa de TI")</f>
        <v>papel de um CTO em uma empresa de TI</v>
      </c>
      <c r="F492" s="5" t="str">
        <f aca="false">IFERROR(__xludf.dummyfunction("GOOGLETRANSLATE(D492)")," A quarta temporada começou a ser exibida em 10 de outubro de 2017, na CW.")</f>
        <v> A quarta temporada começou a ser exibida em 10 de outubro de 2017, na CW.</v>
      </c>
    </row>
    <row r="493" customFormat="false" ht="15.75" hidden="false" customHeight="true" outlineLevel="0" collapsed="false">
      <c r="A493" s="3" t="n">
        <v>490</v>
      </c>
      <c r="B493" s="5" t="s">
        <v>1472</v>
      </c>
      <c r="C493" s="5" t="s">
        <v>1473</v>
      </c>
      <c r="D493" s="5" t="s">
        <v>1474</v>
      </c>
      <c r="E493" s="4" t="str">
        <f aca="false">IFERROR(__xludf.dummyfunction("GOOGLETRANSLATE(C494)"),"quem são os consumidores em uma cadeia alimentar")</f>
        <v>quem são os consumidores em uma cadeia alimentar</v>
      </c>
      <c r="F493" s="5" t="str">
        <f aca="false">IFERROR(__xludf.dummyfunction("GOOGLETRANSLATE(D493)")," Um diretor de tecnologia (CTO), às vezes conhecido como diretor técnico, é uma posição de nível executivo em uma empresa ou outra entidade cuja ocupação está focada em questões científicas e tecnológicas dentro de uma organização.")</f>
        <v> Um diretor de tecnologia (CTO), às vezes conhecido como diretor técnico, é uma posição de nível executivo em uma empresa ou outra entidade cuja ocupação está focada em questões científicas e tecnológicas dentro de uma organização.</v>
      </c>
    </row>
    <row r="494" customFormat="false" ht="15.75" hidden="false" customHeight="true" outlineLevel="0" collapsed="false">
      <c r="A494" s="3" t="n">
        <v>491</v>
      </c>
      <c r="B494" s="5" t="s">
        <v>1475</v>
      </c>
      <c r="C494" s="5" t="s">
        <v>1476</v>
      </c>
      <c r="D494" s="5" t="s">
        <v>1477</v>
      </c>
      <c r="E494" s="4" t="str">
        <f aca="false">IFERROR(__xludf.dummyfunction("GOOGLETRANSLATE(C495)"),"Quem foram as duas superpotências durante a corrida espacial da Guerra Fria")</f>
        <v>Quem foram as duas superpotências durante a corrida espacial da Guerra Fria</v>
      </c>
      <c r="F494" s="5" t="str">
        <f aca="false">IFERROR(__xludf.dummyfunction("GOOGLETRANSLATE(D494)")," Os consumidores são organismos que comem organismos de uma população diferente. Esses organismos são formalmente chamados de heterotróficos, que incluem animais, algumas bactérias e fungos. Tais organismos podem consumir por vários meios, incluindo preda"&amp;"ção, parasitização e biodegradação.")</f>
        <v> Os consumidores são organismos que comem organismos de uma população diferente. Esses organismos são formalmente chamados de heterotróficos, que incluem animais, algumas bactérias e fungos. Tais organismos podem consumir por vários meios, incluindo predação, parasitização e biodegradação.</v>
      </c>
    </row>
    <row r="495" customFormat="false" ht="15.75" hidden="false" customHeight="true" outlineLevel="0" collapsed="false">
      <c r="A495" s="3" t="n">
        <v>492</v>
      </c>
      <c r="B495" s="5" t="s">
        <v>1478</v>
      </c>
      <c r="C495" s="5" t="s">
        <v>1479</v>
      </c>
      <c r="D495" s="5" t="s">
        <v>1480</v>
      </c>
      <c r="E495" s="4" t="str">
        <f aca="false">IFERROR(__xludf.dummyfunction("GOOGLETRANSLATE(C496)"),"De onde vem o ditado para um Burton")</f>
        <v>De onde vem o ditado para um Burton</v>
      </c>
      <c r="F495" s="5" t="str">
        <f aca="false">IFERROR(__xludf.dummyfunction("GOOGLETRANSLATE(D495)")," A corrida espacial refere -se à competição do século XX entre dois rivais da Guerra Fria, a União Soviética (URSS) e os Estados Unidos (EUA), por domínio na capacidade do voo espacial. Ele tinha suas origens na corrida armamentista nuclear de mísseis ent"&amp;"re as duas nações que ocorreram após a Segunda Guerra Mundial, auxiliadas pela tecnologia de mísseis alemães capturados e pelo pessoal do programa agregado. A superioridade tecnológica necessária para essa dominância era vista como necessária para a segur"&amp;"ança nacional e simbólica da superioridade ideológica. A raça espacial gerou esforços pioneiros para lançar satélites artificiais, sondas espaciais Uncrewed da Lua, Vênus e Marte e voo espacial humano na órbita baixa da terra e na lua.")</f>
        <v> A corrida espacial refere -se à competição do século XX entre dois rivais da Guerra Fria, a União Soviética (URSS) e os Estados Unidos (EUA), por domínio na capacidade do voo espacial. Ele tinha suas origens na corrida armamentista nuclear de mísseis entre as duas nações que ocorreram após a Segunda Guerra Mundial, auxiliadas pela tecnologia de mísseis alemães capturados e pelo pessoal do programa agregado. A superioridade tecnológica necessária para essa dominância era vista como necessária para a segurança nacional e simbólica da superioridade ideológica. A raça espacial gerou esforços pioneiros para lançar satélites artificiais, sondas espaciais Uncrewed da Lua, Vênus e Marte e voo espacial humano na órbita baixa da terra e na lua.</v>
      </c>
    </row>
    <row r="496" customFormat="false" ht="15.75" hidden="false" customHeight="true" outlineLevel="0" collapsed="false">
      <c r="A496" s="3" t="n">
        <v>493</v>
      </c>
      <c r="B496" s="5" t="s">
        <v>1481</v>
      </c>
      <c r="C496" s="5" t="s">
        <v>1482</v>
      </c>
      <c r="D496" s="5" t="s">
        <v>1483</v>
      </c>
      <c r="E496" s="4" t="str">
        <f aca="false">IFERROR(__xludf.dummyfunction("GOOGLETRANSLATE(C497)"),"Quando eles acrescentaram não ao dicionário")</f>
        <v>Quando eles acrescentaram não ao dicionário</v>
      </c>
      <c r="F496" s="5" t="str">
        <f aca="false">IFERROR(__xludf.dummyfunction("GOOGLETRANSLATE(D496)")," Longe para um Burton é uma expressão inglesa britânica que significa estar faltando ou morrer. O termo foi popularizado pela RAF na época da Segunda Guerra Mundial. Ele migrou para os EUA rapidamente e, em junho de 1943, uma história intitulada Husky des"&amp;"ce para um Burton apareceu na vida dos meninos, a revista dos escoteiros da América. A etimologia é contestada.")</f>
        <v> Longe para um Burton é uma expressão inglesa britânica que significa estar faltando ou morrer. O termo foi popularizado pela RAF na época da Segunda Guerra Mundial. Ele migrou para os EUA rapidamente e, em junho de 1943, uma história intitulada Husky desce para um Burton apareceu na vida dos meninos, a revista dos escoteiros da América. A etimologia é contestada.</v>
      </c>
    </row>
    <row r="497" customFormat="false" ht="15.75" hidden="false" customHeight="true" outlineLevel="0" collapsed="false">
      <c r="A497" s="3" t="n">
        <v>494</v>
      </c>
      <c r="B497" s="5" t="s">
        <v>1484</v>
      </c>
      <c r="C497" s="5" t="s">
        <v>1485</v>
      </c>
      <c r="D497" s="5" t="s">
        <v>1486</v>
      </c>
      <c r="E497" s="4" t="str">
        <f aca="false">IFERROR(__xludf.dummyfunction("GOOGLETRANSLATE(C498)"),"que interpretou o coala no filme cantar")</f>
        <v>que interpretou o coala no filme cantar</v>
      </c>
      <c r="F497" s="5" t="str">
        <f aca="false">IFERROR(__xludf.dummyfunction("GOOGLETRANSLATE(D497)")," O terceiro novo dicionário internacional de Webster, publicado em 1961, foi contra a prática padrão - quando incluiu a seguinte nota de uso em sua entrada no Ai N't: `` Embora seja reprovada por muitos e mais comuns em discursos menos instruídos, usados "&amp;"​​por via oral oralmente Na maior parte dos EUA, por muitos oradores cultivados esp. na frase ai n't i. '' Muitos comentaristas desaprovaram a atitude relativamente permissiva do dicionário em relação à palavra, que foi inspirada, em parte, pela crença de"&amp;" seu editor, Philip Gove, que `` distinções de uso eram elitistas e artificiais ''.")</f>
        <v> O terceiro novo dicionário internacional de Webster, publicado em 1961, foi contra a prática padrão - quando incluiu a seguinte nota de uso em sua entrada no Ai N't: `` Embora seja reprovada por muitos e mais comuns em discursos menos instruídos, usados ​​por via oral oralmente Na maior parte dos EUA, por muitos oradores cultivados esp. na frase ai n't i. '' Muitos comentaristas desaprovaram a atitude relativamente permissiva do dicionário em relação à palavra, que foi inspirada, em parte, pela crença de seu editor, Philip Gove, que `` distinções de uso eram elitistas e artificiais ''.</v>
      </c>
    </row>
    <row r="498" customFormat="false" ht="15.75" hidden="false" customHeight="true" outlineLevel="0" collapsed="false">
      <c r="A498" s="3" t="n">
        <v>495</v>
      </c>
      <c r="B498" s="5" t="s">
        <v>1487</v>
      </c>
      <c r="C498" s="5" t="s">
        <v>1488</v>
      </c>
      <c r="D498" s="5" t="s">
        <v>1489</v>
      </c>
      <c r="E498" s="4" t="str">
        <f aca="false">IFERROR(__xludf.dummyfunction("GOOGLETRANSLATE(C499)"),"onde está o Thalmus localizado no cérebro")</f>
        <v>onde está o Thalmus localizado no cérebro</v>
      </c>
      <c r="F498" s="5" t="str">
        <f aca="false">IFERROR(__xludf.dummyfunction("GOOGLETRANSLATE(D498)")," Matthew McConaughey como Buster Moon, um coala otimista que planeja salvar seu teatro do fechamento, realizando uma competição de canto.")</f>
        <v> Matthew McConaughey como Buster Moon, um coala otimista que planeja salvar seu teatro do fechamento, realizando uma competição de canto.</v>
      </c>
    </row>
    <row r="499" customFormat="false" ht="15.75" hidden="false" customHeight="true" outlineLevel="0" collapsed="false">
      <c r="A499" s="3" t="n">
        <v>496</v>
      </c>
      <c r="B499" s="5" t="s">
        <v>1490</v>
      </c>
      <c r="C499" s="5" t="s">
        <v>1491</v>
      </c>
      <c r="D499" s="5" t="s">
        <v>1492</v>
      </c>
      <c r="E499" s="4" t="str">
        <f aca="false">IFERROR(__xludf.dummyfunction("GOOGLETRANSLATE(C500)"),"que venceu o campeonato da liga de futebol em 1968")</f>
        <v>que venceu o campeonato da liga de futebol em 1968</v>
      </c>
      <c r="F499" s="5" t="str">
        <f aca="false">IFERROR(__xludf.dummyfunction("GOOGLETRANSLATE(D499)")," O tálamo (do grego θάλαμος, `` câmara '') é a grande massa de substância cinzenta na parte dorsal do diencephalon do cérebro com várias funções, como retransmissão de sinais sensoriais, incluindo sinais motores, para o córtex cerebral e A regulação da co"&amp;"nsciência, sono e alerta.")</f>
        <v> O tálamo (do grego θάλαμος, `` câmara '') é a grande massa de substância cinzenta na parte dorsal do diencephalon do cérebro com várias funções, como retransmissão de sinais sensoriais, incluindo sinais motores, para o córtex cerebral e A regulação da consciência, sono e alerta.</v>
      </c>
    </row>
    <row r="500" customFormat="false" ht="15.75" hidden="false" customHeight="true" outlineLevel="0" collapsed="false">
      <c r="A500" s="3" t="n">
        <v>497</v>
      </c>
      <c r="B500" s="5" t="s">
        <v>1493</v>
      </c>
      <c r="C500" s="5" t="s">
        <v>1494</v>
      </c>
      <c r="D500" s="5" t="s">
        <v>1495</v>
      </c>
      <c r="E500" s="4" t="str">
        <f aca="false">IFERROR(__xludf.dummyfunction("GOOGLETRANSLATE(C501)"),"pouco antes de o Texas se tornar um estado americano em 1845, o Texas era")</f>
        <v>pouco antes de o Texas se tornar um estado americano em 1845, o Texas era</v>
      </c>
      <c r="F500" s="5" t="str">
        <f aca="false">IFERROR(__xludf.dummyfunction("GOOGLETRANSLATE(D500)")," A temporada da liga de futebol de 1967 - 68 campeões Manchester City ← 1966 - 67 1968 - 69 →")</f>
        <v> A temporada da liga de futebol de 1967 - 68 campeões Manchester City ← 1966 - 67 1968 - 69 →</v>
      </c>
    </row>
    <row r="501" customFormat="false" ht="15.75" hidden="false" customHeight="true" outlineLevel="0" collapsed="false">
      <c r="A501" s="3" t="n">
        <v>498</v>
      </c>
      <c r="B501" s="5" t="s">
        <v>1496</v>
      </c>
      <c r="C501" s="5" t="s">
        <v>1497</v>
      </c>
      <c r="D501" s="5" t="s">
        <v>1498</v>
      </c>
      <c r="E501" s="4" t="str">
        <f aca="false">IFERROR(__xludf.dummyfunction("GOOGLETRANSLATE(C502)"),"Qual é o último livro Game of Thrones")</f>
        <v>Qual é o último livro Game of Thrones</v>
      </c>
      <c r="F501" s="5" t="str">
        <f aca="false">IFERROR(__xludf.dummyfunction("GOOGLETRANSLATE(D501)")," Em 1845, a República do Texas foi anexada aos Estados Unidos da América, tornando -se o 28º Estado dos EUA. As disputas fronteiriças entre o novo estado e o México, que nunca reconheceram a independência do Texas e ainda consideraram a área um estado mex"&amp;"icano renegado, levou ao mexicano - Guerra Americana (1846 - 1848). Quando a guerra foi concluída, o México abandonou sua reivindicação ao Texas, bem como outras regiões no que hoje é o sudoeste dos Estados Unidos. A anexação do Texas como um estado que t"&amp;"olerou a escravidão causou tensão nos Estados Unidos entre os estados escravos e aqueles que não permitiram a escravidão. A tensão foi parcialmente desativada com o compromisso de 1850, no qual o Texas cedeu parte de seu território ao governo federal para"&amp;" se tornar não escravo - possuir áreas, mas ganhou El Paso.")</f>
        <v> Em 1845, a República do Texas foi anexada aos Estados Unidos da América, tornando -se o 28º Estado dos EUA. As disputas fronteiriças entre o novo estado e o México, que nunca reconheceram a independência do Texas e ainda consideraram a área um estado mexicano renegado, levou ao mexicano - Guerra Americana (1846 - 1848). Quando a guerra foi concluída, o México abandonou sua reivindicação ao Texas, bem como outras regiões no que hoje é o sudoeste dos Estados Unidos. A anexação do Texas como um estado que tolerou a escravidão causou tensão nos Estados Unidos entre os estados escravos e aqueles que não permitiram a escravidão. A tensão foi parcialmente desativada com o compromisso de 1850, no qual o Texas cedeu parte de seu território ao governo federal para se tornar não escravo - possuir áreas, mas ganhou El Paso.</v>
      </c>
    </row>
    <row r="502" customFormat="false" ht="15.75" hidden="false" customHeight="true" outlineLevel="0" collapsed="false">
      <c r="A502" s="3" t="n">
        <v>499</v>
      </c>
      <c r="B502" s="5" t="s">
        <v>1499</v>
      </c>
      <c r="C502" s="5" t="s">
        <v>1500</v>
      </c>
      <c r="D502" s="5" t="s">
        <v>1501</v>
      </c>
      <c r="E502" s="4" t="str">
        <f aca="false">IFERROR(__xludf.dummyfunction("GOOGLETRANSLATE(C503)"),"Quem é o presidente mais jovem eleito dos EUA")</f>
        <v>Quem é o presidente mais jovem eleito dos EUA</v>
      </c>
      <c r="F502" s="5" t="str">
        <f aca="false">IFERROR(__xludf.dummyfunction("GOOGLETRANSLATE(D502)")," A Song of Ice and Fire é uma série de romances épicos de fantasia do romancista e roteirista americano George R.R. Martin. Ele começou o primeiro volume da série, A Game of Thrones, em 1991 e publicou em 1996. Martin, que inicialmente imaginou a série co"&amp;"mo uma trilogia, publicou cinco de sete volumes planejados. O quinto e mais recente volume da série publicado em 2011, uma dança com Dragons, levou Martin seis anos para escrever. Ele ainda está escrevendo o sexto romance, os ventos do inverno.")</f>
        <v> A Song of Ice and Fire é uma série de romances épicos de fantasia do romancista e roteirista americano George R.R. Martin. Ele começou o primeiro volume da série, A Game of Thrones, em 1991 e publicou em 1996. Martin, que inicialmente imaginou a série como uma trilogia, publicou cinco de sete volumes planejados. O quinto e mais recente volume da série publicado em 2011, uma dança com Dragons, levou Martin seis anos para escrever. Ele ainda está escrevendo o sexto romance, os ventos do inverno.</v>
      </c>
    </row>
    <row r="503" customFormat="false" ht="15.75" hidden="false" customHeight="true" outlineLevel="0" collapsed="false">
      <c r="A503" s="3" t="n">
        <v>500</v>
      </c>
      <c r="B503" s="5" t="s">
        <v>1502</v>
      </c>
      <c r="C503" s="5" t="s">
        <v>1503</v>
      </c>
      <c r="D503" s="5" t="s">
        <v>1504</v>
      </c>
      <c r="E503" s="4" t="str">
        <f aca="false">IFERROR(__xludf.dummyfunction("GOOGLETRANSLATE(C504)"),"Nomes de Super Gurus do Super Dancer 2")</f>
        <v>Nomes de Super Gurus do Super Dancer 2</v>
      </c>
      <c r="F503" s="5" t="str">
        <f aca="false">IFERROR(__xludf.dummyfunction("GOOGLETRANSLATE(D503)")," A idade média da adesão à presidência é de cerca de 55 anos e 6 meses, que é sobre quantos anos Benjamin Harrison tinha na época de sua inauguração. A pessoa mais jovem a assumir que o escritório foi Theodore Roosevelt, que se tornou presidente após o as"&amp;"sassinato de William McKinley, aos 70041566620000000000 ♠ 42 anos, 322 dias. A pessoa mais jovem eleita presidente foi John F. Kennedy, que foi inaugurado no cargo aos 7004159420000000000 ♠ 43 anos, 236 dias. Assassinado a três anos em seu mandato, ele se"&amp;" tornou o mais novo no momento em que deixar o cargo (70041697800000000 ♠ 46 anos, 177 dias); A pessoa mais jovem no momento de deixar o cargo depois de cumprir um período completo de quatro anos foi Theodore Roosevelt (7004183900000000000 ♠ 50 anos, 128 "&amp;"dias). A pessoa mais velha na época em que entraria no escritório era Donald Trump, aos 70042578880000000000 ♠ 70 anos, 220 dias; Ronald Reagan era a pessoa mais velha no cargo, aos 7004284730000000000 ♠ 77 anos, 349 dias em que sua presidência terminou e"&amp;"m janeiro de 1989.")</f>
        <v> A idade média da adesão à presidência é de cerca de 55 anos e 6 meses, que é sobre quantos anos Benjamin Harrison tinha na época de sua inauguração. A pessoa mais jovem a assumir que o escritório foi Theodore Roosevelt, que se tornou presidente após o assassinato de William McKinley, aos 70041566620000000000 ♠ 42 anos, 322 dias. A pessoa mais jovem eleita presidente foi John F. Kennedy, que foi inaugurado no cargo aos 7004159420000000000 ♠ 43 anos, 236 dias. Assassinado a três anos em seu mandato, ele se tornou o mais novo no momento em que deixar o cargo (70041697800000000 ♠ 46 anos, 177 dias); A pessoa mais jovem no momento de deixar o cargo depois de cumprir um período completo de quatro anos foi Theodore Roosevelt (7004183900000000000 ♠ 50 anos, 128 dias). A pessoa mais velha na época em que entraria no escritório era Donald Trump, aos 70042578880000000000 ♠ 70 anos, 220 dias; Ronald Reagan era a pessoa mais velha no cargo, aos 7004284730000000000 ♠ 77 anos, 349 dias em que sua presidência terminou em janeiro de 1989.</v>
      </c>
    </row>
    <row r="504" customFormat="false" ht="15.75" hidden="false" customHeight="true" outlineLevel="0" collapsed="false">
      <c r="A504" s="3" t="n">
        <v>501</v>
      </c>
      <c r="B504" s="5" t="s">
        <v>1505</v>
      </c>
      <c r="C504" s="5" t="s">
        <v>1506</v>
      </c>
      <c r="D504" s="5" t="s">
        <v>1507</v>
      </c>
      <c r="E504" s="4" t="str">
        <f aca="false">IFERROR(__xludf.dummyfunction("GOOGLETRANSLATE(C505)"),"que Rob Lowe jogou no estande")</f>
        <v>que Rob Lowe jogou no estande</v>
      </c>
      <c r="F504" s="5" t="str">
        <f aca="false">IFERROR(__xludf.dummyfunction("GOOGLETRANSLATE(D504)"),"   Contestant from Choreographer Notes Bishal Sharma Jorhat, Assam Vaibhav Ghue GUGE Winner Vaishnavi Prajapati Panipat, Haryana Manan Sachdeva Finalist Power Card Entry ON 26 November 2017 Ritik DIWAKER KANPUR Ar pradesh pratik utekar finalist Akash Thap"&amp;"a Dehradun, Uttarakhand Vivek Chachere Finalist Shagun Singh Bhilai, Chhattisgarh Aishwarya Radhakrishnan Eliminated on 18 March 2018 Akash Mitra Patna, Bihar Rishikaysh Jogadaand Power Card Entrant (Eliminated On February 2018) Muskan Sharma Indore, Madh"&amp;"ya Paul Marshal EliminateDon Mishti sinha ahmednagar, maharashtra omkar shinde palden lama mawroh left the show due to Injury on 26 January 2018 Entrada no cartão de alimentação em 26 de novembro de 2017 eliminado em 12 de novembro de 2017 Arushi Saxena L"&amp;"udhiana, Punjab Nishant Bhat eliminou em 14 de janeiro de 2018 Vivek Jogdande Aurangadande, Maharashtra Ruelin Dani, em 19 de novembro de 2017, Jyoti Ranjan SahaSar Bhubaneswar Rahman Kolkata, Bengala Ocidental Sonali Kar eliminou em 12 de novembro de 201"&amp;"7 Kunal Jyoti Rabha Guwahati, Assam Palden Lama Mawa Mawa Mawroh eliminou um 29 de outubro de 2017 Chandresh Delwar Indore Radesh Khushboo Gupta Gupta")</f>
        <v>   Contestant from Choreographer Notes Bishal Sharma Jorhat, Assam Vaibhav Ghue GUGE Winner Vaishnavi Prajapati Panipat, Haryana Manan Sachdeva Finalist Power Card Entry ON 26 November 2017 Ritik DIWAKER KANPUR Ar pradesh pratik utekar finalist Akash Thapa Dehradun, Uttarakhand Vivek Chachere Finalist Shagun Singh Bhilai, Chhattisgarh Aishwarya Radhakrishnan Eliminated on 18 March 2018 Akash Mitra Patna, Bihar Rishikaysh Jogadaand Power Card Entrant (Eliminated On February 2018) Muskan Sharma Indore, Madhya Paul Marshal EliminateDon Mishti sinha ahmednagar, maharashtra omkar shinde palden lama mawroh left the show due to Injury on 26 January 2018 Entrada no cartão de alimentação em 26 de novembro de 2017 eliminado em 12 de novembro de 2017 Arushi Saxena Ludhiana, Punjab Nishant Bhat eliminou em 14 de janeiro de 2018 Vivek Jogdande Aurangadande, Maharashtra Ruelin Dani, em 19 de novembro de 2017, Jyoti Ranjan SahaSar Bhubaneswar Rahman Kolkata, Bengala Ocidental Sonali Kar eliminou em 12 de novembro de 2017 Kunal Jyoti Rabha Guwahati, Assam Palden Lama Mawa Mawa Mawroh eliminou um 29 de outubro de 2017 Chandresh Delwar Indore Radesh Khushboo Gupta Gupta</v>
      </c>
    </row>
    <row r="505" customFormat="false" ht="15.75" hidden="false" customHeight="true" outlineLevel="0" collapsed="false">
      <c r="A505" s="3" t="n">
        <v>502</v>
      </c>
      <c r="B505" s="5" t="s">
        <v>1508</v>
      </c>
      <c r="C505" s="5" t="s">
        <v>1509</v>
      </c>
      <c r="D505" s="5" t="s">
        <v>1510</v>
      </c>
      <c r="E505" s="4" t="str">
        <f aca="false">IFERROR(__xludf.dummyfunction("GOOGLETRANSLATE(C506)"),"Os governos locais que fornecem um único serviço ou um conjunto de serviços intimamente relacionados são")</f>
        <v>Os governos locais que fornecem um único serviço ou um conjunto de serviços intimamente relacionados são</v>
      </c>
      <c r="F505" s="5" t="str">
        <f aca="false">IFERROR(__xludf.dummyfunction("GOOGLETRANSLATE(D505)")," As pessoas da cidade são levadas para uma instalação do CDC em Vermont. Todos, exceto Stu sucumbem ao Superflu, que mata 99,4 % da população do mundo em duas semanas. Os sobreviventes dispersos incluem - seria a estrela do rock Larry Underwood (Adam Stor"&amp;"ke); Surdos mudo Nick Andros (Rob Lowe); Frannie Goldsmith (Molly Ringwald) e seu filho ainda não nascido de Jesse, seu namorado antes da praga; seu vizinho adolescente Harold Lauder (Corin Nemec); criminal preso Lloyd Henreid (Miguel Ferrer); e `` homem "&amp;"do lixo '' (Matt Frewer), um incendiário e tesouro mentalmente doente. Os sobreviventes logo começam a ter visões, da gentil Madre Abagail (Ruby Dee) ou do Demonic Randall Flagg (Jamey Sheridan). Os dois conjuntos de sobreviventes são instruídos em sonhos"&amp;" a viajar para Nebraska para conhecer Abagail, ou para Las Vegas para se juntar a Flagg.")</f>
        <v> As pessoas da cidade são levadas para uma instalação do CDC em Vermont. Todos, exceto Stu sucumbem ao Superflu, que mata 99,4 % da população do mundo em duas semanas. Os sobreviventes dispersos incluem - seria a estrela do rock Larry Underwood (Adam Storke); Surdos mudo Nick Andros (Rob Lowe); Frannie Goldsmith (Molly Ringwald) e seu filho ainda não nascido de Jesse, seu namorado antes da praga; seu vizinho adolescente Harold Lauder (Corin Nemec); criminal preso Lloyd Henreid (Miguel Ferrer); e `` homem do lixo '' (Matt Frewer), um incendiário e tesouro mentalmente doente. Os sobreviventes logo começam a ter visões, da gentil Madre Abagail (Ruby Dee) ou do Demonic Randall Flagg (Jamey Sheridan). Os dois conjuntos de sobreviventes são instruídos em sonhos a viajar para Nebraska para conhecer Abagail, ou para Las Vegas para se juntar a Flagg.</v>
      </c>
    </row>
    <row r="506" customFormat="false" ht="15.75" hidden="false" customHeight="true" outlineLevel="0" collapsed="false">
      <c r="A506" s="3" t="n">
        <v>503</v>
      </c>
      <c r="B506" s="5" t="s">
        <v>1511</v>
      </c>
      <c r="C506" s="5" t="s">
        <v>1512</v>
      </c>
      <c r="D506" s="5" t="s">
        <v>1513</v>
      </c>
      <c r="E506" s="4" t="str">
        <f aca="false">IFERROR(__xludf.dummyfunction("GOOGLETRANSLATE(C507)"),"Um vale do Rift é evidência de qual tipo de limite de placa")</f>
        <v>Um vale do Rift é evidência de qual tipo de limite de placa</v>
      </c>
      <c r="F506" s="5" t="str">
        <f aca="false">IFERROR(__xludf.dummyfunction("GOOGLETRANSLATE(D506)")," Distritos especiais (também conhecidos como distritos de serviços especiais, governos distritais especiais, entidades de finalidade limitada ou distritos especiais de propósito nos Estados Unidos) são unidades governamentais independentes, especiais - pr"&amp;"opósitos que existem separadamente de governos locais como município, municipal e município Governos, com independência administrativa e fiscal substancial. Eles são formados para executar uma única função ou um conjunto de funções relacionadas. O termo g"&amp;"overnos distritais especiais, conforme definido pelo US Census Bureau, exclui os distritos escolares. Em 2007, os EUA tinham mais de 39.000 governos distritais especiais.")</f>
        <v> Distritos especiais (também conhecidos como distritos de serviços especiais, governos distritais especiais, entidades de finalidade limitada ou distritos especiais de propósito nos Estados Unidos) são unidades governamentais independentes, especiais - propósitos que existem separadamente de governos locais como município, municipal e município Governos, com independência administrativa e fiscal substancial. Eles são formados para executar uma única função ou um conjunto de funções relacionadas. O termo governos distritais especiais, conforme definido pelo US Census Bureau, exclui os distritos escolares. Em 2007, os EUA tinham mais de 39.000 governos distritais especiais.</v>
      </c>
    </row>
    <row r="507" customFormat="false" ht="15.75" hidden="false" customHeight="true" outlineLevel="0" collapsed="false">
      <c r="A507" s="3" t="n">
        <v>504</v>
      </c>
      <c r="B507" s="5" t="s">
        <v>1514</v>
      </c>
      <c r="C507" s="5" t="s">
        <v>1515</v>
      </c>
      <c r="D507" s="5" t="s">
        <v>1516</v>
      </c>
      <c r="E507" s="4" t="str">
        <f aca="false">IFERROR(__xludf.dummyfunction("GOOGLETRANSLATE(C508)"),"onde estava o Merlot Wine Uva originalmente cultivado")</f>
        <v>onde estava o Merlot Wine Uva originalmente cultivado</v>
      </c>
      <c r="F507" s="5" t="str">
        <f aca="false">IFERROR(__xludf.dummyfunction("GOOGLETRANSLATE(D507)")," Um vale do Rift é uma planície linear em forma de várias terras altas ou cadeias de montanhas criadas pela ação de uma fenda ou falha geológica. Um vale do Rift é formado em um limite de placa divergente, uma extensão da crosta, uma espalhada à parte da "&amp;"superfície, que é posteriormente aprofundada pelas forças da erosão. Quando as forças tensionais eram fortes o suficiente para fazer com que a placa se dividisse, um bloco central caiu entre os dois blocos em seus flancos, formando um Graben. A queda do c"&amp;"entro cria as paredes quase paralelas de mergulhar acentuadas de um vale do Rift quando é novo. Esse recurso é o começo do Vale do Rift, mas à medida que o processo continua, o vale aumenta, até que se torne uma grande bacia que se enche de sedimentos das"&amp;" paredes da fenda e da área circundante. Um dos exemplos mais conhecidos desse processo é a fenda da África Oriental. Na Terra, as brechas podem ocorrer em todas as elevações, do fundo do mar a platôs e cadeias de montanhas na crosta continental ou na cro"&amp;"sta oceânica. Eles são frequentemente associados a vários vales adjacentes de subsidiária ou co-extensa, que normalmente são considerados parte do principal vale do Rift geologicamente.")</f>
        <v> Um vale do Rift é uma planície linear em forma de várias terras altas ou cadeias de montanhas criadas pela ação de uma fenda ou falha geológica. Um vale do Rift é formado em um limite de placa divergente, uma extensão da crosta, uma espalhada à parte da superfície, que é posteriormente aprofundada pelas forças da erosão. Quando as forças tensionais eram fortes o suficiente para fazer com que a placa se dividisse, um bloco central caiu entre os dois blocos em seus flancos, formando um Graben. A queda do centro cria as paredes quase paralelas de mergulhar acentuadas de um vale do Rift quando é novo. Esse recurso é o começo do Vale do Rift, mas à medida que o processo continua, o vale aumenta, até que se torne uma grande bacia que se enche de sedimentos das paredes da fenda e da área circundante. Um dos exemplos mais conhecidos desse processo é a fenda da África Oriental. Na Terra, as brechas podem ocorrer em todas as elevações, do fundo do mar a platôs e cadeias de montanhas na crosta continental ou na crosta oceânica. Eles são frequentemente associados a vários vales adjacentes de subsidiária ou co-extensa, que normalmente são considerados parte do principal vale do Rift geologicamente.</v>
      </c>
    </row>
    <row r="508" customFormat="false" ht="15.75" hidden="false" customHeight="true" outlineLevel="0" collapsed="false">
      <c r="A508" s="3" t="n">
        <v>505</v>
      </c>
      <c r="B508" s="5" t="s">
        <v>1517</v>
      </c>
      <c r="C508" s="5" t="s">
        <v>1518</v>
      </c>
      <c r="D508" s="5" t="s">
        <v>1519</v>
      </c>
      <c r="E508" s="4" t="str">
        <f aca="false">IFERROR(__xludf.dummyfunction("GOOGLETRANSLATE(C509)"),"Quando é a estação da cruz")</f>
        <v>Quando é a estação da cruz</v>
      </c>
      <c r="F508" s="5" t="str">
        <f aca="false">IFERROR(__xludf.dummyfunction("GOOGLETRANSLATE(D508)")," A menção mais antiga registrou Merlot (sob o sinônimo de Merlau) estava nas notas de um funcionário local de Bordeaux que em 1784 rotulou o vinho feito da uva na região de Libournais como um dos melhores da região. Em 1824, a palavra Merlot apareceu em u"&amp;"m artigo sobre o vinho Médoc, onde foi descrito que a uva recebeu o nome do pássaro negro local (chamado Merlau na variante local da língua occitana, Mèrle no padrão) que gostava de comer as uvas maduras em a videira. Outras descrições da uva do século XI"&amp;"X chamaram o Flube Variety Lou Seme Doù (que significa `` as mudas do rio ''), com a uva que se pensava ter se originado em uma das ilhas encontradas ao longo do rio Garonne.")</f>
        <v> A menção mais antiga registrou Merlot (sob o sinônimo de Merlau) estava nas notas de um funcionário local de Bordeaux que em 1784 rotulou o vinho feito da uva na região de Libournais como um dos melhores da região. Em 1824, a palavra Merlot apareceu em um artigo sobre o vinho Médoc, onde foi descrito que a uva recebeu o nome do pássaro negro local (chamado Merlau na variante local da língua occitana, Mèrle no padrão) que gostava de comer as uvas maduras em a videira. Outras descrições da uva do século XIX chamaram o Flube Variety Lou Seme Doù (que significa `` as mudas do rio ''), com a uva que se pensava ter se originado em uma das ilhas encontradas ao longo do rio Garonne.</v>
      </c>
    </row>
    <row r="509" customFormat="false" ht="15.75" hidden="false" customHeight="true" outlineLevel="0" collapsed="false">
      <c r="A509" s="3" t="n">
        <v>506</v>
      </c>
      <c r="B509" s="5" t="s">
        <v>1520</v>
      </c>
      <c r="C509" s="5" t="s">
        <v>1521</v>
      </c>
      <c r="D509" s="5" t="s">
        <v>1522</v>
      </c>
      <c r="E509" s="4" t="str">
        <f aca="false">IFERROR(__xludf.dummyfunction("GOOGLETRANSLATE(C510)"),"que é um risco mais velho ou roda da fortuna")</f>
        <v>que é um risco mais velho ou roda da fortuna</v>
      </c>
      <c r="F509" s="5" t="str">
        <f aca="false">IFERROR(__xludf.dummyfunction("GOOGLETRANSLATE(D509)")," Geralmente, uma série de 14 imagens será organizada em ordem numerada ao longo de um caminho e as fiéis viagens de imagem para imagem, em ordem, parando em cada estação para fazer as orações e reflexões selecionados. Isso será feito individualmente ou em"&amp;" uma procissão mais comumente durante a Quaresma, especialmente na Sexta -feira Santa, em um espírito de reparação pelos sofrimentos e insultos que Jesus sofreu durante sua paixão.")</f>
        <v> Geralmente, uma série de 14 imagens será organizada em ordem numerada ao longo de um caminho e as fiéis viagens de imagem para imagem, em ordem, parando em cada estação para fazer as orações e reflexões selecionados. Isso será feito individualmente ou em uma procissão mais comumente durante a Quaresma, especialmente na Sexta -feira Santa, em um espírito de reparação pelos sofrimentos e insultos que Jesus sofreu durante sua paixão.</v>
      </c>
    </row>
    <row r="510" customFormat="false" ht="15.75" hidden="false" customHeight="true" outlineLevel="0" collapsed="false">
      <c r="A510" s="3" t="n">
        <v>507</v>
      </c>
      <c r="B510" s="5" t="s">
        <v>1523</v>
      </c>
      <c r="C510" s="5" t="s">
        <v>1524</v>
      </c>
      <c r="D510" s="5" t="s">
        <v>1525</v>
      </c>
      <c r="E510" s="4" t="str">
        <f aca="false">IFERROR(__xludf.dummyfunction("GOOGLETRANSLATE(C511)"),"Nomes de heroínas enterradas no Zimbabwe National Heroes Acre")</f>
        <v>Nomes de heroínas enterradas no Zimbabwe National Heroes Acre</v>
      </c>
      <c r="F510" s="5" t="str">
        <f aca="false">IFERROR(__xludf.dummyfunction("GOOGLETRANSLATE(D510)")," Merv Griffin concebeu a Wheel of Fortune, assim como a versão original do Jeopardy! , outro show que ele criou, estava encerrando sua execução de 11 anos na NBC com Art Fleming como seu anfitrião. Griffin decidiu criar um jogo no estilo de Hangman depois"&amp;" de recordar longas viagens de carro quando criança, na qual ele e sua irmã jogaram Hangman. Depois que ele discutiu a idéia com a equipe da Merv Griffin Enterprises, eles pensaram que a idéia funcionaria como um show de jogos se tivesse um `` gancho ''. "&amp;"Ele decidiu adicionar uma roleta - roda de estilo porque sempre foi `` atraído por '' tais rodas quando as viu em cassinos. Ele e MGE, então - o presidente Murray Schwartz consultou um executivo do Caesars Palace para descobrir como construir uma roda ass"&amp;"im.")</f>
        <v> Merv Griffin concebeu a Wheel of Fortune, assim como a versão original do Jeopardy! , outro show que ele criou, estava encerrando sua execução de 11 anos na NBC com Art Fleming como seu anfitrião. Griffin decidiu criar um jogo no estilo de Hangman depois de recordar longas viagens de carro quando criança, na qual ele e sua irmã jogaram Hangman. Depois que ele discutiu a idéia com a equipe da Merv Griffin Enterprises, eles pensaram que a idéia funcionaria como um show de jogos se tivesse um `` gancho ''. Ele decidiu adicionar uma roleta - roda de estilo porque sempre foi `` atraído por '' tais rodas quando as viu em cassinos. Ele e MGE, então - o presidente Murray Schwartz consultou um executivo do Caesars Palace para descobrir como construir uma roda assim.</v>
      </c>
    </row>
    <row r="511" customFormat="false" ht="15.75" hidden="false" customHeight="true" outlineLevel="0" collapsed="false">
      <c r="A511" s="3" t="n">
        <v>508</v>
      </c>
      <c r="B511" s="5" t="s">
        <v>1526</v>
      </c>
      <c r="C511" s="5" t="s">
        <v>1527</v>
      </c>
      <c r="D511" s="5" t="s">
        <v>1528</v>
      </c>
      <c r="E511" s="4" t="str">
        <f aca="false">IFERROR(__xludf.dummyfunction("GOOGLETRANSLATE(C512)"),"que traduziu a Bíblia do rei James para o inglês")</f>
        <v>que traduziu a Bíblia do rei James para o inglês</v>
      </c>
      <c r="F511" s="5" t="str">
        <f aca="false">IFERROR(__xludf.dummyfunction("GOOGLETRANSLATE(D511)"),"  Cephas celebra Felix Blown plantando a Sabina Mugabe Kaneli Ramina Stauka Sumani Ramina Stauka Sumani Ramina Stauka Sumani Ramina Stauka Stau Stau (Solo Womit Ramina Stanford Saluel Stauka Staw Stawn St. Poll e Poll Match) Josiah's Miamya e Josavho Stan"&amp;" Stawn St. Fell Sosses ndricu T.M. George Silundika johanna `` `Mama '' Mafuyana major general charlse njodzi dauramanzi edson jonasi mudadirwa zvobgo julia tukai zvobgo simon vengai muzenda lookout Masuku herbert sylvester masherniwawawawokkukunze Ulverw"&amp;"ell General Solomon Rex Nhongo Mutusva - Mujuru Brig General John Zingoni   Josiah Tungamirai   Brigadier General Gumbo   Zororo Duri   Christopher Machingura Ushewokunze   Sikwili Kohli Moyo   Vitalis Zvinavashe   Chenjerai Hunzvi   Border Gezi   Robson "&amp;"Manyika   Josiah Mushore Chinamano   Swithun Mombeshora   Sabina Mugabe   Maurice Nyagumbo   Bernard Chidzero   Elliot Manyika   David Ishemunyoro Karimanzira   Livingstone Mernard Negidi Muzariri   Brig. Gen.. Armstrong Grumpy Mowa `` colapso '""Snow Guu"&amp;"teston - Brock Jogon Luna Hill Herbert Mahlaba Lt. Gen.. (Rtd) Amoth Chingombe Edson Ncube Elias Kanengoni Nathan Shamuyarira Kantibhai Gordanbhai George Lifa (Maj. Wende Gary estabeleceu Tamayi Hlomayi Magadzire Vivian Mwashita Victoria Little Charles's "&amp;"Tree Cephas G. Mospe Peter Desafios enviado")</f>
        <v>  Cephas celebra Felix Blown plantando a Sabina Mugabe Kaneli Ramina Stauka Sumani Ramina Stauka Sumani Ramina Stauka Sumani Ramina Stauka Stau Stau (Solo Womit Ramina Stanford Saluel Stauka Staw Stawn St. Poll e Poll Match) Josiah's Miamya e Josavho Stan Stawn St. Fell Sosses ndricu T.M. George Silundika johanna `` `Mama '' Mafuyana major general charlse njodzi dauramanzi edson jonasi mudadirwa zvobgo julia tukai zvobgo simon vengai muzenda lookout Masuku herbert sylvester masherniwawawawokkukunze Ulverwell General Solomon Rex Nhongo Mutusva - Mujuru Brig General John Zingoni   Josiah Tungamirai   Brigadier General Gumbo   Zororo Duri   Christopher Machingura Ushewokunze   Sikwili Kohli Moyo   Vitalis Zvinavashe   Chenjerai Hunzvi   Border Gezi   Robson Manyika   Josiah Mushore Chinamano   Swithun Mombeshora   Sabina Mugabe   Maurice Nyagumbo   Bernard Chidzero   Elliot Manyika   David Ishemunyoro Karimanzira   Livingstone Mernard Negidi Muzariri   Brig. Gen.. Armstrong Grumpy Mowa `` colapso '"Snow Guuteston - Brock Jogon Luna Hill Herbert Mahlaba Lt. Gen.. (Rtd) Amoth Chingombe Edson Ncube Elias Kanengoni Nathan Shamuyarira Kantibhai Gordanbhai George Lifa (Maj. Wende Gary estabeleceu Tamayi Hlomayi Magadzire Vivian Mwashita Victoria Little Charles's Tree Cephas G. Mospe Peter Desafios enviado</v>
      </c>
    </row>
    <row r="512" customFormat="false" ht="15.75" hidden="false" customHeight="true" outlineLevel="0" collapsed="false">
      <c r="A512" s="3" t="n">
        <v>509</v>
      </c>
      <c r="B512" s="5" t="s">
        <v>1529</v>
      </c>
      <c r="C512" s="5" t="s">
        <v>1530</v>
      </c>
      <c r="D512" s="5" t="s">
        <v>1531</v>
      </c>
      <c r="E512" s="4" t="str">
        <f aca="false">IFERROR(__xludf.dummyfunction("GOOGLETRANSLATE(C513)"),"quem cantou a música se for para ser")</f>
        <v>quem cantou a música se for para ser</v>
      </c>
      <c r="F512" s="5" t="str">
        <f aca="false">IFERROR(__xludf.dummyfunction("GOOGLETRANSLATE(D512)")," James deu as instruções dos tradutores destinados a garantir que a nova versão esteja em conformidade com a eclesiologia e refletisse a estrutura episcopal da Igreja da Inglaterra e sua crença em um clero ordenado. A tradução foi feita por 47 estudiosos,"&amp;" todos membros da Igreja da Inglaterra. Em comum com a maioria das outras traduções do período, o Novo Testamento foi traduzido do grego, o Antigo Testamento de Hebraico e Aamaico e o apócrifo do grego e do latim. No Livro da Oração Comum (1662), o texto "&amp;"da versão autorizada substituiu o texto da Grande Bíblia para leituras de epístola e evangelho (mas não para o Saltério, que manteve substancialmente a grande versão da Bíblia de Coverdale) e, como tal, foi autorizado por ato do parlamento.")</f>
        <v> James deu as instruções dos tradutores destinados a garantir que a nova versão esteja em conformidade com a eclesiologia e refletisse a estrutura episcopal da Igreja da Inglaterra e sua crença em um clero ordenado. A tradução foi feita por 47 estudiosos, todos membros da Igreja da Inglaterra. Em comum com a maioria das outras traduções do período, o Novo Testamento foi traduzido do grego, o Antigo Testamento de Hebraico e Aamaico e o apócrifo do grego e do latim. No Livro da Oração Comum (1662), o texto da versão autorizada substituiu o texto da Grande Bíblia para leituras de epístola e evangelho (mas não para o Saltério, que manteve substancialmente a grande versão da Bíblia de Coverdale) e, como tal, foi autorizado por ato do parlamento.</v>
      </c>
    </row>
    <row r="513" customFormat="false" ht="15.75" hidden="false" customHeight="true" outlineLevel="0" collapsed="false">
      <c r="A513" s="3" t="n">
        <v>510</v>
      </c>
      <c r="B513" s="5" t="s">
        <v>1532</v>
      </c>
      <c r="C513" s="5" t="s">
        <v>1533</v>
      </c>
      <c r="D513" s="5" t="s">
        <v>1534</v>
      </c>
      <c r="E513" s="4" t="str">
        <f aca="false">IFERROR(__xludf.dummyfunction("GOOGLETRANSLATE(C514)"),"Não jogue o bebê fora com a origem da água do banho")</f>
        <v>Não jogue o bebê fora com a origem da água do banho</v>
      </c>
      <c r="F513" s="5" t="str">
        <f aca="false">IFERROR(__xludf.dummyfunction("GOOGLETRANSLATE(D513)")," `` Destinado a ser '' é uma música gravada pelo cantor americano Bebe Rexha, com vocais da dupla de música country americana Florida Georgia Line, da terceira jogada prolongada de Rexha (EP) toda sua culpa: pt. 2 e estréia expectativas do álbum de estúdi"&amp;"o. Foi lançado no American Contemporary Hit Radio em 24 de outubro de 2017, pela Warner Bros. Records como o segundo single do EP.")</f>
        <v> `` Destinado a ser '' é uma música gravada pelo cantor americano Bebe Rexha, com vocais da dupla de música country americana Florida Georgia Line, da terceira jogada prolongada de Rexha (EP) toda sua culpa: pt. 2 e estréia expectativas do álbum de estúdio. Foi lançado no American Contemporary Hit Radio em 24 de outubro de 2017, pela Warner Bros. Records como o segundo single do EP.</v>
      </c>
    </row>
    <row r="514" customFormat="false" ht="15.75" hidden="false" customHeight="true" outlineLevel="0" collapsed="false">
      <c r="A514" s="3" t="n">
        <v>511</v>
      </c>
      <c r="B514" s="5" t="s">
        <v>1535</v>
      </c>
      <c r="C514" s="5" t="s">
        <v>1536</v>
      </c>
      <c r="D514" s="5" t="s">
        <v>1537</v>
      </c>
      <c r="E514" s="4" t="str">
        <f aca="false">IFERROR(__xludf.dummyfunction("GOOGLETRANSLATE(C515)"),"Pai americano Jeff termina com o episódio de Hayley")</f>
        <v>Pai americano Jeff termina com o episódio de Hayley</v>
      </c>
      <c r="F514" s="5" t="str">
        <f aca="false">IFERROR(__xludf.dummyfunction("GOOGLETRANSLATE(D514)")," Alguns afirmam que a frase se origina de uma época em que toda a família compartilhou a mesma água do banho. O chefe de família (Senhor) tomaria banho primeiro, seguido pelos homens, depois a dama e as mulheres, depois as crianças, seguidas pelo bebê. A "&amp;"água seria tão preta de sujeira que um bebê poderia ser acidentalmente `` jogado com a água do banho ''. Outros afirmam que não há evidências históricas de que exista alguma conexão com a prática de vários membros da família usando a mesma água do banho, "&amp;"o bebê sendo banhado por último.")</f>
        <v> Alguns afirmam que a frase se origina de uma época em que toda a família compartilhou a mesma água do banho. O chefe de família (Senhor) tomaria banho primeiro, seguido pelos homens, depois a dama e as mulheres, depois as crianças, seguidas pelo bebê. A água seria tão preta de sujeira que um bebê poderia ser acidentalmente `` jogado com a água do banho ''. Outros afirmam que não há evidências históricas de que exista alguma conexão com a prática de vários membros da família usando a mesma água do banho, o bebê sendo banhado por último.</v>
      </c>
    </row>
    <row r="515" customFormat="false" ht="15.75" hidden="false" customHeight="true" outlineLevel="0" collapsed="false">
      <c r="A515" s="3" t="n">
        <v>512</v>
      </c>
      <c r="B515" s="5" t="s">
        <v>1538</v>
      </c>
      <c r="C515" s="5" t="s">
        <v>1539</v>
      </c>
      <c r="D515" s="5" t="s">
        <v>1540</v>
      </c>
      <c r="E515" s="4" t="str">
        <f aca="false">IFERROR(__xludf.dummyfunction("GOOGLETRANSLATE(C516)"),"A área entre os rios Tigre e Eufrates")</f>
        <v>A área entre os rios Tigre e Eufrates</v>
      </c>
      <c r="F515" s="5" t="str">
        <f aca="false">IFERROR(__xludf.dummyfunction("GOOGLETRANSLATE(D515)")," Stan furta a massa de biscoito que Francine diz para ele não comer e esconde -a antes que ela descubra. Hayley e Jeff anunciam que estão indo à loja para comprar contas para que Jeff pudesse abrir sua própria loja de contas. Hayley diz bem - tchau e `` e"&amp;"u te amo '', mas Stan apenas diz `` ok ''. Francine pergunta por que não admite que ama Hayley. Stan diz que ele pode, mas apenas planeja quando está no último momento de câncer incurável, então ela morre feliz. Na CIA, Bullock dá uma palestra de que o co"&amp;"rpo dupla é para fins de trabalho somente depois que o duplo de Saunders revela o ardil dele fazendo amor com uma aeromoça embriagada. No shopping, Hayley vai a um tumulto destrutivo depois que Jeff termina o relacionamento deles. Stan corre para o shoppi"&amp;"ng e repreende Jeff, também explicando que Hayley fica tumulto toda vez que um namorado termina com ela. Stan acabou a impede com 19 dardos tranquilizantes e traz sua casa. Ele informa a Francine que os policiais farão com que Hayley vá para a cadeia se e"&amp;"la continuar em outro tumulto depois disso.")</f>
        <v> Stan furta a massa de biscoito que Francine diz para ele não comer e esconde -a antes que ela descubra. Hayley e Jeff anunciam que estão indo à loja para comprar contas para que Jeff pudesse abrir sua própria loja de contas. Hayley diz bem - tchau e `` eu te amo '', mas Stan apenas diz `` ok ''. Francine pergunta por que não admite que ama Hayley. Stan diz que ele pode, mas apenas planeja quando está no último momento de câncer incurável, então ela morre feliz. Na CIA, Bullock dá uma palestra de que o corpo dupla é para fins de trabalho somente depois que o duplo de Saunders revela o ardil dele fazendo amor com uma aeromoça embriagada. No shopping, Hayley vai a um tumulto destrutivo depois que Jeff termina o relacionamento deles. Stan corre para o shopping e repreende Jeff, também explicando que Hayley fica tumulto toda vez que um namorado termina com ela. Stan acabou a impede com 19 dardos tranquilizantes e traz sua casa. Ele informa a Francine que os policiais farão com que Hayley vá para a cadeia se ela continuar em outro tumulto depois disso.</v>
      </c>
    </row>
    <row r="516" customFormat="false" ht="15.75" hidden="false" customHeight="true" outlineLevel="0" collapsed="false">
      <c r="A516" s="3" t="n">
        <v>513</v>
      </c>
      <c r="B516" s="5" t="s">
        <v>1541</v>
      </c>
      <c r="C516" s="5" t="s">
        <v>1542</v>
      </c>
      <c r="D516" s="5" t="s">
        <v>1543</v>
      </c>
      <c r="E516" s="4" t="str">
        <f aca="false">IFERROR(__xludf.dummyfunction("GOOGLETRANSLATE(C517)"),"A revisão mais recente do Código de Ética da APA foi publicada em")</f>
        <v>A revisão mais recente do Código de Ética da APA foi publicada em</v>
      </c>
      <c r="F516" s="5" t="str">
        <f aca="false">IFERROR(__xludf.dummyfunction("GOOGLETRANSLATE(D516)")," A ecorregião é caracterizada por dois grandes rios, o Tigre e o Eufrates. Os rios têm vários pequenos afluentes que alimentam o sistema de lagos de água doce rasa, pântanos e pântanos, todos cercados pelo deserto. A hidrologia desses vastos pântanos é ex"&amp;"tremamente importante para a ecologia de todo o Golfo Pérsico Alto. Historicamente, a área é conhecida como Mesopotâmia. Como parte do crescente fértil maior, viu o surgimento mais antigo da civilização urbana alfabetizada no período Uruk, pela qual é fre"&amp;"quentemente descrito como um `` berço da civilização ''.")</f>
        <v> A ecorregião é caracterizada por dois grandes rios, o Tigre e o Eufrates. Os rios têm vários pequenos afluentes que alimentam o sistema de lagos de água doce rasa, pântanos e pântanos, todos cercados pelo deserto. A hidrologia desses vastos pântanos é extremamente importante para a ecologia de todo o Golfo Pérsico Alto. Historicamente, a área é conhecida como Mesopotâmia. Como parte do crescente fértil maior, viu o surgimento mais antigo da civilização urbana alfabetizada no período Uruk, pela qual é frequentemente descrito como um `` berço da civilização ''.</v>
      </c>
    </row>
    <row r="517" customFormat="false" ht="15.75" hidden="false" customHeight="true" outlineLevel="0" collapsed="false">
      <c r="A517" s="3" t="n">
        <v>514</v>
      </c>
      <c r="B517" s="5" t="s">
        <v>1544</v>
      </c>
      <c r="C517" s="5" t="s">
        <v>1545</v>
      </c>
      <c r="D517" s="5" t="s">
        <v>1546</v>
      </c>
      <c r="E517" s="4" t="str">
        <f aca="false">IFERROR(__xludf.dummyfunction("GOOGLETRANSLATE(C518)"),"De onde vêm uma maçã por dia mantém o médico longe")</f>
        <v>De onde vêm uma maçã por dia mantém o médico longe</v>
      </c>
      <c r="F517" s="5" t="str">
        <f aca="false">IFERROR(__xludf.dummyfunction("GOOGLETRANSLATE(D517)")," A primeira versão foi publicada pela APA em 1953. A necessidade de esse documento veio depois que os psicólogos estavam assumindo mais funções profissionais e públicas após a Segunda Guerra Mundial. Um comitê foi desenvolvido e revisou situações apresent"&amp;"adas por psicólogos no campo que achavam que haviam encontrado dilemas éticos. O comitê organizou essas situações em temas e os incluiu no primeiro documento, com 170 páginas de comprimento. Ao longo dos anos, foi feita uma distinção entre princípios aspi"&amp;"racionais e padrões aplicáveis. Desde então, houve nove revisões com as mais recentes publicadas em 2002 e alteradas em 2010.")</f>
        <v> A primeira versão foi publicada pela APA em 1953. A necessidade de esse documento veio depois que os psicólogos estavam assumindo mais funções profissionais e públicas após a Segunda Guerra Mundial. Um comitê foi desenvolvido e revisou situações apresentadas por psicólogos no campo que achavam que haviam encontrado dilemas éticos. O comitê organizou essas situações em temas e os incluiu no primeiro documento, com 170 páginas de comprimento. Ao longo dos anos, foi feita uma distinção entre princípios aspiracionais e padrões aplicáveis. Desde então, houve nove revisões com as mais recentes publicadas em 2002 e alteradas em 2010.</v>
      </c>
    </row>
    <row r="518" customFormat="false" ht="15.75" hidden="false" customHeight="true" outlineLevel="0" collapsed="false">
      <c r="A518" s="3" t="n">
        <v>515</v>
      </c>
      <c r="B518" s="5" t="s">
        <v>1547</v>
      </c>
      <c r="C518" s="5" t="s">
        <v>1548</v>
      </c>
      <c r="D518" s="5" t="s">
        <v>1549</v>
      </c>
      <c r="E518" s="4" t="str">
        <f aca="false">IFERROR(__xludf.dummyfunction("GOOGLETRANSLATE(C519)"),"que ganhou o Prêmio ICC 2008 por Twenty20 International Performance of the Year")</f>
        <v>que ganhou o Prêmio ICC 2008 por Twenty20 International Performance of the Year</v>
      </c>
      <c r="F518" s="5" t="str">
        <f aca="false">IFERROR(__xludf.dummyfunction("GOOGLETRANSLATE(D518)")," Registrado pela primeira vez na década de 1860, o provérbio se originou no País de Gales e foi particularmente prevalente em Pembrokshire. A primeira versão em inglês do ditado foi `` comer uma maçã ao ir para a cama, e você impedirá que o médico ganhass"&amp;"e o pão. '' O fraseado atual (`` Uma maçã por dia mantém o médico afastado '') foi usado pela primeira vez em 1922.")</f>
        <v> Registrado pela primeira vez na década de 1860, o provérbio se originou no País de Gales e foi particularmente prevalente em Pembrokshire. A primeira versão em inglês do ditado foi `` comer uma maçã ao ir para a cama, e você impedirá que o médico ganhasse o pão. '' O fraseado atual (`` Uma maçã por dia mantém o médico afastado '') foi usado pela primeira vez em 1922.</v>
      </c>
    </row>
    <row r="519" customFormat="false" ht="15.75" hidden="false" customHeight="true" outlineLevel="0" collapsed="false">
      <c r="A519" s="3" t="n">
        <v>516</v>
      </c>
      <c r="B519" s="5" t="s">
        <v>1550</v>
      </c>
      <c r="C519" s="5" t="s">
        <v>1551</v>
      </c>
      <c r="D519" s="5" t="s">
        <v>1552</v>
      </c>
      <c r="E519" s="4" t="str">
        <f aca="false">IFERROR(__xludf.dummyfunction("GOOGLETRANSLATE(C520)"),"quem ganhou o maior Oscar de todos os tempos")</f>
        <v>quem ganhou o maior Oscar de todos os tempos</v>
      </c>
      <c r="F519" s="5" t="str">
        <f aca="false">IFERROR(__xludf.dummyfunction("GOOGLETRANSLATE(D519)"),"  Críquete do ano: Shivnarine Chanderpaul (Índias Ocidentais) Jogador do Ano: Dale Steyn (África do Sul) Jogador ODI do Ano: MS Dhoni (Índia) Twenty20 Performance Internacional do Ano: Yuvraj Singh (Índia) Jogador Emergente do The of the Ano: Ajantha Mend"&amp;"is (Sri Lanka) Jogador Associado do Ano: Ryan Ten Dodchate (Holanda) Ármor do Ano: Críquete do Ano de Simon Taufel (Austrália) do Ano: Charlotte Edwards (Inglaterra) Spirit of Cricket: Sri Lanka World Teste XI: Graeme Smith (SA, Capitão), Virender Sehwag "&amp;"(Ind), Mahela Jayawardene (SL), Shivnarine Chanderpaul (WI), Kevin Pietersen (Eng), Jacques Kallis (Sa), Kumar Sangakkara (Sl, Wicket -Keeper) , Brett Lee (Aus), Ryan Sidebottom (Eng), Dale Steyn (SA), Muttiah Muralitharan (SL), 12º homem: Stuart Clark (A"&amp;"us) Mundial Um - Dia XI: Herschelle Gibbs (SA), Sachin Tendulkar (Ind) , Ricky Ponting (Aus, Capitão), Ajantha Mendis (SL), Farveez Maharoof (SL), MS Dhoni (Ind, Wicket - Keeper), Andrew Symonds (Aus), Daniel Vettori (NZ), Brett Lee (Aus), Mitchell, Johns"&amp;"on (Aus), Nathan Bracken (Aus), 12º homem: Salman Butt (Pak)")</f>
        <v>  Críquete do ano: Shivnarine Chanderpaul (Índias Ocidentais) Jogador do Ano: Dale Steyn (África do Sul) Jogador ODI do Ano: MS Dhoni (Índia) Twenty20 Performance Internacional do Ano: Yuvraj Singh (Índia) Jogador Emergente do The of the Ano: Ajantha Mendis (Sri Lanka) Jogador Associado do Ano: Ryan Ten Dodchate (Holanda) Ármor do Ano: Críquete do Ano de Simon Taufel (Austrália) do Ano: Charlotte Edwards (Inglaterra) Spirit of Cricket: Sri Lanka World Teste XI: Graeme Smith (SA, Capitão), Virender Sehwag (Ind), Mahela Jayawardene (SL), Shivnarine Chanderpaul (WI), Kevin Pietersen (Eng), Jacques Kallis (Sa), Kumar Sangakkara (Sl, Wicket -Keeper) , Brett Lee (Aus), Ryan Sidebottom (Eng), Dale Steyn (SA), Muttiah Muralitharan (SL), 12º homem: Stuart Clark (Aus) Mundial Um - Dia XI: Herschelle Gibbs (SA), Sachin Tendulkar (Ind) , Ricky Ponting (Aus, Capitão), Ajantha Mendis (SL), Farveez Maharoof (SL), MS Dhoni (Ind, Wicket - Keeper), Andrew Symonds (Aus), Daniel Vettori (NZ), Brett Lee (Aus), Mitchell, Johnson (Aus), Nathan Bracken (Aus), 12º homem: Salman Butt (Pak)</v>
      </c>
    </row>
    <row r="520" customFormat="false" ht="15.75" hidden="false" customHeight="true" outlineLevel="0" collapsed="false">
      <c r="A520" s="3" t="n">
        <v>517</v>
      </c>
      <c r="B520" s="5" t="s">
        <v>1553</v>
      </c>
      <c r="C520" s="5" t="s">
        <v>1554</v>
      </c>
      <c r="D520" s="5" t="s">
        <v>1555</v>
      </c>
      <c r="E520" s="4" t="str">
        <f aca="false">IFERROR(__xludf.dummyfunction("GOOGLETRANSLATE(C521)"),"Em que dia o Dia do Trabalho cai em 2018")</f>
        <v>Em que dia o Dia do Trabalho cai em 2018</v>
      </c>
      <c r="F520" s="5" t="str">
        <f aca="false">IFERROR(__xludf.dummyfunction("GOOGLETRANSLATE(D520)"),"  A maioria dos prêmios ganhos por um único filme três filmes ganhou 11 ACDERCAÇÃO ACDIMENTE: BEN - HUR (1959) - 15 categorias disponíveis para indicação; Nomeado para 12 Titanic (1997) - 17 categorias disponíveis para indicação; Nomeado para 14 O Senhor "&amp;"dos Anéis: O Retorno do Rei (2003) - 17 categorias disponíveis para indicação; Nomeado para 11 indicações recebidas por um único filme, três filmes receberam 14 indicações: All About Eve (1950) - 16 categorias disponíveis para indicação; ganhou 6 prêmios "&amp;"Titanic (1997) - 17 categorias disponíveis para indicação; ganhou 11 prêmios La La Land (2016) - 17 categorias disponíveis para indicação; Ganhou 6 prêmios Maior varredura (prêmios vencedores em todas as categorias indicadas) O Senhor dos Anéis: The Retur"&amp;"n of the King (2003) venceu todas as 11 categorias para as quais foi nomeado: Melhor Filme, Diretor, Roteiro Adaptado, Pontuação Original, Música Original , Mixagem de som, direção de arte, maquiagem, design de figurinos, edição de filmes e efeitos visuai"&amp;"s A maioria dos prêmios ganhos por um Walt Disney individual ganhou 22 Oscars. A maioria dos prêmios ganhos por uma mulher que Edith Head ganhou oito Oscars, todos por design de figurinos, a maioria das indicações em um único ano / a maioria dos prêmios e"&amp;"m um único ano em 1954, Walt Disney ganhou quatro prêmios em seis indicações, ambos os recordes. Ele ganhou o melhor documentário, recursos para o deserto vivo; Melhor documentário, assuntos curtos para o esquimó do Alasca; Melhor matéria curta, desenhos "&amp;"animados para apito de apito e boom; e Melhor Assunto curto, dois - carretéis para o país de urso. Ele teve duas indicações adicionais em Melhor Assunto curto, desenhos animados para urso robusto; E o melhor assunto curto, dois - carretéis para Ben e eu. "&amp;"A maioria dos prêmios conquistados por uma pessoa que ainda está viva sobre o supervisor de efeitos visuais Dennis Muren ganhou nove prêmios da Academia - seis prêmios competitivos, dois prêmios `` conquistas especiais '' e um `` prêmio de realização técn"&amp;"ica '', o prêmio mais competitivo conquistado por um Pessoa que ainda está viva compositora Alan Menken ganhou oito prêmios da Academia Competitiva, Katharine Hepburn, ganhou quatro prêmios, todos para a melhor atriz dirigindo John Ford ganhou os prêmios "&amp;"mais diretores, com quatro cinematografia, o maior número de prêmios da Academia vencido por um cinematógrafo é quatro: Joseph Ruttenberg, em 1938, 1942, 1956 e 1958, Leon Shamroy, em 1942, 1944, 1945 e 1963, Cedric Gibbons, que projetou a estatueta do Os"&amp;"car, ganhou 11 prêmios de um total de 39 indicações. A maquiagem Rick Baker ganhou sete prêmios da Academia (todos de melhor maquiagem) a maioria dos prêmios ganhos por um país para o melhor filme de língua estrangeira, a Itália ganhou 14 prêmios nessa ca"&amp;"tegoria e recebeu no total de 32 indicações que a maioria das indicações recebidas por um país de melhor filme de língua estrangeira França recebida 40 indicações e ganhou o prêmio 12 vezes a maioria dos prêmios ganhos por um filme de idioma estrangeiro -"&amp;" filmes de idiomas estrangeiros - ganharam quatro prêmios da Academia: Fanny e Alexander (1982) ganharam o melhor filme de língua estrangeira, melhor cinematografia, melhor direção de arte e melhor fantasia Design Crouching Tiger, Hidden Dragon (2000) gan"&amp;"hou o melhor filme de língua estrangeira, melhor direção de arte, melhor partitura original e melhor cinematografia, a maioria das indicações recebidas por um filme de língua estrangeira - Crouching Tiger, Hidden Dragon (2000) recebeu dez indicações: Melh"&amp;"or idioma estrangeiro Filme, Melhor Filme, Melhor Diretor, Melhor Roteiro Adaptado, Melhor Música Original, Melhor Design de Figurinos, Melhor Direção de Arte, Melhor Edição de Filme, Melhor Pugência Original e Melhor Cinematografia")</f>
        <v>  A maioria dos prêmios ganhos por um único filme três filmes ganhou 11 ACDERCAÇÃO ACDIMENTE: BEN - HUR (1959) - 15 categorias disponíveis para indicação; Nomeado para 12 Titanic (1997) - 17 categorias disponíveis para indicação; Nomeado para 14 O Senhor dos Anéis: O Retorno do Rei (2003) - 17 categorias disponíveis para indicação; Nomeado para 11 indicações recebidas por um único filme, três filmes receberam 14 indicações: All About Eve (1950) - 16 categorias disponíveis para indicação; ganhou 6 prêmios Titanic (1997) - 17 categorias disponíveis para indicação; ganhou 11 prêmios La La Land (2016) - 17 categorias disponíveis para indicação; Ganhou 6 prêmios Maior varredura (prêmios vencedores em todas as categorias indicadas) O Senhor dos Anéis: The Return of the King (2003) venceu todas as 11 categorias para as quais foi nomeado: Melhor Filme, Diretor, Roteiro Adaptado, Pontuação Original, Música Original , Mixagem de som, direção de arte, maquiagem, design de figurinos, edição de filmes e efeitos visuais A maioria dos prêmios ganhos por um Walt Disney individual ganhou 22 Oscars. A maioria dos prêmios ganhos por uma mulher que Edith Head ganhou oito Oscars, todos por design de figurinos, a maioria das indicações em um único ano / a maioria dos prêmios em um único ano em 1954, Walt Disney ganhou quatro prêmios em seis indicações, ambos os recordes. Ele ganhou o melhor documentário, recursos para o deserto vivo; Melhor documentário, assuntos curtos para o esquimó do Alasca; Melhor matéria curta, desenhos animados para apito de apito e boom; e Melhor Assunto curto, dois - carretéis para o país de urso. Ele teve duas indicações adicionais em Melhor Assunto curto, desenhos animados para urso robusto; E o melhor assunto curto, dois - carretéis para Ben e eu. A maioria dos prêmios conquistados por uma pessoa que ainda está viva sobre o supervisor de efeitos visuais Dennis Muren ganhou nove prêmios da Academia - seis prêmios competitivos, dois prêmios `` conquistas especiais '' e um `` prêmio de realização técnica '', o prêmio mais competitivo conquistado por um Pessoa que ainda está viva compositora Alan Menken ganhou oito prêmios da Academia Competitiva, Katharine Hepburn, ganhou quatro prêmios, todos para a melhor atriz dirigindo John Ford ganhou os prêmios mais diretores, com quatro cinematografia, o maior número de prêmios da Academia vencido por um cinematógrafo é quatro: Joseph Ruttenberg, em 1938, 1942, 1956 e 1958, Leon Shamroy, em 1942, 1944, 1945 e 1963, Cedric Gibbons, que projetou a estatueta do Oscar, ganhou 11 prêmios de um total de 39 indicações. A maquiagem Rick Baker ganhou sete prêmios da Academia (todos de melhor maquiagem) a maioria dos prêmios ganhos por um país para o melhor filme de língua estrangeira, a Itália ganhou 14 prêmios nessa categoria e recebeu no total de 32 indicações que a maioria das indicações recebidas por um país de melhor filme de língua estrangeira França recebida 40 indicações e ganhou o prêmio 12 vezes a maioria dos prêmios ganhos por um filme de idioma estrangeiro - filmes de idiomas estrangeiros - ganharam quatro prêmios da Academia: Fanny e Alexander (1982) ganharam o melhor filme de língua estrangeira, melhor cinematografia, melhor direção de arte e melhor fantasia Design Crouching Tiger, Hidden Dragon (2000) ganhou o melhor filme de língua estrangeira, melhor direção de arte, melhor partitura original e melhor cinematografia, a maioria das indicações recebidas por um filme de língua estrangeira - Crouching Tiger, Hidden Dragon (2000) recebeu dez indicações: Melhor idioma estrangeiro Filme, Melhor Filme, Melhor Diretor, Melhor Roteiro Adaptado, Melhor Música Original, Melhor Design de Figurinos, Melhor Direção de Arte, Melhor Edição de Filme, Melhor Pugência Original e Melhor Cinematografia</v>
      </c>
    </row>
    <row r="521" customFormat="false" ht="15.75" hidden="false" customHeight="true" outlineLevel="0" collapsed="false">
      <c r="A521" s="3" t="n">
        <v>518</v>
      </c>
      <c r="B521" s="5" t="s">
        <v>1556</v>
      </c>
      <c r="C521" s="5" t="s">
        <v>1557</v>
      </c>
      <c r="D521" s="5" t="s">
        <v>1558</v>
      </c>
      <c r="E521" s="4" t="str">
        <f aca="false">IFERROR(__xludf.dummyfunction("GOOGLETRANSLATE(C522)"),"A capacidade de um átomo de atrair o elétron em sua direção é chamado")</f>
        <v>A capacidade de um átomo de atrair o elétron em sua direção é chamado</v>
      </c>
      <c r="F521" s="5" t="str">
        <f aca="false">IFERROR(__xludf.dummyfunction("GOOGLETRANSLATE(D521)"),"   Ano do trabalho do trabalho 1900 1928 1956 1984 2012 2040 2068 2096 Setembro 3 de 1901 1929 1957 1985 2013 2041 2069 2097 Setembro 2 1902 1930 1958 1986 2014 2042 2070 2098 Setembro 1 1903 1931 1959 1969 1966 2043 2071 209999998 1998 1903 1931 1959 201"&amp;"5 2043 2071 209992 1905   1933   1961     2017   2045   2073     September 4     1906   1934   1962     2018   2046   2074     September 3     1907   1935   1963   1991   2019   2047   2075     September 2     1908   1936   1964     2020   2048   2076    "&amp;" September 7     1909   1937   1965     2021   2049   2077     September 6     1910   1938   1966     2022   2050   2078     September 5     1911 1939 1967 1995 2023 2051 2079 Setembro 4 de 1912 1940 1968 2024 2052 2080 Setembro 2 de 1913 1941 1969 2025 2"&amp;"053 2081 Setembro 1 1914 1942 1970 1998 2026 2054 2082 7115 1943 19719992027202020 2082626 2054 4     1917   1945   1973     2029   2057   2085     September 3     1918   1946     2002   2030   2058   2086     September 2     1919   1947     2003   2031  "&amp;" 2059   2087     September 1     1920   1948   1976     2032   2060   2088   2100   September 6     1921   1949   1977   2005   2033   2061   2089   2101   September 5     1922   1950   1978   2006   2034   2062 2090   2102   September 4     1923   1951  "&amp;" 1979   2007   2035   2063   2091   2103   September 3     1924   1952   1980   2008   2036   2064   2092   2104   September 1     1925   1953   1981   2009   2037   2065   2093   2105   September 7     1926   1954   1982     2038   2066   2094   2106   S"&amp;"eptember 6     1927   1955     2011   2039   2067   2095   2107 5 de setembro")</f>
        <v>   Ano do trabalho do trabalho 1900 1928 1956 1984 2012 2040 2068 2096 Setembro 3 de 1901 1929 1957 1985 2013 2041 2069 2097 Setembro 2 1902 1930 1958 1986 2014 2042 2070 2098 Setembro 1 1903 1931 1959 1969 1966 2043 2071 209999998 1998 1903 1931 1959 2015 2043 2071 209992 1905   1933   1961     2017   2045   2073     September 4     1906   1934   1962     2018   2046   2074     September 3     1907   1935   1963   1991   2019   2047   2075     September 2     1908   1936   1964     2020   2048   2076     September 7     1909   1937   1965     2021   2049   2077     September 6     1910   1938   1966     2022   2050   2078     September 5     1911 1939 1967 1995 2023 2051 2079 Setembro 4 de 1912 1940 1968 2024 2052 2080 Setembro 2 de 1913 1941 1969 2025 2053 2081 Setembro 1 1914 1942 1970 1998 2026 2054 2082 7115 1943 19719992027202020 2082626 2054 4     1917   1945   1973     2029   2057   2085     September 3     1918   1946     2002   2030   2058   2086     September 2     1919   1947     2003   2031   2059   2087     September 1     1920   1948   1976     2032   2060   2088   2100   September 6     1921   1949   1977   2005   2033   2061   2089   2101   September 5     1922   1950   1978   2006   2034   2062 2090   2102   September 4     1923   1951   1979   2007   2035   2063   2091   2103   September 3     1924   1952   1980   2008   2036   2064   2092   2104   September 1     1925   1953   1981   2009   2037   2065   2093   2105   September 7     1926   1954   1982     2038   2066   2094   2106   September 6     1927   1955     2011   2039   2067   2095   2107 5 de setembro</v>
      </c>
    </row>
    <row r="522" customFormat="false" ht="15.75" hidden="false" customHeight="true" outlineLevel="0" collapsed="false">
      <c r="A522" s="3" t="n">
        <v>519</v>
      </c>
      <c r="B522" s="5" t="s">
        <v>1559</v>
      </c>
      <c r="C522" s="5" t="s">
        <v>1560</v>
      </c>
      <c r="D522" s="5" t="s">
        <v>1561</v>
      </c>
      <c r="E522" s="4" t="str">
        <f aca="false">IFERROR(__xludf.dummyfunction("GOOGLETRANSLATE(C523)"),"haverá uma 5ª temporada para degrassi")</f>
        <v>haverá uma 5ª temporada para degrassi</v>
      </c>
      <c r="F522" s="5" t="str">
        <f aca="false">IFERROR(__xludf.dummyfunction("GOOGLETRANSLATE(D522)")," A eletronegatividade, símbolo χ, é uma propriedade química que descreve a tendência de um átomo de atrair elétrons (ou densidade de elétrons) em sua direção. A eletronegatividade de um átomo é afetada tanto pelo número atômico quanto pela distância na qu"&amp;"al seus elétrons de valência residem do núcleo carregado. Quanto maior o número de eletronegatividade associado, mais um elemento ou composto atrai elétrons para ele.")</f>
        <v> A eletronegatividade, símbolo χ, é uma propriedade química que descreve a tendência de um átomo de atrair elétrons (ou densidade de elétrons) em sua direção. A eletronegatividade de um átomo é afetada tanto pelo número atômico quanto pela distância na qual seus elétrons de valência residem do núcleo carregado. Quanto maior o número de eletronegatividade associado, mais um elemento ou composto atrai elétrons para ele.</v>
      </c>
    </row>
    <row r="523" customFormat="false" ht="15.75" hidden="false" customHeight="true" outlineLevel="0" collapsed="false">
      <c r="A523" s="3" t="n">
        <v>520</v>
      </c>
      <c r="B523" s="5" t="s">
        <v>1562</v>
      </c>
      <c r="C523" s="5" t="s">
        <v>1563</v>
      </c>
      <c r="D523" s="5" t="s">
        <v>1564</v>
      </c>
      <c r="E523" s="4" t="str">
        <f aca="false">IFERROR(__xludf.dummyfunction("GOOGLETRANSLATE(C524)"),"quem foi o primeiro soldado morto na Segunda Guerra Mundial")</f>
        <v>quem foi o primeiro soldado morto na Segunda Guerra Mundial</v>
      </c>
      <c r="F523" s="5" t="str">
        <f aca="false">IFERROR(__xludf.dummyfunction("GOOGLETRANSLATE(D523)")," Embora não esteja oficialmente confirmado pelas redes, a co-criadora da série, Linda Schuyler, afirmou que o brainstorming está em andamento para as temporadas cinco e seis da próxima aula. Novos protagonistas da série e personagens recorrentes também fo"&amp;"ram escalados para ingressar na série.")</f>
        <v> Embora não esteja oficialmente confirmado pelas redes, a co-criadora da série, Linda Schuyler, afirmou que o brainstorming está em andamento para as temporadas cinco e seis da próxima aula. Novos protagonistas da série e personagens recorrentes também foram escalados para ingressar na série.</v>
      </c>
    </row>
    <row r="524" customFormat="false" ht="15.75" hidden="false" customHeight="true" outlineLevel="0" collapsed="false">
      <c r="A524" s="3" t="n">
        <v>521</v>
      </c>
      <c r="B524" s="5" t="s">
        <v>1565</v>
      </c>
      <c r="C524" s="5" t="s">
        <v>1566</v>
      </c>
      <c r="D524" s="5" t="s">
        <v>1567</v>
      </c>
      <c r="E524" s="4" t="str">
        <f aca="false">IFERROR(__xludf.dummyfunction("GOOGLETRANSLATE(C525)"),"que jogou o diabo na tempestade do século")</f>
        <v>que jogou o diabo na tempestade do século</v>
      </c>
      <c r="F524" s="5" t="str">
        <f aca="false">IFERROR(__xludf.dummyfunction("GOOGLETRANSLATE(D524)")," Embora Parr seja o primeiro soldado da Commonwealth morto em ação, vários soldados foram mortos por incêndio amigável e tiro acidental após a declaração de guerra, mas antes de as tropas serem enviadas para o exterior, começando com a CPL Arthur Rawson e"&amp;"m 9 de agosto de 1914. Ainda mais cedo, em 6 de agosto de 1914, o Cruiser HMS Amphion (1911) atingiu uma mina alemã e afundou, matando cerca de 150 marinheiros.")</f>
        <v> Embora Parr seja o primeiro soldado da Commonwealth morto em ação, vários soldados foram mortos por incêndio amigável e tiro acidental após a declaração de guerra, mas antes de as tropas serem enviadas para o exterior, começando com a CPL Arthur Rawson em 9 de agosto de 1914. Ainda mais cedo, em 6 de agosto de 1914, o Cruiser HMS Amphion (1911) atingiu uma mina alemã e afundou, matando cerca de 150 marinheiros.</v>
      </c>
    </row>
    <row r="525" customFormat="false" ht="15.75" hidden="false" customHeight="true" outlineLevel="0" collapsed="false">
      <c r="A525" s="3" t="n">
        <v>522</v>
      </c>
      <c r="B525" s="5" t="s">
        <v>1568</v>
      </c>
      <c r="C525" s="5" t="s">
        <v>1569</v>
      </c>
      <c r="D525" s="5" t="s">
        <v>1570</v>
      </c>
      <c r="E525" s="4" t="str">
        <f aca="false">IFERROR(__xludf.dummyfunction("GOOGLETRANSLATE(C526)"),"Qual é a duração total da área costeira indiana")</f>
        <v>Qual é a duração total da área costeira indiana</v>
      </c>
      <c r="F525" s="5" t="str">
        <f aca="false">IFERROR(__xludf.dummyfunction("GOOGLETRANSLATE(D525)")," Uma nevasca muito poderosa atinge a pequena cidade fictícia de Little Hall Island (também o cenário do romance de King, Dolores Claiborne), na costa do Maine. A tempestade é tão poderosa que todo o acesso da ilha está bloqueado e ninguém é capaz de deixa"&amp;"r a ilha até que a tempestade termine. Enquanto tentava lidar com a tempestade, a tragédia ocorre quando um dos moradores da cidade é brutalmente assassinado por André Linoge (Colm Feore), um estranho ameaçador que parece conhecer os segredos mais sombrio"&amp;"s dos membros da cidade e que não dá nenhum sugestão de seu Motivos que não sejam a declaração enigmática `` me dê o que eu quero, e eu vou embora. ''")</f>
        <v> Uma nevasca muito poderosa atinge a pequena cidade fictícia de Little Hall Island (também o cenário do romance de King, Dolores Claiborne), na costa do Maine. A tempestade é tão poderosa que todo o acesso da ilha está bloqueado e ninguém é capaz de deixar a ilha até que a tempestade termine. Enquanto tentava lidar com a tempestade, a tragédia ocorre quando um dos moradores da cidade é brutalmente assassinado por André Linoge (Colm Feore), um estranho ameaçador que parece conhecer os segredos mais sombrios dos membros da cidade e que não dá nenhum sugestão de seu Motivos que não sejam a declaração enigmática `` me dê o que eu quero, e eu vou embora. ''</v>
      </c>
    </row>
    <row r="526" customFormat="false" ht="15.75" hidden="false" customHeight="true" outlineLevel="0" collapsed="false">
      <c r="A526" s="3" t="n">
        <v>523</v>
      </c>
      <c r="B526" s="5" t="s">
        <v>1571</v>
      </c>
      <c r="C526" s="5" t="s">
        <v>1572</v>
      </c>
      <c r="D526" s="5" t="s">
        <v>1573</v>
      </c>
      <c r="E526" s="4" t="str">
        <f aca="false">IFERROR(__xludf.dummyfunction("GOOGLETRANSLATE(C527)"),"quem ganhou o maior número de estados nas eleições presidenciais de 2016")</f>
        <v>quem ganhou o maior número de estados nas eleições presidenciais de 2016</v>
      </c>
      <c r="F526" s="5" t="str">
        <f aca="false">IFERROR(__xludf.dummyfunction("GOOGLETRANSLATE(D526)")," Ehotite de indiasvansiasaniasanias, como pacentanain 21 £ 4 £ 4 ® 4 ® mm ® 78 7 e 7.273 km (1.299 9, 99 9, 9, 9, 9, 4, 4, 4, 40-47, 40-47) (2,55. ) Nepal: 1.751 km (1.088 mi) Myanmar: 1.643 km (1,021 mi) Butão: 699 km (434 mi) Afghanistan: 106 km (66 mi)"&amp;" de ponto mais alto Kangteranjunga 8,586 m (286,109 4) de 43 mi de 43 -Terty - 26,10 (286 km) de 286 km (66 mi) de Kangternjunga 8,586 mi (66 mi) de 28 km (66 mi) de 430 -26,10 (286 km) de 28,10 anos. 24, 84, 84, 84, 82, 82) 8, 82, 82)")</f>
        <v> Ehotite de indiasvansiasaniasanias, como pacentanain 21 £ 4 £ 4 ® 4 ® mm ® 78 7 e 7.273 km (1.299 9, 99 9, 9, 9, 9, 4, 4, 4, 40-47, 40-47) (2,55. ) Nepal: 1.751 km (1.088 mi) Myanmar: 1.643 km (1,021 mi) Butão: 699 km (434 mi) Afghanistan: 106 km (66 mi) de ponto mais alto Kangteranjunga 8,586 m (286,109 4) de 43 mi de 43 -Terty - 26,10 (286 km) de 286 km (66 mi) de Kangternjunga 8,586 mi (66 mi) de 28 km (66 mi) de 430 -26,10 (286 km) de 28,10 anos. 24, 84, 84, 84, 82, 82) 8, 82, 82)</v>
      </c>
    </row>
    <row r="527" customFormat="false" ht="15.75" hidden="false" customHeight="true" outlineLevel="0" collapsed="false">
      <c r="A527" s="3" t="n">
        <v>524</v>
      </c>
      <c r="B527" s="5" t="s">
        <v>1574</v>
      </c>
      <c r="C527" s="5" t="s">
        <v>1575</v>
      </c>
      <c r="D527" s="5" t="s">
        <v>1576</v>
      </c>
      <c r="E527" s="4" t="str">
        <f aca="false">IFERROR(__xludf.dummyfunction("GOOGLETRANSLATE(C528)"),"que estrelou oh que guerra adorável")</f>
        <v>que estrelou oh que guerra adorável</v>
      </c>
      <c r="F527" s="5" t="str">
        <f aca="false">IFERROR(__xludf.dummyfunction("GOOGLETRANSLATE(D527)")," Os eleitores selecionaram membros do Colégio Eleitoral em cada estado, na maioria dos casos por `` vencedor - toma - All '' Plurity; Esses eleitores de estado, por sua vez, votaram em um novo presidente e vice -presidente em 19 de dezembro de 2016. Enqua"&amp;"nto Clinton recebeu cerca de 2,9 milhões de votos em todo o país, uma margem de 2,1 %, Trump ganhou 30 estados com um total de 306 eleitores, ou 57 % dos 538 disponíveis. Ele venceu os três estados perenes de balanço da Flórida, Ohio e Iowa, bem como os t"&amp;"rês estados da `` parede azul '' de Michigan, Pensilvânia e Wisconsin. Ele também ganhou o segundo distrito do Congresso do Maine, que não havia sido vencido por um candidato presidencial republicano desde 1988. Antes da eleição, uma vitória de Trump foi "&amp;"considerada improvável por quase todas as previsões de mídia. Após sua vitória, alguns comentaristas compararam a eleição à campanha vitoriosa do presidente Harry S. Truman em 1948 como um dos maiores distúrbios políticos da história americana moderna.")</f>
        <v> Os eleitores selecionaram membros do Colégio Eleitoral em cada estado, na maioria dos casos por `` vencedor - toma - All '' Plurity; Esses eleitores de estado, por sua vez, votaram em um novo presidente e vice -presidente em 19 de dezembro de 2016. Enquanto Clinton recebeu cerca de 2,9 milhões de votos em todo o país, uma margem de 2,1 %, Trump ganhou 30 estados com um total de 306 eleitores, ou 57 % dos 538 disponíveis. Ele venceu os três estados perenes de balanço da Flórida, Ohio e Iowa, bem como os três estados da `` parede azul '' de Michigan, Pensilvânia e Wisconsin. Ele também ganhou o segundo distrito do Congresso do Maine, que não havia sido vencido por um candidato presidencial republicano desde 1988. Antes da eleição, uma vitória de Trump foi considerada improvável por quase todas as previsões de mídia. Após sua vitória, alguns comentaristas compararam a eleição à campanha vitoriosa do presidente Harry S. Truman em 1948 como um dos maiores distúrbios políticos da história americana moderna.</v>
      </c>
    </row>
    <row r="528" customFormat="false" ht="15.75" hidden="false" customHeight="true" outlineLevel="0" collapsed="false">
      <c r="A528" s="3" t="n">
        <v>525</v>
      </c>
      <c r="B528" s="5" t="s">
        <v>1577</v>
      </c>
      <c r="C528" s="5" t="s">
        <v>1578</v>
      </c>
      <c r="D528" s="5" t="s">
        <v>1579</v>
      </c>
      <c r="E528" s="4" t="str">
        <f aca="false">IFERROR(__xludf.dummyfunction("GOOGLETRANSLATE(C529)"),"A localização da corpora cavernosa é o")</f>
        <v>A localização da corpora cavernosa é o</v>
      </c>
      <c r="F528" s="5" t="str">
        <f aca="false">IFERROR(__xludf.dummyfunction("GOOGLETRANSLATE(D528)")," Oh ! Que guerra adorável é um filme musical de comédia britânica de 1969, dirigido por Richard Attenborough (em sua estréia na direção), com um elenco de Ensemble, incluindo Maggie Smith, Dirk Bogarde, John Gielgud, John Mills, Kenneth More, Laurence Oli"&amp;"vier, Jack Hawkins, Corin Redgrave , Michael Redgrave, Vanessa Redgrave, Ralph Richardson, Ian Holm, Paul Shelley, Malcolm McFee, Jean - Pierre Cassel, Nanette Newman, Edward Fox, Susannah York, John Clements, Phyllis Calvert e Maurice Roëves.")</f>
        <v> Oh ! Que guerra adorável é um filme musical de comédia britânica de 1969, dirigido por Richard Attenborough (em sua estréia na direção), com um elenco de Ensemble, incluindo Maggie Smith, Dirk Bogarde, John Gielgud, John Mills, Kenneth More, Laurence Olivier, Jack Hawkins, Corin Redgrave , Michael Redgrave, Vanessa Redgrave, Ralph Richardson, Ian Holm, Paul Shelley, Malcolm McFee, Jean - Pierre Cassel, Nanette Newman, Edward Fox, Susannah York, John Clements, Phyllis Calvert e Maurice Roëves.</v>
      </c>
    </row>
    <row r="529" customFormat="false" ht="15.75" hidden="false" customHeight="true" outlineLevel="0" collapsed="false">
      <c r="A529" s="3" t="n">
        <v>526</v>
      </c>
      <c r="B529" s="5" t="s">
        <v>1580</v>
      </c>
      <c r="C529" s="5" t="s">
        <v>1581</v>
      </c>
      <c r="D529" s="5" t="s">
        <v>1582</v>
      </c>
      <c r="E529" s="4" t="str">
        <f aca="false">IFERROR(__xludf.dummyfunction("GOOGLETRANSLATE(C530)"),"Quando Pam volta da escola de arte")</f>
        <v>Quando Pam volta da escola de arte</v>
      </c>
      <c r="F529" s="5" t="str">
        <f aca="false">IFERROR(__xludf.dummyfunction("GOOGLETRANSLATE(D529)")," Um pênis corpus cavernosum (singular) (corpo cavernoso do pênis) é um de um par de regiões de tecido erétil, o corpora cavernosa (plural) (corpos cavernosos), que contêm a maior parte do sangue no pênis durante um Penis durante um ereção. Esse corpus é h"&amp;"omólogo ao corpus cavernosum clitoridis na fêmea; O corpo do clitóris contém tecido erétil em um par de corpora cavernosa (literalmente `` caverna - como corpos '') com uma estrutura reconhecivelmente semelhante.")</f>
        <v> Um pênis corpus cavernosum (singular) (corpo cavernoso do pênis) é um de um par de regiões de tecido erétil, o corpora cavernosa (plural) (corpos cavernosos), que contêm a maior parte do sangue no pênis durante um Penis durante um ereção. Esse corpus é homólogo ao corpus cavernosum clitoridis na fêmea; O corpo do clitóris contém tecido erétil em um par de corpora cavernosa (literalmente `` caverna - como corpos '') com uma estrutura reconhecivelmente semelhante.</v>
      </c>
    </row>
    <row r="530" customFormat="false" ht="15.75" hidden="false" customHeight="true" outlineLevel="0" collapsed="false">
      <c r="A530" s="3" t="n">
        <v>527</v>
      </c>
      <c r="B530" s="5" t="s">
        <v>1583</v>
      </c>
      <c r="C530" s="5" t="s">
        <v>1584</v>
      </c>
      <c r="D530" s="5" t="s">
        <v>1585</v>
      </c>
      <c r="E530" s="4" t="str">
        <f aca="false">IFERROR(__xludf.dummyfunction("GOOGLETRANSLATE(C531)"),"quem canta você não se esquece de mim do clube do café da manhã")</f>
        <v>quem canta você não se esquece de mim do clube do café da manhã</v>
      </c>
      <c r="F530" s="5" t="str">
        <f aca="false">IFERROR(__xludf.dummyfunction("GOOGLETRANSLATE(D530)")," Na estréia da quinta temporada, `` perda de peso '', Pam começa seu curso de três meses no Pratt Institute. Neste episódio, Jim propõe na chuva derramada em uma parada de descanso, dizendo que ele `` não espera ''. Em `` viagem de negócios '', Pam descob"&amp;"re que está falhando em uma de suas aulas e terá que permanecer em Nova York por mais três meses para retomá -la. Embora Jim seja solidário e diga a ela que ele esperará que ela volte `` do jeito certo '', ela finalmente toma a decisão de voltar para casa"&amp;", dizendo que percebeu que odiava o design gráfico e sentiu falta de Scranton. Uma cena excluída para o episódio mostra Jim procurando os projetos de design gráfico de Pam, que ele acha que são `` legal '', além de um caderno cheio de esboços de lápis, qu"&amp;"e ele acha muito mais impressionante do que seus projetos de design gráfico, implicando que seus talentos estão na mão - desenhados obras. Em `` duas semanas '', Pam concorda em se tornar a primeira vendedora de Michael em sua empresa não - ainda - ainda "&amp;"- a Michael Scott Paper Co., como uma solidária que Jim olha. Quando David Wallace faz uma oferta para comprar a empresa, Michael negocia para conseguir seus empregos na Dunder Mifflin de volta, incluindo a adição de Pam à equipe de vendas. Em `` Company "&amp;"Picnic '', Pam, depois de dominar o torneio de vôlei da empresa, prejudica o tornozelo durante um jogo e é levado ao hospital contra seus desejos. No hospital, a equipe de câmera está estacionada fora de uma sala de exames, enquanto um médico atualiza Jim"&amp;" e Pam em sua condição. Não há áudio, pois a câmera mostra Jim e Pam abraçando, parecendo chocados e em êxtase. Está implícito que ela está grávida e é confirmada na estréia da 6ª temporada, `` fofoca ''.")</f>
        <v> Na estréia da quinta temporada, `` perda de peso '', Pam começa seu curso de três meses no Pratt Institute. Neste episódio, Jim propõe na chuva derramada em uma parada de descanso, dizendo que ele `` não espera ''. Em `` viagem de negócios '', Pam descobre que está falhando em uma de suas aulas e terá que permanecer em Nova York por mais três meses para retomá -la. Embora Jim seja solidário e diga a ela que ele esperará que ela volte `` do jeito certo '', ela finalmente toma a decisão de voltar para casa, dizendo que percebeu que odiava o design gráfico e sentiu falta de Scranton. Uma cena excluída para o episódio mostra Jim procurando os projetos de design gráfico de Pam, que ele acha que são `` legal '', além de um caderno cheio de esboços de lápis, que ele acha muito mais impressionante do que seus projetos de design gráfico, implicando que seus talentos estão na mão - desenhados obras. Em `` duas semanas '', Pam concorda em se tornar a primeira vendedora de Michael em sua empresa não - ainda - ainda - a Michael Scott Paper Co., como uma solidária que Jim olha. Quando David Wallace faz uma oferta para comprar a empresa, Michael negocia para conseguir seus empregos na Dunder Mifflin de volta, incluindo a adição de Pam à equipe de vendas. Em `` Company Picnic '', Pam, depois de dominar o torneio de vôlei da empresa, prejudica o tornozelo durante um jogo e é levado ao hospital contra seus desejos. No hospital, a equipe de câmera está estacionada fora de uma sala de exames, enquanto um médico atualiza Jim e Pam em sua condição. Não há áudio, pois a câmera mostra Jim e Pam abraçando, parecendo chocados e em êxtase. Está implícito que ela está grávida e é confirmada na estréia da 6ª temporada, `` fofoca ''.</v>
      </c>
    </row>
    <row r="531" customFormat="false" ht="15.75" hidden="false" customHeight="true" outlineLevel="0" collapsed="false">
      <c r="A531" s="3" t="n">
        <v>528</v>
      </c>
      <c r="B531" s="5" t="s">
        <v>1586</v>
      </c>
      <c r="C531" s="5" t="s">
        <v>1587</v>
      </c>
      <c r="D531" s="5" t="s">
        <v>403</v>
      </c>
      <c r="E531" s="4" t="str">
        <f aca="false">IFERROR(__xludf.dummyfunction("GOOGLETRANSLATE(C532)"),"onde está o manguito rotador localizado no corpo humano")</f>
        <v>onde está o manguito rotador localizado no corpo humano</v>
      </c>
      <c r="F531" s="5" t="str">
        <f aca="false">IFERROR(__xludf.dummyfunction("GOOGLETRANSLATE(D531)")," `` Do não você (esqueça de mim) '' é uma música pop de 1985 tocada pela banda de rock escocesa Simple Minds. A música é mais conhecida por ser tocada durante os créditos de abertura e fechamento do filme de John Hughes, The Breakfast Club. Foi escrito e "&amp;"composto pelo produtor Keith Forsey e Steve Schiff, o último dos quais era guitarrista e compositor da banda de Nina Hagen.")</f>
        <v> `` Do não você (esqueça de mim) '' é uma música pop de 1985 tocada pela banda de rock escocesa Simple Minds. A música é mais conhecida por ser tocada durante os créditos de abertura e fechamento do filme de John Hughes, The Breakfast Club. Foi escrito e composto pelo produtor Keith Forsey e Steve Schiff, o último dos quais era guitarrista e compositor da banda de Nina Hagen.</v>
      </c>
    </row>
    <row r="532" customFormat="false" ht="15.75" hidden="false" customHeight="true" outlineLevel="0" collapsed="false">
      <c r="A532" s="3" t="n">
        <v>529</v>
      </c>
      <c r="B532" s="5" t="s">
        <v>1588</v>
      </c>
      <c r="C532" s="5" t="s">
        <v>1589</v>
      </c>
      <c r="D532" s="5" t="s">
        <v>1590</v>
      </c>
      <c r="E532" s="4" t="str">
        <f aca="false">IFERROR(__xludf.dummyfunction("GOOGLETRANSLATE(C533)"),"Quais são as 5 maiores empresas nos Estados Unidos")</f>
        <v>Quais são as 5 maiores empresas nos Estados Unidos</v>
      </c>
      <c r="F532" s="5" t="str">
        <f aca="false">IFERROR(__xludf.dummyfunction("GOOGLETRANSLATE(D532)")," Os músculos do manguito rotador são importantes nos movimentos dos ombros e na manutenção da estabilidade da articulação glenumeral (articulação do ombro). Esses músculos surgem da escápula e se conectam à cabeça do úmero, formando um manguito na articul"&amp;"ação do ombro. Eles seguram a cabeça do úmero na pequena e rasa fossa glenóide da escápula. A articulação glenumeral foi analogamente descrita como uma bola de golfe (cabeça do úmero) sentada em uma camiseta de golfe (fossa glenóide).")</f>
        <v> Os músculos do manguito rotador são importantes nos movimentos dos ombros e na manutenção da estabilidade da articulação glenumeral (articulação do ombro). Esses músculos surgem da escápula e se conectam à cabeça do úmero, formando um manguito na articulação do ombro. Eles seguram a cabeça do úmero na pequena e rasa fossa glenóide da escápula. A articulação glenumeral foi analogamente descrita como uma bola de golfe (cabeça do úmero) sentada em uma camiseta de golfe (fossa glenóide).</v>
      </c>
    </row>
    <row r="533" customFormat="false" ht="15.75" hidden="false" customHeight="true" outlineLevel="0" collapsed="false">
      <c r="A533" s="3" t="n">
        <v>530</v>
      </c>
      <c r="B533" s="5" t="s">
        <v>1591</v>
      </c>
      <c r="C533" s="5" t="s">
        <v>1592</v>
      </c>
      <c r="D533" s="5" t="s">
        <v>1593</v>
      </c>
      <c r="E533" s="4" t="str">
        <f aca="false">IFERROR(__xludf.dummyfunction("GOOGLETRANSLATE(C534)"),"Qual é a capital do Azerbaijão na Europa")</f>
        <v>Qual é a capital do Azerbaijão na Europa</v>
      </c>
      <c r="F533" s="5" t="str">
        <f aca="false">IFERROR(__xludf.dummyfunction("GOOGLETRANSLATE(D533)"),"   Classifique o primeiro trimestre do segundo trimestre do terceiro trimestre do quarto trimestre Apple Inc. 851.317 Apple inc. 909.840 Alphabet Inc. 717.404 Amazon.com 824.790 Microsoft 702.760 Alphabet Inc. 774.840 Amazon.com 700.672 Microsoft 757.640 "&amp;"5 TENCENT 507.990 Facebook 562.480 6 Berkshire Hathaway 492.019 Tencent 478.580 7 Alibaba Grupo 470,930 Alibaba Group 476,04440 8. Facebook 460 470, 470, 4780, 4780, 4780, o grupo de 493.930shanks 4780, 478, o grupo de 4780s 4780 470, 470, o grupo de alib"&amp;"aba. ASE 377.410 JPMorgan Chase 354.780 10 Johnson &amp; Johnson 343.780 ExxonMobil 350.270")</f>
        <v>   Classifique o primeiro trimestre do segundo trimestre do terceiro trimestre do quarto trimestre Apple Inc. 851.317 Apple inc. 909.840 Alphabet Inc. 717.404 Amazon.com 824.790 Microsoft 702.760 Alphabet Inc. 774.840 Amazon.com 700.672 Microsoft 757.640 5 TENCENT 507.990 Facebook 562.480 6 Berkshire Hathaway 492.019 Tencent 478.580 7 Alibaba Grupo 470,930 Alibaba Group 476,04440 8. Facebook 460 470, 470, 4780, 4780, 4780, o grupo de 493.930shanks 4780, 478, o grupo de 4780s 4780 470, 470, o grupo de alibaba. ASE 377.410 JPMorgan Chase 354.780 10 Johnson &amp; Johnson 343.780 ExxonMobil 350.270</v>
      </c>
    </row>
    <row r="534" customFormat="false" ht="15.75" hidden="false" customHeight="true" outlineLevel="0" collapsed="false">
      <c r="A534" s="3" t="n">
        <v>531</v>
      </c>
      <c r="B534" s="5" t="s">
        <v>1594</v>
      </c>
      <c r="C534" s="5" t="s">
        <v>1595</v>
      </c>
      <c r="D534" s="5" t="s">
        <v>1596</v>
      </c>
      <c r="E534" s="4" t="str">
        <f aca="false">IFERROR(__xludf.dummyfunction("GOOGLETRANSLATE(C535)"),"Quando o escândalo volta em fevereiro de 2018")</f>
        <v>Quando o escândalo volta em fevereiro de 2018</v>
      </c>
      <c r="F534" s="5" t="str">
        <f aca="false">IFERROR(__xludf.dummyfunction("GOOGLETRANSLATE(D534)"),"  Capital Baku 40 ° 25 'n 49 ° 50' e / 40.417 ° N 49.833 ° E / 40.417; 49.833")</f>
        <v>  Capital Baku 40 ° 25 'n 49 ° 50' e / 40.417 ° N 49.833 ° E / 40.417; 49.833</v>
      </c>
    </row>
    <row r="535" customFormat="false" ht="15.75" hidden="false" customHeight="true" outlineLevel="0" collapsed="false">
      <c r="A535" s="3" t="n">
        <v>532</v>
      </c>
      <c r="B535" s="5" t="s">
        <v>1597</v>
      </c>
      <c r="C535" s="5" t="s">
        <v>1598</v>
      </c>
      <c r="D535" s="5" t="s">
        <v>1599</v>
      </c>
      <c r="E535" s="4" t="str">
        <f aca="false">IFERROR(__xludf.dummyfunction("GOOGLETRANSLATE(C536)"),"quem tem o direito de votar nos EUA")</f>
        <v>quem tem o direito de votar nos EUA</v>
      </c>
      <c r="F535" s="5" t="str">
        <f aca="false">IFERROR(__xludf.dummyfunction("GOOGLETRANSLATE(D535)"),"   Não . Nº geral no título da temporada dirigido por escrito pela data do ar original Prod. Código dos espectadores dos EUA (milhões) 107 `` me assista '' Jann Turner Shonda Rhimes 5 de outubro de 2017 (2017 - 10 - 05) 701 5,52 108 `` pressionando a carn"&amp;"e '' Tony Goldwyn Matt Byrne 12 de outubro de 2017 (2017 - 10 - 12) 702 5,00 109 `` Dia 101 '' Scott Foley Zahir McGhee 19 de outubro de 2017 (2017 - 10 - 19) 703 4,70 110 `` Lost Girls '' Nicole Rubio Ameni Rozsa e Austin Guzman 26 de outubro de 2017 (20"&amp;"17 - 10 - 26) 704 4,88 111 5 `` Aventuras em babá '' Oliver Bokelberg Serveriano Canales &amp; Tia Napolitano 2 de novembro de 2017 (2017 - 11 - 02) 705 4,89 112 6 `` Vampiros e Bloodsuckers '' Jann Turner Chris Van Dusen Tia Napolitano 9 de novembro de 2017 "&amp;"(2017 - 11 - 09) 706 5,00 113 7 `` Algo emprestado '' Sharat Raju Mark Fish 16 de novembro de 2017 (2017 - 11 - 16) 707 4,97 114 8 `` Robin '' Daryn Okan Juan Carlos Fernandez 18 de janeiro de 2018 (2018 - 01 - 18) 709 5,17 115 9 `` Good People '' Nzingha"&amp;" Stewart Shonda Rhimes, Jess Brownell e Nicholas Nardini 25 de janeiro de 2018 (2018 - 01 - 25) 708 5.19 116 10 10 `` `` `` `` `” The People v. Olivia Pope '' Kerry Washington Ameni Rozsa 1 de fevereiro de 2018 (2018 - 02 - 01) 710 5.62 117 11 `` Exército"&amp;" de um '' Allison Liddi - Brown Austin Guzman 8 de fevereiro de 2018 (2018 - 02 - 08 ) 711 4,63 118 12 `` Permita -me me reintroduzir '' Tony Goldwyn Raamla Mohamed 1 de março de 2018 (2018 - 03 - 01) 712 4,95 119 13 `` Air Force Two '' Valerie Weiss Seve"&amp;"no Canales, 8 de março de 2018 (2018 (2018 - 03 - 08) 713 4,67 120 14 `` The List '' Greg Evans Jess Brownell e Juan Carlos Fernandez 15 de março de 2018 (2018 - 03 - 15) 714 4,74 121 15 `` The Noise '' Darby Stanchfield Raamla Mohamed &amp; Jeremy Gordon 29 "&amp;"de março de 2018 (2018 - 03 - 29) 715 3,71 122 16 `` pessoas como eu '' Joe Morton Chris Van Dusen 5 de abril de 2018 (2018 - 04 - 05) 716 3,83 123 17 `` No sol '' 'Jann Turner Mark Fish &amp; Matt Byrne 12 de abril de 2018 (2018 - 04 - 12) 717 4,15 124 18 ``"&amp;" sobre um penhasco' 'Tom Verica Shonda Rhimes 19 de abril de 2018 (2018 - 04 - 19) 718 5.46")</f>
        <v>   Não . Nº geral no título da temporada dirigido por escrito pela data do ar original Prod. Código dos espectadores dos EUA (milhões) 107 `` me assista '' Jann Turner Shonda Rhimes 5 de outubro de 2017 (2017 - 10 - 05) 701 5,52 108 `` pressionando a carne '' Tony Goldwyn Matt Byrne 12 de outubro de 2017 (2017 - 10 - 12) 702 5,00 109 `` Dia 101 '' Scott Foley Zahir McGhee 19 de outubro de 2017 (2017 - 10 - 19) 703 4,70 110 `` Lost Girls '' Nicole Rubio Ameni Rozsa e Austin Guzman 26 de outubro de 2017 (2017 - 10 - 26) 704 4,88 111 5 `` Aventuras em babá '' Oliver Bokelberg Serveriano Canales &amp; Tia Napolitano 2 de novembro de 2017 (2017 - 11 - 02) 705 4,89 112 6 `` Vampiros e Bloodsuckers '' Jann Turner Chris Van Dusen Tia Napolitano 9 de novembro de 2017 (2017 - 11 - 09) 706 5,00 113 7 `` Algo emprestado '' Sharat Raju Mark Fish 16 de novembro de 2017 (2017 - 11 - 16) 707 4,97 114 8 `` Robin '' Daryn Okan Juan Carlos Fernandez 18 de janeiro de 2018 (2018 - 01 - 18) 709 5,17 115 9 `` Good People '' Nzingha Stewart Shonda Rhimes, Jess Brownell e Nicholas Nardini 25 de janeiro de 2018 (2018 - 01 - 25) 708 5.19 116 10 10 `` `` `` `` `” The People v. Olivia Pope '' Kerry Washington Ameni Rozsa 1 de fevereiro de 2018 (2018 - 02 - 01) 710 5.62 117 11 `` Exército de um '' Allison Liddi - Brown Austin Guzman 8 de fevereiro de 2018 (2018 - 02 - 08 ) 711 4,63 118 12 `` Permita -me me reintroduzir '' Tony Goldwyn Raamla Mohamed 1 de março de 2018 (2018 - 03 - 01) 712 4,95 119 13 `` Air Force Two '' Valerie Weiss Seveno Canales, 8 de março de 2018 (2018 (2018 - 03 - 08) 713 4,67 120 14 `` The List '' Greg Evans Jess Brownell e Juan Carlos Fernandez 15 de março de 2018 (2018 - 03 - 15) 714 4,74 121 15 `` The Noise '' Darby Stanchfield Raamla Mohamed &amp; Jeremy Gordon 29 de março de 2018 (2018 - 03 - 29) 715 3,71 122 16 `` pessoas como eu '' Joe Morton Chris Van Dusen 5 de abril de 2018 (2018 - 04 - 05) 716 3,83 123 17 `` No sol '' 'Jann Turner Mark Fish &amp; Matt Byrne 12 de abril de 2018 (2018 - 04 - 12) 717 4,15 124 18 `` sobre um penhasco' 'Tom Verica Shonda Rhimes 19 de abril de 2018 (2018 - 04 - 19) 718 5.46</v>
      </c>
    </row>
    <row r="536" customFormat="false" ht="15.75" hidden="false" customHeight="true" outlineLevel="0" collapsed="false">
      <c r="A536" s="3" t="n">
        <v>533</v>
      </c>
      <c r="B536" s="5" t="s">
        <v>1600</v>
      </c>
      <c r="C536" s="5" t="s">
        <v>1601</v>
      </c>
      <c r="D536" s="5" t="s">
        <v>1602</v>
      </c>
      <c r="E536" s="4" t="str">
        <f aca="false">IFERROR(__xludf.dummyfunction("GOOGLETRANSLATE(C537)"),"Qual era a capital do Império Húngaro Austro")</f>
        <v>Qual era a capital do Império Húngaro Austro</v>
      </c>
      <c r="F536" s="5" t="str">
        <f aca="false">IFERROR(__xludf.dummyfunction("GOOGLETRANSLATE(D536)")," 1971: Os adultos de 18 a 21 anos recebem o direito de votar pela Vigésima e Sexta Emenda à Constituição dos Estados Unidos. Isso foi promulgado em resposta aos protestos da Guerra do Vietnã, que argumentaram que os soldados que tinham idade suficiente pa"&amp;"ra lutar por seu país deveriam receber o direito de votar.")</f>
        <v> 1971: Os adultos de 18 a 21 anos recebem o direito de votar pela Vigésima e Sexta Emenda à Constituição dos Estados Unidos. Isso foi promulgado em resposta aos protestos da Guerra do Vietnã, que argumentaram que os soldados que tinham idade suficiente para lutar por seu país deveriam receber o direito de votar.</v>
      </c>
    </row>
    <row r="537" customFormat="false" ht="15.75" hidden="false" customHeight="true" outlineLevel="0" collapsed="false">
      <c r="A537" s="3" t="n">
        <v>534</v>
      </c>
      <c r="B537" s="5" t="s">
        <v>1603</v>
      </c>
      <c r="C537" s="5" t="s">
        <v>1604</v>
      </c>
      <c r="D537" s="5" t="s">
        <v>1605</v>
      </c>
      <c r="E537" s="4" t="str">
        <f aca="false">IFERROR(__xludf.dummyfunction("GOOGLETRANSLATE(C538)"),"Quando uma peça pode ser revisada no futebol universitário")</f>
        <v>Quando uma peça pode ser revisada no futebol universitário</v>
      </c>
      <c r="F537" s="5" t="str">
        <f aca="false">IFERROR(__xludf.dummyfunction("GOOGLETRANSLATE(D537)"),"  Capital Viena (Principal) Budapeste")</f>
        <v>  Capital Viena (Principal) Budapeste</v>
      </c>
    </row>
    <row r="538" customFormat="false" ht="15.75" hidden="false" customHeight="true" outlineLevel="0" collapsed="false">
      <c r="A538" s="3" t="n">
        <v>535</v>
      </c>
      <c r="B538" s="5" t="s">
        <v>1606</v>
      </c>
      <c r="C538" s="5" t="s">
        <v>1607</v>
      </c>
      <c r="D538" s="5" t="s">
        <v>1608</v>
      </c>
      <c r="E538" s="4" t="str">
        <f aca="false">IFERROR(__xludf.dummyfunction("GOOGLETRANSLATE(C539)"),"que tocou Rolf no som da música")</f>
        <v>que tocou Rolf no som da música</v>
      </c>
      <c r="F538" s="5" t="str">
        <f aca="false">IFERROR(__xludf.dummyfunction("GOOGLETRANSLATE(D538)")," Plantas envolvendo a linha lateral, a linha de gol, a zona final e a linha final, além de outras situações detectáveis, são revisáveis ​​(por exemplo, fumble / sem fumble, passam completo / incompleto, touchdown / sem touchdown, corredor para baixo / não"&amp;" para baixo, jogador ou bola Entradas / fora dos limites, ajustes de relógio). A maioria das faltas (por exemplo, retenção, impedimento, interferência de passe) não é revisável, exceto que em 2006, passes para frente ilegais, transferências e punções de a"&amp;"lém da linha de scrimmage, e muitos jogadores em campo são revisáveis ​​e a falta pode ser chamada Após a revisão de reprodução. Além disso, embora a falta de interferência de passe não seja revisável, ela pode ser derrubada na revisão com base no toque d"&amp;"o passe. Por regra, a interferência de aprovação não pode ser aplicada se um passe tiver sido tocado por qualquer jogador antes que a falta ocorra, e o toque de um passe é uma jogada revisável na conclusão de um estande seguro na caixa de imprensa. A maio"&amp;"ria das peças é rotineira e o jogo continua sem interrupção. Se, no entanto, os seguintes critérios forem atendidos, o funcionário do replay poderá interromper o concurso, pagando os funcionários do jogo para interromper o jogo antes do início da jogada. "&amp;"Os critérios são:")</f>
        <v> Plantas envolvendo a linha lateral, a linha de gol, a zona final e a linha final, além de outras situações detectáveis, são revisáveis ​​(por exemplo, fumble / sem fumble, passam completo / incompleto, touchdown / sem touchdown, corredor para baixo / não para baixo, jogador ou bola Entradas / fora dos limites, ajustes de relógio). A maioria das faltas (por exemplo, retenção, impedimento, interferência de passe) não é revisável, exceto que em 2006, passes para frente ilegais, transferências e punções de além da linha de scrimmage, e muitos jogadores em campo são revisáveis ​​e a falta pode ser chamada Após a revisão de reprodução. Além disso, embora a falta de interferência de passe não seja revisável, ela pode ser derrubada na revisão com base no toque do passe. Por regra, a interferência de aprovação não pode ser aplicada se um passe tiver sido tocado por qualquer jogador antes que a falta ocorra, e o toque de um passe é uma jogada revisável na conclusão de um estande seguro na caixa de imprensa. A maioria das peças é rotineira e o jogo continua sem interrupção. Se, no entanto, os seguintes critérios forem atendidos, o funcionário do replay poderá interromper o concurso, pagando os funcionários do jogo para interromper o jogo antes do início da jogada. Os critérios são:</v>
      </c>
    </row>
    <row r="539" customFormat="false" ht="15.75" hidden="false" customHeight="true" outlineLevel="0" collapsed="false">
      <c r="A539" s="3" t="n">
        <v>536</v>
      </c>
      <c r="B539" s="5" t="s">
        <v>1609</v>
      </c>
      <c r="C539" s="5" t="s">
        <v>1610</v>
      </c>
      <c r="D539" s="5" t="s">
        <v>1611</v>
      </c>
      <c r="E539" s="4" t="str">
        <f aca="false">IFERROR(__xludf.dummyfunction("GOOGLETRANSLATE(C540)"),"que ganhou um Oscar em silêncio dos cordeiros")</f>
        <v>que ganhou um Oscar em silêncio dos cordeiros</v>
      </c>
      <c r="F539" s="5" t="str">
        <f aca="false">IFERROR(__xludf.dummyfunction("GOOGLETRANSLATE(D539)")," Daniel Lee Truhitte (nascido em 10 de setembro de 1943 em Sacramento, Califórnia) é um ator americano, mais conhecido por seu retrato de Rolfe Gruber, o jovem entregador de telégrafo austríaco que realizou `` dezesseis anos em dezessete '', no filme The "&amp;"Sound de música (1965). Truhitte é um cantor, ator, dançarino e professor de jovens artistas.")</f>
        <v> Daniel Lee Truhitte (nascido em 10 de setembro de 1943 em Sacramento, Califórnia) é um ator americano, mais conhecido por seu retrato de Rolfe Gruber, o jovem entregador de telégrafo austríaco que realizou `` dezesseis anos em dezessete '', no filme The Sound de música (1965). Truhitte é um cantor, ator, dançarino e professor de jovens artistas.</v>
      </c>
    </row>
    <row r="540" customFormat="false" ht="15.75" hidden="false" customHeight="true" outlineLevel="0" collapsed="false">
      <c r="A540" s="3" t="n">
        <v>537</v>
      </c>
      <c r="B540" s="5" t="s">
        <v>1612</v>
      </c>
      <c r="C540" s="5" t="s">
        <v>1613</v>
      </c>
      <c r="D540" s="5" t="s">
        <v>1614</v>
      </c>
      <c r="E540" s="4" t="str">
        <f aca="false">IFERROR(__xludf.dummyfunction("GOOGLETRANSLATE(C541)"),"Quando eu só posso imaginar o filme feito")</f>
        <v>Quando eu só posso imaginar o filme feito</v>
      </c>
      <c r="F540" s="5" t="str">
        <f aca="false">IFERROR(__xludf.dummyfunction("GOOGLETRANSLATE(D540)"),"   Organização / Associação Ator / Resultado da tripulação Observações 64º Os prêmios Melhor Filme Edward Saxon, Kenneth Utt, Ron Bozman ganhou o melhor diretor Jonathan Demme ganhou o melhor ator Anthony Hopkins ganhou a melhor atriz Jodie Foster ganhou "&amp;"o melhor roteiro adaptado, Ted Won Won Won Adaptado do Silince of the Lambs de Thomas Harris Melhor edição de filme Craig McKay nomeou o melhor som Tom Fleischman, Christopher Newman nomeou o 49º Melhor Atriz Globo de Ouro em um filme - Drama Jodie Foster"&amp;" ganhou melhor ator - Drama de filmagem Anthony Hopkins Nomeado Diretor Jonathan Demme Nominado Melhor Nominado Motion Picture - O drama Kenneth Utt indicou o melhor roteiro Ted Tally nomeou o 45º Awards do British Academy Film Awards Melhor ator em um pa"&amp;"pel de líder Anthony Hopkins ganhou a melhor atriz em um papel de liderança Jodie Foster ganhou melhor roteiro adaptado Jonathan Ted Demme nomeou a melhor edição de Craig McKay, nomeou o melhor filme Ron Bozman, Edward Saxon, Kenneth Utt, nomeado Melhor M"&amp;"úsica de Cinema Howard Shore Nomeado Melhor Som Pagado Lievsay, Christopher Newman, Tom Fleischman Nomeado")</f>
        <v>   Organização / Associação Ator / Resultado da tripulação Observações 64º Os prêmios Melhor Filme Edward Saxon, Kenneth Utt, Ron Bozman ganhou o melhor diretor Jonathan Demme ganhou o melhor ator Anthony Hopkins ganhou a melhor atriz Jodie Foster ganhou o melhor roteiro adaptado, Ted Won Won Won Adaptado do Silince of the Lambs de Thomas Harris Melhor edição de filme Craig McKay nomeou o melhor som Tom Fleischman, Christopher Newman nomeou o 49º Melhor Atriz Globo de Ouro em um filme - Drama Jodie Foster ganhou melhor ator - Drama de filmagem Anthony Hopkins Nomeado Diretor Jonathan Demme Nominado Melhor Nominado Motion Picture - O drama Kenneth Utt indicou o melhor roteiro Ted Tally nomeou o 45º Awards do British Academy Film Awards Melhor ator em um papel de líder Anthony Hopkins ganhou a melhor atriz em um papel de liderança Jodie Foster ganhou melhor roteiro adaptado Jonathan Ted Demme nomeou a melhor edição de Craig McKay, nomeou o melhor filme Ron Bozman, Edward Saxon, Kenneth Utt, nomeado Melhor Música de Cinema Howard Shore Nomeado Melhor Som Pagado Lievsay, Christopher Newman, Tom Fleischman Nomeado</v>
      </c>
    </row>
    <row r="541" customFormat="false" ht="15.75" hidden="false" customHeight="true" outlineLevel="0" collapsed="false">
      <c r="A541" s="3" t="n">
        <v>538</v>
      </c>
      <c r="B541" s="5" t="s">
        <v>1615</v>
      </c>
      <c r="C541" s="5" t="s">
        <v>1616</v>
      </c>
      <c r="D541" s="5" t="s">
        <v>1617</v>
      </c>
      <c r="E541" s="4" t="str">
        <f aca="false">IFERROR(__xludf.dummyfunction("GOOGLETRANSLATE(C542)"),"Quando foi quando você não diz nada escrito")</f>
        <v>Quando foi quando você não diz nada escrito</v>
      </c>
      <c r="F541" s="5" t="str">
        <f aca="false">IFERROR(__xludf.dummyfunction("GOOGLETRANSLATE(D541)")," Só posso imaginar ser um filme de drama cristão americano de 2018, dirigido pelos irmãos Erwin e escrito por Alex Cramer, Jon Erwin e Brent McCorkle, baseado na história por trás da música Mercyme de mesmo nome, The Best - Selling Christian Single de tod"&amp;"os tempo . O filme é estrelado por J. Michael Finley como Bart Millard, vocalista que escreveu a música sobre seu relacionamento com seu pai (Dennis Quaid). Madeline Carroll, Priscilla Shirer, Cloris Leachman e Trace Adkins também estrelam.")</f>
        <v> Só posso imaginar ser um filme de drama cristão americano de 2018, dirigido pelos irmãos Erwin e escrito por Alex Cramer, Jon Erwin e Brent McCorkle, baseado na história por trás da música Mercyme de mesmo nome, The Best - Selling Christian Single de todos tempo . O filme é estrelado por J. Michael Finley como Bart Millard, vocalista que escreveu a música sobre seu relacionamento com seu pai (Dennis Quaid). Madeline Carroll, Priscilla Shirer, Cloris Leachman e Trace Adkins também estrelam.</v>
      </c>
    </row>
    <row r="542" customFormat="false" ht="15.75" hidden="false" customHeight="true" outlineLevel="0" collapsed="false">
      <c r="A542" s="3" t="n">
        <v>539</v>
      </c>
      <c r="B542" s="5" t="s">
        <v>1618</v>
      </c>
      <c r="C542" s="5" t="s">
        <v>1619</v>
      </c>
      <c r="D542" s="5" t="s">
        <v>1620</v>
      </c>
      <c r="E542" s="4" t="str">
        <f aca="false">IFERROR(__xludf.dummyfunction("GOOGLETRANSLATE(C543)"),"Prison Break 5 Season, quantos episódios existem")</f>
        <v>Prison Break 5 Season, quantos episódios existem</v>
      </c>
      <c r="F542" s="5" t="str">
        <f aca="false">IFERROR(__xludf.dummyfunction("GOOGLETRANSLATE(D542)")," `` Quando você não diz nada '' é uma música country escrita por Paul Overstreet e Don Schlitz. Está entre as músicas de sucesso mais conhecidas de três artistas diferentes: Keith Whitley, que a levou ao topo da parada de singles da Billboard Hot Country "&amp;"em 24 de dezembro de 1988; Alison Krauss, cuja versão foi seu primeiro top solo - 10 hit country em 1995; e o cantor pop irlandês Ronan Keating, cuja versão foi seu primeiro single solo e um gráfico - Topper no Reino Unido e na Irlanda em 1999.")</f>
        <v> `` Quando você não diz nada '' é uma música country escrita por Paul Overstreet e Don Schlitz. Está entre as músicas de sucesso mais conhecidas de três artistas diferentes: Keith Whitley, que a levou ao topo da parada de singles da Billboard Hot Country em 24 de dezembro de 1988; Alison Krauss, cuja versão foi seu primeiro top solo - 10 hit country em 1995; e o cantor pop irlandês Ronan Keating, cuja versão foi seu primeiro single solo e um gráfico - Topper no Reino Unido e na Irlanda em 1999.</v>
      </c>
    </row>
    <row r="543" customFormat="false" ht="15.75" hidden="false" customHeight="true" outlineLevel="0" collapsed="false">
      <c r="A543" s="3" t="n">
        <v>540</v>
      </c>
      <c r="B543" s="5" t="s">
        <v>1621</v>
      </c>
      <c r="C543" s="5" t="s">
        <v>1622</v>
      </c>
      <c r="D543" s="5" t="s">
        <v>1623</v>
      </c>
      <c r="E543" s="4" t="str">
        <f aca="false">IFERROR(__xludf.dummyfunction("GOOGLETRANSLATE(C544)"),"Shadow of the Colossus Creator's New Game")</f>
        <v>Shadow of the Colossus Creator's New Game</v>
      </c>
      <c r="F543" s="5" t="str">
        <f aca="false">IFERROR(__xludf.dummyfunction("GOOGLETRANSLATE(D543)")," A quinta temporada de Prison Break (também conhecida como Prison Break: Ressurrection) é uma série de televisão de eventos limitada e a continuação da série original criada por Paul Scheuring, que foi ao ar na Fox de 2005 a 2009. A temporada é produzida "&amp;"pela 20th Century Fox Television em associação com a Adelstein / Parouse Productions e o filme original. Paul Scheuring atua como showrunner, consigo mesmo, Marty Adelstein, Neal H. Moritz e Dawn Olmstead, Vaun Wilmott, Michael Horowitz e Nelson McCormick"&amp;" atuando como produtores executivos. McCormick também atua como diretor. A temporada estreou em 4 de abril de 2017 e concluiu em 30 de maio de 2017, composta por 9 episódios.")</f>
        <v> A quinta temporada de Prison Break (também conhecida como Prison Break: Ressurrection) é uma série de televisão de eventos limitada e a continuação da série original criada por Paul Scheuring, que foi ao ar na Fox de 2005 a 2009. A temporada é produzida pela 20th Century Fox Television em associação com a Adelstein / Parouse Productions e o filme original. Paul Scheuring atua como showrunner, consigo mesmo, Marty Adelstein, Neal H. Moritz e Dawn Olmstead, Vaun Wilmott, Michael Horowitz e Nelson McCormick atuando como produtores executivos. McCormick também atua como diretor. A temporada estreou em 4 de abril de 2017 e concluiu em 30 de maio de 2017, composta por 9 episódios.</v>
      </c>
    </row>
    <row r="544" customFormat="false" ht="15.75" hidden="false" customHeight="true" outlineLevel="0" collapsed="false">
      <c r="A544" s="3" t="n">
        <v>541</v>
      </c>
      <c r="B544" s="5" t="s">
        <v>1624</v>
      </c>
      <c r="C544" s="5" t="s">
        <v>1625</v>
      </c>
      <c r="D544" s="5" t="s">
        <v>1626</v>
      </c>
      <c r="E544" s="4" t="str">
        <f aca="false">IFERROR(__xludf.dummyfunction("GOOGLETRANSLATE(C545)"),"O produto DOT de dois vetores resulta em um")</f>
        <v>O produto DOT de dois vetores resulta em um</v>
      </c>
      <c r="F544" s="5" t="str">
        <f aca="false">IFERROR(__xludf.dummyfunction("GOOGLETRANSLATE(D544)")," A Equipe ICO começou a desenvolver o último Guardian em 2007. Foi projetado e dirigido por Fumito Ueda, e compartilha elementos estilísticos, temáticos e de jogabilidade com seus títulos anteriores ICO (2001) e Shadow of the Colossus (2005). Ele empregou"&amp;" a abordagem `` design através da subtração '' que ele usou para seus jogos anteriores, removendo elementos que não contribuíram para o tema central da conexão entre o garoto e o Trico.")</f>
        <v> A Equipe ICO começou a desenvolver o último Guardian em 2007. Foi projetado e dirigido por Fumito Ueda, e compartilha elementos estilísticos, temáticos e de jogabilidade com seus títulos anteriores ICO (2001) e Shadow of the Colossus (2005). Ele empregou a abordagem `` design através da subtração '' que ele usou para seus jogos anteriores, removendo elementos que não contribuíram para o tema central da conexão entre o garoto e o Trico.</v>
      </c>
    </row>
    <row r="545" customFormat="false" ht="15.75" hidden="false" customHeight="true" outlineLevel="0" collapsed="false">
      <c r="A545" s="3" t="n">
        <v>542</v>
      </c>
      <c r="B545" s="5" t="s">
        <v>1627</v>
      </c>
      <c r="C545" s="5" t="s">
        <v>1628</v>
      </c>
      <c r="D545" s="5" t="s">
        <v>1629</v>
      </c>
      <c r="E545" s="4" t="str">
        <f aca="false">IFERROR(__xludf.dummyfunction("GOOGLETRANSLATE(C546)"),"Em que canal é a Shortland Street na Austrália")</f>
        <v>Em que canal é a Shortland Street na Austrália</v>
      </c>
      <c r="F545" s="5" t="str">
        <f aca="false">IFERROR(__xludf.dummyfunction("GOOGLETRANSLATE(D545)")," O nome `` DOT Product '' é derivado do ponto centrado `` '', que é frequentemente usado para designar esta operação; O nome alternativo `` Produto escalar '' enfatiza que o resultado é um escalar, e não um vetor, como é o caso do produto vetorial no espa"&amp;"ço tridimensional.")</f>
        <v> O nome `` DOT Product '' é derivado do ponto centrado `` '', que é frequentemente usado para designar esta operação; O nome alternativo `` Produto escalar '' enfatiza que o resultado é um escalar, e não um vetor, como é o caso do produto vetorial no espaço tridimensional.</v>
      </c>
    </row>
    <row r="546" customFormat="false" ht="15.75" hidden="false" customHeight="true" outlineLevel="0" collapsed="false">
      <c r="A546" s="3" t="n">
        <v>543</v>
      </c>
      <c r="B546" s="5" t="s">
        <v>1630</v>
      </c>
      <c r="C546" s="5" t="s">
        <v>1631</v>
      </c>
      <c r="D546" s="5" t="s">
        <v>1632</v>
      </c>
      <c r="E546" s="4" t="str">
        <f aca="false">IFERROR(__xludf.dummyfunction("GOOGLETRANSLATE(C547)"),"que interpretou Faramir no Senhor dos Anéis")</f>
        <v>que interpretou Faramir no Senhor dos Anéis</v>
      </c>
      <c r="F546" s="5" t="str">
        <f aca="false">IFERROR(__xludf.dummyfunction("GOOGLETRANSLATE(D546)")," Na Austrália, vai ao ar nos dias úteis da Foxtel Arena Channel às 11h30. Os episódios estão seis semanas atrás da Nova Zelândia. O Channel Digital Air - Air - gratuito 7TWO estava transmitindo episódios cerca de três anos atrás, no entanto, não é mais ex"&amp;"ibido episódios em agosto de 2015. As emissoras australianas anteriores incluem: ABC1 2010 - 2011, UKTV 1997 - 2000 e SBS TV brevemente entre 1994 - 1995.")</f>
        <v> Na Austrália, vai ao ar nos dias úteis da Foxtel Arena Channel às 11h30. Os episódios estão seis semanas atrás da Nova Zelândia. O Channel Digital Air - Air - gratuito 7TWO estava transmitindo episódios cerca de três anos atrás, no entanto, não é mais exibido episódios em agosto de 2015. As emissoras australianas anteriores incluem: ABC1 2010 - 2011, UKTV 1997 - 2000 e SBS TV brevemente entre 1994 - 1995.</v>
      </c>
    </row>
    <row r="547" customFormat="false" ht="15.75" hidden="false" customHeight="true" outlineLevel="0" collapsed="false">
      <c r="A547" s="3" t="n">
        <v>544</v>
      </c>
      <c r="B547" s="5" t="s">
        <v>1633</v>
      </c>
      <c r="C547" s="5" t="s">
        <v>1634</v>
      </c>
      <c r="D547" s="5" t="s">
        <v>1635</v>
      </c>
      <c r="E547" s="4" t="str">
        <f aca="false">IFERROR(__xludf.dummyfunction("GOOGLETRANSLATE(C548)"),"onde fica a Universidade Aberta Nacional localizada em Abuja")</f>
        <v>onde fica a Universidade Aberta Nacional localizada em Abuja</v>
      </c>
      <c r="F547" s="5" t="str">
        <f aca="false">IFERROR(__xludf.dummyfunction("GOOGLETRANSLATE(D547)")," David Wenham (nascido em 21 de setembro de 1965) é um ator australiano que apareceu em filmes, séries de televisão e produções teatrais. Ele é conhecido em Hollywood por seus papéis como Faramir no Senhor dos Anéis Trilogia, Carl em Van Helsing, Dilios e"&amp;"m 300 e sua sequência 300: Rise of A Empire, Neil Fletcher na Austrália, Al Parker no topo do lago, e tenente John Scarfield em Piratas do Caribe: homens mortos não contam histórias. Ele também é conhecido em sua Austrália natal por seu papel como Diver D"&amp;"an em Seachange.")</f>
        <v> David Wenham (nascido em 21 de setembro de 1965) é um ator australiano que apareceu em filmes, séries de televisão e produções teatrais. Ele é conhecido em Hollywood por seus papéis como Faramir no Senhor dos Anéis Trilogia, Carl em Van Helsing, Dilios em 300 e sua sequência 300: Rise of A Empire, Neil Fletcher na Austrália, Al Parker no topo do lago, e tenente John Scarfield em Piratas do Caribe: homens mortos não contam histórias. Ele também é conhecido em sua Austrália natal por seu papel como Diver Dan em Seachange.</v>
      </c>
    </row>
    <row r="548" customFormat="false" ht="15.75" hidden="false" customHeight="true" outlineLevel="0" collapsed="false">
      <c r="A548" s="3" t="n">
        <v>545</v>
      </c>
      <c r="B548" s="5" t="s">
        <v>1636</v>
      </c>
      <c r="C548" s="5" t="s">
        <v>1637</v>
      </c>
      <c r="D548" s="5" t="s">
        <v>1638</v>
      </c>
      <c r="E548" s="4" t="str">
        <f aca="false">IFERROR(__xludf.dummyfunction("GOOGLETRANSLATE(C549)"),"Quando o próximo assassinato Creed sai")</f>
        <v>Quando o próximo assassinato Creed sai</v>
      </c>
      <c r="F548" s="5" t="str">
        <f aca="false">IFERROR(__xludf.dummyfunction("GOOGLETRANSLATE(D548)")," Em 2011, o substantivo tinha cerca de 57.759 alunos. O vice -chanceler na época era o Prof. Vincent Tenebe. A universidade estava operando por sua sede administrativa em Victoria Island, Lagos, antes de seu atual VC, o professor Abdalla Uba Adamu, mudar "&amp;"para sua sede permanente em Jabi, Abuja, em 2016. Possui mais de 75 centros de estudo em todo o país. Oferece mais de 50 programas e 750 cursos.")</f>
        <v> Em 2011, o substantivo tinha cerca de 57.759 alunos. O vice -chanceler na época era o Prof. Vincent Tenebe. A universidade estava operando por sua sede administrativa em Victoria Island, Lagos, antes de seu atual VC, o professor Abdalla Uba Adamu, mudar para sua sede permanente em Jabi, Abuja, em 2016. Possui mais de 75 centros de estudo em todo o país. Oferece mais de 50 programas e 750 cursos.</v>
      </c>
    </row>
    <row r="549" customFormat="false" ht="15.75" hidden="false" customHeight="true" outlineLevel="0" collapsed="false">
      <c r="A549" s="3" t="n">
        <v>546</v>
      </c>
      <c r="B549" s="5" t="s">
        <v>1639</v>
      </c>
      <c r="C549" s="5" t="s">
        <v>1640</v>
      </c>
      <c r="D549" s="5" t="s">
        <v>1641</v>
      </c>
      <c r="E549" s="4" t="str">
        <f aca="false">IFERROR(__xludf.dummyfunction("GOOGLETRANSLATE(C550)"),"que foi introduzido no Hall da Fama do Rock and Roll 2017")</f>
        <v>que foi introduzido no Hall da Fama do Rock and Roll 2017</v>
      </c>
      <c r="F549" s="5" t="str">
        <f aca="false">IFERROR(__xludf.dummyfunction("GOOGLETRANSLATE(D549)"),"   Assassin 's Creed         Genres     Action - adventure   Stealth       Developers     Ubisoft Montreal   Ubisoft Annecy   Ubisoft Sofia   Ubisoft Milan   Ubisoft Quebec   Ubisoft Toronto   Gameloft   Griptonite Games   Blue Byte       Publishers   Ubi"&amp;"soft     Creators     Patrice Désilets   Jade Raymond   Corey May       First release   Assassin 's Creed November 13 , 2007     Latest release   Assassin ' S Creed Origins 27 de outubro de 2017")</f>
        <v>   Assassin 's Creed         Genres     Action - adventure   Stealth       Developers     Ubisoft Montreal   Ubisoft Annecy   Ubisoft Sofia   Ubisoft Milan   Ubisoft Quebec   Ubisoft Toronto   Gameloft   Griptonite Games   Blue Byte       Publishers   Ubisoft     Creators     Patrice Désilets   Jade Raymond   Corey May       First release   Assassin 's Creed November 13 , 2007     Latest release   Assassin ' S Creed Origins 27 de outubro de 2017</v>
      </c>
    </row>
    <row r="550" customFormat="false" ht="15.75" hidden="false" customHeight="true" outlineLevel="0" collapsed="false">
      <c r="A550" s="3" t="n">
        <v>547</v>
      </c>
      <c r="B550" s="5" t="s">
        <v>1642</v>
      </c>
      <c r="C550" s="5" t="s">
        <v>1643</v>
      </c>
      <c r="D550" s="5" t="s">
        <v>1644</v>
      </c>
      <c r="E550" s="4" t="str">
        <f aca="false">IFERROR(__xludf.dummyfunction("GOOGLETRANSLATE(C551)"),"Quando a Disney Beauty e a Besta foi lançada pela primeira vez")</f>
        <v>Quando a Disney Beauty e a Besta foi lançada pela primeira vez</v>
      </c>
      <c r="F550" s="5" t="str">
        <f aca="false">IFERROR(__xludf.dummyfunction("GOOGLETRANSLATE(D550)"),"   Nome da imagem do ano induziu os membros 1986 Berry, Chuck Chuck Berry 1986 Brown, James James Brown 1986 Charles, Ray Ray Charles 1986 Cooke, Sam Sam Cooke 1986 Domino, Gords Fats Domino 1986 Everly Brothers! Os irmãos Everly Don Don Everly e Phil Eve"&amp;"rly. 1986 Holly, Buddy Buddy Holly 1986 Lewis, Jerry Lee Jerry Lee Lewis 1986 Little Richard 1986 Presley, Elvis Elvis Presley Coasters! As montanhas -russas Carl Gardner, Cornell Gunter, Billy Guy e Will `` Dub '' Jones. Cochran , Eddie Eddie Cochran    "&amp;"       Diddley , Bo Bo Diddley           Franklin , Aretha Aretha Franklin           Gaye , Marvin Marvin Gaye           Haley , Bill Bill Haley           King , B.B. B.B. King           McPhatter , Clyde Clyde McPhatter           Nelson , Ricky Ricky Nel"&amp;"son           Orbison , Roy Roy Orbison           Perkins , Carl Carl Perkins           Robinson , Smokey Smokey Robinson Turner, Big Joe Big Joe Turner Waters, Muddy Muddy Waters Wilson, Jackie Jackie Wilson 1988 Beach Boys! Os Beach Boys Al Jardine, Mik"&amp;"e Love, Brian Wilson, Carl Wilson e Dennis Wilson. 1988 Beatles! Os Beatles George Harrison, John Lennon, Paul McCartney e Ringo Starr. 1988 Drifters! Os Drifters Ben E. King, Rudy Lewis, Clyde McPhatter, Johnny Moore, Bill Pinkney, Charlie Thomas e Gerha"&amp;"rt Thrasher. 1988 Dylan, Bob Bob Dylan 1988 Supremas! As supremas Florence Ballard, Diana Ross e Mary Wilson. 1989 Dion! Dion 1989 Redding, Otis Otis Redding 1989 Rolling Stones! Os Rolling Stones Mick Jagger, Brian Jones, Keith Richards, Ian Stewart, Mic"&amp;"k Taylor, Charlie Watts, Ronnie Wood e Bill Wyman. 1989 tentações! As tentações Melvin Franklin, Eddie Kendricks, David Ruffin, Otis Williams, Paul Williams, Dennis Edwards. 1989 Wonder, Stevie Stevie Wonder 1990 - Ballard, Hank Hank Ballard 1990 Darin, B"&amp;"obby Bobby Darin 1990 Four Seasons! As quatro temporadas Tom DeVito, Bob Gaudio, Nick Massi e Frankie Valli. 1990 Quatro tops! Quatro topos Renaldo `` obie '' Benson, Abdul `` Duke '' Fakir, Lawrence Payton e Levi Stubbs. 1990 Kinks! The Kinks Mick Avory,"&amp;" Dave Davies, Ray Davies e Pete Quaife. 1990 Platters! Os pratos David Lynch, Herb Reed, Paul Robi, Zola Taylor e Tony Williams. 1990 Simon e Garfunkel Paul Simon e Art Garfunkel. 1990 Quem! O Who Roger Daltrey, John Entwistle, Keith Moon e Pete Townshend"&amp;". 1991 Baker, Lavern Lavern Baker 1991 Byrds! O gene Byrds Clark, Michael Clarke, David Crosby, Chris Hillman e Roger McGuinn. 1991 Hooker, John Lee John Lee Hooker 1991 - Impressões! As impressões Curtis Mayfield, Sam Gooden, Fred Cash, Arthur Brooks, Ri"&amp;"chard Brooks e Jerry Butler. 1991 Pickett, Wilson Wilson Pickett 1991 Reed, Jimmy Jimmy Reed 1991 Turner, Ike e Tina Ike e Tina Turner Ike Turner e Tina Turner. 1992 Bland, Bobby! Bobby `` Blue '' Bland 1992 Booker T. &amp; The M.G. Booker T. Jones, Steve Cro"&amp;"pper, Donald `` Duck '' Dunn, Al Jackson Jr. e Lewie Steinberg. 1992 Cash, Johnny Johnny Cash 1992 Isley Brothers! Os irmãos Isley Ernie Isley, Marvin Isley, O'Kelly Isley Jr., Ronald Isley, Rudolph Isley e Chris Jasper. 1992 Hendrix Experience, The Jimi "&amp;"the Jimi Hendrix Experience Jimi Hendrix, Mitch Mitchell e Noel Redding. 1992 Sam e Dave Sam Moore e Dave Prater. 1992 Yardbirds! Os Yardbirds Jeff Beck, Eric Clapton, Chris Dreja, Jim McCarty, Jimmy Page, Keith Relf e Paul Samwell - Smith. 1993 Brown, Ru"&amp;"th Ruth Brown 1993 Cream Ginger Baker, Jack Bruce e Eric Clapton. 1993 Creedence Clearwater Revival Doug Clifford, Stu Cook, John Fogerty e Tom Fogerty. 1993 portas! As portas John Densmore, Robby Krieger, Ray Manzarek e Jim Morrison. 1993     Lymon &amp; The"&amp;" Teenagers , Frankie Frankie Lymon &amp; The Teenagers   Herman Santiago , Jimmy Merchant , Sherman Garnes , Frankie Lymon , and Joe Negroni     1993     James , Etta Etta James       1993     Morrison , Van Van Morrison       1993     Sly and the Family Ston"&amp;"e   Gregg Errico , Larry Graham , Jerry Martini, Cynthia Robinson, Freddie Stone, Rosie Stone e Sly Stone. 1994 Animais! Os animais Eric Burdon, Chas Chandler, Alan Price, John Steel e Hilton Valentine. 1994 banda! A banda Rick Danko, Levon Helm, Garth Hu"&amp;"dson, Richard Manuel e Robbie Robertson. 1994 Eddy, Duane Duane Eddy 1994 Grateful Dead Tom Constanten, Jerry Garcia, Donna Jean Godchaux, Keith Godchaux, Mickey Hart, Robert Hunter, Bill Kreutzmann, Phil Lesh, Ron McKernan, Brent Mydland, Bob Worz e Vinc"&amp;"e Welnick. 1994 John, Elton Elton John 1994 Lennon, John John Lennon 1994 Marley, Bob Bob Marley 1994 Stewart, Rod Rod Stewart 1995 Allman Brothers Band! A banda Allman Brothers Duane Allman, Gregg Allman, Dickey Betts, Jai Johanny Johanson, Berry Oakley "&amp;"e Butch Trucks. 1995 Green, Al Al Green 1995 Joplin, Janis Janis Joplin 1995 Led Zeppelin John Bonham, John Paul Jones, Jimmy Page e Robert Plant 1995 Martha e Vandellas Rosalind Ashford, Annette Beard, Betty Kelly, Lois Reeves, Martha Reeves e Sandra, e "&amp;"Sandra, Tilley. 1995 Young, Neil Neil Young 1995 Zappa, Frank Zappa Bowie, David Bowie Knight e The Pips, Gladys Gladys Knight e The Pips William Guest, Gladys Knight, Merald `` Bubba '' Knight e Edward Patten. Jefferson Airplane Marty Balin, Jack Casady,"&amp;" Spencer Dryden, Paul Kantner, Jorma Kaukonen e Grace Slick. Little Willie John Pink Floyd Syd Barrett, David Gilmour, Nick Mason, Roger Waters e Rick Wright. Shirelles! Os Shirelles Shirley Alston Reeves, Addie Harris, Doris Kenner - Jackson e Beverly Le"&amp;"e. Velvet Underground! O Velvet Underground John Cale, Sterling Morrison, Lou Reed e Maureen Tucker. 1997 Bee Gees Barry Gibb, Maurice Gibb e Robin Gibb. 1997 Buffalo Springfield Richie Furay, Dewey Martin, Bruce Palmer, Stephen Stills e Neil Young. 1997 "&amp;"Crosby, Stills &amp; Nash David Crosby, Graham Nash e Stephen Stills. 1997 Jackson 5, The Jackson 5 Jackie Jackson, Jermaine Jackson, Marlon Jackson, Michael Jackson e Tito Jackson. 1997     Mitchell , Joni Joni Mitchell       1997     Parliament - Funkadelic"&amp;"   Jerome Brailey , George Clinton , Bootsy Collins , Raymond Davis , Tiki Fulwood , Glenn Goins , Michael Hampton , Fuzzy Haskins , Eddie Hazel , Walter Morrison , Cordell Mosson , William `` Billy Bass '' Nelson, Garry Shider, Calvin Simon, Grady Thomas"&amp;" e Bernie Worrell. 1997 Rascals! Os (jovens) Rascals Eddie Brigati, Felix Cavaliere, Gene Cornish e Dino Danelli. 1998 Eagles Don Felder, Glenn Frey, Don Henley, Bernie Leadon, Randy Meisner, Timothy B. Schmit e Joe Walsh. 1998 Fleetwood Mac Lindsey Bucki"&amp;"ngham, Mick Fleetwood, Peter Green, Danny Kirwan, Christine McVie, John McVie, Stevie Nicks e Jeremy Spencer. 1998 Mamas e os Papas! Os Mamas e os Papas Denny Doherty, Cass Elliot, John Phillips e Michelle Phillips. 1998 Price, Lloyd Lloyd Price 1998 Sant"&amp;"ana Jose Chepito, David Brown, Michael Carabello, Gregg Rolie, Carlos Santana e Michael Shrieve. 1998 Vincent, Gene Gene Vincent 1999 Joel, Billy Billy Joel 1999 Mayfield, Curtis Curtis Mayfield 1999 McCartney, Paul Paul McCartney 1999 Shannon, Del Del Sh"&amp;"annon 1999 Springfield, Dusty Dusty Springfield 1999 Springsteen, Bruce Bruce Bruce Springseen 1999 Staple Singers, Springfield, Springsteen, Bruce Bruce, Springseen 1999 Staple Singers, Springfield, Springsteen, Bruce Bruce, Springseen 1999 Staple Singne"&amp;"rs, Springfield, Springsteen, Bruce Bruce Singreen 1999 Staplep Singers, Staplepor Cleotha Staples, Mavis Staples, Pedis Staples, Pops Staples e Yvonne Staples. 2000 Clapton, Eric Eric Clapton 2000 Earth, Wind &amp; Fire Philip Bailey, Larry Dunn, Johnny Grah"&amp;"am, Ralph Johnson, Al McKay, Fred White, Maurice White, Verdine White e Andrew Woolfolk. 2000 Lovin 'Spoonful, The Lovin' Spoonful Steve Boone, Joe Butler, John Sebastian e Zal Yanovsky. 2000 Moonglows, The Moonglows Prentiss Barnes, Harvey Fuqua, Peter G"&amp;"raves, Billy Johnson e Bobby Lester. 2000 Raitt, Bonnie Bonnie Raitt 2000 Taylor, James James Taylor 2001 Aerosmith Tom Hamilton, Joey Kramer, Joe Perry, Steven Tyler e Brad Whitford. 2001 Burke, Solomon Solomon Burke 2001 Flamingos, The Flamingos Jake Ca"&amp;"rey, Zeke Carey, Johnny Carter, Tommy Hunt, Terry `` Buzzy '' Johnson, Sollie McElroy, Nate Nelson e Paul Wilson. 2001 Jackson, Michael Michael Jackson 2001 Rainha John Deacon, Brian May, Freddie Mercury e Roger Taylor. 2001 Simon, Paul Paul Simon 2001 St"&amp;"eely Dan Walter Becker e Donald Fagen. 2001 Valens, Ritchie Ritchie Valens 2002 Hayes, Isaac Isaac Hayes 2002 Lee, Brenda Brenda Lee 2002 Petty e The Heartbreakers, Tom Tom Petty e The Heartbreakers Tom Petty, Ron Blair, Mike Campbell, Howie Epstein, Stan"&amp;" Lynnch e Benmont Tench. 2002 Pitney, Gene Gene Pitney 2002 Ramones Dee Dee Ramone, Joey Ramone, Johnny Ramone, Marky Ramone e Tommy Ramone. 2002 Chefes falantes David Byrne, Chris Frantz, Jerry Harrison e Tina Weymouth. 2003 AC / DC Brian Johnson, Phil R"&amp;"udd, Bon Scott, Cliff Williams, Angus Young e Malcolm Young. 2003 Clash, The Clash Terry Chimes, Topper Headon, Mick Jones, Paul Simonon e Joe Strummer. 2003 Costello &amp; the Atrações, Elvis Elvis Costello e as atrações Elvis Costello, Steve Nieve, Bruce Th"&amp;"omas e Pete Thomas. Polícia de 2003, a polícia Stewart Copeland, Sting e Andy Summers. 2003 Righteous Brothers, os irmãos justos Bobby Hatfield e Bill Medley. Browne, Jackson Jackson Browne Dells, The Dells Verne Allison, Chuck Barksdale, Johnny Carter, J"&amp;"ohnny Funches, Marvin Junior e Michael McGill. Harrison, George George Harrison Prince Seger, Bob Bob Seger Traffic Jim Capaldi, Dave Mason, Steve Winwood e Chris Wood. ZZ Top Frank Beard, Billy Gibbons e Dusty Hill. 2005 Guy, Buddy Buddy Guy 2005 O'Jays,"&amp;" The O'Jays Eddie Levert, Bobby Massey, William Powell, Sammy Strain e Walter Williams. 2005 Pretenders Martin Chambers, Pete Farndon, James Honeyman - Scott e Chrissie Hynde. Sledge de 2005, Percy Percy Sledge 2005 U2 Bono, Adam Clayton, The Edge e Larry"&amp;" Mullen, Jr ... 2006 Black Sabbath Geezer Butler, Tony Iommi, Ozzy Osbourne e Bill Ward. 2006 Blondie Clem Burke, Jimmy Destri, Nigel Harrison, Debbie Harry, Frank Infante, Chris Stein e Gary Valentine. 2006 Davis, Miles Miles Davis 2006 Lynyrd Skynyrd Bo"&amp;"b Burns, Allen Collins, Steve Gaines, Ed King, Billy Powell, Artimus Pyle, Gary Rossington, Ronnie Van Zant e Leon Wilkeson. 2006 Sex Pistols Paul Cook, Steve Jones, Glen Matlock, John Lydon e Sid Vicious. O Grandmaster Flash de 2007 e os Furiosos Cinco M"&amp;"elvin `` Melle Mel '' Glover, Nathaniel `` The Kidd Creole '' Glover, Eddie `` Scorpio '' Morris, Joseph `` Grandmaster Flash '' Sadler, Robert Keith `Keef 'Wiggins e Guy Todd `` Rahiem' 'Williams. 2007 R.E.M. Bill Berry, Peter Buck, Mike Mills e Michael "&amp;"Stipe. 2007 Ronettes, The Ronettes Estelle Bennett, Ronnie Spector e Nedra Talley. 2007 Smith, Patti Patti Smith 2007 Van Halen Michael Anthony, Sammy Hagar, David Lee Roth, Alex Van Halen e Eddie Van Halen. 2008 Clark Five, o Dave, Dave Clark Five Dave C"&amp;"lark, Lenny Davidson, Rick Huxley, Denis Payton e Mike Smith. 2008 Cohen, Leonard Leonard Cohen 2008 Madonna 2008 Mellencamp, John John Mellencamp 2008 Ventures, The Ventures Bob Bogle, Nokie Edwards, Gerry McGee, Mel Taylor e Don Wilson. 2009 Beck, Jeff "&amp;"Jeff Beck 2009 Little Anthony e The Imperials Clarence Collins, Anthony Gourdine, Tracy Lord, Glouster `` Nat '' Rogers, Sammy Strain e Ernest Wright Jr. 2009 Metallica Cliff Burton, Kirk Hammett, James Hetfield, Jason Newsted, Robert Trujillo e Lars Ulri"&amp;"ch. 2009 Run - D.M.C. Darryl `` D.M.C. '' McDaniels, Jason `` Jam - Mestre Jay '' Mizell e Joseph `` dj run '' Simmons. 2009 Womack, Bobby Bobby Womack Abba Benny Andersson, Agnetha Fältskog, Anni - Frid Lyngstad e Björn Ulvaeus. Gênesis Tony Banks, Phil "&amp;"Collins, Peter Gabriel, Steve Hackett e Mike Rutherford. Cliff, Jimmy Jimmy Cliff Hollies, The Hollies Bernie Calvert, Allan Clarke, Bobby Elliott, Eric Haydock, Tony Hicks, Graham Nash e Terry Sylvester. Stooges, The Stooges Dave Alexander, Ron Asheton, "&amp;"Scott Asheton, Iggy Pop e James Williamson. 2011 Alice Cooper Alice Alice Cooper, Michael Owen Bruce, Glen Buxton, Dennis Dunaway e Neal Smith. 2011 Diamond, Neil Neil Diamond 2011 Dr. John 2011 Love, Darlene Darlene Love Waits 2011, Tom Tom Waits 2012 Be"&amp;"astie Boys Michael `` Mike D '' Diamond, Adam `` ad - Rock '' Horovitz e Adam `` MCA ' 'Yauch. 2012 - Blue Caps! A banda de apoio do Blue Caps para Gene Vincent. Induzido: Tommy Facenda, Cliff Gallup, Dickie Harrell, Bobby Jones, Johnny Meeks, Jack Neal, "&amp;"Paul Peek e Willie Williams. 2012 Cometas! A banda de apoio dos Comets para Bill Haley. Induzido: Joey Ambrose, Franny Beecher, Danny Cedrone, Johnny Grande, Ralph Jones, Marshall Lytle, Rudy Pompilli, Al Rex, Dick Richards e Billy Williamson. Crickets de"&amp;" 2012! A banda de backing de grilos para Buddy Holly. Induzido: Jerry Allison, Sonny Curtis, Joe B. Mauldin e Niki Sullivan. 2012 Donovan 2012 Famous Flames! As famosas chamas que apoiam o grupo vocal de James Brown. Induzido: Bobby Bennett, Bobby Byrd, L"&amp;"loyd Stallworth e Johnny Terry. 2012 Guns N 'Roses Steven Adler, Duff McKagan, Dizzy Reed, Axl Rose, Slash, Matt Sorum e Izzy Stradlin. 2012 - Midnighters! O Midnighters apoia o grupo vocal de Hank Ballard. Induzido: Henry Booth, Billy Davis, Cal Green, A"&amp;"rthur Porter, Lawson Smith, Charles Sutton, Norman Thrasher e Sonny Woods. Milagres de 2012! Os milagres apoiando o grupo vocal de Smokey Robinson. Induzido: Claudette Rogers, Bobby Rogers, Ronald White, Marv Tarplin e Pete Moore. 2012 Nyro, Laura Laura N"&amp;"yro 2012 Red Hot Chili Peppers Flea, John Frusciante, Jack Irons, Anthony Kiedis, Josh Klinghoffer, Cliff Martinez, Hillel Slovak e Chad Smith. 2012 - Facos pequenos / rostos Kenney Jones, Ronnie Lane, Ian McLagan, Steve Marriott, Rod Stewart e Ronnie Woo"&amp;"d. 2013 Coração Michael DeRosier, Roger Fisher, Steve Fossen, Howard Leese, Ann Wilson e Nancy Wilson. 2013 King, Albert Albert King 2013 Newman, Randy Randy Newman 2013 Flav Public Enemy Flav, Professor Griff, Terminator X e Chuck D. 2013 Rush Geddy Lee,"&amp;" Alex Lifeson e Neil Peart. Verão de 2013, Donna Donna Summer 2014 Gabriel, Peter Peter Gabriel 2014 Hall e Oates Daryl Hall e John Oates. Beijo de 2014 Peter Criss, Ace Frehley, Gene Simmons e Paul Stanley. 2014 Nirvana Kurt Cobain, Dave Grohl e Krist No"&amp;"voselic. 2014 RONSTADT, LINDA LINDA RONSTADT 2014 STEVENS, CAT CAT STEVENS 2015 Butterfield Blues Band, The Paul the Paul Butterfield Blues Band Paul Butterfield, Mike Bloomfield, Elvin Bishop, Mark Naftalin, Jerome Arnold, Billy Davenport e Sam Lay. 2015"&amp;" Jett &amp; The Blackhearts, Joan Joan Jett e The Blackhearts Joan Jett, Gary Ryan, Lee Crystal e Ricky Byrd. 2015 Reed, Lou Lou Reed 2015 Green Day Billie Joe Armstrong, Tré Cool e Mike Dirnt. 2015 Vaughan, Stevie Ray Stevie Ray Vaughan e Double Trouble Stev"&amp;"ie Ray Vaughan, Chris Layton, Tommy Shannon e Reese Wynans. 2015 Withers, Bill Bill Withers 2016 Cheap Trick Bun E. Carlos, Rick Nielsen, Tom Petersson e Robin Zander. 2016 Chicago Peter Cetera, Terry Kath, Robert Lamm, Lee Loughnane, James Pankow, Walter"&amp;" Parazaider e Danny Seraphine. 2016 Deep Purple Ritchie Blackmore, David Coverdale, Rod Evans, Ian Gillan, Roger Glover, Glenn Hughes, Jon Lord e Ian Paice 2016 N.W.A DJ Yella, Ice Cube, Mc Ren, Eazy - E e Dr. Dre 2016 Miller, Steve Steve Miller 2017 Orqu"&amp;"estra de luz elétrica Bev Bevan, Jeff Lynne, Richard Tandy e Roy Wood 2017 Baez, Joan Joan Baez 2017 Journey Jonathan Cain, Aynsley Dunbar, Steve Perry, Gregg Rolie, Neal Schon, Steve Smith e Ross Valory 2017, Peargg Ji Juns, Schon, Steve Smith e Ross Val"&amp;"ory 2017 Jeff Ament, Matt Cameron, Stone Gossard, Dave Krusen, Mike McCready e Eddie Vedder 2017 Tupac Shakur 2017 Sim Jon Anderson, Bill Bruford, Steve Howe, Tony Kaye, Trevor Rabin, Chris Squire, Rick Wakeman e Alan White, e Alan White,")</f>
        <v>   Nome da imagem do ano induziu os membros 1986 Berry, Chuck Chuck Berry 1986 Brown, James James Brown 1986 Charles, Ray Ray Charles 1986 Cooke, Sam Sam Cooke 1986 Domino, Gords Fats Domino 1986 Everly Brothers! Os irmãos Everly Don Don Everly e Phil Everly. 1986 Holly, Buddy Buddy Holly 1986 Lewis, Jerry Lee Jerry Lee Lewis 1986 Little Richard 1986 Presley, Elvis Elvis Presley Coasters! As montanhas -russas Carl Gardner, Cornell Gunter, Billy Guy e Will `` Dub '' Jones. Cochran , Eddie Eddie Cochran           Diddley , Bo Bo Diddley           Franklin , Aretha Aretha Franklin           Gaye , Marvin Marvin Gaye           Haley , Bill Bill Haley           King , B.B. B.B. King           McPhatter , Clyde Clyde McPhatter           Nelson , Ricky Ricky Nelson           Orbison , Roy Roy Orbison           Perkins , Carl Carl Perkins           Robinson , Smokey Smokey Robinson Turner, Big Joe Big Joe Turner Waters, Muddy Muddy Waters Wilson, Jackie Jackie Wilson 1988 Beach Boys! Os Beach Boys Al Jardine, Mike Love, Brian Wilson, Carl Wilson e Dennis Wilson. 1988 Beatles! Os Beatles George Harrison, John Lennon, Paul McCartney e Ringo Starr. 1988 Drifters! Os Drifters Ben E. King, Rudy Lewis, Clyde McPhatter, Johnny Moore, Bill Pinkney, Charlie Thomas e Gerhart Thrasher. 1988 Dylan, Bob Bob Dylan 1988 Supremas! As supremas Florence Ballard, Diana Ross e Mary Wilson. 1989 Dion! Dion 1989 Redding, Otis Otis Redding 1989 Rolling Stones! Os Rolling Stones Mick Jagger, Brian Jones, Keith Richards, Ian Stewart, Mick Taylor, Charlie Watts, Ronnie Wood e Bill Wyman. 1989 tentações! As tentações Melvin Franklin, Eddie Kendricks, David Ruffin, Otis Williams, Paul Williams, Dennis Edwards. 1989 Wonder, Stevie Stevie Wonder 1990 - Ballard, Hank Hank Ballard 1990 Darin, Bobby Bobby Darin 1990 Four Seasons! As quatro temporadas Tom DeVito, Bob Gaudio, Nick Massi e Frankie Valli. 1990 Quatro tops! Quatro topos Renaldo `` obie '' Benson, Abdul `` Duke '' Fakir, Lawrence Payton e Levi Stubbs. 1990 Kinks! The Kinks Mick Avory, Dave Davies, Ray Davies e Pete Quaife. 1990 Platters! Os pratos David Lynch, Herb Reed, Paul Robi, Zola Taylor e Tony Williams. 1990 Simon e Garfunkel Paul Simon e Art Garfunkel. 1990 Quem! O Who Roger Daltrey, John Entwistle, Keith Moon e Pete Townshend. 1991 Baker, Lavern Lavern Baker 1991 Byrds! O gene Byrds Clark, Michael Clarke, David Crosby, Chris Hillman e Roger McGuinn. 1991 Hooker, John Lee John Lee Hooker 1991 - Impressões! As impressões Curtis Mayfield, Sam Gooden, Fred Cash, Arthur Brooks, Richard Brooks e Jerry Butler. 1991 Pickett, Wilson Wilson Pickett 1991 Reed, Jimmy Jimmy Reed 1991 Turner, Ike e Tina Ike e Tina Turner Ike Turner e Tina Turner. 1992 Bland, Bobby! Bobby `` Blue '' Bland 1992 Booker T. &amp; The M.G. Booker T. Jones, Steve Cropper, Donald `` Duck '' Dunn, Al Jackson Jr. e Lewie Steinberg. 1992 Cash, Johnny Johnny Cash 1992 Isley Brothers! Os irmãos Isley Ernie Isley, Marvin Isley, O'Kelly Isley Jr., Ronald Isley, Rudolph Isley e Chris Jasper. 1992 Hendrix Experience, The Jimi the Jimi Hendrix Experience Jimi Hendrix, Mitch Mitchell e Noel Redding. 1992 Sam e Dave Sam Moore e Dave Prater. 1992 Yardbirds! Os Yardbirds Jeff Beck, Eric Clapton, Chris Dreja, Jim McCarty, Jimmy Page, Keith Relf e Paul Samwell - Smith. 1993 Brown, Ruth Ruth Brown 1993 Cream Ginger Baker, Jack Bruce e Eric Clapton. 1993 Creedence Clearwater Revival Doug Clifford, Stu Cook, John Fogerty e Tom Fogerty. 1993 portas! As portas John Densmore, Robby Krieger, Ray Manzarek e Jim Morrison. 1993     Lymon &amp; The Teenagers , Frankie Frankie Lymon &amp; The Teenagers   Herman Santiago , Jimmy Merchant , Sherman Garnes , Frankie Lymon , and Joe Negroni     1993     James , Etta Etta James       1993     Morrison , Van Van Morrison       1993     Sly and the Family Stone   Gregg Errico , Larry Graham , Jerry Martini, Cynthia Robinson, Freddie Stone, Rosie Stone e Sly Stone. 1994 Animais! Os animais Eric Burdon, Chas Chandler, Alan Price, John Steel e Hilton Valentine. 1994 banda! A banda Rick Danko, Levon Helm, Garth Hudson, Richard Manuel e Robbie Robertson. 1994 Eddy, Duane Duane Eddy 1994 Grateful Dead Tom Constanten, Jerry Garcia, Donna Jean Godchaux, Keith Godchaux, Mickey Hart, Robert Hunter, Bill Kreutzmann, Phil Lesh, Ron McKernan, Brent Mydland, Bob Worz e Vince Welnick. 1994 John, Elton Elton John 1994 Lennon, John John Lennon 1994 Marley, Bob Bob Marley 1994 Stewart, Rod Rod Stewart 1995 Allman Brothers Band! A banda Allman Brothers Duane Allman, Gregg Allman, Dickey Betts, Jai Johanny Johanson, Berry Oakley e Butch Trucks. 1995 Green, Al Al Green 1995 Joplin, Janis Janis Joplin 1995 Led Zeppelin John Bonham, John Paul Jones, Jimmy Page e Robert Plant 1995 Martha e Vandellas Rosalind Ashford, Annette Beard, Betty Kelly, Lois Reeves, Martha Reeves e Sandra, e Sandra, Tilley. 1995 Young, Neil Neil Young 1995 Zappa, Frank Zappa Bowie, David Bowie Knight e The Pips, Gladys Gladys Knight e The Pips William Guest, Gladys Knight, Merald `` Bubba '' Knight e Edward Patten. Jefferson Airplane Marty Balin, Jack Casady, Spencer Dryden, Paul Kantner, Jorma Kaukonen e Grace Slick. Little Willie John Pink Floyd Syd Barrett, David Gilmour, Nick Mason, Roger Waters e Rick Wright. Shirelles! Os Shirelles Shirley Alston Reeves, Addie Harris, Doris Kenner - Jackson e Beverly Lee. Velvet Underground! O Velvet Underground John Cale, Sterling Morrison, Lou Reed e Maureen Tucker. 1997 Bee Gees Barry Gibb, Maurice Gibb e Robin Gibb. 1997 Buffalo Springfield Richie Furay, Dewey Martin, Bruce Palmer, Stephen Stills e Neil Young. 1997 Crosby, Stills &amp; Nash David Crosby, Graham Nash e Stephen Stills. 1997 Jackson 5, The Jackson 5 Jackie Jackson, Jermaine Jackson, Marlon Jackson, Michael Jackson e Tito Jackson. 1997     Mitchell , Joni Joni Mitchell       1997     Parliament - Funkadelic   Jerome Brailey , George Clinton , Bootsy Collins , Raymond Davis , Tiki Fulwood , Glenn Goins , Michael Hampton , Fuzzy Haskins , Eddie Hazel , Walter Morrison , Cordell Mosson , William `` Billy Bass '' Nelson, Garry Shider, Calvin Simon, Grady Thomas e Bernie Worrell. 1997 Rascals! Os (jovens) Rascals Eddie Brigati, Felix Cavaliere, Gene Cornish e Dino Danelli. 1998 Eagles Don Felder, Glenn Frey, Don Henley, Bernie Leadon, Randy Meisner, Timothy B. Schmit e Joe Walsh. 1998 Fleetwood Mac Lindsey Buckingham, Mick Fleetwood, Peter Green, Danny Kirwan, Christine McVie, John McVie, Stevie Nicks e Jeremy Spencer. 1998 Mamas e os Papas! Os Mamas e os Papas Denny Doherty, Cass Elliot, John Phillips e Michelle Phillips. 1998 Price, Lloyd Lloyd Price 1998 Santana Jose Chepito, David Brown, Michael Carabello, Gregg Rolie, Carlos Santana e Michael Shrieve. 1998 Vincent, Gene Gene Vincent 1999 Joel, Billy Billy Joel 1999 Mayfield, Curtis Curtis Mayfield 1999 McCartney, Paul Paul McCartney 1999 Shannon, Del Del Shannon 1999 Springfield, Dusty Dusty Springfield 1999 Springsteen, Bruce Bruce Bruce Springseen 1999 Staple Singers, Springfield, Springsteen, Bruce Bruce, Springseen 1999 Staple Singers, Springfield, Springsteen, Bruce Bruce, Springseen 1999 Staple Singners, Springfield, Springsteen, Bruce Bruce Singreen 1999 Staplep Singers, Staplepor Cleotha Staples, Mavis Staples, Pedis Staples, Pops Staples e Yvonne Staples. 2000 Clapton, Eric Eric Clapton 2000 Earth, Wind &amp; Fire Philip Bailey, Larry Dunn, Johnny Graham, Ralph Johnson, Al McKay, Fred White, Maurice White, Verdine White e Andrew Woolfolk. 2000 Lovin 'Spoonful, The Lovin' Spoonful Steve Boone, Joe Butler, John Sebastian e Zal Yanovsky. 2000 Moonglows, The Moonglows Prentiss Barnes, Harvey Fuqua, Peter Graves, Billy Johnson e Bobby Lester. 2000 Raitt, Bonnie Bonnie Raitt 2000 Taylor, James James Taylor 2001 Aerosmith Tom Hamilton, Joey Kramer, Joe Perry, Steven Tyler e Brad Whitford. 2001 Burke, Solomon Solomon Burke 2001 Flamingos, The Flamingos Jake Carey, Zeke Carey, Johnny Carter, Tommy Hunt, Terry `` Buzzy '' Johnson, Sollie McElroy, Nate Nelson e Paul Wilson. 2001 Jackson, Michael Michael Jackson 2001 Rainha John Deacon, Brian May, Freddie Mercury e Roger Taylor. 2001 Simon, Paul Paul Simon 2001 Steely Dan Walter Becker e Donald Fagen. 2001 Valens, Ritchie Ritchie Valens 2002 Hayes, Isaac Isaac Hayes 2002 Lee, Brenda Brenda Lee 2002 Petty e The Heartbreakers, Tom Tom Petty e The Heartbreakers Tom Petty, Ron Blair, Mike Campbell, Howie Epstein, Stan Lynnch e Benmont Tench. 2002 Pitney, Gene Gene Pitney 2002 Ramones Dee Dee Ramone, Joey Ramone, Johnny Ramone, Marky Ramone e Tommy Ramone. 2002 Chefes falantes David Byrne, Chris Frantz, Jerry Harrison e Tina Weymouth. 2003 AC / DC Brian Johnson, Phil Rudd, Bon Scott, Cliff Williams, Angus Young e Malcolm Young. 2003 Clash, The Clash Terry Chimes, Topper Headon, Mick Jones, Paul Simonon e Joe Strummer. 2003 Costello &amp; the Atrações, Elvis Elvis Costello e as atrações Elvis Costello, Steve Nieve, Bruce Thomas e Pete Thomas. Polícia de 2003, a polícia Stewart Copeland, Sting e Andy Summers. 2003 Righteous Brothers, os irmãos justos Bobby Hatfield e Bill Medley. Browne, Jackson Jackson Browne Dells, The Dells Verne Allison, Chuck Barksdale, Johnny Carter, Johnny Funches, Marvin Junior e Michael McGill. Harrison, George George Harrison Prince Seger, Bob Bob Seger Traffic Jim Capaldi, Dave Mason, Steve Winwood e Chris Wood. ZZ Top Frank Beard, Billy Gibbons e Dusty Hill. 2005 Guy, Buddy Buddy Guy 2005 O'Jays, The O'Jays Eddie Levert, Bobby Massey, William Powell, Sammy Strain e Walter Williams. 2005 Pretenders Martin Chambers, Pete Farndon, James Honeyman - Scott e Chrissie Hynde. Sledge de 2005, Percy Percy Sledge 2005 U2 Bono, Adam Clayton, The Edge e Larry Mullen, Jr ... 2006 Black Sabbath Geezer Butler, Tony Iommi, Ozzy Osbourne e Bill Ward. 2006 Blondie Clem Burke, Jimmy Destri, Nigel Harrison, Debbie Harry, Frank Infante, Chris Stein e Gary Valentine. 2006 Davis, Miles Miles Davis 2006 Lynyrd Skynyrd Bob Burns, Allen Collins, Steve Gaines, Ed King, Billy Powell, Artimus Pyle, Gary Rossington, Ronnie Van Zant e Leon Wilkeson. 2006 Sex Pistols Paul Cook, Steve Jones, Glen Matlock, John Lydon e Sid Vicious. O Grandmaster Flash de 2007 e os Furiosos Cinco Melvin `` Melle Mel '' Glover, Nathaniel `` The Kidd Creole '' Glover, Eddie `` Scorpio '' Morris, Joseph `` Grandmaster Flash '' Sadler, Robert Keith `Keef 'Wiggins e Guy Todd `` Rahiem' 'Williams. 2007 R.E.M. Bill Berry, Peter Buck, Mike Mills e Michael Stipe. 2007 Ronettes, The Ronettes Estelle Bennett, Ronnie Spector e Nedra Talley. 2007 Smith, Patti Patti Smith 2007 Van Halen Michael Anthony, Sammy Hagar, David Lee Roth, Alex Van Halen e Eddie Van Halen. 2008 Clark Five, o Dave, Dave Clark Five Dave Clark, Lenny Davidson, Rick Huxley, Denis Payton e Mike Smith. 2008 Cohen, Leonard Leonard Cohen 2008 Madonna 2008 Mellencamp, John John Mellencamp 2008 Ventures, The Ventures Bob Bogle, Nokie Edwards, Gerry McGee, Mel Taylor e Don Wilson. 2009 Beck, Jeff Jeff Beck 2009 Little Anthony e The Imperials Clarence Collins, Anthony Gourdine, Tracy Lord, Glouster `` Nat '' Rogers, Sammy Strain e Ernest Wright Jr. 2009 Metallica Cliff Burton, Kirk Hammett, James Hetfield, Jason Newsted, Robert Trujillo e Lars Ulrich. 2009 Run - D.M.C. Darryl `` D.M.C. '' McDaniels, Jason `` Jam - Mestre Jay '' Mizell e Joseph `` dj run '' Simmons. 2009 Womack, Bobby Bobby Womack Abba Benny Andersson, Agnetha Fältskog, Anni - Frid Lyngstad e Björn Ulvaeus. Gênesis Tony Banks, Phil Collins, Peter Gabriel, Steve Hackett e Mike Rutherford. Cliff, Jimmy Jimmy Cliff Hollies, The Hollies Bernie Calvert, Allan Clarke, Bobby Elliott, Eric Haydock, Tony Hicks, Graham Nash e Terry Sylvester. Stooges, The Stooges Dave Alexander, Ron Asheton, Scott Asheton, Iggy Pop e James Williamson. 2011 Alice Cooper Alice Alice Cooper, Michael Owen Bruce, Glen Buxton, Dennis Dunaway e Neal Smith. 2011 Diamond, Neil Neil Diamond 2011 Dr. John 2011 Love, Darlene Darlene Love Waits 2011, Tom Tom Waits 2012 Beastie Boys Michael `` Mike D '' Diamond, Adam `` ad - Rock '' Horovitz e Adam `` MCA ' 'Yauch. 2012 - Blue Caps! A banda de apoio do Blue Caps para Gene Vincent. Induzido: Tommy Facenda, Cliff Gallup, Dickie Harrell, Bobby Jones, Johnny Meeks, Jack Neal, Paul Peek e Willie Williams. 2012 Cometas! A banda de apoio dos Comets para Bill Haley. Induzido: Joey Ambrose, Franny Beecher, Danny Cedrone, Johnny Grande, Ralph Jones, Marshall Lytle, Rudy Pompilli, Al Rex, Dick Richards e Billy Williamson. Crickets de 2012! A banda de backing de grilos para Buddy Holly. Induzido: Jerry Allison, Sonny Curtis, Joe B. Mauldin e Niki Sullivan. 2012 Donovan 2012 Famous Flames! As famosas chamas que apoiam o grupo vocal de James Brown. Induzido: Bobby Bennett, Bobby Byrd, Lloyd Stallworth e Johnny Terry. 2012 Guns N 'Roses Steven Adler, Duff McKagan, Dizzy Reed, Axl Rose, Slash, Matt Sorum e Izzy Stradlin. 2012 - Midnighters! O Midnighters apoia o grupo vocal de Hank Ballard. Induzido: Henry Booth, Billy Davis, Cal Green, Arthur Porter, Lawson Smith, Charles Sutton, Norman Thrasher e Sonny Woods. Milagres de 2012! Os milagres apoiando o grupo vocal de Smokey Robinson. Induzido: Claudette Rogers, Bobby Rogers, Ronald White, Marv Tarplin e Pete Moore. 2012 Nyro, Laura Laura Nyro 2012 Red Hot Chili Peppers Flea, John Frusciante, Jack Irons, Anthony Kiedis, Josh Klinghoffer, Cliff Martinez, Hillel Slovak e Chad Smith. 2012 - Facos pequenos / rostos Kenney Jones, Ronnie Lane, Ian McLagan, Steve Marriott, Rod Stewart e Ronnie Wood. 2013 Coração Michael DeRosier, Roger Fisher, Steve Fossen, Howard Leese, Ann Wilson e Nancy Wilson. 2013 King, Albert Albert King 2013 Newman, Randy Randy Newman 2013 Flav Public Enemy Flav, Professor Griff, Terminator X e Chuck D. 2013 Rush Geddy Lee, Alex Lifeson e Neil Peart. Verão de 2013, Donna Donna Summer 2014 Gabriel, Peter Peter Gabriel 2014 Hall e Oates Daryl Hall e John Oates. Beijo de 2014 Peter Criss, Ace Frehley, Gene Simmons e Paul Stanley. 2014 Nirvana Kurt Cobain, Dave Grohl e Krist Novoselic. 2014 RONSTADT, LINDA LINDA RONSTADT 2014 STEVENS, CAT CAT STEVENS 2015 Butterfield Blues Band, The Paul the Paul Butterfield Blues Band Paul Butterfield, Mike Bloomfield, Elvin Bishop, Mark Naftalin, Jerome Arnold, Billy Davenport e Sam Lay. 2015 Jett &amp; The Blackhearts, Joan Joan Jett e The Blackhearts Joan Jett, Gary Ryan, Lee Crystal e Ricky Byrd. 2015 Reed, Lou Lou Reed 2015 Green Day Billie Joe Armstrong, Tré Cool e Mike Dirnt. 2015 Vaughan, Stevie Ray Stevie Ray Vaughan e Double Trouble Stevie Ray Vaughan, Chris Layton, Tommy Shannon e Reese Wynans. 2015 Withers, Bill Bill Withers 2016 Cheap Trick Bun E. Carlos, Rick Nielsen, Tom Petersson e Robin Zander. 2016 Chicago Peter Cetera, Terry Kath, Robert Lamm, Lee Loughnane, James Pankow, Walter Parazaider e Danny Seraphine. 2016 Deep Purple Ritchie Blackmore, David Coverdale, Rod Evans, Ian Gillan, Roger Glover, Glenn Hughes, Jon Lord e Ian Paice 2016 N.W.A DJ Yella, Ice Cube, Mc Ren, Eazy - E e Dr. Dre 2016 Miller, Steve Steve Miller 2017 Orquestra de luz elétrica Bev Bevan, Jeff Lynne, Richard Tandy e Roy Wood 2017 Baez, Joan Joan Baez 2017 Journey Jonathan Cain, Aynsley Dunbar, Steve Perry, Gregg Rolie, Neal Schon, Steve Smith e Ross Valory 2017, Peargg Ji Juns, Schon, Steve Smith e Ross Valory 2017 Jeff Ament, Matt Cameron, Stone Gossard, Dave Krusen, Mike McCready e Eddie Vedder 2017 Tupac Shakur 2017 Sim Jon Anderson, Bill Bruford, Steve Howe, Tony Kaye, Trevor Rabin, Chris Squire, Rick Wakeman e Alan White, e Alan White,</v>
      </c>
    </row>
    <row r="551" customFormat="false" ht="15.75" hidden="false" customHeight="true" outlineLevel="0" collapsed="false">
      <c r="A551" s="3" t="n">
        <v>548</v>
      </c>
      <c r="B551" s="5" t="s">
        <v>1645</v>
      </c>
      <c r="C551" s="5" t="s">
        <v>1646</v>
      </c>
      <c r="D551" s="5" t="s">
        <v>1647</v>
      </c>
      <c r="E551" s="4" t="str">
        <f aca="false">IFERROR(__xludf.dummyfunction("GOOGLETRANSLATE(C552)"),"que jogou jovem hagrid na Câmara dos Segredos")</f>
        <v>que jogou jovem hagrid na Câmara dos Segredos</v>
      </c>
      <c r="F551" s="5" t="str">
        <f aca="false">IFERROR(__xludf.dummyfunction("GOOGLETRANSLATE(D551)"),"   Poster de Liberação Teatral de Bela e Beast por John Alvin, dirigido por Gary Trousdale Kirk Wise, produzido por Don Hahn Roteiro por Linda Woolverton Story, do Roger Allers Brenda Chapman Chris Sanders Burny Mattinson Kevin Harkey Lineke Lemkey Brian "&amp;"Brian Bruce Wood Joe Ranft Tomllery Kelly Brined Brined Robert Robert Linent A beleza e a besta por Jeanne - Marie Leprince de Beaumont, estrelada por Paige O'Hara Robby Benson Richard White Jerry Orbach David Ogden Stiers Angela Lansbury Rex Everhart Jes"&amp;"se Corti Narrado por David Ogden Stuers (Prólogo) Música de Alan Menken Editada por John Carnochan Disney Pictures Walt Disney Feature Animação Silver Screen Partners IV IV Distribuída por Buena Vista Pictures Data de lançamento 29 de setembro de 1991 (19"&amp;"91 - 09 - 29) (New York Film Festival) 22 de novembro de 1991 (1991 - 11 - 22) (Estados Unidos) Running) Tempo 84 minutos país Estados Unidos Língua Orçamento em inglês $ 25 milhões de bilheteria $ 425 milhões")</f>
        <v>   Poster de Liberação Teatral de Bela e Beast por John Alvin, dirigido por Gary Trousdale Kirk Wise, produzido por Don Hahn Roteiro por Linda Woolverton Story, do Roger Allers Brenda Chapman Chris Sanders Burny Mattinson Kevin Harkey Lineke Lemkey Brian Brian Bruce Wood Joe Ranft Tomllery Kelly Brined Brined Robert Robert Linent A beleza e a besta por Jeanne - Marie Leprince de Beaumont, estrelada por Paige O'Hara Robby Benson Richard White Jerry Orbach David Ogden Stiers Angela Lansbury Rex Everhart Jesse Corti Narrado por David Ogden Stuers (Prólogo) Música de Alan Menken Editada por John Carnochan Disney Pictures Walt Disney Feature Animação Silver Screen Partners IV IV Distribuída por Buena Vista Pictures Data de lançamento 29 de setembro de 1991 (1991 - 09 - 29) (New York Film Festival) 22 de novembro de 1991 (1991 - 11 - 22) (Estados Unidos) Running) Tempo 84 minutos país Estados Unidos Língua Orçamento em inglês $ 25 milhões de bilheteria $ 425 milhões</v>
      </c>
    </row>
    <row r="552" customFormat="false" ht="15.75" hidden="false" customHeight="true" outlineLevel="0" collapsed="false">
      <c r="A552" s="3" t="n">
        <v>549</v>
      </c>
      <c r="B552" s="5" t="s">
        <v>1648</v>
      </c>
      <c r="C552" s="5" t="s">
        <v>1649</v>
      </c>
      <c r="D552" s="5" t="s">
        <v>1650</v>
      </c>
      <c r="E552" s="4" t="str">
        <f aca="false">IFERROR(__xludf.dummyfunction("GOOGLETRANSLATE(C553)"),"quem escreveu a música você sabe para onde vai")</f>
        <v>quem escreveu a música você sabe para onde vai</v>
      </c>
      <c r="F552" s="5" t="str">
        <f aca="false">IFERROR(__xludf.dummyfunction("GOOGLETRANSLATE(D552)")," Desde a aposentadoria, Bayfield trabalhou como jornalista, um orador depois do jantar e apareceu em todos os filmes de Harry Potter, que interpreta o Half - gigante Hagrid, como o corpo de Robbie Coltrane e o dublê duplo. Ele também apareceu em Harry Pot"&amp;"ter e na Câmara de Segredos, como um jovem Rubeus Hagrid. Continuando o tema de atuação, ele também tocou um ciclope na ira de Jonathan Liebesman, de The Titãs, a sequência do filme de 2010 Clash of the Titans. Bayfield também jogou Rugby Player 1 em um e"&amp;"pisódio de novos truques na BBC1 (mostrado pela primeira vez em 1 de setembro de 2008).")</f>
        <v> Desde a aposentadoria, Bayfield trabalhou como jornalista, um orador depois do jantar e apareceu em todos os filmes de Harry Potter, que interpreta o Half - gigante Hagrid, como o corpo de Robbie Coltrane e o dublê duplo. Ele também apareceu em Harry Potter e na Câmara de Segredos, como um jovem Rubeus Hagrid. Continuando o tema de atuação, ele também tocou um ciclope na ira de Jonathan Liebesman, de The Titãs, a sequência do filme de 2010 Clash of the Titans. Bayfield também jogou Rugby Player 1 em um episódio de novos truques na BBC1 (mostrado pela primeira vez em 1 de setembro de 2008).</v>
      </c>
    </row>
    <row r="553" customFormat="false" ht="15.75" hidden="false" customHeight="true" outlineLevel="0" collapsed="false">
      <c r="A553" s="3" t="n">
        <v>550</v>
      </c>
      <c r="B553" s="5" t="s">
        <v>1651</v>
      </c>
      <c r="C553" s="5" t="s">
        <v>1652</v>
      </c>
      <c r="D553" s="5" t="s">
        <v>1653</v>
      </c>
      <c r="E553" s="4" t="str">
        <f aca="false">IFERROR(__xludf.dummyfunction("GOOGLETRANSLATE(C554)"),"que interpretou Blair nos fatos da vida")</f>
        <v>que interpretou Blair nos fatos da vida</v>
      </c>
      <c r="F553" s="5" t="str">
        <f aca="false">IFERROR(__xludf.dummyfunction("GOOGLETRANSLATE(D553)")," `` Tema de mogno (você sabe para onde você está indo) '' é uma música escrita por Michael Masser e Gerald Goffin, e inicialmente gravada pelo cantor americano Thelma Houston em 1973, e depois notavelmente por Diana Ross como o tema para o Motown / Paramo"&amp;"unt Film mogno de 1975.")</f>
        <v> `` Tema de mogno (você sabe para onde você está indo) '' é uma música escrita por Michael Masser e Gerald Goffin, e inicialmente gravada pelo cantor americano Thelma Houston em 1973, e depois notavelmente por Diana Ross como o tema para o Motown / Paramount Film mogno de 1975.</v>
      </c>
    </row>
    <row r="554" customFormat="false" ht="15.75" hidden="false" customHeight="true" outlineLevel="0" collapsed="false">
      <c r="A554" s="3" t="n">
        <v>551</v>
      </c>
      <c r="B554" s="5" t="s">
        <v>1654</v>
      </c>
      <c r="C554" s="5" t="s">
        <v>1655</v>
      </c>
      <c r="D554" s="5" t="s">
        <v>1656</v>
      </c>
      <c r="E554" s="4" t="str">
        <f aca="false">IFERROR(__xludf.dummyfunction("GOOGLETRANSLATE(C555)"),"Quantas reservas indianas existem nos EUA")</f>
        <v>Quantas reservas indianas existem nos EUA</v>
      </c>
      <c r="F554" s="5" t="str">
        <f aca="false">IFERROR(__xludf.dummyfunction("GOOGLETRANSLATE(D554)")," Lisa Diane Whelchel (nascida em 29 de maio de 1963) é uma atriz americana, cantor, compositora, autor e orador público. Ela é conhecida por suas aparências como uma MouseKeteer no novo Mickey Mouse Club e seu papel de nove anos como o Preppy e o Wealing "&amp;"Blair Warner sobre os fatos da vida. Em 1984, ela foi indicada ao Grammy Award de melhor desempenho inspirador para seu álbum cristão contemporâneo, tudo por sua causa. Desde 2009, ela é uma oradora regular da Mulher of Faith Christian Conferências. Em 20"&amp;"12, Whelchel participou como concorrente do Survivor da CBS Reality Series: Filipinas e empatou em segundo lugar. Ela também foi eleita a favorita dos fãs e recebeu US $ 100.000.")</f>
        <v> Lisa Diane Whelchel (nascida em 29 de maio de 1963) é uma atriz americana, cantor, compositora, autor e orador público. Ela é conhecida por suas aparências como uma MouseKeteer no novo Mickey Mouse Club e seu papel de nove anos como o Preppy e o Wealing Blair Warner sobre os fatos da vida. Em 1984, ela foi indicada ao Grammy Award de melhor desempenho inspirador para seu álbum cristão contemporâneo, tudo por sua causa. Desde 2009, ela é uma oradora regular da Mulher of Faith Christian Conferências. Em 2012, Whelchel participou como concorrente do Survivor da CBS Reality Series: Filipinas e empatou em segundo lugar. Ela também foi eleita a favorita dos fãs e recebeu US $ 100.000.</v>
      </c>
    </row>
    <row r="555" customFormat="false" ht="15.75" hidden="false" customHeight="true" outlineLevel="0" collapsed="false">
      <c r="A555" s="3" t="n">
        <v>552</v>
      </c>
      <c r="B555" s="5" t="s">
        <v>1657</v>
      </c>
      <c r="C555" s="5" t="s">
        <v>1658</v>
      </c>
      <c r="D555" s="5" t="s">
        <v>1659</v>
      </c>
      <c r="E555" s="4" t="str">
        <f aca="false">IFERROR(__xludf.dummyfunction("GOOGLETRANSLATE(C556)"),"que interpreta Alba na esposa do viajante do tempo")</f>
        <v>que interpreta Alba na esposa do viajante do tempo</v>
      </c>
      <c r="F555" s="5" t="str">
        <f aca="false">IFERROR(__xludf.dummyfunction("GOOGLETRANSLATE(D555)")," Uma reserva indiana é uma designação legal para uma área de terra gerenciada por uma tribo nativa americana reconhecida pelo governo federal sob o Departamento de Assuntos Indianos dos EUA, e não pelos governos estaduais dos Estados Unidos em que estão l"&amp;"ocalizados fisicamente. Cada uma das 326 reservas indianas nos Estados Unidos está associada a uma nação nativa americana em particular. Nem todas as tribos reconhecidas do país 567 têm uma reserva - algumas tribos têm mais de uma reserva, enquanto alguma"&amp;"s compartilham reservas. Além disso, devido a lotes terrestres anteriores, levando a algumas vendas a americanos não nativos, algumas reservas são severamente fragmentadas, com cada peça de terra tribal, individual e privada sendo um enclave separado. Ess"&amp;"a mistura de imóveis públicos e privados cria dificuldades administrativas, políticas e legais significativas.")</f>
        <v> Uma reserva indiana é uma designação legal para uma área de terra gerenciada por uma tribo nativa americana reconhecida pelo governo federal sob o Departamento de Assuntos Indianos dos EUA, e não pelos governos estaduais dos Estados Unidos em que estão localizados fisicamente. Cada uma das 326 reservas indianas nos Estados Unidos está associada a uma nação nativa americana em particular. Nem todas as tribos reconhecidas do país 567 têm uma reserva - algumas tribos têm mais de uma reserva, enquanto algumas compartilham reservas. Além disso, devido a lotes terrestres anteriores, levando a algumas vendas a americanos não nativos, algumas reservas são severamente fragmentadas, com cada peça de terra tribal, individual e privada sendo um enclave separado. Essa mistura de imóveis públicos e privados cria dificuldades administrativas, políticas e legais significativas.</v>
      </c>
    </row>
    <row r="556" customFormat="false" ht="15.75" hidden="false" customHeight="true" outlineLevel="0" collapsed="false">
      <c r="A556" s="3" t="n">
        <v>553</v>
      </c>
      <c r="B556" s="5" t="s">
        <v>1660</v>
      </c>
      <c r="C556" s="5" t="s">
        <v>1661</v>
      </c>
      <c r="D556" s="5" t="s">
        <v>1662</v>
      </c>
      <c r="E556" s="4" t="str">
        <f aca="false">IFERROR(__xludf.dummyfunction("GOOGLETRANSLATE(C557)"),"comumente usado como conservante para amostras de tecido")</f>
        <v>comumente usado como conservante para amostras de tecido</v>
      </c>
      <c r="F556" s="5" t="str">
        <f aca="false">IFERROR(__xludf.dummyfunction("GOOGLETRANSLATE(D556)")," Hailey McCann como Alba se afasta às nove e dez, a filha de Henry e Clare, Tatum McCann, como Alba às quatro e cinco")</f>
        <v> Hailey McCann como Alba se afasta às nove e dez, a filha de Henry e Clare, Tatum McCann, como Alba às quatro e cinco</v>
      </c>
    </row>
    <row r="557" customFormat="false" ht="15.75" hidden="false" customHeight="true" outlineLevel="0" collapsed="false">
      <c r="A557" s="3" t="n">
        <v>554</v>
      </c>
      <c r="B557" s="5" t="s">
        <v>1663</v>
      </c>
      <c r="C557" s="5" t="s">
        <v>1664</v>
      </c>
      <c r="D557" s="5" t="s">
        <v>1665</v>
      </c>
      <c r="E557" s="4" t="str">
        <f aca="false">IFERROR(__xludf.dummyfunction("GOOGLETRANSLATE(C558)"),"que Olsen Twin estava mais na casa cheia")</f>
        <v>que Olsen Twin estava mais na casa cheia</v>
      </c>
      <c r="F557" s="5" t="str">
        <f aca="false">IFERROR(__xludf.dummyfunction("GOOGLETRANSLATE(D557)")," De longe, o fixador mais usado em histologia é o formaldeído. Geralmente é usado como uma formalina tamponada neutra de 10 % (NBF), ou seja. 3,7 % - 4,0 % de formaldeído em solução salina tamponada fosfato. Como o formaldeído é um gás à temperatura ambie"&amp;"nte, o gás formaldeído -formaldeído dissolvido em água (~ 37 % p / v) é usado ao fazer do primeiro fixador. O paraformaldeído é uma forma polimerizada de formaldeído, geralmente obtida como um pó branco fino, que despolimeriza de volta à formalina quando "&amp;"aquecido. O formaldeído fixa o tecido ao reticular as proteínas, principalmente os resíduos da lisina de aminoácidos básicos. Seus efeitos são reversíveis pelo excesso de água e evita a pigmentação da formalina. Outros benefícios incluem: armazenamento a "&amp;"longo prazo e boa penetração de tecidos. É particularmente bom para técnicas de imuno -histoquímica. Além disso, o vapor de formaldeído pode ser usado como fixador para manchas de células.")</f>
        <v> De longe, o fixador mais usado em histologia é o formaldeído. Geralmente é usado como uma formalina tamponada neutra de 10 % (NBF), ou seja. 3,7 % - 4,0 % de formaldeído em solução salina tamponada fosfato. Como o formaldeído é um gás à temperatura ambiente, o gás formaldeído -formaldeído dissolvido em água (~ 37 % p / v) é usado ao fazer do primeiro fixador. O paraformaldeído é uma forma polimerizada de formaldeído, geralmente obtida como um pó branco fino, que despolimeriza de volta à formalina quando aquecido. O formaldeído fixa o tecido ao reticular as proteínas, principalmente os resíduos da lisina de aminoácidos básicos. Seus efeitos são reversíveis pelo excesso de água e evita a pigmentação da formalina. Outros benefícios incluem: armazenamento a longo prazo e boa penetração de tecidos. É particularmente bom para técnicas de imuno -histoquímica. Além disso, o vapor de formaldeído pode ser usado como fixador para manchas de células.</v>
      </c>
    </row>
    <row r="558" customFormat="false" ht="15.75" hidden="false" customHeight="true" outlineLevel="0" collapsed="false">
      <c r="A558" s="3" t="n">
        <v>555</v>
      </c>
      <c r="B558" s="5" t="s">
        <v>1666</v>
      </c>
      <c r="C558" s="5" t="s">
        <v>1667</v>
      </c>
      <c r="D558" s="5" t="s">
        <v>1668</v>
      </c>
      <c r="E558" s="4" t="str">
        <f aca="false">IFERROR(__xludf.dummyfunction("GOOGLETRANSLATE(C559)"),"Por que a Virginia Capital foi mudada de Williamsburg para Richmond")</f>
        <v>Por que a Virginia Capital foi mudada de Williamsburg para Richmond</v>
      </c>
      <c r="F558" s="5" t="str">
        <f aca="false">IFERROR(__xludf.dummyfunction("GOOGLETRANSLATE(D558)")," A equipe de produção por trás da Full House não queria que as pessoas soubessem que Michelle foi jogada por um conjunto de gêmeos, então as meninas foram creditadas como `` Mary - Kate Ashley Olsen '' para a maioria da corrida (fazendo com que pareça par"&amp;"ecer como Se uma única atriz teve o primeiro nome Mary - Kate e o nome do meio Ashley). Embora os dois tenham sido creditados separadamente como `` Mary - Kate Olsen e Ashley Olsen '' durante os créditos de fechamento na primeira temporada da série (eles "&amp;"não foram oficialmente adicionados à sequência de títulos de abertura até a segunda temporada, mas foram creditados nas versões sindicalizadas de Os títulos de abertura da primeira temporada), não foi até a oitava e última temporada que os gêmeos foram cr"&amp;"editados como `` Mary - Kate e Ashley Olsen '' nos títulos de abertura. Apesar de os Olsens serem gêmeos fraternos, suas aparências físicas eram, no entanto, o suficiente para que poucos pudessem dizer a diferença entre os dois ao longo da corrida do prog"&amp;"rama. Na primeira temporada, Mary - Kate foi usada com mais frequência devido ao fato de Ashley chorar quando foi colocada no set para uma cena.")</f>
        <v> A equipe de produção por trás da Full House não queria que as pessoas soubessem que Michelle foi jogada por um conjunto de gêmeos, então as meninas foram creditadas como `` Mary - Kate Ashley Olsen '' para a maioria da corrida (fazendo com que pareça parecer como Se uma única atriz teve o primeiro nome Mary - Kate e o nome do meio Ashley). Embora os dois tenham sido creditados separadamente como `` Mary - Kate Olsen e Ashley Olsen '' durante os créditos de fechamento na primeira temporada da série (eles não foram oficialmente adicionados à sequência de títulos de abertura até a segunda temporada, mas foram creditados nas versões sindicalizadas de Os títulos de abertura da primeira temporada), não foi até a oitava e última temporada que os gêmeos foram creditados como `` Mary - Kate e Ashley Olsen '' nos títulos de abertura. Apesar de os Olsens serem gêmeos fraternos, suas aparências físicas eram, no entanto, o suficiente para que poucos pudessem dizer a diferença entre os dois ao longo da corrida do programa. Na primeira temporada, Mary - Kate foi usada com mais frequência devido ao fato de Ashley chorar quando foi colocada no set para uma cena.</v>
      </c>
    </row>
    <row r="559" customFormat="false" ht="15.75" hidden="false" customHeight="true" outlineLevel="0" collapsed="false">
      <c r="A559" s="3" t="n">
        <v>556</v>
      </c>
      <c r="B559" s="5" t="s">
        <v>1669</v>
      </c>
      <c r="C559" s="5" t="s">
        <v>1670</v>
      </c>
      <c r="D559" s="5" t="s">
        <v>1671</v>
      </c>
      <c r="E559" s="4" t="str">
        <f aca="false">IFERROR(__xludf.dummyfunction("GOOGLETRANSLATE(C560)"),"quem apresentou que vai ficar bem na noite")</f>
        <v>quem apresentou que vai ficar bem na noite</v>
      </c>
      <c r="F559" s="5" t="str">
        <f aca="false">IFERROR(__xludf.dummyfunction("GOOGLETRANSLATE(D559)")," A Capitólio em Williamsburg serviu até o início da Guerra Revolucionária Americana, quando o governador Thomas Jefferson pediu que a capital fosse realocada para Richmond. O edifício foi usado pela última vez como Capitólio em 24 de dezembro de 1779, qua"&amp;"ndo a Assembléia Geral da Virgínia foi reconvencionada em 1780 na nova capital, Richmond.")</f>
        <v> A Capitólio em Williamsburg serviu até o início da Guerra Revolucionária Americana, quando o governador Thomas Jefferson pediu que a capital fosse realocada para Richmond. O edifício foi usado pela última vez como Capitólio em 24 de dezembro de 1779, quando a Assembléia Geral da Virgínia foi reconvencionada em 1780 na nova capital, Richmond.</v>
      </c>
    </row>
    <row r="560" customFormat="false" ht="15.75" hidden="false" customHeight="true" outlineLevel="0" collapsed="false">
      <c r="A560" s="3" t="n">
        <v>557</v>
      </c>
      <c r="B560" s="5" t="s">
        <v>1672</v>
      </c>
      <c r="C560" s="5" t="s">
        <v>1673</v>
      </c>
      <c r="D560" s="5" t="s">
        <v>1674</v>
      </c>
      <c r="E560" s="4" t="str">
        <f aca="false">IFERROR(__xludf.dummyfunction("GOOGLETRANSLATE(C561)"),"onde ocorreu o cerco de Petersburgo")</f>
        <v>onde ocorreu o cerco de Petersburgo</v>
      </c>
      <c r="F560" s="5" t="str">
        <f aca="false">IFERROR(__xludf.dummyfunction("GOOGLETRANSLATE(D560)"),"   Ficará bem na noite apresentada por Denis Norden (1977 -2006) Griff Rhys Jones (2008 -2016) narrado por David Walliams (2018 -) compositor (s) Rod Argent e Peter Van Hooke (1990 - 2006) Music 4 (2008 -) Country of Origin United Reino Unido Linguagem Or"&amp;"iginal (s) Número (s) Inglês Nº dos episódios 42 Produção (s) Local (s) The London Studios (1977 - 2016) Tempo de corrida 45 - 60 minutos (incluindo anúncios) Produção Empresa (s) LWT (1977 - 2004) Granada (2004 - 2005) ITV Productions (2006 - 2008) ITV S"&amp;"tudios (2011 -) Libere o canal de rede original 4 (um episódio), ITV, STV, UTV Picture Format 4: 3 (1977 - 2001) 16: 9 (2001 -) Lançamento original 18 de setembro de 1977 (1977 - 09 - 18) - Presente (presente) Related Related Shows Related Shows da tia Bl"&amp;"oomers Outtake TV Bloopers &amp; Practical Bunders mais saborosos da TV das TV")</f>
        <v>   Ficará bem na noite apresentada por Denis Norden (1977 -2006) Griff Rhys Jones (2008 -2016) narrado por David Walliams (2018 -) compositor (s) Rod Argent e Peter Van Hooke (1990 - 2006) Music 4 (2008 -) Country of Origin United Reino Unido Linguagem Original (s) Número (s) Inglês Nº dos episódios 42 Produção (s) Local (s) The London Studios (1977 - 2016) Tempo de corrida 45 - 60 minutos (incluindo anúncios) Produção Empresa (s) LWT (1977 - 2004) Granada (2004 - 2005) ITV Productions (2006 - 2008) ITV Studios (2011 -) Libere o canal de rede original 4 (um episódio), ITV, STV, UTV Picture Format 4: 3 (1977 - 2001) 16: 9 (2001 -) Lançamento original 18 de setembro de 1977 (1977 - 09 - 18) - Presente (presente) Related Related Shows Related Shows da tia Bloomers Outtake TV Bloopers &amp; Practical Bunders mais saborosos da TV das TV</v>
      </c>
    </row>
    <row r="561" customFormat="false" ht="15.75" hidden="false" customHeight="true" outlineLevel="0" collapsed="false">
      <c r="A561" s="3" t="n">
        <v>558</v>
      </c>
      <c r="B561" s="5" t="s">
        <v>1675</v>
      </c>
      <c r="C561" s="5" t="s">
        <v>1676</v>
      </c>
      <c r="D561" s="5" t="s">
        <v>1677</v>
      </c>
      <c r="E561" s="4" t="str">
        <f aca="false">IFERROR(__xludf.dummyfunction("GOOGLETRANSLATE(C562)"),"onde o Dr. Martin é filmado no Reino Unido")</f>
        <v>onde o Dr. Martin é filmado no Reino Unido</v>
      </c>
      <c r="F561" s="5" t="str">
        <f aca="false">IFERROR(__xludf.dummyfunction("GOOGLETRANSLATE(D561)"),"   Cerco de Petersburgo Parte da Guerra Civil Americana O `` ditador '' de argamassa de cerco em Petersburgo. Em primeiro plano, a figura à direita é Brig. Gen. Henry J. Hunt, chefe de artilharia do exército do Potomac. Data 9 de junho de 1864 - 25 de mar"&amp;"ço de 1865 (9 meses, 2 semanas e 2 dias) Localização Petersburgo, Virgínia Virginia Victory Beligerents dos Estados Unidos Comandantes e líderes dos Estados Confederados Ulysses S. Grant George Meade Benjamin Butler Robert E. Lee P.G.T. As unidades de Bea"&amp;"uregard envolveram o Exército do Exército de Potomac do Exército de James do Departamento da Virgínia do Norte da Carolina do Norte e força da Virgínia do sul 67.000 - 125.000 ∼ 52.000 baixas e perdas 42.000 (estimativa) 28.000 (estimativa)")</f>
        <v>   Cerco de Petersburgo Parte da Guerra Civil Americana O `` ditador '' de argamassa de cerco em Petersburgo. Em primeiro plano, a figura à direita é Brig. Gen. Henry J. Hunt, chefe de artilharia do exército do Potomac. Data 9 de junho de 1864 - 25 de março de 1865 (9 meses, 2 semanas e 2 dias) Localização Petersburgo, Virgínia Virginia Victory Beligerents dos Estados Unidos Comandantes e líderes dos Estados Confederados Ulysses S. Grant George Meade Benjamin Butler Robert E. Lee P.G.T. As unidades de Beauregard envolveram o Exército do Exército de Potomac do Exército de James do Departamento da Virgínia do Norte da Carolina do Norte e força da Virgínia do sul 67.000 - 125.000 ∼ 52.000 baixas e perdas 42.000 (estimativa) 28.000 (estimativa)</v>
      </c>
    </row>
    <row r="562" customFormat="false" ht="15.75" hidden="false" customHeight="true" outlineLevel="0" collapsed="false">
      <c r="A562" s="3" t="n">
        <v>559</v>
      </c>
      <c r="B562" s="5" t="s">
        <v>1678</v>
      </c>
      <c r="C562" s="5" t="s">
        <v>1679</v>
      </c>
      <c r="D562" s="5" t="s">
        <v>1680</v>
      </c>
      <c r="E562" s="4" t="str">
        <f aca="false">IFERROR(__xludf.dummyfunction("GOOGLETRANSLATE(C563)"),"quem escreveu que eu aguento por Dierks Bentley")</f>
        <v>quem escreveu que eu aguento por Dierks Bentley</v>
      </c>
      <c r="F562" s="5" t="str">
        <f aca="false">IFERROR(__xludf.dummyfunction("GOOGLETRANSLATE(D562)")," Desde a década de 1980, a vila serviu de pano de fundo para várias produções televisivas, incluindo a série ITV Doc Martin, e abriga os amigos do grupo Fisherman, Sea - Shanty Singers.")</f>
        <v> Desde a década de 1980, a vila serviu de pano de fundo para várias produções televisivas, incluindo a série ITV Doc Martin, e abriga os amigos do grupo Fisherman, Sea - Shanty Singers.</v>
      </c>
    </row>
    <row r="563" customFormat="false" ht="15.75" hidden="false" customHeight="true" outlineLevel="0" collapsed="false">
      <c r="A563" s="3" t="n">
        <v>560</v>
      </c>
      <c r="B563" s="5" t="s">
        <v>1681</v>
      </c>
      <c r="C563" s="5" t="s">
        <v>1682</v>
      </c>
      <c r="D563" s="5" t="s">
        <v>1683</v>
      </c>
      <c r="E563" s="4" t="str">
        <f aca="false">IFERROR(__xludf.dummyfunction("GOOGLETRANSLATE(C564)"),"Quando foi viajado para o centro da terra")</f>
        <v>Quando foi viajado para o centro da terra</v>
      </c>
      <c r="F563" s="5" t="str">
        <f aca="false">IFERROR(__xludf.dummyfunction("GOOGLETRANSLATE(D563)")," `` Eu aguardo '' é uma música gravada pelo artista de música country americano Dierks Bentley. Foi lançado em agosto de 2013 como o segundo single de seu sétimo álbum de estúdio, Riser. Bentley escreveu a música com Brett James.")</f>
        <v> `` Eu aguardo '' é uma música gravada pelo artista de música country americano Dierks Bentley. Foi lançado em agosto de 2013 como o segundo single de seu sétimo álbum de estúdio, Riser. Bentley escreveu a música com Brett James.</v>
      </c>
    </row>
    <row r="564" customFormat="false" ht="15.75" hidden="false" customHeight="true" outlineLevel="0" collapsed="false">
      <c r="A564" s="3" t="n">
        <v>561</v>
      </c>
      <c r="B564" s="5" t="s">
        <v>1684</v>
      </c>
      <c r="C564" s="5" t="s">
        <v>1685</v>
      </c>
      <c r="D564" s="5" t="s">
        <v>1686</v>
      </c>
      <c r="E564" s="4" t="str">
        <f aca="false">IFERROR(__xludf.dummyfunction("GOOGLETRANSLATE(C565)"),"quem cantou passou pelo deserto em um cavalo sem nome")</f>
        <v>quem cantou passou pelo deserto em um cavalo sem nome</v>
      </c>
      <c r="F564" s="5" t="str">
        <f aca="false">IFERROR(__xludf.dummyfunction("GOOGLETRANSLATE(D564)")," Viagem para o centro da terra (francês: Viagem au Center de la Terre, também traduzida sob os títulos Uma jornada para o centro da terra e uma jornada para o interior da terra) é um romance de ficção científica de 1864 de Jules Verne. A história envolve "&amp;"o professor alemão Otto Lidenbrock, que acredita que há tubos vulcânicos indo para o centro da terra. Ele, seu sobrinho Axel e seu guia Hans descem para o vulcão islandês Snæfellsjökull, encontrando muitas aventuras, incluindo animais pré -históricos e ri"&amp;"scos naturais, antes de chegar à superfície novamente no sul da Itália, no vulcão Stromboli.")</f>
        <v> Viagem para o centro da terra (francês: Viagem au Center de la Terre, também traduzida sob os títulos Uma jornada para o centro da terra e uma jornada para o interior da terra) é um romance de ficção científica de 1864 de Jules Verne. A história envolve o professor alemão Otto Lidenbrock, que acredita que há tubos vulcânicos indo para o centro da terra. Ele, seu sobrinho Axel e seu guia Hans descem para o vulcão islandês Snæfellsjökull, encontrando muitas aventuras, incluindo animais pré -históricos e riscos naturais, antes de chegar à superfície novamente no sul da Itália, no vulcão Stromboli.</v>
      </c>
    </row>
    <row r="565" customFormat="false" ht="15.75" hidden="false" customHeight="true" outlineLevel="0" collapsed="false">
      <c r="A565" s="3" t="n">
        <v>562</v>
      </c>
      <c r="B565" s="5" t="s">
        <v>1687</v>
      </c>
      <c r="C565" s="5" t="s">
        <v>1688</v>
      </c>
      <c r="D565" s="5" t="s">
        <v>1073</v>
      </c>
      <c r="E565" s="4" t="str">
        <f aca="false">IFERROR(__xludf.dummyfunction("GOOGLETRANSLATE(C566)"),"que interpreta o diretor em St Trinians 2")</f>
        <v>que interpreta o diretor em St Trinians 2</v>
      </c>
      <c r="F565" s="5" t="str">
        <f aca="false">IFERROR(__xludf.dummyfunction("GOOGLETRANSLATE(D565)")," `` Um cavalo sem nome '' é uma música escrita por Dewey Bunnell e originalmente gravada pela banda de rock folk America. Foi o primeiro e mais sucesso single da banda, lançado no final de 1971 na Europa e no início de 1972 nos EUA, e liderou as paradas e"&amp;"m vários países. Foi certificado em ouro pela Associação da Indústria de Gravação da América.")</f>
        <v> `` Um cavalo sem nome '' é uma música escrita por Dewey Bunnell e originalmente gravada pela banda de rock folk America. Foi o primeiro e mais sucesso single da banda, lançado no final de 1971 na Europa e no início de 1972 nos EUA, e liderou as paradas em vários países. Foi certificado em ouro pela Associação da Indústria de Gravação da América.</v>
      </c>
    </row>
    <row r="566" customFormat="false" ht="15.75" hidden="false" customHeight="true" outlineLevel="0" collapsed="false">
      <c r="A566" s="3" t="n">
        <v>563</v>
      </c>
      <c r="B566" s="5" t="s">
        <v>1689</v>
      </c>
      <c r="C566" s="5" t="s">
        <v>1690</v>
      </c>
      <c r="D566" s="5" t="s">
        <v>1691</v>
      </c>
      <c r="E566" s="4" t="str">
        <f aca="false">IFERROR(__xludf.dummyfunction("GOOGLETRANSLATE(C567)"),"Eles vão para a cama com Gilda, acordam comigo")</f>
        <v>Eles vão para a cama com Gilda, acordam comigo</v>
      </c>
      <c r="F566" s="5" t="str">
        <f aca="false">IFERROR(__xludf.dummyfunction("GOOGLETRANSLATE(D566)")," Rupert Everett como Miss Camilla Dagey Fritton, Archibald Fritton e Reverendo Fortnum Fritton")</f>
        <v> Rupert Everett como Miss Camilla Dagey Fritton, Archibald Fritton e Reverendo Fortnum Fritton</v>
      </c>
    </row>
    <row r="567" customFormat="false" ht="15.75" hidden="false" customHeight="true" outlineLevel="0" collapsed="false">
      <c r="A567" s="3" t="n">
        <v>564</v>
      </c>
      <c r="B567" s="5" t="s">
        <v>1692</v>
      </c>
      <c r="C567" s="5" t="s">
        <v>1693</v>
      </c>
      <c r="D567" s="5" t="s">
        <v>1694</v>
      </c>
      <c r="E567" s="4" t="str">
        <f aca="false">IFERROR(__xludf.dummyfunction("GOOGLETRANSLATE(C568)"),"Quais lugares em Kerala são afetados pela inundação")</f>
        <v>Quais lugares em Kerala são afetados pela inundação</v>
      </c>
      <c r="F567" s="5" t="str">
        <f aca="false">IFERROR(__xludf.dummyfunction("GOOGLETRANSLATE(D567)")," Em 1941, Hayworth disse que era a antítese dos personagens que interpretou. `` Naturalmente sou muito tímido ... e sofro de um complexo de inferioridade. “Seu papel provocativo em Gilda, em particular, era responsável por as pessoas que esperassem que el"&amp;"a fosse o que ela não era. Hayworth disse uma vez, com alguma amargura, `` homens vão para a cama com Gilda, mas acorde comigo. ''")</f>
        <v> Em 1941, Hayworth disse que era a antítese dos personagens que interpretou. `` Naturalmente sou muito tímido ... e sofro de um complexo de inferioridade. “Seu papel provocativo em Gilda, em particular, era responsável por as pessoas que esperassem que ela fosse o que ela não era. Hayworth disse uma vez, com alguma amargura, `` homens vão para a cama com Gilda, mas acorde comigo. ''</v>
      </c>
    </row>
    <row r="568" customFormat="false" ht="15.75" hidden="false" customHeight="true" outlineLevel="0" collapsed="false">
      <c r="A568" s="3" t="n">
        <v>565</v>
      </c>
      <c r="B568" s="5" t="s">
        <v>1695</v>
      </c>
      <c r="C568" s="5" t="s">
        <v>1696</v>
      </c>
      <c r="D568" s="5" t="s">
        <v>1697</v>
      </c>
      <c r="E568" s="4" t="str">
        <f aca="false">IFERROR(__xludf.dummyfunction("GOOGLETRANSLATE(C569)"),"Qual é o primeiro filme do Dragon Ball Z")</f>
        <v>Qual é o primeiro filme do Dragon Ball Z</v>
      </c>
      <c r="F568" s="5" t="str">
        <f aca="false">IFERROR(__xludf.dummyfunction("GOOGLETRANSLATE(D568)")," A partir de 15 de agosto de 2018, inundações graves afetaram o estado do sul da Índia em Kerala, devido a chuvas extraordinariamente altas durante a estação das monções. Foi a pior inundação em Kerala em quase um século. Mais de 483 pessoas morreram e 15"&amp;" estão desaparecidos. Pelo menos um milhão de pessoas foram evacuadas, principalmente de Chengannur, Pandanad, Edanad, Aranmula, Kozhencherry, Ayiroor, Ranni, Pandalam, Kuttanad, Aluva e Chalakudy, N. Paravur, Chendamangalam, Eloor e poucos lugares em Vyp"&amp;"in Islans. Todos os 14 distritos do estado foram colocados em alerta vermelho. Segundo o governo de Kerala, uma - sexta da população total de Kerala foi diretamente afetada pelas inundações e incidentes relacionados. O governo indiano declarou uma calamid"&amp;"ade de nível 3, ou `` calamidade de natureza severa ''. É a pior inundação em Kerala após a grande inundação de 99 que aconteceu em 1924.")</f>
        <v> A partir de 15 de agosto de 2018, inundações graves afetaram o estado do sul da Índia em Kerala, devido a chuvas extraordinariamente altas durante a estação das monções. Foi a pior inundação em Kerala em quase um século. Mais de 483 pessoas morreram e 15 estão desaparecidos. Pelo menos um milhão de pessoas foram evacuadas, principalmente de Chengannur, Pandanad, Edanad, Aranmula, Kozhencherry, Ayiroor, Ranni, Pandalam, Kuttanad, Aluva e Chalakudy, N. Paravur, Chendamangalam, Eloor e poucos lugares em Vypin Islans. Todos os 14 distritos do estado foram colocados em alerta vermelho. Segundo o governo de Kerala, uma - sexta da população total de Kerala foi diretamente afetada pelas inundações e incidentes relacionados. O governo indiano declarou uma calamidade de nível 3, ou `` calamidade de natureza severa ''. É a pior inundação em Kerala após a grande inundação de 99 que aconteceu em 1924.</v>
      </c>
    </row>
    <row r="569" customFormat="false" ht="15.75" hidden="false" customHeight="true" outlineLevel="0" collapsed="false">
      <c r="A569" s="3" t="n">
        <v>566</v>
      </c>
      <c r="B569" s="5" t="s">
        <v>1698</v>
      </c>
      <c r="C569" s="5" t="s">
        <v>1699</v>
      </c>
      <c r="D569" s="5" t="s">
        <v>1700</v>
      </c>
      <c r="E569" s="4" t="str">
        <f aca="false">IFERROR(__xludf.dummyfunction("GOOGLETRANSLATE(C570)"),"onde está o big bang teoria que deveria ocorrer")</f>
        <v>onde está o big bang teoria que deveria ocorrer</v>
      </c>
      <c r="F569" s="5" t="str">
        <f aca="false">IFERROR(__xludf.dummyfunction("GOOGLETRANSLATE(D569)"),"   Não. 09) (BLT Productions dub) 28 de dezembro de 2010 (2010-12-28) (Funimation dub) Majin-Jō Nemuri Hime (Princesa Majin Castle Princesa No Numemuri) Princesa adormecida no castelo do castelo do diabo dormindo no castelo do diabo no diabo no castelo 18"&amp;" de julho de 1987 (1987-07-18) DeCementeR 15, 1998 (1998-12-15) Fushigi Dai -Bōken Adventure) Mystical Great Adventure Aventura Mística 9 de julho de 1988 (1988-07-09) 28 de dezembro de 1989 (1989 (1989 -289) (Harmony Gold; TV em 21 de novembro de 20 00 ("&amp;"2000-11-21) (Funimation dub ora no Gohan O Kaese !! (retornar o Ora's Gohan!) Retornar meu Gohan !! (2005-05-31) (Funimation dub) 5 Kono de Ichiban Tsuyoi Yatsu (o cara mais forte deste mundo) o cara mais forte do mundo, a redução do mundo em 10 de março "&amp;"de 1990 (1990) -03-10) May 26, 1998 (1998-05-26) (Pioneer Uncut DVD) 14 de novembro de 2006 (2006-11-14) (Funimation dub) 6 Chikyū Marugoto Chō-Kessen (Batalha da Terra) A batalha decisiva por toda a árvore do poder 7 de julho de 1990 (1990-07-07) 15-22 d"&amp;"e novembro de 1997 (Saban TV Edit) 17 de março de 1998 (1998-03-17) (Pioneer Un) Cut DVD) 14 de novembro de 2006 (2006-11-14 ) (Funimation dub) 7 Sūpā Saiya -Jin Da Son Gokū (Super Saiyan Son Goku) Super Saiyan Son Goku Slug 9 de março de 1991 (1991-03-09"&amp;") 7 de agosto de 2001 (2001-08-07) 8 Tobikkiri no Saikyō Tai Saikyō (o mais forte, mais forte) O incrível mais forte versus mais forte cooler 20 de julho de 1991 (1991-07-20) 22 de janeiro de 2002 (2002-01 -22) 9 GEKITOTSU !! 100 -OKU Pawā no Senshi -tach"&amp;"i (10 bilhões de guerreiros do poder) Clash !! The Powerors the Return of Cooler 7 de março de 1992 (1992-0 3-07) 13 de agosto de 2002 (2002-08-13) 10 Kyokugen Batoru !! San Dai Sūpā Saiya -jin ( Batalha extrema! Batalha extrema! Três Super Saiyan) Batalh"&amp;"a Extrema! Três grandes super Saiyans Android 13! 11 de julho de 1992 (1992 -07-11) 4 de fevereiro de 2003 (2003-02-04) 11 Moetsukiro !! Nessen Ressen Chō- GEKISEN (BURNS, INTENSE, BATALHA super feroz) queima !! Ginga girigiri !! Sūpā! Senshi Wa Nemurenai"&amp;")! Super Warriors não são viscosos) A dupla perigosa! Super Warriors nunca descansam Broly-Segundo Vindo Markh 12, 1994 (1994-03-2) 5 de abril de 2005 (2005-04-05) 14 Sūpā Senshi Gekiha !! katsu no wa ore da (derrota super guerreira !! sou eu quem vence) "&amp;"derrota super guerreira !! Eu será o vencedor bio -broly, 9 de julho de 1994 (1994-07-09) 13 de setembro, 13 de setembro, 13 de setembro, 13 de setembro, 13 de setembro 2005 (2005-09-13 15 Fukkatsu no Fyūjon !! Goku para Vejīta (Fusion de Ressurreição !! "&amp;"Goku e Vegeta) O renascimento de Fusion !! Goku e Vegeta Fusion Reborn 4 de março de 1995 (1995-03-04) Marc H 17 , 2006 (2006-03 -17) (teatral dos EUA) 16 Ryū -ken Bakuhatsu !! Gokū Ga Yaraneba Dare Ga Yaru (Ryujin Explosion !! ) 12 de setembro de 2006 (2"&amp;"006-09-12) 17 Saikyō e no Michi (estrada) O caminho para o poder final para o caminho para o poder Mar Mar Ch 4, 1996 (1996-03-04) 29 de abril de 2003 (2003-04 -29) 18 Kami para Kami (Deus e Deus) Deus e a Batalha dos Deuses 30 de março de 2013 (2013-03-3"&amp;"0) 5 de agosto de 2014 (2014 -08-05) (Teatral dos EUA) 19 Fukkatsu no 'f' ( Ressurreição ""F"") Ressurreição de F 'F' 18 de abril de 2015 (2015-04-18) 4 de agosto de 2015 (2015-08-04) (Teatral dos EUA) 20 Burorī (Broly) Broly Broly Decementador 14, 2018 ("&amp;"2018 -12-14) janeiro de 2019 (janeiro de 2019) (teatro dos EUA)")</f>
        <v>   Não. 09) (BLT Productions dub) 28 de dezembro de 2010 (2010-12-28) (Funimation dub) Majin-Jō Nemuri Hime (Princesa Majin Castle Princesa No Numemuri) Princesa adormecida no castelo do castelo do diabo dormindo no castelo do diabo no diabo no castelo 18 de julho de 1987 (1987-07-18) DeCementeR 15, 1998 (1998-12-15) Fushigi Dai -Bōken Adventure) Mystical Great Adventure Aventura Mística 9 de julho de 1988 (1988-07-09) 28 de dezembro de 1989 (1989 (1989 -289) (Harmony Gold; TV em 21 de novembro de 20 00 (2000-11-21) (Funimation dub ora no Gohan O Kaese !! (retornar o Ora's Gohan!) Retornar meu Gohan !! (2005-05-31) (Funimation dub) 5 Kono de Ichiban Tsuyoi Yatsu (o cara mais forte deste mundo) o cara mais forte do mundo, a redução do mundo em 10 de março de 1990 (1990) -03-10) May 26, 1998 (1998-05-26) (Pioneer Uncut DVD) 14 de novembro de 2006 (2006-11-14) (Funimation dub) 6 Chikyū Marugoto Chō-Kessen (Batalha da Terra) A batalha decisiva por toda a árvore do poder 7 de julho de 1990 (1990-07-07) 15-22 de novembro de 1997 (Saban TV Edit) 17 de março de 1998 (1998-03-17) (Pioneer Un) Cut DVD) 14 de novembro de 2006 (2006-11-14 ) (Funimation dub) 7 Sūpā Saiya -Jin Da Son Gokū (Super Saiyan Son Goku) Super Saiyan Son Goku Slug 9 de março de 1991 (1991-03-09) 7 de agosto de 2001 (2001-08-07) 8 Tobikkiri no Saikyō Tai Saikyō (o mais forte, mais forte) O incrível mais forte versus mais forte cooler 20 de julho de 1991 (1991-07-20) 22 de janeiro de 2002 (2002-01 -22) 9 GEKITOTSU !! 100 -OKU Pawā no Senshi -tachi (10 bilhões de guerreiros do poder) Clash !! The Powerors the Return of Cooler 7 de março de 1992 (1992-0 3-07) 13 de agosto de 2002 (2002-08-13) 10 Kyokugen Batoru !! San Dai Sūpā Saiya -jin ( Batalha extrema! Batalha extrema! Três Super Saiyan) Batalha Extrema! Três grandes super Saiyans Android 13! 11 de julho de 1992 (1992 -07-11) 4 de fevereiro de 2003 (2003-02-04) 11 Moetsukiro !! Nessen Ressen Chō- GEKISEN (BURNS, INTENSE, BATALHA super feroz) queima !! Ginga girigiri !! Sūpā! Senshi Wa Nemurenai)! Super Warriors não são viscosos) A dupla perigosa! Super Warriors nunca descansam Broly-Segundo Vindo Markh 12, 1994 (1994-03-2) 5 de abril de 2005 (2005-04-05) 14 Sūpā Senshi Gekiha !! katsu no wa ore da (derrota super guerreira !! sou eu quem vence) derrota super guerreira !! Eu será o vencedor bio -broly, 9 de julho de 1994 (1994-07-09) 13 de setembro, 13 de setembro, 13 de setembro, 13 de setembro, 13 de setembro 2005 (2005-09-13 15 Fukkatsu no Fyūjon !! Goku para Vejīta (Fusion de Ressurreição !! Goku e Vegeta) O renascimento de Fusion !! Goku e Vegeta Fusion Reborn 4 de março de 1995 (1995-03-04) Marc H 17 , 2006 (2006-03 -17) (teatral dos EUA) 16 Ryū -ken Bakuhatsu !! Gokū Ga Yaraneba Dare Ga Yaru (Ryujin Explosion !! ) 12 de setembro de 2006 (2006-09-12) 17 Saikyō e no Michi (estrada) O caminho para o poder final para o caminho para o poder Mar Mar Ch 4, 1996 (1996-03-04) 29 de abril de 2003 (2003-04 -29) 18 Kami para Kami (Deus e Deus) Deus e a Batalha dos Deuses 30 de março de 2013 (2013-03-30) 5 de agosto de 2014 (2014 -08-05) (Teatral dos EUA) 19 Fukkatsu no 'f' ( Ressurreição "F") Ressurreição de F 'F' 18 de abril de 2015 (2015-04-18) 4 de agosto de 2015 (2015-08-04) (Teatral dos EUA) 20 Burorī (Broly) Broly Broly Decementador 14, 2018 (2018 -12-14) janeiro de 2019 (janeiro de 2019) (teatro dos EUA)</v>
      </c>
    </row>
    <row r="570" customFormat="false" ht="15.75" hidden="false" customHeight="true" outlineLevel="0" collapsed="false">
      <c r="A570" s="3" t="n">
        <v>567</v>
      </c>
      <c r="B570" s="5" t="s">
        <v>1701</v>
      </c>
      <c r="C570" s="5" t="s">
        <v>1702</v>
      </c>
      <c r="D570" s="5" t="s">
        <v>1703</v>
      </c>
      <c r="E570" s="4" t="str">
        <f aca="false">IFERROR(__xludf.dummyfunction("GOOGLETRANSLATE(C571)"),"Quando os EUA começaram a usar o colégio eleitoral")</f>
        <v>Quando os EUA começaram a usar o colégio eleitoral</v>
      </c>
      <c r="F570" s="5" t="str">
        <f aca="false">IFERROR(__xludf.dummyfunction("GOOGLETRANSLATE(D570)")," O show está centrado principalmente em cinco personagens que vivem em Pasadena, Califórnia: Leonard Hofstadter e Sheldon Cooper, ambos físicos da Caltech, que compartilham um apartamento; Penny, uma garçonete e aspirante a atriz que mais tarde se torna u"&amp;"m representante farmacêutico e que vive do outro lado do corredor; e os amigos e colegas e colegas de trabalho de Leonard e Sheldon, engenheiro aeroespacial Howard Wolowitz e astrofísico Raj Koothrappali. A geekiness e o intelecto dos quatro homens são co"&amp;"ntrastados por efeito cômico com as habilidades sociais de Penny e o senso comum.")</f>
        <v> O show está centrado principalmente em cinco personagens que vivem em Pasadena, Califórnia: Leonard Hofstadter e Sheldon Cooper, ambos físicos da Caltech, que compartilham um apartamento; Penny, uma garçonete e aspirante a atriz que mais tarde se torna um representante farmacêutico e que vive do outro lado do corredor; e os amigos e colegas e colegas de trabalho de Leonard e Sheldon, engenheiro aeroespacial Howard Wolowitz e astrofísico Raj Koothrappali. A geekiness e o intelecto dos quatro homens são contrastados por efeito cômico com as habilidades sociais de Penny e o senso comum.</v>
      </c>
    </row>
    <row r="571" customFormat="false" ht="15.75" hidden="false" customHeight="true" outlineLevel="0" collapsed="false">
      <c r="A571" s="3" t="n">
        <v>568</v>
      </c>
      <c r="B571" s="5" t="s">
        <v>1704</v>
      </c>
      <c r="C571" s="5" t="s">
        <v>1705</v>
      </c>
      <c r="D571" s="5" t="s">
        <v>1706</v>
      </c>
      <c r="E571" s="4" t="str">
        <f aca="false">IFERROR(__xludf.dummyfunction("GOOGLETRANSLATE(C572)"),"De onde veio o clipe de Laurel Yanni")</f>
        <v>De onde veio o clipe de Laurel Yanni</v>
      </c>
      <c r="F571" s="5" t="str">
        <f aca="false">IFERROR(__xludf.dummyfunction("GOOGLETRANSLATE(D571)")," Em 1789, a primeira quarta -feira de fevereiro será o dia para os eleitores se reunirem em seus respectivos estados e votarem em um presidente da resolução de 13 de setembro de 1788 pelo Congresso (Continental). Para 1792 a 1884, os eleitores se reunirão"&amp;" e darão seus votos na primeira quarta -feira de dezembro de 1 Stat. 239, Seção 2. Para 1889 a 1933, os eleitores de cada estado se reunirão e darão seus votos na segunda segunda -feira de janeiro seguinte após a nomeação da 24 Stat. 373, Seção 1. Para 19"&amp;"36 até o presente, os eleitores do Presidente e Vice -Presidente de cada Estado se reunirão e darão seus votos na primeira segunda -feira após a segunda quarta -feira de dezembro, após sua nomeação de 62 Stat. 673, agora codificado como Código dos Estados"&amp;" Unidos: Título 3, Seção 7 (3 USC 7).")</f>
        <v> Em 1789, a primeira quarta -feira de fevereiro será o dia para os eleitores se reunirem em seus respectivos estados e votarem em um presidente da resolução de 13 de setembro de 1788 pelo Congresso (Continental). Para 1792 a 1884, os eleitores se reunirão e darão seus votos na primeira quarta -feira de dezembro de 1 Stat. 239, Seção 2. Para 1889 a 1933, os eleitores de cada estado se reunirão e darão seus votos na segunda segunda -feira de janeiro seguinte após a nomeação da 24 Stat. 373, Seção 1. Para 1936 até o presente, os eleitores do Presidente e Vice -Presidente de cada Estado se reunirão e darão seus votos na primeira segunda -feira após a segunda quarta -feira de dezembro, após sua nomeação de 62 Stat. 673, agora codificado como Código dos Estados Unidos: Título 3, Seção 7 (3 USC 7).</v>
      </c>
    </row>
    <row r="572" customFormat="false" ht="15.75" hidden="false" customHeight="true" outlineLevel="0" collapsed="false">
      <c r="A572" s="3" t="n">
        <v>569</v>
      </c>
      <c r="B572" s="5" t="s">
        <v>1707</v>
      </c>
      <c r="C572" s="5" t="s">
        <v>1708</v>
      </c>
      <c r="D572" s="5" t="s">
        <v>1709</v>
      </c>
      <c r="E572" s="4" t="str">
        <f aca="false">IFERROR(__xludf.dummyfunction("GOOGLETRANSLATE(C573)"),"A pintura a óleo tem sido o meio de escolha para o pintor desde")</f>
        <v>A pintura a óleo tem sido o meio de escolha para o pintor desde</v>
      </c>
      <c r="F572" s="5" t="str">
        <f aca="false">IFERROR(__xludf.dummyfunction("GOOGLETRANSLATE(D572)")," A regravação mista foi criada por estudantes que tocaram o som da palavra `` laurel '' (uma coroa de louros), enquanto regrava a reprodução em meio a ruído de fundo na sala. O clipe de áudio da palavra principal `` laurel '' originou -se em 2007 a partir"&amp;" de uma gravação de Jay Aubrey Jones, um cantor de ópera, que falou a palavra `` laurel '' como uma das 200.000 pronúncia de referência produzidas e publicadas pelo vocabular.com em em 2007. O clipe foi fabricado na casa de Jones usando um laptop e microf"&amp;"one, com espuma circundante para ajudar a à prova de som da gravação.")</f>
        <v> A regravação mista foi criada por estudantes que tocaram o som da palavra `` laurel '' (uma coroa de louros), enquanto regrava a reprodução em meio a ruído de fundo na sala. O clipe de áudio da palavra principal `` laurel '' originou -se em 2007 a partir de uma gravação de Jay Aubrey Jones, um cantor de ópera, que falou a palavra `` laurel '' como uma das 200.000 pronúncia de referência produzidas e publicadas pelo vocabular.com em em 2007. O clipe foi fabricado na casa de Jones usando um laptop e microfone, com espuma circundante para ajudar a à prova de som da gravação.</v>
      </c>
    </row>
    <row r="573" customFormat="false" ht="15.75" hidden="false" customHeight="true" outlineLevel="0" collapsed="false">
      <c r="A573" s="3" t="n">
        <v>570</v>
      </c>
      <c r="B573" s="5" t="s">
        <v>1710</v>
      </c>
      <c r="C573" s="5" t="s">
        <v>1711</v>
      </c>
      <c r="D573" s="5" t="s">
        <v>1712</v>
      </c>
      <c r="E573" s="4" t="str">
        <f aca="false">IFERROR(__xludf.dummyfunction("GOOGLETRANSLATE(C574)"),"Que filme foi Blackbird pelos Beatles em")</f>
        <v>Que filme foi Blackbird pelos Beatles em</v>
      </c>
      <c r="F573" s="5" t="str">
        <f aca="false">IFERROR(__xludf.dummyfunction("GOOGLETRANSLATE(D573)")," Os primeiros trabalhos ainda eram pinturas em painéis na madeira, mas no final do século XV a tela se tornou mais popular como apoio, pois era mais barato, mais fácil de transportar, permitia obras maiores e não exigiam camadas preliminares complicadas d"&amp;"e gesso (uma multa tipo de gesso). Veneza, onde a vela - a tela estava facilmente disponível, era líder na mudança para a tela. As pequenas pinturas de armários também foram feitas em metal, especialmente placas de cobre. Esses suportes eram mais caros, m"&amp;"as muito firmes, permitindo detalhes complexos. Muitas vezes, as placas de impressão da gravura eram reutilizadas para esse fim. A popularidade do petróleo se espalhou pela Itália do norte, começando em Veneza no final do século XV. Em 1540, o método ante"&amp;"rior de pintura no painel (tempera) havia se tornado extinto, embora os italianos continuassem a usar o afresco baseado em giz para pinturas de parede, que tiveram menos sucesso e duráveis ​​em climas mais almeados do norte.")</f>
        <v> Os primeiros trabalhos ainda eram pinturas em painéis na madeira, mas no final do século XV a tela se tornou mais popular como apoio, pois era mais barato, mais fácil de transportar, permitia obras maiores e não exigiam camadas preliminares complicadas de gesso (uma multa tipo de gesso). Veneza, onde a vela - a tela estava facilmente disponível, era líder na mudança para a tela. As pequenas pinturas de armários também foram feitas em metal, especialmente placas de cobre. Esses suportes eram mais caros, mas muito firmes, permitindo detalhes complexos. Muitas vezes, as placas de impressão da gravura eram reutilizadas para esse fim. A popularidade do petróleo se espalhou pela Itália do norte, começando em Veneza no final do século XV. Em 1540, o método anterior de pintura no painel (tempera) havia se tornado extinto, embora os italianos continuassem a usar o afresco baseado em giz para pinturas de parede, que tiveram menos sucesso e duráveis ​​em climas mais almeados do norte.</v>
      </c>
    </row>
    <row r="574" customFormat="false" ht="15.75" hidden="false" customHeight="true" outlineLevel="0" collapsed="false">
      <c r="A574" s="3" t="n">
        <v>571</v>
      </c>
      <c r="B574" s="5" t="s">
        <v>1713</v>
      </c>
      <c r="C574" s="5" t="s">
        <v>1714</v>
      </c>
      <c r="D574" s="5" t="s">
        <v>1715</v>
      </c>
      <c r="E574" s="4" t="str">
        <f aca="false">IFERROR(__xludf.dummyfunction("GOOGLETRANSLATE(C575)"),"qual é a idade legal de consentimento nos EUA")</f>
        <v>qual é a idade legal de consentimento nos EUA</v>
      </c>
      <c r="F574" s="5" t="str">
        <f aca="false">IFERROR(__xludf.dummyfunction("GOOGLETRANSLATE(D574)"),"  A cantora de Pop Rock / R&amp;B, Dionne Farris, incluiu uma interpretação acústica da música em seu álbum de estréia, Wild Seed - Wild Flower. O cantor de ator / pop rock Drake Bell realizou o Blackbird ao vivo em várias ocasiões. `` Blackbird '' aparece no"&amp;" conjunto de caixas Crosby, Stills &amp; Nash 1991, tendo sido gravado durante as sessões do álbum Crosby, Stills &amp; Nash. Eles o apresentaram frequentemente em concerto, também em sua apresentação no Woodstock Festival 1969 e uma versão ao vivo apareceu em 20"&amp;"14 no álbum CSNY 1974. Os Dandy Warhols lançaram uma gravação da música em julho de 2009 após a morte de Michael Jackson, cumprindo uma promessa feita na primeira e na faixa -título do seu álbum de 2003 Welcome to the Monkey House (`` Quando Michael Jacks"&amp;"on morre, nós, reverin ' ' Passaro preto ' '' ) . Pensa-se que a linha referiu parcialmente a propriedade de Jackson do catálogo de músicas dos Beatles quando ele comprou a Televisão Associated (ATV), que anteriormente adquirira músicas do norte, em meado"&amp;"s da década de 1980. Sarah Darling gravou a música em novembro de 2011 para o álbum Let Us In: Nashville - uma homenagem a Linda McCartney, e foi lançada como single. A versão de Darling foi apresentada mais tarde no 200º episódio de Criminal Minds. Neil "&amp;"Diamond interpretou a música para seu álbum de 2010 Dreams. Ara Dinkjian gravou a música com Night Ark. Justin Hayward gravou a música para seu álbum Blue Classic Blue de 1994. Em 2001, o músico canadense Sarah McLachlan gravou uma versão de capa do `` Bl"&amp;"ackbird '' para a trilha sonora do filme I Am Sam. Ele também aparece em seu álbum de compilação de 2008, Rarities, B - Side e outras coisas volume 2. Bobby McFerrin lançou uma versão A Cappella em seu álbum de 1984, The Voice. O pianista de jazz, Brad Me"&amp;"hldau, gravou o que foi descrito como uma versão `` assustadora do clássico dos Beatles 'para seu álbum de 1997, The Art of the Trio Volume One. Mezzo clássico sueco - a soprano Anne Sofie von Otter gravou a música em seu álbum `` Love Songs '', com Brad "&amp;"Mehldau em 2010. Os paragonos com Rosalyn Sweat gravaram uma versão Ska / Rocksteady em 1973. Jaco Pastorius gravou a música em 1981. `` Blackbird '' é apresentado por Phish no álbum de Halloween de 1994, Live Phish Volume 13, que inclui uma versão de cad"&amp;"a música no álbum branco dos Beatles. A música é cantada por vários membros da família Templeton no filme de animação The Boss Baby. Em 1972, Billy Preston lançou uma versão da música em seu álbum My Music Is My Life. Carly Simon gravou uma versão para se"&amp;"u álbum de 2007 em White. Sylvester incluiu a música em seu álbum Live Living Proof em 1979. Evan Rachel Wood vocalizou a música no filme de 2007 em todo o universo. Dave Grohl tocou a música durante o Tribute in Memoriam no 88º Oscar. Sara Gazarek gravou"&amp;" como parte de uma mistura de jazz com Bye Bye Blackbird em seu álbum de 2005, Yours e seu álbum de 2016 Dream in the Blue Jon Batiste tocou uma versão da música durante uma gravação para o Late Show com Stephen Colbert, em homenagem ao The the O 52º aniv"&amp;"ersário dos Beatles de sua estréia na televisão americana no Ed Sullivan Theatre. O Marillion fez uma versão para seu álbum ao vivo desconectado nas paredes. Jon Lajoie fez uma versão de paródia para o YouTube, representando o rompimento dos Beatles sendo"&amp;" a culpa de John e Yoko Ono, sendo Paul McCartney a estrela da vida e da carreira de Paul. Petula Clark cobriu a música em seu álbum de 2016 a partir de agora.")</f>
        <v>  A cantora de Pop Rock / R&amp;B, Dionne Farris, incluiu uma interpretação acústica da música em seu álbum de estréia, Wild Seed - Wild Flower. O cantor de ator / pop rock Drake Bell realizou o Blackbird ao vivo em várias ocasiões. `` Blackbird '' aparece no conjunto de caixas Crosby, Stills &amp; Nash 1991, tendo sido gravado durante as sessões do álbum Crosby, Stills &amp; Nash. Eles o apresentaram frequentemente em concerto, também em sua apresentação no Woodstock Festival 1969 e uma versão ao vivo apareceu em 2014 no álbum CSNY 1974. Os Dandy Warhols lançaram uma gravação da música em julho de 2009 após a morte de Michael Jackson, cumprindo uma promessa feita na primeira e na faixa -título do seu álbum de 2003 Welcome to the Monkey House (`` Quando Michael Jackson morre, nós, reverin ' ' Passaro preto ' '' ) . Pensa-se que a linha referiu parcialmente a propriedade de Jackson do catálogo de músicas dos Beatles quando ele comprou a Televisão Associated (ATV), que anteriormente adquirira músicas do norte, em meados da década de 1980. Sarah Darling gravou a música em novembro de 2011 para o álbum Let Us In: Nashville - uma homenagem a Linda McCartney, e foi lançada como single. A versão de Darling foi apresentada mais tarde no 200º episódio de Criminal Minds. Neil Diamond interpretou a música para seu álbum de 2010 Dreams. Ara Dinkjian gravou a música com Night Ark. Justin Hayward gravou a música para seu álbum Blue Classic Blue de 1994. Em 2001, o músico canadense Sarah McLachlan gravou uma versão de capa do `` Blackbird '' para a trilha sonora do filme I Am Sam. Ele também aparece em seu álbum de compilação de 2008, Rarities, B - Side e outras coisas volume 2. Bobby McFerrin lançou uma versão A Cappella em seu álbum de 1984, The Voice. O pianista de jazz, Brad Mehldau, gravou o que foi descrito como uma versão `` assustadora do clássico dos Beatles 'para seu álbum de 1997, The Art of the Trio Volume One. Mezzo clássico sueco - a soprano Anne Sofie von Otter gravou a música em seu álbum `` Love Songs '', com Brad Mehldau em 2010. Os paragonos com Rosalyn Sweat gravaram uma versão Ska / Rocksteady em 1973. Jaco Pastorius gravou a música em 1981. `` Blackbird '' é apresentado por Phish no álbum de Halloween de 1994, Live Phish Volume 13, que inclui uma versão de cada música no álbum branco dos Beatles. A música é cantada por vários membros da família Templeton no filme de animação The Boss Baby. Em 1972, Billy Preston lançou uma versão da música em seu álbum My Music Is My Life. Carly Simon gravou uma versão para seu álbum de 2007 em White. Sylvester incluiu a música em seu álbum Live Living Proof em 1979. Evan Rachel Wood vocalizou a música no filme de 2007 em todo o universo. Dave Grohl tocou a música durante o Tribute in Memoriam no 88º Oscar. Sara Gazarek gravou como parte de uma mistura de jazz com Bye Bye Blackbird em seu álbum de 2005, Yours e seu álbum de 2016 Dream in the Blue Jon Batiste tocou uma versão da música durante uma gravação para o Late Show com Stephen Colbert, em homenagem ao The the O 52º aniversário dos Beatles de sua estréia na televisão americana no Ed Sullivan Theatre. O Marillion fez uma versão para seu álbum ao vivo desconectado nas paredes. Jon Lajoie fez uma versão de paródia para o YouTube, representando o rompimento dos Beatles sendo a culpa de John e Yoko Ono, sendo Paul McCartney a estrela da vida e da carreira de Paul. Petula Clark cobriu a música em seu álbum de 2016 a partir de agora.</v>
      </c>
    </row>
    <row r="575" customFormat="false" ht="15.75" hidden="false" customHeight="true" outlineLevel="0" collapsed="false">
      <c r="A575" s="3" t="n">
        <v>572</v>
      </c>
      <c r="B575" s="5" t="s">
        <v>1716</v>
      </c>
      <c r="C575" s="5" t="s">
        <v>1717</v>
      </c>
      <c r="D575" s="5" t="s">
        <v>1718</v>
      </c>
      <c r="E575" s="4" t="str">
        <f aca="false">IFERROR(__xludf.dummyfunction("GOOGLETRANSLATE(C576)"),"Quão grande tem que ser um lago")</f>
        <v>Quão grande tem que ser um lago</v>
      </c>
      <c r="F575" s="5" t="str">
        <f aca="false">IFERROR(__xludf.dummyfunction("GOOGLETRANSLATE(D575)")," Cada estado dos EUA tem sua própria idade de consentimento, assim como o Distrito de Columbia. Em 1º de agosto de 2018, a idade de consentimento em cada estado nos Estados Unidos tinha 16 anos, 17 anos ou 18 anos de idade. A idade mais comum de consentim"&amp;"ento é de 16 anos.")</f>
        <v> Cada estado dos EUA tem sua própria idade de consentimento, assim como o Distrito de Columbia. Em 1º de agosto de 2018, a idade de consentimento em cada estado nos Estados Unidos tinha 16 anos, 17 anos ou 18 anos de idade. A idade mais comum de consentimento é de 16 anos.</v>
      </c>
    </row>
    <row r="576" customFormat="false" ht="15.75" hidden="false" customHeight="true" outlineLevel="0" collapsed="false">
      <c r="A576" s="3" t="n">
        <v>573</v>
      </c>
      <c r="B576" s="5" t="s">
        <v>1719</v>
      </c>
      <c r="C576" s="5" t="s">
        <v>1720</v>
      </c>
      <c r="D576" s="5" t="s">
        <v>1721</v>
      </c>
      <c r="E576" s="4" t="str">
        <f aca="false">IFERROR(__xludf.dummyfunction("GOOGLETRANSLATE(C577)"),"que interpretou Cindy Lou, que no Grinch roubou o Natal")</f>
        <v>que interpretou Cindy Lou, que no Grinch roubou o Natal</v>
      </c>
      <c r="F576" s="5" t="str">
        <f aca="false">IFERROR(__xludf.dummyfunction("GOOGLETRANSLATE(D576)")," Um lago é uma área cheia de água, localizada em uma bacia, cercada por terra, além de qualquer rio ou outra saída que serve para alimentar ou drenar o lago. Os lagos estão em terra e não fazem parte do oceano e, portanto, são distintos das lagoas e també"&amp;"m são maiores e mais profundos que as lagoas, embora não haja definições oficiais ou científicas. Os lagos podem ser contrastados com rios ou riachos, que geralmente estão fluindo. A maioria dos lagos é alimentada e drenada por rios e riachos.")</f>
        <v> Um lago é uma área cheia de água, localizada em uma bacia, cercada por terra, além de qualquer rio ou outra saída que serve para alimentar ou drenar o lago. Os lagos estão em terra e não fazem parte do oceano e, portanto, são distintos das lagoas e também são maiores e mais profundos que as lagoas, embora não haja definições oficiais ou científicas. Os lagos podem ser contrastados com rios ou riachos, que geralmente estão fluindo. A maioria dos lagos é alimentada e drenada por rios e riachos.</v>
      </c>
    </row>
    <row r="577" customFormat="false" ht="15.75" hidden="false" customHeight="true" outlineLevel="0" collapsed="false">
      <c r="A577" s="3" t="n">
        <v>574</v>
      </c>
      <c r="B577" s="5" t="s">
        <v>1722</v>
      </c>
      <c r="C577" s="5" t="s">
        <v>1723</v>
      </c>
      <c r="D577" s="5" t="s">
        <v>1724</v>
      </c>
      <c r="E577" s="4" t="str">
        <f aca="false">IFERROR(__xludf.dummyfunction("GOOGLETRANSLATE(C578)"),"Quem tocou baixo na música tema de Barney Miller")</f>
        <v>Quem tocou baixo na música tema de Barney Miller</v>
      </c>
      <c r="F577" s="5" t="str">
        <f aca="false">IFERROR(__xludf.dummyfunction("GOOGLETRANSLATE(D577)")," Taylor Michel Momsen (nascido em 26 de julho de 1993) é um cantor, compositor, ex -atriz e modelo americano. Ela é conhecida por ser a vocalista e vocalista da banda de rock americana The Pretty Reckless. Ela também é conhecida por retratar o personagem "&amp;"de Jenny Humphrey na série de drama adolescente da CW Gossip Girl (2007 - 2012) e Cindy Lou que no filme Dr. Seuss 'How The Grinch roubou Natal (2000).")</f>
        <v> Taylor Michel Momsen (nascido em 26 de julho de 1993) é um cantor, compositor, ex -atriz e modelo americano. Ela é conhecida por ser a vocalista e vocalista da banda de rock americana The Pretty Reckless. Ela também é conhecida por retratar o personagem de Jenny Humphrey na série de drama adolescente da CW Gossip Girl (2007 - 2012) e Cindy Lou que no filme Dr. Seuss 'How The Grinch roubou Natal (2000).</v>
      </c>
    </row>
    <row r="578" customFormat="false" ht="15.75" hidden="false" customHeight="true" outlineLevel="0" collapsed="false">
      <c r="A578" s="3" t="n">
        <v>575</v>
      </c>
      <c r="B578" s="5" t="s">
        <v>1725</v>
      </c>
      <c r="C578" s="5" t="s">
        <v>1726</v>
      </c>
      <c r="D578" s="5" t="s">
        <v>1727</v>
      </c>
      <c r="E578" s="4" t="str">
        <f aca="false">IFERROR(__xludf.dummyfunction("GOOGLETRANSLATE(C579)"),"Quando os cintos de segurança precisavam ser colocados em carros")</f>
        <v>Quando os cintos de segurança precisavam ser colocados em carros</v>
      </c>
      <c r="F578" s="5" t="str">
        <f aca="false">IFERROR(__xludf.dummyfunction("GOOGLETRANSLATE(D578)")," A música temática de fusão de jazz do programa, escrita por Jack Elliott e Allyn Ferguson, abre com uma linha de baixo distintiva realizada pelo músico de estúdio Chuck Berghofer. A linha de baixo foi improvisada por Berghofer a pedido do produtor Domini"&amp;"k Hauser: `` Você pode fazer algo no baixo? Esse cara é um policial em Nova York. Podemos começar com o baixo? '' A música tema foi classificada em 23 e 27 anos, respectivamente, por revistas complexas e colas, em suas listas de `` melhores músicas temáti"&amp;"cas de TV ''.")</f>
        <v> A música temática de fusão de jazz do programa, escrita por Jack Elliott e Allyn Ferguson, abre com uma linha de baixo distintiva realizada pelo músico de estúdio Chuck Berghofer. A linha de baixo foi improvisada por Berghofer a pedido do produtor Dominik Hauser: `` Você pode fazer algo no baixo? Esse cara é um policial em Nova York. Podemos começar com o baixo? '' A música tema foi classificada em 23 e 27 anos, respectivamente, por revistas complexas e colas, em suas listas de `` melhores músicas temáticas de TV ''.</v>
      </c>
    </row>
    <row r="579" customFormat="false" ht="15.75" hidden="false" customHeight="true" outlineLevel="0" collapsed="false">
      <c r="A579" s="3" t="n">
        <v>576</v>
      </c>
      <c r="B579" s="5" t="s">
        <v>1728</v>
      </c>
      <c r="C579" s="5" t="s">
        <v>1729</v>
      </c>
      <c r="D579" s="5" t="s">
        <v>1730</v>
      </c>
      <c r="E579" s="4" t="str">
        <f aca="false">IFERROR(__xludf.dummyfunction("GOOGLETRANSLATE(C580)"),"Qual é o chip no cartão de crédito para")</f>
        <v>Qual é o chip no cartão de crédito para</v>
      </c>
      <c r="F579" s="5" t="str">
        <f aca="false">IFERROR(__xludf.dummyfunction("GOOGLETRANSLATE(D579)"),"   Tipo de Estado de Data da Lei da Primeira Lei, que é coberta multa antes de taxas Uso do cinto de segurança Uso do Alabama Primária Execução Primária 18 de julho de 1991 Idade 15 + Em bancos da frente $ 25 91,4 % Aplicação primária do Alasca 12 de sete"&amp;"mbro de 1990 Idade 16 + Em todos os assentos $ 15 ($ 25 Real) 86,8 % Arizona Aplicação secundária em 1º de janeiro de 1991, 8 anos + nos bancos da frente; Idade 8 - 15 em todos os assentos $ 10 (US $ 37,20 Real) 81,8 % Aplicação primária do Arkansas 15 de"&amp;" julho de 1991 Idade 15 + Em bancos da frente $ 25 78,3 % da Califórnia Primária aplicação 1 de janeiro de 1986 Idade 166 + Em todos os assentos $ 20 ($ 162 Real) $ 50 Segunda ofensa (US $ 190 real) 96,2 % Exceção de fiscalização secundária do Colorado Vi"&amp;"ew Mountain View, onde é uma violação primária em 1º de julho de 1987, 16 anos + nos bancos da frente US $ 71 82,9 % Connecticut Primary aplicação 1 de janeiro de 1986 Idade 7 + Em bancos da frente $ 92 88,2 % Delaware Execução primária 1 de janeiro de 19"&amp;"92 Idade 16 + Em todos os assentos $ 25 90,7 % Distrito de Columbia Primária Execução 12 de dezembro de 1985 Idade 165 + Em todos os assentos $ 50 92,3 % da Flórida Primária Execução 1 de julho de 1986 6 + anos no banco da frente; 6 a 17 anos em todos os "&amp;"assentos $ 30 (US $ 116 real) 87,4 % da aplicação primária da Geórgia 1 de setembro de 1988 8 - 17 em todos os assentos; Idade 18 + Em bancos da frente $ 15 89,6 % Havaí Execução primária 16 de dezembro de 1985 Idade 8 + Em todos os assentos $ 45 (US $ 11"&amp;"2 Real) 97,6 % Aplicação secundária de Idaho 1 de julho de 1986 Idade 7 + Em todos os assentos $ 10 ($ 51,50 real) 77,9 % Illinois Execução primária 1 de janeiro de 1988 Idade 16 + Em todos os assentos US $ 25 (US $ 60 Real ou US $ 95 se escolher a escola"&amp;" de trânsito) 92,6 % de aplicação primária de Indiana 1 de julho de 1987 Idade 16 + em todos os assentos $ 25 92,4 % Iowa Impolência primária 1 de julho de 1986 Todas as idades nos bancos da frente; menores de 18 anos em bancos traseiros US $ 25 (US $ 127"&amp;",50 real) 93,1 % Reprodução primária do Kansas 1 de julho de 1986 Idade 14 + Em todos os assentos $ 60 para 14 a 17 anos; US $ 10 por 18 + 81,8 % da aplicação primária do Kentucky, 15 de julho de 1994, 7 anos e mais de 57 polegadas em todos os assentos; 8"&amp;" + Em todos os assentos, US $ 25 80,3 % da Louisiana Primária Execução 1 de julho de 1986 Idade 13 + Em bancos da frente $ 25 75,9 % Maine Execução primária 26 de dezembro de 1995 Idade 18 + Em todos os assentos $ 50 82,0 % de Maryland Primeira aplicação "&amp;"1 de julho de 1986 Idade 16 + Em todos os assentos, US $ 83 94,7 % da aplicação secundária de Massachusetts 1 de fevereiro de 1994, 13 anos, em todos os assentos $ 25 73,7 % Michigan Primary aplicação 1 de julho de 1985 Idade 16 + Em bancos da frente $ 25"&amp;" ($ 65 Real) 95,2 % Minnesota Primária execução 1 de agosto de 1986 7 7 7 7 e mais jovem e mais de 57 polegadas em todos os assentos; 8 + Em todos os assentos, US $ 25 + $ 75 Taxa 92,3 % Mississippi Primária Execução 1 de julho de 1994 Idade 7 + Em todos "&amp;"os assentos $ 25 81,0 % Missouri Aplicação secundária 28 de setembro de 1985 Idade 16 + em bancos da frente; Idade 8 - 15 em todos os assentos US $ 10 para 16 anos; $ 50 para idades de 8 a 15 anos 76,0 % Montana Execução secundária 1 de outubro de 1987 Id"&amp;"ade 6 + Em todos os assentos $ 20 78,9 % NEBRASKA Execução secundária 1 de janeiro de 1993 Idade 18 + Em bancos da frente $ 25 84,1 % NEVADA Polícia secundária de Nevada 1 de julho de 1987 Idade 6 + Em todos os assentos, US $ 25 93,2 % New Hampshire Nenhu"&amp;"m, primário para crianças apenas sem direito de 17 anos ou menos em todos os assentos $ 50 72,2 % de aplicação primária de Nova Jersey em 1 de março de 1985 Idade 8 + Em todos os assentos $ 46 por pessoa 93,7 % Novo México Primeiro Primeira Janeiro Janeir"&amp;"o Janeiro 1, 1986 Idade 18 + Em todos os assentos $ 25 89,8 % de aplicação primária de Nova York 1 de dezembro de 1984 Idade 16 + Em bancos da frente; menores de 16 anos em todos os assentos US $ 50 (US $ 135 reais após sobretaxas) 89,8 % Execução primári"&amp;"a da Carolina do Norte, secundária para o banco de trás 1 de outubro de 1985 todas as idades em todos os assentos $ 161 para o banco da frente; US $ 10 para o assento traseiro 89,7 % da aplicação secundária de Dakota do Norte 14 de julho de 1994, 18 anos,"&amp;" nos bancos da frente; menores de 18 anos em todos os assentos US $ 20 para 18 anos; US $ 25 + 1 ponto na licença para menos de 18 74,8 % de fiscalização secundária de Ohio 6 de maio de 1986 Idade 15 + No banco da frente; 8 - 14 em todos os assentos US $ "&amp;"30 para o motorista; US $ 20 para o passageiro 83,8 % Oklahoma Primary aplicação 1 de fevereiro de 1987 Idade 13 + Em bancos da frente $ 20 85,9 % Oregon Primária Primária 7 de dezembro de 1990 Todas as idades em todos os assentos $ 130 97,0 % da Pensilvâ"&amp;"nia Polícia secundária 23 de novembro, 1987, 1987 anos, com 18 anos de idade. Idade 8 a 17 em todos os assentos $ 10 86,0 % Primeira a parte primária de Rhode Island 18 de junho de 1991 Idade 8 + Em todos os assentos $ 75 78,0 % Execução primária da Carol"&amp;"ina do Sul 1 de julho de 1989 Idade 6 + Em todos os assentos $ 25 85,4 % de Dakota do Sul APLICAÇÃO DE JOMON , 1995 Idade 18 + Em bancos da frente $ 25 74,5 % da execução primária do Tennessee 21 de abril de 1986, 16 anos + nos bancos da frente $ 25 87,1 "&amp;"% da aplicação primária do Texas em 1 de setembro de 1985 de 7 anos e mais jovem e 57 polegadas ou mais alta em todos os assentos; 8 anos de idade em todos os assentos US $ 200 se menos de 17 anos (motorista); US $ 50 Se mais de 15 (motorista ou passageir"&amp;"o) 93,8 % Utah Primária Execução 28 de abril de 1986 Todas as idades em todos os assentos $ 45 89,0 % Aplicação secundária de Vermont 1 de janeiro de 1994 Todos os idades em todos os assentos $ 25 85,2 % Virginia secundária aplicação 1 de janeiro de 1988 "&amp;"Todos os Drivers ; 18 anos ou mais nos bancos da frente; Menores de 18 anos em todos os assentos $ 25 80,5 % Washington Primary Execution 11 de junho de 1986 Idade 8 + Em todos os assentos $ 124 97,6 % Aplicação primária da Virgínia Ocidental 1 de setembr"&amp;"o de 1993 Todas as idades nos bancos da frente; 8 - 17 nos bancos traseiros $ 25 82,1 % Wisconsin Primária Execução 1 de dezembro de 1987 Idade 8 + Em todos os assentos $ 10 79,2 % Wyoming Aplicação secundária 8 de junho de 1989 Idade 9 + Em todos os asse"&amp;"ntos $ 25 para o motorista; US $ 10 para o passageiro 78,9 %")</f>
        <v>   Tipo de Estado de Data da Lei da Primeira Lei, que é coberta multa antes de taxas Uso do cinto de segurança Uso do Alabama Primária Execução Primária 18 de julho de 1991 Idade 15 + Em bancos da frente $ 25 91,4 % Aplicação primária do Alasca 12 de setembro de 1990 Idade 16 + Em todos os assentos $ 15 ($ 25 Real) 86,8 % Arizona Aplicação secundária em 1º de janeiro de 1991, 8 anos + nos bancos da frente; Idade 8 - 15 em todos os assentos $ 10 (US $ 37,20 Real) 81,8 % Aplicação primária do Arkansas 15 de julho de 1991 Idade 15 + Em bancos da frente $ 25 78,3 % da Califórnia Primária aplicação 1 de janeiro de 1986 Idade 166 + Em todos os assentos $ 20 ($ 162 Real) $ 50 Segunda ofensa (US $ 190 real) 96,2 % Exceção de fiscalização secundária do Colorado View Mountain View, onde é uma violação primária em 1º de julho de 1987, 16 anos + nos bancos da frente US $ 71 82,9 % Connecticut Primary aplicação 1 de janeiro de 1986 Idade 7 + Em bancos da frente $ 92 88,2 % Delaware Execução primária 1 de janeiro de 1992 Idade 16 + Em todos os assentos $ 25 90,7 % Distrito de Columbia Primária Execução 12 de dezembro de 1985 Idade 165 + Em todos os assentos $ 50 92,3 % da Flórida Primária Execução 1 de julho de 1986 6 + anos no banco da frente; 6 a 17 anos em todos os assentos $ 30 (US $ 116 real) 87,4 % da aplicação primária da Geórgia 1 de setembro de 1988 8 - 17 em todos os assentos; Idade 18 + Em bancos da frente $ 15 89,6 % Havaí Execução primária 16 de dezembro de 1985 Idade 8 + Em todos os assentos $ 45 (US $ 112 Real) 97,6 % Aplicação secundária de Idaho 1 de julho de 1986 Idade 7 + Em todos os assentos $ 10 ($ 51,50 real) 77,9 % Illinois Execução primária 1 de janeiro de 1988 Idade 16 + Em todos os assentos US $ 25 (US $ 60 Real ou US $ 95 se escolher a escola de trânsito) 92,6 % de aplicação primária de Indiana 1 de julho de 1987 Idade 16 + em todos os assentos $ 25 92,4 % Iowa Impolência primária 1 de julho de 1986 Todas as idades nos bancos da frente; menores de 18 anos em bancos traseiros US $ 25 (US $ 127,50 real) 93,1 % Reprodução primária do Kansas 1 de julho de 1986 Idade 14 + Em todos os assentos $ 60 para 14 a 17 anos; US $ 10 por 18 + 81,8 % da aplicação primária do Kentucky, 15 de julho de 1994, 7 anos e mais de 57 polegadas em todos os assentos; 8 + Em todos os assentos, US $ 25 80,3 % da Louisiana Primária Execução 1 de julho de 1986 Idade 13 + Em bancos da frente $ 25 75,9 % Maine Execução primária 26 de dezembro de 1995 Idade 18 + Em todos os assentos $ 50 82,0 % de Maryland Primeira aplicação 1 de julho de 1986 Idade 16 + Em todos os assentos, US $ 83 94,7 % da aplicação secundária de Massachusetts 1 de fevereiro de 1994, 13 anos, em todos os assentos $ 25 73,7 % Michigan Primary aplicação 1 de julho de 1985 Idade 16 + Em bancos da frente $ 25 ($ 65 Real) 95,2 % Minnesota Primária execução 1 de agosto de 1986 7 7 7 7 e mais jovem e mais de 57 polegadas em todos os assentos; 8 + Em todos os assentos, US $ 25 + $ 75 Taxa 92,3 % Mississippi Primária Execução 1 de julho de 1994 Idade 7 + Em todos os assentos $ 25 81,0 % Missouri Aplicação secundária 28 de setembro de 1985 Idade 16 + em bancos da frente; Idade 8 - 15 em todos os assentos US $ 10 para 16 anos; $ 50 para idades de 8 a 15 anos 76,0 % Montana Execução secundária 1 de outubro de 1987 Idade 6 + Em todos os assentos $ 20 78,9 % NEBRASKA Execução secundária 1 de janeiro de 1993 Idade 18 + Em bancos da frente $ 25 84,1 % NEVADA Polícia secundária de Nevada 1 de julho de 1987 Idade 6 + Em todos os assentos, US $ 25 93,2 % New Hampshire Nenhum, primário para crianças apenas sem direito de 17 anos ou menos em todos os assentos $ 50 72,2 % de aplicação primária de Nova Jersey em 1 de março de 1985 Idade 8 + Em todos os assentos $ 46 por pessoa 93,7 % Novo México Primeiro Primeira Janeiro Janeiro Janeiro 1, 1986 Idade 18 + Em todos os assentos $ 25 89,8 % de aplicação primária de Nova York 1 de dezembro de 1984 Idade 16 + Em bancos da frente; menores de 16 anos em todos os assentos US $ 50 (US $ 135 reais após sobretaxas) 89,8 % Execução primária da Carolina do Norte, secundária para o banco de trás 1 de outubro de 1985 todas as idades em todos os assentos $ 161 para o banco da frente; US $ 10 para o assento traseiro 89,7 % da aplicação secundária de Dakota do Norte 14 de julho de 1994, 18 anos, nos bancos da frente; menores de 18 anos em todos os assentos US $ 20 para 18 anos; US $ 25 + 1 ponto na licença para menos de 18 74,8 % de fiscalização secundária de Ohio 6 de maio de 1986 Idade 15 + No banco da frente; 8 - 14 em todos os assentos US $ 30 para o motorista; US $ 20 para o passageiro 83,8 % Oklahoma Primary aplicação 1 de fevereiro de 1987 Idade 13 + Em bancos da frente $ 20 85,9 % Oregon Primária Primária 7 de dezembro de 1990 Todas as idades em todos os assentos $ 130 97,0 % da Pensilvânia Polícia secundária 23 de novembro, 1987, 1987 anos, com 18 anos de idade. Idade 8 a 17 em todos os assentos $ 10 86,0 % Primeira a parte primária de Rhode Island 18 de junho de 1991 Idade 8 + Em todos os assentos $ 75 78,0 % Execução primária da Carolina do Sul 1 de julho de 1989 Idade 6 + Em todos os assentos $ 25 85,4 % de Dakota do Sul APLICAÇÃO DE JOMON , 1995 Idade 18 + Em bancos da frente $ 25 74,5 % da execução primária do Tennessee 21 de abril de 1986, 16 anos + nos bancos da frente $ 25 87,1 % da aplicação primária do Texas em 1 de setembro de 1985 de 7 anos e mais jovem e 57 polegadas ou mais alta em todos os assentos; 8 anos de idade em todos os assentos US $ 200 se menos de 17 anos (motorista); US $ 50 Se mais de 15 (motorista ou passageiro) 93,8 % Utah Primária Execução 28 de abril de 1986 Todas as idades em todos os assentos $ 45 89,0 % Aplicação secundária de Vermont 1 de janeiro de 1994 Todos os idades em todos os assentos $ 25 85,2 % Virginia secundária aplicação 1 de janeiro de 1988 Todos os Drivers ; 18 anos ou mais nos bancos da frente; Menores de 18 anos em todos os assentos $ 25 80,5 % Washington Primary Execution 11 de junho de 1986 Idade 8 + Em todos os assentos $ 124 97,6 % Aplicação primária da Virgínia Ocidental 1 de setembro de 1993 Todas as idades nos bancos da frente; 8 - 17 nos bancos traseiros $ 25 82,1 % Wisconsin Primária Execução 1 de dezembro de 1987 Idade 8 + Em todos os assentos $ 10 79,2 % Wyoming Aplicação secundária 8 de junho de 1989 Idade 9 + Em todos os assentos $ 25 para o motorista; US $ 10 para o passageiro 78,9 %</v>
      </c>
    </row>
    <row r="580" customFormat="false" ht="15.75" hidden="false" customHeight="true" outlineLevel="0" collapsed="false">
      <c r="A580" s="3" t="n">
        <v>577</v>
      </c>
      <c r="B580" s="5" t="s">
        <v>1731</v>
      </c>
      <c r="C580" s="5" t="s">
        <v>1732</v>
      </c>
      <c r="D580" s="5" t="s">
        <v>1733</v>
      </c>
      <c r="E580" s="4" t="str">
        <f aca="false">IFERROR(__xludf.dummyfunction("GOOGLETRANSLATE(C581)"),"Qual país faz fronteira com a Papua Nova Guiné em seu lado oeste")</f>
        <v>Qual país faz fronteira com a Papua Nova Guiné em seu lado oeste</v>
      </c>
      <c r="F580" s="5" t="str">
        <f aca="false">IFERROR(__xludf.dummyfunction("GOOGLETRANSLATE(D580)")," O EMV é um método de pagamento baseado em um padrão técnico para cartões de pagamento inteligente e para terminais de pagamento e máquinas de caixas automatizados que podem aceitá -los. Os cartões EMV são cartões inteligentes (também chamados de cartões "&amp;"Chip ou IC) que armazenam seus dados em circuitos integrados, além de faixas magnéticas (para compatibilidade com versões anteriores). Isso inclui cartões que devem ser fisicamente inseridos (ou `` mergulhados '') em um leitor e cartões sem contato que po"&amp;"dem ser lidos a uma curta distância usando a tecnologia de comunicação de campo próxima - Campo (NFC). Os cartões de pagamento que estão em conformidade com o padrão EMV são frequentemente chamados de chip, pino ou chip e cartões de assinatura, dependendo"&amp;" dos métodos de autenticação empregados pelo emissor do cartão.")</f>
        <v> O EMV é um método de pagamento baseado em um padrão técnico para cartões de pagamento inteligente e para terminais de pagamento e máquinas de caixas automatizados que podem aceitá -los. Os cartões EMV são cartões inteligentes (também chamados de cartões Chip ou IC) que armazenam seus dados em circuitos integrados, além de faixas magnéticas (para compatibilidade com versões anteriores). Isso inclui cartões que devem ser fisicamente inseridos (ou `` mergulhados '') em um leitor e cartões sem contato que podem ser lidos a uma curta distância usando a tecnologia de comunicação de campo próxima - Campo (NFC). Os cartões de pagamento que estão em conformidade com o padrão EMV são frequentemente chamados de chip, pino ou chip e cartões de assinatura, dependendo dos métodos de autenticação empregados pelo emissor do cartão.</v>
      </c>
    </row>
    <row r="581" customFormat="false" ht="15.75" hidden="false" customHeight="true" outlineLevel="0" collapsed="false">
      <c r="A581" s="3" t="n">
        <v>578</v>
      </c>
      <c r="B581" s="5" t="s">
        <v>1734</v>
      </c>
      <c r="C581" s="5" t="s">
        <v>1735</v>
      </c>
      <c r="D581" s="5" t="s">
        <v>1736</v>
      </c>
      <c r="E581" s="4" t="str">
        <f aca="false">IFERROR(__xludf.dummyfunction("GOOGLETRANSLATE(C582)"),"que Raja de Chamba transferiu a capital de seu estado de Bharmaur para Chamba")</f>
        <v>que Raja de Chamba transferiu a capital de seu estado de Bharmaur para Chamba</v>
      </c>
      <c r="F581" s="5" t="str">
        <f aca="false">IFERROR(__xludf.dummyfunction("GOOGLETRANSLATE(D581)")," Papua Nova Guiné (png; Reino Unido: / ˈpæp (j) uə ... ˈˈni, ˈpːː /, nós: / ˈpæpjuə, pnkjuə, pnkjuə, pngjuə, png, png, um oceanescian; que eccupis a metade oriental da ilha da Nova Guiné e suas ilhas Ocefshore na Melanésia, região do Oceano Pacífico Suden"&amp;", norte da Austrália Sua capital, localizada ao longo de sua costa sudeste, é mais A metade ocidental da Nova Guiné forma as províncias da Indonésia de Papua e Papua Ocidental")</f>
        <v> Papua Nova Guiné (png; Reino Unido: / ˈpæp (j) uə ... ˈˈni, ˈpːː /, nós: / ˈpæpjuə, pnkjuə, pnkjuə, pngjuə, png, png, um oceanescian; que eccupis a metade oriental da ilha da Nova Guiné e suas ilhas Ocefshore na Melanésia, região do Oceano Pacífico Suden, norte da Austrália Sua capital, localizada ao longo de sua costa sudeste, é mais A metade ocidental da Nova Guiné forma as províncias da Indonésia de Papua e Papua Ocidental</v>
      </c>
    </row>
    <row r="582" customFormat="false" ht="15.75" hidden="false" customHeight="true" outlineLevel="0" collapsed="false">
      <c r="A582" s="3" t="n">
        <v>579</v>
      </c>
      <c r="B582" s="5" t="s">
        <v>1737</v>
      </c>
      <c r="C582" s="5" t="s">
        <v>1738</v>
      </c>
      <c r="D582" s="5" t="s">
        <v>1739</v>
      </c>
      <c r="E582" s="4" t="str">
        <f aca="false">IFERROR(__xludf.dummyfunction("GOOGLETRANSLATE(C583)"),"Quantas equipes na NBA em 1956")</f>
        <v>Quantas equipes na NBA em 1956</v>
      </c>
      <c r="F582" s="5" t="str">
        <f aca="false">IFERROR(__xludf.dummyfunction("GOOGLETRANSLATE(D582)")," Embora os registros históricos datem da história da região de Chamba para as tribos da Kolian no século II aC, a área era formalmente governada pela dinastia Maru, começando com o Raju Maru a cerca de 500 dC, governando a capital antiga de Bharmour, que "&amp;"é Localizado a 75 quilômetros (47 milhas) da cidade de Chamba. Em 920, Raja Sahil Varman (ou Raja Sahil Verma) mudou a capital do reino para Chamba, seguindo o pedido específico de sua filha Champavati (Chamba recebeu o nome dela). Desde a época de Raju M"&amp;"aru, 67 rajas desta dinastia governaram o Chamba até finalmente se fundir com a União Indiana em abril de 1948, embora Chamba estivesse sob a soberante britânica de 1846 até esse momento.")</f>
        <v> Embora os registros históricos datem da história da região de Chamba para as tribos da Kolian no século II aC, a área era formalmente governada pela dinastia Maru, começando com o Raju Maru a cerca de 500 dC, governando a capital antiga de Bharmour, que é Localizado a 75 quilômetros (47 milhas) da cidade de Chamba. Em 920, Raja Sahil Varman (ou Raja Sahil Verma) mudou a capital do reino para Chamba, seguindo o pedido específico de sua filha Champavati (Chamba recebeu o nome dela). Desde a época de Raju Maru, 67 rajas desta dinastia governaram o Chamba até finalmente se fundir com a União Indiana em abril de 1948, embora Chamba estivesse sob a soberante britânica de 1846 até esse momento.</v>
      </c>
    </row>
    <row r="583" customFormat="false" ht="15.75" hidden="false" customHeight="true" outlineLevel="0" collapsed="false">
      <c r="A583" s="3" t="n">
        <v>580</v>
      </c>
      <c r="B583" s="5" t="s">
        <v>1740</v>
      </c>
      <c r="C583" s="5" t="s">
        <v>1741</v>
      </c>
      <c r="D583" s="5" t="s">
        <v>1742</v>
      </c>
      <c r="E583" s="4" t="str">
        <f aca="false">IFERROR(__xludf.dummyfunction("GOOGLETRANSLATE(C584)"),"Quantas séries de seda foram feitas")</f>
        <v>Quantas séries de seda foram feitas</v>
      </c>
      <c r="F583" s="5" t="str">
        <f aca="false">IFERROR(__xludf.dummyfunction("GOOGLETRANSLATE(D583)"),"   1956 - 57 Associação Nacional de Basquete da Liga da NBA Número de basquete esportivo Número de jogos 72 Número de equipes 8 Parceiro de TV (s) NBC Temporada regular MVP Bob Cousy (Boston) O artilheiro Paul Arizin (Filadélfia) Playoffs Campeões Orienta"&amp;"is Boston Celtics Runners Oriental - UP Syracuse Nationals Campeões Ocidentais St. Louis Hawks Western Runners - UP Minneapolis Lakers Finals Champions Boston Celtics Runners - UP St. Louis Hawks NBA Seasons ← 1955 - 56 1957 - 58 →")</f>
        <v>   1956 - 57 Associação Nacional de Basquete da Liga da NBA Número de basquete esportivo Número de jogos 72 Número de equipes 8 Parceiro de TV (s) NBC Temporada regular MVP Bob Cousy (Boston) O artilheiro Paul Arizin (Filadélfia) Playoffs Campeões Orientais Boston Celtics Runners Oriental - UP Syracuse Nationals Campeões Ocidentais St. Louis Hawks Western Runners - UP Minneapolis Lakers Finals Champions Boston Celtics Runners - UP St. Louis Hawks NBA Seasons ← 1955 - 56 1957 - 58 →</v>
      </c>
    </row>
    <row r="584" customFormat="false" ht="15.75" hidden="false" customHeight="true" outlineLevel="0" collapsed="false">
      <c r="A584" s="3" t="n">
        <v>581</v>
      </c>
      <c r="B584" s="5" t="s">
        <v>1743</v>
      </c>
      <c r="C584" s="5" t="s">
        <v>1744</v>
      </c>
      <c r="D584" s="5" t="s">
        <v>1745</v>
      </c>
      <c r="E584" s="4" t="str">
        <f aca="false">IFERROR(__xludf.dummyfunction("GOOGLETRANSLATE(C585)"),"Em que time era LeBron James antes do Lakers")</f>
        <v>Em que time era LeBron James antes do Lakers</v>
      </c>
      <c r="F584" s="5" t="str">
        <f aca="false">IFERROR(__xludf.dummyfunction("GOOGLETRANSLATE(D584)"),"   Episódios da série Broadcast Broadcast DVD Data de lançamento da série Premiere Série Finale Região 2 Região 1 6 22 Fevereiro de 2011 29 de março 2011 11 de abril de 2011 2014 3 de janeiro de 2017")</f>
        <v>   Episódios da série Broadcast Broadcast DVD Data de lançamento da série Premiere Série Finale Região 2 Região 1 6 22 Fevereiro de 2011 29 de março 2011 11 de abril de 2011 2014 3 de janeiro de 2017</v>
      </c>
    </row>
    <row r="585" customFormat="false" ht="15.75" hidden="false" customHeight="true" outlineLevel="0" collapsed="false">
      <c r="A585" s="3" t="n">
        <v>582</v>
      </c>
      <c r="B585" s="5" t="s">
        <v>1746</v>
      </c>
      <c r="C585" s="5" t="s">
        <v>1747</v>
      </c>
      <c r="D585" s="5" t="s">
        <v>1748</v>
      </c>
      <c r="E585" s="4" t="str">
        <f aca="false">IFERROR(__xludf.dummyfunction("GOOGLETRANSLATE(C586)"),"Onde está a cozinha MasterChef localizada em Melbourne 2017")</f>
        <v>Onde está a cozinha MasterChef localizada em Melbourne 2017</v>
      </c>
      <c r="F585" s="5" t="str">
        <f aca="false">IFERROR(__xludf.dummyfunction("GOOGLETRANSLATE(D585)")," LEBRON JAMES JAMES COM O Cavaliers em 2017 No. 23 - Losta de Los Angeles Lakers Posição de Small Forward / Shooting Guard League NBA (1984 - 12 - 30) 30 de dezembro de 1984 (33 anos) Akron, Ohio Nationality American Listed Altura 6 pés 8 em (2,03 m) Peso"&amp;" listado 250 lb (113 kg) Informações de carreira St. Vincent - St. Mary (Akron, Ohio) NBA Draft 2003 / Rodada: 1 / Pick: 1ª Geral selecionada pela Cleveland Cavaliers Award Career 2003 - - História da carreira atual 2003 - 2010 Cleveland Cavaliers 2010 - "&amp;"2014 Miami Heat 2014 - 2018 Cleveland Cavaliers 2018 - Apresentando os destaques e prêmios da carreira de Los Angeles Lakers 3 × NBA Champion (2012, 2013, 2016) 3 × NBA Finals MVP ( 2012, 2013, 2016) 4 × NBA Player mais valioso (2009, 2010, 2012, 2013) 14"&amp;" × NBA All - Star (2005 - 2018) 3 × NBA All - Star Game MVP (2006, 2008, 2018) 12 × All - NBA First Team (2006, 2008 - 2018) 2 × All - NBA Second Team (2005, 2007) 5 × NBA All - Primeira equipe defensiva (2009 - 2013) NBA All - Segunda equipe defensiva (2"&amp;"014) NBA Rookie do ano (2004) campeão de pontuação da NBA (2008) J. Walter Kennedy Citizenship Award (2017) 2 × AP ATSETO DO ANO (2013, 2016) 2 × Sports Illustrated Sports of the Year (2012, 2016) USA Basketball Male Athlete Masculino do ano (2012) 2 × Sr"&amp;". Basketball EUA (2002, 2003) NAMISMITH PREP JOGADOR DO ANO (2003) All - American Game MVP (2003) 3 × Ohio Sr. Basketball (2001 - 2003) estatísticas nas estatísticas da NBA.com em Basketball-reference.com Medalhas (Hide) Basquete masculino Representando o"&amp;"s Jogos Olímpicos dos Estados Unidos 2008 Equipe de Pequim 2012 Tese de Londres 2004 Atenas Team FIBA ​​Campeonato Mundial 2006 Japão FIBA ​​Americas Championship 2007 Las Vegas")</f>
        <v> LEBRON JAMES JAMES COM O Cavaliers em 2017 No. 23 - Losta de Los Angeles Lakers Posição de Small Forward / Shooting Guard League NBA (1984 - 12 - 30) 30 de dezembro de 1984 (33 anos) Akron, Ohio Nationality American Listed Altura 6 pés 8 em (2,03 m) Peso listado 250 lb (113 kg) Informações de carreira St. Vincent - St. Mary (Akron, Ohio) NBA Draft 2003 / Rodada: 1 / Pick: 1ª Geral selecionada pela Cleveland Cavaliers Award Career 2003 - - História da carreira atual 2003 - 2010 Cleveland Cavaliers 2010 - 2014 Miami Heat 2014 - 2018 Cleveland Cavaliers 2018 - Apresentando os destaques e prêmios da carreira de Los Angeles Lakers 3 × NBA Champion (2012, 2013, 2016) 3 × NBA Finals MVP ( 2012, 2013, 2016) 4 × NBA Player mais valioso (2009, 2010, 2012, 2013) 14 × NBA All - Star (2005 - 2018) 3 × NBA All - Star Game MVP (2006, 2008, 2018) 12 × All - NBA First Team (2006, 2008 - 2018) 2 × All - NBA Second Team (2005, 2007) 5 × NBA All - Primeira equipe defensiva (2009 - 2013) NBA All - Segunda equipe defensiva (2014) NBA Rookie do ano (2004) campeão de pontuação da NBA (2008) J. Walter Kennedy Citizenship Award (2017) 2 × AP ATSETO DO ANO (2013, 2016) 2 × Sports Illustrated Sports of the Year (2012, 2016) USA Basketball Male Athlete Masculino do ano (2012) 2 × Sr. Basketball EUA (2002, 2003) NAMISMITH PREP JOGADOR DO ANO (2003) All - American Game MVP (2003) 3 × Ohio Sr. Basketball (2001 - 2003) estatísticas nas estatísticas da NBA.com em Basketball-reference.com Medalhas (Hide) Basquete masculino Representando os Jogos Olímpicos dos Estados Unidos 2008 Equipe de Pequim 2012 Tese de Londres 2004 Atenas Team FIBA ​​Campeonato Mundial 2006 Japão FIBA ​​Americas Championship 2007 Las Vegas</v>
      </c>
    </row>
    <row r="586" customFormat="false" ht="15.75" hidden="false" customHeight="true" outlineLevel="0" collapsed="false">
      <c r="A586" s="3" t="n">
        <v>583</v>
      </c>
      <c r="B586" s="5" t="s">
        <v>1749</v>
      </c>
      <c r="C586" s="5" t="s">
        <v>1750</v>
      </c>
      <c r="D586" s="5" t="s">
        <v>1751</v>
      </c>
      <c r="E586" s="4" t="str">
        <f aca="false">IFERROR(__xludf.dummyfunction("GOOGLETRANSLATE(C587)"),"Qual é o maior salário mínimo nos Estados Unidos")</f>
        <v>Qual é o maior salário mínimo nos Estados Unidos</v>
      </c>
      <c r="F586" s="5" t="str">
        <f aca="false">IFERROR(__xludf.dummyfunction("GOOGLETRANSLATE(D586)")," MasterChef Australia é um prêmio Logie - ganhando um show de jogos de culinária competitivo da realidade australiana baseada no MasterChef britânico original. É produzido pela Shine Australia e telas na rede dez. O restaurador e o chef Gary Mehigan, o ch"&amp;"ef George Calombaris e o crítico de alimentos Matt Preston servem como os principais juízes do programa. O show estreou às 19h30 todos os domingos - quinta -feira na rede dez. O MasterChef Australia Kitchen está localizado em Flemington, Melbourne.")</f>
        <v> MasterChef Australia é um prêmio Logie - ganhando um show de jogos de culinária competitivo da realidade australiana baseada no MasterChef britânico original. É produzido pela Shine Australia e telas na rede dez. O restaurador e o chef Gary Mehigan, o chef George Calombaris e o crítico de alimentos Matt Preston servem como os principais juízes do programa. O show estreou às 19h30 todos os domingos - quinta -feira na rede dez. O MasterChef Australia Kitchen está localizado em Flemington, Melbourne.</v>
      </c>
    </row>
    <row r="587" customFormat="false" ht="15.75" hidden="false" customHeight="true" outlineLevel="0" collapsed="false">
      <c r="A587" s="3" t="n">
        <v>584</v>
      </c>
      <c r="B587" s="5" t="s">
        <v>1752</v>
      </c>
      <c r="C587" s="5" t="s">
        <v>1753</v>
      </c>
      <c r="D587" s="5" t="s">
        <v>1754</v>
      </c>
      <c r="E587" s="4" t="str">
        <f aca="false">IFERROR(__xludf.dummyfunction("GOOGLETRANSLATE(C588)"),"Quando acontece entre tons de cinza")</f>
        <v>Quando acontece entre tons de cinza</v>
      </c>
      <c r="F587" s="5" t="str">
        <f aca="false">IFERROR(__xludf.dummyfunction("GOOGLETRANSLATE(D587)")," A partir de janeiro de 2017, o estado de Massachusetts e Washington têm os salários mínimos mais altos do país, a US $ 11,00 por hora. O salário mínimo da cidade de Nova York será de US $ 15,00 por hora até o final de 2018. Há uma diferença racial para o"&amp;" apoio a um salário mínimo mais alto, com a maioria dos indivíduos negros e hispânicos apoiando um salário mínimo federal de US $ 15,00 e 54 % dos brancos que se opõem. Em 2015, cerca de 3 % dos trabalhadores brancos, asiáticos e hispânicos ou latinos gan"&amp;"haram o salário mínimo federal ou menos. Entre os trabalhadores negros, a porcentagem foi de cerca de 4 %.")</f>
        <v> A partir de janeiro de 2017, o estado de Massachusetts e Washington têm os salários mínimos mais altos do país, a US $ 11,00 por hora. O salário mínimo da cidade de Nova York será de US $ 15,00 por hora até o final de 2018. Há uma diferença racial para o apoio a um salário mínimo mais alto, com a maioria dos indivíduos negros e hispânicos apoiando um salário mínimo federal de US $ 15,00 e 54 % dos brancos que se opõem. Em 2015, cerca de 3 % dos trabalhadores brancos, asiáticos e hispânicos ou latinos ganharam o salário mínimo federal ou menos. Entre os trabalhadores negros, a porcentagem foi de cerca de 4 %.</v>
      </c>
    </row>
    <row r="588" customFormat="false" ht="15.75" hidden="false" customHeight="true" outlineLevel="0" collapsed="false">
      <c r="A588" s="3" t="n">
        <v>585</v>
      </c>
      <c r="B588" s="5" t="s">
        <v>1755</v>
      </c>
      <c r="C588" s="5" t="s">
        <v>1756</v>
      </c>
      <c r="D588" s="5" t="s">
        <v>1757</v>
      </c>
      <c r="E588" s="4" t="str">
        <f aca="false">IFERROR(__xludf.dummyfunction("GOOGLETRANSLATE(C589)"),"Quantas partes as crônicas de Nárnia têm")</f>
        <v>Quantas partes as crônicas de Nárnia têm</v>
      </c>
      <c r="F588" s="5" t="str">
        <f aca="false">IFERROR(__xludf.dummyfunction("GOOGLETRANSLATE(D588)")," Entre Shades of Grey, um best -seller do New York Times, está o romance de estréia do romancista americano Ruta Sepetys. Segue as repressões stalinistas de meados do século XX e segue a vida de Lina quando ela é deportada de sua Lituânia natal com a mãe "&amp;"e o irmão mais novo e a jornada que eles levam para um acampamento na Sibéria. Foi indicado para a Medalha Cilip Carnegie de 2012 e foi traduzido para mais de 27 idiomas.")</f>
        <v> Entre Shades of Grey, um best -seller do New York Times, está o romance de estréia do romancista americano Ruta Sepetys. Segue as repressões stalinistas de meados do século XX e segue a vida de Lina quando ela é deportada de sua Lituânia natal com a mãe e o irmão mais novo e a jornada que eles levam para um acampamento na Sibéria. Foi indicado para a Medalha Cilip Carnegie de 2012 e foi traduzido para mais de 27 idiomas.</v>
      </c>
    </row>
    <row r="589" customFormat="false" ht="15.75" hidden="false" customHeight="true" outlineLevel="0" collapsed="false">
      <c r="A589" s="3" t="n">
        <v>586</v>
      </c>
      <c r="B589" s="5" t="s">
        <v>1758</v>
      </c>
      <c r="C589" s="5" t="s">
        <v>1759</v>
      </c>
      <c r="D589" s="5" t="s">
        <v>1760</v>
      </c>
      <c r="E589" s="4" t="str">
        <f aca="false">IFERROR(__xludf.dummyfunction("GOOGLETRANSLATE(C590)"),"De onde vem o financiamento para os militares")</f>
        <v>De onde vem o financiamento para os militares</v>
      </c>
      <c r="F589" s="5" t="str">
        <f aca="false">IFERROR(__xludf.dummyfunction("GOOGLETRANSLATE(D589)")," As Crônicas de Nárnia são uma série de filmes baseados nas Crônicas de Nárnia, uma série de romances de C.S. Lewis. Dos sete romances, houve três adaptações cinematográficas até agora - o leão, a bruxa e o guarda -roupa (2005), o príncipe Caspian (2008) "&amp;"e a viagem do Dawn Treader (2010) - que arrecadaram mais de US $ 1,5 bilhão em todo o mundo entre eles.")</f>
        <v> As Crônicas de Nárnia são uma série de filmes baseados nas Crônicas de Nárnia, uma série de romances de C.S. Lewis. Dos sete romances, houve três adaptações cinematográficas até agora - o leão, a bruxa e o guarda -roupa (2005), o príncipe Caspian (2008) e a viagem do Dawn Treader (2010) - que arrecadaram mais de US $ 1,5 bilhão em todo o mundo entre eles.</v>
      </c>
    </row>
    <row r="590" customFormat="false" ht="15.75" hidden="false" customHeight="true" outlineLevel="0" collapsed="false">
      <c r="A590" s="3" t="n">
        <v>587</v>
      </c>
      <c r="B590" s="5" t="s">
        <v>1761</v>
      </c>
      <c r="C590" s="5" t="s">
        <v>1762</v>
      </c>
      <c r="D590" s="5" t="s">
        <v>1763</v>
      </c>
      <c r="E590" s="4" t="str">
        <f aca="false">IFERROR(__xludf.dummyfunction("GOOGLETRANSLATE(C591)"),"Quando Tom Paris foi promovido a tenente")</f>
        <v>Quando Tom Paris foi promovido a tenente</v>
      </c>
      <c r="F590" s="5" t="str">
        <f aca="false">IFERROR(__xludf.dummyfunction("GOOGLETRANSLATE(D590)")," O orçamento do Departamento de Defesa dos EUA foi responsável no ano fiscal de 2010 por cerca de 19 % das despesas federais dos Estados Unidos e 28 % das receitas tributárias estimadas. Incluindo gastos que não são dod, os gastos militares foram de aprox"&amp;"imadamente 28-38 % dos gastos orçados e 42-57 % das receitas tributárias estimadas. De acordo com o Escritório de Orçamento do Congresso, os gastos com defesa cresceram 9 % anualmente em média em relação ao ano fiscal de 2000 - 2009.")</f>
        <v> O orçamento do Departamento de Defesa dos EUA foi responsável no ano fiscal de 2010 por cerca de 19 % das despesas federais dos Estados Unidos e 28 % das receitas tributárias estimadas. Incluindo gastos que não são dod, os gastos militares foram de aproximadamente 28-38 % dos gastos orçados e 42-57 % das receitas tributárias estimadas. De acordo com o Escritório de Orçamento do Congresso, os gastos com defesa cresceram 9 % anualmente em média em relação ao ano fiscal de 2000 - 2009.</v>
      </c>
    </row>
    <row r="591" customFormat="false" ht="15.75" hidden="false" customHeight="true" outlineLevel="0" collapsed="false">
      <c r="A591" s="3" t="n">
        <v>588</v>
      </c>
      <c r="B591" s="5" t="s">
        <v>1764</v>
      </c>
      <c r="C591" s="5" t="s">
        <v>1765</v>
      </c>
      <c r="D591" s="5" t="s">
        <v>1766</v>
      </c>
      <c r="E591" s="4" t="str">
        <f aca="false">IFERROR(__xludf.dummyfunction("GOOGLETRANSLATE(C592)"),"Que filme foi a música Stand By Me In")</f>
        <v>Que filme foi a música Stand By Me In</v>
      </c>
      <c r="F591" s="5" t="str">
        <f aca="false">IFERROR(__xludf.dummyfunction("GOOGLETRANSLATE(D591)")," O marrom do Voyager no quadrante delta proporcionou a Paris um novo começo. Janeway deu a Paris uma comissão de campo como tenente da Frota Estelar e fez dele o chefe do Voyager. Ele teve um começo difícil, no entanto, como Starfleet e Maquis viam Paris "&amp;"com suspeita. Paris trabalhou duro para ganhar o respeito de seus colegas de tripulação. Durante esse período, ele se tornou melhor amigo do alferes Harry Kim, um jovem oficial de sua primeira missão que desafiou seus companheiros de tripulação para fazer"&amp;" amizade com Paris. Eventualmente, Paris foi aceito pela tripulação e se tornou um dos policiais valiosos de Janeway.")</f>
        <v> O marrom do Voyager no quadrante delta proporcionou a Paris um novo começo. Janeway deu a Paris uma comissão de campo como tenente da Frota Estelar e fez dele o chefe do Voyager. Ele teve um começo difícil, no entanto, como Starfleet e Maquis viam Paris com suspeita. Paris trabalhou duro para ganhar o respeito de seus colegas de tripulação. Durante esse período, ele se tornou melhor amigo do alferes Harry Kim, um jovem oficial de sua primeira missão que desafiou seus companheiros de tripulação para fazer amizade com Paris. Eventualmente, Paris foi aceito pela tripulação e se tornou um dos policiais valiosos de Janeway.</v>
      </c>
    </row>
    <row r="592" customFormat="false" ht="15.75" hidden="false" customHeight="true" outlineLevel="0" collapsed="false">
      <c r="A592" s="3" t="n">
        <v>589</v>
      </c>
      <c r="B592" s="5" t="s">
        <v>1767</v>
      </c>
      <c r="C592" s="5" t="s">
        <v>1768</v>
      </c>
      <c r="D592" s="5" t="s">
        <v>1769</v>
      </c>
      <c r="E592" s="4" t="str">
        <f aca="false">IFERROR(__xludf.dummyfunction("GOOGLETRANSLATE(C593)"),"Resuma a história do pai romano com dois filhos")</f>
        <v>Resuma a história do pai romano com dois filhos</v>
      </c>
      <c r="F592" s="5" t="str">
        <f aca="false">IFERROR(__xludf.dummyfunction("GOOGLETRANSLATE(D592)"),"  Stand By Me (Film), um filme de drama americano de 1986 dirigido por Rob Reiner, baseado na novela do corpo de Stephen King Stand By Me Doraemon, um filme 3D CGI de 2014 - filme japonês animado baseado na série de mangá Doraemon de Fujiko Fujio Stand by"&amp;" Me (série de TV), uma série de drama de mandarim de 1998 `` Stand by Me '', um episódio de 1992 da série de TV My Little Pony Tales `` Stand By Me (Gray 'S. Anatomy)' ', um episódio da quinta temporada de 2009 da série de TV Gray")</f>
        <v>  Stand By Me (Film), um filme de drama americano de 1986 dirigido por Rob Reiner, baseado na novela do corpo de Stephen King Stand By Me Doraemon, um filme 3D CGI de 2014 - filme japonês animado baseado na série de mangá Doraemon de Fujiko Fujio Stand by Me (série de TV), uma série de drama de mandarim de 1998 `` Stand by Me '', um episódio de 1992 da série de TV My Little Pony Tales `` Stand By Me (Gray 'S. Anatomy)' ', um episódio da quinta temporada de 2009 da série de TV Gray</v>
      </c>
    </row>
    <row r="593" customFormat="false" ht="15.75" hidden="false" customHeight="true" outlineLevel="0" collapsed="false">
      <c r="A593" s="3" t="n">
        <v>590</v>
      </c>
      <c r="B593" s="5" t="s">
        <v>1770</v>
      </c>
      <c r="C593" s="5" t="s">
        <v>1771</v>
      </c>
      <c r="D593" s="5" t="s">
        <v>1772</v>
      </c>
      <c r="E593" s="4" t="str">
        <f aca="false">IFERROR(__xludf.dummyfunction("GOOGLETRANSLATE(C594)"),"que projetou o curso antigo em St. Andrews")</f>
        <v>que projetou o curso antigo em St. Andrews</v>
      </c>
      <c r="F593" s="5" t="str">
        <f aca="false">IFERROR(__xludf.dummyfunction("GOOGLETRANSLATE(D593)")," Na história, um pai tem dois filhos, um mais jovem e um mais velho. O filho mais novo pede ao pai sua herança, e o pai concede o pedido de seu filho. No entanto, o filho mais novo é pródigo (ou seja, desperdício e extravagante) e desperdiça sua fortuna, "&amp;"eventualmente se tornando carente. O filho mais novo é forçado a voltar para casa vazio - entregue e pretende implorar ao pai que o aceite de volta como servo. Para surpresa do filho, ele não é desprezado por seu pai, mas é recebido de volta com celebraçã"&amp;"o e fanfarra. Com inveja, o filho mais velho se recusa a participar das festividades. O pai lembra ao filho mais velho que um dia ele herdará tudo e que eles ainda devem celebrar o retorno do filho mais novo porque ele estava perdido e agora é encontrado.")</f>
        <v> Na história, um pai tem dois filhos, um mais jovem e um mais velho. O filho mais novo pede ao pai sua herança, e o pai concede o pedido de seu filho. No entanto, o filho mais novo é pródigo (ou seja, desperdício e extravagante) e desperdiça sua fortuna, eventualmente se tornando carente. O filho mais novo é forçado a voltar para casa vazio - entregue e pretende implorar ao pai que o aceite de volta como servo. Para surpresa do filho, ele não é desprezado por seu pai, mas é recebido de volta com celebração e fanfarra. Com inveja, o filho mais velho se recusa a participar das festividades. O pai lembra ao filho mais velho que um dia ele herdará tudo e que eles ainda devem celebrar o retorno do filho mais novo porque ele estava perdido e agora é encontrado.</v>
      </c>
    </row>
    <row r="594" customFormat="false" ht="15.75" hidden="false" customHeight="true" outlineLevel="0" collapsed="false">
      <c r="A594" s="3" t="n">
        <v>591</v>
      </c>
      <c r="B594" s="5" t="s">
        <v>1773</v>
      </c>
      <c r="C594" s="5" t="s">
        <v>1774</v>
      </c>
      <c r="D594" s="5" t="s">
        <v>1775</v>
      </c>
      <c r="E594" s="4" t="str">
        <f aca="false">IFERROR(__xludf.dummyfunction("GOOGLETRANSLATE(C595)"),"O que foi a receita de bilheteria de 2015 da Paramount Pictures")</f>
        <v>O que foi a receita de bilheteria de 2015 da Paramount Pictures</v>
      </c>
      <c r="F594" s="5" t="str">
        <f aca="false">IFERROR(__xludf.dummyfunction("GOOGLETRANSLATE(D594)")," Em 1552, o arcebispo John Hamilton deu às pessoas da cidade de St. Andrews o direito de jogar nos links. Em 1754, 22 nobres, professores e proprietários de terras fundaram os golfistas da Sociedade de St. Andrews. Essa sociedade acabaria se tornando o pr"&amp;"ecursor do real e antigo, que é o órgão governante do golfe em todos os lugares fora dos Estados Unidos e do México. Os links de St Andrews tiveram um susto quando faliram em 1797. O Conselho da Cidade de St. Andrews decidiu permitir que a agricultura de "&amp;"coelhos no campo de golfe desafie o golfe por popularidade. Vinte anos de luta legal entre os golfistas e os agricultores de coelhos terminaram em 1821, quando um proprietário local e golfe chamado James Chepare, da Strathtyrum, comprou a terra e é credit"&amp;"ado com a economia de links de golfe. O curso evoluiu sem a ajuda de qualquer arquiteto por muitos anos, embora contribuições notáveis ​​ao seu design tenham sido feitas por Daw Anderson na década de 1850 e o velho Tom Morris (1865 - 1908), que projetou o"&amp;"s buracos 1 e 18. Originalmente, era tocado no mesmo conjunto de fairways e voltas para os mesmos buracos. À medida que o interesse pelo jogo aumentava, grupos de golfistas costumavam jogar o mesmo buraco, mas indo em direções diferentes.")</f>
        <v> Em 1552, o arcebispo John Hamilton deu às pessoas da cidade de St. Andrews o direito de jogar nos links. Em 1754, 22 nobres, professores e proprietários de terras fundaram os golfistas da Sociedade de St. Andrews. Essa sociedade acabaria se tornando o precursor do real e antigo, que é o órgão governante do golfe em todos os lugares fora dos Estados Unidos e do México. Os links de St Andrews tiveram um susto quando faliram em 1797. O Conselho da Cidade de St. Andrews decidiu permitir que a agricultura de coelhos no campo de golfe desafie o golfe por popularidade. Vinte anos de luta legal entre os golfistas e os agricultores de coelhos terminaram em 1821, quando um proprietário local e golfe chamado James Chepare, da Strathtyrum, comprou a terra e é creditado com a economia de links de golfe. O curso evoluiu sem a ajuda de qualquer arquiteto por muitos anos, embora contribuições notáveis ​​ao seu design tenham sido feitas por Daw Anderson na década de 1850 e o velho Tom Morris (1865 - 1908), que projetou os buracos 1 e 18. Originalmente, era tocado no mesmo conjunto de fairways e voltas para os mesmos buracos. À medida que o interesse pelo jogo aumentava, grupos de golfistas costumavam jogar o mesmo buraco, mas indo em direções diferentes.</v>
      </c>
    </row>
    <row r="595" customFormat="false" ht="15.75" hidden="false" customHeight="true" outlineLevel="0" collapsed="false">
      <c r="A595" s="3" t="n">
        <v>592</v>
      </c>
      <c r="B595" s="5" t="s">
        <v>1776</v>
      </c>
      <c r="C595" s="5" t="s">
        <v>1777</v>
      </c>
      <c r="D595" s="5" t="s">
        <v>1778</v>
      </c>
      <c r="E595" s="4" t="str">
        <f aca="false">IFERROR(__xludf.dummyfunction("GOOGLETRANSLATE(C596)"),"Quem é o fundador de Alex e Ani")</f>
        <v>Quem é o fundador de Alex e Ani</v>
      </c>
      <c r="F595" s="5" t="str">
        <f aca="false">IFERROR(__xludf.dummyfunction("GOOGLETRANSLATE(D595)"),"   Mais alto - filmes de bilheteria da América do Norte Rank Title Office Titanic Gross Titanic 1997 $ 658.672.302 Transformadores: Vingança do Fallen 2009 $ 402.111.870 Transformadores: Dark of the Moon 2011 $ 352.390.543 Forrest Gump 1994 $ 330,252,182 "&amp;"5 shrek 5 shrek o terceiro lugar. , 193 7 Iron Man 2008 US $ 318.412.101 8 Indiana Jones e o Reino do Crânio de Cristal 2008 $ 317.101.119 9 Homem de Ferro 2 $ 312.433.331 10 Star Trek 2009 $ 257.730.019 11 Raiders of the Lost ark 1981 $ 248,159.971111111"&amp;"11910 idades de 11,3013, 11,73,73,3019, 11, 11,73,73,3019, 11,73,3019, 11,73,3019, 11,73,3019, depois de 113.13,73,3019, 11,73,3019. 6.787 14 Beverly Hills Cop 1984 $ 234.760.478 15 Guerra dos mundos 2005 $ 234.280.354 16 estrelas Trek até a escuridão 201"&amp;"3 $ 228.778.661 17 Ghost 1990 $ 217.631.306 18 Como treinar seu dragão $ 217.581.231 19 Madagascar 3: Europa mais 2012 $ 216.391,4822231 1920: Europa 216.391,4822231 1920: Europa 216.391,4822231 1920: Europa 216.391,4822231 1910: Europa 216.391,4822231 19"&amp;"10: Europa 216.391,482. 0 $ 215.409.889 22 Missão: Impossível - Protocolo Ghost 2011 $ 209.397.903 23 Guerra Mundial Z 2013 $ 202.359.711 24 monstros vs. Aliens 2009 $ 198.351.526 25 Indiana Jones e a última Crusade 1989 $ 197,171,806 Primeiro -dia -brost"&amp;"ing - 210, 27,17, 27,17, 27,17, 27,17 anos de título de título. 2011 $ 1.123.794.079 Transformadores: idade de extinção 2014 $ 1.104.054.072 Transformadores: vingança do caído 2009 $ 836.303.693 5 shrek O terceiro 2007 $ 798.958.162 6 Indiana Jones e o Ki"&amp;"ngdom of the Crystal 2008 867 8 Madagascar 3: a Europa mais procurada 2012 $ 746.921.274 9 Transformers 2007 $ 709.709.780 10 Missão: Impossível - Protocolo de Fantasmas 2011 $ 694.713.380 11 Missão: Impossível - nação desonesta 2015 $ 682.330.139 12 Forr"&amp;"est Gump 1994 $ 677,920,3.3.3.139 12139130, US $ 677.920.3.3. 65.692.281 15 kung fu panda 2009 $ 631.744.560 16 Homem de ferro 2 $ 623.933.331 17   Madagascar : Escape 2 Africa   2008   $603,900,354     18   Transformers : The Last Knight   2017   $594,04"&amp;"5,627     19   War of the Worlds   2005   $591,745,540     20   Iron Man   2008   $585,174,222     21   Puss in Boots   2011   $554,987,477     22   Mission : Impossible 2   2000   $546,388,105     23   World War Z   2013   $540,007,876     24   Ghost   1"&amp;"990 $ 505.702.588 25 Como treinar seu dragão $ 494.878.759")</f>
        <v>   Mais alto - filmes de bilheteria da América do Norte Rank Title Office Titanic Gross Titanic 1997 $ 658.672.302 Transformadores: Vingança do Fallen 2009 $ 402.111.870 Transformadores: Dark of the Moon 2011 $ 352.390.543 Forrest Gump 1994 $ 330,252,182 5 shrek 5 shrek o terceiro lugar. , 193 7 Iron Man 2008 US $ 318.412.101 8 Indiana Jones e o Reino do Crânio de Cristal 2008 $ 317.101.119 9 Homem de Ferro 2 $ 312.433.331 10 Star Trek 2009 $ 257.730.019 11 Raiders of the Lost ark 1981 $ 248,159.97111111111910 idades de 11,3013, 11,73,73,3019, 11, 11,73,73,3019, 11,73,3019, 11,73,3019, 11,73,3019, depois de 113.13,73,3019, 11,73,3019. 6.787 14 Beverly Hills Cop 1984 $ 234.760.478 15 Guerra dos mundos 2005 $ 234.280.354 16 estrelas Trek até a escuridão 2013 $ 228.778.661 17 Ghost 1990 $ 217.631.306 18 Como treinar seu dragão $ 217.581.231 19 Madagascar 3: Europa mais 2012 $ 216.391,4822231 1920: Europa 216.391,4822231 1920: Europa 216.391,4822231 1920: Europa 216.391,4822231 1910: Europa 216.391,4822231 1910: Europa 216.391,482. 0 $ 215.409.889 22 Missão: Impossível - Protocolo Ghost 2011 $ 209.397.903 23 Guerra Mundial Z 2013 $ 202.359.711 24 monstros vs. Aliens 2009 $ 198.351.526 25 Indiana Jones e a última Crusade 1989 $ 197,171,806 Primeiro -dia -brosting - 210, 27,17, 27,17, 27,17, 27,17 anos de título de título. 2011 $ 1.123.794.079 Transformadores: idade de extinção 2014 $ 1.104.054.072 Transformadores: vingança do caído 2009 $ 836.303.693 5 shrek O terceiro 2007 $ 798.958.162 6 Indiana Jones e o Kingdom of the Crystal 2008 867 8 Madagascar 3: a Europa mais procurada 2012 $ 746.921.274 9 Transformers 2007 $ 709.709.780 10 Missão: Impossível - Protocolo de Fantasmas 2011 $ 694.713.380 11 Missão: Impossível - nação desonesta 2015 $ 682.330.139 12 Forrest Gump 1994 $ 677,920,3.3.3.139 12139130, US $ 677.920.3.3. 65.692.281 15 kung fu panda 2009 $ 631.744.560 16 Homem de ferro 2 $ 623.933.331 17   Madagascar : Escape 2 Africa   2008   $603,900,354     18   Transformers : The Last Knight   2017   $594,045,627     19   War of the Worlds   2005   $591,745,540     20   Iron Man   2008   $585,174,222     21   Puss in Boots   2011   $554,987,477     22   Mission : Impossible 2   2000   $546,388,105     23   World War Z   2013   $540,007,876     24   Ghost   1990 $ 505.702.588 25 Como treinar seu dragão $ 494.878.759</v>
      </c>
    </row>
    <row r="596" customFormat="false" ht="15.75" hidden="false" customHeight="true" outlineLevel="0" collapsed="false">
      <c r="A596" s="3" t="n">
        <v>593</v>
      </c>
      <c r="B596" s="5" t="s">
        <v>1779</v>
      </c>
      <c r="C596" s="5" t="s">
        <v>1780</v>
      </c>
      <c r="D596" s="5" t="s">
        <v>1781</v>
      </c>
      <c r="E596" s="4" t="str">
        <f aca="false">IFERROR(__xludf.dummyfunction("GOOGLETRANSLATE(C597)"),"que escreveu entre o diabo e o mar azul profundo")</f>
        <v>que escreveu entre o diabo e o mar azul profundo</v>
      </c>
      <c r="F596" s="5" t="str">
        <f aca="false">IFERROR(__xludf.dummyfunction("GOOGLETRANSLATE(D596)")," Carolyn Rafaelian (nascida em 1966 /67) é uma empresária e empresária armênia americana. Ela é a fundadora da empresa de acessórios e jóias Alex e Ani, e a proprietária do Belcourt de Newport e Sakonnet Vineyards, de Carolyn.")</f>
        <v> Carolyn Rafaelian (nascida em 1966 /67) é uma empresária e empresária armênia americana. Ela é a fundadora da empresa de acessórios e jóias Alex e Ani, e a proprietária do Belcourt de Newport e Sakonnet Vineyards, de Carolyn.</v>
      </c>
    </row>
    <row r="597" customFormat="false" ht="15.75" hidden="false" customHeight="true" outlineLevel="0" collapsed="false">
      <c r="A597" s="3" t="n">
        <v>594</v>
      </c>
      <c r="B597" s="5" t="s">
        <v>1782</v>
      </c>
      <c r="C597" s="5" t="s">
        <v>1783</v>
      </c>
      <c r="D597" s="5" t="s">
        <v>1784</v>
      </c>
      <c r="E597" s="4" t="str">
        <f aca="false">IFERROR(__xludf.dummyfunction("GOOGLETRANSLATE(C598)"),"Quantas milhas fora é considerado águas internacionais")</f>
        <v>Quantas milhas fora é considerado águas internacionais</v>
      </c>
      <c r="F597" s="5" t="str">
        <f aca="false">IFERROR(__xludf.dummyfunction("GOOGLETRANSLATE(D597)")," `` Entre o Devil and the Deep Blue Sea '' é uma música popular americana publicada em 1932, com música de Harold Arlen e letras de Ted Koehler, e gravada pela primeira vez por Cab Calloway em 1931. Foi introduzido no Cotton Club Show Rhythmania de 1931 e"&amp;" agora é um padrão amplamente registrado.")</f>
        <v> `` Entre o Devil and the Deep Blue Sea '' é uma música popular americana publicada em 1932, com música de Harold Arlen e letras de Ted Koehler, e gravada pela primeira vez por Cab Calloway em 1931. Foi introduzido no Cotton Club Show Rhythmania de 1931 e agora é um padrão amplamente registrado.</v>
      </c>
    </row>
    <row r="598" customFormat="false" ht="15.75" hidden="false" customHeight="true" outlineLevel="0" collapsed="false">
      <c r="A598" s="3" t="n">
        <v>595</v>
      </c>
      <c r="B598" s="5" t="s">
        <v>1785</v>
      </c>
      <c r="C598" s="5" t="s">
        <v>1786</v>
      </c>
      <c r="D598" s="5" t="s">
        <v>1787</v>
      </c>
      <c r="E598" s="4" t="str">
        <f aca="false">IFERROR(__xludf.dummyfunction("GOOGLETRANSLATE(C599)"),"como é chamado quando um vampiro o hipnotiza em diários de vampiros")</f>
        <v>como é chamado quando um vampiro o hipnotiza em diários de vampiros</v>
      </c>
      <c r="F598" s="5" t="str">
        <f aca="false">IFERROR(__xludf.dummyfunction("GOOGLETRANSLATE(D598)")," As águas territoriais ou um mar territorial, conforme definido pela Convenção das Nações Unidas de 1982 sobre a lei do mar, é um cinturão de águas costeiras que se estendem no máximo 12 milhas náuticas (22,2 km; 13,8 mi) da linha de base (geralmente a ba"&amp;"ixa média - marca de água) de um estado costeiro. O mar territorial é considerado o território soberano do Estado, embora navios estrangeiros (civis) sejam permitidos por sua passagem inocente por ele, ou passagem de trânsito para o Estreito; Essa soberan"&amp;"ia também se estende ao espaço aéreo e pelo fundo do mar abaixo. O ajuste desses limites é chamado, no direito internacional, delimitação marítima.")</f>
        <v> As águas territoriais ou um mar territorial, conforme definido pela Convenção das Nações Unidas de 1982 sobre a lei do mar, é um cinturão de águas costeiras que se estendem no máximo 12 milhas náuticas (22,2 km; 13,8 mi) da linha de base (geralmente a baixa média - marca de água) de um estado costeiro. O mar territorial é considerado o território soberano do Estado, embora navios estrangeiros (civis) sejam permitidos por sua passagem inocente por ele, ou passagem de trânsito para o Estreito; Essa soberania também se estende ao espaço aéreo e pelo fundo do mar abaixo. O ajuste desses limites é chamado, no direito internacional, delimitação marítima.</v>
      </c>
    </row>
    <row r="599" customFormat="false" ht="15.75" hidden="false" customHeight="true" outlineLevel="0" collapsed="false">
      <c r="A599" s="3" t="n">
        <v>596</v>
      </c>
      <c r="B599" s="5" t="s">
        <v>1788</v>
      </c>
      <c r="C599" s="5" t="s">
        <v>1789</v>
      </c>
      <c r="D599" s="5" t="s">
        <v>1790</v>
      </c>
      <c r="E599" s="4" t="str">
        <f aca="false">IFERROR(__xludf.dummyfunction("GOOGLETRANSLATE(C600)"),"O que está dentro do castelo da beleza adormecida na Disneylândia")</f>
        <v>O que está dentro do castelo da beleza adormecida na Disneylândia</v>
      </c>
      <c r="F599" s="5" t="str">
        <f aca="false">IFERROR(__xludf.dummyfunction("GOOGLETRANSLATE(D599)"),"   Definir Sensos de força aprimorados de força aprimorada Imagerada Velocidade aprimorada de cura não natural que mude de forma / absorção poderes psíquicos psicokinesis pyrokinesis Outros folclore europeus implícitos sim sim sim sim sim sim algum polter"&amp;"geist - como atividade sem vários outros poderes baseados em região, como controle sobre animais noturnos ou a habilidade Para espalhar pragas, folclore norte -americano Sim sim sim sim sim sim alguns animais noturnos e névoa sim não não? Déficos sim, não"&amp;", os sentidos aprimorados do cheiro não sim, não, não, não, não, não se eles se absteram de sangue por muito tempo, eles se transformam em subsídios. Varney, o vampiro, sim, sim? ? Regenera ao luar? ? Sim   ? Não   ? Carmilla (1871) implicava que sim, a a"&amp;"derência pode paralisar os membros temporariamente? Sim, os poderes são aprimorados à luz da lua? Gato monstruoso? ? ? Torna -se incorpóreo à vontade (desaparece, passa por barreiras / portas sólidas) Drácula de Bram Stoker Sim Sim Sim Sim Sim Limitada; D"&amp;"rácula ainda possuía uma cicatriz onde Harker o atingiu com uma pá meses atrás, sim, lobo, morcego (também taco gigante), poeira, neblina - possivelmente cachorros também. Também pode ser personalizado Jonathan Harker. Pode se passar por um cocheiro e um "&amp;"porteiro (embora não se saiba se ele só usou a escuridão para se disfarçar ou um pouco de magia, além dessa escuridão) sim, os caçadores rastreiam Drácula através de seu vínculo telepático com Mina. Improvável, como ele teria carregado suas caixas por con"&amp;"ta própria (embora ele ainda possa ter sido fraco demais para usar esse poder mágico hipotético) plausível, já que ele começou um incêndio enorme e os personagens que não estavam presentes quando ele o fizeram simplesmente tinham adivinhar que ele pode te"&amp;"r usado uma correspondência, mas eles não podem provar nada do controle de animais noturnos, lobos e ratos mencionados especificamente. Pelo menos um vampiro (se não todos) é capaz de encolher para caber sob uma porta. Matriz hipotética de outros poderes "&amp;"(devido à antiga bolsa mágica - sem documentos e muito brevemente mencionada pelo Dr. Van Helsing); Lizard - como as habilidades de escalada nosferatu sim? Sim Sim   ? Lobo   ? Sim Não Ratos e Praga Siga o Vampiro. Van Helsing Sim Sim Sim Sim, mas parece "&amp;"teletransportar -se sim na criatura alada formam morcego / demônio alado - como criatura? Nenhum vampiros pode andar sobre paredes e tetos. Crônicas de vampiros de Anne Rice Sim Sim Sim Sim Sim Vampiros Extremamente antigos Não Vampiros muito antigos vamp"&amp;"iros muito antigos que a maioria é capaz de andar sobre paredes e tetos. Os filhos dos milênios podem fazer com que os vasos sanguíneos se rompem. Todos os vampiros têm memórias aprimoradas. Saga Twilight Sim Sim Sim Sim Sim Não Não Gifted Não Vampiros ta"&amp;"lentosos talentosos podem ter uma variedade de habilidades diferentes. Buffy Sim Sim Sim Sim Sim Não Não Drácula Gifted Não Não? Lâmina sim sim sim; Os vampiros também podem ver no ultravioleta sim sim; Além disso, a fusão de Frost / La Magra regenera os "&amp;"membros perdidos instantaneamente (ver `` Outros '') não apenas Drácula e La Magra, este último pode derramar sua pele, transformando -se em uma bola de fogo para perseguir metodicamente sua presa (ganhos da tribo Ligaroo ). Somente La Magra, que pode con"&amp;"trolar mentes, matéria e os elementos (ganhos da tribo Faustinas). Não, nenhum diácono Frost, quando se fundido com La Magra, era impermeável à prata, é capaz de caminhar devido ao sangue de Blade e pode instantaneamente transformar qualquer humano em seu"&amp;" caminho em vampiros. Ultravioleta sim sim sensor de olfato aprimorado Sim Sim Não Não Não Não Não? 30 dias de noite (2002) Sim Sim Sim Sim Sim Não Sim Sim Não Não? Discworld Sim Sim Sim Sim pode ser ressuscitado de Ashes como um morcego ou como um `` hum"&amp;"ano '' sim sim não não supere fraquezas inerentes com condicionamento psicológico Batman &amp; drácula sim sim sim sim sim sim sim sim não não? A Academia de Vampiros apenas o Strigoi sim, sim, apenas os usuários do Strigoi Spirit podem curar. Não, sim, algun"&amp;"s, não todos. Não há vampiros que são usuários de incêndio. Todos os Moroi têm um poder extra: água, terra, ar e às vezes espírito. True Blood Sim Sim Sim Sim Sim Apertado apenas se eles tivessem o poder antes de se virarem. Pode `` glamour '', apagar mem"&amp;"órias e dobrar sua vontade não presenteou o padrão: memória eidética, imitação de voz, habilidades de fabricante (chamando, comandando, link empático e liberação); Poderes únicos: habilidades vampíricas avançadas, chamadas avançadas de progênie, projeção "&amp;"astral, habilidades sanguíneas, glamour avançado, hemocinesia, intangibilidade, invisibilidade, precognição, auto -controle, detecção de espécies, telecinesia, teletransporte e imunidade para apostas, prata e convites ; O sangue de vampiros pode curar hum"&amp;"anos e tem inúmeras qualidades - como qualidades. O pequeno vampiro sim sim sim sim sim sim sim sim sim não pode escalar qualquer superfície e pode pendurar no teto para dormir os romances dos diários de vampiros: sim sim sim sim sim sim sim sim sim sim s"&amp;"im sim sim sim sim eles podem controlar os elementos, animais e o tempo . Série de televisão: sim sim sim sim sim sim apenas no primeiro episódio; Retconned logo depois que nenhum vampiros pode obrigar humanos. Os originais podem obrigar vampiros, híbrido"&amp;"s de vampiros / lobisomem e humanos. Nenhum manipulação de sonho; O sangue vampiro cura os seres humanos; `` desligar a humanidade '' Conde Chocula Sim Sim Não Sim? Sim Bat Não capaz de levitar marshmallows Electrokinesis se transforma em chocolate ao lei"&amp;"te, 15 vitaminas e minerais Count Duckula? Não não, não, não, não, sim? Não, sem teletransporte, caçador de vampiros d sim sim sim sim sim sim presenteado que alguns podem se transformar em névoa. Sim, presenteou vários outros poderes que variam muito ent"&amp;"re membros individuais da nobreza. Rua Sésamo Sim Não? Não   ? Sem hipnose, agora descontinuado? Pode gerar trovões contando habilidades de contagem sobrenatural, que deixe o certo em sim sim sim sim sim sim sim sim sim sim sim limiting enviando memórias "&amp;"através do beijo não Não são capazes de andar nas paredes jovens drácula sim sim sim sim sim sim sim sim sim elas têm outras habilidades, como Manipulação do tempo, entre outros. Pregador sim sim sim sim sim não não limitado Sim Não há alguma capacidade d"&amp;"e andar sobre paredes e tetos, leia brevemente as mentes daqueles de quem eles bebem, outras habilidades não especificadas vampiros americanos Velho Mundo Linha Blood: Sim Sim Sim Não Não Gift Bloodine ? American Bloodline: Sim Sim Sim Sim Sim Não Não Não"&amp;" Não Não? Hellsing Sim Sim Visão de longo alcance Sim sim sim sim sim sim? Vampiros poderosos podem passar pelas paredes, sombra e manipulação de sangue, podem convocar as almas daqueles que ele consumiu anteriormente. Anita Blake: Vampire Hunter Sim Sim "&amp;"Sim Sim Sim, mas feridas de Silver Heal lentamente. A água benta inibe a cura. A telepatia rara talentosa é mais forte após morder, pode encantar com os olhos talentosos de chamadas talentosas, drenar a energia de vampiros gerados, apodrecer sem danos (de"&amp;"pendentes da linhagem) do mundo da escuridão sim, talentoso talentoso talentoso, tal talentoso talentoso. O consumo de sangue de um vampiro três vezes causa a ligação do sangue, um estado imposto de amor intenso. Ser humano (BBC) Sim Sim Sentido aprimorad"&amp;"o de olfato Sim Sim Não Não Gifted Não Não? Ser humano (syfy) sim sim sim sim sim não não sim não não? A saga de Darren Shan prolongou a vida sim, sim, sim, a saliva tem poderes de cura, não, não entre vampiros completos de classificação mais alta e breve"&amp;"mente durante a transformação em um vampiro; Não é exclusivo dos vampiros apenas ilusão de telecinesia, não exala gás que causa inconsciência em humanos, corre em alta velocidade fora do espaço normal Moonlight sim sim sim sim não, não, pode ser desenvolv"&amp;"ido com a idade não não? O protetorado do parasol Sim Sim Sim Sim Sim Não Não Não Não Não? O presságio de sangue / legado de kain sim sim, senso de olfato aprimorado Sim Sim vampiros antigos foram capazes de voar, Kain pode levitar, e Raziel pode deslizar"&amp;" lobo, enxame de morcegos e névoa de corrupções talentadas de talentos, fez com que alguns clãs ganhassem habilidades que outros não receberam. Alguns poderes também são concedidos pelo Reaver ou consumindo o sangue ou a alma de alguns personagens. Assist"&amp;"a à noite sim sim sim? Sim, talentoso (gigante bastão) sim sim, sim, capacidade de atrair presas para o vampiro submundo sim sim sim sim sim sim apenas markus em sua criatura alada apenas híbridos, bebendo seu sangue, sem selene e sua filha pode se perceb"&amp;"er agarrar -se às superfícies. Chibi Vampire / Karin prolongou a vida útil, potencialmente além de 1000 anos, sim, sim, sim, sim, sem apagamento de memória e barreiras hipnóticas sem vampiros adultos e algumas crianças podem controlar morcegos. A mola de "&amp;"vampiros de psique não pode controlar os morcegos ou apagar as mentes, mas produzir sangue em vez de sugar sangue. Night World Lamias: Eles são imortais se quiserem sim sim sim sim, não, apenas maia - mulher sim não, não, maya pode executar mágica. Made V"&amp;"ampire: Sim Sim Sim Sim Sim Não Sim Sim Não Não? Dungeons &amp; Dragons Sim Sim Sim Não Sim Por morcego de mudança de forma, lobo, nuvem de fumaça Sim Não Não Eles podem andar sobre paredes e tetos, são resistentes ao frio e à eletricidade e a qualquer mágica"&amp;" associada a qualquer um e comandar sobre animais noturnos. Forever Knight Sim Sim Calor / Visão noturna Sim Sim Sim Não Capacidade Para persuadir através do mesmerismo Não Não necroscópio Sim Sim Sim Sim Não Sim Sim Sim Não Não Killglance, Necromancia e "&amp;"Precognição Lua Child Sim Sim? Sim Sim   ? Não não não não   ? Abraham Lincoln, Hunter de vampiros Sim Sim Sim Sim Sim Não N nebulosa - como formulário Não Não Não pode se tornar invisível os meninos perdidos sim sim sim sim sim sim sim não não não? Dark "&amp;"Shadows (1966) Sim sim? Ou isso ou teletransporte sim sim hipnose de morcego Sim, sem viagem no tempo, necromancia, possivelmente teletransporte House of Night Blue Vampyres: Sim mais forte que os seres humanos, mas não de maneira não natural, sim, mais r"&amp;"ápido que os humanos, mas não depende não natural A afinidade de vampiros depende da afinidade dos vampiros que a maioria é especialmente talentosa ou tem uma afinidade por uma coisa ou habilidade. Vampyres vermelhos: sim? Sim, mais rápido que os seres hu"&amp;"manos, mas não de maneira não natural, depende da afinidade não, não, sim, depende da afinidade depende da afinidade que mais é especialmente talentosa ou tem uma afinidade por uma coisa ou habilidade. Frostbiten (2006) Sim Sim Sim Sim Sim Não Sim Não Não"&amp;" Não Vampiros podem escalar paredes e telhados sem apoio e conversar com cães Dresden Files: White Court muito longo - vivido, mas pode não ser verdadeiramente desativado quando impulsionado? Somente quando aumentado apenas quando impulsionado sem induzir"&amp;" e colher emoções? ? Normalmente, sobre o poder humano, mas pode aumentar para o sobre -humano usando arquivos de energia emocional colhida Dresden: Tribunal Negra Imortal ou muito longo - Vida sim sim sim sim? ? Pode criar escravos e `` renfields '' (esc"&amp;"ravos insanos, violentos e permanentes)? ? Pode controlar ou alterar os animais e é capaz de aprender e usar arquivos mágicos Dresden: Red Court Immortal ou muito longo - vivido sim sim sim sim? Pode mudar de humano - olhando para o morcego natural - como"&amp;" a forma removendo a pele externa de narcótica, eufórica e viciante saliva? ? ? Os Sims no Sims 2, mas não os Sims 3, onde eles só tinham um ciclo de vida extremamente longo (pode morrer de causas externas) sim não sim não em formato de morcego, não Implí"&amp;"citos, eles podem se recuperar de qualquer coisa, desde que a cabeça não seja danificada sim sim sim sim sim, Remilia Scarlet: Manipulação do destino; Flandre Scarlet: Destruição de qualquer coisa; Magic Fright Night Sim Sim Sim Sim Sim Por forma - Mudand"&amp;"o em um morcego, lobo, névoa? ? ? Atenda aos tetos Marvel Comics Sim Sim Sim Sim Sim Sim Sim Sim Não Não Alguns vampiros podem controlar o clima e alguns animais; Os pseudo-vampiros não têm esses poderes. Nós somos The Night (2010) Sim Sim Sim Sim Sim Não"&amp;" Não Não Não Não Caminhada Em Paredes. Sangue: O último vampiro prolongado vida sim sim sim sim, exceto para Saya, exceto por Saya, não, não, não? Sangue+ apenas Queens e Chevaliers Sim Sim Sim Sim Somente Chevaliers Quando eles moldam a mudança de mudanç"&amp;"a apenas Queens e Chevaliers não não não? Metusela de sangue da Trindade: Vida estendida Sim Sim Sim Sim Somente um certo tipo chamado Fairies NÃO NÃO NÃO METUSELAHA METUSELHA ALIGADO PRÓXIMA Habilidades individuais variadas, como a formação de um lâminas"&amp;" que saem de seus braços, garras ou até cabelos pré -nsil; Alguns Methuselah exibiram a capacidade de controlar alguns poderes elementares, como fogo e gelo. Crusniks: Sim Sim Sim Sim Sim Sim Sim Não Não Não todos os Crusniks têm uma variedade de habilida"&amp;"des diferentes. Supernatural SIM SIM SIM SIM SIM NÃO NÃO APENAS O VAMPO ALPHA NÃO NÃO? DC Comics Sim Sim Sim Sim Sim Sim Sim Sim apenas Andrew Bennett Não Andrew Bennett pode fazer o santuário mágico sim sim? Sim Sim Não Não Não Não Não Não Eles têm a cap"&amp;"acidade de entender a identidade e a língua nativa de outra pessoa, provando o sangue. Rosario + Vampire Sim Sim Sim Sim Sim Alguns Charmed Sim Sim Sim Sim Sim Em forma de morcego Sim Sim Não Não Eles são imunes aos poderes das bruxas e podem pendurar ou "&amp;"se apegar a tetos. Wizards Of Waverly Place Sim Sim Soltar Sim Sim, transformando os braços em asas sim, não, não, não, controle do sono Gantz Não Sim Não Sim Não Não Não Não Não Não Não Não são capazes de gerar armas de seus corpos Breatsight (2007) Não,"&amp;" mas Hibernate para décadas para evitar superar o suprimento de alimentos que sim; devido ao aumento da produção de ATP sim; Devido ao tapeto lucidum e visão tetracromática sim; Devido a axônios mais espessos que aumentam a velocidade de transmissão do im"&amp;"pulso nervoso NÃO NÃO NÃO NÃO NÃO NÃO NÃO A estrutura cerebral alterada fornece um padrão onisavante - habilidades correspondentes e analíticas. Tempo de aventura sim sim sim sim sim sim taldotado talentoso talentoso talentoso talentoso talentoso pode dre"&amp;"nar a cor vermelha dos objetos em vez de se alimentar de sangue, tornar -se invisível e animar cadáveres vampiros cavaleiro apenas os sons puros, os outros níveis têm vida há muito Vampiros taldidosos talentosos podem ter uma variedade de habilidades dife"&amp;"rentes da série Castlevania Sim Sim Sim Sim Somente os Vampiros em Castlevania: Senhores da Sombra Sim Sim Aperdotado Sim Sim Alguns podem manipular eletricidade, magia negra, resumo de morcegos e dráculos podem ressuscitar a cada 100 anos. Divida Sim Sim"&amp;" Sim Sim Sim Não Não Sim Não Não Não Possui pessoas. Tsukihime verdadeiros ancestrais: Sim Sim Sim Sim Sim Não Não Sim? ? Alguns podem manipular a realidade e passar de um lugar para outro recriando seu corpo. Apóstolos mortos: imortalidade imperfeita Sim"&amp;" Sim Sim Sim Não Gifted; Absorvendo bestas místicas presenteadas, nenhum apóstolo morto tal talentoso pode convocar familiares e se tornar invisível; Magos que se tornaram apóstolos mortos por meios mágicos ainda podem executar magia depois; Quando ferido"&amp;", a maldição da restauração vira o tempo para trás a um ponto em que eles foram ilendos. Stargate Sim Sim noite e visão térmica Sim Sim Não Não Sim Não Não Wraiths pode levar ou dar vida - force Hollows Series vampiros vivos (sangue baixo e alto): não pux"&amp;"e uma aura. Mortos -vivos: sim sim sim sim sim sim não não sim não não? Irmãos de sangue negro sim sim sim sim sim sim sim taldotado linhas de sangue raras; Somente a linhagem do warlock (os únicos membros conhecidos desta linhagem são Cassandra Jill Warl"&amp;"ock e Cain Warlock Sim, talentoso; é improvável que os vampiros de linhagens quebradas de linhagens quebras de outros poderes baseados na linhagem ou indivíduo; a princesa sombria do norte pode manipular o clima. Stephen King tipo um: sim sim sim sim sim "&amp;"sim sim sim possivelmente; Barlow pode fazer com que uma casa inteira se agite no filme. Não pode controlar Bugs mágicos tipo dois: sim sim sim sim sim sim sim não não não? tipo três:????????? Não não? excitação sexual. Os rolos mais velhos sim, sim, exce"&amp;"to pelos vampiros da visão de tensão do sanguinare vampiris sim, exceto pelos vampiros do sanguinare vampiris sim, dotou apenas os vampiros de vampiros, a maioria dos clãs de vampiros, mas nem todos os senhores vampiros apenas os vampiros de arena variado"&amp;"s Poderes únicos baseados no clã, como invisibilidade, magos de silenciação, cadáveres reanimando, garras venenosas, amadurecendo gárgulas, magia e habilidades aprimoradas e inúmeras resistências, os vampiros de minha babá é um vampiro de vampiros: sim si"&amp;"m sim sim sim sim não gifted Não? INCLUSÃO: Sim Sim Sim Sim Sim Não Não Não Não Não? A aventura bizarra de JoJo sim sim sim sim, não, não, apenas inserindo um pouco de carne na cabeça da vítima, nenhum dio Brando pode disparar sangue de seus olhos em alta"&amp;" velocidade e congelar o sangue de uma pessoa tocando -o. A série da bibliotecária sim sim sim sim sim sim sim em poeira não Não Sonhos manipulação David Wellington Sim Sim Sim Sim Sim Não Não Não Não Não Não? Darkstalkers sim sim? Não Sim Sim Sim Não Não"&amp;" Sim Sim Ele pode manipular sua capa, criar auras protetoras e alterar temporariamente o gênero dos oponentes do sexo masculino, o historiador sim sim sim sim sim em forma de animal sim sim não não? Itsuka tenma no kuro usagi possivelmente, ou uma vida mu"&amp;"ito longa. Não envelhece e pode mudar sua idade aparente para o seu gosto sim? Sim Sim Sim Não Não Não Sim Sim Saitohimea tem muita série Magic Monogatari Sim, mas as ressurreições exigem energia e só podem ser feitas por vampiros que viveram o suficiente"&amp;" sim? Sim sim, aqueles que viveram o suficiente podem cultivar asas, sim, embora esteja implícito que nem todos os vampiros possuam essa habilidade? ? ? Pode drenar a energia dos outros e gerar matéria; pode mudar o comprimento do cabelo; pode fazer salto"&amp;"s muito longos; Se receber uma fonte de energia o suficiente o suficiente, Kiss - Shot pode convocar um portal temporário de tempo. Saga of the Noble Dead Sim Sim Sim Sim Sim Não Não Sim Não Não Não, Vampiros podem controlar os animais e todos os vampiros"&amp;" precisam obedecer às ordens daquele que os virou. Doctor Who Grandes Vampiros: Sim Sim Sim Sim Sim Não Não Não Não Não? Vampiros: vida prolongada sim sim sim sim alguns alguns sim alguns não? Dance no vampiro Bund Sim Sim Sim Sim Sim apenas se eles tiver"&amp;"em asas de sua verdadeira forma, alguns vampiros podem assumir sua verdadeira forma, não nenhum sem talento vampiros pode ter uma variedade de habilidades diferentes. Bloodrayne Sim Sim Sim Sim Sim Gifted; em Bat / Raven se formaram; Zerenski poderia se t"&amp;"ransformar em um bando de morcegos e Rayne ganhou a capacidade de se tornar um corvo. Talentoso; O Double Ghostly Double de Rayne pode entrar e controlar outros, nenhum vampiros e dhampir, como Kagan ou Rayne, podem ter uma variedade de habilidades extras"&amp;" que outros podem não ter. Vamps Sim Sim Sim Sim Sim Não Não Sim Não Não Não Vampiros Superdotados podem ter uma variedade de habilidades diferentes A tensão Sim Sim Sim Sim Sim Não Sim Não Sim Não Não Eles podem transferir sua consciência de um host huma"&amp;"no para outro. Somente sangue Sim Sim Sim Sim Sim Não Não Sim Não Não Os anciãos têm habilidades especiais diferentes. ANNO DRACULA SERIA SIM SIM SIM SIM SIM SIM SIM ALTADO LINHAS DE BLANÇAS DO GIFTIDO LINHAS DE LINHAS DO BLIELAS DO GIFLINAS DO BLANÇAS DO"&amp;" GIFLINAS DO BLIEL LINHAS DO GIFTED LINHAS PODERS VARIENTES VARA -SE DE -SENDAS AS CAPABILIDADES FÍSICAS Com base em sua linhagem. Hotel Transylvania Sim Sim Sim Sim Sim Principalmente no Bat Form Bat; A forma padrão pode cultivar garras poderosas hipnose"&amp;"; pode controlar bestas ou homens, reescrever memórias; Requer contato visual Sim Não pode andar sobre paredes e tetos, desafiando a gravidade; capaz de induzir paralisia duradoura em bestas ou homens. Vamireologia SIM SIM SIM SIM SIM SIM SIM NA FORMULAÇÃ"&amp;"O ANAL SIM SIM NÃO NÃO? Lua de sangue sim sim sim sim sim não não sim Não Não Sim apenas de algumas formas apenas quando noite - caminhando; pode se tornar qualquer coisa ou qualquer pessoa que eles tenham o DNA de manipulação de acaso, telepatia, posse d"&amp;"e corpos esvaziados pela morte de um caldo noturno, sim, sim, todos os seus poderes derivam da manipulação extrema do acaso. Shadowrun (vampiros e Nosferatu) sim; Eles não envelhecem e podem viver por séculos ou mesmo milênios sim, embora não sejam fisica"&amp;"mente fortes para um grau sobrenatural sim (também possui visão termográfica) sim, embora não sejam rápidas em um grau sobrenatural sim dotado sim; Todos os vampiros são capazes de se transformar em uma forma enevoada e os usuários de vampiros mágicos pod"&amp;"em usar magia para assumir formas animais. Somente a cepa de Nosferatu possui isso como uma habilidade natural e, mesmo assim, é limitada; Eles também podem invocar o medo extremo nos outros. Imunidade talentosa a venenos, toxinas e doenças e elas são cap"&amp;"azes de usar magia e a transformação pode desbloquear o potencial mágico latente. AdventureQuest? Sim   ? Não não não não não, não, não, não vampiro no Brooklyn sim sim sim sim sim sim sim lobo, morcego, neblina e pode mudar em outros humanos sim sim sim "&amp;"sim pode lançar feitiços de ilusão, pode se tornar invisível ou teleportar as crônicas do caçador de sombras (o mortal Instrumentos) Sim Sim Sim Sim Sim Sim Sim Não Não Não Controlar Certos mortais Penny Dreadful Sim Sim? Sim Sim Não Não Apenas Mestre Vam"&amp;"piros Não Não? Os romances de Kate Daniels imortal, ou pelo menos capazes de alcançar grandes idades sim? Sim   ? Não, não, não, mas eles podem transmitir a comunicação do piloto Necromancer. Não, não há alpinistas extraordinariamente bons; Não-maquinhoso"&amp;", pilotado telepaticamente por um necromante (monstros irracionais, sedutionados, senão) Den das sombras sim sim? Sim, sim como um animal alado, alguns? ? Eles podem se teletransportar e alguns têm habilidades especiais. Do anoitecer até a série Dawn, sim"&amp;" sim sim sim sim, apenas aqueles que têm asas sim sim sim não, eles são capazes de andar sobre paredes e tetos. Monstro alto sim? ? ? ? Em forma de morcego em um morcego? ? ? Pode controlar os morcegos infame: festival de sangue sim sim sim sim sim sim en"&amp;"xame de morcegos Sim apenas Bloody Mary Não Todos os vampiros de Bloody Mary devem obedecê -la; Os primogênitos podem se disfarçar de seres humanos. Romances de Kitty Norville Sim sim? Sim Sim   ? ? Pode controlar hipnoticamente até certo ponto, se você e"&amp;"ncontrar os olhos deles? ? Os vampiros mais velhos são mais poderosos. American Horror Story: Hotel Sim Sim Sim Sim Sim Não Não Implício Não Não? Tsukuyomi: fase da lua sim sim sim sim sim tal talent talentoso sim tal talent talentoso, eles podem se comun"&amp;"icar telepaticamente e controlar aqueles que eles morderam ou giraram; Cada vampiro possui sua própria habilidade especial desde o início de seu nascimento / criação; Pode imitar as habilidades especiais de outros vampiros, embora não perfeitamente, sugan"&amp;"do seu sangue e / ou comendo sua carne. Vampire Cheerleaders Sim Sim Sim Sim Sim Não Não `` glamour '' Humanos, apagarem memórias e dobrar sua vontade Não, não, não pode encantar humanos por meio de meios inexplicáveis ​​innistrad sim; Eles são duas vezes"&amp;" mais fortes do que humanos e podem melhorá -lo ainda mais com talentoso talentoso; Eles podem melhorar sua velocidade com talentosos mágicos; A magia do sangomancy pode transferir sangue consumido para a saúde dotada; Os anciãos de Falkenrath são mais pr"&amp;"opensos a dominar esse poder talentoso; Os anciãos Voldaren podem mais facilmente dominar a magia que possibilita assumir várias formas animais e os anciãos de Stromkirk podem dissolver seus corpos em uma nuvem de névoa. Talentoso; Os anciãos de Markov po"&amp;"ssuem uma afinidade especial pela magia psíquica. Talentoso; Os anciãos de Markov possuem uma afinidade especial pela magia psíquica. Talentoso; Os anciãos de Markov possuem uma afinidade especial pela magia psíquica. Os vampiros são usuários mágicos e sã"&amp;"o capazes de desenvolver novos poderes através do estudo Magickal e podem aprender uma forma vampírica de gamer (quase-ilusão magia) que lhes permite alterar o que os humanos próximos pensam que estão percebendo quando olham para o vampiro e podem Emanar "&amp;"uma aura de dois pés de largura de silêncio à vontade. Lad de sangue possivelmente imortal ou apenas vivido por muito tempo sim sim sim sim tal talent sem talento? ? Os vampiros são naturalmente capazes de usar shiki mágico sim não, mas são mais fortes do"&amp;" que a maioria dos humanos sim sim sim sim não humanos . Warhammer sim; Como os vampiros não possuem alma verdadeira, eles são capazes de ressuscitar facilmente em comparação com os seres humanos sim, embora esse poder seja melhor representado entre os St"&amp;"rigoi e os dragões do sangue aumentassem o senso de olfato dotado; Os lahmianos são bem - conhecidos por seus ataques rápidos e brutais. Talentoso; Os vampiros são capazes de utilizar seu sangue ou magia escura para tricotar suas feridas muito mais rapida"&amp;"mente do que um mortal. Talentoso; Pode ser alcançado através de magia ou por forma - vampiros de talentos que podem ser talentosos podem assumir a forma de um morcego grande, um enxame de morcegos, corvos, moscas, besouros ou baratas, um lobo ou uma nuve"&amp;"m sobrenatural de névoa, embora a maioria desses poderes são mais comuns / representados em certas linhagens. Talentoso; Melhor representado entre os lahmianos, embora todos sejam capazes de transfixar seus vampiros talentosos de presas, são uma raça dive"&amp;"rsificada de seres cujos poderes variam muito baseados na linhagem e em sua própria individualidade. Serafão do fim sim sim sim sim sim sim não não? ? ? As armas feitas de vampiros podem `` beber '' sangue de vampiro e se tornar mais forte. Entrevistas co"&amp;"m Monster Girls? Não, embora isso possa ser apenas porque Hikari ainda é jovem sim, não, embora isso possa ser apenas porque Hikari ainda é jovem? Não, embora isso possa ser apenas porque Hikari ainda é jovem não, embora isso possa ser apenas porque Hikar"&amp;"i ainda é jovem não, embora isso possa ser apenas porque Hikari ainda é jovem não, embora isso possa ser apenas porque Hikari ainda é jovem não, não, Embora isso possa ser apenas porque Hikari ainda é jovem? The Witcher Sim Sim Sim Sim Sim Alguns, incluin"&amp;"do todos os vampiros mais altos, incluindo todos os vampiros mais altos, incluindo todos os vampiros mais altos, sem invisibilidade, garras retráteis, vampiros mais altos podem controlar vampiros mais fracos. As aventuras do Dr. McNinja? Sim Sim Sim   ? S"&amp;"im fumaça, morcego, cachorro? ? ? ?")</f>
        <v>   Definir Sensos de força aprimorados de força aprimorada Imagerada Velocidade aprimorada de cura não natural que mude de forma / absorção poderes psíquicos psicokinesis pyrokinesis Outros folclore europeus implícitos sim sim sim sim sim sim algum poltergeist - como atividade sem vários outros poderes baseados em região, como controle sobre animais noturnos ou a habilidade Para espalhar pragas, folclore norte -americano Sim sim sim sim sim sim alguns animais noturnos e névoa sim não não? Déficos sim, não, os sentidos aprimorados do cheiro não sim, não, não, não, não, não se eles se absteram de sangue por muito tempo, eles se transformam em subsídios. Varney, o vampiro, sim, sim? ? Regenera ao luar? ? Sim   ? Não   ? Carmilla (1871) implicava que sim, a aderência pode paralisar os membros temporariamente? Sim, os poderes são aprimorados à luz da lua? Gato monstruoso? ? ? Torna -se incorpóreo à vontade (desaparece, passa por barreiras / portas sólidas) Drácula de Bram Stoker Sim Sim Sim Sim Sim Limitada; Drácula ainda possuía uma cicatriz onde Harker o atingiu com uma pá meses atrás, sim, lobo, morcego (também taco gigante), poeira, neblina - possivelmente cachorros também. Também pode ser personalizado Jonathan Harker. Pode se passar por um cocheiro e um porteiro (embora não se saiba se ele só usou a escuridão para se disfarçar ou um pouco de magia, além dessa escuridão) sim, os caçadores rastreiam Drácula através de seu vínculo telepático com Mina. Improvável, como ele teria carregado suas caixas por conta própria (embora ele ainda possa ter sido fraco demais para usar esse poder mágico hipotético) plausível, já que ele começou um incêndio enorme e os personagens que não estavam presentes quando ele o fizeram simplesmente tinham adivinhar que ele pode ter usado uma correspondência, mas eles não podem provar nada do controle de animais noturnos, lobos e ratos mencionados especificamente. Pelo menos um vampiro (se não todos) é capaz de encolher para caber sob uma porta. Matriz hipotética de outros poderes (devido à antiga bolsa mágica - sem documentos e muito brevemente mencionada pelo Dr. Van Helsing); Lizard - como as habilidades de escalada nosferatu sim? Sim Sim   ? Lobo   ? Sim Não Ratos e Praga Siga o Vampiro. Van Helsing Sim Sim Sim Sim, mas parece teletransportar -se sim na criatura alada formam morcego / demônio alado - como criatura? Nenhum vampiros pode andar sobre paredes e tetos. Crônicas de vampiros de Anne Rice Sim Sim Sim Sim Sim Vampiros Extremamente antigos Não Vampiros muito antigos vampiros muito antigos que a maioria é capaz de andar sobre paredes e tetos. Os filhos dos milênios podem fazer com que os vasos sanguíneos se rompem. Todos os vampiros têm memórias aprimoradas. Saga Twilight Sim Sim Sim Sim Sim Não Não Gifted Não Vampiros talentosos talentosos podem ter uma variedade de habilidades diferentes. Buffy Sim Sim Sim Sim Sim Não Não Drácula Gifted Não Não? Lâmina sim sim sim; Os vampiros também podem ver no ultravioleta sim sim; Além disso, a fusão de Frost / La Magra regenera os membros perdidos instantaneamente (ver `` Outros '') não apenas Drácula e La Magra, este último pode derramar sua pele, transformando -se em uma bola de fogo para perseguir metodicamente sua presa (ganhos da tribo Ligaroo ). Somente La Magra, que pode controlar mentes, matéria e os elementos (ganhos da tribo Faustinas). Não, nenhum diácono Frost, quando se fundido com La Magra, era impermeável à prata, é capaz de caminhar devido ao sangue de Blade e pode instantaneamente transformar qualquer humano em seu caminho em vampiros. Ultravioleta sim sim sensor de olfato aprimorado Sim Sim Não Não Não Não Não? 30 dias de noite (2002) Sim Sim Sim Sim Sim Não Sim Sim Não Não? Discworld Sim Sim Sim Sim pode ser ressuscitado de Ashes como um morcego ou como um `` humano '' sim sim não não supere fraquezas inerentes com condicionamento psicológico Batman &amp; drácula sim sim sim sim sim sim sim sim não não? A Academia de Vampiros apenas o Strigoi sim, sim, apenas os usuários do Strigoi Spirit podem curar. Não, sim, alguns, não todos. Não há vampiros que são usuários de incêndio. Todos os Moroi têm um poder extra: água, terra, ar e às vezes espírito. True Blood Sim Sim Sim Sim Sim Apertado apenas se eles tivessem o poder antes de se virarem. Pode `` glamour '', apagar memórias e dobrar sua vontade não presenteou o padrão: memória eidética, imitação de voz, habilidades de fabricante (chamando, comandando, link empático e liberação); Poderes únicos: habilidades vampíricas avançadas, chamadas avançadas de progênie, projeção astral, habilidades sanguíneas, glamour avançado, hemocinesia, intangibilidade, invisibilidade, precognição, auto -controle, detecção de espécies, telecinesia, teletransporte e imunidade para apostas, prata e convites ; O sangue de vampiros pode curar humanos e tem inúmeras qualidades - como qualidades. O pequeno vampiro sim sim sim sim sim sim sim sim sim não pode escalar qualquer superfície e pode pendurar no teto para dormir os romances dos diários de vampiros: sim sim sim sim sim sim sim sim sim sim sim sim sim sim sim eles podem controlar os elementos, animais e o tempo . Série de televisão: sim sim sim sim sim sim apenas no primeiro episódio; Retconned logo depois que nenhum vampiros pode obrigar humanos. Os originais podem obrigar vampiros, híbridos de vampiros / lobisomem e humanos. Nenhum manipulação de sonho; O sangue vampiro cura os seres humanos; `` desligar a humanidade '' Conde Chocula Sim Sim Não Sim? Sim Bat Não capaz de levitar marshmallows Electrokinesis se transforma em chocolate ao leite, 15 vitaminas e minerais Count Duckula? Não não, não, não, não, sim? Não, sem teletransporte, caçador de vampiros d sim sim sim sim sim sim presenteado que alguns podem se transformar em névoa. Sim, presenteou vários outros poderes que variam muito entre membros individuais da nobreza. Rua Sésamo Sim Não? Não   ? Sem hipnose, agora descontinuado? Pode gerar trovões contando habilidades de contagem sobrenatural, que deixe o certo em sim sim sim sim sim sim sim sim sim sim sim limiting enviando memórias através do beijo não Não são capazes de andar nas paredes jovens drácula sim sim sim sim sim sim sim sim sim elas têm outras habilidades, como Manipulação do tempo, entre outros. Pregador sim sim sim sim sim não não limitado Sim Não há alguma capacidade de andar sobre paredes e tetos, leia brevemente as mentes daqueles de quem eles bebem, outras habilidades não especificadas vampiros americanos Velho Mundo Linha Blood: Sim Sim Sim Não Não Gift Bloodine ? American Bloodline: Sim Sim Sim Sim Sim Não Não Não Não Não? Hellsing Sim Sim Visão de longo alcance Sim sim sim sim sim sim? Vampiros poderosos podem passar pelas paredes, sombra e manipulação de sangue, podem convocar as almas daqueles que ele consumiu anteriormente. Anita Blake: Vampire Hunter Sim Sim Sim Sim Sim, mas feridas de Silver Heal lentamente. A água benta inibe a cura. A telepatia rara talentosa é mais forte após morder, pode encantar com os olhos talentosos de chamadas talentosas, drenar a energia de vampiros gerados, apodrecer sem danos (dependentes da linhagem) do mundo da escuridão sim, talentoso talentoso talentoso, tal talentoso talentoso. O consumo de sangue de um vampiro três vezes causa a ligação do sangue, um estado imposto de amor intenso. Ser humano (BBC) Sim Sim Sentido aprimorado de olfato Sim Sim Não Não Gifted Não Não? Ser humano (syfy) sim sim sim sim sim não não sim não não? A saga de Darren Shan prolongou a vida sim, sim, sim, a saliva tem poderes de cura, não, não entre vampiros completos de classificação mais alta e brevemente durante a transformação em um vampiro; Não é exclusivo dos vampiros apenas ilusão de telecinesia, não exala gás que causa inconsciência em humanos, corre em alta velocidade fora do espaço normal Moonlight sim sim sim sim não, não, pode ser desenvolvido com a idade não não? O protetorado do parasol Sim Sim Sim Sim Sim Não Não Não Não Não? O presságio de sangue / legado de kain sim sim, senso de olfato aprimorado Sim Sim vampiros antigos foram capazes de voar, Kain pode levitar, e Raziel pode deslizar lobo, enxame de morcegos e névoa de corrupções talentadas de talentos, fez com que alguns clãs ganhassem habilidades que outros não receberam. Alguns poderes também são concedidos pelo Reaver ou consumindo o sangue ou a alma de alguns personagens. Assista à noite sim sim sim? Sim, talentoso (gigante bastão) sim sim, sim, capacidade de atrair presas para o vampiro submundo sim sim sim sim sim sim apenas markus em sua criatura alada apenas híbridos, bebendo seu sangue, sem selene e sua filha pode se perceber agarrar -se às superfícies. Chibi Vampire / Karin prolongou a vida útil, potencialmente além de 1000 anos, sim, sim, sim, sim, sem apagamento de memória e barreiras hipnóticas sem vampiros adultos e algumas crianças podem controlar morcegos. A mola de vampiros de psique não pode controlar os morcegos ou apagar as mentes, mas produzir sangue em vez de sugar sangue. Night World Lamias: Eles são imortais se quiserem sim sim sim sim, não, apenas maia - mulher sim não, não, maya pode executar mágica. Made Vampire: Sim Sim Sim Sim Sim Não Sim Sim Não Não? Dungeons &amp; Dragons Sim Sim Sim Não Sim Por morcego de mudança de forma, lobo, nuvem de fumaça Sim Não Não Eles podem andar sobre paredes e tetos, são resistentes ao frio e à eletricidade e a qualquer mágica associada a qualquer um e comandar sobre animais noturnos. Forever Knight Sim Sim Calor / Visão noturna Sim Sim Sim Não Capacidade Para persuadir através do mesmerismo Não Não necroscópio Sim Sim Sim Sim Não Sim Sim Sim Não Não Killglance, Necromancia e Precognição Lua Child Sim Sim? Sim Sim   ? Não não não não   ? Abraham Lincoln, Hunter de vampiros Sim Sim Sim Sim Sim Não N nebulosa - como formulário Não Não Não pode se tornar invisível os meninos perdidos sim sim sim sim sim sim sim não não não? Dark Shadows (1966) Sim sim? Ou isso ou teletransporte sim sim hipnose de morcego Sim, sem viagem no tempo, necromancia, possivelmente teletransporte House of Night Blue Vampyres: Sim mais forte que os seres humanos, mas não de maneira não natural, sim, mais rápido que os humanos, mas não depende não natural A afinidade de vampiros depende da afinidade dos vampiros que a maioria é especialmente talentosa ou tem uma afinidade por uma coisa ou habilidade. Vampyres vermelhos: sim? Sim, mais rápido que os seres humanos, mas não de maneira não natural, depende da afinidade não, não, sim, depende da afinidade depende da afinidade que mais é especialmente talentosa ou tem uma afinidade por uma coisa ou habilidade. Frostbiten (2006) Sim Sim Sim Sim Sim Não Sim Não Não Não Vampiros podem escalar paredes e telhados sem apoio e conversar com cães Dresden Files: White Court muito longo - vivido, mas pode não ser verdadeiramente desativado quando impulsionado? Somente quando aumentado apenas quando impulsionado sem induzir e colher emoções? ? Normalmente, sobre o poder humano, mas pode aumentar para o sobre -humano usando arquivos de energia emocional colhida Dresden: Tribunal Negra Imortal ou muito longo - Vida sim sim sim sim? ? Pode criar escravos e `` renfields '' (escravos insanos, violentos e permanentes)? ? Pode controlar ou alterar os animais e é capaz de aprender e usar arquivos mágicos Dresden: Red Court Immortal ou muito longo - vivido sim sim sim sim? Pode mudar de humano - olhando para o morcego natural - como a forma removendo a pele externa de narcótica, eufórica e viciante saliva? ? ? Os Sims no Sims 2, mas não os Sims 3, onde eles só tinham um ciclo de vida extremamente longo (pode morrer de causas externas) sim não sim não em formato de morcego, não Implícitos, eles podem se recuperar de qualquer coisa, desde que a cabeça não seja danificada sim sim sim sim sim, Remilia Scarlet: Manipulação do destino; Flandre Scarlet: Destruição de qualquer coisa; Magic Fright Night Sim Sim Sim Sim Sim Por forma - Mudando em um morcego, lobo, névoa? ? ? Atenda aos tetos Marvel Comics Sim Sim Sim Sim Sim Sim Sim Sim Não Não Alguns vampiros podem controlar o clima e alguns animais; Os pseudo-vampiros não têm esses poderes. Nós somos The Night (2010) Sim Sim Sim Sim Sim Não Não Não Não Não Caminhada Em Paredes. Sangue: O último vampiro prolongado vida sim sim sim sim, exceto para Saya, exceto por Saya, não, não, não? Sangue+ apenas Queens e Chevaliers Sim Sim Sim Sim Somente Chevaliers Quando eles moldam a mudança de mudança apenas Queens e Chevaliers não não não? Metusela de sangue da Trindade: Vida estendida Sim Sim Sim Sim Somente um certo tipo chamado Fairies NÃO NÃO NÃO METUSELAHA METUSELHA ALIGADO PRÓXIMA Habilidades individuais variadas, como a formação de um lâminas que saem de seus braços, garras ou até cabelos pré -nsil; Alguns Methuselah exibiram a capacidade de controlar alguns poderes elementares, como fogo e gelo. Crusniks: Sim Sim Sim Sim Sim Sim Sim Não Não Não todos os Crusniks têm uma variedade de habilidades diferentes. Supernatural SIM SIM SIM SIM SIM NÃO NÃO APENAS O VAMPO ALPHA NÃO NÃO? DC Comics Sim Sim Sim Sim Sim Sim Sim Sim apenas Andrew Bennett Não Andrew Bennett pode fazer o santuário mágico sim sim? Sim Sim Não Não Não Não Não Não Eles têm a capacidade de entender a identidade e a língua nativa de outra pessoa, provando o sangue. Rosario + Vampire Sim Sim Sim Sim Sim Alguns Charmed Sim Sim Sim Sim Sim Em forma de morcego Sim Sim Não Não Eles são imunes aos poderes das bruxas e podem pendurar ou se apegar a tetos. Wizards Of Waverly Place Sim Sim Soltar Sim Sim, transformando os braços em asas sim, não, não, não, controle do sono Gantz Não Sim Não Sim Não Não Não Não Não Não Não Não são capazes de gerar armas de seus corpos Breatsight (2007) Não, mas Hibernate para décadas para evitar superar o suprimento de alimentos que sim; devido ao aumento da produção de ATP sim; Devido ao tapeto lucidum e visão tetracromática sim; Devido a axônios mais espessos que aumentam a velocidade de transmissão do impulso nervoso NÃO NÃO NÃO NÃO NÃO NÃO NÃO A estrutura cerebral alterada fornece um padrão onisavante - habilidades correspondentes e analíticas. Tempo de aventura sim sim sim sim sim sim taldotado talentoso talentoso talentoso talentoso talentoso pode drenar a cor vermelha dos objetos em vez de se alimentar de sangue, tornar -se invisível e animar cadáveres vampiros cavaleiro apenas os sons puros, os outros níveis têm vida há muito Vampiros taldidosos talentosos podem ter uma variedade de habilidades diferentes da série Castlevania Sim Sim Sim Sim Somente os Vampiros em Castlevania: Senhores da Sombra Sim Sim Aperdotado Sim Sim Alguns podem manipular eletricidade, magia negra, resumo de morcegos e dráculos podem ressuscitar a cada 100 anos. Divida Sim Sim Sim Sim Sim Não Não Sim Não Não Não Possui pessoas. Tsukihime verdadeiros ancestrais: Sim Sim Sim Sim Sim Não Não Sim? ? Alguns podem manipular a realidade e passar de um lugar para outro recriando seu corpo. Apóstolos mortos: imortalidade imperfeita Sim Sim Sim Sim Não Gifted; Absorvendo bestas místicas presenteadas, nenhum apóstolo morto tal talentoso pode convocar familiares e se tornar invisível; Magos que se tornaram apóstolos mortos por meios mágicos ainda podem executar magia depois; Quando ferido, a maldição da restauração vira o tempo para trás a um ponto em que eles foram ilendos. Stargate Sim Sim noite e visão térmica Sim Sim Não Não Sim Não Não Wraiths pode levar ou dar vida - force Hollows Series vampiros vivos (sangue baixo e alto): não puxe uma aura. Mortos -vivos: sim sim sim sim sim sim não não sim não não? Irmãos de sangue negro sim sim sim sim sim sim sim taldotado linhas de sangue raras; Somente a linhagem do warlock (os únicos membros conhecidos desta linhagem são Cassandra Jill Warlock e Cain Warlock Sim, talentoso; é improvável que os vampiros de linhagens quebradas de linhagens quebras de outros poderes baseados na linhagem ou indivíduo; a princesa sombria do norte pode manipular o clima. Stephen King tipo um: sim sim sim sim sim sim sim sim possivelmente; Barlow pode fazer com que uma casa inteira se agite no filme. Não pode controlar Bugs mágicos tipo dois: sim sim sim sim sim sim sim não não não? tipo três:????????? Não não? excitação sexual. Os rolos mais velhos sim, sim, exceto pelos vampiros da visão de tensão do sanguinare vampiris sim, exceto pelos vampiros do sanguinare vampiris sim, dotou apenas os vampiros de vampiros, a maioria dos clãs de vampiros, mas nem todos os senhores vampiros apenas os vampiros de arena variados Poderes únicos baseados no clã, como invisibilidade, magos de silenciação, cadáveres reanimando, garras venenosas, amadurecendo gárgulas, magia e habilidades aprimoradas e inúmeras resistências, os vampiros de minha babá é um vampiro de vampiros: sim sim sim sim sim sim não gifted Não? INCLUSÃO: Sim Sim Sim Sim Sim Não Não Não Não Não? A aventura bizarra de JoJo sim sim sim sim, não, não, apenas inserindo um pouco de carne na cabeça da vítima, nenhum dio Brando pode disparar sangue de seus olhos em alta velocidade e congelar o sangue de uma pessoa tocando -o. A série da bibliotecária sim sim sim sim sim sim sim em poeira não Não Sonhos manipulação David Wellington Sim Sim Sim Sim Sim Não Não Não Não Não Não? Darkstalkers sim sim? Não Sim Sim Sim Não Não Sim Sim Ele pode manipular sua capa, criar auras protetoras e alterar temporariamente o gênero dos oponentes do sexo masculino, o historiador sim sim sim sim sim em forma de animal sim sim não não? Itsuka tenma no kuro usagi possivelmente, ou uma vida muito longa. Não envelhece e pode mudar sua idade aparente para o seu gosto sim? Sim Sim Sim Não Não Não Sim Sim Saitohimea tem muita série Magic Monogatari Sim, mas as ressurreições exigem energia e só podem ser feitas por vampiros que viveram o suficiente sim? Sim sim, aqueles que viveram o suficiente podem cultivar asas, sim, embora esteja implícito que nem todos os vampiros possuam essa habilidade? ? ? Pode drenar a energia dos outros e gerar matéria; pode mudar o comprimento do cabelo; pode fazer saltos muito longos; Se receber uma fonte de energia o suficiente o suficiente, Kiss - Shot pode convocar um portal temporário de tempo. Saga of the Noble Dead Sim Sim Sim Sim Sim Não Não Sim Não Não Não, Vampiros podem controlar os animais e todos os vampiros precisam obedecer às ordens daquele que os virou. Doctor Who Grandes Vampiros: Sim Sim Sim Sim Sim Não Não Não Não Não? Vampiros: vida prolongada sim sim sim sim alguns alguns sim alguns não? Dance no vampiro Bund Sim Sim Sim Sim Sim apenas se eles tiverem asas de sua verdadeira forma, alguns vampiros podem assumir sua verdadeira forma, não nenhum sem talento vampiros pode ter uma variedade de habilidades diferentes. Bloodrayne Sim Sim Sim Sim Sim Gifted; em Bat / Raven se formaram; Zerenski poderia se transformar em um bando de morcegos e Rayne ganhou a capacidade de se tornar um corvo. Talentoso; O Double Ghostly Double de Rayne pode entrar e controlar outros, nenhum vampiros e dhampir, como Kagan ou Rayne, podem ter uma variedade de habilidades extras que outros podem não ter. Vamps Sim Sim Sim Sim Sim Não Não Sim Não Não Não Vampiros Superdotados podem ter uma variedade de habilidades diferentes A tensão Sim Sim Sim Sim Sim Não Sim Não Sim Não Não Eles podem transferir sua consciência de um host humano para outro. Somente sangue Sim Sim Sim Sim Sim Não Não Sim Não Não Os anciãos têm habilidades especiais diferentes. ANNO DRACULA SERIA SIM SIM SIM SIM SIM SIM SIM ALTADO LINHAS DE BLANÇAS DO GIFTIDO LINHAS DE LINHAS DO BLIELAS DO GIFLINAS DO BLANÇAS DO GIFLINAS DO BLIEL LINHAS DO GIFTED LINHAS PODERS VARIENTES VARA -SE DE -SENDAS AS CAPABILIDADES FÍSICAS Com base em sua linhagem. Hotel Transylvania Sim Sim Sim Sim Sim Principalmente no Bat Form Bat; A forma padrão pode cultivar garras poderosas hipnose; pode controlar bestas ou homens, reescrever memórias; Requer contato visual Sim Não pode andar sobre paredes e tetos, desafiando a gravidade; capaz de induzir paralisia duradoura em bestas ou homens. Vamireologia SIM SIM SIM SIM SIM SIM SIM NA FORMULAÇÃO ANAL SIM SIM NÃO NÃO? Lua de sangue sim sim sim sim sim não não sim Não Não Sim apenas de algumas formas apenas quando noite - caminhando; pode se tornar qualquer coisa ou qualquer pessoa que eles tenham o DNA de manipulação de acaso, telepatia, posse de corpos esvaziados pela morte de um caldo noturno, sim, sim, todos os seus poderes derivam da manipulação extrema do acaso. Shadowrun (vampiros e Nosferatu) sim; Eles não envelhecem e podem viver por séculos ou mesmo milênios sim, embora não sejam fisicamente fortes para um grau sobrenatural sim (também possui visão termográfica) sim, embora não sejam rápidas em um grau sobrenatural sim dotado sim; Todos os vampiros são capazes de se transformar em uma forma enevoada e os usuários de vampiros mágicos podem usar magia para assumir formas animais. Somente a cepa de Nosferatu possui isso como uma habilidade natural e, mesmo assim, é limitada; Eles também podem invocar o medo extremo nos outros. Imunidade talentosa a venenos, toxinas e doenças e elas são capazes de usar magia e a transformação pode desbloquear o potencial mágico latente. AdventureQuest? Sim   ? Não não não não não, não, não, não vampiro no Brooklyn sim sim sim sim sim sim sim lobo, morcego, neblina e pode mudar em outros humanos sim sim sim sim pode lançar feitiços de ilusão, pode se tornar invisível ou teleportar as crônicas do caçador de sombras (o mortal Instrumentos) Sim Sim Sim Sim Sim Sim Sim Não Não Não Controlar Certos mortais Penny Dreadful Sim Sim? Sim Sim Não Não Apenas Mestre Vampiros Não Não? Os romances de Kate Daniels imortal, ou pelo menos capazes de alcançar grandes idades sim? Sim   ? Não, não, não, mas eles podem transmitir a comunicação do piloto Necromancer. Não, não há alpinistas extraordinariamente bons; Não-maquinhoso, pilotado telepaticamente por um necromante (monstros irracionais, sedutionados, senão) Den das sombras sim sim? Sim, sim como um animal alado, alguns? ? Eles podem se teletransportar e alguns têm habilidades especiais. Do anoitecer até a série Dawn, sim sim sim sim sim, apenas aqueles que têm asas sim sim sim não, eles são capazes de andar sobre paredes e tetos. Monstro alto sim? ? ? ? Em forma de morcego em um morcego? ? ? Pode controlar os morcegos infame: festival de sangue sim sim sim sim sim sim enxame de morcegos Sim apenas Bloody Mary Não Todos os vampiros de Bloody Mary devem obedecê -la; Os primogênitos podem se disfarçar de seres humanos. Romances de Kitty Norville Sim sim? Sim Sim   ? ? Pode controlar hipnoticamente até certo ponto, se você encontrar os olhos deles? ? Os vampiros mais velhos são mais poderosos. American Horror Story: Hotel Sim Sim Sim Sim Sim Não Não Implício Não Não? Tsukuyomi: fase da lua sim sim sim sim sim tal talent talentoso sim tal talent talentoso, eles podem se comunicar telepaticamente e controlar aqueles que eles morderam ou giraram; Cada vampiro possui sua própria habilidade especial desde o início de seu nascimento / criação; Pode imitar as habilidades especiais de outros vampiros, embora não perfeitamente, sugando seu sangue e / ou comendo sua carne. Vampire Cheerleaders Sim Sim Sim Sim Sim Não Não `` glamour '' Humanos, apagarem memórias e dobrar sua vontade Não, não, não pode encantar humanos por meio de meios inexplicáveis ​​innistrad sim; Eles são duas vezes mais fortes do que humanos e podem melhorá -lo ainda mais com talentoso talentoso; Eles podem melhorar sua velocidade com talentosos mágicos; A magia do sangomancy pode transferir sangue consumido para a saúde dotada; Os anciãos de Falkenrath são mais propensos a dominar esse poder talentoso; Os anciãos Voldaren podem mais facilmente dominar a magia que possibilita assumir várias formas animais e os anciãos de Stromkirk podem dissolver seus corpos em uma nuvem de névoa. Talentoso; Os anciãos de Markov possuem uma afinidade especial pela magia psíquica. Talentoso; Os anciãos de Markov possuem uma afinidade especial pela magia psíquica. Talentoso; Os anciãos de Markov possuem uma afinidade especial pela magia psíquica. Os vampiros são usuários mágicos e são capazes de desenvolver novos poderes através do estudo Magickal e podem aprender uma forma vampírica de gamer (quase-ilusão magia) que lhes permite alterar o que os humanos próximos pensam que estão percebendo quando olham para o vampiro e podem Emanar uma aura de dois pés de largura de silêncio à vontade. Lad de sangue possivelmente imortal ou apenas vivido por muito tempo sim sim sim sim tal talent sem talento? ? Os vampiros são naturalmente capazes de usar shiki mágico sim não, mas são mais fortes do que a maioria dos humanos sim sim sim sim não humanos . Warhammer sim; Como os vampiros não possuem alma verdadeira, eles são capazes de ressuscitar facilmente em comparação com os seres humanos sim, embora esse poder seja melhor representado entre os Strigoi e os dragões do sangue aumentassem o senso de olfato dotado; Os lahmianos são bem - conhecidos por seus ataques rápidos e brutais. Talentoso; Os vampiros são capazes de utilizar seu sangue ou magia escura para tricotar suas feridas muito mais rapidamente do que um mortal. Talentoso; Pode ser alcançado através de magia ou por forma - vampiros de talentos que podem ser talentosos podem assumir a forma de um morcego grande, um enxame de morcegos, corvos, moscas, besouros ou baratas, um lobo ou uma nuvem sobrenatural de névoa, embora a maioria desses poderes são mais comuns / representados em certas linhagens. Talentoso; Melhor representado entre os lahmianos, embora todos sejam capazes de transfixar seus vampiros talentosos de presas, são uma raça diversificada de seres cujos poderes variam muito baseados na linhagem e em sua própria individualidade. Serafão do fim sim sim sim sim sim sim não não? ? ? As armas feitas de vampiros podem `` beber '' sangue de vampiro e se tornar mais forte. Entrevistas com Monster Girls? Não, embora isso possa ser apenas porque Hikari ainda é jovem sim, não, embora isso possa ser apenas porque Hikari ainda é jovem? Não, embora isso possa ser apenas porque Hikari ainda é jovem não, embora isso possa ser apenas porque Hikari ainda é jovem não, embora isso possa ser apenas porque Hikari ainda é jovem não, embora isso possa ser apenas porque Hikari ainda é jovem não, não, Embora isso possa ser apenas porque Hikari ainda é jovem? The Witcher Sim Sim Sim Sim Sim Alguns, incluindo todos os vampiros mais altos, incluindo todos os vampiros mais altos, incluindo todos os vampiros mais altos, sem invisibilidade, garras retráteis, vampiros mais altos podem controlar vampiros mais fracos. As aventuras do Dr. McNinja? Sim Sim Sim   ? Sim fumaça, morcego, cachorro? ? ? ?</v>
      </c>
    </row>
    <row r="600" customFormat="false" ht="15.75" hidden="false" customHeight="true" outlineLevel="0" collapsed="false">
      <c r="A600" s="3" t="n">
        <v>597</v>
      </c>
      <c r="B600" s="5" t="s">
        <v>1791</v>
      </c>
      <c r="C600" s="5" t="s">
        <v>1792</v>
      </c>
      <c r="D600" s="5" t="s">
        <v>1793</v>
      </c>
      <c r="E600" s="4" t="str">
        <f aca="false">IFERROR(__xludf.dummyfunction("GOOGLETRANSLATE(C601)"),"Que estação Burke volta na anatomia de Gray")</f>
        <v>Que estação Burke volta na anatomia de Gray</v>
      </c>
      <c r="F600" s="5" t="str">
        <f aca="false">IFERROR(__xludf.dummyfunction("GOOGLETRANSLATE(D600)")," Em 17 de julho de 2008, a Disney anunciou que o passo a passo do castelo de beleza adormecida reabriria no estilo dos dioramas Earle original, aprimorados com novas tecnologias não disponíveis em 1957. O passo a passo reabriu em 27 de novembro de 2008 às"&amp;" 17:00 , desenhando longas filas que vão até o centro no centro do parque. Ao contrário das encarnações anteriores, os visitantes que não conseguem subir escadas ou navegar nas passagens do castelo ainda podem experimentar o passo a passo `` virtualmente "&amp;"'' em uma sala especial no térreo do castelo. Esta sala é com tema generosa e apresenta a recreação de Walkthrough CGI fechada - a legenda em uma TV de alta definição. Essa mesma recreação virtual está incluída no DVD da edição de 50 anos da Beauty Beauty"&amp;" Beauty, Platinum Edition.")</f>
        <v> Em 17 de julho de 2008, a Disney anunciou que o passo a passo do castelo de beleza adormecida reabriria no estilo dos dioramas Earle original, aprimorados com novas tecnologias não disponíveis em 1957. O passo a passo reabriu em 27 de novembro de 2008 às 17:00 , desenhando longas filas que vão até o centro no centro do parque. Ao contrário das encarnações anteriores, os visitantes que não conseguem subir escadas ou navegar nas passagens do castelo ainda podem experimentar o passo a passo `` virtualmente '' em uma sala especial no térreo do castelo. Esta sala é com tema generosa e apresenta a recreação de Walkthrough CGI fechada - a legenda em uma TV de alta definição. Essa mesma recreação virtual está incluída no DVD da edição de 50 anos da Beauty Beauty Beauty, Platinum Edition.</v>
      </c>
    </row>
    <row r="601" customFormat="false" ht="15.75" hidden="false" customHeight="true" outlineLevel="0" collapsed="false">
      <c r="A601" s="3" t="n">
        <v>598</v>
      </c>
      <c r="B601" s="5" t="s">
        <v>1794</v>
      </c>
      <c r="C601" s="5" t="s">
        <v>1795</v>
      </c>
      <c r="D601" s="5" t="s">
        <v>1796</v>
      </c>
      <c r="E601" s="4" t="str">
        <f aca="false">IFERROR(__xludf.dummyfunction("GOOGLETRANSLATE(C602)"),"quem tem a maior pontuação em dançar com as estrelas")</f>
        <v>quem tem a maior pontuação em dançar com as estrelas</v>
      </c>
      <c r="F601" s="5" t="str">
        <f aca="false">IFERROR(__xludf.dummyfunction("GOOGLETRANSLATE(D601)")," Enquanto mencionado de passagem ao longo das temporadas posteriores, Burke retorna oficialmente na décima temporada para concluir a saída de Cristina Yang da série.")</f>
        <v> Enquanto mencionado de passagem ao longo das temporadas posteriores, Burke retorna oficialmente na décima temporada para concluir a saída de Cristina Yang da série.</v>
      </c>
    </row>
    <row r="602" customFormat="false" ht="15.75" hidden="false" customHeight="true" outlineLevel="0" collapsed="false">
      <c r="A602" s="3" t="n">
        <v>599</v>
      </c>
      <c r="B602" s="5" t="s">
        <v>1797</v>
      </c>
      <c r="C602" s="5" t="s">
        <v>1798</v>
      </c>
      <c r="D602" s="5" t="s">
        <v>1799</v>
      </c>
      <c r="E602" s="4" t="str">
        <f aca="false">IFERROR(__xludf.dummyfunction("GOOGLETRANSLATE(C603)"),"Quem canta este é o fim da inocência")</f>
        <v>Quem canta este é o fim da inocência</v>
      </c>
      <c r="F602" s="5" t="str">
        <f aca="false">IFERROR(__xludf.dummyfunction("GOOGLETRANSLATE(D602)"),"   Rank   Season   Place   Celebrity   Professional   Average Score       18   Champion   Meryl Davis   Maksim Chmerkovskiy   28.40       6   Champion   Kristi Yamaguchi   Mark Ballas   28.33       8   Runner - up   Gilles Marini   Cheryl Burke   28.06   "&amp;"    15   Champion   Melissa Rycroft   Tony Dovolani   28.00     20   Runner - up   Riker Lynch   Allison Holker     6   25   Champion   Jordan Fisher Lindsay Arnold 27,94 7 15 Runner - Up Shawn Johnson Derek Hough 27,93 8 21 Campeão Bindi Irwin Derek Houg"&amp;"h 27,88 9 14 Runner - UP Katherine Jenkins Mark Ballas 27,87 18 Runner - Up AMY Purdy Derek Hough 11 17 Campeão Amber Riley Derek Hough Hough Hough 27.7. Willis Valentin Chmerkovskiy 13 3º lugar Stacy Keibler Tony Dovolani 27.73 Campeão Drew Lachey Cheryl"&amp;" Burke 15 23 Campeão Laurie Hernandez Valentin Chmerkovskiy 27.70 19 Campeão Alfonso Ribeiro Witney Carson 17 RUNNER - Up Moio Leioz iy 19 15 6th Place Gilles Marini Peta Murgatroyd 27,55 20 20 4º lugar Nastia Liukin Derek Hough 27.54 21 Campeão Apolo Ant"&amp;"on Ohno Julianne Hough 27.53 10 Campeão Nicole Scherzinger Derek Hough 23 Runner - UP Joey Joey Kym John 23 27.47 14 3rd Place William William, 23 de Runner - Up Joey, Kym Johnson 27.47 14 3rd Placê Hinchcliffe Sharna Burgess 26 24 3º lugar Normani Kordei"&amp;" Valentin Chmerkovskiy 27,45 27 16 Campeão Kellie Pickler Derek Hough 27.40 28 17 RUNNER - UP RUPBIN BLEIRINKOVSKOVSKOFTSSKOFTS Smirnoff 27.38 19 3º lugar Janel Parhrish Valentin Chmerkvskvskovskvskvskoff Smirnoff 27.38 19 3d 3º lugar Janel Parhrish Valen"&amp;"tin Chmerkmkovsk 3 31 9 corredor - UP Mýa Dmitry Chaplin 27.29 32 15 5º lugar Apolo Anton Ohno Karina Smirnoff 27.25 33 19 4º lugar Bethany Mota Derek Hough 27.20 34 11 Campeão Jennifer Gray Derek Hough 27.18 21 Runner - Up Nick Carterne Sharnena Burgess "&amp;"36 5 5 HuSlek Heslio Hough Hough 27.18 21 Runner - Up Nick Carterne Sharna Burgess 36 5 - UP Paige Vanzant Mark Ballas 38 15 8º lugar Sabrina Bryan Louis Van Amstel 27.07 39 7 Campeão Brooke Burke Derek Hough 27.06 14 Donald Donald PETA MURGATROYD 41 25 R"&amp;"UNNER - UP Lindsey Stirling Mark 27.05 42 3d Place Laila Ali -M -M -Maks M -Maks Place Sabrina Bryan Mark Ballas 18 5º lugar Charlie White Sharna Burgess 24 Campeão Rashad Jennings Emma Slater")</f>
        <v>   Rank   Season   Place   Celebrity   Professional   Average Score       18   Champion   Meryl Davis   Maksim Chmerkovskiy   28.40       6   Champion   Kristi Yamaguchi   Mark Ballas   28.33       8   Runner - up   Gilles Marini   Cheryl Burke   28.06       15   Champion   Melissa Rycroft   Tony Dovolani   28.00     20   Runner - up   Riker Lynch   Allison Holker     6   25   Champion   Jordan Fisher Lindsay Arnold 27,94 7 15 Runner - Up Shawn Johnson Derek Hough 27,93 8 21 Campeão Bindi Irwin Derek Hough 27,88 9 14 Runner - UP Katherine Jenkins Mark Ballas 27,87 18 Runner - Up AMY Purdy Derek Hough 11 17 Campeão Amber Riley Derek Hough Hough Hough 27.7. Willis Valentin Chmerkovskiy 13 3º lugar Stacy Keibler Tony Dovolani 27.73 Campeão Drew Lachey Cheryl Burke 15 23 Campeão Laurie Hernandez Valentin Chmerkovskiy 27.70 19 Campeão Alfonso Ribeiro Witney Carson 17 RUNNER - Up Moio Leioz iy 19 15 6th Place Gilles Marini Peta Murgatroyd 27,55 20 20 4º lugar Nastia Liukin Derek Hough 27.54 21 Campeão Apolo Anton Ohno Julianne Hough 27.53 10 Campeão Nicole Scherzinger Derek Hough 23 Runner - UP Joey Joey Kym John 23 27.47 14 3rd Place William William, 23 de Runner - Up Joey, Kym Johnson 27.47 14 3rd Placê Hinchcliffe Sharna Burgess 26 24 3º lugar Normani Kordei Valentin Chmerkovskiy 27,45 27 16 Campeão Kellie Pickler Derek Hough 27.40 28 17 RUNNER - UP RUPBIN BLEIRINKOVSKOVSKOFTSSKOFTS Smirnoff 27.38 19 3º lugar Janel Parhrish Valentin Chmerkvskvskovskvskvskoff Smirnoff 27.38 19 3d 3º lugar Janel Parhrish Valentin Chmerkmkovsk 3 31 9 corredor - UP Mýa Dmitry Chaplin 27.29 32 15 5º lugar Apolo Anton Ohno Karina Smirnoff 27.25 33 19 4º lugar Bethany Mota Derek Hough 27.20 34 11 Campeão Jennifer Gray Derek Hough 27.18 21 Runner - Up Nick Carterne Sharnena Burgess 36 5 5 HuSlek Heslio Hough Hough 27.18 21 Runner - Up Nick Carterne Sharna Burgess 36 5 - UP Paige Vanzant Mark Ballas 38 15 8º lugar Sabrina Bryan Louis Van Amstel 27.07 39 7 Campeão Brooke Burke Derek Hough 27.06 14 Donald Donald PETA MURGATROYD 41 25 RUNNER - UP Lindsey Stirling Mark 27.05 42 3d Place Laila Ali -M -M -Maks M -Maks Place Sabrina Bryan Mark Ballas 18 5º lugar Charlie White Sharna Burgess 24 Campeão Rashad Jennings Emma Slater</v>
      </c>
    </row>
    <row r="603" customFormat="false" ht="15.75" hidden="false" customHeight="true" outlineLevel="0" collapsed="false">
      <c r="A603" s="3" t="n">
        <v>600</v>
      </c>
      <c r="B603" s="5" t="s">
        <v>1800</v>
      </c>
      <c r="C603" s="5" t="s">
        <v>1801</v>
      </c>
      <c r="D603" s="5" t="s">
        <v>1802</v>
      </c>
      <c r="E603" s="4" t="str">
        <f aca="false">IFERROR(__xludf.dummyfunction("GOOGLETRANSLATE(C604)"),"Qual é o nome de Gecko nas máscaras de PJ")</f>
        <v>Qual é o nome de Gecko nas máscaras de PJ</v>
      </c>
      <c r="F603" s="5" t="str">
        <f aca="false">IFERROR(__xludf.dummyfunction("GOOGLETRANSLATE(D603)")," `` O fim da inocência '' é o single principal e a faixa -título do terceiro álbum de estúdio solo de Don Henley, lançado em 1989. Henley co-escreveu e co-produziu a música com Bruce Hornsby, que também tocou piano; Ambos os artistas tocam a música ao viv"&amp;"o em seus respectivos shows. A versão de Henley atingiu o pico no número oito na Billboard Hot 100, tornando -se seu quinto top solo no topo da parada. `` O fim da inocência '' também se tornou seu quarto número - um single no gráfico de faixas de rock co"&amp;"nvencional e atingiu o número dois no gráfico contemporâneo adulto quente. A música apresenta Wayne mais curta no saxofone.")</f>
        <v> `` O fim da inocência '' é o single principal e a faixa -título do terceiro álbum de estúdio solo de Don Henley, lançado em 1989. Henley co-escreveu e co-produziu a música com Bruce Hornsby, que também tocou piano; Ambos os artistas tocam a música ao vivo em seus respectivos shows. A versão de Henley atingiu o pico no número oito na Billboard Hot 100, tornando -se seu quinto top solo no topo da parada. `` O fim da inocência '' também se tornou seu quarto número - um single no gráfico de faixas de rock convencional e atingiu o número dois no gráfico contemporâneo adulto quente. A música apresenta Wayne mais curta no saxofone.</v>
      </c>
    </row>
    <row r="604" customFormat="false" ht="15.75" hidden="false" customHeight="true" outlineLevel="0" collapsed="false">
      <c r="A604" s="3" t="n">
        <v>601</v>
      </c>
      <c r="B604" s="5" t="s">
        <v>1803</v>
      </c>
      <c r="C604" s="5" t="s">
        <v>1804</v>
      </c>
      <c r="D604" s="5" t="s">
        <v>1805</v>
      </c>
      <c r="E604" s="4" t="str">
        <f aca="false">IFERROR(__xludf.dummyfunction("GOOGLETRANSLATE(C605)"),"Qual é a diferença entre a morte e o ceifador")</f>
        <v>Qual é a diferença entre a morte e o ceifador</v>
      </c>
      <c r="F604" s="5" t="str">
        <f aca="false">IFERROR(__xludf.dummyfunction("GOOGLETRANSLATE(D604)")," Greg / Gekko (dublado por Kyle Harrison Breitkopf) é um garoto de cabelos loiros verde -olhos e de cabelos loiros. Quando ele transforma, usa uma fantasia verde com uma cauda reptiliana espessa, as barbatanas em cima da cabeça. Seus poderes são, Super Ge"&amp;"kko camuflagem para se tornar invisível ou se misturar ao ambiente, Super Gekko Músculos (também conhecidos como Super Muscles) para levantar coisas pesadas, Super Lizard Grip para subir paredes ou ancorar -se para parar os veículos, e Super Lizard Water "&amp;"Run to Walk On água . Ele exibiu força suficiente para levantar um laboratório móvel do chão. Seu veículo é o Gekko - Mobile, que também é um veículo submersível que pode viajar debaixo d'água e também subir para os edifícios via terra em bancos de tanque"&amp;"s, que é mais lento que o carro de gato. Seu veículo está localizado no segmento inferior da torre de máscaras PJ. O veículo tem habilidades semelhantes a ele, com uma camuflagem `` gekko - móvel '', deixando isso se misturar com os arredores. Seu quarto "&amp;"fica no segundo andar de uma casa verde verde - com telhado - ao lado de Amaya.")</f>
        <v> Greg / Gekko (dublado por Kyle Harrison Breitkopf) é um garoto de cabelos loiros verde -olhos e de cabelos loiros. Quando ele transforma, usa uma fantasia verde com uma cauda reptiliana espessa, as barbatanas em cima da cabeça. Seus poderes são, Super Gekko camuflagem para se tornar invisível ou se misturar ao ambiente, Super Gekko Músculos (também conhecidos como Super Muscles) para levantar coisas pesadas, Super Lizard Grip para subir paredes ou ancorar -se para parar os veículos, e Super Lizard Water Run to Walk On água . Ele exibiu força suficiente para levantar um laboratório móvel do chão. Seu veículo é o Gekko - Mobile, que também é um veículo submersível que pode viajar debaixo d'água e também subir para os edifícios via terra em bancos de tanques, que é mais lento que o carro de gato. Seu veículo está localizado no segmento inferior da torre de máscaras PJ. O veículo tem habilidades semelhantes a ele, com uma camuflagem `` gekko - móvel '', deixando isso se misturar com os arredores. Seu quarto fica no segundo andar de uma casa verde verde - com telhado - ao lado de Amaya.</v>
      </c>
    </row>
    <row r="605" customFormat="false" ht="15.75" hidden="false" customHeight="true" outlineLevel="0" collapsed="false">
      <c r="A605" s="3" t="n">
        <v>602</v>
      </c>
      <c r="B605" s="5" t="s">
        <v>1806</v>
      </c>
      <c r="C605" s="5" t="s">
        <v>1807</v>
      </c>
      <c r="D605" s="5" t="s">
        <v>1808</v>
      </c>
      <c r="E605" s="4" t="str">
        <f aca="false">IFERROR(__xludf.dummyfunction("GOOGLETRANSLATE(C606)"),"onde o filme jovem e o inquieto")</f>
        <v>onde o filme jovem e o inquieto</v>
      </c>
      <c r="F605" s="5" t="str">
        <f aca="false">IFERROR(__xludf.dummyfunction("GOOGLETRANSLATE(D605)")," A morte, também conhecida como Ceifador, é frequentemente imaginada como uma força personificada, devido ao seu lugar de destaque na cultura humana. Em algumas mitologias, o Ceifador Grimes causa a morte da vítima ao recolherem. Por sua vez, as pessoas e"&amp;"m algumas histórias tentam manter a vida, evitando a visita da morte ou defendendo a morte com suborno ou truques. Outras crenças sustentam que o espectro da morte é apenas um psicopompo, servindo para cortar os últimos laços entre a alma e o corpo e para"&amp;" guiar o falecido para a vida após a morte, sem ter controle sobre quando ou como a vítima morre. A morte é mais frequentemente personificada na forma masculina, embora em certas culturas a morte seja percebida como feminina (por exemplo, Marzanna na mito"&amp;"logia eslava).")</f>
        <v> A morte, também conhecida como Ceifador, é frequentemente imaginada como uma força personificada, devido ao seu lugar de destaque na cultura humana. Em algumas mitologias, o Ceifador Grimes causa a morte da vítima ao recolherem. Por sua vez, as pessoas em algumas histórias tentam manter a vida, evitando a visita da morte ou defendendo a morte com suborno ou truques. Outras crenças sustentam que o espectro da morte é apenas um psicopompo, servindo para cortar os últimos laços entre a alma e o corpo e para guiar o falecido para a vida após a morte, sem ter controle sobre quando ou como a vítima morre. A morte é mais frequentemente personificada na forma masculina, embora em certas culturas a morte seja percebida como feminina (por exemplo, Marzanna na mitologia eslava).</v>
      </c>
    </row>
    <row r="606" customFormat="false" ht="15.75" hidden="false" customHeight="true" outlineLevel="0" collapsed="false">
      <c r="A606" s="3" t="n">
        <v>603</v>
      </c>
      <c r="B606" s="5" t="s">
        <v>1809</v>
      </c>
      <c r="C606" s="5" t="s">
        <v>1810</v>
      </c>
      <c r="D606" s="5" t="s">
        <v>1811</v>
      </c>
      <c r="E606" s="4" t="str">
        <f aca="false">IFERROR(__xludf.dummyfunction("GOOGLETRANSLATE(C607)"),"que interpretou Lady Capulet em Romeu e Juliet 1996")</f>
        <v>que interpretou Lady Capulet em Romeu e Juliet 1996</v>
      </c>
      <c r="F606" s="5" t="str">
        <f aca="false">IFERROR(__xludf.dummyfunction("GOOGLETRANSLATE(D606)")," Gravado na CBS Television City, Studios 41 e 43 em Hollywood desde sua estréia em 26 de março de 1973, o programa foi embalado pela empresa de distribuição Columbia Pictures Television, que agora foi substituída pela Sony Pictures Television. Os jovens e"&amp;" os inquietos originalmente foram exibidos como uma série de meia hora na CBS e foi a primeira novela a se concentrar nos aspectos visuais da produção, criando `` um visual que rompeu com as convenções visuais do gênero. '' Semelhante às séries de rádio q"&amp;"ue os precederam, as novelas na época focavam principalmente em diálogo, personagens e história, com detalhes como conjuntos como preocupações secundárias. Os jovens e os inquietos se destacaram usando técnicas de iluminação exclusivas e ângulos de câmera"&amp;", semelhantes às produções de estilo Hollywood. O estilo de fita de vídeo incluído usando - de - os ângulos de câmera comuns e um grande número de fechamentos faciais - ups com iluminação brilhante nos rostos dos atores. Conboy disse que usou iluminação p"&amp;"ara criar `` efeitos artísticos ''. Esses efeitos fizeram a série parecer sombria, sombria e mal -humorada. O visual jovem e inquieto 'influenciou os estilos de gravação de outras novelas. Quando H. Wesley Kenney substituiu Conboy como produtor executivo,"&amp;" ele equilibrou a iluminação das cenas.")</f>
        <v> Gravado na CBS Television City, Studios 41 e 43 em Hollywood desde sua estréia em 26 de março de 1973, o programa foi embalado pela empresa de distribuição Columbia Pictures Television, que agora foi substituída pela Sony Pictures Television. Os jovens e os inquietos originalmente foram exibidos como uma série de meia hora na CBS e foi a primeira novela a se concentrar nos aspectos visuais da produção, criando `` um visual que rompeu com as convenções visuais do gênero. '' Semelhante às séries de rádio que os precederam, as novelas na época focavam principalmente em diálogo, personagens e história, com detalhes como conjuntos como preocupações secundárias. Os jovens e os inquietos se destacaram usando técnicas de iluminação exclusivas e ângulos de câmera, semelhantes às produções de estilo Hollywood. O estilo de fita de vídeo incluído usando - de - os ângulos de câmera comuns e um grande número de fechamentos faciais - ups com iluminação brilhante nos rostos dos atores. Conboy disse que usou iluminação para criar `` efeitos artísticos ''. Esses efeitos fizeram a série parecer sombria, sombria e mal -humorada. O visual jovem e inquieto 'influenciou os estilos de gravação de outras novelas. Quando H. Wesley Kenney substituiu Conboy como produtor executivo, ele equilibrou a iluminação das cenas.</v>
      </c>
    </row>
    <row r="607" customFormat="false" ht="15.75" hidden="false" customHeight="true" outlineLevel="0" collapsed="false">
      <c r="A607" s="3" t="n">
        <v>604</v>
      </c>
      <c r="B607" s="5" t="s">
        <v>1812</v>
      </c>
      <c r="C607" s="5" t="s">
        <v>1813</v>
      </c>
      <c r="D607" s="5" t="s">
        <v>1814</v>
      </c>
      <c r="E607" s="4" t="str">
        <f aca="false">IFERROR(__xludf.dummyfunction("GOOGLETRANSLATE(C608)"),"quem cantou não me deixe assim")</f>
        <v>quem cantou não me deixe assim</v>
      </c>
      <c r="F607" s="5" t="str">
        <f aca="false">IFERROR(__xludf.dummyfunction("GOOGLETRANSLATE(D607)")," Diane Venora como Gloria Capulet, mãe de Juliet")</f>
        <v> Diane Venora como Gloria Capulet, mãe de Juliet</v>
      </c>
    </row>
    <row r="608" customFormat="false" ht="15.75" hidden="false" customHeight="true" outlineLevel="0" collapsed="false">
      <c r="A608" s="3" t="n">
        <v>605</v>
      </c>
      <c r="B608" s="5" t="s">
        <v>1815</v>
      </c>
      <c r="C608" s="5" t="s">
        <v>1816</v>
      </c>
      <c r="D608" s="5" t="s">
        <v>1817</v>
      </c>
      <c r="E608" s="4" t="str">
        <f aca="false">IFERROR(__xludf.dummyfunction("GOOGLETRANSLATE(C609)"),"Quem cantou a música tema do Super Mario Bros Super Show")</f>
        <v>Quem cantou a música tema do Super Mario Bros Super Show</v>
      </c>
      <c r="F608" s="5" t="str">
        <f aca="false">IFERROR(__xludf.dummyfunction("GOOGLETRANSLATE(D608)")," `` Não me deixe assim '' é uma música escrita por Kenneth Gamble, Leon Huff e Cary Gilbert. Primeiro gráfico como um sucesso para Harold Melvin e as notas azuis com Teddy Pendergrass, um ato de Gamble &amp; Huff Philadelphia International Label em 1975, `` N"&amp;"ão me deixe assim '' foi mais tarde um grande golpe de discoteca para a Motown Artista Thelma Houston em 1977. A música também foi um grande sucesso para o grupo britânico The Communards em 1986.")</f>
        <v> `` Não me deixe assim '' é uma música escrita por Kenneth Gamble, Leon Huff e Cary Gilbert. Primeiro gráfico como um sucesso para Harold Melvin e as notas azuis com Teddy Pendergrass, um ato de Gamble &amp; Huff Philadelphia International Label em 1975, `` Não me deixe assim '' foi mais tarde um grande golpe de discoteca para a Motown Artista Thelma Houston em 1977. A música também foi um grande sucesso para o grupo britânico The Communards em 1986.</v>
      </c>
    </row>
    <row r="609" customFormat="false" ht="15.75" hidden="false" customHeight="true" outlineLevel="0" collapsed="false">
      <c r="A609" s="3" t="n">
        <v>606</v>
      </c>
      <c r="B609" s="5" t="s">
        <v>1818</v>
      </c>
      <c r="C609" s="5" t="s">
        <v>1819</v>
      </c>
      <c r="D609" s="5" t="s">
        <v>1820</v>
      </c>
      <c r="E609" s="4" t="str">
        <f aca="false">IFERROR(__xludf.dummyfunction("GOOGLETRANSLATE(C610)"),"Episódio de Star Trek Next Generation Picard se apaixona")</f>
        <v>Episódio de Star Trek Next Generation Picard se apaixona</v>
      </c>
      <c r="F609" s="5" t="str">
        <f aca="false">IFERROR(__xludf.dummyfunction("GOOGLETRANSLATE(D609)"),"  `` Rap de encanador '' (Lou Albano e Danny Wells): o tema principal, que é dividido em duas partes. A primeira parte abre o show enquanto a segunda parte abre os segmentos animados Super Mario Bros.. `` Do The Mario '' (Lou Albano): o tema final do prog"&amp;"rama apresentado em frente a uma tela verde dos fundos do programa animado, que apresentava uma dança que acompanha realizada por Albano descrita na letra. A música é cantada na música do tema clássico `` Overworld '' de Super Mario Bros.")</f>
        <v>  `` Rap de encanador '' (Lou Albano e Danny Wells): o tema principal, que é dividido em duas partes. A primeira parte abre o show enquanto a segunda parte abre os segmentos animados Super Mario Bros.. `` Do The Mario '' (Lou Albano): o tema final do programa apresentado em frente a uma tela verde dos fundos do programa animado, que apresentava uma dança que acompanha realizada por Albano descrita na letra. A música é cantada na música do tema clássico `` Overworld '' de Super Mario Bros.</v>
      </c>
    </row>
    <row r="610" customFormat="false" ht="15.75" hidden="false" customHeight="true" outlineLevel="0" collapsed="false">
      <c r="A610" s="3" t="n">
        <v>607</v>
      </c>
      <c r="B610" s="5" t="s">
        <v>1821</v>
      </c>
      <c r="C610" s="5" t="s">
        <v>1822</v>
      </c>
      <c r="D610" s="5" t="s">
        <v>1823</v>
      </c>
      <c r="E610" s="4" t="str">
        <f aca="false">IFERROR(__xludf.dummyfunction("GOOGLETRANSLATE(C611)"),"Que tipo de moeda é usada na Austrália")</f>
        <v>Que tipo de moeda é usada na Austrália</v>
      </c>
      <c r="F610" s="5" t="str">
        <f aca="false">IFERROR(__xludf.dummyfunction("GOOGLETRANSLATE(D610)")," `` Lições '' é o 19º episódio da sexta temporada da série de televisão de ficção científica American Star Trek: The Next Generation e foi originalmente exibida nos Estados Unidos em 5 de abril de 1993, em organização de transmissão. Situado no século 24,"&amp;" a série segue as aventuras da tripulação da nave estelar Starship Enterprise - D. em `` lições '', o capitão Picard '(Patrick Stewart) compartilhou o amor pela música com o tenente -comandante Nella Daren (Wendy Hughes) leva ao romance, resultando em emo"&amp;"ções conflitantes em seu nome. Depois de acreditar incorretamente que ela morreu, ele percebe que é incapaz de realizar um relacionamento com alguém sob seu comando.")</f>
        <v> `` Lições '' é o 19º episódio da sexta temporada da série de televisão de ficção científica American Star Trek: The Next Generation e foi originalmente exibida nos Estados Unidos em 5 de abril de 1993, em organização de transmissão. Situado no século 24, a série segue as aventuras da tripulação da nave estelar Starship Enterprise - D. em `` lições '', o capitão Picard '(Patrick Stewart) compartilhou o amor pela música com o tenente -comandante Nella Daren (Wendy Hughes) leva ao romance, resultando em emoções conflitantes em seu nome. Depois de acreditar incorretamente que ela morreu, ele percebe que é incapaz de realizar um relacionamento com alguém sob seu comando.</v>
      </c>
    </row>
    <row r="611" customFormat="false" ht="15.75" hidden="false" customHeight="true" outlineLevel="0" collapsed="false">
      <c r="A611" s="3" t="n">
        <v>608</v>
      </c>
      <c r="B611" s="5" t="s">
        <v>1824</v>
      </c>
      <c r="C611" s="5" t="s">
        <v>1825</v>
      </c>
      <c r="D611" s="5" t="s">
        <v>1826</v>
      </c>
      <c r="E611" s="4" t="str">
        <f aca="false">IFERROR(__xludf.dummyfunction("GOOGLETRANSLATE(C612)"),"que interpreta William Conway na Casa dos Cards")</f>
        <v>que interpreta William Conway na Casa dos Cards</v>
      </c>
      <c r="F611" s="5" t="str">
        <f aca="false">IFERROR(__xludf.dummyfunction("GOOGLETRANSLATE(D611)")," O dólar australiano (signo: $; Código: AUD) é a moeda da Commonwealth da Austrália, incluindo seus territórios externos da Ilha Christma, ilhas Cocos (Keeling) e Norfolk Island, bem como os estados independentes da ilha do Pacífico de Kiribati, Nauru , P"&amp;"apua Nova Guiné, Tonga, Tuvalu e Vanuatu. Na Austrália, quase sempre é abreviado com o sinal de dólar ($), com um $ ou AU $ às vezes usado para distingui -lo de outras moedas denominadas de Dollar -. É subdividido em 100 centavos.")</f>
        <v> O dólar australiano (signo: $; Código: AUD) é a moeda da Commonwealth da Austrália, incluindo seus territórios externos da Ilha Christma, ilhas Cocos (Keeling) e Norfolk Island, bem como os estados independentes da ilha do Pacífico de Kiribati, Nauru , Papua Nova Guiné, Tonga, Tuvalu e Vanuatu. Na Austrália, quase sempre é abreviado com o sinal de dólar ($), com um $ ou AU $ às vezes usado para distingui -lo de outras moedas denominadas de Dollar -. É subdividido em 100 centavos.</v>
      </c>
    </row>
    <row r="612" customFormat="false" ht="15.75" hidden="false" customHeight="true" outlineLevel="0" collapsed="false">
      <c r="A612" s="3" t="n">
        <v>609</v>
      </c>
      <c r="B612" s="5" t="s">
        <v>1827</v>
      </c>
      <c r="C612" s="5" t="s">
        <v>1828</v>
      </c>
      <c r="D612" s="5" t="s">
        <v>1829</v>
      </c>
      <c r="E612" s="4" t="str">
        <f aca="false">IFERROR(__xludf.dummyfunction("GOOGLETRANSLATE(C613)"),"quem é o doador em poder")</f>
        <v>quem é o doador em poder</v>
      </c>
      <c r="F612" s="5" t="str">
        <f aca="false">IFERROR(__xludf.dummyfunction("GOOGLETRANSLATE(D612)")," Charles Joel Nordström Kinnaman (nascido em 25 de novembro de 1979) é um ator americano sueco, mais conhecido na Suécia por desempenhar o papel principal no filme sueco Easy Money, um papel que lhe rendeu um prêmio de Guldbagge na categoria `` melhor ato"&amp;"r '',, E também por seus papéis como Frank Wagner na série de filmes de Johan Falk e o governador Will Conway na versão dos EUA do House of Cards. Ele estrelou como o detetive Stephen Holder no assassinato da AMC e interpretou Alex Murphy no remake de Rob"&amp;"oCop de 2014, e Rick Flag na adaptação cinematográfica de Esquadrão Suicida (2016), baseado na equipe anti-herói da DC Comics do mesmo nome .")</f>
        <v> Charles Joel Nordström Kinnaman (nascido em 25 de novembro de 1979) é um ator americano sueco, mais conhecido na Suécia por desempenhar o papel principal no filme sueco Easy Money, um papel que lhe rendeu um prêmio de Guldbagge na categoria `` melhor ator '',, E também por seus papéis como Frank Wagner na série de filmes de Johan Falk e o governador Will Conway na versão dos EUA do House of Cards. Ele estrelou como o detetive Stephen Holder no assassinato da AMC e interpretou Alex Murphy no remake de RoboCop de 2014, e Rick Flag na adaptação cinematográfica de Esquadrão Suicida (2016), baseado na equipe anti-herói da DC Comics do mesmo nome .</v>
      </c>
    </row>
    <row r="613" customFormat="false" ht="15.75" hidden="false" customHeight="true" outlineLevel="0" collapsed="false">
      <c r="A613" s="3" t="n">
        <v>610</v>
      </c>
      <c r="B613" s="5" t="s">
        <v>1830</v>
      </c>
      <c r="C613" s="5" t="s">
        <v>1831</v>
      </c>
      <c r="D613" s="5" t="s">
        <v>1832</v>
      </c>
      <c r="E613" s="4" t="str">
        <f aca="false">IFERROR(__xludf.dummyfunction("GOOGLETRANSLATE(C614)"),"Quantos EPs em ataque ao Titan temporada 1")</f>
        <v>Quantos EPs em ataque ao Titan temporada 1</v>
      </c>
      <c r="F613" s="5" t="str">
        <f aca="false">IFERROR(__xludf.dummyfunction("GOOGLETRANSLATE(D613)")," Uma procuração (POA) ou Carta de Procurador é uma autorização por escrito para representar ou agir em nome de outra pessoa em assuntos particulares, negócios ou alguma outra questão legal. A pessoa que autoriza a outra a agir é o diretor, concedente ou d"&amp;"oador (do poder). O que autorizou a agir é o agente ou, em algumas jurisdições de direito comum, o advogado - de fato.")</f>
        <v> Uma procuração (POA) ou Carta de Procurador é uma autorização por escrito para representar ou agir em nome de outra pessoa em assuntos particulares, negócios ou alguma outra questão legal. A pessoa que autoriza a outra a agir é o diretor, concedente ou doador (do poder). O que autorizou a agir é o agente ou, em algumas jurisdições de direito comum, o advogado - de fato.</v>
      </c>
    </row>
    <row r="614" customFormat="false" ht="15.75" hidden="false" customHeight="true" outlineLevel="0" collapsed="false">
      <c r="A614" s="3" t="n">
        <v>611</v>
      </c>
      <c r="B614" s="5" t="s">
        <v>945</v>
      </c>
      <c r="C614" s="5" t="s">
        <v>1833</v>
      </c>
      <c r="D614" s="5" t="s">
        <v>1834</v>
      </c>
      <c r="E614" s="4" t="str">
        <f aca="false">IFERROR(__xludf.dummyfunction("GOOGLETRANSLATE(C615)"),"que largou a bola na Times Square 2017")</f>
        <v>que largou a bola na Times Square 2017</v>
      </c>
      <c r="F614" s="5" t="str">
        <f aca="false">IFERROR(__xludf.dummyfunction("GOOGLETRANSLATE(D614)"),"   Os episódios da temporada foi ao ar originalmente ao ar pela primeira vez em 25 de abril de 2013 (2013 - 04 - 07) 29 de setembro de 2013 (2013 - 09 - 29) 12 de abril de 2017 (2017 - 04 - 01) 17 de junho de 2017 (2017 - 2017 - 06 - 17)")</f>
        <v>   Os episódios da temporada foi ao ar originalmente ao ar pela primeira vez em 25 de abril de 2013 (2013 - 04 - 07) 29 de setembro de 2013 (2013 - 09 - 29) 12 de abril de 2017 (2017 - 04 - 01) 17 de junho de 2017 (2017 - 2017 - 06 - 17)</v>
      </c>
    </row>
    <row r="615" customFormat="false" ht="15.75" hidden="false" customHeight="true" outlineLevel="0" collapsed="false">
      <c r="A615" s="3" t="n">
        <v>612</v>
      </c>
      <c r="B615" s="5" t="s">
        <v>1835</v>
      </c>
      <c r="C615" s="5" t="s">
        <v>1836</v>
      </c>
      <c r="D615" s="5" t="s">
        <v>1837</v>
      </c>
      <c r="E615" s="4" t="str">
        <f aca="false">IFERROR(__xludf.dummyfunction("GOOGLETRANSLATE(C616)"),"que tocou enos no duques de Hazzard")</f>
        <v>que tocou enos no duques de Hazzard</v>
      </c>
      <c r="F615" s="5" t="str">
        <f aca="false">IFERROR(__xludf.dummyfunction("GOOGLETRANSLATE(D615)"),"  1996 - 1997: Oseola McCarty 1997 - 1998: Um grupo de cinco vencedores de um concurso de ensaio escolar que homenageia o Centennial de Nova York 1998 - 1999: Ginasta chinesa Sang Lan (que foi ferida durante os Jogos de Goodwill de 1998 e estava sendo Rea"&amp;"bilitado em Nova York) 1999 - 2000: Dra. Mary Ann Hopkins, da Doctors Without Borders 2000 - 2001: Muhammad Ali 2001 - 2002: Rudy Giuliani e Judith Nathan; Este foi o ato final de Giuliani como prefeito. Michael Bloomberg tornou -se oficialmente o novo pr"&amp;"efeito da cidade de Nova York no início de 2002 e prestou juramento de cargo logo após a meia -noite. 2002 - 2003: Christopher e Dana Reeve 2003 - 2004: Cyndi Lauper, junto com Shoshana Johnson - a primeira feminina American Prisioneiro de Guerra Pertence"&amp;"nte a uma minoria étnica 2004 - 2005: Secretária de Estado Colin Powell 2005 - 2006: Músico de Jazz Wynton Marsalis 2006 - 2007: Um grupo de oito membros das Forças Armadas dos Estados Unidos 2007 - 2008: Karolina Wierzchowska, um veterano da Guerra do Ir"&amp;"aque e a Academia de Polícia da cidade de Nova York, Valedictorian 2008 - 2009: Bill e Hillary Clinton 2009 - 2010 - 2010 - 2010 : Doze estudantes das escolas secundárias da cidade de Nova York no U.S. News &amp; World Report `` America's Best's High Schools "&amp;"Top 100 'Gold Medal' List '' 2010 - 2011: ex -sargento Salvatore Griunta 2011 - 2012: Lady Musician GAGA 2012 - 2013: The Rockettes 2013 - 2014: Justiça da Suprema Corte dos EUA Sonia Sotomayor. 2014 - 2015: Cuban - o músico americano Jencarlos Canela, ac"&amp;"ompanhado por um grupo de refugiados que emigraram para a cidade de Nova York, em parceria com o Comitê Internacional de Resgate 2015 - 2016: Hugh Evans 2016 - 2017: Secretário das Nações Unidas - General Ban Ki - lua; Este foi o ato final de Ban Ki - Moo"&amp;"n como Secretário da ONU - General, enquanto António Guterres assumiu o cargo em 1º de janeiro de 2017. 2017 - 2018: Tarana Burke")</f>
        <v>  1996 - 1997: Oseola McCarty 1997 - 1998: Um grupo de cinco vencedores de um concurso de ensaio escolar que homenageia o Centennial de Nova York 1998 - 1999: Ginasta chinesa Sang Lan (que foi ferida durante os Jogos de Goodwill de 1998 e estava sendo Reabilitado em Nova York) 1999 - 2000: Dra. Mary Ann Hopkins, da Doctors Without Borders 2000 - 2001: Muhammad Ali 2001 - 2002: Rudy Giuliani e Judith Nathan; Este foi o ato final de Giuliani como prefeito. Michael Bloomberg tornou -se oficialmente o novo prefeito da cidade de Nova York no início de 2002 e prestou juramento de cargo logo após a meia -noite. 2002 - 2003: Christopher e Dana Reeve 2003 - 2004: Cyndi Lauper, junto com Shoshana Johnson - a primeira feminina American Prisioneiro de Guerra Pertencente a uma minoria étnica 2004 - 2005: Secretária de Estado Colin Powell 2005 - 2006: Músico de Jazz Wynton Marsalis 2006 - 2007: Um grupo de oito membros das Forças Armadas dos Estados Unidos 2007 - 2008: Karolina Wierzchowska, um veterano da Guerra do Iraque e a Academia de Polícia da cidade de Nova York, Valedictorian 2008 - 2009: Bill e Hillary Clinton 2009 - 2010 - 2010 - 2010 : Doze estudantes das escolas secundárias da cidade de Nova York no U.S. News &amp; World Report `` America's Best's High Schools Top 100 'Gold Medal' List '' 2010 - 2011: ex -sargento Salvatore Griunta 2011 - 2012: Lady Musician GAGA 2012 - 2013: The Rockettes 2013 - 2014: Justiça da Suprema Corte dos EUA Sonia Sotomayor. 2014 - 2015: Cuban - o músico americano Jencarlos Canela, acompanhado por um grupo de refugiados que emigraram para a cidade de Nova York, em parceria com o Comitê Internacional de Resgate 2015 - 2016: Hugh Evans 2016 - 2017: Secretário das Nações Unidas - General Ban Ki - lua; Este foi o ato final de Ban Ki - Moon como Secretário da ONU - General, enquanto António Guterres assumiu o cargo em 1º de janeiro de 2017. 2017 - 2018: Tarana Burke</v>
      </c>
    </row>
    <row r="616" customFormat="false" ht="15.75" hidden="false" customHeight="true" outlineLevel="0" collapsed="false">
      <c r="A616" s="3" t="n">
        <v>613</v>
      </c>
      <c r="B616" s="5" t="s">
        <v>1838</v>
      </c>
      <c r="C616" s="5" t="s">
        <v>1839</v>
      </c>
      <c r="D616" s="5" t="s">
        <v>1840</v>
      </c>
      <c r="E616" s="4" t="str">
        <f aca="false">IFERROR(__xludf.dummyfunction("GOOGLETRANSLATE(C617)"),"quem escreveu a música cicatrizes para sua linda")</f>
        <v>quem escreveu a música cicatrizes para sua linda</v>
      </c>
      <c r="F616" s="5" t="str">
        <f aca="false">IFERROR(__xludf.dummyfunction("GOOGLETRANSLATE(D616)")," Otis Burt `` Sonny '' Shroyer, Jr. (nascido em 28 de agosto de 1935) é um ator americano que apareceu em vários papéis de televisão e cinema. Ele é conhecido por seu papel como vice -xerife Enos Strate na série de televisão The Dukes of Hazzard. Ele tamb"&amp;"ém estrelou a giro - chamado Enos, com base em seu personagem Dukes of Hazzard. Shroyer é casado e tem dois filhos, Chris e Mark.")</f>
        <v> Otis Burt `` Sonny '' Shroyer, Jr. (nascido em 28 de agosto de 1935) é um ator americano que apareceu em vários papéis de televisão e cinema. Ele é conhecido por seu papel como vice -xerife Enos Strate na série de televisão The Dukes of Hazzard. Ele também estrelou a giro - chamado Enos, com base em seu personagem Dukes of Hazzard. Shroyer é casado e tem dois filhos, Chris e Mark.</v>
      </c>
    </row>
    <row r="617" customFormat="false" ht="15.75" hidden="false" customHeight="true" outlineLevel="0" collapsed="false">
      <c r="A617" s="3" t="n">
        <v>614</v>
      </c>
      <c r="B617" s="5" t="s">
        <v>1841</v>
      </c>
      <c r="C617" s="5" t="s">
        <v>1842</v>
      </c>
      <c r="D617" s="5" t="s">
        <v>1843</v>
      </c>
      <c r="E617" s="4" t="str">
        <f aca="false">IFERROR(__xludf.dummyfunction("GOOGLETRANSLATE(C618)"),"onde fica o Costa Maya México no mapa")</f>
        <v>onde fica o Costa Maya México no mapa</v>
      </c>
      <c r="F617" s="5" t="str">
        <f aca="false">IFERROR(__xludf.dummyfunction("GOOGLETRANSLATE(D617)")," `` Scars to Your Beautiful '' é uma música da cantora e compositora canadense Alessia Cara para seu álbum de estúdio de estréia, Know - It - All (2015). Foi lançado no Top 40 Radio em 26 de julho de 2016, como o terceiro single do álbum. Ele atingiu o pi"&amp;"co no número oito e, portanto, tornou -se o segundo top de Alessia Cara - dez solteiros na Billboard Hot 100. A música foi escrita por Cara, Warren Felder, Coleridge Tillman e Andrew Wansel, com a produção sendo tratada por Felder, Tillman e Wansel.")</f>
        <v> `` Scars to Your Beautiful '' é uma música da cantora e compositora canadense Alessia Cara para seu álbum de estúdio de estréia, Know - It - All (2015). Foi lançado no Top 40 Radio em 26 de julho de 2016, como o terceiro single do álbum. Ele atingiu o pico no número oito e, portanto, tornou -se o segundo top de Alessia Cara - dez solteiros na Billboard Hot 100. A música foi escrita por Cara, Warren Felder, Coleridge Tillman e Andrew Wansel, com a produção sendo tratada por Felder, Tillman e Wansel.</v>
      </c>
    </row>
    <row r="618" customFormat="false" ht="15.75" hidden="false" customHeight="true" outlineLevel="0" collapsed="false">
      <c r="A618" s="3" t="n">
        <v>615</v>
      </c>
      <c r="B618" s="5" t="s">
        <v>1844</v>
      </c>
      <c r="C618" s="5" t="s">
        <v>1845</v>
      </c>
      <c r="D618" s="5" t="s">
        <v>1846</v>
      </c>
      <c r="E618" s="4" t="str">
        <f aca="false">IFERROR(__xludf.dummyfunction("GOOGLETRANSLATE(C619)"),"Onde foi o primeiro laboratório de polícia estabelecido nos EUA")</f>
        <v>Onde foi o primeiro laboratório de polícia estabelecido nos EUA</v>
      </c>
      <c r="F618" s="5" t="str">
        <f aca="false">IFERROR(__xludf.dummyfunction("GOOGLETRANSLATE(D618)")," A Costa Maya é uma pequena região turística no município de Othón P. Blanco, no estado de Quintana Roo, México, o único estado delimitado pelo mar do Caribe a leste. Este município está próximo do chetumal (capital do estado) na fronteira com Belize. A á"&amp;"rea era geralmente não desenvolvida, mas vem crescendo rapidamente desde a construção de um grande cais para acomodar navios de cruzeiro. Costa Maya também é o nome de uma subdivisão perto da vila de Mahahual. A praia se estende de Xcalak, no sul até a fr"&amp;"onteira sul de Sian Ka'an, no norte, uma distância de aproximadamente 100 quilômetros (62 milhas).")</f>
        <v> A Costa Maya é uma pequena região turística no município de Othón P. Blanco, no estado de Quintana Roo, México, o único estado delimitado pelo mar do Caribe a leste. Este município está próximo do chetumal (capital do estado) na fronteira com Belize. A área era geralmente não desenvolvida, mas vem crescendo rapidamente desde a construção de um grande cais para acomodar navios de cruzeiro. Costa Maya também é o nome de uma subdivisão perto da vila de Mahahual. A praia se estende de Xcalak, no sul até a fronteira sul de Sian Ka'an, no norte, uma distância de aproximadamente 100 quilômetros (62 milhas).</v>
      </c>
    </row>
    <row r="619" customFormat="false" ht="15.75" hidden="false" customHeight="true" outlineLevel="0" collapsed="false">
      <c r="A619" s="3" t="n">
        <v>616</v>
      </c>
      <c r="B619" s="5" t="s">
        <v>1847</v>
      </c>
      <c r="C619" s="5" t="s">
        <v>1848</v>
      </c>
      <c r="D619" s="5" t="s">
        <v>1849</v>
      </c>
      <c r="E619" s="4" t="str">
        <f aca="false">IFERROR(__xludf.dummyfunction("GOOGLETRANSLATE(C620)"),"Qual versão do Google Chrome é o mais recente")</f>
        <v>Qual versão do Google Chrome é o mais recente</v>
      </c>
      <c r="F619" s="5" t="str">
        <f aca="false">IFERROR(__xludf.dummyfunction("GOOGLETRANSLATE(D619)")," O Departamento de Polícia de Los Angeles fundou o Primeiro Laboratório de Crimes nos Estados Unidos (1923), seguido pelo Bureau of Investigation (1926), precursor do Bureau Federal de Investigação. (Todo contato deixa um traço, Connie Fletcher, St. Marti"&amp;"n's Press, Nova York, 2006, entrevista com o diretor do Laboratório do Crime)")</f>
        <v> O Departamento de Polícia de Los Angeles fundou o Primeiro Laboratório de Crimes nos Estados Unidos (1923), seguido pelo Bureau of Investigation (1926), precursor do Bureau Federal de Investigação. (Todo contato deixa um traço, Connie Fletcher, St. Martin's Press, Nova York, 2006, entrevista com o diretor do Laboratório do Crime)</v>
      </c>
    </row>
    <row r="620" customFormat="false" ht="15.75" hidden="false" customHeight="true" outlineLevel="0" collapsed="false">
      <c r="A620" s="3" t="n">
        <v>617</v>
      </c>
      <c r="B620" s="5" t="s">
        <v>1850</v>
      </c>
      <c r="C620" s="5" t="s">
        <v>1851</v>
      </c>
      <c r="D620" s="5" t="s">
        <v>1852</v>
      </c>
      <c r="E620" s="4" t="str">
        <f aca="false">IFERROR(__xludf.dummyfunction("GOOGLETRANSLATE(C621)"),"que inventou a primeira caneta de fonte do mundo")</f>
        <v>que inventou a primeira caneta de fonte do mundo</v>
      </c>
      <c r="F620" s="5" t="str">
        <f aca="false">IFERROR(__xludf.dummyfunction("GOOGLETRANSLATE(D620)"),"   Data de lançamento da versão principal Motor V8 MOTOR MOTOR MUDANÇAS significativas 0,2. 149 2008 - 09 - 02 Webkit 522 0.3 Primeira versão 0.3. 154 2008 - 10 - 29 A melhoria de desempenho de desempenho e confiabilidade do plug -in para os campos de ent"&amp;"rada melhorados no desempenho da Web e a guia de confiabilidade e atualizações de gerenciamento de janelas 0.4. 154 2008 - 11 - 24 Webkit 525 Gerente de marcadores com seção de privacidade de suporte e exportação de suporte adicionada às opções Opções Nov"&amp;"as Notificação pop -up bloqueada 1.0. 154 2008 - 12 - 11 Webkit 528 Primeira versão estável 2.0. 172 2009 - 05 - 24 Webkit 530 0,4 35 % Javascript mais rápido no suporte do mouse de benchmark Suporte de roda do mouse - Modo de tela Full - Página Zoom Form"&amp;" Auto - Preencha os marcadores de classificação por guia Título POCKING para o navegador e as bordas da área de trabalho BASIC GREASEMENKEY SUPORTE 3.0. 195 2009 - 10 - 12 Webkit 532 1.2 Nova página `` nova guia '' para obter uma personalização aprimorada"&amp;" 25 % mais rápido 249 2010 - 01 - 25 Webkit 532.5 1.3 Extensões Sincronização de favoritos Ferramentas aprimoradas do desenvolvedor HTML5 Melhorias de desempenho Suporte ACEDIMENTO COMPLETO3 Passe HTTP Suporte de bytes de suporte experimental Novo recurso"&amp;" anti -reflexo - XSS chamado `` `` Auditor XSS '' 4.1. 249 2010 - 03 - 17 Traduzir o InfoBar Novos recursos de privacidade do Auditor XSS 5.0. 375 2010 - 05 - 21 Webkit 533 Preferência do navegador Sincronizando aumento de suporte HTML5 (API de geolocaliz"&amp;"ação, cache de aplicativos, soquetes da web e arrasto de arquivos - e - soltar) Recomenda o gerente de favoritos Adobe Flash Player Primeiros lançamentos estáveis ​​para MacOS, 32 bits Linux e 64 bits Linux 6.0. 472 2010 - 09 - 02 Webkit 534.3 UI atualiza"&amp;"da e mais simplificada com o omnibox simplificado nova página de guia Formulário de menu Formulário automático - preencha o suporte de sincronização expandido para incluir extensões e automóveis - preencher suporte de dados para vídeos do webm construídos"&amp;" - no suporte a PDF (desativado por default default ) 7.0. 517 2010 - 10 - 21 Webkit 534.7 2.3. 11 Implementou o upload do diretório API de arquivo de algoritmo de algoritmo HTML5 via tag de entrada Tag macOS versão ganhou suporte de AppleScript para Auto"&amp;"mação da UI Ligação tardia ativada para soquetes SSL: as solicitações de SSL de alta prioridade agora são sempre enviadas ao servidor primeiro. Novas opções para gerenciar os cookies atualizados nova página de guia para ativar a apresentação de aplicativo"&amp;"s da web 8.0. 552 2010 - 12 - 02 Webkit 534.10 2.4. 9 Chrome Web Store Built - no visualizador de PDF que funciona dentro da caixa de areia do Chrome para aumentar o suporte de sincronização expandido de segurança para incluir aplicativos da web plugt plu"&amp;"g - ao lidar com esta versão adicionada `` sobre: ​​sinalizadores '' para mostrar recursos experimentais como o Chrome Instant, Guias laterais nas janelas, configurações com guias, clique para reproduzir, aplicativos da web em segundo plano, remoção, desa"&amp;"tiva o plugue desatualizado - ins, auditor XSS, proxy de impressão em nuvem, GPU - composição acelerada, suporte a webgl para o elemento tela e uma visão geral da guia `` guia ' 'Modo (como exposição) para MacOS. 9.0. 597 2011 - 02 - 03 Webkit 534.13 2.5."&amp;" 9 WebGL ativado por padrão Adobe Flash Sandboxing no Windows e Chrome Instant (a la google instant) opção webp suporta novos sinalizadores: visualização de impressão, gpu - composição acelerada, gpu - tela acelerada 2d, cliente nativo do Google, aplicati"&amp;"vos sem CRX, web, web, web, web Página Prendering, APIs Experimentais de Extensão, Desativar o Hyperlink Audition 10.0. 648 2011 - 03 - 08 Webkit 534.16 3.0. 12 Google Cloud Print Sign - Na interface ativada por padrão, implementou parcialmente a caixa de"&amp;" areia do processo de GPU mais rápido, devido à incorporação do eixo de manivela, um compilador aprimorado para as páginas de configurações V8 que abrem em uma guia, em vez de um relatório de malware de caixa de diálogo e desabilitação plugins senha Sincr"&amp;"onizar a GPU acelerar o vídeo API de extensão de webnavigation de webpapps 11.0. 696 2011 - 04 - 27 WebKit 534.24 3.1. 8 API de entrada de fala HTML5 Icon 12.0. 742 2011 - 06 - 07 Webkit 534.30 3.2. 10 Hardware acelerado 3D CSS nova proteção de navegação "&amp;"segura contra o download de arquivos maliciosos Capacidade de excluir cookies flash de aplicativos de lançamento do Chrome Inside pelo nome do Omnibox Integrated Sync em novas páginas de configurações Páginas aprimoradas Leitor de tela suporta Novo aviso "&amp;"ao atingir o comando - q em mac sinalizadores: mac sinalizadores: API P2P Guia Existente em primeiro plano na página Experimental e experimental Adicionar agrupamento ao menu de contexto de contexto Execute o flash ppapi no processo renderizador vários pe"&amp;"rfis removidos do Google Gears Imprimir e salvar botões no visualizador PDF 13.0. 782 2011 - 08 - 02 Webkit 535.1 3.3. 10 Páginas instantâneas (pré-renderização de páginas da web) Interface de impressão e visualização nativa (somente Linux e Windows) nova"&amp;" página de guia Experimental Restringir o instante para pesquisar a opção 14.0. 835 2011 - 09 - 16 3.4. 14 Cliente nativo (NACL) Ativado para aplicativos na API de áudio da web da Web Store Chrome API MacOS Lion Suporte de recursos Criptografia Sync para "&amp;"todas as visualizações de impressão de dados sobre a validação do MAC de sites HTTPS Sites experimentais API Extensão de extensão experimental Configurações de conteúdo API 15.0. 874 2011 - 10 - 25 Webkit 535.2 3.5. 10 API mais rápida de visualização de v"&amp;"isualização redesenhada API JavaScript de JavaScript, habilitado por padrão, instalação inline dos itens da loja da web do Chrome por sites verificados Omnibox History Syncronização Mudou para o FFMPEG VP8 Decoder Extensions. 912 2011 - 12 - 13 Webkit 535"&amp;".7 3.6. 6 Vários perfis sobre as permissões opcionais padrão nas extensões do Chrome, para que o usuário possa optar por - dentro ou optar - das permissões opcionais no tempo de instalação, o suporte experimental para guias laterais foi removido. 17.0. 96"&amp;"3 2012 - 02 - 08 Webkit 535.11 3.7. 12 Atualizado Omnibox Prendering of Páges Download Proteção de varredura Novas extensões APIs aprimoradas da guia Histórico Remoção do símbolo `` `` '' Info 18.0. 1025 2012 - 03 - 28 2012 - 06 - 27 (braço Android) 2012 "&amp;"- 09 - 26 (18.0. 1026, Android x86) Webkit 535.19 3.8. 9 Hardware - Graphics Acelerado Canvas2d WebGL sem a necessidade de hardware gráfico 3D através do Rasterizador de software SwiftShader Brighter `` Novo Tab '' Botão 19.0. 1084 2012 - 05 - 15 2012 - 0"&amp;"6 - 28 (iOS) Webkit 536,5 3.9. 24 guias de acesso entre dispositivos reorganizados e configurações pesquisáveis ​​interface melhor verificação ortográfica usando o link da loja da Web Store da Web Store do mecanismo de pesquisa do Google para a parte infe"&amp;"rior da nova página de guia 1132 2012 - 06 - 26 Webkit 536.10 3.10. 6 Ajustes experimentais de interface do usuário para toque. Os menus de contexto têm preenchimento vertical extra entre os itens. O novo botão da guia é maior e mais largo 21.0. 1180 2012"&amp;" - 07 - 31 2012 - 08 - 22 (iOS) Webkit 537.1 3.11. 10 API de fluxo de mídia (getUsermedia) ativado por padrão. (Por exemplo, acesso à webcam via JavaScript.) Protótipo da API do GamePad disponível por padrão. Suporte para consultas de mídia (POINTER) e (P"&amp;"asse) para que os sites possam otimizar sua interface de usuário para toque quando o suporte da tela Touch - está disponível. HTML5 Audio / Video e Webudio agora suportam arquivos de onda PCM de 24 - Bit 22.0. 1229 2012 - 09 - 25 Webkit 537,4 3.12. 19 Apl"&amp;"icativos embalados de estilos novos são ativados por padrão. Novo ícone do menu, substituindo o suporte do ícone da chave para o suporte do TLS 1.1 para os perfis ICC V2 de gerenciamento de cores por padrão 23.0. 1271 2012 - 11 - 06 2012 - 11 - 28 (iOS) W"&amp;"ebkit 537.11 3.13. 7 Não rastreie a aceleração de vídeo de hardware de preferência com 25 % mais eficiente consumo de energia em alguns cenários gerente de cenários para controle de permissão do site Novo ícone para loja de web chrome ao abrir o novo Tab "&amp;"PPAPI Flash player (ou flash player baseado em pimenta) substituiu o npapi flash player ligado Mac também 24.0. 1312 2013 - 01 - 10 Webkit 537.17 3.14. 5 Suporte ao MATHML O elemento HTML5 Datalist agora suporta sugerindo um suporte experimental de data e"&amp;" hora para os filtros personalizados CSS 25.0. 1364 2013 - 02 - 21 2013 - 02 - 27 (Android) 2013 - 03 - 04 (iOS) WebKit 537.22 3.15. 11 Suporte ao suporte de áudio Opus para VP9 Video Silencie Instalações de extensões externas agora estão desativadas por "&amp;"padrão. API da API da Web API O omnibox Pesquisa (HTTPS) Criptografado Cliente nativo no suporte MathML Desativado por ARM Versão do Android (Atualização de 18): o áudio do mecanismo Javascript mais recente agora continua a reproduzir enquanto o Chrome es"&amp;"tá no suporte em segundo plano para a pausa do áudio no Chrome quando O telefone está em uso 26.0. 1410 2013 - 03 - 26 2013 - 04 - 03 (Android) 2013 - 04 - 09 (iOS) WebKit 537.31 3.16. 14 Flormas de mesa aprimorados de verificador de ortografia (gramática"&amp;" e verificação de homônimos) Para vários usuários (perfis) no resolvedor de DNS assíncrono do Windows na versão Mac e Linux Android: AutoFill e Sync Sync Sync) melhorias e melhorias de estabilidade 27.0. 1453 2013 - 05 - 21 2013 - 05 - 22 (Android) 2013 -"&amp;" 06 - 03 (iOS) Webkit 537.36 3.17. 6 Manuseio de recursos otimizado para carregamentos de página mais rápidos previsões de omnibox aprimoradas e correção de ortografia API SyncFilesystem para o Google Drive Sincronização de dados Parada de embalagem Manif"&amp;"est Versão 1.0 Extensões Android Versão: tela cheia em telefones (rolagem para baixo a página faz a barra de ferramentas desaparecer) No Omnibox, facilitando a edição) do histórico da guia de suporte ao certificado lateral do cliente em tablets `` uma ton"&amp;"elada de estabilidade e correções de desempenho '' 28.0. 1500 2013 - 06 - 17 (Linux) 2013 - 07 - 09 (MacOS e Windows) 2013 - 07 - 10 (Android) 2013 - 07 - 17 (iOS) Blink 537.36 WebKit 537.36 (no iOS) 3.18. 5 Motor de layout substituído por piscar, um garf"&amp;"o de webkit em todas as plataformas além do iOS carrega uma página mais rápida com as novas notificações ricas em analisador HTML com rosca piscada Blink (Centro de Notificações de Notificações (Notificações baseadas em HTML). JS Benchmark Performances Su"&amp;"porte para o CSS: pseudoclass de pseudoclass não resolvidas para elementos personalizados Suporte para o CSS @ suporta blocos condicionais para testar a propriedade: pares de valores Versão Android: Suporte de API em tela cheia (navegação em tela cheia em"&amp;" tablets) WebGL Experimental, Audio da Web, Suporte a Webs atrás da bandeira Build - na tradução Versão iOS: interoperabilidade aprimorada com muitos outros aprimoramentos de pesquisa de voz do Google Apps para economia de uso de dados de dados do iPad (l"&amp;"ançamento ao longo do tempo) Acesso ao histórico do navegador 29.0. 1547 2013 - 08 - 20 (Linux, MacOS e Windows) 2013 - 08 - 21 (Android) 2013 - 09 - 12 (iOS) Blink 537.36 3.19. 18 Suporte para o suporte final VP9 para o TLS 1.2 Suporte preliminar de supo"&amp;"rte QIC Melhorado sugestões omnibox com base na recência dos sites visitados Capacidade de redefinir o perfil do usuário de volta ao seu estado original de novos aplicativos e extensões APIs (como API de mensagens nativas para conectar o Chrome com aplica"&amp;"tivos nativos instalados No mesmo computador - uma alternativa à versão NPAPI) Android: WebRTC Support WebAudio Suporte a resposta melhorada de rolagem e indicação visual ao rolar para a parte superior ou inferior de uma página de startup de página e melh"&amp;"orias de estabilidade New Color Picker Interface do usuário para o suporte a Web Forms para o Google ' S Serviço de Compressão de Dados Experimentais (comparável ao Opera Turbo) que permite que os servidores do Google leiam e otimizem rapidamente uma pági"&amp;"na da Web para dispositivos móveis e depois o transmitam ao smartphone usando a tecnologia de rede SPDY do Google. Grupos de guias rudimentares implementaram a versão do iOS: volte aos resultados da pesquisa mais rápidos de economia de custos de dados (la"&amp;"nçados de forma incremental) Suporte ao pronome da pesquisa de voz (por exemplo, consultas como: `` Quem é o presidente dos Estados Unidos? '' Seguido por `` Quem é sua esposa? 1599 2013 - 09 - 18 (iOS) 2013 - 10 - 01 (Linux, MacOS e Windows) 2013 - 10 - "&amp;"02 (Android) Blink 537.36 3.20. 17 Novo item do menu de contexto de imagem: `` Pesquise Google por esta imagem '' Novo Apis Chrome Apps Apis: WebView. Solicitar, Galeria de mídia Write Support e Download Novos recursos da plataforma (no desktop e no celul"&amp;"ar): Suporte para a API de enumeração de dispositivos WebRTC, permitindo que os usuários alterem seus microfones e / ou câmera em tempo real sem precisar reiniciar a chamada WebRTC; Devtools agora suporta mapas de origem CSS; O Chrome agora corresponderá "&amp;"ao comportamento do IE e não honrará o cabeçalho da atualização ou as tags quando o URL a ser atualizado tiver um JavaScript: Scheme; Versão Android: Novo gesto: deslize horizontalmente pela barra de ferramentas superior para alternar rapidamente as guias"&amp;" Novo gesto: arraste verticalmente para baixo da barra de ferramentas para entrar no comutador de guias Vista novo gesto: arraste para baixo do menu para abrir o menu e selecionar o item desejado sem ter Para levantar o dedo webgl, é ativado por padrão em"&amp;" dispositivos de ponta de ponta de ponta (aceleração do dispositivo e taxas de rotação), a extensão da fonte de mídia é ativada no Android 4.1 + dois novos recursos experimentais por trás de uma sinalizadora: a API de fala da web (reconhecimento) e a API "&amp;"de vibração iOS Versão: Novas aprimoramentos de aparência e recursos para melhorias do iOS7 no comportamento da tela cheia, especialmente no iPad (somente iOS7), novos mapas de interface do usuário e links de e -mail iniciam os aplicativos do Google Maps "&amp;"e Gmail (se instalados) automaticamente. Você pode alterar sua preferência nas configurações de melhoria de estabilidade / segurança e correções de bugs 31.0. 1650 2013 - 11 - 12 (Linux, MacOS e Windows) 2013 - 11 - 14 (Android) 2013 - 11 - 20 (iOS) Blink"&amp;" 537.36 3.21. 18 Pagamento RequestAutocomplete () no Chrome para Android, Windows, Chrome OS PNACL nas versões da área de trabalho do Chrome New Chrome Apps APIs: Com manipuladores de URL para aplicativos, os desenvolvedores de aplicativos Chrome agora po"&amp;"dem especificar URLs a serem tratados por um aplicativo Chrome. Por exemplo, um link de documento em um site pode abrir um aplicativo Chrome Editor de documentos. Isso oferece aos usuários pontos de entrada mais perfeitos em seus aplicativos Chrome favori"&amp;"tos. O acesso do diretório para aplicativos permite que os aplicativos Chrome acessem e gravem nas pastas aprovadas pelo usuário. Esse recurso pode ser usado para compartilhar arquivos entre um aplicativo Chrome e um aplicativo nativo. Por exemplo, um edi"&amp;"tor de código de aplicativos do Chrome pode modificar os arquivos gerenciados por um cliente Git nativo. O SCTP for WebRTC Data Channel permite que as transferências de dados P2P entre os navegadores sejam o melhor esforço, confiável ou semi -confiável, a"&amp;"brindo casos de uso como jogos. O suporte do canal alfa para o vídeo do WebM permite o mascaramento da transparência (também conhecido como efeitos da tela verde) nos vídeos do WebM. O reconhecimento de fala com a API de fala da Web JavaScript agora é sup"&amp;"ortado no Chrome para Android. janela. DevicePixelratio agora leva o zoom completo - Página (mas não o zoom do beliscão) em consideração o suporte para (alfa: false) no getContext ('2d') permite criar uma tela opaca. Isso é semelhante à funcionalidade Web"&amp;"GL existente e pode melhorar o desempenho de renderização do seu aplicativo. A API da fonte de mídia não foi preefixada e agora é suportada no Chrome para Android. Ele permite que o JavaScript gere fluxos de mídia para reprodução, abordando casos de uso, "&amp;"como streaming adaptativo e transmissões ao vivo em mudança de tempo. A tela 2D agora suporta o método `` elipse '. O suporte a vários eventos de mutação foi removido. Considere usar o mutationObServer. Versão iOS: Conclusão rápida do formulário com preen"&amp;"chimento automático de prensa longa em uma imagem para pesquisar imagens relacionadas Estabilidade / melhorias de segurança e correções de bugs 32.0. 1700 2014 - 01 - 14 (Linux, MacOS e Windows) 2014 - 01 - 15 (Android) 2014 - 01 - 27 (iOS) Blink 537.36 3"&amp;".22. Indicadores de 24 guias para som, webcam e lançando uma aparência diferente para o modo metropolim Win8 bloqueando automaticamente o malware arquiva uma série de novas APPs / APIs de extensão Várias em - as mudanças - capuz para estabilidade e desemp"&amp;"enho Android versão: Adicione atalhos de página da web à sua casa A tela mais facilmente do menu reduz o uso de dados no Chrome em até 50 %. Visite Configurações&gt; Gerenciamento de largura de banda&gt; Reduza o uso de dados para ativar. Versão iOS: traduza qu"&amp;"ando você encontrar uma página escrita em um idioma que você não entende, basta procurar a barra de tradução. Uma torneira e a página é rapidamente traduzida para você. Reduza o uso de dados Reduza o uso de dados em até 50 %. Habilite esse recurso e visua"&amp;"lize suas economias: Configurações&gt; Largura de banda&gt; Reduza o uso de dados. A atualização da nova página da guia para tornar a pesquisa mais rápida e mais fácil, esse recurso está sendo lançado e estará disponível para todos os usuários ao longo do tempo"&amp;", começando no iPhone. 33.0. 1750 2014 - 02 - 18 (iOS) 2014 - 02 - 20 (Linux, MacOS e Windows) 2014 - 02 - 26 (Android) Blink 537.36 3.23. 17 Elementos personalizados OGG Opus em MSE e Página API API VTTCUE API da fala da web (síntese) Fonte - Kerning req"&amp;"uestautocomplete () Síntese de fala Android Versão: Download de notificação de progresso para downloads de arquivos usando a pilha de redes Chrome Ajuda atualizada e feedback Ui Suporte para tag iOS versão : Atualizações de estabilidade e segurança 34.0. "&amp;"1847 2014 - 04 - 02 (Android) 2014 - 04 - 08 (Linux, MacOS e Windows) 2014 - 04 - 29 (iOS) Blink 537.36 3.24. 35 Imagens responsivas e importação de áudio da web não prefixada Supervisionou usuários para novos computadores Uma aparência diferente para o m"&amp;"odo Metro Windows 8 vários novos aplicativos / extensão APIs New Scroll Bar Look Ignora Autocomplete = `` OFF '' Em ​​campos de entrada de senha, versão do Android: Uso da bateria Otimizações Versão iOS: Tour atualizado quando você inicia o Chrome pela pr"&amp;"imeira vez, suporte ao AutoComplete no Omnibox para os idiomas da direita para a esquerda 35.0. 1916 2014 - 05 - 20 (Android) 2014 - 05 - 20 (Linux, MacOS e Windows) 2014 - 05 - 28 (iOS) Blink 537.36 3.25. 28 MAIS CONTROLE DE DESENVOLVENDOR SOBRE TOCK ENT"&amp;"RO NOVA Javascript Recursos Não Prefixos DOM SHARGE V0 Vários novos aplicativos / APIs de extensão Opus atualizados para a versão V1. 1 Versão do Android: Desfazer a guia Fechar o vídeo de tela cheia com legendas e controles html5 suportes para alguns dis"&amp;"positivos de múltiplas janelas Versão iOS: Adicionada à direita - para - Suporte à esquerda ao omnibox para árabe e hebraico Veja seu termo de pesquisa no omnibox, em vez do longo URL de consulta de pesquisa refinando facilmente suas consultas de pesquisa"&amp;" e visualize mais resultados nas melhorias de estabilidade da página de resultados de pesquisa e correções de bugs Linux versão: back -end de interface gráfica comutada do GTK+ para aura 36.0. 1985 2014 - 07 - 15 (iOS) 2014 - 07 - 16 (Linux, MacOS e Windo"&amp;"ws) 2014 - 07 - 16 (Android) Blink 537.36 3.26. 31 Melhorias de notificações ricas em um design de NTP incógnito / convidado atualizado A adição de uma bolha de recuperação de falhas do navegador múltipla estabilidade e melhorias de desempenho Android Ver"&amp;"são: renderização de texto aprimorada em sites otimizados não móveis retornam à nova página da guia Versão iOS: Permite sites móveis que Adicionaram suporte de elenco para trabalhar com o seu elenco - melhorias de estabilidade do dispositivo ativado e cor"&amp;"reções de bugs Linux versão: Chrome App Launcher 37.0. 2062 2014 - 08 - 26 (Linux, MacOS e Windows) 2014 - 09 - 03 (Android) 2014 - 09 - 22 (iOS) Blink 537.36 3.27. 34 Suporte Directwrite no Windows para melhorar a fonte de fonte de uma série de novos apl"&amp;"icativos / extensão APIs múltipla de estabilidade e melhorias de desempenho Remoção da API ShowModaldialog, quebrando vários aplicativos da Web corporativos Android Versão: assinar o Chrome Signs You em seus sites favoritos do Google Com elementos de desi"&amp;"gn de material Multaduras de desempenho e correções de bugs Versão do Windows: 64 - Bit Windows Suporte 38.0. 2125 2014 - 10 - 07 (Linux, MacOS e Windows) 2014 - 10 - 07 (iOS) 2014 - 10 - 08 (Android) Blink 537.36 3.28. 71 Vários novos aplicativos / APIs "&amp;"de extensão Suporte para entrar em sites usando a chave de segurança FIDO U2F (um token de segurança USB ou SmartCard) como um fator na autenticação de 2 fatores em - as mudanças de estabilidade e desempenho para Android: Suporte para suporte para o supor"&amp;"te para o suporte para o suporte para o suporte para o suporte para o suporte para o suporte para o suporte para o suporte para o suporte para o suporte para o suporte para o suporte para o suporte para o suporte para o suporte para o suporte para o supor"&amp;"te para o suporte para o suporte para o suporte para o suporte para o suporte para o suporte para o Android: suporte para suporte: suporte para suporte para suporte: suporte para suporte para suporte: suporte para suporte para suporte: suporte para suport"&amp;"e para suporte: suporte para suporte para suporte: suporte para suporte para suporte: suporte para suporte para suporte: suporte para suporte para suporte: suporte para suporte para suporte: suporte para suporte para suporte: suporte para suporte para sup"&amp;"orte para Status da bateria e orientação da tela APIs APIs de material adicionais Atualizações de correções de bugs e melhorias de desempenho Versão iOS: melhor suporte para iPhone 6 e 6 + Download e abre arquivos no Google Drive Aprovesments e Bugs Corre"&amp;"ções de segurança Correção 39.0. 2171 2014 - 11 - 12 (Android) 2014 - 11 - 18 (Linux, MacOS e Windows) 2014 - 11 - 24 (iOS) piscar 537,36 3.29. 88 Remove a versão do protocolo SSL / TLS Fallback to SSLV3 64 - Suporte a bits para Mac Vários novos aplicativ"&amp;"os / APIs de extensão em - As mudanças de capô para estabilidade e desempenho Android versão: Número de correções de bugs e melhorias de desempenho O modo de leitor experimental pode ser ativado via Chrome: // sinalizadores, não está disponível para table"&amp;"ts nesta versão 40.0. 2214 2015 - 01 - 20 (iOS) 2015 - 01 - 21 (Linux, MacOS e Windows) 2015 - 01 - 21 (Android) Blink 537.36 3.30. 33 Suporte desativado SSLV3 Por padrão, a versão mínima SSL / TLS agora pode ser definida sobre: ​​Sinalizadores Caixa de d"&amp;"iálogo Informações atualizadas para o aplicativo Chrome no Windows e Linux Um novo relógio atrás / Appresso Mensagem de erro Versão Android: Informações da página atualizadas e conteúdo Configurações da interface do usuário Correções de bugs e melhorias d"&amp;"e desempenho Versão iOS: nova aparência com design de material, trazendo gráficos ousados, movimento de fluido e superfícies táteis iOS 8 otimizações e suporte para telefones maiores suportam transferência do Chrome ao seu navegador padrão nas melhorias d"&amp;"e estabilidade do macOS e correções de bugs 41.0. 2272 2015 - 03 - 03 (Linux, MacOS e Windows) 2015 - 03 - 11 (Android) 2015 - 03 - 16 (iOS) Blink 537.36 4.1. 0 Vários novos aplicativos / APIs de extensão Lão de alterações no capô para estabilidade e inte"&amp;"rface aerodinâmica de desempenho está desativada na versão do Windows Vista Android: a capacidade de puxar para recarregar na parte superior da maioria das páginas várias correções de bugs e melhorias de desempenho 42.0 . 2311 2015 - 04 - 14 (Linux, MacOS"&amp;" e Windows) 2015 - 04 - 15 (Android) 2015 - 04 - 16 (iOS) Blink 537.36 4.2. 77 Suporte para plug -ins NPAPI Desativado por padrão vários novos aplicativos, APIs de extensão e plataforma da Web (incluindo a API PUSH) Lotas de alterações sob o capô para est"&amp;"abilidade e desempenho Adicionar marcador agora está redesenhado. Versão Android: Obter as atualizações mais recentes de sites com notificações adicionando seus sites favoritos à sua tela inicial agora é ainda mais fácil correções de bugs e melhorias rápi"&amp;"das de desempenho 43.0. 2357 2015 - 05 - 19 (Linux, MacOS e Windows) 2015 - 05 - 27 (Android) 2015 - 06 - 01 (iOS) Blink 537.36 4.3. 61 Numerosas correções de bugs e correções de segurança Android Versão: Check -out mais rápido - Formulários de check -out"&amp;" mais rápidos e seguros com dados do Google Wallet Touch para pesquisar - Saiba mais sobre palavras e frases tocando -as nas correções de bugs de tela e melhorias rápidas de desempenho não mais Suporta o Android 4.0 (sanduíche de sorvete) 44.0. 2403 2015 "&amp;"- 07 - 21 (Linux, MacOS e Windows) 2015 - 07 - 22 (iOS) 2015 - 07 - 29 (Android) Blink 537.36 4.4. 63 Vários novos aplicativos / APIs de extensão Mudança no círculo da página de carregamento nas guias Chrome Loth of the Hood Alterações para estabilidade e"&amp;" desempenho Versão Android: Corrigido um barco de bugs e problemas de desempenho. Versão iOS: deslize para navegar: deslize para a direita ou esquerda para navegar para trás e para frente suporte para acessar o conteúdo físico da Web a partir das melhoria"&amp;"s de estabilidade de visualização e correções de bugs 45.0. 2454 2015 - 09 - 01 (Linux, MacOS e Windows) 2015 - 09 - 01 (Android) 2015 - 09 - 02 (iOS) Blink 537.36 4.5. 103 Suporte para plugins NPAPI Desativados permanentemente uma série de correções e me"&amp;"lhorias na versão Android: várias correções para um monte de desempenho / estabilidade / outros problemas. 46.0. 2490 2015 - 10 - 13 (Linux, MacOS e Windows) 2015 - 10 - 14 (Android) 2015 - 10 - 22 (iOS) piscar 537,36 4.6. 85 Mudança no design do logotipo"&amp;" da barra de tarefas várias correções e melhorias. Versão Android: Sob o desempenho do capô e ajustes de estabilidade. 47.0. 2526 2015 - 12 - 01 (iOS) 2015 - 12 - 01 (Linux, MacOS e Windows) 2015 - 12 - 02 (Android) Blink 537.36 4.7. 80 Mudança na aparênc"&amp;"ia nas guias de fechamento com o novo design de visualizador PDF do Red X FIXES Android Versão: `` Mais do que uma carga de barcaça de correções de desempenho e estabilidade ''. Versão iOS: Adicionado suporte para mais atalhos de teclado. Os teclados Blue"&amp;"tooth podem abrir, fechar ou alterar as guias ou realizar uma pesquisa por voz. Suporte para o 3D Touch no iPhone 6s / +. Força Toque no ícone Chrome para abrir rapidamente uma nova guia, uma nova guia Incognito * ou realizar uma pesquisa por voz. 48.0. 2"&amp;"564 2016 - 01 - 20 (Linux, MacOS e Windows) 2016 - 01 - 27 (iOS) 2016 - 01 - 27 (Android) Piscar 537.36 4.8. 271 `` guia descartando '' foi ativado por padrão no Chrome: // sinalizadores de janela Alterar à direita - clicando em um link da web incorporado"&amp;" O ícone da chave em `` salvar sua senha '' transforma preto `` clear navegação histórico '' foi melhorado Um grande número de correções e melhorias na versão do Android: correções de bugs e melhorias rápidas de desempenho. Versão iOS: Esta versão usa o W"&amp;"KWebView, o mais recente mecanismo de renderização da Apple. A taxa de colisão foi reduzida em 70 % e a execução do JavaScript agora é mais rápida. Ícones redesenhados na nova página da guia: Acesso mais fácil a mais sites visitados com frequência - visit"&amp;"ados. Integração do Spotlight: arraste para baixo ou direita da tela inicial e pesquise seus favoritos do Chrome. 49.0. 2623 2016 - 03 - 02 (Linux, MacOS e Windows) 2016 - 03 - 09 (iOS) 2016 - 03 - 09 (Android) Blink 537.36 4.9. 385 Os ícones de extensão "&amp;"agora aparecem perto da guia Pesquisa. Mudanças nas aparições de bares de favoritos. Alteração na janela do modo incógnito. Mudança no movimento da barra de rolagem. Aparência / design da página de downloads alterados. Um grande número de correções e melh"&amp;"orias removidas do Modo Windows 8 (modo metropolitano) na última versão disponível para Windows XP e Vista e Mac OS 10.6 - 10.8. Versão Android: `` Mais do que uma barcaça cheia de correções de desempenho e estabilidade. '' Versão iOS: Os favoritos têm um"&amp;" novo visual: Encontre seus favoritos facilmente! Correções de bug e estabilidade. 50.0. 2661 2016 - 04 - 13 (Linux, MacOS e Windows) 2016 - 04 - 20 (iOS) 2016 - 04 - 26 (Android) Piscar 537.36 5.0. 71 Auto - Preencha as letras do formulário agora estão d"&amp;"estacadas em negrito. Várias correções e melhorias. Não suporta mais o Windows XP e o Vista. Versão Android: correções de bugs e melhorias rápidas de desempenho. Versão iOS: correções de bug e estabilidade. 51.0. 2704 2016 - 05 - 25 (Linux, MacOS e Window"&amp;"s) 2016 - 06 - 01 (iOS) 2016 - 06 - 01 (Android) Pisca 537.36 5.1. 281 várias correções e melhorias. Versão do Android: trouxe a troca de guias de volta para o Chrome (Android L+) correções de bug e melhorias rápidas de desempenho. Versão iOS: correções d"&amp;"e bug e estabilidade. 52.0. 2743 2016 - 07 - 20 (Linux, MacOS e Windows) 2016 - 07 - 27 (iOS) 2016 - 07 - 27 (Android) Piscar 537.36 5.2. 361 É impossível desativar o Directwrite. Bar na parte inferior agora mostra texto mais escuro ao passar o mouse sobr"&amp;"e o link. `` Várias correções e melhorias. '' Versão do Android: correções de bugs e melhorias rápidas de desempenho iOS Versão: Páginas móveis aceleradas (`` amp '') - Notícias e artigos de muitos de seus editores favoritos agora serão carregados instant"&amp;"aneamente. Lightning Bolt e `` amp '' ao lado de artigos na seção `` top stories '' dos resultados da pesquisa indicam carregamento mais rápido da página da web. 53.0. 2785 2016 - 08 - 31 (Linux, MacOS e Windows) 2016 - 09 - 07 (iOS) 2016 - 09 - 07 (Andro"&amp;"id) Blink 537.36 5.3. 332 O visual interno do novo navegador, incluindo um novo favorito `` várias correções e melhorias. '' 'Simplifique a opção Página' removida de 'Salvar como PDF'. SHARGE DOM V1 Android Versão: correções de bugs e melhorias rápidas de"&amp;" melhorias de desempenho AutoPlay para o vídeo IOS Versão: o histórico do Chrome tem uma nova aparência e agora é mais fácil de revisar, encontrar e excluir seu histórico de navegação. A pesquisa por voz foi atualizada com uma nova aparência. A pesquisa p"&amp;"or voz agora pode responder a perguntas contextuais, como `` qual a altura da Torre Eiffel? '' Seguido por `` Quando foi construído? 54.0. 2840 2016 - 10 - 12 (Linux, MacOS e Windows) 2016 - 10 - 19 (iOS) 2016 - 10 - 19 (Android) Piscar 537,36 5.4. 500 ``"&amp;" Outros marcadores '' A guia mudou a aparência da mensagem `` Right - clique para reproduzir o Adobe Flash Player '' agora aparece enquanto as páginas com o Adobe Flash player estão carregando. `` Várias correções e melhorias. '' Versão do Android: correç"&amp;"ões de bugs e melhorias rápidas de desempenho Ver sugestões de artigo para você na nova página da guia Play Media em segundo plano para sites que suportam a atualização de senhas salvadas quando você altera ou redefina sua senha versão iOS: sem conexão co"&amp;"m a Internet? Sorria e toque nos ícones de favoritos fixo de dinossauros que não exibem problemas de detecção de número de telefone fixo corretamente nas melhorias de estabilidade da Web Pages e correções de bugs 55.0. 2883 2016 - 12 - 01 (Linux, MacOS e "&amp;"Windows) 2016 - 12 - 05 (iOS) 2016 - 12 - 06 (Android) piscar 537.36 5.5. 372 A página de histórico mudou e não está mais nas `` configurações '' flash player agora está desativado por padrão para a maioria dos sites `` várias correções e melhorias. '' Nã"&amp;"o é possível desativar a versão iOS de design de material superior: você pode deslizar para baixo ou diretamente na tela inicial do iOS para pesquisar. Pesquisando por `` voz '' ou `` incognito '' permite que você inicie o Chrome no modo de pesquisa de vo"&amp;"z ou em uma nova guia Incognito, respectivamente. A aparência dos itens na pesquisa de destaque funcionará apenas para dispositivos que suportam ações do Spotlight. A pasta denominada `` All Bookmarks '' foi removida da visualização dos marcadores. Você p"&amp;"ode acessar todos os favoritos de seus outros dispositivos clicando nas outras pastas. Versão Android: correções de bugs e melhorias rápidas de desempenho baixam facilmente músicas, vídeos e até páginas da web completas para visualizar a exibição offline "&amp;"e compartilhar seus downloads no Chrome Veja palavras com ortografia destacadas nas melhorias dos campos de texto na pesquisa contextual UI 56.0. 2924 2017 - 01 - 25 (Linux, MacOS e Windows) 2017 - 02 - 01 (iOS) 2017 - 02 - 01 (Android) Blink 537.36 5.6. "&amp;"326 HTML5 Ativado por padrão Adobe Flash Player é automaticamente bloqueado para a maioria dos sites que exigem a marcação do plug -in de sites HTTP não garantidos `` várias correções e melhorias. '' Versão iOS: verifique um código ou código de barras QR "&amp;"usando o 3D Touch no logotipo do aplicativo ou pesquisando `` `qr '' em Spotlight. Nós redesenhamos o layout do comutador de guias no iPad para facilitar o acesso aos seus sites abertos. Versão Android: baixe facilmente músicas, vídeos e até páginas da we"&amp;"b completas para visualizar a visualização offline e compartilhar seus downloads no Chrome Veja palavras com ortografia destacadas nas melhorias dos campos de texto nas correções de bugs de pesquisa contextual e economia de memória significativa 57.0. 298"&amp;"7 2017 - 03 - 09 (Linux, MacOS e Windows) 2017 - 03 - 14 (iOS) 2017 - 03 - 16 (Android) Blink 537.36 5.7. 492 Layout da grade CSS melhorou `` adicionar à home '' API de sessão de mídia de mídia `` várias correções e melhorias. '' WebAssembly Background Ta"&amp;"b Policy Alterações iOS Versão: Chrome pode adicionar páginas à sua lista de leitura. Encontre na página agora funciona corretamente no iOS 10.3. Versão do Android: use rapidamente e -mails, endereços e números de telefone nas páginas da web tocando neles"&amp;" acessar facilmente arquivos baixados e páginas da web da nova página da guia Pressiona sugestões de artigo da imprensa na nova página da guia para baixar correções de bugs e por per.")</f>
        <v>   Data de lançamento da versão principal Motor V8 MOTOR MOTOR MUDANÇAS significativas 0,2. 149 2008 - 09 - 02 Webkit 522 0.3 Primeira versão 0.3. 154 2008 - 10 - 29 A melhoria de desempenho de desempenho e confiabilidade do plug -in para os campos de entrada melhorados no desempenho da Web e a guia de confiabilidade e atualizações de gerenciamento de janelas 0.4. 154 2008 - 11 - 24 Webkit 525 Gerente de marcadores com seção de privacidade de suporte e exportação de suporte adicionada às opções Opções Novas Notificação pop -up bloqueada 1.0. 154 2008 - 12 - 11 Webkit 528 Primeira versão estável 2.0. 172 2009 - 05 - 24 Webkit 530 0,4 35 % Javascript mais rápido no suporte do mouse de benchmark Suporte de roda do mouse - Modo de tela Full - Página Zoom Form Auto - Preencha os marcadores de classificação por guia Título POCKING para o navegador e as bordas da área de trabalho BASIC GREASEMENKEY SUPORTE 3.0. 195 2009 - 10 - 12 Webkit 532 1.2 Nova página `` nova guia '' para obter uma personalização aprimorada 25 % mais rápido 249 2010 - 01 - 25 Webkit 532.5 1.3 Extensões Sincronização de favoritos Ferramentas aprimoradas do desenvolvedor HTML5 Melhorias de desempenho Suporte ACEDIMENTO COMPLETO3 Passe HTTP Suporte de bytes de suporte experimental Novo recurso anti -reflexo - XSS chamado `` `` Auditor XSS '' 4.1. 249 2010 - 03 - 17 Traduzir o InfoBar Novos recursos de privacidade do Auditor XSS 5.0. 375 2010 - 05 - 21 Webkit 533 Preferência do navegador Sincronizando aumento de suporte HTML5 (API de geolocalização, cache de aplicativos, soquetes da web e arrasto de arquivos - e - soltar) Recomenda o gerente de favoritos Adobe Flash Player Primeiros lançamentos estáveis ​​para MacOS, 32 bits Linux e 64 bits Linux 6.0. 472 2010 - 09 - 02 Webkit 534.3 UI atualizada e mais simplificada com o omnibox simplificado nova página de guia Formulário de menu Formulário automático - preencha o suporte de sincronização expandido para incluir extensões e automóveis - preencher suporte de dados para vídeos do webm construídos - no suporte a PDF (desativado por default default ) 7.0. 517 2010 - 10 - 21 Webkit 534.7 2.3. 11 Implementou o upload do diretório API de arquivo de algoritmo de algoritmo HTML5 via tag de entrada Tag macOS versão ganhou suporte de AppleScript para Automação da UI Ligação tardia ativada para soquetes SSL: as solicitações de SSL de alta prioridade agora são sempre enviadas ao servidor primeiro. Novas opções para gerenciar os cookies atualizados nova página de guia para ativar a apresentação de aplicativos da web 8.0. 552 2010 - 12 - 02 Webkit 534.10 2.4. 9 Chrome Web Store Built - no visualizador de PDF que funciona dentro da caixa de areia do Chrome para aumentar o suporte de sincronização expandido de segurança para incluir aplicativos da web plugt plug - ao lidar com esta versão adicionada `` sobre: ​​sinalizadores '' para mostrar recursos experimentais como o Chrome Instant, Guias laterais nas janelas, configurações com guias, clique para reproduzir, aplicativos da web em segundo plano, remoção, desativa o plugue desatualizado - ins, auditor XSS, proxy de impressão em nuvem, GPU - composição acelerada, suporte a webgl para o elemento tela e uma visão geral da guia `` guia ' 'Modo (como exposição) para MacOS. 9.0. 597 2011 - 02 - 03 Webkit 534.13 2.5. 9 WebGL ativado por padrão Adobe Flash Sandboxing no Windows e Chrome Instant (a la google instant) opção webp suporta novos sinalizadores: visualização de impressão, gpu - composição acelerada, gpu - tela acelerada 2d, cliente nativo do Google, aplicativos sem CRX, web, web, web, web Página Prendering, APIs Experimentais de Extensão, Desativar o Hyperlink Audition 10.0. 648 2011 - 03 - 08 Webkit 534.16 3.0. 12 Google Cloud Print Sign - Na interface ativada por padrão, implementou parcialmente a caixa de areia do processo de GPU mais rápido, devido à incorporação do eixo de manivela, um compilador aprimorado para as páginas de configurações V8 que abrem em uma guia, em vez de um relatório de malware de caixa de diálogo e desabilitação plugins senha Sincronizar a GPU acelerar o vídeo API de extensão de webnavigation de webpapps 11.0. 696 2011 - 04 - 27 WebKit 534.24 3.1. 8 API de entrada de fala HTML5 Icon 12.0. 742 2011 - 06 - 07 Webkit 534.30 3.2. 10 Hardware acelerado 3D CSS nova proteção de navegação segura contra o download de arquivos maliciosos Capacidade de excluir cookies flash de aplicativos de lançamento do Chrome Inside pelo nome do Omnibox Integrated Sync em novas páginas de configurações Páginas aprimoradas Leitor de tela suporta Novo aviso ao atingir o comando - q em mac sinalizadores: mac sinalizadores: API P2P Guia Existente em primeiro plano na página Experimental e experimental Adicionar agrupamento ao menu de contexto de contexto Execute o flash ppapi no processo renderizador vários perfis removidos do Google Gears Imprimir e salvar botões no visualizador PDF 13.0. 782 2011 - 08 - 02 Webkit 535.1 3.3. 10 Páginas instantâneas (pré-renderização de páginas da web) Interface de impressão e visualização nativa (somente Linux e Windows) nova página de guia Experimental Restringir o instante para pesquisar a opção 14.0. 835 2011 - 09 - 16 3.4. 14 Cliente nativo (NACL) Ativado para aplicativos na API de áudio da web da Web Store Chrome API MacOS Lion Suporte de recursos Criptografia Sync para todas as visualizações de impressão de dados sobre a validação do MAC de sites HTTPS Sites experimentais API Extensão de extensão experimental Configurações de conteúdo API 15.0. 874 2011 - 10 - 25 Webkit 535.2 3.5. 10 API mais rápida de visualização de visualização redesenhada API JavaScript de JavaScript, habilitado por padrão, instalação inline dos itens da loja da web do Chrome por sites verificados Omnibox History Syncronização Mudou para o FFMPEG VP8 Decoder Extensions. 912 2011 - 12 - 13 Webkit 535.7 3.6. 6 Vários perfis sobre as permissões opcionais padrão nas extensões do Chrome, para que o usuário possa optar por - dentro ou optar - das permissões opcionais no tempo de instalação, o suporte experimental para guias laterais foi removido. 17.0. 963 2012 - 02 - 08 Webkit 535.11 3.7. 12 Atualizado Omnibox Prendering of Páges Download Proteção de varredura Novas extensões APIs aprimoradas da guia Histórico Remoção do símbolo `` `` '' Info 18.0. 1025 2012 - 03 - 28 2012 - 06 - 27 (braço Android) 2012 - 09 - 26 (18.0. 1026, Android x86) Webkit 535.19 3.8. 9 Hardware - Graphics Acelerado Canvas2d WebGL sem a necessidade de hardware gráfico 3D através do Rasterizador de software SwiftShader Brighter `` Novo Tab '' Botão 19.0. 1084 2012 - 05 - 15 2012 - 06 - 28 (iOS) Webkit 536,5 3.9. 24 guias de acesso entre dispositivos reorganizados e configurações pesquisáveis ​​interface melhor verificação ortográfica usando o link da loja da Web Store da Web Store do mecanismo de pesquisa do Google para a parte inferior da nova página de guia 1132 2012 - 06 - 26 Webkit 536.10 3.10. 6 Ajustes experimentais de interface do usuário para toque. Os menus de contexto têm preenchimento vertical extra entre os itens. O novo botão da guia é maior e mais largo 21.0. 1180 2012 - 07 - 31 2012 - 08 - 22 (iOS) Webkit 537.1 3.11. 10 API de fluxo de mídia (getUsermedia) ativado por padrão. (Por exemplo, acesso à webcam via JavaScript.) Protótipo da API do GamePad disponível por padrão. Suporte para consultas de mídia (POINTER) e (Passe) para que os sites possam otimizar sua interface de usuário para toque quando o suporte da tela Touch - está disponível. HTML5 Audio / Video e Webudio agora suportam arquivos de onda PCM de 24 - Bit 22.0. 1229 2012 - 09 - 25 Webkit 537,4 3.12. 19 Aplicativos embalados de estilos novos são ativados por padrão. Novo ícone do menu, substituindo o suporte do ícone da chave para o suporte do TLS 1.1 para os perfis ICC V2 de gerenciamento de cores por padrão 23.0. 1271 2012 - 11 - 06 2012 - 11 - 28 (iOS) Webkit 537.11 3.13. 7 Não rastreie a aceleração de vídeo de hardware de preferência com 25 % mais eficiente consumo de energia em alguns cenários gerente de cenários para controle de permissão do site Novo ícone para loja de web chrome ao abrir o novo Tab PPAPI Flash player (ou flash player baseado em pimenta) substituiu o npapi flash player ligado Mac também 24.0. 1312 2013 - 01 - 10 Webkit 537.17 3.14. 5 Suporte ao MATHML O elemento HTML5 Datalist agora suporta sugerindo um suporte experimental de data e hora para os filtros personalizados CSS 25.0. 1364 2013 - 02 - 21 2013 - 02 - 27 (Android) 2013 - 03 - 04 (iOS) WebKit 537.22 3.15. 11 Suporte ao suporte de áudio Opus para VP9 Video Silencie Instalações de extensões externas agora estão desativadas por padrão. API da API da Web API O omnibox Pesquisa (HTTPS) Criptografado Cliente nativo no suporte MathML Desativado por ARM Versão do Android (Atualização de 18): o áudio do mecanismo Javascript mais recente agora continua a reproduzir enquanto o Chrome está no suporte em segundo plano para a pausa do áudio no Chrome quando O telefone está em uso 26.0. 1410 2013 - 03 - 26 2013 - 04 - 03 (Android) 2013 - 04 - 09 (iOS) WebKit 537.31 3.16. 14 Flormas de mesa aprimorados de verificador de ortografia (gramática e verificação de homônimos) Para vários usuários (perfis) no resolvedor de DNS assíncrono do Windows na versão Mac e Linux Android: AutoFill e Sync Sync Sync) melhorias e melhorias de estabilidade 27.0. 1453 2013 - 05 - 21 2013 - 05 - 22 (Android) 2013 - 06 - 03 (iOS) Webkit 537.36 3.17. 6 Manuseio de recursos otimizado para carregamentos de página mais rápidos previsões de omnibox aprimoradas e correção de ortografia API SyncFilesystem para o Google Drive Sincronização de dados Parada de embalagem Manifest Versão 1.0 Extensões Android Versão: tela cheia em telefones (rolagem para baixo a página faz a barra de ferramentas desaparecer) No Omnibox, facilitando a edição) do histórico da guia de suporte ao certificado lateral do cliente em tablets `` uma tonelada de estabilidade e correções de desempenho '' 28.0. 1500 2013 - 06 - 17 (Linux) 2013 - 07 - 09 (MacOS e Windows) 2013 - 07 - 10 (Android) 2013 - 07 - 17 (iOS) Blink 537.36 WebKit 537.36 (no iOS) 3.18. 5 Motor de layout substituído por piscar, um garfo de webkit em todas as plataformas além do iOS carrega uma página mais rápida com as novas notificações ricas em analisador HTML com rosca piscada Blink (Centro de Notificações de Notificações (Notificações baseadas em HTML). JS Benchmark Performances Suporte para o CSS: pseudoclass de pseudoclass não resolvidas para elementos personalizados Suporte para o CSS @ suporta blocos condicionais para testar a propriedade: pares de valores Versão Android: Suporte de API em tela cheia (navegação em tela cheia em tablets) WebGL Experimental, Audio da Web, Suporte a Webs atrás da bandeira Build - na tradução Versão iOS: interoperabilidade aprimorada com muitos outros aprimoramentos de pesquisa de voz do Google Apps para economia de uso de dados de dados do iPad (lançamento ao longo do tempo) Acesso ao histórico do navegador 29.0. 1547 2013 - 08 - 20 (Linux, MacOS e Windows) 2013 - 08 - 21 (Android) 2013 - 09 - 12 (iOS) Blink 537.36 3.19. 18 Suporte para o suporte final VP9 para o TLS 1.2 Suporte preliminar de suporte QIC Melhorado sugestões omnibox com base na recência dos sites visitados Capacidade de redefinir o perfil do usuário de volta ao seu estado original de novos aplicativos e extensões APIs (como API de mensagens nativas para conectar o Chrome com aplicativos nativos instalados No mesmo computador - uma alternativa à versão NPAPI) Android: WebRTC Support WebAudio Suporte a resposta melhorada de rolagem e indicação visual ao rolar para a parte superior ou inferior de uma página de startup de página e melhorias de estabilidade New Color Picker Interface do usuário para o suporte a Web Forms para o Google ' S Serviço de Compressão de Dados Experimentais (comparável ao Opera Turbo) que permite que os servidores do Google leiam e otimizem rapidamente uma página da Web para dispositivos móveis e depois o transmitam ao smartphone usando a tecnologia de rede SPDY do Google. Grupos de guias rudimentares implementaram a versão do iOS: volte aos resultados da pesquisa mais rápidos de economia de custos de dados (lançados de forma incremental) Suporte ao pronome da pesquisa de voz (por exemplo, consultas como: `` Quem é o presidente dos Estados Unidos? '' Seguido por `` Quem é sua esposa? 1599 2013 - 09 - 18 (iOS) 2013 - 10 - 01 (Linux, MacOS e Windows) 2013 - 10 - 02 (Android) Blink 537.36 3.20. 17 Novo item do menu de contexto de imagem: `` Pesquise Google por esta imagem '' Novo Apis Chrome Apps Apis: WebView. Solicitar, Galeria de mídia Write Support e Download Novos recursos da plataforma (no desktop e no celular): Suporte para a API de enumeração de dispositivos WebRTC, permitindo que os usuários alterem seus microfones e / ou câmera em tempo real sem precisar reiniciar a chamada WebRTC; Devtools agora suporta mapas de origem CSS; O Chrome agora corresponderá ao comportamento do IE e não honrará o cabeçalho da atualização ou as tags quando o URL a ser atualizado tiver um JavaScript: Scheme; Versão Android: Novo gesto: deslize horizontalmente pela barra de ferramentas superior para alternar rapidamente as guias Novo gesto: arraste verticalmente para baixo da barra de ferramentas para entrar no comutador de guias Vista novo gesto: arraste para baixo do menu para abrir o menu e selecionar o item desejado sem ter Para levantar o dedo webgl, é ativado por padrão em dispositivos de ponta de ponta de ponta (aceleração do dispositivo e taxas de rotação), a extensão da fonte de mídia é ativada no Android 4.1 + dois novos recursos experimentais por trás de uma sinalizadora: a API de fala da web (reconhecimento) e a API de vibração iOS Versão: Novas aprimoramentos de aparência e recursos para melhorias do iOS7 no comportamento da tela cheia, especialmente no iPad (somente iOS7), novos mapas de interface do usuário e links de e -mail iniciam os aplicativos do Google Maps e Gmail (se instalados) automaticamente. Você pode alterar sua preferência nas configurações de melhoria de estabilidade / segurança e correções de bugs 31.0. 1650 2013 - 11 - 12 (Linux, MacOS e Windows) 2013 - 11 - 14 (Android) 2013 - 11 - 20 (iOS) Blink 537.36 3.21. 18 Pagamento RequestAutocomplete () no Chrome para Android, Windows, Chrome OS PNACL nas versões da área de trabalho do Chrome New Chrome Apps APIs: Com manipuladores de URL para aplicativos, os desenvolvedores de aplicativos Chrome agora podem especificar URLs a serem tratados por um aplicativo Chrome. Por exemplo, um link de documento em um site pode abrir um aplicativo Chrome Editor de documentos. Isso oferece aos usuários pontos de entrada mais perfeitos em seus aplicativos Chrome favoritos. O acesso do diretório para aplicativos permite que os aplicativos Chrome acessem e gravem nas pastas aprovadas pelo usuário. Esse recurso pode ser usado para compartilhar arquivos entre um aplicativo Chrome e um aplicativo nativo. Por exemplo, um editor de código de aplicativos do Chrome pode modificar os arquivos gerenciados por um cliente Git nativo. O SCTP for WebRTC Data Channel permite que as transferências de dados P2P entre os navegadores sejam o melhor esforço, confiável ou semi -confiável, abrindo casos de uso como jogos. O suporte do canal alfa para o vídeo do WebM permite o mascaramento da transparência (também conhecido como efeitos da tela verde) nos vídeos do WebM. O reconhecimento de fala com a API de fala da Web JavaScript agora é suportado no Chrome para Android. janela. DevicePixelratio agora leva o zoom completo - Página (mas não o zoom do beliscão) em consideração o suporte para (alfa: false) no getContext ('2d') permite criar uma tela opaca. Isso é semelhante à funcionalidade WebGL existente e pode melhorar o desempenho de renderização do seu aplicativo. A API da fonte de mídia não foi preefixada e agora é suportada no Chrome para Android. Ele permite que o JavaScript gere fluxos de mídia para reprodução, abordando casos de uso, como streaming adaptativo e transmissões ao vivo em mudança de tempo. A tela 2D agora suporta o método `` elipse '. O suporte a vários eventos de mutação foi removido. Considere usar o mutationObServer. Versão iOS: Conclusão rápida do formulário com preenchimento automático de prensa longa em uma imagem para pesquisar imagens relacionadas Estabilidade / melhorias de segurança e correções de bugs 32.0. 1700 2014 - 01 - 14 (Linux, MacOS e Windows) 2014 - 01 - 15 (Android) 2014 - 01 - 27 (iOS) Blink 537.36 3.22. Indicadores de 24 guias para som, webcam e lançando uma aparência diferente para o modo metropolim Win8 bloqueando automaticamente o malware arquiva uma série de novas APPs / APIs de extensão Várias em - as mudanças - capuz para estabilidade e desempenho Android versão: Adicione atalhos de página da web à sua casa A tela mais facilmente do menu reduz o uso de dados no Chrome em até 50 %. Visite Configurações&gt; Gerenciamento de largura de banda&gt; Reduza o uso de dados para ativar. Versão iOS: traduza quando você encontrar uma página escrita em um idioma que você não entende, basta procurar a barra de tradução. Uma torneira e a página é rapidamente traduzida para você. Reduza o uso de dados Reduza o uso de dados em até 50 %. Habilite esse recurso e visualize suas economias: Configurações&gt; Largura de banda&gt; Reduza o uso de dados. A atualização da nova página da guia para tornar a pesquisa mais rápida e mais fácil, esse recurso está sendo lançado e estará disponível para todos os usuários ao longo do tempo, começando no iPhone. 33.0. 1750 2014 - 02 - 18 (iOS) 2014 - 02 - 20 (Linux, MacOS e Windows) 2014 - 02 - 26 (Android) Blink 537.36 3.23. 17 Elementos personalizados OGG Opus em MSE e Página API API VTTCUE API da fala da web (síntese) Fonte - Kerning requestautocomplete () Síntese de fala Android Versão: Download de notificação de progresso para downloads de arquivos usando a pilha de redes Chrome Ajuda atualizada e feedback Ui Suporte para tag iOS versão : Atualizações de estabilidade e segurança 34.0. 1847 2014 - 04 - 02 (Android) 2014 - 04 - 08 (Linux, MacOS e Windows) 2014 - 04 - 29 (iOS) Blink 537.36 3.24. 35 Imagens responsivas e importação de áudio da web não prefixada Supervisionou usuários para novos computadores Uma aparência diferente para o modo Metro Windows 8 vários novos aplicativos / extensão APIs New Scroll Bar Look Ignora Autocomplete = `` OFF '' Em ​​campos de entrada de senha, versão do Android: Uso da bateria Otimizações Versão iOS: Tour atualizado quando você inicia o Chrome pela primeira vez, suporte ao AutoComplete no Omnibox para os idiomas da direita para a esquerda 35.0. 1916 2014 - 05 - 20 (Android) 2014 - 05 - 20 (Linux, MacOS e Windows) 2014 - 05 - 28 (iOS) Blink 537.36 3.25. 28 MAIS CONTROLE DE DESENVOLVENDOR SOBRE TOCK ENTRO NOVA Javascript Recursos Não Prefixos DOM SHARGE V0 Vários novos aplicativos / APIs de extensão Opus atualizados para a versão V1. 1 Versão do Android: Desfazer a guia Fechar o vídeo de tela cheia com legendas e controles html5 suportes para alguns dispositivos de múltiplas janelas Versão iOS: Adicionada à direita - para - Suporte à esquerda ao omnibox para árabe e hebraico Veja seu termo de pesquisa no omnibox, em vez do longo URL de consulta de pesquisa refinando facilmente suas consultas de pesquisa e visualize mais resultados nas melhorias de estabilidade da página de resultados de pesquisa e correções de bugs Linux versão: back -end de interface gráfica comutada do GTK+ para aura 36.0. 1985 2014 - 07 - 15 (iOS) 2014 - 07 - 16 (Linux, MacOS e Windows) 2014 - 07 - 16 (Android) Blink 537.36 3.26. 31 Melhorias de notificações ricas em um design de NTP incógnito / convidado atualizado A adição de uma bolha de recuperação de falhas do navegador múltipla estabilidade e melhorias de desempenho Android Versão: renderização de texto aprimorada em sites otimizados não móveis retornam à nova página da guia Versão iOS: Permite sites móveis que Adicionaram suporte de elenco para trabalhar com o seu elenco - melhorias de estabilidade do dispositivo ativado e correções de bugs Linux versão: Chrome App Launcher 37.0. 2062 2014 - 08 - 26 (Linux, MacOS e Windows) 2014 - 09 - 03 (Android) 2014 - 09 - 22 (iOS) Blink 537.36 3.27. 34 Suporte Directwrite no Windows para melhorar a fonte de fonte de uma série de novos aplicativos / extensão APIs múltipla de estabilidade e melhorias de desempenho Remoção da API ShowModaldialog, quebrando vários aplicativos da Web corporativos Android Versão: assinar o Chrome Signs You em seus sites favoritos do Google Com elementos de design de material Multaduras de desempenho e correções de bugs Versão do Windows: 64 - Bit Windows Suporte 38.0. 2125 2014 - 10 - 07 (Linux, MacOS e Windows) 2014 - 10 - 07 (iOS) 2014 - 10 - 08 (Android) Blink 537.36 3.28. 71 Vários novos aplicativos / APIs de extensão Suporte para entrar em sites usando a chave de segurança FIDO U2F (um token de segurança USB ou SmartCard) como um fator na autenticação de 2 fatores em - as mudanças de estabilidade e desempenho para Android: Suporte para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Android: suporte para suporte: suporte para suporte para suporte: suporte para suporte para suporte: suporte para suporte para suporte: suporte para suporte para suporte: suporte para suporte para suporte: suporte para suporte para suporte: suporte para suporte para suporte: suporte para suporte para suporte: suporte para suporte para suporte: suporte para suporte para suporte: suporte para suporte para suporte para Status da bateria e orientação da tela APIs APIs de material adicionais Atualizações de correções de bugs e melhorias de desempenho Versão iOS: melhor suporte para iPhone 6 e 6 + Download e abre arquivos no Google Drive Aprovesments e Bugs Correções de segurança Correção 39.0. 2171 2014 - 11 - 12 (Android) 2014 - 11 - 18 (Linux, MacOS e Windows) 2014 - 11 - 24 (iOS) piscar 537,36 3.29. 88 Remove a versão do protocolo SSL / TLS Fallback to SSLV3 64 - Suporte a bits para Mac Vários novos aplicativos / APIs de extensão em - As mudanças de capô para estabilidade e desempenho Android versão: Número de correções de bugs e melhorias de desempenho O modo de leitor experimental pode ser ativado via Chrome: // sinalizadores, não está disponível para tablets nesta versão 40.0. 2214 2015 - 01 - 20 (iOS) 2015 - 01 - 21 (Linux, MacOS e Windows) 2015 - 01 - 21 (Android) Blink 537.36 3.30. 33 Suporte desativado SSLV3 Por padrão, a versão mínima SSL / TLS agora pode ser definida sobre: ​​Sinalizadores Caixa de diálogo Informações atualizadas para o aplicativo Chrome no Windows e Linux Um novo relógio atrás / Appresso Mensagem de erro Versão Android: Informações da página atualizadas e conteúdo Configurações da interface do usuário Correções de bugs e melhorias de desempenho Versão iOS: nova aparência com design de material, trazendo gráficos ousados, movimento de fluido e superfícies táteis iOS 8 otimizações e suporte para telefones maiores suportam transferência do Chrome ao seu navegador padrão nas melhorias de estabilidade do macOS e correções de bugs 41.0. 2272 2015 - 03 - 03 (Linux, MacOS e Windows) 2015 - 03 - 11 (Android) 2015 - 03 - 16 (iOS) Blink 537.36 4.1. 0 Vários novos aplicativos / APIs de extensão Lão de alterações no capô para estabilidade e interface aerodinâmica de desempenho está desativada na versão do Windows Vista Android: a capacidade de puxar para recarregar na parte superior da maioria das páginas várias correções de bugs e melhorias de desempenho 42.0 . 2311 2015 - 04 - 14 (Linux, MacOS e Windows) 2015 - 04 - 15 (Android) 2015 - 04 - 16 (iOS) Blink 537.36 4.2. 77 Suporte para plug -ins NPAPI Desativado por padrão vários novos aplicativos, APIs de extensão e plataforma da Web (incluindo a API PUSH) Lotas de alterações sob o capô para estabilidade e desempenho Adicionar marcador agora está redesenhado. Versão Android: Obter as atualizações mais recentes de sites com notificações adicionando seus sites favoritos à sua tela inicial agora é ainda mais fácil correções de bugs e melhorias rápidas de desempenho 43.0. 2357 2015 - 05 - 19 (Linux, MacOS e Windows) 2015 - 05 - 27 (Android) 2015 - 06 - 01 (iOS) Blink 537.36 4.3. 61 Numerosas correções de bugs e correções de segurança Android Versão: Check -out mais rápido - Formulários de check -out mais rápidos e seguros com dados do Google Wallet Touch para pesquisar - Saiba mais sobre palavras e frases tocando -as nas correções de bugs de tela e melhorias rápidas de desempenho não mais Suporta o Android 4.0 (sanduíche de sorvete) 44.0. 2403 2015 - 07 - 21 (Linux, MacOS e Windows) 2015 - 07 - 22 (iOS) 2015 - 07 - 29 (Android) Blink 537.36 4.4. 63 Vários novos aplicativos / APIs de extensão Mudança no círculo da página de carregamento nas guias Chrome Loth of the Hood Alterações para estabilidade e desempenho Versão Android: Corrigido um barco de bugs e problemas de desempenho. Versão iOS: deslize para navegar: deslize para a direita ou esquerda para navegar para trás e para frente suporte para acessar o conteúdo físico da Web a partir das melhorias de estabilidade de visualização e correções de bugs 45.0. 2454 2015 - 09 - 01 (Linux, MacOS e Windows) 2015 - 09 - 01 (Android) 2015 - 09 - 02 (iOS) Blink 537.36 4.5. 103 Suporte para plugins NPAPI Desativados permanentemente uma série de correções e melhorias na versão Android: várias correções para um monte de desempenho / estabilidade / outros problemas. 46.0. 2490 2015 - 10 - 13 (Linux, MacOS e Windows) 2015 - 10 - 14 (Android) 2015 - 10 - 22 (iOS) piscar 537,36 4.6. 85 Mudança no design do logotipo da barra de tarefas várias correções e melhorias. Versão Android: Sob o desempenho do capô e ajustes de estabilidade. 47.0. 2526 2015 - 12 - 01 (iOS) 2015 - 12 - 01 (Linux, MacOS e Windows) 2015 - 12 - 02 (Android) Blink 537.36 4.7. 80 Mudança na aparência nas guias de fechamento com o novo design de visualizador PDF do Red X FIXES Android Versão: `` Mais do que uma carga de barcaça de correções de desempenho e estabilidade ''. Versão iOS: Adicionado suporte para mais atalhos de teclado. Os teclados Bluetooth podem abrir, fechar ou alterar as guias ou realizar uma pesquisa por voz. Suporte para o 3D Touch no iPhone 6s / +. Força Toque no ícone Chrome para abrir rapidamente uma nova guia, uma nova guia Incognito * ou realizar uma pesquisa por voz. 48.0. 2564 2016 - 01 - 20 (Linux, MacOS e Windows) 2016 - 01 - 27 (iOS) 2016 - 01 - 27 (Android) Piscar 537.36 4.8. 271 `` guia descartando '' foi ativado por padrão no Chrome: // sinalizadores de janela Alterar à direita - clicando em um link da web incorporado O ícone da chave em `` salvar sua senha '' transforma preto `` clear navegação histórico '' foi melhorado Um grande número de correções e melhorias na versão do Android: correções de bugs e melhorias rápidas de desempenho. Versão iOS: Esta versão usa o WKWebView, o mais recente mecanismo de renderização da Apple. A taxa de colisão foi reduzida em 70 % e a execução do JavaScript agora é mais rápida. Ícones redesenhados na nova página da guia: Acesso mais fácil a mais sites visitados com frequência - visitados. Integração do Spotlight: arraste para baixo ou direita da tela inicial e pesquise seus favoritos do Chrome. 49.0. 2623 2016 - 03 - 02 (Linux, MacOS e Windows) 2016 - 03 - 09 (iOS) 2016 - 03 - 09 (Android) Blink 537.36 4.9. 385 Os ícones de extensão agora aparecem perto da guia Pesquisa. Mudanças nas aparições de bares de favoritos. Alteração na janela do modo incógnito. Mudança no movimento da barra de rolagem. Aparência / design da página de downloads alterados. Um grande número de correções e melhorias removidas do Modo Windows 8 (modo metropolitano) na última versão disponível para Windows XP e Vista e Mac OS 10.6 - 10.8. Versão Android: `` Mais do que uma barcaça cheia de correções de desempenho e estabilidade. '' Versão iOS: Os favoritos têm um novo visual: Encontre seus favoritos facilmente! Correções de bug e estabilidade. 50.0. 2661 2016 - 04 - 13 (Linux, MacOS e Windows) 2016 - 04 - 20 (iOS) 2016 - 04 - 26 (Android) Piscar 537.36 5.0. 71 Auto - Preencha as letras do formulário agora estão destacadas em negrito. Várias correções e melhorias. Não suporta mais o Windows XP e o Vista. Versão Android: correções de bugs e melhorias rápidas de desempenho. Versão iOS: correções de bug e estabilidade. 51.0. 2704 2016 - 05 - 25 (Linux, MacOS e Windows) 2016 - 06 - 01 (iOS) 2016 - 06 - 01 (Android) Pisca 537.36 5.1. 281 várias correções e melhorias. Versão do Android: trouxe a troca de guias de volta para o Chrome (Android L+) correções de bug e melhorias rápidas de desempenho. Versão iOS: correções de bug e estabilidade. 52.0. 2743 2016 - 07 - 20 (Linux, MacOS e Windows) 2016 - 07 - 27 (iOS) 2016 - 07 - 27 (Android) Piscar 537.36 5.2. 361 É impossível desativar o Directwrite. Bar na parte inferior agora mostra texto mais escuro ao passar o mouse sobre o link. `` Várias correções e melhorias. '' Versão do Android: correções de bugs e melhorias rápidas de desempenho iOS Versão: Páginas móveis aceleradas (`` amp '') - Notícias e artigos de muitos de seus editores favoritos agora serão carregados instantaneamente. Lightning Bolt e `` amp '' ao lado de artigos na seção `` top stories '' dos resultados da pesquisa indicam carregamento mais rápido da página da web. 53.0. 2785 2016 - 08 - 31 (Linux, MacOS e Windows) 2016 - 09 - 07 (iOS) 2016 - 09 - 07 (Android) Blink 537.36 5.3. 332 O visual interno do novo navegador, incluindo um novo favorito `` várias correções e melhorias. '' 'Simplifique a opção Página' removida de 'Salvar como PDF'. SHARGE DOM V1 Android Versão: correções de bugs e melhorias rápidas de melhorias de desempenho AutoPlay para o vídeo IOS Versão: o histórico do Chrome tem uma nova aparência e agora é mais fácil de revisar, encontrar e excluir seu histórico de navegação. A pesquisa por voz foi atualizada com uma nova aparência. A pesquisa por voz agora pode responder a perguntas contextuais, como `` qual a altura da Torre Eiffel? '' Seguido por `` Quando foi construído? 54.0. 2840 2016 - 10 - 12 (Linux, MacOS e Windows) 2016 - 10 - 19 (iOS) 2016 - 10 - 19 (Android) Piscar 537,36 5.4. 500 `` Outros marcadores '' A guia mudou a aparência da mensagem `` Right - clique para reproduzir o Adobe Flash Player '' agora aparece enquanto as páginas com o Adobe Flash player estão carregando. `` Várias correções e melhorias. '' Versão do Android: correções de bugs e melhorias rápidas de desempenho Ver sugestões de artigo para você na nova página da guia Play Media em segundo plano para sites que suportam a atualização de senhas salvadas quando você altera ou redefina sua senha versão iOS: sem conexão com a Internet? Sorria e toque nos ícones de favoritos fixo de dinossauros que não exibem problemas de detecção de número de telefone fixo corretamente nas melhorias de estabilidade da Web Pages e correções de bugs 55.0. 2883 2016 - 12 - 01 (Linux, MacOS e Windows) 2016 - 12 - 05 (iOS) 2016 - 12 - 06 (Android) piscar 537.36 5.5. 372 A página de histórico mudou e não está mais nas `` configurações '' flash player agora está desativado por padrão para a maioria dos sites `` várias correções e melhorias. '' Não é possível desativar a versão iOS de design de material superior: você pode deslizar para baixo ou diretamente na tela inicial do iOS para pesquisar. Pesquisando por `` voz '' ou `` incognito '' permite que você inicie o Chrome no modo de pesquisa de voz ou em uma nova guia Incognito, respectivamente. A aparência dos itens na pesquisa de destaque funcionará apenas para dispositivos que suportam ações do Spotlight. A pasta denominada `` All Bookmarks '' foi removida da visualização dos marcadores. Você pode acessar todos os favoritos de seus outros dispositivos clicando nas outras pastas. Versão Android: correções de bugs e melhorias rápidas de desempenho baixam facilmente músicas, vídeos e até páginas da web completas para visualizar a exibição offline e compartilhar seus downloads no Chrome Veja palavras com ortografia destacadas nas melhorias dos campos de texto na pesquisa contextual UI 56.0. 2924 2017 - 01 - 25 (Linux, MacOS e Windows) 2017 - 02 - 01 (iOS) 2017 - 02 - 01 (Android) Blink 537.36 5.6. 326 HTML5 Ativado por padrão Adobe Flash Player é automaticamente bloqueado para a maioria dos sites que exigem a marcação do plug -in de sites HTTP não garantidos `` várias correções e melhorias. '' Versão iOS: verifique um código ou código de barras QR usando o 3D Touch no logotipo do aplicativo ou pesquisando `` `qr '' em Spotlight. Nós redesenhamos o layout do comutador de guias no iPad para facilitar o acesso aos seus sites abertos. Versão Android: baixe facilmente músicas, vídeos e até páginas da web completas para visualizar a visualização offline e compartilhar seus downloads no Chrome Veja palavras com ortografia destacadas nas melhorias dos campos de texto nas correções de bugs de pesquisa contextual e economia de memória significativa 57.0. 2987 2017 - 03 - 09 (Linux, MacOS e Windows) 2017 - 03 - 14 (iOS) 2017 - 03 - 16 (Android) Blink 537.36 5.7. 492 Layout da grade CSS melhorou `` adicionar à home '' API de sessão de mídia de mídia `` várias correções e melhorias. '' WebAssembly Background Tab Policy Alterações iOS Versão: Chrome pode adicionar páginas à sua lista de leitura. Encontre na página agora funciona corretamente no iOS 10.3. Versão do Android: use rapidamente e -mails, endereços e números de telefone nas páginas da web tocando neles acessar facilmente arquivos baixados e páginas da web da nova página da guia Pressiona sugestões de artigo da imprensa na nova página da guia para baixar correções de bugs e por per.</v>
      </c>
    </row>
    <row r="621" customFormat="false" ht="15.75" hidden="false" customHeight="true" outlineLevel="0" collapsed="false">
      <c r="A621" s="3" t="n">
        <v>618</v>
      </c>
      <c r="B621" s="5" t="s">
        <v>1853</v>
      </c>
      <c r="C621" s="5" t="s">
        <v>1854</v>
      </c>
      <c r="D621" s="5" t="s">
        <v>1855</v>
      </c>
      <c r="E621" s="4" t="str">
        <f aca="false">IFERROR(__xludf.dummyfunction("GOOGLETRANSLATE(C622)"),"Quantos campeonatos o Pac 12 tem")</f>
        <v>Quantos campeonatos o Pac 12 tem</v>
      </c>
      <c r="F621" s="5" t="str">
        <f aca="false">IFERROR(__xludf.dummyfunction("GOOGLETRANSLATE(D621)")," Uma menção histórica inicial do que parece ser uma caneta do reservatório remonta ao século X. De acordo com Al - Qadi al - Nu'man (m. 974) em seu kitab al - Majalis Wa 'L - Musayarat, o califa fatimida al - Mu'izz Li - Din Allah exigiu uma caneta que nã"&amp;"o manchava suas mãos ou roupas , e recebeu uma caneta que segurava a tinta em um reservatório, permitindo que ela fosse mantida de cabeça para baixo - sem vazamento.")</f>
        <v> Uma menção histórica inicial do que parece ser uma caneta do reservatório remonta ao século X. De acordo com Al - Qadi al - Nu'man (m. 974) em seu kitab al - Majalis Wa 'L - Musayarat, o califa fatimida al - Mu'izz Li - Din Allah exigiu uma caneta que não manchava suas mãos ou roupas , e recebeu uma caneta que segurava a tinta em um reservatório, permitindo que ela fosse mantida de cabeça para baixo - sem vazamento.</v>
      </c>
    </row>
    <row r="622" customFormat="false" ht="15.75" hidden="false" customHeight="true" outlineLevel="0" collapsed="false">
      <c r="A622" s="3" t="n">
        <v>619</v>
      </c>
      <c r="B622" s="5" t="s">
        <v>1856</v>
      </c>
      <c r="C622" s="5" t="s">
        <v>1857</v>
      </c>
      <c r="D622" s="5" t="s">
        <v>1858</v>
      </c>
      <c r="E622" s="4" t="str">
        <f aca="false">IFERROR(__xludf.dummyfunction("GOOGLETRANSLATE(C623)"),"Quando o orçamento indiano entra em vigor")</f>
        <v>Quando o orçamento indiano entra em vigor</v>
      </c>
      <c r="F622" s="5" t="str">
        <f aca="false">IFERROR(__xludf.dummyfunction("GOOGLETRANSLATE(D622)")," A seguir, é apresentada uma lista dos campeonatos NCAA e AIAW dos membros da Pac - 12 da Conferência. O PAC - 12 membros atuais venceu 500 campeonatos nacionais da NCAA (em 31 de maio de 2017) se tornando a primeira conferência a ganhar 500 títulos de eq"&amp;"uipes, que é 193 a mais do que a próxima conferência mais próxima, The Big Ten. Desde o ano acadêmico de 1999 - 2000, o PAC - 12 afirma um total de 150 títulos da equipe da NCAA, incluindo 10 em 2013 - 2014. Eles também lideraram ou empataram o país nos c"&amp;"ampeonatos da NCAA em 48 dos últimos 54 anos, as únicas exceções em 1980 - 81, 1988 - 89, 1990 - 91 e 1995 - 96, quando a conferência terminou em segundo e terminou em terceiro em 1998 - 99 e 2004 - 2005.")</f>
        <v> A seguir, é apresentada uma lista dos campeonatos NCAA e AIAW dos membros da Pac - 12 da Conferência. O PAC - 12 membros atuais venceu 500 campeonatos nacionais da NCAA (em 31 de maio de 2017) se tornando a primeira conferência a ganhar 500 títulos de equipes, que é 193 a mais do que a próxima conferência mais próxima, The Big Ten. Desde o ano acadêmico de 1999 - 2000, o PAC - 12 afirma um total de 150 títulos da equipe da NCAA, incluindo 10 em 2013 - 2014. Eles também lideraram ou empataram o país nos campeonatos da NCAA em 48 dos últimos 54 anos, as únicas exceções em 1980 - 81, 1988 - 89, 1990 - 91 e 1995 - 96, quando a conferência terminou em segundo e terminou em terceiro em 1998 - 99 e 2004 - 2005.</v>
      </c>
    </row>
    <row r="623" customFormat="false" ht="15.75" hidden="false" customHeight="true" outlineLevel="0" collapsed="false">
      <c r="A623" s="3" t="n">
        <v>620</v>
      </c>
      <c r="B623" s="5" t="s">
        <v>1859</v>
      </c>
      <c r="C623" s="5" t="s">
        <v>1860</v>
      </c>
      <c r="D623" s="5" t="s">
        <v>1861</v>
      </c>
      <c r="E623" s="4" t="str">
        <f aca="false">IFERROR(__xludf.dummyfunction("GOOGLETRANSLATE(C624)"),"Quando não olhou para trás de raiva saiu")</f>
        <v>Quando não olhou para trás de raiva saiu</v>
      </c>
      <c r="F623" s="5" t="str">
        <f aca="false">IFERROR(__xludf.dummyfunction("GOOGLETRANSLATE(D623)")," O orçamento da União da Índia, também chamado de demonstração financeira anual no artigo 112 da Constituição da Índia, é o orçamento anual da República da Índia. O governo o apresenta no primeiro dia de fevereiro, para que pudesse ser materializado antes"&amp;" do início do novo ano financeiro em abril. Até 2016, foi apresentado no último dia útil de fevereiro pelo Ministro das Finanças da Índia no Parlamento. O orçamento, que é apresentado por meio da lei financeira e a conta de apropriação, deve ser aprovada "&amp;"por ambas as casas antes que ela possa entrar em vigor a partir de 1º de abril, o início do exercício financeiro da Índia.")</f>
        <v> O orçamento da União da Índia, também chamado de demonstração financeira anual no artigo 112 da Constituição da Índia, é o orçamento anual da República da Índia. O governo o apresenta no primeiro dia de fevereiro, para que pudesse ser materializado antes do início do novo ano financeiro em abril. Até 2016, foi apresentado no último dia útil de fevereiro pelo Ministro das Finanças da Índia no Parlamento. O orçamento, que é apresentado por meio da lei financeira e a conta de apropriação, deve ser aprovada por ambas as casas antes que ela possa entrar em vigor a partir de 1º de abril, o início do exercício financeiro da Índia.</v>
      </c>
    </row>
    <row r="624" customFormat="false" ht="15.75" hidden="false" customHeight="true" outlineLevel="0" collapsed="false">
      <c r="A624" s="3" t="n">
        <v>621</v>
      </c>
      <c r="B624" s="5" t="s">
        <v>1862</v>
      </c>
      <c r="C624" s="5" t="s">
        <v>1863</v>
      </c>
      <c r="D624" s="5" t="s">
        <v>1864</v>
      </c>
      <c r="E624" s="4" t="str">
        <f aca="false">IFERROR(__xludf.dummyfunction("GOOGLETRANSLATE(C625)"),"que nomeia o presidente do Federal Reserve")</f>
        <v>que nomeia o presidente do Federal Reserve</v>
      </c>
      <c r="F624" s="5" t="str">
        <f aca="false">IFERROR(__xludf.dummyfunction("GOOGLETRANSLATE(D624)")," `` Não olhe para trás na raiva '' é uma música da banda de rock inglês oasis. Foi lançado em 19 de fevereiro de 1996 como o quinto single do seu segundo álbum de estúdio, (qual é a história) da Morning Glory? (1995). A música foi escrita pelo guitarrista"&amp;" da banda e compositor principal, Noel Gallagher. Tornou -se o segundo single da banda para chegar ao número um na parada de singles do Reino Unido, onde também foi platina. `` Não olhe para trás na raiva '' também foi o primeiro single de oásis com vocai"&amp;"s principais de Noel (que já havia cantado apenas líder nas laterais B - em vez de seu irmão, Liam.")</f>
        <v> `` Não olhe para trás na raiva '' é uma música da banda de rock inglês oasis. Foi lançado em 19 de fevereiro de 1996 como o quinto single do seu segundo álbum de estúdio, (qual é a história) da Morning Glory? (1995). A música foi escrita pelo guitarrista da banda e compositor principal, Noel Gallagher. Tornou -se o segundo single da banda para chegar ao número um na parada de singles do Reino Unido, onde também foi platina. `` Não olhe para trás na raiva '' também foi o primeiro single de oásis com vocais principais de Noel (que já havia cantado apenas líder nas laterais B - em vez de seu irmão, Liam.</v>
      </c>
    </row>
    <row r="625" customFormat="false" ht="15.75" hidden="false" customHeight="true" outlineLevel="0" collapsed="false">
      <c r="A625" s="3" t="n">
        <v>622</v>
      </c>
      <c r="B625" s="5" t="s">
        <v>1865</v>
      </c>
      <c r="C625" s="5" t="s">
        <v>1866</v>
      </c>
      <c r="D625" s="5" t="s">
        <v>1867</v>
      </c>
      <c r="E625" s="4" t="str">
        <f aca="false">IFERROR(__xludf.dummyfunction("GOOGLETRANSLATE(C626)"),"Quando e onde estava o Instituto Florestal Imperial criado na Índia")</f>
        <v>Quando e onde estava o Instituto Florestal Imperial criado na Índia</v>
      </c>
      <c r="F625" s="5" t="str">
        <f aca="false">IFERROR(__xludf.dummyfunction("GOOGLETRANSLATE(D625)")," O presidente é escolhido pelo presidente dos Estados Unidos dentre os membros do Conselho de Governadores; e serve por quatro anos - termos após a nomeação. Um presidente pode ser nomeado para vários mandatos consecutivos. William Martin foi o cadeira ma"&amp;"is antigo, ocupando o cargo de 1951 a 1970.")</f>
        <v> O presidente é escolhido pelo presidente dos Estados Unidos dentre os membros do Conselho de Governadores; e serve por quatro anos - termos após a nomeação. Um presidente pode ser nomeado para vários mandatos consecutivos. William Martin foi o cadeira mais antigo, ocupando o cargo de 1951 a 1970.</v>
      </c>
    </row>
    <row r="626" customFormat="false" ht="15.75" hidden="false" customHeight="true" outlineLevel="0" collapsed="false">
      <c r="A626" s="3" t="n">
        <v>623</v>
      </c>
      <c r="B626" s="5" t="s">
        <v>1868</v>
      </c>
      <c r="C626" s="5" t="s">
        <v>1869</v>
      </c>
      <c r="D626" s="5" t="s">
        <v>1870</v>
      </c>
      <c r="E626" s="4" t="str">
        <f aca="false">IFERROR(__xludf.dummyfunction("GOOGLETRANSLATE(C627)"),"onde está Palm Beach Florida localizado no mapa")</f>
        <v>onde está Palm Beach Florida localizado no mapa</v>
      </c>
      <c r="F626" s="5" t="str">
        <f aca="false">IFERROR(__xludf.dummyfunction("GOOGLETRANSLATE(D626)")," Instituto de Pesquisa Florestal Instituto de Pesquisa Florestal Instituto de Pesquisa Florestal Dehradun, Dehradun, Vista Distante Estabelecido 1906 Localização Sex e Area College, Site dehradun www.fri.res.in")</f>
        <v> Instituto de Pesquisa Florestal Instituto de Pesquisa Florestal Instituto de Pesquisa Florestal Dehradun, Dehradun, Vista Distante Estabelecido 1906 Localização Sex e Area College, Site dehradun www.fri.res.in</v>
      </c>
    </row>
    <row r="627" customFormat="false" ht="15.75" hidden="false" customHeight="true" outlineLevel="0" collapsed="false">
      <c r="A627" s="3" t="n">
        <v>624</v>
      </c>
      <c r="B627" s="5" t="s">
        <v>1871</v>
      </c>
      <c r="C627" s="5" t="s">
        <v>1872</v>
      </c>
      <c r="D627" s="5" t="s">
        <v>1873</v>
      </c>
      <c r="E627" s="4" t="str">
        <f aca="false">IFERROR(__xludf.dummyfunction("GOOGLETRANSLATE(C628)"),"Quantos distritos em Telangana o que eles são")</f>
        <v>Quantos distritos em Telangana o que eles são</v>
      </c>
      <c r="F627" s="5" t="str">
        <f aca="false">IFERROR(__xludf.dummyfunction("GOOGLETRANSLATE(D627)")," A cidade de Palm Beach é uma cidade incorporada em Palm Beach County, Flórida, Estados Unidos. A hidrovia intracoastal a separa das cidades vizinhas de West Palm Beach e Lake Worth. Em 2000, Palm Beach teve um ano - uma população de 10.468 anos, com uma "&amp;"população sazonal estimada de 30.000.")</f>
        <v> A cidade de Palm Beach é uma cidade incorporada em Palm Beach County, Flórida, Estados Unidos. A hidrovia intracoastal a separa das cidades vizinhas de West Palm Beach e Lake Worth. Em 2000, Palm Beach teve um ano - uma população de 10.468 anos, com uma população sazonal estimada de 30.000.</v>
      </c>
    </row>
    <row r="628" customFormat="false" ht="15.75" hidden="false" customHeight="true" outlineLevel="0" collapsed="false">
      <c r="A628" s="3" t="n">
        <v>625</v>
      </c>
      <c r="B628" s="5" t="s">
        <v>1874</v>
      </c>
      <c r="C628" s="5" t="s">
        <v>1875</v>
      </c>
      <c r="D628" s="5" t="s">
        <v>1876</v>
      </c>
      <c r="E628" s="4" t="str">
        <f aca="false">IFERROR(__xludf.dummyfunction("GOOGLETRANSLATE(C629)"),"Quando voltou a você feito por Selena Gomez")</f>
        <v>Quando voltou a você feito por Selena Gomez</v>
      </c>
      <c r="F628" s="5" t="str">
        <f aca="false">IFERROR(__xludf.dummyfunction("GOOGLETRANSLATE(D628)"),"   S.No. População da área da sede (KM) (Censo de 2011) No. De densidade de mandals (por km) de alfabetização urbana ( %) ( %) ratio sexual mapa adilabad adilabad 4.153 708.972 18 171 23,46 63,46 989 Bhadradri Kothagudem Kothagudem 7,483 mais 1,483 1,0692"&amp;"66610 HiMerabad. 954 Jagtial Jagtial 2.419 985.417 18 407 22,46 60,26 6036 5 Jangaon Jangaon 2.188 566.376 13 259 12,60 61,44 997 6 Jayashankar Bhupalpally 6.175 711,434 20 115 7,33 1009 7 Jogulamba Gadwal Gadwal 2,99 0 208.366 49. 266 12,71 56,51 1033 9 "&amp;"Karimnagar Karimnagar 2.128 1.005.711 16 473 30.72 69.16 993 10 khammam Khammam 4,361 1,401,639 22.60 65.95 1005 11 KumarBheem Asifabad Asifabad Asifabad Asifabad Asifabad Asifabad Asifabad Asifabad Asifabad Asifabad Asifabad Asifabad Asifabad Asifabad As"&amp;"ifabad Asifabad Asifabad Asifabad Asifabad Asifabad Asifabad Asifabad Asifabad Asifabad Asifabad Ahabubabad 2,877 774,549 16 269 9.86 57.13 996 13 Mahabubnagar Mahabubnagar 5,285 1.486.777 26 281 20,73 56,78 995 14 Mancherial Mancherial 4,016 807.037 18 2"&amp;"01 43.85 64,35 977 15 Medak 2.786 767.428 20 275 7,67 56.12 1027 16 16 Medchal -Malkajirkin. 2.401 91 91 952 Kurnool Nagarkurnool 6.924 861.766 20 124 10,19 54,38 968 18 Nalgonda Nalgonda Nalgonda 7.122 1.618.416 32,76 22,76 63,75 978 19 Nirmal Nirmal 3.8"&amp;"45 709,418 19 185 21.38 57.77 1046 20 20. Alli 2.236 35,2. 52 992 22 Rajanna Sircilla Sircilla 2.019 552.037 13 273 21,17 62.71 1014 23 Ranga Reddy Shamshabad 5.031 2.446.265 27 486 58,05 71,95 950 24 Sangareddy Sangareddy 4.403 1.527.628 26 34,69 64,08 9"&amp;"65 25 Siddipet Siddipet 3,632 1,012 27.74 61.61.61.61.6102610 23110 1,012 23,010 31.60 1.65 3 1,012010 31.60 1.66. 6 27 Vikarabad Vikarabad 3.386 927.140 18 274 13,48 57,91 28 Wanaparthy Wanaparthy 2.152 57758 14 268 15.97 55.67 960 29 Warangal Rural Wara"&amp;"ngal 2,175 718,537 15 330 61.26 994 30 Warangal Urgal 1,309 1,080,858 11 826 68.17 31 Yadadri Bhuvanagiri 3,092 739 16 239 16.66 65.53 973 Telangana - - 112,077 35,003,674 584 312 38.88 66.54 988 -")</f>
        <v>   S.No. População da área da sede (KM) (Censo de 2011) No. De densidade de mandals (por km) de alfabetização urbana ( %) ( %) ratio sexual mapa adilabad adilabad 4.153 708.972 18 171 23,46 63,46 989 Bhadradri Kothagudem Kothagudem 7,483 mais 1,483 1,069266610 HiMerabad. 954 Jagtial Jagtial 2.419 985.417 18 407 22,46 60,26 6036 5 Jangaon Jangaon 2.188 566.376 13 259 12,60 61,44 997 6 Jayashankar Bhupalpally 6.175 711,434 20 115 7,33 1009 7 Jogulamba Gadwal Gadwal 2,99 0 208.366 49. 266 12,71 56,51 1033 9 Karimnagar Karimnagar 2.128 1.005.711 16 473 30.72 69.16 993 10 khammam Khammam 4,361 1,401,639 22.60 65.95 1005 11 KumarBheem Asifabad Asifabad Asifabad Asifabad Asifabad Asifabad Asifabad Asifabad Asifabad Asifabad Asifabad Asifabad Asifabad Asifabad Asifabad Asifabad Asifabad Asifabad Asifabad Asifabad Asifabad Asifabad Asifabad Asifabad Asifabad Ahabubabad 2,877 774,549 16 269 9.86 57.13 996 13 Mahabubnagar Mahabubnagar 5,285 1.486.777 26 281 20,73 56,78 995 14 Mancherial Mancherial 4,016 807.037 18 201 43.85 64,35 977 15 Medak 2.786 767.428 20 275 7,67 56.12 1027 16 16 Medchal -Malkajirkin. 2.401 91 91 952 Kurnool Nagarkurnool 6.924 861.766 20 124 10,19 54,38 968 18 Nalgonda Nalgonda Nalgonda 7.122 1.618.416 32,76 22,76 63,75 978 19 Nirmal Nirmal 3.845 709,418 19 185 21.38 57.77 1046 20 20. Alli 2.236 35,2. 52 992 22 Rajanna Sircilla Sircilla 2.019 552.037 13 273 21,17 62.71 1014 23 Ranga Reddy Shamshabad 5.031 2.446.265 27 486 58,05 71,95 950 24 Sangareddy Sangareddy 4.403 1.527.628 26 34,69 64,08 965 25 Siddipet Siddipet 3,632 1,012 27.74 61.61.61.61.6102610 23110 1,012 23,010 31.60 1.65 3 1,012010 31.60 1.66. 6 27 Vikarabad Vikarabad 3.386 927.140 18 274 13,48 57,91 28 Wanaparthy Wanaparthy 2.152 57758 14 268 15.97 55.67 960 29 Warangal Rural Warangal 2,175 718,537 15 330 61.26 994 30 Warangal Urgal 1,309 1,080,858 11 826 68.17 31 Yadadri Bhuvanagiri 3,092 739 16 239 16.66 65.53 973 Telangana - - 112,077 35,003,674 584 312 38.88 66.54 988 -</v>
      </c>
    </row>
    <row r="629" customFormat="false" ht="15.75" hidden="false" customHeight="true" outlineLevel="0" collapsed="false">
      <c r="A629" s="3" t="n">
        <v>626</v>
      </c>
      <c r="B629" s="5" t="s">
        <v>1877</v>
      </c>
      <c r="C629" s="5" t="s">
        <v>1878</v>
      </c>
      <c r="D629" s="5" t="s">
        <v>1879</v>
      </c>
      <c r="E629" s="4" t="str">
        <f aca="false">IFERROR(__xludf.dummyfunction("GOOGLETRANSLATE(C630)"),"quem produziu olhar para o que você me fez fazer")</f>
        <v>quem produziu olhar para o que você me fez fazer</v>
      </c>
      <c r="F629" s="5" t="str">
        <f aca="false">IFERROR(__xludf.dummyfunction("GOOGLETRANSLATE(D629)"),"   `` De volta para você '' Single de Selena Gomez do álbum 13 Razões por que: temporada 2 (música da série de TV original) lançada em 10 de maio de 2018 (2018 - 05 - 10) download digital de download de gênero - Pop Length 3: 27 Label Intercope Songwriter"&amp;" (s) Selena Gomez Parrish Warrington Diederik van Elsas Amy Allen Micah Premnath Produtor (S) Trackside Ian Kirkpatrick Selena Gomez Singles Chronology `` Wolves '' (2017) `` Voltar para você '' (2018) `` Taki '' (2018) videoclipe `` de volta para você ''"&amp;" no YouTube")</f>
        <v>   `` De volta para você '' Single de Selena Gomez do álbum 13 Razões por que: temporada 2 (música da série de TV original) lançada em 10 de maio de 2018 (2018 - 05 - 10) download digital de download de gênero - Pop Length 3: 27 Label Intercope Songwriter (s) Selena Gomez Parrish Warrington Diederik van Elsas Amy Allen Micah Premnath Produtor (S) Trackside Ian Kirkpatrick Selena Gomez Singles Chronology `` Wolves '' (2017) `` Voltar para você '' (2018) `` Taki '' (2018) videoclipe `` de volta para você '' no YouTube</v>
      </c>
    </row>
    <row r="630" customFormat="false" ht="15.75" hidden="false" customHeight="true" outlineLevel="0" collapsed="false">
      <c r="A630" s="3" t="n">
        <v>627</v>
      </c>
      <c r="B630" s="5" t="s">
        <v>1880</v>
      </c>
      <c r="C630" s="5" t="s">
        <v>1881</v>
      </c>
      <c r="D630" s="5" t="s">
        <v>1882</v>
      </c>
      <c r="E630" s="4" t="str">
        <f aca="false">IFERROR(__xludf.dummyfunction("GOOGLETRANSLATE(C631)"),"De onde veio o nome de um quarto de cavalo")</f>
        <v>De onde veio o nome de um quarto de cavalo</v>
      </c>
      <c r="F630" s="5" t="str">
        <f aca="false">IFERROR(__xludf.dummyfunction("GOOGLETRANSLATE(D630)"),"   `` `Olha o que você me fez fazer '' single de Taylor Swift da reputação do álbum lançada 24 de agosto de 2017 (2017 - 08 - 24) Formato Digital Download Gênero de dança - Pop Electropop Comprimento 3: 31 Label Big Machine compositora (s) Taylor Swift Ja"&amp;"ck Antonoff Fred Fairbrass Richard Fairbrass Rob Manzoli Produtor (S) Jack Antonoff Taylor Swift Singles Chronology `` Eu não quero viver para sempre '' (2016) `` `` `` `` `S. ... pronto para isso? '' (2017) videoclipe `` `` `` `` `` `` `` `` `` `` `` `` "&amp;"`` `` `` ``")</f>
        <v>   `` `Olha o que você me fez fazer '' single de Taylor Swift da reputação do álbum lançada 24 de agosto de 2017 (2017 - 08 - 24) Formato Digital Download Gênero de dança - Pop Electropop Comprimento 3: 31 Label Big Machine compositora (s) Taylor Swift Jack Antonoff Fred Fairbrass Richard Fairbrass Rob Manzoli Produtor (S) Jack Antonoff Taylor Swift Singles Chronology `` Eu não quero viver para sempre '' (2016) `` `` `` `` `S. ... pronto para isso? '' (2017) videoclipe `` `` `` `` `` `` `` `` `` `` `` `` `` `` `` ``</v>
      </c>
    </row>
    <row r="631" customFormat="false" ht="15.75" hidden="false" customHeight="true" outlineLevel="0" collapsed="false">
      <c r="A631" s="3" t="n">
        <v>628</v>
      </c>
      <c r="B631" s="5" t="s">
        <v>1883</v>
      </c>
      <c r="C631" s="5" t="s">
        <v>1884</v>
      </c>
      <c r="D631" s="5" t="s">
        <v>1885</v>
      </c>
      <c r="E631" s="4" t="str">
        <f aca="false">IFERROR(__xludf.dummyfunction("GOOGLETRANSLATE(C632)"),"Quando a entrada da Convenção de Gerenciamento de Água de Baludo em vigor em vigor")</f>
        <v>Quando a entrada da Convenção de Gerenciamento de Água de Baludo em vigor em vigor</v>
      </c>
      <c r="F631" s="5" t="str">
        <f aca="false">IFERROR(__xludf.dummyfunction("GOOGLETRANSLATE(D631)")," O American Quarter Horse, ou Quarter Horse, é uma raça americana de cavalo que se destaca em distâncias curtas. Seu nome veio de sua capacidade de superar outras raças de cavalos em raças de um quarto de milha ou menos; Alguns foram relatados em velocida"&amp;"des de até 55 mph (88,5 km / h). O American Quarter Horse é a raça mais popular nos Estados Unidos hoje, e a American Quarter Horse Association é o maior registro de raças do mundo, com quase 3 milhões de cavalos vivos do American Quarter registrados em 2"&amp;"014.")</f>
        <v> O American Quarter Horse, ou Quarter Horse, é uma raça americana de cavalo que se destaca em distâncias curtas. Seu nome veio de sua capacidade de superar outras raças de cavalos em raças de um quarto de milha ou menos; Alguns foram relatados em velocidades de até 55 mph (88,5 km / h). O American Quarter Horse é a raça mais popular nos Estados Unidos hoje, e a American Quarter Horse Association é o maior registro de raças do mundo, com quase 3 milhões de cavalos vivos do American Quarter registrados em 2014.</v>
      </c>
    </row>
    <row r="632" customFormat="false" ht="15.75" hidden="false" customHeight="true" outlineLevel="0" collapsed="false">
      <c r="A632" s="3" t="n">
        <v>629</v>
      </c>
      <c r="B632" s="5" t="s">
        <v>1886</v>
      </c>
      <c r="C632" s="5" t="s">
        <v>1887</v>
      </c>
      <c r="D632" s="5" t="s">
        <v>1888</v>
      </c>
      <c r="E632" s="4" t="str">
        <f aca="false">IFERROR(__xludf.dummyfunction("GOOGLETRANSLATE(C633)"),"Quem canta a música que nunca chove no sul da Califórnia")</f>
        <v>Quem canta a música que nunca chove no sul da Califórnia</v>
      </c>
      <c r="F632" s="5" t="str">
        <f aca="false">IFERROR(__xludf.dummyfunction("GOOGLETRANSLATE(D632)")," A Convenção Internacional para o Controle e Gerenciamento da Água e Sedimentos de Lastro dos Ships (Convenção de Gerenciamento de Água de Lastro) em 2004, é um tratado marítimo internacional que exige que os estados de bandeira signatários garantam que o"&amp;"s navios sinalizados por eles cumpram os padrões e procedimentos para a gestão e controle da água de lastro e sedimentos dos navios. A Convenção visa impedir a propagação de organismos aquáticos prejudiciais de uma região para outra e interromper os danos"&amp;" ao ambiente marinho da descarga de água em lastro, minimizando a captação e subsequente descarga de sedimentos e organismos. A partir de 2024, todos os navios são obrigados a ter aprovado o sistema de tratamento de gestão de água de lastro, de acordo com"&amp;" o padrão D2 (veja abaixo). Os navios existentes são obrigados a instalar um sistema aprovado, que pode custar até 5 milhões de dólares por navio para instalar. Para ajudar na implementação, a IMO divulgou 14 documentos de orientação em relação à convençã"&amp;"o, incluindo as diretrizes do G2 para amostragem de água de lastro, diretrizes G4 para gerenciamento de água de lastro e diretrizes G6 para troca de água de lastro.")</f>
        <v> A Convenção Internacional para o Controle e Gerenciamento da Água e Sedimentos de Lastro dos Ships (Convenção de Gerenciamento de Água de Lastro) em 2004, é um tratado marítimo internacional que exige que os estados de bandeira signatários garantam que os navios sinalizados por eles cumpram os padrões e procedimentos para a gestão e controle da água de lastro e sedimentos dos navios. A Convenção visa impedir a propagação de organismos aquáticos prejudiciais de uma região para outra e interromper os danos ao ambiente marinho da descarga de água em lastro, minimizando a captação e subsequente descarga de sedimentos e organismos. A partir de 2024, todos os navios são obrigados a ter aprovado o sistema de tratamento de gestão de água de lastro, de acordo com o padrão D2 (veja abaixo). Os navios existentes são obrigados a instalar um sistema aprovado, que pode custar até 5 milhões de dólares por navio para instalar. Para ajudar na implementação, a IMO divulgou 14 documentos de orientação em relação à convenção, incluindo as diretrizes do G2 para amostragem de água de lastro, diretrizes G4 para gerenciamento de água de lastro e diretrizes G6 para troca de água de lastro.</v>
      </c>
    </row>
    <row r="633" customFormat="false" ht="15.75" hidden="false" customHeight="true" outlineLevel="0" collapsed="false">
      <c r="A633" s="3" t="n">
        <v>630</v>
      </c>
      <c r="B633" s="5" t="s">
        <v>1889</v>
      </c>
      <c r="C633" s="5" t="s">
        <v>1890</v>
      </c>
      <c r="D633" s="5" t="s">
        <v>1891</v>
      </c>
      <c r="E633" s="4" t="str">
        <f aca="false">IFERROR(__xludf.dummyfunction("GOOGLETRANSLATE(C634)"),"Lista dos melhores restaurantes do mundo")</f>
        <v>Lista dos melhores restaurantes do mundo</v>
      </c>
      <c r="F633" s="5" t="str">
        <f aca="false">IFERROR(__xludf.dummyfunction("GOOGLETRANSLATE(D633)")," `` Nunca chove no sul da Califórnia ', escrito por Albert Hammond e Mike Hazlewood, é uma música lançada pela primeira vez por Hammond, um cantor britânico - compositor, em 1972. O apoio instrumental foi fornecido por músicos de sessão de Los Angeles da "&amp;"equipe de demolição. A música é de seu álbum, nunca chove no sul da Califórnia. A versão de Hammond atingiu o pico no número cinco na Billboard Hot 100 dos EUA naquele ano.")</f>
        <v> `` Nunca chove no sul da Califórnia ', escrito por Albert Hammond e Mike Hazlewood, é uma música lançada pela primeira vez por Hammond, um cantor britânico - compositor, em 1972. O apoio instrumental foi fornecido por músicos de sessão de Los Angeles da equipe de demolição. A música é de seu álbum, nunca chove no sul da Califórnia. A versão de Hammond atingiu o pico no número cinco na Billboard Hot 100 dos EUA naquele ano.</v>
      </c>
    </row>
    <row r="634" customFormat="false" ht="15.75" hidden="false" customHeight="true" outlineLevel="0" collapsed="false">
      <c r="A634" s="3" t="n">
        <v>631</v>
      </c>
      <c r="B634" s="5" t="s">
        <v>1892</v>
      </c>
      <c r="C634" s="5" t="s">
        <v>1893</v>
      </c>
      <c r="D634" s="5" t="s">
        <v>1894</v>
      </c>
      <c r="E634" s="4" t="str">
        <f aca="false">IFERROR(__xludf.dummyfunction("GOOGLETRANSLATE(C635)"),"Quanto tempo durou o antigo Reino do Reino da civilização egípcia")</f>
        <v>Quanto tempo durou o antigo Reino do Reino da civilização egípcia</v>
      </c>
      <c r="F634" s="5" t="str">
        <f aca="false">IFERROR(__xludf.dummyfunction("GOOGLETRANSLATE(D634)"),"   Melhor restaurante do mundo, 1º 2º 3º 3º 2002 El Bulli Gordon Ramsay The Francesa Lavanderia 2003 A lavanderia francesa El Bulli le Louis XV The French Leundry The Fat Duck Elbulli 2005 The Fat Duck Elbulli O pato francês 2006 Elbulli The Fat Duck Pier"&amp;"re Gagnaire 2007 Pato 2007 Pierre Gagnaire 2008 El Bulli O pato gordo Pierre Gagnaire 2009 El Bulli The Fat Duck Noma el Bulli The Fat Duck 2011 Noma el Celller de Can Roca Mugaritz 2012 NOMA EL CELLER DE CAN ROCA MUGARITZ 2013 O Celler de Can Roca Noma ó"&amp;"sseia Francescana 2014 Nometa El Celler de Can Roca Francescana 2015 El Celler de Can Roca Francescana Noma 2016 Osteria Francescana El Celler de Can Roca Eleven Madison Park 2017 Eleven Madison Park Ostria Francescana El Celler de Can Can Roca")</f>
        <v>   Melhor restaurante do mundo, 1º 2º 3º 3º 2002 El Bulli Gordon Ramsay The Francesa Lavanderia 2003 A lavanderia francesa El Bulli le Louis XV The French Leundry The Fat Duck Elbulli 2005 The Fat Duck Elbulli O pato francês 2006 Elbulli The Fat Duck Pierre Gagnaire 2007 Pato 2007 Pierre Gagnaire 2008 El Bulli O pato gordo Pierre Gagnaire 2009 El Bulli The Fat Duck Noma el Bulli The Fat Duck 2011 Noma el Celller de Can Roca Mugaritz 2012 NOMA EL CELLER DE CAN ROCA MUGARITZ 2013 O Celler de Can Roca Noma ósseia Francescana 2014 Nometa El Celler de Can Roca Francescana 2015 El Celler de Can Roca Francescana Noma 2016 Osteria Francescana El Celler de Can Roca Eleven Madison Park 2017 Eleven Madison Park Ostria Francescana El Celler de Can Can Roca</v>
      </c>
    </row>
    <row r="635" customFormat="false" ht="15.75" hidden="false" customHeight="true" outlineLevel="0" collapsed="false">
      <c r="A635" s="3" t="n">
        <v>632</v>
      </c>
      <c r="B635" s="5" t="s">
        <v>1895</v>
      </c>
      <c r="C635" s="5" t="s">
        <v>1896</v>
      </c>
      <c r="D635" s="5" t="s">
        <v>1897</v>
      </c>
      <c r="E635" s="4" t="str">
        <f aca="false">IFERROR(__xludf.dummyfunction("GOOGLETRANSLATE(C636)"),"Onde estava o novo navio de cruzeiro da rainha Elizabeth")</f>
        <v>Onde estava o novo navio de cruzeiro da rainha Elizabeth</v>
      </c>
      <c r="F635" s="5" t="str">
        <f aca="false">IFERROR(__xludf.dummyfunction("GOOGLETRANSLATE(D635)")," O antigo reino, na história egípcia antiga, é o período do terceiro milênio (c. 2686 - 2181 aC), também conhecido como 'Age das Pirâmides' ou 'Age dos Construtores da Pirâmide', pois inclui a grande 4ª dinastia Quando o rei Sneferu aperfeiçoou a arte do "&amp;"edifício da pirâmide e as pirâmides de Gizé foram construídas sob os reis Khufu, Khafre e Menkaure. O Egito alcançou seu primeiro pico contínuo de civilização - o primeiro dos três períodos de `` reino '' (seguido pelo Reino Médio e Novo Reino), que marca"&amp;"m os altos pontos da civilização no vale do Baixo Nilo.")</f>
        <v> O antigo reino, na história egípcia antiga, é o período do terceiro milênio (c. 2686 - 2181 aC), também conhecido como 'Age das Pirâmides' ou 'Age dos Construtores da Pirâmide', pois inclui a grande 4ª dinastia Quando o rei Sneferu aperfeiçoou a arte do edifício da pirâmide e as pirâmides de Gizé foram construídas sob os reis Khufu, Khafre e Menkaure. O Egito alcançou seu primeiro pico contínuo de civilização - o primeiro dos três períodos de `` reino '' (seguido pelo Reino Médio e Novo Reino), que marcam os altos pontos da civilização no vale do Baixo Nilo.</v>
      </c>
    </row>
    <row r="636" customFormat="false" ht="15.75" hidden="false" customHeight="true" outlineLevel="0" collapsed="false">
      <c r="A636" s="3" t="n">
        <v>633</v>
      </c>
      <c r="B636" s="5" t="s">
        <v>1898</v>
      </c>
      <c r="C636" s="5" t="s">
        <v>1899</v>
      </c>
      <c r="D636" s="5" t="s">
        <v>1900</v>
      </c>
      <c r="E636" s="4" t="str">
        <f aca="false">IFERROR(__xludf.dummyfunction("GOOGLETRANSLATE(C637)"),"Quantas Miss Americas são de Nova York")</f>
        <v>Quantas Miss Americas são de Nova York</v>
      </c>
      <c r="F636" s="5" t="str">
        <f aca="false">IFERROR(__xludf.dummyfunction("GOOGLETRANSLATE(D636)"),"   Rainha Elizabeth em Tallinn, 10 de junho de 2011 Nome da história: Rainha Elizabeth Proprietário: Carnival Corporation &amp; PLC Operador: Cunard Line Port of Registry: Southampton, Reino Unido (2010 - 2011) Hamilton, Bermuda (2011 - presente) Ordenado: Ou"&amp;"tubro de 2007 Builder : Fincantieri Monfalcone Shipyard, Itália Custo: Reino Unido £ 350 milhões (aprox.) (US $ 560 milhões) Número do quintal: 6187 Estabelecido: 2 de julho de 2009 Lançado: 5 de janeiro de 2010 batizado: 11 de outubro de 2010 Concluído: "&amp;"outubro de 2010 Voyage: 12 de outubro 2010 em serviço: outubro de 2010 Identificação: CallSign ZCEF2 Número da IMO: 9477438 Número do MMSI: 310625000 Status: Na classe de serviço geral de características gerais: Tipo de cruzeiro da classe Vista: 90.901 GT"&amp;" Comprimento: 294 m (965 pés) Tirante: 32,3 m (106 ft) PROJETO: 8 m (26 pés) Decks: 16 Total 12 Acessível aos passageiros Power instalado: 4 × mak 12VM43C 2 × mak 8m43c 64.000 kW (combinado) Propulsão: diesel - elétrico dois azipods (2 × 17,6 mw) Três abb"&amp;" Tropadeiras de arco (3 × 2.200 kW) Velocidade: 23,7 nós (43,9 km / h; 27,3 mph) Capacidade: 2.092 passageiros com camas inferiores, 2.547 passageiros máximos")</f>
        <v>   Rainha Elizabeth em Tallinn, 10 de junho de 2011 Nome da história: Rainha Elizabeth Proprietário: Carnival Corporation &amp; PLC Operador: Cunard Line Port of Registry: Southampton, Reino Unido (2010 - 2011) Hamilton, Bermuda (2011 - presente) Ordenado: Outubro de 2007 Builder : Fincantieri Monfalcone Shipyard, Itália Custo: Reino Unido £ 350 milhões (aprox.) (US $ 560 milhões) Número do quintal: 6187 Estabelecido: 2 de julho de 2009 Lançado: 5 de janeiro de 2010 batizado: 11 de outubro de 2010 Concluído: outubro de 2010 Voyage: 12 de outubro 2010 em serviço: outubro de 2010 Identificação: CallSign ZCEF2 Número da IMO: 9477438 Número do MMSI: 310625000 Status: Na classe de serviço geral de características gerais: Tipo de cruzeiro da classe Vista: 90.901 GT Comprimento: 294 m (965 pés) Tirante: 32,3 m (106 ft) PROJETO: 8 m (26 pés) Decks: 16 Total 12 Acessível aos passageiros Power instalado: 4 × mak 12VM43C 2 × mak 8m43c 64.000 kW (combinado) Propulsão: diesel - elétrico dois azipods (2 × 17,6 mw) Três abb Tropadeiras de arco (3 × 2.200 kW) Velocidade: 23,7 nós (43,9 km / h; 27,3 mph) Capacidade: 2.092 passageiros com camas inferiores, 2.547 passageiros máximos</v>
      </c>
    </row>
    <row r="637" customFormat="false" ht="15.75" hidden="false" customHeight="true" outlineLevel="0" collapsed="false">
      <c r="A637" s="3" t="n">
        <v>634</v>
      </c>
      <c r="B637" s="5" t="s">
        <v>1901</v>
      </c>
      <c r="C637" s="5" t="s">
        <v>1902</v>
      </c>
      <c r="D637" s="5" t="s">
        <v>1903</v>
      </c>
      <c r="E637" s="4" t="str">
        <f aca="false">IFERROR(__xludf.dummyfunction("GOOGLETRANSLATE(C638)"),"Quais são as qualificações para jogar no campeonato de jogadores")</f>
        <v>Quais são as qualificações para jogar no campeonato de jogadores</v>
      </c>
      <c r="F637" s="5" t="str">
        <f aca="false">IFERROR(__xludf.dummyfunction("GOOGLETRANSLATE(D637)"),"   Número de títulos do estado Jon Ano (s) Nova York 7 1945, 1976, 1984, 2013, 2014, 2015, 2019 Oklahoma 6 1926, 1, 1943, 1946, 1955, 1983 Ohio 1922, 1923, 1938, 1963, 1972, 1972, 1972, 1978, 1978, Michigan 5 1939 , 1970 , 1988 , 1969 , 1969 , Pennsylvani"&amp;"a 1924 , 1935 , 1936 , 1940 , 1954 Mississippi 1959 , , 1986 Arkansas 1964 , 1982 , 2017 Virginia 1979 , 1999 , 2010 Alabama 1951 , 1995 , 2005 Kansas , 1942 , 1971 , 1975 Colorado 1956, 1958, 1974 Geórgia 1953, 2016 Wisconsin, 2012 Florida 1993, 2004 Haw"&amp;"aii 1992, 2001 Carolina do Sul 1957, 1994 Tennessee 1947, 1987 Utah 1952, 1985 New Jersey 21, 1944 North Dakota 2018 Nebraska 1952, 1985 Indian 2009 2009 O ourro de 1944, 1944, dakota. Kentucky 2000 Missouri 1990 Carolina do Norte 1962 Connecticut")</f>
        <v>   Número de títulos do estado Jon Ano (s) Nova York 7 1945, 1976, 1984, 2013, 2014, 2015, 2019 Oklahoma 6 1926, 1, 1943, 1946, 1955, 1983 Ohio 1922, 1923, 1938, 1963, 1972, 1972, 1972, 1978, 1978, Michigan 5 1939 , 1970 , 1988 , 1969 , 1969 , Pennsylvania 1924 , 1935 , 1936 , 1940 , 1954 Mississippi 1959 , , 1986 Arkansas 1964 , 1982 , 2017 Virginia 1979 , 1999 , 2010 Alabama 1951 , 1995 , 2005 Kansas , 1942 , 1971 , 1975 Colorado 1956, 1958, 1974 Geórgia 1953, 2016 Wisconsin, 2012 Florida 1993, 2004 Hawaii 1992, 2001 Carolina do Sul 1957, 1994 Tennessee 1947, 1987 Utah 1952, 1985 New Jersey 21, 1944 North Dakota 2018 Nebraska 1952, 1985 Indian 2009 2009 O ourro de 1944, 1944, dakota. Kentucky 2000 Missouri 1990 Carolina do Norte 1962 Connecticut</v>
      </c>
    </row>
    <row r="638" customFormat="false" ht="15.75" hidden="false" customHeight="true" outlineLevel="0" collapsed="false">
      <c r="A638" s="3" t="n">
        <v>635</v>
      </c>
      <c r="B638" s="5" t="s">
        <v>1904</v>
      </c>
      <c r="C638" s="5" t="s">
        <v>1905</v>
      </c>
      <c r="D638" s="5" t="s">
        <v>1906</v>
      </c>
      <c r="E638" s="4" t="str">
        <f aca="false">IFERROR(__xludf.dummyfunction("GOOGLETRANSLATE(C639)"),"Qual é a montanha mais alta da América do Norte")</f>
        <v>Qual é a montanha mais alta da América do Norte</v>
      </c>
      <c r="F638" s="5" t="str">
        <f aca="false">IFERROR(__xludf.dummyfunction("GOOGLETRANSLATE(D638)"),"  Vencedores de eventos da PGA Tour desde os últimos 125 jogadores da FedEx Cup List da FedEx Cup List 125 (Medical) Grandes Champions dos últimos cinco anos, vencedores do campeonato de jogadores dos últimos cinco anos, os vencedores do campeonato dos úl"&amp;"timos três anos de golfe mundial Vencedores do campeonato dos últimos três anos Memorial Tournament e Arnold Palmer Invitational Winners desde 2015 Top 50 do campeão oficial do World Golf Ranking Senior Players do líder de dinheiro do Web.com Tour do Web."&amp;"com do líder de dinheiro da temporada anterior durante as finais da turnê Web.com, se Não é o líder de dinheiro regular - Líder de dinheiro dos 10 melhores anos da FedEx Cup Points Líderes restantes e alternativas preenchidas na classificação do FedEx Cup"&amp;" no ano atual")</f>
        <v>  Vencedores de eventos da PGA Tour desde os últimos 125 jogadores da FedEx Cup List da FedEx Cup List 125 (Medical) Grandes Champions dos últimos cinco anos, vencedores do campeonato de jogadores dos últimos cinco anos, os vencedores do campeonato dos últimos três anos de golfe mundial Vencedores do campeonato dos últimos três anos Memorial Tournament e Arnold Palmer Invitational Winners desde 2015 Top 50 do campeão oficial do World Golf Ranking Senior Players do líder de dinheiro do Web.com Tour do Web.com do líder de dinheiro da temporada anterior durante as finais da turnê Web.com, se Não é o líder de dinheiro regular - Líder de dinheiro dos 10 melhores anos da FedEx Cup Points Líderes restantes e alternativas preenchidas na classificação do FedEx Cup no ano atual</v>
      </c>
    </row>
    <row r="639" customFormat="false" ht="15.75" hidden="false" customHeight="true" outlineLevel="0" collapsed="false">
      <c r="A639" s="3" t="n">
        <v>636</v>
      </c>
      <c r="B639" s="5" t="s">
        <v>1907</v>
      </c>
      <c r="C639" s="5" t="s">
        <v>1908</v>
      </c>
      <c r="D639" s="5" t="s">
        <v>1909</v>
      </c>
      <c r="E639" s="4" t="str">
        <f aca="false">IFERROR(__xludf.dummyfunction("GOOGLETRANSLATE(C640)"),"quem cantou o tema sintonizado para absolutamente fabuloso")</f>
        <v>quem cantou o tema sintonizado para absolutamente fabuloso</v>
      </c>
      <c r="F639" s="5" t="str">
        <f aca="false">IFERROR(__xludf.dummyfunction("GOOGLETRANSLATE(D639)")," Os 200 cúpulas mais altas da Grande América do Norte, com pelo menos 500 metros de destaque topográfico, rangem de destaque de destaque da altitude da montanha da região montanhosa Local de isolamento Denali (anteriormente Mount McKinley) Alaska Alaska R"&amp;"ange 6190,5 m 20.310 ft 6141 m 20.146 ft 7.450 km 4,629 Mi ′ 08 '' n 151 ° 00 ′ 23 '' W / 63.0690 ° N 151.0063 ° W / 63.0690; - 151.0063 (Denali) Mounte Logan Yukon Saint Elias Montanhas 5959 M 19.551 ft 5247 m 17.215 ft 623 km 387 mi 60 ° 34 ′ 02 '' n 14"&amp;"0 ° 24 ′ 20 '' 'W / 60.5671 ° N50.40.40.40 / 60.5671; - 140.4055 (Monte Logan) Pico de Orizaba (Citlaltépetl) Puebla Veracruz Cordillera Neovolcanica 5636 m 18.491 ft 4922 m 16.148 ft 2,690 km 1,72 mi 19 ° 01 ′ 50 '' '' 'N7 ° N7 ° N7 ° N7 ° 3 ° 01. N 97.2"&amp;"698 ° W / 19.0305; - 97.2698 (Pico de Orizaba) Mount Saint Elias Alaska Yukon Saint Elias Montanhas 5489 M 18.009 ft 3429 m 11.250 pés 41,3 km 25,6 mi 60 ° 17 ′ 34 '' n 140 ° 55 ′ 51 '' W / 60.22222220 140.9307 ° com 60.2927; - 140.9307 ﻿ ( Mount Saint El"&amp;"ias )     5   Popocatépetl   México Morelos Puebla   Cordillera Neovolcanica   5410 m 17,749 ft   3040 m 9,974 ft   143.0 km 88.8 mi   19 ° 01 ′ 21 '' N 98 ° 37 ′ 40 '' W ﻿ / ﻿ 19.0225 ° N 98.6278 ° W / 19.0225; - 98.6278 (Popocatépetl) 6 Montar a Faixa d"&amp;"o Alasca do Alasca 5304 m 17.400 pés 2210 m 7.250 pés 23,0 km 14,27 mi 62 ° 57 ′ 37 '' n 151 ° 23 ′ 59 '' 'W / 62.9604 ° N51.3.3. / 62.9604; - 151.3998 (Mount Foraker) 7 Mount Lucania Yukon Saint Elias Montanhas 5260 m 17.257 pés 3080 m 10.105 pés 43,0 km"&amp;" 26,7 mi 61 ° 01 ′ 17 '' n 140 ° 27 ′ 58 '' W / 61.0215 ° ° N 140. C / 61.0215; - 140.4661 (Monte Lucania) 8 Iztaccíhuatl México Puebla Cordillera Neovolcanica 5230 m 17.159 pés 1560 m 5,118 ft 17,51 km 10,88 mi 19 ° 10 ′ 49 '' n 98 ° 38 ′ 29 '' '' '' '' "&amp;"'' '' 'n 98 ° 38 ′ 29' '' '' '' '' '' '' 98 ° 38 ° 3.8 ° W 19 '' '' '' '' '' '' '' '' '' '' '' '' '159 ''159' '' '' '' '' '159 ''159 Ft 1560 m 5.118 ft 17.51 ​​km 10,88 mi 19 ° 10' '' '' n 98 ° 38 ′ 29 '' '' '. / 19.1802; - 98.6415 (Iztaccíhuatl) 9 Montan"&amp;"has King Peak Yukon Saint Elias 5173 m 16.972 ft 1073 m 3.520 pés 4,68 km 2,91 mi 60 ° 35 ′ 00 'n 140 ° 39 ′ 18' W / 60.583 / 60.5833; - 140.6549 (King Peak) 10 Monte Bona Alasca Saint Elias Montanhas 5044 m 16.550 pés 2103 m 6.900 pés 80,0 km 49,7 mi 61 "&amp;"° 23 ′ 08 '' n 141 ° 44 ′ 58 '' W / 61.3856 ° N 141.77. C / 61.3856; - 141.7495 (Monte Bona) 11 Mount Steele Yukon Saint Elias Montanhas 5020 m 16.470 ft 760 m 2.493 pés 9,45 km 5,87 mi 61 ° 05 ′ 34 '' n 140 ° 18 ′ 42 '' W / 61.0929 ° ° N 140. 140 ° 18 '4"&amp;"2' '' ° 61.0929 ° ° N 140. C / 61.0929; - 140.3118 (Monte Steele) 12 Montar montanhas Blackburn Alaska Wrangell 4996 M 16.390 pés 3548 m 11.640 ft 97,6 km 60,7 mi 61 ° 43 ′ 50 '' n 143 ° 24 ′ 11 '' W / 61.7305 ° N 143. / 61.7305; - 143.4031 (Monte Blackbu"&amp;"rn) 13 Mount Sanford Alaska Wrangell Mountains 4949 M 16.237 pés 2343 m 7.687 pés 64,8 km 40,3 mi 62 ° 12 ′ 48 '' n 144 ° 07 '45' 'W / 62.2132 ° N 144.2 / 62.2132; - 144.1292 (Mount Sanford) 14 Mount Wood Yukon Saint Elias Montanhas 4860 m 15.945 pés 1200"&amp;" m 3.937 pés 18,95 km 11,77 mi 61 ° 13 ′ 57 '' N 140 ° 30 ′ 44 '' W / 61.2226 ° N 140.40.20.12. C / 61.2326; - 140.5123 (Mount Wood) 15 Mount Vancouver Yukon Saint Elias Montanhas 4812 m 15.787 pés 2712 m 8.898 pés 44,0 km 27,4 mi 60 ° 21 ′ 32 '' n 139 ° "&amp;"41 ′ 53 '' W / 60.3589 ° N ° 139. Com 60.3589; - 139.6980 (Mount Vancouver) 16 Mount Slaggard Yukon Saint Elias Montanhas 4742 m 15.558 pés 522 m 1.713 ft 7,74 km 4,81 mi 61 ° 10 ′ 22 '' n 140 ° 3 ′ 06 '' W / 61.1727 ° ° N 140 ° 3 '' '' '' ''1.1727 ′ 22'."&amp;" W / 61.1727; - 140.5851 (Mount Slaggard) 17 Nevado de Toluca (Volcán Xinantécatl) México Cordillera Neovolcanica 4690 m 15.387 ft 2225 m 7.300 ft 118,4 km 73 mi 19 ° 06 ° 07 '' n 99 ° 46 ° 46 ° 46 ° 19 ° 19 ° 06 '07' 'N9 ° 40 ° 40 ° 40 ° 7. ° N 99.7677 °"&amp;" W / 19.1020; - 99.7677 (Nevado de Toluca) 18 Mount Fairweather (Fairweather Mountain) Alasca da Colúmbia Britânica Saint Elias Montanhas 4671 m 15.325 ft 3961 m 12.995 ft 200 km 124,4 mi 58 ° 54 ′ 23 'n 137 ° 31 ′ 35' '' '' '' '' '' '' '' n 137 ° 31 ' / "&amp;"58.9064 ° N 137.5265 ° W / 58.9064; - 137.5265 (Mount Fairweather) 19 Mount Hubbard Alaska Yukon Saint Elias Montanhas 4557 m 14.951 ft 2457 m 8.061 pés 34,4 km 21,3 mi 60 ° 19 ′ 10 'n 139 ° 04' 21 '' W / 60.3194 ° W / 60.3194; - 139.0726 (Monte Hubbard) "&amp;"20 Montar Urso Alasca Saint Elias Montanhas 4520 m 14.831 ft 1540 m 5.054 pés 32,4 km 20,1 mi 61 ° 17 ′ 00 '' n 141 ° 08 ′ 36 '' '° 61.2884 ° N 141.4.1.1.1.1.1.1.1.1.1.1.4. C / 61.2834; - 141.1433 (Urso de montagem) 21 Mount Walsh Yukon Saint Elias Montan"&amp;"has 4506 m 14.783 ft 1366 m 4.482 pés 18,76 km 11,66 mi 61 ° 00 ′ 13 '' n 140 ° 01 ′ 02 '' W / 61.0037 ° ° ° N 140. C / 61.0037; - 140.0171 (Mount Walsh) 22 Mount Hunter Alaska Alaska Range 4442 M 14.573 ft 1418 m 4.653 pés 11,07 km 6,88 mi 62 ° 57 ′ 01 '"&amp;"' n 151 ° 05 ′ 29 '' W / 62.9504 ° ° 15.1. / 62.9504; - 151.0915 (Mount Hunter) 23 La Malintzin (La Malinche) Puebla Tlaxcala Cordillera Neovolcanica 4430 M 14.534 ft 1920 m 6.299 ft 63,9 km 39,7 mi 19 ° 13 ′ 52 '' n 98 ° 01 '56' 52 '52' 19 'n 98 ° ° N 98"&amp;".0321 ° W / 19.2310; - 98.0321 (La Malintzin) 24 Mount Whitney California Sierra Nevada 4421,0 m 14.505 ft 3072 m 10.080 pés 2.649 km 1.646 mi 36 ° 34 ′ 43 'n 118 ° 17' 31 '' 'W / 36.7777 / 36.5786; - 118.2920 (Monte Whitney) 25 Mount Alverstone (ponto de"&amp;" limite 180) Montanhas Alaska Yukon Saint Elias 4420 m 14.500 ft 594 m 1.950 pés 3,62 km 2,25 mi 60 ° 21 ′ 06 '' n 139 ° 04 '30' 'W / / 60.3518 ° N 139.0749 ° W / 60.3518; - 139.0749 (Mount Alverstone) 26 Universidade Pico do Alasca Saint Elias Montanhas "&amp;"4410 m 14.470 ft 978 m 3.210 pés 5,97 km 3,71 mi 61 ° 19 ′ 38 '' n 141 ° 47 ′ 12 '' 'W / 61.3272 ° N 141.7.7.7.77 ° 47 ′ 12' '' '' '' '' '' '' '' '' '' '' '' '' '' '' '' '' '', W / 61.3272; - 141.7867 (pico da universidade) 27 Mount Elbert Colorado Sawatc"&amp;"h Faixa 4401,2 m 14.440 ft 2772 m 9.093 ft 1.079 km 671 mi 39 ° 07 ′ 04 '' n 106 ° 26 ′ 43 '' W / 39.1178 ° n 106. / 39.1178; - 106.4454 (Mount Elbert) 28 Mounte MASSIVO A Gama Sawatch 4398 m 14.428 pés 598 m 1.961 pés 8,14 km 5,06 mi 39 ° 11 ′ 15 '' n 10"&amp;"6 ° 28 ′ 33 '' W / 39.1875 ° N 106. / 39.1875; - 106.4757 (Monte MASSIVO) 29 MONTURO HARVARD COLORADO SAWATCH RANGE 4395,6 M 14.421 FT 719 M 2.360 FT 24,0 km 14,92 mi 38 ° 55 ′ 28 '' N 106 ° 19 ′ 15 '' 'W / 38.9244 ° N. / 38.9244; - 106.3207 (Monte Harvar"&amp;"d) 30 Rainier Washington Cascade Faixa 4394 m 14.417 pés 4026 m 13.210 pés 1.177 km 731 mi 46 ° 51 ′ 10 '' N 121 ° 45 ′ 37 '' W / 46.8529 ° N2.7.7.7.7.70 ′ 37 '' '' '' '' '' '' '' '' '' '' '' '' '' '' '' '' '' '' '' '' ', / 46.8529; - 121.7604 (Mount Rain"&amp;"ier) 31 Monte Williamson Califórnia Sierra Nevada 4383 m 14.379 pés 511 m 1.676 ft 8,70 km 5,41 mi 36 ° 39 ′ 21 '' n 118 ° 18 ° 40 '' '' '36.6559 ° N 1181111 / 36.6559; - 118.3111 (Monte Williamson) 32 McArthur Peak Yukon Saint Elias Montanhas 4380 m 14.3"&amp;"70 ft 960 m 3.150 pés 9,10 km 5,65 mi 60 ° 36 ′ 25 '' n 140 ° 12 ′ 52 '' W / 60.6069 ° N 140.2.2.2. Com 60.6069; - 140.2144 (McArthur Peak) 33 Montanhas Blanca Peak Colorado Sangre de Cristo 4374 m 14.351 ft 1623 m 5.326 ft 166,4 km 103,4 mi 37 ° 34 ′ 39 "&amp;"'' n 105 ° 29 ′ 08 'W / 37. ° W / 37.5775; - 105.4856 (Blanca Peak) 34 LA PLATA Peak Colorado Sawatch Faixa 4372 m 14.343 pés 560 m 1.836 pés 10,11 km 6,28 mi 39 ° 01 ′ 46 '' n 106 ° 28 ′ 22 '' '' ''0294 ° N 106.72. C / 39.0294; - 106.4729 (La Plata Peak)"&amp;" 35 Uncompahgre Peah Colorado San Juan Mountains 4365,0 m 14.321 ft 1304 m 4.277 pés 136,8 km 85,0 mi 38 ° 04 ′ 18 'n 107 ° 27 ′ 44' 'W / 38.077777777 ′ 18' n 107 ° 27 ′ 44 '' W / 38.0777777777777 ° ′ 107 ′ 44 '' '' '' '' '' '' '' '' '' '' '' '' '' '' '' "&amp;"'' '' '' '' '' '' '' '' '' '' '' '' '' '' '' '' '' o '' '' '' '' '' o '' '' o '' '' '' ''277' no '' '' '' '' '. ° W / 38.0717; - 107.4621 (pico UNCOMPAHGRE) 36 Crestone Peak Colorado Sangre de Cristo Range 4359 M 14.300 ft 1388 m 4.554 pés 44,0 km 27,4 mi"&amp;" 37 ° 58 ′ 01 'n 105 ° 35 ′ 08' 'W / 37.966696969696969696969. ° W / 37.9669; - 105.5855 (pico de crestone) 37 Montante Lincoln Colorado Mosquito Faixa 4356,5 m 14.293 ft 1177 m 3,862 pés 36,2 km 22,5 mi 39 ° 21 ′ 05 'n 106 ° 06 ′ 42' 'W / 39.3515 ′ 05' n"&amp;" 106 ° 06 ′ 42 '' 'W / 39.3515 / 39.3515; - 106.1116 (Monte Lincoln) 38 Montanhas do Castle Peak Colorado Elk 4352,2 m 14.279 pés 721 m 2.365 pés 33,6 km 20,9 mi 39 ° 00 ′ 35 '' n 106 ° 51 ′ 41 '' W / 39.0097 ° / 39.0097; - 106.8614 (pico do castelo) 39 G"&amp;"rays Peak Colorado Front Range 4352 M 14.278 pés 844 m 2.770 pés 40,2 km 25,0 mi 39 ° 38 ′ 02 '' n 105 ° 49 ′ 03 '' W / 39.6339 ° N.8177 / 39.6339; - 105.8176 (Grays Peak) 40 Antero Antero Colorado SAWATCH Range 4351,4 m 14.276 pés 763 m 2.503 pés 28,4 km"&amp;" 17,67 mi 38 ° 40 ′ 27 '' n 106 ° 14 ′ 46 '' W / 38.6741 ° N 1066. / 38.6741; - 106.2462 (Mount Antero) 41 Mount Evans Range frontal do Colorado 4350 m 14.271 pés 844 m 2.770 pés 15,76 km 9,79 mi 39 ° 35 ′ 18 '' n 105 ° 38 ′ 38 '' 'W / 39.5883 ° N5.60 / 3"&amp;"9.5883; - 105.6438 (Monte Evans) 42 Longs Peak Colorado Front Range 4346 m 14.259 ft 896 m 2.940 ft 70,2 km 43,6 mi 40 ° 15 ′ 18 '' n 105 ° 36 ′ 54 'W / 40.2550 ° N 105.6151 ° W / 40.2550; - 105.6151 (pico de longa) 43 Mount Wilson Colorado San Miguel Mou"&amp;"ntains 4344 m 14.252 pés 1227 m 4.024 pés 53,1 km 33,0 mi 37 ° 50 ′ 21 '' n 107 ° 59 ′ 30 '' W / 37.8391 ° N. C / 37.8391; - 107.9916 (Mount Wilson) 44 Montanhas brancas da Califórnia na montanha branca 4344,0 m 14.252 ft 2193 m 7.196 pés 108,6 km 67,4 mi"&amp;" 37 ° 38 ′ 03 '' n 118 ° 15 ′ 21 '' W / 37.641 ° ° ° N18. C / 37.6341; - 118.2557 (pico da montanha branca) 45 North Palisade California Sierra Nevada 4343 m 14.248 pés 882 m 2.894 pés 51,8 km 32,2 mi 37 ° 05 ′ 39 'n 118 ° 30' 52 'W / 37.093 C / 37.0943; "&amp;"- 118.5145 (North Palisade) 46 Mount Princeton Colorado Sawatch Faixa 4329,3 m 14.204 pés 664 m 2.177 pés 8,36 km 5,19 mi 38 ° 44 ′ 57 '' n 106 ° 14 ′ 33 '' W / 38.7492 ° ° N. / 38.7492; - 106.2424 (Mount Princeton) 47 Mount Yale Colorado Sawatch Faixa 43"&amp;"28,2 m 14.200 pés 578 m 1.896 ft 8,93 km 5,55 mi 38 ° 50 ′ 39 '' n 106 ° 18 ° 50 '' W / 38.8442 ° N. / 38.8442; - 106.3138 (Mount Yale) 48 Mount Shasta California Cascade Range 4321,8 m 14.179 ft 2979 m 9.772 ft 539 km 335 mi 41 ° 24 ′ 33 '' N 122 ° 11 ′ "&amp;"42 '' W / 41.4092 ° ° N22 ° 11 '′ 42' '' '' ° 41.4092 ° ° N2. / 41.4092; - 122.1949 (Monte Shasta) 49 Montanhas Maroon Colorado Elk 4317,0 m 14.163 ft 712 m 2.336 pés 12,97 km 8,06 mi 39 ° 04 ′ 15 '' n 106 ° 59 ′ 20 '' W / 39.0708 ° / 39.0708; - 106.9890 "&amp;"(Maroon Peak) 50 Mount Wrangell Alaska Wrangell Mountains 4317 m 14.163 pés 1711 m 5.613 ft 23,8 km 14,79 mi 62 ° 00 ′ 21 '' n 144 ° 01 ′ 07 '' W / 62.0059 ° N 144. / 62.0059; - 144.0187 (Mount Wrangell) 51 Sneffels Mount Colorado Sneffels Faixa 4315,4 m "&amp;"14.158 pés 930 m 3.050 pés 25,3 km 15,71 mi 38 ° 00 ′ 14 '' n 107 ° 47 ′ 32 '' 'W / 38.0038 ° N. / 38.0038; - 107.7923 (Mount Sneffels) 52 Capitol Peak Colorado Elk Mountains 4309 M 14.137 pés 533 m 1.750 pés 11,98 km 7,44 mi 39 ° 09 ′ 01 '' n 107 ° 04 ′ "&amp;"58 '' W / 39.1503 ° ° N. / 39.1503; - 107.0829 (Capitol Peak) 53 Pikes Pico da faixa frontal do Colorado 4302,31 m 14.115 ft 1686 m 5.530 pés 97,6 km 60,6 mi 38 ° 50 ′ 26 '' n 105 ° 02 ′ 39 '' 'W / 38.8405 ° N55440 / 38.8405; - 105.0442 (Pikes Peak) 54 Mo"&amp;"ntanhas de agulha do pico Windom Colorado 4296 m 14.093 ft 667 m 2.187 pés 42,4 km 26,3 mi 37 ° 37 ′ 16 '' n 107 ° 35 ′ 31 '' '' '' '' 37.6212 ° N 107.5.50 ° 35 '' '' '' '37.6212 ° N. / 37.6212; - 107.5919 (Windom Peak) 55 Mount Augusta Alaska Yukon Saint"&amp;" Elias Montanhas 4289 M 14.070 pés 1549 m 5.082 pés 23,2 km 14,41 mi 60 ° 18 ′ 27 'n 140 ° 27 ′ 30' W / 60.3074 ° ° ° ° W / 60.3074; - 140.4584 (Monte Augusta) 56 Handies Peak Colorado San Juan Mountains 4284,8 m 14.058 pés 582 m 1.908 pés 18,00 km 11,18 "&amp;"mi 37 ° 54 ′ 47 '' n 107 ° 30 ′ 16 '' W / 37.9130 ° ° ° N. C / 37.9130; - 107.5044 (Handies Peak) 57 Culebra Peak Colorado Culebra Faixa 4283 m 14.053 pés 1471 m 4.827 pés 56,9 km 35,4 mi 37 ° 07 ′ 21 '' n 105 ° 11 ′ 09 '' W / 37.1224 ° ° N5. / 37.1224; -"&amp;" 105.1858 (Culebra Peak) 58 San Luis Peak Colorado La Garita Montanhas 4273,8 m 14.022 ft 949 m 3,113 ft 43,4 km 26,9 mi 37 ° 59 ′ 12 'n 106 ° 55' 53 '' W / 37.98888 ′ 12 'n 106 ° 53' '' 'W / 37.9888888 ′ n 106 ° 53' '' '' 'W / 37.988888 ′ n 106 ° 53' '' "&amp;"'' 'W / 37.98888 ′ n 106 ° 53' 53 '' 'W / 37.988888888888888888888888888888888888 ° N. ° W / 37.9868; - 106.9313 (San Luis Peak) 59 Montagem da Cruz Holy Colorado SAWATCH Faixa 4270,5 m 14.011 ft 644 m 2.113 ft 29,6 km 18,41 mi 39 ° 28 ′ 00 '' n 106 ° 28 "&amp;"′ 54 '' W / 39.468 ° N 106.4817 ° W / 39.4668; - 106.4817 (Monte da Cruz Santa) 60 Nevado de Colima Jalisco Cordillera Neovolcanica 4270 M 14.009 ft 2720 m 8.924 pés 405 km 252 mi 19 ° 33 ′ 48 'n 103 ° 36' 31 '' W / 19.563 N 103.6087 ° W / 19.5633; - 103."&amp;"6087 (Nevado de Colima) 61 GRAVA PAIXO PATO DO COLORADO SAWATCH RANGE 4265,6 M 13.995 FT 588 M 1.928 ft 10,89 km 6,77 mi 39 ° 02 ′ 33 'n 106 ° 35 ′ 51' 'W / 39.0425 C / 39.0425; - 106.5976 (Pico do Grizzly) 62 Mount Humphreys Califórnia Sierra Nevada 4265"&amp;" m 13.992 ft 781 m 2.563 ft 23,7 km 14,71 mi 37 ° 16 ′ 14 'n 118 ° 40' 23 '' W / 37.270 / 37.2705; - 118.6730 (Monte Humphreys) 63 Mount Keith Califórnia Sierra Nevada 4262 m 13.982 pés 590 m 1.936 ft 4,97 km 3,09 mi 36 ° 42 ′ 00 '' n 118 ° 20 ′ 37 '' W /"&amp;" 36.7001 ° ° N 11. / 36.7001; - 118.3436 (Monte Keith) 64 Mount Strickland Yukon Saint Elias Montanhas 4260 m 13.976 ft 800 m 2.625 pés 7,35 km 4,57 mi 61 ° 14 ′ 11 '' n 140 ° 40 ′ 32 '' W / 61.2365 ° ° N 140. C / 61.2365; - 140.6755 ﻿ ( Mount Strickland "&amp;")     65   Mount Ouray   Colorado   Sawatch Range   4255.4 m 13,961 ft   810 m 2,659 ft   21.9 km 13.58 mi   38 ° 25 ′ 22 '' N 106 ° 13 ′ 29 '' W ﻿ / ﻿ 38.4227 ° N 106.2247 ° W / 38.4227; - 106.2247 (Monte Ouray) 66 Montanhas de San Juan do Colorado Juan "&amp;"4237 m 13.900 pés 642 m 2,105 pés 14,60 km 9,07 mi 37 ° 47 ′ 57 '' n 107 ° 49 ′ 43 '' W / 37.7993 C / 37.7993; - 107.8285 (pico de vermelhão) 67 Avalanche Peak Yukon Saint Elias Montanhas 4228 m 13.871 ft 608 m 1.995 pés 4,54 km 2,82 mi 61 ° 14 ′ 24 'n 14"&amp;"0 ° 45 ° 35' 'W / 61.2401 W / 61.2401; - 140.7597 (pico de avalanche) 68 ATNA PAIXOS MONTANHAS ALASKA WRANGELL 4225 M 13.860 FT 674 M 2.210 FT 5,86 km 3,64 mi 61 ° 44 ′ 58 'n 143 ° 14 ′ 29' 'W / 61.745 / 61.7495; - 143.2414 (picos de atna) 69 Volcán Tajum"&amp;"ulco Guatemala Sierra de las Nubes 4220 m 13.845 ft 3990 m 13.091 ft 722 km 448 mi 15 ° 02 ′ 35 '' n 91 ° 54'. ° W / 15.0430; - 91.9037 (Volcán Tajumulco) 70 montanhas alaska da montanha regra Alasca 4220 m 13.845 pés 1340 m 4.395 pés 19,72 km 12,25 mi 61"&amp;" ° 44 ′ 38 '' n 142 ° 52 ′ 03 'W / 61. / 61.7438; - 142.8675 (Regal Mountain) 71 Mount Darwin California Sierra Nevada 4218 m 13.837 pés 576 m 1.891 ft 11,48 km 7,13 mi 37 ° 10 ′ 01 '' n 118 ° 40 ′ 20 '' W / 37.1669 ° ° N. / 37.1669; - 118.6721 ﻿ ( Mount "&amp;"Darwin )     72   Mount Hayes   Alaska   Alaska Range   4216 m 13,832 ft   3507 m 11,507 ft   202 km 125.5 mi   63 ° 37 ′ 13 '' N 146 ° 43 ′ 04 '' W ﻿ / ﻿ 63.6203 ° N 146.7178 ° W / 63.6203; - 146.7178 (Monte Hayes) 73 Mount Silverheels Faixa frontal do C"&amp;"olorado 4215,0 m 13.829 pés 696 m 2.283 ft 8,82 km 5,48 mi 39 ° 20 ′ 22 '' n 106 ° ° 00 ° 19 '' W / 39.3394 ° n 106.004. / 39.3394; - 106.0054 (Monte Silverheels) 74 Rio Grande Pyramid Colorado San Juan Mountains 4214,4 m 13.827 pés 573 m 1,881 pés 17,31 "&amp;"km 10,76 mi 37 ° 40 ′ 47 'n 107 ° 23' 33 '' 'W / 37.677777 ′ 47' 'n 107 ° 23' 33 '' '' W / 37.7.777. ° W / 37.6797; - 107.3924 (Pirâmide Rio Grande) 75 Cofre de Perote Veracruz Cordillera Neovolcanica 4210 m 13.812 ft 1340 m 4.396 ft 52,9 km 32,9 mi 19 ° "&amp;"29 ′ 38 '' n 97 ° 08 ′ 53 '53' '53' '5.90' '97 ° 97 ° 5 ° 97 ° 97 ° 97 ° 97 ° N. ° W / 19.4940; - 97.1480 (Cofre de Perote) 76 Gannett Peak Wyoming Wind River Range 4209,1 m 13.809 pés 2157 m 7.076 ft 467 km 290 mi 43 ° 11 ′ 03 'n 109 ° 39 ′ 15' W / 43.18"&amp;"42 ° ° ° N. ° W / 43.1842; - 109.6542 (Gannett Peak) 77 Mount Kaweah Califórnia Sierra Nevada 4209 M 13.807 pés 618 m 2.027 pés 17,27 km 10,73 mi 36 ° 31 ′ 34 '' n 118 ° 28 ′ 43 '' W / 36.5261 ° ° N. / 36.5261; - 118.4785 (Monte Kaweah) 78 Grand Teton Wyo"&amp;"ming Teton Faixa 4198,7 m 13.775 ft 1995 m 6.545 ft 111,6 km 69,4 mi 43 ° 44 ′ 28 'n 110 ° 48 ′ 09' 'W / 43.72 / 43.7412; - 110.8024 (Grand Teton) 79 Mount Cook Alaska Yukon Saint Elias Montanhas 4194 m 13.760 ft 2350 m 7.710 pés 23,4 km 14,54 mi 60 ° 10 "&amp;"′ 54 '' n 139 ° 58 ′ 52 '' W / 60.1816 ° ° ° N. ° W / 60.1816; - 139.9811 (Mount Cook) 80 Mount Morgan California Sierra Nevada 4193,4 m 13.758 pés 807 m 2.648 pés 15,87 km 9,86 mi 37 ° 24 ′ 19 '' n 118 ° 43 ′ 58 '' '° 37.4053 ° N 118.72.72.7.72.7.72.7.72"&amp;".7.72.7.72.7.72.7.72.7.72.7.72.7.72.7.72.7.72.7.72.7.72.7.72.7.72.7.72.7.72.7.72.7.72.7.72.7.72.7.72.7.72.7.72.7.72.7.72.7.72.7.72.7.72.7.72. / 37.4053; - 118.7329 ﻿ ( Mount Morgan )     81   Mount Gabb   California   Sierra Nevada   4190 m 13,747 ft   79"&amp;"3 m 2,601 ft   6.89 km 4.28 mi   37 ° 22 ′ 37 '' N 118 ° 48 ′ 09 '' W ﻿ / ﻿ 37.3769 ° N 118.8025 ° W / 37.3769; - 118.8025 (Monte Gabb) 82 Bald Mountain Colorado Front Range 4173 m 13.690 pés 640 m 2.099 pés 12,09 km 7,51 mi 39 ° 26 ′ 41 '' n 105 ° 58 ′ 1"&amp;"4 '' W / 39.4448 ° N 105.70 / 39.4448; - 105.9705 (Montanha Balada) 83 Mount Oso Colorado San Juan Montanhas 4173 m 13.690 pés 507 m 1.664 pés 8,71 km 5,41 mi 37 ° 36 ′ 25 '' n 107 ° 29 ′ 37 '' W / 37.6070 ° N 107.47. C / 37.6070; - 107.4936 (Mount OSO) 8"&amp;"4 MONTURO JACKSON Colorado SAWATCH Faixa 4168,5 m 13.676 pés 552 m 1.810 pés 5,16 km 3,21 mi 39 ° 29 ′ 07 '' n 106 ° 32 '' '' W / 39.4853 ° N7.5.5.5.5.5.5.5.5.5.5.5.5.5.5.5.5.5.5.5.5.5.5.5.5.5.5.5.5. / 39.4853; - 106.5367 (Mount Jackson) 85 Mount Tom Cali"&amp;"fornia Sierra Nevada 4163 m 13.657 pés 607 m 1.992 pés 7,67 km 4,77 mi 37 ° 22 ′ 34 '' n 119 ° 10 ′ 44 '' 'W / 37.3762 ° N99.17 / 37.3762; - 119.1789 (Monte Tom) 86 Pico da faixa frontal do Colorado Bard 4159 m 13.647 pés 518 m 1.701 ft 8,74 km 5,43 mi 39"&amp;" ° 43 ′ 13 '' n 105 ° 48 ′ 16 '' W / 39.7204 ° N 105.8044 ° W / 39.7204; - 105.8044 (pico do bardo) 87 pico do espanhol ocidental Colorado Espanhol picos 4155 m 13.631 ft 1123 m 3.686 pés 32,0 km 19,87 mi 37 ° 22 ′ 32 '' n 104 ° 59 ′ 36 '' '' '' '37.3756 "&amp;"° n 10444444444 ° 36' '' '' '' 37.3756 ° N 1044444 ° 59 ° 36 '' '' '' '. C / 37.3756; - 104.9934 (pico espanhol ocidental) 88 MONTAGEM POWELL Colorado Gore Raje 4141 m 13.586 ft 914 m 3.000 pés 34,6 km 21,5 mi 39 ° 45 ′ 36 '' n 106 ° 20 ′ 27 'W / 39.7601 "&amp;"° N 106.347 ° C / 39.7601; - 106.3407 (Monte Powell) 89 Hagues Peak Colorado Faixa de múmias 4137 m 13.573 pés 738 m 2.420 pés 25,3 km 15,70 mi 40 ° 29 ′ 04 '' n 105 ° 38 ′ 47 '' W / 40.4845 ° N5.6660 / 40.4845; - 105.6464 (Hagues Peak) 90 Mount Dubois Ca"&amp;"lifornia Mountains brancos 4135 m 13.565 pés 713 m 2.339 pés 15,50 km 9,63 mi 37 ° 47 ° 00 '' n 118 ° 20 ′ 36 '' W / 37.7834 ° N. / 37.7834; - 118.3432 (Monte Dubois) 91 Montanha da Torre Montanha Montanhas San Juan 4132 m 13.558 pés 504 m 1.652 pés 7,86 "&amp;"km 4,88 mi 37 ° 51 ′ 26 '' n 107 ° 37 ′ 23 '' W / 37.8573 ° N. C / 37.8573; - 107.6230 (Tower Mountain) 92 Montanhas do Colorado Mountain Colorado 4125 m 13.535 ft 862 m 2.828 pés 11,13 km 6,92 mi 39 ° 01 ′ 28 '' n 107 ° 07 ′ 22 '' '' '090244 ° N 107.2222"&amp;"0 / 39.0244; - 107.1228 (Treasure Mountain) 93 Kings Peak Utah Uinta Montanhas 4125 m 13.534 ft 1938 m 6.358 pés 268 km 166,6 mi 40 ° 46 ′ 35 '' n 110 ° 22 ′ 22 '' 'W / 40.7763 ° N 110.3.30.72' 22 '' '' '' ''7763 ° N10.72' '' '' '' '' '' '' '' '' '' '' ''"&amp;" '' '' '' '' '' ', / 40.7763; - 110.3729 ﻿ ( Kings Peak )     94   Monte Tlaloc   Mexico   Trans Mexican Volcanic Belt   4120 m 13,517 ft   958 m 3,143 ft   15.00 km 9.32 mi   19 ° 23 ′ 42 '' N 98 ° 46 ′ 52 '' W ﻿ / ﻿ 19.3950 ° N 98.781 ° W / 19.3950; - 9"&amp;"8.781 (Monte Tlaloc) 95 North Arapaho Peak Colorado Frente 4117 m 13.508 pés 507 m 1.665 pés 24,8 km 15,38 mi 40 ° 01 ′ 35 '' n 105 ° 39 ′ 01 '' W / 40.0265 ° N. C / 40.0265; - 105.6504 (North Arapaho Peak) 96 Mount Pinchot Califórnia Sierra Nevada 4115 m"&amp;" 13.500 pés 643 m 2.110 ft 7,58 km 4,71 mi 36 ° 56 ′ 50 '' n 118 ° 24 ° 19 '' '' '36.94773 ° N 118. C / 36.9473; - 118.4054 (Mount Pinchot) 97 Mount Natzhat Alaska Saint Elias Montanhas 4095 m 13.435 ft 1824 m 5.985 pés 24,9 km 15,49 mi 61 ° 31 ′ 18 'n 14"&amp;"1 ° 06 ′ 11' W / 61.5227 C / 61.5217; - 141.1030 (Monte Natzhat) 98 Mount Jarvis Alaska Wrangell Mountains 4091 M 13.421 pés 1454 m 4.771 ft 17,95 km 11,15 mi 62 ° 01 ′ 24 'n 143 ° 37 ′ 11' W / 62,0244 ° ° 24 '' '° 37' '' '' '' W / 62.0234 ° ′ 24 '' ° 37 "&amp;"'' '' '' '' '' '' ''15 '15' '' N ° 37 '11,15 mi 62 ° 01' '' 'N 143 ° 37' 11 '' W / 62.0244 / 62.0234; - 143.6198 (Monte Jarvis) 99 PETRO PATO DO COLORADO RANDE 4083 M 13.397 FT 524 M 1.720 pés 15,22 km 9,46 mi 39 ° 50 ′ 17 '' n 105 ° 42 ′ 48 '' W / 39.838"&amp;"1 ° N 105.722 ° 42 '' '' ''8381 ° N 105.722 / 39.8381; - 105.7132 (Parry Peak) 100 Bill Williams Peak Montanhas do Colorado Williams 4081 m 13.389 pés 513 m 1.682 pés 6,00 km 3,73 mi 39 ° 10 ′ 50 '' n 106 ° 36 ′ 37 '' W / 39.1806 ° N 106.6102 C / 39.1806;"&amp;" - 106.6102 (Bill Williams Peak) 101 Montanhas Sultan Mountain Colorado San Juan 4076 m 13.373 ft 569 m 1.868 pés 7,39 km 4,59 mi 37 ° 47 ′ 09 '' n 107 ° 42 ′ 14 '' W / 37.7859 ° ° ° N. ° W / 37.7859; - 107.7038 (Sultan Mountain) 102 Mount Herard Colorado"&amp;" Sangre de Cristo Montanhas 4068 m 13.345 ft 622 m 2.040 ft 7,45 km 4,63 mi 37 ° 50 ′ 57 'n 105 ° 29' 42 '' W / 37.842 ° W / 37.8492; - 105.4949 (Mount Herard) 103 Volcán Tacaná Chiapas Guatemala Sierra de Istatan 4067 m 13.343 ft 1037 m 3.402 ft 24,2 km "&amp;"14,99 mi 15 ° 07 '56' 'n 92 ° 06 ′ 30' '' '' '' '' '' '28 '2 ° 20 '2 ° N.20. ° W / 15.1323; - 92.1084 (Volcán tacaná) 104 West Buffalo Peak Colorado Mosquito Faixa 4064 m 13.332 ft 605 m 1.986 pés 15,46 km 9,61 mi 38 ° 59 ′ 30 'n 106 ° 07 ′ 30' 'W / 38.99"&amp;"777 ′ 30' n 106 ° 07 '' '' '' W / 38.9997 ° ′ 30 'n 106 ° 07' '' '' 'W / 38.9997 ′ 30' n 106 ° 07 '' '' '' 'W / 38.9997 ′ 30' 'n 106 ° 07' '' '' 'W / 38.997.97 ′ 30' n 106 ° 07 '' '' '' W / 38.9997 ° ′ 30 'n 106 ° 07' '' '' 'W / 38.9997. C / 38.9917; - 10"&amp;"6.1249 (pico de búfalo ocidental) 105 Montar as montanhas Craig Yukon Saint Elias 4060 m 13.320 pés 520 m 1.706 ft 6,97 km 4,33 mi 61 ° 15 ′ 49 '' n 140 ° 52 ′ 48 '' W / 61.2666 ° ° N2 ° 50 '48' '' ' ° W / 61.2636; - 140.8800 (Mount Craig) 106 Montanhas d"&amp;"o Alasca do Alasca do Alasca Elias 4058 m 13.315 ft 507 m 1.665 pés 5,34 km 3,32 mi 61 ° 21 ′ 32 '' n 141 ° 39 ′ 59 '' W / 61.3590 ° ° N41. C / 61.3590; - 141.6664 (pico do tressider) 107 Summit Peak Colorado Mountains San Juan 4056,2 m 13.308 pés 841 m 2"&amp;".760 pés 63,7 km 39,6 mi 37 ° 21 ′ 02 '' n 106 ° 41 ′ 48 '' W / 37.3506 ° ° ° ° N. C / 37.3506; - 106.6968 (pico da cúpula) 108 Pico médio Montanhas do Colorado San Miguel 4056 m 13.306 ft 597 m 1.960 pés 7,69 km 4,78 mi 37 ° 51 ′ 13 '' n 108 ° 06 ′ 30 ''"&amp;" '' '' '37.8536 ° N 108.202.10. C / 37.8536; - 108.1082 (pico médio) 109 ANTERAÇÃO ANTORA PATO DO COLORADO RAÇA 4046 m 13.275 pés 734 m 2.409 pés 10,86 km 6,75 mi 38 ° 19 ′ 30 '' n 106 ° 13 ′ 05 '' W / 38.3250 ° N 106.2180 / 38.3250; - 106.2180 (pico anto"&amp;"ra) 110 Henry Mountain Colorado SAWATCH RAÇA 4042 M 13.261 FT 510 M 1.674 pés 17,61 km 10,94 mi 38 ° 41 ′ 08 '' n 106 ° 37 ′ 16 '' 'W / 38.6856 ° N6.6.6.6.6.6.6.6.6.6.6.6.6.6.6.6.6.6.6.6.6.6.6.6.6.6.6.6.6.6.6.6.6.6.6.6.6.6.6.6.6.6.6.6.6.6.6.6.6.6.6.6.6.6."&amp;"6.6.6.6.6.6.6.6.6.6.6.6.6.6.6.6.6.6.6.6.6. / 38.6856; - 106.6211 (Henry Mountain) 111 Hesperus Mountain Colorado Montanhas Plata Montanhas 4035 m 13.237 pés 869 m 2.852 pés 39,5 km 24,5 mi 37 ° 26 ′ 42 '' n 108 ° 05 ′ 20 '' W / 37.4451 ° N8.0 C / 37.4451;"&amp;" - 108.0890 (Hesperus Mountain) 112 MONTURO Silverthrone Alaska Alaska Range 4029 m 13.220 pés 988 m 3.240 pés 12,72 km 7,90 mi 63 ° 06 ′ 57 '' n 150 ° 40 ′ 32 '' W / 63.111157 ° N50.50.5. / 63.1157; - 150.6755 (Monte Silverthrone) 113 Jacque Peak Colorad"&amp;"o Gore Range 4027 m 13.211 ft 629 m 2.065 pés 7,28 km 4,52 mi 39 ° 27 ′ 18 '' n 106 ° 11 ′ 49 '' W / 39.4549 ° N 106.1970 / 39.4549; - 106.1970 (Jacque Peak) 114 Montanhas Bennett Peak Colorado San Juan 4026 m 13.209 pés 531 m 1.743 ft 27,5 km 17,08 mi 37"&amp;" ° 29 ′ 00 '' n 106 ° 26 ′ 03 '' W / 37.4833. C / 37.4833; - 106.4343 (Bennett Peak) 115 Wind River Peak Wyoming Wind River Range 4022,4 m 13.197 pés 784 m 2.572 ft 56,6 km 35,1 mi 42 ° 42 ′ 31 '' n 109 ° 07 ′ 42 '' W / 42.7085 ° ° N. ° W / 42.7085; - 109"&amp;".1284 (Wind River Peak) 116 Mount Waddington Montanhas da costa da Colúmbia Britânica 4019 m 13.186 pés 3289 m 10.791 ft 562 km 349 mi 51 ° 22 ′ 25 '' n 125 ° 15 ′ 49 '' W / 51.3737 ° N55.2 ° W / 51.3737; - 125.2636 (Monte Waddington) 117 Conejos Peak Mon"&amp;"tanhas do Colorado San Juan 4017,0 m 13.179 pés 583 m 1.912 pés 13,12 km 8,15 mi 37 ° 17 ′ 19 'n 106 ° 34 ′ 15' W / 37.28887 C / 37.2887; - 106.5709 ﻿ ( Conejos Peak )     118   Mount Marcus Baker   Alaska   Chugach Mountains   4016 m 13,176 ft   3277 m 1"&amp;"0,751 ft   203 km 126.3 mi   61 ° 26 ′ 15 '' N 147 ° 45 ′ 09 '' W ﻿ / ﻿ 61.4374 ° N 147.7525 ° C / 61.4374; - 147.7525 (Mount Marcus Baker) 119 Montanhas Bighorn de pico de nuvem Wyoming 4013,3 m 13.167 ft 2157 m 7.077 pés 233 km 145,0 mi 44 ° 22 ′ 56 '' "&amp;"n 107 ° 10 ′ 26 '' W / 44.3821 ° ° ° N. C / 44.3821; - 107.1739 (pico da nuvem) Montanhas do Novo México do México 4013,3 m 13.167 ft 1039 m 3.409 pés 59,6 km 37,0 mi 36 ° 33 ′ 25 '' n 105 ° 25 ′ 01 '' W / 36.5569 ° N 105.4169 / 36.5569; - 105.4169 (Wheel"&amp;"er Peak) 121 Francs Peak Wyoming Faixa de Absaroka 4012,3 m 13.164 pés 1236 m 4.056 ft 76,0 km 47,2 mi 43 ° 57 ′ 41 'n 109 ° 20 ° 21' 'W / 43.963 ° ° ° ° N. / 43.9613; - 109.3392 ﻿ ( Francs Peak )     122   Twilight Peak   Colorado   Needle Mountains   40"&amp;"12 m 13,163 ft   713 m 2,338 ft   7.86 km 4.88 mi   37 ° 39 ′ 47 '' N 107 ° 43 ′ 37 '' W ﻿ / ﻿ 37.6630 ° N 107.7270 ° W / 37.6630; - 107.7270 (Twilight Peak) 123 Montanhas do Colorado de San Juan do rio sul 4009,4 m 13.154 pés 746 m 2.448 pés 34,0 km 21,1"&amp;" mi 37 ° 34 ′ 27 '' n 106 ° 58 ′ 53 '' W / 37.5741 ° ° ° N6 ° 56 ′ 53 '' ' ° W / 37.5741; - 106.9815 (South River Peak) 124 Ritter Ritter Califórnia Sierra Nevada 4008 m 13.149 pés 1216 m 3.990 pés 35,4 km 22,0 mi 37 ° 41 ′ 21 '' N 119 ° 11 ′ 59 '' W / 37"&amp;".6891 ° N 11991919191919191919191919 ° ​​37 '' '' '' '' '' '' '' '' '' '' '' '' '' '41' 'N 119 ° 11' '' '' '' ° 37.6891 ° N. C / 37.6891; - 119.1996 (Monte Ritter) 125 Slate Red Slate Mountain Califórnia Sierra Nevada 4002 M 13.129 pés 529 m 1.736 pés 13,"&amp;"38 km 8,31 mi 37 ° 30 ′ 27 '' N 118 ° 52 ′ 09 '' W / 37.5075 ° N 11. C / 37.5075; - 118.8693 (montanha de ardósia vermelha) 126 Mount Lyell (Califórnia) Califórnia Sierra Nevada 3998,9 m 13.120 ft 587 m 1,926 ft 8,46 km 5,26 mi 37 ° 44 ′ 22 'n 119 ° 16' 1"&amp;"8 '' W / 37.779474 ′ 22 '' n 119 ° 16 '18' '' W / 37.77944 N 119.2716 ° W / 37.7394; - 119.2716 (Mount Lyell) 127 Bushnell Peak Colorado Sangre de Cristo Montanhas 3995,8 m 13.110 ft 733 m 2.405 pés 17,82 km 11,07 mi 38 ° 20 ′ 28 'n 105 ° 53 ′ 21' 'W / 38"&amp;".3.42. ° W / 38.3412; - 105.8892 (Bushnell Peak) 128 Truchas Peak Novo México Montanhas Santa Fe 3995,2 m 13.108 pés 1220 m 4.001 ft 68,2 km 42,3 mi 35 ° 57 ′ 45 '' n 105 ° 38 '42' 'W / 35.9625 ° N55 ° N. ° W / 35.9625; - 105.6450 (pico de truchas) 129 Wh"&amp;"eeler Peak Nevada Snake Range 3982,3 m 13.065 pés 2307 m 7.568 ft 373 km 232 mi 38 ° 59 ′ 09 '' N 114 ° 18 ′ 50 '' 'W / 38.9858 ° N 113 / 38.9858; - 114.3139 (Wheeler Peak) 130 Mount Dana California Sierra Nevada 3981,5 m 13.063 ft 743 m 2.437 ft 18,35 km"&amp;" 11,40 mi 37 ° 54 ′ 00 'n 119 ° 13' 16 'W / 37.8999999999999999 ° N. / 37.8999; - 119.2211 (Monte Dana) 131 Monta da geleira da geleira Yukon Saint Elias Montanhas 3976 m 13.045 pés 676 m 2,218 pés 6,00 km 3,73 mi 61 ° 02 ′ 27 '' n 139 ° 55 '58' 'W / 61.0"&amp;"408 ° N 139 ° 55' '' '' '' W / 61.0408 ° N 139 ° 58 '' '' '' ''0408 ° 279. ° W / 61.0408; - 139.9328 (Spring Glacier Peak) 132 Montanhas do West Elk Peak Colorado Elk 3975,2 m 13.042 ft 943 m 3.095 ft 22,2 km 13,78 mi 38 ° 43 ′ 04 'n 107 ° 11' 58 '' W / 3"&amp;"8.777 107.1994 ° W / 38.7179; - 107.1994 (pico do alces oeste) 133 Volcán acatenango guatemala chimaltenango 3975 m 13.041 ft 1835 m 6.020 ft 125,9 km 78,2 mi 14 ° 30 ° 06 '' n ° ° 52 ′ 32 '' ' / 14.20 ° 3. / 14.5016; - 90.8755 (Volcán acatenango) 134 Mof"&amp;"fit Moffit Alaska Alaska Range 3969 m 13.020 ft 1210 m 3.970 pés 16,41 km 10,20 mi 63 ° 34 ′ 06 'n 14 ° 23 ′ 54' '' W / 63.588887 ′ 06 'n. / 63.5683; - 146.3982 (Moffit) 135 Centenário de montagem (pico 13010) Montanhas do Colorado Juan 3967 m 13.016 pés "&amp;"546 m 1.790 pés 4,61 km 2,86 mi 37 ° 36 '22' n 107 ° 14 '41' 'W / 37.60 ° N 107.2446 ° W / 37.6062; - 107.2446 (Mount Centennial) 136 Mount Robson Rockies canadenses da Colúmbia Britânica 3959 M 12.989 pés 2829 m 9.281 ft 460 km 286 mi 53 ° 06 ′ 38 '' n 1"&amp;"19 ° 09 ′ 24 '' W / 53.1105 ° N99. C / 53.1105; - 119.1566 (Mount Robson) 137 Montanhas Clark Peak Colorado Medicine Bow 3948,4 m 12.954 pés 845 m 2.771 pés 26,4 km 16,40 mi 40 ° 36 ′ 24 '' n 105 ° 55 ′ 48 '' 'W / 40.6068 ° N 105.3 C / 40.6068; - 105.9300"&amp;" (Clark Peak) 138 Mount Richthofen Colorado Montanhas Never Summer 3946 m 12.945 ft 817 m 2.680 pés 15,54 km 9,66 mi 40 ° 28 ′ 10 '' n 105 ° 53 ′ 40 '' W / 40.4695 ° N 105.8 C / 40.4695; - 105.8945 (Monte Richthofen) 139 Cerro Ajusco Distrito Federal Cord"&amp;"illera Neovolcanica 3937 m 12.917 pés 1227 m 4.026 pés 53,5 km 33,2 mi 19 ° 12 ′ 27 'n 99 ° 15 ′ 30' 'W / 19.2077770 ° 12' '' 'n 99 ° 15' '' '' 'W / 19.2077770 ° 12' '' 'n 99 ° 15' '' '' 'W / 19.2077770. Com 19.2074; - 99.2582 (Cerro Ajusco) 140 Mount Har"&amp;"rison (Yukon) Montanhas Yukon Saint Elias 3935 m 12.910 ft 875 m 2,871 pés 11,00 km 6,84 mi 61 ° 04 ′ 41 '' n 140 ° 06 ′ 07 '' W / 61. N 140.1019 ° W / 61.0781; - 140.1019 (Mount Harrison) 141 Mount Queen Mary Yukon Saint Elias Montanhas 3928 m 12.887 pés"&amp;" 1348 m 4.423 pés 25,3 km 15,69 mi 60 ° 37 ′ 43 '' n 139 ° 43 ′ 29 '' W / 60.6286 ° ° N 139 ° 43 '29' '' ' ° W / 60.6286; - 139.7247 (Monte Rainha Mary) Raiz do Alasca Alasca da Colúmbia Britânica Saint Elias Montanhas 3928 m 12.887 ft 908 m 2.979 ft 8,79"&amp;" km 5,46 mi 58 ° 59 ′ 07 '' n 137 ° 30 00 '' W / 58.984 137.5001 ° com 58.9854; - 137.5001 (Raiz de montagem) 143 Lizard Head Peak Wyoming Wind River Range 3916 m 12.847 pés 580 m 1.902 ft 10,40 km 6,46 mi 42 ° 47 ′ 24 '' n 109 ° 11 ′ 52 '' 'W / 42.7901 °"&amp;" ° N99.10 ° W / 42.7901; - 109.1978 (pico da cabeça do lagarto) 144 Pico de granito Montanhas Montana Beartooth 3903,5 m 12.807 pés 1457 m 4.779 pés 138,5 km 86,0 mi 45 ° 09 ′ 48 'n 109 ° 48 ′ 27' 'W / 45.164 C / 45.1634; - 109.8075 (pico de granito) 145 "&amp;"Mount Crosson Alaska Alaska Range")</f>
        <v> Os 200 cúpulas mais altas da Grande América do Norte, com pelo menos 500 metros de destaque topográfico, rangem de destaque de destaque da altitude da montanha da região montanhosa Local de isolamento Denali (anteriormente Mount McKinley) Alaska Alaska Range 6190,5 m 20.310 ft 6141 m 20.146 ft 7.450 km 4,629 Mi ′ 08 '' n 151 ° 00 ′ 23 '' W / 63.0690 ° N 151.0063 ° W / 63.0690; - 151.0063 (Denali) Mounte Logan Yukon Saint Elias Montanhas 5959 M 19.551 ft 5247 m 17.215 ft 623 km 387 mi 60 ° 34 ′ 02 '' n 140 ° 24 ′ 20 '' 'W / 60.5671 ° N50.40.40.40 / 60.5671; - 140.4055 (Monte Logan) Pico de Orizaba (Citlaltépetl) Puebla Veracruz Cordillera Neovolcanica 5636 m 18.491 ft 4922 m 16.148 ft 2,690 km 1,72 mi 19 ° 01 ′ 50 '' '' 'N7 ° N7 ° N7 ° N7 ° 3 ° 01. N 97.2698 ° W / 19.0305; - 97.2698 (Pico de Orizaba) Mount Saint Elias Alaska Yukon Saint Elias Montanhas 5489 M 18.009 ft 3429 m 11.250 pés 41,3 km 25,6 mi 60 ° 17 ′ 34 '' n 140 ° 55 ′ 51 '' W / 60.22222220 140.9307 ° com 60.2927; - 140.9307 ﻿ ( Mount Saint Elias )     5   Popocatépetl   México Morelos Puebla   Cordillera Neovolcanica   5410 m 17,749 ft   3040 m 9,974 ft   143.0 km 88.8 mi   19 ° 01 ′ 21 '' N 98 ° 37 ′ 40 '' W ﻿ / ﻿ 19.0225 ° N 98.6278 ° W / 19.0225; - 98.6278 (Popocatépetl) 6 Montar a Faixa do Alasca do Alasca 5304 m 17.400 pés 2210 m 7.250 pés 23,0 km 14,27 mi 62 ° 57 ′ 37 '' n 151 ° 23 ′ 59 '' 'W / 62.9604 ° N51.3.3. / 62.9604; - 151.3998 (Mount Foraker) 7 Mount Lucania Yukon Saint Elias Montanhas 5260 m 17.257 pés 3080 m 10.105 pés 43,0 km 26,7 mi 61 ° 01 ′ 17 '' n 140 ° 27 ′ 58 '' W / 61.0215 ° ° N 140. C / 61.0215; - 140.4661 (Monte Lucania) 8 Iztaccíhuatl México Puebla Cordillera Neovolcanica 5230 m 17.159 pés 1560 m 5,118 ft 17,51 km 10,88 mi 19 ° 10 ′ 49 '' n 98 ° 38 ′ 29 '' '' '' '' '' '' 'n 98 ° 38 ′ 29' '' '' '' '' '' '' 98 ° 38 ° 3.8 ° W 19 '' '' '' '' '' '' '' '' '' '' '' '' '159 ''159' '' '' '' '' '159 ''159 Ft 1560 m 5.118 ft 17.51 ​​km 10,88 mi 19 ° 10' '' '' n 98 ° 38 ′ 29 '' '' '. / 19.1802; - 98.6415 (Iztaccíhuatl) 9 Montanhas King Peak Yukon Saint Elias 5173 m 16.972 ft 1073 m 3.520 pés 4,68 km 2,91 mi 60 ° 35 ′ 00 'n 140 ° 39 ′ 18' W / 60.583 / 60.5833; - 140.6549 (King Peak) 10 Monte Bona Alasca Saint Elias Montanhas 5044 m 16.550 pés 2103 m 6.900 pés 80,0 km 49,7 mi 61 ° 23 ′ 08 '' n 141 ° 44 ′ 58 '' W / 61.3856 ° N 141.77. C / 61.3856; - 141.7495 (Monte Bona) 11 Mount Steele Yukon Saint Elias Montanhas 5020 m 16.470 ft 760 m 2.493 pés 9,45 km 5,87 mi 61 ° 05 ′ 34 '' n 140 ° 18 ′ 42 '' W / 61.0929 ° ° N 140. 140 ° 18 '42' '' ° 61.0929 ° ° N 140. C / 61.0929; - 140.3118 (Monte Steele) 12 Montar montanhas Blackburn Alaska Wrangell 4996 M 16.390 pés 3548 m 11.640 ft 97,6 km 60,7 mi 61 ° 43 ′ 50 '' n 143 ° 24 ′ 11 '' W / 61.7305 ° N 143. / 61.7305; - 143.4031 (Monte Blackburn) 13 Mount Sanford Alaska Wrangell Mountains 4949 M 16.237 pés 2343 m 7.687 pés 64,8 km 40,3 mi 62 ° 12 ′ 48 '' n 144 ° 07 '45' 'W / 62.2132 ° N 144.2 / 62.2132; - 144.1292 (Mount Sanford) 14 Mount Wood Yukon Saint Elias Montanhas 4860 m 15.945 pés 1200 m 3.937 pés 18,95 km 11,77 mi 61 ° 13 ′ 57 '' N 140 ° 30 ′ 44 '' W / 61.2226 ° N 140.40.20.12. C / 61.2326; - 140.5123 (Mount Wood) 15 Mount Vancouver Yukon Saint Elias Montanhas 4812 m 15.787 pés 2712 m 8.898 pés 44,0 km 27,4 mi 60 ° 21 ′ 32 '' n 139 ° 41 ′ 53 '' W / 60.3589 ° N ° 139. Com 60.3589; - 139.6980 (Mount Vancouver) 16 Mount Slaggard Yukon Saint Elias Montanhas 4742 m 15.558 pés 522 m 1.713 ft 7,74 km 4,81 mi 61 ° 10 ′ 22 '' n 140 ° 3 ′ 06 '' W / 61.1727 ° ° N 140 ° 3 '' '' '' ''1.1727 ′ 22'. W / 61.1727; - 140.5851 (Mount Slaggard) 17 Nevado de Toluca (Volcán Xinantécatl) México Cordillera Neovolcanica 4690 m 15.387 ft 2225 m 7.300 ft 118,4 km 73 mi 19 ° 06 ° 07 '' n 99 ° 46 ° 46 ° 46 ° 19 ° 19 ° 06 '07' 'N9 ° 40 ° 40 ° 40 ° 7. ° N 99.7677 ° W / 19.1020; - 99.7677 (Nevado de Toluca) 18 Mount Fairweather (Fairweather Mountain) Alasca da Colúmbia Britânica Saint Elias Montanhas 4671 m 15.325 ft 3961 m 12.995 ft 200 km 124,4 mi 58 ° 54 ′ 23 'n 137 ° 31 ′ 35' '' '' '' '' '' '' '' n 137 ° 31 ' / 58.9064 ° N 137.5265 ° W / 58.9064; - 137.5265 (Mount Fairweather) 19 Mount Hubbard Alaska Yukon Saint Elias Montanhas 4557 m 14.951 ft 2457 m 8.061 pés 34,4 km 21,3 mi 60 ° 19 ′ 10 'n 139 ° 04' 21 '' W / 60.3194 ° W / 60.3194; - 139.0726 (Monte Hubbard) 20 Montar Urso Alasca Saint Elias Montanhas 4520 m 14.831 ft 1540 m 5.054 pés 32,4 km 20,1 mi 61 ° 17 ′ 00 '' n 141 ° 08 ′ 36 '' '° 61.2884 ° N 141.4.1.1.1.1.1.1.1.1.1.1.4. C / 61.2834; - 141.1433 (Urso de montagem) 21 Mount Walsh Yukon Saint Elias Montanhas 4506 m 14.783 ft 1366 m 4.482 pés 18,76 km 11,66 mi 61 ° 00 ′ 13 '' n 140 ° 01 ′ 02 '' W / 61.0037 ° ° ° N 140. C / 61.0037; - 140.0171 (Mount Walsh) 22 Mount Hunter Alaska Alaska Range 4442 M 14.573 ft 1418 m 4.653 pés 11,07 km 6,88 mi 62 ° 57 ′ 01 '' n 151 ° 05 ′ 29 '' W / 62.9504 ° ° 15.1. / 62.9504; - 151.0915 (Mount Hunter) 23 La Malintzin (La Malinche) Puebla Tlaxcala Cordillera Neovolcanica 4430 M 14.534 ft 1920 m 6.299 ft 63,9 km 39,7 mi 19 ° 13 ′ 52 '' n 98 ° 01 '56' 52 '52' 19 'n 98 ° ° N 98.0321 ° W / 19.2310; - 98.0321 (La Malintzin) 24 Mount Whitney California Sierra Nevada 4421,0 m 14.505 ft 3072 m 10.080 pés 2.649 km 1.646 mi 36 ° 34 ′ 43 'n 118 ° 17' 31 '' 'W / 36.7777 / 36.5786; - 118.2920 (Monte Whitney) 25 Mount Alverstone (ponto de limite 180) Montanhas Alaska Yukon Saint Elias 4420 m 14.500 ft 594 m 1.950 pés 3,62 km 2,25 mi 60 ° 21 ′ 06 '' n 139 ° 04 '30' 'W / / 60.3518 ° N 139.0749 ° W / 60.3518; - 139.0749 (Mount Alverstone) 26 Universidade Pico do Alasca Saint Elias Montanhas 4410 m 14.470 ft 978 m 3.210 pés 5,97 km 3,71 mi 61 ° 19 ′ 38 '' n 141 ° 47 ′ 12 '' 'W / 61.3272 ° N 141.7.7.7.77 ° 47 ′ 12' '' '' '' '' '' '' '' '' '' '' '' '' '' '' '' '' '', W / 61.3272; - 141.7867 (pico da universidade) 27 Mount Elbert Colorado Sawatch Faixa 4401,2 m 14.440 ft 2772 m 9.093 ft 1.079 km 671 mi 39 ° 07 ′ 04 '' n 106 ° 26 ′ 43 '' W / 39.1178 ° n 106. / 39.1178; - 106.4454 (Mount Elbert) 28 Mounte MASSIVO A Gama Sawatch 4398 m 14.428 pés 598 m 1.961 pés 8,14 km 5,06 mi 39 ° 11 ′ 15 '' n 106 ° 28 ′ 33 '' W / 39.1875 ° N 106. / 39.1875; - 106.4757 (Monte MASSIVO) 29 MONTURO HARVARD COLORADO SAWATCH RANGE 4395,6 M 14.421 FT 719 M 2.360 FT 24,0 km 14,92 mi 38 ° 55 ′ 28 '' N 106 ° 19 ′ 15 '' 'W / 38.9244 ° N. / 38.9244; - 106.3207 (Monte Harvard) 30 Rainier Washington Cascade Faixa 4394 m 14.417 pés 4026 m 13.210 pés 1.177 km 731 mi 46 ° 51 ′ 10 '' N 121 ° 45 ′ 37 '' W / 46.8529 ° N2.7.7.7.7.70 ′ 37 '' '' '' '' '' '' '' '' '' '' '' '' '' '' '' '' '' '' '' '' ', / 46.8529; - 121.7604 (Mount Rainier) 31 Monte Williamson Califórnia Sierra Nevada 4383 m 14.379 pés 511 m 1.676 ft 8,70 km 5,41 mi 36 ° 39 ′ 21 '' n 118 ° 18 ° 40 '' '' '36.6559 ° N 1181111 / 36.6559; - 118.3111 (Monte Williamson) 32 McArthur Peak Yukon Saint Elias Montanhas 4380 m 14.370 ft 960 m 3.150 pés 9,10 km 5,65 mi 60 ° 36 ′ 25 '' n 140 ° 12 ′ 52 '' W / 60.6069 ° N 140.2.2.2. Com 60.6069; - 140.2144 (McArthur Peak) 33 Montanhas Blanca Peak Colorado Sangre de Cristo 4374 m 14.351 ft 1623 m 5.326 ft 166,4 km 103,4 mi 37 ° 34 ′ 39 '' n 105 ° 29 ′ 08 'W / 37. ° W / 37.5775; - 105.4856 (Blanca Peak) 34 LA PLATA Peak Colorado Sawatch Faixa 4372 m 14.343 pés 560 m 1.836 pés 10,11 km 6,28 mi 39 ° 01 ′ 46 '' n 106 ° 28 ′ 22 '' '' ''0294 ° N 106.72. C / 39.0294; - 106.4729 (La Plata Peak) 35 Uncompahgre Peah Colorado San Juan Mountains 4365,0 m 14.321 ft 1304 m 4.277 pés 136,8 km 85,0 mi 38 ° 04 ′ 18 'n 107 ° 27 ′ 44' 'W / 38.077777777 ′ 18' n 107 ° 27 ′ 44 '' W / 38.0777777777777 ° ′ 107 ′ 44 '' '' '' '' '' '' '' '' '' '' '' '' '' '' '' '' '' '' '' '' '' '' '' '' '' '' '' '' '' '' '' '' o '' '' '' '' '' o '' '' o '' '' '' ''277' no '' '' '' '' '. ° W / 38.0717; - 107.4621 (pico UNCOMPAHGRE) 36 Crestone Peak Colorado Sangre de Cristo Range 4359 M 14.300 ft 1388 m 4.554 pés 44,0 km 27,4 mi 37 ° 58 ′ 01 'n 105 ° 35 ′ 08' 'W / 37.966696969696969696969. ° W / 37.9669; - 105.5855 (pico de crestone) 37 Montante Lincoln Colorado Mosquito Faixa 4356,5 m 14.293 ft 1177 m 3,862 pés 36,2 km 22,5 mi 39 ° 21 ′ 05 'n 106 ° 06 ′ 42' 'W / 39.3515 ′ 05' n 106 ° 06 ′ 42 '' 'W / 39.3515 / 39.3515; - 106.1116 (Monte Lincoln) 38 Montanhas do Castle Peak Colorado Elk 4352,2 m 14.279 pés 721 m 2.365 pés 33,6 km 20,9 mi 39 ° 00 ′ 35 '' n 106 ° 51 ′ 41 '' W / 39.0097 ° / 39.0097; - 106.8614 (pico do castelo) 39 Grays Peak Colorado Front Range 4352 M 14.278 pés 844 m 2.770 pés 40,2 km 25,0 mi 39 ° 38 ′ 02 '' n 105 ° 49 ′ 03 '' W / 39.6339 ° N.8177 / 39.6339; - 105.8176 (Grays Peak) 40 Antero Antero Colorado SAWATCH Range 4351,4 m 14.276 pés 763 m 2.503 pés 28,4 km 17,67 mi 38 ° 40 ′ 27 '' n 106 ° 14 ′ 46 '' W / 38.6741 ° N 1066. / 38.6741; - 106.2462 (Mount Antero) 41 Mount Evans Range frontal do Colorado 4350 m 14.271 pés 844 m 2.770 pés 15,76 km 9,79 mi 39 ° 35 ′ 18 '' n 105 ° 38 ′ 38 '' 'W / 39.5883 ° N5.60 / 39.5883; - 105.6438 (Monte Evans) 42 Longs Peak Colorado Front Range 4346 m 14.259 ft 896 m 2.940 ft 70,2 km 43,6 mi 40 ° 15 ′ 18 '' n 105 ° 36 ′ 54 'W / 40.2550 ° N 105.6151 ° W / 40.2550; - 105.6151 (pico de longa) 43 Mount Wilson Colorado San Miguel Mountains 4344 m 14.252 pés 1227 m 4.024 pés 53,1 km 33,0 mi 37 ° 50 ′ 21 '' n 107 ° 59 ′ 30 '' W / 37.8391 ° N. C / 37.8391; - 107.9916 (Mount Wilson) 44 Montanhas brancas da Califórnia na montanha branca 4344,0 m 14.252 ft 2193 m 7.196 pés 108,6 km 67,4 mi 37 ° 38 ′ 03 '' n 118 ° 15 ′ 21 '' W / 37.641 ° ° ° N18. C / 37.6341; - 118.2557 (pico da montanha branca) 45 North Palisade California Sierra Nevada 4343 m 14.248 pés 882 m 2.894 pés 51,8 km 32,2 mi 37 ° 05 ′ 39 'n 118 ° 30' 52 'W / 37.093 C / 37.0943; - 118.5145 (North Palisade) 46 Mount Princeton Colorado Sawatch Faixa 4329,3 m 14.204 pés 664 m 2.177 pés 8,36 km 5,19 mi 38 ° 44 ′ 57 '' n 106 ° 14 ′ 33 '' W / 38.7492 ° ° N. / 38.7492; - 106.2424 (Mount Princeton) 47 Mount Yale Colorado Sawatch Faixa 4328,2 m 14.200 pés 578 m 1.896 ft 8,93 km 5,55 mi 38 ° 50 ′ 39 '' n 106 ° 18 ° 50 '' W / 38.8442 ° N. / 38.8442; - 106.3138 (Mount Yale) 48 Mount Shasta California Cascade Range 4321,8 m 14.179 ft 2979 m 9.772 ft 539 km 335 mi 41 ° 24 ′ 33 '' N 122 ° 11 ′ 42 '' W / 41.4092 ° ° N22 ° 11 '′ 42' '' '' ° 41.4092 ° ° N2. / 41.4092; - 122.1949 (Monte Shasta) 49 Montanhas Maroon Colorado Elk 4317,0 m 14.163 ft 712 m 2.336 pés 12,97 km 8,06 mi 39 ° 04 ′ 15 '' n 106 ° 59 ′ 20 '' W / 39.0708 ° / 39.0708; - 106.9890 (Maroon Peak) 50 Mount Wrangell Alaska Wrangell Mountains 4317 m 14.163 pés 1711 m 5.613 ft 23,8 km 14,79 mi 62 ° 00 ′ 21 '' n 144 ° 01 ′ 07 '' W / 62.0059 ° N 144. / 62.0059; - 144.0187 (Mount Wrangell) 51 Sneffels Mount Colorado Sneffels Faixa 4315,4 m 14.158 pés 930 m 3.050 pés 25,3 km 15,71 mi 38 ° 00 ′ 14 '' n 107 ° 47 ′ 32 '' 'W / 38.0038 ° N. / 38.0038; - 107.7923 (Mount Sneffels) 52 Capitol Peak Colorado Elk Mountains 4309 M 14.137 pés 533 m 1.750 pés 11,98 km 7,44 mi 39 ° 09 ′ 01 '' n 107 ° 04 ′ 58 '' W / 39.1503 ° ° N. / 39.1503; - 107.0829 (Capitol Peak) 53 Pikes Pico da faixa frontal do Colorado 4302,31 m 14.115 ft 1686 m 5.530 pés 97,6 km 60,6 mi 38 ° 50 ′ 26 '' n 105 ° 02 ′ 39 '' 'W / 38.8405 ° N55440 / 38.8405; - 105.0442 (Pikes Peak) 54 Montanhas de agulha do pico Windom Colorado 4296 m 14.093 ft 667 m 2.187 pés 42,4 km 26,3 mi 37 ° 37 ′ 16 '' n 107 ° 35 ′ 31 '' '' '' '' 37.6212 ° N 107.5.50 ° 35 '' '' '' '37.6212 ° N. / 37.6212; - 107.5919 (Windom Peak) 55 Mount Augusta Alaska Yukon Saint Elias Montanhas 4289 M 14.070 pés 1549 m 5.082 pés 23,2 km 14,41 mi 60 ° 18 ′ 27 'n 140 ° 27 ′ 30' W / 60.3074 ° ° ° ° W / 60.3074; - 140.4584 (Monte Augusta) 56 Handies Peak Colorado San Juan Mountains 4284,8 m 14.058 pés 582 m 1.908 pés 18,00 km 11,18 mi 37 ° 54 ′ 47 '' n 107 ° 30 ′ 16 '' W / 37.9130 ° ° ° N. C / 37.9130; - 107.5044 (Handies Peak) 57 Culebra Peak Colorado Culebra Faixa 4283 m 14.053 pés 1471 m 4.827 pés 56,9 km 35,4 mi 37 ° 07 ′ 21 '' n 105 ° 11 ′ 09 '' W / 37.1224 ° ° N5. / 37.1224; - 105.1858 (Culebra Peak) 58 San Luis Peak Colorado La Garita Montanhas 4273,8 m 14.022 ft 949 m 3,113 ft 43,4 km 26,9 mi 37 ° 59 ′ 12 'n 106 ° 55' 53 '' W / 37.98888 ′ 12 'n 106 ° 53' '' 'W / 37.9888888 ′ n 106 ° 53' '' '' 'W / 37.988888 ′ n 106 ° 53' '' '' 'W / 37.98888 ′ n 106 ° 53' 53 '' 'W / 37.988888888888888888888888888888888888 ° N. ° W / 37.9868; - 106.9313 (San Luis Peak) 59 Montagem da Cruz Holy Colorado SAWATCH Faixa 4270,5 m 14.011 ft 644 m 2.113 ft 29,6 km 18,41 mi 39 ° 28 ′ 00 '' n 106 ° 28 ′ 54 '' W / 39.468 ° N 106.4817 ° W / 39.4668; - 106.4817 (Monte da Cruz Santa) 60 Nevado de Colima Jalisco Cordillera Neovolcanica 4270 M 14.009 ft 2720 m 8.924 pés 405 km 252 mi 19 ° 33 ′ 48 'n 103 ° 36' 31 '' W / 19.563 N 103.6087 ° W / 19.5633; - 103.6087 (Nevado de Colima) 61 GRAVA PAIXO PATO DO COLORADO SAWATCH RANGE 4265,6 M 13.995 FT 588 M 1.928 ft 10,89 km 6,77 mi 39 ° 02 ′ 33 'n 106 ° 35 ′ 51' 'W / 39.0425 C / 39.0425; - 106.5976 (Pico do Grizzly) 62 Mount Humphreys Califórnia Sierra Nevada 4265 m 13.992 ft 781 m 2.563 ft 23,7 km 14,71 mi 37 ° 16 ′ 14 'n 118 ° 40' 23 '' W / 37.270 / 37.2705; - 118.6730 (Monte Humphreys) 63 Mount Keith Califórnia Sierra Nevada 4262 m 13.982 pés 590 m 1.936 ft 4,97 km 3,09 mi 36 ° 42 ′ 00 '' n 118 ° 20 ′ 37 '' W / 36.7001 ° ° N 11. / 36.7001; - 118.3436 (Monte Keith) 64 Mount Strickland Yukon Saint Elias Montanhas 4260 m 13.976 ft 800 m 2.625 pés 7,35 km 4,57 mi 61 ° 14 ′ 11 '' n 140 ° 40 ′ 32 '' W / 61.2365 ° ° N 140. C / 61.2365; - 140.6755 ﻿ ( Mount Strickland )     65   Mount Ouray   Colorado   Sawatch Range   4255.4 m 13,961 ft   810 m 2,659 ft   21.9 km 13.58 mi   38 ° 25 ′ 22 '' N 106 ° 13 ′ 29 '' W ﻿ / ﻿ 38.4227 ° N 106.2247 ° W / 38.4227; - 106.2247 (Monte Ouray) 66 Montanhas de San Juan do Colorado Juan 4237 m 13.900 pés 642 m 2,105 pés 14,60 km 9,07 mi 37 ° 47 ′ 57 '' n 107 ° 49 ′ 43 '' W / 37.7993 C / 37.7993; - 107.8285 (pico de vermelhão) 67 Avalanche Peak Yukon Saint Elias Montanhas 4228 m 13.871 ft 608 m 1.995 pés 4,54 km 2,82 mi 61 ° 14 ′ 24 'n 140 ° 45 ° 35' 'W / 61.2401 W / 61.2401; - 140.7597 (pico de avalanche) 68 ATNA PAIXOS MONTANHAS ALASKA WRANGELL 4225 M 13.860 FT 674 M 2.210 FT 5,86 km 3,64 mi 61 ° 44 ′ 58 'n 143 ° 14 ′ 29' 'W / 61.745 / 61.7495; - 143.2414 (picos de atna) 69 Volcán Tajumulco Guatemala Sierra de las Nubes 4220 m 13.845 ft 3990 m 13.091 ft 722 km 448 mi 15 ° 02 ′ 35 '' n 91 ° 54'. ° W / 15.0430; - 91.9037 (Volcán Tajumulco) 70 montanhas alaska da montanha regra Alasca 4220 m 13.845 pés 1340 m 4.395 pés 19,72 km 12,25 mi 61 ° 44 ′ 38 '' n 142 ° 52 ′ 03 'W / 61. / 61.7438; - 142.8675 (Regal Mountain) 71 Mount Darwin California Sierra Nevada 4218 m 13.837 pés 576 m 1.891 ft 11,48 km 7,13 mi 37 ° 10 ′ 01 '' n 118 ° 40 ′ 20 '' W / 37.1669 ° ° N. / 37.1669; - 118.6721 ﻿ ( Mount Darwin )     72   Mount Hayes   Alaska   Alaska Range   4216 m 13,832 ft   3507 m 11,507 ft   202 km 125.5 mi   63 ° 37 ′ 13 '' N 146 ° 43 ′ 04 '' W ﻿ / ﻿ 63.6203 ° N 146.7178 ° W / 63.6203; - 146.7178 (Monte Hayes) 73 Mount Silverheels Faixa frontal do Colorado 4215,0 m 13.829 pés 696 m 2.283 ft 8,82 km 5,48 mi 39 ° 20 ′ 22 '' n 106 ° ° 00 ° 19 '' W / 39.3394 ° n 106.004. / 39.3394; - 106.0054 (Monte Silverheels) 74 Rio Grande Pyramid Colorado San Juan Mountains 4214,4 m 13.827 pés 573 m 1,881 pés 17,31 km 10,76 mi 37 ° 40 ′ 47 'n 107 ° 23' 33 '' 'W / 37.677777 ′ 47' 'n 107 ° 23' 33 '' '' W / 37.7.777. ° W / 37.6797; - 107.3924 (Pirâmide Rio Grande) 75 Cofre de Perote Veracruz Cordillera Neovolcanica 4210 m 13.812 ft 1340 m 4.396 ft 52,9 km 32,9 mi 19 ° 29 ′ 38 '' n 97 ° 08 ′ 53 '53' '53' '5.90' '97 ° 97 ° 5 ° 97 ° 97 ° 97 ° 97 ° N. ° W / 19.4940; - 97.1480 (Cofre de Perote) 76 Gannett Peak Wyoming Wind River Range 4209,1 m 13.809 pés 2157 m 7.076 ft 467 km 290 mi 43 ° 11 ′ 03 'n 109 ° 39 ′ 15' W / 43.1842 ° ° ° N. ° W / 43.1842; - 109.6542 (Gannett Peak) 77 Mount Kaweah Califórnia Sierra Nevada 4209 M 13.807 pés 618 m 2.027 pés 17,27 km 10,73 mi 36 ° 31 ′ 34 '' n 118 ° 28 ′ 43 '' W / 36.5261 ° ° N. / 36.5261; - 118.4785 (Monte Kaweah) 78 Grand Teton Wyoming Teton Faixa 4198,7 m 13.775 ft 1995 m 6.545 ft 111,6 km 69,4 mi 43 ° 44 ′ 28 'n 110 ° 48 ′ 09' 'W / 43.72 / 43.7412; - 110.8024 (Grand Teton) 79 Mount Cook Alaska Yukon Saint Elias Montanhas 4194 m 13.760 ft 2350 m 7.710 pés 23,4 km 14,54 mi 60 ° 10 ′ 54 '' n 139 ° 58 ′ 52 '' W / 60.1816 ° ° ° N. ° W / 60.1816; - 139.9811 (Mount Cook) 80 Mount Morgan California Sierra Nevada 4193,4 m 13.758 pés 807 m 2.648 pés 15,87 km 9,86 mi 37 ° 24 ′ 19 '' n 118 ° 43 ′ 58 '' '° 37.4053 ° N 118.72.72.7.72.7.72.7.72.7.72.7.72.7.72.7.72.7.72.7.72.7.72.7.72.7.72.7.72.7.72.7.72.7.72.7.72.7.72.7.72.7.72.7.72.7.72.7.72.7.72.7.72.7.72.7.72.7.72.7.72.7.72.7.72. / 37.4053; - 118.7329 ﻿ ( Mount Morgan )     81   Mount Gabb   California   Sierra Nevada   4190 m 13,747 ft   793 m 2,601 ft   6.89 km 4.28 mi   37 ° 22 ′ 37 '' N 118 ° 48 ′ 09 '' W ﻿ / ﻿ 37.3769 ° N 118.8025 ° W / 37.3769; - 118.8025 (Monte Gabb) 82 Bald Mountain Colorado Front Range 4173 m 13.690 pés 640 m 2.099 pés 12,09 km 7,51 mi 39 ° 26 ′ 41 '' n 105 ° 58 ′ 14 '' W / 39.4448 ° N 105.70 / 39.4448; - 105.9705 (Montanha Balada) 83 Mount Oso Colorado San Juan Montanhas 4173 m 13.690 pés 507 m 1.664 pés 8,71 km 5,41 mi 37 ° 36 ′ 25 '' n 107 ° 29 ′ 37 '' W / 37.6070 ° N 107.47. C / 37.6070; - 107.4936 (Mount OSO) 84 MONTURO JACKSON Colorado SAWATCH Faixa 4168,5 m 13.676 pés 552 m 1.810 pés 5,16 km 3,21 mi 39 ° 29 ′ 07 '' n 106 ° 32 '' '' W / 39.4853 ° N7.5.5.5.5.5.5.5.5.5.5.5.5.5.5.5.5.5.5.5.5.5.5.5.5.5.5.5.5. / 39.4853; - 106.5367 (Mount Jackson) 85 Mount Tom California Sierra Nevada 4163 m 13.657 pés 607 m 1.992 pés 7,67 km 4,77 mi 37 ° 22 ′ 34 '' n 119 ° 10 ′ 44 '' 'W / 37.3762 ° N99.17 / 37.3762; - 119.1789 (Monte Tom) 86 Pico da faixa frontal do Colorado Bard 4159 m 13.647 pés 518 m 1.701 ft 8,74 km 5,43 mi 39 ° 43 ′ 13 '' n 105 ° 48 ′ 16 '' W / 39.7204 ° N 105.8044 ° W / 39.7204; - 105.8044 (pico do bardo) 87 pico do espanhol ocidental Colorado Espanhol picos 4155 m 13.631 ft 1123 m 3.686 pés 32,0 km 19,87 mi 37 ° 22 ′ 32 '' n 104 ° 59 ′ 36 '' '' '' '37.3756 ° n 10444444444 ° 36' '' '' '' 37.3756 ° N 1044444 ° 59 ° 36 '' '' '' '. C / 37.3756; - 104.9934 (pico espanhol ocidental) 88 MONTAGEM POWELL Colorado Gore Raje 4141 m 13.586 ft 914 m 3.000 pés 34,6 km 21,5 mi 39 ° 45 ′ 36 '' n 106 ° 20 ′ 27 'W / 39.7601 ° N 106.347 ° C / 39.7601; - 106.3407 (Monte Powell) 89 Hagues Peak Colorado Faixa de múmias 4137 m 13.573 pés 738 m 2.420 pés 25,3 km 15,70 mi 40 ° 29 ′ 04 '' n 105 ° 38 ′ 47 '' W / 40.4845 ° N5.6660 / 40.4845; - 105.6464 (Hagues Peak) 90 Mount Dubois California Mountains brancos 4135 m 13.565 pés 713 m 2.339 pés 15,50 km 9,63 mi 37 ° 47 ° 00 '' n 118 ° 20 ′ 36 '' W / 37.7834 ° N. / 37.7834; - 118.3432 (Monte Dubois) 91 Montanha da Torre Montanha Montanhas San Juan 4132 m 13.558 pés 504 m 1.652 pés 7,86 km 4,88 mi 37 ° 51 ′ 26 '' n 107 ° 37 ′ 23 '' W / 37.8573 ° N. C / 37.8573; - 107.6230 (Tower Mountain) 92 Montanhas do Colorado Mountain Colorado 4125 m 13.535 ft 862 m 2.828 pés 11,13 km 6,92 mi 39 ° 01 ′ 28 '' n 107 ° 07 ′ 22 '' '' '090244 ° N 107.22220 / 39.0244; - 107.1228 (Treasure Mountain) 93 Kings Peak Utah Uinta Montanhas 4125 m 13.534 ft 1938 m 6.358 pés 268 km 166,6 mi 40 ° 46 ′ 35 '' n 110 ° 22 ′ 22 '' 'W / 40.7763 ° N 110.3.30.72' 22 '' '' '' ''7763 ° N10.72' '' '' '' '' '' '' '' '' '' '' '' '' '' '' '' '' ', / 40.7763; - 110.3729 ﻿ ( Kings Peak )     94   Monte Tlaloc   Mexico   Trans Mexican Volcanic Belt   4120 m 13,517 ft   958 m 3,143 ft   15.00 km 9.32 mi   19 ° 23 ′ 42 '' N 98 ° 46 ′ 52 '' W ﻿ / ﻿ 19.3950 ° N 98.781 ° W / 19.3950; - 98.781 (Monte Tlaloc) 95 North Arapaho Peak Colorado Frente 4117 m 13.508 pés 507 m 1.665 pés 24,8 km 15,38 mi 40 ° 01 ′ 35 '' n 105 ° 39 ′ 01 '' W / 40.0265 ° N. C / 40.0265; - 105.6504 (North Arapaho Peak) 96 Mount Pinchot Califórnia Sierra Nevada 4115 m 13.500 pés 643 m 2.110 ft 7,58 km 4,71 mi 36 ° 56 ′ 50 '' n 118 ° 24 ° 19 '' '' '36.94773 ° N 118. C / 36.9473; - 118.4054 (Mount Pinchot) 97 Mount Natzhat Alaska Saint Elias Montanhas 4095 m 13.435 ft 1824 m 5.985 pés 24,9 km 15,49 mi 61 ° 31 ′ 18 'n 141 ° 06 ′ 11' W / 61.5227 C / 61.5217; - 141.1030 (Monte Natzhat) 98 Mount Jarvis Alaska Wrangell Mountains 4091 M 13.421 pés 1454 m 4.771 ft 17,95 km 11,15 mi 62 ° 01 ′ 24 'n 143 ° 37 ′ 11' W / 62,0244 ° ° 24 '' '° 37' '' '' '' W / 62.0234 ° ′ 24 '' ° 37 '' '' '' '' '' '' ''15 '15' '' N ° 37 '11,15 mi 62 ° 01' '' 'N 143 ° 37' 11 '' W / 62.0244 / 62.0234; - 143.6198 (Monte Jarvis) 99 PETRO PATO DO COLORADO RANDE 4083 M 13.397 FT 524 M 1.720 pés 15,22 km 9,46 mi 39 ° 50 ′ 17 '' n 105 ° 42 ′ 48 '' W / 39.8381 ° N 105.722 ° 42 '' '' ''8381 ° N 105.722 / 39.8381; - 105.7132 (Parry Peak) 100 Bill Williams Peak Montanhas do Colorado Williams 4081 m 13.389 pés 513 m 1.682 pés 6,00 km 3,73 mi 39 ° 10 ′ 50 '' n 106 ° 36 ′ 37 '' W / 39.1806 ° N 106.6102 C / 39.1806; - 106.6102 (Bill Williams Peak) 101 Montanhas Sultan Mountain Colorado San Juan 4076 m 13.373 ft 569 m 1.868 pés 7,39 km 4,59 mi 37 ° 47 ′ 09 '' n 107 ° 42 ′ 14 '' W / 37.7859 ° ° ° N. ° W / 37.7859; - 107.7038 (Sultan Mountain) 102 Mount Herard Colorado Sangre de Cristo Montanhas 4068 m 13.345 ft 622 m 2.040 ft 7,45 km 4,63 mi 37 ° 50 ′ 57 'n 105 ° 29' 42 '' W / 37.842 ° W / 37.8492; - 105.4949 (Mount Herard) 103 Volcán Tacaná Chiapas Guatemala Sierra de Istatan 4067 m 13.343 ft 1037 m 3.402 ft 24,2 km 14,99 mi 15 ° 07 '56' 'n 92 ° 06 ′ 30' '' '' '' '' '' '28 '2 ° 20 '2 ° N.20. ° W / 15.1323; - 92.1084 (Volcán tacaná) 104 West Buffalo Peak Colorado Mosquito Faixa 4064 m 13.332 ft 605 m 1.986 pés 15,46 km 9,61 mi 38 ° 59 ′ 30 'n 106 ° 07 ′ 30' 'W / 38.99777 ′ 30' n 106 ° 07 '' '' '' W / 38.9997 ° ′ 30 'n 106 ° 07' '' '' 'W / 38.9997 ′ 30' n 106 ° 07 '' '' '' 'W / 38.9997 ′ 30' 'n 106 ° 07' '' '' 'W / 38.997.97 ′ 30' n 106 ° 07 '' '' '' W / 38.9997 ° ′ 30 'n 106 ° 07' '' '' 'W / 38.9997. C / 38.9917; - 106.1249 (pico de búfalo ocidental) 105 Montar as montanhas Craig Yukon Saint Elias 4060 m 13.320 pés 520 m 1.706 ft 6,97 km 4,33 mi 61 ° 15 ′ 49 '' n 140 ° 52 ′ 48 '' W / 61.2666 ° ° N2 ° 50 '48' '' ' ° W / 61.2636; - 140.8800 (Mount Craig) 106 Montanhas do Alasca do Alasca do Alasca Elias 4058 m 13.315 ft 507 m 1.665 pés 5,34 km 3,32 mi 61 ° 21 ′ 32 '' n 141 ° 39 ′ 59 '' W / 61.3590 ° ° N41. C / 61.3590; - 141.6664 (pico do tressider) 107 Summit Peak Colorado Mountains San Juan 4056,2 m 13.308 pés 841 m 2.760 pés 63,7 km 39,6 mi 37 ° 21 ′ 02 '' n 106 ° 41 ′ 48 '' W / 37.3506 ° ° ° ° N. C / 37.3506; - 106.6968 (pico da cúpula) 108 Pico médio Montanhas do Colorado San Miguel 4056 m 13.306 ft 597 m 1.960 pés 7,69 km 4,78 mi 37 ° 51 ′ 13 '' n 108 ° 06 ′ 30 '' '' '' '37.8536 ° N 108.202.10. C / 37.8536; - 108.1082 (pico médio) 109 ANTERAÇÃO ANTORA PATO DO COLORADO RAÇA 4046 m 13.275 pés 734 m 2.409 pés 10,86 km 6,75 mi 38 ° 19 ′ 30 '' n 106 ° 13 ′ 05 '' W / 38.3250 ° N 106.2180 / 38.3250; - 106.2180 (pico antora) 110 Henry Mountain Colorado SAWATCH RAÇA 4042 M 13.261 FT 510 M 1.674 pés 17,61 km 10,94 mi 38 ° 41 ′ 08 '' n 106 ° 37 ′ 16 '' 'W / 38.6856 ° N6.6.6.6.6.6.6.6.6.6.6.6.6.6.6.6.6.6.6.6.6.6.6.6.6.6.6.6.6.6.6.6.6.6.6.6.6.6.6.6.6.6.6.6.6.6.6.6.6.6.6.6.6.6.6.6.6.6.6.6.6.6.6.6.6.6.6.6.6.6.6.6.6.6.6. / 38.6856; - 106.6211 (Henry Mountain) 111 Hesperus Mountain Colorado Montanhas Plata Montanhas 4035 m 13.237 pés 869 m 2.852 pés 39,5 km 24,5 mi 37 ° 26 ′ 42 '' n 108 ° 05 ′ 20 '' W / 37.4451 ° N8.0 C / 37.4451; - 108.0890 (Hesperus Mountain) 112 MONTURO Silverthrone Alaska Alaska Range 4029 m 13.220 pés 988 m 3.240 pés 12,72 km 7,90 mi 63 ° 06 ′ 57 '' n 150 ° 40 ′ 32 '' W / 63.111157 ° N50.50.5. / 63.1157; - 150.6755 (Monte Silverthrone) 113 Jacque Peak Colorado Gore Range 4027 m 13.211 ft 629 m 2.065 pés 7,28 km 4,52 mi 39 ° 27 ′ 18 '' n 106 ° 11 ′ 49 '' W / 39.4549 ° N 106.1970 / 39.4549; - 106.1970 (Jacque Peak) 114 Montanhas Bennett Peak Colorado San Juan 4026 m 13.209 pés 531 m 1.743 ft 27,5 km 17,08 mi 37 ° 29 ′ 00 '' n 106 ° 26 ′ 03 '' W / 37.4833. C / 37.4833; - 106.4343 (Bennett Peak) 115 Wind River Peak Wyoming Wind River Range 4022,4 m 13.197 pés 784 m 2.572 ft 56,6 km 35,1 mi 42 ° 42 ′ 31 '' n 109 ° 07 ′ 42 '' W / 42.7085 ° ° N. ° W / 42.7085; - 109.1284 (Wind River Peak) 116 Mount Waddington Montanhas da costa da Colúmbia Britânica 4019 m 13.186 pés 3289 m 10.791 ft 562 km 349 mi 51 ° 22 ′ 25 '' n 125 ° 15 ′ 49 '' W / 51.3737 ° N55.2 ° W / 51.3737; - 125.2636 (Monte Waddington) 117 Conejos Peak Montanhas do Colorado San Juan 4017,0 m 13.179 pés 583 m 1.912 pés 13,12 km 8,15 mi 37 ° 17 ′ 19 'n 106 ° 34 ′ 15' W / 37.28887 C / 37.2887; - 106.5709 ﻿ ( Conejos Peak )     118   Mount Marcus Baker   Alaska   Chugach Mountains   4016 m 13,176 ft   3277 m 10,751 ft   203 km 126.3 mi   61 ° 26 ′ 15 '' N 147 ° 45 ′ 09 '' W ﻿ / ﻿ 61.4374 ° N 147.7525 ° C / 61.4374; - 147.7525 (Mount Marcus Baker) 119 Montanhas Bighorn de pico de nuvem Wyoming 4013,3 m 13.167 ft 2157 m 7.077 pés 233 km 145,0 mi 44 ° 22 ′ 56 '' n 107 ° 10 ′ 26 '' W / 44.3821 ° ° ° N. C / 44.3821; - 107.1739 (pico da nuvem) Montanhas do Novo México do México 4013,3 m 13.167 ft 1039 m 3.409 pés 59,6 km 37,0 mi 36 ° 33 ′ 25 '' n 105 ° 25 ′ 01 '' W / 36.5569 ° N 105.4169 / 36.5569; - 105.4169 (Wheeler Peak) 121 Francs Peak Wyoming Faixa de Absaroka 4012,3 m 13.164 pés 1236 m 4.056 ft 76,0 km 47,2 mi 43 ° 57 ′ 41 'n 109 ° 20 ° 21' 'W / 43.963 ° ° ° ° N. / 43.9613; - 109.3392 ﻿ ( Francs Peak )     122   Twilight Peak   Colorado   Needle Mountains   4012 m 13,163 ft   713 m 2,338 ft   7.86 km 4.88 mi   37 ° 39 ′ 47 '' N 107 ° 43 ′ 37 '' W ﻿ / ﻿ 37.6630 ° N 107.7270 ° W / 37.6630; - 107.7270 (Twilight Peak) 123 Montanhas do Colorado de San Juan do rio sul 4009,4 m 13.154 pés 746 m 2.448 pés 34,0 km 21,1 mi 37 ° 34 ′ 27 '' n 106 ° 58 ′ 53 '' W / 37.5741 ° ° ° N6 ° 56 ′ 53 '' ' ° W / 37.5741; - 106.9815 (South River Peak) 124 Ritter Ritter Califórnia Sierra Nevada 4008 m 13.149 pés 1216 m 3.990 pés 35,4 km 22,0 mi 37 ° 41 ′ 21 '' N 119 ° 11 ′ 59 '' W / 37.6891 ° N 11991919191919191919191919 ° ​​37 '' '' '' '' '' '' '' '' '' '' '' '' '' '41' 'N 119 ° 11' '' '' '' ° 37.6891 ° N. C / 37.6891; - 119.1996 (Monte Ritter) 125 Slate Red Slate Mountain Califórnia Sierra Nevada 4002 M 13.129 pés 529 m 1.736 pés 13,38 km 8,31 mi 37 ° 30 ′ 27 '' N 118 ° 52 ′ 09 '' W / 37.5075 ° N 11. C / 37.5075; - 118.8693 (montanha de ardósia vermelha) 126 Mount Lyell (Califórnia) Califórnia Sierra Nevada 3998,9 m 13.120 ft 587 m 1,926 ft 8,46 km 5,26 mi 37 ° 44 ′ 22 'n 119 ° 16' 18 '' W / 37.779474 ′ 22 '' n 119 ° 16 '18' '' W / 37.77944 N 119.2716 ° W / 37.7394; - 119.2716 (Mount Lyell) 127 Bushnell Peak Colorado Sangre de Cristo Montanhas 3995,8 m 13.110 ft 733 m 2.405 pés 17,82 km 11,07 mi 38 ° 20 ′ 28 'n 105 ° 53 ′ 21' 'W / 38.3.42. ° W / 38.3412; - 105.8892 (Bushnell Peak) 128 Truchas Peak Novo México Montanhas Santa Fe 3995,2 m 13.108 pés 1220 m 4.001 ft 68,2 km 42,3 mi 35 ° 57 ′ 45 '' n 105 ° 38 '42' 'W / 35.9625 ° N55 ° N. ° W / 35.9625; - 105.6450 (pico de truchas) 129 Wheeler Peak Nevada Snake Range 3982,3 m 13.065 pés 2307 m 7.568 ft 373 km 232 mi 38 ° 59 ′ 09 '' N 114 ° 18 ′ 50 '' 'W / 38.9858 ° N 113 / 38.9858; - 114.3139 (Wheeler Peak) 130 Mount Dana California Sierra Nevada 3981,5 m 13.063 ft 743 m 2.437 ft 18,35 km 11,40 mi 37 ° 54 ′ 00 'n 119 ° 13' 16 'W / 37.8999999999999999 ° N. / 37.8999; - 119.2211 (Monte Dana) 131 Monta da geleira da geleira Yukon Saint Elias Montanhas 3976 m 13.045 pés 676 m 2,218 pés 6,00 km 3,73 mi 61 ° 02 ′ 27 '' n 139 ° 55 '58' 'W / 61.0408 ° N 139 ° 55' '' '' '' W / 61.0408 ° N 139 ° 58 '' '' '' ''0408 ° 279. ° W / 61.0408; - 139.9328 (Spring Glacier Peak) 132 Montanhas do West Elk Peak Colorado Elk 3975,2 m 13.042 ft 943 m 3.095 ft 22,2 km 13,78 mi 38 ° 43 ′ 04 'n 107 ° 11' 58 '' W / 38.777 107.1994 ° W / 38.7179; - 107.1994 (pico do alces oeste) 133 Volcán acatenango guatemala chimaltenango 3975 m 13.041 ft 1835 m 6.020 ft 125,9 km 78,2 mi 14 ° 30 ° 06 '' n ° ° 52 ′ 32 '' ' / 14.20 ° 3. / 14.5016; - 90.8755 (Volcán acatenango) 134 Moffit Moffit Alaska Alaska Range 3969 m 13.020 ft 1210 m 3.970 pés 16,41 km 10,20 mi 63 ° 34 ′ 06 'n 14 ° 23 ′ 54' '' W / 63.588887 ′ 06 'n. / 63.5683; - 146.3982 (Moffit) 135 Centenário de montagem (pico 13010) Montanhas do Colorado Juan 3967 m 13.016 pés 546 m 1.790 pés 4,61 km 2,86 mi 37 ° 36 '22' n 107 ° 14 '41' 'W / 37.60 ° N 107.2446 ° W / 37.6062; - 107.2446 (Mount Centennial) 136 Mount Robson Rockies canadenses da Colúmbia Britânica 3959 M 12.989 pés 2829 m 9.281 ft 460 km 286 mi 53 ° 06 ′ 38 '' n 119 ° 09 ′ 24 '' W / 53.1105 ° N99. C / 53.1105; - 119.1566 (Mount Robson) 137 Montanhas Clark Peak Colorado Medicine Bow 3948,4 m 12.954 pés 845 m 2.771 pés 26,4 km 16,40 mi 40 ° 36 ′ 24 '' n 105 ° 55 ′ 48 '' 'W / 40.6068 ° N 105.3 C / 40.6068; - 105.9300 (Clark Peak) 138 Mount Richthofen Colorado Montanhas Never Summer 3946 m 12.945 ft 817 m 2.680 pés 15,54 km 9,66 mi 40 ° 28 ′ 10 '' n 105 ° 53 ′ 40 '' W / 40.4695 ° N 105.8 C / 40.4695; - 105.8945 (Monte Richthofen) 139 Cerro Ajusco Distrito Federal Cordillera Neovolcanica 3937 m 12.917 pés 1227 m 4.026 pés 53,5 km 33,2 mi 19 ° 12 ′ 27 'n 99 ° 15 ′ 30' 'W / 19.2077770 ° 12' '' 'n 99 ° 15' '' '' 'W / 19.2077770 ° 12' '' 'n 99 ° 15' '' '' 'W / 19.2077770. Com 19.2074; - 99.2582 (Cerro Ajusco) 140 Mount Harrison (Yukon) Montanhas Yukon Saint Elias 3935 m 12.910 ft 875 m 2,871 pés 11,00 km 6,84 mi 61 ° 04 ′ 41 '' n 140 ° 06 ′ 07 '' W / 61. N 140.1019 ° W / 61.0781; - 140.1019 (Mount Harrison) 141 Mount Queen Mary Yukon Saint Elias Montanhas 3928 m 12.887 pés 1348 m 4.423 pés 25,3 km 15,69 mi 60 ° 37 ′ 43 '' n 139 ° 43 ′ 29 '' W / 60.6286 ° ° N 139 ° 43 '29' '' ' ° W / 60.6286; - 139.7247 (Monte Rainha Mary) Raiz do Alasca Alasca da Colúmbia Britânica Saint Elias Montanhas 3928 m 12.887 ft 908 m 2.979 ft 8,79 km 5,46 mi 58 ° 59 ′ 07 '' n 137 ° 30 00 '' W / 58.984 137.5001 ° com 58.9854; - 137.5001 (Raiz de montagem) 143 Lizard Head Peak Wyoming Wind River Range 3916 m 12.847 pés 580 m 1.902 ft 10,40 km 6,46 mi 42 ° 47 ′ 24 '' n 109 ° 11 ′ 52 '' 'W / 42.7901 ° ° N99.10 ° W / 42.7901; - 109.1978 (pico da cabeça do lagarto) 144 Pico de granito Montanhas Montana Beartooth 3903,5 m 12.807 pés 1457 m 4.779 pés 138,5 km 86,0 mi 45 ° 09 ′ 48 'n 109 ° 48 ′ 27' 'W / 45.164 C / 45.1634; - 109.8075 (pico de granito) 145 Mount Crosson Alaska Alaska Range</v>
      </c>
    </row>
    <row r="640" customFormat="false" ht="15.75" hidden="false" customHeight="true" outlineLevel="0" collapsed="false">
      <c r="A640" s="3" t="n">
        <v>637</v>
      </c>
      <c r="B640" s="5" t="s">
        <v>1910</v>
      </c>
      <c r="C640" s="5" t="s">
        <v>1911</v>
      </c>
      <c r="D640" s="5" t="s">
        <v>1912</v>
      </c>
      <c r="E640" s="4" t="str">
        <f aca="false">IFERROR(__xludf.dummyfunction("GOOGLETRANSLATE(C641)"),"Onde a política de porta aberta ocorreu")</f>
        <v>Onde a política de porta aberta ocorreu</v>
      </c>
      <c r="F640" s="5" t="str">
        <f aca="false">IFERROR(__xludf.dummyfunction("GOOGLETRANSLATE(D640)")," A música tema para absolutamente fabulosa é `` esta roda 'Sing Fire' ', escrita por Bob Dylan e Rick Danko e apresentada por Julie Driscoll e o marido de Saunders, Adrian Edmondson. A música também foi cantada por Marianne Faithfull e P.P. Arnold para o "&amp;"especial `` `Última SHOUT '' em 1996. Hermine Demoriane cantou uma versão francesa da música tema sobre os créditos finais do episódio `` Paris ''. No final do episódio `` aniversário '', Edina e Patsy cantaram a música juntos usando uma máquina de karaok"&amp;"ê. Mais recentemente, foi cantado por Debbie Harry, que também convidou - estrelou o especial de 2002 de Natal `` gay ''. Para a série quatro, uma linha cantada por David Bowie, `` Ziggy tocou guitarra '', da música `` Ziggy Stardust '' tocada no final de"&amp;" cada episódio.")</f>
        <v> A música tema para absolutamente fabulosa é `` esta roda 'Sing Fire' ', escrita por Bob Dylan e Rick Danko e apresentada por Julie Driscoll e o marido de Saunders, Adrian Edmondson. A música também foi cantada por Marianne Faithfull e P.P. Arnold para o especial `` `Última SHOUT '' em 1996. Hermine Demoriane cantou uma versão francesa da música tema sobre os créditos finais do episódio `` Paris ''. No final do episódio `` aniversário '', Edina e Patsy cantaram a música juntos usando uma máquina de karaokê. Mais recentemente, foi cantado por Debbie Harry, que também convidou - estrelou o especial de 2002 de Natal `` gay ''. Para a série quatro, uma linha cantada por David Bowie, `` Ziggy tocou guitarra '', da música `` Ziggy Stardust '' tocada no final de cada episódio.</v>
      </c>
    </row>
    <row r="641" customFormat="false" ht="15.75" hidden="false" customHeight="true" outlineLevel="0" collapsed="false">
      <c r="A641" s="3" t="n">
        <v>638</v>
      </c>
      <c r="B641" s="5" t="s">
        <v>1913</v>
      </c>
      <c r="C641" s="5" t="s">
        <v>1914</v>
      </c>
      <c r="D641" s="5" t="s">
        <v>1915</v>
      </c>
      <c r="E641" s="4" t="str">
        <f aca="false">IFERROR(__xludf.dummyfunction("GOOGLETRANSLATE(C642)"),"Quando ocorreu o referendo e em que estados")</f>
        <v>Quando ocorreu o referendo e em que estados</v>
      </c>
      <c r="F641" s="5" t="str">
        <f aca="false">IFERROR(__xludf.dummyfunction("GOOGLETRANSLATE(D641)")," A política de portas abertas é um termo em assuntos externos usados ​​inicialmente para se referir à política dos Estados Unidos estabelecida no final do século XIX e no início do século XX, como enunciado no secretário de Estado John Hay, note da porta,"&amp;" datada de 6 de setembro de 1899 e enviado para as principais potências européias. A política proposta para manter a China aberta para negociar com todos os países em uma base igual, impedindo qualquer poder do controle total do país e pedindo a todos os "&amp;"poderes, dentro de suas esferas de influência, de abster -se de interferir em qualquer porta do tratado ou qualquer qualquer interesse adquirido, permitir que as autoridades chinesas coletem tarifas em uma base igual e não demonstrem favores a seus própri"&amp;"os nacionais em matéria de quotas portuárias ou acusações de ferrovia.")</f>
        <v> A política de portas abertas é um termo em assuntos externos usados ​​inicialmente para se referir à política dos Estados Unidos estabelecida no final do século XIX e no início do século XX, como enunciado no secretário de Estado John Hay, note da porta, datada de 6 de setembro de 1899 e enviado para as principais potências européias. A política proposta para manter a China aberta para negociar com todos os países em uma base igual, impedindo qualquer poder do controle total do país e pedindo a todos os poderes, dentro de suas esferas de influência, de abster -se de interferir em qualquer porta do tratado ou qualquer qualquer interesse adquirido, permitir que as autoridades chinesas coletem tarifas em uma base igual e não demonstrem favores a seus próprios nacionais em matéria de quotas portuárias ou acusações de ferrovia.</v>
      </c>
    </row>
    <row r="642" customFormat="false" ht="15.75" hidden="false" customHeight="true" outlineLevel="0" collapsed="false">
      <c r="A642" s="3" t="n">
        <v>639</v>
      </c>
      <c r="B642" s="5" t="s">
        <v>1916</v>
      </c>
      <c r="C642" s="5" t="s">
        <v>1917</v>
      </c>
      <c r="D642" s="5" t="s">
        <v>1918</v>
      </c>
      <c r="E642" s="4" t="str">
        <f aca="false">IFERROR(__xludf.dummyfunction("GOOGLETRANSLATE(C643)"),"A maioria das espécies exóticas é introduzida em um novo ambiente acidentalmente como resultado de")</f>
        <v>A maioria das espécies exóticas é introduzida em um novo ambiente acidentalmente como resultado de</v>
      </c>
      <c r="F642" s="5" t="str">
        <f aca="false">IFERROR(__xludf.dummyfunction("GOOGLETRANSLATE(D642)")," O referendo australiano de 27 de maio de 1967, chamado pelo governo de Holt, aprovou duas emendas à Constituição australiana relacionada aos australianos indígenas. Tecnicamente, foi uma votação sobre a alteração da Constituição (aborígines) 1967, que se"&amp;" tornou lei em 10 de agosto de 1967, após os resultados do referendo. As emendas foram extremamente endossadas, vencendo 90,77 % dos votos e carregando nos seis estados. Essas emendas alteraram as seções 51 (xxvi) e 127, tendo o efeito imediato de incluir"&amp;" os australianos aborígines nas determinações da população e também capacitaram o Parlamento Federal a legislar especificamente para esse grupo racial. A outra pergunta colocada no referendo, para permitir que o número de assentos na Câmara dos Deputados "&amp;"aumentasse sem aumentar o número de senadores, foi rejeitada. Recebeu apoio majoritário em apenas um estado - Nova Gales do Sul - e recebeu cerca de 40,25 % `` sim '', os votos em todo o país.")</f>
        <v> O referendo australiano de 27 de maio de 1967, chamado pelo governo de Holt, aprovou duas emendas à Constituição australiana relacionada aos australianos indígenas. Tecnicamente, foi uma votação sobre a alteração da Constituição (aborígines) 1967, que se tornou lei em 10 de agosto de 1967, após os resultados do referendo. As emendas foram extremamente endossadas, vencendo 90,77 % dos votos e carregando nos seis estados. Essas emendas alteraram as seções 51 (xxvi) e 127, tendo o efeito imediato de incluir os australianos aborígines nas determinações da população e também capacitaram o Parlamento Federal a legislar especificamente para esse grupo racial. A outra pergunta colocada no referendo, para permitir que o número de assentos na Câmara dos Deputados aumentasse sem aumentar o número de senadores, foi rejeitada. Recebeu apoio majoritário em apenas um estado - Nova Gales do Sul - e recebeu cerca de 40,25 % `` sim '', os votos em todo o país.</v>
      </c>
    </row>
    <row r="643" customFormat="false" ht="15.75" hidden="false" customHeight="true" outlineLevel="0" collapsed="false">
      <c r="A643" s="3" t="n">
        <v>640</v>
      </c>
      <c r="B643" s="5" t="s">
        <v>1919</v>
      </c>
      <c r="C643" s="5" t="s">
        <v>1920</v>
      </c>
      <c r="D643" s="5" t="s">
        <v>1921</v>
      </c>
      <c r="E643" s="4" t="str">
        <f aca="false">IFERROR(__xludf.dummyfunction("GOOGLETRANSLATE(C644)"),"O que motivou os portugueses a encontrar uma rota aquática para a Índia")</f>
        <v>O que motivou os portugueses a encontrar uma rota aquática para a Índia</v>
      </c>
      <c r="F643" s="5" t="str">
        <f aca="false">IFERROR(__xludf.dummyfunction("GOOGLETRANSLATE(D643)")," Introduções não intencionais ocorrem quando as espécies são transportadas por vetores humanos. As taxas crescentes de viagens humanas estão oferecendo oportunidades de aceleração para que as espécies sejam transportadas acidentalmente para áreas nas quai"&amp;"s não são consideradas nativas. Por exemplo, três espécies de rato (preto, Noruega e Polinésia) se espalharam para a maior parte do mundo como carona nos navios. Existem também numerosos exemplos de organismos marinhos sendo transportados em água de lastr"&amp;"o, sendo um ser o mexilhão da zebra. Mais de 200 espécies foram introduzidas na Baía de São Francisco dessa maneira, tornando -a o estuário mais fortemente invadido do mundo. Há também a liberação acidental das abelhas africanizadas (AHB), conhecidas colo"&amp;"quialmente como `` abelhas assassinas '' ou abelhas africanizadas no Brasil em 1957 e as carpas asiáticas para os Estados Unidos. O inseto comumente conhecido como bug marrom marmorado (Halyomorpha Halys) foi introduzido acidentalmente na Pensilvânia. Out"&amp;"ra forma de introduções não intencionais é quando uma planta introduzida intencionalmente carrega um parasita ou herbívoro com ela. Alguns se tornam invasivos, por exemplo, o pulgão do Oleandro, introduzido acidentalmente com a planta ornamental, oleandro"&amp;".")</f>
        <v> Introduções não intencionais ocorrem quando as espécies são transportadas por vetores humanos. As taxas crescentes de viagens humanas estão oferecendo oportunidades de aceleração para que as espécies sejam transportadas acidentalmente para áreas nas quais não são consideradas nativas. Por exemplo, três espécies de rato (preto, Noruega e Polinésia) se espalharam para a maior parte do mundo como carona nos navios. Existem também numerosos exemplos de organismos marinhos sendo transportados em água de lastro, sendo um ser o mexilhão da zebra. Mais de 200 espécies foram introduzidas na Baía de São Francisco dessa maneira, tornando -a o estuário mais fortemente invadido do mundo. Há também a liberação acidental das abelhas africanizadas (AHB), conhecidas coloquialmente como `` abelhas assassinas '' ou abelhas africanizadas no Brasil em 1957 e as carpas asiáticas para os Estados Unidos. O inseto comumente conhecido como bug marrom marmorado (Halyomorpha Halys) foi introduzido acidentalmente na Pensilvânia. Outra forma de introduções não intencionais é quando uma planta introduzida intencionalmente carrega um parasita ou herbívoro com ela. Alguns se tornam invasivos, por exemplo, o pulgão do Oleandro, introduzido acidentalmente com a planta ornamental, oleandro.</v>
      </c>
    </row>
    <row r="644" customFormat="false" ht="15.75" hidden="false" customHeight="true" outlineLevel="0" collapsed="false">
      <c r="A644" s="3" t="n">
        <v>641</v>
      </c>
      <c r="B644" s="5" t="s">
        <v>1922</v>
      </c>
      <c r="C644" s="5" t="s">
        <v>1923</v>
      </c>
      <c r="D644" s="5" t="s">
        <v>1924</v>
      </c>
      <c r="E644" s="4" t="str">
        <f aca="false">IFERROR(__xludf.dummyfunction("GOOGLETRANSLATE(C645)"),"é Califórnia no nordeste do sul ou oeste")</f>
        <v>é Califórnia no nordeste do sul ou oeste</v>
      </c>
      <c r="F644" s="5" t="str">
        <f aca="false">IFERROR(__xludf.dummyfunction("GOOGLETRANSLATE(D644)")," O plano para trabalhar na rota do Cabo para a Índia foi traçado pelo rei português João II como uma medida de economia de custos no comércio com a Ásia e também uma tentativa de monopolizar o comércio de especiarias. Além da presença marítima portuguesa "&amp;"cada vez mais influente, João II ansiava por rotas comerciais e pela expansão do reino de Portugal, que já havia sido transformado em um império. No entanto, o projeto não seria realizado durante seu reinado. Seria seu sucessor, o rei Manuel I, que design"&amp;"aria Vasco da Gama para esta expedição, mantendo o plano original.")</f>
        <v> O plano para trabalhar na rota do Cabo para a Índia foi traçado pelo rei português João II como uma medida de economia de custos no comércio com a Ásia e também uma tentativa de monopolizar o comércio de especiarias. Além da presença marítima portuguesa cada vez mais influente, João II ansiava por rotas comerciais e pela expansão do reino de Portugal, que já havia sido transformado em um império. No entanto, o projeto não seria realizado durante seu reinado. Seria seu sucessor, o rei Manuel I, que designaria Vasco da Gama para esta expedição, mantendo o plano original.</v>
      </c>
    </row>
    <row r="645" customFormat="false" ht="15.75" hidden="false" customHeight="true" outlineLevel="0" collapsed="false">
      <c r="A645" s="3" t="n">
        <v>642</v>
      </c>
      <c r="B645" s="5" t="s">
        <v>1925</v>
      </c>
      <c r="C645" s="5" t="s">
        <v>1926</v>
      </c>
      <c r="D645" s="5" t="s">
        <v>1927</v>
      </c>
      <c r="E645" s="4" t="str">
        <f aca="false">IFERROR(__xludf.dummyfunction("GOOGLETRANSLATE(C646)"),"Quando Carrie e Sebastian voltam na temporada 2")</f>
        <v>Quando Carrie e Sebastian voltam na temporada 2</v>
      </c>
      <c r="F645" s="5" t="str">
        <f aca="false">IFERROR(__xludf.dummyfunction("GOOGLETRANSLATE(D645)"),"  Região 1: Divisão 1 do Nordeste: Nova Inglaterra (Connecticut, Maine, Massachusetts, New Hampshire, Rhode Island e Vermont) Divisão 2: Mid-Atlantic (Nova Jersey, Nova York e Pensilvânia) Região 2: Midwest (antes de junho de 1984 , a região do Centro -Oe"&amp;"ste foi designada como região central norte.) Divisão 3: Divisão 4 do Norte Central do Norte (Illinois, Indiana, Michigan, Ohio e Wisconsin): West North Central (Iowa, Kansas, Minnesota, Missouri, Nebraska, Dakota do Norte, Norte, Dakota do Norte , e Dako"&amp;"ta do Sul) Região 3: Divisão 5 do Sul 5: Atlântico Sul (Delaware, Flórida, Geórgia, Maryland, Carolina do Norte, Carolina do Sul, Virgínia, Distrito da Columbia e Virgínia Ocidental) Divisão 6: East South Central (Alabama, Kentucky, Mississippi e Tennesse"&amp;"e) Divisão 7: West South Central (Arkansas, Louisiana, Oklahoma e Texas) Região 4: Divisão Oeste 8: Mountain (Arizona, Colorado, Idaho, Montana, Nevada, Novo México, Utah e Wyoming) Divisão 9 : Pacific (Alasca, Califórnia, Havaí, Oregon e Washington)")</f>
        <v>  Região 1: Divisão 1 do Nordeste: Nova Inglaterra (Connecticut, Maine, Massachusetts, New Hampshire, Rhode Island e Vermont) Divisão 2: Mid-Atlantic (Nova Jersey, Nova York e Pensilvânia) Região 2: Midwest (antes de junho de 1984 , a região do Centro -Oeste foi designada como região central norte.) Divisão 3: Divisão 4 do Norte Central do Norte (Illinois, Indiana, Michigan, Ohio e Wisconsin): West North Central (Iowa, Kansas, Minnesota, Missouri, Nebraska, Dakota do Norte, Norte, Dakota do Norte , e Dakota do Sul) Região 3: Divisão 5 do Sul 5: Atlântico Sul (Delaware, Flórida, Geórgia, Maryland, Carolina do Norte, Carolina do Sul, Virgínia, Distrito da Columbia e Virgínia Ocidental) Divisão 6: East South Central (Alabama, Kentucky, Mississippi e Tennessee) Divisão 7: West South Central (Arkansas, Louisiana, Oklahoma e Texas) Região 4: Divisão Oeste 8: Mountain (Arizona, Colorado, Idaho, Montana, Nevada, Novo México, Utah e Wyoming) Divisão 9 : Pacific (Alasca, Califórnia, Havaí, Oregon e Washington)</v>
      </c>
    </row>
    <row r="646" customFormat="false" ht="15.75" hidden="false" customHeight="true" outlineLevel="0" collapsed="false">
      <c r="A646" s="3" t="n">
        <v>643</v>
      </c>
      <c r="B646" s="5" t="s">
        <v>1928</v>
      </c>
      <c r="C646" s="5" t="s">
        <v>1929</v>
      </c>
      <c r="D646" s="5" t="s">
        <v>1930</v>
      </c>
      <c r="E646" s="4" t="str">
        <f aca="false">IFERROR(__xludf.dummyfunction("GOOGLETRANSLATE(C647)"),"O que o jornal da faculdade se refere a si mesmo como o jornal mais antigo da faculdade de Michigan")</f>
        <v>O que o jornal da faculdade se refere a si mesmo como o jornal mais antigo da faculdade de Michigan</v>
      </c>
      <c r="F646" s="5" t="str">
        <f aca="false">IFERROR(__xludf.dummyfunction("GOOGLETRANSLATE(D646)"),"   Não. Na série No. no título da temporada, dirigido por escrito pelo código de produção original do Air Date Código dos EUA (milhões) 14 `` Ganhe alguns, perdem alguns '' Andy Wolk Amy B. Harris 25 de outubro de 2013 (2013 - 10 - 25) 4x5201 0.78 O resum"&amp;"o da plota deste episódio pode ser muito longo ou detalhado excessivamente. Por favor, ajude a melhorá -lo removendo detalhes desnecessários e tornando -o mais conciso. (Janeiro de 2018) (Saiba como e quando remover esta mensagem de modelo) Carrie vive no"&amp;" apartamento de Larissa em Manhattan nas últimas três ou quatro semanas do verão com Walt como seu colega de quarto platônico. Com Larissa ainda fora do país, Carrie a preencheu na revista de entrevistas - horário durante o dia e festejando nas boates loc"&amp;"ais à noite. Ela não viu ou falou com Sebastian ou Maggie desde que eles brincaram. Mas por acaso durante o fim de semana de 4 de julho, Carrie encontra Sebastian quando ele se une junto com Donna para a cidade para conhecer o primo de Donna, Samantha Jon"&amp;"es, uma mulher mais velha com quase 20 anos, que co-administra uma boate de rock. Carrie recusa com Walt, Sebastian e Donna e, em vez disso, vai para o hangout regular, devido a uma combinação de má sorte e descuido, sua bolsa valiosa é roubada. Mais tard"&amp;"e, ela tem um encontro casual com Samantha, que concorda em ajudá -la a sair de seu apartamento. De volta a Castlebury, Mouse convida o oeste como seu encontro para a exibição de fogos de artifício de 4 de julho do Golf and Tennis Club, onde encontram Mag"&amp;"gie trabalhando como garçonete. Mouse é abertamente hostil em relação a Maggie por interferir no relacionamento de Carrie e Sebastian, mas eles acabam se reconciliando depois que Maggie confidencia em Mouse que ela está trabalhando apenas no Country Club "&amp;"para se ajudar a pagar pela faculdade e medos presos em Castlebury para o resto do a vida dela como seus pais. Em outros lugares, Tom descobre Dorrit, namorando Miller e quer encontrá -lo. Dorrit tenta impedir que seu pai encontre Miller temendo que Tom p"&amp;"ossa descobrir que ela e Miller estão em um relacionamento sexual e que ambos tomam drogas recreativas. Miller acabou por trás de Dorrit e se encontra com Tom, onde ele causa uma boa impressão em Tom, que permite que Miller e Dorrit até agora. Samantha ba"&amp;"te no Larissas Loft com Carrie e Walt e Carrie se encontra com um amigo ao longo da vida. 15 `` Express Yourself '' Amy Heckerling Jessica O'Toole &amp; Amy Rardin 1 de novembro de 2013 (2013 - 11 - 01) 4x5202 0,89 com o Samantha Brash e Man - Hungry tendo ca"&amp;"ído com Carrie e Walt nas últimas três semanas, eles Ambos estão diante de expulsar Samantha quando se sente confortável demais. Mais tarde, Walt convoca a coragem de contar a Bennet como ele se sente sobre ele quando Bennet leva Walt a um show VIP Z100 p"&amp;"ara comemorar o 18º aniversário de Walt. As coisas dão terrivelmente errado antes que Bennet possa responder quando Walt, Bennet, Donna, Mouse e Carrie caem com um caso de intoxicação alimentar. Enquanto isso, Samantha e Mouse se encontram e Samantha não "&amp;"desperdiça tempo dando dicas de sexo no rato sobre como `` vá '' com West. De volta a Castlebury, Sebastian e Maggie se encontram após três meses de diferença. Sebastian também lida com seu pai afastado, que volta à cidade, mas está mais interessado nos n"&amp;"egócios do que pai - filho Bonding. Em outros lugares, Tom convida sua namorada, Deb, a passar o fim de semana com ele, o que não vai exatamente como planejado. 16 `` Strings anexados '' Daisy von Scherler Mayer Doug Stockstill 8 de novembro de 2013 (2013"&amp;" - 11 - 08) 4x5203 0,77 Larissa retorna de suas férias no exterior e dá inspiração para Carrie e Walt com Zen para dar o próximo passo com suas vidas. Larissa e Samantha fazem uma aversão instantânea um ao outro quando se encontram desde a primeira vez qu"&amp;"e o comportamento e atitude de Samantha se chocam com a rotina primária e adequada de Larissa. No primeiro dia de Carrie de volta à escola para o último ano, Sebastian pede a Doritt uma pequena ajuda para tentar fazer Carrie conversar com ele. Walt teme q"&amp;"ue Maggie sai sua verdadeira orientação sexual. Mouse tenta fazer Maggie analisar mais opções de faculdade, apesar de sua falta de interesse. Enquanto isso, Samantha se conecta a um instrutor de karatê mascarado como uma saída para seus sentimentos proble"&amp;"máticos. Em outros lugares, Tom recebe um emprego de volta ao escritório de advocacia de Harlan. 17 `` Borderline '' Michael Fields Heney Alonso Myers, 15 de novembro de 2013 (2013 - 11 - 15) 4x5204 0,78 Carrie arrementa Larissa Um perfil na dramaturga da"&amp;" wunderkind de Nova York Adam Weaver, mas quando ele se mostra uma entrevista difícil, mas fascinante, carrinha, carrinho, carrinho O trabalho de está em jogo. As regras de Bennet em seu relacionamento com Walt Force Bennet para reconhecer seus sentimento"&amp;"s reais. Carrie e Dorrit ficam surpresos ao encontrar um inimigo comum no filho doente da namorada de Tom Deb. Enquanto isso, Sebastian busca conforto nos braços de uma mulher mais velha. 18 5 `` perto demais para conforto '' Zetna Fuentes Jessica Queller"&amp;" 22 de novembro de 2013 (2013 - 11 - 22) 4x5205 0,71 Quando Sebastian descobre que sua mãe está sendo novamente se casada, ele pergunta ao pai de Carrie, para obter ajuda para fazer ajuda Claro que ela está legalmente protegida. Enquanto isso, Carrie fica"&amp;" furiosa quando descobre que Weaver lê secretamente seu diário. Depois de ler que Carrie é virgem e se desculpando incansavelmente, Carrie e Weaver têm sexo e Carrie experimenta intimidade pela primeira vez. O rato é voluntário para ajudar no bóia do bail"&amp;"e, mas tenta se distanciar quando West vence o rei do baile. Samantha se encontra um novo lugar para morar e outro trabalho incomum. Em outros lugares, Dorrit começa a se sentir sufocado por Miller, especialmente quando ele faz amizade com o pai dela, e D"&amp;"onna dá a Dorrit alguns conselhos, resultando no final do relacionamento Dorrit e Millers. 19 6 `` The Safety Dance '' David Warren Sascha Rothchild 6 de dezembro de 2013 (2013 - 12 - 06) 4x5206 0,90 Carrie luta com o que ela deveria escrever em seu ensai"&amp;"o. Weaver a incentiva a escrever sobre o que mais teme, mas quando Carrie decide escrever sobre sexo, Weaver tenta ajudá -la a descobrir algo melhor e acaba ficando levando -os a se romper mais tarde. Maggie e Sebastian começam a se aproximar quando Maggi"&amp;"e descobre algumas notícias chocantes: ela está grávida! Carrie sente um potencial interesse amoroso em Sebastian mais uma vez depois de ver sua jaqueta no armário dela e dirige para sua casa para lhe contar seus sentimentos, mas o deixa na jaqueta em seu"&amp;" lado da frente depois de ver Maggie dormindo no sofá. Enquanto isso, o Mouse está apreensivo em se candidatar às escolas de segurança, mas West acha que é bom estar do lado seguro. Walt toma medidas drásticas para se manter seguro quando Bennet se move p"&amp;"ara um bairro perigoso. Além disso, Larissa e Samantha planejam ter um trio com Harlan, mas, em vez disso, fazer uma fita de sexo um com o outro depois de descobrir que Harlan está preso no trânsito. 20 7 `` Ouvi um boato '' Norman Buckley Amy B. Harris 1"&amp;"3 de dezembro de 2013 (2013 - 12 - 13) 4x5207 0,70 Weaver faz algumas acusações falsas à imprensa sobre Carrie para impedir que as pessoas pensem algo ruim nele. Samantha leva Carrie, Walt e Bennet para um evento com um sorteio com uma viagem livre a Pari"&amp;"s como prêmio. Carrie conhece o jornalista que escreveu sobre ela, e apesar diz coisas terríveis sobre Weaver. Enquanto isso, Sebastian permite que as pessoas pensem que ele é o pai do bebê de Maggie apenas para manter o segredo de Maggie sobre quem é o p"&amp;"ai verdadeiro. Isso faz com que Carrie decida chamar o jornalista e diz a verdade, que ela é a ex que Weaver havia dito palavras terríveis sobre o artigo. Maggie entra em colapso e acaba no hospital, onde precisa participar de uma grande cirurgia. Em outr"&amp;"os lugares, o Mouse está preocupado que ela e o oeste sejam chatos e, portanto, tenta apimentar o relacionamento deles plantando uma surpresa no retorno de West, mas depois começa a surtar quando a `` surpresa '' (uma foto polaroid de topless de si mesma)"&amp;" é ausente . 21 8 `` A segunda vez '' Janice Cooke Terri Minsky 20 de dezembro de 2013 (2013 - 12 - 20) 4x5208 0,73 Carrie está animada quando tiver a chance de entrevistar o CEO da Bongo Jeans. Mas Larissa diz a Carrie que a entrevista é a última chance "&amp;"de Carrie de conseguir uma peça na revista de entrevistas ou ela será liberada. Enquanto isso, o Mouse recebe algumas notícias que acionam uma cunha inesperada entre ela e o oeste. O pai afastado de Sebastian entrega outras notícias que poderiam mudar par"&amp;"a sempre o relacionamento de Sebastian e Carrie. Em outros lugares, Walt se vê sem teto depois que seus pais conservadores o expulsaram quando ele é forçado a confessar a eles sua orientação sexual. Ele se muda com Carrie, onde encontra uma figura paterna"&amp;" surpreendente no pai de Carrie, Tom. Além disso, Maggie tenta reunir coragem para dizer a seu pai negligente a verdade sobre suas relações anteriores com Simon, resultando em ele ser demitido. Ele vai para a escola de Maggies e a confronta sobre seu dese"&amp;"mprego, enquanto Sebastian e Carrie estão lá. Sebastian e Simon acabam lutando, resultando em Sebastian sendo expulso. Seu pai o apóia por lutar por Maggie e Carrie e diz que ambos estão se mudando para a Califórnia, já que Sebastian não está mais na esco"&amp;"la. Carrie e Sebastian decidem que eles terão um relacionamento longo e esperado e esperam que as coisas dêem certo. Carries é publicado na entrevista revista, Sebastian chega na Califórnia com seu pai e Walt e Bennet comemoram o Natal com Samantha e Lari"&amp;"ssa. 22 9 `` sob pressão '' Andy Wolk Logan Slakter 3 de janeiro de 2014 (2014 - 01 - 03) 4x5209 0,99 Quando o pai está fora do negócio no fim de semana, Dorrit e seus amigos têm uma festa. Carrie tenta manter um relacionamento longo - a distância com Seb"&amp;"astian, apenas para que ele apareça um mês depois, alegando que está de volta para sempre. Mouse e Donna encontram um terreno comum para conversar e se unir sobre suas respectivas vidas. Enquanto isso, Tom é convidado para a cidade por Harlan, onde pede q"&amp;"ue ele elabore um acordo pré-nupcial depois que Harlan anuncia seu compromisso com Larissa. Larissa permite que Sebastian fique em seu loft em Manhattan, o que lhe dá a chance de começar de novo. 23 10 `` Data Expectations '' Amy Heckerling Jessica O'Tool"&amp;"e e Amy Rardin 10 de janeiro de 2014 (2014 - 01 - 10) 4x5210 0,81 No dia dos namorados, Carrie fica ressentido Uma oportunidade de trabalho para ele encontrar um investidor para seu novo negócio de roupas de skate. Walt e Bennet recebem notícias devastado"&amp;"ras que mudam seu futuro juntos, quando Bennet descobre que um de seus ex -namorados tem AIDS. A notícia envia Walt em tanto pânico que ele foge de Bennet e da cidade, recusando -se a lidar com qualquer coisa ou fazer o teste para o vírus. Larissa e Saman"&amp;"tha continuam sua briga pessoal sobre Samantha sendo contratado como um modelo nu de Lady Godiva. Enquanto isso, a insegura Maggie se aliste acidentalmente no Exército dos EUA, e ela é forçada a pedir ajuda a Mouse e Donna para recuperar seu formulário de"&amp;" consentimento. Em outros lugares, Tom decide usar a psicologia reversa no Dorrit para incentivá -la a começar a namorar novamente por jogo - atuando como pai mau. 24 11 `` faminto como o lobo '' Sarah Price Henry Alonso Myers 17 de janeiro de 2014 (2014 "&amp;"- 01 - 17) 4x5211 0,86 Larissa culpa Bennet por relaxar desde que seu rompimento com Walt, forçando Carrie a cobri -lo. Mas quando Bennet aproveita a generosidade de Carrie, continuando a pular o trabalho, ela se levanta para entrevistar uma bailarina pro"&amp;"fissional a quem Bennet foi designado para entrevistar. Enquanto isso, Samantha toma uma decisão indisciplinada ao seduzir um homem casado enquanto procura um periquito perdido para reivindicar uma recompensa. O futuro de Sebastian pode mudar para sempre "&amp;"quando seu pai chegar à cidade e pede dinheiro, alegando que ele está quebrado de uma vida inteira de maus investimentos. Enquanto isso, Tom é aproveitado por uma advogada que leva a Doritt a oferecer a Tom sua ajuda. Em outros lugares, Maggie procura o c"&amp;"onselho de Mouse e Donna quando seu namorado potencialmente novo, Pete, vem visitar durante seu R&amp;R. 25 12 `` Este é o tempo '' Jason Reilly Sascha Rothchild 24 de janeiro de 2014 (2014 - 01 - 24) 4x5212 0,90 Carrie e seus amigos se reúnem pela última vez"&amp;" antes da formatura no ensino médio: o baile sênior. Como todos eles não têm dados, eles frequentam como um grupo. Dorrit também marca seu namorado Scott para tentar provocar problemas e drama. Enquanto isso, Larissa convence Carrie a repensar seus planos"&amp;" de faculdade, oferecendo a ela um trabalho completo na revista entrevista. Tom aprende sobre isso e ameaça cortar financeiramente Carrie se ela não optar por frequentar a faculdade primeiro. Mouse ameaça Donna por revelar um segredo sobre os planos futur"&amp;"os de Donna que poderiam trazer Donna de joelhos. Walt repensa sua situação atual e decide se reconciliar com Bennet. Maggie se vê incerta sobre seu futuro com seu namorado do exército, Pete. Em outros lugares, Sebastian tenta esconder algo de Carrie quan"&amp;"do lhe é oferecido uma oportunidade de carreira para se mudar para a Califórnia para promover sua empresa de roupas de skate. 26 13 `` Corra para você '' Andrew McCarthy Amy B. Harris 31 de janeiro de 2014 (2014 - 01 - 31) 4x5213 0,86 Carrie e todos os se"&amp;"us amigos finalmente se formam no ensino médio. Como resultado da demissão de Larissa, Carrie perde seu emprego na revista entrevista e, pior ainda, não pode entrar na NYU por pelo menos um ano. Enquanto isso, Maggie tenta descobrir um segredo sobre seu n"&amp;"ovo militar, Pete. O mouse e o oeste são reunidos como co-vômitos enquanto se preparam para sair para suas faculdades separadas. Enquanto tentava recuperar sua vida, Carrie se muda temporariamente com Sebastian, que está mantendo um segredo dela. Em outro"&amp;"s lugares, Samantha tenta sair da cidade de Nova York quando ela corre - com seu amante que se casou, Elliot. Depois que Larissa revela o segredo de Carrie sobre ser demitido com o pai Tom, ele confronta Carrie sobre seu mau julgamento e se recusa a levá "&amp;"-la de volta para casa. Depois de aprender sobre a situação de Carrie, Sebastian diz a ela que está se mudando para a Califórnia para promover seus negócios e pede que ela venha. Larissa e Harlan têm o maior casamento de todos: no Terminal TWA no Aeroport"&amp;"o Internacional JFK. No final, Carrie toma uma decisão de mudança de vida de permanecer na cidade de Nova York e tentar reconstruir sua vida, concentrando -se na escrita e na garçonete.")</f>
        <v>   Não. Na série No. no título da temporada, dirigido por escrito pelo código de produção original do Air Date Código dos EUA (milhões) 14 `` Ganhe alguns, perdem alguns '' Andy Wolk Amy B. Harris 25 de outubro de 2013 (2013 - 10 - 25) 4x5201 0.78 O resumo da plota deste episódio pode ser muito longo ou detalhado excessivamente. Por favor, ajude a melhorá -lo removendo detalhes desnecessários e tornando -o mais conciso. (Janeiro de 2018) (Saiba como e quando remover esta mensagem de modelo) Carrie vive no apartamento de Larissa em Manhattan nas últimas três ou quatro semanas do verão com Walt como seu colega de quarto platônico. Com Larissa ainda fora do país, Carrie a preencheu na revista de entrevistas - horário durante o dia e festejando nas boates locais à noite. Ela não viu ou falou com Sebastian ou Maggie desde que eles brincaram. Mas por acaso durante o fim de semana de 4 de julho, Carrie encontra Sebastian quando ele se une junto com Donna para a cidade para conhecer o primo de Donna, Samantha Jones, uma mulher mais velha com quase 20 anos, que co-administra uma boate de rock. Carrie recusa com Walt, Sebastian e Donna e, em vez disso, vai para o hangout regular, devido a uma combinação de má sorte e descuido, sua bolsa valiosa é roubada. Mais tarde, ela tem um encontro casual com Samantha, que concorda em ajudá -la a sair de seu apartamento. De volta a Castlebury, Mouse convida o oeste como seu encontro para a exibição de fogos de artifício de 4 de julho do Golf and Tennis Club, onde encontram Maggie trabalhando como garçonete. Mouse é abertamente hostil em relação a Maggie por interferir no relacionamento de Carrie e Sebastian, mas eles acabam se reconciliando depois que Maggie confidencia em Mouse que ela está trabalhando apenas no Country Club para se ajudar a pagar pela faculdade e medos presos em Castlebury para o resto do a vida dela como seus pais. Em outros lugares, Tom descobre Dorrit, namorando Miller e quer encontrá -lo. Dorrit tenta impedir que seu pai encontre Miller temendo que Tom possa descobrir que ela e Miller estão em um relacionamento sexual e que ambos tomam drogas recreativas. Miller acabou por trás de Dorrit e se encontra com Tom, onde ele causa uma boa impressão em Tom, que permite que Miller e Dorrit até agora. Samantha bate no Larissas Loft com Carrie e Walt e Carrie se encontra com um amigo ao longo da vida. 15 `` Express Yourself '' Amy Heckerling Jessica O'Toole &amp; Amy Rardin 1 de novembro de 2013 (2013 - 11 - 01) 4x5202 0,89 com o Samantha Brash e Man - Hungry tendo caído com Carrie e Walt nas últimas três semanas, eles Ambos estão diante de expulsar Samantha quando se sente confortável demais. Mais tarde, Walt convoca a coragem de contar a Bennet como ele se sente sobre ele quando Bennet leva Walt a um show VIP Z100 para comemorar o 18º aniversário de Walt. As coisas dão terrivelmente errado antes que Bennet possa responder quando Walt, Bennet, Donna, Mouse e Carrie caem com um caso de intoxicação alimentar. Enquanto isso, Samantha e Mouse se encontram e Samantha não desperdiça tempo dando dicas de sexo no rato sobre como `` vá '' com West. De volta a Castlebury, Sebastian e Maggie se encontram após três meses de diferença. Sebastian também lida com seu pai afastado, que volta à cidade, mas está mais interessado nos negócios do que pai - filho Bonding. Em outros lugares, Tom convida sua namorada, Deb, a passar o fim de semana com ele, o que não vai exatamente como planejado. 16 `` Strings anexados '' Daisy von Scherler Mayer Doug Stockstill 8 de novembro de 2013 (2013 - 11 - 08) 4x5203 0,77 Larissa retorna de suas férias no exterior e dá inspiração para Carrie e Walt com Zen para dar o próximo passo com suas vidas. Larissa e Samantha fazem uma aversão instantânea um ao outro quando se encontram desde a primeira vez que o comportamento e atitude de Samantha se chocam com a rotina primária e adequada de Larissa. No primeiro dia de Carrie de volta à escola para o último ano, Sebastian pede a Doritt uma pequena ajuda para tentar fazer Carrie conversar com ele. Walt teme que Maggie sai sua verdadeira orientação sexual. Mouse tenta fazer Maggie analisar mais opções de faculdade, apesar de sua falta de interesse. Enquanto isso, Samantha se conecta a um instrutor de karatê mascarado como uma saída para seus sentimentos problemáticos. Em outros lugares, Tom recebe um emprego de volta ao escritório de advocacia de Harlan. 17 `` Borderline '' Michael Fields Heney Alonso Myers, 15 de novembro de 2013 (2013 - 11 - 15) 4x5204 0,78 Carrie arrementa Larissa Um perfil na dramaturga da wunderkind de Nova York Adam Weaver, mas quando ele se mostra uma entrevista difícil, mas fascinante, carrinha, carrinho, carrinho O trabalho de está em jogo. As regras de Bennet em seu relacionamento com Walt Force Bennet para reconhecer seus sentimentos reais. Carrie e Dorrit ficam surpresos ao encontrar um inimigo comum no filho doente da namorada de Tom Deb. Enquanto isso, Sebastian busca conforto nos braços de uma mulher mais velha. 18 5 `` perto demais para conforto '' Zetna Fuentes Jessica Queller 22 de novembro de 2013 (2013 - 11 - 22) 4x5205 0,71 Quando Sebastian descobre que sua mãe está sendo novamente se casada, ele pergunta ao pai de Carrie, para obter ajuda para fazer ajuda Claro que ela está legalmente protegida. Enquanto isso, Carrie fica furiosa quando descobre que Weaver lê secretamente seu diário. Depois de ler que Carrie é virgem e se desculpando incansavelmente, Carrie e Weaver têm sexo e Carrie experimenta intimidade pela primeira vez. O rato é voluntário para ajudar no bóia do baile, mas tenta se distanciar quando West vence o rei do baile. Samantha se encontra um novo lugar para morar e outro trabalho incomum. Em outros lugares, Dorrit começa a se sentir sufocado por Miller, especialmente quando ele faz amizade com o pai dela, e Donna dá a Dorrit alguns conselhos, resultando no final do relacionamento Dorrit e Millers. 19 6 `` The Safety Dance '' David Warren Sascha Rothchild 6 de dezembro de 2013 (2013 - 12 - 06) 4x5206 0,90 Carrie luta com o que ela deveria escrever em seu ensaio. Weaver a incentiva a escrever sobre o que mais teme, mas quando Carrie decide escrever sobre sexo, Weaver tenta ajudá -la a descobrir algo melhor e acaba ficando levando -os a se romper mais tarde. Maggie e Sebastian começam a se aproximar quando Maggie descobre algumas notícias chocantes: ela está grávida! Carrie sente um potencial interesse amoroso em Sebastian mais uma vez depois de ver sua jaqueta no armário dela e dirige para sua casa para lhe contar seus sentimentos, mas o deixa na jaqueta em seu lado da frente depois de ver Maggie dormindo no sofá. Enquanto isso, o Mouse está apreensivo em se candidatar às escolas de segurança, mas West acha que é bom estar do lado seguro. Walt toma medidas drásticas para se manter seguro quando Bennet se move para um bairro perigoso. Além disso, Larissa e Samantha planejam ter um trio com Harlan, mas, em vez disso, fazer uma fita de sexo um com o outro depois de descobrir que Harlan está preso no trânsito. 20 7 `` Ouvi um boato '' Norman Buckley Amy B. Harris 13 de dezembro de 2013 (2013 - 12 - 13) 4x5207 0,70 Weaver faz algumas acusações falsas à imprensa sobre Carrie para impedir que as pessoas pensem algo ruim nele. Samantha leva Carrie, Walt e Bennet para um evento com um sorteio com uma viagem livre a Paris como prêmio. Carrie conhece o jornalista que escreveu sobre ela, e apesar diz coisas terríveis sobre Weaver. Enquanto isso, Sebastian permite que as pessoas pensem que ele é o pai do bebê de Maggie apenas para manter o segredo de Maggie sobre quem é o pai verdadeiro. Isso faz com que Carrie decida chamar o jornalista e diz a verdade, que ela é a ex que Weaver havia dito palavras terríveis sobre o artigo. Maggie entra em colapso e acaba no hospital, onde precisa participar de uma grande cirurgia. Em outros lugares, o Mouse está preocupado que ela e o oeste sejam chatos e, portanto, tenta apimentar o relacionamento deles plantando uma surpresa no retorno de West, mas depois começa a surtar quando a `` surpresa '' (uma foto polaroid de topless de si mesma) é ausente . 21 8 `` A segunda vez '' Janice Cooke Terri Minsky 20 de dezembro de 2013 (2013 - 12 - 20) 4x5208 0,73 Carrie está animada quando tiver a chance de entrevistar o CEO da Bongo Jeans. Mas Larissa diz a Carrie que a entrevista é a última chance de Carrie de conseguir uma peça na revista de entrevistas ou ela será liberada. Enquanto isso, o Mouse recebe algumas notícias que acionam uma cunha inesperada entre ela e o oeste. O pai afastado de Sebastian entrega outras notícias que poderiam mudar para sempre o relacionamento de Sebastian e Carrie. Em outros lugares, Walt se vê sem teto depois que seus pais conservadores o expulsaram quando ele é forçado a confessar a eles sua orientação sexual. Ele se muda com Carrie, onde encontra uma figura paterna surpreendente no pai de Carrie, Tom. Além disso, Maggie tenta reunir coragem para dizer a seu pai negligente a verdade sobre suas relações anteriores com Simon, resultando em ele ser demitido. Ele vai para a escola de Maggies e a confronta sobre seu desemprego, enquanto Sebastian e Carrie estão lá. Sebastian e Simon acabam lutando, resultando em Sebastian sendo expulso. Seu pai o apóia por lutar por Maggie e Carrie e diz que ambos estão se mudando para a Califórnia, já que Sebastian não está mais na escola. Carrie e Sebastian decidem que eles terão um relacionamento longo e esperado e esperam que as coisas dêem certo. Carries é publicado na entrevista revista, Sebastian chega na Califórnia com seu pai e Walt e Bennet comemoram o Natal com Samantha e Larissa. 22 9 `` sob pressão '' Andy Wolk Logan Slakter 3 de janeiro de 2014 (2014 - 01 - 03) 4x5209 0,99 Quando o pai está fora do negócio no fim de semana, Dorrit e seus amigos têm uma festa. Carrie tenta manter um relacionamento longo - a distância com Sebastian, apenas para que ele apareça um mês depois, alegando que está de volta para sempre. Mouse e Donna encontram um terreno comum para conversar e se unir sobre suas respectivas vidas. Enquanto isso, Tom é convidado para a cidade por Harlan, onde pede que ele elabore um acordo pré-nupcial depois que Harlan anuncia seu compromisso com Larissa. Larissa permite que Sebastian fique em seu loft em Manhattan, o que lhe dá a chance de começar de novo. 23 10 `` Data Expectations '' Amy Heckerling Jessica O'Toole e Amy Rardin 10 de janeiro de 2014 (2014 - 01 - 10) 4x5210 0,81 No dia dos namorados, Carrie fica ressentido Uma oportunidade de trabalho para ele encontrar um investidor para seu novo negócio de roupas de skate. Walt e Bennet recebem notícias devastadoras que mudam seu futuro juntos, quando Bennet descobre que um de seus ex -namorados tem AIDS. A notícia envia Walt em tanto pânico que ele foge de Bennet e da cidade, recusando -se a lidar com qualquer coisa ou fazer o teste para o vírus. Larissa e Samantha continuam sua briga pessoal sobre Samantha sendo contratado como um modelo nu de Lady Godiva. Enquanto isso, a insegura Maggie se aliste acidentalmente no Exército dos EUA, e ela é forçada a pedir ajuda a Mouse e Donna para recuperar seu formulário de consentimento. Em outros lugares, Tom decide usar a psicologia reversa no Dorrit para incentivá -la a começar a namorar novamente por jogo - atuando como pai mau. 24 11 `` faminto como o lobo '' Sarah Price Henry Alonso Myers 17 de janeiro de 2014 (2014 - 01 - 17) 4x5211 0,86 Larissa culpa Bennet por relaxar desde que seu rompimento com Walt, forçando Carrie a cobri -lo. Mas quando Bennet aproveita a generosidade de Carrie, continuando a pular o trabalho, ela se levanta para entrevistar uma bailarina profissional a quem Bennet foi designado para entrevistar. Enquanto isso, Samantha toma uma decisão indisciplinada ao seduzir um homem casado enquanto procura um periquito perdido para reivindicar uma recompensa. O futuro de Sebastian pode mudar para sempre quando seu pai chegar à cidade e pede dinheiro, alegando que ele está quebrado de uma vida inteira de maus investimentos. Enquanto isso, Tom é aproveitado por uma advogada que leva a Doritt a oferecer a Tom sua ajuda. Em outros lugares, Maggie procura o conselho de Mouse e Donna quando seu namorado potencialmente novo, Pete, vem visitar durante seu R&amp;R. 25 12 `` Este é o tempo '' Jason Reilly Sascha Rothchild 24 de janeiro de 2014 (2014 - 01 - 24) 4x5212 0,90 Carrie e seus amigos se reúnem pela última vez antes da formatura no ensino médio: o baile sênior. Como todos eles não têm dados, eles frequentam como um grupo. Dorrit também marca seu namorado Scott para tentar provocar problemas e drama. Enquanto isso, Larissa convence Carrie a repensar seus planos de faculdade, oferecendo a ela um trabalho completo na revista entrevista. Tom aprende sobre isso e ameaça cortar financeiramente Carrie se ela não optar por frequentar a faculdade primeiro. Mouse ameaça Donna por revelar um segredo sobre os planos futuros de Donna que poderiam trazer Donna de joelhos. Walt repensa sua situação atual e decide se reconciliar com Bennet. Maggie se vê incerta sobre seu futuro com seu namorado do exército, Pete. Em outros lugares, Sebastian tenta esconder algo de Carrie quando lhe é oferecido uma oportunidade de carreira para se mudar para a Califórnia para promover sua empresa de roupas de skate. 26 13 `` Corra para você '' Andrew McCarthy Amy B. Harris 31 de janeiro de 2014 (2014 - 01 - 31) 4x5213 0,86 Carrie e todos os seus amigos finalmente se formam no ensino médio. Como resultado da demissão de Larissa, Carrie perde seu emprego na revista entrevista e, pior ainda, não pode entrar na NYU por pelo menos um ano. Enquanto isso, Maggie tenta descobrir um segredo sobre seu novo militar, Pete. O mouse e o oeste são reunidos como co-vômitos enquanto se preparam para sair para suas faculdades separadas. Enquanto tentava recuperar sua vida, Carrie se muda temporariamente com Sebastian, que está mantendo um segredo dela. Em outros lugares, Samantha tenta sair da cidade de Nova York quando ela corre - com seu amante que se casou, Elliot. Depois que Larissa revela o segredo de Carrie sobre ser demitido com o pai Tom, ele confronta Carrie sobre seu mau julgamento e se recusa a levá -la de volta para casa. Depois de aprender sobre a situação de Carrie, Sebastian diz a ela que está se mudando para a Califórnia para promover seus negócios e pede que ela venha. Larissa e Harlan têm o maior casamento de todos: no Terminal TWA no Aeroporto Internacional JFK. No final, Carrie toma uma decisão de mudança de vida de permanecer na cidade de Nova York e tentar reconstruir sua vida, concentrando -se na escrita e na garçonete.</v>
      </c>
    </row>
    <row r="647" customFormat="false" ht="15.75" hidden="false" customHeight="true" outlineLevel="0" collapsed="false">
      <c r="A647" s="3" t="n">
        <v>644</v>
      </c>
      <c r="B647" s="5" t="s">
        <v>1931</v>
      </c>
      <c r="C647" s="5" t="s">
        <v>1932</v>
      </c>
      <c r="D647" s="5" t="s">
        <v>1933</v>
      </c>
      <c r="E647" s="4" t="str">
        <f aca="false">IFERROR(__xludf.dummyfunction("GOOGLETRANSLATE(C648)"),"Quando você combina um ovo com o material no pólen, você recebe")</f>
        <v>Quando você combina um ovo com o material no pólen, você recebe</v>
      </c>
      <c r="F647" s="5" t="str">
        <f aca="false">IFERROR(__xludf.dummyfunction("GOOGLETRANSLATE(D647)")," O Collegian é o jornal mais antigo da faculdade de Michigan. A história do artigo remonta a 1878, quando o Hillsdale Herald foi publicado pela primeira vez. O governo iniciou o colegial em 1893 como um artigo rival para o Herald.")</f>
        <v> O Collegian é o jornal mais antigo da faculdade de Michigan. A história do artigo remonta a 1878, quando o Hillsdale Herald foi publicado pela primeira vez. O governo iniciou o colegial em 1893 como um artigo rival para o Herald.</v>
      </c>
    </row>
    <row r="648" customFormat="false" ht="15.75" hidden="false" customHeight="true" outlineLevel="0" collapsed="false">
      <c r="A648" s="3" t="n">
        <v>645</v>
      </c>
      <c r="B648" s="5" t="s">
        <v>1934</v>
      </c>
      <c r="C648" s="5" t="s">
        <v>1935</v>
      </c>
      <c r="D648" s="5" t="s">
        <v>1936</v>
      </c>
      <c r="E648" s="4" t="str">
        <f aca="false">IFERROR(__xludf.dummyfunction("GOOGLETRANSLATE(C649)"),"que fundou o Hindu Balika Vidyalaya em Calcutá")</f>
        <v>que fundou o Hindu Balika Vidyalaya em Calcutá</v>
      </c>
      <c r="F648" s="5" t="str">
        <f aca="false">IFERROR(__xludf.dummyfunction("GOOGLETRANSLATE(D648)")," Uma vez que um grão de pólen acelera um pistilo compatível, ele pode germinar em resposta a um líquido açucarado secretado pelo estigma maduro de certas plantas. Os lipídios na superfície do estigma também podem estimular o crescimento do tubo do pólen p"&amp;"ara o pólen compatível. As plantas que são estéreis geralmente inibem os grãos de pólen de suas próprias flores do cultivo de tubos de pólen. Observou -se que a presença de múltiplos grãos de pólen estimula o crescimento mais rápido do tubo de pólen em al"&amp;"gumas plantas. A célula vegetativa então produz o tubo de pólen, uma protrusão tubular do grão de pólen, que carrega as células espermáticas dentro do seu citoplasma. As células espermáticas são os gametas masculinos que se unirão à célula do ovo e à célu"&amp;"la central em fertilização dupla.")</f>
        <v> Uma vez que um grão de pólen acelera um pistilo compatível, ele pode germinar em resposta a um líquido açucarado secretado pelo estigma maduro de certas plantas. Os lipídios na superfície do estigma também podem estimular o crescimento do tubo do pólen para o pólen compatível. As plantas que são estéreis geralmente inibem os grãos de pólen de suas próprias flores do cultivo de tubos de pólen. Observou -se que a presença de múltiplos grãos de pólen estimula o crescimento mais rápido do tubo de pólen em algumas plantas. A célula vegetativa então produz o tubo de pólen, uma protrusão tubular do grão de pólen, que carrega as células espermáticas dentro do seu citoplasma. As células espermáticas são os gametas masculinos que se unirão à célula do ovo e à célula central em fertilização dupla.</v>
      </c>
    </row>
    <row r="649" customFormat="false" ht="15.75" hidden="false" customHeight="true" outlineLevel="0" collapsed="false">
      <c r="A649" s="3" t="n">
        <v>646</v>
      </c>
      <c r="B649" s="5" t="s">
        <v>1937</v>
      </c>
      <c r="C649" s="5" t="s">
        <v>1938</v>
      </c>
      <c r="D649" s="5" t="s">
        <v>1939</v>
      </c>
      <c r="E649" s="4" t="str">
        <f aca="false">IFERROR(__xludf.dummyfunction("GOOGLETRANSLATE(C650)"),"a ilha que o Canadá e a Dinamarca lutam")</f>
        <v>a ilha que o Canadá e a Dinamarca lutam</v>
      </c>
      <c r="F649" s="5" t="str">
        <f aca="false">IFERROR(__xludf.dummyfunction("GOOGLETRANSLATE(D649)")," Hindu Mahila Vidyalaya (Escola para Mulheres Hindus) era um colégio interno localizado em 22 Beniapukur Lane, Enterally, Kolkata, Índia, fundado por Annette Akroyd, a escola fez uma pausa com a idéia de um currículo menos tributário para meninas e fornec"&amp;"eu o mesmo tipo de aprender para seus alunos, como estava disponível para meninos. Fontes registram datas diferentes para o estabelecimento da escola. Enquanto Jogesh C. Bagal, registra a data do estabelecimento como 18 de novembro de 1873 David Kopf menc"&amp;"iona como 18 de setembro de 1873.")</f>
        <v> Hindu Mahila Vidyalaya (Escola para Mulheres Hindus) era um colégio interno localizado em 22 Beniapukur Lane, Enterally, Kolkata, Índia, fundado por Annette Akroyd, a escola fez uma pausa com a idéia de um currículo menos tributário para meninas e forneceu o mesmo tipo de aprender para seus alunos, como estava disponível para meninos. Fontes registram datas diferentes para o estabelecimento da escola. Enquanto Jogesh C. Bagal, registra a data do estabelecimento como 18 de novembro de 1873 David Kopf menciona como 18 de setembro de 1873.</v>
      </c>
    </row>
    <row r="650" customFormat="false" ht="15.75" hidden="false" customHeight="true" outlineLevel="0" collapsed="false">
      <c r="A650" s="3" t="n">
        <v>647</v>
      </c>
      <c r="B650" s="5" t="s">
        <v>1940</v>
      </c>
      <c r="C650" s="5" t="s">
        <v>1941</v>
      </c>
      <c r="D650" s="5" t="s">
        <v>1942</v>
      </c>
      <c r="E650" s="4" t="str">
        <f aca="false">IFERROR(__xludf.dummyfunction("GOOGLETRANSLATE(C651)"),"Quando é o lançamento do Episódio 2 de Tóquio Ghoul Ref")</f>
        <v>Quando é o lançamento do Episódio 2 de Tóquio Ghoul Ref</v>
      </c>
      <c r="F650" s="5" t="str">
        <f aca="false">IFERROR(__xludf.dummyfunction("GOOGLETRANSLATE(D650)")," `` Google Fight '' ou `` Guerra do Google '' é o nome dado a vários anúncios no mecanismo de pesquisa da Internet Google, que promoveu a soberania dinamarquesa ou canadense sobre a ilha de Hans.")</f>
        <v> `` Google Fight '' ou `` Guerra do Google '' é o nome dado a vários anúncios no mecanismo de pesquisa da Internet Google, que promoveu a soberania dinamarquesa ou canadense sobre a ilha de Hans.</v>
      </c>
    </row>
    <row r="651" customFormat="false" ht="15.75" hidden="false" customHeight="true" outlineLevel="0" collapsed="false">
      <c r="A651" s="3" t="n">
        <v>648</v>
      </c>
      <c r="B651" s="5" t="s">
        <v>1943</v>
      </c>
      <c r="C651" s="5" t="s">
        <v>1944</v>
      </c>
      <c r="D651" s="5" t="s">
        <v>1945</v>
      </c>
      <c r="E651" s="4" t="str">
        <f aca="false">IFERROR(__xludf.dummyfunction("GOOGLETRANSLATE(C652)"),"Quem é o presidente do Senado de Ohio")</f>
        <v>Quem é o presidente do Senado de Ohio</v>
      </c>
      <c r="F651" s="5" t="str">
        <f aca="false">IFERROR(__xludf.dummyfunction("GOOGLETRANSLATE(D651)"),"   Não . Título Data do ar original `` início: aqueles que caçam '' `` karu monotachi start '' (狩る 者 たち start) 3 de abril de 2018 o líder do esquadrão Quinx Kuki Urie e seu frustrante sublinhamento Ginshi Shirazu estão pesquisando Tóquio em busca do Seria"&amp;"l Ghoul Miller Torso, que está matando mulheres e comendo seus torsos, mas deixando o resto de seus corpos. Eventualmente, eles se reúnem com o fotógrafo Chie Hori, que lhes fornece informações valiosas em troca da cueca do sênior Quinx Hise Sasaki. Hinam"&amp;"i, agora membro da árvore de Aogiri, alerta o tronco para ter cuidado porque eles estão perto de pegá -lo. Aprendendo que o culpado é um motorista de táxi, Toru Mutsuki o descobre e é brutalmente atacado em seu carro. No entanto, isso permite que Ginshi e"&amp;" Urie localizem o assassino e o atraiam para uma armadilha de bloqueio. Enquanto eles enfrentam o assassino, no entanto, um ghoul misterioso e excepcionalmente forte chamado Orochi ataca, massacrando todos os oficiais que mantêm o obstáculo e permitindo q"&amp;"ue o motorista do táxi escape. Sasaki aparece e enfrenta Orochi, mas depois sofre uma alucinação de Ken Kaneki dizendo -lhe para `` aceitar '' para matar Orochi brutalmente. Sasaki então desencadeia seu Kagune. `` Membro: Fragmentos '' `` Membro Kakera ''"&amp;" (membro 欠片 欠片) 10 de abril de 2018 Quando Sasaki remove a máscara de Orochi durante a luta, ele fica chocado ao ver o rosto de Nishio por baixo, que o chama de `` kaneki '' , levando suas memórias a piscar para frente e para trás e deixá -lo louco. Para "&amp;"impedir que Sasaki matasse seus colegas agentes do CCG, Akira Mado o tranquiliza. Depois de retornar aos seus sentidos, Sasaki rebaixa Urie por colocar em risco seus companheiros de esquadrão e promove Ginshi ao líder do esquadrão Quinx. Sasaki então poup"&amp;"aria com Kisho Arima, antes de dizer que estava preocupado que as memórias de seu eu passado `` Kaneki '' estivessem retornando e que eles pudessem afastá -lo de sua família com o esquadrão Quinx. Mais tarde, o Torso se reúne com o coelho (Ayato Kirishima"&amp;"), para se tornar um membro da Árvore Aogiri. Sasaki, Ginsshi e Mutsuki começam a investigar um ghoul apelidado de `` nozer '', que está esmagando os testículos de suas vítimas e passa na cafeteria: re. Enquanto estava na loja, Sasaki reconhece e é reconh"&amp;"ecido por Touka. Depois de provar o café que ela faz para ele, ele começa a chorar, subconscientemente lembrando seu tempo em Anteiku. Ele então pensa consigo mesmo que nunca havia visto ninguém tão bonito. `` fresh : Eve '' `` Zen'yasai fresh '' ( 前夜祭 fr"&amp;"esh )   April 17 , 2018      Kanae von Rosewald brings Shu Tsukiyama the underwear that Chie Hori had collected from Haise Sasaki , but the latter falls into despair after realizing that he Não consegui reconhecer o perfume como Kaneki. Mais tarde, o esqu"&amp;"adrão Quinx continua sua investigação de quebra-nozes e travessuras para se disfarçar em uma boate onde ela havia sido avistada. Na boate, dois membros dos palhaços reconhecem Sasaki como Kaneki e observam que `` para Kaneki sair, Sasaki terá que morrer. "&amp;"'' 'O esquadrão, ao lado de Juzo Suzuya, depois siga uma liderança que os leva ao leilão onde o quebra -nozes estava vendendo suas vítimas para os gourmets. NOTA: Este episódio apresenta uma música de inserção da popular americana Youtuber e cantora Amand"&amp;"a Lee `` Main: Auction '' `` ōkushon main '' (オークション main) 24 de abril de 2018 sequestrada e entrou em um circo - leilão de gourmet temático, toru é Vendido para Big Madame. No entanto, Suzuya inicia um ataque ao leilão em que muitos agentes de Ghouls e C"&amp;"CG são mortos. Eto observa o caos de longe em diversão e envia um misterioso Ghoul chamado Takizawa, que mata brutalmente um líder de esquadrão. Durante a briga, o torso e Kanae brigam por quem consegue manter Toru. 5 `` Press: Night of Spattering '' `` C"&amp;"hiri Yuku Yoru Press '' (散り ゆく 夜 Press) 1 de maio de 2018 Takizawa, revelou ser o ex -investigador Takizawa, agora um ghoul de olhos enlouquecidos, abate um esquadrão inteiro de um esquadrão Os agentes do CCG, enquanto outro esquadrão é morto por quebra -"&amp;"nozes. Enquanto isso, Sasaki e o esquadrão Quinx enfrentam Kanae, que o culpa furiosamente pelo estado mental reduzido de Tsukiyama, mas é gravemente ferido e resgatado por um misterioso ghoul chamado Matsumae. Big Madame e os outros leiloeiros são atacad"&amp;"os por Suzuya e Urie, mas no meio da luta, Urie é gravemente ferida e engolida pela Big Madame. O episódio termina com Takizawa pulando de cima e atacando Sasaki, que é forçado por seus superiores a combater o SS - classificado como Ghoul de olhos. 6 `` T"&amp;"urn: No final '' `` Sono, odeia ni Turn '' (その 、 果 て に に Turn) 8 de maio de 2018 Sasaki sofre várias alucinações de Ken Kaneki, enquanto Takizawa o está espancando dentro da sala de leilão. Enquanto isso, o quebra -nozes é morto pelos membros do esquadrão"&amp;" Quinx Ginshi Shirazu e Saiko Yonebayashi. Big Madame luta com Urie, que quase fica louco, e Mutsuki, que desencadeia seu Kagune. Ela fica cara a cara com Juzo, que, apesar disso, ele foi torturado por ela, é incapaz de matá -la. Ela acaba sendo ferida pe"&amp;"lo colega de esquadrão Suzuya, Hanbee Abara, que cobre os ouvidos de Juzo enquanto os investigadores do CCG a matam. Enquanto isso, Hinami, percebendo que Sasaki é Kaneki, e Saiko ouvindo os gritos de Sasaki, ambos correm para a sala de leilões, onde Hina"&amp;"mi luta com Takizawa para salvar Sasaki. Sasaki aceita seu lado Kaneki e luta contra Takizawa. Ambos se perfuram com seus kagunes e caem. 7 `` Mente: dias de lembranças '' `` Kokorooboe Arishi Hibi Mind '' (心 覚え 在り し 日 々 Mind) 15 de maio de 2018 Hinami é "&amp;"preso por operadores de CCG liderados por Kisho Arima. Sasaki, tendo sobrevivido ao seu encontro com Takizawa, salva -a da execução pedindo para levá -la sob custódia. Ela é presa na prisão de Cochlea Ghoul. Nas semanas seguintes após a operação, os membr"&amp;"os da equipe Quinx estão sendo promovidos enquanto Sasaki se torna investigador sênior. Na manhã seguinte, ele alucina que um investigador é Yamori. Na mesma noite, a ETO oferece um pacote com a antiga máscara de Kaneki e um livro assinado por ela. Ele va"&amp;"i para o: Re Cafe, onde é servido café por Touka. Depois que ele sai, Touka, Uta, Yomo e Nishio discutem sobre Kaneki. Sasaki começa a procurar Kaneki e depois sofre uma alucinação de Yoshimura e Anteiku. Na mesma noite, Tsukiyama está com uma dor terríve"&amp;"l, apesar de comer muitas pessoas. 8 `` Take: alguém que se contorce Resgate Hinami de Cochlea. Sasaki é abordado pelos investigadores de Ghoul, Nimura Furuta e Shiki Kijima, que lhe dizem que ele vai trabalhar na próxima investigação de rosas. Na sede do"&amp;" CCG, Sasaki e o esquadrão Quinx são informados pelo investigador Kori Ui sobre a gangue Rose Ghoul (na verdade membros da família criminal de Tsukiyama), que atacam Furuta e Kijima. Eles são salvos pelo investigador Hairu Ihei. O membro de gangue Yuuma é"&amp;" preso e torturado por Kijima em Cochlea. Sasaki visita Uta para aprender mais sobre o livro de máscara e Takatsuki. Uta mente sobre os dois. Sasaki então pede que ele faça dele uma nova máscara. Chie Hori entrega as fotos de Sasaki para Kanae von Rosewal"&amp;"d e Tsukiyama o reconhece como Kaneki. 9 `` Play: SACTED SPIRIT '' `` Bōrei Play '' (亡霊 亡霊 亡霊 Play) 29 de maio de 2018 Tsukiyama quer fazer Sasaki lembrar que ele é Kaneki. Ele e Kanae o encontram na rua, junto com o esquadrão de Quinx, e Tsukiyama corre "&amp;"em sua direção, mas cai. Sasaki o ouve dizendo `` kaneki '', mas ele não o reconhece. Sasaki vai para a loja da UTA e ordena máscaras para todo o esquadrão Quinx, a fim de representar os ghouls para a próxima investigação de rosas. Kori Ui rejeita o plano"&amp;", sabendo que Sasaki é um ghoul. Enquanto isso, o vídeo de Kijima dele torturando Yuuma brutalmente e provocando Gangue Rose a matá -lo se tornou viral. Tsukiyama planeja libertá -lo e usar Kaneki / Sasaki como uma pessoa -chave, restaurando suas memórias"&amp;". Tsukiyama faz muitas tentativas fracassadas de falar com Sasaki, então Kanae suborna alguns membros de Aogiri para atacar o esquadrão para isolar Sasaki. No entanto, o velho gangue de Yamori ataca Sasaki por acidente e Mutsuki batalham com o torso, mas "&amp;"ele é atacado pelo ladrão de ghoul. Sasaki mata seus atacantes com seu Kagune. Saiko é quase morta, mas ela é salva por Amon Kotaru, que é revelado estar vivo. Eto assiste a cena inteira. 10 `` pense: Sway '' `` yureru pense '' (pense) 5 de junho de 2018 "&amp;"Kanae fica cara a cara com EtO que primeiro brinque com ele e depois o ataca com seu poder total. É revelado que Kanae ama Tsukiyama, mas ele não, então Kanae deseja que ele possa matar Sasaki. Eto diz a ele que ela `` será seu Deus '' e o captura. De vol"&amp;"ta à sede do CCG, Sasaki pede à UI que reconsidere seu plano sobre a representação de Ghoul e a UI concorda. Na mesma noite, Sasaki usa a máscara de Kaneki e junto com o esquadrão Quinx inicia uma patrulha. Sasaki é reconhecido por Ghouls como Eyepatch, e"&amp;"ntão ele começa a encontrar informações sobre ele. Ele descobre que o Eyepatch foi quem `` matou '' AMON e ele vê novamente uma alucinação de Kaneki chorando por matar Amon. Tsukiyama se encontra novamente com Sasaki, que pergunta se ele é um ghoul e se e"&amp;"le conhece Ken Kaneki. Tsukiyama se recusa a contar a ele. O presidente do CCG, Tsuneyoshi Washu, dá permissão para matar a família de Tsukiyama. Na mesma noite, o pai de Tsukiyama o droga para mantê -lo seguro. O CCG está na frente da mansão Tsukiyama pr"&amp;"onta para atacar. O pai de Tsukiyama se permite ser preso enquanto Tsukiyama assume o controle da família quando o CCG chega em seu esconderijo. Enquanto isso, Kanae é torturado e mutilado por ETO. 11 `` Escreva: o ausente '' `` Ketsuraku - Sha Write '' ("&amp;"欠落 者 Write) 12 de junho de 2018 Kijima, Nimura Furuta, Sasaki e o Esquadrão Quinx estão matando Ghouls no esconderijo de Tsukiyama. Enquanto isso, Tsukiyama se despediu de seus amigos que dizem para ele ir ao telhado onde um helicóptero vai levá -lo embor"&amp;"a. Kori Ui envia Sasaki no telhado. Tsukiyama chega lá também e fica cara a cara com Sasaki. Sasaki diz a Tsukiyama para se render, mas Tsukiyama o ataca. Enquanto isso, Kanae agora é insano e ataca os investigadores do CCG no esconderijo. Hariu ihei é fe"&amp;"rido por Matsumae e faz uma posição final, mas Matsumae a decapita. Kijima chega em cena, mas Matsumae o corta e o corta em dois com seu próprio Quinque matando -o. Furuta se protege de um dos ataques de Matsumae usando outro agente como escudo humano e d"&amp;"epois mata Matsumae com o quinque de Kijima. O esquadrão Quinx fica cara a cara com Noro. Sasaki luta com Tsukiyama e, em um momento de fraqueza, ele perde a mão por Kanae. Noro é destruído por Ginshi Shirazu, mas ele não morre. Kanae tenta matar Sasaki, "&amp;"que começa a se lembrar de que Arima estava zombando dele por sua derrota em suas mãos. Sasuki escapa de Kanae, que é revelado como uma mulher chamada Karren. Eto chega em cena com sua forma como a coruja de olho. 12 `` Beautiful Dream: Daybreak '' `` Yoa"&amp;"ke Beautiful Dream '' (夜明け Sonho bonito) 19 de junho de 2018 À medida que a batalha no esconderijo ainda continua, Sasaki é atacada por Eto, que revela sua identidade como Sen Takatsuki para ele e chama ele kaneki. Ela observa enquanto Karren ataca brutal"&amp;"mente Sasaki e o chuta na cabeça várias vezes. Dentro de sua cabeça, Sasaki vê uma versão infantil de Kaneki, a quem ele estrangula. Enquanto a criança o amaldiçoa, Sasaki percebe que ele é Kaneki ao ver uma lembrança de sua mãe abusando dele. Ele se lemb"&amp;"ra de se esconder e sua batalha com Arima, que o perfurou na cabeça com seu quinque. Com suas memórias de volta, e seus cabelos completamente pretos novamente, Kaneki abandona sua identidade Sasaki e corta o braço de Karren. Enquanto isso, Kori Ui e o res"&amp;"tante do CCG encontram furuta, que mataram todos os outros investigadores do CCG que estavam lá com ele, alegando ser o único sobrevivente. Kaneki luta com Karen, perfurando -a com seu Kagune enquanto Tsukiyama assiste. Embora Kaneki reconheça Tsukiyama, "&amp;"ele o esfaqueia. Enquanto isso, Shirazu ainda luta com Noro, que se lembra quando Yoshimura deu a ele Eto para cuidar dela. Urie e Shirzu matam Noro, mas Shirazu também morre devido a seus ferimentos. Kaneki e Eto Fight e Kaneki a chama de um pedaço de li"&amp;"xo que não merece ser salvo. Eles correm das janelas em direção ao telhado do esconderijo e Kaneki destrói sua forma de Kakuja e sua coruja enquanto ela lambe o sangue do rosto dele. Kaneki a rasga e ela cai do prédio enquanto declara seu amor por ele. Ko"&amp;"ri Ui descobre que Kaneki devorando Kakuja, de Eto, no telhado. Kaneki finge ainda ser Sasaki e joga Tsukiyama do edifício. Karren cai junto com ele para salvá -lo. Ela o salva, no entanto, ela cai até sua morte. Kaneki conhece o esquadrão Quinx e vê o co"&amp;"rpo de Shirazu. Kaneki diz friamente a Urie que isso é culpa dele e que ele é fraco. Tsukiyama é salvo por Touka, Yomo e Chie Hori. Os capangas de Naki roubam o cadáver de Shirazu.")</f>
        <v>   Não . Título Data do ar original `` início: aqueles que caçam '' `` karu monotachi start '' (狩る 者 たち start) 3 de abril de 2018 o líder do esquadrão Quinx Kuki Urie e seu frustrante sublinhamento Ginshi Shirazu estão pesquisando Tóquio em busca do Serial Ghoul Miller Torso, que está matando mulheres e comendo seus torsos, mas deixando o resto de seus corpos. Eventualmente, eles se reúnem com o fotógrafo Chie Hori, que lhes fornece informações valiosas em troca da cueca do sênior Quinx Hise Sasaki. Hinami, agora membro da árvore de Aogiri, alerta o tronco para ter cuidado porque eles estão perto de pegá -lo. Aprendendo que o culpado é um motorista de táxi, Toru Mutsuki o descobre e é brutalmente atacado em seu carro. No entanto, isso permite que Ginshi e Urie localizem o assassino e o atraiam para uma armadilha de bloqueio. Enquanto eles enfrentam o assassino, no entanto, um ghoul misterioso e excepcionalmente forte chamado Orochi ataca, massacrando todos os oficiais que mantêm o obstáculo e permitindo que o motorista do táxi escape. Sasaki aparece e enfrenta Orochi, mas depois sofre uma alucinação de Ken Kaneki dizendo -lhe para `` aceitar '' para matar Orochi brutalmente. Sasaki então desencadeia seu Kagune. `` Membro: Fragmentos '' `` Membro Kakera '' (membro 欠片 欠片) 10 de abril de 2018 Quando Sasaki remove a máscara de Orochi durante a luta, ele fica chocado ao ver o rosto de Nishio por baixo, que o chama de `` kaneki '' , levando suas memórias a piscar para frente e para trás e deixá -lo louco. Para impedir que Sasaki matasse seus colegas agentes do CCG, Akira Mado o tranquiliza. Depois de retornar aos seus sentidos, Sasaki rebaixa Urie por colocar em risco seus companheiros de esquadrão e promove Ginshi ao líder do esquadrão Quinx. Sasaki então pouparia com Kisho Arima, antes de dizer que estava preocupado que as memórias de seu eu passado `` Kaneki '' estivessem retornando e que eles pudessem afastá -lo de sua família com o esquadrão Quinx. Mais tarde, o Torso se reúne com o coelho (Ayato Kirishima), para se tornar um membro da Árvore Aogiri. Sasaki, Ginsshi e Mutsuki começam a investigar um ghoul apelidado de `` nozer '', que está esmagando os testículos de suas vítimas e passa na cafeteria: re. Enquanto estava na loja, Sasaki reconhece e é reconhecido por Touka. Depois de provar o café que ela faz para ele, ele começa a chorar, subconscientemente lembrando seu tempo em Anteiku. Ele então pensa consigo mesmo que nunca havia visto ninguém tão bonito. `` fresh : Eve '' `` Zen'yasai fresh '' ( 前夜祭 fresh )   April 17 , 2018      Kanae von Rosewald brings Shu Tsukiyama the underwear that Chie Hori had collected from Haise Sasaki , but the latter falls into despair after realizing that he Não consegui reconhecer o perfume como Kaneki. Mais tarde, o esquadrão Quinx continua sua investigação de quebra-nozes e travessuras para se disfarçar em uma boate onde ela havia sido avistada. Na boate, dois membros dos palhaços reconhecem Sasaki como Kaneki e observam que `` para Kaneki sair, Sasaki terá que morrer. '' 'O esquadrão, ao lado de Juzo Suzuya, depois siga uma liderança que os leva ao leilão onde o quebra -nozes estava vendendo suas vítimas para os gourmets. NOTA: Este episódio apresenta uma música de inserção da popular americana Youtuber e cantora Amanda Lee `` Main: Auction '' `` ōkushon main '' (オークション main) 24 de abril de 2018 sequestrada e entrou em um circo - leilão de gourmet temático, toru é Vendido para Big Madame. No entanto, Suzuya inicia um ataque ao leilão em que muitos agentes de Ghouls e CCG são mortos. Eto observa o caos de longe em diversão e envia um misterioso Ghoul chamado Takizawa, que mata brutalmente um líder de esquadrão. Durante a briga, o torso e Kanae brigam por quem consegue manter Toru. 5 `` Press: Night of Spattering '' `` Chiri Yuku Yoru Press '' (散り ゆく 夜 Press) 1 de maio de 2018 Takizawa, revelou ser o ex -investigador Takizawa, agora um ghoul de olhos enlouquecidos, abate um esquadrão inteiro de um esquadrão Os agentes do CCG, enquanto outro esquadrão é morto por quebra -nozes. Enquanto isso, Sasaki e o esquadrão Quinx enfrentam Kanae, que o culpa furiosamente pelo estado mental reduzido de Tsukiyama, mas é gravemente ferido e resgatado por um misterioso ghoul chamado Matsumae. Big Madame e os outros leiloeiros são atacados por Suzuya e Urie, mas no meio da luta, Urie é gravemente ferida e engolida pela Big Madame. O episódio termina com Takizawa pulando de cima e atacando Sasaki, que é forçado por seus superiores a combater o SS - classificado como Ghoul de olhos. 6 `` Turn: No final '' `` Sono, odeia ni Turn '' (その 、 果 て に に Turn) 8 de maio de 2018 Sasaki sofre várias alucinações de Ken Kaneki, enquanto Takizawa o está espancando dentro da sala de leilão. Enquanto isso, o quebra -nozes é morto pelos membros do esquadrão Quinx Ginshi Shirazu e Saiko Yonebayashi. Big Madame luta com Urie, que quase fica louco, e Mutsuki, que desencadeia seu Kagune. Ela fica cara a cara com Juzo, que, apesar disso, ele foi torturado por ela, é incapaz de matá -la. Ela acaba sendo ferida pelo colega de esquadrão Suzuya, Hanbee Abara, que cobre os ouvidos de Juzo enquanto os investigadores do CCG a matam. Enquanto isso, Hinami, percebendo que Sasaki é Kaneki, e Saiko ouvindo os gritos de Sasaki, ambos correm para a sala de leilões, onde Hinami luta com Takizawa para salvar Sasaki. Sasaki aceita seu lado Kaneki e luta contra Takizawa. Ambos se perfuram com seus kagunes e caem. 7 `` Mente: dias de lembranças '' `` Kokorooboe Arishi Hibi Mind '' (心 覚え 在り し 日 々 Mind) 15 de maio de 2018 Hinami é preso por operadores de CCG liderados por Kisho Arima. Sasaki, tendo sobrevivido ao seu encontro com Takizawa, salva -a da execução pedindo para levá -la sob custódia. Ela é presa na prisão de Cochlea Ghoul. Nas semanas seguintes após a operação, os membros da equipe Quinx estão sendo promovidos enquanto Sasaki se torna investigador sênior. Na manhã seguinte, ele alucina que um investigador é Yamori. Na mesma noite, a ETO oferece um pacote com a antiga máscara de Kaneki e um livro assinado por ela. Ele vai para o: Re Cafe, onde é servido café por Touka. Depois que ele sai, Touka, Uta, Yomo e Nishio discutem sobre Kaneki. Sasaki começa a procurar Kaneki e depois sofre uma alucinação de Yoshimura e Anteiku. Na mesma noite, Tsukiyama está com uma dor terrível, apesar de comer muitas pessoas. 8 `` Take: alguém que se contorce Resgate Hinami de Cochlea. Sasaki é abordado pelos investigadores de Ghoul, Nimura Furuta e Shiki Kijima, que lhe dizem que ele vai trabalhar na próxima investigação de rosas. Na sede do CCG, Sasaki e o esquadrão Quinx são informados pelo investigador Kori Ui sobre a gangue Rose Ghoul (na verdade membros da família criminal de Tsukiyama), que atacam Furuta e Kijima. Eles são salvos pelo investigador Hairu Ihei. O membro de gangue Yuuma é preso e torturado por Kijima em Cochlea. Sasaki visita Uta para aprender mais sobre o livro de máscara e Takatsuki. Uta mente sobre os dois. Sasaki então pede que ele faça dele uma nova máscara. Chie Hori entrega as fotos de Sasaki para Kanae von Rosewald e Tsukiyama o reconhece como Kaneki. 9 `` Play: SACTED SPIRIT '' `` Bōrei Play '' (亡霊 亡霊 亡霊 Play) 29 de maio de 2018 Tsukiyama quer fazer Sasaki lembrar que ele é Kaneki. Ele e Kanae o encontram na rua, junto com o esquadrão de Quinx, e Tsukiyama corre em sua direção, mas cai. Sasaki o ouve dizendo `` kaneki '', mas ele não o reconhece. Sasaki vai para a loja da UTA e ordena máscaras para todo o esquadrão Quinx, a fim de representar os ghouls para a próxima investigação de rosas. Kori Ui rejeita o plano, sabendo que Sasaki é um ghoul. Enquanto isso, o vídeo de Kijima dele torturando Yuuma brutalmente e provocando Gangue Rose a matá -lo se tornou viral. Tsukiyama planeja libertá -lo e usar Kaneki / Sasaki como uma pessoa -chave, restaurando suas memórias. Tsukiyama faz muitas tentativas fracassadas de falar com Sasaki, então Kanae suborna alguns membros de Aogiri para atacar o esquadrão para isolar Sasaki. No entanto, o velho gangue de Yamori ataca Sasaki por acidente e Mutsuki batalham com o torso, mas ele é atacado pelo ladrão de ghoul. Sasaki mata seus atacantes com seu Kagune. Saiko é quase morta, mas ela é salva por Amon Kotaru, que é revelado estar vivo. Eto assiste a cena inteira. 10 `` pense: Sway '' `` yureru pense '' (pense) 5 de junho de 2018 Kanae fica cara a cara com EtO que primeiro brinque com ele e depois o ataca com seu poder total. É revelado que Kanae ama Tsukiyama, mas ele não, então Kanae deseja que ele possa matar Sasaki. Eto diz a ele que ela `` será seu Deus '' e o captura. De volta à sede do CCG, Sasaki pede à UI que reconsidere seu plano sobre a representação de Ghoul e a UI concorda. Na mesma noite, Sasaki usa a máscara de Kaneki e junto com o esquadrão Quinx inicia uma patrulha. Sasaki é reconhecido por Ghouls como Eyepatch, então ele começa a encontrar informações sobre ele. Ele descobre que o Eyepatch foi quem `` matou '' AMON e ele vê novamente uma alucinação de Kaneki chorando por matar Amon. Tsukiyama se encontra novamente com Sasaki, que pergunta se ele é um ghoul e se ele conhece Ken Kaneki. Tsukiyama se recusa a contar a ele. O presidente do CCG, Tsuneyoshi Washu, dá permissão para matar a família de Tsukiyama. Na mesma noite, o pai de Tsukiyama o droga para mantê -lo seguro. O CCG está na frente da mansão Tsukiyama pronta para atacar. O pai de Tsukiyama se permite ser preso enquanto Tsukiyama assume o controle da família quando o CCG chega em seu esconderijo. Enquanto isso, Kanae é torturado e mutilado por ETO. 11 `` Escreva: o ausente '' `` Ketsuraku - Sha Write '' (欠落 者 Write) 12 de junho de 2018 Kijima, Nimura Furuta, Sasaki e o Esquadrão Quinx estão matando Ghouls no esconderijo de Tsukiyama. Enquanto isso, Tsukiyama se despediu de seus amigos que dizem para ele ir ao telhado onde um helicóptero vai levá -lo embora. Kori Ui envia Sasaki no telhado. Tsukiyama chega lá também e fica cara a cara com Sasaki. Sasaki diz a Tsukiyama para se render, mas Tsukiyama o ataca. Enquanto isso, Kanae agora é insano e ataca os investigadores do CCG no esconderijo. Hariu ihei é ferido por Matsumae e faz uma posição final, mas Matsumae a decapita. Kijima chega em cena, mas Matsumae o corta e o corta em dois com seu próprio Quinque matando -o. Furuta se protege de um dos ataques de Matsumae usando outro agente como escudo humano e depois mata Matsumae com o quinque de Kijima. O esquadrão Quinx fica cara a cara com Noro. Sasaki luta com Tsukiyama e, em um momento de fraqueza, ele perde a mão por Kanae. Noro é destruído por Ginshi Shirazu, mas ele não morre. Kanae tenta matar Sasaki, que começa a se lembrar de que Arima estava zombando dele por sua derrota em suas mãos. Sasuki escapa de Kanae, que é revelado como uma mulher chamada Karren. Eto chega em cena com sua forma como a coruja de olho. 12 `` Beautiful Dream: Daybreak '' `` Yoake Beautiful Dream '' (夜明け Sonho bonito) 19 de junho de 2018 À medida que a batalha no esconderijo ainda continua, Sasaki é atacada por Eto, que revela sua identidade como Sen Takatsuki para ele e chama ele kaneki. Ela observa enquanto Karren ataca brutalmente Sasaki e o chuta na cabeça várias vezes. Dentro de sua cabeça, Sasaki vê uma versão infantil de Kaneki, a quem ele estrangula. Enquanto a criança o amaldiçoa, Sasaki percebe que ele é Kaneki ao ver uma lembrança de sua mãe abusando dele. Ele se lembra de se esconder e sua batalha com Arima, que o perfurou na cabeça com seu quinque. Com suas memórias de volta, e seus cabelos completamente pretos novamente, Kaneki abandona sua identidade Sasaki e corta o braço de Karren. Enquanto isso, Kori Ui e o restante do CCG encontram furuta, que mataram todos os outros investigadores do CCG que estavam lá com ele, alegando ser o único sobrevivente. Kaneki luta com Karen, perfurando -a com seu Kagune enquanto Tsukiyama assiste. Embora Kaneki reconheça Tsukiyama, ele o esfaqueia. Enquanto isso, Shirazu ainda luta com Noro, que se lembra quando Yoshimura deu a ele Eto para cuidar dela. Urie e Shirzu matam Noro, mas Shirazu também morre devido a seus ferimentos. Kaneki e Eto Fight e Kaneki a chama de um pedaço de lixo que não merece ser salvo. Eles correm das janelas em direção ao telhado do esconderijo e Kaneki destrói sua forma de Kakuja e sua coruja enquanto ela lambe o sangue do rosto dele. Kaneki a rasga e ela cai do prédio enquanto declara seu amor por ele. Kori Ui descobre que Kaneki devorando Kakuja, de Eto, no telhado. Kaneki finge ainda ser Sasaki e joga Tsukiyama do edifício. Karren cai junto com ele para salvá -lo. Ela o salva, no entanto, ela cai até sua morte. Kaneki conhece o esquadrão Quinx e vê o corpo de Shirazu. Kaneki diz friamente a Urie que isso é culpa dele e que ele é fraco. Tsukiyama é salvo por Touka, Yomo e Chie Hori. Os capangas de Naki roubam o cadáver de Shirazu.</v>
      </c>
    </row>
    <row r="652" customFormat="false" ht="15.75" hidden="false" customHeight="true" outlineLevel="0" collapsed="false">
      <c r="A652" s="3" t="n">
        <v>649</v>
      </c>
      <c r="B652" s="5" t="s">
        <v>1946</v>
      </c>
      <c r="C652" s="5" t="s">
        <v>1947</v>
      </c>
      <c r="D652" s="5" t="s">
        <v>1948</v>
      </c>
      <c r="E652" s="4" t="str">
        <f aca="false">IFERROR(__xludf.dummyfunction("GOOGLETRANSLATE(C653)"),"O Parque Nacional Pin Valley (PVNP) está localizado em que estado")</f>
        <v>O Parque Nacional Pin Valley (PVNP) está localizado em que estado</v>
      </c>
      <c r="F652" s="5" t="str">
        <f aca="false">IFERROR(__xludf.dummyfunction("GOOGLETRANSLATE(D652)"),"   Nome do termo Partido Distrito do Condado de Home 1979 - 1981 Cúpula democrática de Oliver R. Ocasek 27 de 1981 - 1983 Paul E. Gillmor Republicano Ottawa 2º 1983 - 1985 Harry Meshel Democrata Mahoning 33rd 1985 - 1989 Paul E. Gillmor (2nd) Republican O"&amp;"tatawha 2nd 1989 - 1997 Stanley J. ARONOFF Republicano Hamilton 8º 1997 - 2003 Richard Finan Republicano Hamilton 7th 2003 - 2005 Republicano Branco Adams 14th 2005 - 2011 Bill Harris Republicano Ashland 19th 2011 - 2013 Tom Niehaus Republican Clermont 14"&amp;"th 2013 - - 2017 Keith Faber Republican Mercer 12º 2017 - atual Larry Obhof Republican Medina 22º")</f>
        <v>   Nome do termo Partido Distrito do Condado de Home 1979 - 1981 Cúpula democrática de Oliver R. Ocasek 27 de 1981 - 1983 Paul E. Gillmor Republicano Ottawa 2º 1983 - 1985 Harry Meshel Democrata Mahoning 33rd 1985 - 1989 Paul E. Gillmor (2nd) Republican Otatawha 2nd 1989 - 1997 Stanley J. ARONOFF Republicano Hamilton 8º 1997 - 2003 Richard Finan Republicano Hamilton 7th 2003 - 2005 Republicano Branco Adams 14th 2005 - 2011 Bill Harris Republicano Ashland 19th 2011 - 2013 Tom Niehaus Republican Clermont 14th 2013 - - 2017 Keith Faber Republican Mercer 12º 2017 - atual Larry Obhof Republican Medina 22º</v>
      </c>
    </row>
    <row r="653" customFormat="false" ht="15.75" hidden="false" customHeight="true" outlineLevel="0" collapsed="false">
      <c r="A653" s="3" t="n">
        <v>650</v>
      </c>
      <c r="B653" s="5" t="s">
        <v>1949</v>
      </c>
      <c r="C653" s="5" t="s">
        <v>1950</v>
      </c>
      <c r="D653" s="5" t="s">
        <v>1951</v>
      </c>
      <c r="E653" s="4" t="str">
        <f aca="false">IFERROR(__xludf.dummyfunction("GOOGLETRANSLATE(C654)"),"são alho -porro e cebola na mesma família")</f>
        <v>são alho -porro e cebola na mesma família</v>
      </c>
      <c r="F653" s="5" t="str">
        <f aca="false">IFERROR(__xludf.dummyfunction("GOOGLETRANSLATE(D653)")," O Parque Nacional Pin Valley é um parque nacional da Índia localizado no distrito de Lahaul e Spiti, no estado de Himachal Pradesh, no extremo norte da Índia.")</f>
        <v> O Parque Nacional Pin Valley é um parque nacional da Índia localizado no distrito de Lahaul e Spiti, no estado de Himachal Pradesh, no extremo norte da Índia.</v>
      </c>
    </row>
    <row r="654" customFormat="false" ht="15.75" hidden="false" customHeight="true" outlineLevel="0" collapsed="false">
      <c r="A654" s="3" t="n">
        <v>651</v>
      </c>
      <c r="B654" s="5" t="s">
        <v>1952</v>
      </c>
      <c r="C654" s="5" t="s">
        <v>1953</v>
      </c>
      <c r="D654" s="5" t="s">
        <v>1954</v>
      </c>
      <c r="E654" s="4" t="str">
        <f aca="false">IFERROR(__xludf.dummyfunction("GOOGLETRANSLATE(C655)"),"Ator que interpretou Dumbledore em filmes de Harry Potter")</f>
        <v>Ator que interpretou Dumbledore em filmes de Harry Potter</v>
      </c>
      <c r="F654" s="5" t="str">
        <f aca="false">IFERROR(__xludf.dummyfunction("GOOGLETRANSLATE(D654)")," O alho -poró é um vegetal, uma cultivar de Allium ampeloprasum, o alho -poró selvagem de folhas largas. A parte comestível da planta é um feixe de bainhas de folhas que às vezes é erroneamente chamado de haste ou caule. O gênero Allium também contém a ce"&amp;"bola, alho, chalota, cebolinha, cebolinha e cebola chinesa.")</f>
        <v> O alho -poró é um vegetal, uma cultivar de Allium ampeloprasum, o alho -poró selvagem de folhas largas. A parte comestível da planta é um feixe de bainhas de folhas que às vezes é erroneamente chamado de haste ou caule. O gênero Allium também contém a cebola, alho, chalota, cebolinha, cebolinha e cebola chinesa.</v>
      </c>
    </row>
    <row r="655" customFormat="false" ht="15.75" hidden="false" customHeight="true" outlineLevel="0" collapsed="false">
      <c r="A655" s="3" t="n">
        <v>652</v>
      </c>
      <c r="B655" s="5" t="s">
        <v>1955</v>
      </c>
      <c r="C655" s="5" t="s">
        <v>1956</v>
      </c>
      <c r="D655" s="5" t="s">
        <v>1957</v>
      </c>
      <c r="E655" s="4" t="str">
        <f aca="false">IFERROR(__xludf.dummyfunction("GOOGLETRANSLATE(C656)"),"Qual é a distância para o espaço da terra")</f>
        <v>Qual é a distância para o espaço da terra</v>
      </c>
      <c r="F655" s="5" t="str">
        <f aca="false">IFERROR(__xludf.dummyfunction("GOOGLETRANSLATE(D655)"),"   Albus Dumbledore, Harry Potter, Dumbledore, como retratado por Michael Gambon em Harry Potter e o cálice da primeira aparição Harry Potter e a última aparição do filósofo Harry Potter e as Relíquias da Morte criadas por J.K. Rowling retratado por Richa"&amp;"rd Harris (adulto, filmes 1 e 2) Michael Gambon (adulto, filmes 3 - 8) Jude Law (adulto, bestas fantásticas: os crimes de Grindelwald) Toby Regbo (juventude, filme 7) House Griffindor espécie de espécie de espécie")</f>
        <v>   Albus Dumbledore, Harry Potter, Dumbledore, como retratado por Michael Gambon em Harry Potter e o cálice da primeira aparição Harry Potter e a última aparição do filósofo Harry Potter e as Relíquias da Morte criadas por J.K. Rowling retratado por Richard Harris (adulto, filmes 1 e 2) Michael Gambon (adulto, filmes 3 - 8) Jude Law (adulto, bestas fantásticas: os crimes de Grindelwald) Toby Regbo (juventude, filme 7) House Griffindor espécie de espécie de espécie</v>
      </c>
    </row>
    <row r="656" customFormat="false" ht="15.75" hidden="false" customHeight="true" outlineLevel="0" collapsed="false">
      <c r="A656" s="3" t="n">
        <v>653</v>
      </c>
      <c r="B656" s="5" t="s">
        <v>1958</v>
      </c>
      <c r="C656" s="5" t="s">
        <v>1959</v>
      </c>
      <c r="D656" s="5" t="s">
        <v>1960</v>
      </c>
      <c r="E656" s="4" t="str">
        <f aca="false">IFERROR(__xludf.dummyfunction("GOOGLETRANSLATE(C657)"),"NBA 3 pontos porcentagem líderes de todos os tempos")</f>
        <v>NBA 3 pontos porcentagem líderes de todos os tempos</v>
      </c>
      <c r="F656" s="5" t="str">
        <f aca="false">IFERROR(__xludf.dummyfunction("GOOGLETRANSLATE(D656)")," O espaço externo não começa a uma altitude definitiva acima da superfície da Terra. No entanto, a linha Kármán, a uma altitude de 100 km (62 mi) acima do nível do mar, é convencionalmente usada como o início do espaço sideral em tratados espaciais e para"&amp;" a manutenção de registros aeroespaciais. A estrutura para a lei espacial internacional foi estabelecida pelo tratado espacial externo, que entrou em vigor em 10 de outubro de 1967. Este tratado impede quaisquer reivindicações de soberania nacional e perm"&amp;"ite que todos os estados explorem livremente o espaço sideral. Apesar da elaboração de resoluções da ONU para os usos pacíficos do espaço sideral, as armas anti-satélite foram testadas na órbita terrestre.")</f>
        <v> O espaço externo não começa a uma altitude definitiva acima da superfície da Terra. No entanto, a linha Kármán, a uma altitude de 100 km (62 mi) acima do nível do mar, é convencionalmente usada como o início do espaço sideral em tratados espaciais e para a manutenção de registros aeroespaciais. A estrutura para a lei espacial internacional foi estabelecida pelo tratado espacial externo, que entrou em vigor em 10 de outubro de 1967. Este tratado impede quaisquer reivindicações de soberania nacional e permite que todos os estados explorem livremente o espaço sideral. Apesar da elaboração de resoluções da ONU para os usos pacíficos do espaço sideral, as armas anti-satélite foram testadas na órbita terrestre.</v>
      </c>
    </row>
    <row r="657" customFormat="false" ht="15.75" hidden="false" customHeight="true" outlineLevel="0" collapsed="false">
      <c r="A657" s="3" t="n">
        <v>654</v>
      </c>
      <c r="B657" s="5" t="s">
        <v>1961</v>
      </c>
      <c r="C657" s="5" t="s">
        <v>1962</v>
      </c>
      <c r="D657" s="5" t="s">
        <v>1963</v>
      </c>
      <c r="E657" s="4" t="str">
        <f aca="false">IFERROR(__xludf.dummyfunction("GOOGLETRANSLATE(C658)"),"que a Irlanda perdeu para a Copa do Mundo 2018")</f>
        <v>que a Irlanda perdeu para a Copa do Mundo 2018</v>
      </c>
      <c r="F657" s="5" t="str">
        <f aca="false">IFERROR(__xludf.dummyfunction("GOOGLETRANSLATE(D657)"),"   As equipes de nomes de classificação (s) jogam (s) jogadas (s) por (anos) de 3 - gols de campo de 3 pontos fizeram com que os objetivos totais de 3 pontos tentassem de 3 - porcentagem de gols de campo Ray Allen * SG Milwaukee Bucks (1996 - 2003) Seattl"&amp;"e Supersonics ( 2003 - 2007) Boston Celtics (2007 - 2012) Miami Heat (2012 - 2014) 2.973 7.429. 400 Reggie Miller * SG Indiana Pacers (1987 - 2005) 2.560 6.486. 395 Jason Terry ^ SG / PG Atlanta Hawks (1999 - 2004) Dallas Mavericks (2004 - 2012) Boston Ce"&amp;"ltics (2012 - 2013) Brooklyn Nets (2013 - 2014) Houston Rockets (2014 - 2016) Milwaukee Bucks ( 2016 - 2018) 2.282 6.010. 380 Kyle Korver ^ SG / SF Philadelphia 76ers (2003 - 2007) Utah Jazz (2007 - 2010) Chicago Bulls (2010 - 2012) Atlanta Hawks (2012 - "&amp;"2017) Cleveland Cavaliers (2017 - presente) 2.213 5.130. 431 Jamal Crawford ^ SG / PG Chicago Bulls (2000 - 2004) New York Knicks (2004 - 2008) Golden State Warriors (2008 - 2009) Atlanta Hawks (2009 - 2011) Portland Trail Blazers (2011 - 2012) Los Angele"&amp;"s Clippers (2012 - 2017) Minnesota Timberwolves (2017 - 2018) 2.153 6.175. 349 6 Paul Pierce SF Boston Celtics (1999 - 2013) Brooklyn Nets (2013 - 2014) Washington Wizards (2014 - 2015) Los Angeles Clippers (2015 - 2017) 2.143 5.816. 368 7 Stephen Curry ^"&amp;" pg Golden State Warriors (2009 - presente) 2.129 4.880. 436 8 Vince Carter ^ SG / SF Toronto Raptors (1999 - 2004) New Jersey Nets (2004 - 2009) Orlando Magic (2009 - 2010) Phoenix Suns (2010 - 2011) Dallas Mavericks (2011 - 2014) Memphis Grizzlies (2014"&amp;" - 2017) Sacramento Kings (2017 - 2018) Atlanta Hawks (2018 - presente) 2,106 5.650. 373 9 Jason Kidd * PG Dallas Mavericks (1994 - 1996, 2008 - 2012) Phoenix Suns (1996 - 2001) New Jersey Nets (2001 - 2008) New York Knicks (2012 - 2013) 1.988 5.701. 349."&amp;" - 2018) Houston Rockets (2018 - presente) 1.978 5.331. 371 11 Dirk Nowitzki ^ pf Dallas Mavericks (1999 - presente) 1.918 5.005. 383 12 J.R. SMITH ^ SG Nova Orleans ( / Oklahoma City) Hornets (2004 - 2006) Denver Nuggets (2006 - 2011) New York Knicks (20"&amp;"11 - 2015) Cleveland Cavaliers (2015 - presente) 1.917 5.128. 374 13 Chauncey Billups PG / SG Boston Celtics (1997 -1998) Toronto Raptors (1998) Denver Nuggets (19 99, 2008 -2011) Minnesota Timberwolves (2000 -2002) Detroit Pistons (2002 2008 -2013 -2013 "&amp;"- 2014) New York Knicks (2011) Los Angeles Clippers (2011 - 2013) 1.830 4.725. 387 14 Kobe Bryant SG Los Angeles Lakers (1996 - 2016) 1.827 5.546. 330 15 Rashard Lewis SF / PF Seattle Supersonics (1999 - 2007) Orlando Magic (2007 - 2010) Washington Wizard"&amp;"s (2010 - 2012) Miami Heat (2012 - 2014) 1.787 4.625. 386 16 Peja Stojaković SF Sacramento Kings (1999 - 2006) Indiana Pacers (2006) Nova Orleans ( / Oklahoma City) Hornets (2006 - 2010) Toronto Raptors (2010 - 2011) Dallas Mavericks (2011) 1,760 4,392. 4"&amp;"01 17 Dale Ellis SF / SG Dallas Mavericks (1983 - 1986) Seattle Supersonics (1986 - 1991, 1997 - 1999) Milwaukee Bucks (1991 - 1992, 1999 - 2000) San Antonio Spurs (1992 - 1994) Denver Nuggets (1994 - 1997) Charlotte Hornets (2000) 1.719 4.266. 403 18 Ste"&amp;"ve Nash * PG Phoenix Suns (1996 - 1998, 2004 - 2012) Dallas Mavericks (1999 - 2004) Los Angeles Lakers (2012 - 2014) 1.685 3.939. 428 19 James Harden ^ SG Oklahoma City Thunder (2009 - 2012) Houston Rockets (2012 - presente) 1.647 4.523. 364 20 LeBron Jam"&amp;"es ^ SF Cleveland Cavaliers (2003 - 2010, 2014 - 2018) Miami Heat (2010 - 2014) Los Angeles Lakers (2018 - presente) 1.616 4.701. 344 21 Jason Richardson SG Golden State Warriors (2001 - 2007) Charlotte Bobcats (2007 - 2008) Phoenix Suns (2008 - 2010) Orl"&amp;"ando Magic (2010 - 2012) Philadelphia 76ers (2012 - 2015) 1.608 4.344. 370 22 Mike Miller SF / SG Orlando Magic (2000 -2003) Memphis Grizzlies (2003 -2008, 2013 -2014) Minnesota Timberwolves (2008 -2009) Washington Wizards (2009 -2010) Miami Heat (2010 -2"&amp;"010 - 2013) Cleveland Cavaliers (2014 - 2015) Denver Nuggets (2015 - 2017) 1.590 3.910. 407 23 Glen Rice SF Miami Heat (1989 - 1995) Charlotte Hornets (1995 - 1998) Los Angeles Lakers (1999 - 2000) New York Knicks (2000 - 2001) Houston Rockets (2001 - 200"&amp;"3) Los Angeles Clippers (2003 - 2004) 1.559 3.896. 400 24 Klay Thompson ^ SG Golden State Warriors (2011 - presente) 1.557 3.691. 422 25 Eddie Jones SG Los Angeles Lakers (1994 - 1999) Charlotte Hornets (1999 - 2000) Miami Heat (2000 - 2005, 2007) Memphis"&amp;" Grizzlies (2005 - 2007) Dallas Mavericks (2007 - 2008) 1,546 4,147) . 373 26 Tim Hardaway PG Golden State Warriors (1989 - 1993, 1994 - 1996) Miami Heat (1996 - 2001) Dallas Mavericks (2001 - 2002) Denver Nuggets (2002) Indiana Pacers (2003) 1.542 4.345."&amp;" 355 27 Nick Van Exel Pg Los Angeles Lakers (1993 - 1998) Denver Nuggets (1999 - 2002) Dallas Mavericks (2002 - 2003) Golden State Warriors (2003 - 2004) Portland Trail Blazers (2004 - 2005) San) Antonio Spurs (2005 - 2006) 1.528 4.278. 357 28 Mike Bibby "&amp;"PG Vancouver Grizzlies (1999 - 2001) Sacramento Kings (2001 - 2008) Atlanta Hawks (2008 - 2011) Washington Wizards (2011) Miami Heat (2011) New York Knicks (2011 - 2012) 1.517 3,999 . 379 29 Manu Ginóbili ^ SG San Antonio Spurs (2002 - presente) 1.495 4.0"&amp;"55. 369 30 J.J. Redick ^ Sg Orlando Magic (2006 - 2013) Milwaukee Bucks (2013) Los Angeles Clippers (2013 - 2017) Philadelphia 76ers (2017 - presente) 1.464 3.524. 415 31 Michael Finley SF Phoenix Suns (1995 - 1996) Dallas Mavericks (1996 - 2005) San Anto"&amp;"nio Spurs (2005 - 2010) Boston Celtics (2010) 1.454 3.880. 375 32 Kevin Durant ^ SF / SG Seattle Supersonics / Oklahoma City Thunder (2007 - 2016) Golden State Warriors (2016 - presente) 1.433 3.734. 384 33 Wesley Matthews ^ SG Utah Jazz (2009 - 2010) Por"&amp;"tland Trail Blazers (2010 - 2015) Dallas Mavericks (2015 - presente) 1.405 3.667. 383 34 Brent Barry SG Los Angeles Clippers (1995 - 1998) Miami Heat (1998) Chicago Bulls (1999) Seattle Supersonics (1999 - 2004) San Antonio Spurs (2004 - 2008) Houston Roc"&amp;"kets (2008 - 2009) 1.395 3.442. 405 35 Antoine Walker PF Boston Celtics (1996 - 2003, 2005) Dallas Mavericks (2003 - 2004) Atlanta Hawks (2004 - 2005) Miami Heat (2005 - 2007) Minnesota Timberwolves (2007 - 2008) 1,386 4,264. 325 36 Kyle Lowry ^ PG Memphi"&amp;"s Grizzlies (2006 - 2009) Houston Rockets (2009 - 2012) Toronto Raptors (2012 - presente) 1.375 3.717. 370 37 Dan Majerle SG / SF Phoenix Suns (1988 - 1995, 2001 - 2002) Cleveland Cavaliers (1995 - 1996) Miami Heat (1996 - 2001) 1.360 3.798. 358 38 Carmel"&amp;"o Anthony ^ SF Denver Nuggets (2003 - 2011) New York Knicks (2011 - 2017) Oklahoma City Thunder (2017 - 2018) 1.341 3.861. 347 39 Baron Davis PG Charlotte Hornets (1999 - 2002) New Orleans Hornets (2002 - 2005) Golden State Warriors (2005 - 2008) Los Ange"&amp;"les Clippers (2008 - 2011) Cleveland Cavaliers (2011) New York Knicks (2012 ) 1.332 4.159. 320 40 Mitch Richmond * SG Golden State Warriors (1988 - 1991) Sacramento Kings (1991 - 1998) Washington Wizards (1999 - 2001) Los Angeles Lakers (2001 - 2002) 1.32"&amp;"6 3.419. 388 41 Ryan Anderson ^ PF New Jersey Nets (2008 - 2009) Orlando Magic (2009 - 2012) New Orleans Hornets / Pelicans (2012 - 2016) Houston Rockets (2016 - presente) 1.315 3.446. 382 42 Trevor Ariza ^ SF New York Knicks (2004 - 2006) Orlando Magic ("&amp;"2006 - 2007) Los Angeles Lakers (2007 - 2009) Houston Rockets (2009 - 2010, 2014 - 2018) New Orleans Hornets (2010 - 2012) Washington Wizards (2012- 2014) Phoenix Suns (2018- presente) 1.313 3.721. 353 43 Allan Houston SG Detroit Pistons (1993 - 1996) New"&amp;" York Knicks (1996 - 2005) 1.305 3.247. 402 44 Mike Dunleavy Jr. SF / SG Golden State Warriors (2002 - 2007) Indiana Pacers (2007 - 2011) Milwaukee Bucks (2011 - 2013) Chicago Bulls (2013 - 2016) Cleveland Cavaliers (2016 - 2017) Atlanta Hawks (2017) 1.30"&amp;"4 3.460. 377 45 Terry Porter PG Portland Trail Blazers (1985 - 1995) Minnesota Timberwolves (1995 - 1998) Miami Heat (1999) San Antonio Spurs (1999 - 2002) 1.297 3.360. 386 46 Mookie Blaylock PG New Jersey Nets (1989 - 1992) Atlanta Hawks (1992 - 1999) Go"&amp;"lden State Warriors (1999 - 2002) 1.283 3,816. 336 47 Damian Lillard ^ PG Portland Trail Blazers (2012 - presente) 1.269 3.447. 368 48 Vernon Maxwell SG San Antonio Spurs (1988 - 1990, 1996 - 1997) Houston Rockets (1990 - 1995) Philadelphia 76ers (1995 - "&amp;"1996, 2000) Orlando Magic (1998) Charlotte Hornets (1998) Sacramento Kings ( 1999) Seattle Supersonics (1999 - 2000) Dallas Mavericks (2001) 1.256 3.931. 320 49 Clifford Robinson PF / SF Portland Trail Blazers (1989 - 1997) Phoenix Suns (1997 - 2001) Detr"&amp;"oit Pistons (2001 - 2003) Golden State Warriors (2003 - 2005) New Jersey Nets (2005 - 2007) 1.253 3.515. 356 50 Stephen Jackson SG / SF New Jersey Nets (2000 - 2001) San Antonio Spurs (2001 - 2003, 2012 - 2013) Atlanta Hawks (2003 - 2004) Indiana Pacers ("&amp;"2004 - 2007) Golden State Warriors ( 2007 - 2009) Charlotte Bobcats (2009 - 2011) Milwaukee Bucks (2011 - 2012) Los Angeles Clippers (2013 - 2014) 1.252 3.763. 333")</f>
        <v>   As equipes de nomes de classificação (s) jogam (s) jogadas (s) por (anos) de 3 - gols de campo de 3 pontos fizeram com que os objetivos totais de 3 pontos tentassem de 3 - porcentagem de gols de campo Ray Allen * SG Milwaukee Bucks (1996 - 2003) Seattle Supersonics ( 2003 - 2007) Boston Celtics (2007 - 2012) Miami Heat (2012 - 2014) 2.973 7.429. 400 Reggie Miller * SG Indiana Pacers (1987 - 2005) 2.560 6.486. 395 Jason Terry ^ SG / PG Atlanta Hawks (1999 - 2004) Dallas Mavericks (2004 - 2012) Boston Celtics (2012 - 2013) Brooklyn Nets (2013 - 2014) Houston Rockets (2014 - 2016) Milwaukee Bucks ( 2016 - 2018) 2.282 6.010. 380 Kyle Korver ^ SG / SF Philadelphia 76ers (2003 - 2007) Utah Jazz (2007 - 2010) Chicago Bulls (2010 - 2012) Atlanta Hawks (2012 - 2017) Cleveland Cavaliers (2017 - presente) 2.213 5.130. 431 Jamal Crawford ^ SG / PG Chicago Bulls (2000 - 2004) New York Knicks (2004 - 2008) Golden State Warriors (2008 - 2009) Atlanta Hawks (2009 - 2011) Portland Trail Blazers (2011 - 2012) Los Angeles Clippers (2012 - 2017) Minnesota Timberwolves (2017 - 2018) 2.153 6.175. 349 6 Paul Pierce SF Boston Celtics (1999 - 2013) Brooklyn Nets (2013 - 2014) Washington Wizards (2014 - 2015) Los Angeles Clippers (2015 - 2017) 2.143 5.816. 368 7 Stephen Curry ^ pg Golden State Warriors (2009 - presente) 2.129 4.880. 436 8 Vince Carter ^ SG / SF Toronto Raptors (1999 - 2004) New Jersey Nets (2004 - 2009) Orlando Magic (2009 - 2010) Phoenix Suns (2010 - 2011) Dallas Mavericks (2011 - 2014) Memphis Grizzlies (2014 - 2017) Sacramento Kings (2017 - 2018) Atlanta Hawks (2018 - presente) 2,106 5.650. 373 9 Jason Kidd * PG Dallas Mavericks (1994 - 1996, 2008 - 2012) Phoenix Suns (1996 - 2001) New Jersey Nets (2001 - 2008) New York Knicks (2012 - 2013) 1.988 5.701. 349. - 2018) Houston Rockets (2018 - presente) 1.978 5.331. 371 11 Dirk Nowitzki ^ pf Dallas Mavericks (1999 - presente) 1.918 5.005. 383 12 J.R. SMITH ^ SG Nova Orleans ( / Oklahoma City) Hornets (2004 - 2006) Denver Nuggets (2006 - 2011) New York Knicks (2011 - 2015) Cleveland Cavaliers (2015 - presente) 1.917 5.128. 374 13 Chauncey Billups PG / SG Boston Celtics (1997 -1998) Toronto Raptors (1998) Denver Nuggets (19 99, 2008 -2011) Minnesota Timberwolves (2000 -2002) Detroit Pistons (2002 2008 -2013 -2013 - 2014) New York Knicks (2011) Los Angeles Clippers (2011 - 2013) 1.830 4.725. 387 14 Kobe Bryant SG Los Angeles Lakers (1996 - 2016) 1.827 5.546. 330 15 Rashard Lewis SF / PF Seattle Supersonics (1999 - 2007) Orlando Magic (2007 - 2010) Washington Wizards (2010 - 2012) Miami Heat (2012 - 2014) 1.787 4.625. 386 16 Peja Stojaković SF Sacramento Kings (1999 - 2006) Indiana Pacers (2006) Nova Orleans ( / Oklahoma City) Hornets (2006 - 2010) Toronto Raptors (2010 - 2011) Dallas Mavericks (2011) 1,760 4,392. 401 17 Dale Ellis SF / SG Dallas Mavericks (1983 - 1986) Seattle Supersonics (1986 - 1991, 1997 - 1999) Milwaukee Bucks (1991 - 1992, 1999 - 2000) San Antonio Spurs (1992 - 1994) Denver Nuggets (1994 - 1997) Charlotte Hornets (2000) 1.719 4.266. 403 18 Steve Nash * PG Phoenix Suns (1996 - 1998, 2004 - 2012) Dallas Mavericks (1999 - 2004) Los Angeles Lakers (2012 - 2014) 1.685 3.939. 428 19 James Harden ^ SG Oklahoma City Thunder (2009 - 2012) Houston Rockets (2012 - presente) 1.647 4.523. 364 20 LeBron James ^ SF Cleveland Cavaliers (2003 - 2010, 2014 - 2018) Miami Heat (2010 - 2014) Los Angeles Lakers (2018 - presente) 1.616 4.701. 344 21 Jason Richardson SG Golden State Warriors (2001 - 2007) Charlotte Bobcats (2007 - 2008) Phoenix Suns (2008 - 2010) Orlando Magic (2010 - 2012) Philadelphia 76ers (2012 - 2015) 1.608 4.344. 370 22 Mike Miller SF / SG Orlando Magic (2000 -2003) Memphis Grizzlies (2003 -2008, 2013 -2014) Minnesota Timberwolves (2008 -2009) Washington Wizards (2009 -2010) Miami Heat (2010 -2010 - 2013) Cleveland Cavaliers (2014 - 2015) Denver Nuggets (2015 - 2017) 1.590 3.910. 407 23 Glen Rice SF Miami Heat (1989 - 1995) Charlotte Hornets (1995 - 1998) Los Angeles Lakers (1999 - 2000) New York Knicks (2000 - 2001) Houston Rockets (2001 - 2003) Los Angeles Clippers (2003 - 2004) 1.559 3.896. 400 24 Klay Thompson ^ SG Golden State Warriors (2011 - presente) 1.557 3.691. 422 25 Eddie Jones SG Los Angeles Lakers (1994 - 1999) Charlotte Hornets (1999 - 2000) Miami Heat (2000 - 2005, 2007) Memphis Grizzlies (2005 - 2007) Dallas Mavericks (2007 - 2008) 1,546 4,147) . 373 26 Tim Hardaway PG Golden State Warriors (1989 - 1993, 1994 - 1996) Miami Heat (1996 - 2001) Dallas Mavericks (2001 - 2002) Denver Nuggets (2002) Indiana Pacers (2003) 1.542 4.345. 355 27 Nick Van Exel Pg Los Angeles Lakers (1993 - 1998) Denver Nuggets (1999 - 2002) Dallas Mavericks (2002 - 2003) Golden State Warriors (2003 - 2004) Portland Trail Blazers (2004 - 2005) San) Antonio Spurs (2005 - 2006) 1.528 4.278. 357 28 Mike Bibby PG Vancouver Grizzlies (1999 - 2001) Sacramento Kings (2001 - 2008) Atlanta Hawks (2008 - 2011) Washington Wizards (2011) Miami Heat (2011) New York Knicks (2011 - 2012) 1.517 3,999 . 379 29 Manu Ginóbili ^ SG San Antonio Spurs (2002 - presente) 1.495 4.055. 369 30 J.J. Redick ^ Sg Orlando Magic (2006 - 2013) Milwaukee Bucks (2013) Los Angeles Clippers (2013 - 2017) Philadelphia 76ers (2017 - presente) 1.464 3.524. 415 31 Michael Finley SF Phoenix Suns (1995 - 1996) Dallas Mavericks (1996 - 2005) San Antonio Spurs (2005 - 2010) Boston Celtics (2010) 1.454 3.880. 375 32 Kevin Durant ^ SF / SG Seattle Supersonics / Oklahoma City Thunder (2007 - 2016) Golden State Warriors (2016 - presente) 1.433 3.734. 384 33 Wesley Matthews ^ SG Utah Jazz (2009 - 2010) Portland Trail Blazers (2010 - 2015) Dallas Mavericks (2015 - presente) 1.405 3.667. 383 34 Brent Barry SG Los Angeles Clippers (1995 - 1998) Miami Heat (1998) Chicago Bulls (1999) Seattle Supersonics (1999 - 2004) San Antonio Spurs (2004 - 2008) Houston Rockets (2008 - 2009) 1.395 3.442. 405 35 Antoine Walker PF Boston Celtics (1996 - 2003, 2005) Dallas Mavericks (2003 - 2004) Atlanta Hawks (2004 - 2005) Miami Heat (2005 - 2007) Minnesota Timberwolves (2007 - 2008) 1,386 4,264. 325 36 Kyle Lowry ^ PG Memphis Grizzlies (2006 - 2009) Houston Rockets (2009 - 2012) Toronto Raptors (2012 - presente) 1.375 3.717. 370 37 Dan Majerle SG / SF Phoenix Suns (1988 - 1995, 2001 - 2002) Cleveland Cavaliers (1995 - 1996) Miami Heat (1996 - 2001) 1.360 3.798. 358 38 Carmelo Anthony ^ SF Denver Nuggets (2003 - 2011) New York Knicks (2011 - 2017) Oklahoma City Thunder (2017 - 2018) 1.341 3.861. 347 39 Baron Davis PG Charlotte Hornets (1999 - 2002) New Orleans Hornets (2002 - 2005) Golden State Warriors (2005 - 2008) Los Angeles Clippers (2008 - 2011) Cleveland Cavaliers (2011) New York Knicks (2012 ) 1.332 4.159. 320 40 Mitch Richmond * SG Golden State Warriors (1988 - 1991) Sacramento Kings (1991 - 1998) Washington Wizards (1999 - 2001) Los Angeles Lakers (2001 - 2002) 1.326 3.419. 388 41 Ryan Anderson ^ PF New Jersey Nets (2008 - 2009) Orlando Magic (2009 - 2012) New Orleans Hornets / Pelicans (2012 - 2016) Houston Rockets (2016 - presente) 1.315 3.446. 382 42 Trevor Ariza ^ SF New York Knicks (2004 - 2006) Orlando Magic (2006 - 2007) Los Angeles Lakers (2007 - 2009) Houston Rockets (2009 - 2010, 2014 - 2018) New Orleans Hornets (2010 - 2012) Washington Wizards (2012- 2014) Phoenix Suns (2018- presente) 1.313 3.721. 353 43 Allan Houston SG Detroit Pistons (1993 - 1996) New York Knicks (1996 - 2005) 1.305 3.247. 402 44 Mike Dunleavy Jr. SF / SG Golden State Warriors (2002 - 2007) Indiana Pacers (2007 - 2011) Milwaukee Bucks (2011 - 2013) Chicago Bulls (2013 - 2016) Cleveland Cavaliers (2016 - 2017) Atlanta Hawks (2017) 1.304 3.460. 377 45 Terry Porter PG Portland Trail Blazers (1985 - 1995) Minnesota Timberwolves (1995 - 1998) Miami Heat (1999) San Antonio Spurs (1999 - 2002) 1.297 3.360. 386 46 Mookie Blaylock PG New Jersey Nets (1989 - 1992) Atlanta Hawks (1992 - 1999) Golden State Warriors (1999 - 2002) 1.283 3,816. 336 47 Damian Lillard ^ PG Portland Trail Blazers (2012 - presente) 1.269 3.447. 368 48 Vernon Maxwell SG San Antonio Spurs (1988 - 1990, 1996 - 1997) Houston Rockets (1990 - 1995) Philadelphia 76ers (1995 - 1996, 2000) Orlando Magic (1998) Charlotte Hornets (1998) Sacramento Kings ( 1999) Seattle Supersonics (1999 - 2000) Dallas Mavericks (2001) 1.256 3.931. 320 49 Clifford Robinson PF / SF Portland Trail Blazers (1989 - 1997) Phoenix Suns (1997 - 2001) Detroit Pistons (2001 - 2003) Golden State Warriors (2003 - 2005) New Jersey Nets (2005 - 2007) 1.253 3.515. 356 50 Stephen Jackson SG / SF New Jersey Nets (2000 - 2001) San Antonio Spurs (2001 - 2003, 2012 - 2013) Atlanta Hawks (2003 - 2004) Indiana Pacers (2004 - 2007) Golden State Warriors ( 2007 - 2009) Charlotte Bobcats (2009 - 2011) Milwaukee Bucks (2011 - 2012) Los Angeles Clippers (2013 - 2014) 1.252 3.763. 333</v>
      </c>
    </row>
    <row r="658" customFormat="false" ht="15.75" hidden="false" customHeight="true" outlineLevel="0" collapsed="false">
      <c r="A658" s="3" t="n">
        <v>655</v>
      </c>
      <c r="B658" s="5" t="s">
        <v>1964</v>
      </c>
      <c r="C658" s="5" t="s">
        <v>1965</v>
      </c>
      <c r="D658" s="5" t="s">
        <v>1966</v>
      </c>
      <c r="E658" s="4" t="str">
        <f aca="false">IFERROR(__xludf.dummyfunction("GOOGLETRANSLATE(C659)"),"Jogos Xbox 360 compatíveis com o Xbox One")</f>
        <v>Jogos Xbox 360 compatíveis com o Xbox One</v>
      </c>
      <c r="F658" s="5" t="str">
        <f aca="false">IFERROR(__xludf.dummyfunction("GOOGLETRANSLATE(D658)"),"   Data Concurso Oponente Resultado do Oponente 11 de junho de 2017 Copa do Mundo de 2018 Dublin, Irlanda Áustria 1 - 1 Martin Hintegger 31 ', Jonathan Walters 85' 2 de setembro de 2017 Copa do Mundo 2018 Tbilisi, Georgia Georgia 1 - 1 Shane Duffy 4 ',, V"&amp;"aleri Qazaishvili 34 '5 de setembro de 2017 Copa do mundo 2018 Dublin, Irlanda Sérvia 0 - 1 Aleksandar Kolarov 55' 6 de outubro de 2017 Copa do Mundo de 2018 Dublin, Copo do Mundo da Irlanda 2 - 0 Daryl Murph 2 ', 19' 9 de outubro de 2017 Copo do mundo Qu"&amp;"alificador de 2018 Cardiff, Wales Wales 1 - 0 James McClean 57 '11 de novembro de 2017 Copa do mundo 2018 Play - Off Copenhague, Dinamarca Dinamarca 0 - 0 14 de novembro de 2017 Copa do mundo 2018 Play - Off Dublin, Irlanda Dinamarca 1 - 5 Shane Duffy 6 '"&amp;", Cyrus Christie 29' (OG), Christian Eriksen 32 ', 63', 74 ', Nicklas Bendtner 90' (caneta) 23 de março de 2018 Match Antalya, Turquia 0 - 1 Mehmet Topal 52 '20 de maio de 2018 Amigável Glasgow, Escócia Celtic 2 - 2 Alan Browne, Ross Doohan Og ', Leigh Gr"&amp;"iffiths, Patrick Roberts 28 de maio de 2018 Match Friendly Saint Denis, França France 0 - 2 Olivier Giroud 40', Nabil Fekir 44 '2 de junho 2018 Friendly Match Dublin, Irlanda Estados Unidos 2 - 1 Bobby Wood 45 + 1 ', Graham Burke 57', Alan Juiz 90 '6 de s"&amp;"etembro de 2018 Liga das Nações da Uefa Cardiff, País de Gales 11 de setembro de 2018 Match Friendly Wrocław, Polônia Polônia 13 de outubro de 2018 Liga da UEFA Dublin, Irlanda Dinamarca 16 de outubro de 2018 Liga das Nações da UEFA Dublin, Irlanda Wales "&amp;"15 de novembro de 2018 Friendly Match Dublin, Irlanda Irlanda do Norte 19 de novembro de 2018 Liga das Nações da UEFA Aarhus, Dinamarca Dinamarca")</f>
        <v>   Data Concurso Oponente Resultado do Oponente 11 de junho de 2017 Copa do Mundo de 2018 Dublin, Irlanda Áustria 1 - 1 Martin Hintegger 31 ', Jonathan Walters 85' 2 de setembro de 2017 Copa do Mundo 2018 Tbilisi, Georgia Georgia 1 - 1 Shane Duffy 4 ',, Valeri Qazaishvili 34 '5 de setembro de 2017 Copa do mundo 2018 Dublin, Irlanda Sérvia 0 - 1 Aleksandar Kolarov 55' 6 de outubro de 2017 Copa do Mundo de 2018 Dublin, Copo do Mundo da Irlanda 2 - 0 Daryl Murph 2 ', 19' 9 de outubro de 2017 Copo do mundo Qualificador de 2018 Cardiff, Wales Wales 1 - 0 James McClean 57 '11 de novembro de 2017 Copa do mundo 2018 Play - Off Copenhague, Dinamarca Dinamarca 0 - 0 14 de novembro de 2017 Copa do mundo 2018 Play - Off Dublin, Irlanda Dinamarca 1 - 5 Shane Duffy 6 ', Cyrus Christie 29' (OG), Christian Eriksen 32 ', 63', 74 ', Nicklas Bendtner 90' (caneta) 23 de março de 2018 Match Antalya, Turquia 0 - 1 Mehmet Topal 52 '20 de maio de 2018 Amigável Glasgow, Escócia Celtic 2 - 2 Alan Browne, Ross Doohan Og ', Leigh Griffiths, Patrick Roberts 28 de maio de 2018 Match Friendly Saint Denis, França France 0 - 2 Olivier Giroud 40', Nabil Fekir 44 '2 de junho 2018 Friendly Match Dublin, Irlanda Estados Unidos 2 - 1 Bobby Wood 45 + 1 ', Graham Burke 57', Alan Juiz 90 '6 de setembro de 2018 Liga das Nações da Uefa Cardiff, País de Gales 11 de setembro de 2018 Match Friendly Wrocław, Polônia Polônia 13 de outubro de 2018 Liga da UEFA Dublin, Irlanda Dinamarca 16 de outubro de 2018 Liga das Nações da UEFA Dublin, Irlanda Wales 15 de novembro de 2018 Friendly Match Dublin, Irlanda Irlanda do Norte 19 de novembro de 2018 Liga das Nações da UEFA Aarhus, Dinamarca Dinamarca</v>
      </c>
    </row>
    <row r="659" customFormat="false" ht="15.75" hidden="false" customHeight="true" outlineLevel="0" collapsed="false">
      <c r="A659" s="3" t="n">
        <v>656</v>
      </c>
      <c r="B659" s="5" t="s">
        <v>742</v>
      </c>
      <c r="C659" s="5" t="s">
        <v>1967</v>
      </c>
      <c r="D659" s="5" t="s">
        <v>1968</v>
      </c>
      <c r="E659" s="4" t="str">
        <f aca="false">IFERROR(__xludf.dummyfunction("GOOGLETRANSLATE(C660)"),"nome de toms no primeiro desenho animado de Tom e Jerry")</f>
        <v>nome de toms no primeiro desenho animado de Tom e Jerry</v>
      </c>
      <c r="F659" s="5" t="str">
        <f aca="false">IFERROR(__xludf.dummyfunction("GOOGLETRANSLATE(D659)"),"   Título Publicador (s) Formato Xbox One X Data aprimorada Notas / referências adicionadas Ataque de 0 dias no Earth Gulti XBLA 00000000201017 - 10 - 30 - 0000 30 de outubro de 2017 3d Ultra Minigolf Adventures Activision XBLA 000000002017 - 04 - 20 - 00"&amp;"00 0000 20 de abril de 2017 Um reino para os Keflings Microsoft Studios XBLA 00000000202015 - 06 - 15 - 0000 15 de junho de 2015 Um mundo de Keflings Microsoft Studios XBLA 000000002015 - 06 - 15 - 0000 15 de junho de 2015 Aegis Wing Microsoft Studios XBL"&amp;"A 000000202 , 2016 Age of Booty Capcom XBLA 000000002016 - 01 - 21 - 0000 21 de janeiro de 2016 Alan Wake Microsoft Studios 000000002016 - 03 - 17 - 0000 17 de março de 2016 Também disponível como um bônus com a compra de interrupção quântica. American Ni"&amp;"ghtmare Microsoft Studios da Alan Wake XBLA 000000002016 - 02 - 11 - 0000 11 de fevereiro de 2016 também incluído como um bônus de pré -venda no Quantum Break. Alice: Madness Retorna Artes eletrônicas 000000002017 - 01 - 24 - 0000 24 de janeiro de 2017 Al"&amp;"ien Hominid HD Microsoft Studios XBLA 000000002015 - 06 - 15 - 0000 15 de junho de 2015 ALTERED BEAST SEGA XBLA 000000002016 - 04 - 26 : WarZone Earth Microsoft Studios XBLA 00000000202016 - 06 - 07 - 0000 7 de junho de 2016 Aqua Microsoft Studios XBLA 00"&amp;"0000002016 - 06 - 07 - 0000 7 de junho de 2016 Arkanoid Live! Taito Corporation XBLA 000000002016 - 09 - 08 - 0000 8 de setembro de 2016 Exército de duas artes eletrônicas 00000000202017 - 03 - 28 - 0000 28 de março de 2017 Assassin's Creed Ubisoft 000000"&amp;"00201 II Ubisoft 000000002015 - 11 - 12 - 0000 12 de novembro de 2015 Também disponível no Assassin's Creed: The Ezio Collection, que inclui versões remasterizadas do Creed II de Assassin, Assassin's Creed: Brotherhood e Assassin's Creed: Revelations for "&amp;"Xbox Um . Assassin's Creed III Ubisoft 00000000202017 - 05 - 23 - 0000 23 de maio de 2017 Assassin's Creed IV: Black Bandle Ubisoft 000000002018 - 04 - 03 - 0000 3 de abril de 2018 também foi lançado como um título de lançamento para Xbox One. Assassin Cr"&amp;"eed: Brotherhood Ubisoft 00000000202017 - 06 - 27 - 0000 27 de junho de 2017 Também disponível no Assassin's Creed: The Ezio Collection, que inclui versões remasterizadas do Creed II de Assassin, Assassin's Creed: Brotherhood e Assassin 'S. Creed: Revelat"&amp;"ions for Xbox One. Assassin Creed: Revelations Ubisoft 00000000202017 - 03 - 23 - 0000 23 de março de 2017 Também disponível no Assassin's Creed: The Ezio Collection, que inclui versões remasterizadas de Assassin's Creed II, Assassin's Creed: Brotherhood "&amp;"e assassin Creed: Revelations for Xbox One. Assassin Creed Rogue Ubisoft 00000000202017 - 02 - 23 - 0000 23 de fevereiro de 2017 Também disponível como uma versão remasterizada no Xbox One. Assault Heroes 2 Sierra Entertainment XBLA 00000000202017 - 04 - "&amp;"25 - 0000 25 de abril de 2017 Asteróides e Deluxe Atari XBLA 00000000202015 - 11 - 12 - 0000 12 de novembro de 2015 ASTROPOP POPCAP Games XBLA 000000002016 - 11 -29 - 00 -29 de novembro de 2015 00 21 de novembro de 2015 002015 e 22 de novembro de 2015. Pi"&amp;"xel   2K Play   XBLA     000000002018 - 03 - 13 - 0000 March 13 , 2018       Babel Rising   Ubisoft   XBLA     000000002016 - 06 - 16 - 0000 June 16 , 2016       Band of Bugs   Microsoft Studios   XBLA     000000002017 - 05 - 04 - 0000 May 4 , 2017       "&amp;"Banjo - Kazooie Microsoft Studios XBLA 000000202015 - 06 - 15 - 0000 15 de junho de 2015 Também incluído como parte da rara coleção de jogos de reprodução. Banjo - Kazooie: Nuts &amp; Bolts Microsoft Studios 000000002015 - 08 - 04 - 0000 4 de agosto de 2015 T"&amp;"ambém incluído como parte da rara coleção de jogos de reprodução. Banjo - Tooie Microsoft Studios XBLA 000000002015 - 06 - 15 - 0000 15 de junho de 2015 Também incluído como parte da rara coleção de jogos de reprodução. Batman: Arkham Origins WB Games Dis"&amp;"co Somente 00000000202017 - 08 - 08 - 0000 8 de agosto de 2017 Battleblock Theatre Microsoft Studios XBLA 000000002015 - 06 - 15 - 0000 15 de junho de 2015 Battlefield 3 Arts Electronic 0000002017 - 01 - 1000 - 00. Disponível no cofre do EA Access. Battle"&amp;"field: Bad Company 2 Electronic Arts 000000002017 - 01 - 10 - 0000 10 de janeiro de 2017 Disponível no Vault of EA Access. Battlefield: Bad Company Electronic Arts 000000002017 - 08 - 17 - 0000 17 de agosto de 2017 Disponível no Vault of EA Access. Battle"&amp;"stations: Midway Square Enix 000000002016 - 10 - 11 - 0000 11 de outubro de 2016 Bayonetta Sega 00000000202016 - 09 - 08 - 0000 8 de setembro de 2016 Beat'n Groovy Konami Xbla 000000000017 - 01 - 12 - 0000 12 de janeiro, 2017 BEJA 000000000017 - 01 - 12 -"&amp;" 0000 Studios XBLA 000000002015 - 11 - 12 - 0000 12 de novembro de 2015 Disponível no cofre do EA Access. Bejeweled 3 Popcap Games XBLA 00000000202016 - 09 - 06 - 0000 6 de setembro de 2016 Disponível no cofre do EA Access. Bellator : MMA Onslaught   345 "&amp;"Games   XBLA     000000002015 - 11 - 12 - 0000 November 12 , 2015       Beyond Good &amp; Evil HD   Ubisoft   XBLA     000000002015 - 11 - 12 - 0000 November 12 , 2015       Bionic Commando : Rearmed 2   Capcom   XBLA     000000002016 - 07 - 21 - 0000 21 de j"&amp;"ulho de 2016 Games BioShock 2K 000000002016 - 12 - 13 - 0000 13 de dezembro de 2016 Também disponível em BioShock: The Collection, com versões remasterizadas de todos os 3 títulos do BioShock no Xbox One. BioShock 2 2K Games 000000002016 - 12 - 13 - 0000 "&amp;"13 de dezembro de 2016 Também disponível no BioShock: The Collection, com versões remasterizadas de todos os 3 títulos do BioShock no Xbox One. Bioshock Infinite 2K Games 000000002016 - 12 - 13 - 0000 13 de dezembro de 2016 Também disponível em BioShock: "&amp;"The Collection, com versões remasterizadas de todos os 3 títulos do BioShock no Xbox One. Pedaço. Trip apresenta ... RUNNER2: Future Legend of Rhythm Alien Aksys Aksys XBLA 000000002016 - 05 - 05 - 0000 5 de maio de 2016 Anjos em chamas: Esquadrões de Seg"&amp;"unda Guerra Mundial Ubisoft 000000002017 - 06 - 27 de junho 27, 2017 Knights Kaalypso - 06 - 23 - 0000 23 de junho de 2016 Blood of the Werewolf Midnight City XBLA 000000002015 - 11 - 12 - 0000 12 de novembro de 2015 BloodForge Microsoft Studios XBLA 0000"&amp;"0000202016 - 06 - 30 - 0000 30 de junho, 2016 Bloodrayne: BRESTRAYAL MAJESCO Entertainment Xbla 00 00 0000 3 de junho, 2016 - 11 - 12 - 0000 12 de novembro de 2015 Blue Dragon Microsoft Microsoft Studios 000000002016 - 11 - 01 - 0000 1 de novembro de 2016"&amp;" Bolt Disney Interactive 000000002017 - 08 - 08 - 0000 8 de agosto de 2017 Bomberman Live: BattleFest Hudson Soft XBLA 00000020202 18 - 0000 18 de agosto de 2016 BOOM BOOM Rocket Electronic Arts XBLA 000000002016 - 07 - 26 - 0000 26 de julho de 2016 Limit"&amp;"ado por Focal Focus Home Interactive 000000201016 - 09 - 15 - 0000 - 15 de setembro de 2016 Borderlands 2K Games 000000201015 - 09 - 0000 - 15 de setembro de 2016 0000 3 de setembro de 2015 Todas as versões do jogo, incluindo cópias físicas e digitais, re"&amp;"cebem todo o DLC como um download gratuito (apenas no Xbox One). Borderlands 2 2K Games 000000002017 - 02 - 23 - 0000 23 de fevereiro de 2017 Também disponível em Borderlands: The Bea Bea Collection, que inclui versões remasterizadas de Borderlands 2 e Bo"&amp;"rderlands: The Pré -Sequel para Xbox One. Braid Microsoft Studios XBLA 000000002015 - 12 - 17 - 0000 17 de dezembro de 2015 Brain Challenge Ubisoft XBLA 00000000201016 - 06 - 16 - 0000 16 de junho de 2016 Brave: The Video Game Interactive 000000002018 - 0"&amp;"2 - 20 - 0000 - 0000 FEBROVOS 20, 2018 2018 5pb. 00000000202017 - 05 - 04 - 0000 4 de maio de 2017 Bullet Soul - Burst Infinite - 5pb. 00000000202017 - 05 - 04 - 0000 4 de maio de 2017 Bully: Scholarship Edition Rockstar Games 00000000201016 - 12 - 15 - 0"&amp;"000 15 de dezembro, 2016 Paradisos de esgotamento Artes eletrônicas 000000002016 - 11 - 22 - 0000 22 de novembro, 2016 Remoferagem Remonded como Burnout Paradise RemasterEd Um . Cabela 's Alaskan Adventures   Activision       000000002017 - 04 - 27 - 0000"&amp;" April 27 , 2017       Cabela 's Dangerous Hunts 2013   Activision       000000002017 - 04 - 27 - 0000 April 27 , 2017       Cabela 's Hunting Expeditions   Activision       000000002017 - 04 - 27 - 0000 April 27 , 2017 Sobrevivência de Cabela: Sombras da"&amp;" Katmai Activision 000000002017 - 04 - 27 - 0000 27 de abril de 2017 Call of Duty: Advanced Warfare Activision 000000002017 - 09 - 28 - 0000 28 de setembro de 2017 Também foi lançado no Xbox One. Call of Duty: Black Ops Activision 000000002016 - 05 - 17 -"&amp;" 0000 17 de maio de 2016 Call of Duty: Black Ops II Activision 000000002017 - 04 - 11 - 0000 11 de abril de 2017 Call of Duty: Ghosts Activision 000000002017 - 06 - 29 - 0000 29 de junho de 2017 também foi lançado como um título de lançamento para o Xbox "&amp;"One. Call of Duty: World at War Activision 000000002016 - 09 - 27 - 0000 27 de setembro de 2016 Call of Duty 2 Activision 00000000202016 - 08 - 23 - 0000 23 de agosto de 2016 Call of Duty 3 Activision 000000202016 - 09 - 22 - 0000 22, 22 de setembro 22, 2"&amp;"2 de setembro 22, 22 de setembro 2016 Call of Duty 4: Modern Warfare Activision 00000000201018 - 03 - 29 - 0000 29 de março de 2018 também disponível em uma versão remasterizada. Ligue para Juarez: Gunslinger Ubisoft XBLA 00000000202015 - 11 - 12 - 0000 1"&amp;"2 de novembro de 2015 Capcom Arcade Gabinet Capcom XBLA 000000002016 - 07 - 21 - 0000 21 de julho de 2016 - 26 de julho - 26 de julho de 2016 - 000000000000002 Mater - Campeonato Nacional Disney Interactive Studios 000000002017 - 11 - 14 - 0000 14 de nove"&amp;"mbro de 2017 Cars 2: O videogame Disney Interactive Studios 000000002017 - 03 - 02 - 0000 2 de março de 2017 Castlevania: Symphony of the Night Konami XBLA 000000202017 17 - 0000 17 de março de 2016 Castle Crashers Microsoft Studios XBLA 000000002015 - 11"&amp;" - 12 - 0000 12 de novembro de 2015 Castelo de ilusão estrelado por Mickey Mouse Sega XBLA 00000000202016 - 08 - 30 - 0000 30 de agosto, 2016 Castlestorm Microsoft Studios XBLA 00 00001016 12 - 0000 12 de novembro de 2015 Catherine Atlus 00000000202016 - "&amp;"12 - 15 - 0000 15 de dezembro de 2016 Cave, The Cave Sega XBLA 000000002016 - 04 - 26 - 0000 26 de abril de 2016 CENTIPEDE &amp; Millipede 12 de novembro de 2015 Filho do Eden Ubisoft 00000000202017 - 10 - 12 - 0000 12 de outubro de 2017 Clannad Prototype 000"&amp;"000002016 - 12 - 15 - 0000 15 de dezembro de 2016 Somente Japão. Comandantes: Ataque do Genos Sierra Entertainment XBLA 00000000202017 - 04 - 25 - 0000 25 de abril de 2017 Jumper em quadrinhos Microsoft Studios XBLA 000000002016 - 06 - 23 - 0000 23 de jun"&amp;"ho de 2016 Zona da Comix Sega XBLA 000000002016 - 04 -26 2016 condenado: Origens criminais Sega 000000002015 - 11 - 12 - 0000 12 de novembro de 2015 Contra Konami xbla 000000002017 - 04 - 20 - 0000 20 de abril de 2017 Costume Quest 2 Midnight City XBLA 00"&amp;"000000002017 - 07 - 18 - 00 Strike: Global Ofensivo Valve Corporation XBLA 000000002016 - 01 - 21 - 0000 21 de janeiro de 2016 Recrutamento Microsoft Studios 00000000201018 - 02 - 27 - 0000 27 de fevereiro de 2018 Taxi Crazy Sega XBLA 00000000002015 - 11 "&amp;"- 12 - 0000 0000 12, 2015 Cristão XBLA 0000002 Enix XBLA 000000002016 - 07 - 21 - 0000 21 de julho de 2016 Crystal Quest Microsoft Studios XBLA 00000000202016 - 06 - 23 - 0000 23 de junho de 2016 Cyber ​​Troopers Virtual - On Oratorio Tangram Sega XBLA 00"&amp;"0000002017 - 06 - 27 - 00 27 - 00 00. Souls Bandai Namco Entertainment 000000002016 - 03 - 23 - 0000 23 de março de 2016 Disponível como um bônus de pré -encomenda digital com o Dark Souls 3 na loja Xbox. Dark Void Capcom 000000002016 - 03 - 21 - 0000 21 "&amp;"de março de 2016 Darkness II, The Darkness II 2K Games 000000002018 - 01 - 30 - 0000 30 de janeiro de 2018 Darksiders THQ 0000002017 - 03 - 23 - 0000 MARTE : Edição Warmastered para Xbox One. Darksiders II THQ 00000000202017 - 03 - 23 - 0000 23 de março d"&amp;"e 2017 remasterizados como Darksiders II: Edição Deathinitive para Xbox One. Daytona EUA SEGA XBLA 000000002017 - 03 - 21 - 0000 21 de março de 2017 DE BLOB 2 THQ 00000000202016 - 09 - 08 - 0000 8 de setembro de 2016 Dead Rising 2: Caso Zero Capcom XBLA 0"&amp;"0000000002017 - 03 - 02 - 0000 Março 2, 2017 2, 2017 Rising 2: Case West Capcom xbla 000000002017 - 03 - 02 - 0000 2 de março de 2017 Dead Space Electronic Arts 000000002016 - 03 - 30 - 0000 30 de março de 2016 disponível no cofre do EA Access. SPACE DE M"&amp;"ORTA 2 ARTS ELETRONAL 000000202017 - 04 - 27 - 0000 27 de abril de 2017 Disponível no cofre do EA Access. Dead Space 3 Electronic Arts 000000002017 - 04 - 27 - 0000 27 de abril de 2017 Disponível no Vault of EA Access. Dead Space Ignition Arts Electronic "&amp;"XBLA 000000002016 - 11 - 15 - 0000 15 de novembro de 2016 Disponível no cofre do EA Access. Aventuras Deadfall Games Nordic 000000002017 - 10 - 26 - 0000 26 de outubro de 2017 Deadliest Warrior: The Game Spike Games XBLA 000000002017 - 08 - 08 - 0000 8 de"&amp;" agosto de 2017 Deadliest Warrior: Legends 345 Games Games XBLA 000000002015 -11 -11 12 de novembro de 2015 Marvelous Entertainment Marvelous de 2015 000000202017 - 11 - 02 - 0000 2 de novembro de 2017 Deathskank: Thongs of Virtue Electronic Arts XBLA 000"&amp;"000002016 - 09 - 06 - 0000 6 de setembro de 2016 GRID: O Aperto de Microsoft Studios XBLA 00 0000100010000000000000000000000000001 15 - 0000 15 de junho de 2015 DEUS EX: Human Revolution Square Enix 000000002015 - 12 - 17 - 0000 17 de dezembro de 2015 DEU"&amp;"S EX: Diretor de revolução humana Cut Square Disc Somente 000000202016 - 05 - 10 - 0000 10 de maio de 2016 First First First 000000002016 Jogo com vários discos disponibilizado. DIG Bandai Namco Entertainment XBLA 00000000202016 - 05 - 05 - 0000 5 de maio"&amp;" de 2016 Dirt 3 Codemasters 000000002015 - 11 - 12 - 0000 12 de novembro de 2015 Sujeira: Showdown Codemasters 000000000015 - 11 - 12 - 0000 de 2015 12 de novembro 12, 2015 Discos de Discos de 0000000015 - 11 - 12 - 0000 de 2015 12, 2015 Discos de 2015 de"&amp;" disco Studios interativos XBLA 000000002015 - 11 - 12 - 0000 12 de novembro de 2015 Divinity II Larian Studios 00000000202018 - 04 - 03 - 0000 3 de abril de 2018 Domino Master Microsoft Studios XBLA 000000002016 - 05 - 24 - 0000 0000 Microsoft XOOM Bethe"&amp;"sd - 11 - 12 - 0000 12 de novembro de 2015 Disponível como um bônus de pré -venda digital com Doom na loja Xbox. Doom II Bethesda Softworks XBLA 000000002015 - 11 - 12 - 0000 12 de novembro de 2015 Disponível como um bônus de pré -encomenda digital com Do"&amp;"om na loja Xbox. Doom 3 : BFG Edition   Bethesda Softworks   Disc Only     000000002016 - 04 - 14 - 0000 April 14 , 2016       Doritos Crash Course   Microsoft Studios   XBLA     000000002015 - 12 - 17 - 0000 December 17 , 2015       Double Dragon Neon   "&amp;"Majesco Entertainment   XBLA     000000002016 - 04 - 26 - 0000 26 de abril de 2016 Dragon Age: Origins Electronic Arts 00000000202017 - 01 - 10 - 0000 10 de janeiro de 2017 Disponível no cofre do EA Access. O Dragon's Lair Microsoft Studios XBLA 000000002"&amp;"02016 - 10 - 11 - 0000 11 de outubro de 2016 Motorista: São Francisco Ubisoft Disco Apenas 000000002018 - 01 - 16 - 0000 16 de janeiro de 2018 Disponível apenas no disco, mas os proprietários digitais existentes podem baixar. DuckTales remasterizados Capc"&amp;"om XBLA 000000002016 - 05 - 24 - 0000 24 de maio de 2016 Duke Nukem: Manhattan Project Microsoft Studios XBLA 000000002016 - 04 - 12 - 0000 12 de abril de 2016 Dungeons &amp; Dragões: Crônicos de Mystara Capar 23 de junho de 2016 Cerco da masmorra III Praça E"&amp;"nix 00000000202015 - 11 - 16 - 0000 16 de novembro de 2015 Força de defesa da Terra: INSECTRAGEDDON D3 Publisher 000000002017 - 07 - 11 - 0000 11 de julho de 2017 Força de defesa da terra 2017 D3 Publisher 000000002017 - 0000 30 de novembro de 2017 Earthw"&amp;"orm Jim HD Microsoft Studios XBLA 000000002015 - 11 - 12 - 0000 12 de novembro de 2015 Eat Lead: The Return of Matt Hazard D3 Publicador 000000002016 Elder Scrolls IV : Oblivion   Bethesda       000000002016 - 11 - 29 - 0000 November 29 , 2016       Encle"&amp;"verment Experiment   Microsoft Studios   XBLA     000000002016 - 09 - 27 - 0000 September 27 , 2016       Epic Mickey 2 : The Power of Two   Disney Interactive Studios       000000002017 - 08 - 03 - 0000 3 de agosto de 2017 Escape Dead Island Deep Silver "&amp;"Deep 00000000202016 - 11 - 15 - 0000 15 de novembro de 2016 Cada Extrenda Extreme Microsoft Studios XBLA 000000002016 - 09 - 27 - 0000 27 de setembro de 2016 F1 2014 Codemasters 0000002017 - 07 - 11 de setembro 11, 2017 Fable Anniversary Microsoft Studios"&amp;" 00000000201017 - 10 - 05 - 0000 5 de outubro de 2017 Fable II Microsoft Studios 000000002015 - 11 - 12 - 0000 12 de novembro, 2015 Fable II Games Pub Games 5, 5,00, 5. 2017 Fable III Microsoft Studios 000000002015 - 12 - 17 - 0000 17 de dezembro de 2015 "&amp;"Faery: Legends of Avalon Focus Home Interactive XBLA 000000002016 - 05 - 10 - 0000 10 de maio de 2016 Fallout 3 Bethes Softworks 000000002015 - 11 - 2015 também estava disponível como um bônus com a compra do Fallout 4. Além disso, os proprietários da edi"&amp;"ção do jogo do Xbox 360 podem executar o jogo com todo o DLC usando o Disco 2. Fallout: New Vegas Bethesda Softworks 000000002016 - 06 - 23 - 0000 23 de junho de 2016 Os proprietários do Xbox 360 Ultimate Edition podem executar o jogo com todo o DLC usand"&amp;"o o disco 2. Far Cry 2 Ubisoft 000000002018 - 01 - 16 - 0000 16 de janeiro de 2018 Far Cry 3 Ubisoft 00000000202017 - 03 - 30 - 0000 30 de março de 2017 FAR Cry 3: Blood Dragon Ubisoft XBLA 00000000002016 - 08 - 09 - 0000 Frenzy Popcap Games XBLA 00000000"&amp;"2015 - 11 - 12 - 0000 12 de novembro de 2015 Disponível no cofre do EA Access. Feeding Frenzy 2: Games de Popcap Showdown de Naufrágio XBLA 000000002015 - 11 - 12 - 0000 12 de novembro de 2015 Disponível no Vault of EA Access. Fighting Vipers Sega XBLA 00"&amp;"0000002017 - 08 - 08 - 0000 8 de agosto de 2017 Final Luta: Impacto duplo Capcom XBLA 000000002016 - 05 - 10 - 0000 10 de maio, 2016 Flashback Ubisoft XBLA 000000202016 - 06 - 16 - 0000 16, 2016 Flock 2016 Flock! CAPCOM XBLA 000000002016 - 07 - 19 - 0000 "&amp;"19 de julho de 2016 Forza Horizon Microsoft Studios 00000000202016 - 08 - 30 - 0000 30 de agosto de 2016 Play Foul MasterTronic Group XBLA 000000002016 - 06 - 09 - 000000 9 de junho de 2016 ATRIDA KEEIAii 000000202016 - 06 - 09 - 0000 0000 9 de junho de 2"&amp;"016 ATRIDA KEEIOII TM 0000202016 - 06 - 09 - 0000 0000 9, 2016 ATTHIDA KEEIAiiii - 07 - 21 - 0000 21 de julho de 2016 Frogger Konami XBLA 000000002016 - 04 - 28 - 0000 28 de abril de 2016 Frogger 2 Konami XBLA 000000002016 - 05 - 10 - 0000 10, 2016 FrontL"&amp;"ines: Fuel of WarT thq 0000002017 - 0000 18 de julho de 2017 FUNTOWN MAHJONG Microsoft Studios XBLA 000000002016 - 09 - 27 - 0000 27 de setembro de 2016 Galaga Bandai Namco Entertainment XBLA 00000000002016 - 02 - 15 - 0000 15 de fevereiro de 2016 Galaga "&amp;"Legions Bandai Namco Entertain -Entertain Xbla 0000 000000, 15 de fevereiro de 2016, 2016 Galaga Bandai Bandai Namco Entertain XBLA. 0000 20 de outubro de 2016 Galaga Legions DX Bandai Namco Entertainment XBLA 000000002016 - 04 - 28 - 0000 28 de abril de "&amp;"2016 Garou: Mark of the Wolves SNK PlayMore XBLA 000000002016 - 04 - 12 - 0000 12 de abril de 2016 Gatling Gears Arts XBLA 00 00 0000 09 - 06 - 0000 6 de setembro de 2016 Gears of War Microsoft Studios 000000002015 - 08 - 03 - 0000 3 de agosto de 2015 tam"&amp;"bém estava disponível como um bônus com a compra de Gears of War: Ultimate Edition. Gears of War 2 Microsoft Studios 000000002015 - 11 - 12 - 0000 12 de novembro de 2015 também estava disponível como um bônus na compra de Gears of War: Ultimate Edition. G"&amp;"ears of War 3 Microsoft Studios 000000002015 - 11 - 12 - 0000 12 de novembro de 2015 também estava disponível como um bônus com a compra de Gears of War: Ultimate Edition. Gears of War: Julgamento Microsoft Studios 000000002015 - 11 - 12 - 0000 12 de nove"&amp;"mbro de 2015 também estava disponível como um bônus com a compra de Gears of War: Ultimate Edition. Geras de geometria: Retro evoluído Microsoft Studios XBLA 000000002016 - 02 - 25 - 0000 25 de fevereiro de 2016 Guerras de geometria: retro Evoluído 2 Acti"&amp;"vision XBLA 000000002017 - 05 - 02 - 0000 2 de maio, 2017 Geometria Guerros 3: 02 - 0000 2 de maio de 2017 Ghostbusters: Sanctum of Slime Atari XBLA 000000002016 - 04 - 26 - 0000 26 de abril de 2016 Ghostbusters: O videogame atari 000000002017 - 01 - 10 -"&amp;" 0000 10 de janeiro, 2017 Gin Rummy Activision XbLA 000000 00000017 20 - 0000 20 de abril de 2017 GIRL FLUTE KUNG FU FACTORY XBLA 000000002017 - 10 - 26 - 0000 26 de outubro de 2017 GO! Ir ! Quebrar o Microsoft Studios XBLA 000000002016 - 06 - 30 - 0000 3"&amp;"0 de junho de 2016 Simulador de capa de cafeteira de cafeteira Estúdios XBLA 000000002017 - 10 - 12 - 0000 outubro 12, 2017 Golden AX Sega XBLA 000000202015 - 11 - 12 - 0000, 12 de novembro 12, 2017 2017 2015 Golf Golf Golf: 0000002015 - 11 - 0000, 12 de "&amp;"novembro 12, 2017 2017 Tee It Up! Activision XBLA 000000002017 - 04 - 20 - 0000 20 de abril de 2017 GRANDES ROCKSTAR AURDO IV ROCKSTAR 00000000202017 - 02 - 09 - 0000 9 de fevereiro de 2017, incluindo `` episódios de Liberty City ''. Grade 2 codemasters 0"&amp;"00000002016 - 03 - 21 - 0000 21 de março de 2016 GripShift Microsoft Studios XBLA 000000002016 - 06 - 30 - 0000 30 de junho de 2016 Heroes de Guardian20 00 00 00 00 00 00 00 0000 00 00 00 00 00 00 00 00 00 00 00 00 00 00 00 000000002016 - 11 - 08 - 0000 0"&amp;"0 00 00 00 00 00 00 00 000000002016 - 11 - 08 - 0000 00 00 00 00. 04 - 06 - 0000 April 6 , 2016       Guwange   CAVE   XBLA     000000002016 - 09 - 29 - 0000 September 29 , 2016       Gyromancer   Square Enix   XBLA     000000002017 - 02 - 23 - 0000 Febru"&amp;"ary 23 , 2017       Gyruss   Konami   XBLA     000000002017 - 07 - 25 - 0000 July 25 , 2017 Half - Minute Hero: Super Mega Neo Climax Microsoft Studios XBLA 000000002016 - 07 - 19 - 0000 19 de julho de 2016 Halo 3 Microsoft Studios 000000002017 - 09 - 21 "&amp;"- 0000 21 de setembro de 2017 Versão remasterizada Disponível na Halo: The Master Chefe Collection . Halo 3: ODST Campaign Edition Microsoft Studios 00000000202017 - 09 - 21 - 0000 21 de setembro de 2017 Versão remasterizada disponível em Halo: The Master"&amp;" Chief Collection via conteúdo para download. Halo 4 Microsoft Studios 000000002017 - 09 - 21 - 0000 21 de setembro de 2017 Versão remasterizada disponível em Halo: The Master Chief Collection. Halo: Combate Evolued Anniversary Microsoft Studios 000000002"&amp;"02017 - 09 - 21 - 0000 21 de setembro de 2017 Versão remasterizada disponível em Halo: The Master Chief Collection. Halo : Reach   Microsoft Studios       000000002015 - 12 - 17 - 0000 December 17 , 2015       Halo : Spartan Assault   Microsoft Studios   "&amp;"XBLA     000000002015 - 11 - 12 - 0000 November 12 , 2015       Halo Wars   Microsoft Studios       000000002016 - 03 - 28 - 0000 March 28 , 2016       Hard Corpo: Urrening Konami XBLA 00000000202017 - 05 - 04 - 0000 4 de maio de 2017 Backgammon Microsoft"&amp;" Studios XBLA 000000202015 - 11 - 12 - 0000 - 12 de novembro de 2015 Microsoft Studios XBLA 000000002015 - 11 de novembro 12 - 12 de novembro de 2015 2015 Microsoft Studios XBLA 000000002015 - 11 de novembro 12 - 12 de novembro 12 de novembro de 2015 2015"&amp;" Microsoft Studios XBLA 000000002015 -11 -11 - Microsoft Studios   XBLA     000000002015 - 11 - 12 - 0000 November 12 , 2015       Harms Way   Microsoft Studios   XBLA     000000002017 - 05 - 04 - 0000 May 4 , 2017       Haunted House   Atari   XBLA     0"&amp;"00000002016 - 12 - 01 - 0000 December 1 , 2016       Heavy Weapon   Microsoft Studios   XBLA 000000002015 - 11 - 12 - 0000 12 de novembro de 2015 Disponível no cofre do EA Access. O HExic HD Microsoft Studios XBLA 000000002015 - 06 - 15 - 0000 15 de junho"&amp;" de 2015 Este jogo do Xbox 360 originalmente incluído agora pode ser baixado gratuitamente em determinadas regiões da loja Xbox aqui. Hexic 2 Microsoft Studios XBLA 000000002016 - 05 - 24 - 0000 24 de maio de 2016 Hitman: Square de Absolution Enix 0000000"&amp;"02017 - 02 - 14 - 0000 14 de fevereiro de 2017 Hitman: Sniper Challenge Pré -encomenda Bônus Bônus também. Hitman: Blood Money Eidos Interactive 000000002018 - 03 - 06 - 0000 6 de março de 2018 Hydro Thunder Hurricane Microsoft Studios XBLA 00000000202015"&amp;" - 12 - 17 - 0000 - 23 de dezembro de 2015 JUNHO 23 de junho, 23 de dezembro de 2015, 23 de dezembro de 2015, 23 de dezembro, 23 de dezembro de 2015, 23 de dezembro, 23 de dezembro de 2015, 23 de dezembro de 2015. Ikaruga   Microsoft Studios   XBLA     00"&amp;"0000002015 - 11 - 12 - 0000 November 12 , 2015       ilomilo   Microsoft Studios   XBLA     000000002017 - 05 - 23 - 0000 May 23 , 2017       Injustice : Gods Among Us   Warner Bros. Interactive Entertainment       000000002016 - 12 - 01 - 0000 December 1"&amp;" , 2016 Twisted Shadow Planet Planet Microsoft Studios XBLA 00000000202017 - 04 - 04 - 0000 4 de abril de 2017 Interpol: A trilha do Dr. Chaos Microsoft Studios XBLA 00000000202016 - 07 - 14 - 0000 Julho 14, 2016 Brigade Iron Brigade Studios Xbla 00 17 - "&amp;"0000 17 de dezembro de 2015 Jeremy McGrath Offroad D3 Editora XBLA 000000002016 - 01 - 21 - 0000 21 de janeiro de 2016 Conjunto de jato HD Sega XBLA 000000002016 - 05 - 03 - 0000 3 de maio, 2016 JETPAC REFUNDO -MICROSOFT Studios XBLA XBLA 0000 3 de maio d"&amp;"e 2016 06 - 15 - 0000 15 de junho de 2015 Também incluído como parte da rara coleção de jogos de reprodução. Jewel Quest Microsoft Studios XBLA 000000002017 - 11 - 14 - 0000 14 de novembro de 2017 Joe Danger: edição especial Microsoft Studios XBLA 0000000"&amp;"02016 - 06 - 23 - 0000 23 de junho de 2016 Joe Danger 2: The Movie Microsoft Studios XBLA 000000202016 0000 20 de outubro de 2016 Joust WB Games XBLA 00000000202016 - 08 - 25 - 0000 25 de agosto de 2016 Joy Ride Turbo Microsoft Studios XBLA 000000002015 -"&amp;" 11 - 12 - 0000 - 12 de novembro de 2015 JuJu Flying Wild Hog XBLA 0000002017 - 01 - 315 - 00 - 00 0000, 0000, 12 de novembro, 00. 31, 2017 Jurassic Park: The Game Telltale Games 000000002016 - 10 - 11 - 0000 11 de outubro de 2016 Just Cause 2 Square Enix"&amp;" 000000002015 - 11 - 12 - 0000 12 de novembro de 2015 Também disponível como um bônus com a compra de sucessor Just Cause 3. KAMEO: Elements of Power Microsoft Studios 000000002015 - 06 - 15 - 0000 15 de junho de 2015 também incluído como parte da rara co"&amp;"leção de jogos de reprodução. Kane &amp; Lynch 2: Dog Days Square Enix 00000000202015 - 12 - 17 - 0000 17 de dezembro de 2015 Killer está morto Xseed Games 000000002016 - 10 - 27 - 0000 27 de outubro de 2016 Rei dos lutadores 98 Ultimate Match, The King of Fi"&amp;"ghters ' 98 Ultimate Match SNK PlayMore XBLA 00000000202016 - 03 - 28 - 0000 28 de março de 2016 King of Fighters 2002 Match Unlimited, The King of Fighters 2002 Match Unlimited SNK Playmore XBLA 000000002017 - 02 - 23 - 0000 FEBREVERY 23, 2017 Kof Stage "&amp;"Playmore xbla 000000002017 - 10 - 12 - 0000 12 de outubro de 2017 Lara Croft e The Guardian of Light Square Enix XBLA 000000002018 - 02 - 20 - 0000 20 de fevereiro de 2018 Raiders Lazy Raiders Microsoft Studios XBLA 000000002016 - 06 - 07 - 00 Raiders Laz"&amp;"y Raiders Raiders Raiders Microsoft Studios XBLA 000000002016 - 06 - Esquerda 4 Dead Valve Corporation 000000002016 - 06 - 16 - 0000 16 de junho de 2016 Esquerda 4 Dead 2 Valve Corporation 00000000202016 - 03 - 29 - 0000 29 de março de 2016 Lego Batman: T"&amp;"he Videogame WB Games 000000002016 - 02 - 11 - 0000 0000 11 de fevereiro, 11 de fevereiro 2016 LEGO INDIANA JONES: As aventuras originais Lucasarts 00000000202017 - 02 - 07 - 0000 7 de fevereiro de 2017 Lego Indiana Jones 2: A aventura continua Lucasarts "&amp;"000000002018 - 01 - 25 - 0000 25 de janeiro, 2018 LEGO Piratas do Caribean: The Video Disney Estúdios interativos 000000002015 - 11 - 12 - 0000 12 de novembro de 2015 LEGO Star Wars III: The Clone Wars Disney Interactive Studios 000000002018 - 03 - 06 - 0"&amp;"000 6 de março de 2018 LEGO Star Wars: The Complete Disney Interactive Studios 00000000202 - 0000 November 12 , 2015       Limbo   Microsoft Studios   XBLA     000000002016 - 11 - 03 - 0000 November 3 , 2016       Lode Runner   Microsoft Studios   XBLA   "&amp;"  000000002015 - 11 - 12 - 0000 November 12 , 2015       Lost Odyssey   Microsoft Studios       000000002016 - 09 - 29 - 0000 September 29 , 2016       Lumines LIVE   Microsoft Studios   XBLA     000000002015 - 11 - 12 - 0000 November 12 , 2015       Luxo"&amp;"r 2   MumboJumbo   XBLA     000000002017 - 03 - 16 - 0000 March 16 , 2017       Madballs in Babo : Invasion   Microsoft Studios   XBLA     000000002017 - 03 - 16 - 0000 March 16 , 2017 Mad Tracks D3 Publicador XBLA 00000000202017 - 01 - 31 - 0000 31 de ja"&amp;"neiro de 2017 MAFIA II 2K Games 000000002018 - 02 - 13 - 0000 13 de fevereiro de 2018 Magic: The Gathering - Duas of the Planeswalkers Microsoft Studios Xbla 000000202010 -2010 - Duas de Planeswalkers Microsoft Studios XBLA 000000202010 - - 0000 18 de jan"&amp;"eiro de 2018 Magic: The Gathering - Duels of the Planeswalkers 2012 Microsoft Studios XBLA 00000000202016 - 05 - 24 - 0000 24 de maio de 2016 Magic: The Gathering - Duels of the Planeswalkers 2013 Microsoft Studios XBLA 000000002018 - 01 - 18 -18 18 de ja"&amp;"neiro de 2018 Magic: Duelos dos Planeswalkers 2014 Microsoft Studios XBLA 00000000201018 - 01 - 18 - 0000 18 de janeiro de 2018 Marlow Briggs e a máscara da morte 505 jogos XBLA 000000002017 - 11 - 28 - 0000 28 de novembro, 2017 Mars: Logs de guerra Focus"&amp;" Home Interactive XBLA 000000002016 - 06 - 30 - 0000 30 de junho de 2016 Mass Effect Microsoft Studios 00000000202015 - 06 - 15 - 0000 15 de junho de 2015 disponível no cofre do EA Access. Mass Effect 2 Electronic Arts 000000002016 - 11 - 07 - 0000 7 de n"&amp;"ovembro de 2016 Disponível no Vault of EA Access. Mass Effect 3 Electronic Arts 000000002016 - 11 - 07 - 0000 7 de novembro de 2016 disponível no cofre do EA Access. Matt Hazard: Banho de sangue e além do D3 Publicador XBLA 00000000202017 - 05 - 23 - 0000"&amp;" 23 de maio de 2017 Maw, The Maw Microsoft Studios XBLA 000000002016 - 09 - 15 - 0000 15 de setembro de 2016 Medalha de honra: Artes eletrônicos aerona - 29 - 0000 29 de novembro de 2016 Disponível no cofre do EA Access. Conheça os Robinsons Disney Intera"&amp;"ctive Studios 000000002017 - 03 - 02 - 0000 2 de março de 2017 Mega Man 9 Capcom XBLA 000000002017 - 01 - 12 - 0000 Janeiro 12, 2017 Mega Man 10 Capcom XBLA 000000002017 - 01 - 12 - 00 Engrenagem Rising: Revenendo Konami 00000000202017 - 08 - 15 - 0000 15"&amp;" de agosto de 2017 Metal Gear Solid: Peace Walker HD Edição Konami 00000000201018 - 03 - 13 - 0000 13 de março de 2018 O Metal Gear Solid: Pate Walker do Metal Gear Solid HD HD HD A coleção também é compatível. Lesma de metal 3 snk playmore xbla 000000002"&amp;"015 - 11 - 12 - 0000 12 de novembro de 2015 lesma de metal xx snk playmore xbla 000000002015 - 11 - 12 - 0000 12 de novembro, 2015 Midway Arcade Origins Warner Bros. entretenimento 00000000201015 - 01 - 19")</f>
        <v>   Título Publicador (s) Formato Xbox One X Data aprimorada Notas / referências adicionadas Ataque de 0 dias no Earth Gulti XBLA 00000000201017 - 10 - 30 - 0000 30 de outubro de 2017 3d Ultra Minigolf Adventures Activision XBLA 000000002017 - 04 - 20 - 0000 0000 20 de abril de 2017 Um reino para os Keflings Microsoft Studios XBLA 00000000202015 - 06 - 15 - 0000 15 de junho de 2015 Um mundo de Keflings Microsoft Studios XBLA 000000002015 - 06 - 15 - 0000 15 de junho de 2015 Aegis Wing Microsoft Studios XBLA 000000202 , 2016 Age of Booty Capcom XBLA 000000002016 - 01 - 21 - 0000 21 de janeiro de 2016 Alan Wake Microsoft Studios 000000002016 - 03 - 17 - 0000 17 de março de 2016 Também disponível como um bônus com a compra de interrupção quântica. American Nightmare Microsoft Studios da Alan Wake XBLA 000000002016 - 02 - 11 - 0000 11 de fevereiro de 2016 também incluído como um bônus de pré -venda no Quantum Break. Alice: Madness Retorna Artes eletrônicas 000000002017 - 01 - 24 - 0000 24 de janeiro de 2017 Alien Hominid HD Microsoft Studios XBLA 000000002015 - 06 - 15 - 0000 15 de junho de 2015 ALTERED BEAST SEGA XBLA 000000002016 - 04 - 26 : WarZone Earth Microsoft Studios XBLA 00000000202016 - 06 - 07 - 0000 7 de junho de 2016 Aqua Microsoft Studios XBLA 000000002016 - 06 - 07 - 0000 7 de junho de 2016 Arkanoid Live! Taito Corporation XBLA 000000002016 - 09 - 08 - 0000 8 de setembro de 2016 Exército de duas artes eletrônicas 00000000202017 - 03 - 28 - 0000 28 de março de 2017 Assassin's Creed Ubisoft 00000000201 II Ubisoft 000000002015 - 11 - 12 - 0000 12 de novembro de 2015 Também disponível no Assassin's Creed: The Ezio Collection, que inclui versões remasterizadas do Creed II de Assassin, Assassin's Creed: Brotherhood e Assassin's Creed: Revelations for Xbox Um . Assassin's Creed III Ubisoft 00000000202017 - 05 - 23 - 0000 23 de maio de 2017 Assassin's Creed IV: Black Bandle Ubisoft 000000002018 - 04 - 03 - 0000 3 de abril de 2018 também foi lançado como um título de lançamento para Xbox One. Assassin Creed: Brotherhood Ubisoft 00000000202017 - 06 - 27 - 0000 27 de junho de 2017 Também disponível no Assassin's Creed: The Ezio Collection, que inclui versões remasterizadas do Creed II de Assassin, Assassin's Creed: Brotherhood e Assassin 'S. Creed: Revelations for Xbox One. Assassin Creed: Revelations Ubisoft 00000000202017 - 03 - 23 - 0000 23 de março de 2017 Também disponível no Assassin's Creed: The Ezio Collection, que inclui versões remasterizadas de Assassin's Creed II, Assassin's Creed: Brotherhood e assassin Creed: Revelations for Xbox One. Assassin Creed Rogue Ubisoft 00000000202017 - 02 - 23 - 0000 23 de fevereiro de 2017 Também disponível como uma versão remasterizada no Xbox One. Assault Heroes 2 Sierra Entertainment XBLA 00000000202017 - 04 - 25 - 0000 25 de abril de 2017 Asteróides e Deluxe Atari XBLA 00000000202015 - 11 - 12 - 0000 12 de novembro de 2015 ASTROPOP POPCAP Games XBLA 000000002016 - 11 -29 - 00 -29 de novembro de 2015 00 21 de novembro de 2015 002015 e 22 de novembro de 2015. Pixel   2K Play   XBLA     000000002018 - 03 - 13 - 0000 March 13 , 2018       Babel Rising   Ubisoft   XBLA     000000002016 - 06 - 16 - 0000 June 16 , 2016       Band of Bugs   Microsoft Studios   XBLA     000000002017 - 05 - 04 - 0000 May 4 , 2017       Banjo - Kazooie Microsoft Studios XBLA 000000202015 - 06 - 15 - 0000 15 de junho de 2015 Também incluído como parte da rara coleção de jogos de reprodução. Banjo - Kazooie: Nuts &amp; Bolts Microsoft Studios 000000002015 - 08 - 04 - 0000 4 de agosto de 2015 Também incluído como parte da rara coleção de jogos de reprodução. Banjo - Tooie Microsoft Studios XBLA 000000002015 - 06 - 15 - 0000 15 de junho de 2015 Também incluído como parte da rara coleção de jogos de reprodução. Batman: Arkham Origins WB Games Disco Somente 00000000202017 - 08 - 08 - 0000 8 de agosto de 2017 Battleblock Theatre Microsoft Studios XBLA 000000002015 - 06 - 15 - 0000 15 de junho de 2015 Battlefield 3 Arts Electronic 0000002017 - 01 - 1000 - 00. Disponível no cofre do EA Access. Battlefield: Bad Company 2 Electronic Arts 000000002017 - 01 - 10 - 0000 10 de janeiro de 2017 Disponível no Vault of EA Access. Battlefield: Bad Company Electronic Arts 000000002017 - 08 - 17 - 0000 17 de agosto de 2017 Disponível no Vault of EA Access. Battlestations: Midway Square Enix 000000002016 - 10 - 11 - 0000 11 de outubro de 2016 Bayonetta Sega 00000000202016 - 09 - 08 - 0000 8 de setembro de 2016 Beat'n Groovy Konami Xbla 000000000017 - 01 - 12 - 0000 12 de janeiro, 2017 BEJA 000000000017 - 01 - 12 - 0000 Studios XBLA 000000002015 - 11 - 12 - 0000 12 de novembro de 2015 Disponível no cofre do EA Access. Bejeweled 3 Popcap Games XBLA 00000000202016 - 09 - 06 - 0000 6 de setembro de 2016 Disponível no cofre do EA Access. Bellator : MMA Onslaught   345 Games   XBLA     000000002015 - 11 - 12 - 0000 November 12 , 2015       Beyond Good &amp; Evil HD   Ubisoft   XBLA     000000002015 - 11 - 12 - 0000 November 12 , 2015       Bionic Commando : Rearmed 2   Capcom   XBLA     000000002016 - 07 - 21 - 0000 21 de julho de 2016 Games BioShock 2K 000000002016 - 12 - 13 - 0000 13 de dezembro de 2016 Também disponível em BioShock: The Collection, com versões remasterizadas de todos os 3 títulos do BioShock no Xbox One. BioShock 2 2K Games 000000002016 - 12 - 13 - 0000 13 de dezembro de 2016 Também disponível no BioShock: The Collection, com versões remasterizadas de todos os 3 títulos do BioShock no Xbox One. Bioshock Infinite 2K Games 000000002016 - 12 - 13 - 0000 13 de dezembro de 2016 Também disponível em BioShock: The Collection, com versões remasterizadas de todos os 3 títulos do BioShock no Xbox One. Pedaço. Trip apresenta ... RUNNER2: Future Legend of Rhythm Alien Aksys Aksys XBLA 000000002016 - 05 - 05 - 0000 5 de maio de 2016 Anjos em chamas: Esquadrões de Segunda Guerra Mundial Ubisoft 000000002017 - 06 - 27 de junho 27, 2017 Knights Kaalypso - 06 - 23 - 0000 23 de junho de 2016 Blood of the Werewolf Midnight City XBLA 000000002015 - 11 - 12 - 0000 12 de novembro de 2015 BloodForge Microsoft Studios XBLA 00000000202016 - 06 - 30 - 0000 30 de junho, 2016 Bloodrayne: BRESTRAYAL MAJESCO Entertainment Xbla 00 00 0000 3 de junho, 2016 - 11 - 12 - 0000 12 de novembro de 2015 Blue Dragon Microsoft Microsoft Studios 000000002016 - 11 - 01 - 0000 1 de novembro de 2016 Bolt Disney Interactive 000000002017 - 08 - 08 - 0000 8 de agosto de 2017 Bomberman Live: BattleFest Hudson Soft XBLA 00000020202 18 - 0000 18 de agosto de 2016 BOOM BOOM Rocket Electronic Arts XBLA 000000002016 - 07 - 26 - 0000 26 de julho de 2016 Limitado por Focal Focus Home Interactive 000000201016 - 09 - 15 - 0000 - 15 de setembro de 2016 Borderlands 2K Games 000000201015 - 09 - 0000 - 15 de setembro de 2016 0000 3 de setembro de 2015 Todas as versões do jogo, incluindo cópias físicas e digitais, recebem todo o DLC como um download gratuito (apenas no Xbox One). Borderlands 2 2K Games 000000002017 - 02 - 23 - 0000 23 de fevereiro de 2017 Também disponível em Borderlands: The Bea Bea Collection, que inclui versões remasterizadas de Borderlands 2 e Borderlands: The Pré -Sequel para Xbox One. Braid Microsoft Studios XBLA 000000002015 - 12 - 17 - 0000 17 de dezembro de 2015 Brain Challenge Ubisoft XBLA 00000000201016 - 06 - 16 - 0000 16 de junho de 2016 Brave: The Video Game Interactive 000000002018 - 02 - 20 - 0000 - 0000 FEBROVOS 20, 2018 2018 5pb. 00000000202017 - 05 - 04 - 0000 4 de maio de 2017 Bullet Soul - Burst Infinite - 5pb. 00000000202017 - 05 - 04 - 0000 4 de maio de 2017 Bully: Scholarship Edition Rockstar Games 00000000201016 - 12 - 15 - 0000 15 de dezembro, 2016 Paradisos de esgotamento Artes eletrônicas 000000002016 - 11 - 22 - 0000 22 de novembro, 2016 Remoferagem Remonded como Burnout Paradise RemasterEd Um . Cabela 's Alaskan Adventures   Activision       000000002017 - 04 - 27 - 0000 April 27 , 2017       Cabela 's Dangerous Hunts 2013   Activision       000000002017 - 04 - 27 - 0000 April 27 , 2017       Cabela 's Hunting Expeditions   Activision       000000002017 - 04 - 27 - 0000 April 27 , 2017 Sobrevivência de Cabela: Sombras da Katmai Activision 000000002017 - 04 - 27 - 0000 27 de abril de 2017 Call of Duty: Advanced Warfare Activision 000000002017 - 09 - 28 - 0000 28 de setembro de 2017 Também foi lançado no Xbox One. Call of Duty: Black Ops Activision 000000002016 - 05 - 17 - 0000 17 de maio de 2016 Call of Duty: Black Ops II Activision 000000002017 - 04 - 11 - 0000 11 de abril de 2017 Call of Duty: Ghosts Activision 000000002017 - 06 - 29 - 0000 29 de junho de 2017 também foi lançado como um título de lançamento para o Xbox One. Call of Duty: World at War Activision 000000002016 - 09 - 27 - 0000 27 de setembro de 2016 Call of Duty 2 Activision 00000000202016 - 08 - 23 - 0000 23 de agosto de 2016 Call of Duty 3 Activision 000000202016 - 09 - 22 - 0000 22, 22 de setembro 22, 22 de setembro 22, 22 de setembro 2016 Call of Duty 4: Modern Warfare Activision 00000000201018 - 03 - 29 - 0000 29 de março de 2018 também disponível em uma versão remasterizada. Ligue para Juarez: Gunslinger Ubisoft XBLA 00000000202015 - 11 - 12 - 0000 12 de novembro de 2015 Capcom Arcade Gabinet Capcom XBLA 000000002016 - 07 - 21 - 0000 21 de julho de 2016 - 26 de julho - 26 de julho de 2016 - 000000000000002 Mater - Campeonato Nacional Disney Interactive Studios 000000002017 - 11 - 14 - 0000 14 de novembro de 2017 Cars 2: O videogame Disney Interactive Studios 000000002017 - 03 - 02 - 0000 2 de março de 2017 Castlevania: Symphony of the Night Konami XBLA 000000202017 17 - 0000 17 de março de 2016 Castle Crashers Microsoft Studios XBLA 000000002015 - 11 - 12 - 0000 12 de novembro de 2015 Castelo de ilusão estrelado por Mickey Mouse Sega XBLA 00000000202016 - 08 - 30 - 0000 30 de agosto, 2016 Castlestorm Microsoft Studios XBLA 00 00001016 12 - 0000 12 de novembro de 2015 Catherine Atlus 00000000202016 - 12 - 15 - 0000 15 de dezembro de 2016 Cave, The Cave Sega XBLA 000000002016 - 04 - 26 - 0000 26 de abril de 2016 CENTIPEDE &amp; Millipede 12 de novembro de 2015 Filho do Eden Ubisoft 00000000202017 - 10 - 12 - 0000 12 de outubro de 2017 Clannad Prototype 000000002016 - 12 - 15 - 0000 15 de dezembro de 2016 Somente Japão. Comandantes: Ataque do Genos Sierra Entertainment XBLA 00000000202017 - 04 - 25 - 0000 25 de abril de 2017 Jumper em quadrinhos Microsoft Studios XBLA 000000002016 - 06 - 23 - 0000 23 de junho de 2016 Zona da Comix Sega XBLA 000000002016 - 04 -26 2016 condenado: Origens criminais Sega 000000002015 - 11 - 12 - 0000 12 de novembro de 2015 Contra Konami xbla 000000002017 - 04 - 20 - 0000 20 de abril de 2017 Costume Quest 2 Midnight City XBLA 00000000002017 - 07 - 18 - 00 Strike: Global Ofensivo Valve Corporation XBLA 000000002016 - 01 - 21 - 0000 21 de janeiro de 2016 Recrutamento Microsoft Studios 00000000201018 - 02 - 27 - 0000 27 de fevereiro de 2018 Taxi Crazy Sega XBLA 00000000002015 - 11 - 12 - 0000 0000 12, 2015 Cristão XBLA 0000002 Enix XBLA 000000002016 - 07 - 21 - 0000 21 de julho de 2016 Crystal Quest Microsoft Studios XBLA 00000000202016 - 06 - 23 - 0000 23 de junho de 2016 Cyber ​​Troopers Virtual - On Oratorio Tangram Sega XBLA 000000002017 - 06 - 27 - 00 27 - 00 00. Souls Bandai Namco Entertainment 000000002016 - 03 - 23 - 0000 23 de março de 2016 Disponível como um bônus de pré -encomenda digital com o Dark Souls 3 na loja Xbox. Dark Void Capcom 000000002016 - 03 - 21 - 0000 21 de março de 2016 Darkness II, The Darkness II 2K Games 000000002018 - 01 - 30 - 0000 30 de janeiro de 2018 Darksiders THQ 0000002017 - 03 - 23 - 0000 MARTE : Edição Warmastered para Xbox One. Darksiders II THQ 00000000202017 - 03 - 23 - 0000 23 de março de 2017 remasterizados como Darksiders II: Edição Deathinitive para Xbox One. Daytona EUA SEGA XBLA 000000002017 - 03 - 21 - 0000 21 de março de 2017 DE BLOB 2 THQ 00000000202016 - 09 - 08 - 0000 8 de setembro de 2016 Dead Rising 2: Caso Zero Capcom XBLA 00000000002017 - 03 - 02 - 0000 Março 2, 2017 2, 2017 Rising 2: Case West Capcom xbla 000000002017 - 03 - 02 - 0000 2 de março de 2017 Dead Space Electronic Arts 000000002016 - 03 - 30 - 0000 30 de março de 2016 disponível no cofre do EA Access. SPACE DE MORTA 2 ARTS ELETRONAL 000000202017 - 04 - 27 - 0000 27 de abril de 2017 Disponível no cofre do EA Access. Dead Space 3 Electronic Arts 000000002017 - 04 - 27 - 0000 27 de abril de 2017 Disponível no Vault of EA Access. Dead Space Ignition Arts Electronic XBLA 000000002016 - 11 - 15 - 0000 15 de novembro de 2016 Disponível no cofre do EA Access. Aventuras Deadfall Games Nordic 000000002017 - 10 - 26 - 0000 26 de outubro de 2017 Deadliest Warrior: The Game Spike Games XBLA 000000002017 - 08 - 08 - 0000 8 de agosto de 2017 Deadliest Warrior: Legends 345 Games Games XBLA 000000002015 -11 -11 12 de novembro de 2015 Marvelous Entertainment Marvelous de 2015 000000202017 - 11 - 02 - 0000 2 de novembro de 2017 Deathskank: Thongs of Virtue Electronic Arts XBLA 000000002016 - 09 - 06 - 0000 6 de setembro de 2016 GRID: O Aperto de Microsoft Studios XBLA 00 0000100010000000000000000000000000001 15 - 0000 15 de junho de 2015 DEUS EX: Human Revolution Square Enix 000000002015 - 12 - 17 - 0000 17 de dezembro de 2015 DEUS EX: Diretor de revolução humana Cut Square Disc Somente 000000202016 - 05 - 10 - 0000 10 de maio de 2016 First First First 000000002016 Jogo com vários discos disponibilizado. DIG Bandai Namco Entertainment XBLA 00000000202016 - 05 - 05 - 0000 5 de maio de 2016 Dirt 3 Codemasters 000000002015 - 11 - 12 - 0000 12 de novembro de 2015 Sujeira: Showdown Codemasters 000000000015 - 11 - 12 - 0000 de 2015 12 de novembro 12, 2015 Discos de Discos de 0000000015 - 11 - 12 - 0000 de 2015 12, 2015 Discos de 2015 de disco Studios interativos XBLA 000000002015 - 11 - 12 - 0000 12 de novembro de 2015 Divinity II Larian Studios 00000000202018 - 04 - 03 - 0000 3 de abril de 2018 Domino Master Microsoft Studios XBLA 000000002016 - 05 - 24 - 0000 0000 Microsoft XOOM Bethesd - 11 - 12 - 0000 12 de novembro de 2015 Disponível como um bônus de pré -venda digital com Doom na loja Xbox. Doom II Bethesda Softworks XBLA 000000002015 - 11 - 12 - 0000 12 de novembro de 2015 Disponível como um bônus de pré -encomenda digital com Doom na loja Xbox. Doom 3 : BFG Edition   Bethesda Softworks   Disc Only     000000002016 - 04 - 14 - 0000 April 14 , 2016       Doritos Crash Course   Microsoft Studios   XBLA     000000002015 - 12 - 17 - 0000 December 17 , 2015       Double Dragon Neon   Majesco Entertainment   XBLA     000000002016 - 04 - 26 - 0000 26 de abril de 2016 Dragon Age: Origins Electronic Arts 00000000202017 - 01 - 10 - 0000 10 de janeiro de 2017 Disponível no cofre do EA Access. O Dragon's Lair Microsoft Studios XBLA 00000000202016 - 10 - 11 - 0000 11 de outubro de 2016 Motorista: São Francisco Ubisoft Disco Apenas 000000002018 - 01 - 16 - 0000 16 de janeiro de 2018 Disponível apenas no disco, mas os proprietários digitais existentes podem baixar. DuckTales remasterizados Capcom XBLA 000000002016 - 05 - 24 - 0000 24 de maio de 2016 Duke Nukem: Manhattan Project Microsoft Studios XBLA 000000002016 - 04 - 12 - 0000 12 de abril de 2016 Dungeons &amp; Dragões: Crônicos de Mystara Capar 23 de junho de 2016 Cerco da masmorra III Praça Enix 00000000202015 - 11 - 16 - 0000 16 de novembro de 2015 Força de defesa da Terra: INSECTRAGEDDON D3 Publisher 000000002017 - 07 - 11 - 0000 11 de julho de 2017 Força de defesa da terra 2017 D3 Publisher 000000002017 - 0000 30 de novembro de 2017 Earthworm Jim HD Microsoft Studios XBLA 000000002015 - 11 - 12 - 0000 12 de novembro de 2015 Eat Lead: The Return of Matt Hazard D3 Publicador 000000002016 Elder Scrolls IV : Oblivion   Bethesda       000000002016 - 11 - 29 - 0000 November 29 , 2016       Encleverment Experiment   Microsoft Studios   XBLA     000000002016 - 09 - 27 - 0000 September 27 , 2016       Epic Mickey 2 : The Power of Two   Disney Interactive Studios       000000002017 - 08 - 03 - 0000 3 de agosto de 2017 Escape Dead Island Deep Silver Deep 00000000202016 - 11 - 15 - 0000 15 de novembro de 2016 Cada Extrenda Extreme Microsoft Studios XBLA 000000002016 - 09 - 27 - 0000 27 de setembro de 2016 F1 2014 Codemasters 0000002017 - 07 - 11 de setembro 11, 2017 Fable Anniversary Microsoft Studios 00000000201017 - 10 - 05 - 0000 5 de outubro de 2017 Fable II Microsoft Studios 000000002015 - 11 - 12 - 0000 12 de novembro, 2015 Fable II Games Pub Games 5, 5,00, 5. 2017 Fable III Microsoft Studios 000000002015 - 12 - 17 - 0000 17 de dezembro de 2015 Faery: Legends of Avalon Focus Home Interactive XBLA 000000002016 - 05 - 10 - 0000 10 de maio de 2016 Fallout 3 Bethes Softworks 000000002015 - 11 - 2015 também estava disponível como um bônus com a compra do Fallout 4. Além disso, os proprietários da edição do jogo do Xbox 360 podem executar o jogo com todo o DLC usando o Disco 2. Fallout: New Vegas Bethesda Softworks 000000002016 - 06 - 23 - 0000 23 de junho de 2016 Os proprietários do Xbox 360 Ultimate Edition podem executar o jogo com todo o DLC usando o disco 2. Far Cry 2 Ubisoft 000000002018 - 01 - 16 - 0000 16 de janeiro de 2018 Far Cry 3 Ubisoft 00000000202017 - 03 - 30 - 0000 30 de março de 2017 FAR Cry 3: Blood Dragon Ubisoft XBLA 00000000002016 - 08 - 09 - 0000 Frenzy Popcap Games XBLA 000000002015 - 11 - 12 - 0000 12 de novembro de 2015 Disponível no cofre do EA Access. Feeding Frenzy 2: Games de Popcap Showdown de Naufrágio XBLA 000000002015 - 11 - 12 - 0000 12 de novembro de 2015 Disponível no Vault of EA Access. Fighting Vipers Sega XBLA 000000002017 - 08 - 08 - 0000 8 de agosto de 2017 Final Luta: Impacto duplo Capcom XBLA 000000002016 - 05 - 10 - 0000 10 de maio, 2016 Flashback Ubisoft XBLA 000000202016 - 06 - 16 - 0000 16, 2016 Flock 2016 Flock! CAPCOM XBLA 000000002016 - 07 - 19 - 0000 19 de julho de 2016 Forza Horizon Microsoft Studios 00000000202016 - 08 - 30 - 0000 30 de agosto de 2016 Play Foul MasterTronic Group XBLA 000000002016 - 06 - 09 - 000000 9 de junho de 2016 ATRIDA KEEIAii 000000202016 - 06 - 09 - 0000 0000 9 de junho de 2016 ATRIDA KEEIOII TM 0000202016 - 06 - 09 - 0000 0000 9, 2016 ATTHIDA KEEIAiiii - 07 - 21 - 0000 21 de julho de 2016 Frogger Konami XBLA 000000002016 - 04 - 28 - 0000 28 de abril de 2016 Frogger 2 Konami XBLA 000000002016 - 05 - 10 - 0000 10, 2016 FrontLines: Fuel of WarT thq 0000002017 - 0000 18 de julho de 2017 FUNTOWN MAHJONG Microsoft Studios XBLA 000000002016 - 09 - 27 - 0000 27 de setembro de 2016 Galaga Bandai Namco Entertainment XBLA 00000000002016 - 02 - 15 - 0000 15 de fevereiro de 2016 Galaga Legions Bandai Namco Entertain -Entertain Xbla 0000 000000, 15 de fevereiro de 2016, 2016 Galaga Bandai Bandai Namco Entertain XBLA. 0000 20 de outubro de 2016 Galaga Legions DX Bandai Namco Entertainment XBLA 000000002016 - 04 - 28 - 0000 28 de abril de 2016 Garou: Mark of the Wolves SNK PlayMore XBLA 000000002016 - 04 - 12 - 0000 12 de abril de 2016 Gatling Gears Arts XBLA 00 00 0000 09 - 06 - 0000 6 de setembro de 2016 Gears of War Microsoft Studios 000000002015 - 08 - 03 - 0000 3 de agosto de 2015 também estava disponível como um bônus com a compra de Gears of War: Ultimate Edition. Gears of War 2 Microsoft Studios 000000002015 - 11 - 12 - 0000 12 de novembro de 2015 também estava disponível como um bônus na compra de Gears of War: Ultimate Edition. Gears of War 3 Microsoft Studios 000000002015 - 11 - 12 - 0000 12 de novembro de 2015 também estava disponível como um bônus com a compra de Gears of War: Ultimate Edition. Gears of War: Julgamento Microsoft Studios 000000002015 - 11 - 12 - 0000 12 de novembro de 2015 também estava disponível como um bônus com a compra de Gears of War: Ultimate Edition. Geras de geometria: Retro evoluído Microsoft Studios XBLA 000000002016 - 02 - 25 - 0000 25 de fevereiro de 2016 Guerras de geometria: retro Evoluído 2 Activision XBLA 000000002017 - 05 - 02 - 0000 2 de maio, 2017 Geometria Guerros 3: 02 - 0000 2 de maio de 2017 Ghostbusters: Sanctum of Slime Atari XBLA 000000002016 - 04 - 26 - 0000 26 de abril de 2016 Ghostbusters: O videogame atari 000000002017 - 01 - 10 - 0000 10 de janeiro, 2017 Gin Rummy Activision XbLA 000000 00000017 20 - 0000 20 de abril de 2017 GIRL FLUTE KUNG FU FACTORY XBLA 000000002017 - 10 - 26 - 0000 26 de outubro de 2017 GO! Ir ! Quebrar o Microsoft Studios XBLA 000000002016 - 06 - 30 - 0000 30 de junho de 2016 Simulador de capa de cafeteira de cafeteira Estúdios XBLA 000000002017 - 10 - 12 - 0000 outubro 12, 2017 Golden AX Sega XBLA 000000202015 - 11 - 12 - 0000, 12 de novembro 12, 2017 2017 2015 Golf Golf Golf: 0000002015 - 11 - 0000, 12 de novembro 12, 2017 2017 Tee It Up! Activision XBLA 000000002017 - 04 - 20 - 0000 20 de abril de 2017 GRANDES ROCKSTAR AURDO IV ROCKSTAR 00000000202017 - 02 - 09 - 0000 9 de fevereiro de 2017, incluindo `` episódios de Liberty City ''. Grade 2 codemasters 000000002016 - 03 - 21 - 0000 21 de março de 2016 GripShift Microsoft Studios XBLA 000000002016 - 06 - 30 - 0000 30 de junho de 2016 Heroes de Guardian20 00 00 00 00 00 00 00 0000 00 00 00 00 00 00 00 00 00 00 00 00 00 00 00 000000002016 - 11 - 08 - 0000 00 00 00 00 00 00 00 00 000000002016 - 11 - 08 - 0000 00 00 00 00. 04 - 06 - 0000 April 6 , 2016       Guwange   CAVE   XBLA     000000002016 - 09 - 29 - 0000 September 29 , 2016       Gyromancer   Square Enix   XBLA     000000002017 - 02 - 23 - 0000 February 23 , 2017       Gyruss   Konami   XBLA     000000002017 - 07 - 25 - 0000 July 25 , 2017 Half - Minute Hero: Super Mega Neo Climax Microsoft Studios XBLA 000000002016 - 07 - 19 - 0000 19 de julho de 2016 Halo 3 Microsoft Studios 000000002017 - 09 - 21 - 0000 21 de setembro de 2017 Versão remasterizada Disponível na Halo: The Master Chefe Collection . Halo 3: ODST Campaign Edition Microsoft Studios 00000000202017 - 09 - 21 - 0000 21 de setembro de 2017 Versão remasterizada disponível em Halo: The Master Chief Collection via conteúdo para download. Halo 4 Microsoft Studios 000000002017 - 09 - 21 - 0000 21 de setembro de 2017 Versão remasterizada disponível em Halo: The Master Chief Collection. Halo: Combate Evolued Anniversary Microsoft Studios 00000000202017 - 09 - 21 - 0000 21 de setembro de 2017 Versão remasterizada disponível em Halo: The Master Chief Collection. Halo : Reach   Microsoft Studios       000000002015 - 12 - 17 - 0000 December 17 , 2015       Halo : Spartan Assault   Microsoft Studios   XBLA     000000002015 - 11 - 12 - 0000 November 12 , 2015       Halo Wars   Microsoft Studios       000000002016 - 03 - 28 - 0000 March 28 , 2016       Hard Corpo: Urrening Konami XBLA 00000000202017 - 05 - 04 - 0000 4 de maio de 2017 Backgammon Microsoft Studios XBLA 000000202015 - 11 - 12 - 0000 - 12 de novembro de 2015 Microsoft Studios XBLA 000000002015 - 11 de novembro 12 - 12 de novembro de 2015 2015 Microsoft Studios XBLA 000000002015 - 11 de novembro 12 - 12 de novembro 12 de novembro de 2015 2015 Microsoft Studios XBLA 000000002015 -11 -11 - Microsoft Studios   XBLA     000000002015 - 11 - 12 - 0000 November 12 , 2015       Harms Way   Microsoft Studios   XBLA     000000002017 - 05 - 04 - 0000 May 4 , 2017       Haunted House   Atari   XBLA     000000002016 - 12 - 01 - 0000 December 1 , 2016       Heavy Weapon   Microsoft Studios   XBLA 000000002015 - 11 - 12 - 0000 12 de novembro de 2015 Disponível no cofre do EA Access. O HExic HD Microsoft Studios XBLA 000000002015 - 06 - 15 - 0000 15 de junho de 2015 Este jogo do Xbox 360 originalmente incluído agora pode ser baixado gratuitamente em determinadas regiões da loja Xbox aqui. Hexic 2 Microsoft Studios XBLA 000000002016 - 05 - 24 - 0000 24 de maio de 2016 Hitman: Square de Absolution Enix 000000002017 - 02 - 14 - 0000 14 de fevereiro de 2017 Hitman: Sniper Challenge Pré -encomenda Bônus Bônus também. Hitman: Blood Money Eidos Interactive 000000002018 - 03 - 06 - 0000 6 de março de 2018 Hydro Thunder Hurricane Microsoft Studios XBLA 00000000202015 - 12 - 17 - 0000 - 23 de dezembro de 2015 JUNHO 23 de junho, 23 de dezembro de 2015, 23 de dezembro de 2015, 23 de dezembro, 23 de dezembro de 2015, 23 de dezembro, 23 de dezembro de 2015, 23 de dezembro de 2015. Ikaruga   Microsoft Studios   XBLA     000000002015 - 11 - 12 - 0000 November 12 , 2015       ilomilo   Microsoft Studios   XBLA     000000002017 - 05 - 23 - 0000 May 23 , 2017       Injustice : Gods Among Us   Warner Bros. Interactive Entertainment       000000002016 - 12 - 01 - 0000 December 1 , 2016 Twisted Shadow Planet Planet Microsoft Studios XBLA 00000000202017 - 04 - 04 - 0000 4 de abril de 2017 Interpol: A trilha do Dr. Chaos Microsoft Studios XBLA 00000000202016 - 07 - 14 - 0000 Julho 14, 2016 Brigade Iron Brigade Studios Xbla 00 17 - 0000 17 de dezembro de 2015 Jeremy McGrath Offroad D3 Editora XBLA 000000002016 - 01 - 21 - 0000 21 de janeiro de 2016 Conjunto de jato HD Sega XBLA 000000002016 - 05 - 03 - 0000 3 de maio, 2016 JETPAC REFUNDO -MICROSOFT Studios XBLA XBLA 0000 3 de maio de 2016 06 - 15 - 0000 15 de junho de 2015 Também incluído como parte da rara coleção de jogos de reprodução. Jewel Quest Microsoft Studios XBLA 000000002017 - 11 - 14 - 0000 14 de novembro de 2017 Joe Danger: edição especial Microsoft Studios XBLA 000000002016 - 06 - 23 - 0000 23 de junho de 2016 Joe Danger 2: The Movie Microsoft Studios XBLA 000000202016 0000 20 de outubro de 2016 Joust WB Games XBLA 00000000202016 - 08 - 25 - 0000 25 de agosto de 2016 Joy Ride Turbo Microsoft Studios XBLA 000000002015 - 11 - 12 - 0000 - 12 de novembro de 2015 JuJu Flying Wild Hog XBLA 0000002017 - 01 - 315 - 00 - 00 0000, 0000, 12 de novembro, 00. 31, 2017 Jurassic Park: The Game Telltale Games 000000002016 - 10 - 11 - 0000 11 de outubro de 2016 Just Cause 2 Square Enix 000000002015 - 11 - 12 - 0000 12 de novembro de 2015 Também disponível como um bônus com a compra de sucessor Just Cause 3. KAMEO: Elements of Power Microsoft Studios 000000002015 - 06 - 15 - 0000 15 de junho de 2015 também incluído como parte da rara coleção de jogos de reprodução. Kane &amp; Lynch 2: Dog Days Square Enix 00000000202015 - 12 - 17 - 0000 17 de dezembro de 2015 Killer está morto Xseed Games 000000002016 - 10 - 27 - 0000 27 de outubro de 2016 Rei dos lutadores 98 Ultimate Match, The King of Fighters ' 98 Ultimate Match SNK PlayMore XBLA 00000000202016 - 03 - 28 - 0000 28 de março de 2016 King of Fighters 2002 Match Unlimited, The King of Fighters 2002 Match Unlimited SNK Playmore XBLA 000000002017 - 02 - 23 - 0000 FEBREVERY 23, 2017 Kof Stage Playmore xbla 000000002017 - 10 - 12 - 0000 12 de outubro de 2017 Lara Croft e The Guardian of Light Square Enix XBLA 000000002018 - 02 - 20 - 0000 20 de fevereiro de 2018 Raiders Lazy Raiders Microsoft Studios XBLA 000000002016 - 06 - 07 - 00 Raiders Lazy Raiders Raiders Raiders Microsoft Studios XBLA 000000002016 - 06 - Esquerda 4 Dead Valve Corporation 000000002016 - 06 - 16 - 0000 16 de junho de 2016 Esquerda 4 Dead 2 Valve Corporation 00000000202016 - 03 - 29 - 0000 29 de março de 2016 Lego Batman: The Videogame WB Games 000000002016 - 02 - 11 - 0000 0000 11 de fevereiro, 11 de fevereiro 2016 LEGO INDIANA JONES: As aventuras originais Lucasarts 00000000202017 - 02 - 07 - 0000 7 de fevereiro de 2017 Lego Indiana Jones 2: A aventura continua Lucasarts 000000002018 - 01 - 25 - 0000 25 de janeiro, 2018 LEGO Piratas do Caribean: The Video Disney Estúdios interativos 000000002015 - 11 - 12 - 0000 12 de novembro de 2015 LEGO Star Wars III: The Clone Wars Disney Interactive Studios 000000002018 - 03 - 06 - 0000 6 de março de 2018 LEGO Star Wars: The Complete Disney Interactive Studios 00000000202 - 0000 November 12 , 2015       Limbo   Microsoft Studios   XBLA     000000002016 - 11 - 03 - 0000 November 3 , 2016       Lode Runner   Microsoft Studios   XBLA     000000002015 - 11 - 12 - 0000 November 12 , 2015       Lost Odyssey   Microsoft Studios       000000002016 - 09 - 29 - 0000 September 29 , 2016       Lumines LIVE   Microsoft Studios   XBLA     000000002015 - 11 - 12 - 0000 November 12 , 2015       Luxor 2   MumboJumbo   XBLA     000000002017 - 03 - 16 - 0000 March 16 , 2017       Madballs in Babo : Invasion   Microsoft Studios   XBLA     000000002017 - 03 - 16 - 0000 March 16 , 2017 Mad Tracks D3 Publicador XBLA 00000000202017 - 01 - 31 - 0000 31 de janeiro de 2017 MAFIA II 2K Games 000000002018 - 02 - 13 - 0000 13 de fevereiro de 2018 Magic: The Gathering - Duas of the Planeswalkers Microsoft Studios Xbla 000000202010 -2010 - Duas de Planeswalkers Microsoft Studios XBLA 000000202010 - - 0000 18 de janeiro de 2018 Magic: The Gathering - Duels of the Planeswalkers 2012 Microsoft Studios XBLA 00000000202016 - 05 - 24 - 0000 24 de maio de 2016 Magic: The Gathering - Duels of the Planeswalkers 2013 Microsoft Studios XBLA 000000002018 - 01 - 18 -18 18 de janeiro de 2018 Magic: Duelos dos Planeswalkers 2014 Microsoft Studios XBLA 00000000201018 - 01 - 18 - 0000 18 de janeiro de 2018 Marlow Briggs e a máscara da morte 505 jogos XBLA 000000002017 - 11 - 28 - 0000 28 de novembro, 2017 Mars: Logs de guerra Focus Home Interactive XBLA 000000002016 - 06 - 30 - 0000 30 de junho de 2016 Mass Effect Microsoft Studios 00000000202015 - 06 - 15 - 0000 15 de junho de 2015 disponível no cofre do EA Access. Mass Effect 2 Electronic Arts 000000002016 - 11 - 07 - 0000 7 de novembro de 2016 Disponível no Vault of EA Access. Mass Effect 3 Electronic Arts 000000002016 - 11 - 07 - 0000 7 de novembro de 2016 disponível no cofre do EA Access. Matt Hazard: Banho de sangue e além do D3 Publicador XBLA 00000000202017 - 05 - 23 - 0000 23 de maio de 2017 Maw, The Maw Microsoft Studios XBLA 000000002016 - 09 - 15 - 0000 15 de setembro de 2016 Medalha de honra: Artes eletrônicos aerona - 29 - 0000 29 de novembro de 2016 Disponível no cofre do EA Access. Conheça os Robinsons Disney Interactive Studios 000000002017 - 03 - 02 - 0000 2 de março de 2017 Mega Man 9 Capcom XBLA 000000002017 - 01 - 12 - 0000 Janeiro 12, 2017 Mega Man 10 Capcom XBLA 000000002017 - 01 - 12 - 00 Engrenagem Rising: Revenendo Konami 00000000202017 - 08 - 15 - 0000 15 de agosto de 2017 Metal Gear Solid: Peace Walker HD Edição Konami 00000000201018 - 03 - 13 - 0000 13 de março de 2018 O Metal Gear Solid: Pate Walker do Metal Gear Solid HD HD HD A coleção também é compatível. Lesma de metal 3 snk playmore xbla 000000002015 - 11 - 12 - 0000 12 de novembro de 2015 lesma de metal xx snk playmore xbla 000000002015 - 11 - 12 - 0000 12 de novembro, 2015 Midway Arcade Origins Warner Bros. entretenimento 00000000201015 - 01 - 19</v>
      </c>
    </row>
    <row r="660" customFormat="false" ht="15.75" hidden="false" customHeight="true" outlineLevel="0" collapsed="false">
      <c r="A660" s="3" t="n">
        <v>657</v>
      </c>
      <c r="B660" s="5" t="s">
        <v>1969</v>
      </c>
      <c r="C660" s="5" t="s">
        <v>1970</v>
      </c>
      <c r="D660" s="5" t="s">
        <v>1971</v>
      </c>
      <c r="E660" s="4" t="str">
        <f aca="false">IFERROR(__xludf.dummyfunction("GOOGLETRANSLATE(C661)"),"A perda de pele confinada ao tecido epidérmico é chamada de")</f>
        <v>A perda de pele confinada ao tecido epidérmico é chamada de</v>
      </c>
      <c r="F660" s="5" t="str">
        <f aca="false">IFERROR(__xludf.dummyfunction("GOOGLETRANSLATE(D660)")," Tom (chamado `` Jasper '' em sua aparição de estréia) é um gato de abreviação doméstico cinza e branco. (`` Tom '' é um nome genérico para um gato masculino.) Ele geralmente é, mas nem sempre, retratado como vivendo uma vida confortável ou até mimada, en"&amp;"quanto Jerry (chamado `` Jinx '' em sua aparição de estréia) é um Mouse pequeno, marrom, que sempre vive próximo a Tom. Apesar de ser muito enérgico, determinado e muito maior, Tom não é páreo para o juiz de Jerry. Jerry também possui força surpreendente "&amp;"para seu tamanho, aproximadamente o equivalente a Tom, levantando itens como bigornas com relativa facilidade e sucastado impactos consideráveis. Embora os gatos normalmente perseguem ratos para comê -los, é bastante raro Tom tentar comer Jerry. A maioria"&amp;" de suas tentativas é apenas atormentar ou humilhar Jerry, às vezes em vingança, e às vezes para obter uma recompensa de um humano por pegar Jerry. Pelo final `` desaparecer - fora de cada desenho animado, Jerry geralmente emerge triunfante, enquanto Tom "&amp;"é mostrado como o perdedor.")</f>
        <v> Tom (chamado `` Jasper '' em sua aparição de estréia) é um gato de abreviação doméstico cinza e branco. (`` Tom '' é um nome genérico para um gato masculino.) Ele geralmente é, mas nem sempre, retratado como vivendo uma vida confortável ou até mimada, enquanto Jerry (chamado `` Jinx '' em sua aparição de estréia) é um Mouse pequeno, marrom, que sempre vive próximo a Tom. Apesar de ser muito enérgico, determinado e muito maior, Tom não é páreo para o juiz de Jerry. Jerry também possui força surpreendente para seu tamanho, aproximadamente o equivalente a Tom, levantando itens como bigornas com relativa facilidade e sucastado impactos consideráveis. Embora os gatos normalmente perseguem ratos para comê -los, é bastante raro Tom tentar comer Jerry. A maioria de suas tentativas é apenas atormentar ou humilhar Jerry, às vezes em vingança, e às vezes para obter uma recompensa de um humano por pegar Jerry. Pelo final `` desaparecer - fora de cada desenho animado, Jerry geralmente emerge triunfante, enquanto Tom é mostrado como o perdedor.</v>
      </c>
    </row>
    <row r="661" customFormat="false" ht="15.75" hidden="false" customHeight="true" outlineLevel="0" collapsed="false">
      <c r="A661" s="3" t="n">
        <v>658</v>
      </c>
      <c r="B661" s="5" t="s">
        <v>1972</v>
      </c>
      <c r="C661" s="5" t="s">
        <v>1973</v>
      </c>
      <c r="D661" s="5" t="s">
        <v>1974</v>
      </c>
      <c r="E661" s="4" t="str">
        <f aca="false">IFERROR(__xludf.dummyfunction("GOOGLETRANSLATE(C662)"),"Quem cantou a música do wah diddy diddy dum diddy fazer")</f>
        <v>Quem cantou a música do wah diddy diddy dum diddy fazer</v>
      </c>
      <c r="F661" s="5" t="str">
        <f aca="false">IFERROR(__xludf.dummyfunction("GOOGLETRANSLATE(D661)")," Erosão: Uma erosão é uma descontinuidade da pele que exibe perda incompleta da epiderme, uma lesão úmida, circunscrita e geralmente deprimida.")</f>
        <v> Erosão: Uma erosão é uma descontinuidade da pele que exibe perda incompleta da epiderme, uma lesão úmida, circunscrita e geralmente deprimida.</v>
      </c>
    </row>
    <row r="662" customFormat="false" ht="15.75" hidden="false" customHeight="true" outlineLevel="0" collapsed="false">
      <c r="A662" s="3" t="n">
        <v>659</v>
      </c>
      <c r="B662" s="5" t="s">
        <v>1975</v>
      </c>
      <c r="C662" s="5" t="s">
        <v>1976</v>
      </c>
      <c r="D662" s="5" t="s">
        <v>1977</v>
      </c>
      <c r="E662" s="4" t="str">
        <f aca="false">IFERROR(__xludf.dummyfunction("GOOGLETRANSLATE(C663)"),"Onde estão as palavras para a Hail Mary encontrada na Bíblia")</f>
        <v>Onde estão as palavras para a Hail Mary encontrada na Bíblia</v>
      </c>
      <c r="F662" s="5" t="str">
        <f aca="false">IFERROR(__xludf.dummyfunction("GOOGLETRANSLATE(D662)")," `` Do Wah Diddy Diddy '' é uma música escrita por Jeff Barry e Ellie Greenwich e originalmente gravada em 1963, como `` do - wah - diddy '', pelo grupo vocal americano The Exciters tornado internacionalmente famoso por uma versão pelo Banda britânica Man"&amp;"fred Mann.")</f>
        <v> `` Do Wah Diddy Diddy '' é uma música escrita por Jeff Barry e Ellie Greenwich e originalmente gravada em 1963, como `` do - wah - diddy '', pelo grupo vocal americano The Exciters tornado internacionalmente famoso por uma versão pelo Banda britânica Manfred Mann.</v>
      </c>
    </row>
    <row r="663" customFormat="false" ht="15.75" hidden="false" customHeight="true" outlineLevel="0" collapsed="false">
      <c r="A663" s="3" t="n">
        <v>660</v>
      </c>
      <c r="B663" s="5" t="s">
        <v>1978</v>
      </c>
      <c r="C663" s="5" t="s">
        <v>1979</v>
      </c>
      <c r="D663" s="5" t="s">
        <v>1980</v>
      </c>
      <c r="E663" s="4" t="str">
        <f aca="false">IFERROR(__xludf.dummyfunction("GOOGLETRANSLATE(C664)"),"onde está o trimestre judeu em Nova York")</f>
        <v>onde está o trimestre judeu em Nova York</v>
      </c>
      <c r="F663" s="5" t="str">
        <f aca="false">IFERROR(__xludf.dummyfunction("GOOGLETRANSLATE(D663)")," A segunda passagem é retirada da saudação de Elizabeth para Maria em Lucas 1: 42, `` Bendito está entre as mulheres, e abençoado é o fruto do seu ventre. '' Juntos, essas duas passagens são as duas vezes que Maria é recebida no capítulo 1 de Lucas.")</f>
        <v> A segunda passagem é retirada da saudação de Elizabeth para Maria em Lucas 1: 42, `` Bendito está entre as mulheres, e abençoado é o fruto do seu ventre. '' Juntos, essas duas passagens são as duas vezes que Maria é recebida no capítulo 1 de Lucas.</v>
      </c>
    </row>
    <row r="664" customFormat="false" ht="15.75" hidden="false" customHeight="true" outlineLevel="0" collapsed="false">
      <c r="A664" s="3" t="n">
        <v>661</v>
      </c>
      <c r="B664" s="5" t="s">
        <v>1981</v>
      </c>
      <c r="C664" s="5" t="s">
        <v>1982</v>
      </c>
      <c r="D664" s="5" t="s">
        <v>1983</v>
      </c>
      <c r="E664" s="4" t="str">
        <f aca="false">IFERROR(__xludf.dummyfunction("GOOGLETRANSLATE(C665)"),"Quando a 6ª temporada de Wentworth será lançada")</f>
        <v>Quando a 6ª temporada de Wentworth será lançada</v>
      </c>
      <c r="F664" s="5" t="str">
        <f aca="false">IFERROR(__xludf.dummyfunction("GOOGLETRANSLATE(D664)")," Hoje, Nova York tem o segundo maior número de judeus em uma área metropolitana, atrás de Gush Dan (a área metropolitana de Tel Aviv) em Israel. O Borough Park, Brooklyn, (também conhecido como Boro Park) é uma das maiores comunidades judaicas ortodoxas d"&amp;"o mundo. Crown Heights, Brooklyn, também tem uma grande comunidade judaica ortodoxa. Flatbush, Brooklyn, Riverdale, Bronx, Williamsburg, Brooklyn, Midwood, Brooklyn, Forest Hills, Queens, Kew Gardens Hills, Queens, Kew Gardens, Queens, Meadows Fresh, Quee"&amp;"ns e Upper East Side, Washington, Washington, Manhattan por causa da condição da conduta, do renomado Yeshiva U e Upper West Side, Manhattan, também abrigam comunidades judaicas. Outro bairro, o Lower East Side, embora atualmente conhecido como mixagem pa"&amp;"ra pessoas de muitas nacionalidades, incluindo alemão, porto -riquenho, italiano e chinês, era principalmente um bairro judeu. Embora a comunidade judaica de Staten Island seja dispersa por toda a ilha, os enclaves de judeus hassídicos são encontrados nas"&amp;" áreas de Willowbrook, New Springville, Eltingville e New Brighton.")</f>
        <v> Hoje, Nova York tem o segundo maior número de judeus em uma área metropolitana, atrás de Gush Dan (a área metropolitana de Tel Aviv) em Israel. O Borough Park, Brooklyn, (também conhecido como Boro Park) é uma das maiores comunidades judaicas ortodoxas do mundo. Crown Heights, Brooklyn, também tem uma grande comunidade judaica ortodoxa. Flatbush, Brooklyn, Riverdale, Bronx, Williamsburg, Brooklyn, Midwood, Brooklyn, Forest Hills, Queens, Kew Gardens Hills, Queens, Kew Gardens, Queens, Meadows Fresh, Queens e Upper East Side, Washington, Washington, Manhattan por causa da condição da conduta, do renomado Yeshiva U e Upper West Side, Manhattan, também abrigam comunidades judaicas. Outro bairro, o Lower East Side, embora atualmente conhecido como mixagem para pessoas de muitas nacionalidades, incluindo alemão, porto -riquenho, italiano e chinês, era principalmente um bairro judeu. Embora a comunidade judaica de Staten Island seja dispersa por toda a ilha, os enclaves de judeus hassídicos são encontrados nas áreas de Willowbrook, New Springville, Eltingville e New Brighton.</v>
      </c>
    </row>
    <row r="665" customFormat="false" ht="15.75" hidden="false" customHeight="true" outlineLevel="0" collapsed="false">
      <c r="A665" s="3" t="n">
        <v>662</v>
      </c>
      <c r="B665" s="5" t="s">
        <v>1984</v>
      </c>
      <c r="C665" s="5" t="s">
        <v>1985</v>
      </c>
      <c r="D665" s="5" t="s">
        <v>1986</v>
      </c>
      <c r="E665" s="4" t="str">
        <f aca="false">IFERROR(__xludf.dummyfunction("GOOGLETRANSLATE(C666)"),"O que significa a música de Kesha")</f>
        <v>O que significa a música de Kesha</v>
      </c>
      <c r="F665" s="5" t="str">
        <f aca="false">IFERROR(__xludf.dummyfunction("GOOGLETRANSLATE(D665)")," A sexta temporada da série de drama televisiva Wentworth estreou no Showcase na Austrália em 19 de junho de 2018. É produzido pelo Diretor de Drama da Fremantlemedia, Jo Porter. A temporada compreenderá 12 episódios. A sexta temporada começa apenas algun"&amp;"s dias após a fuga de Franky Doyle e Joan Ferguson. Esta temporada apresentará três novos personagens retratados por Leah Purcell, Susie Porter e Rarriwuy Hick.")</f>
        <v> A sexta temporada da série de drama televisiva Wentworth estreou no Showcase na Austrália em 19 de junho de 2018. É produzido pelo Diretor de Drama da Fremantlemedia, Jo Porter. A temporada compreenderá 12 episódios. A sexta temporada começa apenas alguns dias após a fuga de Franky Doyle e Joan Ferguson. Esta temporada apresentará três novos personagens retratados por Leah Purcell, Susie Porter e Rarriwuy Hick.</v>
      </c>
    </row>
    <row r="666" customFormat="false" ht="15.75" hidden="false" customHeight="true" outlineLevel="0" collapsed="false">
      <c r="A666" s="3" t="n">
        <v>663</v>
      </c>
      <c r="B666" s="5" t="s">
        <v>1987</v>
      </c>
      <c r="C666" s="5" t="s">
        <v>1988</v>
      </c>
      <c r="D666" s="5" t="s">
        <v>1989</v>
      </c>
      <c r="E666" s="4" t="str">
        <f aca="false">IFERROR(__xludf.dummyfunction("GOOGLETRANSLATE(C667)"),"De onde vem o sobrenome Gaspar")</f>
        <v>De onde vem o sobrenome Gaspar</v>
      </c>
      <c r="F666" s="5" t="str">
        <f aca="false">IFERROR(__xludf.dummyfunction("GOOGLETRANSLATE(D666)")," `` Tire It Off 'foi escrito por Kesha, ao lado do Dr. Luke e Claude Kelly. Foi gravado no Conway Recording Studios em Los Angeles, Califórnia, e no estúdio do Dr. Luke naquela cidade. A música foi produzida por Luke com edição vocal feita por Emily Wrigh"&amp;"t. O riff principal do coro é o mesmo que o das ruas do Cairo, também usando um esquema de rima semelhante e fraseado paralelo. Durante uma entrevista com a revista Esquire, Kesha foi questionada sobre seu processo de redação de músicas e usou `` Tire It "&amp;"Off '' como um exemplo de como suas músicas se concretizam. Ela explicou que a música surgiu quando estava fora uma noite e estava visitando um bar transexual, afirmando: `` Eu tenho uma música (...) chamada 'Take It Off' sobre quando fui a um show de dra"&amp;"g e como Realmente excitado, eu estava por esses homens transvestidos tirando roupas. Eu estava tipo, o que isso me faz? ''.")</f>
        <v> `` Tire It Off 'foi escrito por Kesha, ao lado do Dr. Luke e Claude Kelly. Foi gravado no Conway Recording Studios em Los Angeles, Califórnia, e no estúdio do Dr. Luke naquela cidade. A música foi produzida por Luke com edição vocal feita por Emily Wright. O riff principal do coro é o mesmo que o das ruas do Cairo, também usando um esquema de rima semelhante e fraseado paralelo. Durante uma entrevista com a revista Esquire, Kesha foi questionada sobre seu processo de redação de músicas e usou `` Tire It Off '' como um exemplo de como suas músicas se concretizam. Ela explicou que a música surgiu quando estava fora uma noite e estava visitando um bar transexual, afirmando: `` Eu tenho uma música (...) chamada 'Take It Off' sobre quando fui a um show de drag e como Realmente excitado, eu estava por esses homens transvestidos tirando roupas. Eu estava tipo, o que isso me faz? ''.</v>
      </c>
    </row>
    <row r="667" customFormat="false" ht="15.75" hidden="false" customHeight="true" outlineLevel="0" collapsed="false">
      <c r="A667" s="3" t="n">
        <v>664</v>
      </c>
      <c r="B667" s="5" t="s">
        <v>1990</v>
      </c>
      <c r="C667" s="5" t="s">
        <v>1991</v>
      </c>
      <c r="D667" s="5" t="s">
        <v>1992</v>
      </c>
      <c r="E667" s="4" t="str">
        <f aca="false">IFERROR(__xludf.dummyfunction("GOOGLETRANSLATE(C668)"),"Quando o envolvimento dos EUA no Vietnã terminou")</f>
        <v>Quando o envolvimento dos EUA no Vietnã terminou</v>
      </c>
      <c r="F667" s="5" t="str">
        <f aca="false">IFERROR(__xludf.dummyfunction("GOOGLETRANSLATE(D667)")," Gaspar é um dado e / ou sobrenome de origem francesa, alemã, húngara, italiana, portuguesa e espanhola que poderia se referir a:")</f>
        <v> Gaspar é um dado e / ou sobrenome de origem francesa, alemã, húngara, italiana, portuguesa e espanhola que poderia se referir a:</v>
      </c>
    </row>
    <row r="668" customFormat="false" ht="15.75" hidden="false" customHeight="true" outlineLevel="0" collapsed="false">
      <c r="A668" s="3" t="n">
        <v>665</v>
      </c>
      <c r="B668" s="5" t="s">
        <v>1993</v>
      </c>
      <c r="C668" s="5" t="s">
        <v>1994</v>
      </c>
      <c r="D668" s="5" t="s">
        <v>1995</v>
      </c>
      <c r="E668" s="4" t="str">
        <f aca="false">IFERROR(__xludf.dummyfunction("GOOGLETRANSLATE(C669)"),"Quando foi a primeira montanha -russa em loop e o que havia de errado com isso")</f>
        <v>Quando foi a primeira montanha -russa em loop e o que havia de errado com isso</v>
      </c>
      <c r="F668" s="5" t="str">
        <f aca="false">IFERROR(__xludf.dummyfunction("GOOGLETRANSLATE(D668)")," A Guerra do Vietnã (vietnamita: Chiến TranH việt nam), também conhecida como a Segunda Guerra da Indochina, e conhecida no Vietnã como a guerra de resistência contra a América (vietnamita: Kháng Chiến Chống Mỹ) ou simplesmente a guerra americana, foi uma"&amp;" guerra que ocorreu em Vietnã, Laos e Camboja de 1 de novembro de 1955 até a queda de Saigon em 30 de abril de 1975. Era o segundo das guerras da Indochina e foi oficialmente travado entre o Vietnã do Norte e o governo do Vietnã do Sul. O Exército do Viet"&amp;"nã do Norte foi apoiado pela União Soviética, China e outros aliados comunistas e o Exército do Vietnã do Sul foi apoiado pelos Estados Unidos, Coréia do Sul, Austrália, Tailândia e outros aliados anticomunistas. A guerra é, portanto, considerada uma guer"&amp;"ra de procuração da Guerra Fria.")</f>
        <v> A Guerra do Vietnã (vietnamita: Chiến TranH việt nam), também conhecida como a Segunda Guerra da Indochina, e conhecida no Vietnã como a guerra de resistência contra a América (vietnamita: Kháng Chiến Chống Mỹ) ou simplesmente a guerra americana, foi uma guerra que ocorreu em Vietnã, Laos e Camboja de 1 de novembro de 1955 até a queda de Saigon em 30 de abril de 1975. Era o segundo das guerras da Indochina e foi oficialmente travado entre o Vietnã do Norte e o governo do Vietnã do Sul. O Exército do Vietnã do Norte foi apoiado pela União Soviética, China e outros aliados comunistas e o Exército do Vietnã do Sul foi apoiado pelos Estados Unidos, Coréia do Sul, Austrália, Tailândia e outros aliados anticomunistas. A guerra é, portanto, considerada uma guerra de procuração da Guerra Fria.</v>
      </c>
    </row>
    <row r="669" customFormat="false" ht="15.75" hidden="false" customHeight="true" outlineLevel="0" collapsed="false">
      <c r="A669" s="3" t="n">
        <v>666</v>
      </c>
      <c r="B669" s="5" t="s">
        <v>1996</v>
      </c>
      <c r="C669" s="5" t="s">
        <v>1997</v>
      </c>
      <c r="D669" s="5" t="s">
        <v>1998</v>
      </c>
      <c r="E669" s="4" t="str">
        <f aca="false">IFERROR(__xludf.dummyfunction("GOOGLETRANSLATE(C670)"),"quem é creditado por criar uma alternativa ao capitalismo chamado comunismo ou socialismo")</f>
        <v>quem é creditado por criar uma alternativa ao capitalismo chamado comunismo ou socialismo</v>
      </c>
      <c r="F669" s="5" t="str">
        <f aca="false">IFERROR(__xludf.dummyfunction("GOOGLETRANSLATE(D669)")," A primeira inversão na história da montanha -russa fazia parte da ferrovia centrífuga de Paris, França, construída em 1848. Consistia em uma pista inclinada de 43 pés (13 metros) que leva a um loop vertical quase circular de 3,9 m (3,9 m) de diâmetro. Du"&amp;"rante o início dos anos 1900, muitos passeios, incluindo loops verticais, apareceram em todo o mundo. Esses primeiros loops tiveram uma grande falha de design: a estrutura circular produziu intensas forças G - (a seguir `` gs ''). A Flip Flap Railway, pro"&amp;"jetada por Lina Beecher e construída em 1895 em Coney Island, no Brooklyn, Estados Unidos, tinha um loop circular de 25 pés no final que, embora inicialmente popular, causou algum desconforto no pescoço do passageiro, e o passeio logo fechou . O loop The "&amp;"Loop, outra montanha -russa, também foi construído mais tarde em Coney Island. Desta vez, os loops eram levemente ovais - em forma e não circular, embora não em forma de forma de forma como loops modernos. Embora o passeio estivesse seguro, tinha uma baix"&amp;"a capacidade, carregando quatro pessoas a cada cinco minutos (48 pessoas por hora, em comparação com 1800 pilotos por hora no saca -rolhas, uma montanha -russa moderna que abriu em 1976), e foi mal recebida após o desconforto da ferrovia Flip Flap. À medi"&amp;"da que sua novidade se despertou e sua reputação perigosa se espalhou, agravada com a grande depressão em desenvolvimento, as montanhas -russas em loops desapareceram e desapareceram.")</f>
        <v> A primeira inversão na história da montanha -russa fazia parte da ferrovia centrífuga de Paris, França, construída em 1848. Consistia em uma pista inclinada de 43 pés (13 metros) que leva a um loop vertical quase circular de 3,9 m (3,9 m) de diâmetro. Durante o início dos anos 1900, muitos passeios, incluindo loops verticais, apareceram em todo o mundo. Esses primeiros loops tiveram uma grande falha de design: a estrutura circular produziu intensas forças G - (a seguir `` gs ''). A Flip Flap Railway, projetada por Lina Beecher e construída em 1895 em Coney Island, no Brooklyn, Estados Unidos, tinha um loop circular de 25 pés no final que, embora inicialmente popular, causou algum desconforto no pescoço do passageiro, e o passeio logo fechou . O loop The Loop, outra montanha -russa, também foi construído mais tarde em Coney Island. Desta vez, os loops eram levemente ovais - em forma e não circular, embora não em forma de forma de forma como loops modernos. Embora o passeio estivesse seguro, tinha uma baixa capacidade, carregando quatro pessoas a cada cinco minutos (48 pessoas por hora, em comparação com 1800 pilotos por hora no saca -rolhas, uma montanha -russa moderna que abriu em 1976), e foi mal recebida após o desconforto da ferrovia Flip Flap. À medida que sua novidade se despertou e sua reputação perigosa se espalhou, agravada com a grande depressão em desenvolvimento, as montanhas -russas em loops desapareceram e desapareceram.</v>
      </c>
    </row>
    <row r="670" customFormat="false" ht="15.75" hidden="false" customHeight="true" outlineLevel="0" collapsed="false">
      <c r="A670" s="3" t="n">
        <v>667</v>
      </c>
      <c r="B670" s="5" t="s">
        <v>1999</v>
      </c>
      <c r="C670" s="5" t="s">
        <v>2000</v>
      </c>
      <c r="D670" s="5" t="s">
        <v>2001</v>
      </c>
      <c r="E670" s="4" t="str">
        <f aca="false">IFERROR(__xludf.dummyfunction("GOOGLETRANSLATE(C671)"),"depois de que temporada foi o filme X Files")</f>
        <v>depois de que temporada foi o filme X Files</v>
      </c>
      <c r="F670" s="5" t="str">
        <f aca="false">IFERROR(__xludf.dummyfunction("GOOGLETRANSLATE(D670)")," A história do socialismo tem suas origens na revolução francesa de 1789 e nas mudanças que ele fez, embora tenha precedentes em movimentos e idéias anteriores. O Manifesto Comunista foi escrito por Karl Marx e Friedrich Engels em 1848, pouco antes das re"&amp;"voluções de 1848, a Europa, expressando o que eles denominaram `` socialismo científico ''. No último terço do século XIX, os partidos social -democratas surgiram na Europa, desenhando principalmente do marxismo. O Partido Trabalhista australiano foi o pr"&amp;"imeiro partido socialista eleito do mundo quando formou o governo na colônia de Queensland por uma semana em 1899.")</f>
        <v> A história do socialismo tem suas origens na revolução francesa de 1789 e nas mudanças que ele fez, embora tenha precedentes em movimentos e idéias anteriores. O Manifesto Comunista foi escrito por Karl Marx e Friedrich Engels em 1848, pouco antes das revoluções de 1848, a Europa, expressando o que eles denominaram `` socialismo científico ''. No último terço do século XIX, os partidos social -democratas surgiram na Europa, desenhando principalmente do marxismo. O Partido Trabalhista australiano foi o primeiro partido socialista eleito do mundo quando formou o governo na colônia de Queensland por uma semana em 1899.</v>
      </c>
    </row>
    <row r="671" customFormat="false" ht="15.75" hidden="false" customHeight="true" outlineLevel="0" collapsed="false">
      <c r="A671" s="3" t="n">
        <v>668</v>
      </c>
      <c r="B671" s="5" t="s">
        <v>2002</v>
      </c>
      <c r="C671" s="5" t="s">
        <v>2003</v>
      </c>
      <c r="D671" s="5" t="s">
        <v>2004</v>
      </c>
      <c r="E671" s="4" t="str">
        <f aca="false">IFERROR(__xludf.dummyfunction("GOOGLETRANSLATE(C672)"),"que interpreta Harold no capitão do filme")</f>
        <v>que interpreta Harold no capitão do filme</v>
      </c>
      <c r="F671" s="5" t="str">
        <f aca="false">IFERROR(__xludf.dummyfunction("GOOGLETRANSLATE(D671)")," O filme acontece entre as temporadas cinco (episódio `` the End '') e seis (episódio `` o começo '') da série de televisão e é baseado na série 'mitologia extraterrestre. A história segue os agentes Mulder e Scully, removidos de seus empregos habituais n"&amp;"os arquivos X, e investigando o bombardeio de um edifício e a destruição de evidências criminais. Eles descobrem o que parece ser uma conspiração do governo tentando esconder a verdade sobre uma colonização alienígena da Terra.")</f>
        <v> O filme acontece entre as temporadas cinco (episódio `` the End '') e seis (episódio `` o começo '') da série de televisão e é baseado na série 'mitologia extraterrestre. A história segue os agentes Mulder e Scully, removidos de seus empregos habituais nos arquivos X, e investigando o bombardeio de um edifício e a destruição de evidências criminais. Eles descobrem o que parece ser uma conspiração do governo tentando esconder a verdade sobre uma colonização alienígena da Terra.</v>
      </c>
    </row>
    <row r="672" customFormat="false" ht="15.75" hidden="false" customHeight="true" outlineLevel="0" collapsed="false">
      <c r="A672" s="3" t="n">
        <v>669</v>
      </c>
      <c r="B672" s="5" t="s">
        <v>2005</v>
      </c>
      <c r="C672" s="5" t="s">
        <v>2006</v>
      </c>
      <c r="D672" s="5" t="s">
        <v>2007</v>
      </c>
      <c r="E672" s="4" t="str">
        <f aca="false">IFERROR(__xludf.dummyfunction("GOOGLETRANSLATE(C673)"),"onde os gigantes do New York jogam jogos em casa")</f>
        <v>onde os gigantes do New York jogam jogos em casa</v>
      </c>
      <c r="F672" s="5" t="str">
        <f aca="false">IFERROR(__xludf.dummyfunction("GOOGLETRANSLATE(D672)")," Na cidade de Piqua, Ohio, dois amigos da quarta série e vizinhos da próxima porta chamados George Beard (Kevin Hart) e Harold Hutchins (Thomas Middleditch) são os brincalhões da escola, Jerome Horwitz Elementary School. Eles brincam excessivamente aos pr"&amp;"ofessores cruéis, com muitas dessas brincadeiras dirigidas ao seu diretor `` mal '', o Sr. Benjamin `` Benny '' Krupp (Ed Helms), colocando os dois em desacordo com ele. A dupla também cria histórias em quadrinhos sobre um super -herói chamado Captain Bui"&amp;"ls, um personagem que tem superpotências e usa roupas íntimas e uma capa. Eles os vendem para seus colegas de escola através de uma empresa de quadrinhos chamada Treehouse Comix Inc., localizada em sua casa na árvore. As brincadeiras de George e Harold ch"&amp;"egam a um fim aparente depois que foram pegas adulterando uma invenção do banheiro, o Turbo Toilet 2000, fabricado pelo estojo local da escola e intelectual, Melvin Sneedly (Jordan Peele), em vídeo. Por causa disso, o Sr. Krupp não tem escolha a não ser a"&amp;"niquilar sua amizade, colocando -os em classes separadas.")</f>
        <v> Na cidade de Piqua, Ohio, dois amigos da quarta série e vizinhos da próxima porta chamados George Beard (Kevin Hart) e Harold Hutchins (Thomas Middleditch) são os brincalhões da escola, Jerome Horwitz Elementary School. Eles brincam excessivamente aos professores cruéis, com muitas dessas brincadeiras dirigidas ao seu diretor `` mal '', o Sr. Benjamin `` Benny '' Krupp (Ed Helms), colocando os dois em desacordo com ele. A dupla também cria histórias em quadrinhos sobre um super -herói chamado Captain Buils, um personagem que tem superpotências e usa roupas íntimas e uma capa. Eles os vendem para seus colegas de escola através de uma empresa de quadrinhos chamada Treehouse Comix Inc., localizada em sua casa na árvore. As brincadeiras de George e Harold chegam a um fim aparente depois que foram pegas adulterando uma invenção do banheiro, o Turbo Toilet 2000, fabricado pelo estojo local da escola e intelectual, Melvin Sneedly (Jordan Peele), em vídeo. Por causa disso, o Sr. Krupp não tem escolha a não ser aniquilar sua amizade, colocando -os em classes separadas.</v>
      </c>
    </row>
    <row r="673" customFormat="false" ht="15.75" hidden="false" customHeight="true" outlineLevel="0" collapsed="false">
      <c r="A673" s="3" t="n">
        <v>670</v>
      </c>
      <c r="B673" s="5" t="s">
        <v>2008</v>
      </c>
      <c r="C673" s="5" t="s">
        <v>2009</v>
      </c>
      <c r="D673" s="5" t="s">
        <v>2010</v>
      </c>
      <c r="E673" s="4" t="str">
        <f aca="false">IFERROR(__xludf.dummyfunction("GOOGLETRANSLATE(C674)"),"que jogou Blofeld apenas para seus olhos")</f>
        <v>que jogou Blofeld apenas para seus olhos</v>
      </c>
      <c r="F673" s="5" t="str">
        <f aca="false">IFERROR(__xludf.dummyfunction("GOOGLETRANSLATE(D673)"),"   A temporada atual do New York Giants foi criada em 1º de agosto de 1925; 92 anos atrás (1 de agosto de 1925) Primeira temporada: 1925 Play in Metlife Stadium East Rutherford, Nova Jersey, sede no centro de treinamento de diagnóstico de Diagnostics East"&amp;" Rutherford, Liga Nacional de Futebol da Liga de Palavras / Conferência de New Jersey LOGOMEY (1925) Orient Divisão (1933 -1949) American Conference (1950 -1952) Conferência Leste (1953 -1969) Divisão do Século (1967; 1969) Divisão de Capitólio (1968) Con"&amp;"ferência Nacional de Futebol (1970 -presente) NFC East (1970 - Presente) Cores da equipe de uniforme atual, azul escuro, vermelho e branco proprietário (s) John Mara, presidente do Steve Tisch, presidente da Steve Tisch, gerente geral do gerente geral Dav"&amp;"e Gettleman, Steve Spagnuolo (interino) História da equipe do New York Giants (1925 - presente) A equipe apelia de Big Blue, G - Men, Jints, Big Blue Wrecking Crew, campeonato da Liga dos Campeonatos de Giants de Futebol de Nova York (8) Campeonatos da NF"&amp;"L (AFL antes de 1970 - fusão da NFL) (4) 1927, 1934, 1938, 1956 Campeonato (4) 1986 (xxi), 1990 (xxv), 2007 (xlii), 2011 (xlvi) Campeonatos de Conferência (11) NFL Eastern: 1956, 1958, 1959, 1961, 1962, 1963 NFC: 1986, 1990, 2000, 2007, 2011 Campeonatos d"&amp;"e divisão (16) NFL East: 1933, 1934, 1935, 1938, 1939, 1941, 1944, 1946 NFC East: 1986, 1989, 1990, 1997, 2000, 2005, 2008, 2011 : 1933 , 1934 , 1935 , 1938 , 1939 , 1941 , 1943 , 1944 , 1946 , 1950 , 1956 , 1958 , 1959 , 1961 , 1962 , 1963 , 1981 , 1984 "&amp;", 1985 , 1986 , 1989 , 1990 , 1993 , 1997 , 2000 , 2002, 2005, 2006, 2007, 2008, 2011, 2016, Home Fields Polo Grounds (1925 - 1955) Yankee Stadium (1956 - 1973) Yale Bowl (1973 - 1974) Shea Stadium (1975) Giants Stadium (1976 - 1976 - - 2009) MetLife Stad"&amp;"ium (2010 - presente)")</f>
        <v>   A temporada atual do New York Giants foi criada em 1º de agosto de 1925; 92 anos atrás (1 de agosto de 1925) Primeira temporada: 1925 Play in Metlife Stadium East Rutherford, Nova Jersey, sede no centro de treinamento de diagnóstico de Diagnostics East Rutherford, Liga Nacional de Futebol da Liga de Palavras / Conferência de New Jersey LOGOMEY (1925) Orient Divisão (1933 -1949) American Conference (1950 -1952) Conferência Leste (1953 -1969) Divisão do Século (1967; 1969) Divisão de Capitólio (1968) Conferência Nacional de Futebol (1970 -presente) NFC East (1970 - Presente) Cores da equipe de uniforme atual, azul escuro, vermelho e branco proprietário (s) John Mara, presidente do Steve Tisch, presidente da Steve Tisch, gerente geral do gerente geral Dave Gettleman, Steve Spagnuolo (interino) História da equipe do New York Giants (1925 - presente) A equipe apelia de Big Blue, G - Men, Jints, Big Blue Wrecking Crew, campeonato da Liga dos Campeonatos de Giants de Futebol de Nova York (8) Campeonatos da NFL (AFL antes de 1970 - fusão da NFL) (4) 1927, 1934, 1938, 1956 Campeonato (4) 1986 (xxi), 1990 (xxv), 2007 (xlii), 2011 (xlvi) Campeonatos de Conferência (11) NFL Eastern: 1956, 1958, 1959, 1961, 1962, 1963 NFC: 1986, 1990, 2000, 2007, 2011 Campeonatos de divisão (16) NFL East: 1933, 1934, 1935, 1938, 1939, 1941, 1944, 1946 NFC East: 1986, 1989, 1990, 1997, 2000, 2005, 2008, 2011 : 1933 , 1934 , 1935 , 1938 , 1939 , 1941 , 1943 , 1944 , 1946 , 1950 , 1956 , 1958 , 1959 , 1961 , 1962 , 1963 , 1981 , 1984 , 1985 , 1986 , 1989 , 1990 , 1993 , 1997 , 2000 , 2002, 2005, 2006, 2007, 2008, 2011, 2016, Home Fields Polo Grounds (1925 - 1955) Yankee Stadium (1956 - 1973) Yale Bowl (1973 - 1974) Shea Stadium (1975) Giants Stadium (1976 - 1976 - - 2009) MetLife Stadium (2010 - presente)</v>
      </c>
    </row>
    <row r="674" customFormat="false" ht="15.75" hidden="false" customHeight="true" outlineLevel="0" collapsed="false">
      <c r="A674" s="3" t="n">
        <v>671</v>
      </c>
      <c r="B674" s="5" t="s">
        <v>2011</v>
      </c>
      <c r="C674" s="5" t="s">
        <v>2012</v>
      </c>
      <c r="D674" s="5" t="s">
        <v>2013</v>
      </c>
      <c r="E674" s="4" t="str">
        <f aca="false">IFERROR(__xludf.dummyfunction("GOOGLETRANSLATE(C675)"),"que jogou David em um dia de cada vez")</f>
        <v>que jogou David em um dia de cada vez</v>
      </c>
      <c r="F674" s="5" t="str">
        <f aca="false">IFERROR(__xludf.dummyfunction("GOOGLETRANSLATE(D674)")," Em uma sexta aparição - na sequência pré -crédito de apenas para seus olhos - ele é um vilão anônimo, careca e encadernado, tentando matar Bond mais uma vez. Blofeld permanece sem nome e não listado nos créditos finais do filme. As únicas pistas de sua i"&amp;"dentidade são o gato branco da marca registrada, roupas semelhantes às suas aparições na tela anterior, o diálogo indicando que ele e Bond já se encontraram antes, e o fato de que a cena começa com Bond prestando seus respeitos no túmulo de Tracy, muitas "&amp;"vezes considerado pelos produtores como um meio de fornecer um `` link de continuidade imediato '' no caso de um novo ator assumir o papel de Bond (embora esse tenha sido a quinta aparição de Roger Moore como Bond). O anonimato do vilão foi devido à dispu"&amp;"ta legal entre Kevin McClory e Eon Productions sobre os direitos autorais do Thunderball.")</f>
        <v> Em uma sexta aparição - na sequência pré -crédito de apenas para seus olhos - ele é um vilão anônimo, careca e encadernado, tentando matar Bond mais uma vez. Blofeld permanece sem nome e não listado nos créditos finais do filme. As únicas pistas de sua identidade são o gato branco da marca registrada, roupas semelhantes às suas aparições na tela anterior, o diálogo indicando que ele e Bond já se encontraram antes, e o fato de que a cena começa com Bond prestando seus respeitos no túmulo de Tracy, muitas vezes considerado pelos produtores como um meio de fornecer um `` link de continuidade imediato '' no caso de um novo ator assumir o papel de Bond (embora esse tenha sido a quinta aparição de Roger Moore como Bond). O anonimato do vilão foi devido à disputa legal entre Kevin McClory e Eon Productions sobre os direitos autorais do Thunderball.</v>
      </c>
    </row>
    <row r="675" customFormat="false" ht="15.75" hidden="false" customHeight="true" outlineLevel="0" collapsed="false">
      <c r="A675" s="3" t="n">
        <v>672</v>
      </c>
      <c r="B675" s="5" t="s">
        <v>2014</v>
      </c>
      <c r="C675" s="5" t="s">
        <v>2015</v>
      </c>
      <c r="D675" s="5" t="s">
        <v>2016</v>
      </c>
      <c r="E675" s="4" t="str">
        <f aca="false">IFERROR(__xludf.dummyfunction("GOOGLETRANSLATE(C676)"),"Quem interpreta Jackie em está sempre ensolarado")</f>
        <v>Quem interpreta Jackie em está sempre ensolarado</v>
      </c>
      <c r="F675" s="5" t="str">
        <f aca="false">IFERROR(__xludf.dummyfunction("GOOGLETRANSLATE(D675)")," Ann Romano, uma mãe divorciada, se muda de sua casa em Logansport, Indiana, para Indianapolis com suas filhas, a rebelde Julie e a Wisecracking Barbara. Ann frequentemente luta para manter seu papel como mãe, enquanto oferece às filhas a liberdade que el"&amp;"a nunca teve quando jovem. Ann começa a namorar seu advogado de divórcio, David Kane (Richard Masur). Eles ficam noivos e o chamam no dia do casamento, quando David diz que quer filhos, mas Ann não. Dwayne Schneider, o superintendente peculiar do edifício"&amp;" (na maioria das vezes referido apenas pelo seu sobrenome), fornece conselhos geralmente indesejados aos inquilinos.")</f>
        <v> Ann Romano, uma mãe divorciada, se muda de sua casa em Logansport, Indiana, para Indianapolis com suas filhas, a rebelde Julie e a Wisecracking Barbara. Ann frequentemente luta para manter seu papel como mãe, enquanto oferece às filhas a liberdade que ela nunca teve quando jovem. Ann começa a namorar seu advogado de divórcio, David Kane (Richard Masur). Eles ficam noivos e o chamam no dia do casamento, quando David diz que quer filhos, mas Ann não. Dwayne Schneider, o superintendente peculiar do edifício (na maioria das vezes referido apenas pelo seu sobrenome), fornece conselhos geralmente indesejados aos inquilinos.</v>
      </c>
    </row>
    <row r="676" customFormat="false" ht="15.75" hidden="false" customHeight="true" outlineLevel="0" collapsed="false">
      <c r="A676" s="3" t="n">
        <v>673</v>
      </c>
      <c r="B676" s="5" t="s">
        <v>2017</v>
      </c>
      <c r="C676" s="5" t="s">
        <v>2018</v>
      </c>
      <c r="D676" s="5" t="s">
        <v>2019</v>
      </c>
      <c r="E676" s="4" t="str">
        <f aca="false">IFERROR(__xludf.dummyfunction("GOOGLETRANSLATE(C677)"),"que interpretou Little Ricky como um bebê em I Love Lucy")</f>
        <v>que interpretou Little Ricky como um bebê em I Love Lucy</v>
      </c>
      <c r="F676" s="5" t="str">
        <f aca="false">IFERROR(__xludf.dummyfunction("GOOGLETRANSLATE(D676)")," Jessica Collins (nascida Jessica Lynn Capogna; 1 de abril de 1971) é uma atriz americana. Ela é mais conhecida por retratar Dinah Lee Mayberry na Soop Opera Loving (1991 - 1994) e Avery Bailey Clark na novela da CBS The Young and the Restless (2011 - 201"&amp;"5). Ela também estrelou como Meredith Davies no chamado Tru da Fox e apareceu em papéis recorrentes e convidados em muitos outros shows.")</f>
        <v> Jessica Collins (nascida Jessica Lynn Capogna; 1 de abril de 1971) é uma atriz americana. Ela é mais conhecida por retratar Dinah Lee Mayberry na Soop Opera Loving (1991 - 1994) e Avery Bailey Clark na novela da CBS The Young and the Restless (2011 - 2015). Ela também estrelou como Meredith Davies no chamado Tru da Fox e apareceu em papéis recorrentes e convidados em muitos outros shows.</v>
      </c>
    </row>
    <row r="677" customFormat="false" ht="15.75" hidden="false" customHeight="true" outlineLevel="0" collapsed="false">
      <c r="A677" s="3" t="n">
        <v>674</v>
      </c>
      <c r="B677" s="5" t="s">
        <v>2020</v>
      </c>
      <c r="C677" s="5" t="s">
        <v>2021</v>
      </c>
      <c r="D677" s="5" t="s">
        <v>2022</v>
      </c>
      <c r="E677" s="4" t="str">
        <f aca="false">IFERROR(__xludf.dummyfunction("GOOGLETRANSLATE(C678)"),"De onde vem o nome da América Latina")</f>
        <v>De onde vem o nome da América Latina</v>
      </c>
      <c r="F677" s="5" t="str">
        <f aca="false">IFERROR(__xludf.dummyfunction("GOOGLETRANSLATE(D677)")," Enrique Alberto Ricardo IV, `` Little Ricky '' é um personagem fictício da série de televisão americana I Love Lucy (1951 - 57, com Ricky Jr. se tornando parte do programa a partir de seu nascimento em 1953) e a Lucy - Desi Comedy Hour (1957 - 60). Littl"&amp;"e Ricky foi interpretado por vários atores, incluindo James John Ganzer, os gêmeos Richard e Ronald Lee Simmons, os gêmeos Michael e Joseph Mayer e, principalmente, Keith Thibodeaux, anunciados como Little Ricky. Embora o locutor I Love Lucy e os créditos"&amp;" de abertura da Hora da Comédia de Lucy - Desi deram seu nome artístico como `` Little Ricky '', em sua carreira de ator pós -lucriante, particularmente sua passagem irregular de quatro anos no programa de Andy Griffith, Ele foi anunciado como Richard Kei"&amp;"th.")</f>
        <v> Enrique Alberto Ricardo IV, `` Little Ricky '' é um personagem fictício da série de televisão americana I Love Lucy (1951 - 57, com Ricky Jr. se tornando parte do programa a partir de seu nascimento em 1953) e a Lucy - Desi Comedy Hour (1957 - 60). Little Ricky foi interpretado por vários atores, incluindo James John Ganzer, os gêmeos Richard e Ronald Lee Simmons, os gêmeos Michael e Joseph Mayer e, principalmente, Keith Thibodeaux, anunciados como Little Ricky. Embora o locutor I Love Lucy e os créditos de abertura da Hora da Comédia de Lucy - Desi deram seu nome artístico como `` Little Ricky '', em sua carreira de ator pós -lucriante, particularmente sua passagem irregular de quatro anos no programa de Andy Griffith, Ele foi anunciado como Richard Keith.</v>
      </c>
    </row>
    <row r="678" customFormat="false" ht="15.75" hidden="false" customHeight="true" outlineLevel="0" collapsed="false">
      <c r="A678" s="3" t="n">
        <v>675</v>
      </c>
      <c r="B678" s="5" t="s">
        <v>2023</v>
      </c>
      <c r="C678" s="5" t="s">
        <v>2024</v>
      </c>
      <c r="D678" s="5" t="s">
        <v>2025</v>
      </c>
      <c r="E678" s="4" t="str">
        <f aca="false">IFERROR(__xludf.dummyfunction("GOOGLETRANSLATE(C679)"),"quem se torna badnaam para seu querido de acordo com a música em dabangg")</f>
        <v>quem se torna badnaam para seu querido de acordo com a música em dabangg</v>
      </c>
      <c r="F678" s="5" t="str">
        <f aca="false">IFERROR(__xludf.dummyfunction("GOOGLETRANSLATE(D678)")," A América Latina é um grupo de países e dependências no hemisfério ocidental, onde são falados idiomas romances, como espanhol, francês e português; É mais amplo que os termos que o Ibero - América ou América hispânica. O termo se originou no governo fra"&amp;"ncês de Napoleão III em meados do século XIX como Amérique Latine para considerar territórios de falar francês nas Américas (canadenses franceses, Louisiana francesa, Guiana Francesa, Haiti, Guadeloupe, Martinique, Saint Martin, Saint Barthélemy) Juntamen"&amp;"te com o maior grupo de países onde prevaleceram idiomas espanhóis e portugueses, incluindo as partes espanholas - falantes dos Estados Unidos (sudoeste dos Estados Unidos e Flórida) hoje, áreas do Canadá e dos Estados Unidos (com exceção de Porto Rico e "&amp;"Miami) Onde espanhol, português e francês são predominantes normalmente não estão incluídos nas definições da América Latina.")</f>
        <v> A América Latina é um grupo de países e dependências no hemisfério ocidental, onde são falados idiomas romances, como espanhol, francês e português; É mais amplo que os termos que o Ibero - América ou América hispânica. O termo se originou no governo francês de Napoleão III em meados do século XIX como Amérique Latine para considerar territórios de falar francês nas Américas (canadenses franceses, Louisiana francesa, Guiana Francesa, Haiti, Guadeloupe, Martinique, Saint Martin, Saint Barthélemy) Juntamente com o maior grupo de países onde prevaleceram idiomas espanhóis e portugueses, incluindo as partes espanholas - falantes dos Estados Unidos (sudoeste dos Estados Unidos e Flórida) hoje, áreas do Canadá e dos Estados Unidos (com exceção de Porto Rico e Miami) Onde espanhol, português e francês são predominantes normalmente não estão incluídos nas definições da América Latina.</v>
      </c>
    </row>
    <row r="679" customFormat="false" ht="15.75" hidden="false" customHeight="true" outlineLevel="0" collapsed="false">
      <c r="A679" s="3" t="n">
        <v>676</v>
      </c>
      <c r="B679" s="5" t="s">
        <v>2026</v>
      </c>
      <c r="C679" s="5" t="s">
        <v>2027</v>
      </c>
      <c r="D679" s="5" t="s">
        <v>2028</v>
      </c>
      <c r="E679" s="4" t="str">
        <f aca="false">IFERROR(__xludf.dummyfunction("GOOGLETRANSLATE(C680)"),"Quem fez a voz de Andy em Toy Story")</f>
        <v>Quem fez a voz de Andy em Toy Story</v>
      </c>
      <c r="F679" s="5" t="str">
        <f aca="false">IFERROR(__xludf.dummyfunction("GOOGLETRANSLATE(D679)")," Malaiika Arora como Munni no número do item `` munni badnaam hui '")</f>
        <v> Malaiika Arora como Munni no número do item `` munni badnaam hui '</v>
      </c>
    </row>
    <row r="680" customFormat="false" ht="15.75" hidden="false" customHeight="true" outlineLevel="0" collapsed="false">
      <c r="A680" s="3" t="n">
        <v>677</v>
      </c>
      <c r="B680" s="5" t="s">
        <v>2029</v>
      </c>
      <c r="C680" s="5" t="s">
        <v>2030</v>
      </c>
      <c r="D680" s="5" t="s">
        <v>2031</v>
      </c>
      <c r="E680" s="4" t="str">
        <f aca="false">IFERROR(__xludf.dummyfunction("GOOGLETRANSLATE(C681)"),"quem escreveu se te amar está errado, eu não quero estar certo")</f>
        <v>quem escreveu se te amar está errado, eu não quero estar certo</v>
      </c>
      <c r="F680" s="5" t="str">
        <f aca="false">IFERROR(__xludf.dummyfunction("GOOGLETRANSLATE(D680)"),"  Tom Hanks como Woody, uma boneca de cowboy de tração. Tim Allen como Buzz Lightyear, uma figura de ação do Ranger Space e o rival de Woody, que mais tarde se torna seu melhor amigo. Don Rickles como o Sr. Potato Head, uma boneca em forma de batata cínic"&amp;"a com peças juntas em seu corpo. Jim Varney como Slinky Dog, um brinquedo slinky de Dachshund. Wallace Shawn como Rex, uma estatueta verde do Tyrannosaurus Rex. John Ratzenberger como Hamm, um smart - Bank Piggy. Annie Potts como Bo Peep, uma boneca de pa"&amp;"stora de porcelana e o interesse amoroso de Woody. John Morris como Andy, Woody e Buzz de seis anos - proprietário. Erik von detten como Sid, vizinho de Andy ao lado e um valentão de dez anos -, que tortura brinquedos por sua própria diversão. Laurie Metc"&amp;"alf como Sra. Davis, mãe de Andy. R. Lee Ermey como sargento, o líder de uma grande tropa de homens de exército verde plástico. Sarah Freeman como Hannah, irmã mais nova de Sid. Penn Jillette como locutor de TV, BUZZ Lightyear Comercial Aditutor")</f>
        <v>  Tom Hanks como Woody, uma boneca de cowboy de tração. Tim Allen como Buzz Lightyear, uma figura de ação do Ranger Space e o rival de Woody, que mais tarde se torna seu melhor amigo. Don Rickles como o Sr. Potato Head, uma boneca em forma de batata cínica com peças juntas em seu corpo. Jim Varney como Slinky Dog, um brinquedo slinky de Dachshund. Wallace Shawn como Rex, uma estatueta verde do Tyrannosaurus Rex. John Ratzenberger como Hamm, um smart - Bank Piggy. Annie Potts como Bo Peep, uma boneca de pastora de porcelana e o interesse amoroso de Woody. John Morris como Andy, Woody e Buzz de seis anos - proprietário. Erik von detten como Sid, vizinho de Andy ao lado e um valentão de dez anos -, que tortura brinquedos por sua própria diversão. Laurie Metcalf como Sra. Davis, mãe de Andy. R. Lee Ermey como sargento, o líder de uma grande tropa de homens de exército verde plástico. Sarah Freeman como Hannah, irmã mais nova de Sid. Penn Jillette como locutor de TV, BUZZ Lightyear Comercial Aditutor</v>
      </c>
    </row>
    <row r="681" customFormat="false" ht="15.75" hidden="false" customHeight="true" outlineLevel="0" collapsed="false">
      <c r="A681" s="3" t="n">
        <v>678</v>
      </c>
      <c r="B681" s="5" t="s">
        <v>2032</v>
      </c>
      <c r="C681" s="5" t="s">
        <v>2033</v>
      </c>
      <c r="D681" s="5" t="s">
        <v>2034</v>
      </c>
      <c r="E681" s="4" t="str">
        <f aca="false">IFERROR(__xludf.dummyfunction("GOOGLETRANSLATE(C682)"),"é um computador da mesma forma que um laptop")</f>
        <v>é um computador da mesma forma que um laptop</v>
      </c>
      <c r="F681" s="5" t="str">
        <f aca="false">IFERROR(__xludf.dummyfunction("GOOGLETRANSLATE(D681)")," `` (Se te amar está errado) Eu não quero estar certo '' é uma música escrita por Stax Records Songwriters Homer Banks, Carl Hampton e Raymond Jackson. Originalmente escrito para as emoções, ele foi realizado por muitos cantores, principalmente por Luther"&amp;" Ingram, cuja versão gravada original liderou a parada de R&amp;B por quatro semanas e subiu para o número três na parada Billboard Hot 100 em 1972. A Billboard classificou -o como a música número 16 de 1972.")</f>
        <v> `` (Se te amar está errado) Eu não quero estar certo '' é uma música escrita por Stax Records Songwriters Homer Banks, Carl Hampton e Raymond Jackson. Originalmente escrito para as emoções, ele foi realizado por muitos cantores, principalmente por Luther Ingram, cuja versão gravada original liderou a parada de R&amp;B por quatro semanas e subiu para o número três na parada Billboard Hot 100 em 1972. A Billboard classificou -o como a música número 16 de 1972.</v>
      </c>
    </row>
    <row r="682" customFormat="false" ht="15.75" hidden="false" customHeight="true" outlineLevel="0" collapsed="false">
      <c r="A682" s="3" t="n">
        <v>679</v>
      </c>
      <c r="B682" s="5" t="s">
        <v>2035</v>
      </c>
      <c r="C682" s="5" t="s">
        <v>2036</v>
      </c>
      <c r="D682" s="5" t="s">
        <v>2037</v>
      </c>
      <c r="E682" s="4" t="str">
        <f aca="false">IFERROR(__xludf.dummyfunction("GOOGLETRANSLATE(C683)"),"Quem cantou relembra meu fogo antes de pegar isso")</f>
        <v>Quem cantou relembra meu fogo antes de pegar isso</v>
      </c>
      <c r="F682" s="5" t="str">
        <f aca="false">IFERROR(__xludf.dummyfunction("GOOGLETRANSLATE(D682)")," Um laptop (também chamado de notebook) é semelhante a um desktop, mas foi projetado para portabilidade. Geralmente, todos os hardware e interfaces necessários para operar um laptop, como placa gráfica, dispositivos de áudio ou portas USB (portas anterior"&amp;"mente paralelas e seriais), são incorporadas em uma única unidade. Os laptops geralmente têm o design `` Clamshell '', no qual o teclado e os componentes do computador estão em um painel e uma tela plana em um segundo painel, que é articulado para o prime"&amp;"iro painel. O laptop é aberto para uso e fechado para transporte. O fechamento do laptop também protege a tela e o teclado durante o transporte. Os laptops possuem um cabo de alimentação que pode ser conectado e baterias de alta capacidade que podem ligar"&amp;" o dispositivo, aumentando sua portabilidade. Depois que a carga da bateria estiver esgotada, ela terá que ser recarregada através de uma tomada de energia. No interesse de economizar poder, peso e espaço, as placas gráficas de laptop são, em muitos casos"&amp;", integradas à CPU ou chipset e usam RAM do sistema, resultando em desempenho gráfico reduzido quando comparado a uma máquina de mesa equivalente. Por esse motivo, os computadores de mesa geralmente são preferidos a laptops para fins de jogos.")</f>
        <v> Um laptop (também chamado de notebook) é semelhante a um desktop, mas foi projetado para portabilidade. Geralmente, todos os hardware e interfaces necessários para operar um laptop, como placa gráfica, dispositivos de áudio ou portas USB (portas anteriormente paralelas e seriais), são incorporadas em uma única unidade. Os laptops geralmente têm o design `` Clamshell '', no qual o teclado e os componentes do computador estão em um painel e uma tela plana em um segundo painel, que é articulado para o primeiro painel. O laptop é aberto para uso e fechado para transporte. O fechamento do laptop também protege a tela e o teclado durante o transporte. Os laptops possuem um cabo de alimentação que pode ser conectado e baterias de alta capacidade que podem ligar o dispositivo, aumentando sua portabilidade. Depois que a carga da bateria estiver esgotada, ela terá que ser recarregada através de uma tomada de energia. No interesse de economizar poder, peso e espaço, as placas gráficas de laptop são, em muitos casos, integradas à CPU ou chipset e usam RAM do sistema, resultando em desempenho gráfico reduzido quando comparado a uma máquina de mesa equivalente. Por esse motivo, os computadores de mesa geralmente são preferidos a laptops para fins de jogos.</v>
      </c>
    </row>
    <row r="683" customFormat="false" ht="15.75" hidden="false" customHeight="true" outlineLevel="0" collapsed="false">
      <c r="A683" s="3" t="n">
        <v>680</v>
      </c>
      <c r="B683" s="5" t="s">
        <v>2038</v>
      </c>
      <c r="C683" s="5" t="s">
        <v>2039</v>
      </c>
      <c r="D683" s="5" t="s">
        <v>2040</v>
      </c>
      <c r="E683" s="4" t="str">
        <f aca="false">IFERROR(__xludf.dummyfunction("GOOGLETRANSLATE(C684)"),"Qual é a função do capacitor em um circuito")</f>
        <v>Qual é a função do capacitor em um circuito</v>
      </c>
      <c r="F683" s="5" t="str">
        <f aca="false">IFERROR(__xludf.dummyfunction("GOOGLETRANSLATE(D683)")," `` Relight My Fire '' é uma música popular que foi escrita e lançada por Dan Hartman em 1979, quando liderou as paradas de dance music dos EUA por seis semanas. Também foi realizado pela Band Café Society da Costa Anadiotis em 1984 e pela boy band britân"&amp;"ica Take That (com Lulu em um papel de destaque) em 1993.")</f>
        <v> `` Relight My Fire '' é uma música popular que foi escrita e lançada por Dan Hartman em 1979, quando liderou as paradas de dance music dos EUA por seis semanas. Também foi realizado pela Band Café Society da Costa Anadiotis em 1984 e pela boy band britânica Take That (com Lulu em um papel de destaque) em 1993.</v>
      </c>
    </row>
    <row r="684" customFormat="false" ht="15.75" hidden="false" customHeight="true" outlineLevel="0" collapsed="false">
      <c r="A684" s="3" t="n">
        <v>681</v>
      </c>
      <c r="B684" s="5" t="s">
        <v>2041</v>
      </c>
      <c r="C684" s="5" t="s">
        <v>2042</v>
      </c>
      <c r="D684" s="5" t="s">
        <v>2043</v>
      </c>
      <c r="E684" s="4" t="str">
        <f aca="false">IFERROR(__xludf.dummyfunction("GOOGLETRANSLATE(C685)"),"quão longe as abelhas de mel viajam de sua colméia")</f>
        <v>quão longe as abelhas de mel viajam de sua colméia</v>
      </c>
      <c r="F684" s="5" t="str">
        <f aca="false">IFERROR(__xludf.dummyfunction("GOOGLETRANSLATE(D684)")," Um capacitor é um componente elétrico passivo de dois terminais que armazena energia potencial em um campo elétrico. O efeito de um capacitor é conhecido como capacitância. Enquanto existe alguma capacitância entre dois condutores elétricos nas proximida"&amp;"des em um circuito, um capacitor é um componente projetado para adicionar capacitância a um circuito. O capacitor era originalmente conhecido como condensador.")</f>
        <v> Um capacitor é um componente elétrico passivo de dois terminais que armazena energia potencial em um campo elétrico. O efeito de um capacitor é conhecido como capacitância. Enquanto existe alguma capacitância entre dois condutores elétricos nas proximidades em um circuito, um capacitor é um componente projetado para adicionar capacitância a um circuito. O capacitor era originalmente conhecido como condensador.</v>
      </c>
    </row>
    <row r="685" customFormat="false" ht="15.75" hidden="false" customHeight="true" outlineLevel="0" collapsed="false">
      <c r="A685" s="3" t="n">
        <v>682</v>
      </c>
      <c r="B685" s="5" t="s">
        <v>2044</v>
      </c>
      <c r="C685" s="5" t="s">
        <v>2045</v>
      </c>
      <c r="D685" s="5" t="s">
        <v>2046</v>
      </c>
      <c r="E685" s="4" t="str">
        <f aca="false">IFERROR(__xludf.dummyfunction("GOOGLETRANSLATE(C686)"),"Quando foi a última vez que o leste All Stars venceu")</f>
        <v>Quando foi a última vez que o leste All Stars venceu</v>
      </c>
      <c r="F685" s="5" t="str">
        <f aca="false">IFERROR(__xludf.dummyfunction("GOOGLETRANSLATE(D685)")," Como regra geral, a área de forrageamento em torno de uma colméia se estende por duas milhas (3 km), embora as abelhas tenham sido observadas forrageando duas e três vezes essa distância da colméia. Experimentos mostraram que as colinas dentro de 6 quilô"&amp;"metros de uma fonte de alimento ganharão peso, mas além disso a energia gasta é maior do que a obtida durante o voo de forrageamento. A forragem a distâncias extremas veste as asas de abelhas individuais, reduz a expectativa de vida de abelhas e, portanto"&amp;", a eficiência da colônia. A temperatura mínima para a forragem ativa de abelhas é de aproximadamente 55 ° F (13 ° C). A atividade total de forrageamento não é alcançada até que a temperatura suba para 19 ° C (66 ° F). Existem pequenas diferenças nas raça"&amp;"s das abelhas ocidentais em que temperatura elas começarão a forragear.")</f>
        <v> Como regra geral, a área de forrageamento em torno de uma colméia se estende por duas milhas (3 km), embora as abelhas tenham sido observadas forrageando duas e três vezes essa distância da colméia. Experimentos mostraram que as colinas dentro de 6 quilômetros de uma fonte de alimento ganharão peso, mas além disso a energia gasta é maior do que a obtida durante o voo de forrageamento. A forragem a distâncias extremas veste as asas de abelhas individuais, reduz a expectativa de vida de abelhas e, portanto, a eficiência da colônia. A temperatura mínima para a forragem ativa de abelhas é de aproximadamente 55 ° F (13 ° C). A atividade total de forrageamento não é alcançada até que a temperatura suba para 19 ° C (66 ° F). Existem pequenas diferenças nas raças das abelhas ocidentais em que temperatura elas começarão a forragear.</v>
      </c>
    </row>
    <row r="686" customFormat="false" ht="15.75" hidden="false" customHeight="true" outlineLevel="0" collapsed="false">
      <c r="A686" s="3" t="n">
        <v>683</v>
      </c>
      <c r="B686" s="5" t="s">
        <v>2047</v>
      </c>
      <c r="C686" s="5" t="s">
        <v>2048</v>
      </c>
      <c r="D686" s="5" t="s">
        <v>2049</v>
      </c>
      <c r="E686" s="4" t="str">
        <f aca="false">IFERROR(__xludf.dummyfunction("GOOGLETRANSLATE(C687)"),"é a liderança em copos de vinho de cristal")</f>
        <v>é a liderança em copos de vinho de cristal</v>
      </c>
      <c r="F686" s="5" t="str">
        <f aca="false">IFERROR(__xludf.dummyfunction("GOOGLETRANSLATE(D686)"),"   Year   Result   Host arena   Host city   Game MVP     1951   East 111 , West 94   Boston Garden   Boston , Massachusetts   Ed Macauley , Boston Celtics     1952   East 108 , West 91   Boston Garden ( 2 )   Boston , Massachusetts ( 2 )   Paul Arizin , P"&amp;"hiladelphia Warriors     1953   West 79 , East 75 Memorial de Guerra do Condado de Allen Coliseu Fort Wayne, Indiana George Mikan, Minneapolis Lakers 1954 East 98, West 93 (OT) Madison Square Garden (1925) * * Nova York, Nova York Bob Cousy, Boston Celtic"&amp;"s 1955, Leste 100, 91 Madison Square Garden (1925) * * (2) Nova York, Nova York (2) Bill Sharman, Boston Celtics 1956 West 108, East 94 Rochester War Memorial Coliseum Rochester, Nova York Bob Pettit, St. Louis Hawks 1957 East 109, West 97 Boston Garden ("&amp;"3) Boston, Massachusetts (3) Bob Cousy (2), Boston Celtics 1958 East 130, West 118 St. Louis Arena St. Louis, Missouri Bob Pettit (2), St. Louis Hawks 1959 West 124, East 108 Olympia Stadium Detroit, Michigan Elgin Baylor, Minneapolis Lakers Bob Pettit (3"&amp;"), St. Louis Hawks 1960 East 125, West 115 Convention Hall Philadelphia, Pennsylvania Wiltlain, Philadelphia Warriums 1961 West 153, Leste 131 On Sondaga Memumlain, colherfia Warriums 1961 , Nova York Oscar Robertson, Cincinnati Royals 1962 West 150, East"&amp;" 130 St. Louis Arena (2) St. Louis, Missouri (2) Bob Pettit (4), St. Louis Hawks 1963 East 115, West 108 La Sports Arena Los Angeles , California Bill Russell, Boston Celtics 1964 East 111, West 107 Boston Garden (4) Boston, Massachusetts (4) Oscar Robert"&amp;"son (2), Cincinnati Royals 1965 East 124, West 123 St. Louis Arena (3) St. Louis, Missouri (3) Jerry Lucas, Cincinnati Royals 1966 Leste 137, West 94 Cincinnati Gardens Cincinnati, Ohio Adrian Smith, Cincinnati Royals 1967 West 135, leste 120 Palácio de v"&amp;"aca Daly City, Califórnia Rick Barry, São Francisco Warriors 1968 144 Jardim (1925) * * (3) Nova York, Nova York (3) Hal Greer, Philadelphia 76ers 1969 East 123, West 112 Baltimore Civic Center Baltimore, Maryland Oscar Robertson (3), Cincinnati Royals 19"&amp;"70 East 142, oeste 135 O Spectrum Philadelphia, Pensilvânia (2) Willis Reed, New York Knicks 1971 West 108, East 107 San Diego Sports Arena San Diego, Califórnia Lenny Wilkens, Seattle Supersonics 1972 West 112, East 110 O Fórum Inglewood, Califórnia Jerr"&amp;"y, Los Angeleses 1972 East 104, West 84 Chicago Stadium Chicago, Illinois Dave Cowens, Boston Celtics West 134, East 123 Seattle Center Coliseum Seattle, Washington Bob Lanier, Detroit Pistons East 108, West 102 Arizona Veterans Memorial Coliseum Phoenix,"&amp;" Arizona Walt Frazier, New Yorks 1976, 1976, 1976, 1976, New York. East 123 , West 109   The Spectrum ( 2 )   Philadelphia , Pennsylvania ( 3 )   Dave Bing , Washington Bullets     1977   West 125 , East 124   Milwaukee Arena   Milwaukee , Wisconsin   Jul"&amp;"ius Erving , Philadelphia 76ers     1978   East 133 , West 125   Omni Coliseum   Atlanta , Georgia   Randy Smith , Buffalo Braves 1979 West 134, East 129 Pontiac Silverdome Pontiac, Michigan † David Thompson, Denver Nuggets 1980 East 144, West 136 (OT) Ca"&amp;"pital Center Landover, Maryland George Gervin, San Antonio Spurs 1981 East 123, 120 Coliseu em Richfield Richfield , Ohio Nate Archibald, Boston Celtics 1982 East 120, West 118 Brendan Byrne Arena East Rutherford, Nova Jersey Larry Bird, Boston Celtics Ea"&amp;"st 132, West 123 O Fórum (2) Inglewood, Califórnia (2) Julius Erving (2), Philadelphia 76ers, 1984 East 154, West 145 (OT) McNichols Sports Arena Denver, Colorado Isiah Thomas, Detroit Pistons 1985 West 140, East 129 Hoosier Dome Indianapolis, Indiana † R"&amp;"alph Sampson, Houston Rockets 1986 Leste 139, oeste 132 Reunião Arena Dallas, Texas Isiah Isiah (2), Detroit Pistons West 154, East 149 (OT) Kingdome Seattle, Washington † (2) Tom Chambers, Seattle Supersonics 1988 East 138, West 133 Stadium Chicago (2) C"&amp;"hicago, Illinois (2) Michael Jordan, Chicago Bulls 1989 West 143, East 134 Astrodome Houston, Texas † Karl Malone, Utah Jazz 1990 East 130, West 113 Miami Arena Miami, Florida Magic Johnson, Los Angeles Lakers 1991 East 116, West 114 114 Charlotte Coliseu"&amp;"m Charlotte, North Carolina Charles Barkley, Philadelphia 76 West 153, East 113 Orlando Arena Orlando, Florida Magic Johnson (2), Los Angeles Lakers 1993 West 135, East 132 (OT) Delta Center Salt Lake City, Utah Karl Malone (2), Utah Jazz John Stockton, U"&amp;"tah Jazz 1994 127, West 118 Target Center Minneapolis, Minnesota Scottie Pippen, Chicago Bulls 1995 West 139, East 112 America West Arena § Phoenix, Arizona (2) Mitch Richmond, Sacramento Kings East 129, West 118 Alamodome San Antonio, Texas Michael Jorda"&amp;"n (2) . Devido ao bloqueio da liga. O jogo estava originalmente marcado para jogar no primeiro Union Center, na Filadélfia, na Pensilvânia. 2000 West 137, East 126 A arena em Oakland Oakland, Califórnia Tim Duncan, San Antonio Spurs Shaquille O'Neal, Los "&amp;"Angeles Lakers 2001 East 111, West 110 Mci Center Washington, DC. Centro da União Philadelphia, Pensilvânia (4) Kobe Bryant, Los Angeles Lakers 2003 West 155, leste 145 (2 OT) Philips Arena Atlanta, Geórgia (2) Kevin Garnett, Minnesota Timberwolves 136, l"&amp;"este 132 Staples Center Los Angenes, Califórnia (2 ) Shaquille O'Neal (2), Los Angeles Lakers 2005 East 125, West 115 Pepsi Center Denver, Colorado (2) Allen Iverson (2), Philadelphia 76ers 2006 East 122, West 120 Toyota Center Houston, Texas (2) Lebron J"&amp;"ames, James , Cleveland Cavaliers 2007 West 153, East 132 Thomas &amp; Mack Center Las Vegas, Nevada * Kobe Bryant (2), Los Angeles Lakers 2008 Leste 134, West 128 New Orleans Arena § § Orleans, Louisiana LeBron James (2), Cleveland Cavaliers 2009 West 146, E"&amp;"ast 119 US Airways Center (2) Phoenix, Arizona (3) Kobe Bryant (3), Los Angeles Lakers Shaquille O'Neal (3), Phoenix Suns East 141, West 139 Cowboys Stadium Arlington, Texas # † Dwyane Wade . 2013 West 143, East 138 Toyota Center (2) Houston, Texas (3) Ch"&amp;"ris Paul, Los Angeles Clippers 2014 East 163, West 155 Smoothie King Center (2) Nova Orleans, Louisiana (2) Kyrie Irving, Cleveland Cavaliers 2015 West 163 , East 158 ​​Madison Square Garden (2) * * * / Barclays Center New York City, Nova York (5) Russell"&amp;" Westbrook, Oklahoma City Thunder 2016 West 196, East 173 Air Canada Center Toronto, Ontário Russell Westbrook (2), Oklahoma City City Thunder 2017 West 192, East 182 Smoothie King Center (3) Nova Orleans, Louisiana (3) Anthony Davis, Nova Orleans Pelican"&amp;"s 2018 TBA vs. TBA Staples Center (3) Los Angeles, Califórnia (4) 2019 TBA vs. TBA Spectrum Center Charlotte, Carolina do Norte (2)")</f>
        <v>   Year   Result   Host arena   Host city   Game MVP     1951   East 111 , West 94   Boston Garden   Boston , Massachusetts   Ed Macauley , Boston Celtics     1952   East 108 , West 91   Boston Garden ( 2 )   Boston , Massachusetts ( 2 )   Paul Arizin , Philadelphia Warriors     1953   West 79 , East 75 Memorial de Guerra do Condado de Allen Coliseu Fort Wayne, Indiana George Mikan, Minneapolis Lakers 1954 East 98, West 93 (OT) Madison Square Garden (1925) * * Nova York, Nova York Bob Cousy, Boston Celtics 1955, Leste 100, 91 Madison Square Garden (1925) * * (2) Nova York, Nova York (2) Bill Sharman, Boston Celtics 1956 West 108, East 94 Rochester War Memorial Coliseum Rochester, Nova York Bob Pettit, St. Louis Hawks 1957 East 109, West 97 Boston Garden (3) Boston, Massachusetts (3) Bob Cousy (2), Boston Celtics 1958 East 130, West 118 St. Louis Arena St. Louis, Missouri Bob Pettit (2), St. Louis Hawks 1959 West 124, East 108 Olympia Stadium Detroit, Michigan Elgin Baylor, Minneapolis Lakers Bob Pettit (3), St. Louis Hawks 1960 East 125, West 115 Convention Hall Philadelphia, Pennsylvania Wiltlain, Philadelphia Warriums 1961 West 153, Leste 131 On Sondaga Memumlain, colherfia Warriums 1961 , Nova York Oscar Robertson, Cincinnati Royals 1962 West 150, East 130 St. Louis Arena (2) St. Louis, Missouri (2) Bob Pettit (4), St. Louis Hawks 1963 East 115, West 108 La Sports Arena Los Angeles , California Bill Russell, Boston Celtics 1964 East 111, West 107 Boston Garden (4) Boston, Massachusetts (4) Oscar Robertson (2), Cincinnati Royals 1965 East 124, West 123 St. Louis Arena (3) St. Louis, Missouri (3) Jerry Lucas, Cincinnati Royals 1966 Leste 137, West 94 Cincinnati Gardens Cincinnati, Ohio Adrian Smith, Cincinnati Royals 1967 West 135, leste 120 Palácio de vaca Daly City, Califórnia Rick Barry, São Francisco Warriors 1968 144 Jardim (1925) * * (3) Nova York, Nova York (3) Hal Greer, Philadelphia 76ers 1969 East 123, West 112 Baltimore Civic Center Baltimore, Maryland Oscar Robertson (3), Cincinnati Royals 1970 East 142, oeste 135 O Spectrum Philadelphia, Pensilvânia (2) Willis Reed, New York Knicks 1971 West 108, East 107 San Diego Sports Arena San Diego, Califórnia Lenny Wilkens, Seattle Supersonics 1972 West 112, East 110 O Fórum Inglewood, Califórnia Jerry, Los Angeleses 1972 East 104, West 84 Chicago Stadium Chicago, Illinois Dave Cowens, Boston Celtics West 134, East 123 Seattle Center Coliseum Seattle, Washington Bob Lanier, Detroit Pistons East 108, West 102 Arizona Veterans Memorial Coliseum Phoenix, Arizona Walt Frazier, New Yorks 1976, 1976, 1976, 1976, New York. East 123 , West 109   The Spectrum ( 2 )   Philadelphia , Pennsylvania ( 3 )   Dave Bing , Washington Bullets     1977   West 125 , East 124   Milwaukee Arena   Milwaukee , Wisconsin   Julius Erving , Philadelphia 76ers     1978   East 133 , West 125   Omni Coliseum   Atlanta , Georgia   Randy Smith , Buffalo Braves 1979 West 134, East 129 Pontiac Silverdome Pontiac, Michigan † David Thompson, Denver Nuggets 1980 East 144, West 136 (OT) Capital Center Landover, Maryland George Gervin, San Antonio Spurs 1981 East 123, 120 Coliseu em Richfield Richfield , Ohio Nate Archibald, Boston Celtics 1982 East 120, West 118 Brendan Byrne Arena East Rutherford, Nova Jersey Larry Bird, Boston Celtics East 132, West 123 O Fórum (2) Inglewood, Califórnia (2) Julius Erving (2), Philadelphia 76ers, 1984 East 154, West 145 (OT) McNichols Sports Arena Denver, Colorado Isiah Thomas, Detroit Pistons 1985 West 140, East 129 Hoosier Dome Indianapolis, Indiana † Ralph Sampson, Houston Rockets 1986 Leste 139, oeste 132 Reunião Arena Dallas, Texas Isiah Isiah (2), Detroit Pistons West 154, East 149 (OT) Kingdome Seattle, Washington † (2) Tom Chambers, Seattle Supersonics 1988 East 138, West 133 Stadium Chicago (2) Chicago, Illinois (2) Michael Jordan, Chicago Bulls 1989 West 143, East 134 Astrodome Houston, Texas † Karl Malone, Utah Jazz 1990 East 130, West 113 Miami Arena Miami, Florida Magic Johnson, Los Angeles Lakers 1991 East 116, West 114 114 Charlotte Coliseum Charlotte, North Carolina Charles Barkley, Philadelphia 76 West 153, East 113 Orlando Arena Orlando, Florida Magic Johnson (2), Los Angeles Lakers 1993 West 135, East 132 (OT) Delta Center Salt Lake City, Utah Karl Malone (2), Utah Jazz John Stockton, Utah Jazz 1994 127, West 118 Target Center Minneapolis, Minnesota Scottie Pippen, Chicago Bulls 1995 West 139, East 112 America West Arena § Phoenix, Arizona (2) Mitch Richmond, Sacramento Kings East 129, West 118 Alamodome San Antonio, Texas Michael Jordan (2) . Devido ao bloqueio da liga. O jogo estava originalmente marcado para jogar no primeiro Union Center, na Filadélfia, na Pensilvânia. 2000 West 137, East 126 A arena em Oakland Oakland, Califórnia Tim Duncan, San Antonio Spurs Shaquille O'Neal, Los Angeles Lakers 2001 East 111, West 110 Mci Center Washington, DC. Centro da União Philadelphia, Pensilvânia (4) Kobe Bryant, Los Angeles Lakers 2003 West 155, leste 145 (2 OT) Philips Arena Atlanta, Geórgia (2) Kevin Garnett, Minnesota Timberwolves 136, leste 132 Staples Center Los Angenes, Califórnia (2 ) Shaquille O'Neal (2), Los Angeles Lakers 2005 East 125, West 115 Pepsi Center Denver, Colorado (2) Allen Iverson (2), Philadelphia 76ers 2006 East 122, West 120 Toyota Center Houston, Texas (2) Lebron James, James , Cleveland Cavaliers 2007 West 153, East 132 Thomas &amp; Mack Center Las Vegas, Nevada * Kobe Bryant (2), Los Angeles Lakers 2008 Leste 134, West 128 New Orleans Arena § § Orleans, Louisiana LeBron James (2), Cleveland Cavaliers 2009 West 146, East 119 US Airways Center (2) Phoenix, Arizona (3) Kobe Bryant (3), Los Angeles Lakers Shaquille O'Neal (3), Phoenix Suns East 141, West 139 Cowboys Stadium Arlington, Texas # † Dwyane Wade . 2013 West 143, East 138 Toyota Center (2) Houston, Texas (3) Chris Paul, Los Angeles Clippers 2014 East 163, West 155 Smoothie King Center (2) Nova Orleans, Louisiana (2) Kyrie Irving, Cleveland Cavaliers 2015 West 163 , East 158 ​​Madison Square Garden (2) * * * / Barclays Center New York City, Nova York (5) Russell Westbrook, Oklahoma City Thunder 2016 West 196, East 173 Air Canada Center Toronto, Ontário Russell Westbrook (2), Oklahoma City City Thunder 2017 West 192, East 182 Smoothie King Center (3) Nova Orleans, Louisiana (3) Anthony Davis, Nova Orleans Pelicans 2018 TBA vs. TBA Staples Center (3) Los Angeles, Califórnia (4) 2019 TBA vs. TBA Spectrum Center Charlotte, Carolina do Norte (2)</v>
      </c>
    </row>
    <row r="687" customFormat="false" ht="15.75" hidden="false" customHeight="true" outlineLevel="0" collapsed="false">
      <c r="A687" s="3" t="n">
        <v>684</v>
      </c>
      <c r="B687" s="5" t="s">
        <v>2050</v>
      </c>
      <c r="C687" s="5" t="s">
        <v>2051</v>
      </c>
      <c r="D687" s="5" t="s">
        <v>2052</v>
      </c>
      <c r="E687" s="4" t="str">
        <f aca="false">IFERROR(__xludf.dummyfunction("GOOGLETRANSLATE(C688)"),"Quando o New York Giants se mudou para São Francisco")</f>
        <v>Quando o New York Giants se mudou para São Francisco</v>
      </c>
      <c r="F687" s="5" t="str">
        <f aca="false">IFERROR(__xludf.dummyfunction("GOOGLETRANSLATE(D687)")," Os estados consultivos do Departamento de Saúde Pública da Califórnia, `` crianças nunca devem comer ou beber com cristalware de chumbo ''. Cristal com órgãos vinícolas e decantadores geralmente não são considerados para representar um risco significativ"&amp;"o à saúde, desde que esses itens sejam lavados completamente antes do uso, que as bebidas não sejam armazenadas nesses contêineres por mais de algumas horas e, desde que não sejam usados ​​por crianças .")</f>
        <v> Os estados consultivos do Departamento de Saúde Pública da Califórnia, `` crianças nunca devem comer ou beber com cristalware de chumbo ''. Cristal com órgãos vinícolas e decantadores geralmente não são considerados para representar um risco significativo à saúde, desde que esses itens sejam lavados completamente antes do uso, que as bebidas não sejam armazenadas nesses contêineres por mais de algumas horas e, desde que não sejam usados ​​por crianças .</v>
      </c>
    </row>
    <row r="688" customFormat="false" ht="15.75" hidden="false" customHeight="true" outlineLevel="0" collapsed="false">
      <c r="A688" s="3" t="n">
        <v>685</v>
      </c>
      <c r="B688" s="5" t="s">
        <v>2053</v>
      </c>
      <c r="C688" s="5" t="s">
        <v>2054</v>
      </c>
      <c r="D688" s="5" t="s">
        <v>2055</v>
      </c>
      <c r="E688" s="4" t="str">
        <f aca="false">IFERROR(__xludf.dummyfunction("GOOGLETRANSLATE(C689)"),"onde está Tyler Texas localizado no mapa")</f>
        <v>onde está Tyler Texas localizado no mapa</v>
      </c>
      <c r="F688" s="5" t="str">
        <f aca="false">IFERROR(__xludf.dummyfunction("GOOGLETRANSLATE(D688)")," O San Francisco Giants é um time de beisebol profissional americano com sede em São Francisco, Califórnia. Fundada em 1883 como o New York Gothams e renomeado três anos depois, o New York Giants, a equipe acabou se mudando para São Francisco em 1958. Os "&amp;"Giants competem na Major League Baseball (MLB) como um clube membro da Divisão Oeste da Liga Nacional (NL).")</f>
        <v> O San Francisco Giants é um time de beisebol profissional americano com sede em São Francisco, Califórnia. Fundada em 1883 como o New York Gothams e renomeado três anos depois, o New York Giants, a equipe acabou se mudando para São Francisco em 1958. Os Giants competem na Major League Baseball (MLB) como um clube membro da Divisão Oeste da Liga Nacional (NL).</v>
      </c>
    </row>
    <row r="689" customFormat="false" ht="15.75" hidden="false" customHeight="true" outlineLevel="0" collapsed="false">
      <c r="A689" s="3" t="n">
        <v>686</v>
      </c>
      <c r="B689" s="5" t="s">
        <v>2056</v>
      </c>
      <c r="C689" s="5" t="s">
        <v>2057</v>
      </c>
      <c r="D689" s="5" t="s">
        <v>2058</v>
      </c>
      <c r="E689" s="4" t="str">
        <f aca="false">IFERROR(__xludf.dummyfunction("GOOGLETRANSLATE(C690)"),"Quando o tekken 7 sai na América")</f>
        <v>Quando o tekken 7 sai na América</v>
      </c>
      <c r="F689" s="5" t="str">
        <f aca="false">IFERROR(__xludf.dummyfunction("GOOGLETRANSLATE(D689)"),"   Cidade de Tyler Cidade de Tyler, Texas no sentido horário: Tyler Skyline com Plaza Tower à direita e prédio de escritórios do National Bank do People no centro, Cotton Belt Depot, Caldwell Zoo, Chamblee Rose Garden, Smith County Courthouse, Goodman Hom"&amp;"e. Apelido (s) de Seal: Rose City, Rose Capital, Rose Capital of America lema (s): um local de beleza natural no condado de Smith e as coordenadas do estado do Texas: 32 ° 21 ′ N 95 ° 18 ′ W / 32.350 ° N 95.300 ° com 32.350; - 95.300 Coordenadas: 32 ° 21 "&amp;"′ N 95 ° 18 ′ W / 32.350 ° N 95,300 ° W / 32.350; - 95.300 países Estados Unidos O Condado de Texas Smith fundou 1846 Conselho do Tipo do Governo - Gerente do Conselho da Cidade Martin Heines Darryl Bowdre Don Warren Mesmo Mezayek Ed Moore John Nix Mark W"&amp;"hatley City Manager Edward Broussard Area City 54.376 Sq Mi (140,833 km) Land 54.2 Sq Mi (140,5 km) água de 0,1 mm2 (0,3 km) de elevação de 544 pés (165 m) (2010) Cidade 96.900 Estimativa (2015) 103.700 Rank US: 287th Density 1.800 / sq mi (690 / km) Urba"&amp;"n 130,247 (US: 247th ) Metro 216.080 (EUA: 200) Demônimo Tylerite Fuso horário Central (UTC - 6) Verão (DST) Central (UTC - 5) Códigos ZIP 757xx Código (s) de área (s) 430/903 Código FIPS 48 - 74144 GNIS ID do recurso 1348998 WW WW WW WW WW WW .cityoftyle"&amp;"r.org")</f>
        <v>   Cidade de Tyler Cidade de Tyler, Texas no sentido horário: Tyler Skyline com Plaza Tower à direita e prédio de escritórios do National Bank do People no centro, Cotton Belt Depot, Caldwell Zoo, Chamblee Rose Garden, Smith County Courthouse, Goodman Home. Apelido (s) de Seal: Rose City, Rose Capital, Rose Capital of America lema (s): um local de beleza natural no condado de Smith e as coordenadas do estado do Texas: 32 ° 21 ′ N 95 ° 18 ′ W / 32.350 ° N 95.300 ° com 32.350; - 95.300 Coordenadas: 32 ° 21 ′ N 95 ° 18 ′ W / 32.350 ° N 95,300 ° W / 32.350; - 95.300 países Estados Unidos O Condado de Texas Smith fundou 1846 Conselho do Tipo do Governo - Gerente do Conselho da Cidade Martin Heines Darryl Bowdre Don Warren Mesmo Mezayek Ed Moore John Nix Mark Whatley City Manager Edward Broussard Area City 54.376 Sq Mi (140,833 km) Land 54.2 Sq Mi (140,5 km) água de 0,1 mm2 (0,3 km) de elevação de 544 pés (165 m) (2010) Cidade 96.900 Estimativa (2015) 103.700 Rank US: 287th Density 1.800 / sq mi (690 / km) Urban 130,247 (US: 247th ) Metro 216.080 (EUA: 200) Demônimo Tylerite Fuso horário Central (UTC - 6) Verão (DST) Central (UTC - 5) Códigos ZIP 757xx Código (s) de área (s) 430/903 Código FIPS 48 - 74144 GNIS ID do recurso 1348998 WW WW WW WW WW WW .cityoftyler.org</v>
      </c>
    </row>
    <row r="690" customFormat="false" ht="15.75" hidden="false" customHeight="true" outlineLevel="0" collapsed="false">
      <c r="A690" s="3" t="n">
        <v>687</v>
      </c>
      <c r="B690" s="5" t="s">
        <v>2059</v>
      </c>
      <c r="C690" s="5" t="s">
        <v>2060</v>
      </c>
      <c r="D690" s="5" t="s">
        <v>2061</v>
      </c>
      <c r="E690" s="4" t="str">
        <f aca="false">IFERROR(__xludf.dummyfunction("GOOGLETRANSLATE(C691)"),"Posso viajar para as Bahamas com um passaporte jamaicano")</f>
        <v>Posso viajar para as Bahamas com um passaporte jamaicano</v>
      </c>
      <c r="F690" s="5" t="str">
        <f aca="false">IFERROR(__xludf.dummyfunction("GOOGLETRANSLATE(D690)")," Tekken 7 (鉄拳 7) é um jogo de luta desenvolvido e publicado pela Bandai Namco Entertainment. O jogo é a nona parcela da série Tekken e a primeira a usar o motor Unreal. O Tekken 7 teve um lançamento limitado de arcade no Japão em março de 2015. Uma versão"&amp;" de arcade atualizada, Tekken 7: Fated Retribution, foi lançada no Japão em julho de 2016 e apresenta conteúdo expandido, incluindo novos estágios, figurinos, itens e caracteres. A mesma versão foi lançada para o Microsoft Windows, PlayStation 4 e Xbox On"&amp;"e em junho de 2017.")</f>
        <v> Tekken 7 (鉄拳 7) é um jogo de luta desenvolvido e publicado pela Bandai Namco Entertainment. O jogo é a nona parcela da série Tekken e a primeira a usar o motor Unreal. O Tekken 7 teve um lançamento limitado de arcade no Japão em março de 2015. Uma versão de arcade atualizada, Tekken 7: Fated Retribution, foi lançada no Japão em julho de 2016 e apresenta conteúdo expandido, incluindo novos estágios, figurinos, itens e caracteres. A mesma versão foi lançada para o Microsoft Windows, PlayStation 4 e Xbox One em junho de 2017.</v>
      </c>
    </row>
    <row r="691" customFormat="false" ht="15.75" hidden="false" customHeight="true" outlineLevel="0" collapsed="false">
      <c r="A691" s="3" t="n">
        <v>688</v>
      </c>
      <c r="B691" s="5" t="s">
        <v>2062</v>
      </c>
      <c r="C691" s="5" t="s">
        <v>2063</v>
      </c>
      <c r="D691" s="5" t="s">
        <v>2064</v>
      </c>
      <c r="E691" s="4" t="str">
        <f aca="false">IFERROR(__xludf.dummyfunction("GOOGLETRANSLATE(C692)"),"Qual é a Lei de Valor Roubada de 2005")</f>
        <v>Qual é a Lei de Valor Roubada de 2005</v>
      </c>
      <c r="F691" s="5" t="str">
        <f aca="false">IFERROR(__xludf.dummyfunction("GOOGLETRANSLATE(D691)"),"   Requisito de visto de país permitido Notas de permanência (excluindo as taxas de partida) O visto de visto da Albânia exigia que o visto Andorra exigisse visto de visto de Andorra exigia que o visto de Andorra exigisse visto de Antígua e BARBUDA VISA N"&amp;"ÃO exigia 6 meses de liberdade de movimento para os nacionais de caricom visto de argentina não exigia 90 dias de Armênia evis / O visto na chegada de 120 dias a Austrália visto exigido pode se inscrever on -line (visitante on -line e600 visto). A Áustria"&amp;" visto exigia o visto de Bahamas azerbaijão de 30 dias que não exigisse 3 meses 3 meses de visto de Bahrain evisa bangladesh não exigia visto de Barbados não exigia 6 meses de liberdade de movimento para caricom nacionais de belársaros exigiam visto de bé"&amp;"lgica exigia o visto de belize não exigido 6 meses de liberdade de movimento para a habilidade Caricom O Nationals Benin Evisa / Visa na chegada 30 dias / 8 dias deve ter um certificado de vacinação internacional. O visto de visto do Butão exigia o visto "&amp;"da Bolívia na chegada 90 dias da Bósnia e o visto de Herzegovina exigia que o visto de Botswana não exigisse 90 dias de visto Brasil que não exigisse 90 dias de visto de Brunei exigia que a visto de Bulgária exigisse o visto de Burkina Faso exigia o visto"&amp;" de Burundi exigia que o visto de Cambodia Evisa / visita na chegada dos 30 dias de câmera do visto. O visto do Canadá exigia o visto de Cabo Verde no visto de chegada da República Central da Africana exigia o visto de Chad exigia visto de chile não exigi"&amp;"do 90 dias visto de China exigia visto de Colômbia não exigido 180 dias 90 dias - extensível até 180 - Dias de permanência dentro de um ano de um ano comoros visto na chegada A República do visto do Congo exigia a República Democrática do visto do Congo e"&amp;"xigia o visto de Costa Rica exigia a visto de côlebra que exigia o visto de cuba exigia que o visto de cíncia não exigisse visto de república tcheca não exigia 6 meses de visto de Dinmark. O movimento para o visto da República Dominicana dos Nationais de "&amp;"Caricom não exigia visto de Equador que não exigisse 90 dias de visto de Egito exigia o visto de El Salvador exigia o visto da Guiné Equatorial exigia o visto de Eritreia exigia que a estonia seja necessária a gabon de gabon eVisa evisa fiji visto de 4 me"&amp;"ses de visita Finland exigia o visá Os detentores de vistos devem chegar pelo Aeroporto Internacional de Libreville. Visto de gâmbia não exigido 90 dias deve obter uma liberação de entrada da imigração da Gâmbia antes de viajar a Georgia Evisa 30 dias vis"&amp;"to na Alemanha exigia o visto de gana exigido pelo visto da Greece exigia o visto de granada que não fosse necessário, 6 meses de liberdade de movimento para caricom nacionais de guatemala visto visto guinéia visa requerido Guiné-o visto de bissau na cheg"&amp;"ada visto da Guiana, não exigiu 6 meses de liberdade de movimento para o visto de haiti dos nacionais de caricom não exigiu 3 meses de visto de honduras exigia o visto da Hungria exigia o visto da Islândia exigia a Índia e-visa 60 dias ou 3 portos marítim"&amp;"os designados. Um visto de turista eletrônico indiano só pode ser obtido duas vezes em um ano civil. Evisa emitida GRATUITAMENTO DESSAIS INDONESIA VISA NÃO É NECESSÁRIO DE 30 DIAS IRAN VISA NA CHEGA 15 dias O visto do Iraque exigia o visto da Irlanda exig"&amp;"ido visto emitido gratuitamente Israel Visa não exigido 90 dias Italy Visa exigia o visto Japan exigia o visto da Jordânia na chegada em 30 dias Cazakhstan Visa Kenya Kenya Kenya Visto não requerido 90 dias de visto de kiribati não exigido 30 dias visto n"&amp;"a Coréia do Norte exigia o visto da Coréia do Sul não exigido 90 dias o visto de Kuwait exigia que os titulares de visto eletrônico do quirguistão EVISA devem chegar pelo aeroporto internacional de Manas ou no aeroporto de Oss ), Cazaquistão (em Ak - Jol,"&amp;" Ak - Tilek, Chaldybar, Chon - Kapka), Tajikistan (em Bor - Dobo, Kulundu, Kyzyl - Bel) e Uzbequistão (em Dostuk). O visto do Laos na chegada de 30 dias se aplica. Disponível nos aeroportos internacionais Luangphabang, Pakse, Savannakhet e Vientiane, e na"&amp;" 4 Borders Land Borders Bridge, e em 13 cruzamentos de fronteira, bem como na estação de trem de Tanalaeng em Vientiane, que se conecta à estação de trem em Nongkai, Tailândia. Pontos de entrada Lalai, Lantui, Mom Meuang, Pakxan e Phoudou estão abertos ap"&amp;"enas para os titulares de vistos. Extensível até 60 dias. O visto da Letônia exigia o visto de visto do Líbano exigido visto de lesoto não exigido 90 dias a visto da Libéria exigia o visto da Líbia exigia o visto de Liechtenstein exigia o visto da Lituâni"&amp;"a que exigisse visto de visto de luxemburgo exigido pelo visto de MACEDONIA NECESSÁRIO MADAGASCAR NÃO É NECESSÁRIO VISA NECESSÁRIO DO MALAWI MALAWI VISA NÃO É NECISTO VISO NÃO É NÃO É NÃO É NECISDENTE O VISO NEPENDIO Na chegada 30 dias, o visto Mali exigi"&amp;"a o visto de Malta exigia o visto das Ilhas Marshall exigia o visto da Mauritânia na chegada disponível em NouakChott - Aeroporto Internacional de Oumtonsy. O visto Maurício não é necessário 90 dias visto de México não é necessário 180 dias o visto da mic"&amp;"ronesia não é necessário 30 dias de visto de visto Monaco exigia o visto de Mongólia exigia o visto de montenegro exigia o visto de marrocos exigia o visto de moçambique na chegada, 30 dias Mianmar Evisa 28 dias evisa, o visto de moçambique é Nay Pyi Taw "&amp;"ou Aeroportos de Mandalay ou por meio de cruzamentos de fronteira com a Tailândia - Tachileik, Myawaddy e Kawthaung ou Índia - Rih Khaw Dar e Tamu. Evisa está disponível apenas para turismo. Namíbia visto não é necessário 90 dias 90 dias em qualquer perío"&amp;"do de 1 ano O visto Nauru exigia visto de nepal na chegada 30 dias Holanda Visto exigia o visto da Nova Zelândia exigia o visto da Nicarágua na chegada, 90 dias de visto de visto de nigeria não exigia o visto de oman visto de oman nigeria, necessidade de "&amp;"visto de oman visto de pakistan Necessário visto de Palau na chegada 30 dias visto panamá não exigia o visto de Papua Nova Guiné exigia o visto de paraguai que exigisse visto de peru não exigis dentro de qualquer período do ano a partir de 27 de novembro "&amp;"de 2018. Ruanda Evisa / visto na chegada 30 dias Saint Kitts e Nevis Visto Não exigiam 6 meses de liberdade de movimento para caricom nacionais saint saint lucia visto não exigia 6 meses de liberdade de movimento para caricom nacionais saint saint vincent"&amp;" e o visto de granadinas não exigiam 6 meses de liberdade de liberdade de liberdade de liberdade de Movimento para caricom nacionais qualificados samoa licença de entrada na chegada 60 dias O visto de San Marino exigia que São Tomé e Príncipe Evisa a Aráb"&amp;"ia Saudita visto exigis 3 meses&gt; O visto de Serra Leoa não exigia visto de Cingapura não exigido por 30 dias de visto de eslováquia exigia visto de visto de eslovênia exigia o visto das Ilhas Salomão exigia o visto da Somália na chegada 30 dias disponívei"&amp;"s no aeroporto de Bosaso, no aeroporto de Galcaio e no aeroporto de Mogadishu. Visto da África do Sul não é necessário 90 dias o visto do Sudão do Sul exigia a visto da Espanha exigia que o visto de Sri Lanka Evisa / Visa na chegada 30 dias deve reter o r"&amp;"etorno ou o visto de ingresso no Sudão exigir visto de suriname não requer 6 meses liberdade de movimento para caricom nacionais de caricom swaziland visto não exigido 30 Dias da Suécia visto exigia visto de visto da Suíça exigia o visto da Síria exigia o"&amp;" Tajiquistão Evisa, 45 dias, o visto da Tanzânia não exigiu 3 meses de visto de Tailândia exigido timor - visto Leste na chegada 30 dias Togo visto de prisão 7 dias 7 dias O visto de Tonga exigiu Trinidad e Tobago VIS O movimento para o visto de Tunisia, "&amp;"de Tunisia, de Caricom, exigia que o visto de Turquia EVISA de 1 mês de Turkmenistan exigisse o visto de Tuvalu na chegada de 1 mês de visto de Uganda não necessário, pode ser aplicado on -line. Ucrânia EVISA Unida Emirados Árabes Unidos O visto exigia o "&amp;"visto dos Estados Unidos exigia o visto Uruguai que não exigisse 90 dias de visto de Uzbequistão exigia visto de vanuatu não exigido 30 dias de vaticano visto exigido por venezuela não exigido necessários 90 dias Zimbabwe visto não é necessário 3 meses")</f>
        <v>   Requisito de visto de país permitido Notas de permanência (excluindo as taxas de partida) O visto de visto da Albânia exigia que o visto Andorra exigisse visto de visto de Andorra exigia que o visto de Andorra exigisse visto de Antígua e BARBUDA VISA NÃO exigia 6 meses de liberdade de movimento para os nacionais de caricom visto de argentina não exigia 90 dias de Armênia evis / O visto na chegada de 120 dias a Austrália visto exigido pode se inscrever on -line (visitante on -line e600 visto). A Áustria visto exigia o visto de Bahamas azerbaijão de 30 dias que não exigisse 3 meses 3 meses de visto de Bahrain evisa bangladesh não exigia visto de Barbados não exigia 6 meses de liberdade de movimento para caricom nacionais de belársaros exigiam visto de bélgica exigia o visto de belize não exigido 6 meses de liberdade de movimento para a habilidade Caricom O Nationals Benin Evisa / Visa na chegada 30 dias / 8 dias deve ter um certificado de vacinação internacional. O visto de visto do Butão exigia o visto da Bolívia na chegada 90 dias da Bósnia e o visto de Herzegovina exigia que o visto de Botswana não exigisse 90 dias de visto Brasil que não exigisse 90 dias de visto de Brunei exigia que a visto de Bulgária exigisse o visto de Burkina Faso exigia o visto de Burundi exigia que o visto de Cambodia Evisa / visita na chegada dos 30 dias de câmera do visto. O visto do Canadá exigia o visto de Cabo Verde no visto de chegada da República Central da Africana exigia o visto de Chad exigia visto de chile não exigido 90 dias visto de China exigia visto de Colômbia não exigido 180 dias 90 dias - extensível até 180 - Dias de permanência dentro de um ano de um ano comoros visto na chegada A República do visto do Congo exigia a República Democrática do visto do Congo exigia o visto de Costa Rica exigia a visto de côlebra que exigia o visto de cuba exigia que o visto de cíncia não exigisse visto de república tcheca não exigia 6 meses de visto de Dinmark. O movimento para o visto da República Dominicana dos Nationais de Caricom não exigia visto de Equador que não exigisse 90 dias de visto de Egito exigia o visto de El Salvador exigia o visto da Guiné Equatorial exigia o visto de Eritreia exigia que a estonia seja necessária a gabon de gabon eVisa evisa fiji visto de 4 meses de visita Finland exigia o visá Os detentores de vistos devem chegar pelo Aeroporto Internacional de Libreville. Visto de gâmbia não exigido 90 dias deve obter uma liberação de entrada da imigração da Gâmbia antes de viajar a Georgia Evisa 30 dias visto na Alemanha exigia o visto de gana exigido pelo visto da Greece exigia o visto de granada que não fosse necessário, 6 meses de liberdade de movimento para caricom nacionais de guatemala visto visto guinéia visa requerido Guiné-o visto de bissau na chegada visto da Guiana, não exigiu 6 meses de liberdade de movimento para o visto de haiti dos nacionais de caricom não exigiu 3 meses de visto de honduras exigia o visto da Hungria exigia o visto da Islândia exigia a Índia e-visa 60 dias ou 3 portos marítimos designados. Um visto de turista eletrônico indiano só pode ser obtido duas vezes em um ano civil. Evisa emitida GRATUITAMENTO DESSAIS INDONESIA VISA NÃO É NECESSÁRIO DE 30 DIAS IRAN VISA NA CHEGA 15 dias O visto do Iraque exigia o visto da Irlanda exigido visto emitido gratuitamente Israel Visa não exigido 90 dias Italy Visa exigia o visto Japan exigia o visto da Jordânia na chegada em 30 dias Cazakhstan Visa Kenya Kenya Kenya Visto não requerido 90 dias de visto de kiribati não exigido 30 dias visto na Coréia do Norte exigia o visto da Coréia do Sul não exigido 90 dias o visto de Kuwait exigia que os titulares de visto eletrônico do quirguistão EVISA devem chegar pelo aeroporto internacional de Manas ou no aeroporto de Oss ), Cazaquistão (em Ak - Jol, Ak - Tilek, Chaldybar, Chon - Kapka), Tajikistan (em Bor - Dobo, Kulundu, Kyzyl - Bel) e Uzbequistão (em Dostuk). O visto do Laos na chegada de 30 dias se aplica. Disponível nos aeroportos internacionais Luangphabang, Pakse, Savannakhet e Vientiane, e na 4 Borders Land Borders Bridge, e em 13 cruzamentos de fronteira, bem como na estação de trem de Tanalaeng em Vientiane, que se conecta à estação de trem em Nongkai, Tailândia. Pontos de entrada Lalai, Lantui, Mom Meuang, Pakxan e Phoudou estão abertos apenas para os titulares de vistos. Extensível até 60 dias. O visto da Letônia exigia o visto de visto do Líbano exigido visto de lesoto não exigido 90 dias a visto da Libéria exigia o visto da Líbia exigia o visto de Liechtenstein exigia o visto da Lituânia que exigisse visto de visto de luxemburgo exigido pelo visto de MACEDONIA NECESSÁRIO MADAGASCAR NÃO É NECESSÁRIO VISA NECESSÁRIO DO MALAWI MALAWI VISA NÃO É NECISTO VISO NÃO É NÃO É NÃO É NECISDENTE O VISO NEPENDIO Na chegada 30 dias, o visto Mali exigia o visto de Malta exigia o visto das Ilhas Marshall exigia o visto da Mauritânia na chegada disponível em NouakChott - Aeroporto Internacional de Oumtonsy. O visto Maurício não é necessário 90 dias visto de México não é necessário 180 dias o visto da micronesia não é necessário 30 dias de visto de visto Monaco exigia o visto de Mongólia exigia o visto de montenegro exigia o visto de marrocos exigia o visto de moçambique na chegada, 30 dias Mianmar Evisa 28 dias evisa, o visto de moçambique é Nay Pyi Taw ou Aeroportos de Mandalay ou por meio de cruzamentos de fronteira com a Tailândia - Tachileik, Myawaddy e Kawthaung ou Índia - Rih Khaw Dar e Tamu. Evisa está disponível apenas para turismo. Namíbia visto não é necessário 90 dias 90 dias em qualquer período de 1 ano O visto Nauru exigia visto de nepal na chegada 30 dias Holanda Visto exigia o visto da Nova Zelândia exigia o visto da Nicarágua na chegada, 90 dias de visto de visto de nigeria não exigia o visto de oman visto de oman nigeria, necessidade de visto de oman visto de pakistan Necessário visto de Palau na chegada 30 dias visto panamá não exigia o visto de Papua Nova Guiné exigia o visto de paraguai que exigisse visto de peru não exigis dentro de qualquer período do ano a partir de 27 de novembro de 2018. Ruanda Evisa / visto na chegada 30 dias Saint Kitts e Nevis Visto Não exigiam 6 meses de liberdade de movimento para caricom nacionais saint saint lucia visto não exigia 6 meses de liberdade de movimento para caricom nacionais saint saint vincent e o visto de granadinas não exigiam 6 meses de liberdade de liberdade de liberdade de liberdade de Movimento para caricom nacionais qualificados samoa licença de entrada na chegada 60 dias O visto de San Marino exigia que São Tomé e Príncipe Evisa a Arábia Saudita visto exigis 3 meses&gt; O visto de Serra Leoa não exigia visto de Cingapura não exigido por 30 dias de visto de eslováquia exigia visto de visto de eslovênia exigia o visto das Ilhas Salomão exigia o visto da Somália na chegada 30 dias disponíveis no aeroporto de Bosaso, no aeroporto de Galcaio e no aeroporto de Mogadishu. Visto da África do Sul não é necessário 90 dias o visto do Sudão do Sul exigia a visto da Espanha exigia que o visto de Sri Lanka Evisa / Visa na chegada 30 dias deve reter o retorno ou o visto de ingresso no Sudão exigir visto de suriname não requer 6 meses liberdade de movimento para caricom nacionais de caricom swaziland visto não exigido 30 Dias da Suécia visto exigia visto de visto da Suíça exigia o visto da Síria exigia o Tajiquistão Evisa, 45 dias, o visto da Tanzânia não exigiu 3 meses de visto de Tailândia exigido timor - visto Leste na chegada 30 dias Togo visto de prisão 7 dias 7 dias O visto de Tonga exigiu Trinidad e Tobago VIS O movimento para o visto de Tunisia, de Tunisia, de Caricom, exigia que o visto de Turquia EVISA de 1 mês de Turkmenistan exigisse o visto de Tuvalu na chegada de 1 mês de visto de Uganda não necessário, pode ser aplicado on -line. Ucrânia EVISA Unida Emirados Árabes Unidos O visto exigia o visto dos Estados Unidos exigia o visto Uruguai que não exigisse 90 dias de visto de Uzbequistão exigia visto de vanuatu não exigido 30 dias de vaticano visto exigido por venezuela não exigido necessários 90 dias Zimbabwe visto não é necessário 3 meses</v>
      </c>
    </row>
    <row r="692" customFormat="false" ht="15.75" hidden="false" customHeight="true" outlineLevel="0" collapsed="false">
      <c r="A692" s="3" t="n">
        <v>689</v>
      </c>
      <c r="B692" s="5" t="s">
        <v>2065</v>
      </c>
      <c r="C692" s="5" t="s">
        <v>2066</v>
      </c>
      <c r="D692" s="5" t="s">
        <v>2067</v>
      </c>
      <c r="E692" s="4" t="str">
        <f aca="false">IFERROR(__xludf.dummyfunction("GOOGLETRANSLATE(C693)"),"Por que Zeus transformou io em uma vaca")</f>
        <v>Por que Zeus transformou io em uma vaca</v>
      </c>
      <c r="F692" s="5" t="str">
        <f aca="false">IFERROR(__xludf.dummyfunction("GOOGLETRANSLATE(D692)")," A Lei Roubada de Valor de 2005, assinada pelo presidente George W. Bush em 20 de dezembro de 2006, foi uma lei dos EUA que ampliou as disposições da lei anterior dos EUA que abordava o desgaste, a fabricação ou a venda não autorizada de quaisquer decoraç"&amp;"ões e medalhas militares. A lei o tornou uma contravenção federal representar -se falsamente como tendo recebido qualquer decoração ou medalha militar dos EUA. Se condenado, os réus podem ter sido presos por até seis meses, a menos que a decoração tenha s"&amp;"ido a Medalha de Honra, nesse caso, a prisão poderia ter sido de até um ano. Nos Estados Unidos v. Alvarez, a Suprema Corte dos EUA decidiu em 28 de junho de 2012 que a Lei Valor roubada foi um resumo inconstitucional da liberdade de expressão sob a Prime"&amp;"ira Emenda, derrubando a lei em uma decisão de 6 a 3.")</f>
        <v> A Lei Roubada de Valor de 2005, assinada pelo presidente George W. Bush em 20 de dezembro de 2006, foi uma lei dos EUA que ampliou as disposições da lei anterior dos EUA que abordava o desgaste, a fabricação ou a venda não autorizada de quaisquer decorações e medalhas militares. A lei o tornou uma contravenção federal representar -se falsamente como tendo recebido qualquer decoração ou medalha militar dos EUA. Se condenado, os réus podem ter sido presos por até seis meses, a menos que a decoração tenha sido a Medalha de Honra, nesse caso, a prisão poderia ter sido de até um ano. Nos Estados Unidos v. Alvarez, a Suprema Corte dos EUA decidiu em 28 de junho de 2012 que a Lei Valor roubada foi um resumo inconstitucional da liberdade de expressão sob a Primeira Emenda, derrubando a lei em uma decisão de 6 a 3.</v>
      </c>
    </row>
    <row r="693" customFormat="false" ht="15.75" hidden="false" customHeight="true" outlineLevel="0" collapsed="false">
      <c r="A693" s="3" t="n">
        <v>690</v>
      </c>
      <c r="B693" s="5" t="s">
        <v>2068</v>
      </c>
      <c r="C693" s="5" t="s">
        <v>2069</v>
      </c>
      <c r="D693" s="5" t="s">
        <v>2070</v>
      </c>
      <c r="E693" s="4" t="str">
        <f aca="false">IFERROR(__xludf.dummyfunction("GOOGLETRANSLATE(C694)"),"Quem é o presidente da Voz da Índia a ter trabalhado sob três presidente diferentes")</f>
        <v>Quem é o presidente da Voz da Índia a ter trabalhado sob três presidente diferentes</v>
      </c>
      <c r="F693" s="5" t="str">
        <f aca="false">IFERROR(__xludf.dummyfunction("GOOGLETRANSLATE(D693)")," Io era uma sacerdotisa da deusa Hera em Argos, cujo culto seu pai Inachus deveria ter se apresentado a Argos. Zeus notou io, uma mulher mortal, e desejou -se atrás dela. Na versão do mito contada em Prometheus, Bound, ela inicialmente rejeitou os avanços"&amp;" de Zeus, até que seu pai a jogou fora de sua casa sob o conselho de Oracles. Segundo algumas histórias, Zeus então transformou Io em uma novilha para escondê -la de sua esposa; Outros afirmam que o próprio Hera transformou Io.")</f>
        <v> Io era uma sacerdotisa da deusa Hera em Argos, cujo culto seu pai Inachus deveria ter se apresentado a Argos. Zeus notou io, uma mulher mortal, e desejou -se atrás dela. Na versão do mito contada em Prometheus, Bound, ela inicialmente rejeitou os avanços de Zeus, até que seu pai a jogou fora de sua casa sob o conselho de Oracles. Segundo algumas histórias, Zeus então transformou Io em uma novilha para escondê -la de sua esposa; Outros afirmam que o próprio Hera transformou Io.</v>
      </c>
    </row>
    <row r="694" customFormat="false" ht="15.75" hidden="false" customHeight="true" outlineLevel="0" collapsed="false">
      <c r="A694" s="3" t="n">
        <v>691</v>
      </c>
      <c r="B694" s="5" t="s">
        <v>2071</v>
      </c>
      <c r="C694" s="5" t="s">
        <v>2072</v>
      </c>
      <c r="D694" s="5" t="s">
        <v>2073</v>
      </c>
      <c r="E694" s="4" t="str">
        <f aca="false">IFERROR(__xludf.dummyfunction("GOOGLETRANSLATE(C695)"),"Quando as Olimpíadas começaram a cada 2 anos")</f>
        <v>Quando as Olimpíadas começaram a cada 2 anos</v>
      </c>
      <c r="F694" s="5" t="str">
        <f aca="false">IFERROR(__xludf.dummyfunction("GOOGLETRANSLATE(D694)"),"   Nenhum nome (nascimento - morte) Retrato eleito ( % de votos) assumiu o cargo de termo de escritório (em anos) Notas Presidente (s) candidato de Sarvepalli Radhakrishnan (1888 - 1975) 1952 (sem oposição) 1957 (sem oposição) 13 de maio de 1952 12 12 Mai"&amp;"o de 1962 10 Radhakrishnan era um estudioso de destaque. Além de receber o Bharat Ratna, ele também ocupou o cargo de vice-chanceler na Universidade Hindu de Banaras e no Andhra College. Ele serviu como vice-presidente por dois mandatos. Rajendra Prasad I"&amp;"ndependente Zakir Husain (1897 - 1969) 1962 (97.59) 13 de maio de 1962 12 de maio de 1967 5 Sarvepalli Radhakrishnan Varahagiri Venkata Giri (1894 - 1980) 1967 (71.45) 13 de maio de 1967 3 de maio 1969 Zakirin Hush Hushing Pather Swal Swal Swal Swal Swal "&amp;"Swal Swal Swal Swal Swal SWAL SWAL SWAL SWAL SWAL SWAL PATHEN PATHING PATHING PATHING PATHING PATHING PATHING PATHIL ) 1979 5 Fakhruddin Ali Ahmed (1974 -1977) Neelam Sanjiva Reddy (1977 -1979) Congresso Nacional Indiano 6 Mohammad Hidayatullah (1905 -199"&amp;"2) 1979 (não exposto) 31 de agosto de 1979 30 de agosto de 1984 5 Neelam Sanjiva Reddy (1979 - - 1982) Giani Zail Singh (1982 - 1984) Independente 7 Ramaswamy Venkataraman (1910 - 2009) 1984 (71.05) 31 de agosto de 1984 24 de julho de 1987 Giani Zail Sing"&amp;"h Congresso Nacional Indiano 8 Shankar Dayal Sharma (1918 - 1999) (sem operação) 3 de setembro de 1987 24 de julho de 1992 5 Ramaswamy Congresso Nacional Indiano Venkataraman 9 Kocheril Raman Narayanan (1920 - 2005) 1992 (99,86) 21 de agosto de 1992 24 ju"&amp;"lho de 1997 5 Shankar Dayal Sharma Congresso Nacional Indiano 10 Krishan Kant (1927 2002) 1997 ( 61.76) 21 de agosto de 1997 27 de julho de 2002 Kocheril Raman Narayanan (1997 - 2002) A.P.J. Abdul Kalam (2002) Janata Dal 11 Bhairon Singh Shekhawat (1923 -"&amp;" 2010) 2002 (59,82) 19 de agosto de 2002 21 de julho de 2007 5 A.P.J. Abdul Kalam Bharatiya Janata Partido 12 Mohammad Hamid Ansari (1937 -) 2007 (60,51) 2012 (67.31) 11 de agosto de 2007 11 de agosto de 2017 10 Pratibha Patil (2007 - 2012) Pranab Mukherj"&amp;"ee (2017 - 2017) Ram Nath Kovind (2017 ) Congresso Nacional Indiano 13 Muppavarapu Venkaiah Naidu (1949 -) 2017 (67,89) 11 de agosto de 2017 titular - Ram Nath Kovind Bharatiya Janata Partido")</f>
        <v>   Nenhum nome (nascimento - morte) Retrato eleito ( % de votos) assumiu o cargo de termo de escritório (em anos) Notas Presidente (s) candidato de Sarvepalli Radhakrishnan (1888 - 1975) 1952 (sem oposição) 1957 (sem oposição) 13 de maio de 1952 12 12 Maio de 1962 10 Radhakrishnan era um estudioso de destaque. Além de receber o Bharat Ratna, ele também ocupou o cargo de vice-chanceler na Universidade Hindu de Banaras e no Andhra College. Ele serviu como vice-presidente por dois mandatos. Rajendra Prasad Independente Zakir Husain (1897 - 1969) 1962 (97.59) 13 de maio de 1962 12 de maio de 1967 5 Sarvepalli Radhakrishnan Varahagiri Venkata Giri (1894 - 1980) 1967 (71.45) 13 de maio de 1967 3 de maio 1969 Zakirin Hush Hushing Pather Swal Swal Swal Swal Swal Swal Swal Swal Swal Swal SWAL SWAL SWAL SWAL SWAL SWAL PATHEN PATHING PATHING PATHING PATHING PATHING PATHING PATHIL ) 1979 5 Fakhruddin Ali Ahmed (1974 -1977) Neelam Sanjiva Reddy (1977 -1979) Congresso Nacional Indiano 6 Mohammad Hidayatullah (1905 -1992) 1979 (não exposto) 31 de agosto de 1979 30 de agosto de 1984 5 Neelam Sanjiva Reddy (1979 - - 1982) Giani Zail Singh (1982 - 1984) Independente 7 Ramaswamy Venkataraman (1910 - 2009) 1984 (71.05) 31 de agosto de 1984 24 de julho de 1987 Giani Zail Singh Congresso Nacional Indiano 8 Shankar Dayal Sharma (1918 - 1999) (sem operação) 3 de setembro de 1987 24 de julho de 1992 5 Ramaswamy Congresso Nacional Indiano Venkataraman 9 Kocheril Raman Narayanan (1920 - 2005) 1992 (99,86) 21 de agosto de 1992 24 julho de 1997 5 Shankar Dayal Sharma Congresso Nacional Indiano 10 Krishan Kant (1927 2002) 1997 ( 61.76) 21 de agosto de 1997 27 de julho de 2002 Kocheril Raman Narayanan (1997 - 2002) A.P.J. Abdul Kalam (2002) Janata Dal 11 Bhairon Singh Shekhawat (1923 - 2010) 2002 (59,82) 19 de agosto de 2002 21 de julho de 2007 5 A.P.J. Abdul Kalam Bharatiya Janata Partido 12 Mohammad Hamid Ansari (1937 -) 2007 (60,51) 2012 (67.31) 11 de agosto de 2007 11 de agosto de 2017 10 Pratibha Patil (2007 - 2012) Pranab Mukherjee (2017 - 2017) Ram Nath Kovind (2017 ) Congresso Nacional Indiano 13 Muppavarapu Venkaiah Naidu (1949 -) 2017 (67,89) 11 de agosto de 2017 titular - Ram Nath Kovind Bharatiya Janata Partido</v>
      </c>
    </row>
    <row r="695" customFormat="false" ht="15.75" hidden="false" customHeight="true" outlineLevel="0" collapsed="false">
      <c r="A695" s="3" t="n">
        <v>692</v>
      </c>
      <c r="B695" s="5" t="s">
        <v>2074</v>
      </c>
      <c r="C695" s="5" t="s">
        <v>2075</v>
      </c>
      <c r="D695" s="5" t="s">
        <v>2076</v>
      </c>
      <c r="E695" s="4" t="str">
        <f aca="false">IFERROR(__xludf.dummyfunction("GOOGLETRANSLATE(C696)"),"O que significa que Pi é um número irracional")</f>
        <v>O que significa que Pi é um número irracional</v>
      </c>
      <c r="F695" s="5" t="str">
        <f aca="false">IFERROR(__xludf.dummyfunction("GOOGLETRANSLATE(D695)")," Os cinco esportes originais dos Jogos Olímpicos de Inverno (quebrados em nove disciplinas) eram bobsleigh, curling, hóquei no gelo, esqui nórdico (consistindo da patrulha militar das disciplinas, esqui cross-country, nórdico combinado e salto de esqui) e"&amp;" patinação (constituindo as disciplinas patinação artística e patinação de velocidade). Os jogos eram realizados a cada quatro anos de 1924 a 1936, interrompidos em 1940 e 1944 pela Segunda Guerra Mundial e retomados em 1948. Até 1992, os Jogos Olímpicos "&amp;"de Inverno e Verão eram realizados nos mesmos anos, mas de acordo com uma decisão de 1986 do COI de colocar os jogos de verão e inverno em ciclos separados de quatro anos em anos alternados - numerados, os próximos Jogos Olímpicos de Inverno após 1992 foi"&amp;" em 1994.")</f>
        <v> Os cinco esportes originais dos Jogos Olímpicos de Inverno (quebrados em nove disciplinas) eram bobsleigh, curling, hóquei no gelo, esqui nórdico (consistindo da patrulha militar das disciplinas, esqui cross-country, nórdico combinado e salto de esqui) e patinação (constituindo as disciplinas patinação artística e patinação de velocidade). Os jogos eram realizados a cada quatro anos de 1924 a 1936, interrompidos em 1940 e 1944 pela Segunda Guerra Mundial e retomados em 1948. Até 1992, os Jogos Olímpicos de Inverno e Verão eram realizados nos mesmos anos, mas de acordo com uma decisão de 1986 do COI de colocar os jogos de verão e inverno em ciclos separados de quatro anos em anos alternados - numerados, os próximos Jogos Olímpicos de Inverno após 1992 foi em 1994.</v>
      </c>
    </row>
    <row r="696" customFormat="false" ht="15.75" hidden="false" customHeight="true" outlineLevel="0" collapsed="false">
      <c r="A696" s="3" t="n">
        <v>693</v>
      </c>
      <c r="B696" s="5" t="s">
        <v>2077</v>
      </c>
      <c r="C696" s="5" t="s">
        <v>2078</v>
      </c>
      <c r="D696" s="5" t="s">
        <v>2079</v>
      </c>
      <c r="E696" s="4" t="str">
        <f aca="false">IFERROR(__xludf.dummyfunction("GOOGLETRANSLATE(C697)"),"que liderou a milícia durante a rebelião do uísque")</f>
        <v>que liderou a milícia durante a rebelião do uísque</v>
      </c>
      <c r="F696" s="5" t="str">
        <f aca="false">IFERROR(__xludf.dummyfunction("GOOGLETRANSLATE(D696)")," No século XVIII, Johann Heinrich Lambert provou que o número π (PI) é irracional: isto é, não pode ser expresso como uma fração A / B, onde A é um número inteiro e B é um número inteiro diferente de zero. No século XIX, Charles Hermite encontrou uma prov"&amp;"a que não requer conhecimento pré -requisito além do cálculo básico. Três simplificações da prova de Hermite são devidas a Mary Cartwright, Ivan Niven e Nicolas Bourbaki. Outra prova, que é uma simplificação da prova de Lambert, é devido a Miklós Laczkovi"&amp;"ch.")</f>
        <v> No século XVIII, Johann Heinrich Lambert provou que o número π (PI) é irracional: isto é, não pode ser expresso como uma fração A / B, onde A é um número inteiro e B é um número inteiro diferente de zero. No século XIX, Charles Hermite encontrou uma prova que não requer conhecimento pré -requisito além do cálculo básico. Três simplificações da prova de Hermite são devidas a Mary Cartwright, Ivan Niven e Nicolas Bourbaki. Outra prova, que é uma simplificação da prova de Lambert, é devido a Miklós Laczkovich.</v>
      </c>
    </row>
    <row r="697" customFormat="false" ht="15.75" hidden="false" customHeight="true" outlineLevel="0" collapsed="false">
      <c r="A697" s="3" t="n">
        <v>694</v>
      </c>
      <c r="B697" s="5" t="s">
        <v>2080</v>
      </c>
      <c r="C697" s="5" t="s">
        <v>2081</v>
      </c>
      <c r="D697" s="5" t="s">
        <v>2082</v>
      </c>
      <c r="E697" s="4" t="str">
        <f aca="false">IFERROR(__xludf.dummyfunction("GOOGLETRANSLATE(C698)"),"Quais são os 5 principais idiomas falados nos EUA")</f>
        <v>Quais são os 5 principais idiomas falados nos EUA</v>
      </c>
      <c r="F697" s="5" t="str">
        <f aca="false">IFERROR(__xludf.dummyfunction("GOOGLETRANSLATE(D697)"),"   A Rebelião de Whiskey, George Washington, analisa as tropas perto de Fort Cumberland, Maryland, antes de sua marcha para suprimir a rebelião de uísque no oeste da Pensilvânia. Data 1791 - 1794 A localização principalmente o oeste da Pensilvânia resulta"&amp;" a resistência armada da vitória do governo eliminou a evasão tributária menor dos manifestantes de fronteira da fronteira e os líderes dos Estados Unidos desconhecidos, possivelmente nenhum George Washington vítimas e perdas 3 - 4 mortos 170 capturados n"&amp;"enhum morto em ação; Cerca de 12 morreram por doença ou em acidentes 2 baixas civis")</f>
        <v>   A Rebelião de Whiskey, George Washington, analisa as tropas perto de Fort Cumberland, Maryland, antes de sua marcha para suprimir a rebelião de uísque no oeste da Pensilvânia. Data 1791 - 1794 A localização principalmente o oeste da Pensilvânia resulta a resistência armada da vitória do governo eliminou a evasão tributária menor dos manifestantes de fronteira da fronteira e os líderes dos Estados Unidos desconhecidos, possivelmente nenhum George Washington vítimas e perdas 3 - 4 mortos 170 capturados nenhum morto em ação; Cerca de 12 morreram por doença ou em acidentes 2 baixas civis</v>
      </c>
    </row>
    <row r="698" customFormat="false" ht="15.75" hidden="false" customHeight="true" outlineLevel="0" collapsed="false">
      <c r="A698" s="3" t="n">
        <v>695</v>
      </c>
      <c r="B698" s="5" t="s">
        <v>2083</v>
      </c>
      <c r="C698" s="5" t="s">
        <v>2084</v>
      </c>
      <c r="D698" s="5" t="s">
        <v>2085</v>
      </c>
      <c r="E698" s="4" t="str">
        <f aca="false">IFERROR(__xludf.dummyfunction("GOOGLETRANSLATE(C699)"),"quem está na parte de trás de uma nota de £ 5")</f>
        <v>quem está na parte de trás de uma nota de £ 5</v>
      </c>
      <c r="F698" s="5" t="str">
        <f aca="false">IFERROR(__xludf.dummyfunction("GOOGLETRANSLATE(D698)"),"  Apenas em inglês - 237,8 milhões de espanhol - 40,5 milhões de chineses (incluindo mandarim e cantonês) - 3,4 milhões de tagalog (incluindo filipino) - 1,7 milhão de vietnamitas - 1,5 milhão de árabe - 1,2 milhão de francês - 1,2 milhão de coreanos - 1,"&amp;"1 Milhão de russo - 0,91 milhão de alemão - 0,91 milhão de crioulo haitiano - 0,86 milhão de hindi - 0,81 milhão de português - 0,77 milhão de italiano - 0,58 milhões de poloneses - 0,54 milhões de urdu - 0,47 milhões de japoneses - 0,46 milhões de persas"&amp;" (incluindo a persa (incluindo 0,54 milhões FARSI e DARI) -0,44 milhão de Gujarati -0,41 milhão de telugu -0,37 milhão de bengali -0,32 milhão de Tai -Kadai (incluindo tailandês e Laos) -0,31 milhão de grego -0,29 milhão de punjabi -0,29 milhões de tâmil "&amp;"- 0,27 milhão de armênios - 0,24 milhão de serbo - croata (incluindo bósnio, croata, montenegrina e sérvio) - 0,24 milhão de hebraico - 0,23 milhão de hmong - 0,22 milhões de bantu (incluindo suaíli) - 0,22 milhões de khmer - 0,20 milhões de NAVAJO ( - 0,"&amp;"16 milhão")</f>
        <v>  Apenas em inglês - 237,8 milhões de espanhol - 40,5 milhões de chineses (incluindo mandarim e cantonês) - 3,4 milhões de tagalog (incluindo filipino) - 1,7 milhão de vietnamitas - 1,5 milhão de árabe - 1,2 milhão de francês - 1,2 milhão de coreanos - 1,1 Milhão de russo - 0,91 milhão de alemão - 0,91 milhão de crioulo haitiano - 0,86 milhão de hindi - 0,81 milhão de português - 0,77 milhão de italiano - 0,58 milhões de poloneses - 0,54 milhões de urdu - 0,47 milhões de japoneses - 0,46 milhões de persas (incluindo a persa (incluindo 0,54 milhões FARSI e DARI) -0,44 milhão de Gujarati -0,41 milhão de telugu -0,37 milhão de bengali -0,32 milhão de Tai -Kadai (incluindo tailandês e Laos) -0,31 milhão de grego -0,29 milhão de punjabi -0,29 milhões de tâmil - 0,27 milhão de armênios - 0,24 milhão de serbo - croata (incluindo bósnio, croata, montenegrina e sérvio) - 0,24 milhão de hebraico - 0,23 milhão de hmong - 0,22 milhões de bantu (incluindo suaíli) - 0,22 milhões de khmer - 0,20 milhões de NAVAJO ( - 0,16 milhão</v>
      </c>
    </row>
    <row r="699" customFormat="false" ht="15.75" hidden="false" customHeight="true" outlineLevel="0" collapsed="false">
      <c r="A699" s="3" t="n">
        <v>696</v>
      </c>
      <c r="B699" s="5" t="s">
        <v>2086</v>
      </c>
      <c r="C699" s="5" t="s">
        <v>2087</v>
      </c>
      <c r="D699" s="5" t="s">
        <v>2088</v>
      </c>
      <c r="E699" s="4" t="str">
        <f aca="false">IFERROR(__xludf.dummyfunction("GOOGLETRANSLATE(C700)"),"Em que ano viu a formação da República Brasileira")</f>
        <v>Em que ano viu a formação da República Brasileira</v>
      </c>
      <c r="F699" s="5" t="str">
        <f aca="false">IFERROR(__xludf.dummyfunction("GOOGLETRANSLATE(D699)")," O Bank of England £ 5 Note, também conhecido como cinco, é uma nota da libra esterlina. É a menor denominação da nota de banco emitida pelo Banco da Inglaterra. Em setembro de 2016, foi introduzida uma nova nota de polímero, apresentando a imagem da rain"&amp;"ha Elizabeth II no anverso e um retrato de Winston Churchill no verso. A Old Paper Note, emitida pela primeira vez em 2002 e com a imagem do reformador da prisão Elizabeth Fry no verso, foi eliminada e deixou de ser concurso legal após 5 de maio de 2017.")</f>
        <v> O Bank of England £ 5 Note, também conhecido como cinco, é uma nota da libra esterlina. É a menor denominação da nota de banco emitida pelo Banco da Inglaterra. Em setembro de 2016, foi introduzida uma nova nota de polímero, apresentando a imagem da rainha Elizabeth II no anverso e um retrato de Winston Churchill no verso. A Old Paper Note, emitida pela primeira vez em 2002 e com a imagem do reformador da prisão Elizabeth Fry no verso, foi eliminada e deixou de ser concurso legal após 5 de maio de 2017.</v>
      </c>
    </row>
    <row r="700" customFormat="false" ht="15.75" hidden="false" customHeight="true" outlineLevel="0" collapsed="false">
      <c r="A700" s="3" t="n">
        <v>697</v>
      </c>
      <c r="B700" s="5" t="s">
        <v>2089</v>
      </c>
      <c r="C700" s="5" t="s">
        <v>2090</v>
      </c>
      <c r="D700" s="5" t="s">
        <v>2091</v>
      </c>
      <c r="E700" s="4" t="str">
        <f aca="false">IFERROR(__xludf.dummyfunction("GOOGLETRANSLATE(C701)"),"quem tem a maior média de rebatidas no beisebol hoje")</f>
        <v>quem tem a maior média de rebatidas no beisebol hoje</v>
      </c>
      <c r="F700" s="5" t="str">
        <f aca="false">IFERROR(__xludf.dummyfunction("GOOGLETRANSLATE(D700)")," Em 15 de novembro de 1889, o marechal Deodoro da Fonseca deposto ao Imperador Dom Pedro II declarou o Brasil uma república e reorganizou o governo.")</f>
        <v> Em 15 de novembro de 1889, o marechal Deodoro da Fonseca deposto ao Imperador Dom Pedro II declarou o Brasil uma república e reorganizou o governo.</v>
      </c>
    </row>
    <row r="701" customFormat="false" ht="15.75" hidden="false" customHeight="true" outlineLevel="0" collapsed="false">
      <c r="A701" s="3" t="n">
        <v>698</v>
      </c>
      <c r="B701" s="5" t="s">
        <v>2092</v>
      </c>
      <c r="C701" s="5" t="s">
        <v>2093</v>
      </c>
      <c r="D701" s="5" t="s">
        <v>2094</v>
      </c>
      <c r="E701" s="4" t="str">
        <f aca="false">IFERROR(__xludf.dummyfunction("GOOGLETRANSLATE(C702)"),"Quem fez Meg Griffin Voice na primeira temporada")</f>
        <v>Quem fez Meg Griffin Voice na primeira temporada</v>
      </c>
      <c r="F701" s="5" t="str">
        <f aca="false">IFERROR(__xludf.dummyfunction("GOOGLETRANSLATE(D701)")," O último jogador a bater. 400 Em uma temporada, Ted Williams, está empatado pela sétima lista de BA da carreira. Babe Ruth bateu em uma carreira. 342 média e está empatada para o nono na lista. Miguel Cabrera detém a maior média de rebatidas na carreira "&amp;"entre os atores ativos.")</f>
        <v> O último jogador a bater. 400 Em uma temporada, Ted Williams, está empatado pela sétima lista de BA da carreira. Babe Ruth bateu em uma carreira. 342 média e está empatada para o nono na lista. Miguel Cabrera detém a maior média de rebatidas na carreira entre os atores ativos.</v>
      </c>
    </row>
    <row r="702" customFormat="false" ht="15.75" hidden="false" customHeight="true" outlineLevel="0" collapsed="false">
      <c r="A702" s="3" t="n">
        <v>699</v>
      </c>
      <c r="B702" s="5" t="s">
        <v>2095</v>
      </c>
      <c r="C702" s="5" t="s">
        <v>2096</v>
      </c>
      <c r="D702" s="5" t="s">
        <v>2097</v>
      </c>
      <c r="E702" s="4" t="str">
        <f aca="false">IFERROR(__xludf.dummyfunction("GOOGLETRANSLATE(C703)"),"Quando os romances gráficos chegaram à moda pela primeira vez")</f>
        <v>Quando os romances gráficos chegaram à moda pela primeira vez</v>
      </c>
      <c r="F702" s="5" t="str">
        <f aca="false">IFERROR(__xludf.dummyfunction("GOOGLETRANSLATE(D702)"),"   Meg Griffin Family Guy Personagem Primeira aparição `` A morte tem uma sombra '' Criada por Seth MacFarlane dublada por Lacey Chabert (1999 - 2000) Mila Kunis (1999 - presente) Tara Strong (Voz Singing Voice) Ocupação do ensino médio Família estudantil"&amp;" Peter Peter Peter Peter Peter Griffin (pai) Lois Griffin (mãe) Chris Griffin (irmão) Stewie Griffin (irmão) Americano da nacionalidade")</f>
        <v>   Meg Griffin Family Guy Personagem Primeira aparição `` A morte tem uma sombra '' Criada por Seth MacFarlane dublada por Lacey Chabert (1999 - 2000) Mila Kunis (1999 - presente) Tara Strong (Voz Singing Voice) Ocupação do ensino médio Família estudantil Peter Peter Peter Peter Peter Griffin (pai) Lois Griffin (mãe) Chris Griffin (irmão) Stewie Griffin (irmão) Americano da nacionalidade</v>
      </c>
    </row>
    <row r="703" customFormat="false" ht="15.75" hidden="false" customHeight="true" outlineLevel="0" collapsed="false">
      <c r="A703" s="3" t="n">
        <v>700</v>
      </c>
      <c r="B703" s="5" t="s">
        <v>2098</v>
      </c>
      <c r="C703" s="5" t="s">
        <v>2099</v>
      </c>
      <c r="D703" s="5" t="s">
        <v>2100</v>
      </c>
      <c r="E703" s="4" t="str">
        <f aca="false">IFERROR(__xludf.dummyfunction("GOOGLETRANSLATE(C704)"),"Quantas temporadas de teenage mutant ninja tartarugas nickelodeon")</f>
        <v>Quantas temporadas de teenage mutant ninja tartarugas nickelodeon</v>
      </c>
      <c r="F703" s="5" t="str">
        <f aca="false">IFERROR(__xludf.dummyfunction("GOOGLETRANSLATE(D703)")," As aventuras de Obadiah Oldbuck são o mais antigo exemplo americano reconhecido de quadrinhos usados ​​para esse fim. Originou -se como a publicação de 1828 Histoire de M. Vieux Bois, do caricaturista suíço Rodolphe Töpffer, e foi publicado pela primeira"&amp;" vez na tradução em inglês em 1841 pela London's Tilt &amp; Bogue, que usou uma edição de 1833 Paris Pirate. A primeira edição americana foi publicada em 1842 pela Wilson &amp; Company em Nova York, usando as placas de impressão originais da edição de 1841. Outro"&amp;" antecessor precoce é a jornada para as Diggins de Ouro por Jeremiah Saddlebags dos irmãos J. A. D. e D. F. Read, inspirados nas aventuras de Obadiah Oldbuck. Em 1894, Caran d'Ache abordou a idéia de um romance `` desenhado '' em uma carta ao jornal Le Fi"&amp;"garo e começou a trabalhar em um livro sem palavras de 360 ​​- página (nunca publicado). Nos Estados Unidos, há uma longa tradição de reemitir histórias em quadrinhos publicadas anteriormente em forma de livro. Em 1897, o sindicato Hearst publicou uma col"&amp;"eção de The Yellow Kid de Richard Outcault e rapidamente se tornou um best -seller.")</f>
        <v> As aventuras de Obadiah Oldbuck são o mais antigo exemplo americano reconhecido de quadrinhos usados ​​para esse fim. Originou -se como a publicação de 1828 Histoire de M. Vieux Bois, do caricaturista suíço Rodolphe Töpffer, e foi publicado pela primeira vez na tradução em inglês em 1841 pela London's Tilt &amp; Bogue, que usou uma edição de 1833 Paris Pirate. A primeira edição americana foi publicada em 1842 pela Wilson &amp; Company em Nova York, usando as placas de impressão originais da edição de 1841. Outro antecessor precoce é a jornada para as Diggins de Ouro por Jeremiah Saddlebags dos irmãos J. A. D. e D. F. Read, inspirados nas aventuras de Obadiah Oldbuck. Em 1894, Caran d'Ache abordou a idéia de um romance `` desenhado '' em uma carta ao jornal Le Figaro e começou a trabalhar em um livro sem palavras de 360 ​​- página (nunca publicado). Nos Estados Unidos, há uma longa tradição de reemitir histórias em quadrinhos publicadas anteriormente em forma de livro. Em 1897, o sindicato Hearst publicou uma coleção de The Yellow Kid de Richard Outcault e rapidamente se tornou um best -seller.</v>
      </c>
    </row>
    <row r="704" customFormat="false" ht="15.75" hidden="false" customHeight="true" outlineLevel="0" collapsed="false">
      <c r="A704" s="3" t="n">
        <v>701</v>
      </c>
      <c r="B704" s="5" t="s">
        <v>2101</v>
      </c>
      <c r="C704" s="5" t="s">
        <v>2102</v>
      </c>
      <c r="D704" s="5" t="s">
        <v>2103</v>
      </c>
      <c r="E704" s="4" t="str">
        <f aca="false">IFERROR(__xludf.dummyfunction("GOOGLETRANSLATE(C705)"),"De onde vieram os Oakland A")</f>
        <v>De onde vieram os Oakland A</v>
      </c>
      <c r="F704" s="5" t="str">
        <f aca="false">IFERROR(__xludf.dummyfunction("GOOGLETRANSLATE(D704)"),"   Teenage Mutant Ninja Turtles     Series logotype     Also known as   Tales of the Teenage Mutant Ninja Turtles ( season five title )     Genre   Action Comedy Drama     Based on   Teenage Mutant Ninja Turtles by Kevin Eastman Peter Laird     Developed "&amp;"by   Ciro Nieli Joshua Sternin J.R. Ventimilia     Voices of     Jason Biggs ( Seasons 1 - 2) Seth Green (temporadas 3 - 5) Rob Paulsen Sean Astin Greg Cipes Hoon Lee Mae Whitman Kevin Michael Richardson Josh Peck Kelly Hu Nolan Clancy Brown Brown Lanz Ph"&amp;"il Lamarr Eric Eric Bauza Fred Tatasciore Tartarugas Ninjas MUTANT 'TEMO ENFERTAMENTO `` Teenage Mutant Ninja Turtles' '(Instrumental) Compositor (s) Sebastian Evans II Stanley Martinez Country of Origin Language (s) Original (s) Número (s) do Seasons 5 N"&amp;"o número de episódios 124 (lista dos Estados Unidos de episódios) Produtora Executiva de Produção Joshua Sternin J.R. Ventimilia Ciro Nieli Peter Hastings Brandon Auman Rick Magallanes (para Nickelodeon; Temporada 1) Megan Casey (para Nickelodeon; Seasons"&amp;" 2 - 5) Produtor (s) MacGregor Middleton Christopher Waters (supervisor) Antiga de formiga (supervisor) Patrick Krebs (supervisor) Vladimir Radev (Asscocate) tempo de execução 22 minutos de produção (s) Companhia (s) (s) Lançamento do estúdio de animação "&amp;"Nickelodeon Productions Productions Nickelodeon Formato de imagem 480i NTSC 1080i HDTV Lançamento original 29 de setembro de 2012 (2012 - 09 - 29) - 12 de novembro de 2017 (2017 - 11 - 12) Chronology Preceded By Teenage Mutant Ninja Turtles (Série de TV d"&amp;"e 2003) seguida de Rise of the Teenage Mutant Ninja Turtles External Links Site")</f>
        <v>   Teenage Mutant Ninja Turtles     Series logotype     Also known as   Tales of the Teenage Mutant Ninja Turtles ( season five title )     Genre   Action Comedy Drama     Based on   Teenage Mutant Ninja Turtles by Kevin Eastman Peter Laird     Developed by   Ciro Nieli Joshua Sternin J.R. Ventimilia     Voices of     Jason Biggs ( Seasons 1 - 2) Seth Green (temporadas 3 - 5) Rob Paulsen Sean Astin Greg Cipes Hoon Lee Mae Whitman Kevin Michael Richardson Josh Peck Kelly Hu Nolan Clancy Brown Brown Lanz Phil Lamarr Eric Eric Bauza Fred Tatasciore Tartarugas Ninjas MUTANT 'TEMO ENFERTAMENTO `` Teenage Mutant Ninja Turtles' '(Instrumental) Compositor (s) Sebastian Evans II Stanley Martinez Country of Origin Language (s) Original (s) Número (s) do Seasons 5 No número de episódios 124 (lista dos Estados Unidos de episódios) Produtora Executiva de Produção Joshua Sternin J.R. Ventimilia Ciro Nieli Peter Hastings Brandon Auman Rick Magallanes (para Nickelodeon; Temporada 1) Megan Casey (para Nickelodeon; Seasons 2 - 5) Produtor (s) MacGregor Middleton Christopher Waters (supervisor) Antiga de formiga (supervisor) Patrick Krebs (supervisor) Vladimir Radev (Asscocate) tempo de execução 22 minutos de produção (s) Companhia (s) (s) Lançamento do estúdio de animação Nickelodeon Productions Productions Nickelodeon Formato de imagem 480i NTSC 1080i HDTV Lançamento original 29 de setembro de 2012 (2012 - 09 - 29) - 12 de novembro de 2017 (2017 - 11 - 12) Chronology Preceded By Teenage Mutant Ninja Turtles (Série de TV de 2003) seguida de Rise of the Teenage Mutant Ninja Turtles External Links Site</v>
      </c>
    </row>
    <row r="705" customFormat="false" ht="15.75" hidden="false" customHeight="true" outlineLevel="0" collapsed="false">
      <c r="A705" s="3" t="n">
        <v>702</v>
      </c>
      <c r="B705" s="5" t="s">
        <v>2104</v>
      </c>
      <c r="C705" s="5" t="s">
        <v>2105</v>
      </c>
      <c r="D705" s="5" t="s">
        <v>2106</v>
      </c>
      <c r="E705" s="4" t="str">
        <f aca="false">IFERROR(__xludf.dummyfunction("GOOGLETRANSLATE(C706)"),"quem escreveu eu não quero viver para sempre")</f>
        <v>quem escreveu eu não quero viver para sempre</v>
      </c>
      <c r="F705" s="5" t="str">
        <f aca="false">IFERROR(__xludf.dummyfunction("GOOGLETRANSLATE(D705)")," O Oakland Athletics, muitas vezes chamado de A, é um time de beisebol profissional americano com sede em Oakland, Califórnia. Eles competem na Major League Baseball (MLB) como um clube membro da Divisão Oeste da Liga Americana (AL). A equipe joga seus jo"&amp;"gos em casa no Oakland - Alameda County Coliseum. Eles venceram nove campeonatos da World Series, o terceiro mais de todas as equipes atuais da MLB. A temporada de 2017 foi a 50ª posição do clube, enquanto sediada em Oakland.")</f>
        <v> O Oakland Athletics, muitas vezes chamado de A, é um time de beisebol profissional americano com sede em Oakland, Califórnia. Eles competem na Major League Baseball (MLB) como um clube membro da Divisão Oeste da Liga Americana (AL). A equipe joga seus jogos em casa no Oakland - Alameda County Coliseum. Eles venceram nove campeonatos da World Series, o terceiro mais de todas as equipes atuais da MLB. A temporada de 2017 foi a 50ª posição do clube, enquanto sediada em Oakland.</v>
      </c>
    </row>
    <row r="706" customFormat="false" ht="15.75" hidden="false" customHeight="true" outlineLevel="0" collapsed="false">
      <c r="A706" s="3" t="n">
        <v>703</v>
      </c>
      <c r="B706" s="5" t="s">
        <v>2107</v>
      </c>
      <c r="C706" s="5" t="s">
        <v>2108</v>
      </c>
      <c r="D706" s="5" t="s">
        <v>2109</v>
      </c>
      <c r="E706" s="4" t="str">
        <f aca="false">IFERROR(__xludf.dummyfunction("GOOGLETRANSLATE(C707)"),"que interpreta a detetive feminina em pessoa de interesse")</f>
        <v>que interpreta a detetive feminina em pessoa de interesse</v>
      </c>
      <c r="F706" s="5" t="str">
        <f aca="false">IFERROR(__xludf.dummyfunction("GOOGLETRANSLATE(D706)")," `` Eu não quero viver para sempre '', alternativamente intitulado `` eu não quero viver para sempre (Fifty Shades Darker) '', é uma música gravada pelo cantor inglês - compositor Zayn e American Singer - compositor Taylor Swift Para a trilha sonora do fi"&amp;"lme de 2017 Fifty Shades Darker. Foi escrito por Swift, Sam Dew e Jack Antonoff e produzido por Antonoff. O single foi lançado em 9 de dezembro de 2016, pelo Universal Music Group. O videoclipe da música foi lançado em 27 de janeiro de 2017.")</f>
        <v> `` Eu não quero viver para sempre '', alternativamente intitulado `` eu não quero viver para sempre (Fifty Shades Darker) '', é uma música gravada pelo cantor inglês - compositor Zayn e American Singer - compositor Taylor Swift Para a trilha sonora do filme de 2017 Fifty Shades Darker. Foi escrito por Swift, Sam Dew e Jack Antonoff e produzido por Antonoff. O single foi lançado em 9 de dezembro de 2016, pelo Universal Music Group. O videoclipe da música foi lançado em 27 de janeiro de 2017.</v>
      </c>
    </row>
    <row r="707" customFormat="false" ht="15.75" hidden="false" customHeight="true" outlineLevel="0" collapsed="false">
      <c r="A707" s="3" t="n">
        <v>704</v>
      </c>
      <c r="B707" s="5" t="s">
        <v>2110</v>
      </c>
      <c r="C707" s="5" t="s">
        <v>2111</v>
      </c>
      <c r="D707" s="5" t="s">
        <v>2112</v>
      </c>
      <c r="E707" s="4" t="str">
        <f aca="false">IFERROR(__xludf.dummyfunction("GOOGLETRANSLATE(C708)"),"Qual cidade é famosa por sua grande celebração de Cinco de Mayo")</f>
        <v>Qual cidade é famosa por sua grande celebração de Cinco de Mayo</v>
      </c>
      <c r="F707" s="5" t="str">
        <f aca="false">IFERROR(__xludf.dummyfunction("GOOGLETRANSLATE(D707)")," Jocelyn `` Joss '' Carter (interpretado por Taraji P. Henson) é um detetive no Departamento de Polícia da Cidade de Nova York (NYPD) 8ª Força -Tarefa de Homicídio da Delegacia. Ela é mãe solteira de um filho, Taylor, de quem está perto. Anteriormente um "&amp;"mandado e interrogador no Exército dos EUA, ela cumpriu duas turnês de serviço, uma no Iraque e outra no Afeganistão. Ela passou no exame de bar em 2004, mas desistiu de praticar direito para se tornar um policial. Em 2005, ela se formou na Academia de Po"&amp;"lícia e começou a trabalhar na polícia de Nova York como oficial de patrulha. Em 2008, ela foi promovida a um detetive e, desde 2010, trabalhou na Força -Tarefa de Homicídio na 8ª Precint. Carter cruzou os caminhos com John Reese (`` piloto '' ') após seu"&amp;" encontro com um grupo de jovens em um metrô de Nova York, mas mais tarde se reconecta com ele como o homem misterioso de terno. Carter está inicialmente determinado a prender Reese como uma pessoa de interesse (uma pessoa que não é formalmente acusada de"&amp;" um crime) mesmo depois que Reese salva ela e seu filho em ocasiões separadas. No entanto, quando a CIA tenta assassinar Reese sem o devido processo, ela gradualmente revisa seus pontos de vista e começa a ajudar Reese e Finch.")</f>
        <v> Jocelyn `` Joss '' Carter (interpretado por Taraji P. Henson) é um detetive no Departamento de Polícia da Cidade de Nova York (NYPD) 8ª Força -Tarefa de Homicídio da Delegacia. Ela é mãe solteira de um filho, Taylor, de quem está perto. Anteriormente um mandado e interrogador no Exército dos EUA, ela cumpriu duas turnês de serviço, uma no Iraque e outra no Afeganistão. Ela passou no exame de bar em 2004, mas desistiu de praticar direito para se tornar um policial. Em 2005, ela se formou na Academia de Polícia e começou a trabalhar na polícia de Nova York como oficial de patrulha. Em 2008, ela foi promovida a um detetive e, desde 2010, trabalhou na Força -Tarefa de Homicídio na 8ª Precint. Carter cruzou os caminhos com John Reese (`` piloto '' ') após seu encontro com um grupo de jovens em um metrô de Nova York, mas mais tarde se reconecta com ele como o homem misterioso de terno. Carter está inicialmente determinado a prender Reese como uma pessoa de interesse (uma pessoa que não é formalmente acusada de um crime) mesmo depois que Reese salva ela e seu filho em ocasiões separadas. No entanto, quando a CIA tenta assassinar Reese sem o devido processo, ela gradualmente revisa seus pontos de vista e começa a ajudar Reese e Finch.</v>
      </c>
    </row>
    <row r="708" customFormat="false" ht="15.75" hidden="false" customHeight="true" outlineLevel="0" collapsed="false">
      <c r="A708" s="3" t="n">
        <v>705</v>
      </c>
      <c r="B708" s="5" t="s">
        <v>508</v>
      </c>
      <c r="C708" s="5" t="s">
        <v>2113</v>
      </c>
      <c r="D708" s="5" t="s">
        <v>2114</v>
      </c>
      <c r="E708" s="4" t="str">
        <f aca="false">IFERROR(__xludf.dummyfunction("GOOGLETRANSLATE(C709)"),"Quem é o atual governador do estado de Cross River")</f>
        <v>Quem é o atual governador do estado de Cross River</v>
      </c>
      <c r="F708" s="5" t="str">
        <f aca="false">IFERROR(__xludf.dummyfunction("GOOGLETRANSLATE(D708)")," Em um estudo de 1998 no Journal of American Culture, foi relatado que havia mais de 120 celebrações oficiais dos EUA de Cinco de Mayo em 21 estados diferentes. Uma atualização em 2006 constatou que o número de eventos oficiais de Cinco de Mayo era de 150"&amp;" ou mais, de acordo com José Alamillo, professor de estudos étnicos da Universidade Estadual de Washington em Pullman, que estudou o impacto cultural de Cinco de Mayo ao norte da fronteira . A Fiesta Broadway de Los Angeles foi anunciada como a maior cele"&amp;"bração de Cinco de Mayo do mundo, que certamente estava no auge nos anos 90, quando atraiu multidões de 500.000 ou mais. Nos últimos anos, a participação viu uma diminuição dramática.")</f>
        <v> Em um estudo de 1998 no Journal of American Culture, foi relatado que havia mais de 120 celebrações oficiais dos EUA de Cinco de Mayo em 21 estados diferentes. Uma atualização em 2006 constatou que o número de eventos oficiais de Cinco de Mayo era de 150 ou mais, de acordo com José Alamillo, professor de estudos étnicos da Universidade Estadual de Washington em Pullman, que estudou o impacto cultural de Cinco de Mayo ao norte da fronteira . A Fiesta Broadway de Los Angeles foi anunciada como a maior celebração de Cinco de Mayo do mundo, que certamente estava no auge nos anos 90, quando atraiu multidões de 500.000 ou mais. Nos últimos anos, a participação viu uma diminuição dramática.</v>
      </c>
    </row>
    <row r="709" customFormat="false" ht="15.75" hidden="false" customHeight="true" outlineLevel="0" collapsed="false">
      <c r="A709" s="3" t="n">
        <v>706</v>
      </c>
      <c r="B709" s="5" t="s">
        <v>2115</v>
      </c>
      <c r="C709" s="5" t="s">
        <v>2116</v>
      </c>
      <c r="D709" s="5" t="s">
        <v>2117</v>
      </c>
      <c r="E709" s="4" t="str">
        <f aca="false">IFERROR(__xludf.dummyfunction("GOOGLETRANSLATE(C710)"),"Quando o filme bateu o filme foi lançado")</f>
        <v>Quando o filme bateu o filme foi lançado</v>
      </c>
      <c r="F709" s="5" t="str">
        <f aca="false">IFERROR(__xludf.dummyfunction("GOOGLETRANSLATE(D709)"),"   SUL - O título do Estado Oriental assumiu o cargo que deixou o cargo de esquerda para o cargo Notas Uduokaha Esuene Governador 28 de maio de 1967 julho de 1975 (militar) Paul Omu Governador 3 de fevereiro de 1976 julho de 1978 (militar) O título do Est"&amp;"ado do Rio levou notas no cargo no 1978 (militar) Batunde elegbede Governador julho de 1978 outubro de 1979 (militar) Clement Governador de Isong outubro de 1979 outubro de 1983 NPN Donald Etiebet Governador outubro de 1983 dezembro de dezembro; Governado"&amp;"r militar de janeiro de 1984 a maio de 1984, governador de Dan Archibong, maio de 1984 1984 1986 1986 1986 (Milition) Governo de Ebem Princinll 1986 Dezembro Administrador Brahim Kefas 9 de dezembro de 1993 14 de setembro de 1994 (militar) Gregory Agbonei"&amp;" Administrador 14 de setembro de 1994 22 de agosto de 1996 (militar) Administrador de Ahmed 22 de agosto de 1998 (Militariarator 1998) 1999 (militar) Donald Duke Governador 29 de maio de 1999 29 maio PDP LIYEL IMOKE Governador 29 de maio de 2007 29 de mai"&amp;"o de 2015 PDP Benedict Ayade Governador 29 de maio de 2015 até a data do PDP")</f>
        <v>   SUL - O título do Estado Oriental assumiu o cargo que deixou o cargo de esquerda para o cargo Notas Uduokaha Esuene Governador 28 de maio de 1967 julho de 1975 (militar) Paul Omu Governador 3 de fevereiro de 1976 julho de 1978 (militar) O título do Estado do Rio levou notas no cargo no 1978 (militar) Batunde elegbede Governador julho de 1978 outubro de 1979 (militar) Clement Governador de Isong outubro de 1979 outubro de 1983 NPN Donald Etiebet Governador outubro de 1983 dezembro de dezembro; Governador militar de janeiro de 1984 a maio de 1984, governador de Dan Archibong, maio de 1984 1984 1986 1986 1986 (Milition) Governo de Ebem Princinll 1986 Dezembro Administrador Brahim Kefas 9 de dezembro de 1993 14 de setembro de 1994 (militar) Gregory Agbonei Administrador 14 de setembro de 1994 22 de agosto de 1996 (militar) Administrador de Ahmed 22 de agosto de 1998 (Militariarator 1998) 1999 (militar) Donald Duke Governador 29 de maio de 1999 29 maio PDP LIYEL IMOKE Governador 29 de maio de 2007 29 de maio de 2015 PDP Benedict Ayade Governador 29 de maio de 2015 até a data do PDP</v>
      </c>
    </row>
    <row r="710" customFormat="false" ht="15.75" hidden="false" customHeight="true" outlineLevel="0" collapsed="false">
      <c r="A710" s="3" t="n">
        <v>707</v>
      </c>
      <c r="B710" s="5" t="s">
        <v>2118</v>
      </c>
      <c r="C710" s="5" t="s">
        <v>2119</v>
      </c>
      <c r="D710" s="5" t="s">
        <v>2120</v>
      </c>
      <c r="E710" s="4" t="str">
        <f aca="false">IFERROR(__xludf.dummyfunction("GOOGLETRANSLATE(C711)"),"Que diferença entre mini álbum e álbum")</f>
        <v>Que diferença entre mini álbum e álbum</v>
      </c>
      <c r="F710" s="5" t="str">
        <f aca="false">IFERROR(__xludf.dummyfunction("GOOGLETRANSLATE(D710)")," Knock Knock é um filme de horror erótico americano de 2015 - Thriller, dirigido por Eli Roth, que também co -escreveu o roteiro com Guillermo Amoedo e Nicolás López. O filme é estrelado por Keanu Reeves, Lorenza Izzo e Ana de Armas. O filme foi lançado e"&amp;"m 9 de outubro de 2015, pela Lionsgate Premiere. Knock Knock é um remake do cinema de 1977 Death Game, dirigido por Peter S. Traynor e estrelou Sondra Locke e Colleen Camp. Todos os três indivíduos tiveram uma mão na produção de Knock, enquanto Camp també"&amp;"m teve uma participação especial no filme mais recente.")</f>
        <v> Knock Knock é um filme de horror erótico americano de 2015 - Thriller, dirigido por Eli Roth, que também co -escreveu o roteiro com Guillermo Amoedo e Nicolás López. O filme é estrelado por Keanu Reeves, Lorenza Izzo e Ana de Armas. O filme foi lançado em 9 de outubro de 2015, pela Lionsgate Premiere. Knock Knock é um remake do cinema de 1977 Death Game, dirigido por Peter S. Traynor e estrelou Sondra Locke e Colleen Camp. Todos os três indivíduos tiveram uma mão na produção de Knock, enquanto Camp também teve uma participação especial no filme mais recente.</v>
      </c>
    </row>
    <row r="711" customFormat="false" ht="15.75" hidden="false" customHeight="true" outlineLevel="0" collapsed="false">
      <c r="A711" s="3" t="n">
        <v>708</v>
      </c>
      <c r="B711" s="5" t="s">
        <v>2121</v>
      </c>
      <c r="C711" s="5" t="s">
        <v>2122</v>
      </c>
      <c r="D711" s="5" t="s">
        <v>2123</v>
      </c>
      <c r="E711" s="4" t="str">
        <f aca="false">IFERROR(__xludf.dummyfunction("GOOGLETRANSLATE(C712)"),"Quando um mineral se torna um Recursos Minerais")</f>
        <v>Quando um mineral se torna um Recursos Minerais</v>
      </c>
      <c r="F711" s="5" t="str">
        <f aca="false">IFERROR(__xludf.dummyfunction("GOOGLETRANSLATE(D711)")," Um mini-LP ou mini-álbum é um álbum de disco de vinil curto ou LP, geralmente vendendo a um preço mais baixo do que um álbum que seria considerado completo-comprimento. É distinto de um EP devido à contenção de mais faixas e um comprimento de execução um"&amp;" pouco mais longo. Um mini-LP não deve ser confundido com o exclusivo do Japão `` Mini LP Sleeve '' ou `` jaqueta de papel ''.")</f>
        <v> Um mini-LP ou mini-álbum é um álbum de disco de vinil curto ou LP, geralmente vendendo a um preço mais baixo do que um álbum que seria considerado completo-comprimento. É distinto de um EP devido à contenção de mais faixas e um comprimento de execução um pouco mais longo. Um mini-LP não deve ser confundido com o exclusivo do Japão `` Mini LP Sleeve '' ou `` jaqueta de papel ''.</v>
      </c>
    </row>
    <row r="712" customFormat="false" ht="15.75" hidden="false" customHeight="true" outlineLevel="0" collapsed="false">
      <c r="A712" s="3" t="n">
        <v>709</v>
      </c>
      <c r="B712" s="5" t="s">
        <v>2124</v>
      </c>
      <c r="C712" s="5" t="s">
        <v>2125</v>
      </c>
      <c r="D712" s="5" t="s">
        <v>2126</v>
      </c>
      <c r="E712" s="4" t="str">
        <f aca="false">IFERROR(__xludf.dummyfunction("GOOGLETRANSLATE(C713)"),"onde está localizado o Hall da Fama do Pro Football")</f>
        <v>onde está localizado o Hall da Fama do Pro Football</v>
      </c>
      <c r="F712" s="5" t="str">
        <f aca="false">IFERROR(__xludf.dummyfunction("GOOGLETRANSLATE(D712)")," Um 'recurso mineral' é uma concentração ou ocorrência de material de interesse econômico intrínseco na crosta ou na crosta da Terra, de tal forma, qualidade e quantidade que há perspectivas razoáveis ​​de eventual extração econômica. Os recursos minerais"&amp;" são ainda mais subdivididos, em ordem de aumento da confiança geológica, em categorias inferidas, indicadas e medidas.")</f>
        <v> Um 'recurso mineral' é uma concentração ou ocorrência de material de interesse econômico intrínseco na crosta ou na crosta da Terra, de tal forma, qualidade e quantidade que há perspectivas razoáveis ​​de eventual extração econômica. Os recursos minerais são ainda mais subdivididos, em ordem de aumento da confiança geológica, em categorias inferidas, indicadas e medidas.</v>
      </c>
    </row>
    <row r="713" customFormat="false" ht="15.75" hidden="false" customHeight="true" outlineLevel="0" collapsed="false">
      <c r="A713" s="3" t="n">
        <v>710</v>
      </c>
      <c r="B713" s="5" t="s">
        <v>2127</v>
      </c>
      <c r="C713" s="5" t="s">
        <v>2128</v>
      </c>
      <c r="D713" s="5" t="s">
        <v>2129</v>
      </c>
      <c r="E713" s="4" t="str">
        <f aca="false">IFERROR(__xludf.dummyfunction("GOOGLETRANSLATE(C714)"),"que interpretou Miranda Frost em Die outro dia")</f>
        <v>que interpretou Miranda Frost em Die outro dia</v>
      </c>
      <c r="F713" s="5" t="str">
        <f aca="false">IFERROR(__xludf.dummyfunction("GOOGLETRANSLATE(D713)")," PRO FUTEBOL Hall of Fame Localização do Hall da Fama do Futebol Pro Criado 1963 Localização 2121 George Halas Dr. NW, Canton, Ohio Coordena 40 ° 49 ′ 16 '' N 81 ° 23 ′ 52 '' W / 40.82111 ° N 81.39778 ° W / 40.82111; - 81.39778 Coordenadas: 40 ° 49 ′ 16 '"&amp;"' n 81 ° 23 ′ 52 '' W / 40.821111 ° N 81.39778 ° W / 40.821111; - 81.39778 Tipo Professional Sports Hall of Fame Visitores 191.943 (2010) Presidente C. David Baker Site Profootballhof.com")</f>
        <v> PRO FUTEBOL Hall of Fame Localização do Hall da Fama do Futebol Pro Criado 1963 Localização 2121 George Halas Dr. NW, Canton, Ohio Coordena 40 ° 49 ′ 16 '' N 81 ° 23 ′ 52 '' W / 40.82111 ° N 81.39778 ° W / 40.82111; - 81.39778 Coordenadas: 40 ° 49 ′ 16 '' n 81 ° 23 ′ 52 '' W / 40.821111 ° N 81.39778 ° W / 40.821111; - 81.39778 Tipo Professional Sports Hall of Fame Visitores 191.943 (2010) Presidente C. David Baker Site Profootballhof.com</v>
      </c>
    </row>
    <row r="714" customFormat="false" ht="15.75" hidden="false" customHeight="true" outlineLevel="0" collapsed="false">
      <c r="A714" s="3" t="n">
        <v>711</v>
      </c>
      <c r="B714" s="5" t="s">
        <v>2130</v>
      </c>
      <c r="C714" s="5" t="s">
        <v>2131</v>
      </c>
      <c r="D714" s="5" t="s">
        <v>2132</v>
      </c>
      <c r="E714" s="4" t="str">
        <f aca="false">IFERROR(__xludf.dummyfunction("GOOGLETRANSLATE(C715)"),"Old Trafford Cricket Ground para Old Trafford Football Ground")</f>
        <v>Old Trafford Cricket Ground para Old Trafford Football Ground</v>
      </c>
      <c r="F714" s="5" t="str">
        <f aca="false">IFERROR(__xludf.dummyfunction("GOOGLETRANSLATE(D714)")," Rosamund Mary Ellen Pike (nascida em 27 de janeiro de 1979) é uma atriz inglesa que iniciou sua carreira de atriz ao aparecer em produções de palco como Romeu e Julieta e Skylight. Após sua estréia na tela no filme de televisão A A Belleg English Casamen"&amp;"to (1998) e papéis de televisão em esposas e filhas (1999) e Love in a Cold Climate (2001), ela recebeu reconhecimento internacional por sua estréia no cinema como Bond Girl Miranda Frost in Die em Die Outro dia (2002), pelo qual ela recebeu o prêmio Empi"&amp;"re de melhor novato. Após seu avanço, ela ganhou o prêmio BIFA de Melhor Atriz Coadjuvante para o Libertine (2004) e retratou Jane Bennet em Pride &amp; Prejudice (2005).")</f>
        <v> Rosamund Mary Ellen Pike (nascida em 27 de janeiro de 1979) é uma atriz inglesa que iniciou sua carreira de atriz ao aparecer em produções de palco como Romeu e Julieta e Skylight. Após sua estréia na tela no filme de televisão A A Belleg English Casamento (1998) e papéis de televisão em esposas e filhas (1999) e Love in a Cold Climate (2001), ela recebeu reconhecimento internacional por sua estréia no cinema como Bond Girl Miranda Frost in Die em Die Outro dia (2002), pelo qual ela recebeu o prêmio Empire de melhor novato. Após seu avanço, ela ganhou o prêmio BIFA de Melhor Atriz Coadjuvante para o Libertine (2004) e retratou Jane Bennet em Pride &amp; Prejudice (2005).</v>
      </c>
    </row>
    <row r="715" customFormat="false" ht="15.75" hidden="false" customHeight="true" outlineLevel="0" collapsed="false">
      <c r="A715" s="3" t="n">
        <v>712</v>
      </c>
      <c r="B715" s="5" t="s">
        <v>2133</v>
      </c>
      <c r="C715" s="5" t="s">
        <v>2134</v>
      </c>
      <c r="D715" s="5" t="s">
        <v>2135</v>
      </c>
      <c r="E715" s="4" t="str">
        <f aca="false">IFERROR(__xludf.dummyfunction("GOOGLETRANSLATE(C716)"),"Que tipo de motores estão nos carros da NASCAR")</f>
        <v>Que tipo de motores estão nos carros da NASCAR</v>
      </c>
      <c r="F715" s="5" t="str">
        <f aca="false">IFERROR(__xludf.dummyfunction("GOOGLETRANSLATE(D715)")," O campo de críquete fica perto do Estádio de Futebol de Old Trafford (a cinco minutos a pé pela Warwick Road e Sir Matt Busby Way), no bairro de Trafford, na Grande Manchester, a aproximadamente três quilômetros a sudoeste do centro da cidade de Manchest"&amp;"er. Sua capacidade é de 22.000 para correspondências de teste, para as quais os estandes temporários são erguidos e 15.000 para outras partidas. Desde 1884, recebeu 74 testes, o terceiro maior número na Inglaterra, por trás de Lord's e The Oval.")</f>
        <v> O campo de críquete fica perto do Estádio de Futebol de Old Trafford (a cinco minutos a pé pela Warwick Road e Sir Matt Busby Way), no bairro de Trafford, na Grande Manchester, a aproximadamente três quilômetros a sudoeste do centro da cidade de Manchester. Sua capacidade é de 22.000 para correspondências de teste, para as quais os estandes temporários são erguidos e 15.000 para outras partidas. Desde 1884, recebeu 74 testes, o terceiro maior número na Inglaterra, por trás de Lord's e The Oval.</v>
      </c>
    </row>
    <row r="716" customFormat="false" ht="15.75" hidden="false" customHeight="true" outlineLevel="0" collapsed="false">
      <c r="A716" s="3" t="n">
        <v>713</v>
      </c>
      <c r="B716" s="5" t="s">
        <v>2136</v>
      </c>
      <c r="C716" s="5" t="s">
        <v>2137</v>
      </c>
      <c r="D716" s="5" t="s">
        <v>2138</v>
      </c>
      <c r="E716" s="4" t="str">
        <f aca="false">IFERROR(__xludf.dummyfunction("GOOGLETRANSLATE(C717)"),"Nomeie um presidente dos EUA que termina com o filho")</f>
        <v>Nomeie um presidente dos EUA que termina com o filho</v>
      </c>
      <c r="F716" s="5" t="str">
        <f aca="false">IFERROR(__xludf.dummyfunction("GOOGLETRANSLATE(D716)")," Os carros são alimentados por motores EFI V8 com blocos de ferro de grafite compactados e válvulas de pushrod valvetrain, atuando duas válvulas por cilindro e são limitadas a deslocamento de 358 polegadas cúbicas (cerca de 5,8 litros). No entanto, a tecn"&amp;"ologia moderna permitiu que as saídas de energia próximas a 900 cavalos de potência (670 kW) de forma irrestrita, mantendo o projeto convencional básico do motor. De fato, antes da NASCAR instituir a regra de equipamentos, os motores da copa eram capazes "&amp;"de operar mais de 10.000 rpm. Um motor da NASCAR Cup Series com o furo máximo de 106,3 milímetros de 4,185 polegadas (82,55 milímetros) a 9.000 rpm tem uma velocidade média do pistão de 80,44 fps (24,75 m / s). Os motores da Copa Contemporânea correm 9.80"&amp;"0 rpm, 87,59 fps (26,95 m / s), nos eventos do percurso da estrada no longo trecho frontal da Pocono Pensilvânia e no. 526 - Mile Short - Track Martinsville Speedway. Na espinha dorsal de 1,5 a 2,0 - Mile Tri -Oval Tracks da NASCAR, os motores produzem ma"&amp;"is de 850 hp em 92 a 9400 rpm por 500 milhas, 600 mi para a corrida Coca - Cola 600 Charlotte.")</f>
        <v> Os carros são alimentados por motores EFI V8 com blocos de ferro de grafite compactados e válvulas de pushrod valvetrain, atuando duas válvulas por cilindro e são limitadas a deslocamento de 358 polegadas cúbicas (cerca de 5,8 litros). No entanto, a tecnologia moderna permitiu que as saídas de energia próximas a 900 cavalos de potência (670 kW) de forma irrestrita, mantendo o projeto convencional básico do motor. De fato, antes da NASCAR instituir a regra de equipamentos, os motores da copa eram capazes de operar mais de 10.000 rpm. Um motor da NASCAR Cup Series com o furo máximo de 106,3 milímetros de 4,185 polegadas (82,55 milímetros) a 9.000 rpm tem uma velocidade média do pistão de 80,44 fps (24,75 m / s). Os motores da Copa Contemporânea correm 9.800 rpm, 87,59 fps (26,95 m / s), nos eventos do percurso da estrada no longo trecho frontal da Pocono Pensilvânia e no. 526 - Mile Short - Track Martinsville Speedway. Na espinha dorsal de 1,5 a 2,0 - Mile Tri -Oval Tracks da NASCAR, os motores produzem mais de 850 hp em 92 a 9400 rpm por 500 milhas, 600 mi para a corrida Coca - Cola 600 Charlotte.</v>
      </c>
    </row>
    <row r="717" customFormat="false" ht="15.75" hidden="false" customHeight="true" outlineLevel="0" collapsed="false">
      <c r="A717" s="3" t="n">
        <v>714</v>
      </c>
      <c r="B717" s="5" t="s">
        <v>2139</v>
      </c>
      <c r="C717" s="5" t="s">
        <v>2140</v>
      </c>
      <c r="D717" s="5" t="s">
        <v>2141</v>
      </c>
      <c r="E717" s="4" t="str">
        <f aca="false">IFERROR(__xludf.dummyfunction("GOOGLETRANSLATE(C718)"),"Quando Kobe Bryant ganhou seu primeiro anel")</f>
        <v>Quando Kobe Bryant ganhou seu primeiro anel</v>
      </c>
      <c r="F717" s="5" t="str">
        <f aca="false">IFERROR(__xludf.dummyfunction("GOOGLETRANSLATE(D717)"),"   Richard Nixon 37º Presidente dos Estados Unidos no cargo 20 de janeiro de 1969 - 9 de agosto de 1974 Vice -presidente Spiro Agnew (1969 - 1973) Nenhum (outubro - dezembro de 1973) Gerald Ford (1973 - 1974) precedido por Lyndon B. Johnson sucedeu por Ge"&amp;"rald Ford 36º Vice -Presidente dos Estados Unidos no cargo em 20 de janeiro de 1953 - 20 de janeiro de 1961, Presidente Dwight D. Eisenhower, precedido por Alben W. Barkley, sucedido por Lyndon B. Johnson, senador dos Estados Unidos da Califórnia no cargo"&amp;" 1º de dezembro de 1950 - 1 de janeiro de 1953 Precedido por Sheridan Downey sucedeu a Thomas Kuchel membro da Câmara dos Deputados dos EUA do 12º Distrito da Califórnia no cargo em 3 de janeiro de 1947 - 1 de dezembro de 1950 precedido por Jerry Voorhis,"&amp;" foi bem -sucedido por Patrick J. Hillings Detalhes Personal Richard Milhous Nixon (1913 - 01 - 09) 9 de janeiro de 1913 Yorba Linda, Califórnia, EUA 22 de abril de 1994 (1994 - 04 - 22) (81 anos) Manhattan, Nova York, US Causa da Death Stroke e edema cer"&amp;"ebral Place Richard Nixon Biblioteca Presidencial e Museu Yorba Linda, Califórnia, Cônjuge Republicano do Partido Político dos EUA Pat Ryan (m. 1940; d. 1993) Crianças Patricia `` Tricia '' e Julie Parents Frank Nixon Hannah Milhous Nixon Alma Mater Whitt"&amp;"ier College Duke Duke Profissionário Apelido de Dick Signature Service Militarent Service Estados Unidos Serviço / filial 1946 - 1966, comandante inativo do comandante de dever de batalha / guerras Segunda Guerra Mundial Pacífico Sul Awards Awards Marinha"&amp;" e Medalha de Louvor Medal (2)")</f>
        <v>   Richard Nixon 37º Presidente dos Estados Unidos no cargo 20 de janeiro de 1969 - 9 de agosto de 1974 Vice -presidente Spiro Agnew (1969 - 1973) Nenhum (outubro - dezembro de 1973) Gerald Ford (1973 - 1974) precedido por Lyndon B. Johnson sucedeu por Gerald Ford 36º Vice -Presidente dos Estados Unidos no cargo em 20 de janeiro de 1953 - 20 de janeiro de 1961, Presidente Dwight D. Eisenhower, precedido por Alben W. Barkley, sucedido por Lyndon B. Johnson, senador dos Estados Unidos da Califórnia no cargo 1º de dezembro de 1950 - 1 de janeiro de 1953 Precedido por Sheridan Downey sucedeu a Thomas Kuchel membro da Câmara dos Deputados dos EUA do 12º Distrito da Califórnia no cargo em 3 de janeiro de 1947 - 1 de dezembro de 1950 precedido por Jerry Voorhis, foi bem -sucedido por Patrick J. Hillings Detalhes Personal Richard Milhous Nixon (1913 - 01 - 09) 9 de janeiro de 1913 Yorba Linda, Califórnia, EUA 22 de abril de 1994 (1994 - 04 - 22) (81 anos) Manhattan, Nova York, US Causa da Death Stroke e edema cerebral Place Richard Nixon Biblioteca Presidencial e Museu Yorba Linda, Califórnia, Cônjuge Republicano do Partido Político dos EUA Pat Ryan (m. 1940; d. 1993) Crianças Patricia `` Tricia '' e Julie Parents Frank Nixon Hannah Milhous Nixon Alma Mater Whittier College Duke Duke Profissionário Apelido de Dick Signature Service Militarent Service Estados Unidos Serviço / filial 1946 - 1966, comandante inativo do comandante de dever de batalha / guerras Segunda Guerra Mundial Pacífico Sul Awards Awards Marinha e Medalha de Louvor Medal (2)</v>
      </c>
    </row>
    <row r="718" customFormat="false" ht="15.75" hidden="false" customHeight="true" outlineLevel="0" collapsed="false">
      <c r="A718" s="3" t="n">
        <v>715</v>
      </c>
      <c r="B718" s="5" t="s">
        <v>2142</v>
      </c>
      <c r="C718" s="5" t="s">
        <v>2143</v>
      </c>
      <c r="D718" s="5" t="s">
        <v>2144</v>
      </c>
      <c r="E718" s="4" t="str">
        <f aca="false">IFERROR(__xludf.dummyfunction("GOOGLETRANSLATE(C719)"),"quem escreveu a música se eu só posso imaginar")</f>
        <v>quem escreveu a música se eu só posso imaginar</v>
      </c>
      <c r="F718" s="5" t="str">
        <f aca="false">IFERROR(__xludf.dummyfunction("GOOGLETRANSLATE(D718)")," Kobe Bryant Bryant em 2015 (1978 - 08 - 23) 23 de agosto de 1978 (39 anos) Philadelphia, Pensilvânia Americana Americana Listada Altura 6 pés 6 pol (1,98 m) Listou Peso 212 lb (96 kg) Informações de carreira Merion High School (Merion Lower Merion ( Ardm"&amp;"ore, Pensilvânia) NBA Draft 1996 / Rodada: 1 / Pick: 13º geral Selecionado pelo Charlotte Hornets Award Career 1996 - 2016 Position Shooting Guard número 8, 24 História da carreira 1996 - 2016 Los Angeles Lakers Destaques e Aupra 5 × NBA Champion (2000 - "&amp;"2002, 2009, 2010) 2 × NBA Finals MVP (2009, 2010) NBA MAIS VAGEM PLAYER (2008) 18 × NBA All - Star (1998, 2000 - 2016) 4 × NBA All - Star Game MVP (2002, 2007, 2009, 2011) 11 × All - NBA First Team (2002 - 2004, 2006 - 2013) 2 × All - NBA Second Team (200"&amp;"0, 2001) 2 × All - NBA Third Team (1999, 2005 ) 9 × NBA All - Primeira equipe defensiva (2000, 2003, 2004, 2006 - 2011) 3 × NBA All - Segunda equipe defensiva (2001, 2002, 2012) 2 × NBA Scoring Champion (2006, 2007) Concurso de Dunk NBA Slam Dunk Champion"&amp;" (1997) NBA All - ROOKIE Second Team (1997) Naismith Prep Jogador do Ano (1996) Pontos de Estatística de Carreira 33.643 (25,0 ppg) Rebote 7.047 (5,2 rpg) Ajuda 6.306 (4,7 APG) em estatísticas de basquete. (Hide) Men's Basketball Representando os Jogos Ol"&amp;"ímpicos dos Estados Unidos 2008 Equipe de Pequim 2012 London Team FIBA ​​Americas Championship 2007 Las Vegas Team")</f>
        <v> Kobe Bryant Bryant em 2015 (1978 - 08 - 23) 23 de agosto de 1978 (39 anos) Philadelphia, Pensilvânia Americana Americana Listada Altura 6 pés 6 pol (1,98 m) Listou Peso 212 lb (96 kg) Informações de carreira Merion High School (Merion Lower Merion ( Ardmore, Pensilvânia) NBA Draft 1996 / Rodada: 1 / Pick: 13º geral Selecionado pelo Charlotte Hornets Award Career 1996 - 2016 Position Shooting Guard número 8, 24 História da carreira 1996 - 2016 Los Angeles Lakers Destaques e Aupra 5 × NBA Champion (2000 - 2002, 2009, 2010) 2 × NBA Finals MVP (2009, 2010) NBA MAIS VAGEM PLAYER (2008) 18 × NBA All - Star (1998, 2000 - 2016) 4 × NBA All - Star Game MVP (2002, 2007, 2009, 2011) 11 × All - NBA First Team (2002 - 2004, 2006 - 2013) 2 × All - NBA Second Team (2000, 2001) 2 × All - NBA Third Team (1999, 2005 ) 9 × NBA All - Primeira equipe defensiva (2000, 2003, 2004, 2006 - 2011) 3 × NBA All - Segunda equipe defensiva (2001, 2002, 2012) 2 × NBA Scoring Champion (2006, 2007) Concurso de Dunk NBA Slam Dunk Champion (1997) NBA All - ROOKIE Second Team (1997) Naismith Prep Jogador do Ano (1996) Pontos de Estatística de Carreira 33.643 (25,0 ppg) Rebote 7.047 (5,2 rpg) Ajuda 6.306 (4,7 APG) em estatísticas de basquete. (Hide) Men's Basketball Representando os Jogos Olímpicos dos Estados Unidos 2008 Equipe de Pequim 2012 London Team FIBA ​​Americas Championship 2007 Las Vegas Team</v>
      </c>
    </row>
    <row r="719" customFormat="false" ht="15.75" hidden="false" customHeight="true" outlineLevel="0" collapsed="false">
      <c r="A719" s="3" t="n">
        <v>716</v>
      </c>
      <c r="B719" s="5" t="s">
        <v>2145</v>
      </c>
      <c r="C719" s="5" t="s">
        <v>2146</v>
      </c>
      <c r="D719" s="5" t="s">
        <v>2147</v>
      </c>
      <c r="E719" s="4" t="str">
        <f aca="false">IFERROR(__xludf.dummyfunction("GOOGLETRANSLATE(C720)"),"ator que interpretou Rudy no ladrão do livro")</f>
        <v>ator que interpretou Rudy no ladrão do livro</v>
      </c>
      <c r="F719" s="5" t="str">
        <f aca="false">IFERROR(__xludf.dummyfunction("GOOGLETRANSLATE(D719)")," `` Eu só posso imaginar '' (às vezes encurtada para `` imagine '') é um único gravado pela banda de rock cristã Mercyme. Escrito e composto pelo vocalista principal Bart Millard, a música, baseada em uma faixa de piano principal, foi inspirada pela morte"&amp;" do pai de Millard e considera como seria no céu e em estar diante de Deus. A música foi emitida pela primeira vez como uma faixa no álbum de 1999 de Mercyme, The Worship Project, lançado em uma gravadora independente. A música foi regravada e incluída em"&amp;" seu álbum de estréia em 2001, quase lá como a quinta música do álbum.")</f>
        <v> `` Eu só posso imaginar '' (às vezes encurtada para `` imagine '') é um único gravado pela banda de rock cristã Mercyme. Escrito e composto pelo vocalista principal Bart Millard, a música, baseada em uma faixa de piano principal, foi inspirada pela morte do pai de Millard e considera como seria no céu e em estar diante de Deus. A música foi emitida pela primeira vez como uma faixa no álbum de 1999 de Mercyme, The Worship Project, lançado em uma gravadora independente. A música foi regravada e incluída em seu álbum de estréia em 2001, quase lá como a quinta música do álbum.</v>
      </c>
    </row>
    <row r="720" customFormat="false" ht="15.75" hidden="false" customHeight="true" outlineLevel="0" collapsed="false">
      <c r="A720" s="3" t="n">
        <v>717</v>
      </c>
      <c r="B720" s="5" t="s">
        <v>2148</v>
      </c>
      <c r="C720" s="5" t="s">
        <v>2149</v>
      </c>
      <c r="D720" s="5" t="s">
        <v>2150</v>
      </c>
      <c r="E720" s="4" t="str">
        <f aca="false">IFERROR(__xludf.dummyfunction("GOOGLETRANSLATE(C721)"),"que interpreta Tom Riddle na Câmara de Segredos de Harry Potter")</f>
        <v>que interpreta Tom Riddle na Câmara de Segredos de Harry Potter</v>
      </c>
      <c r="F720" s="5" t="str">
        <f aca="false">IFERROR(__xludf.dummyfunction("GOOGLETRANSLATE(D720)")," Nico Louis Liersch (nascido em 17 de julho de 2000) é um ator de TV e cinema alemão. Ele é conhecido principalmente por seu papel como Rudy Steiner no filme de 2013 The Book Thief. Ele também é conhecido por seu trabalho na série de televisão alemã, Das "&amp;"Ist Gut, onde interpretou Phillip Greenyard, um homem das cavernas sem pais.")</f>
        <v> Nico Louis Liersch (nascido em 17 de julho de 2000) é um ator de TV e cinema alemão. Ele é conhecido principalmente por seu papel como Rudy Steiner no filme de 2013 The Book Thief. Ele também é conhecido por seu trabalho na série de televisão alemã, Das Ist Gut, onde interpretou Phillip Greenyard, um homem das cavernas sem pais.</v>
      </c>
    </row>
    <row r="721" customFormat="false" ht="15.75" hidden="false" customHeight="true" outlineLevel="0" collapsed="false">
      <c r="A721" s="3" t="n">
        <v>718</v>
      </c>
      <c r="B721" s="5" t="s">
        <v>2151</v>
      </c>
      <c r="C721" s="5" t="s">
        <v>2152</v>
      </c>
      <c r="D721" s="5" t="s">
        <v>2153</v>
      </c>
      <c r="E721" s="4" t="str">
        <f aca="false">IFERROR(__xludf.dummyfunction("GOOGLETRANSLATE(C722)"),"quem é Sabrina carpinteiro brincando no ódio que você dá")</f>
        <v>quem é Sabrina carpinteiro brincando no ódio que você dá</v>
      </c>
      <c r="F721" s="5" t="str">
        <f aca="false">IFERROR(__xludf.dummyfunction("GOOGLETRANSLATE(D721)")," Christian Peter Coulson (nascido em 3 de outubro de 1978) é um ator inglês mais conhecido por interpretar o Riddle de 16 anos, Tom Marvolo, em Harry Potter, e a Câmara de Segredos.")</f>
        <v> Christian Peter Coulson (nascido em 3 de outubro de 1978) é um ator inglês mais conhecido por interpretar o Riddle de 16 anos, Tom Marvolo, em Harry Potter, e a Câmara de Segredos.</v>
      </c>
    </row>
    <row r="722" customFormat="false" ht="15.75" hidden="false" customHeight="true" outlineLevel="0" collapsed="false">
      <c r="A722" s="3" t="n">
        <v>719</v>
      </c>
      <c r="B722" s="5" t="s">
        <v>2154</v>
      </c>
      <c r="C722" s="5" t="s">
        <v>2155</v>
      </c>
      <c r="D722" s="5" t="s">
        <v>2156</v>
      </c>
      <c r="E722" s="4" t="str">
        <f aca="false">IFERROR(__xludf.dummyfunction("GOOGLETRANSLATE(C723)"),"Fatos da ponte Golden Gate quando foi construído")</f>
        <v>Fatos da ponte Golden Gate quando foi construído</v>
      </c>
      <c r="F722" s="5" t="str">
        <f aca="false">IFERROR(__xludf.dummyfunction("GOOGLETRANSLATE(D722)")," Sabrina Carpenter como Hailey, uma das amigas de Starr de sua escola preparatória.")</f>
        <v> Sabrina Carpenter como Hailey, uma das amigas de Starr de sua escola preparatória.</v>
      </c>
    </row>
    <row r="723" customFormat="false" ht="15.75" hidden="false" customHeight="true" outlineLevel="0" collapsed="false">
      <c r="A723" s="3" t="n">
        <v>720</v>
      </c>
      <c r="B723" s="5" t="s">
        <v>2157</v>
      </c>
      <c r="C723" s="5" t="s">
        <v>2158</v>
      </c>
      <c r="D723" s="5" t="s">
        <v>2159</v>
      </c>
      <c r="E723" s="4" t="str">
        <f aca="false">IFERROR(__xludf.dummyfunction("GOOGLETRANSLATE(C724)"),"Trigo belga de choque é que estilo de cerveja")</f>
        <v>Trigo belga de choque é que estilo de cerveja</v>
      </c>
      <c r="F723" s="5" t="str">
        <f aca="false">IFERROR(__xludf.dummyfunction("GOOGLETRANSLATE(D723)")," O guia de viagem de Frommer descreve a ponte Golden Gate como `` possivelmente a ponte mais bonita, certamente mais fotografada do mundo. '' Na época de sua abertura em 1937, era a ponte de suspensão mais longa e mais alta do mundo, com um período princi"&amp;"pal de 1.280 m (446 pés). Hoje, a ponte Golden Gate não é a mais longa nem a mais alta do mundo, mas continua sendo a ponte mais alta dos Estados Unidos.")</f>
        <v> O guia de viagem de Frommer descreve a ponte Golden Gate como `` possivelmente a ponte mais bonita, certamente mais fotografada do mundo. '' Na época de sua abertura em 1937, era a ponte de suspensão mais longa e mais alta do mundo, com um período principal de 1.280 m (446 pés). Hoje, a ponte Golden Gate não é a mais longa nem a mais alta do mundo, mas continua sendo a ponte mais alta dos Estados Unidos.</v>
      </c>
    </row>
    <row r="724" customFormat="false" ht="15.75" hidden="false" customHeight="true" outlineLevel="0" collapsed="false">
      <c r="A724" s="3" t="n">
        <v>721</v>
      </c>
      <c r="B724" s="5" t="s">
        <v>2160</v>
      </c>
      <c r="C724" s="5" t="s">
        <v>2161</v>
      </c>
      <c r="D724" s="5" t="s">
        <v>2162</v>
      </c>
      <c r="E724" s="4" t="str">
        <f aca="false">IFERROR(__xludf.dummyfunction("GOOGLETRANSLATE(C725)"),"quem ganhou o maior jogador de ligas dos campeões")</f>
        <v>quem ganhou o maior jogador de ligas dos campeões</v>
      </c>
      <c r="F724" s="5" t="str">
        <f aca="false">IFERROR(__xludf.dummyfunction("GOOGLETRANSLATE(D724)")," O Shock Top é uma cerveja de trigo belga de 5,2 % do ABV, introduzida sob o nome de trigo de temperatura de primavera em Fort Collins, Colorado, como uma cerveja sazonal em 2006, depois o ano todo a partir de 2007. A cerveja é fabricada com malte de trig"&amp;"o, cevada de duas fileiras, laranja, limão, casca de limão, coentro e lúpulo em cascata e willamette. Entrando como o trigo temperado do Spring Heat, o topo do choque White ganhou medalhas de ouro e bronze na categoria Belga Wit (White) nos prêmios norte "&amp;"-americanos de 2006 e 2007, ganhando a reputação como a cerveja da América, respectivamente. A marca agora inclui algumas sazonais e especialidades que substituíram as sazonais Michelob. Tais variedades incluem trigo de abóbora de choque, trigo de framboe"&amp;"sa de choque, IPA de trigo de choque, shandy de limão de choque, trigo de maçã com choques de maçã, trigo de chocolate choque, trigo de gengibre, trigo de pretzel e choque de trigo da meia -noite do mundo. Competa diretamente com a marca MillerCoors Blue "&amp;"Moon.")</f>
        <v> O Shock Top é uma cerveja de trigo belga de 5,2 % do ABV, introduzida sob o nome de trigo de temperatura de primavera em Fort Collins, Colorado, como uma cerveja sazonal em 2006, depois o ano todo a partir de 2007. A cerveja é fabricada com malte de trigo, cevada de duas fileiras, laranja, limão, casca de limão, coentro e lúpulo em cascata e willamette. Entrando como o trigo temperado do Spring Heat, o topo do choque White ganhou medalhas de ouro e bronze na categoria Belga Wit (White) nos prêmios norte -americanos de 2006 e 2007, ganhando a reputação como a cerveja da América, respectivamente. A marca agora inclui algumas sazonais e especialidades que substituíram as sazonais Michelob. Tais variedades incluem trigo de abóbora de choque, trigo de framboesa de choque, IPA de trigo de choque, shandy de limão de choque, trigo de maçã com choques de maçã, trigo de chocolate choque, trigo de gengibre, trigo de pretzel e choque de trigo da meia -noite do mundo. Competa diretamente com a marca MillerCoors Blue Moon.</v>
      </c>
    </row>
    <row r="725" customFormat="false" ht="15.75" hidden="false" customHeight="true" outlineLevel="0" collapsed="false">
      <c r="A725" s="3" t="n">
        <v>722</v>
      </c>
      <c r="B725" s="5" t="s">
        <v>2163</v>
      </c>
      <c r="C725" s="5" t="s">
        <v>2164</v>
      </c>
      <c r="D725" s="5" t="s">
        <v>2165</v>
      </c>
      <c r="E725" s="4" t="str">
        <f aca="false">IFERROR(__xludf.dummyfunction("GOOGLETRANSLATE(C726)"),"Quem canta atirou no coração e você é o culpado")</f>
        <v>Quem canta atirou no coração e você é o culpado</v>
      </c>
      <c r="F725" s="5" t="str">
        <f aca="false">IFERROR(__xludf.dummyfunction("GOOGLETRANSLATE(D725)"),"   Os títulos dos clubes de nacionalidade do jogador venceram o anoite de anos Dani Ceballos Espanha Real Madrid 2018 não estava no 18 para a final. Achraf Hakimi Marrocos Real Madrid 2018 não estava no 18 para a final. Theo Hernández France Real Madrid 2"&amp;"018 A República Dominicana de Mariano 2018 Real Madrid 2017 não estava no 18 para a final. MARCO ASENSIO Espanha Real Madrid 2017, 2018 Keylor Navas Costa Rica Real Madrid 2016, 2017, 2018 James Rodríguez Colombia Real Madrid 2016, 2017 não foi na final d"&amp;"e 2017. Kiko Casilla Espanha Real Madrid 2016, 2017, 2018 Mateo Kovačić Croatia Real Madrid 2016, 2017, 2018 Lucas Vázquez Espanha Real Madrid 2016, 2017, 2018 não foi na final de 18 para a final de 2017. Rubén Yáñez Espanha Real Madrid 2016 de 2017 não e"&amp;"stava no 18 para a final de 2017. Danilo Brasil Real Madrid 2016, 2017 Munir Spain Barcelona 2015 não estava no 18 para a final. Sandro Ramírez Espanha Barcelona 2015 não estava no 18 para a final. O Samper Samper Spanha, SABEN, SABEN 2015, não estava no "&amp;"18 para a final. O Douglas Brasil Barcelona 2015 não estava no 18 para a final. Jordi Masip Spain Barcelona 2015 não estava no 18 para a final. Martín Montoya Espanha Barcelona 2015 não estava no 18 para a final. Sergi Roberto Spain Barcelona 2015 não est"&amp;"ava no 18 para a final. Rafinha   Brazil   Barcelona     2015       Jérémy Mathieu   France   Barcelona     2015       Jordi Alba   Spain   Barcelona     2015       Ivan Rakitić   Croatia   Barcelona     2015       Marc - André ter Stegen   Germany   Barc"&amp;"elona     2015       Claudio Bravo   Chile   Barcelona     2015       Thomas Vermaelen   Belgium   Barcelona     2015   Was not in the 18 for the final . Luis Suárez Uruguai Barcelona 2015 Neymar Brazil Barcelona 2015 Álvaro Morata Espanha Real Madrid 201"&amp;"4, 2017 Jesús Espanha Real Madrid 2014 Nacho Espanha Real Madrid 2014, 2016, 2017, 2017 2018 Casemiro Brasil RealiAin 2014, 2017, 2017, 2018, 2017, 2017, 2018 Casemiro Brasil Reali 2014, 2016, 2017, 2018, 2017, 2017, 2017 Jesé Espanha Real Madrid 2014, 20"&amp;"16 Diego López Espanha Real Madrid 2014 Raphaël Varane France Real Madrid 2014, 2016, 2017, 2018 Dani Carvajal Espanha Real Madrid 2014, 2016, 2017, 2018 Isco Spain Real Madrid 2014, 2016, 2017, 2018, 2017, 2018 DI DI DI DI DI DI DI DI DI DI DI DI DI DI D"&amp;"I REAL REAL 2014, 2014, 2014, 2017, 2017, 2017, 2018 DI DI DI DI DI DI DI DI DI DI DI DI DI DI DI DI DI DI DI REAL REAL 2014, 2014, 2014 2014 María Argentina Real Madrid 2014 Luka Modrić Croatia Real Madrid 2014, 2016, 2017, 2018 Álvaro Arbeloa Espanha Re"&amp;"al Madrid 2014, 2016 Sami Khedira Germany Real Madrid 2014 PEPE PORTUGAL REAL REAL MADRID 2014, 2017, 2017 não foi no dia 18 de 2014. Fábio Coentrão Portugal Real Madrid 2014, 2017 não estava na final da final de 2017. Karim Benzema France Real Madrid 201"&amp;"4, 2016, 2017, 2018 Marcelo Brasil Real Madrid 2014, 2016, 2017, 2018 Gareth Bale Wales Real Madrid 2014, 2016, 2017, 2018 Sergio Ramos Spain Real Madrid 2014, 2016, 2017 Capitão 2018 em 2016 , 2017 e 2018. Manuel Neuer Alemanha Bayern de Munique 2013 Phi"&amp;"lipp Lahm Alemanha Bayern de Munique 2013 Capitão em 2013. Jérôme Boateng   Germany   Bayern Munich     2013       Dante   Brazil   Bayern Munich     2013       David Alaba   Austria   Bayern Munich     2013       Daniel Van Buyten   Belgium   Bayern Muni"&amp;"ch     2013       Javi Martínez   Spain   Bayern Munich     2013       Franck Ribéry   France   Bayern Munich     2013       Arjen Robben   Netherlands   Bayern Munich     2013       Thomas Müller   Germany   Bayern Munich     2013       Bastian Schweinst"&amp;"eiger Alemanha Bayern de Munique 2013 Tom Starke Alemanha Bayern de Munique 2013 Mario Gómez Alemanha Bayern de Munique 2013 Holger Badstuber Alemanha Bayern de Munique 2013 não estava no 18 para a final. Toni Kroos Alemanha Bayern de Munique, Real Madrid"&amp;" 2013, 2016, 2017, 2018 não foi na final da final de 2013. O Diego Conto Alemanha Bayern de Munique 2013 não estava no 18 para a final. Mario Mandžukić Croácia Bayern de Munique 2013 Xherdan Shaqiri Switzerland Bayern Munique 2013 Luiz Gustavo Bayern Baye"&amp;"rn Munique 2013 O Bayern Brasil de Munique de 2013 não estava no 18 para a final. Anatoliy Tymoshchuk Ukraine Bayern de Munique 2013 Claudio Pizarro Peru Bayern Munique 2013 José Bosingwa Porto Porto, Chelsea 2004, 2012 Paulo Ferreira Portugal Porto, Chel"&amp;"sea 2004, 2012 Didier Drogba Ivory Coast Chelsea 2012 Salomon Kalou ivory ivory ivork ivork Nigéria Chelsea 2012 República Tcheca de Petr Čech Chelsea 2012 Juan Mata Spain Chelsea 2012 ORIOL ROMEU Espanha Chelsea 2012 Fernando Torres Espanha Chelsea 2012 "&amp;"Ryan Bertrand Inglaterra Chelsea 2012 fez sua estréia européia na final. Ross Turnbull Inglaterra Chelsea 2012 Gary Cahill Inglaterra Chelsea 2012 Ashley Cole Inglaterra Chelsea 2012 Jamal Blackman England Chelsea 2012 não estava no 18 para a final. Frank"&amp;" Lampard England Chelsea 2012 Vice-capitão, capitão da final. Daniel Sturridge England Chelsea 2012 John Terry Inglaterra Chelsea 2012 Capitão. Suspenso e não jogou na final. Florent Malouda France Chelsea 2012 Branislav Ivanović Sérvia Chelsea 2012 suspe"&amp;"nso e não jogou na final. RAUL MEIRELES Portugal Chelsea 2012 suspenso e não jogou na final. David Luiz Brasil Chelsea 2012 Ramires Brasil Chelsea 2012 suspenso e não começou a final. O Maxwell Brasil Barcelona 2011 não estava no 18 para a final. Jonathan"&amp;" Dos Santos México Barcelona 2011 não estava no 18 para a final. Marc Bartra Spain Barcelona 2011, 2015 não estava no 18 para a final de 2011. Andreu Fontàs Espanha Barcelona 2011 não estava no 18 para a final. Jeffrén Spain Barcelona 2011 não estava no 1"&amp;"8 para a final. Oier Espanha Barcelona 2011 David Villa Espanha Barcelona 2011 Thiago Espanha Barcelona 2011 Adriano Brasil Barcelona 2011, 2015 Ibrahim Afelay Holanda Barcelona 2011 Javier Mascherano Argentina Barcelona 2015, 2015 Dejan Stanković Serbia "&amp;"no final da Internazeale Renhinia. Cristian Chivu Romênia Internazionale Ricardo Quaresma Portugal Internazionale não estava no 18 para a final. Goran Pandev Macedonia Internazionale Wesley Sneijder Holanda Internazionale McDonald Mariga Quênia Internazio"&amp;"nale Paolo Orlandoni Itália Internazionale não estava no 18 para a final. Davide Santon Itália Internazionale não estava no 18 para a final. Mario Balotelli   Italy   Internazionale           Marco Materazzi   Italy   Internazionale           Francesco To"&amp;"ldo   Italy   Internazionale           Sulley Muntari   Ghana   Internazionale           Iván Córdoba   Colombia   Internazionale           Lúcio   Brazil   Internazionale           Maicon   Brazil   Internazionale           Júlio César   Brazil   Interna"&amp;"zionale           Esteban Cambiasso   Argentina   Internazionale           Javier Zanetti   Argentina   Internazionale       Captain in 2010 . Walter Samuel Argentina Internazionale Diego Milito Argentina Internazionale Marko Arnautović Austria Internazio"&amp;"nale não estava no 18 para a final. Sergio Busquets Espanha Barcelona 2009, 2011, 2015 José Manuel Pinto Espanha Barcelona 2009, 2011 foi suspenso para a final de 2011. Pedro Spain Barcelona 2009, 2011, 2015 Bojan Spain Barcelona 2009, 2011 Gabriel Milito"&amp;" Argentina Barcelona 2009, 2011 não foi nos 18 em 2009 ou 2011. Dani Alves Brasil Barcelona 2009, 2011, 2015 foi suspenso para a final de 2009. Alexander Hleb Bielorrússia Barcelona 2009 Yaya Touré Ivory Coast Barcelona 2009 Thierry Henry France Barcelona"&amp;" 2009 Éric Abidal France Barcelona 2009, 2011 foi suspenso para a final de 2009. Capitão em 2011. EIður GuðJohnsen Islândia Barcelona 2009 Martín Cácerres Uruguai Barcelona 2009 Seydou Keita Mali Barcelona 2009, 2011 Park Ji - Sung Coréia do Sul Mancheste"&amp;"r United 2008 não estava no 18 para a final. Tornou -se o primeiro jogador asiático - nascido a ganhar um título da Liga dos Campeões. Gerard Piqué Espanha Manchester United, Barcelona 2008, 2009, 2011, 2015 não estava na final da final de 2008. Ganhou do"&amp;"is anos seguidos com duas equipes diferentes. Louis Saha France Manchester United 2008 não estava no 18 para a final. Carlos Tevez Argentina Manchester United 2008 Wayne Rooney England Manchester United 2008 Cristiano Ronaldo Portugal Manchester United, R"&amp;"eal Madrid 5 2008, 2014, 2016, 2017, 2018 Primeiro jogador a marcar em duas finais para duas equipes vencedoras diferentes. Michael Carrick Inglaterra Manchester United 2008 Patrice Evra France Manchester United 2008 Mikaël Silvestre France Manchester Uni"&amp;"ted 2008 Nemanja Vidić Serbia Manchester United 2008 Rio Ferdinand Inglaterra Manchester United 2008 Capitão em 2008. Tomasz Kuszczak   Poland   Manchester United     2008       John O'Shea   Ireland   Manchester United     2008       Anderson   Brazil   "&amp;"Manchester United     2008       Nani   Portugal   Manchester United     2008       Darren Fletcher   Scotland   Manchester United     2008       Marek Jankulovski   Czech Republic   Milan     2007       Kaká   Brazil   Milan     2007       Zeljko Kalac  "&amp;" Australia   Milan     2007       Cafu   Brazil   Milan     2007       Giuseppe Favalli Itália Milão 2007 Alberto Gilardino Itália Milão 2007 Massimo Oddo Itália Milão 2007 Daniele Bonera Itália Milão 2007 não estava no 18 em 2007. Yoann Gourcuff France M"&amp;"ilan 2007 não estava nos 18 em 2007. Ricardo Oliveira Brasil Milan 2007 não estava nos 18 em 2007. Marco Storari Itália Milão 2007 não estava nos 18 em 2007. Valerio Fiori Itália Milão 2003, 2007 não estava nos 18 em 2003 ou 2007. Dario Šimić Croatia Mila"&amp;"n 2003, 2007 não estava nos 18 em 2003 ou 2007. Víctor Valdés Espanha Barcelona 2006, 2009, 2011 Giovanni van Bronckhorst Holanda Barcelona 2006 Rafael Márquez México Barcelona 2006, 2009 não estava no 18 em 2009 devido a lesão. Carles Puyol   Spain   Bar"&amp;"celona     2006 , 2009 , 2011   Captain in 2006 and 2009     Oleguer   Spain   Barcelona     2006       Juliano Belletti   Brazil   Barcelona     2006       Edmílson   Brazil   Barcelona     2006       Andrés Iniesta   Spain   Barcelona     2006 , 2009 , "&amp;"2011 , 2015       Deco   Portugal   Porto , Barcelona     2004 , 2006       Mark van Bommel   Netherlands Barcelona 2006 Henrik Larsson Suécia Barcelona 2006 Ludovic Giuly France Barcelona 2006 Ronaldinho Brasil Barcelona 2006 Thiago Motta Itália Barcelon"&amp;"a, ​​Internazionale 2006, 2010 foi suspensa para a final de 2010. Xavi Espanha Barcelona 2006, 2009, 2011, 2015 Capitão em 2015. Não apareceu em nenhum jogo durante as etapas eliminatórias de 2006. Sylvinho Brasil Barcelona 2006, 2009 Lionel Messi Argenti"&amp;"na Barcelona 2006, 2009, 2011, 2015 não estava nas quartas de final, semifinais e final em 2006. Santiago Ezquerro Espanha Barcelona 2006 não estava no 18 para a final. Maxi López Argentina Barcelona 2006 não estava no 18 para a final. Samuel Eto'o Camarõ"&amp;"es Barcelona, ​​Internazionale 2006, 2009, 2010 venceu 2 anos seguidos com 2 equipes diferentes. Gabri Spain Barcelona 2006 não estava no 18 para a final. Jerzy Dudek Polônia Liverpool 2005 Slawomir Wojciechowski Polônia Bayern Munich 2001 Steve Finnan Ir"&amp;"landa Liverpool 2005 Dietmar Hamann Alemanha Liverpool 2005 Sami Hyypiä Finlândia Liverpool 2005 Jamie Carragher Inglaterra LIVERROOL 2005 DJIMI TRAIRO TRAIRO TRAIRO 2005 Jamie LIGNERTROOL 2005 DJIMI TRAIRO Šmicer República Tcheca Liverpool 2005 Xabi Alon"&amp;"so Espanha Liverpool, Real Madrid 2005, 2014 Steven Gerrard England Liverpool 2005 Capitão em 2005. John Arne Riise Norway Liverpool 2005 Luis García Espanha Liverpool 2005 Milan Baroš República Tcheca Liverpool 2005 Djibril Cissé France Liverpool 2005 Sc"&amp;"ott Carson Inglaterra Liverpool 2005 Josemi Spain Liverpool 2005 IGOR BI ex. Portugal Porto um dos únicos nove Os jogadores de futebol venceram todas as três principais competições européias (EC -UCL, UCWC, UC - EL). Nuno Valente Porto Porto Jorge Costa P"&amp;"orto Porto Capitão em 2004. Ricardo Carvalho   Portugal   Porto           Costinha   Portugal   Porto           Pedro Emanuel   Portugal   Porto           Maniche   Portugal   Porto           Pedro Mendes   Portugal   Porto           Derlei   Brazil   Por"&amp;"to           Benni McCarthy   South Africa   Porto           Dmitri Alenichev   Russia   Porto           Carlos Alberto   Brazil   Porto           Ricardo Costa   Portugal   Porto           Edgaras Jankauskas     Porto           Nuno   Portugal   Porto   "&amp;"        Dida   Brazil   Milan     2003 , 2007 Alessandro Costacurta Itália Milão 5 1989, 1990, 1994, 2003, 2007 Costacurta não estava na final de 18 na final de 2007 e suspensa para a final de 1994. Roque Júnior Brasil Milão 2003 Alessandro Nesta Itália M"&amp;"ilão 2003, 2007 Paolo Maldini Itália Milão 5 1989, 1990, 1994, 2003, 2007 Capitão em 2003 e 2007. Período mais longo entre a primeira e a última vitória (18 anos), iniciou as duas finais. Kakha Kaladze   Georgia   Milan     2003 , 2007       Gennaro Gattu"&amp;"so   Italy   Milan     2003 , 2007       Andrea Pirlo   Italy   Milan     2003 , 2007       Serginho   Brazil   Milan     2003 , 2007       Rui Costa   Portugal   Milan     2003       Massimo Ambrosini   Italy   Milan     2003 , 2007       Andriy Shevchen"&amp;"ko   Ukraine   Milan     2003       Filippo Inzaghi   Italy   Milan     2003 , 2007 Christian Abbiati Itália Milão 2003 Rivaldo Brasil Milão 2003 Martin Laursen Dinamarca Milão 2003 Cristian Brocchi Itália Milão 2003, 2007 Samuele Dalla Bona Itália Milão "&amp;"2003 não estava no 18 para a final. Thomas Helveg Dinamarca Milan 2003 não estava no 18 para a final. Jon Dahl Tomasson Dinamarca Milão 2003 não estava no 18 para a final. César Sánchez Espanha Real Madrid 2002 Luís Figo Portugal Real Madrid 2002 Claude M"&amp;"akélélé France Real Madrid 2002 Flávio Conceição Brasil Real Madrid 2002 Zinedine Zidane France Real Madrid 2002 Primeiro e apenas treinador que venceu 3 campeões - 2017 - 2018). Ganhou a Liga dos Campeões com o mesmo clube do treinador e jogador (2002 e "&amp;"2016 - 2017 - 2018) SANTIAGO Solari Argentina Real Madrid 2002 Pedro Munitis Espanha Real Madrid 2002 Francisco Pavón Espanha Real Madrid 2002 Javier Portillo Espanha Real Madrid 2002 Carlos Sánchez Stain REALRID 2002 Não está no 18 para a final. Albert C"&amp;"elades Espanha Real Madrid 2002 não estava no 18 para a final. Óscar Miñambres Espanha Real Madrid 2002 não estava no 18 para a final. Rubén Spain Real Madrid 2002 não estava no 18 para a final. Enrique Corrales Espanha Real Madrid 2002 não estava no 18 p"&amp;"ara a final. Raúl Bravo Espanha Real Madrid 2002 não estava no 18 para a final. Valdo Spain Real Madrid 2002 não estava no 18 para a final. Oliver Kahn   Germany   Bayern Munich     2001       Samuel Kuffour   Ghana   Bayern Munich     2001       Patrik A"&amp;"ndersson   Sweden   Bayern Munich     2001       Thomas Linke   Germany   Bayern Munich     2001       Willy Sagnol   France   Bayern Munich     2001       Carsten Jancker   Germany   Bayern Munich     2001       Owen Hargreaves   England   Bayern Munich "&amp;", Manchester United     2001 , 2008   First British player ganhar dois títulos da Liga dos Campeões com 2 equipes diferentes. Stefan Effenberg Alemanha Bayern de Munique 2001 Capitão em 2001. Bixente Lizarazu France Bayern Munique 2001 Mehmet Scholl Alema"&amp;"nha Bayern Munique 2001 Paulo Sérgio Brasil Bayern Munique 2001 Giovane élber Brasil Bayern Munich 2001 Alexander Zickler Alemanha Bayern Munich 2001 Berna Bayern Munich 2001 2001 CIRARIA SFORA SFORA SWERN SWERTER SWITLER BAYERN 2001 2001 CIRIACA SFORA SF"&amp;"ORERA SWERTER SWITLER BAYERN 2001 2001 Cruz Paraguai Bayern de Munique 2001 Stefan Wessels Alemanha Bayern de Munique 2001 não estava no 18 para a final. Thorsten Fink Alemanha Bayern de Munique 2001 não estava no 18 para a final. Jens Jeremies Alemanha B"&amp;"ayern de Munique 2001 não estava no 18 para a final. Michael Wiesinger Alemanha Bayern de Munique 2001 não estava no 18 para a final. Hasan Salihamidžić Bósnia e Herzegovina Bayern de Munique 2001 Nicolas Anelka France Real Madrid 2000 Perica Ognjenović Y"&amp;"ugoslávia Real Madrid 2000 não estava no 18 para a final. Albano Bizarri Argentina Real Madrid 2000 não estava no 18 para a final. Javier Dorado Espanha Real Madrid 2000 não estava no 18 para a final. David Aganzo Spain Real Madrid 2000 não estava no 18 p"&amp;"ara a final. Manuel Meca Espanha Real Madrid 2000 não estava no 18 para a final. Júlio César Brasil Real Madrid 2000 não estava no 18 para a final. GEREMI CAMEROON Real Madrid 2000, 2002 não estava no 18 em 2002. Elvir Baljić Bosnia e Herzegovina Real Mad"&amp;"rid 2000, 2002 não estavam nos 18 em 2002. Iván Campo Espanha Real Madrid 2000, 2002 Míchel Salgado Espanha Real Madrid 2000, 2002 Iván Helguera Espanha Real Madrid 2000, 2002 Steve McManaman Inglaterra Real Madrid 2000, 2002 Primeiro jogador britânico a "&amp;"ganhar dois títulos da Liga dos Campeões; Primeiro inglês a vencer a Liga dos Campeões com um clube que não é UK. Carlos Aranda Espanha Real Madrid 2000, 2002 não estava no 18 para a final. Peter Schmeichel Dinamarca Manchester United 1999 Capitão na fina"&amp;"l de 1999 devido à suspensão de Keane. Gary Neville England Manchester United 1999, 2008, não na final 18 de 2008. Ronny Johnsen Noruega Manchester United 1999 Jaap Stam Holanda Manchester United 1999 Denis Irwin Irlanda Manchester United 1999 David Beckh"&amp;"am Inglaterra Manchester United 1999 Nicky Butt Inglaterra Manchester United 1999 Ryan Giggs Wales Manchester United, 1999, Jesper Blomqvist Sweden Manchester TEDEN TEDENCIDADE 1999, Jesper Blomqvist Sweden, ManChester, TEDENDEN TER Dwight Yorke   Trinida"&amp;"d and Tobago   Manchester United     1999       Andy Cole   England   Manchester United     1999       Ole Gunnar Solskjær   Norway   Manchester United     1999       Raimond van der Gouw   Netherlands   Manchester United     1999       David May   Englan"&amp;"d   Manchester United     1999       Phil Neville   England   Manchester United     1999       Wes Brown   England   Manchester United     1999 , 2008       Jonathan Greening England Manchester United 1999 Paul Scholes England Manchester United 1999, 2008"&amp;" Scholes foi suspenso para a final em 1999. Roy Keane Ireland Manchester United 1999 Keane foi suspenso para a final. Capitão do Clube em 1999. Henning Berg Noruega Manchester United 1999 Berg não estava no 18 em 1999. José Amavisca Espanha Real Madrid 19"&amp;"98 Predrag Mijatović Yugoslávia Real Madrid 1998 Davor Šuker Croatia Real Madrid 1998 Zé Roberto Brasil Real Madrid 1998 Dani García Espanha Real Madrid 1998 Jaime Sánchez Spin Stain Realrid 1998 SANTRIA SANTIA 1998 Víctor Sánchez Espanha Real Madrid 1998"&amp;" Pedro Contreras Spain Real Madrid 1998 não estava no 18 para o final de Chendo Spain Real Madrid 1998 não estava no 18 para o final Raúl Pareja Spain Real Madrid 1998 não estava no 18 para o final de Álvaro Benito Spain Real Madrid 1998 não estava no 18 "&amp;"para o final Roberto Rojas Espanha Real Madrid 1998 não estava no 18 para o final da Illgner Alemanha Real Madrid 1998, 2000 Christian Karembeu France Real Madrid 1998, 2000 Manolo Sanchis Spain Real Madrid 1998, 2000 Capitão em 1998 . Sávio Brasil Real M"&amp;"adrid 1998, 2000, 2002 Fernando Hierro Espanha Real Madrid 1998, 2000, 2002 Capitão em 2002. Roberto Carlos Brasil Real Madrid 1998, 2000, 2002 Raúl Espanha Real Madrid 1998, 2000, 2002 Primeiro jogador a marcar em duas partidas finais da Liga dos Campeõe"&amp;"s para o time vencedor. Fernando Morientes Espanha Real Madrid 1998, 2000, 2002 foi Cup - empatado e não participou da campanha de 2004 - 05 do Liverpool. Guti Espanha Real Madrid 1998, 2000, 2002 Iker Casillas Espanha Real Madrid 2000, 2002, 2014 Capitão"&amp;" em 2014. Aitor Karanka Espanha Real Madrid 1998, 2000, 2002 Fernando Redondo Argentina Real Madrid, Milan 1998, 2000, 2003 Redondo não estava no 18 para a final em 2003. Capitão em 2000. Stefan Klos Alemanha Borussia Dortmund 1997 Vladimir, mas a Rússia "&amp;"Borussia Dortmund 1997 não está no 18 para a final. Steinar Pedersen Noruega Borussia Dortmund 1997 Não está no 18 para a final. Jürgen Kohler Alemanha Borussia Dortmund 1997 Matthias Sammer Alemanha Borussia Dortmund 1997 Capitão em 1997. Martin Kree Ale"&amp;"manha Borussia Dortmund 1997 Stefan Reuter Alemanha Borussia Dortmund 1997 Paul Lambert Scotland Borussia Dortmund 1997 Primeiro britânico a vencer a Liga dos Campeões com um clube não-UK. Jovan Kirovski Estados Unidos Borussia Dortmund 1997 não estava no"&amp;" 18 para a final. Paulo Sousa Portugal Juventus, Borussia Dortmund 1996, 1997 venceu 2 anos seguidos com 2 equipes diferentes. Jörg Heinrich   Germany   Borussia Dortmund     1997       Andreas Möller   Germany   Borussia Dortmund     1997       Michael Z"&amp;"orc   Germany   Borussia Dortmund     1997       Karlheinz Riedle   Germany   Borussia Dortmund     1997       Heiko Herrlich   Germany   Borussia Dortmund     1997       Stéphane Chapuisat   Switzerland   Borussia Dortmund     1997       Lars Ricken   Ge"&amp;"rmany   Borussia Dortmund     1997       Wolfgang de Beer   Germany   Borussia Dortmund     1997       René Tretschok   Germany   Borussia Dortmund     1997       Angelo Peruzzi   Italy   Juventus           Ciro Ferrara   Italy   Juventus           Moreno"&amp;" Torricelli   Italy   Juventus           Pietro Vierchowod   Italy   Juventus           Gianluca Pessotto   Italy   Juventus           Antonio Conte   Italy   Juventus           Vladimir Jugović   Yugoslavia FR Yugoslavia   Red Star Belgrade , Juventus   "&amp;"  1991 , 1996       Angelo Di Livio   Italy   Juventus           Didier Deschamps   France Marselha, Juventus 1993, 1996 Capitão em 1993. Alessandro del Piero Itália Juventus Gianluca Vialli Itália Juventus Capitão em 1996. Um dos únicos nove jogadores de"&amp;" futebol venceu todas as três principais competições européias (EC -UCL, UCWC, UC - EL). Fabrizio Ravanelli Itália Juventus Michele Padovano Itália Juventus Sergio Porrini Itália Juventus Michaelangelo Rampulla Itália Juventus Clarence Seedorf Holanda Aja"&amp;"x, Real Madrid, Milan 1995, 1998, 2003, 2007 Seedorf é o único jogador a ter conquistado a Trofia com a Trofia com três anos. Edwin van der Sar Holanda Ajax, Manchester United 1995, 2008 A maior lacuna entre as vitórias da medalha para a qual uma parte fo"&amp;"i realizada em cada partida (13 anos). Michael Reiziger Holanda Ajax 1995 Danny Blind Holanda Capitão de 1995 em 1995. Um dos únicos cinco jogadores de futebol venceu todas as competições de clubes europeus. Frank Rijkaard Holanda Milan, Ajax 1989, 1990, "&amp;"1995 também venceu como gerente em 2006 para o Barcelona. Frank de Boer Holanda Ajax 1995 Edgar Davids Holanda Ajax 1995 Finidi George Nigeria Ajax 1995 Ronald de Boer Holanda Ajax 1995 John van den Brom Holanda Ajax 1995 não estava no 18 para a final. Ja"&amp;"ri Litmanen   Finland   Ajax     1995       Marc Overmars   Netherlands   Ajax     1995       Nwankwo Kanu   Nigeria   Ajax     1995       Patrick Kluivert   Netherlands   Ajax     1995       Peter van Vossen   Netherlands   Ajax     1995       Fred Grim "&amp;"  Netherlands   Ajax     1995       Winston Bogarde   Netherlands   Ajax     1995       Sebastiano Rossi   Italy   Milan     1994       Jean - Pierre Papin   France   Milan     1994       Christian Panucci Itália Milan, Real Madrid 1994, 1998 Mauro Tassot"&amp;"ti Itália Milão 1989, 1990, 1994 Capitão em 1994. Demetrio Albertini Itália Milão 1994 Filippo Galli Itália Milão 1989, 1990, 1994 Stefano Nava Itália Milão 1994 Roberto Donadoni Itália Milão 1989, 1990, 1994 Marcel Desailly France Marseille, Milan 1993, "&amp;"1994 O primeiro jogador ganhou 2 anos em uma linha com 2 equipes . Zvonimir Boban Croatia Milan 1994 Dejan Savićević Yugoslávia FR da estrela vermelha da Yugoslávia Belgrado, Milan 1991, 1994 Daniele Massaro Italy Milan 1990, 1994 Marco Simone Italy Milan"&amp;" 1990, 1994 Mario Ielpo Milan Milan 1994 Giangui Lenteny Lent Itália Lente 1990, 1994, 1994 Iolpo Milany Milan 1994 GiantiGi Lenteny Lenten 1990, 1994 MARIO IELPO MILAN MILANO 1994 U Romênia Milan 1994 não estava na final. Brian Laudrup Dinamarca Milan 19"&amp;"94 não estava na final. Fabien Barthez France Marseille 1993 Jocelyn Angloma France Marseille 1993 Jean - Philippe Durand France Marseille 1993 éric di meco France Marseille 1993 Basile Boli France Marseille 1993 Franck Franck Francyee France Marseille 19"&amp;"93 Jean - Jacques Eydelie Frances Francks Franck Franckéeee France Marseille 1993 Jean - Jacques Eydelie Frances Frances Seille 1993 Jean - Christophe Thomas France Marseille 1993 Abédi Pelé Gana Marselha 1993 Pascal Olmeta France Marseille 1993 Bernard C"&amp;"asoni France Marseille 1993 Jean - Marc Ferreri France Marseille 1993 Igor Dobrovolski Russia Marseille 1993 não foi na final. Andoni Zubizarreta Espanha Barcelona 1992 Capitão em 1992. EUSEBIO Sacristán Espanha Barcelona 1992 Albert Ferrer Spain Barcelon"&amp;"a 1992 Ronald Koeman Holanda PSV Eindhoven, Barcelona 1988, 1992 Nain Spain Barcelona 1992 Juan Carlos Spain Barcelona 1992 José Mari Bakero Spain Barcelona 1992 PEPAIN SPAINA SPAINA 1992 1992 2011. José Ramón Alexanko   Spain   Barcelona     1992       M"&amp;"ichael Laudrup   Denmark   Barcelona     1992       Julio Salinas   Spain   Barcelona     1992       Andoni Goikoetxea   Spain   Barcelona     1992       Hristo Stoichkov   Bulgaria   Barcelona     1992       Ricardo Serna   Spain   Barcelona     1992    "&amp;"   Cristóbal Parralo   Spain   Barcelona     1992       Richard Witschge   Netherlands   Barcelona     1992       Guillermo Amor   Spain   Barcelona     1992       Aitor Beguiristain   Spain   Barcelona 1992 Carles Busquets Espanha Barcelona 1992 Miguel Á"&amp;"ngel Nadal Espanha Barcelona 1992 Stevan Stojanović Yugoslávia Red Star Belgrado 1991 Capitão em 1991. Miodrag Belodedici Romênia Steaua București, Red Star Belgrado 1986, 1991 Primeiro jogador a vencer o troféu com dois clubes diferentes. Ilija Najdoski "&amp;"Yugoslávia Estrela vermelha Belgrado 1991 Refik Šabanadžović Yugoslávia Estrela vermelha Belgrado 1991 Slobodan marović Yugoslávia Red Star Belgrade 1991 Siniša mihajlović Yugoslavia Belgrade 1991 Dragiša Mihajlovie LAVIA RED STAR BELGRADE 1991 Darko Panč"&amp;"ev Yugoslávia Red Star Belgrado 1991 Vlada Stošić Yugoslávia Estrela vermelha Belgrado 1991 Milić Jovanović Estrela vermelha da Yugoslávia Belgrado 1991 IVICA MOMSOLOVIć Yugoslávia Estrela vermelha Belgrado 1991 rade Tošić Redoslavia Star Red Star Belgrad"&amp;"o 1991 Vladan Lukić Yugoslavia Redoslavia Belgrado 1991 Vladan Lukić Yugoslava OVO Itália Milan 1990 Giovanni Galli Itália Milão 1989, 1990 Franco Baresi Itália Milão 1989, 1990, 1994 Capitão em 1989 e 1990. Baresi foi suspenso para a final de 1994. Angel"&amp;"o Colombo Itália Milão 1989, 1990 Carlo Ancelotti Itália Milão 1989, 1990 também venceu como gerente em 2003 e 2007 para A.C. Milan e em 2014 para o Real Madrid. Alberigo Evani Itália Milão 1989, 1990 Ruud Gullit Holanda Milão 1989, 1990 Marco Van Basten "&amp;"Holanda Milão 1989, 1990 Pietro paolo virdis Itália Milan 1989 Davide Pinato Itália Milan 1989 Roberto Mussi Milan 1989 Hans Van Breukelen 1988 Capitão em 1988. Ivan Nielsen   Denmark   PSV Eindhoven     1988       Berry van Aerle   Netherlands   PSV Eind"&amp;"hoven     1988       Jan Heintze   Denmark   PSV Eindhoven     1988       Edward Linskens   Netherlands   PSV Eindhoven     1988       Gerald Vanenburg   Netherlands   PSV Eindhoven     1988       Søren Lerby   Denmark   PSV Eindhoven     1988       Wim K"&amp;"ieft   Netherlands   PSV Eindhoven     1988       Hans Gillhaus   Netherlands   PSV Eindhoven     1988       Anton Janssen   Netherlands   PSV Eindhoven     1988       Adick Koot   Netherlands   PSV Eindhoven     1988       Eric Viscaal   Netherlands   PS"&amp;"V Eindhoven     1988       Willy van de Kerkhof   Netherlands   PSV Eindhoven     1988       Patrick Lodewijks   Netherlands   PSV Eindhoven     1988       Józef Mlynarczyk   Poland   Porto           João Pinto   Portugal   Porto       Captain in 1987")</f>
        <v>   Os títulos dos clubes de nacionalidade do jogador venceram o anoite de anos Dani Ceballos Espanha Real Madrid 2018 não estava no 18 para a final. Achraf Hakimi Marrocos Real Madrid 2018 não estava no 18 para a final. Theo Hernández France Real Madrid 2018 A República Dominicana de Mariano 2018 Real Madrid 2017 não estava no 18 para a final. MARCO ASENSIO Espanha Real Madrid 2017, 2018 Keylor Navas Costa Rica Real Madrid 2016, 2017, 2018 James Rodríguez Colombia Real Madrid 2016, 2017 não foi na final de 2017. Kiko Casilla Espanha Real Madrid 2016, 2017, 2018 Mateo Kovačić Croatia Real Madrid 2016, 2017, 2018 Lucas Vázquez Espanha Real Madrid 2016, 2017, 2018 não foi na final de 18 para a final de 2017. Rubén Yáñez Espanha Real Madrid 2016 de 2017 não estava no 18 para a final de 2017. Danilo Brasil Real Madrid 2016, 2017 Munir Spain Barcelona 2015 não estava no 18 para a final. Sandro Ramírez Espanha Barcelona 2015 não estava no 18 para a final. O Samper Samper Spanha, SABEN, SABEN 2015, não estava no 18 para a final. O Douglas Brasil Barcelona 2015 não estava no 18 para a final. Jordi Masip Spain Barcelona 2015 não estava no 18 para a final. Martín Montoya Espanha Barcelona 2015 não estava no 18 para a final. Sergi Roberto Spain Barcelona 2015 não estava no 18 para a final. Rafinha   Brazil   Barcelona     2015       Jérémy Mathieu   France   Barcelona     2015       Jordi Alba   Spain   Barcelona     2015       Ivan Rakitić   Croatia   Barcelona     2015       Marc - André ter Stegen   Germany   Barcelona     2015       Claudio Bravo   Chile   Barcelona     2015       Thomas Vermaelen   Belgium   Barcelona     2015   Was not in the 18 for the final . Luis Suárez Uruguai Barcelona 2015 Neymar Brazil Barcelona 2015 Álvaro Morata Espanha Real Madrid 2014, 2017 Jesús Espanha Real Madrid 2014 Nacho Espanha Real Madrid 2014, 2016, 2017, 2017 2018 Casemiro Brasil RealiAin 2014, 2017, 2017, 2018, 2017, 2017, 2018 Casemiro Brasil Reali 2014, 2016, 2017, 2018, 2017, 2017, 2017 Jesé Espanha Real Madrid 2014, 2016 Diego López Espanha Real Madrid 2014 Raphaël Varane France Real Madrid 2014, 2016, 2017, 2018 Dani Carvajal Espanha Real Madrid 2014, 2016, 2017, 2018 Isco Spain Real Madrid 2014, 2016, 2017, 2018, 2017, 2018 DI DI DI DI DI DI DI DI DI DI DI DI DI DI DI REAL REAL 2014, 2014, 2014, 2017, 2017, 2017, 2018 DI DI DI DI DI DI DI DI DI DI DI DI DI DI DI DI DI DI DI REAL REAL 2014, 2014, 2014 2014 María Argentina Real Madrid 2014 Luka Modrić Croatia Real Madrid 2014, 2016, 2017, 2018 Álvaro Arbeloa Espanha Real Madrid 2014, 2016 Sami Khedira Germany Real Madrid 2014 PEPE PORTUGAL REAL REAL MADRID 2014, 2017, 2017 não foi no dia 18 de 2014. Fábio Coentrão Portugal Real Madrid 2014, 2017 não estava na final da final de 2017. Karim Benzema France Real Madrid 2014, 2016, 2017, 2018 Marcelo Brasil Real Madrid 2014, 2016, 2017, 2018 Gareth Bale Wales Real Madrid 2014, 2016, 2017, 2018 Sergio Ramos Spain Real Madrid 2014, 2016, 2017 Capitão 2018 em 2016 , 2017 e 2018. Manuel Neuer Alemanha Bayern de Munique 2013 Philipp Lahm Alemanha Bayern de Munique 2013 Capitão em 2013. Jérôme Boateng   Germany   Bayern Munich     2013       Dante   Brazil   Bayern Munich     2013       David Alaba   Austria   Bayern Munich     2013       Daniel Van Buyten   Belgium   Bayern Munich     2013       Javi Martínez   Spain   Bayern Munich     2013       Franck Ribéry   France   Bayern Munich     2013       Arjen Robben   Netherlands   Bayern Munich     2013       Thomas Müller   Germany   Bayern Munich     2013       Bastian Schweinsteiger Alemanha Bayern de Munique 2013 Tom Starke Alemanha Bayern de Munique 2013 Mario Gómez Alemanha Bayern de Munique 2013 Holger Badstuber Alemanha Bayern de Munique 2013 não estava no 18 para a final. Toni Kroos Alemanha Bayern de Munique, Real Madrid 2013, 2016, 2017, 2018 não foi na final da final de 2013. O Diego Conto Alemanha Bayern de Munique 2013 não estava no 18 para a final. Mario Mandžukić Croácia Bayern de Munique 2013 Xherdan Shaqiri Switzerland Bayern Munique 2013 Luiz Gustavo Bayern Bayern Munique 2013 O Bayern Brasil de Munique de 2013 não estava no 18 para a final. Anatoliy Tymoshchuk Ukraine Bayern de Munique 2013 Claudio Pizarro Peru Bayern Munique 2013 José Bosingwa Porto Porto, Chelsea 2004, 2012 Paulo Ferreira Portugal Porto, Chelsea 2004, 2012 Didier Drogba Ivory Coast Chelsea 2012 Salomon Kalou ivory ivory ivork ivork Nigéria Chelsea 2012 República Tcheca de Petr Čech Chelsea 2012 Juan Mata Spain Chelsea 2012 ORIOL ROMEU Espanha Chelsea 2012 Fernando Torres Espanha Chelsea 2012 Ryan Bertrand Inglaterra Chelsea 2012 fez sua estréia européia na final. Ross Turnbull Inglaterra Chelsea 2012 Gary Cahill Inglaterra Chelsea 2012 Ashley Cole Inglaterra Chelsea 2012 Jamal Blackman England Chelsea 2012 não estava no 18 para a final. Frank Lampard England Chelsea 2012 Vice-capitão, capitão da final. Daniel Sturridge England Chelsea 2012 John Terry Inglaterra Chelsea 2012 Capitão. Suspenso e não jogou na final. Florent Malouda France Chelsea 2012 Branislav Ivanović Sérvia Chelsea 2012 suspenso e não jogou na final. RAUL MEIRELES Portugal Chelsea 2012 suspenso e não jogou na final. David Luiz Brasil Chelsea 2012 Ramires Brasil Chelsea 2012 suspenso e não começou a final. O Maxwell Brasil Barcelona 2011 não estava no 18 para a final. Jonathan Dos Santos México Barcelona 2011 não estava no 18 para a final. Marc Bartra Spain Barcelona 2011, 2015 não estava no 18 para a final de 2011. Andreu Fontàs Espanha Barcelona 2011 não estava no 18 para a final. Jeffrén Spain Barcelona 2011 não estava no 18 para a final. Oier Espanha Barcelona 2011 David Villa Espanha Barcelona 2011 Thiago Espanha Barcelona 2011 Adriano Brasil Barcelona 2011, 2015 Ibrahim Afelay Holanda Barcelona 2011 Javier Mascherano Argentina Barcelona 2015, 2015 Dejan Stanković Serbia no final da Internazeale Renhinia. Cristian Chivu Romênia Internazionale Ricardo Quaresma Portugal Internazionale não estava no 18 para a final. Goran Pandev Macedonia Internazionale Wesley Sneijder Holanda Internazionale McDonald Mariga Quênia Internazionale Paolo Orlandoni Itália Internazionale não estava no 18 para a final. Davide Santon Itália Internazionale não estava no 18 para a final. Mario Balotelli   Italy   Internazionale           Marco Materazzi   Italy   Internazionale           Francesco Toldo   Italy   Internazionale           Sulley Muntari   Ghana   Internazionale           Iván Córdoba   Colombia   Internazionale           Lúcio   Brazil   Internazionale           Maicon   Brazil   Internazionale           Júlio César   Brazil   Internazionale           Esteban Cambiasso   Argentina   Internazionale           Javier Zanetti   Argentina   Internazionale       Captain in 2010 . Walter Samuel Argentina Internazionale Diego Milito Argentina Internazionale Marko Arnautović Austria Internazionale não estava no 18 para a final. Sergio Busquets Espanha Barcelona 2009, 2011, 2015 José Manuel Pinto Espanha Barcelona 2009, 2011 foi suspenso para a final de 2011. Pedro Spain Barcelona 2009, 2011, 2015 Bojan Spain Barcelona 2009, 2011 Gabriel Milito Argentina Barcelona 2009, 2011 não foi nos 18 em 2009 ou 2011. Dani Alves Brasil Barcelona 2009, 2011, 2015 foi suspenso para a final de 2009. Alexander Hleb Bielorrússia Barcelona 2009 Yaya Touré Ivory Coast Barcelona 2009 Thierry Henry France Barcelona 2009 Éric Abidal France Barcelona 2009, 2011 foi suspenso para a final de 2009. Capitão em 2011. EIður GuðJohnsen Islândia Barcelona 2009 Martín Cácerres Uruguai Barcelona 2009 Seydou Keita Mali Barcelona 2009, 2011 Park Ji - Sung Coréia do Sul Manchester United 2008 não estava no 18 para a final. Tornou -se o primeiro jogador asiático - nascido a ganhar um título da Liga dos Campeões. Gerard Piqué Espanha Manchester United, Barcelona 2008, 2009, 2011, 2015 não estava na final da final de 2008. Ganhou dois anos seguidos com duas equipes diferentes. Louis Saha France Manchester United 2008 não estava no 18 para a final. Carlos Tevez Argentina Manchester United 2008 Wayne Rooney England Manchester United 2008 Cristiano Ronaldo Portugal Manchester United, Real Madrid 5 2008, 2014, 2016, 2017, 2018 Primeiro jogador a marcar em duas finais para duas equipes vencedoras diferentes. Michael Carrick Inglaterra Manchester United 2008 Patrice Evra France Manchester United 2008 Mikaël Silvestre France Manchester United 2008 Nemanja Vidić Serbia Manchester United 2008 Rio Ferdinand Inglaterra Manchester United 2008 Capitão em 2008. Tomasz Kuszczak   Poland   Manchester United     2008       John O'Shea   Ireland   Manchester United     2008       Anderson   Brazil   Manchester United     2008       Nani   Portugal   Manchester United     2008       Darren Fletcher   Scotland   Manchester United     2008       Marek Jankulovski   Czech Republic   Milan     2007       Kaká   Brazil   Milan     2007       Zeljko Kalac   Australia   Milan     2007       Cafu   Brazil   Milan     2007       Giuseppe Favalli Itália Milão 2007 Alberto Gilardino Itália Milão 2007 Massimo Oddo Itália Milão 2007 Daniele Bonera Itália Milão 2007 não estava no 18 em 2007. Yoann Gourcuff France Milan 2007 não estava nos 18 em 2007. Ricardo Oliveira Brasil Milan 2007 não estava nos 18 em 2007. Marco Storari Itália Milão 2007 não estava nos 18 em 2007. Valerio Fiori Itália Milão 2003, 2007 não estava nos 18 em 2003 ou 2007. Dario Šimić Croatia Milan 2003, 2007 não estava nos 18 em 2003 ou 2007. Víctor Valdés Espanha Barcelona 2006, 2009, 2011 Giovanni van Bronckhorst Holanda Barcelona 2006 Rafael Márquez México Barcelona 2006, 2009 não estava no 18 em 2009 devido a lesão. Carles Puyol   Spain   Barcelona     2006 , 2009 , 2011   Captain in 2006 and 2009     Oleguer   Spain   Barcelona     2006       Juliano Belletti   Brazil   Barcelona     2006       Edmílson   Brazil   Barcelona     2006       Andrés Iniesta   Spain   Barcelona     2006 , 2009 , 2011 , 2015       Deco   Portugal   Porto , Barcelona     2004 , 2006       Mark van Bommel   Netherlands Barcelona 2006 Henrik Larsson Suécia Barcelona 2006 Ludovic Giuly France Barcelona 2006 Ronaldinho Brasil Barcelona 2006 Thiago Motta Itália Barcelona, ​​Internazionale 2006, 2010 foi suspensa para a final de 2010. Xavi Espanha Barcelona 2006, 2009, 2011, 2015 Capitão em 2015. Não apareceu em nenhum jogo durante as etapas eliminatórias de 2006. Sylvinho Brasil Barcelona 2006, 2009 Lionel Messi Argentina Barcelona 2006, 2009, 2011, 2015 não estava nas quartas de final, semifinais e final em 2006. Santiago Ezquerro Espanha Barcelona 2006 não estava no 18 para a final. Maxi López Argentina Barcelona 2006 não estava no 18 para a final. Samuel Eto'o Camarões Barcelona, ​​Internazionale 2006, 2009, 2010 venceu 2 anos seguidos com 2 equipes diferentes. Gabri Spain Barcelona 2006 não estava no 18 para a final. Jerzy Dudek Polônia Liverpool 2005 Slawomir Wojciechowski Polônia Bayern Munich 2001 Steve Finnan Irlanda Liverpool 2005 Dietmar Hamann Alemanha Liverpool 2005 Sami Hyypiä Finlândia Liverpool 2005 Jamie Carragher Inglaterra LIVERROOL 2005 DJIMI TRAIRO TRAIRO TRAIRO 2005 Jamie LIGNERTROOL 2005 DJIMI TRAIRO Šmicer República Tcheca Liverpool 2005 Xabi Alonso Espanha Liverpool, Real Madrid 2005, 2014 Steven Gerrard England Liverpool 2005 Capitão em 2005. John Arne Riise Norway Liverpool 2005 Luis García Espanha Liverpool 2005 Milan Baroš República Tcheca Liverpool 2005 Djibril Cissé France Liverpool 2005 Scott Carson Inglaterra Liverpool 2005 Josemi Spain Liverpool 2005 IGOR BI ex. Portugal Porto um dos únicos nove Os jogadores de futebol venceram todas as três principais competições européias (EC -UCL, UCWC, UC - EL). Nuno Valente Porto Porto Jorge Costa Porto Porto Capitão em 2004. Ricardo Carvalho   Portugal   Porto           Costinha   Portugal   Porto           Pedro Emanuel   Portugal   Porto           Maniche   Portugal   Porto           Pedro Mendes   Portugal   Porto           Derlei   Brazil   Porto           Benni McCarthy   South Africa   Porto           Dmitri Alenichev   Russia   Porto           Carlos Alberto   Brazil   Porto           Ricardo Costa   Portugal   Porto           Edgaras Jankauskas     Porto           Nuno   Portugal   Porto           Dida   Brazil   Milan     2003 , 2007 Alessandro Costacurta Itália Milão 5 1989, 1990, 1994, 2003, 2007 Costacurta não estava na final de 18 na final de 2007 e suspensa para a final de 1994. Roque Júnior Brasil Milão 2003 Alessandro Nesta Itália Milão 2003, 2007 Paolo Maldini Itália Milão 5 1989, 1990, 1994, 2003, 2007 Capitão em 2003 e 2007. Período mais longo entre a primeira e a última vitória (18 anos), iniciou as duas finais. Kakha Kaladze   Georgia   Milan     2003 , 2007       Gennaro Gattuso   Italy   Milan     2003 , 2007       Andrea Pirlo   Italy   Milan     2003 , 2007       Serginho   Brazil   Milan     2003 , 2007       Rui Costa   Portugal   Milan     2003       Massimo Ambrosini   Italy   Milan     2003 , 2007       Andriy Shevchenko   Ukraine   Milan     2003       Filippo Inzaghi   Italy   Milan     2003 , 2007 Christian Abbiati Itália Milão 2003 Rivaldo Brasil Milão 2003 Martin Laursen Dinamarca Milão 2003 Cristian Brocchi Itália Milão 2003, 2007 Samuele Dalla Bona Itália Milão 2003 não estava no 18 para a final. Thomas Helveg Dinamarca Milan 2003 não estava no 18 para a final. Jon Dahl Tomasson Dinamarca Milão 2003 não estava no 18 para a final. César Sánchez Espanha Real Madrid 2002 Luís Figo Portugal Real Madrid 2002 Claude Makélélé France Real Madrid 2002 Flávio Conceição Brasil Real Madrid 2002 Zinedine Zidane France Real Madrid 2002 Primeiro e apenas treinador que venceu 3 campeões - 2017 - 2018). Ganhou a Liga dos Campeões com o mesmo clube do treinador e jogador (2002 e 2016 - 2017 - 2018) SANTIAGO Solari Argentina Real Madrid 2002 Pedro Munitis Espanha Real Madrid 2002 Francisco Pavón Espanha Real Madrid 2002 Javier Portillo Espanha Real Madrid 2002 Carlos Sánchez Stain REALRID 2002 Não está no 18 para a final. Albert Celades Espanha Real Madrid 2002 não estava no 18 para a final. Óscar Miñambres Espanha Real Madrid 2002 não estava no 18 para a final. Rubén Spain Real Madrid 2002 não estava no 18 para a final. Enrique Corrales Espanha Real Madrid 2002 não estava no 18 para a final. Raúl Bravo Espanha Real Madrid 2002 não estava no 18 para a final. Valdo Spain Real Madrid 2002 não estava no 18 para a final. Oliver Kahn   Germany   Bayern Munich     2001       Samuel Kuffour   Ghana   Bayern Munich     2001       Patrik Andersson   Sweden   Bayern Munich     2001       Thomas Linke   Germany   Bayern Munich     2001       Willy Sagnol   France   Bayern Munich     2001       Carsten Jancker   Germany   Bayern Munich     2001       Owen Hargreaves   England   Bayern Munich , Manchester United     2001 , 2008   First British player ganhar dois títulos da Liga dos Campeões com 2 equipes diferentes. Stefan Effenberg Alemanha Bayern de Munique 2001 Capitão em 2001. Bixente Lizarazu France Bayern Munique 2001 Mehmet Scholl Alemanha Bayern Munique 2001 Paulo Sérgio Brasil Bayern Munique 2001 Giovane élber Brasil Bayern Munich 2001 Alexander Zickler Alemanha Bayern Munich 2001 Berna Bayern Munich 2001 2001 CIRARIA SFORA SFORA SWERN SWERTER SWITLER BAYERN 2001 2001 CIRIACA SFORA SFORERA SWERTER SWITLER BAYERN 2001 2001 Cruz Paraguai Bayern de Munique 2001 Stefan Wessels Alemanha Bayern de Munique 2001 não estava no 18 para a final. Thorsten Fink Alemanha Bayern de Munique 2001 não estava no 18 para a final. Jens Jeremies Alemanha Bayern de Munique 2001 não estava no 18 para a final. Michael Wiesinger Alemanha Bayern de Munique 2001 não estava no 18 para a final. Hasan Salihamidžić Bósnia e Herzegovina Bayern de Munique 2001 Nicolas Anelka France Real Madrid 2000 Perica Ognjenović Yugoslávia Real Madrid 2000 não estava no 18 para a final. Albano Bizarri Argentina Real Madrid 2000 não estava no 18 para a final. Javier Dorado Espanha Real Madrid 2000 não estava no 18 para a final. David Aganzo Spain Real Madrid 2000 não estava no 18 para a final. Manuel Meca Espanha Real Madrid 2000 não estava no 18 para a final. Júlio César Brasil Real Madrid 2000 não estava no 18 para a final. GEREMI CAMEROON Real Madrid 2000, 2002 não estava no 18 em 2002. Elvir Baljić Bosnia e Herzegovina Real Madrid 2000, 2002 não estavam nos 18 em 2002. Iván Campo Espanha Real Madrid 2000, 2002 Míchel Salgado Espanha Real Madrid 2000, 2002 Iván Helguera Espanha Real Madrid 2000, 2002 Steve McManaman Inglaterra Real Madrid 2000, 2002 Primeiro jogador britânico a ganhar dois títulos da Liga dos Campeões; Primeiro inglês a vencer a Liga dos Campeões com um clube que não é UK. Carlos Aranda Espanha Real Madrid 2000, 2002 não estava no 18 para a final. Peter Schmeichel Dinamarca Manchester United 1999 Capitão na final de 1999 devido à suspensão de Keane. Gary Neville England Manchester United 1999, 2008, não na final 18 de 2008. Ronny Johnsen Noruega Manchester United 1999 Jaap Stam Holanda Manchester United 1999 Denis Irwin Irlanda Manchester United 1999 David Beckham Inglaterra Manchester United 1999 Nicky Butt Inglaterra Manchester United 1999 Ryan Giggs Wales Manchester United, 1999, Jesper Blomqvist Sweden Manchester TEDEN TEDENCIDADE 1999, Jesper Blomqvist Sweden, ManChester, TEDENDEN TER Dwight Yorke   Trinidad and Tobago   Manchester United     1999       Andy Cole   England   Manchester United     1999       Ole Gunnar Solskjær   Norway   Manchester United     1999       Raimond van der Gouw   Netherlands   Manchester United     1999       David May   England   Manchester United     1999       Phil Neville   England   Manchester United     1999       Wes Brown   England   Manchester United     1999 , 2008       Jonathan Greening England Manchester United 1999 Paul Scholes England Manchester United 1999, 2008 Scholes foi suspenso para a final em 1999. Roy Keane Ireland Manchester United 1999 Keane foi suspenso para a final. Capitão do Clube em 1999. Henning Berg Noruega Manchester United 1999 Berg não estava no 18 em 1999. José Amavisca Espanha Real Madrid 1998 Predrag Mijatović Yugoslávia Real Madrid 1998 Davor Šuker Croatia Real Madrid 1998 Zé Roberto Brasil Real Madrid 1998 Dani García Espanha Real Madrid 1998 Jaime Sánchez Spin Stain Realrid 1998 SANTRIA SANTIA 1998 Víctor Sánchez Espanha Real Madrid 1998 Pedro Contreras Spain Real Madrid 1998 não estava no 18 para o final de Chendo Spain Real Madrid 1998 não estava no 18 para o final Raúl Pareja Spain Real Madrid 1998 não estava no 18 para o final de Álvaro Benito Spain Real Madrid 1998 não estava no 18 para o final Roberto Rojas Espanha Real Madrid 1998 não estava no 18 para o final da Illgner Alemanha Real Madrid 1998, 2000 Christian Karembeu France Real Madrid 1998, 2000 Manolo Sanchis Spain Real Madrid 1998, 2000 Capitão em 1998 . Sávio Brasil Real Madrid 1998, 2000, 2002 Fernando Hierro Espanha Real Madrid 1998, 2000, 2002 Capitão em 2002. Roberto Carlos Brasil Real Madrid 1998, 2000, 2002 Raúl Espanha Real Madrid 1998, 2000, 2002 Primeiro jogador a marcar em duas partidas finais da Liga dos Campeões para o time vencedor. Fernando Morientes Espanha Real Madrid 1998, 2000, 2002 foi Cup - empatado e não participou da campanha de 2004 - 05 do Liverpool. Guti Espanha Real Madrid 1998, 2000, 2002 Iker Casillas Espanha Real Madrid 2000, 2002, 2014 Capitão em 2014. Aitor Karanka Espanha Real Madrid 1998, 2000, 2002 Fernando Redondo Argentina Real Madrid, Milan 1998, 2000, 2003 Redondo não estava no 18 para a final em 2003. Capitão em 2000. Stefan Klos Alemanha Borussia Dortmund 1997 Vladimir, mas a Rússia Borussia Dortmund 1997 não está no 18 para a final. Steinar Pedersen Noruega Borussia Dortmund 1997 Não está no 18 para a final. Jürgen Kohler Alemanha Borussia Dortmund 1997 Matthias Sammer Alemanha Borussia Dortmund 1997 Capitão em 1997. Martin Kree Alemanha Borussia Dortmund 1997 Stefan Reuter Alemanha Borussia Dortmund 1997 Paul Lambert Scotland Borussia Dortmund 1997 Primeiro britânico a vencer a Liga dos Campeões com um clube não-UK. Jovan Kirovski Estados Unidos Borussia Dortmund 1997 não estava no 18 para a final. Paulo Sousa Portugal Juventus, Borussia Dortmund 1996, 1997 venceu 2 anos seguidos com 2 equipes diferentes. Jörg Heinrich   Germany   Borussia Dortmund     1997       Andreas Möller   Germany   Borussia Dortmund     1997       Michael Zorc   Germany   Borussia Dortmund     1997       Karlheinz Riedle   Germany   Borussia Dortmund     1997       Heiko Herrlich   Germany   Borussia Dortmund     1997       Stéphane Chapuisat   Switzerland   Borussia Dortmund     1997       Lars Ricken   Germany   Borussia Dortmund     1997       Wolfgang de Beer   Germany   Borussia Dortmund     1997       René Tretschok   Germany   Borussia Dortmund     1997       Angelo Peruzzi   Italy   Juventus           Ciro Ferrara   Italy   Juventus           Moreno Torricelli   Italy   Juventus           Pietro Vierchowod   Italy   Juventus           Gianluca Pessotto   Italy   Juventus           Antonio Conte   Italy   Juventus           Vladimir Jugović   Yugoslavia FR Yugoslavia   Red Star Belgrade , Juventus     1991 , 1996       Angelo Di Livio   Italy   Juventus           Didier Deschamps   France Marselha, Juventus 1993, 1996 Capitão em 1993. Alessandro del Piero Itália Juventus Gianluca Vialli Itália Juventus Capitão em 1996. Um dos únicos nove jogadores de futebol venceu todas as três principais competições européias (EC -UCL, UCWC, UC - EL). Fabrizio Ravanelli Itália Juventus Michele Padovano Itália Juventus Sergio Porrini Itália Juventus Michaelangelo Rampulla Itália Juventus Clarence Seedorf Holanda Ajax, Real Madrid, Milan 1995, 1998, 2003, 2007 Seedorf é o único jogador a ter conquistado a Trofia com a Trofia com três anos. Edwin van der Sar Holanda Ajax, Manchester United 1995, 2008 A maior lacuna entre as vitórias da medalha para a qual uma parte foi realizada em cada partida (13 anos). Michael Reiziger Holanda Ajax 1995 Danny Blind Holanda Capitão de 1995 em 1995. Um dos únicos cinco jogadores de futebol venceu todas as competições de clubes europeus. Frank Rijkaard Holanda Milan, Ajax 1989, 1990, 1995 também venceu como gerente em 2006 para o Barcelona. Frank de Boer Holanda Ajax 1995 Edgar Davids Holanda Ajax 1995 Finidi George Nigeria Ajax 1995 Ronald de Boer Holanda Ajax 1995 John van den Brom Holanda Ajax 1995 não estava no 18 para a final. Jari Litmanen   Finland   Ajax     1995       Marc Overmars   Netherlands   Ajax     1995       Nwankwo Kanu   Nigeria   Ajax     1995       Patrick Kluivert   Netherlands   Ajax     1995       Peter van Vossen   Netherlands   Ajax     1995       Fred Grim   Netherlands   Ajax     1995       Winston Bogarde   Netherlands   Ajax     1995       Sebastiano Rossi   Italy   Milan     1994       Jean - Pierre Papin   France   Milan     1994       Christian Panucci Itália Milan, Real Madrid 1994, 1998 Mauro Tassotti Itália Milão 1989, 1990, 1994 Capitão em 1994. Demetrio Albertini Itália Milão 1994 Filippo Galli Itália Milão 1989, 1990, 1994 Stefano Nava Itália Milão 1994 Roberto Donadoni Itália Milão 1989, 1990, 1994 Marcel Desailly France Marseille, Milan 1993, 1994 O primeiro jogador ganhou 2 anos em uma linha com 2 equipes . Zvonimir Boban Croatia Milan 1994 Dejan Savićević Yugoslávia FR da estrela vermelha da Yugoslávia Belgrado, Milan 1991, 1994 Daniele Massaro Italy Milan 1990, 1994 Marco Simone Italy Milan 1990, 1994 Mario Ielpo Milan Milan 1994 Giangui Lenteny Lent Itália Lente 1990, 1994, 1994 Iolpo Milany Milan 1994 GiantiGi Lenteny Lenten 1990, 1994 MARIO IELPO MILAN MILANO 1994 U Romênia Milan 1994 não estava na final. Brian Laudrup Dinamarca Milan 1994 não estava na final. Fabien Barthez France Marseille 1993 Jocelyn Angloma France Marseille 1993 Jean - Philippe Durand France Marseille 1993 éric di meco France Marseille 1993 Basile Boli France Marseille 1993 Franck Franck Francyee France Marseille 1993 Jean - Jacques Eydelie Frances Francks Franck Franckéeee France Marseille 1993 Jean - Jacques Eydelie Frances Frances Seille 1993 Jean - Christophe Thomas France Marseille 1993 Abédi Pelé Gana Marselha 1993 Pascal Olmeta France Marseille 1993 Bernard Casoni France Marseille 1993 Jean - Marc Ferreri France Marseille 1993 Igor Dobrovolski Russia Marseille 1993 não foi na final. Andoni Zubizarreta Espanha Barcelona 1992 Capitão em 1992. EUSEBIO Sacristán Espanha Barcelona 1992 Albert Ferrer Spain Barcelona 1992 Ronald Koeman Holanda PSV Eindhoven, Barcelona 1988, 1992 Nain Spain Barcelona 1992 Juan Carlos Spain Barcelona 1992 José Mari Bakero Spain Barcelona 1992 PEPAIN SPAINA SPAINA 1992 1992 2011. José Ramón Alexanko   Spain   Barcelona     1992       Michael Laudrup   Denmark   Barcelona     1992       Julio Salinas   Spain   Barcelona     1992       Andoni Goikoetxea   Spain   Barcelona     1992       Hristo Stoichkov   Bulgaria   Barcelona     1992       Ricardo Serna   Spain   Barcelona     1992       Cristóbal Parralo   Spain   Barcelona     1992       Richard Witschge   Netherlands   Barcelona     1992       Guillermo Amor   Spain   Barcelona     1992       Aitor Beguiristain   Spain   Barcelona 1992 Carles Busquets Espanha Barcelona 1992 Miguel Ángel Nadal Espanha Barcelona 1992 Stevan Stojanović Yugoslávia Red Star Belgrado 1991 Capitão em 1991. Miodrag Belodedici Romênia Steaua București, Red Star Belgrado 1986, 1991 Primeiro jogador a vencer o troféu com dois clubes diferentes. Ilija Najdoski Yugoslávia Estrela vermelha Belgrado 1991 Refik Šabanadžović Yugoslávia Estrela vermelha Belgrado 1991 Slobodan marović Yugoslávia Red Star Belgrade 1991 Siniša mihajlović Yugoslavia Belgrade 1991 Dragiša Mihajlovie LAVIA RED STAR BELGRADE 1991 Darko Pančev Yugoslávia Red Star Belgrado 1991 Vlada Stošić Yugoslávia Estrela vermelha Belgrado 1991 Milić Jovanović Estrela vermelha da Yugoslávia Belgrado 1991 IVICA MOMSOLOVIć Yugoslávia Estrela vermelha Belgrado 1991 rade Tošić Redoslavia Star Red Star Belgrado 1991 Vladan Lukić Yugoslavia Redoslavia Belgrado 1991 Vladan Lukić Yugoslava OVO Itália Milan 1990 Giovanni Galli Itália Milão 1989, 1990 Franco Baresi Itália Milão 1989, 1990, 1994 Capitão em 1989 e 1990. Baresi foi suspenso para a final de 1994. Angelo Colombo Itália Milão 1989, 1990 Carlo Ancelotti Itália Milão 1989, 1990 também venceu como gerente em 2003 e 2007 para A.C. Milan e em 2014 para o Real Madrid. Alberigo Evani Itália Milão 1989, 1990 Ruud Gullit Holanda Milão 1989, 1990 Marco Van Basten Holanda Milão 1989, 1990 Pietro paolo virdis Itália Milan 1989 Davide Pinato Itália Milan 1989 Roberto Mussi Milan 1989 Hans Van Breukelen 1988 Capitão em 1988. Ivan Nielsen   Denmark   PSV Eindhoven     1988       Berry van Aerle   Netherlands   PSV Eindhoven     1988       Jan Heintze   Denmark   PSV Eindhoven     1988       Edward Linskens   Netherlands   PSV Eindhoven     1988       Gerald Vanenburg   Netherlands   PSV Eindhoven     1988       Søren Lerby   Denmark   PSV Eindhoven     1988       Wim Kieft   Netherlands   PSV Eindhoven     1988       Hans Gillhaus   Netherlands   PSV Eindhoven     1988       Anton Janssen   Netherlands   PSV Eindhoven     1988       Adick Koot   Netherlands   PSV Eindhoven     1988       Eric Viscaal   Netherlands   PSV Eindhoven     1988       Willy van de Kerkhof   Netherlands   PSV Eindhoven     1988       Patrick Lodewijks   Netherlands   PSV Eindhoven     1988       Józef Mlynarczyk   Poland   Porto           João Pinto   Portugal   Porto       Captain in 1987</v>
      </c>
    </row>
    <row r="726" customFormat="false" ht="15.75" hidden="false" customHeight="true" outlineLevel="0" collapsed="false">
      <c r="A726" s="3" t="n">
        <v>723</v>
      </c>
      <c r="B726" s="5" t="s">
        <v>2166</v>
      </c>
      <c r="C726" s="5" t="s">
        <v>2167</v>
      </c>
      <c r="D726" s="5" t="s">
        <v>2168</v>
      </c>
      <c r="E726" s="4" t="str">
        <f aca="false">IFERROR(__xludf.dummyfunction("GOOGLETRANSLATE(C727)"),"que tocou folhas forrest no homem com um plano")</f>
        <v>que tocou folhas forrest no homem com um plano</v>
      </c>
      <c r="F726" s="5" t="str">
        <f aca="false">IFERROR(__xludf.dummyfunction("GOOGLETRANSLATE(D726)")," `` You Give Love A Bad Name '' é uma música da banda de rock americana Bon Jovi, lançada como o primeiro single do álbum de 1986 Slippery When Wet. Escrito por Jon Bon Jovi, Richie Sambora e Desmond Child sobre uma mulher que atacou seu amante, a música "&amp;"alcançou o número 1 no U.S. Billboard Hot 100 em 29 de novembro de 1986 e se tornou o primeiro hit número um da banda. Em 2007, a música reentrou as paradas em 29 anos, depois que Blake Lewis o apresentou no American Idol. Em 2009, foi nomeado o 20º Maior"&amp;" Canção de Hard Rock de todos os tempos pelo VH1. Apesar da letra do refrão, a música não deve ser confundida com `` tiro através do coração '', uma música não relacionada do álbum de estréia de Bon Jovi em 1984.")</f>
        <v> `` You Give Love A Bad Name '' é uma música da banda de rock americana Bon Jovi, lançada como o primeiro single do álbum de 1986 Slippery When Wet. Escrito por Jon Bon Jovi, Richie Sambora e Desmond Child sobre uma mulher que atacou seu amante, a música alcançou o número 1 no U.S. Billboard Hot 100 em 29 de novembro de 1986 e se tornou o primeiro hit número um da banda. Em 2007, a música reentrou as paradas em 29 anos, depois que Blake Lewis o apresentou no American Idol. Em 2009, foi nomeado o 20º Maior Canção de Hard Rock de todos os tempos pelo VH1. Apesar da letra do refrão, a música não deve ser confundida com `` tiro através do coração '', uma música não relacionada do álbum de estréia de Bon Jovi em 1984.</v>
      </c>
    </row>
    <row r="727" customFormat="false" ht="15.75" hidden="false" customHeight="true" outlineLevel="0" collapsed="false">
      <c r="A727" s="3" t="n">
        <v>724</v>
      </c>
      <c r="B727" s="5" t="s">
        <v>2169</v>
      </c>
      <c r="C727" s="5" t="s">
        <v>2170</v>
      </c>
      <c r="D727" s="5" t="s">
        <v>2171</v>
      </c>
      <c r="E727" s="4" t="str">
        <f aca="false">IFERROR(__xludf.dummyfunction("GOOGLETRANSLATE(C728)"),"Por que é chamado de rosa para Emily")</f>
        <v>Por que é chamado de rosa para Emily</v>
      </c>
      <c r="F727" s="5" t="str">
        <f aca="false">IFERROR(__xludf.dummyfunction("GOOGLETRANSLATE(D727)"),"   Não . No. Geral no título da temporada dirigido por escrito pelos espectadores originais da Data Aérea dos EUA (milhões) 23 `` The Silver Fox '' Andy Cadiff Mark Gross 13 de novembro de 2017 (2017 - 11 - 13) 5.38 Para dar a Kate uma pausa de babá, Andi"&amp;" contrata um jovem voluntário de seu hospital chamado Sophia (Victoria Justice) para assistir às crianças. Enquanto Adam teme que Sophia seja atraída por um `` Silver Fox '', como ele, Andi está com mais ciúmes de Kate ir a Sophia por conselhos. Sophia ma"&amp;"is tarde diz a Adam que ela tem os gostosos, mas quando ele diz a Andi, ela não acredita nele. O namorado de 24 `` Andi '' Andy Cadiff Tommy Johnagin, 20 de novembro de 2017 (2017 - 11 - 20) 5.44 Adam recebe uma visita do pastor Carl (Jonathan Adams), que"&amp;" está fazendo as pazes com um vício em jogos de azar. O pastor Carl diz que apostou em dinheiro que deveria usar para renovar sua licença para casar com pessoas, o que significa que Adam e Andi não são legalmente casados. Piorando a situação, o pastor Car"&amp;"l não foi a primeira escolha de Andi, mas o frugal Adam o contratou porque era mais barato. Adam tenta criar uma renovação de votos com um funcionário licenciado, sem contar a Andi sobre Carl. 25 `` Os pais revidam '' Andy Cadiff Rob des Hotel 27 de novem"&amp;"bro de 2017 (2017 - 11 - 27) 5.70 Frustrado pelas bagunças nos quartos de seus filhos, Adam e Andi decidem reter as subsídios até que os quartos estejam mais limpos. Kate convence seus irmãos mais novos, eles podem quebrar seus pais apenas deixando a suje"&amp;"ira se acumular ainda mais, então as crianças dizem a mamãe e papai que estão em greve. Tomando uma dica de Joe, Adam e Andi decidem retaliar, tornando as coisas o mais miseráveis ​​possível para seus filhos. 26 `` Nas ervas daninhas '' Gail Mancuso Jeff "&amp;"Filgo e Jackie Filgo 4 de dezembro de 2017 (2017 - 12 - 04) 6.42 Quando Adam descobre que um garoto que Kate está namorando foi pego por sua mãe que possui maconha, ele quer ser rigoroso Com Kate enquanto Andi opta por uma abordagem mais relaxada. Adam de"&amp;"scobre que Joe, que sempre foi rigoroso com ele e Don sobre drogas, tem uma prescrição de maconha para sua artrite. As coisas ficam interessantes quando Adam, sem saber, come alguns dos Joe Special '' Gummy Candy. 27 5 `` Batalha dos sexistas '' Andy Cadi"&amp;"ff Ethan Sandler e Adrian Wenner 11 de dezembro de 2017 (2017 - 12 - 11) 5.70 Andi acusa Adam e Don de serem sexistas quando entrevistam apenas candidatos do sexo Projeto de shopping. Adam logo contrata uma fêmea chamada Zara (Lilah Richcreek), em parte p"&amp;"ara agradar Andi, mas também porque ela é a mais qualificada para o trabalho. Andi lamenta sua acusação contra Adam quando Don reconhece o novo capataz da loja como ex -dançarino em um clube de strip. Enquanto isso, Adam e Andi lutam contra a escola para "&amp;"permitir que Kate jogue no time de futebol masculino. 28 6 `` Adam fica vizinho '' Victor Gonzalez Tommy Johnagin e Farhan Arshad, 18 de dezembro de 2017 (2017 - 12 - 18) 5.61 Depois que Adam alienou a maioria dos vizinhos, Andi sugere que eles comecem fr"&amp;"escos com os novos vizinhos Joy (Sherri Shepherd) e Rudy (Tim Meadows), que acabou de se mudar. Mas existe um problema: Adam já ficou do lado ruim da alegria, uma inspetor de construção, quando ela visitou o local de trabalho dele. 29 7 `` Podemos ser her"&amp;"óis '' Victor Gonzalez Gregg Mettler 15 de janeiro de 2018 (2018 - 01 - 15) 6.68 Adam e Andi enfrentam problemas de dinheiro com Teddy Needing Glasses e Kate Needing Braces. Os dois fazem um orçamento e decidem desistir de alguns luxos, principalmente a a"&amp;"ssinatura de esportes a cabo de Adam, que Don, Joe e Lowell estão chateados porque estão sempre em jogos de assistir a casa. Adam mais tarde força Andi a desistir de seu cabeleireiro caro, depois que Joe descobre que ela o listou como uma necessidade, não"&amp;" um luxo. 30 8 `` piolhos de piolhos '' Gail Mancuso Farhan Arshad 22 de janeiro de 2018 (2018 - 01 - 22) 6,74 Adam se preocupa com como Lisa, seu chefe no canteiro de trabalho do shopping, reagirá quando ele tiver que levar Teddy e Emme para trabalhar . "&amp;"Ele fica ainda mais preocupado quando as crianças de Burns são diagnosticadas com piolhos, e mais tarde vê Lisa coçando a cabeça em um banquete de prêmios. Enquanto isso, Andi percebe o quão distante ela se tornou de seus filhos quando é a única membro da"&amp;" família a não pegar piolhos deles. 31 9 `` The Gunfight '' Andy Cardiff Gregg Mettler 29 de janeiro de 2018 (2018 - 01 - 29) 6.64 Joe e Beverly se preparam para assistir às crianças por alguns dias, para que Adam e Andi possam fazer uma viagem muito nece"&amp;"ssária para Las Vegas. Andi se preocupa um pouco quando Joe diz que planeja ensinar Teddy a atirar na velha arma do BB de Adam, depois quer puxar as férias quando descobre que Joe também tem armas de verdade na casa. Joe e Adam levam Andi a um campo de ti"&amp;"ro para mostrar que as armas estão bem em mãos responsáveis, mas então é Adam que se preocupa quando vê Joe confundir sua arma com seu celular. Em outros lugares, Don traz a arma do BB para a casa de Lowell para ajudar a erradicar a madeira que está comen"&amp;"do os tomates de Lowell, mas ele acaba atirando em Lowell. 32 10 `` Adam 'S' S Awesome Valentine 'Day' 'Gail Mancuso Jessica Runck, 5 de fevereiro de 2018 (2018 - 02 - 05) 6.46 Quando Andi convence Adam que ela não quer trocar presentes pelos dias dos nam"&amp;"orados , Adam pega o colar de ouro com fotos de seus três filhos que ele já comprou para Andi e dá a Beverly. Desconhecido por Adam, Andi acabara de descobrir os momentos de colar escondido antes da decisão de Adam, e agora ela está ansiosa para recebê -l"&amp;"a. Beverly é tão tonta com o colar que Adam está preso a uma decisão difícil. 33 11 `` Adivinhe quem está chegando ao café da manhã, almoço e jantar '' Victor Gonzalez Ethan Sandler e Adrian Wenner 26 de fevereiro de 2018 (2018 - 02 - 26) 5.92 Quando Adam"&amp;" se cansa de ter que acompanhar Beverly em Bingo, ele Sugere a Andi que ela consiga um emprego como voluntária do hospital. Beverly ama o trabalho, apenas para fazer Joe se sentir sozinho. Para compensar sua solidão, Joe começa a passar seu tempo com Adam"&amp;" e Andi e espera que eles esperem nele como Beverly costumava fazer. 34 12 `` Todo mundo 'é vencedor' 'Joanna Kerns Mark Gross 5 de março de 2018 (2018 - 03 - 05) 5.90 Quando um veterano pede a Kate para a dança da primavera na escola, Adam é firmemente c"&amp;"ontra ele enquanto Andi diz que Kate está maduro o suficiente para deixá -la ir. Ao discutir o assunto com Joe, Lowell e Don, Adam aprende a técnica de `` negociação silenciosa 'de Joe. Adam tenta e, com certeza, ela se fala a perceber que é uma má idéia "&amp;"deixar Kate ir no encontro. Mas a vizinha Joy logo tira Andi ao que Adam fez, porque o marido o usa nela, e ela dá a Andi uma maneira de revidar. 35 13 `` The Party Planner '' Ben Weiss Rob Deshotel 12 de março de 2018 (2018 - 03 - 12) 6.35 Após vários an"&amp;"os de falhas, presentes sem inspiração para o aniversário de Andi, Adam decide dar a ela uma festa com seus membros da família , assim como Lowell e sua esposa Jen. Quando Don e Marcy passam a festa por causa do compromisso anterior de Marcy, Adam os subs"&amp;"titui por Joy e Rudy, apesar dos protestos de Andi de que eles deveriam reagendar. Enquanto Adam insiste que ele pode lidar com o planejamento da festa, Don e Marcy conhecem Joy e Rudy em um supermercado, jogando uma chave no esquema de Adam. 36 14 `` Mar"&amp;"ch Madness '' Victor Gonzalez Tommy Johnagin 19 de março de 2018 (2018 - 03 - 19) 5.45 Quando seus horários não se alinham e percebem que as crianças ficarão sozinhas por duas horas depois da escola, Adam e Andi Contrate Rudy para instalar câmeras de segu"&amp;"rança dentro e fora de casa. Adam e Andi inadvertidamente fazem uma fita de sexo, o que os inspira a fazer outro. Os dois então perseguem o comprimido que tem a filmagem quando Beverly o empresta porque o dela quebrou, depois o entrega para devolver a Ada"&amp;"m. O tablet é posteriormente apanhado por Lowell, que o confundiu por conta própria quando ele estava na casa de Don. 37 15 `` Out With the In - Leis '' Victor Gonzalez Jackie Filgo e Jeff Filgo 26 de março de 2018 (2018 - 03 - 26) 5.44 Adam e Andi acham "&amp;"que podem finalmente estar felizes sozinhos para férias quando seus pais disputam cada um de volta Fora de vir à casa no domingo de Páscoa, porque o outro conjunto de pais estará lá. Mas os planos são ameaçados quando Joe e Bev esquema levaram as crianças"&amp;" à Disney World para o feriado, enquanto os pais de Andi (Dan Lauria e Nancy Lenehan) chegam um dia mais cedo para reivindicar `` véspera de Páscoa '. 38 16 `` April Fools '' Pamela Fryman Ethan Sandler e Adrian Wenner 9 de abril de 2018 (2018 - 04 - 09) "&amp;"5.48 Enquanto Adam, as crianças, Don e Joe gostam de puxar as brincadeiras de April Fool, Andi lembra Adam que ela odeia brincadeiras devido a uma experiência traumática com uma quando ela tinha sete anos. Adam tem certeza de que uma brincadeira engraçada"&amp;" e engraçada mudará a mente de Andi, mas suas tentativas falham. Adam teria feito melhor estar em guarda, porque Andi surpreendeu a manga dela. 39 17 `` King por um dia '' Victor Gonzalez Jessica Runck, 16 de abril de 2018 (2018 - 04 - 16) 5.06 Depois que"&amp;" Andi desencoraja Adam de dar a Emme um vestido de princesa porque reforça os estereótipos indesejados, ela menciona uma mentira, ela disse que ela disse que ela disse que ela menciona uma mentira. anos atrás, pelo mesmo motivo. Andi então defende sua prá"&amp;"tica de proteger seus filhos através de Little White Lies, que ela chama de `` Love Bubbles ''. Adam parece aceitar sua explicação, até que percebe que Andi faz o mesmo com ele, principalmente no que diz respeito a uma poltrona que ele queria comprar que "&amp;"ela disse que não era segura. 40 18 `` The Burns System '' Victor Gonzalez Farhan Arshad 30 de abril de 2018 (2018 - 04 - 30) 4.79 Adam está animado quando Joe precisa de um carro novo e o leva para aprender o `` sistema de queimaduras '' na concessionári"&amp;"a , dado que Joe sempre o acompanhou antes. Mas quando eles chegam lá, Adam está chateado ao saber que Joe pediu a Don para chegar ao último minuto e ser o `` mais próximo ''. Em outros lugares, Andi e Marcy tentam se livrar de uma cobra de estimação que "&amp;"Emme trouxe para casa. 41 19 `` nós odiamos dinheiro '' Victor Gonzalez Rob des Hotel 7 de maio de 2018 (2018 - 05 - 07) 4.91 A cliente do shopping Lisa diz a Adam e Don que ela tem que ir embora para trabalhar em si mesma, e que sua substituição quer um "&amp;"Empreiteiro diferente para assumir o Burns Brothers. Sem outras perspectivas, Adam e Don decidem que precisam fazer um comercial, com a ajuda de Lowell. Quando as filmagens começam, Don está bem, mas Adam congela na câmera, levando a sua parte ter que ser"&amp;" interpretada pelo ator local Leif Forrest (Geoff Stults). Enquanto isso, como o único ganha -pão atual, Andi está determinado a pedir um aumento em seu emprego, apenas para saber que seu departamento está sendo destruído e ela está sendo demitida. 42 20 "&amp;"`` Temos uma garota '' Pamela Fryman Mark Gross 14 de maio de 2018 (2018 - 05 - 14) 5.46 Depois que Adam e Andi determinaram que os problemas de Lisa decorrem de ela estar solitária, eles pegam ajuda de Don, Marcy e Lowell encontrar um homem para ela na e"&amp;"sperança de levar Adam de volta ao trabalho. Eles finalmente decidem montar Lisa com Leif Forrest, que ajudou no comercial do Burns Brothers, apenas para saber mais tarde que Leif é o ex-marido de Lisa. 43 21 21 `` Family Business '' Victor Gonzalez Gregg"&amp;" Mettler 21 de maio de 2018 (2018 - 05 - 21) 5.69 Quando Andi ajuda a Bev e Joe a projetar sua reforma de cozinha e Adam constrói, Andi e Adam começam a pensar que eles podem ter um Futuro trabalhando juntos, reconstruindo profissionalmente e vendendo cas"&amp;"as antigas.")</f>
        <v>   Não . No. Geral no título da temporada dirigido por escrito pelos espectadores originais da Data Aérea dos EUA (milhões) 23 `` The Silver Fox '' Andy Cadiff Mark Gross 13 de novembro de 2017 (2017 - 11 - 13) 5.38 Para dar a Kate uma pausa de babá, Andi contrata um jovem voluntário de seu hospital chamado Sophia (Victoria Justice) para assistir às crianças. Enquanto Adam teme que Sophia seja atraída por um `` Silver Fox '', como ele, Andi está com mais ciúmes de Kate ir a Sophia por conselhos. Sophia mais tarde diz a Adam que ela tem os gostosos, mas quando ele diz a Andi, ela não acredita nele. O namorado de 24 `` Andi '' Andy Cadiff Tommy Johnagin, 20 de novembro de 2017 (2017 - 11 - 20) 5.44 Adam recebe uma visita do pastor Carl (Jonathan Adams), que está fazendo as pazes com um vício em jogos de azar. O pastor Carl diz que apostou em dinheiro que deveria usar para renovar sua licença para casar com pessoas, o que significa que Adam e Andi não são legalmente casados. Piorando a situação, o pastor Carl não foi a primeira escolha de Andi, mas o frugal Adam o contratou porque era mais barato. Adam tenta criar uma renovação de votos com um funcionário licenciado, sem contar a Andi sobre Carl. 25 `` Os pais revidam '' Andy Cadiff Rob des Hotel 27 de novembro de 2017 (2017 - 11 - 27) 5.70 Frustrado pelas bagunças nos quartos de seus filhos, Adam e Andi decidem reter as subsídios até que os quartos estejam mais limpos. Kate convence seus irmãos mais novos, eles podem quebrar seus pais apenas deixando a sujeira se acumular ainda mais, então as crianças dizem a mamãe e papai que estão em greve. Tomando uma dica de Joe, Adam e Andi decidem retaliar, tornando as coisas o mais miseráveis ​​possível para seus filhos. 26 `` Nas ervas daninhas '' Gail Mancuso Jeff Filgo e Jackie Filgo 4 de dezembro de 2017 (2017 - 12 - 04) 6.42 Quando Adam descobre que um garoto que Kate está namorando foi pego por sua mãe que possui maconha, ele quer ser rigoroso Com Kate enquanto Andi opta por uma abordagem mais relaxada. Adam descobre que Joe, que sempre foi rigoroso com ele e Don sobre drogas, tem uma prescrição de maconha para sua artrite. As coisas ficam interessantes quando Adam, sem saber, come alguns dos Joe Special '' Gummy Candy. 27 5 `` Batalha dos sexistas '' Andy Cadiff Ethan Sandler e Adrian Wenner 11 de dezembro de 2017 (2017 - 12 - 11) 5.70 Andi acusa Adam e Don de serem sexistas quando entrevistam apenas candidatos do sexo Projeto de shopping. Adam logo contrata uma fêmea chamada Zara (Lilah Richcreek), em parte para agradar Andi, mas também porque ela é a mais qualificada para o trabalho. Andi lamenta sua acusação contra Adam quando Don reconhece o novo capataz da loja como ex -dançarino em um clube de strip. Enquanto isso, Adam e Andi lutam contra a escola para permitir que Kate jogue no time de futebol masculino. 28 6 `` Adam fica vizinho '' Victor Gonzalez Tommy Johnagin e Farhan Arshad, 18 de dezembro de 2017 (2017 - 12 - 18) 5.61 Depois que Adam alienou a maioria dos vizinhos, Andi sugere que eles comecem frescos com os novos vizinhos Joy (Sherri Shepherd) e Rudy (Tim Meadows), que acabou de se mudar. Mas existe um problema: Adam já ficou do lado ruim da alegria, uma inspetor de construção, quando ela visitou o local de trabalho dele. 29 7 `` Podemos ser heróis '' Victor Gonzalez Gregg Mettler 15 de janeiro de 2018 (2018 - 01 - 15) 6.68 Adam e Andi enfrentam problemas de dinheiro com Teddy Needing Glasses e Kate Needing Braces. Os dois fazem um orçamento e decidem desistir de alguns luxos, principalmente a assinatura de esportes a cabo de Adam, que Don, Joe e Lowell estão chateados porque estão sempre em jogos de assistir a casa. Adam mais tarde força Andi a desistir de seu cabeleireiro caro, depois que Joe descobre que ela o listou como uma necessidade, não um luxo. 30 8 `` piolhos de piolhos '' Gail Mancuso Farhan Arshad 22 de janeiro de 2018 (2018 - 01 - 22) 6,74 Adam se preocupa com como Lisa, seu chefe no canteiro de trabalho do shopping, reagirá quando ele tiver que levar Teddy e Emme para trabalhar . Ele fica ainda mais preocupado quando as crianças de Burns são diagnosticadas com piolhos, e mais tarde vê Lisa coçando a cabeça em um banquete de prêmios. Enquanto isso, Andi percebe o quão distante ela se tornou de seus filhos quando é a única membro da família a não pegar piolhos deles. 31 9 `` The Gunfight '' Andy Cardiff Gregg Mettler 29 de janeiro de 2018 (2018 - 01 - 29) 6.64 Joe e Beverly se preparam para assistir às crianças por alguns dias, para que Adam e Andi possam fazer uma viagem muito necessária para Las Vegas. Andi se preocupa um pouco quando Joe diz que planeja ensinar Teddy a atirar na velha arma do BB de Adam, depois quer puxar as férias quando descobre que Joe também tem armas de verdade na casa. Joe e Adam levam Andi a um campo de tiro para mostrar que as armas estão bem em mãos responsáveis, mas então é Adam que se preocupa quando vê Joe confundir sua arma com seu celular. Em outros lugares, Don traz a arma do BB para a casa de Lowell para ajudar a erradicar a madeira que está comendo os tomates de Lowell, mas ele acaba atirando em Lowell. 32 10 `` Adam 'S' S Awesome Valentine 'Day' 'Gail Mancuso Jessica Runck, 5 de fevereiro de 2018 (2018 - 02 - 05) 6.46 Quando Andi convence Adam que ela não quer trocar presentes pelos dias dos namorados , Adam pega o colar de ouro com fotos de seus três filhos que ele já comprou para Andi e dá a Beverly. Desconhecido por Adam, Andi acabara de descobrir os momentos de colar escondido antes da decisão de Adam, e agora ela está ansiosa para recebê -la. Beverly é tão tonta com o colar que Adam está preso a uma decisão difícil. 33 11 `` Adivinhe quem está chegando ao café da manhã, almoço e jantar '' Victor Gonzalez Ethan Sandler e Adrian Wenner 26 de fevereiro de 2018 (2018 - 02 - 26) 5.92 Quando Adam se cansa de ter que acompanhar Beverly em Bingo, ele Sugere a Andi que ela consiga um emprego como voluntária do hospital. Beverly ama o trabalho, apenas para fazer Joe se sentir sozinho. Para compensar sua solidão, Joe começa a passar seu tempo com Adam e Andi e espera que eles esperem nele como Beverly costumava fazer. 34 12 `` Todo mundo 'é vencedor' 'Joanna Kerns Mark Gross 5 de março de 2018 (2018 - 03 - 05) 5.90 Quando um veterano pede a Kate para a dança da primavera na escola, Adam é firmemente contra ele enquanto Andi diz que Kate está maduro o suficiente para deixá -la ir. Ao discutir o assunto com Joe, Lowell e Don, Adam aprende a técnica de `` negociação silenciosa 'de Joe. Adam tenta e, com certeza, ela se fala a perceber que é uma má idéia deixar Kate ir no encontro. Mas a vizinha Joy logo tira Andi ao que Adam fez, porque o marido o usa nela, e ela dá a Andi uma maneira de revidar. 35 13 `` The Party Planner '' Ben Weiss Rob Deshotel 12 de março de 2018 (2018 - 03 - 12) 6.35 Após vários anos de falhas, presentes sem inspiração para o aniversário de Andi, Adam decide dar a ela uma festa com seus membros da família , assim como Lowell e sua esposa Jen. Quando Don e Marcy passam a festa por causa do compromisso anterior de Marcy, Adam os substitui por Joy e Rudy, apesar dos protestos de Andi de que eles deveriam reagendar. Enquanto Adam insiste que ele pode lidar com o planejamento da festa, Don e Marcy conhecem Joy e Rudy em um supermercado, jogando uma chave no esquema de Adam. 36 14 `` March Madness '' Victor Gonzalez Tommy Johnagin 19 de março de 2018 (2018 - 03 - 19) 5.45 Quando seus horários não se alinham e percebem que as crianças ficarão sozinhas por duas horas depois da escola, Adam e Andi Contrate Rudy para instalar câmeras de segurança dentro e fora de casa. Adam e Andi inadvertidamente fazem uma fita de sexo, o que os inspira a fazer outro. Os dois então perseguem o comprimido que tem a filmagem quando Beverly o empresta porque o dela quebrou, depois o entrega para devolver a Adam. O tablet é posteriormente apanhado por Lowell, que o confundiu por conta própria quando ele estava na casa de Don. 37 15 `` Out With the In - Leis '' Victor Gonzalez Jackie Filgo e Jeff Filgo 26 de março de 2018 (2018 - 03 - 26) 5.44 Adam e Andi acham que podem finalmente estar felizes sozinhos para férias quando seus pais disputam cada um de volta Fora de vir à casa no domingo de Páscoa, porque o outro conjunto de pais estará lá. Mas os planos são ameaçados quando Joe e Bev esquema levaram as crianças à Disney World para o feriado, enquanto os pais de Andi (Dan Lauria e Nancy Lenehan) chegam um dia mais cedo para reivindicar `` véspera de Páscoa '. 38 16 `` April Fools '' Pamela Fryman Ethan Sandler e Adrian Wenner 9 de abril de 2018 (2018 - 04 - 09) 5.48 Enquanto Adam, as crianças, Don e Joe gostam de puxar as brincadeiras de April Fool, Andi lembra Adam que ela odeia brincadeiras devido a uma experiência traumática com uma quando ela tinha sete anos. Adam tem certeza de que uma brincadeira engraçada e engraçada mudará a mente de Andi, mas suas tentativas falham. Adam teria feito melhor estar em guarda, porque Andi surpreendeu a manga dela. 39 17 `` King por um dia '' Victor Gonzalez Jessica Runck, 16 de abril de 2018 (2018 - 04 - 16) 5.06 Depois que Andi desencoraja Adam de dar a Emme um vestido de princesa porque reforça os estereótipos indesejados, ela menciona uma mentira, ela disse que ela disse que ela disse que ela menciona uma mentira. anos atrás, pelo mesmo motivo. Andi então defende sua prática de proteger seus filhos através de Little White Lies, que ela chama de `` Love Bubbles ''. Adam parece aceitar sua explicação, até que percebe que Andi faz o mesmo com ele, principalmente no que diz respeito a uma poltrona que ele queria comprar que ela disse que não era segura. 40 18 `` The Burns System '' Victor Gonzalez Farhan Arshad 30 de abril de 2018 (2018 - 04 - 30) 4.79 Adam está animado quando Joe precisa de um carro novo e o leva para aprender o `` sistema de queimaduras '' na concessionária , dado que Joe sempre o acompanhou antes. Mas quando eles chegam lá, Adam está chateado ao saber que Joe pediu a Don para chegar ao último minuto e ser o `` mais próximo ''. Em outros lugares, Andi e Marcy tentam se livrar de uma cobra de estimação que Emme trouxe para casa. 41 19 `` nós odiamos dinheiro '' Victor Gonzalez Rob des Hotel 7 de maio de 2018 (2018 - 05 - 07) 4.91 A cliente do shopping Lisa diz a Adam e Don que ela tem que ir embora para trabalhar em si mesma, e que sua substituição quer um Empreiteiro diferente para assumir o Burns Brothers. Sem outras perspectivas, Adam e Don decidem que precisam fazer um comercial, com a ajuda de Lowell. Quando as filmagens começam, Don está bem, mas Adam congela na câmera, levando a sua parte ter que ser interpretada pelo ator local Leif Forrest (Geoff Stults). Enquanto isso, como o único ganha -pão atual, Andi está determinado a pedir um aumento em seu emprego, apenas para saber que seu departamento está sendo destruído e ela está sendo demitida. 42 20 `` Temos uma garota '' Pamela Fryman Mark Gross 14 de maio de 2018 (2018 - 05 - 14) 5.46 Depois que Adam e Andi determinaram que os problemas de Lisa decorrem de ela estar solitária, eles pegam ajuda de Don, Marcy e Lowell encontrar um homem para ela na esperança de levar Adam de volta ao trabalho. Eles finalmente decidem montar Lisa com Leif Forrest, que ajudou no comercial do Burns Brothers, apenas para saber mais tarde que Leif é o ex-marido de Lisa. 43 21 21 `` Family Business '' Victor Gonzalez Gregg Mettler 21 de maio de 2018 (2018 - 05 - 21) 5.69 Quando Andi ajuda a Bev e Joe a projetar sua reforma de cozinha e Adam constrói, Andi e Adam começam a pensar que eles podem ter um Futuro trabalhando juntos, reconstruindo profissionalmente e vendendo casas antigas.</v>
      </c>
    </row>
    <row r="728" customFormat="false" ht="15.75" hidden="false" customHeight="true" outlineLevel="0" collapsed="false">
      <c r="A728" s="3" t="n">
        <v>725</v>
      </c>
      <c r="B728" s="5" t="s">
        <v>2172</v>
      </c>
      <c r="C728" s="5" t="s">
        <v>2173</v>
      </c>
      <c r="D728" s="5" t="s">
        <v>2174</v>
      </c>
      <c r="E728" s="4" t="str">
        <f aca="false">IFERROR(__xludf.dummyfunction("GOOGLETRANSLATE(C729)"),"Nome do atual administrador do álcool e do departamento de impostos sobre tabaco e tabaco")</f>
        <v>Nome do atual administrador do álcool e do departamento de impostos sobre tabaco e tabaco</v>
      </c>
      <c r="F728" s="5" t="str">
        <f aca="false">IFERROR(__xludf.dummyfunction("GOOGLETRANSLATE(D728)")," Faulkner descreveu o título `` uma rosa para Emily '' como um título alegórico; Essa mulher havia sofrido uma grande tragédia e, para esse Faulkner, a pena. E como uma saudação, ele lhe entregou uma rosa. A palavra subiu no título tem vários significados"&amp;". A rosa pode ser vista como Homer, interpretando a rosa como uma rosa seca. O corpo de Homer pode ser a rosa seca, como uma que é pressionada entre as páginas de um livro, mantida em perfeitas condições, como Emily fez com o corpo de Homer. O `` rosa '' "&amp;"também representa sigilo. As rosas foram retratadas em lendas gregas como um presente de sigilo e de confidencialidade, conhecido como Sub Rosa, apresentando que o `` rosa '' é um símbolo de silêncio entre o narrador e a senhorita Emily, o narrador mantém"&amp;" os segredos de Emily até que ela morte .")</f>
        <v> Faulkner descreveu o título `` uma rosa para Emily '' como um título alegórico; Essa mulher havia sofrido uma grande tragédia e, para esse Faulkner, a pena. E como uma saudação, ele lhe entregou uma rosa. A palavra subiu no título tem vários significados. A rosa pode ser vista como Homer, interpretando a rosa como uma rosa seca. O corpo de Homer pode ser a rosa seca, como uma que é pressionada entre as páginas de um livro, mantida em perfeitas condições, como Emily fez com o corpo de Homer. O `` rosa '' também representa sigilo. As rosas foram retratadas em lendas gregas como um presente de sigilo e de confidencialidade, conhecido como Sub Rosa, apresentando que o `` rosa '' é um símbolo de silêncio entre o narrador e a senhorita Emily, o narrador mantém os segredos de Emily até que ela morte .</v>
      </c>
    </row>
    <row r="729" customFormat="false" ht="15.75" hidden="false" customHeight="true" outlineLevel="0" collapsed="false">
      <c r="A729" s="3" t="n">
        <v>726</v>
      </c>
      <c r="B729" s="5" t="s">
        <v>2175</v>
      </c>
      <c r="C729" s="5" t="s">
        <v>2176</v>
      </c>
      <c r="D729" s="5" t="s">
        <v>2177</v>
      </c>
      <c r="E729" s="4" t="str">
        <f aca="false">IFERROR(__xludf.dummyfunction("GOOGLETRANSLATE(C730)"),"O foco do programa Saakshar Bharat está em")</f>
        <v>O foco do programa Saakshar Bharat está em</v>
      </c>
      <c r="F729" s="5" t="str">
        <f aca="false">IFERROR(__xludf.dummyfunction("GOOGLETRANSLATE(D729)")," Visão geral da agência de agência de alcoólatras e comércio de álcool e tabaco formou -se em 24 de janeiro de 2003, o precedente do Departamento de Álcool, tabaco e armas de fogo da sede de armas de fogo Washington, DC 531 (2006) Executivo da Agência Joh"&amp;"n J. Manfreda, Departamento de Agências Parentadores do Administrador do Site do Tesouro WWW. ttb.gov")</f>
        <v> Visão geral da agência de agência de alcoólatras e comércio de álcool e tabaco formou -se em 24 de janeiro de 2003, o precedente do Departamento de Álcool, tabaco e armas de fogo da sede de armas de fogo Washington, DC 531 (2006) Executivo da Agência John J. Manfreda, Departamento de Agências Parentadores do Administrador do Site do Tesouro WWW. ttb.gov</v>
      </c>
    </row>
    <row r="730" customFormat="false" ht="15.75" hidden="false" customHeight="true" outlineLevel="0" collapsed="false">
      <c r="A730" s="3" t="n">
        <v>727</v>
      </c>
      <c r="B730" s="5" t="s">
        <v>2178</v>
      </c>
      <c r="C730" s="5" t="s">
        <v>2179</v>
      </c>
      <c r="D730" s="5" t="s">
        <v>2180</v>
      </c>
      <c r="E730" s="4" t="str">
        <f aca="false">IFERROR(__xludf.dummyfunction("GOOGLETRANSLATE(C731)"),"Cabul é a capital do país que faz fronteira com o Turquemenistão")</f>
        <v>Cabul é a capital do país que faz fronteira com o Turquemenistão</v>
      </c>
      <c r="F730" s="5" t="str">
        <f aca="false">IFERROR(__xludf.dummyfunction("GOOGLETRANSLATE(D730)")," O objetivo é reformular a missão nacional de alfabetização da Índia para se concentrar na alfabetização das mulheres, que deve aumentar a população alfabetizada em 70 milhões de adultos, incluindo 60 milhões de mulheres.")</f>
        <v> O objetivo é reformular a missão nacional de alfabetização da Índia para se concentrar na alfabetização das mulheres, que deve aumentar a população alfabetizada em 70 milhões de adultos, incluindo 60 milhões de mulheres.</v>
      </c>
    </row>
    <row r="731" customFormat="false" ht="15.75" hidden="false" customHeight="true" outlineLevel="0" collapsed="false">
      <c r="A731" s="3" t="n">
        <v>728</v>
      </c>
      <c r="B731" s="5" t="s">
        <v>2181</v>
      </c>
      <c r="C731" s="5" t="s">
        <v>2182</v>
      </c>
      <c r="D731" s="5" t="s">
        <v>2183</v>
      </c>
      <c r="E731" s="4" t="str">
        <f aca="false">IFERROR(__xludf.dummyfunction("GOOGLETRANSLATE(C732)"),"quem interpreta Catherine nos tem e não tem")</f>
        <v>quem interpreta Catherine nos tem e não tem</v>
      </c>
      <c r="F731" s="5" t="str">
        <f aca="false">IFERROR(__xludf.dummyfunction("GOOGLETRANSLATE(D731)"),"   Islamic Republic Of Afghanistan د افغانستان اسلامي جمهوریت ( Pashto ) da Afġānnistān islāmī jury جمهوری اسلامی افغانستان ( dari ) jomhūrīyyyeh afġānestānestān fla G coat of arms motto : لا إله إلا الله ، محمد رسول الله `` Lā ʾilāha ʾilandah , Muhammadu"&amp;" Rasūlu nnah `` There não é Deus além de Allah; Muhammad é o mensageiro de Allah (Shahada) Anthem: Millī Surūd مل bebe (Inglês: `` Anthem Nacional '') e maior cidade de Kabul 34 ° 32 ′ em 69 ° 08 ′ E / 34.533 ° 69.133 ° E 69.133; 69.133 Línguas oficiais p"&amp;"ashto dari grupos étnicos pashtun, tajik, hazara, uzbek e outros islã religioso demônimo no afegão afegão presidente unitário unitário unitário ashraf ghani diretor executivo abdullah abdullah legislature nacional assembléia câmara dos velhos HOTAK Empire"&amp;" abril de 1709 Empire Empire, outubro de 1747, emirado 1823 reconhecido em 19 de agosto de 1919 Reino 9 de junho de 1926 República 17 de julho Sq m) (40º) Água ( %) População insignificante 2016 Estimativa 34.656.032 (40th) 49,88 / km (129.2 / sq Mi) 150t"&amp;"h) PIB (PPP) 2017 Estimativa Total US $ 70 bilhões per capita $ 1.888 PIB (nominal) 2014) 0,465 Low 171st Currency Afghani (AFN) Fuso horário d † (UTC + 4: 30 Calendário solar) unidades no código de chamada + 93 ISo ISO 3166 Código AF Internet TL Af افغان"&amp;"لان")</f>
        <v>   Islamic Republic Of Afghanistan د افغانستان اسلامي جمهوریت ( Pashto ) da Afġānnistān islāmī jury جمهوری اسلامی افغانستان ( dari ) jomhūrīyyyeh afġānestānestān fla G coat of arms motto : لا إله إلا الله ، محمد رسول الله `` Lā ʾilāha ʾilandah , Muhammadu Rasūlu nnah `` There não é Deus além de Allah; Muhammad é o mensageiro de Allah (Shahada) Anthem: Millī Surūd مل bebe (Inglês: `` Anthem Nacional '') e maior cidade de Kabul 34 ° 32 ′ em 69 ° 08 ′ E / 34.533 ° 69.133 ° E 69.133; 69.133 Línguas oficiais pashto dari grupos étnicos pashtun, tajik, hazara, uzbek e outros islã religioso demônimo no afegão afegão presidente unitário unitário unitário ashraf ghani diretor executivo abdullah abdullah legislature nacional assembléia câmara dos velhos HOTAK Empire abril de 1709 Empire Empire, outubro de 1747, emirado 1823 reconhecido em 19 de agosto de 1919 Reino 9 de junho de 1926 República 17 de julho Sq m) (40º) Água ( %) População insignificante 2016 Estimativa 34.656.032 (40th) 49,88 / km (129.2 / sq Mi) 150th) PIB (PPP) 2017 Estimativa Total US $ 70 bilhões per capita $ 1.888 PIB (nominal) 2014) 0,465 Low 171st Currency Afghani (AFN) Fuso horário d † (UTC + 4: 30 Calendário solar) unidades no código de chamada + 93 ISo ISO 3166 Código AF Internet TL Af افغانلان</v>
      </c>
    </row>
    <row r="732" customFormat="false" ht="15.75" hidden="false" customHeight="true" outlineLevel="0" collapsed="false">
      <c r="A732" s="3" t="n">
        <v>729</v>
      </c>
      <c r="B732" s="5" t="s">
        <v>2184</v>
      </c>
      <c r="C732" s="5" t="s">
        <v>2185</v>
      </c>
      <c r="D732" s="5" t="s">
        <v>2186</v>
      </c>
      <c r="E732" s="4" t="str">
        <f aca="false">IFERROR(__xludf.dummyfunction("GOOGLETRANSLATE(C733)"),"Jumanji bem -vindo à selva é uma sequência")</f>
        <v>Jumanji bem -vindo à selva é uma sequência</v>
      </c>
      <c r="F732" s="5" t="str">
        <f aca="false">IFERROR(__xludf.dummyfunction("GOOGLETRANSLATE(D732)")," Renee Lawless - Orsini (nascida em 30 de novembro de 1960) é uma atriz e cantora americana. Atualmente, ela está estrelando como a matriarca amarga e distante, Katheryn Cryer, na própria série de drama The Haves e The Have Nots.")</f>
        <v> Renee Lawless - Orsini (nascida em 30 de novembro de 1960) é uma atriz e cantora americana. Atualmente, ela está estrelando como a matriarca amarga e distante, Katheryn Cryer, na própria série de drama The Haves e The Have Nots.</v>
      </c>
    </row>
    <row r="733" customFormat="false" ht="15.75" hidden="false" customHeight="true" outlineLevel="0" collapsed="false">
      <c r="A733" s="3" t="n">
        <v>730</v>
      </c>
      <c r="B733" s="5" t="s">
        <v>2187</v>
      </c>
      <c r="C733" s="5" t="s">
        <v>2188</v>
      </c>
      <c r="D733" s="5" t="s">
        <v>2189</v>
      </c>
      <c r="E733" s="4" t="str">
        <f aca="false">IFERROR(__xludf.dummyfunction("GOOGLETRANSLATE(C734)"),"Dragon Ball Z Battle of Gods English Elenco")</f>
        <v>Dragon Ball Z Battle of Gods English Elenco</v>
      </c>
      <c r="F733" s="5" t="str">
        <f aca="false">IFERROR(__xludf.dummyfunction("GOOGLETRANSLATE(D733)")," JUMANJI: Bem -vindo à Jungle é um filme de comédia de aventura americana de 2017, dirigido por Jake Kasdan e escrito por Chris McKenna, Erik Sommers, Scott Rosenberg e Jeff Pinkner, baseado em uma história de McKenna. Parte da franquia Jumanji, o filme é"&amp;" uma sequência do Jumanji de 1995, que foi baseado no livro das crianças de 1981 com o mesmo nome de Chris Van Allsburg. Ele presta homenagem a Robin Williams, a estrela do primeiro filme, mencionando o nome de seu personagem. Além disso, uma réplica da p"&amp;"eça de jogo de tabuleiro usada pelo personagem de Williams também aparece como uma pista para os novos jogadores do Jumanji Game. O filme é estrelado por Dwayne Johnson, Jack Black, Kevin Hart, Karen Gillan, Nick Jonas e Bobby Cannavale. Set vinte e um an"&amp;"o após Jumanji, ele segue quatro adolescentes que são transportados para o videogame World of Jumanji e interpretam como personagens escolhidos. Juntando -se a outro jogador, eles devem superar o poder mágico do jogo para vencer e voltar para casa.")</f>
        <v> JUMANJI: Bem -vindo à Jungle é um filme de comédia de aventura americana de 2017, dirigido por Jake Kasdan e escrito por Chris McKenna, Erik Sommers, Scott Rosenberg e Jeff Pinkner, baseado em uma história de McKenna. Parte da franquia Jumanji, o filme é uma sequência do Jumanji de 1995, que foi baseado no livro das crianças de 1981 com o mesmo nome de Chris Van Allsburg. Ele presta homenagem a Robin Williams, a estrela do primeiro filme, mencionando o nome de seu personagem. Além disso, uma réplica da peça de jogo de tabuleiro usada pelo personagem de Williams também aparece como uma pista para os novos jogadores do Jumanji Game. O filme é estrelado por Dwayne Johnson, Jack Black, Kevin Hart, Karen Gillan, Nick Jonas e Bobby Cannavale. Set vinte e um ano após Jumanji, ele segue quatro adolescentes que são transportados para o videogame World of Jumanji e interpretam como personagens escolhidos. Juntando -se a outro jogador, eles devem superar o poder mágico do jogo para vencer e voltar para casa.</v>
      </c>
    </row>
    <row r="734" customFormat="false" ht="15.75" hidden="false" customHeight="true" outlineLevel="0" collapsed="false">
      <c r="A734" s="3" t="n">
        <v>731</v>
      </c>
      <c r="B734" s="5" t="s">
        <v>2190</v>
      </c>
      <c r="C734" s="5" t="s">
        <v>2191</v>
      </c>
      <c r="D734" s="5" t="s">
        <v>2192</v>
      </c>
      <c r="E734" s="4" t="str">
        <f aca="false">IFERROR(__xludf.dummyfunction("GOOGLETRANSLATE(C735)"),"Quando ocorreu a batalha de Nova Orleans")</f>
        <v>Quando ocorreu a batalha de Nova Orleans</v>
      </c>
      <c r="F734" s="5" t="str">
        <f aca="false">IFERROR(__xludf.dummyfunction("GOOGLETRANSLATE(D734)"),"   Caráter Japão Voice ator Inglês Goiku Masako Nozawa Sean Schemmel Vegeta Ryō Horikawa Christopher R. Sabat Gohan Masako Nozawa Kyle Hebert Piccolo Toshio furuka Christopher R. Sabat Krillin Mayumi Tanaka Sonny Strait yamchaysyia Crhraho Crhraho Crhraho"&amp;" Crhraho Crhraho Crhraho CrHra -chríara Críara -cryra -ryrina crira -chríara cryra -ryrina cryra -chríara cryra -chryakra scrapra -scróia cryra -chríara crymakra scróia scróia crórica crymakra scróia crórica crymayia scróia crórica crórica crórica crymayn"&amp;"ynynynynynynynyia INANHAN HIKAR U. Midorikawa John Burgmeier Takeshi Kusao laura Bailey Goten Masako nozawa kara kara kara edwards puar naoko watana Palencia oolong naoki tatsuta Brad Jackson Mestre Roshi Roshi Masa Haru Satō Mike McFarland Bulma Hiromi T"&amp;"hsurururururururururum roshi roshi masa haru Mike McFarland Bulma Hiromi Thsurururururururururum roshi roshi masa haru Mike McFarland Bulma Hiromi Tsururururururururururum roshi roshi roshi haru sáti Mike McFarland Bulma Hiromi ThsururUrurururururururum R"&amp;"oshi Roshi Masa haru Mike Mike McFarland Id 18 Miki Itō Meredith McCoy Mr. Satan UNSHō ISHIZUK ISHIZUK. a Chris Rager Mr. Buu Kōzō SHIOYA JOSH MARTIN VIDEL YUKO Minaguchi Kara Edwards Dende Aya Hirano Justin Cook Pilaf SHIGERU CHIBA CHUCKK HUBER SHENRON K"&amp;"enji Utsu mi Christopher R. SABAT KAI JōJI YANAMI SEAN SCHENKS GOTENKS MASAKO NOZAWA TAKESHI KARA Edwards Laura Bailey OX - King ryūzaburōt OMO KYLE Hebert Mai eiko Yamada Colleen Clinkenbeard Shou Tesshō Genda Chris Cason Dr. Briefs Janami Mark Stoddard "&amp;"Bulma'S Yoko Kawanami Cytonththy Ia Cranz Beerus Kōichi Yamadera Jason Douglas Whis Masakazu Morita Ian Sinclair Yogen -GYO (Seero) Shoko Nakagawa Monica Rial Policywoman Kaori Matsusu Moto Mary Elizabeth McGlynn Sushi Chef Shinichi Karube T. Axelrator Jō"&amp;"ji Yanami Kyle Hebert")</f>
        <v>   Caráter Japão Voice ator Inglês Goiku Masako Nozawa Sean Schemmel Vegeta Ryō Horikawa Christopher R. Sabat Gohan Masako Nozawa Kyle Hebert Piccolo Toshio furuka Christopher R. Sabat Krillin Mayumi Tanaka Sonny Strait yamchaysyia Crhraho Crhraho Crhraho Crhraho Crhraho Crhraho CrHra -chríara Críara -cryra -ryrina crira -chríara cryra -ryrina cryra -chríara cryra -chryakra scrapra -scróia cryra -chríara crymakra scróia scróia crórica crymakra scróia crórica crymayia scróia crórica crórica crórica crymaynynynynynynynynyia INANHAN HIKAR U. Midorikawa John Burgmeier Takeshi Kusao laura Bailey Goten Masako nozawa kara kara kara edwards puar naoko watana Palencia oolong naoki tatsuta Brad Jackson Mestre Roshi Roshi Masa Haru Satō Mike McFarland Bulma Hiromi Thsurururururururururum roshi roshi masa haru Mike McFarland Bulma Hiromi Thsurururururururururum roshi roshi masa haru Mike McFarland Bulma Hiromi Tsururururururururururum roshi roshi roshi haru sáti Mike McFarland Bulma Hiromi ThsururUrurururururururum Roshi Roshi Masa haru Mike Mike McFarland Id 18 Miki Itō Meredith McCoy Mr. Satan UNSHō ISHIZUK ISHIZUK. a Chris Rager Mr. Buu Kōzō SHIOYA JOSH MARTIN VIDEL YUKO Minaguchi Kara Edwards Dende Aya Hirano Justin Cook Pilaf SHIGERU CHIBA CHUCKK HUBER SHENRON Kenji Utsu mi Christopher R. SABAT KAI JōJI YANAMI SEAN SCHENKS GOTENKS MASAKO NOZAWA TAKESHI KARA Edwards Laura Bailey OX - King ryūzaburōt OMO KYLE Hebert Mai eiko Yamada Colleen Clinkenbeard Shou Tesshō Genda Chris Cason Dr. Briefs Janami Mark Stoddard Bulma'S Yoko Kawanami Cytonththy Ia Cranz Beerus Kōichi Yamadera Jason Douglas Whis Masakazu Morita Ian Sinclair Yogen -GYO (Seero) Shoko Nakagawa Monica Rial Policywoman Kaori Matsusu Moto Mary Elizabeth McGlynn Sushi Chef Shinichi Karube T. Axelrator Jōji Yanami Kyle Hebert</v>
      </c>
    </row>
    <row r="735" customFormat="false" ht="15.75" hidden="false" customHeight="true" outlineLevel="0" collapsed="false">
      <c r="A735" s="3" t="n">
        <v>732</v>
      </c>
      <c r="B735" s="5" t="s">
        <v>2193</v>
      </c>
      <c r="C735" s="5" t="s">
        <v>2194</v>
      </c>
      <c r="D735" s="5" t="s">
        <v>2195</v>
      </c>
      <c r="E735" s="4" t="str">
        <f aca="false">IFERROR(__xludf.dummyfunction("GOOGLETRANSLATE(C736)"),"O que o E significa em 4L60E")</f>
        <v>O que o E significa em 4L60E</v>
      </c>
      <c r="F735" s="5" t="str">
        <f aca="false">IFERROR(__xludf.dummyfunction("GOOGLETRANSLATE(D735)"),"     Batalha de Nova Orleans Parte da Guerra de 1812 A Batalha de Nova Orleans por Henry Bryan Hall após William Momberger Data de 6 de janeiro - 18 de 1815 Localização a cerca de 8 km a leste - a sudeste de Nova Orleans, no terreno da Chalmette Plantatio"&amp;"n Resultado Vitória americana decisiva As forças britânicas se retiram completamente dos beligerantes da Louisiana, comandantes do Reino Unido e líderes Andrew Jackson William Carroll John Coffee John Adair Walter Overton Daniel Patterson David B. Morgan "&amp;"Pierre Denis de la Ronde Jacques Villeré Thomas Hinds Joseph Savary René Trudeau Francis B. De Bellevue Daniel Carmick Jean Laffite Edward Pakenham † Alexander Cochrane Samuel Gibbs † John Keane (WIA) John Lambert William Thornton Thomas Mullins Envolvido"&amp;" Consulte a Ordem de Batalha Veja a Ordem da Batalha de Battle 4,732 14.450 Casalidades e perdas 55 Mated 185 Wouss 386 matou 1.521 feridos 552 ausentes ou capturados Total: 2.459")</f>
        <v>     Batalha de Nova Orleans Parte da Guerra de 1812 A Batalha de Nova Orleans por Henry Bryan Hall após William Momberger Data de 6 de janeiro - 18 de 1815 Localização a cerca de 8 km a leste - a sudeste de Nova Orleans, no terreno da Chalmette Plantation Resultado Vitória americana decisiva As forças britânicas se retiram completamente dos beligerantes da Louisiana, comandantes do Reino Unido e líderes Andrew Jackson William Carroll John Coffee John Adair Walter Overton Daniel Patterson David B. Morgan Pierre Denis de la Ronde Jacques Villeré Thomas Hinds Joseph Savary René Trudeau Francis B. De Bellevue Daniel Carmick Jean Laffite Edward Pakenham † Alexander Cochrane Samuel Gibbs † John Keane (WIA) John Lambert William Thornton Thomas Mullins Envolvido Consulte a Ordem de Batalha Veja a Ordem da Batalha de Battle 4,732 14.450 Casalidades e perdas 55 Mated 185 Wouss 386 matou 1.521 feridos 552 ausentes ou capturados Total: 2.459</v>
      </c>
    </row>
    <row r="736" customFormat="false" ht="15.75" hidden="false" customHeight="true" outlineLevel="0" collapsed="false">
      <c r="A736" s="3" t="n">
        <v>733</v>
      </c>
      <c r="B736" s="5" t="s">
        <v>2196</v>
      </c>
      <c r="C736" s="5" t="s">
        <v>2197</v>
      </c>
      <c r="D736" s="5" t="s">
        <v>2198</v>
      </c>
      <c r="E736" s="4" t="str">
        <f aca="false">IFERROR(__xludf.dummyfunction("GOOGLETRANSLATE(C737)"),"laranja é a nova senhora de ioga dos personagens negros")</f>
        <v>laranja é a nova senhora de ioga dos personagens negros</v>
      </c>
      <c r="F736" s="5" t="str">
        <f aca="false">IFERROR(__xludf.dummyfunction("GOOGLETRANSLATE(D736)")," O Th700R4 foi renomeado para `` 4L60 '' (RPO MD8) após a nova convenção de nomeação da General Motors, quando a versão eletrônica, 4L60E (RPO M30), foi faseada. Isso aconteceu em 1993 para caminhões, vans e SUVs e 1994 para carros de passageiros da roda "&amp;"traseira. Em 1996, um parafuso - na caixa de sino foi faseado (junto com uma cauda de seis parafusos) para s - 10 caminhões e s - 10 blazers e começando em 1998 para todas as outras aplicações. A partir de 1998, um novo conversor de torque de 300 mm com i"&amp;"nternações de maior capacidade mais alta, eixo de entrada de estilo de 300 mm e bomba de estilo de 300 mm também foi introduzida em modelos acoplados a um pequeno bloco da Gen III. O 4L60E é classificado para manusear até 360 pés lbf (488 n m) de torque. "&amp;"Ele pesa 133 libras sem fluido de transmissão.")</f>
        <v> O Th700R4 foi renomeado para `` 4L60 '' (RPO MD8) após a nova convenção de nomeação da General Motors, quando a versão eletrônica, 4L60E (RPO M30), foi faseada. Isso aconteceu em 1993 para caminhões, vans e SUVs e 1994 para carros de passageiros da roda traseira. Em 1996, um parafuso - na caixa de sino foi faseado (junto com uma cauda de seis parafusos) para s - 10 caminhões e s - 10 blazers e começando em 1998 para todas as outras aplicações. A partir de 1998, um novo conversor de torque de 300 mm com internações de maior capacidade mais alta, eixo de entrada de estilo de 300 mm e bomba de estilo de 300 mm também foi introduzida em modelos acoplados a um pequeno bloco da Gen III. O 4L60E é classificado para manusear até 360 pés lbf (488 n m) de torque. Ele pesa 133 libras sem fluido de transmissão.</v>
      </c>
    </row>
    <row r="737" customFormat="false" ht="15.75" hidden="false" customHeight="true" outlineLevel="0" collapsed="false">
      <c r="A737" s="3" t="n">
        <v>734</v>
      </c>
      <c r="B737" s="5" t="s">
        <v>2199</v>
      </c>
      <c r="C737" s="5" t="s">
        <v>2200</v>
      </c>
      <c r="D737" s="5" t="s">
        <v>2201</v>
      </c>
      <c r="E737" s="4" t="str">
        <f aca="false">IFERROR(__xludf.dummyfunction("GOOGLETRANSLATE(C738)"),"Quando foi a última vez que alguém foi executado por guilhotina")</f>
        <v>Quando foi a última vez que alguém foi executado por guilhotina</v>
      </c>
      <c r="F737" s="5" t="str">
        <f aca="false">IFERROR(__xludf.dummyfunction("GOOGLETRANSLATE(D737)")," Constance Shulman (nascido em 4 de abril de 1958) é uma atriz e cantora americana. Ela é mais conhecida por expressar maionese Patti em Doug e por seu papel atual como Yoga Jones em Orange é o novo preto. Shulman originou o papel de Annelle na primeira p"&amp;"rodução de Steel Magnolias Off - Broadway.")</f>
        <v> Constance Shulman (nascido em 4 de abril de 1958) é uma atriz e cantora americana. Ela é mais conhecida por expressar maionese Patti em Doug e por seu papel atual como Yoga Jones em Orange é o novo preto. Shulman originou o papel de Annelle na primeira produção de Steel Magnolias Off - Broadway.</v>
      </c>
    </row>
    <row r="738" customFormat="false" ht="15.75" hidden="false" customHeight="true" outlineLevel="0" collapsed="false">
      <c r="A738" s="3" t="n">
        <v>735</v>
      </c>
      <c r="B738" s="5" t="s">
        <v>2202</v>
      </c>
      <c r="C738" s="5" t="s">
        <v>2203</v>
      </c>
      <c r="D738" s="5" t="s">
        <v>2204</v>
      </c>
      <c r="E738" s="4" t="str">
        <f aca="false">IFERROR(__xludf.dummyfunction("GOOGLETRANSLATE(C739)"),"que interpretou Anakin em vingança de Sith")</f>
        <v>que interpretou Anakin em vingança de Sith</v>
      </c>
      <c r="F738" s="5" t="str">
        <f aca="false">IFERROR(__xludf.dummyfunction("GOOGLETRANSLATE(D738)")," Hamida Djandoubi (árabe: حم baixe جندadar 22 de setembro de 1949 - 10 de setembro de 1977) foi um trabalhador agrícola da Tunisina e assassino condenado. Ele se mudou para Marselha, França, em 1968 e seis anos depois, sequestrou, torturou e assassinou 22"&amp;" - ano - élisabeth Bousquet, sua ex -namorada. Ele foi condenado à morte em fevereiro de 1977 e executado em setembro daquele ano. Ele foi a última pessoa a ser executada na Europa Ocidental e na União Europeia e a última pessoa legalmente executada pela "&amp;"decapitação no mundo ocidental. Marcel Chevalier serviu como executivo -chefe.")</f>
        <v> Hamida Djandoubi (árabe: حم baixe جندadar 22 de setembro de 1949 - 10 de setembro de 1977) foi um trabalhador agrícola da Tunisina e assassino condenado. Ele se mudou para Marselha, França, em 1968 e seis anos depois, sequestrou, torturou e assassinou 22 - ano - élisabeth Bousquet, sua ex -namorada. Ele foi condenado à morte em fevereiro de 1977 e executado em setembro daquele ano. Ele foi a última pessoa a ser executada na Europa Ocidental e na União Europeia e a última pessoa legalmente executada pela decapitação no mundo ocidental. Marcel Chevalier serviu como executivo -chefe.</v>
      </c>
    </row>
    <row r="739" customFormat="false" ht="15.75" hidden="false" customHeight="true" outlineLevel="0" collapsed="false">
      <c r="A739" s="3" t="n">
        <v>736</v>
      </c>
      <c r="B739" s="5" t="s">
        <v>2205</v>
      </c>
      <c r="C739" s="5" t="s">
        <v>2206</v>
      </c>
      <c r="D739" s="5" t="s">
        <v>2207</v>
      </c>
      <c r="E739" s="4" t="str">
        <f aca="false">IFERROR(__xludf.dummyfunction("GOOGLETRANSLATE(C740)"),"Quando é o primeiro jogo de futebol da NFL em 2017")</f>
        <v>Quando é o primeiro jogo de futebol da NFL em 2017</v>
      </c>
      <c r="F739" s="5" t="str">
        <f aca="false">IFERROR(__xludf.dummyfunction("GOOGLETRANSLATE(D739)")," Hayden Christensen (nascido em 19 de abril de 1981) é um ator e produtor canadense. Ele começou sua carreira na televisão canadense aos 13 anos e depois se diversificou na televisão americana no final dos anos 90. Ele foi elogiado por sua atuação como Sa"&amp;"m na vida como uma casa (2001), ganhando indicações ao Prêmio Globo de Ouro e Screen Actors Guild Award. Christensen ganhou fama internacional por seu retrato de Anakin Skywalker em Star Wars: Episódio II - Ataque dos Clones (2002) e Guerra nas Estrelas: "&amp;"Episódio III - Vingança de Sith (2005). Suas honras por esses filmes incluem uma indicação para o Saturn Award de Melhor Ator e o Prêmio de Revelação do Festival de Cannes.")</f>
        <v> Hayden Christensen (nascido em 19 de abril de 1981) é um ator e produtor canadense. Ele começou sua carreira na televisão canadense aos 13 anos e depois se diversificou na televisão americana no final dos anos 90. Ele foi elogiado por sua atuação como Sam na vida como uma casa (2001), ganhando indicações ao Prêmio Globo de Ouro e Screen Actors Guild Award. Christensen ganhou fama internacional por seu retrato de Anakin Skywalker em Star Wars: Episódio II - Ataque dos Clones (2002) e Guerra nas Estrelas: Episódio III - Vingança de Sith (2005). Suas honras por esses filmes incluem uma indicação para o Saturn Award de Melhor Ator e o Prêmio de Revelação do Festival de Cannes.</v>
      </c>
    </row>
    <row r="740" customFormat="false" ht="15.75" hidden="false" customHeight="true" outlineLevel="0" collapsed="false">
      <c r="A740" s="3" t="n">
        <v>737</v>
      </c>
      <c r="B740" s="5" t="s">
        <v>2208</v>
      </c>
      <c r="C740" s="5" t="s">
        <v>2209</v>
      </c>
      <c r="D740" s="5" t="s">
        <v>250</v>
      </c>
      <c r="E740" s="4" t="str">
        <f aca="false">IFERROR(__xludf.dummyfunction("GOOGLETRANSLATE(C741)"),"De onde veio o título Primeira -dama")</f>
        <v>De onde veio o título Primeira -dama</v>
      </c>
      <c r="F740" s="5" t="str">
        <f aca="false">IFERROR(__xludf.dummyfunction("GOOGLETRANSLATE(D740)")," A temporada da NFL de 2017 é a 98ª e atual temporada da história da Liga Nacional de Futebol (NFL). A temporada começou em 7 de setembro de 2017, com o Kansas City Chiefs derrotando o atual campeão do Super Bowl no New England Patriots 42 - 27 no jogo de"&amp;" kickoff da NFL. A temporada será concluída com o Super Bowl LII, o jogo do campeonato da liga, em 4 de fevereiro de 2018, no U.S. Bank Stadium em Minneapolis, Minnesota.")</f>
        <v> A temporada da NFL de 2017 é a 98ª e atual temporada da história da Liga Nacional de Futebol (NFL). A temporada começou em 7 de setembro de 2017, com o Kansas City Chiefs derrotando o atual campeão do Super Bowl no New England Patriots 42 - 27 no jogo de kickoff da NFL. A temporada será concluída com o Super Bowl LII, o jogo do campeonato da liga, em 4 de fevereiro de 2018, no U.S. Bank Stadium em Minneapolis, Minnesota.</v>
      </c>
    </row>
    <row r="741" customFormat="false" ht="15.75" hidden="false" customHeight="true" outlineLevel="0" collapsed="false">
      <c r="A741" s="3" t="n">
        <v>738</v>
      </c>
      <c r="B741" s="5" t="s">
        <v>2210</v>
      </c>
      <c r="C741" s="5" t="s">
        <v>2211</v>
      </c>
      <c r="D741" s="5" t="s">
        <v>2212</v>
      </c>
      <c r="E741" s="4" t="str">
        <f aca="false">IFERROR(__xludf.dummyfunction("GOOGLETRANSLATE(C742)"),"Sanford e filho qual era o nome de sua esposa")</f>
        <v>Sanford e filho qual era o nome de sua esposa</v>
      </c>
      <c r="F741" s="5" t="str">
        <f aca="false">IFERROR(__xludf.dummyfunction("GOOGLETRANSLATE(D741)")," A designação de designação parece ter se originado nos Estados Unidos, onde um dos primeiros usos impressos, em 1838, estava em referência a Martha Washington. Outras fontes indicam que, em 1849, o presidente Zachary Taylor chamou Dolley Madison `` Prime"&amp;"ira Dama '' em seu funeral estadual, enquanto recitava um elogio escrito por ele mesmo; Mas nenhuma cópia desse elogio foi encontrada.")</f>
        <v> A designação de designação parece ter se originado nos Estados Unidos, onde um dos primeiros usos impressos, em 1838, estava em referência a Martha Washington. Outras fontes indicam que, em 1849, o presidente Zachary Taylor chamou Dolley Madison `` Primeira Dama '' em seu funeral estadual, enquanto recitava um elogio escrito por ele mesmo; Mas nenhuma cópia desse elogio foi encontrada.</v>
      </c>
    </row>
    <row r="742" customFormat="false" ht="15.75" hidden="false" customHeight="true" outlineLevel="0" collapsed="false">
      <c r="A742" s="3" t="n">
        <v>739</v>
      </c>
      <c r="B742" s="5" t="s">
        <v>2213</v>
      </c>
      <c r="C742" s="5" t="s">
        <v>2214</v>
      </c>
      <c r="D742" s="5" t="s">
        <v>2215</v>
      </c>
      <c r="E742" s="4" t="str">
        <f aca="false">IFERROR(__xludf.dummyfunction("GOOGLETRANSLATE(C743)"),"Quem cantou a música tema do programa de TV Rawhide")</f>
        <v>Quem cantou a música tema do programa de TV Rawhide</v>
      </c>
      <c r="F742" s="5" t="str">
        <f aca="false">IFERROR(__xludf.dummyfunction("GOOGLETRANSLATE(D742)")," Segundo Fred, sua esposa Elizabeth morreu por volta de 1947. Em uma piada na série, durante os tempos de angústia, Fred olha para cima (como para o céu) com a mão no peito, fingindo um ataque cardíaco e dizendo: `` Este é o grande, Elizabeth! Estou vindo"&amp;" para me juntar a você, querida. '' Ninguém, no entanto, se apaixona por esse ardil transparente. Fred levantou Lamont sozinho e sentiu falta de Elizabeth profundamente. Segundo Fred, seu filho recebeu o nome de Lamont Lomax, um arremessador do Homestead "&amp;"Grays. Em um episódio, Lamont pergunta por que ele não tinha um nome do meio; Fred diz a ele que Lamont é seu nome do meio: ele e Elizabeth nunca criaram um primeiro nome. No entanto, foi revelado no terceiro episódio da primeira temporada que Lamont foi "&amp;"nomeado `` Lamont Grady Sanford. ''")</f>
        <v> Segundo Fred, sua esposa Elizabeth morreu por volta de 1947. Em uma piada na série, durante os tempos de angústia, Fred olha para cima (como para o céu) com a mão no peito, fingindo um ataque cardíaco e dizendo: `` Este é o grande, Elizabeth! Estou vindo para me juntar a você, querida. '' Ninguém, no entanto, se apaixona por esse ardil transparente. Fred levantou Lamont sozinho e sentiu falta de Elizabeth profundamente. Segundo Fred, seu filho recebeu o nome de Lamont Lomax, um arremessador do Homestead Grays. Em um episódio, Lamont pergunta por que ele não tinha um nome do meio; Fred diz a ele que Lamont é seu nome do meio: ele e Elizabeth nunca criaram um primeiro nome. No entanto, foi revelado no terceiro episódio da primeira temporada que Lamont foi nomeado `` Lamont Grady Sanford. ''</v>
      </c>
    </row>
    <row r="743" customFormat="false" ht="15.75" hidden="false" customHeight="true" outlineLevel="0" collapsed="false">
      <c r="A743" s="3" t="n">
        <v>740</v>
      </c>
      <c r="B743" s="5" t="s">
        <v>2216</v>
      </c>
      <c r="C743" s="5" t="s">
        <v>2217</v>
      </c>
      <c r="D743" s="5" t="s">
        <v>2218</v>
      </c>
      <c r="E743" s="4" t="str">
        <f aca="false">IFERROR(__xludf.dummyfunction("GOOGLETRANSLATE(C744)"),"o rock canta todas as músicas em Moana")</f>
        <v>o rock canta todas as músicas em Moana</v>
      </c>
      <c r="F743" s="5" t="str">
        <f aca="false">IFERROR(__xludf.dummyfunction("GOOGLETRANSLATE(D743)")," Ao longo da década de 1950, Laine teve uma segunda carreira cantando as músicas do título sobre os créditos de abertura de filmes e programas de televisão de Hollywood, incluindo tiroteios no OK. Corral, 3: 10 para yuma, chicote e couro cru. Sua versão d"&amp;"a música -título para o filme de sucesso de Mel Brooks em 1974 Blazing Saddles ganhou uma indicação ao Oscar de Melhor Canção e, na televisão, a gravação de `` Rawhide 'de Laine se tornou um tema popular canção .")</f>
        <v> Ao longo da década de 1950, Laine teve uma segunda carreira cantando as músicas do título sobre os créditos de abertura de filmes e programas de televisão de Hollywood, incluindo tiroteios no OK. Corral, 3: 10 para yuma, chicote e couro cru. Sua versão da música -título para o filme de sucesso de Mel Brooks em 1974 Blazing Saddles ganhou uma indicação ao Oscar de Melhor Canção e, na televisão, a gravação de `` Rawhide 'de Laine se tornou um tema popular canção .</v>
      </c>
    </row>
    <row r="744" customFormat="false" ht="15.75" hidden="false" customHeight="true" outlineLevel="0" collapsed="false">
      <c r="A744" s="3" t="n">
        <v>741</v>
      </c>
      <c r="B744" s="5" t="s">
        <v>2219</v>
      </c>
      <c r="C744" s="5" t="s">
        <v>2220</v>
      </c>
      <c r="D744" s="5" t="s">
        <v>2221</v>
      </c>
      <c r="E744" s="4" t="str">
        <f aca="false">IFERROR(__xludf.dummyfunction("GOOGLETRANSLATE(C745)"),"Onde os crushers de casamento do filme acontecem")</f>
        <v>Onde os crushers de casamento do filme acontecem</v>
      </c>
      <c r="F744" s="5" t="str">
        <f aca="false">IFERROR(__xludf.dummyfunction("GOOGLETRANSLATE(D744)"),"   Título da faixa Performa (s) Pico posiciona -nos aus pode nz uk `` até onde eu vou ir '' auli'i Cravalho 41 49 58 - 55 `` até onde eu vou ir '' Alessia Cara 56 15 46 49 ` `` Você 'é bem -vindo' 'Dwayne Johnson 65 77 85 - - - `` Sabemos do jeito' 'optai"&amp;"a foa'i &amp; lin - Manuel Miranda 93 - - - - - `` Shiny' 'Jemaine Clement - - - - - - - `` Onde você está '' Christopher Jackson, Rachel House, Nicole Scherzinger, Auli'i Cravalho e Louise Bush - - - - - `` Eu sou Moana (Song of os ancestrais) '' Rachel Hous"&amp;"e e Auli'i Cravalho - - - - - - `` - '' denota uma gravação que não traçou.")</f>
        <v>   Título da faixa Performa (s) Pico posiciona -nos aus pode nz uk `` até onde eu vou ir '' auli'i Cravalho 41 49 58 - 55 `` até onde eu vou ir '' Alessia Cara 56 15 46 49 ` `` Você 'é bem -vindo' 'Dwayne Johnson 65 77 85 - - - `` Sabemos do jeito' 'optaia foa'i &amp; lin - Manuel Miranda 93 - - - - - `` Shiny' 'Jemaine Clement - - - - - - - `` Onde você está '' Christopher Jackson, Rachel House, Nicole Scherzinger, Auli'i Cravalho e Louise Bush - - - - - `` Eu sou Moana (Song of os ancestrais) '' Rachel House e Auli'i Cravalho - - - - - - `` - '' denota uma gravação que não traçou.</v>
      </c>
    </row>
    <row r="745" customFormat="false" ht="15.75" hidden="false" customHeight="true" outlineLevel="0" collapsed="false">
      <c r="A745" s="3" t="n">
        <v>742</v>
      </c>
      <c r="B745" s="5" t="s">
        <v>2222</v>
      </c>
      <c r="C745" s="5" t="s">
        <v>2223</v>
      </c>
      <c r="D745" s="5" t="s">
        <v>2224</v>
      </c>
      <c r="E745" s="4" t="str">
        <f aca="false">IFERROR(__xludf.dummyfunction("GOOGLETRANSLATE(C746)"),"Quem interpreta Nicky no Blue Bloods Temporada 1")</f>
        <v>Quem interpreta Nicky no Blue Bloods Temporada 1</v>
      </c>
      <c r="F745" s="5" t="str">
        <f aca="false">IFERROR(__xludf.dummyfunction("GOOGLETRANSLATE(D745)")," John Beckwith (Owen Wilson) e Jeremy Gray (Vince Vaughn) são mediadores de divórcio em Washington DC que `` Crash '', festas de casamento para conhecer e dormir mulheres. No final de uma temporada de acidentes bem -sucedidos, Jeremy leva John a um casame"&amp;"nto para uma filha do secretário dos EUA do Tesouro, William Cleary (Christopher Walken). Uma vez lá dentro, o par de mira as outras filhas de Cleary, Gloria (Isla Fisher) e Claire (Rachel McAdams). Jeremy acaba fazendo sexo com Gloria em uma praia próxim"&amp;"a durante a recepção. Gloria é possessiva e rapidamente fica obcecada por Jeremy, e Jeremy pede a John a escapar da recepção com ele.")</f>
        <v> John Beckwith (Owen Wilson) e Jeremy Gray (Vince Vaughn) são mediadores de divórcio em Washington DC que `` Crash '', festas de casamento para conhecer e dormir mulheres. No final de uma temporada de acidentes bem -sucedidos, Jeremy leva John a um casamento para uma filha do secretário dos EUA do Tesouro, William Cleary (Christopher Walken). Uma vez lá dentro, o par de mira as outras filhas de Cleary, Gloria (Isla Fisher) e Claire (Rachel McAdams). Jeremy acaba fazendo sexo com Gloria em uma praia próxima durante a recepção. Gloria é possessiva e rapidamente fica obcecada por Jeremy, e Jeremy pede a John a escapar da recepção com ele.</v>
      </c>
    </row>
    <row r="746" customFormat="false" ht="15.75" hidden="false" customHeight="true" outlineLevel="0" collapsed="false">
      <c r="A746" s="3" t="n">
        <v>743</v>
      </c>
      <c r="B746" s="5" t="s">
        <v>2225</v>
      </c>
      <c r="C746" s="5" t="s">
        <v>2226</v>
      </c>
      <c r="D746" s="5" t="s">
        <v>2227</v>
      </c>
      <c r="E746" s="4" t="str">
        <f aca="false">IFERROR(__xludf.dummyfunction("GOOGLETRANSLATE(C747)"),"De onde vem o termo jato preto")</f>
        <v>De onde vem o termo jato preto</v>
      </c>
      <c r="F746" s="5" t="str">
        <f aca="false">IFERROR(__xludf.dummyfunction("GOOGLETRANSLATE(D746)")," Sami Gayle como Nicole `` Nicky '' Reagan - Boyle")</f>
        <v> Sami Gayle como Nicole `` Nicky '' Reagan - Boyle</v>
      </c>
    </row>
    <row r="747" customFormat="false" ht="15.75" hidden="false" customHeight="true" outlineLevel="0" collapsed="false">
      <c r="A747" s="3" t="n">
        <v>744</v>
      </c>
      <c r="B747" s="5" t="s">
        <v>2228</v>
      </c>
      <c r="C747" s="5" t="s">
        <v>2229</v>
      </c>
      <c r="D747" s="5" t="s">
        <v>2230</v>
      </c>
      <c r="E747" s="4" t="str">
        <f aca="false">IFERROR(__xludf.dummyfunction("GOOGLETRANSLATE(C748)"),"quem é conhecido como mestre blaster no críquete")</f>
        <v>quem é conhecido como mestre blaster no críquete</v>
      </c>
      <c r="F747" s="5" t="str">
        <f aca="false">IFERROR(__xludf.dummyfunction("GOOGLETRANSLATE(D747)")," Jet Black ou Jet - Black é um tom de preto que se refere ao jato de material geológico.")</f>
        <v> Jet Black ou Jet - Black é um tom de preto que se refere ao jato de material geológico.</v>
      </c>
    </row>
    <row r="748" customFormat="false" ht="15.75" hidden="false" customHeight="true" outlineLevel="0" collapsed="false">
      <c r="A748" s="3" t="n">
        <v>745</v>
      </c>
      <c r="B748" s="5" t="s">
        <v>2231</v>
      </c>
      <c r="C748" s="5" t="s">
        <v>2232</v>
      </c>
      <c r="D748" s="5" t="s">
        <v>2233</v>
      </c>
      <c r="E748" s="4" t="str">
        <f aca="false">IFERROR(__xludf.dummyfunction("GOOGLETRANSLATE(C749)"),"Quem são os convidados de celebridades do Big Brother")</f>
        <v>Quem são os convidados de celebridades do Big Brother</v>
      </c>
      <c r="F748" s="5" t="str">
        <f aca="false">IFERROR(__xludf.dummyfunction("GOOGLETRANSLATE(D748)"),"  Mestre Blaster, apelido de Viv Richards, Blaster de críquete de críquete da Índia Ocidental aposentado, apelido de Sanath Jayasuriya, aposentado de críquete do Sri Lankan Master Blasters, um tipo de blaster mestre de críquete, apelido de Sachin Tendulka"&amp;"r, críquete indiano aposentado")</f>
        <v>  Mestre Blaster, apelido de Viv Richards, Blaster de críquete de críquete da Índia Ocidental aposentado, apelido de Sanath Jayasuriya, aposentado de críquete do Sri Lankan Master Blasters, um tipo de blaster mestre de críquete, apelido de Sachin Tendulkar, críquete indiano aposentado</v>
      </c>
    </row>
    <row r="749" customFormat="false" ht="15.75" hidden="false" customHeight="true" outlineLevel="0" collapsed="false">
      <c r="A749" s="3" t="n">
        <v>746</v>
      </c>
      <c r="B749" s="5" t="s">
        <v>2234</v>
      </c>
      <c r="C749" s="5" t="s">
        <v>2235</v>
      </c>
      <c r="D749" s="5" t="s">
        <v>2236</v>
      </c>
      <c r="E749" s="4" t="str">
        <f aca="false">IFERROR(__xludf.dummyfunction("GOOGLETRANSLATE(C750)"),"onde está Cabo San Lucas localizado no mapa")</f>
        <v>onde está Cabo San Lucas localizado no mapa</v>
      </c>
      <c r="F749" s="5" t="str">
        <f aca="false">IFERROR(__xludf.dummyfunction("GOOGLETRANSLATE(D749)"),"   Série Celebrity Age Notability Status Jack Dee 38 Comediante 1º - Vencedora Claire Sweeney 29 Atriz 2ª - Runner - UP Keith Duffy 26 Singer and Ator 3rd - Terceiro lugar Anthea Turner 40 Apresentador 4º - EXTIVADO VANESSA FELTZ 39 BRIANÇA E JORNALISTA 5"&amp;" - - Desculpe Chris Eubank 35 Boxer 6º - Encheito Mark Owen 30 Singer 1st - Vencedor Les Dennis 48 Apresentador e Comediante 2º - Runner - UP Melinda Messenger 31 Modelo Glamour e apresentador 3º - terceiro lugar Sue Perkins 33 Comediante e apresentador 4"&amp;"º - 4º - EXTECIDO ANNE DIAMOND 48 JORNALISTO E APRESENTADO 5º - EXTECIDO GOLDIE 37 MUSICO, DJ AND ATOR 6O - EXTECIDO A BEZ 40 DANCER E PERCussionista 1º - Vencedor Kenzie 19 Rapper 2nd - Runner - UP Brigitte Nielsen 41 Atriz e Modelo 3rd - Terceiro Lugar "&amp;"Jeremy Edwards 33 Ator 4º -Desculpe Capprice Bourret 33 Modelo e Atriz 5º -Descipado Lisa I'anson 39 Apresentador 6º -Enchegou John McCRIRICK 64 Horse Racing Pundit 7th -Enchegou Jackie Stallone 83 Mãe de Sylvester Stallone 8º Germaine Gerer 65 despejada "&amp;"feminista, acadêmica e jornalista 9 - Andou Chantelle Houghton 22 não -celebridades 1º - vencedor Michael Barrymore 53 Comediante e apresentador 2º - corredor - Up Maggot 24 Rapper 3rd - terceiro lugar Preston 23 Singer 4o - despejado Pete Burns 46 Singer"&amp;" 5o - Desculpe Traci Bingham 37 Atriz e Modelo 6º - Encometeu Dennis Rodman 44 Jogador de Basquete 7º - Descobriu George Galloway 51 Político e Jornalista 8º - despejada Rula Lenska 57 Atriz 9ª - Descreveu Faria Alam 39 Sven - Goran Eriksson 10o - despeja"&amp;"do Jodie Marsh 27 Glamour Modelo 11º - despejado 5 Shilpa Shetty 31 Atriz 1st - Vencedor 5 Jermaine Jackson 52 Jackson Family Member e Singer 2nd - Runner - UP 5 Dirk Benedict 61 Ator 3º - terceiro Local 5 Ian `` h '' Watkins 30 Singer 4º - despejada 5 Da"&amp;"nielle Lloyd 23 Modelo de glamour e Miss Great Britain 5º - despejada 5 Jack Tweed 19 Niratório de Jade Goody 6º - despejada 5 Cleo Rocos 44 Atriz 7ª 5 Jo O'Meara 27 Singer 8º - despejado 5 Jade Goody 25 Reality TV Star 9º - despejada 5 Carole Malone 52 J"&amp;"ornalista e emissora 10º - despejada 5 Leo Sayer 58 Singer 11th - Walled 5 Jackiey Budden 48 Mãe de Jade Goody 12º - despejado 5 Ken Russell 79 Diretor 13 - Caminhou 5 Donny Tourette 22 Singer 14th - Caminhou 6 Ulrika Jonsson 41 Apresentador 1º - Vencedor"&amp;" 6 Terry Christian 45 Apresentador 2º - Runner - UP 6 Coolio 45 Musician 3rd - terceiro Local 6 Verne Troyer 40 Ator 4º -despejada 6 Ben Adams 27 Singer 5th -despejada 6 Tommy Sheridan 44 Político 6º -Encontro Desculpe 6 Mutya Buena 23 Singer 9º - Caminho"&amp;"u 6 Tina Malone 45 Atriz 10th - Desculpe 6 Lucy Pinder 25 Glamour Modelo 11º - despejado 7 Alex Reid 34 Mixed Martial Artist 1st - Vencedor 7 Dane Bowers 30 Singer 2nd - Runner - Runner - Up 7 Vinnie Jones 44 Ator e ex-jogador de fôlego 3º-Terceiro lugar "&amp;"7 Jonas Altberg 25 Cantor, produtor de discos e DJ 4th-despejada 7 Stephanie Beacham 62 Atriz 5ª-EXTECIDO 7 NICOLA T 27 Glamour Modelo 6º-Evito 7 Ivana Trump 60 Modelo e Socialite 7 - despejados 7 Sisqó 31 Singer 8º - despejados 7 Stephen Baldwin 43 Ator "&amp;"9º - despejada 7 Lady Sovereign 24 Rapper 10o - Enchegada 7 Heidi Fleiss 44 Antiga Personalidade de Pimp e TV 11º - EXTECIDO 7 KATIA Ivanova 21 Ex -namorada de Ronnie Wood 12º - despejada 8 Paddy Doherty 52 Reality TV Star 1st - Vencedor 8 Kerry Katona 30"&amp;" Personalidade e Cantor da Mídia 2ª - Runner - UP 8 Jedward 19 Singers 3º - Terceiro lugar 8 Amy Childs 21 Estrela da TV de reality show 4th - despejada 8 Lucien Laviscount 19 Ator 5º - despejada 8 Darryn Lyons 45 Paparazzo 6º - despejada 8 Bobby Sabel 25"&amp;" Modelo 7o - despejado 8 Tara Reid 35 Atriz e Modelo 8º - Desculpe 8 Pamela Bach Hasselhoff 47 Atriz, ex -esposa de David Hasselhoff 9 - despejada 8 Sally Bercow 41 esposa de John Bercow 10º - despejada 9 Denise Welch 53 Atriz e Partelista de TV 1º - Venc"&amp;"edor 9 Frankie Cocozza 18 Singer 2nd - Runner - Up 9 Gareth Thomas 37 Rugby Player 3rd - Terceiro lugar 9 Michael Madsen 54 Ator, poeta e fotógrafo 4º - despejou 9 Karissa e Kristina Shannon 22 Playboy Playmates e Glamour Models 5th - despejo 9 Romeo 31 R"&amp;"apper 6º - despejo 9 Nicola McLean 30 Glamour Model Glamour 30 e Personalidade da mídia 7º -despejada 9 Natalie Cassidy 28 Atriz e Personalidade da TV 8 -despejada 9 Kirk Norcross 23 Estrela da TV 9a -despejada 9 Georgia Salpa 26 Modelo 10o -Desculpe 9 Na"&amp;"tasha Giggs 29 Affair com Ryan Giggs 11 - Desculpe 9 Andrew Stone 39 Reality TV Star 12o - despejo 10 Julian Clary 53 Comediante 1º - Vencedor 10 Coleen Nolan 47 Singer and TV apresentador 2º - Runner - UP 10 Martin Kemp 50 Singer and Ator 3rd - Terceiro "&amp;"lugar 10 A situação 30 Reality TV Star 4th - despejada 10 Ashley McKenzie 21 Judoka 5o - despejada 10 Mc Harvey 33 Rapper 6o - Desculpe 10 Julie Goodyear 70 Atriz 7th - Desculpe 10 Príncipe Lorenzo 40 Príncipe italiano e Entrepreneur 8º - Desculpe 10 Dani"&amp;"ca Thrall Thrall 24 Modelo de glamour e personalidade da TV 9 - despejada 10 Samantha Brick 41 Jornalista e escritor 10º - despejada 10 Rhian Sugden 25 Glamour Modelo 11o - despejada 10 Cheryl Fergison 46 Atriz 12º - Desculpe 10 Jasmine Lennard 27 Modelo "&amp;"de moda 13ª - EXTECIDO 11 Rylan Clark 24 Singer 1st - Vencedor 11 Heidi Montag e Spencer Pratt 26 29 Estrelas de TV em 29 - Runner - UP 11 Ryan Moloney 33 Ator 3º - Terceiro Lugar 11 Claire Richards 35 Singer 4º - Desculpe 11 Razor Ruddock 44 ex -Football"&amp;"ler e personalidade da TV 5 -despejada 11 Tricia Penrose 42 Atriz e Singer 6º -despejada 11 Frankie Dettori 42 Jockey 7th -despejada 11 Gillian Taylforth 57 Atriz 8th -Desculpe 11 Lacey Banghard 19 Glamour Modelo -despejado 11 Sam ROBERTSON 27 Ator 10º - "&amp;"despejado 11 Paula Hamilton 51 Supermodel 11th - despejada 12 Charlotte Crosby 23 Reality TV Star 1st - Vencedor 12 Abz Love 34 Singer 2nd - Runner - UP 12 Lauren Harries 35 Media Personality 3rd - Terceiro lugar 12 Carol McGiffin 53 Apresentador e Jornal"&amp;"ista de TV 4º - Desculpe 12 Mario Falcone 25 Reality Star 5th - Desculpe 12 Vicky Entwistle 44 Atriz 6ª - Enchegada 12 Louie Spence 44 Dancer e Personalidade de TV 7º - Enchegado 12 Courtney Stodden 18 TV e mídia Personalidade 8º - despejada 12 Bruce Jone"&amp;"s 60 Ator 9º - despejada 12 Dustin Diamond 36 Ator 10º - despejou 12 Sophie Anderton 36 Modelo e estrela do reality show 11º - despejada 12 Ron Atkinson 74 Gerente de futebol e Pundit 12º - despejo 12 Danielle Marr 33 Reality TV Star 13º - despejada 13 Ji"&amp;"m Davidson 60 Comediante e apresentador de TV 1º - Vencedor 13 Dappy 26 Rapper 2nd - Runner - UP 13 Ollie Locke 26 Reality Star 3rd - Terceiro lugar 13 Luisa Zissman 26 Reality TV 26 TV Estrela 4º - despejada 13 Sam Faiers 23 Reality TV Star 5th - despeja"&amp;"da 13 Casey Batchelor 29 Glamour Modelo 6º - despejado 13 Lee Ryan 30 Singer 7th - despejada 13 Linda Nolan 54 Singer 8o - Desculpe 13 Liz Jones 55 Jornalista e Jornalista e Colunista 9º - despejado 13 Lionel Blair 85 Ator 10o - despejada 13 Jasmine Waltz"&amp;" 31 Personalidade da mídia dos EUA 11º - Evander 13 Holyfield 51 Boxer 12th - despejado 14 Gary Busey 70 Ator 1st - Vencedor 14 Audley Harrison 42 Boxer pesado 2nd 2nd 2nd - Runner - UP 14 James Jordan 36 dançarino profissional 3º - Terceiro lugar 14 Geor"&amp;"ge Gilbey 30 Reality TV Star 4th - despejada 14 Dee Kelly 43 Reality TV Star 5th - despejada 14 Edele Lynch 35 Singer 6o - despejo 14 Lauren Goodger 27 Reality TV Star 7th - despejada 14 Ricci Guarnaccio 27 Reality TV Star 8o - despejada 14 Kellie Maloney"&amp;" 61 Gerente de boxe e ex -político do UKIP 9º - despejada 14 Stephanie Pratt 28 Reality Star 10o - despejo 14 Frenchy 38 Model, Atriz, Atriz e Personalidade da TV 11 - despejada 14 Claire King 52 Atriz 12º - Caminhou 14 Leslie Jordan 59 Ator 13º - Descipa"&amp;"do 14 David McIntosh 28 Modelo e o noivo de Kelly Brook 14º - despejado 15 Katie Price 36 Personalidade de TV e Modelo Glamour 1 1 - Vencedor 15 Katie Hopkins 39 Personalidade e colunista da TV 2º - Runner - UP 15 Calum Best 33 Modelo e Personalidade da T"&amp;"V 3 - Terceiro Lugar 15 Keith Chegwin 57 Ator e apresentador 4º - EXTECIDO 15 MICHELLE VISAGE 46 Singer and Apresentador 5º - 5º - EXTECIDO 15 PEREZ HILTON 36 Blogger e Personalidade da TV 6 - despejada 15 Kavana 37 Singer 7th - despejada 15 Cami - Li 26 "&amp;"Modelo 8o - despejado 15 Nadia Sawalha 50 Atriz e apresentadora 9º - Enchegada 15 Patsy Kensit 46 Atriz 10th - - EXTECIDO 15 ALICIA DOUVALL 35 Personalidade da mídia 11º - Desculpe 15 Alexander O'Neal 61 Singer 12th - Caminhou 15 Chloe Goodman 21 Reality "&amp;"Star 13th - despejada 15 Ken Morley 72 Ator 14º - Ejetado 15 Jeremy Jackson 34 Ator 15th - - Ejetado 16 James Hill 28 Reality TV Star 1st - Vencedor 16 Austin Armacost 27 Reality TV Star 2nd - Runner - UP 16 Natasha Hamilton 33 Singer 3rd - Terceiro Lugar"&amp;" 16 Bobby Davro 56 COMEDIAN 4º - EXCECTO 16 STEVI RITCHIE E CHLOE - Jasmine WHERELLO 34 25 Cantores e estrelas da TV em 5º - despejada 16 Sherrie Hewson 64 Atriz 6ª - Desculpe 16 JANICE DICKINSON 60 Modelo 7º - Encontro - EXTECIDO 16 GAIL PORTER 44 Aprese"&amp;"ntador de TV 10º- Desculpe 16 Fatman Scoop 35 Rapper 11º- Desculpe 16 Chris Ellison 68 Ator 12º- Encometo 16 Daniel Baldwin 54 Ator 13º- EXTECIDO 16 Tila Tequila 33 Personalidade da Internet e Star Reality TV Star Star Star TV 14º - Ejetado 17 Scotty T 27"&amp;" Reality TV Star 1st - Vencedor 17 Stephanie Davis 22 Atriz 2nd - Runner - UP 17 Darren Day 47 Ator and Singer 3rd - Terceiro lugar 17 Tiffany Pollard 33 Reality TV Star 4th - despejo 17 Danniella Westbrook 42 Atriz 5th - Desculpe 17 John Partridge 44 Ato"&amp;"r 6º - Encometo 17 Gemma Collins 34 Reality TV Star 7th - Desculpe 17 Jeremy McConnell 25 Reality TV Star and Model 8th - Desculpe 17 Christopher Maloney 38 Singer 9th - Despeado 17 Megan McKenna 23 Reality TV Star 10º-despejada 17 Kristina Rihanoff 38 Da"&amp;"nçarino Profissional 11º-Descipado 17 Angie Bowie 66 Ex-esposa de David Bowie 12º-Caminhou 17 David Gest 62 Produtor e Personalidade de TV 13-Walled 17 Nancy Dell 'OLIO 54 Ex -namorada de Sven - Göran Eriksson 14º - despejada 17 Jonathan Cheban 42 Reality"&amp;" Star 15th - Caminhou 17 Winston McKenzie 59 Ex -boxeador e candidato do UKIP 16º - Enchegado 18 Stephen Bear 26 Reality TV Star 1st - 18 Ricky Norwood 28 Ator 2º - Runner - UP 18 Renee Graziano 47 Reality TV Star 3rd - Terceiro lugar 18 Marnie Simpson 24"&amp;" Reality Star 4th - despejada 18 Aubrey O'Day 32 Singer and Reality TV Star 5 - despejo 18 Frankie Grande 33 Personalidade da Internet e metade - Irmão de Ariana Grande 6 - despejada 18 Samantha Fox 50 Modelo e cantor 7º - despejados 18 Katie Waissel 30 S"&amp;"inger 8o - Desculpe 18 James Whale 65 Radio Braadscaster 9º - Desculpe 18 Lewis Bloor 26 Estrela da TV Reality 10th-despejada 18 pesado d 43 estrela de reality show 11º-despejada 18 Chloe Khan 25 Personalidade da mídia 12º-despejada 18 Saira Khan 46 Apres"&amp;"entador de TV 13-despejada 18 Grant Bovey 55 Personalidade da mídia e ex-marido da Anthea Turner 14º - despejado 18 Christopher Biggins 67 Ator e apresentador de TV 15 - Ejetado 19 Coleen Nolan 51 Singer, apresentador de TV e colega de casa CBB10 1º - ven"&amp;"cedor 19 Jedward 24 Singers e CBB8 Housheis Housemates 2nd - Runner - UP 19 Kim Woodburn 74 Televisão e televisão Apresentador e especialista limpador 3º - Terceiro lugar 19 James Cosmo 68 Ator 4º - despejado 19 Nicola McLean 35 Modelo, Personalidade da m"&amp;"ídia e companheiro de casa CBB9 5º - despejado 19 Bianca Gascoigne 30 Modelo e Personalidade da TV 6º - Desculpe 19 Calum Melhor 35 Modelo 35 Modelo 35 , Personalidade da TV e CBB15 Housemate 7º - despejada 19 Jamie O'Hara 30 jogador de futebol 8º - despe"&amp;"jada 19 Heidi Montag e Spencer Pratt 30 33 Estrelas de TV e CBB11 Housables 9th - Desculpe 19 Jessica Cunningham 29 Reality Star 10o - despejada 19 Stacy Francis 47 Singer and Reality TV Star 11th -despejada 19 Chloe Ferry 21 Reality Star 12th -despejada "&amp;"19 James Jordan 38 dançarino profissional e companheiro de casa CBB14 13º -EXTECIDO 19 JASMINE WALTZ 34 EUA Personalidade da mídia e CBB13 Housemate 14º -14º - Desculpe 19 Austin Armacost 28 Reality TV Star e CBB16 House Companheiro 15º -despejado 19 Angi"&amp;"e Best 64 Model e ex -esposa de George Best 16th -despejada 19 Brandon Block 49 DJ 17th -Caminhou 19 Ray J 35 Singer and TV Personality 18 - - Caminhou 20 Sarah Harding 35 Singer and Atriz 1st - Vencedor 20 AMELIA LILY 22 Cantor e atriz 2ª - Runner - UP 2"&amp;"0 Sam Thompson 24 Reality Star 3rd - Terceiro lugar 20 Derek Acorah 67 Médio Espiritual 4º - Despejado 20 Chad JOHNSON 29 STAR DE REALIDADE TV 5º -EXTECIDO 20 JEMMA LUCY 29 STAR DE REALIDADE TV 6O -EXTECIDO 20 SHAUN WILLIAMSON 51 ATOR 7º -EXTECIDO 20 HELE"&amp;"N LELERER 62 Comediante e atriz 8º -despejada 20 Sandi Bogle 52 Reality TV Star 9th - Desculpe 20 Paul Danan 39 Ator 10o - despejado 20 Brandi Glanville 44 Reality TV Star 11º - despejada 20 Jordan Davies 25 Reality Star 12th - despejada 20 Trisha Paytas "&amp;"29 Personalidade da Internet 13º - Walked 20 Karthik Nagesan 34 Reality TV - EXTECIDO 20 MARISSA JADE 32 STAR DE REALIDADE TV 15O - EXTECIDO 21 SHANE JENEK / CORTÃO ATO 35 ESTRELA DE TV, Drag Queen and Singer 1st - Vencedor 21 Ann Widdecombe 70 Político 2"&amp;"º - corredor - UP 21 Shane Lynch 41 Singer 3rd 3rd - Terceiro Lugar 21 Jess Impiazzi 28 Reality TV Star 4th- despejo 21 Wayne Sleep 69 Dançarino 5º- EXTECIDO 21 Amanda Barrie 82 Atriz 6ª- despejada 21 Malika Haqq 34 Reality TV Star 7th- EXTIVADO 21 STAR 8"&amp;"º - despejado 21 Daniel O'Reilly 33 Comediante 9º - despejado 21 Jonny Mitchell 26 Reality Star 10th - despejada 21 Andrew Brady 27 Reality TV Star 11th - despejada 21 Ginuwine 47 Singer 12th - despejo 21 John Barnes 54 Jogador de futebol 13 - despejado 2"&amp;"1 Maggie Oliver 62 Detetive Constable 14º - despejado 21 Rachel Johnson 52 Jornalista e apresentador 15º - despejado 21 Índia Willoughby 52 Reader 16º - despejo")</f>
        <v>   Série Celebrity Age Notability Status Jack Dee 38 Comediante 1º - Vencedora Claire Sweeney 29 Atriz 2ª - Runner - UP Keith Duffy 26 Singer and Ator 3rd - Terceiro lugar Anthea Turner 40 Apresentador 4º - EXTIVADO VANESSA FELTZ 39 BRIANÇA E JORNALISTA 5 - - Desculpe Chris Eubank 35 Boxer 6º - Encheito Mark Owen 30 Singer 1st - Vencedor Les Dennis 48 Apresentador e Comediante 2º - Runner - UP Melinda Messenger 31 Modelo Glamour e apresentador 3º - terceiro lugar Sue Perkins 33 Comediante e apresentador 4º - 4º - EXTECIDO ANNE DIAMOND 48 JORNALISTO E APRESENTADO 5º - EXTECIDO GOLDIE 37 MUSICO, DJ AND ATOR 6O - EXTECIDO A BEZ 40 DANCER E PERCussionista 1º - Vencedor Kenzie 19 Rapper 2nd - Runner - UP Brigitte Nielsen 41 Atriz e Modelo 3rd - Terceiro Lugar Jeremy Edwards 33 Ator 4º -Desculpe Capprice Bourret 33 Modelo e Atriz 5º -Descipado Lisa I'anson 39 Apresentador 6º -Enchegou John McCRIRICK 64 Horse Racing Pundit 7th -Enchegou Jackie Stallone 83 Mãe de Sylvester Stallone 8º Germaine Gerer 65 despejada feminista, acadêmica e jornalista 9 - Andou Chantelle Houghton 22 não -celebridades 1º - vencedor Michael Barrymore 53 Comediante e apresentador 2º - corredor - Up Maggot 24 Rapper 3rd - terceiro lugar Preston 23 Singer 4o - despejado Pete Burns 46 Singer 5o - Desculpe Traci Bingham 37 Atriz e Modelo 6º - Encometeu Dennis Rodman 44 Jogador de Basquete 7º - Descobriu George Galloway 51 Político e Jornalista 8º - despejada Rula Lenska 57 Atriz 9ª - Descreveu Faria Alam 39 Sven - Goran Eriksson 10o - despejado Jodie Marsh 27 Glamour Modelo 11º - despejado 5 Shilpa Shetty 31 Atriz 1st - Vencedor 5 Jermaine Jackson 52 Jackson Family Member e Singer 2nd - Runner - UP 5 Dirk Benedict 61 Ator 3º - terceiro Local 5 Ian `` h '' Watkins 30 Singer 4º - despejada 5 Danielle Lloyd 23 Modelo de glamour e Miss Great Britain 5º - despejada 5 Jack Tweed 19 Niratório de Jade Goody 6º - despejada 5 Cleo Rocos 44 Atriz 7ª 5 Jo O'Meara 27 Singer 8º - despejado 5 Jade Goody 25 Reality TV Star 9º - despejada 5 Carole Malone 52 Jornalista e emissora 10º - despejada 5 Leo Sayer 58 Singer 11th - Walled 5 Jackiey Budden 48 Mãe de Jade Goody 12º - despejado 5 Ken Russell 79 Diretor 13 - Caminhou 5 Donny Tourette 22 Singer 14th - Caminhou 6 Ulrika Jonsson 41 Apresentador 1º - Vencedor 6 Terry Christian 45 Apresentador 2º - Runner - UP 6 Coolio 45 Musician 3rd - terceiro Local 6 Verne Troyer 40 Ator 4º -despejada 6 Ben Adams 27 Singer 5th -despejada 6 Tommy Sheridan 44 Político 6º -Encontro Desculpe 6 Mutya Buena 23 Singer 9º - Caminhou 6 Tina Malone 45 Atriz 10th - Desculpe 6 Lucy Pinder 25 Glamour Modelo 11º - despejado 7 Alex Reid 34 Mixed Martial Artist 1st - Vencedor 7 Dane Bowers 30 Singer 2nd - Runner - Runner - Up 7 Vinnie Jones 44 Ator e ex-jogador de fôlego 3º-Terceiro lugar 7 Jonas Altberg 25 Cantor, produtor de discos e DJ 4th-despejada 7 Stephanie Beacham 62 Atriz 5ª-EXTECIDO 7 NICOLA T 27 Glamour Modelo 6º-Evito 7 Ivana Trump 60 Modelo e Socialite 7 - despejados 7 Sisqó 31 Singer 8º - despejados 7 Stephen Baldwin 43 Ator 9º - despejada 7 Lady Sovereign 24 Rapper 10o - Enchegada 7 Heidi Fleiss 44 Antiga Personalidade de Pimp e TV 11º - EXTECIDO 7 KATIA Ivanova 21 Ex -namorada de Ronnie Wood 12º - despejada 8 Paddy Doherty 52 Reality TV Star 1st - Vencedor 8 Kerry Katona 30 Personalidade e Cantor da Mídia 2ª - Runner - UP 8 Jedward 19 Singers 3º - Terceiro lugar 8 Amy Childs 21 Estrela da TV de reality show 4th - despejada 8 Lucien Laviscount 19 Ator 5º - despejada 8 Darryn Lyons 45 Paparazzo 6º - despejada 8 Bobby Sabel 25 Modelo 7o - despejado 8 Tara Reid 35 Atriz e Modelo 8º - Desculpe 8 Pamela Bach Hasselhoff 47 Atriz, ex -esposa de David Hasselhoff 9 - despejada 8 Sally Bercow 41 esposa de John Bercow 10º - despejada 9 Denise Welch 53 Atriz e Partelista de TV 1º - Vencedor 9 Frankie Cocozza 18 Singer 2nd - Runner - Up 9 Gareth Thomas 37 Rugby Player 3rd - Terceiro lugar 9 Michael Madsen 54 Ator, poeta e fotógrafo 4º - despejou 9 Karissa e Kristina Shannon 22 Playboy Playmates e Glamour Models 5th - despejo 9 Romeo 31 Rapper 6º - despejo 9 Nicola McLean 30 Glamour Model Glamour 30 e Personalidade da mídia 7º -despejada 9 Natalie Cassidy 28 Atriz e Personalidade da TV 8 -despejada 9 Kirk Norcross 23 Estrela da TV 9a -despejada 9 Georgia Salpa 26 Modelo 10o -Desculpe 9 Natasha Giggs 29 Affair com Ryan Giggs 11 - Desculpe 9 Andrew Stone 39 Reality TV Star 12o - despejo 10 Julian Clary 53 Comediante 1º - Vencedor 10 Coleen Nolan 47 Singer and TV apresentador 2º - Runner - UP 10 Martin Kemp 50 Singer and Ator 3rd - Terceiro lugar 10 A situação 30 Reality TV Star 4th - despejada 10 Ashley McKenzie 21 Judoka 5o - despejada 10 Mc Harvey 33 Rapper 6o - Desculpe 10 Julie Goodyear 70 Atriz 7th - Desculpe 10 Príncipe Lorenzo 40 Príncipe italiano e Entrepreneur 8º - Desculpe 10 Danica Thrall Thrall 24 Modelo de glamour e personalidade da TV 9 - despejada 10 Samantha Brick 41 Jornalista e escritor 10º - despejada 10 Rhian Sugden 25 Glamour Modelo 11o - despejada 10 Cheryl Fergison 46 Atriz 12º - Desculpe 10 Jasmine Lennard 27 Modelo de moda 13ª - EXTECIDO 11 Rylan Clark 24 Singer 1st - Vencedor 11 Heidi Montag e Spencer Pratt 26 29 Estrelas de TV em 29 - Runner - UP 11 Ryan Moloney 33 Ator 3º - Terceiro Lugar 11 Claire Richards 35 Singer 4º - Desculpe 11 Razor Ruddock 44 ex -Footballler e personalidade da TV 5 -despejada 11 Tricia Penrose 42 Atriz e Singer 6º -despejada 11 Frankie Dettori 42 Jockey 7th -despejada 11 Gillian Taylforth 57 Atriz 8th -Desculpe 11 Lacey Banghard 19 Glamour Modelo -despejado 11 Sam ROBERTSON 27 Ator 10º - despejado 11 Paula Hamilton 51 Supermodel 11th - despejada 12 Charlotte Crosby 23 Reality TV Star 1st - Vencedor 12 Abz Love 34 Singer 2nd - Runner - UP 12 Lauren Harries 35 Media Personality 3rd - Terceiro lugar 12 Carol McGiffin 53 Apresentador e Jornalista de TV 4º - Desculpe 12 Mario Falcone 25 Reality Star 5th - Desculpe 12 Vicky Entwistle 44 Atriz 6ª - Enchegada 12 Louie Spence 44 Dancer e Personalidade de TV 7º - Enchegado 12 Courtney Stodden 18 TV e mídia Personalidade 8º - despejada 12 Bruce Jones 60 Ator 9º - despejada 12 Dustin Diamond 36 Ator 10º - despejou 12 Sophie Anderton 36 Modelo e estrela do reality show 11º - despejada 12 Ron Atkinson 74 Gerente de futebol e Pundit 12º - despejo 12 Danielle Marr 33 Reality TV Star 13º - despejada 13 Jim Davidson 60 Comediante e apresentador de TV 1º - Vencedor 13 Dappy 26 Rapper 2nd - Runner - UP 13 Ollie Locke 26 Reality Star 3rd - Terceiro lugar 13 Luisa Zissman 26 Reality TV 26 TV Estrela 4º - despejada 13 Sam Faiers 23 Reality TV Star 5th - despejada 13 Casey Batchelor 29 Glamour Modelo 6º - despejado 13 Lee Ryan 30 Singer 7th - despejada 13 Linda Nolan 54 Singer 8o - Desculpe 13 Liz Jones 55 Jornalista e Jornalista e Colunista 9º - despejado 13 Lionel Blair 85 Ator 10o - despejada 13 Jasmine Waltz 31 Personalidade da mídia dos EUA 11º - Evander 13 Holyfield 51 Boxer 12th - despejado 14 Gary Busey 70 Ator 1st - Vencedor 14 Audley Harrison 42 Boxer pesado 2nd 2nd 2nd - Runner - UP 14 James Jordan 36 dançarino profissional 3º - Terceiro lugar 14 George Gilbey 30 Reality TV Star 4th - despejada 14 Dee Kelly 43 Reality TV Star 5th - despejada 14 Edele Lynch 35 Singer 6o - despejo 14 Lauren Goodger 27 Reality TV Star 7th - despejada 14 Ricci Guarnaccio 27 Reality TV Star 8o - despejada 14 Kellie Maloney 61 Gerente de boxe e ex -político do UKIP 9º - despejada 14 Stephanie Pratt 28 Reality Star 10o - despejo 14 Frenchy 38 Model, Atriz, Atriz e Personalidade da TV 11 - despejada 14 Claire King 52 Atriz 12º - Caminhou 14 Leslie Jordan 59 Ator 13º - Descipado 14 David McIntosh 28 Modelo e o noivo de Kelly Brook 14º - despejado 15 Katie Price 36 Personalidade de TV e Modelo Glamour 1 1 - Vencedor 15 Katie Hopkins 39 Personalidade e colunista da TV 2º - Runner - UP 15 Calum Best 33 Modelo e Personalidade da TV 3 - Terceiro Lugar 15 Keith Chegwin 57 Ator e apresentador 4º - EXTECIDO 15 MICHELLE VISAGE 46 Singer and Apresentador 5º - 5º - EXTECIDO 15 PEREZ HILTON 36 Blogger e Personalidade da TV 6 - despejada 15 Kavana 37 Singer 7th - despejada 15 Cami - Li 26 Modelo 8o - despejado 15 Nadia Sawalha 50 Atriz e apresentadora 9º - Enchegada 15 Patsy Kensit 46 Atriz 10th - - EXTECIDO 15 ALICIA DOUVALL 35 Personalidade da mídia 11º - Desculpe 15 Alexander O'Neal 61 Singer 12th - Caminhou 15 Chloe Goodman 21 Reality Star 13th - despejada 15 Ken Morley 72 Ator 14º - Ejetado 15 Jeremy Jackson 34 Ator 15th - - Ejetado 16 James Hill 28 Reality TV Star 1st - Vencedor 16 Austin Armacost 27 Reality TV Star 2nd - Runner - UP 16 Natasha Hamilton 33 Singer 3rd - Terceiro Lugar 16 Bobby Davro 56 COMEDIAN 4º - EXCECTO 16 STEVI RITCHIE E CHLOE - Jasmine WHERELLO 34 25 Cantores e estrelas da TV em 5º - despejada 16 Sherrie Hewson 64 Atriz 6ª - Desculpe 16 JANICE DICKINSON 60 Modelo 7º - Encontro - EXTECIDO 16 GAIL PORTER 44 Apresentador de TV 10º- Desculpe 16 Fatman Scoop 35 Rapper 11º- Desculpe 16 Chris Ellison 68 Ator 12º- Encometo 16 Daniel Baldwin 54 Ator 13º- EXTECIDO 16 Tila Tequila 33 Personalidade da Internet e Star Reality TV Star Star Star TV 14º - Ejetado 17 Scotty T 27 Reality TV Star 1st - Vencedor 17 Stephanie Davis 22 Atriz 2nd - Runner - UP 17 Darren Day 47 Ator and Singer 3rd - Terceiro lugar 17 Tiffany Pollard 33 Reality TV Star 4th - despejo 17 Danniella Westbrook 42 Atriz 5th - Desculpe 17 John Partridge 44 Ator 6º - Encometo 17 Gemma Collins 34 Reality TV Star 7th - Desculpe 17 Jeremy McConnell 25 Reality TV Star and Model 8th - Desculpe 17 Christopher Maloney 38 Singer 9th - Despeado 17 Megan McKenna 23 Reality TV Star 10º-despejada 17 Kristina Rihanoff 38 Dançarino Profissional 11º-Descipado 17 Angie Bowie 66 Ex-esposa de David Bowie 12º-Caminhou 17 David Gest 62 Produtor e Personalidade de TV 13-Walled 17 Nancy Dell 'OLIO 54 Ex -namorada de Sven - Göran Eriksson 14º - despejada 17 Jonathan Cheban 42 Reality Star 15th - Caminhou 17 Winston McKenzie 59 Ex -boxeador e candidato do UKIP 16º - Enchegado 18 Stephen Bear 26 Reality TV Star 1st - 18 Ricky Norwood 28 Ator 2º - Runner - UP 18 Renee Graziano 47 Reality TV Star 3rd - Terceiro lugar 18 Marnie Simpson 24 Reality Star 4th - despejada 18 Aubrey O'Day 32 Singer and Reality TV Star 5 - despejo 18 Frankie Grande 33 Personalidade da Internet e metade - Irmão de Ariana Grande 6 - despejada 18 Samantha Fox 50 Modelo e cantor 7º - despejados 18 Katie Waissel 30 Singer 8o - Desculpe 18 James Whale 65 Radio Braadscaster 9º - Desculpe 18 Lewis Bloor 26 Estrela da TV Reality 10th-despejada 18 pesado d 43 estrela de reality show 11º-despejada 18 Chloe Khan 25 Personalidade da mídia 12º-despejada 18 Saira Khan 46 Apresentador de TV 13-despejada 18 Grant Bovey 55 Personalidade da mídia e ex-marido da Anthea Turner 14º - despejado 18 Christopher Biggins 67 Ator e apresentador de TV 15 - Ejetado 19 Coleen Nolan 51 Singer, apresentador de TV e colega de casa CBB10 1º - vencedor 19 Jedward 24 Singers e CBB8 Housheis Housemates 2nd - Runner - UP 19 Kim Woodburn 74 Televisão e televisão Apresentador e especialista limpador 3º - Terceiro lugar 19 James Cosmo 68 Ator 4º - despejado 19 Nicola McLean 35 Modelo, Personalidade da mídia e companheiro de casa CBB9 5º - despejado 19 Bianca Gascoigne 30 Modelo e Personalidade da TV 6º - Desculpe 19 Calum Melhor 35 Modelo 35 Modelo 35 , Personalidade da TV e CBB15 Housemate 7º - despejada 19 Jamie O'Hara 30 jogador de futebol 8º - despejada 19 Heidi Montag e Spencer Pratt 30 33 Estrelas de TV e CBB11 Housables 9th - Desculpe 19 Jessica Cunningham 29 Reality Star 10o - despejada 19 Stacy Francis 47 Singer and Reality TV Star 11th -despejada 19 Chloe Ferry 21 Reality Star 12th -despejada 19 James Jordan 38 dançarino profissional e companheiro de casa CBB14 13º -EXTECIDO 19 JASMINE WALTZ 34 EUA Personalidade da mídia e CBB13 Housemate 14º -14º - Desculpe 19 Austin Armacost 28 Reality TV Star e CBB16 House Companheiro 15º -despejado 19 Angie Best 64 Model e ex -esposa de George Best 16th -despejada 19 Brandon Block 49 DJ 17th -Caminhou 19 Ray J 35 Singer and TV Personality 18 - - Caminhou 20 Sarah Harding 35 Singer and Atriz 1st - Vencedor 20 AMELIA LILY 22 Cantor e atriz 2ª - Runner - UP 20 Sam Thompson 24 Reality Star 3rd - Terceiro lugar 20 Derek Acorah 67 Médio Espiritual 4º - Despejado 20 Chad JOHNSON 29 STAR DE REALIDADE TV 5º -EXTECIDO 20 JEMMA LUCY 29 STAR DE REALIDADE TV 6O -EXTECIDO 20 SHAUN WILLIAMSON 51 ATOR 7º -EXTECIDO 20 HELEN LELERER 62 Comediante e atriz 8º -despejada 20 Sandi Bogle 52 Reality TV Star 9th - Desculpe 20 Paul Danan 39 Ator 10o - despejado 20 Brandi Glanville 44 Reality TV Star 11º - despejada 20 Jordan Davies 25 Reality Star 12th - despejada 20 Trisha Paytas 29 Personalidade da Internet 13º - Walked 20 Karthik Nagesan 34 Reality TV - EXTECIDO 20 MARISSA JADE 32 STAR DE REALIDADE TV 15O - EXTECIDO 21 SHANE JENEK / CORTÃO ATO 35 ESTRELA DE TV, Drag Queen and Singer 1st - Vencedor 21 Ann Widdecombe 70 Político 2º - corredor - UP 21 Shane Lynch 41 Singer 3rd 3rd - Terceiro Lugar 21 Jess Impiazzi 28 Reality TV Star 4th- despejo 21 Wayne Sleep 69 Dançarino 5º- EXTECIDO 21 Amanda Barrie 82 Atriz 6ª- despejada 21 Malika Haqq 34 Reality TV Star 7th- EXTIVADO 21 STAR 8º - despejado 21 Daniel O'Reilly 33 Comediante 9º - despejado 21 Jonny Mitchell 26 Reality Star 10th - despejada 21 Andrew Brady 27 Reality TV Star 11th - despejada 21 Ginuwine 47 Singer 12th - despejo 21 John Barnes 54 Jogador de futebol 13 - despejado 21 Maggie Oliver 62 Detetive Constable 14º - despejado 21 Rachel Johnson 52 Jornalista e apresentador 15º - despejado 21 Índia Willoughby 52 Reader 16º - despejo</v>
      </c>
    </row>
    <row r="750" customFormat="false" ht="15.75" hidden="false" customHeight="true" outlineLevel="0" collapsed="false">
      <c r="A750" s="3" t="n">
        <v>747</v>
      </c>
      <c r="B750" s="5" t="s">
        <v>2237</v>
      </c>
      <c r="C750" s="5" t="s">
        <v>2238</v>
      </c>
      <c r="D750" s="5" t="s">
        <v>2239</v>
      </c>
      <c r="E750" s="4" t="str">
        <f aca="false">IFERROR(__xludf.dummyfunction("GOOGLETRANSLATE(C751)"),"Quem cantou o que eu fiz para merecer isso")</f>
        <v>Quem cantou o que eu fiz para merecer isso</v>
      </c>
      <c r="F750" s="5" t="str">
        <f aca="false">IFERROR(__xludf.dummyfunction("GOOGLETRANSLATE(D750)")," Cabo San Lucas (pronúncia espanhola: (ˈkaβo San ˈlukas), Cape Saint Luke), comumente chamado Cabo em inglês americano, é uma cidade na ponta sul da Península da Baja Califórnia, no estado mexicano de Baja California Sur. Cabo San Lucas, juntamente com Sa"&amp;"n José Del Cabo, é conhecido como Los Cabos.")</f>
        <v> Cabo San Lucas (pronúncia espanhola: (ˈkaβo San ˈlukas), Cape Saint Luke), comumente chamado Cabo em inglês americano, é uma cidade na ponta sul da Península da Baja Califórnia, no estado mexicano de Baja California Sur. Cabo San Lucas, juntamente com San José Del Cabo, é conhecido como Los Cabos.</v>
      </c>
    </row>
    <row r="751" customFormat="false" ht="15.75" hidden="false" customHeight="true" outlineLevel="0" collapsed="false">
      <c r="A751" s="3" t="n">
        <v>748</v>
      </c>
      <c r="B751" s="5" t="s">
        <v>2240</v>
      </c>
      <c r="C751" s="5" t="s">
        <v>2241</v>
      </c>
      <c r="D751" s="5" t="s">
        <v>2242</v>
      </c>
      <c r="E751" s="4" t="str">
        <f aca="false">IFERROR(__xludf.dummyfunction("GOOGLETRANSLATE(C752)"),"que interpreta a avó de Carl em Mike e Molly")</f>
        <v>que interpreta a avó de Carl em Mike e Molly</v>
      </c>
      <c r="F751" s="5" t="str">
        <f aca="false">IFERROR(__xludf.dummyfunction("GOOGLETRANSLATE(D751)")," `` O que eu fiz para merecer isso? '' é uma música do inglês Synthpop Duo Pet Shop Boys, com o cantor Dusty Springfield.")</f>
        <v> `` O que eu fiz para merecer isso? '' é uma música do inglês Synthpop Duo Pet Shop Boys, com o cantor Dusty Springfield.</v>
      </c>
    </row>
    <row r="752" customFormat="false" ht="15.75" hidden="false" customHeight="true" outlineLevel="0" collapsed="false">
      <c r="A752" s="3" t="n">
        <v>749</v>
      </c>
      <c r="B752" s="5" t="s">
        <v>2243</v>
      </c>
      <c r="C752" s="5" t="s">
        <v>2244</v>
      </c>
      <c r="D752" s="5" t="s">
        <v>2245</v>
      </c>
      <c r="E752" s="4" t="str">
        <f aca="false">IFERROR(__xludf.dummyfunction("GOOGLETRANSLATE(C753)"),"onde o mundo desencadeou o anime no mangá")</f>
        <v>onde o mundo desencadeou o anime no mangá</v>
      </c>
      <c r="F752" s="5" t="str">
        <f aca="false">IFERROR(__xludf.dummyfunction("GOOGLETRANSLATE(D752)")," Em 2010, King foi escalado no papel regular da série como avó, Rosetta McMillan `` Nana '', na comédia da CBS Mike &amp; Molly, apesar de ser apenas 7 anos mais velha que Reno Wilson (que interpreta seu neto, Carl).")</f>
        <v> Em 2010, King foi escalado no papel regular da série como avó, Rosetta McMillan `` Nana '', na comédia da CBS Mike &amp; Molly, apesar de ser apenas 7 anos mais velha que Reno Wilson (que interpreta seu neto, Carl).</v>
      </c>
    </row>
    <row r="753" customFormat="false" ht="15.75" hidden="false" customHeight="true" outlineLevel="0" collapsed="false">
      <c r="A753" s="3" t="n">
        <v>750</v>
      </c>
      <c r="B753" s="5" t="s">
        <v>2246</v>
      </c>
      <c r="C753" s="5" t="s">
        <v>2247</v>
      </c>
      <c r="D753" s="5" t="s">
        <v>2248</v>
      </c>
      <c r="E753" s="4" t="str">
        <f aca="false">IFERROR(__xludf.dummyfunction("GOOGLETRANSLATE(C754)"),"Que divisão é o futebol da Universidade de Lynchburg da Virgínia")</f>
        <v>Que divisão é o futebol da Universidade de Lynchburg da Virgínia</v>
      </c>
      <c r="F753" s="5" t="str">
        <f aca="false">IFERROR(__xludf.dummyfunction("GOOGLETRANSLATE(D753)")," O mangá foi escrito e ilustrado por Daisuke Ashihara. Os capítulos individuais foram serializados no salto semanal de Shōnen desde fevereiro de 2013 e são coletados em volumes de tankōbon publicados por Shueisha. Em março de 2017, dezoito volumes foram l"&amp;"ançados no Japão. A Viz Media licenciou a série. Devido a problemas de saúde, por parte do autor, foi colocado em hiato após a 50ª edição de 2016. A série retornará na edição nº 48 do shōnen salto semanal em 29 de outubro de 2018 e será executado até a ed"&amp;"ição # 52 em 29 de novembro, depois será transferida para a Sprit Square em 4 de dezembro.")</f>
        <v> O mangá foi escrito e ilustrado por Daisuke Ashihara. Os capítulos individuais foram serializados no salto semanal de Shōnen desde fevereiro de 2013 e são coletados em volumes de tankōbon publicados por Shueisha. Em março de 2017, dezoito volumes foram lançados no Japão. A Viz Media licenciou a série. Devido a problemas de saúde, por parte do autor, foi colocado em hiato após a 50ª edição de 2016. A série retornará na edição nº 48 do shōnen salto semanal em 29 de outubro de 2018 e será executado até a edição # 52 em 29 de novembro, depois será transferida para a Sprit Square em 4 de dezembro.</v>
      </c>
    </row>
    <row r="754" customFormat="false" ht="15.75" hidden="false" customHeight="true" outlineLevel="0" collapsed="false">
      <c r="A754" s="3" t="n">
        <v>751</v>
      </c>
      <c r="B754" s="5" t="s">
        <v>2249</v>
      </c>
      <c r="C754" s="5" t="s">
        <v>2250</v>
      </c>
      <c r="D754" s="5" t="s">
        <v>2251</v>
      </c>
      <c r="E754" s="4" t="str">
        <f aca="false">IFERROR(__xludf.dummyfunction("GOOGLETRANSLATE(C755)"),"Quem é o dono da marca Bape")</f>
        <v>Quem é o dono da marca Bape</v>
      </c>
      <c r="F754" s="5" t="str">
        <f aca="false">IFERROR(__xludf.dummyfunction("GOOGLETRANSLATE(D754)")," A Universidade de Lynchburg da Virgínia era anteriormente membro da Associação Atlética Colegiada dos Estados Unidos. Eles são conhecidos atleticamente como os dragões. Os esportes masculinos incluem basquete, futebol, futebol e atletismo; Enquanto os es"&amp;"portes das mulheres incluem basquete e atletismo.")</f>
        <v> A Universidade de Lynchburg da Virgínia era anteriormente membro da Associação Atlética Colegiada dos Estados Unidos. Eles são conhecidos atleticamente como os dragões. Os esportes masculinos incluem basquete, futebol, futebol e atletismo; Enquanto os esportes das mulheres incluem basquete e atletismo.</v>
      </c>
    </row>
    <row r="755" customFormat="false" ht="15.75" hidden="false" customHeight="true" outlineLevel="0" collapsed="false">
      <c r="A755" s="3" t="n">
        <v>752</v>
      </c>
      <c r="B755" s="5" t="s">
        <v>2252</v>
      </c>
      <c r="C755" s="5" t="s">
        <v>2253</v>
      </c>
      <c r="D755" s="5" t="s">
        <v>2254</v>
      </c>
      <c r="E755" s="4" t="str">
        <f aca="false">IFERROR(__xludf.dummyfunction("GOOGLETRANSLATE(C756)"),"quem tem mais defesas de título no UFC")</f>
        <v>quem tem mais defesas de título no UFC</v>
      </c>
      <c r="F755" s="5" t="str">
        <f aca="false">IFERROR(__xludf.dummyfunction("GOOGLETRANSLATE(D755)")," Um macaco de banho A Moda da Indústria Subsidiária do tipo Baging Ape (Bape) Fundada em 1993; 25 anos atrás (1993) em Ura -Harajuku, Shibuya, Tóquio, Japão Foun der Nigo Sede de Tóquio, Proprietário do Japão I.T Site do grupo Bape.com")</f>
        <v> Um macaco de banho A Moda da Indústria Subsidiária do tipo Baging Ape (Bape) Fundada em 1993; 25 anos atrás (1993) em Ura -Harajuku, Shibuya, Tóquio, Japão Foun der Nigo Sede de Tóquio, Proprietário do Japão I.T Site do grupo Bape.com</v>
      </c>
    </row>
    <row r="756" customFormat="false" ht="15.75" hidden="false" customHeight="true" outlineLevel="0" collapsed="false">
      <c r="A756" s="3" t="n">
        <v>753</v>
      </c>
      <c r="B756" s="5" t="s">
        <v>2255</v>
      </c>
      <c r="C756" s="5" t="s">
        <v>2256</v>
      </c>
      <c r="D756" s="5" t="s">
        <v>2257</v>
      </c>
      <c r="E756" s="4" t="str">
        <f aca="false">IFERROR(__xludf.dummyfunction("GOOGLETRANSLATE(C757)"),"Qual era o objetivo das tarifas de proteção sobre bens europeus após a guerra de 1812")</f>
        <v>Qual era o objetivo das tarifas de proteção sobre bens europeus após a guerra de 1812</v>
      </c>
      <c r="F756" s="5" t="str">
        <f aca="false">IFERROR(__xludf.dummyfunction("GOOGLETRANSLATE(D756)"),"ST - Pierre Welterweight 9 4. Jon Jones Light Heavyweight 8 5. JOSÉ ALDO PALAVENDO 7 POR DIVISIÇÃO (EDIT) DIVISÃO / S FIGADOR DIAS DIAS ESTIPE PESADE MIOCIC 896 JONE PESADE DO PESADE JONES 1501 MEDIENTES ANDERSON SILVA 2457 WELTERWEST GEORGES ALDOUST ST -"&amp;" PIERRE 2064 Lightweight B.J. Penn 812 Featherweight Cris Cris de Palada Cyborg 623 Women's Bantamweight Ronda Rousey 1074 Women's Flyweight")</f>
        <v>ST - Pierre Welterweight 9 4. Jon Jones Light Heavyweight 8 5. JOSÉ ALDO PALAVENDO 7 POR DIVISIÇÃO (EDIT) DIVISÃO / S FIGADOR DIAS DIAS ESTIPE PESADE MIOCIC 896 JONE PESADE DO PESADE JONES 1501 MEDIENTES ANDERSON SILVA 2457 WELTERWEST GEORGES ALDOUST ST - PIERRE 2064 Lightweight B.J. Penn 812 Featherweight Cris Cris de Palada Cyborg 623 Women's Bantamweight Ronda Rousey 1074 Women's Flyweight</v>
      </c>
    </row>
    <row r="757" customFormat="false" ht="15.75" hidden="false" customHeight="true" outlineLevel="0" collapsed="false">
      <c r="A757" s="3" t="n">
        <v>754</v>
      </c>
      <c r="B757" s="5" t="s">
        <v>2258</v>
      </c>
      <c r="C757" s="5" t="s">
        <v>2259</v>
      </c>
      <c r="D757" s="5" t="s">
        <v>2260</v>
      </c>
      <c r="E757" s="4" t="str">
        <f aca="false">IFERROR(__xludf.dummyfunction("GOOGLETRANSLATE(C758)"),"é o Instituto de Arte de Pittsburgh uma escola credenciada")</f>
        <v>é o Instituto de Arte de Pittsburgh uma escola credenciada</v>
      </c>
      <c r="F757" s="5" t="str">
        <f aca="false">IFERROR(__xludf.dummyfunction("GOOGLETRANSLATE(D757)")," A tarifa de 1816 (também conhecida como Tarifa de Dallas) é notável, pois a primeira tarifa aprovada pelo Congresso com uma função explícita de proteger itens fabricados nos EUA da competição no exterior. Antes da Guerra de 1812, as tarifas haviam servid"&amp;"o principalmente para aumentar as receitas para operar o governo nacional. Outro aspecto único da tarifa foi o forte apoio que recebeu dos estados do norte.")</f>
        <v> A tarifa de 1816 (também conhecida como Tarifa de Dallas) é notável, pois a primeira tarifa aprovada pelo Congresso com uma função explícita de proteger itens fabricados nos EUA da competição no exterior. Antes da Guerra de 1812, as tarifas haviam servido principalmente para aumentar as receitas para operar o governo nacional. Outro aspecto único da tarifa foi o forte apoio que recebeu dos estados do norte.</v>
      </c>
    </row>
    <row r="758" customFormat="false" ht="15.75" hidden="false" customHeight="true" outlineLevel="0" collapsed="false">
      <c r="A758" s="3" t="n">
        <v>755</v>
      </c>
      <c r="B758" s="5" t="s">
        <v>2261</v>
      </c>
      <c r="C758" s="5" t="s">
        <v>2262</v>
      </c>
      <c r="D758" s="5" t="s">
        <v>2263</v>
      </c>
      <c r="E758" s="4" t="str">
        <f aca="false">IFERROR(__xludf.dummyfunction("GOOGLETRANSLATE(C759)"),"Quantos episódios de Fullmetal Alchemist Irmandade estão lá")</f>
        <v>Quantos episódios de Fullmetal Alchemist Irmandade estão lá</v>
      </c>
      <c r="F758" s="5" t="str">
        <f aca="false">IFERROR(__xludf.dummyfunction("GOOGLETRANSLATE(D758)")," O Instituto de Arte de Pittsburgh é credenciado pela Comissão de Estados Médio sobre Ensino Superior (desde 2008).")</f>
        <v> O Instituto de Arte de Pittsburgh é credenciado pela Comissão de Estados Médio sobre Ensino Superior (desde 2008).</v>
      </c>
    </row>
    <row r="759" customFormat="false" ht="15.75" hidden="false" customHeight="true" outlineLevel="0" collapsed="false">
      <c r="A759" s="3" t="n">
        <v>756</v>
      </c>
      <c r="B759" s="5" t="s">
        <v>2264</v>
      </c>
      <c r="C759" s="5" t="s">
        <v>2265</v>
      </c>
      <c r="D759" s="5" t="s">
        <v>2266</v>
      </c>
      <c r="E759" s="4" t="str">
        <f aca="false">IFERROR(__xludf.dummyfunction("GOOGLETRANSLATE(C760)"),"Hagia Sophia é um exemplo de qual estilo de arquitetura")</f>
        <v>Hagia Sophia é um exemplo de qual estilo de arquitetura</v>
      </c>
      <c r="F759" s="5" t="str">
        <f aca="false">IFERROR(__xludf.dummyfunction("GOOGLETRANSLATE(D759)")," Alquimista de Metal: Irmandade, conhecida no Japão como Alquimista de Aço: Alquimista Fullmetal (鋼 の 錬金術 師 フル メタル アルケミスト, Hagane no renkinjutsushi: FurumetaTaru Arukemisuto), a segunda adaptação independente desenvolvida por ossos do alquimista de Fullme"&amp;"tal. Yasuhiro Irie trabalhou como diretor e Hiroshi ōnogi como escritor. A série segue a história de dois irmãos alquimistas, Edward e Alphonse Elric, que querem restaurar seus corpos após uma tentativa desastrosa fracassada de trazer sua mãe de volta à v"&amp;"ida através da alquimia. Ao contrário do primeiro anime, que adicionou elementos originais à história, a segunda série segue o mangá. A série compreende um total de 64 episódios e quatro animações de vídeo originais.")</f>
        <v> Alquimista de Metal: Irmandade, conhecida no Japão como Alquimista de Aço: Alquimista Fullmetal (鋼 の 錬金術 師 フル メタル アルケミスト, Hagane no renkinjutsushi: FurumetaTaru Arukemisuto), a segunda adaptação independente desenvolvida por ossos do alquimista de Fullmetal. Yasuhiro Irie trabalhou como diretor e Hiroshi ōnogi como escritor. A série segue a história de dois irmãos alquimistas, Edward e Alphonse Elric, que querem restaurar seus corpos após uma tentativa desastrosa fracassada de trazer sua mãe de volta à vida através da alquimia. Ao contrário do primeiro anime, que adicionou elementos originais à história, a segunda série segue o mangá. A série compreende um total de 64 episódios e quatro animações de vídeo originais.</v>
      </c>
    </row>
    <row r="760" customFormat="false" ht="15.75" hidden="false" customHeight="true" outlineLevel="0" collapsed="false">
      <c r="A760" s="3" t="n">
        <v>757</v>
      </c>
      <c r="B760" s="5" t="s">
        <v>2267</v>
      </c>
      <c r="C760" s="5" t="s">
        <v>2268</v>
      </c>
      <c r="D760" s="5" t="s">
        <v>2269</v>
      </c>
      <c r="E760" s="4" t="str">
        <f aca="false">IFERROR(__xludf.dummyfunction("GOOGLETRANSLATE(C761)"),"Miada mais engraçada de Monty Python do mundo tradução em inglês")</f>
        <v>Miada mais engraçada de Monty Python do mundo tradução em inglês</v>
      </c>
      <c r="F760" s="5" t="str">
        <f aca="false">IFERROR(__xludf.dummyfunction("GOOGLETRANSLATE(D760)")," Hagia Sophia ( / ˈHːIːI σ SOʊˈfiːə /; da αγία σοφία grega, pronunciada (Aˈʝia Soˈfia), `` Sagrada Sabedoria ''; Latin: Sancta Sophia ou Sancta Sapientia; Sapientia; Mesquita Imperial Otomana e agora um museu (Ayasofya Müzesi) em Istambul, Turquia. Constr"&amp;"uído em 537 dC no início da Idade Média, era famoso em particular por sua cúpula enorme. Era o maior edifício do mundo e uma maravilha de engenharia de seu tempo. É considerado o epítome da arquitetura bizantina e diz -se que '' mudou a história da arquit"&amp;"etura ''.")</f>
        <v> Hagia Sophia ( / ˈHːIːI σ SOʊˈfiːə /; da αγία σοφία grega, pronunciada (Aˈʝia Soˈfia), `` Sagrada Sabedoria ''; Latin: Sancta Sophia ou Sancta Sapientia; Sapientia; Mesquita Imperial Otomana e agora um museu (Ayasofya Müzesi) em Istambul, Turquia. Construído em 537 dC no início da Idade Média, era famoso em particular por sua cúpula enorme. Era o maior edifício do mundo e uma maravilha de engenharia de seu tempo. É considerado o epítome da arquitetura bizantina e diz -se que '' mudou a história da arquitetura ''.</v>
      </c>
    </row>
    <row r="761" customFormat="false" ht="15.75" hidden="false" customHeight="true" outlineLevel="0" collapsed="false">
      <c r="A761" s="3" t="n">
        <v>758</v>
      </c>
      <c r="B761" s="5" t="s">
        <v>2270</v>
      </c>
      <c r="C761" s="5" t="s">
        <v>2271</v>
      </c>
      <c r="D761" s="5" t="s">
        <v>2272</v>
      </c>
      <c r="E761" s="4" t="str">
        <f aca="false">IFERROR(__xludf.dummyfunction("GOOGLETRANSLATE(C762)"),"O que o estado ganhou mais Miss Americas")</f>
        <v>O que o estado ganhou mais Miss Americas</v>
      </c>
      <c r="F761" s="5" t="str">
        <f aca="false">IFERROR(__xludf.dummyfunction("GOOGLETRANSLATE(D761)")," A tradução alemã da piada no esboço é feita de várias palavras sem sentido, alemãs - soando e, portanto, não tem uma tradução em inglês.")</f>
        <v> A tradução alemã da piada no esboço é feita de várias palavras sem sentido, alemãs - soando e, portanto, não tem uma tradução em inglês.</v>
      </c>
    </row>
    <row r="762" customFormat="false" ht="15.75" hidden="false" customHeight="true" outlineLevel="0" collapsed="false">
      <c r="A762" s="3" t="n">
        <v>759</v>
      </c>
      <c r="B762" s="5" t="s">
        <v>2273</v>
      </c>
      <c r="C762" s="5" t="s">
        <v>2274</v>
      </c>
      <c r="D762" s="5" t="s">
        <v>2275</v>
      </c>
      <c r="E762" s="4" t="str">
        <f aca="false">IFERROR(__xludf.dummyfunction("GOOGLETRANSLATE(C763)"),"Quem foi o primeiro controlador e auditor geral da Índia (CAG)")</f>
        <v>Quem foi o primeiro controlador e auditor geral da Índia (CAG)</v>
      </c>
      <c r="F762" s="5" t="str">
        <f aca="false">IFERROR(__xludf.dummyfunction("GOOGLETRANSLATE(D762)"),"   Número do estado de títulos Jon Ano (s) New York 6 1945, 1976, 1984, 2013, 2014, 2015 Oklahoma 1926, 1967, 1996, 1946, 1955, 1983 Ohio, 1923, 1938, 1963, 1972, 1972, Michigan 5 1939 1961, 1970, 1988, 2008 Illinois 1927, 1935, 1936, 1940, 1954 Mississip"&amp;"pi 1959, 1960, 1980, 1986 Arkansas 1964, 1982, 2017 Virginia 1979, 1999, 2010 Alabama 1951, 1995, 2005 Kansas 1966, 1979, 1999, 2010 , 197, 37, 1984 Texas 1942, 1971, 1975 Colorrado 1956, 1958, 1974 Georgia, 2016 Wisconsin 1973, 2012 Florida 1993, 2004 Ha"&amp;"waii 1992, 2001 Carolina do Sul 1957, 1994 Tennessee 1947, 21, 1944 North Dakota 2018 Nebaska 2018 2009 Oregon 2002 ANDTUCKY 2000 Missouri North Carolina 1962 Connecticut")</f>
        <v>   Número do estado de títulos Jon Ano (s) New York 6 1945, 1976, 1984, 2013, 2014, 2015 Oklahoma 1926, 1967, 1996, 1946, 1955, 1983 Ohio, 1923, 1938, 1963, 1972, 1972, Michigan 5 1939 1961, 1970, 1988, 2008 Illinois 1927, 1935, 1936, 1940, 1954 Mississippi 1959, 1960, 1980, 1986 Arkansas 1964, 1982, 2017 Virginia 1979, 1999, 2010 Alabama 1951, 1995, 2005 Kansas 1966, 1979, 1999, 2010 , 197, 37, 1984 Texas 1942, 1971, 1975 Colorrado 1956, 1958, 1974 Georgia, 2016 Wisconsin 1973, 2012 Florida 1993, 2004 Hawaii 1992, 2001 Carolina do Sul 1957, 1994 Tennessee 1947, 21, 1944 North Dakota 2018 Nebaska 2018 2009 Oregon 2002 ANDTUCKY 2000 Missouri North Carolina 1962 Connecticut</v>
      </c>
    </row>
    <row r="763" customFormat="false" ht="15.75" hidden="false" customHeight="true" outlineLevel="0" collapsed="false">
      <c r="A763" s="3" t="n">
        <v>760</v>
      </c>
      <c r="B763" s="5" t="s">
        <v>2276</v>
      </c>
      <c r="C763" s="5" t="s">
        <v>2277</v>
      </c>
      <c r="D763" s="5" t="s">
        <v>2278</v>
      </c>
      <c r="E763" s="4" t="str">
        <f aca="false">IFERROR(__xludf.dummyfunction("GOOGLETRANSLATE(C764)"),"quem ganha a tigela Shiva na 6ª temporada")</f>
        <v>quem ganha a tigela Shiva na 6ª temporada</v>
      </c>
      <c r="F763" s="5" t="str">
        <f aca="false">IFERROR(__xludf.dummyfunction("GOOGLETRANSLATE(D763)"),"   Não . Controladoria e Auditor Geral da Índia O ano do ano começou a posse do ano encerrado em V. Narahari Rao 1949 1954 A.K. Chanda 1954 1960 A.K. Roy 1960 1966 S. Ranganathan 1966 1972 5 A. Bakshi 1972 1978 6 Gian Prakash 1978 1984 7 T.N. Chaturvedi 1"&amp;"984 1990 8 C.G. Somiah 1990 9 V.K. Shunglu 2002 10 VN Kaul 2002 2008 11 Vinod Rai 2008 2013 12 Shashi Kant Sharma 2013 2017 13 Rajiv Mehrishi 2017 titular (6 anos ou 65 anos de idade, o que for anteriormente)")</f>
        <v>   Não . Controladoria e Auditor Geral da Índia O ano do ano começou a posse do ano encerrado em V. Narahari Rao 1949 1954 A.K. Chanda 1954 1960 A.K. Roy 1960 1966 S. Ranganathan 1966 1972 5 A. Bakshi 1972 1978 6 Gian Prakash 1978 1984 7 T.N. Chaturvedi 1984 1990 8 C.G. Somiah 1990 9 V.K. Shunglu 2002 10 VN Kaul 2002 2008 11 Vinod Rai 2008 2013 12 Shashi Kant Sharma 2013 2017 13 Rajiv Mehrishi 2017 titular (6 anos ou 65 anos de idade, o que for anteriormente)</v>
      </c>
    </row>
    <row r="764" customFormat="false" ht="15.75" hidden="false" customHeight="true" outlineLevel="0" collapsed="false">
      <c r="A764" s="3" t="n">
        <v>761</v>
      </c>
      <c r="B764" s="5" t="s">
        <v>2279</v>
      </c>
      <c r="C764" s="5" t="s">
        <v>2280</v>
      </c>
      <c r="D764" s="5" t="s">
        <v>2281</v>
      </c>
      <c r="E764" s="4" t="str">
        <f aca="false">IFERROR(__xludf.dummyfunction("GOOGLETRANSLATE(C765)"),"Qual é o significado de Mizpah na Bíblia")</f>
        <v>Qual é o significado de Mizpah na Bíblia</v>
      </c>
      <c r="F764" s="5" t="str">
        <f aca="false">IFERROR(__xludf.dummyfunction("GOOGLETRANSLATE(D764)"),"   Mostrar temporada da temporada da temporada da temporada da temporada Shiva Bowl vencedor Shiva Bowl Loser Sacko Bowl Loser ‡ Localização do rascunho (história de fundo) 2005 Pete Ruxin N / A Pete e Meegan's House (Back Story) 2006 Taco Pete n / A Pool"&amp;" perto da Kevin's House (Back Story) 2007 Pete Andre N / A Ruxin's House (Back Story) 2008 Pete Ruxin N / A Pete e Meegan's House 2009 5 Andre * * Pete N / A Andre's New Downtown Chicago Loft 6 Ruxin Jenny Andre † Las Vegas 2011 7 * Kevin * Taco Ruxin (An"&amp;"dre executando a equipe de Ruxin) ‡ MetroSexual Loft de Andre 2012 8 Ted Pete Ruxin Jenny's Hospital Room 5 2013 9 Jenny Andre Kevin Andre Party em L.A. 6 2014 10 10 10 10 10 10 Andre § Ruxin Taco Ted's Funeral 7 2015 11 The Coin Ruxin Pete Restaurant (Dr"&amp;"aft com tema dos anos 1890)")</f>
        <v>   Mostrar temporada da temporada da temporada da temporada da temporada Shiva Bowl vencedor Shiva Bowl Loser Sacko Bowl Loser ‡ Localização do rascunho (história de fundo) 2005 Pete Ruxin N / A Pete e Meegan's House (Back Story) 2006 Taco Pete n / A Pool perto da Kevin's House (Back Story) 2007 Pete Andre N / A Ruxin's House (Back Story) 2008 Pete Ruxin N / A Pete e Meegan's House 2009 5 Andre * * Pete N / A Andre's New Downtown Chicago Loft 6 Ruxin Jenny Andre † Las Vegas 2011 7 * Kevin * Taco Ruxin (Andre executando a equipe de Ruxin) ‡ MetroSexual Loft de Andre 2012 8 Ted Pete Ruxin Jenny's Hospital Room 5 2013 9 Jenny Andre Kevin Andre Party em L.A. 6 2014 10 10 10 10 10 10 Andre § Ruxin Taco Ted's Funeral 7 2015 11 The Coin Ruxin Pete Restaurant (Draft com tema dos anos 1890)</v>
      </c>
    </row>
    <row r="765" customFormat="false" ht="15.75" hidden="false" customHeight="true" outlineLevel="0" collapsed="false">
      <c r="A765" s="3" t="n">
        <v>762</v>
      </c>
      <c r="B765" s="5" t="s">
        <v>2282</v>
      </c>
      <c r="C765" s="5" t="s">
        <v>2283</v>
      </c>
      <c r="D765" s="5" t="s">
        <v>2284</v>
      </c>
      <c r="E765" s="4" t="str">
        <f aca="false">IFERROR(__xludf.dummyfunction("GOOGLETRANSLATE(C766)"),"O que o Liverpool tinha a ver com o comércio de escravos")</f>
        <v>O que o Liverpool tinha a ver com o comércio de escravos</v>
      </c>
      <c r="F765" s="5" t="str">
        <f aca="false">IFERROR(__xludf.dummyfunction("GOOGLETRANSLATE(D765)")," Mizpah (מִצְפָּה) é hebraico para `` Torre de vigilância. '' Como mencionado na história da Bíblia de Jacob e Laban, fazer uma pilha de pedras marcou um acordo entre duas pessoas, com Deus como testemunha deles.")</f>
        <v> Mizpah (מִצְפָּה) é hebraico para `` Torre de vigilância. '' Como mencionado na história da Bíblia de Jacob e Laban, fazer uma pilha de pedras marcou um acordo entre duas pessoas, com Deus como testemunha deles.</v>
      </c>
    </row>
    <row r="766" customFormat="false" ht="15.75" hidden="false" customHeight="true" outlineLevel="0" collapsed="false">
      <c r="A766" s="3" t="n">
        <v>763</v>
      </c>
      <c r="B766" s="5" t="s">
        <v>2285</v>
      </c>
      <c r="C766" s="5" t="s">
        <v>2286</v>
      </c>
      <c r="D766" s="5" t="s">
        <v>2287</v>
      </c>
      <c r="E766" s="4" t="str">
        <f aca="false">IFERROR(__xludf.dummyfunction("GOOGLETRANSLATE(C767)"),"Quando a maconha se tornou legal para uso recreativo no Colorado")</f>
        <v>Quando a maconha se tornou legal para uso recreativo no Colorado</v>
      </c>
      <c r="F766" s="5" t="str">
        <f aca="false">IFERROR(__xludf.dummyfunction("GOOGLETRANSLATE(D766)")," A primeira doca molhada na Grã -Bretanha foi construída em Liverpool e concluída em 1715. Foi a primeira doca molhada fechada comercial no mundo e foi construída para uma capacidade de 100 navios. No final do século XVIII, 40 % do mundo, e 80 % da ativid"&amp;"ade dos escravos do Atlântico da Grã -Bretanha foi explicada por navios de escravos que viajaram pelas docas de Liverpool. A comunidade negra de Liverpool data da construção da primeira doca em 1715 e cresceu rapidamente, atingindo uma população de 10.000"&amp;" em cinco anos. Esse crescimento levou à abertura do consulado dos Estados Unidos em Liverpool em 1790, seu primeiro consulado em qualquer lugar do mundo.")</f>
        <v> A primeira doca molhada na Grã -Bretanha foi construída em Liverpool e concluída em 1715. Foi a primeira doca molhada fechada comercial no mundo e foi construída para uma capacidade de 100 navios. No final do século XVIII, 40 % do mundo, e 80 % da atividade dos escravos do Atlântico da Grã -Bretanha foi explicada por navios de escravos que viajaram pelas docas de Liverpool. A comunidade negra de Liverpool data da construção da primeira doca em 1715 e cresceu rapidamente, atingindo uma população de 10.000 em cinco anos. Esse crescimento levou à abertura do consulado dos Estados Unidos em Liverpool em 1790, seu primeiro consulado em qualquer lugar do mundo.</v>
      </c>
    </row>
    <row r="767" customFormat="false" ht="15.75" hidden="false" customHeight="true" outlineLevel="0" collapsed="false">
      <c r="A767" s="3" t="n">
        <v>764</v>
      </c>
      <c r="B767" s="5" t="s">
        <v>2288</v>
      </c>
      <c r="C767" s="5" t="s">
        <v>2289</v>
      </c>
      <c r="D767" s="5" t="s">
        <v>2290</v>
      </c>
      <c r="E767" s="4" t="str">
        <f aca="false">IFERROR(__xludf.dummyfunction("GOOGLETRANSLATE(C768)"),"Celine Dion estes são o álbum completo do Times Special")</f>
        <v>Celine Dion estes são o álbum completo do Times Special</v>
      </c>
      <c r="F767" s="5" t="str">
        <f aca="false">IFERROR(__xludf.dummyfunction("GOOGLETRANSLATE(D767)")," A maconha no Colorado refere -se ao uso e posse de maconha no Colorado (termo legal) no Colorado, Estados Unidos. A Emenda do Colorado 64, que foi aprovada pelos eleitores em 6 de novembro de 2012, levou à legalização em janeiro de 2014. A política levou"&amp;" ao turismo de cannabis. Existem dois conjuntos de políticas no Colorado relacionadas ao uso de cannabis: aquelas para cannabis medicinal e para uso recreativo de drogas, juntamente com um terceiro conjunto de regras que regem o cânhamo.")</f>
        <v> A maconha no Colorado refere -se ao uso e posse de maconha no Colorado (termo legal) no Colorado, Estados Unidos. A Emenda do Colorado 64, que foi aprovada pelos eleitores em 6 de novembro de 2012, levou à legalização em janeiro de 2014. A política levou ao turismo de cannabis. Existem dois conjuntos de políticas no Colorado relacionadas ao uso de cannabis: aquelas para cannabis medicinal e para uso recreativo de drogas, juntamente com um terceiro conjunto de regras que regem o cânhamo.</v>
      </c>
    </row>
    <row r="768" customFormat="false" ht="15.75" hidden="false" customHeight="true" outlineLevel="0" collapsed="false">
      <c r="A768" s="3" t="n">
        <v>765</v>
      </c>
      <c r="B768" s="5" t="s">
        <v>2291</v>
      </c>
      <c r="C768" s="5" t="s">
        <v>2292</v>
      </c>
      <c r="D768" s="5" t="s">
        <v>2293</v>
      </c>
      <c r="E768" s="4" t="str">
        <f aca="false">IFERROR(__xludf.dummyfunction("GOOGLETRANSLATE(C769)"),"Quantos objetivos C Ronaldo marcaram em sua carreira")</f>
        <v>Quantos objetivos C Ronaldo marcaram em sua carreira</v>
      </c>
      <c r="F768" s="5" t="str">
        <f aca="false">IFERROR(__xludf.dummyfunction("GOOGLETRANSLATE(D768)"),"   Não . Título (s) Produtor (s) de Produtor (s) 1. `` Ó noite santa '' David Foster 5: 21 2. `` Não salve tudo no dia de Natal '' Peter Zizzo Ric Wake Celine Dion Wake 4: 37 3. `` Blue Christmas '' Jay Johnson Bill Hayes Foster 3: 48 4. `` Outro ano pass"&amp;"ou por '' Bryan Adams Eliot Kennedy Adams 3: 24 5. `` A magia do dia de Natal (Deus nos abençoe a todos) '' Dee Snider Wake 4: 17 6. `` Ave Maria '' Franz Schubert Foster 4: 55 7. `` Adeste Fideles (Ó venha todos vocês fiéis) '' Foster tradicional 4: 43 8"&amp;". `` The Christmas Song (castanha assando em uma fogo aberto) '' Mel Tormé Robert Wells Foster 4: 13 9. `` The Prayer '' (dueto com Andrea Bocelli) Carole Bayer Sager Foster Alberto Testa Tony Renis Foster Renis Bayer Sager 4: 29 10. `` Brahms 'Lullaby' '"&amp;"Johannes Brahms Foster 3: 32 11. `` Véspera de Natal '' Maria Christensen Curtis FRASCA Wake 4: 16 12. `` Estes são os tempos especiais '' Diane Warren Foster 4: 08 13. `` Feliz natal (guerra acabou) '' John Lennon Yoko Ono Wake 4: 14 14. `` Eu 'sou seu a"&amp;"njo' '(dueto com R. Kelly) R. Kelly Kelly 5: 31 15. `` Feliz Navidad '' José Feliciano Wake Humberto Gatica 3: 40 16. `` Les cloches du hameau '' Brahms Wake 3: 10")</f>
        <v>   Não . Título (s) Produtor (s) de Produtor (s) 1. `` Ó noite santa '' David Foster 5: 21 2. `` Não salve tudo no dia de Natal '' Peter Zizzo Ric Wake Celine Dion Wake 4: 37 3. `` Blue Christmas '' Jay Johnson Bill Hayes Foster 3: 48 4. `` Outro ano passou por '' Bryan Adams Eliot Kennedy Adams 3: 24 5. `` A magia do dia de Natal (Deus nos abençoe a todos) '' Dee Snider Wake 4: 17 6. `` Ave Maria '' Franz Schubert Foster 4: 55 7. `` Adeste Fideles (Ó venha todos vocês fiéis) '' Foster tradicional 4: 43 8. `` The Christmas Song (castanha assando em uma fogo aberto) '' Mel Tormé Robert Wells Foster 4: 13 9. `` The Prayer '' (dueto com Andrea Bocelli) Carole Bayer Sager Foster Alberto Testa Tony Renis Foster Renis Bayer Sager 4: 29 10. `` Brahms 'Lullaby' 'Johannes Brahms Foster 3: 32 11. `` Véspera de Natal '' Maria Christensen Curtis FRASCA Wake 4: 16 12. `` Estes são os tempos especiais '' Diane Warren Foster 4: 08 13. `` Feliz natal (guerra acabou) '' John Lennon Yoko Ono Wake 4: 14 14. `` Eu 'sou seu anjo' '(dueto com R. Kelly) R. Kelly Kelly 5: 31 15. `` Feliz Navidad '' José Feliciano Wake Humberto Gatica 3: 40 16. `` Les cloches du hameau '' Brahms Wake 3: 10</v>
      </c>
    </row>
    <row r="769" customFormat="false" ht="15.75" hidden="false" customHeight="true" outlineLevel="0" collapsed="false">
      <c r="A769" s="3" t="n">
        <v>766</v>
      </c>
      <c r="B769" s="5" t="s">
        <v>2294</v>
      </c>
      <c r="C769" s="5" t="s">
        <v>2295</v>
      </c>
      <c r="D769" s="5" t="s">
        <v>2296</v>
      </c>
      <c r="E769" s="4" t="str">
        <f aca="false">IFERROR(__xludf.dummyfunction("GOOGLETRANSLATE(C770)"),"que identificaram os estilos autoritários permissivos e autoritários")</f>
        <v>que identificaram os estilos autoritários permissivos e autoritários</v>
      </c>
      <c r="F769" s="5" t="str">
        <f aca="false">IFERROR(__xludf.dummyfunction("GOOGLETRANSLATE(D769)")," Cristiano Ronaldo dos Santos Aveiro Goih Comm (português europeu: (Kɾiʃˈtjɐnu ʁoˈnaɫdu); nascido em 5 de fevereiro de 1985) é um jogador de futebol profissional português que joga como atacante para o clube espanhol Real Madrid e a equipe nacional de Por"&amp;"tugal. Freqüentemente considerado o melhor jogador do mundo e amplamente considerado como um dos maiores de todos os tempos, Ronaldo tem um recorde - empatando cinco prêmios Ballon d'Or, o máximo para um jogador europeu, e é o primeiro jogador a ganhar qu"&amp;"atro golden europeus Sapato . Ele ganhou 26 troféus em sua carreira, incluindo cinco títulos da liga, cinco títulos da UEFA Champions League e um campeonato europeu da UEFA. Um artilheiro prolífico, Ronaldo detém os registros para a maioria dos gols ofici"&amp;"ais marcados no topo da Europa - cinco ligas (395), a Liga dos Campeões da UEFA (120), o Campeonato Europeu da UEFA (9), bem como aqueles para a maioria das assistências no Liga dos Campeões da UEFA (34) e o Campeonato Europeu da UEFA (6). Ele marcou mais"&amp;" de 670 objetivos de carreira sênior para clubes e países.")</f>
        <v> Cristiano Ronaldo dos Santos Aveiro Goih Comm (português europeu: (Kɾiʃˈtjɐnu ʁoˈnaɫdu); nascido em 5 de fevereiro de 1985) é um jogador de futebol profissional português que joga como atacante para o clube espanhol Real Madrid e a equipe nacional de Portugal. Freqüentemente considerado o melhor jogador do mundo e amplamente considerado como um dos maiores de todos os tempos, Ronaldo tem um recorde - empatando cinco prêmios Ballon d'Or, o máximo para um jogador europeu, e é o primeiro jogador a ganhar quatro golden europeus Sapato . Ele ganhou 26 troféus em sua carreira, incluindo cinco títulos da liga, cinco títulos da UEFA Champions League e um campeonato europeu da UEFA. Um artilheiro prolífico, Ronaldo detém os registros para a maioria dos gols oficiais marcados no topo da Europa - cinco ligas (395), a Liga dos Campeões da UEFA (120), o Campeonato Europeu da UEFA (9), bem como aqueles para a maioria das assistências no Liga dos Campeões da UEFA (34) e o Campeonato Europeu da UEFA (6). Ele marcou mais de 670 objetivos de carreira sênior para clubes e países.</v>
      </c>
    </row>
    <row r="770" customFormat="false" ht="15.75" hidden="false" customHeight="true" outlineLevel="0" collapsed="false">
      <c r="A770" s="3" t="n">
        <v>767</v>
      </c>
      <c r="B770" s="5" t="s">
        <v>2297</v>
      </c>
      <c r="C770" s="5" t="s">
        <v>2298</v>
      </c>
      <c r="D770" s="5" t="s">
        <v>2299</v>
      </c>
      <c r="E770" s="4" t="str">
        <f aca="false">IFERROR(__xludf.dummyfunction("GOOGLETRANSLATE(C771)"),"Quando o inquebrável Kimmy Schmidt saiu")</f>
        <v>Quando o inquebrável Kimmy Schmidt saiu</v>
      </c>
      <c r="F770" s="5" t="str">
        <f aca="false">IFERROR(__xludf.dummyfunction("GOOGLETRANSLATE(D770)")," Diana Baumrind é uma pesquisadora que se concentrou na classificação dos estilos de pais. A pesquisa de Baumrind é conhecida como a tipologia parental `` Baumrind ''. Em sua pesquisa, ela descobriu o que considerava os quatro elementos básicos que poderi"&amp;"am ajudar a moldar a paternidade bem -sucedida: capacidade de resposta versus falta de resposta e exigente vs. pouco exigente. A capacidade de resposta dos pais refere -se ao grau em que os pais respondem às necessidades da criança de maneira solidária e "&amp;"aceita. Através de seus estudos, Baumrind identificou três estilos iniciais para pais: paternidade autoritária, parentalidade autoritária e parentalidade permissiva. Maccoby e Martin expandiram os três estilos originais de parentalidade de Baumrind, coloc"&amp;"ando estilos parentais em duas categorias distintas: exigentes e não exigentes. Com essas distinções, foram definidos quatro novos estilos parentais:")</f>
        <v> Diana Baumrind é uma pesquisadora que se concentrou na classificação dos estilos de pais. A pesquisa de Baumrind é conhecida como a tipologia parental `` Baumrind ''. Em sua pesquisa, ela descobriu o que considerava os quatro elementos básicos que poderiam ajudar a moldar a paternidade bem -sucedida: capacidade de resposta versus falta de resposta e exigente vs. pouco exigente. A capacidade de resposta dos pais refere -se ao grau em que os pais respondem às necessidades da criança de maneira solidária e aceita. Através de seus estudos, Baumrind identificou três estilos iniciais para pais: paternidade autoritária, parentalidade autoritária e parentalidade permissiva. Maccoby e Martin expandiram os três estilos originais de parentalidade de Baumrind, colocando estilos parentais em duas categorias distintas: exigentes e não exigentes. Com essas distinções, foram definidos quatro novos estilos parentais:</v>
      </c>
    </row>
    <row r="771" customFormat="false" ht="15.75" hidden="false" customHeight="true" outlineLevel="0" collapsed="false">
      <c r="A771" s="3" t="n">
        <v>768</v>
      </c>
      <c r="B771" s="5" t="s">
        <v>2300</v>
      </c>
      <c r="C771" s="5" t="s">
        <v>2301</v>
      </c>
      <c r="D771" s="5" t="s">
        <v>2302</v>
      </c>
      <c r="E771" s="4" t="str">
        <f aca="false">IFERROR(__xludf.dummyfunction("GOOGLETRANSLATE(C772)"),"Qual é o maior estado do sul da Índia na área")</f>
        <v>Qual é o maior estado do sul da Índia na área</v>
      </c>
      <c r="F771" s="5" t="str">
        <f aca="false">IFERROR(__xludf.dummyfunction("GOOGLETRANSLATE(D771)")," Kimmy Schmidt, inquebrável, é uma comédia americana de televisão da web criada por Tina Fey e Robert Carlock, estrelada por Ellie Kemper no papel -título, que transmitia na Netflix desde 6 de março de 2015. Originalmente definido para uma primeira tempor"&amp;"ada de 13 - episódios na NBC na primavera de 2015, o programa foi vendido à Netflix e recebeu uma ordem de duas temporada.")</f>
        <v> Kimmy Schmidt, inquebrável, é uma comédia americana de televisão da web criada por Tina Fey e Robert Carlock, estrelada por Ellie Kemper no papel -título, que transmitia na Netflix desde 6 de março de 2015. Originalmente definido para uma primeira temporada de 13 - episódios na NBC na primavera de 2015, o programa foi vendido à Netflix e recebeu uma ordem de duas temporada.</v>
      </c>
    </row>
    <row r="772" customFormat="false" ht="15.75" hidden="false" customHeight="true" outlineLevel="0" collapsed="false">
      <c r="A772" s="3" t="n">
        <v>769</v>
      </c>
      <c r="B772" s="5" t="s">
        <v>2303</v>
      </c>
      <c r="C772" s="5" t="s">
        <v>2304</v>
      </c>
      <c r="D772" s="5" t="s">
        <v>2305</v>
      </c>
      <c r="E772" s="4" t="str">
        <f aca="false">IFERROR(__xludf.dummyfunction("GOOGLETRANSLATE(C773)"),"De onde está o time da Little League mexicano")</f>
        <v>De onde está o time da Little League mexicano</v>
      </c>
      <c r="F772" s="5" t="str">
        <f aca="false">IFERROR(__xludf.dummyfunction("GOOGLETRANSLATE(D772)"),"   S.No. NOME ISO 3166 - 2 Código Data da Formação Área da População (KM) Língua Oficial (s) Densidade da População de Capital (por km) Taxa de alfabetização da razão sexual ( %) Telugu Hyderabad 308 996 67.41 29.4 Karnataka Ka 1 de novembro 1956 61.095.2"&amp;"97 191,791 Inglês Bengalur 35.36 34,0 Kerala KL 1 de novembro de 1956 33.406.061 38.852 Malayalam Thiruvananthapuram An 1950 72.147.030 130,060 Tamil Chennai 555 996 80,09 44,0 5 Telangana TS 2 Jun45,17,19,19 996 80.09 44.0 5 Telangana 2 2014,14,19,19. 66"&amp;",50 38.7")</f>
        <v>   S.No. NOME ISO 3166 - 2 Código Data da Formação Área da População (KM) Língua Oficial (s) Densidade da População de Capital (por km) Taxa de alfabetização da razão sexual ( %) Telugu Hyderabad 308 996 67.41 29.4 Karnataka Ka 1 de novembro 1956 61.095.297 191,791 Inglês Bengalur 35.36 34,0 Kerala KL 1 de novembro de 1956 33.406.061 38.852 Malayalam Thiruvananthapuram An 1950 72.147.030 130,060 Tamil Chennai 555 996 80,09 44,0 5 Telangana TS 2 Jun45,17,19,19 996 80.09 44.0 5 Telangana 2 2014,14,19,19. 66,50 38.7</v>
      </c>
    </row>
    <row r="773" customFormat="false" ht="15.75" hidden="false" customHeight="true" outlineLevel="0" collapsed="false">
      <c r="A773" s="3" t="n">
        <v>770</v>
      </c>
      <c r="B773" s="5" t="s">
        <v>2306</v>
      </c>
      <c r="C773" s="5" t="s">
        <v>2307</v>
      </c>
      <c r="D773" s="5" t="s">
        <v>2308</v>
      </c>
      <c r="E773" s="4" t="str">
        <f aca="false">IFERROR(__xludf.dummyfunction("GOOGLETRANSLATE(C774)"),"Quem interpreta o namorado de Penny no Big Bang Theory")</f>
        <v>Quem interpreta o namorado de Penny no Big Bang Theory</v>
      </c>
      <c r="F773" s="5" t="str">
        <f aca="false">IFERROR(__xludf.dummyfunction("GOOGLETRANSLATE(D773)")," O jogo perfeito é um filme de drama americano de 2009, dirigido por William Dear, baseado no livro de 2008 com o mesmo nome, escrito por W. William Winokur. O filme é baseado nos eventos que levam à Little League World Series de 1957, que foi conquistada"&amp;" pelo primeiro time de fora dos Estados Unidos, a Little League Industrial de Monterrey, México, que derrotou a equipe fortemente favoreceu os EUA. O arremessador mexicano Ángel Macías jogou o primeiro, e até agora, jogo perfeito na história do jogo do ca"&amp;"mpeonato.")</f>
        <v> O jogo perfeito é um filme de drama americano de 2009, dirigido por William Dear, baseado no livro de 2008 com o mesmo nome, escrito por W. William Winokur. O filme é baseado nos eventos que levam à Little League World Series de 1957, que foi conquistada pelo primeiro time de fora dos Estados Unidos, a Little League Industrial de Monterrey, México, que derrotou a equipe fortemente favoreceu os EUA. O arremessador mexicano Ángel Macías jogou o primeiro, e até agora, jogo perfeito na história do jogo do campeonato.</v>
      </c>
    </row>
    <row r="774" customFormat="false" ht="15.75" hidden="false" customHeight="true" outlineLevel="0" collapsed="false">
      <c r="A774" s="3" t="n">
        <v>771</v>
      </c>
      <c r="B774" s="5" t="s">
        <v>2309</v>
      </c>
      <c r="C774" s="5" t="s">
        <v>2310</v>
      </c>
      <c r="D774" s="5" t="s">
        <v>2311</v>
      </c>
      <c r="E774" s="4" t="str">
        <f aca="false">IFERROR(__xludf.dummyfunction("GOOGLETRANSLATE(C775)"),"que tocou o Tarzan original na série de TV")</f>
        <v>que tocou o Tarzan original na série de TV</v>
      </c>
      <c r="F774" s="5" t="str">
        <f aca="false">IFERROR(__xludf.dummyfunction("GOOGLETRANSLATE(D774)")," Brian Patrick Wade (nascido em 9 de junho de 1978) é um ator e treinador físico americano, mais conhecido por seus papéis na televisão como capitão. Craig Schwetje na minissérie Kill Kill, como Kurt, o antigo interesse amoroso de Penny, na teoria do Big "&amp;"Bang, e como o alfa lobisomem ennis em Teen Wolf.")</f>
        <v> Brian Patrick Wade (nascido em 9 de junho de 1978) é um ator e treinador físico americano, mais conhecido por seus papéis na televisão como capitão. Craig Schwetje na minissérie Kill Kill, como Kurt, o antigo interesse amoroso de Penny, na teoria do Big Bang, e como o alfa lobisomem ennis em Teen Wolf.</v>
      </c>
    </row>
    <row r="775" customFormat="false" ht="15.75" hidden="false" customHeight="true" outlineLevel="0" collapsed="false">
      <c r="A775" s="3" t="n">
        <v>772</v>
      </c>
      <c r="B775" s="5" t="s">
        <v>2312</v>
      </c>
      <c r="C775" s="5" t="s">
        <v>2313</v>
      </c>
      <c r="D775" s="5" t="s">
        <v>2314</v>
      </c>
      <c r="E775" s="4" t="str">
        <f aca="false">IFERROR(__xludf.dummyfunction("GOOGLETRANSLATE(C776)"),"onde as bruxas ruins vivem no mago de Oz")</f>
        <v>onde as bruxas ruins vivem no mago de Oz</v>
      </c>
      <c r="F775" s="5" t="str">
        <f aca="false">IFERROR(__xludf.dummyfunction("GOOGLETRANSLATE(D775)")," Tarzan é uma série que foi ao ar na NBC de 1966 - 1968. A série retratou Tarzan (interpretado por Ron Ely) como um personagem bem -educado que se cansara da civilização e voltou para a selva onde ele havia sido criado. Foi filmado no Brasil. A produção m"&amp;"ais tarde se mudou para o México. Esta série foi estabelecida na África Recentemente Independente da época.")</f>
        <v> Tarzan é uma série que foi ao ar na NBC de 1966 - 1968. A série retratou Tarzan (interpretado por Ron Ely) como um personagem bem -educado que se cansara da civilização e voltou para a selva onde ele havia sido criado. Foi filmado no Brasil. A produção mais tarde se mudou para o México. Esta série foi estabelecida na África Recentemente Independente da época.</v>
      </c>
    </row>
    <row r="776" customFormat="false" ht="15.75" hidden="false" customHeight="true" outlineLevel="0" collapsed="false">
      <c r="A776" s="3" t="n">
        <v>773</v>
      </c>
      <c r="B776" s="5" t="s">
        <v>2315</v>
      </c>
      <c r="C776" s="5" t="s">
        <v>2316</v>
      </c>
      <c r="D776" s="5" t="s">
        <v>2317</v>
      </c>
      <c r="E776" s="4" t="str">
        <f aca="false">IFERROR(__xludf.dummyfunction("GOOGLETRANSLATE(C777)"),"Como foi resolvido o ataque de Pullman de 1894")</f>
        <v>Como foi resolvido o ataque de Pullman de 1894</v>
      </c>
      <c r="F776" s="5" t="str">
        <f aca="false">IFERROR(__xludf.dummyfunction("GOOGLETRANSLATE(D776)")," Na época do maravilhoso mago de Oz, as terras no norte, sul, leste e oeste de Oz são governadas por uma bruxa. As bruxas do norte e do sul são boas, enquanto as bruxas do leste e do oeste são perversas. Glinda (A Bruxa Good do Sul) é mais tarde revelada "&amp;"como a mais poderosa dos quatro, embora os livros de Oz mais tarde revelem que a bruxa perversa do Ocidente era tão poderosa, até Glinda temia. Depois que a casa de Dorothy esmaga a bruxa perversa do Oriente, libertando os munchkins da escravidão, a boa b"&amp;"ruxa do norte diz a Dorothy que ela (a bruxa do norte) não é tão poderosa quanto a bruxa perversa do Oriente. , ou ela teria libertado os Munchkins.")</f>
        <v> Na época do maravilhoso mago de Oz, as terras no norte, sul, leste e oeste de Oz são governadas por uma bruxa. As bruxas do norte e do sul são boas, enquanto as bruxas do leste e do oeste são perversas. Glinda (A Bruxa Good do Sul) é mais tarde revelada como a mais poderosa dos quatro, embora os livros de Oz mais tarde revelem que a bruxa perversa do Ocidente era tão poderosa, até Glinda temia. Depois que a casa de Dorothy esmaga a bruxa perversa do Oriente, libertando os munchkins da escravidão, a boa bruxa do norte diz a Dorothy que ela (a bruxa do norte) não é tão poderosa quanto a bruxa perversa do Oriente. , ou ela teria libertado os Munchkins.</v>
      </c>
    </row>
    <row r="777" customFormat="false" ht="15.75" hidden="false" customHeight="true" outlineLevel="0" collapsed="false">
      <c r="A777" s="3" t="n">
        <v>774</v>
      </c>
      <c r="B777" s="5" t="s">
        <v>2318</v>
      </c>
      <c r="C777" s="5" t="s">
        <v>2319</v>
      </c>
      <c r="D777" s="5" t="s">
        <v>2320</v>
      </c>
      <c r="E777" s="4" t="str">
        <f aca="false">IFERROR(__xludf.dummyfunction("GOOGLETRANSLATE(C778)"),"que interpreta Proton Proton na teoria do Big Bang")</f>
        <v>que interpreta Proton Proton na teoria do Big Bang</v>
      </c>
      <c r="F777" s="5" t="str">
        <f aca="false">IFERROR(__xludf.dummyfunction("GOOGLETRANSLATE(D777)")," Debs e o ARU chamaram um boicote maciço contra todos os trens que carregavam um carro Pullman. Afetou a maioria das linhas ferroviárias a oeste de Detroit e, em seu pico, envolveu cerca de 250.000 trabalhadores em 27 estados. As irmandades ferroviárias e"&amp;" a Federação Americana do Trabalho (AFL) se opuseram ao boicote, e a Associação Geral dos Gerentes das Ferrovias coordenou a oposição. Trinta pessoas foram mortas em resposta a tumultos e sabotagem que causaram US $ 80 milhões em danos. O governo federal "&amp;"obteve uma liminar contra o sindicato, Debs e outros líderes de boicote, ordenando que eles parassem de interferir em trens que carregavam carros de correio. Depois que os atacantes se recusaram, o presidente Grover Cleveland ordenou que o exército impedi"&amp;"sse os atacantes de obstruir os trens. A violência eclodiu em muitas cidades, e a greve entrou em colapso. Defendido por uma equipe como Clarence Darrow, Debs foi condenado por violar uma ordem judicial e condenado à prisão; A ARU então se dissolveu.")</f>
        <v> Debs e o ARU chamaram um boicote maciço contra todos os trens que carregavam um carro Pullman. Afetou a maioria das linhas ferroviárias a oeste de Detroit e, em seu pico, envolveu cerca de 250.000 trabalhadores em 27 estados. As irmandades ferroviárias e a Federação Americana do Trabalho (AFL) se opuseram ao boicote, e a Associação Geral dos Gerentes das Ferrovias coordenou a oposição. Trinta pessoas foram mortas em resposta a tumultos e sabotagem que causaram US $ 80 milhões em danos. O governo federal obteve uma liminar contra o sindicato, Debs e outros líderes de boicote, ordenando que eles parassem de interferir em trens que carregavam carros de correio. Depois que os atacantes se recusaram, o presidente Grover Cleveland ordenou que o exército impedisse os atacantes de obstruir os trens. A violência eclodiu em muitas cidades, e a greve entrou em colapso. Defendido por uma equipe como Clarence Darrow, Debs foi condenado por violar uma ordem judicial e condenado à prisão; A ARU então se dissolveu.</v>
      </c>
    </row>
    <row r="778" customFormat="false" ht="15.75" hidden="false" customHeight="true" outlineLevel="0" collapsed="false">
      <c r="A778" s="3" t="n">
        <v>775</v>
      </c>
      <c r="B778" s="5" t="s">
        <v>2321</v>
      </c>
      <c r="C778" s="5" t="s">
        <v>2322</v>
      </c>
      <c r="D778" s="5" t="s">
        <v>2323</v>
      </c>
      <c r="E778" s="4" t="str">
        <f aca="false">IFERROR(__xludf.dummyfunction("GOOGLETRANSLATE(C779)"),"Quando o movimento dos direitos civis ganhou impulso")</f>
        <v>Quando o movimento dos direitos civis ganhou impulso</v>
      </c>
      <c r="F778" s="5" t="str">
        <f aca="false">IFERROR(__xludf.dummyfunction("GOOGLETRANSLATE(D778)")," Newhart mais tarde entrou em atuação, estrelando como psicólogo de Chicago, Dr. Robert Hartley, no show de Bob Newhart, durante a década de 1970, e depois como o estalajadeiro de Vermont, Dick Loudon, na série dos anos 80 Newhart. Ele também teve duas co"&amp;"médias curtas - vividas nos anos 90, intituladas Bob e George e Leo. Newhart também apareceu em papéis cinematográficos como Major em Catch - 22 e Papa Elf em Elf. Ele forneceu a voz de Bernard nos filmes de animação da Walt Disney, os socorristas e os so"&amp;"corristas. Em 2004, ele interpretou o chefe da biblioteca Judson no bibliotecário, um personagem que continuou em 2014 para a série de TV The Librarianns. Em 2013, Newhart fez sua primeira das cinco participações no Big Bang Theory como Professor Proton, "&amp;"pelo qual recebeu seu primeiro prêmio Primetime Emmy em 15 de setembro de 2013.")</f>
        <v> Newhart mais tarde entrou em atuação, estrelando como psicólogo de Chicago, Dr. Robert Hartley, no show de Bob Newhart, durante a década de 1970, e depois como o estalajadeiro de Vermont, Dick Loudon, na série dos anos 80 Newhart. Ele também teve duas comédias curtas - vividas nos anos 90, intituladas Bob e George e Leo. Newhart também apareceu em papéis cinematográficos como Major em Catch - 22 e Papa Elf em Elf. Ele forneceu a voz de Bernard nos filmes de animação da Walt Disney, os socorristas e os socorristas. Em 2004, ele interpretou o chefe da biblioteca Judson no bibliotecário, um personagem que continuou em 2014 para a série de TV The Librarianns. Em 2013, Newhart fez sua primeira das cinco participações no Big Bang Theory como Professor Proton, pelo qual recebeu seu primeiro prêmio Primetime Emmy em 15 de setembro de 2013.</v>
      </c>
    </row>
    <row r="779" customFormat="false" ht="15.75" hidden="false" customHeight="true" outlineLevel="0" collapsed="false">
      <c r="A779" s="3" t="n">
        <v>776</v>
      </c>
      <c r="B779" s="5" t="s">
        <v>2324</v>
      </c>
      <c r="C779" s="5" t="s">
        <v>2325</v>
      </c>
      <c r="D779" s="5" t="s">
        <v>2326</v>
      </c>
      <c r="E779" s="4" t="str">
        <f aca="false">IFERROR(__xludf.dummyfunction("GOOGLETRANSLATE(C780)"),"Qual é a função do chip do controlador de memória (MCC)")</f>
        <v>Qual é a função do chip do controlador de memória (MCC)</v>
      </c>
      <c r="F779" s="5" t="str">
        <f aca="false">IFERROR(__xludf.dummyfunction("GOOGLETRANSLATE(D779)")," O Movimento dos Direitos Civis (também conhecido como Movimento Africano - Americano dos Direitos Civis, Movimento dos Direitos Civis Americanos e outros termos) foi uma década - um longo movimento com o objetivo de garantir direitos legais para os afro "&amp;"-americanos que outros americanos já possuíam. Com as raízes começando na era da reconstrução durante o final do século 19, o movimento resultou nos maiores impactos legislativos após as ações diretas e protestos de base organizados de meados da década de"&amp;" 1950 até 1968. As estratégias abrangentes, vários grupos e os movimentos sociais organizados para atingir os objetivos de acabar com a segregação e discriminação racial legalizadas nos Estados Unidos, o movimento, usando grandes campanhas não -violentas,"&amp;" finalmente garantiu um novo reconhecimento na lei federal e na proteção federal de todos os americanos.")</f>
        <v> O Movimento dos Direitos Civis (também conhecido como Movimento Africano - Americano dos Direitos Civis, Movimento dos Direitos Civis Americanos e outros termos) foi uma década - um longo movimento com o objetivo de garantir direitos legais para os afro -americanos que outros americanos já possuíam. Com as raízes começando na era da reconstrução durante o final do século 19, o movimento resultou nos maiores impactos legislativos após as ações diretas e protestos de base organizados de meados da década de 1950 até 1968. As estratégias abrangentes, vários grupos e os movimentos sociais organizados para atingir os objetivos de acabar com a segregação e discriminação racial legalizadas nos Estados Unidos, o movimento, usando grandes campanhas não -violentas, finalmente garantiu um novo reconhecimento na lei federal e na proteção federal de todos os americanos.</v>
      </c>
    </row>
    <row r="780" customFormat="false" ht="15.75" hidden="false" customHeight="true" outlineLevel="0" collapsed="false">
      <c r="A780" s="3" t="n">
        <v>777</v>
      </c>
      <c r="B780" s="5" t="s">
        <v>2327</v>
      </c>
      <c r="C780" s="5" t="s">
        <v>2328</v>
      </c>
      <c r="D780" s="5" t="s">
        <v>2329</v>
      </c>
      <c r="E780" s="4" t="str">
        <f aca="false">IFERROR(__xludf.dummyfunction("GOOGLETRANSLATE(C781)"),"Quando foi a última vez que Cleveland Browns foi para os playoffs")</f>
        <v>Quando foi a última vez que Cleveland Browns foi para os playoffs</v>
      </c>
      <c r="F780" s="5" t="str">
        <f aca="false">IFERROR(__xludf.dummyfunction("GOOGLETRANSLATE(D780)")," O controlador de memória é um circuito digital que gerencia o fluxo de dados que vai de e para a memória principal do computador. Um controlador de memória pode ser um chip separado ou integrado em outro chip, como ser colocado na mesma matriz ou como pa"&amp;"rte integrante de um microprocessador; Neste último caso, geralmente é chamado de controlador de memória integrado (IMC). Às vezes, um controlador de memória também é chamado de controlador de chip de memória (MCC) ou uma unidade de controlador de memória"&amp;" (MCU).")</f>
        <v> O controlador de memória é um circuito digital que gerencia o fluxo de dados que vai de e para a memória principal do computador. Um controlador de memória pode ser um chip separado ou integrado em outro chip, como ser colocado na mesma matriz ou como parte integrante de um microprocessador; Neste último caso, geralmente é chamado de controlador de memória integrado (IMC). Às vezes, um controlador de memória também é chamado de controlador de chip de memória (MCC) ou uma unidade de controlador de memória (MCU).</v>
      </c>
    </row>
    <row r="781" customFormat="false" ht="15.75" hidden="false" customHeight="true" outlineLevel="0" collapsed="false">
      <c r="A781" s="3" t="n">
        <v>778</v>
      </c>
      <c r="B781" s="5" t="s">
        <v>2330</v>
      </c>
      <c r="C781" s="5" t="s">
        <v>2331</v>
      </c>
      <c r="D781" s="5" t="s">
        <v>2332</v>
      </c>
      <c r="E781" s="4" t="str">
        <f aca="false">IFERROR(__xludf.dummyfunction("GOOGLETRANSLATE(C782)"),"Quem é o vencedor de Sa re Ga Ma Pa Little Champ")</f>
        <v>Quem é o vencedor de Sa re Ga Ma Pa Little Champ</v>
      </c>
      <c r="F781" s="5" t="str">
        <f aca="false">IFERROR(__xludf.dummyfunction("GOOGLETRANSLATE(D781)")," Playoffs secas 0team0 Getue a última aparição nas temporadas pós-temporada Buffalo Bills ^ 1999 AFC Wild Card Playoffs 17 Cleveland Browns ^ 2002 AFC Wild Card Playoffs 14 Los Angeles Rams ^ 2004 Playoffs da Divisão NFC 12 Jacksonville Jaguars ^ 2007 Afc"&amp;" Afc Playoffs 9 Tampa Baía Playoffs do NFC Wild Card 9 Tennessee Titans † 2008 AFC Playoffs Divisional 8 New York Jets 2010 AFC Championship Game 6 Chicago Bears 2010 JOGO DO CAMPEONO NFC 6 Philadelphia Eagles 2013 NFC Wild Card Playoffs 2013 Divisão de D"&amp;"ivisão de Divisão de Divisão de Playoff 2013 Orleans 2013 Playoff Playoff Playoffs Playoffs Orleans Saints 2013 NF NFC Francisco 49ers 2013 NFC Championship Game Baltimore Ravens 2014 Playoffs de divisão AFC Indianapolis Colts 2014 AFC Championship Game C"&amp;"incinnati Bengals 2015 AFC Wild Card Playoffs Minnesota Vikings Willtings ARMAZNOTS ARMINGATINS ARMOFTINS ARMOFTINS ARMATINS ARMATINA ARMATILTINS ARMOFNO CARTINGS ARMOFNOTINS CARTROFNINAS ARMATINS ARMA PLAYTINS ARMA PLAYFINS ARMA PLAYFINS ARMA PLAYFINS AR"&amp;"MA PLAYFINS ARMA PLAYFINS ARMA PLAYFINS ARMA PLAYFINS ARMA Carolina Panthers Super Bowl L Teams de playoff de 2016 Miami Dolphins 2016 AFC Wild Card Playoffs - Oakland Raiders 2016 AFC Wild Card Playoffs - New York Giants 2016 Playoffs da NFC Wild Card - "&amp;"Detroit Lions 2016 Playoffs da NFC Wild Card - Kansas City Chiefs 2016 Playoffs de divisão - Playoffs de Divisão de Divisão de AFC do Houston Texans 2016 - Dallas Cowboys 2016 NFC Division Playoffs - Seattle Seahawks 2016 Playoffs da Divisão da NFC - Pitt"&amp;"sburgh Steelers 2016 Game AFC Championship - Green Bay Packers 2016 NFC Championship Game - Jogo de Patriots da Inglaterra 2016 Li -Atlanta Falcons Super Bowl Li -")</f>
        <v> Playoffs secas 0team0 Getue a última aparição nas temporadas pós-temporada Buffalo Bills ^ 1999 AFC Wild Card Playoffs 17 Cleveland Browns ^ 2002 AFC Wild Card Playoffs 14 Los Angeles Rams ^ 2004 Playoffs da Divisão NFC 12 Jacksonville Jaguars ^ 2007 Afc Afc Playoffs 9 Tampa Baía Playoffs do NFC Wild Card 9 Tennessee Titans † 2008 AFC Playoffs Divisional 8 New York Jets 2010 AFC Championship Game 6 Chicago Bears 2010 JOGO DO CAMPEONO NFC 6 Philadelphia Eagles 2013 NFC Wild Card Playoffs 2013 Divisão de Divisão de Divisão de Divisão de Playoff 2013 Orleans 2013 Playoff Playoff Playoffs Playoffs Orleans Saints 2013 NF NFC Francisco 49ers 2013 NFC Championship Game Baltimore Ravens 2014 Playoffs de divisão AFC Indianapolis Colts 2014 AFC Championship Game Cincinnati Bengals 2015 AFC Wild Card Playoffs Minnesota Vikings Willtings ARMAZNOTS ARMINGATINS ARMOFTINS ARMOFTINS ARMATINS ARMATINA ARMATILTINS ARMOFNO CARTINGS ARMOFNOTINS CARTROFNINAS ARMATINS ARMA PLAYTINS ARMA PLAYFINS ARMA PLAYFINS ARMA PLAYFINS ARMA PLAYFINS ARMA PLAYFINS ARMA PLAYFINS ARMA PLAYFINS ARMA Carolina Panthers Super Bowl L Teams de playoff de 2016 Miami Dolphins 2016 AFC Wild Card Playoffs - Oakland Raiders 2016 AFC Wild Card Playoffs - New York Giants 2016 Playoffs da NFC Wild Card - Detroit Lions 2016 Playoffs da NFC Wild Card - Kansas City Chiefs 2016 Playoffs de divisão - Playoffs de Divisão de Divisão de AFC do Houston Texans 2016 - Dallas Cowboys 2016 NFC Division Playoffs - Seattle Seahawks 2016 Playoffs da Divisão da NFC - Pittsburgh Steelers 2016 Game AFC Championship - Green Bay Packers 2016 NFC Championship Game - Jogo de Patriots da Inglaterra 2016 Li -Atlanta Falcons Super Bowl Li -</v>
      </c>
    </row>
    <row r="782" customFormat="false" ht="15.75" hidden="false" customHeight="true" outlineLevel="0" collapsed="false">
      <c r="A782" s="3" t="n">
        <v>779</v>
      </c>
      <c r="B782" s="5" t="s">
        <v>2333</v>
      </c>
      <c r="C782" s="5" t="s">
        <v>2334</v>
      </c>
      <c r="D782" s="5" t="s">
        <v>2335</v>
      </c>
      <c r="E782" s="4" t="str">
        <f aca="false">IFERROR(__xludf.dummyfunction("GOOGLETRANSLATE(C783)"),"Quem cantou a música tema do programa de TV Good Times")</f>
        <v>Quem cantou a música tema do programa de TV Good Times</v>
      </c>
      <c r="F782" s="5" t="str">
        <f aca="false">IFERROR(__xludf.dummyfunction("GOOGLETRANSLATE(D782)")," Pela primeira vez em L'Il Champs, eles incorporaram o formato criado para Sa Re Ga Ma Pa 2016. Há um grande júri de 30 membros que classifica os competidores e a porcentagem média de suas pontuações é exibida. Himesh Reshammiya, Neha Kakkar e Javed Ali s"&amp;"ão os mentores do show, enquanto Aditya Narayan é o anfitrião. O show saiu do ar em 29 de outubro de 2017, após a grande final em Jaipur. Shreyan Bhattacharya e Anjali Gaikwad foram anunciados como vencedores.")</f>
        <v> Pela primeira vez em L'Il Champs, eles incorporaram o formato criado para Sa Re Ga Ma Pa 2016. Há um grande júri de 30 membros que classifica os competidores e a porcentagem média de suas pontuações é exibida. Himesh Reshammiya, Neha Kakkar e Javed Ali são os mentores do show, enquanto Aditya Narayan é o anfitrião. O show saiu do ar em 29 de outubro de 2017, após a grande final em Jaipur. Shreyan Bhattacharya e Anjali Gaikwad foram anunciados como vencedores.</v>
      </c>
    </row>
    <row r="783" customFormat="false" ht="15.75" hidden="false" customHeight="true" outlineLevel="0" collapsed="false">
      <c r="A783" s="3" t="n">
        <v>780</v>
      </c>
      <c r="B783" s="5" t="s">
        <v>2336</v>
      </c>
      <c r="C783" s="5" t="s">
        <v>2337</v>
      </c>
      <c r="D783" s="5" t="s">
        <v>2338</v>
      </c>
      <c r="E783" s="4" t="str">
        <f aca="false">IFERROR(__xludf.dummyfunction("GOOGLETRANSLATE(C784)"),"Quem interpreta Rob na terceira temporada tão estranha")</f>
        <v>Quem interpreta Rob na terceira temporada tão estranha</v>
      </c>
      <c r="F783" s="5" t="str">
        <f aca="false">IFERROR(__xludf.dummyfunction("GOOGLETRANSLATE(D783)"),"   Good Times Genre Sitcom criado por Eric Monte e Mike Evans, desenvolvido por Norman Lear, dirigido por Gerren Keith Herbert Kenwith Bob Lahendro Donald McKayle Perry Rosemond, estrelado por Esther Rolle (Seasons 1 - 4, 6) John Amos (Seasons 1 - 3) Jimm"&amp;"ie Walker Ja Ja 'Net Dubois Bern Nadette Stanis Ralph Carter Johnny Brown (temporadas 2 - 6) Janet Jackson (temporadas 5 - 6) Ben Powers (temporada 6) Compositor de música tema Dave Grusin Alan Bergman Marilyn Bergman tema `` Good Times' ' Jim Gilstrap e "&amp;"Blinky Williams Composer (s) Dave Grusin Alan e Marilyn Bergman Country of Origin dos Estados Unidos Língua original (s) Número (s) de Inglês das Seas 6 No. dos episódios 133 (Lista de episódios) Produtor (s) executivo (s) de produção (s) Norman Lear ( 19"&amp;"74 - 75) Allan Manings (1974 - 77) Austin e Irma Kalish (1976 - 78) Norman Paul (1975 - 79), produtor (s) Allan Manings Jack Elinson (1975 - 76) Norman Paul Austin e Irma Kalish Lloyd Turner (1977 - 78) Gordon Mitchell (1977 - 78) Sid Dorfman (1978 - 79) "&amp;"Local (s) da CBS Television City, Hollywood, Califórnia (1974 - 75) MetroMedia Square, Hollywood, Califórnia ( 1975-79) Configuração da câmera Tempo de corrida de várias câmeras 22-24 minutos Companhia (s) de produção (s) Tandem Productions Distribuidores"&amp;" Pits Films (1979-1984) Telecomunicações da embaixada (1984-1986) Communications (1986-1988) Columbia Pictures Television (1988 - 1995) Columbia Tristar Television (1995 - 2002) Sony Pictures Television (2002 - presente) Libere o lançamento original da re"&amp;"de CBS original de 8 de fevereiro de 1974 (1974 - 02 - 08) - 1 de agosto de 1979 ( 1979 - 08 - 01) Cronologia precedida por todos na família MAUDE RELACIONADOS SHOVES VERIFICAÇÃO NA HAUSER DE JEFFERSONS ARCHIE BUNKER GLORIA 704 HAUSER")</f>
        <v>   Good Times Genre Sitcom criado por Eric Monte e Mike Evans, desenvolvido por Norman Lear, dirigido por Gerren Keith Herbert Kenwith Bob Lahendro Donald McKayle Perry Rosemond, estrelado por Esther Rolle (Seasons 1 - 4, 6) John Amos (Seasons 1 - 3) Jimmie Walker Ja Ja 'Net Dubois Bern Nadette Stanis Ralph Carter Johnny Brown (temporadas 2 - 6) Janet Jackson (temporadas 5 - 6) Ben Powers (temporada 6) Compositor de música tema Dave Grusin Alan Bergman Marilyn Bergman tema `` Good Times' ' Jim Gilstrap e Blinky Williams Composer (s) Dave Grusin Alan e Marilyn Bergman Country of Origin dos Estados Unidos Língua original (s) Número (s) de Inglês das Seas 6 No. dos episódios 133 (Lista de episódios) Produtor (s) executivo (s) de produção (s) Norman Lear ( 1974 - 75) Allan Manings (1974 - 77) Austin e Irma Kalish (1976 - 78) Norman Paul (1975 - 79), produtor (s) Allan Manings Jack Elinson (1975 - 76) Norman Paul Austin e Irma Kalish Lloyd Turner (1977 - 78) Gordon Mitchell (1977 - 78) Sid Dorfman (1978 - 79) Local (s) da CBS Television City, Hollywood, Califórnia (1974 - 75) MetroMedia Square, Hollywood, Califórnia ( 1975-79) Configuração da câmera Tempo de corrida de várias câmeras 22-24 minutos Companhia (s) de produção (s) Tandem Productions Distribuidores Pits Films (1979-1984) Telecomunicações da embaixada (1984-1986) Communications (1986-1988) Columbia Pictures Television (1988 - 1995) Columbia Tristar Television (1995 - 2002) Sony Pictures Television (2002 - presente) Libere o lançamento original da rede CBS original de 8 de fevereiro de 1974 (1974 - 02 - 08) - 1 de agosto de 1979 ( 1979 - 08 - 01) Cronologia precedida por todos na família MAUDE RELACIONADOS SHOVES VERIFICAÇÃO NA HAUSER DE JEFFERSONS ARCHIE BUNKER GLORIA 704 HAUSER</v>
      </c>
    </row>
    <row r="784" customFormat="false" ht="15.75" hidden="false" customHeight="true" outlineLevel="0" collapsed="false">
      <c r="A784" s="3" t="n">
        <v>781</v>
      </c>
      <c r="B784" s="5" t="s">
        <v>2339</v>
      </c>
      <c r="C784" s="5" t="s">
        <v>2340</v>
      </c>
      <c r="D784" s="5" t="s">
        <v>2341</v>
      </c>
      <c r="E784" s="4" t="str">
        <f aca="false">IFERROR(__xludf.dummyfunction("GOOGLETRANSLATE(C785)"),"A diferenciação gonadal começa aproximadamente em que ponto após a concepção")</f>
        <v>A diferenciação gonadal começa aproximadamente em que ponto após a concepção</v>
      </c>
      <c r="F784" s="5" t="str">
        <f aca="false">IFERROR(__xludf.dummyfunction("GOOGLETRANSLATE(D784)")," Samuel pequeno como Rob Edwards")</f>
        <v> Samuel pequeno como Rob Edwards</v>
      </c>
    </row>
    <row r="785" customFormat="false" ht="15.75" hidden="false" customHeight="true" outlineLevel="0" collapsed="false">
      <c r="A785" s="3" t="n">
        <v>782</v>
      </c>
      <c r="B785" s="5" t="s">
        <v>2342</v>
      </c>
      <c r="C785" s="5" t="s">
        <v>2343</v>
      </c>
      <c r="D785" s="5" t="s">
        <v>2344</v>
      </c>
      <c r="E785" s="4" t="str">
        <f aca="false">IFERROR(__xludf.dummyfunction("GOOGLETRANSLATE(C786)"),"Qual é o melhor guia de carona para a galáxia")</f>
        <v>Qual é o melhor guia de carona para a galáxia</v>
      </c>
      <c r="F785" s="5" t="str">
        <f aca="false">IFERROR(__xludf.dummyfunction("GOOGLETRANSLATE(D785)")," À medida que o zigoto se divide, primeiro se torna o embrião (que significa 'crescendo dentro'), tipicamente entre zero e oito semanas, depois da oitava semana até o nascimento, é considerado o feto (que significa 'descendente não nascido'). Os genitais "&amp;"internos são todas as glândulas e dutos acessórios que conectam as gônadas ao ambiente externo. A genitália externa consiste em todas as estruturas reprodutivas externas. O sexo de um embrião precoce não pode ser determinado porque as estruturas reproduti"&amp;"vas não se diferenciam até a sétima semana. Antes disso, a criança é considerada bipotencial porque não pode ser identificada como homem ou mulher.")</f>
        <v> À medida que o zigoto se divide, primeiro se torna o embrião (que significa 'crescendo dentro'), tipicamente entre zero e oito semanas, depois da oitava semana até o nascimento, é considerado o feto (que significa 'descendente não nascido'). Os genitais internos são todas as glândulas e dutos acessórios que conectam as gônadas ao ambiente externo. A genitália externa consiste em todas as estruturas reprodutivas externas. O sexo de um embrião precoce não pode ser determinado porque as estruturas reprodutivas não se diferenciam até a sétima semana. Antes disso, a criança é considerada bipotencial porque não pode ser identificada como homem ou mulher.</v>
      </c>
    </row>
    <row r="786" customFormat="false" ht="15.75" hidden="false" customHeight="true" outlineLevel="0" collapsed="false">
      <c r="A786" s="3" t="n">
        <v>783</v>
      </c>
      <c r="B786" s="5" t="s">
        <v>2345</v>
      </c>
      <c r="C786" s="5" t="s">
        <v>2346</v>
      </c>
      <c r="D786" s="5" t="s">
        <v>2347</v>
      </c>
      <c r="E786" s="4" t="str">
        <f aca="false">IFERROR(__xludf.dummyfunction("GOOGLETRANSLATE(C787)"),"quem escreveu a casta de livro na política indiana")</f>
        <v>quem escreveu a casta de livro na política indiana</v>
      </c>
      <c r="F786" s="5" t="str">
        <f aca="false">IFERROR(__xludf.dummyfunction("GOOGLETRANSLATE(D786)")," Publicado em 1997, esta edição final do Omnibus de 832 - Leatherbound contém cinco romances da série Hitchhiker e um conto:")</f>
        <v> Publicado em 1997, esta edição final do Omnibus de 832 - Leatherbound contém cinco romances da série Hitchhiker e um conto:</v>
      </c>
    </row>
    <row r="787" customFormat="false" ht="15.75" hidden="false" customHeight="true" outlineLevel="0" collapsed="false">
      <c r="A787" s="3" t="n">
        <v>784</v>
      </c>
      <c r="B787" s="5" t="s">
        <v>2348</v>
      </c>
      <c r="C787" s="5" t="s">
        <v>2349</v>
      </c>
      <c r="D787" s="5" t="s">
        <v>2350</v>
      </c>
      <c r="E787" s="4" t="str">
        <f aca="false">IFERROR(__xludf.dummyfunction("GOOGLETRANSLATE(C788)"),"O que aconteceu com Rachel do X Factor")</f>
        <v>O que aconteceu com Rachel do X Factor</v>
      </c>
      <c r="F787" s="5" t="str">
        <f aca="false">IFERROR(__xludf.dummyfunction("GOOGLETRANSLATE(D787)")," Um dos grandes pensadores políticos do século XX, entre suas obras notáveis ​​incluem política na Índia (1970), Caste in Indian Politics (1973) e repensando a democracia (2005). Em 1985, Lokayan recebeu o prêmio de subsistência correta.")</f>
        <v> Um dos grandes pensadores políticos do século XX, entre suas obras notáveis ​​incluem política na Índia (1970), Caste in Indian Politics (1973) e repensando a democracia (2005). Em 1985, Lokayan recebeu o prêmio de subsistência correta.</v>
      </c>
    </row>
    <row r="788" customFormat="false" ht="15.75" hidden="false" customHeight="true" outlineLevel="0" collapsed="false">
      <c r="A788" s="3" t="n">
        <v>785</v>
      </c>
      <c r="B788" s="5" t="s">
        <v>2351</v>
      </c>
      <c r="C788" s="5" t="s">
        <v>2352</v>
      </c>
      <c r="D788" s="5" t="s">
        <v>2353</v>
      </c>
      <c r="E788" s="4" t="str">
        <f aca="false">IFERROR(__xludf.dummyfunction("GOOGLETRANSLATE(C789)"),"Quem é a mãe do filho de Kevin na Coronation Street")</f>
        <v>Quem é a mãe do filho de Kevin na Coronation Street</v>
      </c>
      <c r="F788" s="5" t="str">
        <f aca="false">IFERROR(__xludf.dummyfunction("GOOGLETRANSLATE(D788)")," Rachel Kelly Crow (nascida em 23 de janeiro de 1998) é uma cantora, comediante e atriz americana. Nascida em Mead, Colorado, ela participou da primeira temporada da versão americana do X Factor em 2011, onde terminou em quinto lugar. Após sua eliminação,"&amp;" ela entrou em contato com Walt Disney para possíveis papéis nas futuras produções da Disney. Isso resultou em seu estrelado em vários programas de televisão e filmes, incluindo Brainsurge, Inside Edition, Big Time Rush, Descobrir, o Wendy Williams Show e"&amp;" Fred: The Show. Crow lançou seu primeiro e homônimo Extended Play (EP) em junho de 2012.")</f>
        <v> Rachel Kelly Crow (nascida em 23 de janeiro de 1998) é uma cantora, comediante e atriz americana. Nascida em Mead, Colorado, ela participou da primeira temporada da versão americana do X Factor em 2011, onde terminou em quinto lugar. Após sua eliminação, ela entrou em contato com Walt Disney para possíveis papéis nas futuras produções da Disney. Isso resultou em seu estrelado em vários programas de televisão e filmes, incluindo Brainsurge, Inside Edition, Big Time Rush, Descobrir, o Wendy Williams Show e Fred: The Show. Crow lançou seu primeiro e homônimo Extended Play (EP) em junho de 2012.</v>
      </c>
    </row>
    <row r="789" customFormat="false" ht="15.75" hidden="false" customHeight="true" outlineLevel="0" collapsed="false">
      <c r="A789" s="3" t="n">
        <v>786</v>
      </c>
      <c r="B789" s="5" t="s">
        <v>2354</v>
      </c>
      <c r="C789" s="5" t="s">
        <v>2355</v>
      </c>
      <c r="D789" s="5" t="s">
        <v>2356</v>
      </c>
      <c r="E789" s="4" t="str">
        <f aca="false">IFERROR(__xludf.dummyfunction("GOOGLETRANSLATE(C790)"),"Quem era o arquiteto do edifício Woolworth qual foi o custo final do edifício")</f>
        <v>Quem era o arquiteto do edifício Woolworth qual foi o custo final do edifício</v>
      </c>
      <c r="F789" s="5" t="str">
        <f aca="false">IFERROR(__xludf.dummyfunction("GOOGLETRANSLATE(D789)")," Em 6 de setembro de 2010, Molly dá à luz seu filho, Jack. De repente, ela entra em trabalho de parto em sua casa e é deixada para Sally entregar o bebê quando Tyrone está em uma chamada de colapso - fora. Depois que Kevin concorda com si mesmo e Sally se"&amp;"ndo padrinhos, Molly fica furiosa e diz a Kevin que ela quer que ele não participe da vida de Jack. Kevin então pede a Molly um teste de DNA para provar que ele é o pai, mas ela se recusa e escolhe acreditar que Tyrone é o pai de Jack. Kevin rouba o maneq"&amp;"uim de Jack em The Rovers, seguindo seu batismo e o envia para testes. Em 5 de novembro de 2010, Kevin recebe os resultados dos testes de DNA, provando que ele é o pai. Ele mostra os resultados a Molly e ela fica perturbada e furiosa com Kevin por ir atrá"&amp;"s dela nas costas.")</f>
        <v> Em 6 de setembro de 2010, Molly dá à luz seu filho, Jack. De repente, ela entra em trabalho de parto em sua casa e é deixada para Sally entregar o bebê quando Tyrone está em uma chamada de colapso - fora. Depois que Kevin concorda com si mesmo e Sally sendo padrinhos, Molly fica furiosa e diz a Kevin que ela quer que ele não participe da vida de Jack. Kevin então pede a Molly um teste de DNA para provar que ele é o pai, mas ela se recusa e escolhe acreditar que Tyrone é o pai de Jack. Kevin rouba o manequim de Jack em The Rovers, seguindo seu batismo e o envia para testes. Em 5 de novembro de 2010, Kevin recebe os resultados dos testes de DNA, provando que ele é o pai. Ele mostra os resultados a Molly e ela fica perturbada e furiosa com Kevin por ir atrás dela nas costas.</v>
      </c>
    </row>
    <row r="790" customFormat="false" ht="15.75" hidden="false" customHeight="true" outlineLevel="0" collapsed="false">
      <c r="A790" s="3" t="n">
        <v>787</v>
      </c>
      <c r="B790" s="5" t="s">
        <v>2357</v>
      </c>
      <c r="C790" s="5" t="s">
        <v>2358</v>
      </c>
      <c r="D790" s="5" t="s">
        <v>2359</v>
      </c>
      <c r="E790" s="4" t="str">
        <f aca="false">IFERROR(__xludf.dummyfunction("GOOGLETRANSLATE(C791)"),"Qual é a estrutura de um tecido conjuntivo")</f>
        <v>Qual é a estrutura de um tecido conjuntivo</v>
      </c>
      <c r="F790" s="5" t="str">
        <f aca="false">IFERROR(__xludf.dummyfunction("GOOGLETRANSLATE(D790)")," O edifício Woolworth foi projetado no estilo neol -gótico pelo arquiteto Cass Gilbert, que Frank Woolworth encomendou em 1910 para projetar um edifício de escritórios de 20 story como a nova sede corporativa da F.W. Woolworth na Broadway, entre Park Plac"&amp;"e e Barclay Street na parte inferior de Manhattan, em frente à prefeitura. Originalmente projetado para ter 130 metros de altura, o edifício acabou sendo elevado a 792 pés (241 m). Na sua abertura, o edifício Woolworth tinha 60 andares de altura e tinha m"&amp;"ais de 5.000 janelas. O custo da construção foi de US $ 13,5 milhões. Com o Irving National Exchange Bank, Woolworth criou a Broadway - Park Place Company para financiar o prédio, mas em maio de 1914 havia comprado todas as ações do banco, possuindo assim"&amp;" o prédio. Após a conclusão, o edifício Woolworth liderou o recorde estabelecido pela Metropolitan Life Insurance Company Tower como o edifício mais alto do mundo.")</f>
        <v> O edifício Woolworth foi projetado no estilo neol -gótico pelo arquiteto Cass Gilbert, que Frank Woolworth encomendou em 1910 para projetar um edifício de escritórios de 20 story como a nova sede corporativa da F.W. Woolworth na Broadway, entre Park Place e Barclay Street na parte inferior de Manhattan, em frente à prefeitura. Originalmente projetado para ter 130 metros de altura, o edifício acabou sendo elevado a 792 pés (241 m). Na sua abertura, o edifício Woolworth tinha 60 andares de altura e tinha mais de 5.000 janelas. O custo da construção foi de US $ 13,5 milhões. Com o Irving National Exchange Bank, Woolworth criou a Broadway - Park Place Company para financiar o prédio, mas em maio de 1914 havia comprado todas as ações do banco, possuindo assim o prédio. Após a conclusão, o edifício Woolworth liderou o recorde estabelecido pela Metropolitan Life Insurance Company Tower como o edifício mais alto do mundo.</v>
      </c>
    </row>
    <row r="791" customFormat="false" ht="15.75" hidden="false" customHeight="true" outlineLevel="0" collapsed="false">
      <c r="A791" s="3" t="n">
        <v>788</v>
      </c>
      <c r="B791" s="5" t="s">
        <v>2360</v>
      </c>
      <c r="C791" s="5" t="s">
        <v>2361</v>
      </c>
      <c r="D791" s="5" t="s">
        <v>2362</v>
      </c>
      <c r="E791" s="4" t="str">
        <f aca="false">IFERROR(__xludf.dummyfunction("GOOGLETRANSLATE(C792)"),"Quando eles descobrem que Katherine está no corpo de Elenas")</f>
        <v>Quando eles descobrem que Katherine está no corpo de Elenas</v>
      </c>
      <c r="F791" s="5" t="str">
        <f aca="false">IFERROR(__xludf.dummyfunction("GOOGLETRANSLATE(D791)")," O tecido conjuntivo (TC) é um dos quatro tipos básicos de tecido animal, juntamente com tecido epitelial, tecido muscular e tecido nervoso. Ele se desenvolve a partir do mesoderma. O tecido conjuntivo é encontrado entre outros tecidos em todo o corpo, in"&amp;"cluindo o sistema nervoso. No sistema nervoso central, as três membranas externas (as meningas) que envelopem o cérebro e a medula espinhal são compostas por tecido conjuntivo. Eles apóiam e protegem o corpo. Todo o tecido conjuntivo consiste em três comp"&amp;"onentes principais: fibras (fibras elásticas e colágenas), substância e células terrestres. Nem todas as autoridades incluem sangue ou linfa como tecido conjuntivo porque não possuem o componente de fibra. Todos estão imersos na água do corpo.")</f>
        <v> O tecido conjuntivo (TC) é um dos quatro tipos básicos de tecido animal, juntamente com tecido epitelial, tecido muscular e tecido nervoso. Ele se desenvolve a partir do mesoderma. O tecido conjuntivo é encontrado entre outros tecidos em todo o corpo, incluindo o sistema nervoso. No sistema nervoso central, as três membranas externas (as meningas) que envelopem o cérebro e a medula espinhal são compostas por tecido conjuntivo. Eles apóiam e protegem o corpo. Todo o tecido conjuntivo consiste em três componentes principais: fibras (fibras elásticas e colágenas), substância e células terrestres. Nem todas as autoridades incluem sangue ou linfa como tecido conjuntivo porque não possuem o componente de fibra. Todos estão imersos na água do corpo.</v>
      </c>
    </row>
    <row r="792" customFormat="false" ht="15.75" hidden="false" customHeight="true" outlineLevel="0" collapsed="false">
      <c r="A792" s="3" t="n">
        <v>789</v>
      </c>
      <c r="B792" s="5" t="s">
        <v>2363</v>
      </c>
      <c r="C792" s="5" t="s">
        <v>2364</v>
      </c>
      <c r="D792" s="5" t="s">
        <v>2365</v>
      </c>
      <c r="E792" s="4" t="str">
        <f aca="false">IFERROR(__xludf.dummyfunction("GOOGLETRANSLATE(C793)"),"Quem tem o recorde de maioria dos home runs no home run derby")</f>
        <v>Quem tem o recorde de maioria dos home runs no home run derby</v>
      </c>
      <c r="F792" s="5" t="str">
        <f aca="false">IFERROR(__xludf.dummyfunction("GOOGLETRANSLATE(D792)")," Damon acorda acorrentado no porão da casa de Salvatore. Stefan está lá e Damon tenta avisar que, por causa de seus desejos, um dia ele o matará, mas Stefan diz a ele que eles encontrarão uma solução. Damon aponta para Stefan que `` Elena '' o provocou a "&amp;"se alimentar dela e então ela chutou uma estaca em sua direção para que ele o matasse. Stefan não acredita que Elena queira isso, ele trava Damon e levanta as escadas onde Caroline está. Os dois discutem o que aconteceu entre Stefan e `` Elena '' e Caroli"&amp;"ne também diz a ele sobre Nadia e Matt e o texto que ele enviou a ela. Do texto de Matt, que usou `` k '' e não `` e '', eles juntam as peças e percebem que Katherine está no corpo de Elena.")</f>
        <v> Damon acorda acorrentado no porão da casa de Salvatore. Stefan está lá e Damon tenta avisar que, por causa de seus desejos, um dia ele o matará, mas Stefan diz a ele que eles encontrarão uma solução. Damon aponta para Stefan que `` Elena '' o provocou a se alimentar dela e então ela chutou uma estaca em sua direção para que ele o matasse. Stefan não acredita que Elena queira isso, ele trava Damon e levanta as escadas onde Caroline está. Os dois discutem o que aconteceu entre Stefan e `` Elena '' e Caroline também diz a ele sobre Nadia e Matt e o texto que ele enviou a ela. Do texto de Matt, que usou `` k '' e não `` e '', eles juntam as peças e percebem que Katherine está no corpo de Elena.</v>
      </c>
    </row>
    <row r="793" customFormat="false" ht="15.75" hidden="false" customHeight="true" outlineLevel="0" collapsed="false">
      <c r="A793" s="3" t="n">
        <v>790</v>
      </c>
      <c r="B793" s="5" t="s">
        <v>2366</v>
      </c>
      <c r="C793" s="5" t="s">
        <v>2367</v>
      </c>
      <c r="D793" s="5" t="s">
        <v>2368</v>
      </c>
      <c r="E793" s="4" t="str">
        <f aca="false">IFERROR(__xludf.dummyfunction("GOOGLETRANSLATE(C794)"),"O que a Arca significa na sobrevivência da Arca evoluiu")</f>
        <v>O que a Arca significa na sobrevivência da Arca evoluiu</v>
      </c>
      <c r="F793" s="5" t="str">
        <f aca="false">IFERROR(__xludf.dummyfunction("GOOGLETRANSLATE(D793)"),"  GIANCARLO Stanton (2016) - 61 Aaron Judge (2017) - 47 Todd Frazier (2016) - 42 Bobby Abreu (2005) - 41 Joc Pederson (2015), Todd Frazier (2015) - 39 Josh Hamilton (2008) - 35 David Ortiz (2015) - 39 (2010), Robinson Canó (2011), Yoenis Céspedes (2013), "&amp;"Miguel Sanó (2017) - 32 Adrian Gonzalez (2011) - 31 Mark Trumbo (2016) - 30 Prince Fielder (2012), Yoenis Céspedes (2014) - 28")</f>
        <v>  GIANCARLO Stanton (2016) - 61 Aaron Judge (2017) - 47 Todd Frazier (2016) - 42 Bobby Abreu (2005) - 41 Joc Pederson (2015), Todd Frazier (2015) - 39 Josh Hamilton (2008) - 35 David Ortiz (2015) - 39 (2010), Robinson Canó (2011), Yoenis Céspedes (2013), Miguel Sanó (2017) - 32 Adrian Gonzalez (2011) - 31 Mark Trumbo (2016) - 30 Prince Fielder (2012), Yoenis Céspedes (2014) - 28</v>
      </c>
    </row>
    <row r="794" customFormat="false" ht="15.75" hidden="false" customHeight="true" outlineLevel="0" collapsed="false">
      <c r="A794" s="3" t="n">
        <v>791</v>
      </c>
      <c r="B794" s="5" t="s">
        <v>2369</v>
      </c>
      <c r="C794" s="5" t="s">
        <v>2370</v>
      </c>
      <c r="D794" s="5" t="s">
        <v>2371</v>
      </c>
      <c r="E794" s="4" t="str">
        <f aca="false">IFERROR(__xludf.dummyfunction("GOOGLETRANSLATE(C795)"),"Quando foi lançada a primeira temporada das Américas.")</f>
        <v>Quando foi lançada a primeira temporada das Américas.</v>
      </c>
      <c r="F794" s="5" t="str">
        <f aca="false">IFERROR(__xludf.dummyfunction("GOOGLETRANSLATE(D794)")," Ark: A sobrevivência evoluiu é um jogo de ação de aventura - ambientado em um ambiente de mundo aberto e jogou de uma terceira pessoa ou primeira pessoa - perspectiva de pessoa. Para sobreviver, os jogadores devem estabelecer uma base, com um incêndio e "&amp;"armas; Atividades adicionais, como domar e alimentar dinossauros, requerem mais recursos. O mundo do jogo, conhecido como `` ark '', é de aproximadamente 48 km (19 metros quadrados) de tamanho: há aproximadamente 36 km (14 m²) de terra com 12 km (4,6 m²) "&amp;"do oceano.")</f>
        <v> Ark: A sobrevivência evoluiu é um jogo de ação de aventura - ambientado em um ambiente de mundo aberto e jogou de uma terceira pessoa ou primeira pessoa - perspectiva de pessoa. Para sobreviver, os jogadores devem estabelecer uma base, com um incêndio e armas; Atividades adicionais, como domar e alimentar dinossauros, requerem mais recursos. O mundo do jogo, conhecido como `` ark '', é de aproximadamente 48 km (19 metros quadrados) de tamanho: há aproximadamente 36 km (14 m²) de terra com 12 km (4,6 m²) do oceano.</v>
      </c>
    </row>
    <row r="795" customFormat="false" ht="15.75" hidden="false" customHeight="true" outlineLevel="0" collapsed="false">
      <c r="A795" s="3" t="n">
        <v>792</v>
      </c>
      <c r="B795" s="5" t="s">
        <v>2372</v>
      </c>
      <c r="C795" s="5" t="s">
        <v>2373</v>
      </c>
      <c r="D795" s="5" t="s">
        <v>2374</v>
      </c>
      <c r="E795" s="4" t="str">
        <f aca="false">IFERROR(__xludf.dummyfunction("GOOGLETRANSLATE(C796)"),"Quais são os Wombats de nariz peludos do norte predadores")</f>
        <v>Quais são os Wombats de nariz peludos do norte predadores</v>
      </c>
      <c r="F795" s="5" t="str">
        <f aca="false">IFERROR(__xludf.dummyfunction("GOOGLETRANSLATE(D795)")," O próximo modelo dos Estados Unidos, o Ciclo 1 foi o primeiro ciclo do próximo modelo da América. Originalmente, foi ao ar na UPN de maio a julho de 2003 e foi apresentado por Tyra Banks, que também atuou como seu produtor e apresentador executivo. O pai"&amp;"nel de julgamento consistia em bancos, Janice Dickinson, Kimora Lee Simmons e Beau Quillian. O slogan do ciclo era `` uma garota tem o que é preciso ''.")</f>
        <v> O próximo modelo dos Estados Unidos, o Ciclo 1 foi o primeiro ciclo do próximo modelo da América. Originalmente, foi ao ar na UPN de maio a julho de 2003 e foi apresentado por Tyra Banks, que também atuou como seu produtor e apresentador executivo. O painel de julgamento consistia em bancos, Janice Dickinson, Kimora Lee Simmons e Beau Quillian. O slogan do ciclo era `` uma garota tem o que é preciso ''.</v>
      </c>
    </row>
    <row r="796" customFormat="false" ht="15.75" hidden="false" customHeight="true" outlineLevel="0" collapsed="false">
      <c r="A796" s="3" t="n">
        <v>793</v>
      </c>
      <c r="B796" s="5" t="s">
        <v>2375</v>
      </c>
      <c r="C796" s="5" t="s">
        <v>2376</v>
      </c>
      <c r="D796" s="5" t="s">
        <v>2377</v>
      </c>
      <c r="E796" s="4" t="str">
        <f aca="false">IFERROR(__xludf.dummyfunction("GOOGLETRANSLATE(C797)"),"que interpretou Max como uma menina em Wizards of Waverly Place")</f>
        <v>que interpretou Max como uma menina em Wizards of Waverly Place</v>
      </c>
      <c r="F796" s="5" t="str">
        <f aca="false">IFERROR(__xludf.dummyfunction("GOOGLETRANSLATE(D796)")," As ameaças ao norte do norte - o fúria de nariz incluem pequeno tamanho populacional, predação, competição por alimentos, doenças, inundações, secas, incêndios florestais e perda de habitat. Sua pequena população altamente localizada torna a espécie espe"&amp;"cialmente vulnerável a desastres naturais. Cães selvagens são o predador principal do Wombat. O Habitat, no Parque Nacional Florestal de Epping, está agora bem - protegido para obter melhores chances de sobrevivência.")</f>
        <v> As ameaças ao norte do norte - o fúria de nariz incluem pequeno tamanho populacional, predação, competição por alimentos, doenças, inundações, secas, incêndios florestais e perda de habitat. Sua pequena população altamente localizada torna a espécie especialmente vulnerável a desastres naturais. Cães selvagens são o predador principal do Wombat. O Habitat, no Parque Nacional Florestal de Epping, está agora bem - protegido para obter melhores chances de sobrevivência.</v>
      </c>
    </row>
    <row r="797" customFormat="false" ht="15.75" hidden="false" customHeight="true" outlineLevel="0" collapsed="false">
      <c r="A797" s="3" t="n">
        <v>794</v>
      </c>
      <c r="B797" s="5" t="s">
        <v>2378</v>
      </c>
      <c r="C797" s="5" t="s">
        <v>2379</v>
      </c>
      <c r="D797" s="5" t="s">
        <v>2380</v>
      </c>
      <c r="E797" s="4" t="str">
        <f aca="false">IFERROR(__xludf.dummyfunction("GOOGLETRANSLATE(C798)"),"da última vez que cada equipe da NFL venceu um jogo de playoff")</f>
        <v>da última vez que cada equipe da NFL venceu um jogo de playoff</v>
      </c>
      <c r="F797" s="5" t="str">
        <f aca="false">IFERROR(__xludf.dummyfunction("GOOGLETRANSLATE(D797)")," Em 2011, Madison teve um papel recorrente no Disney Channel Original Series Wizards of Waverly Place como Maxine, a forma feminina de Max Russo. Ela também apareceu em ir com isso, ao lado de Adam Sandler e Jennifer Aniston, como Maggie Murphy, uma jovem"&amp;" que quer se tornar uma atriz. Madison pode ser visto no filme de drama, um sinal invisível como a versão mais jovem da personagem de Jessica Alba Mona Gray. Ela estrelou seu primeiro papel de liderança no filme de terror, não tem medo do escuro, ao lado "&amp;"de Katie Holmes e Guy Pearce, onde ela retratou Sally Hurst, uma criança solitária que é enviada para morar com seu pai e sua nova namorada .")</f>
        <v> Em 2011, Madison teve um papel recorrente no Disney Channel Original Series Wizards of Waverly Place como Maxine, a forma feminina de Max Russo. Ela também apareceu em ir com isso, ao lado de Adam Sandler e Jennifer Aniston, como Maggie Murphy, uma jovem que quer se tornar uma atriz. Madison pode ser visto no filme de drama, um sinal invisível como a versão mais jovem da personagem de Jessica Alba Mona Gray. Ela estrelou seu primeiro papel de liderança no filme de terror, não tem medo do escuro, ao lado de Katie Holmes e Guy Pearce, onde ela retratou Sally Hurst, uma criança solitária que é enviada para morar com seu pai e sua nova namorada .</v>
      </c>
    </row>
    <row r="798" customFormat="false" ht="15.75" hidden="false" customHeight="true" outlineLevel="0" collapsed="false">
      <c r="A798" s="3" t="n">
        <v>795</v>
      </c>
      <c r="B798" s="5" t="s">
        <v>2381</v>
      </c>
      <c r="C798" s="5" t="s">
        <v>2382</v>
      </c>
      <c r="D798" s="5" t="s">
        <v>2383</v>
      </c>
      <c r="E798" s="4" t="str">
        <f aca="false">IFERROR(__xludf.dummyfunction("GOOGLETRANSLATE(C799)"),"Onde os gêmeos Dolan moravam em NJ")</f>
        <v>Onde os gêmeos Dolan moravam em NJ</v>
      </c>
      <c r="F798" s="5" t="str">
        <f aca="false">IFERROR(__xludf.dummyfunction("GOOGLETRANSLATE(D798)")," Playoff secas 0team0 Última aparição nas temporadas pós-temporada Cleveland Browns ^ 2002 AFC Playoffs de Wild Cards 15 Tampa Bay Buccaneers 2007 NFC Wild Card Playoffs 10 New York Jets 2010 AFC Championship 7 Chicago Bears 2010 NFC Championship Game 7 L"&amp;"os Angeles Chargers 2013 AFC Divisional Playoffs SAN FRANCISCO 49ers 2013 NFC Championship Game Baltimore Ravens 2014 Playoffs de divisão AFC Indianapolis Colts 2014 AFC Championship Game Cincinnati Bengals 2015 AFC Wild Card Playoffs Washington Redskins "&amp;"2015 NFC Wild Cards Playoffs Arizona Cardins 2015 Merda -Cardins 2015 Denfc Championschskins 2015 NFC Wild Cards Playoffs ARIZONACONIANTO 2015 NFC CAMPONSHIPSO GAMPO CAMPONSCIME Playoffs Oakland Raiders 2016 AFC Wild Card Playoffs New York Giants 2016 NFC"&amp;" Wild Card Playoffs Detroit Lions 2016 NFC Wild Card Playoffs Houston Texans 2016 AFC Divisional Playoffs Dallas Cowboys Green 2016 Playoffs Divisional Seattle Seahawks 2016 Equipes Buffalo Bills 2017 AFC Wild Card Playoffs - Tennessee Titans 2017 AFC Wil"&amp;"d Card Playoffs - Kansas City Chiefs 2017 AFC Wild Card Playoffs - Jacksonville Jaguars 2017 AFC Wild Card Playoffs - Atlanta Falcons 2017 NFC Wild Card Playoffs - Carolina Panthers 2017 Playoffs da NFC Wild Card - New Orleans Saints 2017 Playoffs de Clar"&amp;"im Wild Card NFC - Los Angeles Rams 2017 Playoffs de Wild Card NFC - Pittsburgh Steelers 2017 AFC Divisional Playoffs - New England Patriots 2017 Playoffs de divisão da AFC - Minnesota Vikings 2017 NFC Divisional Playoffs - - Philadelphia Eagles 2017 NFC "&amp;"Divisional Playoffs -")</f>
        <v> Playoff secas 0team0 Última aparição nas temporadas pós-temporada Cleveland Browns ^ 2002 AFC Playoffs de Wild Cards 15 Tampa Bay Buccaneers 2007 NFC Wild Card Playoffs 10 New York Jets 2010 AFC Championship 7 Chicago Bears 2010 NFC Championship Game 7 Los Angeles Chargers 2013 AFC Divisional Playoffs SAN FRANCISCO 49ers 2013 NFC Championship Game Baltimore Ravens 2014 Playoffs de divisão AFC Indianapolis Colts 2014 AFC Championship Game Cincinnati Bengals 2015 AFC Wild Card Playoffs Washington Redskins 2015 NFC Wild Cards Playoffs Arizona Cardins 2015 Merda -Cardins 2015 Denfc Championschskins 2015 NFC Wild Cards Playoffs ARIZONACONIANTO 2015 NFC CAMPONSHIPSO GAMPO CAMPONSCIME Playoffs Oakland Raiders 2016 AFC Wild Card Playoffs New York Giants 2016 NFC Wild Card Playoffs Detroit Lions 2016 NFC Wild Card Playoffs Houston Texans 2016 AFC Divisional Playoffs Dallas Cowboys Green 2016 Playoffs Divisional Seattle Seahawks 2016 Equipes Buffalo Bills 2017 AFC Wild Card Playoffs - Tennessee Titans 2017 AFC Wild Card Playoffs - Kansas City Chiefs 2017 AFC Wild Card Playoffs - Jacksonville Jaguars 2017 AFC Wild Card Playoffs - Atlanta Falcons 2017 NFC Wild Card Playoffs - Carolina Panthers 2017 Playoffs da NFC Wild Card - New Orleans Saints 2017 Playoffs de Clarim Wild Card NFC - Los Angeles Rams 2017 Playoffs de Wild Card NFC - Pittsburgh Steelers 2017 AFC Divisional Playoffs - New England Patriots 2017 Playoffs de divisão da AFC - Minnesota Vikings 2017 NFC Divisional Playoffs - - Philadelphia Eagles 2017 NFC Divisional Playoffs -</v>
      </c>
    </row>
    <row r="799" customFormat="false" ht="15.75" hidden="false" customHeight="true" outlineLevel="0" collapsed="false">
      <c r="A799" s="3" t="n">
        <v>796</v>
      </c>
      <c r="B799" s="5" t="s">
        <v>2384</v>
      </c>
      <c r="C799" s="5" t="s">
        <v>2385</v>
      </c>
      <c r="D799" s="5" t="s">
        <v>2386</v>
      </c>
      <c r="E799" s="4" t="str">
        <f aca="false">IFERROR(__xludf.dummyfunction("GOOGLETRANSLATE(C800)"),"que interpretou Stephanie em tudo na família")</f>
        <v>que interpretou Stephanie em tudo na família</v>
      </c>
      <c r="F799" s="5" t="str">
        <f aca="false">IFERROR(__xludf.dummyfunction("GOOGLETRANSLATE(D799)")," Os gêmeos são da seção Long Valley do município de Washington, Morris County, Nova Jersey.")</f>
        <v> Os gêmeos são da seção Long Valley do município de Washington, Morris County, Nova Jersey.</v>
      </c>
    </row>
    <row r="800" customFormat="false" ht="15.75" hidden="false" customHeight="true" outlineLevel="0" collapsed="false">
      <c r="A800" s="3" t="n">
        <v>797</v>
      </c>
      <c r="B800" s="5" t="s">
        <v>2387</v>
      </c>
      <c r="C800" s="5" t="s">
        <v>2388</v>
      </c>
      <c r="D800" s="5" t="s">
        <v>2389</v>
      </c>
      <c r="E800" s="4" t="str">
        <f aca="false">IFERROR(__xludf.dummyfunction("GOOGLETRANSLATE(C801)"),"Quantos episódios de casado na primeira temporada da 5ª temporada")</f>
        <v>Quantos episódios de casado na primeira temporada da 5ª temporada</v>
      </c>
      <c r="F800" s="5" t="str">
        <f aca="false">IFERROR(__xludf.dummyfunction("GOOGLETRANSLATE(D800)")," Stephanie Mills (nascida por volta de 1969) era uma personagem da comédia da situação americana da televisão americana da década de 1970, All in the Family and the Follow - Up, o Place de Archie Bunker. Ela foi retratada pela atriz infantil Danielle Bise"&amp;"bois, que se juntou a todos na família em 1978. Brisebois continuou no papel até que o lugar de Archie Bunker terminou sua corrida em 1983.")</f>
        <v> Stephanie Mills (nascida por volta de 1969) era uma personagem da comédia da situação americana da televisão americana da década de 1970, All in the Family and the Follow - Up, o Place de Archie Bunker. Ela foi retratada pela atriz infantil Danielle Bisebois, que se juntou a todos na família em 1978. Brisebois continuou no papel até que o lugar de Archie Bunker terminou sua corrida em 1983.</v>
      </c>
    </row>
    <row r="801" customFormat="false" ht="15.75" hidden="false" customHeight="true" outlineLevel="0" collapsed="false">
      <c r="A801" s="3" t="n">
        <v>798</v>
      </c>
      <c r="B801" s="5" t="s">
        <v>2390</v>
      </c>
      <c r="C801" s="5" t="s">
        <v>2391</v>
      </c>
      <c r="D801" s="5" t="s">
        <v>2392</v>
      </c>
      <c r="E801" s="4" t="str">
        <f aca="false">IFERROR(__xludf.dummyfunction("GOOGLETRANSLATE(C802)"),"quem canta a música country acende")</f>
        <v>quem canta a música country acende</v>
      </c>
      <c r="F801" s="5" t="str">
        <f aca="false">IFERROR(__xludf.dummyfunction("GOOGLETRANSLATE(D801)"),"   Não . Título Data do ar Air Ratings Overnight Ratings Ratings Consolidados Total dos espectadores Ref (s) Os espectadores classificam os espectadores do Episódio 1 29 de janeiro de 2018 912.000 7 102.000 5 1.014.000 Episódio 2 30 de janeiro de 2018 907"&amp;".000 5 101.000 1.008.000 episódios 3 31 Janeiro 2018 929.000 81.000 1.010.000 episódios 4 1 1 de febra 96.000 1.091.000 5 episódio 5 4 de fevereiro de 2018 835.000 5 102.000 937.000 6 Episódio 6 5 fevereiro de 2018 879.000 6 101.000 978.000 7 Episódio 7 6"&amp;" fevereiro de 2018 899.000 7 130.000 1,029.000 8 episódio 8 8 de fevereiro de 2018 938.000 124.000 1,0,000,.000 1,029.000 8 episódio 8 8 de fevereiro de 2018 938.000 124.000 1,0,.000,062,029.000 8 episódios 8 8 de fevereiro de 2018 938.000 124.000 1,062,0"&amp;"62,029.000. 10 Episódio 10 12 fevereiro de 2018 1.158.000 89.000 1.247.000 11 Episódio 11 13 fevereiro de 2018 1.057.000 91.000 1.148.000 12 episódio 12 14 fevereiro de 2018 1,133.000 107.000 1,240.000 13 episódios 13 18 de fevereiro de 2018 1,3. Fevereir"&amp;"o 2018 1.233.000 104.000 1.337.000 16 Episódio 16 21 Fevereiro de 2018 1.341.000 132.000 1.473.000 17 Episódio 17 25 fevereiro de 2018 1.536.000 92.000 1,628.000 18 episódios 18 26 fevereiro de 2018 1,,18.000 107.000 1,432.000 episódios 18 27 27 de fevere"&amp;"iro de 2018 1,18.000 107.000 1,43.28.000 episódios 19 26 27 27 de fevereiro de 2018 1,57.000 1,43.28, 19728, 28, 1920, 1,628, 28,18, 1,628, 28,18, 1,628, 28,18, 1,628, 28,15, 1,57. , 315.000 127.000 1.442.000 21 Episódio 21 4 de março de 2018 1.535.000 10"&amp;"8.000 1.643.000 22 Episódio 22 5 de março de 2018 1.271.000 98.000 1.369.000 23 Episódio 23 6 março de 2018 1.267.000 119.000 1.386.000 episódios 24 março 24 7 março 1,260.000 12.000 1,37.000 1,42.000 episódios 24 11 de março de 2018 1,260.000, 112.000 1,"&amp;"37.000, episódio 26. 1.256.000 102.000 1.358.000 27 Episódio 27 13 de março de 2017 1.230.000 103.000 1.333.000 28 Episódio 28 14 Março de 2018 1.188.000 132.000 1.320.000 29 Episódio 29 18 março de 2018 1,446.000 76.000 76.000 1,52.000 30 Episódio 30 19 "&amp;"de março de 2018 1,52552525,5.000 76.000 76.000 1,52.000 30 Episódio 30 19 de março de 2018 1,525255 , 750.000 32 Finale - Parte 2 21 de março de 2018 1.753.000 136.000 1.889.000")</f>
        <v>   Não . Título Data do ar Air Ratings Overnight Ratings Ratings Consolidados Total dos espectadores Ref (s) Os espectadores classificam os espectadores do Episódio 1 29 de janeiro de 2018 912.000 7 102.000 5 1.014.000 Episódio 2 30 de janeiro de 2018 907.000 5 101.000 1.008.000 episódios 3 31 Janeiro 2018 929.000 81.000 1.010.000 episódios 4 1 1 de febra 96.000 1.091.000 5 episódio 5 4 de fevereiro de 2018 835.000 5 102.000 937.000 6 Episódio 6 5 fevereiro de 2018 879.000 6 101.000 978.000 7 Episódio 7 6 fevereiro de 2018 899.000 7 130.000 1,029.000 8 episódio 8 8 de fevereiro de 2018 938.000 124.000 1,0,000,.000 1,029.000 8 episódio 8 8 de fevereiro de 2018 938.000 124.000 1,0,.000,062,029.000 8 episódios 8 8 de fevereiro de 2018 938.000 124.000 1,062,062,029.000. 10 Episódio 10 12 fevereiro de 2018 1.158.000 89.000 1.247.000 11 Episódio 11 13 fevereiro de 2018 1.057.000 91.000 1.148.000 12 episódio 12 14 fevereiro de 2018 1,133.000 107.000 1,240.000 13 episódios 13 18 de fevereiro de 2018 1,3. Fevereiro 2018 1.233.000 104.000 1.337.000 16 Episódio 16 21 Fevereiro de 2018 1.341.000 132.000 1.473.000 17 Episódio 17 25 fevereiro de 2018 1.536.000 92.000 1,628.000 18 episódios 18 26 fevereiro de 2018 1,,18.000 107.000 1,432.000 episódios 18 27 27 de fevereiro de 2018 1,18.000 107.000 1,43.28.000 episódios 19 26 27 27 de fevereiro de 2018 1,57.000 1,43.28, 19728, 28, 1920, 1,628, 28,18, 1,628, 28,18, 1,628, 28,18, 1,628, 28,15, 1,57. , 315.000 127.000 1.442.000 21 Episódio 21 4 de março de 2018 1.535.000 108.000 1.643.000 22 Episódio 22 5 de março de 2018 1.271.000 98.000 1.369.000 23 Episódio 23 6 março de 2018 1.267.000 119.000 1.386.000 episódios 24 março 24 7 março 1,260.000 12.000 1,37.000 1,42.000 episódios 24 11 de março de 2018 1,260.000, 112.000 1,37.000, episódio 26. 1.256.000 102.000 1.358.000 27 Episódio 27 13 de março de 2017 1.230.000 103.000 1.333.000 28 Episódio 28 14 Março de 2018 1.188.000 132.000 1.320.000 29 Episódio 29 18 março de 2018 1,446.000 76.000 76.000 1,52.000 30 Episódio 30 19 de março de 2018 1,52552525,5.000 76.000 76.000 1,52.000 30 Episódio 30 19 de março de 2018 1,525255 , 750.000 32 Finale - Parte 2 21 de março de 2018 1.753.000 136.000 1.889.000</v>
      </c>
    </row>
    <row r="802" customFormat="false" ht="15.75" hidden="false" customHeight="true" outlineLevel="0" collapsed="false">
      <c r="A802" s="3" t="n">
        <v>799</v>
      </c>
      <c r="B802" s="5" t="s">
        <v>2393</v>
      </c>
      <c r="C802" s="5" t="s">
        <v>2394</v>
      </c>
      <c r="D802" s="5" t="s">
        <v>2395</v>
      </c>
      <c r="E802" s="4" t="str">
        <f aca="false">IFERROR(__xludf.dummyfunction("GOOGLETRANSLATE(C803)"),"Críquete indiano induzido no Hall da Fama da ICC")</f>
        <v>Críquete indiano induzido no Hall da Fama da ICC</v>
      </c>
      <c r="F802" s="5" t="str">
        <f aca="false">IFERROR(__xludf.dummyfunction("GOOGLETRANSLATE(D802)")," `` Light It Up 'é uma música do artista de música country americano Luke Bryan. É o single líder de seu sexto álbum de estúdio, o que te faz país. Bryan escreveu a música com Brad Tursi, da banda Old Dominion.")</f>
        <v> `` Light It Up 'é uma música do artista de música country americano Luke Bryan. É o single líder de seu sexto álbum de estúdio, o que te faz país. Bryan escreveu a música com Brad Tursi, da banda Old Dominion.</v>
      </c>
    </row>
    <row r="803" customFormat="false" ht="15.75" hidden="false" customHeight="true" outlineLevel="0" collapsed="false">
      <c r="A803" s="3" t="n">
        <v>800</v>
      </c>
      <c r="B803" s="5" t="s">
        <v>2396</v>
      </c>
      <c r="C803" s="5" t="s">
        <v>2397</v>
      </c>
      <c r="D803" s="5" t="s">
        <v>2398</v>
      </c>
      <c r="E803" s="4" t="str">
        <f aca="false">IFERROR(__xludf.dummyfunction("GOOGLETRANSLATE(C804)"),"As apólices de seguro podem ser classificadas como contratos de")</f>
        <v>As apólices de seguro podem ser classificadas como contratos de</v>
      </c>
      <c r="F803" s="5" t="str">
        <f aca="false">IFERROR(__xludf.dummyfunction("GOOGLETRANSLATE(D803)"),"   Testes do ano de indução do Inductore Primeiro teste no último teste ref. Curtly Ambrose   West Indies   2011   98     2000       Enid Bakewell   England   2012   12   1968   1979       Sydney Barnes   England   2009   27   1901   1914       Ken Barrin"&amp;"gton   England     82   1955   1968       Bishan Singh Bedi   India   2009   67   1966   1979       Alec Bedser   England   2009   51   1946   1955       Richie Benaud   Australia   2009   63   1952   1964       Allan Border Australia 2009 156 1978 1994 I"&amp;"an Bothamm England 2009 102 1977 19192 1992 Geoffrey Boicote Inglaterra 2009 108 1964 1982 Donald Bradman Australia 2009 52 1928 1948 Greg Chappell Australia 2009 87 1970 1984 Ian Chappell 2009 75 1964 1980 1980 1970 1970 1984 1984 Inglaterra 2009 78 1937"&amp;" 1957 Colin Cowdrey England 2009 114 1954 Martin Crowe Nova Zelândia 2015 77 1982 1995 Alan Davidson Australia 2011 44 ​​1953 1963 Kapil Dev India 2009 131 1979 1994 1994 Dravid Índia 2018 164 2012 Garner Garner 1971 Lance Gibbbs Índias Ocidentais 2009 79"&amp;" 1958 1976 1976 Adam Gilchrist Austrália 2013 96 1999 2008 Graham Gooch England 2009, 118 1995, David Gower Inglaterra 2009 117 1978, 1992 W.G. Gordonidge 2009 22 1880 1899999999999 1951 1951 1969, Clarrie Grimmett Australia 2009 37 1925 1936 Richard Hadl"&amp;"ee Nova Zelândia 2009 86 1973 1990 Wes Hall Indies Ocidentais 2015 48 1958 1969 Wally Hammond Inglaterra 2009 85 1927 1947 1947 Harvey Australia 2009 79 1948 1963 George Headley Heye 1960 1979 Jack Hobbs Inglaterra 2009 61 1908 1930 Debbie Hockley New Zea"&amp;"land 2014 19 1979 Michael Holding West Indies 2009 60 Leonard Hutton Inglaterra 2009 79 1937 1955 Rohan Kanhai Indies Ocidental 2009 79 1957 IMRAN KHAN PAKISTAN 2009 88 1971 1992 Alan. Anil Kumble India 2015 132 1990 2008 Jim Laker England 2009 46 1948 19"&amp;"59 Brian Lara Indies Ocidentais 2012 131 1990 2006 Harold Larwood Inglaterra 2009 21 1926 1933 Dennis Lillee Australia 2009 70 1971 1984 Ray Lindwall Australia 2009 61 1946 1960 1960 CLILYD 1984 George Lohmann England 2016 18 1886 1896 Rod Marsh Australia"&amp;" 2009 96 1970 1984 Malcolm Marshall West Indies 2009 81 1978 1991 Peter May Inglaterra 2009 66 1951 1961 Glenn McGrath Australia 2012 124 1993 2007 Javed Miandad Pakistan 2009 124 1976 1993 1993 Miller Miller. 1956 Hanif Mohammad Paquistão 2009 55 1952 19"&amp;"69 Arthur Morris Austrália 2016 46 1946 1955 Muttiah Muralitharan Sri Lanka 2016 133 1992 Bill O'Reilly Australia 2009 27 1932 1946 Graeme Pollock Sul 58 1899 1930 Barry Richards Sul África 2009 1970 1970 Viv Richards Índias Ocidentais 2009 121 1991 Andy "&amp;"Roberts Índias Ocidentais 2009 47 Karen Rolton Australia 2016 14 1995 2009 Bob Simpson Australia 2014 62 1957 1978 1978 Sobers Indies 2009 93 1954 Fred Spofforth 2014 2011 18 187 1978 1978 1978 1978 1978 Sobers Indies 2009 93 1954 Fred Spofform 2014 2011 "&amp;"18 187 1978 1978 1978 1978 1978 1978 1978 Sobers Indies 2009 93 1954 Fred Spofform 2014 2011 18 187 1978 1978 1978 1978 1978 1978 1978 Sobers Indies 2009 93 1954 Fredofforth 2011 188 187 1978 1978 1978 1978 1887       Brian Statham   England   2009   70  "&amp;" 1951   1965       Herbert Sutcliffe   England   2009   54   1924   1935       Claire Taylor   England   2018   15   1999   2009       Fred Trueman   England   2009   67   1952   1965       Victor Trumper   Australia   2009   48   1899   1912       Derek "&amp;"Underwood   England   2009   86   1966   1982       Clyde Walcott   West Indies   2009   44   1948 1960 Courtney Walsh West Indies 132 1984 Shane Warne Australia 2013 145 1992 2007 Wasim Akram Paquistão 2009 104 1984 2003 Steve Waugh Austrália 2009 168 19"&amp;"85 Everton Weekes Indies Ocidental 2009 48 1948 1958 1958 Wilson Australia 2015 11 1948 1958 Frank Worrell Índias Ocidentais 2009 51 1948 1963 Waqar Younis Paquistão 2013 87 2003")</f>
        <v>   Testes do ano de indução do Inductore Primeiro teste no último teste ref. Curtly Ambrose   West Indies   2011   98     2000       Enid Bakewell   England   2012   12   1968   1979       Sydney Barnes   England   2009   27   1901   1914       Ken Barrington   England     82   1955   1968       Bishan Singh Bedi   India   2009   67   1966   1979       Alec Bedser   England   2009   51   1946   1955       Richie Benaud   Australia   2009   63   1952   1964       Allan Border Australia 2009 156 1978 1994 Ian Bothamm England 2009 102 1977 19192 1992 Geoffrey Boicote Inglaterra 2009 108 1964 1982 Donald Bradman Australia 2009 52 1928 1948 Greg Chappell Australia 2009 87 1970 1984 Ian Chappell 2009 75 1964 1980 1980 1970 1970 1984 1984 Inglaterra 2009 78 1937 1957 Colin Cowdrey England 2009 114 1954 Martin Crowe Nova Zelândia 2015 77 1982 1995 Alan Davidson Australia 2011 44 ​​1953 1963 Kapil Dev India 2009 131 1979 1994 1994 Dravid Índia 2018 164 2012 Garner Garner 1971 Lance Gibbbs Índias Ocidentais 2009 79 1958 1976 1976 Adam Gilchrist Austrália 2013 96 1999 2008 Graham Gooch England 2009, 118 1995, David Gower Inglaterra 2009 117 1978, 1992 W.G. Gordonidge 2009 22 1880 1899999999999 1951 1951 1969, Clarrie Grimmett Australia 2009 37 1925 1936 Richard Hadlee Nova Zelândia 2009 86 1973 1990 Wes Hall Indies Ocidentais 2015 48 1958 1969 Wally Hammond Inglaterra 2009 85 1927 1947 1947 Harvey Australia 2009 79 1948 1963 George Headley Heye 1960 1979 Jack Hobbs Inglaterra 2009 61 1908 1930 Debbie Hockley New Zealand 2014 19 1979 Michael Holding West Indies 2009 60 Leonard Hutton Inglaterra 2009 79 1937 1955 Rohan Kanhai Indies Ocidental 2009 79 1957 IMRAN KHAN PAKISTAN 2009 88 1971 1992 Alan. Anil Kumble India 2015 132 1990 2008 Jim Laker England 2009 46 1948 1959 Brian Lara Indies Ocidentais 2012 131 1990 2006 Harold Larwood Inglaterra 2009 21 1926 1933 Dennis Lillee Australia 2009 70 1971 1984 Ray Lindwall Australia 2009 61 1946 1960 1960 CLILYD 1984 George Lohmann England 2016 18 1886 1896 Rod Marsh Australia 2009 96 1970 1984 Malcolm Marshall West Indies 2009 81 1978 1991 Peter May Inglaterra 2009 66 1951 1961 Glenn McGrath Australia 2012 124 1993 2007 Javed Miandad Pakistan 2009 124 1976 1993 1993 Miller Miller. 1956 Hanif Mohammad Paquistão 2009 55 1952 1969 Arthur Morris Austrália 2016 46 1946 1955 Muttiah Muralitharan Sri Lanka 2016 133 1992 Bill O'Reilly Australia 2009 27 1932 1946 Graeme Pollock Sul 58 1899 1930 Barry Richards Sul África 2009 1970 1970 Viv Richards Índias Ocidentais 2009 121 1991 Andy Roberts Índias Ocidentais 2009 47 Karen Rolton Australia 2016 14 1995 2009 Bob Simpson Australia 2014 62 1957 1978 1978 Sobers Indies 2009 93 1954 Fred Spofforth 2014 2011 18 187 1978 1978 1978 1978 1978 Sobers Indies 2009 93 1954 Fred Spofform 2014 2011 18 187 1978 1978 1978 1978 1978 1978 1978 Sobers Indies 2009 93 1954 Fred Spofform 2014 2011 18 187 1978 1978 1978 1978 1978 1978 1978 Sobers Indies 2009 93 1954 Fredofforth 2011 188 187 1978 1978 1978 1978 1887       Brian Statham   England   2009   70   1951   1965       Herbert Sutcliffe   England   2009   54   1924   1935       Claire Taylor   England   2018   15   1999   2009       Fred Trueman   England   2009   67   1952   1965       Victor Trumper   Australia   2009   48   1899   1912       Derek Underwood   England   2009   86   1966   1982       Clyde Walcott   West Indies   2009   44   1948 1960 Courtney Walsh West Indies 132 1984 Shane Warne Australia 2013 145 1992 2007 Wasim Akram Paquistão 2009 104 1984 2003 Steve Waugh Austrália 2009 168 1985 Everton Weekes Indies Ocidental 2009 48 1948 1958 1958 Wilson Australia 2015 11 1948 1958 Frank Worrell Índias Ocidentais 2009 51 1948 1963 Waqar Younis Paquistão 2013 87 2003</v>
      </c>
    </row>
    <row r="804" customFormat="false" ht="15.75" hidden="false" customHeight="true" outlineLevel="0" collapsed="false">
      <c r="A804" s="3" t="n">
        <v>801</v>
      </c>
      <c r="B804" s="5" t="s">
        <v>2399</v>
      </c>
      <c r="C804" s="5" t="s">
        <v>2400</v>
      </c>
      <c r="D804" s="5" t="s">
        <v>2401</v>
      </c>
      <c r="E804" s="4" t="str">
        <f aca="false">IFERROR(__xludf.dummyfunction("GOOGLETRANSLATE(C805)"),"onde está o rio Nilo localizado no mapa mundial")</f>
        <v>onde está o rio Nilo localizado no mapa mundial</v>
      </c>
      <c r="F804" s="5" t="str">
        <f aca="false">IFERROR(__xludf.dummyfunction("GOOGLETRANSLATE(D804)")," Os contratos de seguro são geralmente considerados contratos de adesão porque a seguradora elabora o contrato e o segurado tem pouca ou nenhuma capacidade de fazer alterações materiais. Isso é interpretado para significar que a seguradora carrega o ônus "&amp;"se houver alguma ambiguidade em qualquer termos do contrato. As apólices de seguro são vendidas sem que o segurado seja vendo uma cópia do contrato. Em 1970, Robert Keeton sugeriu que muitos tribunais estavam realmente aplicando ""expectativas razoáveis"""&amp;" em vez de interpretar ambiguidades, que ele chamou de ""doutrina razoável de expectativas"". Essa doutrina tem sido controversa, com alguns tribunais a adotando e outros rejeitando explicitamente. Em várias jurisdições, incluindo Califórnia, Wyoming e Pe"&amp;"nsilvânia, o segurado está vinculado por termos claros e conspícuos no contrato, mesmo que as evidências sugiram que o segurado não os leu ou")</f>
        <v> Os contratos de seguro são geralmente considerados contratos de adesão porque a seguradora elabora o contrato e o segurado tem pouca ou nenhuma capacidade de fazer alterações materiais. Isso é interpretado para significar que a seguradora carrega o ônus se houver alguma ambiguidade em qualquer termos do contrato. As apólices de seguro são vendidas sem que o segurado seja vendo uma cópia do contrato. Em 1970, Robert Keeton sugeriu que muitos tribunais estavam realmente aplicando "expectativas razoáveis" em vez de interpretar ambiguidades, que ele chamou de "doutrina razoável de expectativas". Essa doutrina tem sido controversa, com alguns tribunais a adotando e outros rejeitando explicitamente. Em várias jurisdições, incluindo Califórnia, Wyoming e Pensilvânia, o segurado está vinculado por termos claros e conspícuos no contrato, mesmo que as evidências sugiram que o segurado não os leu ou</v>
      </c>
    </row>
    <row r="805" customFormat="false" ht="15.75" hidden="false" customHeight="true" outlineLevel="0" collapsed="false">
      <c r="A805" s="3" t="n">
        <v>802</v>
      </c>
      <c r="B805" s="5" t="s">
        <v>2402</v>
      </c>
      <c r="C805" s="5" t="s">
        <v>2403</v>
      </c>
      <c r="D805" s="5" t="s">
        <v>2404</v>
      </c>
      <c r="E805" s="4" t="str">
        <f aca="false">IFERROR(__xludf.dummyfunction("GOOGLETRANSLATE(C806)"),"Número de países que se qualificam para a Copa do Mundo")</f>
        <v>Número de países que se qualificam para a Copa do Mundo</v>
      </c>
      <c r="F805" s="5" t="str">
        <f aca="false">IFERROR(__xludf.dummyfunction("GOOGLETRANSLATE(D805)")," O rio Nilo (árabe: النيل, Egito por árabe en -nīl, árabe padrão an - nīl; copta: ⲫⲫⲓⲱ וֹר, ha - ye 'ou הַשִׁיחוֹר, ha - shiḥor) é um grande rio Northiasurn Africa e e e é comumente considerado o rio mais longo do mundo, pensou que algumas fontes citam o "&amp;"rio Amazonas como o mais longo O Nilo, que tem 6.853 km (4,258 milhas) de comprimento, tem um rio `` internacional '', pois sua bacia de queda abrange onze países, a saber, Tanzânia, Uganda, Ruanda, República Democrática do Congo, Kenia, Etiopia, Eritrea,"&amp;" Sudão do Sul, República do Sudão e Egito No grupo, o Nilo é a água primária do Egito e do Sudão")</f>
        <v> O rio Nilo (árabe: النيل, Egito por árabe en -nīl, árabe padrão an - nīl; copta: ⲫⲫⲓⲱ וֹר, ha - ye 'ou הַשִׁיחוֹר, ha - shiḥor) é um grande rio Northiasurn Africa e e e é comumente considerado o rio mais longo do mundo, pensou que algumas fontes citam o rio Amazonas como o mais longo O Nilo, que tem 6.853 km (4,258 milhas) de comprimento, tem um rio `` internacional '', pois sua bacia de queda abrange onze países, a saber, Tanzânia, Uganda, Ruanda, República Democrática do Congo, Kenia, Etiopia, Eritrea, Sudão do Sul, República do Sudão e Egito No grupo, o Nilo é a água primária do Egito e do Sudão</v>
      </c>
    </row>
    <row r="806" customFormat="false" ht="15.75" hidden="false" customHeight="true" outlineLevel="0" collapsed="false">
      <c r="A806" s="3" t="n">
        <v>803</v>
      </c>
      <c r="B806" s="5" t="s">
        <v>2405</v>
      </c>
      <c r="C806" s="5" t="s">
        <v>2406</v>
      </c>
      <c r="D806" s="5" t="s">
        <v>2407</v>
      </c>
      <c r="E806" s="4" t="str">
        <f aca="false">IFERROR(__xludf.dummyfunction("GOOGLETRANSLATE(C807)"),"é mazda cx 9 o mesmo que ford borda")</f>
        <v>é mazda cx 9 o mesmo que ford borda</v>
      </c>
      <c r="F806" s="5" t="str">
        <f aca="false">IFERROR(__xludf.dummyfunction("GOOGLETRANSLATE(D806)")," A qualificação da Copa do Mundo da FIFA é o processo que um time de futebol da Associação Nacional passa para se qualificar para as finais da Copa do Mundo da FIFA. A Copa do Mundo da FIFA é a maior competição esportiva da equipe internacional do mundo, "&amp;"com um processo de qualificação necessário para reduzir o grande campo de países de 211 para apenas 32 para as finais da Copa do Mundo até a edição de 2022.")</f>
        <v> A qualificação da Copa do Mundo da FIFA é o processo que um time de futebol da Associação Nacional passa para se qualificar para as finais da Copa do Mundo da FIFA. A Copa do Mundo da FIFA é a maior competição esportiva da equipe internacional do mundo, com um processo de qualificação necessário para reduzir o grande campo de países de 211 para apenas 32 para as finais da Copa do Mundo até a edição de 2022.</v>
      </c>
    </row>
    <row r="807" customFormat="false" ht="15.75" hidden="false" customHeight="true" outlineLevel="0" collapsed="false">
      <c r="A807" s="3" t="n">
        <v>804</v>
      </c>
      <c r="B807" s="5" t="s">
        <v>2408</v>
      </c>
      <c r="C807" s="5" t="s">
        <v>2409</v>
      </c>
      <c r="D807" s="5" t="s">
        <v>2410</v>
      </c>
      <c r="E807" s="4" t="str">
        <f aca="false">IFERROR(__xludf.dummyfunction("GOOGLETRANSLATE(C808)"),"que tocou o caixa na lavagem de carros de cinema")</f>
        <v>que tocou o caixa na lavagem de carros de cinema</v>
      </c>
      <c r="F807" s="5" t="str">
        <f aca="false">IFERROR(__xludf.dummyfunction("GOOGLETRANSLATE(D807)"),"   Mazda CX - 9 Visão geral Fabricante Mazda Produção 2006 - 2015 Assembléia Hiroshima Planta, Hiroshima, Designer do Japão Kaname Sawai (2004) Classe e chassi Classis de tamanho médio SUV estilo corpo 5 - porta layout de layout motor dianteiro dianteiro "&amp;"- unidade de roda / unidade / unidade / unidade Toda - plataforma de tração nas rodas Ford CD3 Plataforma Relacionada Ford Edge Fusion Mercury Milan Lincoln MKZ Mazda6 Motor de trem de força 3,5 L MZI V6 (2007) 3,7 L MZI V6 (2008 - 2015) Transmissão de se"&amp;"is - velocidade F21 Dimensões automáticas. ) Comprimento 5.075 mm (199,8 pol) Largura 1.935 mm (76,2 pol) Altura 2007 - 09: 1.730 mm (68 pol) 2007 - 09 Grand Touring: 1.735 mm (68,3 in) 2010 - 15: 1,727 mm (68,0 pol) Curb 2.054 kg (4.528 lb) (aprox.) Pred"&amp;"ecessor de cronologia Mazda MPV")</f>
        <v>   Mazda CX - 9 Visão geral Fabricante Mazda Produção 2006 - 2015 Assembléia Hiroshima Planta, Hiroshima, Designer do Japão Kaname Sawai (2004) Classe e chassi Classis de tamanho médio SUV estilo corpo 5 - porta layout de layout motor dianteiro dianteiro - unidade de roda / unidade / unidade / unidade Toda - plataforma de tração nas rodas Ford CD3 Plataforma Relacionada Ford Edge Fusion Mercury Milan Lincoln MKZ Mazda6 Motor de trem de força 3,5 L MZI V6 (2007) 3,7 L MZI V6 (2008 - 2015) Transmissão de seis - velocidade F21 Dimensões automáticas. ) Comprimento 5.075 mm (199,8 pol) Largura 1.935 mm (76,2 pol) Altura 2007 - 09: 1.730 mm (68 pol) 2007 - 09 Grand Touring: 1.735 mm (68,3 in) 2010 - 15: 1,727 mm (68,0 pol) Curb 2.054 kg (4.528 lb) (aprox.) Predecessor de cronologia Mazda MPV</v>
      </c>
    </row>
    <row r="808" customFormat="false" ht="15.75" hidden="false" customHeight="true" outlineLevel="0" collapsed="false">
      <c r="A808" s="3" t="n">
        <v>805</v>
      </c>
      <c r="B808" s="5" t="s">
        <v>2411</v>
      </c>
      <c r="C808" s="5" t="s">
        <v>2412</v>
      </c>
      <c r="D808" s="5" t="s">
        <v>2413</v>
      </c>
      <c r="E808" s="4" t="str">
        <f aca="false">IFERROR(__xludf.dummyfunction("GOOGLETRANSLATE(C809)"),"Quando o primeiro empurrão para iniciar o carro saiu")</f>
        <v>Quando o primeiro empurrão para iniciar o carro saiu</v>
      </c>
      <c r="F808" s="5" t="str">
        <f aca="false">IFERROR(__xludf.dummyfunction("GOOGLETRANSLATE(D808)")," Entre tudo, o Sr. B constantemente faz passes contra a recepcionista Marsha (Melanie Mayron) como uma fuga de sua vida doméstica conturbada. O Sr. B é constantemente tenso e preocupado ao longo do filme, enquanto teme sobre sua lavagem de carros que saem"&amp;" do negócio devido a um concorrente a alguns quilômetros da rua. Lonnie, por outro lado, está cheio de idéias sobre como salvar a lavagem de carros que ele não pode fazer com que o Sr. B ou qualquer outra pessoa ouça, principalmente devido ao Sr. B ser um"&amp;" barato.")</f>
        <v> Entre tudo, o Sr. B constantemente faz passes contra a recepcionista Marsha (Melanie Mayron) como uma fuga de sua vida doméstica conturbada. O Sr. B é constantemente tenso e preocupado ao longo do filme, enquanto teme sobre sua lavagem de carros que saem do negócio devido a um concorrente a alguns quilômetros da rua. Lonnie, por outro lado, está cheio de idéias sobre como salvar a lavagem de carros que ele não pode fazer com que o Sr. B ou qualquer outra pessoa ouça, principalmente devido ao Sr. B ser um barato.</v>
      </c>
    </row>
    <row r="809" customFormat="false" ht="15.75" hidden="false" customHeight="true" outlineLevel="0" collapsed="false">
      <c r="A809" s="3" t="n">
        <v>806</v>
      </c>
      <c r="B809" s="5" t="s">
        <v>2414</v>
      </c>
      <c r="C809" s="5" t="s">
        <v>2415</v>
      </c>
      <c r="D809" s="5" t="s">
        <v>2416</v>
      </c>
      <c r="E809" s="4" t="str">
        <f aca="false">IFERROR(__xludf.dummyfunction("GOOGLETRANSLATE(C810)"),"Quem cantou eu seria uma lenda no meu tempo")</f>
        <v>Quem cantou eu seria uma lenda no meu tempo</v>
      </c>
      <c r="F809" s="5" t="str">
        <f aca="false">IFERROR(__xludf.dummyfunction("GOOGLETRANSLATE(D809)")," Uma chave inteligente é um sistema de acesso e autorização eletrônico disponível como equipamento padrão ou como uma opção em vários modelos de carros. Foi desenvolvido pela Siemens pela primeira vez em 1995 e introduzido pela Mercedes - Benz sob o nome "&amp;"`` sem chave '' em 1998 na classe W220 S, depois que a patente de design foi arquivada por Daimler - Benz em 17 de maio de 1997.")</f>
        <v> Uma chave inteligente é um sistema de acesso e autorização eletrônico disponível como equipamento padrão ou como uma opção em vários modelos de carros. Foi desenvolvido pela Siemens pela primeira vez em 1995 e introduzido pela Mercedes - Benz sob o nome `` sem chave '' em 1998 na classe W220 S, depois que a patente de design foi arquivada por Daimler - Benz em 17 de maio de 1997.</v>
      </c>
    </row>
    <row r="810" customFormat="false" ht="15.75" hidden="false" customHeight="true" outlineLevel="0" collapsed="false">
      <c r="A810" s="3" t="n">
        <v>807</v>
      </c>
      <c r="B810" s="5" t="s">
        <v>2417</v>
      </c>
      <c r="C810" s="5" t="s">
        <v>2418</v>
      </c>
      <c r="D810" s="5" t="s">
        <v>2419</v>
      </c>
      <c r="E810" s="4" t="str">
        <f aca="false">IFERROR(__xludf.dummyfunction("GOOGLETRANSLATE(C811)"),"Quando a TV ficou disponível ao público")</f>
        <v>Quando a TV ficou disponível ao público</v>
      </c>
      <c r="F810" s="5" t="str">
        <f aca="false">IFERROR(__xludf.dummyfunction("GOOGLETRANSLATE(D810)")," `` (Eu 'D) Uma lenda no meu tempo' 'é uma música escrita e gravada por Don Gibson em 1960. Parecia o lado B - de seu sucesso `` muito longe '', do álbum Sweet Dreams. Gibson reagiu a música no álbum de 1972 Country Green.")</f>
        <v> `` (Eu 'D) Uma lenda no meu tempo' 'é uma música escrita e gravada por Don Gibson em 1960. Parecia o lado B - de seu sucesso `` muito longe '', do álbum Sweet Dreams. Gibson reagiu a música no álbum de 1972 Country Green.</v>
      </c>
    </row>
    <row r="811" customFormat="false" ht="15.75" hidden="false" customHeight="true" outlineLevel="0" collapsed="false">
      <c r="A811" s="3" t="n">
        <v>808</v>
      </c>
      <c r="B811" s="5" t="s">
        <v>2420</v>
      </c>
      <c r="C811" s="5" t="s">
        <v>2421</v>
      </c>
      <c r="D811" s="5" t="s">
        <v>2422</v>
      </c>
      <c r="E811" s="4" t="str">
        <f aca="false">IFERROR(__xludf.dummyfunction("GOOGLETRANSLATE(C812)"),"Onde começa o rio Yenisei")</f>
        <v>Onde começa o rio Yenisei</v>
      </c>
      <c r="F811" s="5" t="str">
        <f aca="false">IFERROR(__xludf.dummyfunction("GOOGLETRANSLATE(D811)")," A televisão ficou disponível em formas experimentais grosseiras no final da década de 1920, mas ainda levaria vários anos para que a nova tecnologia fosse comercializada para os consumidores. Após a Segunda Guerra Mundial, uma forma aprimorada de transmi"&amp;"ssão de TV branca e preta tornou -se popular nos Estados Unidos e na Grã -Bretanha, e os aparelhos de televisão tornaram -se comuns em residências, empresas e instituições. Durante a década de 1950, a televisão foi o principal meio para influenciar a opin"&amp;"ião pública. Em meados da década de 1960, a transmissão de cores foi introduzida nos EUA e na maioria dos outros países desenvolvidos. A disponibilidade de vários tipos de mídia de armazenamento, como Betamax, fita VHS, discos locais, DVDs, unidades flash"&amp;", discos de alta definição - definição -ray e gravadores de vídeo digital permitiram aos espectadores assistir material pré -gravado - como filmes - em casa em seu próprio horário. Por muitas razões, o armazenamento de programação de televisão e vídeo oco"&amp;"rre agora na nuvem. No final da primeira década dos anos 2000, as transmissões de televisão digital aumentaram bastante em popularidade. Outro desenvolvimento foi a mudança da televisão padrão de definição (SDTV) (576i, com 576 linhas de resolução entrela"&amp;"çadas e 480i) para a televisão de alta definição (HDTV), que fornece uma resolução substancialmente mais alta. A HDTV pode ser transmitida em vários formatos: 1080p, 1080i e 720p. Desde 2010, com a invenção da televisão inteligente, a Internet Television "&amp;"aumentou a disponibilidade de programas de televisão e filmes pela Internet por meio de serviços de vídeo como Netflix, Amazon Video, iPlayer, Hulu, Roku e Chromecast.")</f>
        <v> A televisão ficou disponível em formas experimentais grosseiras no final da década de 1920, mas ainda levaria vários anos para que a nova tecnologia fosse comercializada para os consumidores. Após a Segunda Guerra Mundial, uma forma aprimorada de transmissão de TV branca e preta tornou -se popular nos Estados Unidos e na Grã -Bretanha, e os aparelhos de televisão tornaram -se comuns em residências, empresas e instituições. Durante a década de 1950, a televisão foi o principal meio para influenciar a opinião pública. Em meados da década de 1960, a transmissão de cores foi introduzida nos EUA e na maioria dos outros países desenvolvidos. A disponibilidade de vários tipos de mídia de armazenamento, como Betamax, fita VHS, discos locais, DVDs, unidades flash, discos de alta definição - definição -ray e gravadores de vídeo digital permitiram aos espectadores assistir material pré -gravado - como filmes - em casa em seu próprio horário. Por muitas razões, o armazenamento de programação de televisão e vídeo ocorre agora na nuvem. No final da primeira década dos anos 2000, as transmissões de televisão digital aumentaram bastante em popularidade. Outro desenvolvimento foi a mudança da televisão padrão de definição (SDTV) (576i, com 576 linhas de resolução entrelaçadas e 480i) para a televisão de alta definição (HDTV), que fornece uma resolução substancialmente mais alta. A HDTV pode ser transmitida em vários formatos: 1080p, 1080i e 720p. Desde 2010, com a invenção da televisão inteligente, a Internet Television aumentou a disponibilidade de programas de televisão e filmes pela Internet por meio de serviços de vídeo como Netflix, Amazon Video, iPlayer, Hulu, Roku e Chromecast.</v>
      </c>
    </row>
    <row r="812" customFormat="false" ht="15.75" hidden="false" customHeight="true" outlineLevel="0" collapsed="false">
      <c r="A812" s="3" t="n">
        <v>809</v>
      </c>
      <c r="B812" s="5" t="s">
        <v>2423</v>
      </c>
      <c r="C812" s="5" t="s">
        <v>2424</v>
      </c>
      <c r="D812" s="5" t="s">
        <v>2425</v>
      </c>
      <c r="E812" s="4" t="str">
        <f aca="false">IFERROR(__xludf.dummyfunction("GOOGLETRANSLATE(C813)"),"Onde começa o rio Mackenzie")</f>
        <v>Onde começa o rio Mackenzie</v>
      </c>
      <c r="F812" s="5" t="str">
        <f aca="false">IFERROR(__xludf.dummyfunction("GOOGLETRANSLATE(D812)"),"   Yenisei ( Енисей )     River     Bii - Khem and Kaa - Khem near Kyzyl     Countries   Mongolia , Russia     Regions   Tuva , Krasnoyarsk Krai , Khakassia , Irkutsk Oblast , Buryatia , Zabaykalsky Krai         Tributaries     - right   Angara , Lower Tu"&amp;"nguska , Stony Tunguska River     Cities   Kyzyl , Shagonar , Sayanogorsk . 98.66361 ° E / 50.72944; 98.66361 Boca Yenisei Comprimento do Golfo 3.438 km (996.136 mi) Bacia de 2.580.000 km (996.144 mq Mi) Descarga para IGAR 3.955.243 CU ft / s) - Min 3,120"&amp;" m / s (110,182.243 CU FT / S) - Min 3,120 m / s (110,1822243.")</f>
        <v>   Yenisei ( Енисей )     River     Bii - Khem and Kaa - Khem near Kyzyl     Countries   Mongolia , Russia     Regions   Tuva , Krasnoyarsk Krai , Khakassia , Irkutsk Oblast , Buryatia , Zabaykalsky Krai         Tributaries     - right   Angara , Lower Tunguska , Stony Tunguska River     Cities   Kyzyl , Shagonar , Sayanogorsk . 98.66361 ° E / 50.72944; 98.66361 Boca Yenisei Comprimento do Golfo 3.438 km (996.136 mi) Bacia de 2.580.000 km (996.144 mq Mi) Descarga para IGAR 3.955.243 CU ft / s) - Min 3,120 m / s (110,182.243 CU FT / S) - Min 3,120 m / s (110,1822243.</v>
      </c>
    </row>
    <row r="813" customFormat="false" ht="15.75" hidden="false" customHeight="true" outlineLevel="0" collapsed="false">
      <c r="A813" s="3" t="n">
        <v>810</v>
      </c>
      <c r="B813" s="5" t="s">
        <v>2426</v>
      </c>
      <c r="C813" s="5" t="s">
        <v>2427</v>
      </c>
      <c r="D813" s="5" t="s">
        <v>2428</v>
      </c>
      <c r="E813" s="4" t="str">
        <f aca="false">IFERROR(__xludf.dummyfunction("GOOGLETRANSLATE(C814)"),"onde estão os jogos da Commonwealth sendo realizados este ano")</f>
        <v>onde estão os jogos da Commonwealth sendo realizados este ano</v>
      </c>
      <c r="F813" s="5" t="str">
        <f aca="false">IFERROR(__xludf.dummyfunction("GOOGLETRANSLATE(D813)")," Subindo do extremo oeste pantanoso do grande lago escravo, o rio Mackenzie flui geralmente oeste - noroeste por cerca de 300 km (190 milhas), passando pelo aldeias de Fort Providence. Em Fort Simpson, ele se junta ao rio Liard, seu maior afluente, depois"&amp;" balança em direção ao Ártico, paralelamente às montanhas de Franklin, enquanto recebe o rio North Nahanni. O rio Keele entra da esquerda a cerca de 100 km (62 milhas) acima de Tulita, onde o rio Grande Urso se junta ao Mackenzie. Pouco antes de atravessa"&amp;"r o círculo ártico, o rio passa a Norman Wells e continua a noroeste para se fundir com os rios vermelhos e descasque do Ártico. Finalmente deságua no mar de Beaufort, parte do Oceano Ártico, através do vasto Delta de Mackenzie.")</f>
        <v> Subindo do extremo oeste pantanoso do grande lago escravo, o rio Mackenzie flui geralmente oeste - noroeste por cerca de 300 km (190 milhas), passando pelo aldeias de Fort Providence. Em Fort Simpson, ele se junta ao rio Liard, seu maior afluente, depois balança em direção ao Ártico, paralelamente às montanhas de Franklin, enquanto recebe o rio North Nahanni. O rio Keele entra da esquerda a cerca de 100 km (62 milhas) acima de Tulita, onde o rio Grande Urso se junta ao Mackenzie. Pouco antes de atravessar o círculo ártico, o rio passa a Norman Wells e continua a noroeste para se fundir com os rios vermelhos e descasque do Ártico. Finalmente deságua no mar de Beaufort, parte do Oceano Ártico, através do vasto Delta de Mackenzie.</v>
      </c>
    </row>
    <row r="814" customFormat="false" ht="15.75" hidden="false" customHeight="true" outlineLevel="0" collapsed="false">
      <c r="A814" s="3" t="n">
        <v>811</v>
      </c>
      <c r="B814" s="5" t="s">
        <v>2429</v>
      </c>
      <c r="C814" s="5" t="s">
        <v>2430</v>
      </c>
      <c r="D814" s="5" t="s">
        <v>2431</v>
      </c>
      <c r="E814" s="4" t="str">
        <f aca="false">IFERROR(__xludf.dummyfunction("GOOGLETRANSLATE(C815)"),"Lista de envios ao 87º Oscar de Melhor Filme de Língua Estrangeira")</f>
        <v>Lista de envios ao 87º Oscar de Melhor Filme de Língua Estrangeira</v>
      </c>
      <c r="F814" s="5" t="str">
        <f aca="false">IFERROR(__xludf.dummyfunction("GOOGLETRANSLATE(D814)"),"Os Jogos da Commonwealth de 2018, oficialmente conhecidos como XXI Commonwealth Games e comumente conhecidos como Gold Coast 2018, foram um evento multi-esportivo internacional para membros da Commonwealth que foram realizados na Costa do Ouro, Queensland"&amp;", Austrália, entre 4 e 15 de abril de 2018. Foi a quinta vez que a Austrália sediou os Jogos da Commonwealth e, na primeira vez em que um grande evento multi-esportes alcançou a igualdade de gênero ao ter um número igual de eventos para homens e atletas. "&amp;"Mais")</f>
        <v>Os Jogos da Commonwealth de 2018, oficialmente conhecidos como XXI Commonwealth Games e comumente conhecidos como Gold Coast 2018, foram um evento multi-esportivo internacional para membros da Commonwealth que foram realizados na Costa do Ouro, Queensland, Austrália, entre 4 e 15 de abril de 2018. Foi a quinta vez que a Austrália sediou os Jogos da Commonwealth e, na primeira vez em que um grande evento multi-esportes alcançou a igualdade de gênero ao ter um número igual de eventos para homens e atletas. Mais</v>
      </c>
    </row>
    <row r="815" customFormat="false" ht="15.75" hidden="false" customHeight="true" outlineLevel="0" collapsed="false">
      <c r="A815" s="3" t="n">
        <v>812</v>
      </c>
      <c r="B815" s="5" t="s">
        <v>2432</v>
      </c>
      <c r="C815" s="5" t="s">
        <v>2433</v>
      </c>
      <c r="D815" s="5" t="s">
        <v>2434</v>
      </c>
      <c r="E815" s="4" t="str">
        <f aca="false">IFERROR(__xludf.dummyfunction("GOOGLETRANSLATE(C816)"),"quem canta a música country se for para ser")</f>
        <v>quem canta a música country se for para ser</v>
      </c>
      <c r="F815" s="5" t="str">
        <f aca="false">IFERROR(__xludf.dummyfunction("GOOGLETRANSLATE(D815)"),"   Submeter o título do país usado na indicação do título original idioma (s) (s) (s) (s) Afeganistão (s) alguns metros cúbicos de amor ago ago edade م شق vajes damán szifrón indicou o país de Charlie, o país de Charlie, o país de Charlie, Yolngu Matha, E"&amp;"nglish Matha Deer Heer Não nomeado a Áustria, o vale das trevas da finstera alemão Andreas Andreas Prochaska Prochaska Não não não não notado o Azerbaijão foi atingido. কির আলো (Jonakir alo) Bengali Khalid mahmud mithu não nomeou belgium dois dias, uma no"&amp;"ite de jours, une Nutifer e Lucu Darn, not, no Not Not Dard, no noturno, o Not Nutifer e Lucu não foi nomeado por dois dias. Bolívia perdoteada olviado carlodo não não não nomovina e herza e herza e colertada corda bodnied bodnied bodnied bodnited bodnied"&amp;" bodnited bodnied bodnied bodnied bodnated bodnated chef -chefe. Minado Brasil da maneira que ele parece ser um bodno de bodno de bodnado assimzado, o bodnated bodnated bodnated. Bulgarian rhepsody бъласска рапсо LARIAN IVAN NITCHE CHILAD NOTLE CHILAD CHI"&amp;"LAD CHILAD CHILAD CHILAD CHILD A UN Hombre Spanish Alejandro Fernández Almendras Not Nomnated China The Nightingale 夜莺 ( Yè yīng ) , Le promeneur d'oisau mandarin Philippe Muyl Not Not Not Not Not Not Not Not Not Não não não não não não não não não seja n"&amp;"omeado Costa Rica Red princesa princesa espanhola laurish Astorga não nomeou croata croata croata tominada croata tominada tomisdua ctasil ernesto daranas não nomeado na republica de tcheca feira feira fada tocação tcheco andrea sedlá Soraková não og glæd"&amp;"e Dannish nils Malmros not nominated Dominican Republic Cristo Rey Cristo Rey spanish Leicado tos Sento De Danish Sento Not nominated Egypt Factory Girl فتاة المصنع ( Fatat el Masnaa ) arabic mohamed khan not nominated Estonia Mandariinid Estonian , Russi"&amp;"an Zaza Urushadze Nomited Ethiopia Difret amharic Zehari NOTIDITED Firhane Nitire Jo Honkasalo não nomeou a França Saint Laurent Laurent Laurent French Bertrand Bonello não não não não não não não não não não黃金 時代 (huɏ jīn shí dài) mandarim Ann hui não no"&amp;"meou a Hungria deus branco Fehér Isten húngaro Kornél امروز )   Persian   Reza Mirkarimi   Not nominated     Iraq   Mardan   Mardan   Kurdish   Batin Ghobadi   Not nominated     Ireland   The Gift   An Bronntanas   Irish   Tommy Collins   Not nominated   "&amp;"  Israel   Gett : The Trial of Viviane Amsalem   גט - המשפט של ויויאן אאמסאלם , French , Arabic Ronit Elketz and Shlomi Elketz Not Nominated Itália Capital Il Capitale Anitan Paolo Virzì observou o Japão que a luz brilha apenas lá te'rikaka kagayaku) MIPO"&amp;" japonês não nomeado Kosovo três janelas e um triplo pendurado não, não não, não, não, não, não, não, não, não, não, não, não, não, não, não, não, não, não, não é que não seja quostan. the Mountains Via Rocks in my pockets Akmeņi Manās Kabatās Latvian Sig"&amp;"ne Sign Banumatated Lebanon Ghadi غدي arabic all dora not nooted lithuania The Gambledr Lošėjas lituanian ignas not not not not noted Luxembourg Never Die Young French Pol Cruchten Not Nominated Macedonia to the Hit к t nominated malta simsar maltese Rebe"&amp;"cca Cremona not Not Not Notated Mauritania timbuktu arabic , French , Tamashek   Abderrahmane Sissako   Nominated     Mexico   Cantinflas   Cantinflas   Spanish   Sebastian del Amo   Not nominated     Moldova   The Unsaved   La limita de jos a cerului   R"&amp;"omanian   Igor Cobileanski   Not nominated     Montenegro   The Kids from the Marx and Engels Street DJEčaci iz Ulice Marksa i Engelsa Montenegrin Nikola Vukčević Não nomeou Marrocos a Lua Vermelha القمر الأحمر árabe Hassan Benjelloun Não não indicado Nep"&amp;"al Jhola झऋलोल Addavkum Bhattarai NÃO NO NONOMINADO NOMENTO ACUNDADO ACUNDO ACUMO DE BHUMAR BHATARAI NÃO NO NO NO NO Paula holandesa van der Oest Feito Lista de Janeiro da Nova Zelândia As terras mortas As terras mortas maori toa fraser não Notser 1001 Gr"&amp;"amas 1001 grama norueguês Hamer não indicado pakantado DukSar Dukhtar ، Urdu; Invasão invasão invasão invasão invash abner beno benoim não não não não não não não não não não não não não não não não não não não não não não não não não não não não não não "&amp;"não não não no seu, não NÃO NÃO NÃO NOTILIPINAS NORTE ELES POLONAMENTO PAWEł Puelikowski ganhou o prêmio da Academia Portugal e agora? Lembre -me de Agora? Lembra - eu português Joaquim Pinto não nomeou a Romênia o cão japonês Câinele Jagonez Romenian Tud"&amp;"or Cristian Jurgiu não nomeou a Rússia Leviathan лииreo russo Andrey Zvyagintsev Nomeado Sarrbia Vê -lo em Montovideo MONTEVIDEO, Vidimmo Se! Dragan sérvio BjeloGrlić Não Noisan, Indisansan Sanif Sanif Ulek não nomeou a Eslováquia, no escuro Krok Doy Tmy "&amp;"Slovak Miloslav Luther não nomeado Sloveania Šantuda Šantile Meded ELELNWALANI VENS VENS HAVEAN HAUMINA, SULUMINA SURMINA, LURULIA NOTHINIANIANIANIANIATINA -SULIMINA SULUMINA, SULUMINA OURMINIANIANIANIANIANIANIANIANIANIA -SULIMINA, SULUMINA SULUMINA, SULU"&amp;"MINA SULUMINA SURMINA, LURULIO Com os olhos fechados vivir es fáccil con Los ojos cerras espanhol David trueba ngtait force majedish runish ruben sueco ruben ruben sueco ruben sueco. ircle der kreis alemão stefan haupt nomeado taiwan icenengh 毒 毒 bīng sud"&amp;"oeste 'mandarin, mandarini, menina, não Diary Diary คดถถง ว ว วง bridge n not nominated Turkey Winter Sleep Kış Uykusu Turkish Nuri Bilge Ceylan Not Not Not nominated Ukraine The Guide поводир Ukrainian Oles Sann Not Not Not Not Not Not Not Not Not Not No"&amp;"t Not Not Not Not Not Não não não não não não não não não não não não não note que seja a felicidade uzun yol turco nihat sete não nomeado uruguai Sr. Ligue para o Sr. Psanish Álvaro Brechner não nomeado Venezuela O Liberador Libertador Espanhol Alberto A"&amp;"rvelo Made Lista Short")</f>
        <v>   Submeter o título do país usado na indicação do título original idioma (s) (s) (s) (s) Afeganistão (s) alguns metros cúbicos de amor ago ago edade م شق vajes damán szifrón indicou o país de Charlie, o país de Charlie, o país de Charlie, Yolngu Matha, English Matha Deer Heer Não nomeado a Áustria, o vale das trevas da finstera alemão Andreas Andreas Prochaska Prochaska Não não não não notado o Azerbaijão foi atingido. কির আলো (Jonakir alo) Bengali Khalid mahmud mithu não nomeou belgium dois dias, uma noite de jours, une Nutifer e Lucu Darn, not, no Not Not Dard, no noturno, o Not Nutifer e Lucu não foi nomeado por dois dias. Bolívia perdoteada olviado carlodo não não não nomovina e herza e herza e colertada corda bodnied bodnied bodnied bodnited bodnied bodnited bodnied bodnied bodnied bodnated bodnated chef -chefe. Minado Brasil da maneira que ele parece ser um bodno de bodno de bodnado assimzado, o bodnated bodnated bodnated. Bulgarian rhepsody бъласска рапсо LARIAN IVAN NITCHE CHILAD NOTLE CHILAD CHILAD CHILAD CHILAD CHILAD CHILD A UN Hombre Spanish Alejandro Fernández Almendras Not Nomnated China The Nightingale 夜莺 ( Yè yīng ) , Le promeneur d'oisau mandarin Philippe Muyl Not Not Not Not Not Not Not Not Not Não não não não não não não não não seja nomeado Costa Rica Red princesa princesa espanhola laurish Astorga não nomeou croata croata croata tominada croata tominada tomisdua ctasil ernesto daranas não nomeado na republica de tcheca feira feira fada tocação tcheco andrea sedlá Soraková não og glæde Dannish nils Malmros not nominated Dominican Republic Cristo Rey Cristo Rey spanish Leicado tos Sento De Danish Sento Not nominated Egypt Factory Girl فتاة المصنع ( Fatat el Masnaa ) arabic mohamed khan not nominated Estonia Mandariinid Estonian , Russian Zaza Urushadze Nomited Ethiopia Difret amharic Zehari NOTIDITED Firhane Nitire Jo Honkasalo não nomeou a França Saint Laurent Laurent Laurent French Bertrand Bonello não não não não não não não não não não黃金 時代 (huɏ jīn shí dài) mandarim Ann hui não nomeou a Hungria deus branco Fehér Isten húngaro Kornél امروز )   Persian   Reza Mirkarimi   Not nominated     Iraq   Mardan   Mardan   Kurdish   Batin Ghobadi   Not nominated     Ireland   The Gift   An Bronntanas   Irish   Tommy Collins   Not nominated     Israel   Gett : The Trial of Viviane Amsalem   גט - המשפט של ויויאן אאמסאלם , French , Arabic Ronit Elketz and Shlomi Elketz Not Nominated Itália Capital Il Capitale Anitan Paolo Virzì observou o Japão que a luz brilha apenas lá te'rikaka kagayaku) MIPO japonês não nomeado Kosovo três janelas e um triplo pendurado não, não não, não, não, não, não, não, não, não, não, não, não, não, não, não, não, não, não, não é que não seja quostan. the Mountains Via Rocks in my pockets Akmeņi Manās Kabatās Latvian Signe Sign Banumatated Lebanon Ghadi غدي arabic all dora not nooted lithuania The Gambledr Lošėjas lituanian ignas not not not not noted Luxembourg Never Die Young French Pol Cruchten Not Nominated Macedonia to the Hit к t nominated malta simsar maltese Rebecca Cremona not Not Not Notated Mauritania timbuktu arabic , French , Tamashek   Abderrahmane Sissako   Nominated     Mexico   Cantinflas   Cantinflas   Spanish   Sebastian del Amo   Not nominated     Moldova   The Unsaved   La limita de jos a cerului   Romanian   Igor Cobileanski   Not nominated     Montenegro   The Kids from the Marx and Engels Street DJEčaci iz Ulice Marksa i Engelsa Montenegrin Nikola Vukčević Não nomeou Marrocos a Lua Vermelha القمر الأحمر árabe Hassan Benjelloun Não não indicado Nepal Jhola झऋलोल Addavkum Bhattarai NÃO NO NONOMINADO NOMENTO ACUNDADO ACUNDO ACUMO DE BHUMAR BHATARAI NÃO NO NO NO NO Paula holandesa van der Oest Feito Lista de Janeiro da Nova Zelândia As terras mortas As terras mortas maori toa fraser não Notser 1001 Gramas 1001 grama norueguês Hamer não indicado pakantado DukSar Dukhtar ، Urdu; Invasão invasão invasão invasão invash abner beno benoim não não não não não não não não não não não não não não não não não não não não não não não não não não não não não não não não não no seu, não NÃO NÃO NÃO NOTILIPINAS NORTE ELES POLONAMENTO PAWEł Puelikowski ganhou o prêmio da Academia Portugal e agora? Lembre -me de Agora? Lembra - eu português Joaquim Pinto não nomeou a Romênia o cão japonês Câinele Jagonez Romenian Tudor Cristian Jurgiu não nomeou a Rússia Leviathan лииreo russo Andrey Zvyagintsev Nomeado Sarrbia Vê -lo em Montovideo MONTEVIDEO, Vidimmo Se! Dragan sérvio BjeloGrlić Não Noisan, Indisansan Sanif Sanif Ulek não nomeou a Eslováquia, no escuro Krok Doy Tmy Slovak Miloslav Luther não nomeado Sloveania Šantuda Šantile Meded ELELNWALANI VENS VENS HAVEAN HAUMINA, SULUMINA SURMINA, LURULIA NOTHINIANIANIANIANIATINA -SULIMINA SULUMINA, SULUMINA OURMINIANIANIANIANIANIANIANIANIANIA -SULIMINA, SULUMINA SULUMINA, SULUMINA SULUMINA SURMINA, LURULIO Com os olhos fechados vivir es fáccil con Los ojos cerras espanhol David trueba ngtait force majedish runish ruben sueco ruben ruben sueco ruben sueco. ircle der kreis alemão stefan haupt nomeado taiwan icenengh 毒 毒 bīng sudoeste 'mandarin, mandarini, menina, não Diary Diary คดถถง ว ว วง bridge n not nominated Turkey Winter Sleep Kış Uykusu Turkish Nuri Bilge Ceylan Not Not Not nominated Ukraine The Guide поводир Ukrainian Oles Sann Not Not Not Not Not Not Not Not Not Not Not Not Not Not Not Not Não não não não não não não não não não não não não note que seja a felicidade uzun yol turco nihat sete não nomeado uruguai Sr. Ligue para o Sr. Psanish Álvaro Brechner não nomeado Venezuela O Liberador Libertador Espanhol Alberto Arvelo Made Lista Short</v>
      </c>
    </row>
    <row r="816" customFormat="false" ht="15.75" hidden="false" customHeight="true" outlineLevel="0" collapsed="false">
      <c r="A816" s="3" t="n">
        <v>813</v>
      </c>
      <c r="B816" s="5" t="s">
        <v>2435</v>
      </c>
      <c r="C816" s="5" t="s">
        <v>2436</v>
      </c>
      <c r="D816" s="5" t="s">
        <v>2437</v>
      </c>
      <c r="E816" s="4" t="str">
        <f aca="false">IFERROR(__xludf.dummyfunction("GOOGLETRANSLATE(C817)"),"Quando os Beatles se tornaram populares nos EUA")</f>
        <v>Quando os Beatles se tornaram populares nos EUA</v>
      </c>
      <c r="F816" s="5" t="str">
        <f aca="false">IFERROR(__xludf.dummyfunction("GOOGLETRANSLATE(D816)")," `` Destinado a ser '' é uma música gravada pelo cantor americano Bebe Rexha, com a dupla de música country americana Florida Georgia Line, de sua terceira peça estendida (EP) toda sua culpa: PT. 2. Foi lançado no American Contemporary Hit Radio em 24 de "&amp;"outubro de 2017, pela Warner Bros. Records como o segundo single do EP.")</f>
        <v> `` Destinado a ser '' é uma música gravada pelo cantor americano Bebe Rexha, com a dupla de música country americana Florida Georgia Line, de sua terceira peça estendida (EP) toda sua culpa: PT. 2. Foi lançado no American Contemporary Hit Radio em 24 de outubro de 2017, pela Warner Bros. Records como o segundo single do EP.</v>
      </c>
    </row>
    <row r="817" customFormat="false" ht="15.75" hidden="false" customHeight="true" outlineLevel="0" collapsed="false">
      <c r="A817" s="3" t="n">
        <v>814</v>
      </c>
      <c r="B817" s="5" t="s">
        <v>2438</v>
      </c>
      <c r="C817" s="5" t="s">
        <v>2439</v>
      </c>
      <c r="D817" s="5" t="s">
        <v>2440</v>
      </c>
      <c r="E817" s="4" t="str">
        <f aca="false">IFERROR(__xludf.dummyfunction("GOOGLETRANSLATE(C818)"),"que foi promovido da Liga 2 em 2018")</f>
        <v>que foi promovido da Liga 2 em 2018</v>
      </c>
      <c r="F817" s="5" t="str">
        <f aca="false">IFERROR(__xludf.dummyfunction("GOOGLETRANSLATE(D817)")," A ascensão dos Beatles a destaque nos Estados Unidos em fevereiro de 1964 foi um desenvolvimento significativo na história do sucesso comercial da banda. Além de estabelecer a estatura internacional dos Beatles, mudou atitudes com a música popular nos Es"&amp;"tados Unidos, cuja evolução musical motivada por Memphis o tornara uma tendência global - Setter.")</f>
        <v> A ascensão dos Beatles a destaque nos Estados Unidos em fevereiro de 1964 foi um desenvolvimento significativo na história do sucesso comercial da banda. Além de estabelecer a estatura internacional dos Beatles, mudou atitudes com a música popular nos Estados Unidos, cuja evolução musical motivada por Memphis o tornara uma tendência global - Setter.</v>
      </c>
    </row>
    <row r="818" customFormat="false" ht="15.75" hidden="false" customHeight="true" outlineLevel="0" collapsed="false">
      <c r="A818" s="3" t="n">
        <v>815</v>
      </c>
      <c r="B818" s="5" t="s">
        <v>2441</v>
      </c>
      <c r="C818" s="5" t="s">
        <v>2442</v>
      </c>
      <c r="D818" s="5" t="s">
        <v>2443</v>
      </c>
      <c r="E818" s="4" t="str">
        <f aca="false">IFERROR(__xludf.dummyfunction("GOOGLETRANSLATE(C819)"),"Como terminou a 6ª temporada de Game of Thrones")</f>
        <v>Como terminou a 6ª temporada de Game of Thrones</v>
      </c>
      <c r="F818" s="5" t="str">
        <f aca="false">IFERROR(__xludf.dummyfunction("GOOGLETRANSLATE(D818)"),"  Portsmouth Plymouth Argyle Doncaster Rovers Blackpool")</f>
        <v>  Portsmouth Plymouth Argyle Doncaster Rovers Blackpool</v>
      </c>
    </row>
    <row r="819" customFormat="false" ht="15.75" hidden="false" customHeight="true" outlineLevel="0" collapsed="false">
      <c r="A819" s="3" t="n">
        <v>816</v>
      </c>
      <c r="B819" s="5" t="s">
        <v>2444</v>
      </c>
      <c r="C819" s="5" t="s">
        <v>2445</v>
      </c>
      <c r="D819" s="5" t="s">
        <v>2446</v>
      </c>
      <c r="E819" s="4" t="str">
        <f aca="false">IFERROR(__xludf.dummyfunction("GOOGLETRANSLATE(C820)"),"quem detém o recorde de maior número de hits")</f>
        <v>quem detém o recorde de maior número de hits</v>
      </c>
      <c r="F819" s="5" t="str">
        <f aca="false">IFERROR(__xludf.dummyfunction("GOOGLETRANSLATE(D819)"),"   Não . Nº geral no título da temporada, dirigido por escrito pelos espectadores originais da Data Aérea dos EUA (milhões) 51 `` The Red Woman '' Jeremy Podeswa David Benioff &amp; D.B. Weiss 24 de abril de 2016 (2016 - 04 - 24) 7.94 O cadáver de Jon Snow é "&amp;"encontrado por Ser Davos, EDD e alguns outros partidários; Davos e os outros o levam para dentro e se trancam atrás de uma porta com ele, enquanto Edd vai obter ajuda. Thorne assume o comando do relógio. Em Winterfell, Ramsay lamenta Myranda, enquanto San"&amp;"sa e Theon escapam pela floresta. Os homens de Ramsay os alcançam, e estão prestes a levá -los em cativeiro, quando Brienne e POD chegam, matam os homens, e o primeiro é aceito no serviço de Sansa. Em King's Landing, Cersei recebe Jaime, que chega com o c"&amp;"orpo de Myrcella. Jaime promete Cersei que eles se vingam. Obara e Nymeria assassinam o Trystane, a caminho de casa de King's Landing, enquanto em Sunspear, Doran e Areo Hotah são mortos por Ellaria e Tyene, depois que os primeiros aprendem a morte de Myr"&amp;"cella. Em Meereen, Tyrion e Varys encontram todos os navios queimando no porto. Jorah e Daario continuam a rastrear Daenerys, que é levado pelos Dothraki para Khal Moro. Em Braavos, Arya vive nas ruas como um mendigo, onde é espancada pelo Waif. Em sua câ"&amp;"mara, Melisandre remove seu colar de joias enquanto revela sua verdadeira aparência como uma velha crone. 52 `` Home '' Jeremy Podeswa Dave Hill 1 de maio de 2016 (2016 - 05 - 01) 7.29 Brandon visita Winterfell em uma visão do passado, e vê Eddard, Benjen"&amp;" e sua irmã Lyanna, além de um jovem hodor. Edd chega com Tormund e um grupo de selvagens, aprisionando Thorne e os outros amotinados. Tommen pede a Cersei que o ensine a ser forte. Tyrion descobre que Astapor e Yunkai reverteram para a escravidão e liber"&amp;"a Rhaegal e Viserion de suas correntes. Em Braavos, Arya é atacado pelo Waif antes que H'ghar apareça e a recruta novamente. Walda, esposa de Roose, dá à luz um garoto, levando Ramsay a assassinar Roose, ela e o bebê. Brienne revela a Sansa que Arya ainda"&amp;" está vivo. Sansa permite o retorno de Theon às Ilhas Ferro, onde seu tio Euron reaparece e mata o rei Balon. Davos convence Melisandre a tentar ressuscitar Jon. No começo, suas tentativas parecem falhar. No entanto, quando todos saem da sala, ele acorda."&amp;" 53 `` Oathbreaker '' Daniel Sackheim David Benioff &amp; D.B. Weiss 8 de maio de 2016 (2016 - 05 - 08) 7.28 Em um barco a caminho de Oldtown, Tarly revela sua intenção de deixar Gilly e seu bebê com a família do ex -Horn Hill enquanto ele treina para ser um "&amp;"mestre. Em uma visão do passado, Brandon vê Eddard e Howland, o pai de Meera, derrota um grupo de Kingsguard leal aos Targaryens na Torre da Joy em Dorne. Varys descobre que os mestres de Astapor, Yunkai e Volantis estão financiando os filhos da harpia. E"&amp;"m King's Landing, Tommen conversa com o alto pardal, enquanto Jaime e Cersei interrompem uma pequena reunião do conselho, apenas para ser evitado por Kevan e os Tyrells. O guarda -costas de Cersei é revelado como Gregor. Arya treina rigorosamente com o Wa"&amp;"if e sua visão é devolvida a ela quando ela se aceitar como `` não - um ''. Em Winterfell, Lord Umber pede ajuda a Ramsay para proteger o norte dos selvagens, trazendo Rickon e Osha como um presente, junto com a cabeça de Shaggydog, o Direwolf de Rickon. "&amp;"Jon executa Thorne, Olly e os outros oficiais envolvidos em seu assassinato. Ele renuncia ao seu juramento e coloca Tollett no comando do relógio da noite. 54 `` Livro do Estranho '' Daniel Sackheim David Benioff &amp; D.B. Weiss 15 de maio de 2016 (2016 - 05"&amp;" - 15) 7.82 O partido de Sansa chega a Castle Black quando ela se reúne com Jon. Em Meereen, Tyrion se reúne com os mestres escravos da baía de Slaver para oferecer paz se eles terminarão a escravidão dentro de um período de sete anos, uma ação que irrita"&amp;" os ex -escravos. Baelish retorna ao Vale para mobilizar seus soldados contra Ramsay. Naharis aprende sobre a escala de Greyscal de Mormont quando eles chegam a Vaes Dothrak. Em King's Landing, Margaery pode visitar Loras enquanto Cersei, Jaime, Kevan e O"&amp;"lenna deixam de lado suas diferenças e planejam uma derrota dos pardais. Theon chega a Pyke e explica a Yara que ele apoiará sua reivindicação no Kingsmoot. Em Winterfell, a OSHA tenta assassinar Ramsay, mas é morta por ele. Ramsay envia uma carta a Jon, "&amp;"ameaçando danos a Rickon se Sansa não for devolvida. Ela convence Jon a marchar para o sul para recuperar Winterfell. Daenerys se reúne com os Khals no Templo do Dosh Khaleen; Depois que eles se recusam a servi -la, ela os queima e Moro até a morte. Quand"&amp;"o ela emerge ilegal, o Dothraki se ajoelha para ela. 55 5 `` The Door '' Jack Bender David Benioff &amp; D.B. Weiss 22 de maio de 2016 (2016 - 05 - 22) 7.89 Sansa conhece Baelish, que oferece o apoio do Vale e diz a ela que Brynden Tully, seu tio -avô, está r"&amp;"eunindo um exército em Riverrun; Ela inicialmente recusa a ajuda dele. Jon e Sansa deixam o Castle Black para reunir apoio das outras casas do norte, com seu envio de Brienne para Brynden. Em Braavos, Arya tem uma segunda chance de provar sua lealdade ao "&amp;"matar uma atriz. Além do muro, Brandon descobre que os caminhantes brancos foram criados pelos filhos da floresta para se proteger dos primeiros homens. Nas ilhas de ferro, Euron vence o Kingsmoot, apesar de confessar matar Balon, fazendo Yara e Theon fug"&amp;"ir. Em Essos, Daenerys aprende sobre a escala de Mormont, ordenando que ele encontrasse uma cura e retorne. Em Meereen, uma sacerdotisa vermelha chamada Kinvara conhece Tyrion e varia e promete apoiar Daenerys. A visão desacompanhada de Brandon faz com qu"&amp;"e ele seja tocado pelo rei noturno, tornando a caverna vulnerável. O rei noturno, junto com caminhantes brancos e hordas de Wights, atacam a caverna, matando os três olhos, vários filhos, verão e Hodor, cujo eu mais jovem se mostrou desativado mentalmente"&amp;" pela interferência de Brandon. 56 6 `` Blood of My Blood '' Jack Bender Bryan Cogman 29 de maio de 2016 (2016 - 05 - 29) 6,71 Meera escapa para a floresta com Bran, que ainda está imerso em suas visões. Ele vem assim como os Wights os rastrearam, mas são"&amp;" rapidamente salvos por um homem misterioso. Samwell e Gilly chegam ao Tarly Family Estate Horn Hill. Depois que o pai de Sam, Randyll, a insulta por ser um selvagem, Sam decide levá -la com ele para a cidadela, também roubando a ancestral Valyrian Sword "&amp;"de Valyrian de Tarly, Heartsbane. Arya adverte a atriz sobre sua missão de assassiná -la, recuperando a agulha. H'ghar aprova o pedido do Waif para matar Arya. Jaime tenta resgatar Margaery do militante da fé, apenas para descobrir que se arrependeu e Tom"&amp;"men forjou uma aliança com a fé. Ele remove Jaime do Kingsguard e o ordena que ajude Walder Frey, que está mantendo Edmure Tully refém, e retomar Riverrun de Brynden. Bran e Meera aprendem que o homem que os salvou é Benjen, que explica que ele foi virado"&amp;" pelos caminhantes brancos, mas depois, sobre as crianças usando Dragonglass. Daenerys monta Drogon e declara aos Dothraki que eles navegarão pelo mar estreito para conquistar Westeros. 57 7 `` The Broken Man '' Mark Mylod Bryan Cogman 5 de junho de 2016 "&amp;"(2016 - 06 - 05) 7.80 Margaery convence Olenna a retornar a Highgarden depois que o High Sparrow diz que ele seguirá Olenna após sua tentativa de envolver a fé. Jon, Sansa e Davos recrutam os Wildlings e House Mormont para sua causa, mas permanecem supera"&amp;"dos em número pelos Bolton. Em desespero, Sansa escreve uma carta implorando por ajuda. Jaime chega a Riverrun com Bronn, assumindo o controle do cerco. O primeiro vai para Parley com Brynden, finalmente sem êxito. Theon e Yara passam a noite passada em V"&amp;"olantis, decidindo navegar até Meereen para aliar -se com Daenerys. Em Braavos, Arya se prepara para retornar a Westeros, mas é atacado pelo Waif. Arya está gravemente ferido, mas escapa. Sandor é revelado estar vivo, tendo sido salvo por um septon e seus"&amp;" seguidores. Quando homens da Irmandade ameaçam e eventualmente matam o grupo, Sandor decide se vingar. 58 8 `` ninguém '' Mark Mylod David Benioff &amp; D.B. Weiss 12 de junho de 2016 (2016 - 06 - 12) 7.60 Tommen abole o julgamento por combate, para grande c"&amp;"onsternação de Cersei, que planejava vencer usando Gregor. Brienne chega a Riverrun e tenta convencer Brynden a se render, sem sucesso. Depois que Jaime ameaça matar o filho jovem de Edmure, ele entra no castelo e ordena que as forças de Tully se afastem,"&amp;" mas Brynden é morto lutando contra os Lannisters. Escape de Brienne e Podrick. Varys parte de Meereen em uma missão desconhecida. Meereen está sob agressão naval pelas cidades de escravos, mas Daenerys retorna. Sandor mata os bandidos que demitiram sua a"&amp;"ldeia e encontram Dondarrion e Thoros, que explicam que os bandidos eram renegados. Eles tentam convencer Sandor a se juntar à Irmandade. Arya é levado pela atriz, que cura suas feridas. De manhã, o Waif chega, mata a atriz e persegue Arya pelas ruas de B"&amp;"raavos. Arya lidera o Waif nas catacumbas e a mata. Ela devolve o rosto do Waif para a casa e declara que é Arya Stark de Winterfell e está indo para casa. 59 9 `` Batalha dos bastardos '' Miguel Sapochnik David Benioff &amp; D.B. Weiss 19 de junho de 2016 (2"&amp;"016 - 06 - 19) 7.66 Daenerys se reúne com os mestres de escravos para negociar termos de rendição, mas eles o recusam. Drogon, como Rhaegal e Viserion Assist, Daenerys ataca e queima a frota dos escravos. Grey Worm mata dois dos mestres, deixando um para "&amp;"contar o que ele havia testemunhado. Após a batalha, Theon e Yara se encontram com Daenerys e Tyrion e concordam com uma aliança. Perto de Winterfell, os exércitos Stark e Bolton se encontram no campo. Ramsay faz fibra libertar Rickon, mas o mata com uma "&amp;"seta de longa distância antes que Jon possa salvá -lo. Na batalha, as forças fortes são fixadas por soldados de Bolton, mas são resgatadas pelos Cavaleiros do Vale. Ramsay foge dentro de Winterfell, mas o gigante selvagem Wun Wun, tendo levado inúmeras fl"&amp;"echas para o corpo, consegue quebrar o portão antes de sucumbir às feridas. Jon brutalmente vence Ramsay e o leva prisioneiro. Mais tarde, Sansa visita a célula de Ramsay nos canis e observa enquanto seus cães famintos o devoram. 60 10 `` Os ventos do inv"&amp;"erno '' Miguel Sapochnik David Benioff &amp; D.B. Weiss, 26 de junho de 2016 (2016 - 06 - 26) 8.89 Antes de seu julgamento, Cersei destrói o Sept of Baelor por Wildfire, matando o alto pardal, Margaery, Mace e Loras Tyrell, Lancel e Kevan Lannister, juntament"&amp;"e com centenas de rei Nobres de aterrissagem e o militante da fé, enquanto Qyburn matou Pycelle. Tommen comete suicídio. Em Dorne, Varys se reúne com Olenna e Ellaria, buscando formar uma aliança entre Daenerys e suas casas contra os Lannisters. Davos con"&amp;"fronta Melisandre sobre a morte de Shireen; Jon a bane de Winterfell. Os Wildlings, os Cavaleiros do Vale e as Casas Sobreviventes do Norte prometem lealdade a Jon como o novo rei no norte. Sansa impede Baelish de ficar íntimo com ela. Arya mata Walder Fr"&amp;"ey e seus filhos. Tarly e Gilly chegam à cidadela em Oldtown. Benjen diz a Brandon e Meera para passar pela parede sem ele. Brandon usa seus poderes e descobre que Jon é realmente filho de Lyanna, sendo adotado por Eddard depois que ela morreu durante a r"&amp;"ebelião de Robert. Jaime retorna ao desembarque de King para encontrar Qyburn coroando Cersei o novo monarca dos sete reinos. Daenerys deixa Naharis e os segundos filhos para governar Meereen antes que ela navegue para Westeros com outros companheiros, ex"&amp;"ércitos e dragões.")</f>
        <v>   Não . Nº geral no título da temporada, dirigido por escrito pelos espectadores originais da Data Aérea dos EUA (milhões) 51 `` The Red Woman '' Jeremy Podeswa David Benioff &amp; D.B. Weiss 24 de abril de 2016 (2016 - 04 - 24) 7.94 O cadáver de Jon Snow é encontrado por Ser Davos, EDD e alguns outros partidários; Davos e os outros o levam para dentro e se trancam atrás de uma porta com ele, enquanto Edd vai obter ajuda. Thorne assume o comando do relógio. Em Winterfell, Ramsay lamenta Myranda, enquanto Sansa e Theon escapam pela floresta. Os homens de Ramsay os alcançam, e estão prestes a levá -los em cativeiro, quando Brienne e POD chegam, matam os homens, e o primeiro é aceito no serviço de Sansa. Em King's Landing, Cersei recebe Jaime, que chega com o corpo de Myrcella. Jaime promete Cersei que eles se vingam. Obara e Nymeria assassinam o Trystane, a caminho de casa de King's Landing, enquanto em Sunspear, Doran e Areo Hotah são mortos por Ellaria e Tyene, depois que os primeiros aprendem a morte de Myrcella. Em Meereen, Tyrion e Varys encontram todos os navios queimando no porto. Jorah e Daario continuam a rastrear Daenerys, que é levado pelos Dothraki para Khal Moro. Em Braavos, Arya vive nas ruas como um mendigo, onde é espancada pelo Waif. Em sua câmara, Melisandre remove seu colar de joias enquanto revela sua verdadeira aparência como uma velha crone. 52 `` Home '' Jeremy Podeswa Dave Hill 1 de maio de 2016 (2016 - 05 - 01) 7.29 Brandon visita Winterfell em uma visão do passado, e vê Eddard, Benjen e sua irmã Lyanna, além de um jovem hodor. Edd chega com Tormund e um grupo de selvagens, aprisionando Thorne e os outros amotinados. Tommen pede a Cersei que o ensine a ser forte. Tyrion descobre que Astapor e Yunkai reverteram para a escravidão e libera Rhaegal e Viserion de suas correntes. Em Braavos, Arya é atacado pelo Waif antes que H'ghar apareça e a recruta novamente. Walda, esposa de Roose, dá à luz um garoto, levando Ramsay a assassinar Roose, ela e o bebê. Brienne revela a Sansa que Arya ainda está vivo. Sansa permite o retorno de Theon às Ilhas Ferro, onde seu tio Euron reaparece e mata o rei Balon. Davos convence Melisandre a tentar ressuscitar Jon. No começo, suas tentativas parecem falhar. No entanto, quando todos saem da sala, ele acorda. 53 `` Oathbreaker '' Daniel Sackheim David Benioff &amp; D.B. Weiss 8 de maio de 2016 (2016 - 05 - 08) 7.28 Em um barco a caminho de Oldtown, Tarly revela sua intenção de deixar Gilly e seu bebê com a família do ex -Horn Hill enquanto ele treina para ser um mestre. Em uma visão do passado, Brandon vê Eddard e Howland, o pai de Meera, derrota um grupo de Kingsguard leal aos Targaryens na Torre da Joy em Dorne. Varys descobre que os mestres de Astapor, Yunkai e Volantis estão financiando os filhos da harpia. Em King's Landing, Tommen conversa com o alto pardal, enquanto Jaime e Cersei interrompem uma pequena reunião do conselho, apenas para ser evitado por Kevan e os Tyrells. O guarda -costas de Cersei é revelado como Gregor. Arya treina rigorosamente com o Waif e sua visão é devolvida a ela quando ela se aceitar como `` não - um ''. Em Winterfell, Lord Umber pede ajuda a Ramsay para proteger o norte dos selvagens, trazendo Rickon e Osha como um presente, junto com a cabeça de Shaggydog, o Direwolf de Rickon. Jon executa Thorne, Olly e os outros oficiais envolvidos em seu assassinato. Ele renuncia ao seu juramento e coloca Tollett no comando do relógio da noite. 54 `` Livro do Estranho '' Daniel Sackheim David Benioff &amp; D.B. Weiss 15 de maio de 2016 (2016 - 05 - 15) 7.82 O partido de Sansa chega a Castle Black quando ela se reúne com Jon. Em Meereen, Tyrion se reúne com os mestres escravos da baía de Slaver para oferecer paz se eles terminarão a escravidão dentro de um período de sete anos, uma ação que irrita os ex -escravos. Baelish retorna ao Vale para mobilizar seus soldados contra Ramsay. Naharis aprende sobre a escala de Greyscal de Mormont quando eles chegam a Vaes Dothrak. Em King's Landing, Margaery pode visitar Loras enquanto Cersei, Jaime, Kevan e Olenna deixam de lado suas diferenças e planejam uma derrota dos pardais. Theon chega a Pyke e explica a Yara que ele apoiará sua reivindicação no Kingsmoot. Em Winterfell, a OSHA tenta assassinar Ramsay, mas é morta por ele. Ramsay envia uma carta a Jon, ameaçando danos a Rickon se Sansa não for devolvida. Ela convence Jon a marchar para o sul para recuperar Winterfell. Daenerys se reúne com os Khals no Templo do Dosh Khaleen; Depois que eles se recusam a servi -la, ela os queima e Moro até a morte. Quando ela emerge ilegal, o Dothraki se ajoelha para ela. 55 5 `` The Door '' Jack Bender David Benioff &amp; D.B. Weiss 22 de maio de 2016 (2016 - 05 - 22) 7.89 Sansa conhece Baelish, que oferece o apoio do Vale e diz a ela que Brynden Tully, seu tio -avô, está reunindo um exército em Riverrun; Ela inicialmente recusa a ajuda dele. Jon e Sansa deixam o Castle Black para reunir apoio das outras casas do norte, com seu envio de Brienne para Brynden. Em Braavos, Arya tem uma segunda chance de provar sua lealdade ao matar uma atriz. Além do muro, Brandon descobre que os caminhantes brancos foram criados pelos filhos da floresta para se proteger dos primeiros homens. Nas ilhas de ferro, Euron vence o Kingsmoot, apesar de confessar matar Balon, fazendo Yara e Theon fugir. Em Essos, Daenerys aprende sobre a escala de Mormont, ordenando que ele encontrasse uma cura e retorne. Em Meereen, uma sacerdotisa vermelha chamada Kinvara conhece Tyrion e varia e promete apoiar Daenerys. A visão desacompanhada de Brandon faz com que ele seja tocado pelo rei noturno, tornando a caverna vulnerável. O rei noturno, junto com caminhantes brancos e hordas de Wights, atacam a caverna, matando os três olhos, vários filhos, verão e Hodor, cujo eu mais jovem se mostrou desativado mentalmente pela interferência de Brandon. 56 6 `` Blood of My Blood '' Jack Bender Bryan Cogman 29 de maio de 2016 (2016 - 05 - 29) 6,71 Meera escapa para a floresta com Bran, que ainda está imerso em suas visões. Ele vem assim como os Wights os rastrearam, mas são rapidamente salvos por um homem misterioso. Samwell e Gilly chegam ao Tarly Family Estate Horn Hill. Depois que o pai de Sam, Randyll, a insulta por ser um selvagem, Sam decide levá -la com ele para a cidadela, também roubando a ancestral Valyrian Sword de Valyrian de Tarly, Heartsbane. Arya adverte a atriz sobre sua missão de assassiná -la, recuperando a agulha. H'ghar aprova o pedido do Waif para matar Arya. Jaime tenta resgatar Margaery do militante da fé, apenas para descobrir que se arrependeu e Tommen forjou uma aliança com a fé. Ele remove Jaime do Kingsguard e o ordena que ajude Walder Frey, que está mantendo Edmure Tully refém, e retomar Riverrun de Brynden. Bran e Meera aprendem que o homem que os salvou é Benjen, que explica que ele foi virado pelos caminhantes brancos, mas depois, sobre as crianças usando Dragonglass. Daenerys monta Drogon e declara aos Dothraki que eles navegarão pelo mar estreito para conquistar Westeros. 57 7 `` The Broken Man '' Mark Mylod Bryan Cogman 5 de junho de 2016 (2016 - 06 - 05) 7.80 Margaery convence Olenna a retornar a Highgarden depois que o High Sparrow diz que ele seguirá Olenna após sua tentativa de envolver a fé. Jon, Sansa e Davos recrutam os Wildlings e House Mormont para sua causa, mas permanecem superados em número pelos Bolton. Em desespero, Sansa escreve uma carta implorando por ajuda. Jaime chega a Riverrun com Bronn, assumindo o controle do cerco. O primeiro vai para Parley com Brynden, finalmente sem êxito. Theon e Yara passam a noite passada em Volantis, decidindo navegar até Meereen para aliar -se com Daenerys. Em Braavos, Arya se prepara para retornar a Westeros, mas é atacado pelo Waif. Arya está gravemente ferido, mas escapa. Sandor é revelado estar vivo, tendo sido salvo por um septon e seus seguidores. Quando homens da Irmandade ameaçam e eventualmente matam o grupo, Sandor decide se vingar. 58 8 `` ninguém '' Mark Mylod David Benioff &amp; D.B. Weiss 12 de junho de 2016 (2016 - 06 - 12) 7.60 Tommen abole o julgamento por combate, para grande consternação de Cersei, que planejava vencer usando Gregor. Brienne chega a Riverrun e tenta convencer Brynden a se render, sem sucesso. Depois que Jaime ameaça matar o filho jovem de Edmure, ele entra no castelo e ordena que as forças de Tully se afastem, mas Brynden é morto lutando contra os Lannisters. Escape de Brienne e Podrick. Varys parte de Meereen em uma missão desconhecida. Meereen está sob agressão naval pelas cidades de escravos, mas Daenerys retorna. Sandor mata os bandidos que demitiram sua aldeia e encontram Dondarrion e Thoros, que explicam que os bandidos eram renegados. Eles tentam convencer Sandor a se juntar à Irmandade. Arya é levado pela atriz, que cura suas feridas. De manhã, o Waif chega, mata a atriz e persegue Arya pelas ruas de Braavos. Arya lidera o Waif nas catacumbas e a mata. Ela devolve o rosto do Waif para a casa e declara que é Arya Stark de Winterfell e está indo para casa. 59 9 `` Batalha dos bastardos '' Miguel Sapochnik David Benioff &amp; D.B. Weiss 19 de junho de 2016 (2016 - 06 - 19) 7.66 Daenerys se reúne com os mestres de escravos para negociar termos de rendição, mas eles o recusam. Drogon, como Rhaegal e Viserion Assist, Daenerys ataca e queima a frota dos escravos. Grey Worm mata dois dos mestres, deixando um para contar o que ele havia testemunhado. Após a batalha, Theon e Yara se encontram com Daenerys e Tyrion e concordam com uma aliança. Perto de Winterfell, os exércitos Stark e Bolton se encontram no campo. Ramsay faz fibra libertar Rickon, mas o mata com uma seta de longa distância antes que Jon possa salvá -lo. Na batalha, as forças fortes são fixadas por soldados de Bolton, mas são resgatadas pelos Cavaleiros do Vale. Ramsay foge dentro de Winterfell, mas o gigante selvagem Wun Wun, tendo levado inúmeras flechas para o corpo, consegue quebrar o portão antes de sucumbir às feridas. Jon brutalmente vence Ramsay e o leva prisioneiro. Mais tarde, Sansa visita a célula de Ramsay nos canis e observa enquanto seus cães famintos o devoram. 60 10 `` Os ventos do inverno '' Miguel Sapochnik David Benioff &amp; D.B. Weiss, 26 de junho de 2016 (2016 - 06 - 26) 8.89 Antes de seu julgamento, Cersei destrói o Sept of Baelor por Wildfire, matando o alto pardal, Margaery, Mace e Loras Tyrell, Lancel e Kevan Lannister, juntamente com centenas de rei Nobres de aterrissagem e o militante da fé, enquanto Qyburn matou Pycelle. Tommen comete suicídio. Em Dorne, Varys se reúne com Olenna e Ellaria, buscando formar uma aliança entre Daenerys e suas casas contra os Lannisters. Davos confronta Melisandre sobre a morte de Shireen; Jon a bane de Winterfell. Os Wildlings, os Cavaleiros do Vale e as Casas Sobreviventes do Norte prometem lealdade a Jon como o novo rei no norte. Sansa impede Baelish de ficar íntimo com ela. Arya mata Walder Frey e seus filhos. Tarly e Gilly chegam à cidadela em Oldtown. Benjen diz a Brandon e Meera para passar pela parede sem ele. Brandon usa seus poderes e descobre que Jon é realmente filho de Lyanna, sendo adotado por Eddard depois que ela morreu durante a rebelião de Robert. Jaime retorna ao desembarque de King para encontrar Qyburn coroando Cersei o novo monarca dos sete reinos. Daenerys deixa Naharis e os segundos filhos para governar Meereen antes que ela navegue para Westeros com outros companheiros, exércitos e dragões.</v>
      </c>
    </row>
    <row r="820" customFormat="false" ht="15.75" hidden="false" customHeight="true" outlineLevel="0" collapsed="false">
      <c r="A820" s="3" t="n">
        <v>817</v>
      </c>
      <c r="B820" s="5" t="s">
        <v>2447</v>
      </c>
      <c r="C820" s="5" t="s">
        <v>2448</v>
      </c>
      <c r="D820" s="5" t="s">
        <v>2449</v>
      </c>
      <c r="E820" s="4" t="str">
        <f aca="false">IFERROR(__xludf.dummyfunction("GOOGLETRANSLATE(C821)"),"Quando o primeiro brechó aberto Persona 5")</f>
        <v>Quando o primeiro brechó aberto Persona 5</v>
      </c>
      <c r="F820" s="5" t="str">
        <f aca="false">IFERROR(__xludf.dummyfunction("GOOGLETRANSLATE(D820)")," Esta é uma lista de artistas com mais número - uma música na parada Billboard Hot 100 dos EUA (10 ou mais). Atualmente, os Beatles detêm o recorde do maior número - uma música na história de 57 anos da parada, com 20. Mariah Carey detém o recorde do arti"&amp;"sta solo com o maior número - músicas, com 18. Rihanna está em terceiro lugar com 14 número - uma músicas (incluindo músicas que foram o número 1 com Rihanna como artista em destaque) e Michael Jackson está em quarto lugar com 13 Number - Ones (sem inclui"&amp;"r suas quatro paradas - Toppers com o Jackson 5 e um com os EUA para a África), enquanto os supremos e a Madonna alcançaram 12 cada. Whitney Houston alcançou 11 número - durante sua carreira, enquanto Stevie Wonder e Janet Jackson marcaram 10 cada.")</f>
        <v> Esta é uma lista de artistas com mais número - uma música na parada Billboard Hot 100 dos EUA (10 ou mais). Atualmente, os Beatles detêm o recorde do maior número - uma música na história de 57 anos da parada, com 20. Mariah Carey detém o recorde do artista solo com o maior número - músicas, com 18. Rihanna está em terceiro lugar com 14 número - uma músicas (incluindo músicas que foram o número 1 com Rihanna como artista em destaque) e Michael Jackson está em quarto lugar com 13 Number - Ones (sem incluir suas quatro paradas - Toppers com o Jackson 5 e um com os EUA para a África), enquanto os supremos e a Madonna alcançaram 12 cada. Whitney Houston alcançou 11 número - durante sua carreira, enquanto Stevie Wonder e Janet Jackson marcaram 10 cada.</v>
      </c>
    </row>
    <row r="821" customFormat="false" ht="15.75" hidden="false" customHeight="true" outlineLevel="0" collapsed="false">
      <c r="A821" s="3" t="n">
        <v>818</v>
      </c>
      <c r="B821" s="5" t="s">
        <v>2450</v>
      </c>
      <c r="C821" s="5" t="s">
        <v>2451</v>
      </c>
      <c r="D821" s="5" t="s">
        <v>2452</v>
      </c>
      <c r="E821" s="4" t="str">
        <f aca="false">IFERROR(__xludf.dummyfunction("GOOGLETRANSLATE(C822)"),"que interpretou Ernst Blofeld na Rússia com amor")</f>
        <v>que interpretou Ernst Blofeld na Rússia com amor</v>
      </c>
      <c r="F821" s="5" t="str">
        <f aca="false">IFERROR(__xludf.dummyfunction("GOOGLETRANSLATE(D821)")," No entanto, foi durante a Segunda Guerra Mundial que a loja de caridade se espalhou. O acordo da Universidade de Edimburgo abriu seu 'brechó para todos' em Nicholson Place, Edimburgo, em 1937, a Cruz Vermelha abriu sua primeira loja de caridade na 17 Old"&amp;" Bond Street, Londres, em 1941. Durante a guerra, mais de duzentas lojas de presentes da Cruz Vermelha '' permanentes 'e cerca de 150 lojas temporárias da Cruz Vermelha foram abertas. Uma condição da licença da loja emitida pelo Conselho de Comércio era q"&amp;"ue todos os bens oferecidos para venda eram presentes. A compra para a revenda foi proibida. Todo o produto das vendas teve que ser passado para a Cruz Vermelha de Gloucester ou o Fundo de St. John. A maioria das premissas era emprestada livre de aluguel "&amp;"e, em alguns casos, os proprietários também atendiam aos custos de aquecimento e iluminação.")</f>
        <v> No entanto, foi durante a Segunda Guerra Mundial que a loja de caridade se espalhou. O acordo da Universidade de Edimburgo abriu seu 'brechó para todos' em Nicholson Place, Edimburgo, em 1937, a Cruz Vermelha abriu sua primeira loja de caridade na 17 Old Bond Street, Londres, em 1941. Durante a guerra, mais de duzentas lojas de presentes da Cruz Vermelha '' permanentes 'e cerca de 150 lojas temporárias da Cruz Vermelha foram abertas. Uma condição da licença da loja emitida pelo Conselho de Comércio era que todos os bens oferecidos para venda eram presentes. A compra para a revenda foi proibida. Todo o produto das vendas teve que ser passado para a Cruz Vermelha de Gloucester ou o Fundo de St. John. A maioria das premissas era emprestada livre de aluguel e, em alguns casos, os proprietários também atendiam aos custos de aquecimento e iluminação.</v>
      </c>
    </row>
    <row r="822" customFormat="false" ht="15.75" hidden="false" customHeight="true" outlineLevel="0" collapsed="false">
      <c r="A822" s="3" t="n">
        <v>819</v>
      </c>
      <c r="B822" s="5" t="s">
        <v>2453</v>
      </c>
      <c r="C822" s="5" t="s">
        <v>2454</v>
      </c>
      <c r="D822" s="5" t="s">
        <v>2455</v>
      </c>
      <c r="E822" s="4" t="str">
        <f aca="false">IFERROR(__xludf.dummyfunction("GOOGLETRANSLATE(C823)"),"quem tem mais campeões na WWE")</f>
        <v>quem tem mais campeões na WWE</v>
      </c>
      <c r="F822" s="5" t="str">
        <f aca="false">IFERROR(__xludf.dummyfunction("GOOGLETRANSLATE(D822)"),"   Ano ator de cinema e status de notas após o filme termina em 1963 da Rússia com Love Anthony Dawson como ator (apenas mãos e costas da cabeça são vistas), Eric Pohlmann como dublador; Os créditos finais listam um ponto de interrogação em vez do nome de"&amp;" um ator no campo `` Blofeld '' (no entanto, ele é referido apenas como `` número um '' no filme). Envolvimento ativo / indireto no campo. Nunca tem contato com Bond. 1965 Thunderball Anthony Dawson como ator (apenas as mãos e as costas da cabeça são vist"&amp;"as), Eric Pohlmann como dublador, ambos não créditos; Os créditos finais não listam Blofeld (talvez devido ao fato de ele ser referido apenas como `` número um '' no filme). Envolvimento ativo / indireto no campo. Nunca tem contato com Bond. 1967 Você só "&amp;"vive duas vezes Donald Pleasence. O ator Jan Werich foi lançado originalmente, e alguns clipes mostram suas mãos acariciando gato, e o tufo de cabelo pode ser visto logo acima da parte de trás da cadeira. A praça, com uma cicatriz falsa no rosto, substitu"&amp;"iu Werich durante as filmagens quando o último foi considerado inadequado para o papel. Blofeld tem uma cicatriz facial neste filme. Ferido na mão direita por um shuriken; escapa. 1969 sobre o Serviço Secreto de Sua Majestade Savalas; Aparece com os lóbul"&amp;"os das orelhas removidos para fazer backup de reivindicar um título nobre. Fuga; Ele era o motorista da viagem - por assassinato de Tracy Bond. 1971 Diamantes são para sempre Charles Gray; aparece também como duplas, todas criadas por cirurgia plástica. E"&amp;"le tenta escapar em seu mini-sub, mas Bond ganha o controle dele e o colide na sala de controle. 1981 Para seus olhos, apenas John Hollis como ator, Robert Rietty como dublador; O rosto de Blofeld não é visto de perto - e seu nome não é usado devido à bat"&amp;"alha legal com Kevin McClory revelado no comentário do DVD do filme. Caiu uma chaminé muito grande de seu próprio helicóptero. Nunca diga nunca mais (semeno) Max von Sydow. Aparece em um pequeno número de cenas. Envolvimento ativo / indireto no campo. Nun"&amp;"ca tem contato direto com Bond. 2015 Specter Christoph Waltz; Ele, identificado como sendo de ascendência austríaca, é inicialmente conhecido por seu nome de nascimento como `` Franz Oberhauser '', mas revela que ele rejeitou o nome de seu pai e leva o no"&amp;"me de solteira de sua mãe: `` Blofeld ''. Mais tarde, ele recebe uma cicatriz facial (uma referência a você só vive duas vezes) devido ao relógio explodido de Q. Capturado e preso por Bond e Mi6.")</f>
        <v>   Ano ator de cinema e status de notas após o filme termina em 1963 da Rússia com Love Anthony Dawson como ator (apenas mãos e costas da cabeça são vistas), Eric Pohlmann como dublador; Os créditos finais listam um ponto de interrogação em vez do nome de um ator no campo `` Blofeld '' (no entanto, ele é referido apenas como `` número um '' no filme). Envolvimento ativo / indireto no campo. Nunca tem contato com Bond. 1965 Thunderball Anthony Dawson como ator (apenas as mãos e as costas da cabeça são vistas), Eric Pohlmann como dublador, ambos não créditos; Os créditos finais não listam Blofeld (talvez devido ao fato de ele ser referido apenas como `` número um '' no filme). Envolvimento ativo / indireto no campo. Nunca tem contato com Bond. 1967 Você só vive duas vezes Donald Pleasence. O ator Jan Werich foi lançado originalmente, e alguns clipes mostram suas mãos acariciando gato, e o tufo de cabelo pode ser visto logo acima da parte de trás da cadeira. A praça, com uma cicatriz falsa no rosto, substituiu Werich durante as filmagens quando o último foi considerado inadequado para o papel. Blofeld tem uma cicatriz facial neste filme. Ferido na mão direita por um shuriken; escapa. 1969 sobre o Serviço Secreto de Sua Majestade Savalas; Aparece com os lóbulos das orelhas removidos para fazer backup de reivindicar um título nobre. Fuga; Ele era o motorista da viagem - por assassinato de Tracy Bond. 1971 Diamantes são para sempre Charles Gray; aparece também como duplas, todas criadas por cirurgia plástica. Ele tenta escapar em seu mini-sub, mas Bond ganha o controle dele e o colide na sala de controle. 1981 Para seus olhos, apenas John Hollis como ator, Robert Rietty como dublador; O rosto de Blofeld não é visto de perto - e seu nome não é usado devido à batalha legal com Kevin McClory revelado no comentário do DVD do filme. Caiu uma chaminé muito grande de seu próprio helicóptero. Nunca diga nunca mais (semeno) Max von Sydow. Aparece em um pequeno número de cenas. Envolvimento ativo / indireto no campo. Nunca tem contato direto com Bond. 2015 Specter Christoph Waltz; Ele, identificado como sendo de ascendência austríaca, é inicialmente conhecido por seu nome de nascimento como `` Franz Oberhauser '', mas revela que ele rejeitou o nome de seu pai e leva o nome de solteira de sua mãe: `` Blofeld ''. Mais tarde, ele recebe uma cicatriz facial (uma referência a você só vive duas vezes) devido ao relógio explodido de Q. Capturado e preso por Bond e Mi6.</v>
      </c>
    </row>
    <row r="823" customFormat="false" ht="15.75" hidden="false" customHeight="true" outlineLevel="0" collapsed="false">
      <c r="A823" s="3" t="n">
        <v>820</v>
      </c>
      <c r="B823" s="5" t="s">
        <v>2456</v>
      </c>
      <c r="C823" s="5" t="s">
        <v>2457</v>
      </c>
      <c r="D823" s="5" t="s">
        <v>2458</v>
      </c>
      <c r="E823" s="4" t="str">
        <f aca="false">IFERROR(__xludf.dummyfunction("GOOGLETRANSLATE(C824)"),"uma peça musical em que as palavras são cantadas")</f>
        <v>uma peça musical em que as palavras são cantadas</v>
      </c>
      <c r="F823" s="5" t="str">
        <f aca="false">IFERROR(__xludf.dummyfunction("GOOGLETRANSLATE(D823)")," No geral, houve 50 campeões oficiais diferentes, com John Cena tendo mais reinados aos treze anos. Sete homens na história realizaram o campeonato por um reinado contínuo de um ano (365 dias) ou mais: Bruno Sammartino, Pedro Morales, Bob Backlund, Hulk H"&amp;"ogan, Randy Savage, John Cena e CM Punk.")</f>
        <v> No geral, houve 50 campeões oficiais diferentes, com John Cena tendo mais reinados aos treze anos. Sete homens na história realizaram o campeonato por um reinado contínuo de um ano (365 dias) ou mais: Bruno Sammartino, Pedro Morales, Bob Backlund, Hulk Hogan, Randy Savage, John Cena e CM Punk.</v>
      </c>
    </row>
    <row r="824" customFormat="false" ht="15.75" hidden="false" customHeight="true" outlineLevel="0" collapsed="false">
      <c r="A824" s="3" t="n">
        <v>821</v>
      </c>
      <c r="B824" s="5" t="s">
        <v>2459</v>
      </c>
      <c r="C824" s="5" t="s">
        <v>2460</v>
      </c>
      <c r="D824" s="5" t="s">
        <v>2461</v>
      </c>
      <c r="E824" s="4" t="str">
        <f aca="false">IFERROR(__xludf.dummyfunction("GOOGLETRANSLATE(C825)"),"onde está a América do Norte localizada no mapa")</f>
        <v>onde está a América do Norte localizada no mapa</v>
      </c>
      <c r="F824" s="5" t="str">
        <f aca="false">IFERROR(__xludf.dummyfunction("GOOGLETRANSLATE(D824)")," O teatro musical é uma forma de performance teatral que combina músicas, diálogo falado, atuação e dança. A história e o conteúdo emocional de um musical - humor, pathos, amor, raiva - são comunicados através das palavras, música, movimento e aspectos té"&amp;"cnicos do entretenimento como um todo integrado. Embora o teatro musical se sobreponha a outras formas teatrais, como ópera e dança, pode ser distinguido pela igual importância dada à música em comparação com o diálogo, o movimento e outros elementos. Des"&amp;"de o início do século XX, as obras de teatro musical geralmente são chamadas, simplesmente, musicais.")</f>
        <v> O teatro musical é uma forma de performance teatral que combina músicas, diálogo falado, atuação e dança. A história e o conteúdo emocional de um musical - humor, pathos, amor, raiva - são comunicados através das palavras, música, movimento e aspectos técnicos do entretenimento como um todo integrado. Embora o teatro musical se sobreponha a outras formas teatrais, como ópera e dança, pode ser distinguido pela igual importância dada à música em comparação com o diálogo, o movimento e outros elementos. Desde o início do século XX, as obras de teatro musical geralmente são chamadas, simplesmente, musicais.</v>
      </c>
    </row>
    <row r="825" customFormat="false" ht="15.75" hidden="false" customHeight="true" outlineLevel="0" collapsed="false">
      <c r="A825" s="3" t="n">
        <v>822</v>
      </c>
      <c r="B825" s="5" t="s">
        <v>2462</v>
      </c>
      <c r="C825" s="5" t="s">
        <v>2463</v>
      </c>
      <c r="D825" s="5" t="s">
        <v>2464</v>
      </c>
      <c r="E825" s="4" t="str">
        <f aca="false">IFERROR(__xludf.dummyfunction("GOOGLETRANSLATE(C826)"),"onde estão os elytra localizados se estiverem presentes em um inseto")</f>
        <v>onde estão os elytra localizados se estiverem presentes em um inseto</v>
      </c>
      <c r="F825" s="5" t="str">
        <f aca="false">IFERROR(__xludf.dummyfunction("GOOGLETRANSLATE(D825)")," A América do Norte é um continente inteiramente dentro do hemisfério norte e quase todos dentro do hemisfério ocidental; Também é considerado por alguns como um subcontinente norte das Américas. É delimitada ao norte pelo Oceano Ártico, a leste pelo Ocea"&amp;"no Atlântico, a oeste e sul pelo Oceano Pacífico e a sudeste pela América do Sul e pelo Mar do Caribe.")</f>
        <v> A América do Norte é um continente inteiramente dentro do hemisfério norte e quase todos dentro do hemisfério ocidental; Também é considerado por alguns como um subcontinente norte das Américas. É delimitada ao norte pelo Oceano Ártico, a leste pelo Oceano Atlântico, a oeste e sul pelo Oceano Pacífico e a sudeste pela América do Sul e pelo Mar do Caribe.</v>
      </c>
    </row>
    <row r="826" customFormat="false" ht="15.75" hidden="false" customHeight="true" outlineLevel="0" collapsed="false">
      <c r="A826" s="3" t="n">
        <v>823</v>
      </c>
      <c r="B826" s="5" t="s">
        <v>2465</v>
      </c>
      <c r="C826" s="5" t="s">
        <v>2466</v>
      </c>
      <c r="D826" s="5" t="s">
        <v>2467</v>
      </c>
      <c r="E826" s="4" t="str">
        <f aca="false">IFERROR(__xludf.dummyfunction("GOOGLETRANSLATE(C827)"),"Quando os novos episódios da teoria do Big Bang começam")</f>
        <v>Quando os novos episódios da teoria do Big Bang começam</v>
      </c>
      <c r="F826" s="5" t="str">
        <f aca="false">IFERROR(__xludf.dummyfunction("GOOGLETRANSLATE(D826)")," Na maioria das espécies de besouros, o par de asas frontal é modificado e esclerotizado (endurecido) para formar elytra e protege os delicados os dois traseiros que são dobrados abaixo. Os elytra estão conectados ao pteratórax; sendo chamado como tal, po"&amp;"rque é onde as asas estão conectadas (Pteron significa `` asa '' em grego). Os elytra não são usados ​​para o vôo, mas tendem a cobrir a parte traseira do corpo e proteger o segundo par de asas (alae). O elytra deve ser levantado para mover as asas de vôo"&amp;" traseiro. As asas de vôo de um besouro são cruzadas com veias e são dobradas após o pouso, geralmente ao longo dessas veias, e são armazenadas abaixo do elytra. Em alguns besouros, a capacidade de voar foi perdida. Isso inclui alguns besouros terrestres "&amp;"(Family Carabidae) e alguns `` verdadeiros gorgulhos '' (Curculionidae), mas também algumas espécies desertas e cavernas de outras famílias. Muitas dessas espécies têm os dois elytra fundidos, formando um escudo sólido sobre o abdômen. Em poucas famílias,"&amp;" tanto a capacidade de voar quanto os elytra foram perdidos, com o exemplo mais conhecido sendo o brilho - vermes da família Phengodidae, no qual as fêmeas são larviformes ao longo de suas vidas.")</f>
        <v> Na maioria das espécies de besouros, o par de asas frontal é modificado e esclerotizado (endurecido) para formar elytra e protege os delicados os dois traseiros que são dobrados abaixo. Os elytra estão conectados ao pteratórax; sendo chamado como tal, porque é onde as asas estão conectadas (Pteron significa `` asa '' em grego). Os elytra não são usados ​​para o vôo, mas tendem a cobrir a parte traseira do corpo e proteger o segundo par de asas (alae). O elytra deve ser levantado para mover as asas de vôo traseiro. As asas de vôo de um besouro são cruzadas com veias e são dobradas após o pouso, geralmente ao longo dessas veias, e são armazenadas abaixo do elytra. Em alguns besouros, a capacidade de voar foi perdida. Isso inclui alguns besouros terrestres (Family Carabidae) e alguns `` verdadeiros gorgulhos '' (Curculionidae), mas também algumas espécies desertas e cavernas de outras famílias. Muitas dessas espécies têm os dois elytra fundidos, formando um escudo sólido sobre o abdômen. Em poucas famílias, tanto a capacidade de voar quanto os elytra foram perdidos, com o exemplo mais conhecido sendo o brilho - vermes da família Phengodidae, no qual as fêmeas são larviformes ao longo de suas vidas.</v>
      </c>
    </row>
    <row r="827" customFormat="false" ht="15.75" hidden="false" customHeight="true" outlineLevel="0" collapsed="false">
      <c r="A827" s="3" t="n">
        <v>824</v>
      </c>
      <c r="B827" s="5" t="s">
        <v>1701</v>
      </c>
      <c r="C827" s="5" t="s">
        <v>2468</v>
      </c>
      <c r="D827" s="5" t="s">
        <v>2469</v>
      </c>
      <c r="E827" s="4" t="str">
        <f aca="false">IFERROR(__xludf.dummyfunction("GOOGLETRANSLATE(C828)"),"que interpreta o meistre da cabeça em Game of Thrones")</f>
        <v>que interpreta o meistre da cabeça em Game of Thrones</v>
      </c>
      <c r="F827" s="5" t="str">
        <f aca="false">IFERROR(__xludf.dummyfunction("GOOGLETRANSLATE(D827)")," A teoria do Big Bang é uma comédia de televisão americana criada por Chuck Lorre e Bill Prady, ambos dos quais servem como produtores executivos da série, junto com Steven Molaro. Todos os três também servem como escritores de cabeça. O show estreou na C"&amp;"BS em 24 de setembro de 2007. A décima temporada da série estreou em 19 de setembro de 2016. Em março de 2017, a série foi renovada por duas temporadas adicionais, elevando seu total para doze, e passando pela temporada de televisão de 2018 - 19. A décima"&amp;" primeira temporada estreou em 25 de setembro de 2017.")</f>
        <v> A teoria do Big Bang é uma comédia de televisão americana criada por Chuck Lorre e Bill Prady, ambos dos quais servem como produtores executivos da série, junto com Steven Molaro. Todos os três também servem como escritores de cabeça. O show estreou na CBS em 24 de setembro de 2007. A décima temporada da série estreou em 19 de setembro de 2016. Em março de 2017, a série foi renovada por duas temporadas adicionais, elevando seu total para doze, e passando pela temporada de televisão de 2018 - 19. A décima primeira temporada estreou em 25 de setembro de 2017.</v>
      </c>
    </row>
    <row r="828" customFormat="false" ht="15.75" hidden="false" customHeight="true" outlineLevel="0" collapsed="false">
      <c r="A828" s="3" t="n">
        <v>825</v>
      </c>
      <c r="B828" s="5" t="s">
        <v>2470</v>
      </c>
      <c r="C828" s="5" t="s">
        <v>2471</v>
      </c>
      <c r="D828" s="5" t="s">
        <v>2472</v>
      </c>
      <c r="E828" s="4" t="str">
        <f aca="false">IFERROR(__xludf.dummyfunction("GOOGLETRANSLATE(C829)"),"Quando o novo cem dólares saiu")</f>
        <v>Quando o novo cem dólares saiu</v>
      </c>
      <c r="F828" s="5" t="str">
        <f aca="false">IFERROR(__xludf.dummyfunction("GOOGLETRANSLATE(D828)"),"   Aparências de personagens de ator / atriz 5 6 7 8 JULIAN GLOVER MAFER MAFER MAFELLE RECURSO IAN RECURSO MERYN TRANTE RECURSO RECURSÃO Kristian Nairn Hodor Hodor Recorrente Recorrente Mark Stanley Grenn Recorrente Recurrendo Relur Rostring Relursor Reco"&amp;"rrer Recorrer Recorrer Recorrer Recorrer Recorrer Recorrer Recorrer Rostrado Esmé Broco Briné Mosmo Broco BROM Último Gane recorrente Carter Dominic Carter Janos Slynt recorrente Eugene recorrente Simon Lancel Lannister recorrente recorrente Nell Tiger li"&amp;"vre Myrcella baratheon recorrente hóspede recorrente Ron Donachie Rodrik Cassel Recorrer Recorrer Recorrer Sumpter Rowin Luwin Convidado recorrente Ian McElhinney Barristan Selmy recorrente recorrente Luke Barnes Rast Rast Recorrente recorrente Peter Vaug"&amp;"han Meester Aemon Recorrente Recorrente Josef Altin Pypar Convidado Recorrente Owen Owen TEALE ALLEMENTO THORNE THORNE Recorrente recorrente Brian Feliz HETURNO RECURSO RECURSO RECURSO RECURSO HETURTO TENSTURO HETURTO RECURSO HETURTO HETURTO TENSTURO HETU"&amp;"RTO TENSTURO RECURSO TENLOTENHO Hóspedes recorrentes de beric dondrion hóspedes recorrentes TBA Daniel Portman Podrick Payne recorrente tba ben crompton eddison tollett hóspedes recorrentes tba gemma whelan yara gradey Tba diana rigg olenna tyrell recorre"&amp;"nte kerry ingram shireen baratheon recorrente Ellie Kendrick Meera Reed recorrente recorrente tba thomas brodie - sangster jojen reed recorrente paul kaye shore de hiring hirs recorrente a hóspedes recorrer -de -reedr ruming thurring thuring thurring thur"&amp;"ring hiurl hinder hinder hinder hinder hinder thurring thuring thuring thuring thuring thoros recorrente a hóspedes recorrentes O Waif recorrente Michael Condron Bowen Marsh recorrente")</f>
        <v>   Aparências de personagens de ator / atriz 5 6 7 8 JULIAN GLOVER MAFER MAFER MAFELLE RECURSO IAN RECURSO MERYN TRANTE RECURSO RECURSÃO Kristian Nairn Hodor Hodor Recorrente Recorrente Mark Stanley Grenn Recorrente Recurrendo Relur Rostring Relursor Recorrer Recorrer Recorrer Recorrer Recorrer Recorrer Recorrer Recorrer Rostrado Esmé Broco Briné Mosmo Broco BROM Último Gane recorrente Carter Dominic Carter Janos Slynt recorrente Eugene recorrente Simon Lancel Lannister recorrente recorrente Nell Tiger livre Myrcella baratheon recorrente hóspede recorrente Ron Donachie Rodrik Cassel Recorrer Recorrer Recorrer Sumpter Rowin Luwin Convidado recorrente Ian McElhinney Barristan Selmy recorrente recorrente Luke Barnes Rast Rast Recorrente recorrente Peter Vaughan Meester Aemon Recorrente Recorrente Josef Altin Pypar Convidado Recorrente Owen Owen TEALE ALLEMENTO THORNE THORNE Recorrente recorrente Brian Feliz HETURNO RECURSO RECURSO RECURSO RECURSO HETURTO TENSTURO HETURTO RECURSO HETURTO HETURTO TENSTURO HETURTO TENSTURO RECURSO TENLOTENHO Hóspedes recorrentes de beric dondrion hóspedes recorrentes TBA Daniel Portman Podrick Payne recorrente tba ben crompton eddison tollett hóspedes recorrentes tba gemma whelan yara gradey Tba diana rigg olenna tyrell recorrente kerry ingram shireen baratheon recorrente Ellie Kendrick Meera Reed recorrente recorrente tba thomas brodie - sangster jojen reed recorrente paul kaye shore de hiring hirs recorrente a hóspedes recorrer -de -reedr ruming thurring thuring thurring thurring hiurl hinder hinder hinder hinder hinder thurring thuring thuring thuring thuring thoros recorrente a hóspedes recorrentes O Waif recorrente Michael Condron Bowen Marsh recorrente</v>
      </c>
    </row>
    <row r="829" customFormat="false" ht="15.75" hidden="false" customHeight="true" outlineLevel="0" collapsed="false">
      <c r="A829" s="3" t="n">
        <v>826</v>
      </c>
      <c r="B829" s="5" t="s">
        <v>2473</v>
      </c>
      <c r="C829" s="5" t="s">
        <v>2474</v>
      </c>
      <c r="D829" s="5" t="s">
        <v>2475</v>
      </c>
      <c r="E829" s="4" t="str">
        <f aca="false">IFERROR(__xludf.dummyfunction("GOOGLETRANSLATE(C830)"),"Qual é a era legal para beber na Coréia")</f>
        <v>Qual é a era legal para beber na Coréia</v>
      </c>
      <c r="F829" s="5" t="str">
        <f aca="false">IFERROR(__xludf.dummyfunction("GOOGLETRANSLATE(D829)")," A série de US $ 100 da série 2009 foi revelada em 21 de abril de 2010 e foi emitida ao público em 8 de outubro de 2013. O novo projeto de lei custa 12,6 centavos para produzir e possui uma fita azul tecida no centro da moeda com `` 100 '' e Liberty Bells"&amp;", alternando, que aparecem quando a conta é inclinada.")</f>
        <v> A série de US $ 100 da série 2009 foi revelada em 21 de abril de 2010 e foi emitida ao público em 8 de outubro de 2013. O novo projeto de lei custa 12,6 centavos para produzir e possui uma fita azul tecida no centro da moeda com `` 100 '' e Liberty Bells, alternando, que aparecem quando a conta é inclinada.</v>
      </c>
    </row>
    <row r="830" customFormat="false" ht="15.75" hidden="false" customHeight="true" outlineLevel="0" collapsed="false">
      <c r="A830" s="3" t="n">
        <v>827</v>
      </c>
      <c r="B830" s="5" t="s">
        <v>2476</v>
      </c>
      <c r="C830" s="5" t="s">
        <v>2477</v>
      </c>
      <c r="D830" s="5" t="s">
        <v>2478</v>
      </c>
      <c r="E830" s="4" t="str">
        <f aca="false">IFERROR(__xludf.dummyfunction("GOOGLETRANSLATE(C831)"),"O primeiro satélite da Índia Aryabhatta foi lançado por")</f>
        <v>O primeiro satélite da Índia Aryabhatta foi lançado por</v>
      </c>
      <c r="F830" s="5" t="str">
        <f aca="false">IFERROR(__xludf.dummyfunction("GOOGLETRANSLATE(D830)"),"   O Estado do país / região / província de Jure observa que a idade da idade de comprar idade Afeganistão Bangladesh ilegal (ilegal para muçulmanos) será vendido a estrangeiros em determinados locais, embora clandestinamente. Butão 18 Brunei 17 com restr"&amp;"ições, a menos que os não muçulmanos muçulmanos com mais de 17 anos tenham permissão para importar álcool para não exceder o máximo volume total 2 litros de licor e 12 latas de cerveja a 330 ml para uso pessoal, uma vez em 48 horas. Este álcool deve ser `"&amp;"` armazenado e consumido no local de residência do importador '' e é `` não ser dado, transferido ou vendido para outra pessoa. ''. O Camboja Nenhuma China vendendo apenas álcool a menores de 18 anos é proibida, o consumo por menores não é ilegal. Introdu"&amp;"zido em janeiro de 2006. Hong Kong 18 O regulamento é aplicável apenas a restaurantes, bares e clubes, onde é necessária uma licença de licor. Beber particular também não é regulamentado. Índia 18 - 25 (varia de acordo com a jurisdição) Artigo principal: "&amp;"Leis de álcool da Índia O consumo de álcool é ilegal nos estados de Bihar, Gujarat e Nagaland. Indonésia 21 Irã ilegal Há uma proibição de álcool, mas as minorias religiosas podem comprar pequenas quantidades de lojas de propriedade da mesma minoria relig"&amp;"iosa. Iraque Israel ilegal Nenhuma lei de Israel proíbe a venda ou servir álcool a menores, mas não proíbe menores de beber, embora a polícia possa confiscar bebidas alcoólicas consumidas por menores em público. Japão 20 Jordânia 18 Cazaquistão 21 Kuwait "&amp;"Ilelgal Quirguistão 18 Líbano 18 Muitas vezes não é reforçado e, de acordo com um estudo global de saúde escolar, 40 % dos menores mais de 13 bebem álcool e até 25 % o compram em lojas. Macau Nenhum Malásia 21 aumentou de 18 para 21 em dezembro de 2017. M"&amp;"aldivas ilegais, exceto para turistas, 18 venda de álcool é limitada a resorts turísticos. É ilegal vender álcool para os Maldivos locais Mongólia 18 Mianmar Nenhum 18 Nepal 18 A idade legal para o consumo de álcool no Nepal é 18. No entanto, há exceções "&amp;"ao consumo de menores de idade para fins de cerimônias religiosas. A Coréia do Norte 18 Omã 21 Os residentes precisam de licenças de bebidas alcoólicas para consumir álcool em suas residências particulares. Os cidadãos não-muçulmanos do Paquistão (18 para"&amp;" não-muçulmanos) podem possuir álcool para serem usados ​​de acordo com as cerimônias religiosas autoridade palestina 16 legal na maioria das cidades. Filipinas 18 Os muçulmanos ilegais do Catar podem comprar álcool, mas geralmente não têm permissão para "&amp;"consumir. Os não muçulmanos podem comprar e consumir álcool. O único distribuidor legal de álcool no país é a empresa de distribuição do Catar, localizada em Doha. A Arábia Saudita bebendo ou possuindo álcool é ilegal no reino da Arábia Saudita. As pessoa"&amp;"s que bebem ou possuem álcool estão sujeitas a prisão e julgamento. As punições variam de multas pesadas, longas penas de prisão e chicotes. Cingapura Nenhum 18) 18 Para lojas de conveniência, aqueles que fingem ter 18 anos ou mais em um esquema `` desafi"&amp;"o 18 '' serão rebaixados para o esquema `` desafio 21 ', e após o qual as licenças serão revogadas assim que fingirem ter 18 anos ou mais, se estiver no `` desafio 21 ''. . É ilegal comprar álcool em Cingapura ou consumir em uma boate / permitir a entrada"&amp;" na boate com menos de 18 anos. É permitido o consumo doméstico e privado de álcool, embora a idade mais segura possa ter 6 anos. Os pais podem tentar um gole de álcool em qualquer idade. Coréia do Sul Nenhum 19 O limite de idade para o álcool é após o 1º"&amp;" de janeiro do ano de um ano para 19. Sri Lanka 21 Síria 18 Taiwan 18 É ilegal para qualquer pessoa com menos de 18 anos consumir álcool. Pais, responsáveis ​​e outros que cuidam de pessoas menores de 18 anos proibirão beber menores de idade ou arriscar m"&amp;"ultas administrativas de 10000 a 50000 novos dólares de Taiwan quando as situações forem graves. Não se deve fornecer álcool a ninguém com menos de 18 anos. Um violador deve ser multado administrativamente 3000 a 15000 novos dólares em Taiwan. Tajiquistão"&amp;" 18 Tailândia 20 A Lei de Controle de Bebidas Alcoólicas de 2008 aumentou a idade de beber na Tailândia de 18 para 20, o consumo particular não é regulamentado em locais privados. Turquemenistão 18 Emirados Árabes Unidos 18-21 (varia de acordo com a juris"&amp;"dição) Os residentes não-muçulmanos podem solicitar uma licença de licor para comprar bebidas alcoólicas, mas é ilegal que esses detentores forneçam bebidas a outras pessoas. A idade legal para beber álcool é de 18 anos em Abu Dhabi (embora um Ministério "&amp;"do Turismo por - Direito permita que os hotéis sirvam álcool apenas para aqueles com mais de 21 anos) e 21 em Dubai e os Emirados do Norte (exceto Sharjah, onde beber álcool é ilegal) . É uma ofensa punível beber ou estar sob a influência do álcool, em pú"&amp;"blico. Uzbequistão Nenhum 20 Vietnã 18 O Iêmen Exceção ilegal está na região de Aden, onde é legal para 21 anos ou mais")</f>
        <v>   O Estado do país / região / província de Jure observa que a idade da idade de comprar idade Afeganistão Bangladesh ilegal (ilegal para muçulmanos) será vendido a estrangeiros em determinados locais, embora clandestinamente. Butão 18 Brunei 17 com restrições, a menos que os não muçulmanos muçulmanos com mais de 17 anos tenham permissão para importar álcool para não exceder o máximo volume total 2 litros de licor e 12 latas de cerveja a 330 ml para uso pessoal, uma vez em 48 horas. Este álcool deve ser `` armazenado e consumido no local de residência do importador '' e é `` não ser dado, transferido ou vendido para outra pessoa. ''. O Camboja Nenhuma China vendendo apenas álcool a menores de 18 anos é proibida, o consumo por menores não é ilegal. Introduzido em janeiro de 2006. Hong Kong 18 O regulamento é aplicável apenas a restaurantes, bares e clubes, onde é necessária uma licença de licor. Beber particular também não é regulamentado. Índia 18 - 25 (varia de acordo com a jurisdição) Artigo principal: Leis de álcool da Índia O consumo de álcool é ilegal nos estados de Bihar, Gujarat e Nagaland. Indonésia 21 Irã ilegal Há uma proibição de álcool, mas as minorias religiosas podem comprar pequenas quantidades de lojas de propriedade da mesma minoria religiosa. Iraque Israel ilegal Nenhuma lei de Israel proíbe a venda ou servir álcool a menores, mas não proíbe menores de beber, embora a polícia possa confiscar bebidas alcoólicas consumidas por menores em público. Japão 20 Jordânia 18 Cazaquistão 21 Kuwait Ilelgal Quirguistão 18 Líbano 18 Muitas vezes não é reforçado e, de acordo com um estudo global de saúde escolar, 40 % dos menores mais de 13 bebem álcool e até 25 % o compram em lojas. Macau Nenhum Malásia 21 aumentou de 18 para 21 em dezembro de 2017. Maldivas ilegais, exceto para turistas, 18 venda de álcool é limitada a resorts turísticos. É ilegal vender álcool para os Maldivos locais Mongólia 18 Mianmar Nenhum 18 Nepal 18 A idade legal para o consumo de álcool no Nepal é 18. No entanto, há exceções ao consumo de menores de idade para fins de cerimônias religiosas. A Coréia do Norte 18 Omã 21 Os residentes precisam de licenças de bebidas alcoólicas para consumir álcool em suas residências particulares. Os cidadãos não-muçulmanos do Paquistão (18 para não-muçulmanos) podem possuir álcool para serem usados ​​de acordo com as cerimônias religiosas autoridade palestina 16 legal na maioria das cidades. Filipinas 18 Os muçulmanos ilegais do Catar podem comprar álcool, mas geralmente não têm permissão para consumir. Os não muçulmanos podem comprar e consumir álcool. O único distribuidor legal de álcool no país é a empresa de distribuição do Catar, localizada em Doha. A Arábia Saudita bebendo ou possuindo álcool é ilegal no reino da Arábia Saudita. As pessoas que bebem ou possuem álcool estão sujeitas a prisão e julgamento. As punições variam de multas pesadas, longas penas de prisão e chicotes. Cingapura Nenhum 18) 18 Para lojas de conveniência, aqueles que fingem ter 18 anos ou mais em um esquema `` desafio 18 '' serão rebaixados para o esquema `` desafio 21 ', e após o qual as licenças serão revogadas assim que fingirem ter 18 anos ou mais, se estiver no `` desafio 21 ''. . É ilegal comprar álcool em Cingapura ou consumir em uma boate / permitir a entrada na boate com menos de 18 anos. É permitido o consumo doméstico e privado de álcool, embora a idade mais segura possa ter 6 anos. Os pais podem tentar um gole de álcool em qualquer idade. Coréia do Sul Nenhum 19 O limite de idade para o álcool é após o 1º de janeiro do ano de um ano para 19. Sri Lanka 21 Síria 18 Taiwan 18 É ilegal para qualquer pessoa com menos de 18 anos consumir álcool. Pais, responsáveis ​​e outros que cuidam de pessoas menores de 18 anos proibirão beber menores de idade ou arriscar multas administrativas de 10000 a 50000 novos dólares de Taiwan quando as situações forem graves. Não se deve fornecer álcool a ninguém com menos de 18 anos. Um violador deve ser multado administrativamente 3000 a 15000 novos dólares em Taiwan. Tajiquistão 18 Tailândia 20 A Lei de Controle de Bebidas Alcoólicas de 2008 aumentou a idade de beber na Tailândia de 18 para 20, o consumo particular não é regulamentado em locais privados. Turquemenistão 18 Emirados Árabes Unidos 18-21 (varia de acordo com a jurisdição) Os residentes não-muçulmanos podem solicitar uma licença de licor para comprar bebidas alcoólicas, mas é ilegal que esses detentores forneçam bebidas a outras pessoas. A idade legal para beber álcool é de 18 anos em Abu Dhabi (embora um Ministério do Turismo por - Direito permita que os hotéis sirvam álcool apenas para aqueles com mais de 21 anos) e 21 em Dubai e os Emirados do Norte (exceto Sharjah, onde beber álcool é ilegal) . É uma ofensa punível beber ou estar sob a influência do álcool, em público. Uzbequistão Nenhum 20 Vietnã 18 O Iêmen Exceção ilegal está na região de Aden, onde é legal para 21 anos ou mais</v>
      </c>
    </row>
    <row r="831" customFormat="false" ht="15.75" hidden="false" customHeight="true" outlineLevel="0" collapsed="false">
      <c r="A831" s="3" t="n">
        <v>828</v>
      </c>
      <c r="B831" s="5" t="s">
        <v>2479</v>
      </c>
      <c r="C831" s="5" t="s">
        <v>2480</v>
      </c>
      <c r="D831" s="5" t="s">
        <v>2481</v>
      </c>
      <c r="E831" s="4" t="str">
        <f aca="false">IFERROR(__xludf.dummyfunction("GOOGLETRANSLATE(C832)"),"Quando a Internet ficou disponível em casas")</f>
        <v>Quando a Internet ficou disponível em casas</v>
      </c>
      <c r="F831" s="5" t="str">
        <f aca="false">IFERROR(__xludf.dummyfunction("GOOGLETRANSLATE(D831)")," Foi lançado pela Índia em 19 de abril de 1975 a partir de Kapustin Yar, um local de lançamento e desenvolvimento de foguetes russos em Astrakhan Oblast usando um veículo de lançamento de Kosmos - 3M. Foi construído pela Organização de Pesquisa Espacial I"&amp;"ndiana (ISRO) para ganhar experiência na construção e operação de um satélite no espaço. O lançamento veio de um acordo entre a Índia e a União Soviética dirigida por UR Rao e assinada em 1972. Ele permitiu à URSS usar portos indianos para rastrear navios"&amp;" e lançar embarcações em troca do lançamento de satélites indianos. Aryabhatta é o primeiro satélite (artificial) feito (artificial).")</f>
        <v> Foi lançado pela Índia em 19 de abril de 1975 a partir de Kapustin Yar, um local de lançamento e desenvolvimento de foguetes russos em Astrakhan Oblast usando um veículo de lançamento de Kosmos - 3M. Foi construído pela Organização de Pesquisa Espacial Indiana (ISRO) para ganhar experiência na construção e operação de um satélite no espaço. O lançamento veio de um acordo entre a Índia e a União Soviética dirigida por UR Rao e assinada em 1972. Ele permitiu à URSS usar portos indianos para rastrear navios e lançar embarcações em troca do lançamento de satélites indianos. Aryabhatta é o primeiro satélite (artificial) feito (artificial).</v>
      </c>
    </row>
    <row r="832" customFormat="false" ht="15.75" hidden="false" customHeight="true" outlineLevel="0" collapsed="false">
      <c r="A832" s="3" t="n">
        <v>829</v>
      </c>
      <c r="B832" s="5" t="s">
        <v>2482</v>
      </c>
      <c r="C832" s="5" t="s">
        <v>2483</v>
      </c>
      <c r="D832" s="5" t="s">
        <v>2484</v>
      </c>
      <c r="E832" s="4" t="str">
        <f aca="false">IFERROR(__xludf.dummyfunction("GOOGLETRANSLATE(C833)"),"quem ganhou mais Chef de Ferro America")</f>
        <v>quem ganhou mais Chef de Ferro America</v>
      </c>
      <c r="F832" s="5" t="str">
        <f aca="false">IFERROR(__xludf.dummyfunction("GOOGLETRANSLATE(D832)")," O primeiro mostrador público - nas redes usou protocolos de terminais TTY assíncronos para atingir um concentrador operado na rede pública. Algumas redes, como o CompuServe, usaram X. 25 para multiplex as sessões terminais em seus backbones comutados de "&amp;"pacotes, enquanto outros, como o TymNet, usaram protocolos proprietários. Em 1979, a CompuServe se tornou o primeiro serviço a oferecer recursos de correio eletrônico e suporte técnico aos usuários de computadores pessoais. A empresa quebrou um novo terre"&amp;"no novamente em 1980 como o primeiro a oferecer um bate -papo real com seu simulador de CB. Outros grandes discos - nas redes foram a América Online (AOL) e prodígio que também forneceram recursos de comunicação, conteúdo e entretenimento. Muitas redes de"&amp;" sistemas de placa de aviso (BBS) também fornecidas no acesso à linha, como o Fidonet, que era popular entre os usuários de computadores que hobby, muitos deles hackers e operadores de rádio amadores.")</f>
        <v> O primeiro mostrador público - nas redes usou protocolos de terminais TTY assíncronos para atingir um concentrador operado na rede pública. Algumas redes, como o CompuServe, usaram X. 25 para multiplex as sessões terminais em seus backbones comutados de pacotes, enquanto outros, como o TymNet, usaram protocolos proprietários. Em 1979, a CompuServe se tornou o primeiro serviço a oferecer recursos de correio eletrônico e suporte técnico aos usuários de computadores pessoais. A empresa quebrou um novo terreno novamente em 1980 como o primeiro a oferecer um bate -papo real com seu simulador de CB. Outros grandes discos - nas redes foram a América Online (AOL) e prodígio que também forneceram recursos de comunicação, conteúdo e entretenimento. Muitas redes de sistemas de placa de aviso (BBS) também fornecidas no acesso à linha, como o Fidonet, que era popular entre os usuários de computadores que hobby, muitos deles hackers e operadores de rádio amadores.</v>
      </c>
    </row>
    <row r="833" customFormat="false" ht="15.75" hidden="false" customHeight="true" outlineLevel="0" collapsed="false">
      <c r="A833" s="3" t="n">
        <v>830</v>
      </c>
      <c r="B833" s="5" t="s">
        <v>2485</v>
      </c>
      <c r="C833" s="5" t="s">
        <v>2486</v>
      </c>
      <c r="D833" s="5" t="s">
        <v>2487</v>
      </c>
      <c r="E833" s="4" t="str">
        <f aca="false">IFERROR(__xludf.dummyfunction("GOOGLETRANSLATE(C834)"),"O sentido fornece informações sobre equilíbrio e movimento")</f>
        <v>O sentido fornece informações sobre equilíbrio e movimento</v>
      </c>
      <c r="F833" s="5" t="str">
        <f aca="false">IFERROR(__xludf.dummyfunction("GOOGLETRANSLATE(D833)"),"   Iron Chef Seasons Specialty Win Lives Draw Total Win % Mario Batali (aposentado) Bom, 1 - 6 italiano 19 5 0 24 79,2 % CAT Cora (aposentada) 1 - 10 Greek / Mediterrâneo 21 12 34 63,2 % Bobby Flay (Semi aposentado) Bom , 1 - 12 Southwestern 43 16 61 72,1"&amp;" % Marc Perdone 9 - Modern American 8 7 0 15 53,0 % José Garces 8 - Fusion Latin 16 7 0 23 69,6 % Alex Guarnaschelli 11 - Americano Moderno 7 0 11 63,6 % Stephanie Izard 13 - Modern Modern Americano 0 0 100,0 % Masaharu Morimoto Bom, 1 - Japonês 26 17 44 "&amp;"60,2 % Wolfgang Puck (aposentado) Bom California Cozine 0 0 100,0 % Michael Symon 5 - Mediterrâneo 34 7 42 82,1 % Geoffrey Zakarian 10 - Modern American 9 5 0 14 64.3 %")</f>
        <v>   Iron Chef Seasons Specialty Win Lives Draw Total Win % Mario Batali (aposentado) Bom, 1 - 6 italiano 19 5 0 24 79,2 % CAT Cora (aposentada) 1 - 10 Greek / Mediterrâneo 21 12 34 63,2 % Bobby Flay (Semi aposentado) Bom , 1 - 12 Southwestern 43 16 61 72,1 % Marc Perdone 9 - Modern American 8 7 0 15 53,0 % José Garces 8 - Fusion Latin 16 7 0 23 69,6 % Alex Guarnaschelli 11 - Americano Moderno 7 0 11 63,6 % Stephanie Izard 13 - Modern Modern Americano 0 0 100,0 % Masaharu Morimoto Bom, 1 - Japonês 26 17 44 60,2 % Wolfgang Puck (aposentado) Bom California Cozine 0 0 100,0 % Michael Symon 5 - Mediterrâneo 34 7 42 82,1 % Geoffrey Zakarian 10 - Modern American 9 5 0 14 64.3 %</v>
      </c>
    </row>
    <row r="834" customFormat="false" ht="15.75" hidden="false" customHeight="true" outlineLevel="0" collapsed="false">
      <c r="A834" s="3" t="n">
        <v>831</v>
      </c>
      <c r="B834" s="5" t="s">
        <v>2488</v>
      </c>
      <c r="C834" s="5" t="s">
        <v>2489</v>
      </c>
      <c r="D834" s="5" t="s">
        <v>2490</v>
      </c>
      <c r="E834" s="4" t="str">
        <f aca="false">IFERROR(__xludf.dummyfunction("GOOGLETRANSLATE(C835)"),"quem é a garota do comercial do Realtor.com")</f>
        <v>quem é a garota do comercial do Realtor.com</v>
      </c>
      <c r="F834" s="5" t="str">
        <f aca="false">IFERROR(__xludf.dummyfunction("GOOGLETRANSLATE(D834)")," O sistema vestibular, na maioria dos mamíferos, é o sistema sensorial que fornece a principal contribuição para o senso de equilíbrio e orientação espacial para fins de coordenar o movimento com o equilíbrio. Juntamente com a cóclea, uma parte do sistema"&amp;" auditivo, constitui o labirinto do ouvido interno na maioria dos mamíferos. À medida que os movimentos consistem em rotações e traduções, o sistema vestibular compreende dois componentes: os canais semicirculares, que indicam movimentos rotacionais; e os"&amp;" otólitos, que indicam acelerações lineares. O sistema vestibular envia sinais principalmente para as estruturas neurais que controlam os movimentos oculares e para os músculos que mantêm um animal na vertical. As projeções para o primeiro fornecem a base"&amp;" anatômica do reflexo de vestibulo - ocular, necessário para uma visão clara; e as projeções para os músculos que controlam a postura são necessários para manter um animal na vertical.")</f>
        <v> O sistema vestibular, na maioria dos mamíferos, é o sistema sensorial que fornece a principal contribuição para o senso de equilíbrio e orientação espacial para fins de coordenar o movimento com o equilíbrio. Juntamente com a cóclea, uma parte do sistema auditivo, constitui o labirinto do ouvido interno na maioria dos mamíferos. À medida que os movimentos consistem em rotações e traduções, o sistema vestibular compreende dois componentes: os canais semicirculares, que indicam movimentos rotacionais; e os otólitos, que indicam acelerações lineares. O sistema vestibular envia sinais principalmente para as estruturas neurais que controlam os movimentos oculares e para os músculos que mantêm um animal na vertical. As projeções para o primeiro fornecem a base anatômica do reflexo de vestibulo - ocular, necessário para uma visão clara; e as projeções para os músculos que controlam a postura são necessários para manter um animal na vertical.</v>
      </c>
    </row>
    <row r="835" customFormat="false" ht="15.75" hidden="false" customHeight="true" outlineLevel="0" collapsed="false">
      <c r="A835" s="3" t="n">
        <v>832</v>
      </c>
      <c r="B835" s="5" t="s">
        <v>2491</v>
      </c>
      <c r="C835" s="5" t="s">
        <v>2492</v>
      </c>
      <c r="D835" s="5" t="s">
        <v>2493</v>
      </c>
      <c r="E835" s="4" t="str">
        <f aca="false">IFERROR(__xludf.dummyfunction("GOOGLETRANSLATE(C836)"),"Quando o último país se juntou à UE")</f>
        <v>Quando o último país se juntou à UE</v>
      </c>
      <c r="F835" s="5" t="str">
        <f aca="false">IFERROR(__xludf.dummyfunction("GOOGLETRANSLATE(D835)")," Em 2015, ela foi nomeada como membro do júri para a competição principal no Festival de Veneza de 2015. O festival é presidido por Alfonso Cuarón. Também em 2015, os bancos se tornaram porta -voz do Realtor.com em sua série de comerciais de televisão. Em"&amp;" meados de fevereiro de 2016, os bancos se tornaram o rosto comercial da Old Navy. Ela também interpretou o Space Alien Rita Repulsa no filme de reinicialização do Power Rangers de 2017.")</f>
        <v> Em 2015, ela foi nomeada como membro do júri para a competição principal no Festival de Veneza de 2015. O festival é presidido por Alfonso Cuarón. Também em 2015, os bancos se tornaram porta -voz do Realtor.com em sua série de comerciais de televisão. Em meados de fevereiro de 2016, os bancos se tornaram o rosto comercial da Old Navy. Ela também interpretou o Space Alien Rita Repulsa no filme de reinicialização do Power Rangers de 2017.</v>
      </c>
    </row>
    <row r="836" customFormat="false" ht="15.75" hidden="false" customHeight="true" outlineLevel="0" collapsed="false">
      <c r="A836" s="3" t="n">
        <v>833</v>
      </c>
      <c r="B836" s="5" t="s">
        <v>2494</v>
      </c>
      <c r="C836" s="5" t="s">
        <v>2495</v>
      </c>
      <c r="D836" s="5" t="s">
        <v>2496</v>
      </c>
      <c r="E836" s="4" t="str">
        <f aca="false">IFERROR(__xludf.dummyfunction("GOOGLETRANSLATE(C837)"),"Quando o OPP por travesso por natureza saiu")</f>
        <v>Quando o OPP por travesso por natureza saiu</v>
      </c>
      <c r="F836" s="5" t="str">
        <f aca="false">IFERROR(__xludf.dummyfunction("GOOGLETRANSLATE(D836)")," O antecessor da UE, a comunidade econômica européia, foi fundada com os seis estados membros do interior em 1958, quando o Tratado de Roma entrou em vigor. Desde então, os membros da UE cresceram para vinte e oito, com o último Estado -Membro sendo a Cro"&amp;"ácia, que se juntou em julho de 2013. O aumento territorial mais recente da UE foi a incorporação de Mayotte em 2014. As reduções territoriais mais notáveis ​​da UE e seus antecessores foram a saída da Argélia após a independência em 1962 e a saída da Gro"&amp;"enlândia em 1985.")</f>
        <v> O antecessor da UE, a comunidade econômica européia, foi fundada com os seis estados membros do interior em 1958, quando o Tratado de Roma entrou em vigor. Desde então, os membros da UE cresceram para vinte e oito, com o último Estado -Membro sendo a Croácia, que se juntou em julho de 2013. O aumento territorial mais recente da UE foi a incorporação de Mayotte em 2014. As reduções territoriais mais notáveis ​​da UE e seus antecessores foram a saída da Argélia após a independência em 1962 e a saída da Groenlândia em 1985.</v>
      </c>
    </row>
    <row r="837" customFormat="false" ht="15.75" hidden="false" customHeight="true" outlineLevel="0" collapsed="false">
      <c r="A837" s="3" t="n">
        <v>834</v>
      </c>
      <c r="B837" s="5" t="s">
        <v>2497</v>
      </c>
      <c r="C837" s="5" t="s">
        <v>2498</v>
      </c>
      <c r="D837" s="5" t="s">
        <v>2499</v>
      </c>
      <c r="E837" s="4" t="str">
        <f aca="false">IFERROR(__xludf.dummyfunction("GOOGLETRANSLATE(C838)"),"quem cunhou a frase o que acontece em Vegas")</f>
        <v>quem cunhou a frase o que acontece em Vegas</v>
      </c>
      <c r="F837" s="5" t="str">
        <f aca="false">IFERROR(__xludf.dummyfunction("GOOGLETRANSLATE(D837)")," `` O.P.P. '' é uma música do grupo de rap americano Naughty by Nature. Foi lançado em agosto de 1991 como o single principal de seu álbum de estréia intitulado Naughty by Nature. A música foi uma das primeiras músicas do rap a se tornar um sucesso pop qu"&amp;"ando alcançou o 6º lugar nos EUA e o # 35 no Reino Unido em 1991. É a declaração, `` Wit 'O.P.P' 'era um slogan popular nos Estados Unidos no início dos anos 90. Foi um single de enorme sucesso, como Allmusic descreveu: `` Não houve um esmagamento maior e"&amp;" mais contagioso do rádio no outono de 1991 do que o Naughty by Nature 'S' O.P.P. '' '")</f>
        <v> `` O.P.P. '' é uma música do grupo de rap americano Naughty by Nature. Foi lançado em agosto de 1991 como o single principal de seu álbum de estréia intitulado Naughty by Nature. A música foi uma das primeiras músicas do rap a se tornar um sucesso pop quando alcançou o 6º lugar nos EUA e o # 35 no Reino Unido em 1991. É a declaração, `` Wit 'O.P.P' 'era um slogan popular nos Estados Unidos no início dos anos 90. Foi um single de enorme sucesso, como Allmusic descreveu: `` Não houve um esmagamento maior e mais contagioso do rádio no outono de 1991 do que o Naughty by Nature 'S' O.P.P. '' '</v>
      </c>
    </row>
    <row r="838" customFormat="false" ht="15.75" hidden="false" customHeight="true" outlineLevel="0" collapsed="false">
      <c r="A838" s="3" t="n">
        <v>835</v>
      </c>
      <c r="B838" s="5" t="s">
        <v>2500</v>
      </c>
      <c r="C838" s="5" t="s">
        <v>2501</v>
      </c>
      <c r="D838" s="5" t="s">
        <v>2502</v>
      </c>
      <c r="E838" s="4" t="str">
        <f aca="false">IFERROR(__xludf.dummyfunction("GOOGLETRANSLATE(C839)"),"cidades na Califórnia que começam com a letra P")</f>
        <v>cidades na Califórnia que começam com a letra P</v>
      </c>
      <c r="F838" s="5" t="str">
        <f aca="false">IFERROR(__xludf.dummyfunction("GOOGLETRANSLATE(D838)")," Mark E. Brown é um empresário americano e ex -CEO da Zen Entertainment e ex -vice -presidente da Howard Hughes Corporation. Atualmente, sua empresa tem acordos de parceria com a ESPN Radio, Fox Sports Radio, NBCSports.com, Ultimate Fighting Championship,"&amp;" World Wrestling Entertainment e cassinos como o Treasure Island Hotel e o Casino, Hard Rock Hotel. Ele também é o ex -parceiro e presidente da R&amp;R Partners, a agência de publicidade que criou o `` o que acontece em Vegas, permanece na campanha de publici"&amp;"dade de Las Vegas para a Autoridade de Convenções e Visitantes de Las Vegas. Além disso, Brown é fundador e diretor de serviço 1º Bank of Nevada, avaliado em 2010 em cerca de US $ 210 milhões, e já atuou como presidente da MBC Communications.")</f>
        <v> Mark E. Brown é um empresário americano e ex -CEO da Zen Entertainment e ex -vice -presidente da Howard Hughes Corporation. Atualmente, sua empresa tem acordos de parceria com a ESPN Radio, Fox Sports Radio, NBCSports.com, Ultimate Fighting Championship, World Wrestling Entertainment e cassinos como o Treasure Island Hotel e o Casino, Hard Rock Hotel. Ele também é o ex -parceiro e presidente da R&amp;R Partners, a agência de publicidade que criou o `` o que acontece em Vegas, permanece na campanha de publicidade de Las Vegas para a Autoridade de Convenções e Visitantes de Las Vegas. Além disso, Brown é fundador e diretor de serviço 1º Bank of Nevada, avaliado em 2010 em cerca de US $ 210 milhões, e já atuou como presidente da MBC Communications.</v>
      </c>
    </row>
    <row r="839" customFormat="false" ht="15.75" hidden="false" customHeight="true" outlineLevel="0" collapsed="false">
      <c r="A839" s="3" t="n">
        <v>836</v>
      </c>
      <c r="B839" s="5" t="s">
        <v>2503</v>
      </c>
      <c r="C839" s="5" t="s">
        <v>2504</v>
      </c>
      <c r="D839" s="5" t="s">
        <v>2505</v>
      </c>
      <c r="E839" s="4" t="str">
        <f aca="false">IFERROR(__xludf.dummyfunction("GOOGLETRANSLATE(C840)"),"onde mamãe de leopardo moram na natureza")</f>
        <v>onde mamãe de leopardo moram na natureza</v>
      </c>
      <c r="F839" s="5" t="str">
        <f aca="false">IFERROR(__xludf.dummyfunction("GOOGLETRANSLATE(D839)"),"   Nome do lugar Número do Condado Principal Condado Código inferior CEP Upper CEP PABCO CONDADO ALAMEDA PABRODO ALAMEDA COUNTY 94587 PACE PACE PACO PACAÇÃO PACODO DE SANTA BARBara Santa Barbara County Pachappa Riverside Condado de Pacheco Contra Costa Co"&amp;"sta 9453 Pacific El Dorado Pacific Pacific Los Angelesa 9080 County   94044       Pacific Beach     San Diego County   92109       Pacific Gardens     San Joaquin County   95204       Pacific Grove     Monterey County   93950       Pacific Grove Acres    "&amp;" Monterey County         Pacific House     El Dorado County   95726       Pacific Manor     Humboldt County   95521       Pacific Manor     San Mateo County   94044       Pacific Missile Range     Ventura County         Pacific Palisades     Los Angeles C"&amp;"ondado 90272 Pacific Union College Napa County Pacific Villas San Joaquin County 95204 Pacoima Los Angeles County 91331 Paddison Square Los Angeles County 90652 PADDON SOLANO CONDADO 95688 PAICINES SAN BENITO CONDADO 95043 PAIGO TULARE PIGADORES 9568 SACR"&amp;"AMENTOU SANITO 95043 PAIGE TULARE PAIORESSVILIDADE Reserva indiana San Diego County 92059 Pala Mesa San Diego County Pala Mesa Village San Diego County 92028 Palermo Butte County 95968 Palisades del Rey Los Angeles County 90292 Pallett Los Angeles County "&amp;"93563 Palm Palm Beach Cruz Cruz Palm City Riverside Riverside 92260 County Nound Dizer Palm Beach Beach Los Angeles County 93550 Palmdale East Los Angeles County 93550 Palmdale Flight Flight Flight INSTALAÇÃO Los Angeles County Desert Desert Riverside Cou"&amp;"nty 92260 Palm Desert Country Riverside County Palmer Creek Humboldt County 95540 Palma. Palm Springs Riverside County 92262 92 Palm Springs Aeroporto Municipal Riverside Condado de Riverside 92263 Palmeiras San Bernardino County 922256 Palo Alto Santa Cl"&amp;"ara County 94301 10 Palo cedro shasta County 96073 Paloma CALAVERAS 95252 SALOMARES ALADA6 94062 Paloro Sutter County Palos Verdes Estates Los Angeles County 90274 Palos Verdes Península Los Angeles County 90274 Palos Verdes Peninsula Los Angeles County 9"&amp;"0274 PALO VERDE County 92266 Palo Vista San Diego 92083 Panama 45 Panoche SAN BENITO COUNTO 95043 Panoche Junction Fresno County Panorama City Los Angeles County 91402 Panorama Heights Orange County 92705 Panorama Heights San Bernardino County Panorama He"&amp;"ights TULare County 93260 Paola Modoc County Butte Butte Butte 95969 Paradise Stanislay 920 Paradise Hills     San Diego County   92139       Paradise Park , California     Santa Cruz County   95060       Paradise Springs     Los Angeles County         Pa"&amp;"ramount     Los Angeles County   90723       Parcel Post     Alameda County   94710       Parchers Camp     Inyo County   93514       Parchester Village     Contra Costa County         Pardee     Los Angeles County         Paris     Los Angeles County    "&amp;"     Park     Alameda County 94702 Parque Central Alameda County 94501 barragem Parker San Bernardino Condado 92267 Parker Junction San Bernardino County Parkfield Monterey County 93451 Parkfield Junction Fresno County Parkhill Butte Park Madera Madera Ma"&amp;"dera Los Angeles County Parkmoor Franta Cara Cara 951128 Parksdale Madera Madera Madera Madera County   94952       Park Village     Inyo County   92328       Parkway     Sacramento County   95823       Parkway Estates     Sacramento County   95826       "&amp;"Parkway - Sacramento South     Sacramento County         Parkway - South Sacramento     Sacramento County         Parkwood     Madera County   93637       Parlier     Fresno County   93648       Parramore Springs     Lake County         Pasadena     Los A"&amp;"ngeles County   91101   18     Pasadena Junction     Los Angeles Condado de Pasatiempo Santa Cruz County 95062 Paskenta Tehama County 96074 Paso Robles San Luis Obispo County 93446 Patata Los Angeles County 90280 Patch Kern County Patrick Creek del Norte "&amp;"County Patricks Point Humboldt County Patterson Stanislonlonon 95363 2 County Patricks Patricks Point Humboldt Pattern Pattern Stanislonon Stanislaus Reservas do Condado de Pauma e Yuima San Diego County 92061 Reservas indianas Pauma San Diego County 9206"&amp;"1 Vale Pauma San Diego County 92061 Paxton Plumas County 95971 Paymaster Paysville ALPINUTEIAL Payne County Paynes Paynes Creek County 96075 Paynesville Alpinete Lútene 96120 Payton Paynes Creek County 96075 Paynesville ALPINUSE. Condado de Butte County T"&amp;"rinity County 96041 Pearblossom Los Angeles County 93553 Peardale Nevada County 95945 Pearland Los Angeles County 93550 Pearson San Joaquin County Pearson roba roba robina de robôs robina de robô em prata de robô em primavera de robôs de pavina de pavão d"&amp;"e pavão de pavão em pavão em pé de pavão em pé de prata de lã de praia de pavão pavão pavina pavina pavão pavão em praia de praia de lã de praia 93999799792. 5546 Pedley RIVERSIDEDIDO DO CONDADO DE RIVERSIDE 92509 Vale Pedro San Mateo County 94044 PETHILL"&amp;" CAÍTURA PELTER PELTIER SAN Joaquin Condado de Lápis Sacramento Pendleton North San Diego County 92055 Pendleton South San Diego County 92055 Centro de Peninsula Los Angeles 90274 Peninsula vila Plumas Plumas 9613 Centro do Condado de Peninsula 91713 Cent"&amp;"ro do Condado de Peninsula 917717 Centro do Condado de Peninsula 96713 Centro do Condado de Peninsula 967713 Centro do Condado de Peninsula 96713 Centro do Condado de 90274 Peninsula Saninsula Plumas Pleas. Grove Sonoma County Pennington Sutter County 959"&amp;"53 Penn Valley NEVADA COUNTY 95946 PENOYAR SISKIYOU CONDADO Penryn Placer County 95663 Condado de Pentland Kern Pentz Butte County 95965 PenVir Monterey Condado de Condado de Pepperal Riverside Pepperwood Humboldt Humboldt 95569 Grove Pepperal Toal Toal T"&amp;"ooral Perpalue perpupa perpupa Humboldt Humboldt 95569 Grove Pepperal Toal Tuuri perpale perpale perpalewood Humboldt Humboldt 95569 Grove Pepperal Tuurs perpunhe perpalue perpalewood Humboldt Humboldt 95569 Grove Pepperal. County         Perkins     Sacr"&amp;"amento County   95826       Perkins     Sacramento County   95826       Permanente     Santa Clara County   95014       Perris     Riverside County   92570       Perrott Creek     Humboldt County         Perry     Los Angeles County   90603       Perry   "&amp;"  Santa Clara County   95037       Pescadero     San Mateo County   94060       Pesco     Santa Barbara County         Petaluma     Sonoma County   94952       Peters     San Joaquin County   95236 Peterson Mill Inyo County Petrolia Humboldt County 95558 "&amp;"Phelan San Bernardino County 92371 Philbrick Mill Mendocino County Phillips El Dorado County Phillips Ranch Los Angeles County 91766 Phillips Ranch TULARE CATUSTION 91766INIPLIONSLIPLIONSIVENTE 91766 PHILLIPS PHILONEND CUIDO MULARE 9176666 County 9566 Cou"&amp;"nty County County 9176666 County 95566 County County County 91766666 County 95566 Phillips TULARE MULARE 9176 - Condado Imperial de ACHO Picayune Rancheria     Madera County         Pico     Los Angeles County   90660       Pico Heights     Los Angeles Co"&amp;"unty   90006       Pico Park     Los Angeles County         Pico Rivera     Los Angeles County   90660       Piedmont     Alameda County   94611       Piedmont     Alameda County   94611       Piedra     Fresno County   93649       Pierce     Siskiyou Cou"&amp;"nty         Pierce     Solano County         Piercy     Mendocino County   95587       Pierpont Bay Ventura County Pieta Mendocino Condado de Pike Sierra County 95960 Pilibos Ranch Fresno County Pilliken El Dorado Pilot Hill Hill El Dorado County 95664 Pi"&amp;"ne Bluff Sacramento County 95630 Pine Cove Coveside County 9249 Pinecrest Tuolumne fracrindne 9536 Pinecron Pinecride Riverside 9249 Pinecrest Tuolumne frinGer 9536 Pinecron Pinecride Riverside 9249 Pinecrest Tuolumne Stringne 9536 Pinecron Pinecride TULA"&amp;"RE County   93207       Pine Grove     Amador County   95665       Pine Grove     Lake County   95426       Pine Grove     Mendocino County   95437       Pine Grove     San Diego County         Pine Grove     Shasta County   96079       Pine Hills     Hum"&amp;"boldt County   95501       Pine Hills     San Diego County   92036       Pinehurst     Fresno County   93641       Pine Mountain Club     Kern County   93225       Pineridge     Fresno County   93602       Pine Valley     San Diego County   91962       Pi"&amp;"ne Wood     Riverside County         Pinewood     Tulare County         Pinezanita     San Bernardino County         Pinnacle     San Bernardino County         Pinnacles     San Benito County   95043       Pinnacles National Park     Monterey County   950"&amp;"43       Pinnacles National Park     San Benito County   95043       Pinnio     Lassen County         Pino Grande     El Dorado County         Pinole Contra Costa County   94564       Pinoleville Rancheria     Mendocino County         Pinon Hills     San "&amp;"Bernardino County   92372       Pinto Wye     Riverside County         Pinyon Crest     Riverside County         Pinyon Pines     Riverside County   92561       Pioneer     Amador County   95666       Pioneer     Los Angeles County         Pioneer     Sis"&amp;"kiyou County         Pioneer Point     San Bernardino County   93562       Pioneertown     San Bernardino County   92268       Piru Ventura County 93040 Pisgah San Bernardino Condado de Pismo San Luis Obispo Pismo praia San Luis Obispo Condado de Pitco Ki"&amp;"ngs County River River Lassen Pit River Tribal Trust Eastbur County County Contra Costa Cosca 94565 Pittsburg Census County Contra Costa Costa 94565 Pittville     Lassen County   96056       Pittville     Shasta County   96056       Pixley     Tulare Coun"&amp;"ty   93256       Pizona     Mono County         Placentia     Orange County   92670       Placerville     El Dorado County   95667       Plainfield     Yolo County         Plainsburg     Merced County   95340       Plainview     Tulare County   93267     "&amp;"  Planada     Merced County   95365       Planehaven     Sacramento County   95652       Plano     Tulare County   93257       Plantation     Sonoma County 95421 Plaskett Monterey County Plasse Amador County 95646 Cidade de gesso County Imperial County 92"&amp;"269 Platina Shasta County 96076 Playa Orange County 92652 Playa del Rey Los Angeles County 90293 Playa Vista Los Angeles 90094 Playmor Diego Diego 92011 Clara County   94086       Plaza Center     San Bernardino County   91762       Pleasant Grove     Sut"&amp;"ter County   95668       Pleasant Hill     Contra Costa County   94523       Pleasant Hill     Humboldt County   95521       Pleasant Hills     Contra Costa County   94523       Pleasanton     Alameda County   94566       Pleasant Ranchos     Orange Count"&amp;"y         Pleasant Valley     Butte County         Pleasant Valley     El Dorado County   95667       Pleasant View Tulare County Pleyto Monterey County Plumas Eureka Plumas County Plumbago Sierra County Plymouth Amador County 95669 Poe Butte County Poins"&amp;"ettia Trato Contra Costa Costa 94565 Point Arena Mendocino County 95468 Point Arena Air Force Station Mendocino 9548 Ponto A argumentos do condado de 95468 Point Arena MENDOCINO 9548 Ponto A argumentos do condado 95468 Point Arena Mendocino 9548 Ponto Ant"&amp;"rúsculo Argamão 95468 Point Arena Air Force Statio Point Firmin Los Angeles County 90731 Point Loma San Diego County 92106 Point McCloud Shasta County Point Mugu Ventura County 93042 Ponto Base Base Ventura 93042 Ponto MUGU ESTAÇÃO AR VENTURA CONDADO DE V"&amp;"ENTURA 93042 Point Point Pacífico Pacífico Centro de testes Ventura 93042 Point Point 93042 Point Pacífico Pacífico Missile Missile Reyes National Seashore Marin County 94956 Point Reyes Station Marin County 94956 Ponto Richmond Contra Costa County 94807 "&amp;"Pontos Los Angeles Poison Poison Lake Lassen Condado de poker Sierra Sierra Polaris Nevada Condado de Condado de Condado de Pólo Polk Polk Sacramento Sacramento Sacramento Condado de Pollock Shasta County Pollock Pines El Dorado County 95726 Pomins El Dor"&amp;"ado County Pomo Mendocino Condado de Pomona Los Angeles County 91766 69 Ponca TULare County Ponto Ponto Diego 93280 Pondosa Siskiyou PON6057 Ponto Ponto Diego Diego POPEIRAIMEIRA PONDOSA SISKIYOU POU SANSCONIDADE 96057 Ponto Diego Diego POLAR TULARE COUNT"&amp;"Y 93257 POLAR - CELOD CENTRO TULARE COUNTY PORPHIRO RIVERSIDO DO CONDADO DO CONDADO DO CONDADO DE SHASTA PORT CHICAGO CONTRA COSTA COSTA 94565 PORTA COSTA CONDA COSTA COSTA 94569 Porter CALAVERAS CONDADO PORTER RANCH LOS ANGELUS 91326 Portário de Porterri"&amp;"lão 9327 Porter Porter Condado de 93257 Porterville West Tulare County 93257 Port Hueneme Ventura County 93041 Porto Hueneme Naval Construção Centro de Batalhão Ventura 93043 Porto Kenyon Humboldt County 95536 Porto de Redwood Cidade de San Mateo Portola "&amp;"Plaumas 96122 Portola Hills Hills Hills Hills Oflwood Cidade de Redwood San Mateo Portola Plumas 96122 Portola Hills Hills San Mateo County 94028 Porto San Luis San Luis Obispo County 93424 Bend português Los Angeles County 90274 POSEY TULare County 93260"&amp;" POSO Park TULare County 93260 Post Santa Barbara County Office San Mateo Mateo 94010 Posts Montey 93920 County Postro Potrero Potro Potro Potro Potro Potro Potr Office San Mateo Mateo 94010 Posts Montey Condado de Potrero Distrito de São Francisco Vale P"&amp;"otter Vale do Condado de Mendocino 95469 POTWISHA TULARE COUNTY POVERTY HILL SIERRA COUNTY POWAY SAN DIEGO CONDADO 92064 POWELLTON BUTTE POZO SAN LUIS LUIS RECUSTO CACUNDO 93453 PRADO DAM RIVERSIDE PRAIRIE CIDADE DO SATRAMENTO PROMNO PROMO 93453 DAM RIVER"&amp;"SIDE RIVERSIDE PRAIRIE Condado de Prattville Plumas County 95923 Prenda Riverside Presidio São Francisco County 94129 Presidio do Condado de Monterey do Condado de Monterey 93944 Presidio de São Francisco São Francisco County 94129 Presswood Mendocino Con"&amp;"dado de Preston Sonoma Preston Humberts Humoboldt Condado de Ey 93210 Prima Vista Stanislaus Condado de Princeton CONCUSTO DE COLUSA 95970 CONDADO DE PINCETON SAN MATEO 94018 PRINCETON - BY - O - County de San Mateo 94019 PRITCHARD MERCECED CUIDO DEBERTA "&amp;"TEHAMA CONDADO 96078 Condado do Condado de Progresso Progresso SUTER SHASTA SHASTA 9607 Prosper Prosper Prosper 96078 Progresso do Condado de Progresso Surquim SHASTA 9607 Prosper Prosper Prosper 96078 Progresso do Condado de Progresso Surta. Condado de 9"&amp;"5734 Prunedale Monterey Condado 93907 Pudding Creek Mendocino County 95437 Puente Junction Los Angeles County 91744 Puerto Stanislaus County Pulga Butte County 95965 Centro de abóbora Kern County 93383 Pumpkin Center Lassen Lassen Punta Ventura")</f>
        <v>   Nome do lugar Número do Condado Principal Condado Código inferior CEP Upper CEP PABCO CONDADO ALAMEDA PABRODO ALAMEDA COUNTY 94587 PACE PACE PACO PACAÇÃO PACODO DE SANTA BARBara Santa Barbara County Pachappa Riverside Condado de Pacheco Contra Costa Costa 9453 Pacific El Dorado Pacific Pacific Los Angelesa 9080 County   94044       Pacific Beach     San Diego County   92109       Pacific Gardens     San Joaquin County   95204       Pacific Grove     Monterey County   93950       Pacific Grove Acres     Monterey County         Pacific House     El Dorado County   95726       Pacific Manor     Humboldt County   95521       Pacific Manor     San Mateo County   94044       Pacific Missile Range     Ventura County         Pacific Palisades     Los Angeles Condado 90272 Pacific Union College Napa County Pacific Villas San Joaquin County 95204 Pacoima Los Angeles County 91331 Paddison Square Los Angeles County 90652 PADDON SOLANO CONDADO 95688 PAICINES SAN BENITO CONDADO 95043 PAIGO TULARE PIGADORES 9568 SACRAMENTOU SANITO 95043 PAIGE TULARE PAIORESSVILIDADE Reserva indiana San Diego County 92059 Pala Mesa San Diego County Pala Mesa Village San Diego County 92028 Palermo Butte County 95968 Palisades del Rey Los Angeles County 90292 Pallett Los Angeles County 93563 Palm Palm Beach Cruz Cruz Palm City Riverside Riverside 92260 County Nound Dizer Palm Beach Beach Los Angeles County 93550 Palmdale East Los Angeles County 93550 Palmdale Flight Flight Flight INSTALAÇÃO Los Angeles County Desert Desert Riverside County 92260 Palm Desert Country Riverside County Palmer Creek Humboldt County 95540 Palma. Palm Springs Riverside County 92262 92 Palm Springs Aeroporto Municipal Riverside Condado de Riverside 92263 Palmeiras San Bernardino County 922256 Palo Alto Santa Clara County 94301 10 Palo cedro shasta County 96073 Paloma CALAVERAS 95252 SALOMARES ALADA6 94062 Paloro Sutter County Palos Verdes Estates Los Angeles County 90274 Palos Verdes Península Los Angeles County 90274 Palos Verdes Peninsula Los Angeles County 90274 PALO VERDE County 92266 Palo Vista San Diego 92083 Panama 45 Panoche SAN BENITO COUNTO 95043 Panoche Junction Fresno County Panorama City Los Angeles County 91402 Panorama Heights Orange County 92705 Panorama Heights San Bernardino County Panorama Heights TULare County 93260 Paola Modoc County Butte Butte Butte 95969 Paradise Stanislay 920 Paradise Hills     San Diego County   92139       Paradise Park , California     Santa Cruz County   95060       Paradise Springs     Los Angeles County         Paramount     Los Angeles County   90723       Parcel Post     Alameda County   94710       Parchers Camp     Inyo County   93514       Parchester Village     Contra Costa County         Pardee     Los Angeles County         Paris     Los Angeles County         Park     Alameda County 94702 Parque Central Alameda County 94501 barragem Parker San Bernardino Condado 92267 Parker Junction San Bernardino County Parkfield Monterey County 93451 Parkfield Junction Fresno County Parkhill Butte Park Madera Madera Madera Los Angeles County Parkmoor Franta Cara Cara 951128 Parksdale Madera Madera Madera Madera County   94952       Park Village     Inyo County   92328       Parkway     Sacramento County   95823       Parkway Estates     Sacramento County   95826       Parkway - Sacramento South     Sacramento County         Parkway - South Sacramento     Sacramento County         Parkwood     Madera County   93637       Parlier     Fresno County   93648       Parramore Springs     Lake County         Pasadena     Los Angeles County   91101   18     Pasadena Junction     Los Angeles Condado de Pasatiempo Santa Cruz County 95062 Paskenta Tehama County 96074 Paso Robles San Luis Obispo County 93446 Patata Los Angeles County 90280 Patch Kern County Patrick Creek del Norte County Patricks Point Humboldt County Patterson Stanislonlonon 95363 2 County Patricks Patricks Point Humboldt Pattern Pattern Stanislonon Stanislaus Reservas do Condado de Pauma e Yuima San Diego County 92061 Reservas indianas Pauma San Diego County 92061 Vale Pauma San Diego County 92061 Paxton Plumas County 95971 Paymaster Paysville ALPINUTEIAL Payne County Paynes Paynes Creek County 96075 Paynesville Alpinete Lútene 96120 Payton Paynes Creek County 96075 Paynesville ALPINUSE. Condado de Butte County Trinity County 96041 Pearblossom Los Angeles County 93553 Peardale Nevada County 95945 Pearland Los Angeles County 93550 Pearson San Joaquin County Pearson roba roba robina de robôs robina de robô em prata de robô em primavera de robôs de pavina de pavão de pavão de pavão em pavão em pé de pavão em pé de prata de lã de praia de pavão pavão pavina pavina pavão pavão em praia de praia de lã de praia 93999799792. 5546 Pedley RIVERSIDEDIDO DO CONDADO DE RIVERSIDE 92509 Vale Pedro San Mateo County 94044 PETHILL CAÍTURA PELTER PELTIER SAN Joaquin Condado de Lápis Sacramento Pendleton North San Diego County 92055 Pendleton South San Diego County 92055 Centro de Peninsula Los Angeles 90274 Peninsula vila Plumas Plumas 9613 Centro do Condado de Peninsula 91713 Centro do Condado de Peninsula 917717 Centro do Condado de Peninsula 96713 Centro do Condado de Peninsula 967713 Centro do Condado de Peninsula 96713 Centro do Condado de 90274 Peninsula Saninsula Plumas Pleas. Grove Sonoma County Pennington Sutter County 95953 Penn Valley NEVADA COUNTY 95946 PENOYAR SISKIYOU CONDADO Penryn Placer County 95663 Condado de Pentland Kern Pentz Butte County 95965 PenVir Monterey Condado de Condado de Pepperal Riverside Pepperwood Humboldt Humboldt 95569 Grove Pepperal Toal Toal Tooral Perpalue perpupa perpupa Humboldt Humboldt 95569 Grove Pepperal Toal Tuuri perpale perpale perpalewood Humboldt Humboldt 95569 Grove Pepperal Tuurs perpunhe perpalue perpalewood Humboldt Humboldt 95569 Grove Pepperal. County         Perkins     Sacramento County   95826       Perkins     Sacramento County   95826       Permanente     Santa Clara County   95014       Perris     Riverside County   92570       Perrott Creek     Humboldt County         Perry     Los Angeles County   90603       Perry     Santa Clara County   95037       Pescadero     San Mateo County   94060       Pesco     Santa Barbara County         Petaluma     Sonoma County   94952       Peters     San Joaquin County   95236 Peterson Mill Inyo County Petrolia Humboldt County 95558 Phelan San Bernardino County 92371 Philbrick Mill Mendocino County Phillips El Dorado County Phillips Ranch Los Angeles County 91766 Phillips Ranch TULARE CATUSTION 91766INIPLIONSLIPLIONSIVENTE 91766 PHILLIPS PHILONEND CUIDO MULARE 9176666 County 9566 County County County 9176666 County 95566 County County County 91766666 County 95566 Phillips TULARE MULARE 9176 - Condado Imperial de ACHO Picayune Rancheria     Madera County         Pico     Los Angeles County   90660       Pico Heights     Los Angeles County   90006       Pico Park     Los Angeles County         Pico Rivera     Los Angeles County   90660       Piedmont     Alameda County   94611       Piedmont     Alameda County   94611       Piedra     Fresno County   93649       Pierce     Siskiyou County         Pierce     Solano County         Piercy     Mendocino County   95587       Pierpont Bay Ventura County Pieta Mendocino Condado de Pike Sierra County 95960 Pilibos Ranch Fresno County Pilliken El Dorado Pilot Hill Hill El Dorado County 95664 Pine Bluff Sacramento County 95630 Pine Cove Coveside County 9249 Pinecrest Tuolumne fracrindne 9536 Pinecron Pinecride Riverside 9249 Pinecrest Tuolumne frinGer 9536 Pinecron Pinecride Riverside 9249 Pinecrest Tuolumne Stringne 9536 Pinecron Pinecride TULARE County   93207       Pine Grove     Amador County   95665       Pine Grove     Lake County   95426       Pine Grove     Mendocino County   95437       Pine Grove     San Diego County         Pine Grove     Shasta County   96079       Pine Hills     Humboldt County   95501       Pine Hills     San Diego County   92036       Pinehurst     Fresno County   93641       Pine Mountain Club     Kern County   93225       Pineridge     Fresno County   93602       Pine Valley     San Diego County   91962       Pine Wood     Riverside County         Pinewood     Tulare County         Pinezanita     San Bernardino County         Pinnacle     San Bernardino County         Pinnacles     San Benito County   95043       Pinnacles National Park     Monterey County   95043       Pinnacles National Park     San Benito County   95043       Pinnio     Lassen County         Pino Grande     El Dorado County         Pinole Contra Costa County   94564       Pinoleville Rancheria     Mendocino County         Pinon Hills     San Bernardino County   92372       Pinto Wye     Riverside County         Pinyon Crest     Riverside County         Pinyon Pines     Riverside County   92561       Pioneer     Amador County   95666       Pioneer     Los Angeles County         Pioneer     Siskiyou County         Pioneer Point     San Bernardino County   93562       Pioneertown     San Bernardino County   92268       Piru Ventura County 93040 Pisgah San Bernardino Condado de Pismo San Luis Obispo Pismo praia San Luis Obispo Condado de Pitco Kings County River River Lassen Pit River Tribal Trust Eastbur County County Contra Costa Cosca 94565 Pittsburg Census County Contra Costa Costa 94565 Pittville     Lassen County   96056       Pittville     Shasta County   96056       Pixley     Tulare County   93256       Pizona     Mono County         Placentia     Orange County   92670       Placerville     El Dorado County   95667       Plainfield     Yolo County         Plainsburg     Merced County   95340       Plainview     Tulare County   93267       Planada     Merced County   95365       Planehaven     Sacramento County   95652       Plano     Tulare County   93257       Plantation     Sonoma County 95421 Plaskett Monterey County Plasse Amador County 95646 Cidade de gesso County Imperial County 92269 Platina Shasta County 96076 Playa Orange County 92652 Playa del Rey Los Angeles County 90293 Playa Vista Los Angeles 90094 Playmor Diego Diego 92011 Clara County   94086       Plaza Center     San Bernardino County   91762       Pleasant Grove     Sutter County   95668       Pleasant Hill     Contra Costa County   94523       Pleasant Hill     Humboldt County   95521       Pleasant Hills     Contra Costa County   94523       Pleasanton     Alameda County   94566       Pleasant Ranchos     Orange County         Pleasant Valley     Butte County         Pleasant Valley     El Dorado County   95667       Pleasant View Tulare County Pleyto Monterey County Plumas Eureka Plumas County Plumbago Sierra County Plymouth Amador County 95669 Poe Butte County Poinsettia Trato Contra Costa Costa 94565 Point Arena Mendocino County 95468 Point Arena Air Force Station Mendocino 9548 Ponto A argumentos do condado de 95468 Point Arena MENDOCINO 9548 Ponto A argumentos do condado 95468 Point Arena Mendocino 9548 Ponto Antrúsculo Argamão 95468 Point Arena Air Force Statio Point Firmin Los Angeles County 90731 Point Loma San Diego County 92106 Point McCloud Shasta County Point Mugu Ventura County 93042 Ponto Base Base Ventura 93042 Ponto MUGU ESTAÇÃO AR VENTURA CONDADO DE VENTURA 93042 Point Point Pacífico Pacífico Centro de testes Ventura 93042 Point Point 93042 Point Pacífico Pacífico Missile Missile Reyes National Seashore Marin County 94956 Point Reyes Station Marin County 94956 Ponto Richmond Contra Costa County 94807 Pontos Los Angeles Poison Poison Lake Lassen Condado de poker Sierra Sierra Polaris Nevada Condado de Condado de Condado de Pólo Polk Polk Sacramento Sacramento Sacramento Condado de Pollock Shasta County Pollock Pines El Dorado County 95726 Pomins El Dorado County Pomo Mendocino Condado de Pomona Los Angeles County 91766 69 Ponca TULare County Ponto Ponto Diego 93280 Pondosa Siskiyou PON6057 Ponto Ponto Diego Diego POPEIRAIMEIRA PONDOSA SISKIYOU POU SANSCONIDADE 96057 Ponto Diego Diego POLAR TULARE COUNTY 93257 POLAR - CELOD CENTRO TULARE COUNTY PORPHIRO RIVERSIDO DO CONDADO DO CONDADO DO CONDADO DE SHASTA PORT CHICAGO CONTRA COSTA COSTA 94565 PORTA COSTA CONDA COSTA COSTA 94569 Porter CALAVERAS CONDADO PORTER RANCH LOS ANGELUS 91326 Portário de Porterrilão 9327 Porter Porter Condado de 93257 Porterville West Tulare County 93257 Port Hueneme Ventura County 93041 Porto Hueneme Naval Construção Centro de Batalhão Ventura 93043 Porto Kenyon Humboldt County 95536 Porto de Redwood Cidade de San Mateo Portola Plaumas 96122 Portola Hills Hills Hills Hills Oflwood Cidade de Redwood San Mateo Portola Plumas 96122 Portola Hills Hills San Mateo County 94028 Porto San Luis San Luis Obispo County 93424 Bend português Los Angeles County 90274 POSEY TULare County 93260 POSO Park TULare County 93260 Post Santa Barbara County Office San Mateo Mateo 94010 Posts Montey 93920 County Postro Potrero Potro Potro Potro Potro Potro Potr Office San Mateo Mateo 94010 Posts Montey Condado de Potrero Distrito de São Francisco Vale Potter Vale do Condado de Mendocino 95469 POTWISHA TULARE COUNTY POVERTY HILL SIERRA COUNTY POWAY SAN DIEGO CONDADO 92064 POWELLTON BUTTE POZO SAN LUIS LUIS RECUSTO CACUNDO 93453 PRADO DAM RIVERSIDE PRAIRIE CIDADE DO SATRAMENTO PROMNO PROMO 93453 DAM RIVERSIDE RIVERSIDE PRAIRIE Condado de Prattville Plumas County 95923 Prenda Riverside Presidio São Francisco County 94129 Presidio do Condado de Monterey do Condado de Monterey 93944 Presidio de São Francisco São Francisco County 94129 Presswood Mendocino Condado de Preston Sonoma Preston Humberts Humoboldt Condado de Ey 93210 Prima Vista Stanislaus Condado de Princeton CONCUSTO DE COLUSA 95970 CONDADO DE PINCETON SAN MATEO 94018 PRINCETON - BY - O - County de San Mateo 94019 PRITCHARD MERCECED CUIDO DEBERTA TEHAMA CONDADO 96078 Condado do Condado de Progresso Progresso SUTER SHASTA SHASTA 9607 Prosper Prosper Prosper 96078 Progresso do Condado de Progresso Surquim SHASTA 9607 Prosper Prosper Prosper 96078 Progresso do Condado de Progresso Surta. Condado de 95734 Prunedale Monterey Condado 93907 Pudding Creek Mendocino County 95437 Puente Junction Los Angeles County 91744 Puerto Stanislaus County Pulga Butte County 95965 Centro de abóbora Kern County 93383 Pumpkin Center Lassen Lassen Punta Ventura</v>
      </c>
    </row>
    <row r="840" customFormat="false" ht="15.75" hidden="false" customHeight="true" outlineLevel="0" collapsed="false">
      <c r="A840" s="3" t="n">
        <v>837</v>
      </c>
      <c r="B840" s="5" t="s">
        <v>2506</v>
      </c>
      <c r="C840" s="5" t="s">
        <v>2507</v>
      </c>
      <c r="D840" s="5" t="s">
        <v>2508</v>
      </c>
      <c r="E840" s="4" t="str">
        <f aca="false">IFERROR(__xludf.dummyfunction("GOOGLETRANSLATE(C841)"),"De onde vem a luminosidade do sol")</f>
        <v>De onde vem a luminosidade do sol</v>
      </c>
      <c r="F840" s="5" t="str">
        <f aca="false">IFERROR(__xludf.dummyfunction("GOOGLETRANSLATE(D840)")," O gênero eublepharis, também conhecido como Libecas de Leopardo, foi descrito pela primeira vez pelo zoológico britânico John Edward Gray em 1827. A etimologia de seu nome é 'eu' = boa (= true) 'blephar' = pálpebra e todos têm pálpebras totalmente funcio"&amp;"nais. Os membros desse gênero são encontrados no leste e no sudoeste da Ásia, onde são encontrados em habitats áridos e semiáridos. Essas lagartixas são construídas de forma resistente. A cauda deles é mais curta que o comprimento do focinho e o corpo e o"&amp;" corpo é coberto com numerosas verrugas - como solavancos. Os dedos dos pés não têm lamelas adesivas. Eublepharis são moídas crepusculares ou noturnas - moradores. Incluído neste grupo está a popular lagartixa para animais de estimação: The Leopard Gecko.")</f>
        <v> O gênero eublepharis, também conhecido como Libecas de Leopardo, foi descrito pela primeira vez pelo zoológico britânico John Edward Gray em 1827. A etimologia de seu nome é 'eu' = boa (= true) 'blephar' = pálpebra e todos têm pálpebras totalmente funcionais. Os membros desse gênero são encontrados no leste e no sudoeste da Ásia, onde são encontrados em habitats áridos e semiáridos. Essas lagartixas são construídas de forma resistente. A cauda deles é mais curta que o comprimento do focinho e o corpo e o corpo é coberto com numerosas verrugas - como solavancos. Os dedos dos pés não têm lamelas adesivas. Eublepharis são moídas crepusculares ou noturnas - moradores. Incluído neste grupo está a popular lagartixa para animais de estimação: The Leopard Gecko.</v>
      </c>
    </row>
    <row r="841" customFormat="false" ht="15.75" hidden="false" customHeight="true" outlineLevel="0" collapsed="false">
      <c r="A841" s="3" t="n">
        <v>838</v>
      </c>
      <c r="B841" s="5" t="s">
        <v>2509</v>
      </c>
      <c r="C841" s="5" t="s">
        <v>2510</v>
      </c>
      <c r="D841" s="5" t="s">
        <v>2511</v>
      </c>
      <c r="E841" s="4" t="str">
        <f aca="false">IFERROR(__xludf.dummyfunction("GOOGLETRANSLATE(C842)"),"Como os Flyers da Filadélfia conseguiram seu nome")</f>
        <v>Como os Flyers da Filadélfia conseguiram seu nome</v>
      </c>
      <c r="F841" s="5" t="str">
        <f aca="false">IFERROR(__xludf.dummyfunction("GOOGLETRANSLATE(D841)")," O sol está aproximadamente médio - envelhecido; Não mudou drasticamente por mais de quatro bilhões de anos e permanecerá bastante estável por mais de mais de cinco bilhões de anos. Atualmente, existe cerca de 600 milhões de toneladas de hidrogênio em hél"&amp;"io a cada segundo, convertendo 4 milhões de toneladas de matéria em energia a cada segundo, como resultado. Essa energia, que pode levar entre 10.000 e 170.000 anos para escapar de seu núcleo, é a fonte da luz e do calor do sol. Em cerca de 5 bilhões de a"&amp;"nos, quando a fusão de hidrogênio em seu núcleo diminuiu até o ponto em que o sol não está mais em equilíbrio hidrostático, o núcleo do sol experimentará um aumento acentuado de densidade e temperatura enquanto suas camadas externas se expandem para event"&amp;"ualmente se tornar um gigante vermelho. É calculado que o sol se tornará suficientemente grande para envolver as órbitas atuais de Mercúrio e Vênus e tornar a Terra inabitável. Depois disso, ele derramará suas camadas externas e se tornará um denso tipo d"&amp;"e estrela de refrigeração, conhecida como anã branca, que não produz mais energia por fusão, mas ainda brilha e transmite calor de sua fusão anterior.")</f>
        <v> O sol está aproximadamente médio - envelhecido; Não mudou drasticamente por mais de quatro bilhões de anos e permanecerá bastante estável por mais de mais de cinco bilhões de anos. Atualmente, existe cerca de 600 milhões de toneladas de hidrogênio em hélio a cada segundo, convertendo 4 milhões de toneladas de matéria em energia a cada segundo, como resultado. Essa energia, que pode levar entre 10.000 e 170.000 anos para escapar de seu núcleo, é a fonte da luz e do calor do sol. Em cerca de 5 bilhões de anos, quando a fusão de hidrogênio em seu núcleo diminuiu até o ponto em que o sol não está mais em equilíbrio hidrostático, o núcleo do sol experimentará um aumento acentuado de densidade e temperatura enquanto suas camadas externas se expandem para eventualmente se tornar um gigante vermelho. É calculado que o sol se tornará suficientemente grande para envolver as órbitas atuais de Mercúrio e Vênus e tornar a Terra inabitável. Depois disso, ele derramará suas camadas externas e se tornará um denso tipo de estrela de refrigeração, conhecida como anã branca, que não produz mais energia por fusão, mas ainda brilha e transmite calor de sua fusão anterior.</v>
      </c>
    </row>
    <row r="842" customFormat="false" ht="15.75" hidden="false" customHeight="true" outlineLevel="0" collapsed="false">
      <c r="A842" s="3" t="n">
        <v>839</v>
      </c>
      <c r="B842" s="5" t="s">
        <v>2512</v>
      </c>
      <c r="C842" s="5" t="s">
        <v>2513</v>
      </c>
      <c r="D842" s="5" t="s">
        <v>2514</v>
      </c>
      <c r="E842" s="4" t="str">
        <f aca="false">IFERROR(__xludf.dummyfunction("GOOGLETRANSLATE(C843)"),"Quando as pontuações do SAT mudaram de 1600 para 2400")</f>
        <v>Quando as pontuações do SAT mudaram de 1600 para 2400</v>
      </c>
      <c r="F842" s="5" t="str">
        <f aca="false">IFERROR(__xludf.dummyfunction("GOOGLETRANSLATE(D842)")," Em 4 de abril de 1966, Putnam anunciou um nome - o concurso de equipe. Os detalhes do concurso foram divulgados em 12 de julho. O nome da equipe foi anunciado em 3 de agosto.")</f>
        <v> Em 4 de abril de 1966, Putnam anunciou um nome - o concurso de equipe. Os detalhes do concurso foram divulgados em 12 de julho. O nome da equipe foi anunciado em 3 de agosto.</v>
      </c>
    </row>
    <row r="843" customFormat="false" ht="15.75" hidden="false" customHeight="true" outlineLevel="0" collapsed="false">
      <c r="A843" s="3" t="n">
        <v>840</v>
      </c>
      <c r="B843" s="5" t="s">
        <v>2515</v>
      </c>
      <c r="C843" s="5" t="s">
        <v>2516</v>
      </c>
      <c r="D843" s="5" t="s">
        <v>2517</v>
      </c>
      <c r="E843" s="4" t="str">
        <f aca="false">IFERROR(__xludf.dummyfunction("GOOGLETRANSLATE(C844)"),"que interpreta Rachel Diaz em preso no meio")</f>
        <v>que interpreta Rachel Diaz em preso no meio</v>
      </c>
      <c r="F843" s="5" t="str">
        <f aca="false">IFERROR(__xludf.dummyfunction("GOOGLETRANSLATE(D843)")," Em 2005, o teste foi alterado novamente, em grande parte em resposta às críticas do sistema da Universidade da Califórnia. Para que o SAT reflita mais de perto os currículos do ensino médio, foram eliminados certos tipos de perguntas: analogias da seção "&amp;"verbal e itens de comparação quantitativa da seção de matemática. Foi adicionada uma nova seção de redação, com um ensaio, baseado no antigo Teste de Assunto da Redação de Sáb II,, em parte, para aumentar as chances de fechar a lacuna de abertura entre as"&amp;" pontuações mais altas e de médio porte. Outros fatores incluíram o desejo de testar a capacidade de escrita de cada aluno; Daí o ensaio. A seção de redação adicionou um máximo de 800 pontos adicionais à pontuação, o que aumentou a nova pontuação máxima p"&amp;"ara 2400. O `` New Sat '' foi oferecido pela primeira vez em 12 de março de 2005, após a última administração do `` Old '', em janeiro de 2005. A seção de matemática foi expandida para cobrir três anos de matemática do ensino médio. Para enfatizar a impor"&amp;"tância da leitura, o nome da seção verbal foi alterado para a seção de leitura crítica.")</f>
        <v> Em 2005, o teste foi alterado novamente, em grande parte em resposta às críticas do sistema da Universidade da Califórnia. Para que o SAT reflita mais de perto os currículos do ensino médio, foram eliminados certos tipos de perguntas: analogias da seção verbal e itens de comparação quantitativa da seção de matemática. Foi adicionada uma nova seção de redação, com um ensaio, baseado no antigo Teste de Assunto da Redação de Sáb II,, em parte, para aumentar as chances de fechar a lacuna de abertura entre as pontuações mais altas e de médio porte. Outros fatores incluíram o desejo de testar a capacidade de escrita de cada aluno; Daí o ensaio. A seção de redação adicionou um máximo de 800 pontos adicionais à pontuação, o que aumentou a nova pontuação máxima para 2400. O `` New Sat '' foi oferecido pela primeira vez em 12 de março de 2005, após a última administração do `` Old '', em janeiro de 2005. A seção de matemática foi expandida para cobrir três anos de matemática do ensino médio. Para enfatizar a importância da leitura, o nome da seção verbal foi alterado para a seção de leitura crítica.</v>
      </c>
    </row>
    <row r="844" customFormat="false" ht="15.75" hidden="false" customHeight="true" outlineLevel="0" collapsed="false">
      <c r="A844" s="3" t="n">
        <v>841</v>
      </c>
      <c r="B844" s="5" t="s">
        <v>2518</v>
      </c>
      <c r="C844" s="5" t="s">
        <v>2519</v>
      </c>
      <c r="D844" s="5" t="s">
        <v>2520</v>
      </c>
      <c r="E844" s="4" t="str">
        <f aca="false">IFERROR(__xludf.dummyfunction("GOOGLETRANSLATE(C845)"),"Quando não sorri para mim sai")</f>
        <v>Quando não sorri para mim sai</v>
      </c>
      <c r="F844" s="5" t="str">
        <f aca="false">IFERROR(__xludf.dummyfunction("GOOGLETRANSLATE(D844)"),"  Harley Diaz (Jenna Ortega) é o meio de sete crianças e um jovem prodígio de engenharia. Ela é a personagem central da série e se vê como inventora. Algumas de suas invenções conhecidas são a mesa de correia transportadora, o Slushinator, a pipa de skate"&amp;" e uma máquina de neve. Em `` preso no assento doce '', é revelado que é seu 13º aniversário. Uma característica significativa é que ela tende a quebrar a quarta parede para dizer aos espectadores algo sobre a situação. Rachel Diaz (Ronni Hawk) é a mais v"&amp;"elha das sete filhos e a vã irmã mais velha da Harley. Em `` preso sem regras '', é revelado que ela tem 16 anos. Ethan Diaz (Isaak Presley) é o irmão mais velho da Harley e seu parceiro - em - crime; Ela se refere a ele como seu `` melhor amigo da famíli"&amp;"a ''. Ele é um aspirante a músico. Em `` preso no assento doce '', está implícito que ele é o terceiro mais antigo dos sete, atrás de Rachel e Georgie. Daphne Diaz (Ariana Greenblatt) é a mais nova das sete filhos e a irmã mais nova da Harley. Ela gosta d"&amp;"e tomar um chá com suas bonecas. Em `` preso sem regras '', é revelado que Daphne pode facilmente retaliar contra quem tira as coisas dela sem obter sua aprovação primeiro. Georgie Diaz (Kayla Maisonet) é uma das irmãs mais velhas da Harley e a segunda ma"&amp;"is velha dos sete, conforme implícito em `` preso no assento doce ''. Ela é uma jogadora de basquete em sua escola e faz uma variedade de outros esportes também. Lewie Diaz (Nicolas Bechtel) é um dos dois irmãos mais novos da Harley e o gêmeo de Beast. É "&amp;"revelado em `` preso na festa da besta - que Lewie é mais velho que a besta por cinco minutos. Beast Diaz (Malachi Barton) é um dos dois irmãos mais novos da Harley e o gêmeo de Lewie. Suzy Diaz (Cerina Vincent) é a mãe peculiar da Harley, que raramente t"&amp;"em algum tempo sozinha de seus filhos e tende a gastá -lo nos lugares mais improváveis. Tom Diaz (Joe Nieves) é o pai da Harley, que opera uma loja da Marina, chamada `` Tom ', isca e mordida' ', que vende equipamentos de acampamento e pesca.")</f>
        <v>  Harley Diaz (Jenna Ortega) é o meio de sete crianças e um jovem prodígio de engenharia. Ela é a personagem central da série e se vê como inventora. Algumas de suas invenções conhecidas são a mesa de correia transportadora, o Slushinator, a pipa de skate e uma máquina de neve. Em `` preso no assento doce '', é revelado que é seu 13º aniversário. Uma característica significativa é que ela tende a quebrar a quarta parede para dizer aos espectadores algo sobre a situação. Rachel Diaz (Ronni Hawk) é a mais velha das sete filhos e a vã irmã mais velha da Harley. Em `` preso sem regras '', é revelado que ela tem 16 anos. Ethan Diaz (Isaak Presley) é o irmão mais velho da Harley e seu parceiro - em - crime; Ela se refere a ele como seu `` melhor amigo da família ''. Ele é um aspirante a músico. Em `` preso no assento doce '', está implícito que ele é o terceiro mais antigo dos sete, atrás de Rachel e Georgie. Daphne Diaz (Ariana Greenblatt) é a mais nova das sete filhos e a irmã mais nova da Harley. Ela gosta de tomar um chá com suas bonecas. Em `` preso sem regras '', é revelado que Daphne pode facilmente retaliar contra quem tira as coisas dela sem obter sua aprovação primeiro. Georgie Diaz (Kayla Maisonet) é uma das irmãs mais velhas da Harley e a segunda mais velha dos sete, conforme implícito em `` preso no assento doce ''. Ela é uma jogadora de basquete em sua escola e faz uma variedade de outros esportes também. Lewie Diaz (Nicolas Bechtel) é um dos dois irmãos mais novos da Harley e o gêmeo de Beast. É revelado em `` preso na festa da besta - que Lewie é mais velho que a besta por cinco minutos. Beast Diaz (Malachi Barton) é um dos dois irmãos mais novos da Harley e o gêmeo de Lewie. Suzy Diaz (Cerina Vincent) é a mãe peculiar da Harley, que raramente tem algum tempo sozinha de seus filhos e tende a gastá -lo nos lugares mais improváveis. Tom Diaz (Joe Nieves) é o pai da Harley, que opera uma loja da Marina, chamada `` Tom ', isca e mordida' ', que vende equipamentos de acampamento e pesca.</v>
      </c>
    </row>
    <row r="845" customFormat="false" ht="15.75" hidden="false" customHeight="true" outlineLevel="0" collapsed="false">
      <c r="A845" s="3" t="n">
        <v>842</v>
      </c>
      <c r="B845" s="5" t="s">
        <v>2521</v>
      </c>
      <c r="C845" s="5" t="s">
        <v>2522</v>
      </c>
      <c r="D845" s="5" t="s">
        <v>2523</v>
      </c>
      <c r="E845" s="4" t="str">
        <f aca="false">IFERROR(__xludf.dummyfunction("GOOGLETRANSLATE(C846)"),"jogo onde você digita algo e parece")</f>
        <v>jogo onde você digita algo e parece</v>
      </c>
      <c r="F845" s="5" t="str">
        <f aca="false">IFERROR(__xludf.dummyfunction("GOOGLETRANSLATE(D845)"),"   não sorria no EP de Billie Eilish lançado em 11 de agosto de 2017 gravado 2016 Comprimento 28: 58 Label Interscope Produced Finneas O'Connell Singles de Don Smile para mim `` Oceano Ocean '' Lançado: 18 de novembro de 2016 `` Bellache '' Lançado : 24 d"&amp;"e fevereiro de 2017 `` Watch '' Lançado: 30 de junho de 2017 `` iDontwannabeyouanymore '' Lançado: 20 de julho de 2017")</f>
        <v>   não sorria no EP de Billie Eilish lançado em 11 de agosto de 2017 gravado 2016 Comprimento 28: 58 Label Interscope Produced Finneas O'Connell Singles de Don Smile para mim `` Oceano Ocean '' Lançado: 18 de novembro de 2016 `` Bellache '' Lançado : 24 de fevereiro de 2017 `` Watch '' Lançado: 30 de junho de 2017 `` iDontwannabeyouanymore '' Lançado: 20 de julho de 2017</v>
      </c>
    </row>
    <row r="846" customFormat="false" ht="15.75" hidden="false" customHeight="true" outlineLevel="0" collapsed="false">
      <c r="A846" s="3" t="n">
        <v>843</v>
      </c>
      <c r="B846" s="5" t="s">
        <v>2524</v>
      </c>
      <c r="C846" s="5" t="s">
        <v>2525</v>
      </c>
      <c r="D846" s="5" t="s">
        <v>2526</v>
      </c>
      <c r="E846" s="4" t="str">
        <f aca="false">IFERROR(__xludf.dummyfunction("GOOGLETRANSLATE(C847)"),"a maioria dos gols em todas as competições na Premier League")</f>
        <v>a maioria dos gols em todas as competições na Premier League</v>
      </c>
      <c r="F846" s="5" t="str">
        <f aca="false">IFERROR(__xludf.dummyfunction("GOOGLETRANSLATE(D846)")," Scribblenauts é um videogame emergente de ação do quebra -cabeça desenvolvido pela 5th Cell e publicado pela Warner Bros. Interactive Entertainment for the Nintendo DS. O jogo foi lançado em 2009 em todas as regiões, exceto no Japão, e em 2011 no Japão c"&amp;"omo quebra -cabeça flash: o misterioso caderno de Maxwell (ヒラメキ パズル マックス ウェル の 不思議 な ノート, hirameki pazuru: makkusuweru no fushigi na nōto) por konami. É o terceiro videogame da Nintendo DS feito pela 5ª célula, os dois primeiros sendo atraídos para a busc"&amp;"a e Lock. O objetivo dos scribblenauts, como implícito por seu slogan `` escrever qualquer coisa, resolver tudo '', é completar quebra milhares) escrevendo seu nome na tela sensível ao toque. O jogo é considerado por seus desenvolvedores para ajudar a pro"&amp;"mover uma jogabilidade emergente, desafiando o jogador a resolver seus quebra -cabeças dentro de certas limitações ou através de várias soluções.")</f>
        <v> Scribblenauts é um videogame emergente de ação do quebra -cabeça desenvolvido pela 5th Cell e publicado pela Warner Bros. Interactive Entertainment for the Nintendo DS. O jogo foi lançado em 2009 em todas as regiões, exceto no Japão, e em 2011 no Japão como quebra -cabeça flash: o misterioso caderno de Maxwell (ヒラメキ パズル マックス ウェル の 不思議 な ノート, hirameki pazuru: makkusuweru no fushigi na nōto) por konami. É o terceiro videogame da Nintendo DS feito pela 5ª célula, os dois primeiros sendo atraídos para a busca e Lock. O objetivo dos scribblenauts, como implícito por seu slogan `` escrever qualquer coisa, resolver tudo '', é completar quebra milhares) escrevendo seu nome na tela sensível ao toque. O jogo é considerado por seus desenvolvedores para ajudar a promover uma jogabilidade emergente, desafiando o jogador a resolver seus quebra -cabeças dentro de certas limitações ou através de várias soluções.</v>
      </c>
    </row>
    <row r="847" customFormat="false" ht="15.75" hidden="false" customHeight="true" outlineLevel="0" collapsed="false">
      <c r="A847" s="3" t="n">
        <v>844</v>
      </c>
      <c r="B847" s="5" t="s">
        <v>2527</v>
      </c>
      <c r="C847" s="5" t="s">
        <v>2528</v>
      </c>
      <c r="D847" s="5" t="s">
        <v>2529</v>
      </c>
      <c r="E847" s="4" t="str">
        <f aca="false">IFERROR(__xludf.dummyfunction("GOOGLETRANSLATE(C848)"),"O que os barões fizeram no sistema feudal")</f>
        <v>O que os barões fizeram no sistema feudal</v>
      </c>
      <c r="F847" s="5" t="str">
        <f aca="false">IFERROR(__xludf.dummyfunction("GOOGLETRANSLATE(D847)"),"  A maioria dos gols da liga marcou em uma temporada: (134) Peterborough United (Quarta Divisão, 1960 - 61) Most - Gols de voo marcados em uma temporada (42 jogos): 128, Aston Villa (Primeira Divisão, 1930 - 31) mais Top - Gols de voo marcados em uma temp"&amp;"orada (38 jogos): 106, Manchester City (Premier League, 2017 - 18) A maioria dos gols marcados em todas as competições em uma temporada por um lado de voo: 156, Manchester City (2013 - 14) A maioria dos principais objetivos de voo marcados no total: 6929,"&amp;" Everton. - Até o final de 2016/17 da temporada, a maioria dos gols da Liga em casa marcou em uma temporada: 87, Millwall (terceira divisão sul, 1927 - 28) a maioria dos gols da liga marcada em uma temporada: 60, Arsenal (Primeira Divisão, 1930 - 31) A ma"&amp;"ioria dos jogos consecutivos: 55, Arsenal (Premier League, 19 de maio de 2001 -30 de novembro de 2002) Jogos mais consecutivos sem marcar: 11, Coventry City (Segunda Divisão, 1919 -20) e Hartlepool United (League Dois, 1992 - 93) Primeiro gol da liga conc"&amp;"edida pela GOT - Line Technology: Marcada por Edin Džeko no 14º minuto do jogo da Premier League entre Manchester City e Cardiff City em 18 de janeiro de 2014. O jogo foi oficiado por Neil Swarbrick, que consultou seu relógio quando o zagueiro de Cardiff,"&amp;" Kevin McNaughton, rapidamente limpou a bola logo depois de entrar no gol.")</f>
        <v>  A maioria dos gols da liga marcou em uma temporada: (134) Peterborough United (Quarta Divisão, 1960 - 61) Most - Gols de voo marcados em uma temporada (42 jogos): 128, Aston Villa (Primeira Divisão, 1930 - 31) mais Top - Gols de voo marcados em uma temporada (38 jogos): 106, Manchester City (Premier League, 2017 - 18) A maioria dos gols marcados em todas as competições em uma temporada por um lado de voo: 156, Manchester City (2013 - 14) A maioria dos principais objetivos de voo marcados no total: 6929, Everton. - Até o final de 2016/17 da temporada, a maioria dos gols da Liga em casa marcou em uma temporada: 87, Millwall (terceira divisão sul, 1927 - 28) a maioria dos gols da liga marcada em uma temporada: 60, Arsenal (Primeira Divisão, 1930 - 31) A maioria dos jogos consecutivos: 55, Arsenal (Premier League, 19 de maio de 2001 -30 de novembro de 2002) Jogos mais consecutivos sem marcar: 11, Coventry City (Segunda Divisão, 1919 -20) e Hartlepool United (League Dois, 1992 - 93) Primeiro gol da liga concedida pela GOT - Line Technology: Marcada por Edin Džeko no 14º minuto do jogo da Premier League entre Manchester City e Cardiff City em 18 de janeiro de 2014. O jogo foi oficiado por Neil Swarbrick, que consultou seu relógio quando o zagueiro de Cardiff, Kevin McNaughton, rapidamente limpou a bola logo depois de entrar no gol.</v>
      </c>
    </row>
    <row r="848" customFormat="false" ht="15.75" hidden="false" customHeight="true" outlineLevel="0" collapsed="false">
      <c r="A848" s="3" t="n">
        <v>845</v>
      </c>
      <c r="B848" s="5" t="s">
        <v>2530</v>
      </c>
      <c r="C848" s="5" t="s">
        <v>2531</v>
      </c>
      <c r="D848" s="5" t="s">
        <v>2532</v>
      </c>
      <c r="E848" s="4" t="str">
        <f aca="false">IFERROR(__xludf.dummyfunction("GOOGLETRANSLATE(C849)"),"Quantos golfinhos nascem em um momento")</f>
        <v>Quantos golfinhos nascem em um momento</v>
      </c>
      <c r="F848" s="5" t="str">
        <f aca="false">IFERROR(__xludf.dummyfunction("GOOGLETRANSLATE(D848)")," Historicamente, os barões feudais eram os inquilinos do rei - em - chefe, ou seja, homens que mantinham terras por mandato feudal diretamente do rei como seu único senhor e foram concedidos por ele uma jurisdição legal (barão do tribunal) sobre seu terri"&amp;"tório, O barony, compreendendo várias mansões. Esses homens, se ainda não os nobres, foram innobrados com a obtenção de tanta posse e, daí, em segundo lugar, após a convocação por escrito, de participar do Tribunal Peripatético do rei, a forma mais antiga"&amp;" do Parlamento e da Câmara dos Lordes. Assim, formaram o baronage, que mais tarde formou uma grande parte do par da Inglaterra.")</f>
        <v> Historicamente, os barões feudais eram os inquilinos do rei - em - chefe, ou seja, homens que mantinham terras por mandato feudal diretamente do rei como seu único senhor e foram concedidos por ele uma jurisdição legal (barão do tribunal) sobre seu território, O barony, compreendendo várias mansões. Esses homens, se ainda não os nobres, foram innobrados com a obtenção de tanta posse e, daí, em segundo lugar, após a convocação por escrito, de participar do Tribunal Peripatético do rei, a forma mais antiga do Parlamento e da Câmara dos Lordes. Assim, formaram o baronage, que mais tarde formou uma grande parte do par da Inglaterra.</v>
      </c>
    </row>
    <row r="849" customFormat="false" ht="15.75" hidden="false" customHeight="true" outlineLevel="0" collapsed="false">
      <c r="A849" s="3" t="n">
        <v>846</v>
      </c>
      <c r="B849" s="5" t="s">
        <v>2533</v>
      </c>
      <c r="C849" s="5" t="s">
        <v>2534</v>
      </c>
      <c r="D849" s="5" t="s">
        <v>2535</v>
      </c>
      <c r="E849" s="4" t="str">
        <f aca="false">IFERROR(__xludf.dummyfunction("GOOGLETRANSLATE(C850)"),"quem é a garota que eu poderia usar um vídeo de música de amor")</f>
        <v>quem é a garota que eu poderia usar um vídeo de música de amor</v>
      </c>
      <c r="F849" s="5" t="str">
        <f aca="false">IFERROR(__xludf.dummyfunction("GOOGLETRANSLATE(D849)")," A cópula de golfinhos acontece na barriga a barriga; Embora muitas espécies se envolvam em longas preliminares, o ato real é geralmente breve, mas pode ser repetido várias vezes em um curto período de tempo. O período de gestação varia de acordo com as e"&amp;"spécies; Para o pequeno golfinho de Tucuxi, esse período é de 11 a 12 meses, enquanto para a orca, o período de gestação é de cerca de 17 meses. Normalmente, os golfinhos dão à luz um único bezerro, que é, diferentemente da maioria dos outros mamíferos, n"&amp;"ascidos na maioria dos casos. Eles geralmente se tornam sexualmente ativos em tenra idade, mesmo antes de atingir a maturidade sexual. A idade da maturidade sexual varia de acordo com as espécies e o gênero.")</f>
        <v> A cópula de golfinhos acontece na barriga a barriga; Embora muitas espécies se envolvam em longas preliminares, o ato real é geralmente breve, mas pode ser repetido várias vezes em um curto período de tempo. O período de gestação varia de acordo com as espécies; Para o pequeno golfinho de Tucuxi, esse período é de 11 a 12 meses, enquanto para a orca, o período de gestação é de cerca de 17 meses. Normalmente, os golfinhos dão à luz um único bezerro, que é, diferentemente da maioria dos outros mamíferos, nascidos na maioria dos casos. Eles geralmente se tornam sexualmente ativos em tenra idade, mesmo antes de atingir a maturidade sexual. A idade da maturidade sexual varia de acordo com as espécies e o gênero.</v>
      </c>
    </row>
    <row r="850" customFormat="false" ht="15.75" hidden="false" customHeight="true" outlineLevel="0" collapsed="false">
      <c r="A850" s="3" t="n">
        <v>847</v>
      </c>
      <c r="B850" s="5" t="s">
        <v>2536</v>
      </c>
      <c r="C850" s="5" t="s">
        <v>2537</v>
      </c>
      <c r="D850" s="5" t="s">
        <v>2538</v>
      </c>
      <c r="E850" s="4" t="str">
        <f aca="false">IFERROR(__xludf.dummyfunction("GOOGLETRANSLATE(C851)"),"Quem interpreta Aang em Avatar, o último filme de dobra de ar")</f>
        <v>Quem interpreta Aang em Avatar, o último filme de dobra de ar</v>
      </c>
      <c r="F850" s="5" t="str">
        <f aca="false">IFERROR(__xludf.dummyfunction("GOOGLETRANSLATE(D850)")," O videoclipe da música foi lançado em 6 de maio de 2017 e estrelou Shelley Hennig e Garrett Hines como o casal.")</f>
        <v> O videoclipe da música foi lançado em 6 de maio de 2017 e estrelou Shelley Hennig e Garrett Hines como o casal.</v>
      </c>
    </row>
    <row r="851" customFormat="false" ht="15.75" hidden="false" customHeight="true" outlineLevel="0" collapsed="false">
      <c r="A851" s="3" t="n">
        <v>848</v>
      </c>
      <c r="B851" s="5" t="s">
        <v>2539</v>
      </c>
      <c r="C851" s="5" t="s">
        <v>2540</v>
      </c>
      <c r="D851" s="5" t="s">
        <v>2541</v>
      </c>
      <c r="E851" s="4" t="str">
        <f aca="false">IFERROR(__xludf.dummyfunction("GOOGLETRANSLATE(C852)"),"onde acontece sexta -feira 13ª parte 4 ocorre")</f>
        <v>onde acontece sexta -feira 13ª parte 4 ocorre</v>
      </c>
      <c r="F851" s="5" t="str">
        <f aca="false">IFERROR(__xludf.dummyfunction("GOOGLETRANSLATE(D851)")," The Last Airbender é um filme de aventura de fantasia de ação americana em 2010, escrito, co-produzido e dirigido por M. Night Shyamalan. É baseado na primeira temporada da série animada da Nickelodeon de mesmo nome. O filme é estrelado por Noah Ringer c"&amp;"omo Aang, com Dev Patel como príncipe Zuko, Nicola Peltz como Katara e Jackson Rathbone como Sokka. O desenvolvimento do filme começou em 2007. Foi produzido por filmes da Nickelodeon e distribuído pela Paramount Pictures. A estreia na cidade de Nova York"&amp;" em 30 de junho de 2010, foi inaugurada no dia seguinte no resto do país, arrecadando cerca de US $ 16 milhões.")</f>
        <v> The Last Airbender é um filme de aventura de fantasia de ação americana em 2010, escrito, co-produzido e dirigido por M. Night Shyamalan. É baseado na primeira temporada da série animada da Nickelodeon de mesmo nome. O filme é estrelado por Noah Ringer como Aang, com Dev Patel como príncipe Zuko, Nicola Peltz como Katara e Jackson Rathbone como Sokka. O desenvolvimento do filme começou em 2007. Foi produzido por filmes da Nickelodeon e distribuído pela Paramount Pictures. A estreia na cidade de Nova York em 30 de junho de 2010, foi inaugurada no dia seguinte no resto do país, arrecadando cerca de US $ 16 milhões.</v>
      </c>
    </row>
    <row r="852" customFormat="false" ht="15.75" hidden="false" customHeight="true" outlineLevel="0" collapsed="false">
      <c r="A852" s="3" t="n">
        <v>849</v>
      </c>
      <c r="B852" s="5" t="s">
        <v>2542</v>
      </c>
      <c r="C852" s="5" t="s">
        <v>2543</v>
      </c>
      <c r="D852" s="5" t="s">
        <v>2544</v>
      </c>
      <c r="E852" s="4" t="str">
        <f aca="false">IFERROR(__xludf.dummyfunction("GOOGLETRANSLATE(C853)"),"Quando é o voto popular do presidente feito")</f>
        <v>Quando é o voto popular do presidente feito</v>
      </c>
      <c r="F852" s="5" t="str">
        <f aca="false">IFERROR(__xludf.dummyfunction("GOOGLETRANSLATE(D852)")," Sexta -feira 13: O capítulo final é um filme de Slasher American de 1984, dirigido por Joseph Zito e a quarta edição da sexta -feira 13ª série de filmes. Após os eventos de sexta -feira, 13ª Parte III, Jason Voorhees retorna a Crystal Lake e continua sua"&amp;" matança em uma família e um grupo de adolescentes vizinhos depois de ser revivido de sua ferida mortal. O filme é estrelado por Corey Feldman, Ted White, Kimberly Beck e Crispin Glover.")</f>
        <v> Sexta -feira 13: O capítulo final é um filme de Slasher American de 1984, dirigido por Joseph Zito e a quarta edição da sexta -feira 13ª série de filmes. Após os eventos de sexta -feira, 13ª Parte III, Jason Voorhees retorna a Crystal Lake e continua sua matança em uma família e um grupo de adolescentes vizinhos depois de ser revivido de sua ferida mortal. O filme é estrelado por Corey Feldman, Ted White, Kimberly Beck e Crispin Glover.</v>
      </c>
    </row>
    <row r="853" customFormat="false" ht="15.75" hidden="false" customHeight="true" outlineLevel="0" collapsed="false">
      <c r="A853" s="3" t="n">
        <v>850</v>
      </c>
      <c r="B853" s="5" t="s">
        <v>2545</v>
      </c>
      <c r="C853" s="5" t="s">
        <v>2546</v>
      </c>
      <c r="D853" s="5" t="s">
        <v>2547</v>
      </c>
      <c r="E853" s="4" t="str">
        <f aca="false">IFERROR(__xludf.dummyfunction("GOOGLETRANSLATE(C854)"),"Quem foi o principal autor da lei que pretendia alterar a Lei Nacional de Relações Trabalhistas")</f>
        <v>Quem foi o principal autor da lei que pretendia alterar a Lei Nacional de Relações Trabalhistas</v>
      </c>
      <c r="F853" s="5" t="str">
        <f aca="false">IFERROR(__xludf.dummyfunction("GOOGLETRANSLATE(D853)")," No entanto, a lei federal especifica que todos os eleitores devem ser selecionados no mesmo dia, que é `` a primeira terça -feira após a primeira segunda -feira de novembro '', ou seja, uma terça -feira não antes de 2 de novembro e até 8 de novembro. Hoj"&amp;"e, os estados e o distrito de Columbia conduzem suas próprias eleições populares no dia das eleições para ajudar a determinar sua respectiva lista de eleitores. Assim, a eleição presidencial é realmente uma fusão de eleições estaduais separadas e simultân"&amp;"eas, em vez de uma única eleição nacional administrada pelo governo federal.")</f>
        <v> No entanto, a lei federal especifica que todos os eleitores devem ser selecionados no mesmo dia, que é `` a primeira terça -feira após a primeira segunda -feira de novembro '', ou seja, uma terça -feira não antes de 2 de novembro e até 8 de novembro. Hoje, os estados e o distrito de Columbia conduzem suas próprias eleições populares no dia das eleições para ajudar a determinar sua respectiva lista de eleitores. Assim, a eleição presidencial é realmente uma fusão de eleições estaduais separadas e simultâneas, em vez de uma única eleição nacional administrada pelo governo federal.</v>
      </c>
    </row>
    <row r="854" customFormat="false" ht="15.75" hidden="false" customHeight="true" outlineLevel="0" collapsed="false">
      <c r="A854" s="3" t="n">
        <v>851</v>
      </c>
      <c r="B854" s="5" t="s">
        <v>2548</v>
      </c>
      <c r="C854" s="5" t="s">
        <v>2549</v>
      </c>
      <c r="D854" s="5" t="s">
        <v>2550</v>
      </c>
      <c r="E854" s="4" t="str">
        <f aca="false">IFERROR(__xludf.dummyfunction("GOOGLETRANSLATE(C855)"),"Qual é a origem das células ES no desenvolvimento")</f>
        <v>Qual é a origem das células ES no desenvolvimento</v>
      </c>
      <c r="F854" s="5" t="str">
        <f aca="false">IFERROR(__xludf.dummyfunction("GOOGLETRANSLATE(D854)")," A Lei de Relações de Gerenciamento do Trabalho de 1947 29 U.S.C. § 141 - 197, mais conhecido como Taft - Hartley Act, (80 H.R. 3020, Pub. L. 80 - 101, 61 Stat. 136, promulgada em 23 de junho de 1947) é uma lei federal dos Estados Unidos que restringe as "&amp;"atividades e poder dos sindicatos. A lei, ainda eficaz, foi patrocinada pelo senador Robert A. Taft e pelo representante Fred A. Hartley Jr., e se tornou lei apesar do veto do presidente dos EUA, Harry S. Truman, em 23 de junho de 1947. Os líderes trabalh"&amp;"istas chamaram isso de `` escravo - Labor Lei '', enquanto o presidente Truman argumentou que era uma intrusão perigosa na liberdade de expressão '', argumentando que isso iria `` conflito com princípios importantes da nossa sociedade democrática ''. No e"&amp;"ntanto, depois de passar por Truman, confiou nele em doze casos durante sua presidência. A Lei Taft - Hartley alterou a Lei Nacional de Relações Trabalhistas (NLRA; informalmente a Lei Wagner), que o Congresso aprovou em 1935. O principal autor da Lei Taf"&amp;"t - Hartley foi J. Mack Swigert, do escritório de advocacia de Cincinnati Taft, Stettinius &amp; Hollister.")</f>
        <v> A Lei de Relações de Gerenciamento do Trabalho de 1947 29 U.S.C. § 141 - 197, mais conhecido como Taft - Hartley Act, (80 H.R. 3020, Pub. L. 80 - 101, 61 Stat. 136, promulgada em 23 de junho de 1947) é uma lei federal dos Estados Unidos que restringe as atividades e poder dos sindicatos. A lei, ainda eficaz, foi patrocinada pelo senador Robert A. Taft e pelo representante Fred A. Hartley Jr., e se tornou lei apesar do veto do presidente dos EUA, Harry S. Truman, em 23 de junho de 1947. Os líderes trabalhistas chamaram isso de `` escravo - Labor Lei '', enquanto o presidente Truman argumentou que era uma intrusão perigosa na liberdade de expressão '', argumentando que isso iria `` conflito com princípios importantes da nossa sociedade democrática ''. No entanto, depois de passar por Truman, confiou nele em doze casos durante sua presidência. A Lei Taft - Hartley alterou a Lei Nacional de Relações Trabalhistas (NLRA; informalmente a Lei Wagner), que o Congresso aprovou em 1935. O principal autor da Lei Taft - Hartley foi J. Mack Swigert, do escritório de advocacia de Cincinnati Taft, Stettinius &amp; Hollister.</v>
      </c>
    </row>
    <row r="855" customFormat="false" ht="15.75" hidden="false" customHeight="true" outlineLevel="0" collapsed="false">
      <c r="A855" s="3" t="n">
        <v>852</v>
      </c>
      <c r="B855" s="5" t="s">
        <v>2551</v>
      </c>
      <c r="C855" s="5" t="s">
        <v>2552</v>
      </c>
      <c r="D855" s="5" t="s">
        <v>2553</v>
      </c>
      <c r="E855" s="4" t="str">
        <f aca="false">IFERROR(__xludf.dummyfunction("GOOGLETRANSLATE(C856)"),"quem escreveu por favor, não tire meu sol")</f>
        <v>quem escreveu por favor, não tire meu sol</v>
      </c>
      <c r="F855" s="5" t="str">
        <f aca="false">IFERROR(__xludf.dummyfunction("GOOGLETRANSLATE(D855)")," As células -tronco embrionárias (células ES ou ESCs) são células -tronco pluripotentes derivadas da massa celular interna de um blastocisto, um embrião pré -implante de estágio inicial. Os embriões humanos atingem o estágio 4 do blastocisto 4 - 5 dias ap"&amp;"ós a fertilização, quando consistem em 50 - 150 células. Isolando o embrileblasto, ou massa celular interna (ICM) resulta na destruição do blastocisto, um processo que levanta questões éticas, incluindo se os embriões no estágio de pré-implantação devem t"&amp;"er as mesmas considerações morais que os embriões no estágio de pós-implantação de desenvolvimento. Atualmente, os pesquisadores estão se concentrando fortemente no potencial terapêutico das células -tronco embrionárias, com o uso clínico sendo o objetivo"&amp;" de muitos laboratórios. Os usos potenciais incluem o tratamento de diabetes e doenças cardíacas. As células estão sendo estudadas para serem usadas como terapias clínicas, modelos de distúrbios genéticos e reparo celular / DNA. No entanto, efeitos advers"&amp;"os nos processos de pesquisa e clínicos, como tumores e respostas imunes indesejadas, também foram relatadas.")</f>
        <v> As células -tronco embrionárias (células ES ou ESCs) são células -tronco pluripotentes derivadas da massa celular interna de um blastocisto, um embrião pré -implante de estágio inicial. Os embriões humanos atingem o estágio 4 do blastocisto 4 - 5 dias após a fertilização, quando consistem em 50 - 150 células. Isolando o embrileblasto, ou massa celular interna (ICM) resulta na destruição do blastocisto, um processo que levanta questões éticas, incluindo se os embriões no estágio de pré-implantação devem ter as mesmas considerações morais que os embriões no estágio de pós-implantação de desenvolvimento. Atualmente, os pesquisadores estão se concentrando fortemente no potencial terapêutico das células -tronco embrionárias, com o uso clínico sendo o objetivo de muitos laboratórios. Os usos potenciais incluem o tratamento de diabetes e doenças cardíacas. As células estão sendo estudadas para serem usadas como terapias clínicas, modelos de distúrbios genéticos e reparo celular / DNA. No entanto, efeitos adversos nos processos de pesquisa e clínicos, como tumores e respostas imunes indesejadas, também foram relatadas.</v>
      </c>
    </row>
    <row r="856" customFormat="false" ht="15.75" hidden="false" customHeight="true" outlineLevel="0" collapsed="false">
      <c r="A856" s="3" t="n">
        <v>853</v>
      </c>
      <c r="B856" s="5" t="s">
        <v>2554</v>
      </c>
      <c r="C856" s="5" t="s">
        <v>2555</v>
      </c>
      <c r="D856" s="5" t="s">
        <v>2556</v>
      </c>
      <c r="E856" s="4" t="str">
        <f aca="false">IFERROR(__xludf.dummyfunction("GOOGLETRANSLATE(C857)"),"A Índia está localizada em que latitude e longitude")</f>
        <v>A Índia está localizada em que latitude e longitude</v>
      </c>
      <c r="F856" s="5" t="str">
        <f aca="false">IFERROR(__xludf.dummyfunction("GOOGLETRANSLATE(D856)")," `` You Are My Sunshine '' é uma música popular escrita por Jimmie Davis e Charles Mitchell e gravada pela primeira vez em 1939. Foi declarado uma das canções estaduais da Louisiana por causa de sua associação com Davis, um cantor de música country e gove"&amp;"rnador do estado nos anos de 1944 - 1948 e 1960 - 1964.")</f>
        <v> `` You Are My Sunshine '' é uma música popular escrita por Jimmie Davis e Charles Mitchell e gravada pela primeira vez em 1939. Foi declarado uma das canções estaduais da Louisiana por causa de sua associação com Davis, um cantor de música country e governador do estado nos anos de 1944 - 1948 e 1960 - 1964.</v>
      </c>
    </row>
    <row r="857" customFormat="false" ht="15.75" hidden="false" customHeight="true" outlineLevel="0" collapsed="false">
      <c r="A857" s="3" t="n">
        <v>854</v>
      </c>
      <c r="B857" s="5" t="s">
        <v>1571</v>
      </c>
      <c r="C857" s="5" t="s">
        <v>2557</v>
      </c>
      <c r="D857" s="5" t="s">
        <v>2558</v>
      </c>
      <c r="E857" s="4" t="str">
        <f aca="false">IFERROR(__xludf.dummyfunction("GOOGLETRANSLATE(C858)"),"Quem cantou tudo na música tema da família")</f>
        <v>Quem cantou tudo na música tema da família</v>
      </c>
      <c r="F857" s="5" t="str">
        <f aca="false">IFERROR(__xludf.dummyfunction("GOOGLETRANSLATE(D857)")," A Índia fica na placa indiana, a parte norte da placa indo -australiana, cuja crosta continental forma o subcontinente indiano. O país está situado ao norte do equador entre 8 ° 4 'e 37 ° 6' de latitude norte e 68 ° 7 'a 97 ° 25' de longitude leste. É o "&amp;"sétimo país maior do mundo, com uma área total de 3.287.263 quilômetros quadrados (1.269.219 metros quadrados). A Índia mede 3.214 km (1.997 mi) de norte a sul e 2.933 km (1.822 mi) de leste a oeste. Possui uma fronteira terrestre de 15.106,7 km (9.387 mi"&amp;") e uma costa de 7.516,6 km (4.671 mi).")</f>
        <v> A Índia fica na placa indiana, a parte norte da placa indo -australiana, cuja crosta continental forma o subcontinente indiano. O país está situado ao norte do equador entre 8 ° 4 'e 37 ° 6' de latitude norte e 68 ° 7 'a 97 ° 25' de longitude leste. É o sétimo país maior do mundo, com uma área total de 3.287.263 quilômetros quadrados (1.269.219 metros quadrados). A Índia mede 3.214 km (1.997 mi) de norte a sul e 2.933 km (1.822 mi) de leste a oeste. Possui uma fronteira terrestre de 15.106,7 km (9.387 mi) e uma costa de 7.516,6 km (4.671 mi).</v>
      </c>
    </row>
    <row r="858" customFormat="false" ht="15.75" hidden="false" customHeight="true" outlineLevel="0" collapsed="false">
      <c r="A858" s="3" t="n">
        <v>855</v>
      </c>
      <c r="B858" s="5" t="s">
        <v>2559</v>
      </c>
      <c r="C858" s="5" t="s">
        <v>2560</v>
      </c>
      <c r="D858" s="5" t="s">
        <v>2561</v>
      </c>
      <c r="E858" s="4" t="str">
        <f aca="false">IFERROR(__xludf.dummyfunction("GOOGLETRANSLATE(C859)"),"que interpreta Bernadette da teoria do Big Bang")</f>
        <v>que interpreta Bernadette da teoria do Big Bang</v>
      </c>
      <c r="F858" s="5" t="str">
        <f aca="false">IFERROR(__xludf.dummyfunction("GOOGLETRANSLATE(D858)")," A série 'música tema de abertura `` aqueles foram os dias' ', escrita por Lee Adams (letras) e Charles Strouse (música), foi apresentada de uma maneira única para uma série dos anos 1970: Carroll O'Connor e Jean Stapleton sentados em um Console ou piano "&amp;"de espineto (interpretado por Stapleton) e cantando a música juntos na câmera no início de todos os episódios, concluindo com aplausos ao vivo - a audiência. (A música remonta à primeira justiça para todo o piloto, embora naquela ocasião O'Connor e Staple"&amp;"ton tenham tocado a música - câmera e em um ritmo mais rápido que a versão da série.) Seis performances diferentes foram registradas na corrida da série , incluindo uma versão que inclui letras adicionais. A música é uma melodia simples e pentatônica (que"&amp;" pode ser tocada exclusivamente com as teclas pretas em um piano) em que Archie e Edith cera nostálgica nos dias mais simples do passado. Uma versão mais longa da música foi lançada como um single na Atlantic Records, atingindo o número 43 no Billboard Ho"&amp;"t 100 e o número 30 dos EUA na parada contemporânea adulta da Billboard no início de 1972; As letras adicionais desta versão mais longa emprestam à música um maior senso de tristeza e fazem referência comovente às mudanças sociais que ocorrem na década de"&amp;" 1960 e início da década de 1970.")</f>
        <v> A série 'música tema de abertura `` aqueles foram os dias' ', escrita por Lee Adams (letras) e Charles Strouse (música), foi apresentada de uma maneira única para uma série dos anos 1970: Carroll O'Connor e Jean Stapleton sentados em um Console ou piano de espineto (interpretado por Stapleton) e cantando a música juntos na câmera no início de todos os episódios, concluindo com aplausos ao vivo - a audiência. (A música remonta à primeira justiça para todo o piloto, embora naquela ocasião O'Connor e Stapleton tenham tocado a música - câmera e em um ritmo mais rápido que a versão da série.) Seis performances diferentes foram registradas na corrida da série , incluindo uma versão que inclui letras adicionais. A música é uma melodia simples e pentatônica (que pode ser tocada exclusivamente com as teclas pretas em um piano) em que Archie e Edith cera nostálgica nos dias mais simples do passado. Uma versão mais longa da música foi lançada como um single na Atlantic Records, atingindo o número 43 no Billboard Hot 100 e o número 30 dos EUA na parada contemporânea adulta da Billboard no início de 1972; As letras adicionais desta versão mais longa emprestam à música um maior senso de tristeza e fazem referência comovente às mudanças sociais que ocorrem na década de 1960 e início da década de 1970.</v>
      </c>
    </row>
    <row r="859" customFormat="false" ht="15.75" hidden="false" customHeight="true" outlineLevel="0" collapsed="false">
      <c r="A859" s="3" t="n">
        <v>856</v>
      </c>
      <c r="B859" s="5" t="s">
        <v>2562</v>
      </c>
      <c r="C859" s="5" t="s">
        <v>2563</v>
      </c>
      <c r="D859" s="5" t="s">
        <v>2564</v>
      </c>
      <c r="E859" s="4" t="str">
        <f aca="false">IFERROR(__xludf.dummyfunction("GOOGLETRANSLATE(C860)"),"é o vento vindo ou indo para")</f>
        <v>é o vento vindo ou indo para</v>
      </c>
      <c r="F859" s="5" t="str">
        <f aca="false">IFERROR(__xludf.dummyfunction("GOOGLETRANSLATE(D859)")," Melissa Ivy Rauch (nascida em 23 de junho de 1980) é uma atriz e comediante americana. Ela é conhecida por interpretar Bernadette Rostenkowski - Wolowitz na comédia da CBS The Big Bang Theory.")</f>
        <v> Melissa Ivy Rauch (nascida em 23 de junho de 1980) é uma atriz e comediante americana. Ela é conhecida por interpretar Bernadette Rostenkowski - Wolowitz na comédia da CBS The Big Bang Theory.</v>
      </c>
    </row>
    <row r="860" customFormat="false" ht="15.75" hidden="false" customHeight="true" outlineLevel="0" collapsed="false">
      <c r="A860" s="3" t="n">
        <v>857</v>
      </c>
      <c r="B860" s="5" t="s">
        <v>2565</v>
      </c>
      <c r="C860" s="5" t="s">
        <v>2566</v>
      </c>
      <c r="D860" s="5" t="s">
        <v>2567</v>
      </c>
      <c r="E860" s="4" t="str">
        <f aca="false">IFERROR(__xludf.dummyfunction("GOOGLETRANSLATE(C861)"),"onde está o Azerbaijão localizado no mapa mundial")</f>
        <v>onde está o Azerbaijão localizado no mapa mundial</v>
      </c>
      <c r="F860" s="5" t="str">
        <f aca="false">IFERROR(__xludf.dummyfunction("GOOGLETRANSLATE(D860)")," A direção do vento é relatada pela direção da qual se origina. Por exemplo, um vento norte sopra do norte para o sul. A direção do vento é geralmente relatada em direções cardeais ou em graus de azimute. A direção do vento é medida em graus no sentido ho"&amp;"rário a partir do norte. Consequentemente, um vento soprando do norte tem uma direção de vento de 0 graus; Um vento soprando do leste tem uma direção de vento de 90 graus; Um vento soprando do sul tem uma direção de vento de 180 graus; e um vento soprando"&amp;" do oeste tem uma direção de vento de 270 graus. Em geral, as direções do vento são medidas em unidades de 0 ° a 360 °, mas, alternativamente, podem ser expressas de - 180 ° a 180 °.")</f>
        <v> A direção do vento é relatada pela direção da qual se origina. Por exemplo, um vento norte sopra do norte para o sul. A direção do vento é geralmente relatada em direções cardeais ou em graus de azimute. A direção do vento é medida em graus no sentido horário a partir do norte. Consequentemente, um vento soprando do norte tem uma direção de vento de 0 graus; Um vento soprando do leste tem uma direção de vento de 90 graus; Um vento soprando do sul tem uma direção de vento de 180 graus; e um vento soprando do oeste tem uma direção de vento de 270 graus. Em geral, as direções do vento são medidas em unidades de 0 ° a 360 °, mas, alternativamente, podem ser expressas de - 180 ° a 180 °.</v>
      </c>
    </row>
    <row r="861" customFormat="false" ht="15.75" hidden="false" customHeight="true" outlineLevel="0" collapsed="false">
      <c r="A861" s="3" t="n">
        <v>858</v>
      </c>
      <c r="B861" s="5" t="s">
        <v>2568</v>
      </c>
      <c r="C861" s="5" t="s">
        <v>2569</v>
      </c>
      <c r="D861" s="5" t="s">
        <v>2570</v>
      </c>
      <c r="E861" s="4" t="str">
        <f aca="false">IFERROR(__xludf.dummyfunction("GOOGLETRANSLATE(C862)"),"que interpretou o capitão no filme Titanic")</f>
        <v>que interpretou o capitão no filme Titanic</v>
      </c>
      <c r="F861" s="5" t="str">
        <f aca="false">IFERROR(__xludf.dummyfunction("GOOGLETRANSLATE(D861)")," Azerbaijan ( / ˌæzərbaɪˈdʒɑːn / AZ - ər - by - JAHN ; Azerbaijani : Azərbaycan ( ɑːzæɾbɑjˈd͡ʒɑn ) ) , officially the Republic of Azerbaijan ( Azerbaijani : Azərbaycan Respublikası ( ɑːzæɾbɑjˈd͡ʒɑn ɾespublikɑˈsɯ ) ) , is a country in the South Caucasus re"&amp;"gion of Eurasia at the crossroads da Europa Oriental e da Ásia Ocidental. É delimitada pelo mar Cáspio a leste, Rússia ao norte, Geórgia, a noroeste, Armênia a oeste e Irã ao sul. O exclado de Nakhchivan está vinculado pela Armênia ao norte e leste, no Ir"&amp;"ã, ao sul e oeste, e tem uma fronteira de 11 km de comprimento com a Turquia no noroeste.")</f>
        <v> Azerbaijan ( / ˌæzərbaɪˈdʒɑːn / AZ - ər - by - JAHN ; Azerbaijani : Azərbaycan ( ɑːzæɾbɑjˈd͡ʒɑn ) ) , officially the Republic of Azerbaijan ( Azerbaijani : Azərbaycan Respublikası ( ɑːzæɾbɑjˈd͡ʒɑn ɾespublikɑˈsɯ ) ) , is a country in the South Caucasus region of Eurasia at the crossroads da Europa Oriental e da Ásia Ocidental. É delimitada pelo mar Cáspio a leste, Rússia ao norte, Geórgia, a noroeste, Armênia a oeste e Irã ao sul. O exclado de Nakhchivan está vinculado pela Armênia ao norte e leste, no Irã, ao sul e oeste, e tem uma fronteira de 11 km de comprimento com a Turquia no noroeste.</v>
      </c>
    </row>
    <row r="862" customFormat="false" ht="15.75" hidden="false" customHeight="true" outlineLevel="0" collapsed="false">
      <c r="A862" s="3" t="n">
        <v>859</v>
      </c>
      <c r="B862" s="5" t="s">
        <v>2571</v>
      </c>
      <c r="C862" s="5" t="s">
        <v>2572</v>
      </c>
      <c r="D862" s="5" t="s">
        <v>2573</v>
      </c>
      <c r="E862" s="4" t="str">
        <f aca="false">IFERROR(__xludf.dummyfunction("GOOGLETRANSLATE(C863)"),"que interpretou Xerxes em 300 Rise of a Empire")</f>
        <v>que interpretou Xerxes em 300 Rise of a Empire</v>
      </c>
      <c r="F862" s="5" t="str">
        <f aca="false">IFERROR(__xludf.dummyfunction("GOOGLETRANSLATE(D862)")," Bernard Hill (nascido em 17 de dezembro de 1944) é um ator de filmes, palco e televisão inglês. Ele é conhecido por interpretar Yosser Hughes, o problemático 'homem duro' cuja vida está desmoronando no inovador teatro de TV de Alan Bleasdale, meninos de "&amp;"TV de The Blackstuff e, mais recentemente, como o duque de Norfolk na adaptação da BBC de Dame Hilary Mantel Wolf Hall. Ele também é conhecido por papéis em filmes de sucesso de bilheteria, incluindo o capitão Edward Smith em Titanic, o rei Théoden no Sen"&amp;"hor dos Rings Trilogy e Luther Plunkitt, o diretor da prisão de San Quentin no filme de Clint Eastwood True Crime.")</f>
        <v> Bernard Hill (nascido em 17 de dezembro de 1944) é um ator de filmes, palco e televisão inglês. Ele é conhecido por interpretar Yosser Hughes, o problemático 'homem duro' cuja vida está desmoronando no inovador teatro de TV de Alan Bleasdale, meninos de TV de The Blackstuff e, mais recentemente, como o duque de Norfolk na adaptação da BBC de Dame Hilary Mantel Wolf Hall. Ele também é conhecido por papéis em filmes de sucesso de bilheteria, incluindo o capitão Edward Smith em Titanic, o rei Théoden no Senhor dos Rings Trilogy e Luther Plunkitt, o diretor da prisão de San Quentin no filme de Clint Eastwood True Crime.</v>
      </c>
    </row>
    <row r="863" customFormat="false" ht="15.75" hidden="false" customHeight="true" outlineLevel="0" collapsed="false">
      <c r="A863" s="3" t="n">
        <v>860</v>
      </c>
      <c r="B863" s="5" t="s">
        <v>2574</v>
      </c>
      <c r="C863" s="5" t="s">
        <v>2575</v>
      </c>
      <c r="D863" s="5" t="s">
        <v>2576</v>
      </c>
      <c r="E863" s="4" t="str">
        <f aca="false">IFERROR(__xludf.dummyfunction("GOOGLETRANSLATE(C864)"),"quem faz todas as vozes nos Simpsons")</f>
        <v>quem faz todas as vozes nos Simpsons</v>
      </c>
      <c r="F863" s="5" t="str">
        <f aca="false">IFERROR(__xludf.dummyfunction("GOOGLETRANSLATE(D863)")," Rodrigo Junqueira dos Reis Santoro (pronúncia portuguesa: (ʁoˈdɾiu Sɐ̃ˈtoɾu); nascido em 22 de agosto de 1975) é um ator brasileiro. Ele apareceu em muitos filmes de sucesso, incluindo o Braintorm (2001), Carandiru (2003), Love realmente (2003), Che (200"&amp;"8), eu te amo Phillip Morris (2009) e Rio (2011). Ele talvez seja mais famoso por seu retrato de Xerxes no filme 300 (2006) e sua sequência 300: Rise of An Empire (2014). Ele era uma série regular da série de televisão Lost retratando o personagem Paulo e"&amp;" interpreta Hector Escaton em Westworld da HBO (2016).")</f>
        <v> Rodrigo Junqueira dos Reis Santoro (pronúncia portuguesa: (ʁoˈdɾiu Sɐ̃ˈtoɾu); nascido em 22 de agosto de 1975) é um ator brasileiro. Ele apareceu em muitos filmes de sucesso, incluindo o Braintorm (2001), Carandiru (2003), Love realmente (2003), Che (2008), eu te amo Phillip Morris (2009) e Rio (2011). Ele talvez seja mais famoso por seu retrato de Xerxes no filme 300 (2006) e sua sequência 300: Rise of An Empire (2014). Ele era uma série regular da série de televisão Lost retratando o personagem Paulo e interpreta Hector Escaton em Westworld da HBO (2016).</v>
      </c>
    </row>
    <row r="864" customFormat="false" ht="15.75" hidden="false" customHeight="true" outlineLevel="0" collapsed="false">
      <c r="A864" s="3" t="n">
        <v>861</v>
      </c>
      <c r="B864" s="5" t="s">
        <v>2577</v>
      </c>
      <c r="C864" s="5" t="s">
        <v>2578</v>
      </c>
      <c r="D864" s="5" t="s">
        <v>2579</v>
      </c>
      <c r="E864" s="4" t="str">
        <f aca="false">IFERROR(__xludf.dummyfunction("GOOGLETRANSLATE(C865)"),"onde estão os próximos Olimpíadas de verão sendo jogados")</f>
        <v>onde estão os próximos Olimpíadas de verão sendo jogados</v>
      </c>
      <c r="F864" s="5" t="str">
        <f aca="false">IFERROR(__xludf.dummyfunction("GOOGLETRANSLATE(D864)")," The Simpsons é uma comédia animada americana que inclui seis dubladores principais e numerosos estrelas convidadas de elenco e recorrente regulares. O elenco principal consiste em Dan Castellaneta, Julie Kavner, Nancy Cartwright, Yeardley Smith, Hank Aza"&amp;"ria e Harry Shearer. Tress MacNeille, Pamela Hayden, Maggie Roswell, Russi Taylor, Marcia Wallace, Marcia Mitzman Gaven e Karl Wiedergott apareceram como membros do elenco de apoio. Os membros do elenco convidado repetidos incluem Albert Brooks, Phil Hart"&amp;"man, Jon Lovitz, Joe Mantegna e Kelsey Grammer. Com uma exceção, os créditos do episódio listam apenas os dubladores, e não os personagens que eles expressam.")</f>
        <v> The Simpsons é uma comédia animada americana que inclui seis dubladores principais e numerosos estrelas convidadas de elenco e recorrente regulares. O elenco principal consiste em Dan Castellaneta, Julie Kavner, Nancy Cartwright, Yeardley Smith, Hank Azaria e Harry Shearer. Tress MacNeille, Pamela Hayden, Maggie Roswell, Russi Taylor, Marcia Wallace, Marcia Mitzman Gaven e Karl Wiedergott apareceram como membros do elenco de apoio. Os membros do elenco convidado repetidos incluem Albert Brooks, Phil Hartman, Jon Lovitz, Joe Mantegna e Kelsey Grammer. Com uma exceção, os créditos do episódio listam apenas os dubladores, e não os personagens que eles expressam.</v>
      </c>
    </row>
    <row r="865" customFormat="false" ht="15.75" hidden="false" customHeight="true" outlineLevel="0" collapsed="false">
      <c r="A865" s="3" t="n">
        <v>862</v>
      </c>
      <c r="B865" s="5" t="s">
        <v>2580</v>
      </c>
      <c r="C865" s="5" t="s">
        <v>2581</v>
      </c>
      <c r="D865" s="5" t="s">
        <v>2582</v>
      </c>
      <c r="E865" s="4" t="str">
        <f aca="false">IFERROR(__xludf.dummyfunction("GOOGLETRANSLATE(C866)"),"Por que existem tantos castelos na França")</f>
        <v>Por que existem tantos castelos na França</v>
      </c>
      <c r="F865" s="5" t="str">
        <f aca="false">IFERROR(__xludf.dummyfunction("GOOGLETRANSLATE(D865)")," Jogos do XXXII Olympiad Anfitrião City Tóquio, lema do Japão Descubra amanhã (未来 (あし た た) を つか もう もう, Ashita o Tsukamō) participando de 206 (esperados) atletas participantes que participam de 11.091 (esperados) eventos 324 em 33 Sports Opening Cerremony "&amp;"24 de julho (26 meses A partir de agora) Cerimônia de encerramento 9 de agosto foi inaugurada oficialmente pelo Imperador do Japão (esperado) Novo Estádio Nacional de Verão Paris 2024&gt; Inverno Pequim 2022&gt; Parte")</f>
        <v> Jogos do XXXII Olympiad Anfitrião City Tóquio, lema do Japão Descubra amanhã (未来 (あし た た) を つか もう もう, Ashita o Tsukamō) participando de 206 (esperados) atletas participantes que participam de 11.091 (esperados) eventos 324 em 33 Sports Opening Cerremony 24 de julho (26 meses A partir de agora) Cerimônia de encerramento 9 de agosto foi inaugurada oficialmente pelo Imperador do Japão (esperado) Novo Estádio Nacional de Verão Paris 2024&gt; Inverno Pequim 2022&gt; Parte</v>
      </c>
    </row>
    <row r="866" customFormat="false" ht="15.75" hidden="false" customHeight="true" outlineLevel="0" collapsed="false">
      <c r="A866" s="3" t="n">
        <v>863</v>
      </c>
      <c r="B866" s="5" t="s">
        <v>2583</v>
      </c>
      <c r="C866" s="5" t="s">
        <v>2584</v>
      </c>
      <c r="D866" s="5" t="s">
        <v>2585</v>
      </c>
      <c r="E866" s="4" t="str">
        <f aca="false">IFERROR(__xludf.dummyfunction("GOOGLETRANSLATE(C867)"),"quem é o vocalista de todos os rejeitos americanos casados ​​com")</f>
        <v>quem é o vocalista de todos os rejeitos americanos casados ​​com</v>
      </c>
      <c r="F866" s="5" t="str">
        <f aca="false">IFERROR(__xludf.dummyfunction("GOOGLETRANSLATE(D866)")," O Châteaux, numerando mais de trezentos, representa uma nação de construtores que começam com as fortificações necessárias do castelo no século 10 ao esplendor daqueles que construíram meio milênio depois. Quando os reis franceses começaram a construir s"&amp;"eu enorme Châteaux no vale de Loire, a nobreza, não querendo ou mesmo ousando estar longe da sede do poder, seguiu o exemplo. Sua presença no vale exuberante e fértil começou a atrair os melhores designers de paisagens. Além de seus muitos châteaux, os mo"&amp;"numentos culturais ilustram em um grau excepcional os ideais do Renascimento e a idade do Iluminismo sobre o pensamento e o design da Europa Ocidental. Muitos dos Châteaux foram projetados para serem construídos no topo das colinas, um exemplo disso é o C"&amp;"hâteau d'Abboise. O único Château a ter sido construído no leito do rio é o Château de Monttsoreau. Muitos dos Châteaux tinham igrejas extremamente detalhadas e caras no local, ou dentro do próprio Château.")</f>
        <v> O Châteaux, numerando mais de trezentos, representa uma nação de construtores que começam com as fortificações necessárias do castelo no século 10 ao esplendor daqueles que construíram meio milênio depois. Quando os reis franceses começaram a construir seu enorme Châteaux no vale de Loire, a nobreza, não querendo ou mesmo ousando estar longe da sede do poder, seguiu o exemplo. Sua presença no vale exuberante e fértil começou a atrair os melhores designers de paisagens. Além de seus muitos châteaux, os monumentos culturais ilustram em um grau excepcional os ideais do Renascimento e a idade do Iluminismo sobre o pensamento e o design da Europa Ocidental. Muitos dos Châteaux foram projetados para serem construídos no topo das colinas, um exemplo disso é o Château d'Abboise. O único Château a ter sido construído no leito do rio é o Château de Monttsoreau. Muitos dos Châteaux tinham igrejas extremamente detalhadas e caras no local, ou dentro do próprio Château.</v>
      </c>
    </row>
    <row r="867" customFormat="false" ht="15.75" hidden="false" customHeight="true" outlineLevel="0" collapsed="false">
      <c r="A867" s="3" t="n">
        <v>864</v>
      </c>
      <c r="B867" s="5" t="s">
        <v>2586</v>
      </c>
      <c r="C867" s="5" t="s">
        <v>2587</v>
      </c>
      <c r="D867" s="5" t="s">
        <v>2588</v>
      </c>
      <c r="E867" s="4" t="str">
        <f aca="false">IFERROR(__xludf.dummyfunction("GOOGLETRANSLATE(C868)"),"Quantos filmes de Halloween Micheal Myers estão lá")</f>
        <v>Quantos filmes de Halloween Micheal Myers estão lá</v>
      </c>
      <c r="F867" s="5" t="str">
        <f aca="false">IFERROR(__xludf.dummyfunction("GOOGLETRANSLATE(D867)")," Ritter e a atriz Elena Satine foram contratados em abril de 2013 e se casaram na véspera de Ano Novo naquele ano. Ele é melhor amigo do companheiro de banda Nick Wheeler desde que se conheceram no ensino médio.")</f>
        <v> Ritter e a atriz Elena Satine foram contratados em abril de 2013 e se casaram na véspera de Ano Novo naquele ano. Ele é melhor amigo do companheiro de banda Nick Wheeler desde que se conheceram no ensino médio.</v>
      </c>
    </row>
    <row r="868" customFormat="false" ht="15.75" hidden="false" customHeight="true" outlineLevel="0" collapsed="false">
      <c r="A868" s="3" t="n">
        <v>865</v>
      </c>
      <c r="B868" s="5" t="s">
        <v>2589</v>
      </c>
      <c r="C868" s="5" t="s">
        <v>2590</v>
      </c>
      <c r="D868" s="5" t="s">
        <v>2591</v>
      </c>
      <c r="E868" s="4" t="str">
        <f aca="false">IFERROR(__xludf.dummyfunction("GOOGLETRANSLATE(C869)"),"Onde foi a última cena de Willy Wonka filmada")</f>
        <v>Onde foi a última cena de Willy Wonka filmada</v>
      </c>
      <c r="F868" s="5" t="str">
        <f aca="false">IFERROR(__xludf.dummyfunction("GOOGLETRANSLATE(D868)")," O Halloween é uma franquia de terror americana que consiste em onze filmes, além de romances, histórias em quadrinhos, mercadorias e um videogame. A franquia se concentra principalmente no assassino em série Michael Myers, que estava comprometido com um "&amp;"sanatório quando criança pelo assassinato de sua irmã, Judith Myers. Quinze anos depois, ele escapa para perseguir e matar o povo da cidade fictícia de Haddonfield, Illinois, enquanto era perseguido por seu ex -psiquiatra, Dr. Sam Loomis. Os assassinatos "&amp;"de Michael ocorrem no feriado do Halloween, no qual todos os filmes acontecem principalmente.")</f>
        <v> O Halloween é uma franquia de terror americana que consiste em onze filmes, além de romances, histórias em quadrinhos, mercadorias e um videogame. A franquia se concentra principalmente no assassino em série Michael Myers, que estava comprometido com um sanatório quando criança pelo assassinato de sua irmã, Judith Myers. Quinze anos depois, ele escapa para perseguir e matar o povo da cidade fictícia de Haddonfield, Illinois, enquanto era perseguido por seu ex -psiquiatra, Dr. Sam Loomis. Os assassinatos de Michael ocorrem no feriado do Halloween, no qual todos os filmes acontecem principalmente.</v>
      </c>
    </row>
    <row r="869" customFormat="false" ht="15.75" hidden="false" customHeight="true" outlineLevel="0" collapsed="false">
      <c r="A869" s="3" t="n">
        <v>866</v>
      </c>
      <c r="B869" s="5" t="s">
        <v>2592</v>
      </c>
      <c r="C869" s="5" t="s">
        <v>2593</v>
      </c>
      <c r="D869" s="5" t="s">
        <v>2594</v>
      </c>
      <c r="E869" s="4" t="str">
        <f aca="false">IFERROR(__xludf.dummyfunction("GOOGLETRANSLATE(C870)"),"quem ganhou o Eurovision duas vezes consecutivo")</f>
        <v>quem ganhou o Eurovision duas vezes consecutivo</v>
      </c>
      <c r="F869" s="5" t="str">
        <f aca="false">IFERROR(__xludf.dummyfunction("GOOGLETRANSLATE(D869)")," A fotografia principal começou em 31 de agosto de 1970 e terminou em 19 de novembro de 1970. O principal local de tiro era de Munique, Baviera, Alemanha Ocidental, porque era significativamente mais barato do que as filmagens nos Estados Unidos e o cenár"&amp;"io era propício à fábrica de Wonka; Stuart também gostou da ambiguidade e não familiaridade da localização. As fotos externas da fábrica foram filmadas no Gasworks de Stadtwerke München (Emmy - Noether - Straße 10); A entrada e os edifícios paralelos aind"&amp;"a existem. O exterior da casa de Charlie Bucket, que foi apenas um conjunto construído para o filme, foi filmado em Quellenstraße em Munique, na Baviera. A escola de Charlie foi filmada em Katholisches Pfarramt St. Sylvester, BiederSteiner Straße 1 em Mun"&amp;"ique. A loja de doces de Bill foi filmada em Lilienstraße, Munique. A sequência de encerramento quando o Wonkavator está voando acima da fábrica é a filmagem de Nördlingen na Baviera.")</f>
        <v> A fotografia principal começou em 31 de agosto de 1970 e terminou em 19 de novembro de 1970. O principal local de tiro era de Munique, Baviera, Alemanha Ocidental, porque era significativamente mais barato do que as filmagens nos Estados Unidos e o cenário era propício à fábrica de Wonka; Stuart também gostou da ambiguidade e não familiaridade da localização. As fotos externas da fábrica foram filmadas no Gasworks de Stadtwerke München (Emmy - Noether - Straße 10); A entrada e os edifícios paralelos ainda existem. O exterior da casa de Charlie Bucket, que foi apenas um conjunto construído para o filme, foi filmado em Quellenstraße em Munique, na Baviera. A escola de Charlie foi filmada em Katholisches Pfarramt St. Sylvester, BiederSteiner Straße 1 em Munique. A loja de doces de Bill foi filmada em Lilienstraße, Munique. A sequência de encerramento quando o Wonkavator está voando acima da fábrica é a filmagem de Nördlingen na Baviera.</v>
      </c>
    </row>
    <row r="870" customFormat="false" ht="15.75" hidden="false" customHeight="true" outlineLevel="0" collapsed="false">
      <c r="A870" s="3" t="n">
        <v>867</v>
      </c>
      <c r="B870" s="5" t="s">
        <v>2595</v>
      </c>
      <c r="C870" s="5" t="s">
        <v>2596</v>
      </c>
      <c r="D870" s="5" t="s">
        <v>2597</v>
      </c>
      <c r="E870" s="4" t="str">
        <f aca="false">IFERROR(__xludf.dummyfunction("GOOGLETRANSLATE(C871)"),"ator que interpreta Joey nos dias de nossas vidas")</f>
        <v>ator que interpreta Joey nos dias de nossas vidas</v>
      </c>
      <c r="F870" s="5" t="str">
        <f aca="false">IFERROR(__xludf.dummyfunction("GOOGLETRANSLATE(D870)")," A Irlanda terminou primeiros sete vezes, mais do que qualquer outro país, a Irlanda também venceu o concurso por três anos consecutivos (1992, 1993, 1994), mais anos consecutivos do que qualquer outro país. Três países venceram duas vezes seguidas, Espan"&amp;"ha (1968 e 1969), Luxemburgo (1972 e 1973) e Israel (1978 e 1979). Juntamente com a vitória da Suíça no primeiro concurso, a Sérvia é o único outro país a vencer com sua entrada de estréia (em 2007), embora a Sérvia tivesse competido antes como parte da I"&amp;"ugoslávia e da Sérvia e Montenegro. Sob o sistema de votação usado entre 1975 e 2015, o vencedor do concurso foi decidido pelo país votante final em onze ocasiões.")</f>
        <v> A Irlanda terminou primeiros sete vezes, mais do que qualquer outro país, a Irlanda também venceu o concurso por três anos consecutivos (1992, 1993, 1994), mais anos consecutivos do que qualquer outro país. Três países venceram duas vezes seguidas, Espanha (1968 e 1969), Luxemburgo (1972 e 1973) e Israel (1978 e 1979). Juntamente com a vitória da Suíça no primeiro concurso, a Sérvia é o único outro país a vencer com sua entrada de estréia (em 2007), embora a Sérvia tivesse competido antes como parte da Iugoslávia e da Sérvia e Montenegro. Sob o sistema de votação usado entre 1975 e 2015, o vencedor do concurso foi decidido pelo país votante final em onze ocasiões.</v>
      </c>
    </row>
    <row r="871" customFormat="false" ht="15.75" hidden="false" customHeight="true" outlineLevel="0" collapsed="false">
      <c r="A871" s="3" t="n">
        <v>868</v>
      </c>
      <c r="B871" s="5" t="s">
        <v>2598</v>
      </c>
      <c r="C871" s="5" t="s">
        <v>2599</v>
      </c>
      <c r="D871" s="5" t="s">
        <v>2600</v>
      </c>
      <c r="E871" s="4" t="str">
        <f aca="false">IFERROR(__xludf.dummyfunction("GOOGLETRANSLATE(C872)"),"quem canta enquanto meu violão chora com Santana")</f>
        <v>quem canta enquanto meu violão chora com Santana</v>
      </c>
      <c r="F871" s="5" t="str">
        <f aca="false">IFERROR(__xludf.dummyfunction("GOOGLETRANSLATE(D871)")," Joey Johnson é um personagem fictício de Days of Our Lives, uma novela americana na rede da NBC, atualmente retratada por James Lasdovic. Introduzido em 2008, Joey foi criado por escritores de chefe Dena Higley e Victor Gialanella como o filho mais novo "&amp;"de Supercouple, Steve `` Patch '' Johnson e Kayla Brady (Stephen Nichols e Mary Beth Evans). O papel foi originado por irmãos Brody e Jonas - que desocupou o papel em 2009 quando o personagem foi escrito. O ator infantil, Jadon Wells, apareceu no papel de"&amp;" Joey de forma recorrente de 2012 a 2014. Em 2015, o personagem tinha rapidamente 16 anos quando Lastovic assumiu o papel. Joey retorna ao pular no ensino médio que sofre de questões de abandono. Mais tarde, é revelado que Joey está secretamente conspiran"&amp;"do com Ava Vitali (Tamara Braun) para orquestrar Patch e a reunião de Kayla. Sem o conhecimento de Joey, Ava é o ex-amante de seu pai e causou um pouco de problemas para Kayla e o resto da família Brady.")</f>
        <v> Joey Johnson é um personagem fictício de Days of Our Lives, uma novela americana na rede da NBC, atualmente retratada por James Lasdovic. Introduzido em 2008, Joey foi criado por escritores de chefe Dena Higley e Victor Gialanella como o filho mais novo de Supercouple, Steve `` Patch '' Johnson e Kayla Brady (Stephen Nichols e Mary Beth Evans). O papel foi originado por irmãos Brody e Jonas - que desocupou o papel em 2009 quando o personagem foi escrito. O ator infantil, Jadon Wells, apareceu no papel de Joey de forma recorrente de 2012 a 2014. Em 2015, o personagem tinha rapidamente 16 anos quando Lastovic assumiu o papel. Joey retorna ao pular no ensino médio que sofre de questões de abandono. Mais tarde, é revelado que Joey está secretamente conspirando com Ava Vitali (Tamara Braun) para orquestrar Patch e a reunião de Kayla. Sem o conhecimento de Joey, Ava é o ex-amante de seu pai e causou um pouco de problemas para Kayla e o resto da família Brady.</v>
      </c>
    </row>
    <row r="872" customFormat="false" ht="15.75" hidden="false" customHeight="true" outlineLevel="0" collapsed="false">
      <c r="A872" s="3" t="n">
        <v>869</v>
      </c>
      <c r="B872" s="5" t="s">
        <v>2601</v>
      </c>
      <c r="C872" s="5" t="s">
        <v>2602</v>
      </c>
      <c r="D872" s="5" t="s">
        <v>2603</v>
      </c>
      <c r="E872" s="4" t="str">
        <f aca="false">IFERROR(__xludf.dummyfunction("GOOGLETRANSLATE(C873)"),"que declarou estado de emergência no Quênia em 1952")</f>
        <v>que declarou estado de emergência no Quênia em 1952</v>
      </c>
      <c r="F872" s="5" t="str">
        <f aca="false">IFERROR(__xludf.dummyfunction("GOOGLETRANSLATE(D872)")," Entre outras versões da capa, a música também foi gravada por guitarristas como Marc Ribot, Phish e Charlie Byrd e Ukulele, de Jake Shimabukuro. Toto fez uma versão de capa para o álbum através do Looking Glass e em uma apresentação ao vivo em Live em Am"&amp;"sterdã. Santana fez uma capa para seu vigésimo álbum Guitar Heaven: The Greatest Guitar Classics de todos os tempos, em 2010, com o cantor Índia Arie e violoncelista Yo - Yo Ma. Lançado como single, ele mapeou o contemporâneo adulto da Billboard. Em 2016,"&amp;" Regina Spektor tocou a música para a trilha sonora do filme Kubo e as duas cordas, acompanhadas por Kevin Kmetz em um Shamisen.")</f>
        <v> Entre outras versões da capa, a música também foi gravada por guitarristas como Marc Ribot, Phish e Charlie Byrd e Ukulele, de Jake Shimabukuro. Toto fez uma versão de capa para o álbum através do Looking Glass e em uma apresentação ao vivo em Live em Amsterdã. Santana fez uma capa para seu vigésimo álbum Guitar Heaven: The Greatest Guitar Classics de todos os tempos, em 2010, com o cantor Índia Arie e violoncelista Yo - Yo Ma. Lançado como single, ele mapeou o contemporâneo adulto da Billboard. Em 2016, Regina Spektor tocou a música para a trilha sonora do filme Kubo e as duas cordas, acompanhadas por Kevin Kmetz em um Shamisen.</v>
      </c>
    </row>
    <row r="873" customFormat="false" ht="15.75" hidden="false" customHeight="true" outlineLevel="0" collapsed="false">
      <c r="A873" s="3" t="n">
        <v>870</v>
      </c>
      <c r="B873" s="5" t="s">
        <v>2604</v>
      </c>
      <c r="C873" s="5" t="s">
        <v>2605</v>
      </c>
      <c r="D873" s="5" t="s">
        <v>2606</v>
      </c>
      <c r="E873" s="4" t="str">
        <f aca="false">IFERROR(__xludf.dummyfunction("GOOGLETRANSLATE(C874)"),"Quantos juízes atualmente servem na Suprema Corte dos EUA")</f>
        <v>Quantos juízes atualmente servem na Suprema Corte dos EUA</v>
      </c>
      <c r="F873" s="5" t="str">
        <f aca="false">IFERROR(__xludf.dummyfunction("GOOGLETRANSLATE(D873)")," Além das operações militares contra os combatentes de Mau Mau nas florestas, a tentativa britânica de derrotar o movimento ocorreu em duas etapas: o primeiro escopo relativamente limitado, ocorreu durante o período em que ainda não aceitaram a seriedade "&amp;"da revolta da revolta ; O segundo veio depois. Durante a primeira etapa, os britânicos tentaram decapitar o movimento declarando um estado de emergência antes de prender 180 supostos líderes de Mau Mau (veja a Operação Jock Scott abaixo) e sujeitando seis"&amp;" deles a um julgamento (The Kapengia Six); A segunda etapa começou a sério em 1954, quando eles empreenderam uma série de grandes iniciativas econômicas, militares e penais.")</f>
        <v> Além das operações militares contra os combatentes de Mau Mau nas florestas, a tentativa britânica de derrotar o movimento ocorreu em duas etapas: o primeiro escopo relativamente limitado, ocorreu durante o período em que ainda não aceitaram a seriedade da revolta da revolta ; O segundo veio depois. Durante a primeira etapa, os britânicos tentaram decapitar o movimento declarando um estado de emergência antes de prender 180 supostos líderes de Mau Mau (veja a Operação Jock Scott abaixo) e sujeitando seis deles a um julgamento (The Kapengia Six); A segunda etapa começou a sério em 1954, quando eles empreenderam uma série de grandes iniciativas econômicas, militares e penais.</v>
      </c>
    </row>
    <row r="874" customFormat="false" ht="15.75" hidden="false" customHeight="true" outlineLevel="0" collapsed="false">
      <c r="A874" s="3" t="n">
        <v>871</v>
      </c>
      <c r="B874" s="5" t="s">
        <v>2607</v>
      </c>
      <c r="C874" s="5" t="s">
        <v>2608</v>
      </c>
      <c r="D874" s="5" t="s">
        <v>2609</v>
      </c>
      <c r="E874" s="4" t="str">
        <f aca="false">IFERROR(__xludf.dummyfunction("GOOGLETRANSLATE(C875)"),"Quando foi construído o Hospital Norfolk e Norwich")</f>
        <v>Quando foi construído o Hospital Norfolk e Norwich</v>
      </c>
      <c r="F874" s="5" t="str">
        <f aca="false">IFERROR(__xludf.dummyfunction("GOOGLETRANSLATE(D874)")," Atualmente, existem nove juízes atuando na Suprema Corte; Listado em ordem de antiguidade, eles são:")</f>
        <v> Atualmente, existem nove juízes atuando na Suprema Corte; Listado em ordem de antiguidade, eles são:</v>
      </c>
    </row>
    <row r="875" customFormat="false" ht="15.75" hidden="false" customHeight="true" outlineLevel="0" collapsed="false">
      <c r="A875" s="3" t="n">
        <v>872</v>
      </c>
      <c r="B875" s="5" t="s">
        <v>2610</v>
      </c>
      <c r="C875" s="5" t="s">
        <v>2611</v>
      </c>
      <c r="D875" s="5" t="s">
        <v>2612</v>
      </c>
      <c r="E875" s="4" t="str">
        <f aca="false">IFERROR(__xludf.dummyfunction("GOOGLETRANSLATE(C876)"),"que elege os membros da Câmara dos Comuns")</f>
        <v>que elege os membros da Câmara dos Comuns</v>
      </c>
      <c r="F875" s="5" t="str">
        <f aca="false">IFERROR(__xludf.dummyfunction("GOOGLETRANSLATE(D875)")," O Hospital Universitário substituiu o antigo Hospital, Norfolk e Norwich, fundado em 1771, e o West Norwich Hospital. O Hospital Universitário de Norfolk e Norwich foi construído sob a Iniciativa Financeira Privada (PFI) e inaugurada no final de 2001: po"&amp;"ssui 1237 leitos agudos e oferece uma ampla gama de serviços de saúde aguda do NHS, além de instalações particulares de pacientes. É um dos maiores hospitais do Reino Unido em termos de capacidade de paciente. O hospital faz parte do Norfolk e da Norwich "&amp;"University Hospitals NHS Foundation Trust.")</f>
        <v> O Hospital Universitário substituiu o antigo Hospital, Norfolk e Norwich, fundado em 1771, e o West Norwich Hospital. O Hospital Universitário de Norfolk e Norwich foi construído sob a Iniciativa Financeira Privada (PFI) e inaugurada no final de 2001: possui 1237 leitos agudos e oferece uma ampla gama de serviços de saúde aguda do NHS, além de instalações particulares de pacientes. É um dos maiores hospitais do Reino Unido em termos de capacidade de paciente. O hospital faz parte do Norfolk e da Norwich University Hospitals NHS Foundation Trust.</v>
      </c>
    </row>
    <row r="876" customFormat="false" ht="15.75" hidden="false" customHeight="true" outlineLevel="0" collapsed="false">
      <c r="A876" s="3" t="n">
        <v>873</v>
      </c>
      <c r="B876" s="5" t="s">
        <v>2613</v>
      </c>
      <c r="C876" s="5" t="s">
        <v>2614</v>
      </c>
      <c r="D876" s="5" t="s">
        <v>2615</v>
      </c>
      <c r="E876" s="4" t="str">
        <f aca="false">IFERROR(__xludf.dummyfunction("GOOGLETRANSLATE(C877)"),"Onde o Boston Celtics joga seus jogos em casa")</f>
        <v>Onde o Boston Celtics joga seus jogos em casa</v>
      </c>
      <c r="F876" s="5" t="str">
        <f aca="false">IFERROR(__xludf.dummyfunction("GOOGLETRANSLATE(D876)")," Um candidato a um círculo eleitoral deve enviar documentos de indicação assinados por dez eleitores registrados desse círculo eleitoral e pagar um depósito de £ 500, que será reembolsado apenas se o candidato vencer pelo menos cinco por cento dos votos. "&amp;"O depósito procura desencorajar candidatos frívolos. Cada distrito eleitoral retorna um membro, usando o Primeiro - o Pós -Sistema Pós -Eleitoral, sob o qual o candidato com uma pluralidade de votos vence. Menores (ou seja, qualquer pessoa com menos de 18"&amp;" anos), membros da Câmara dos Lordes, Prisioneiros e Pessoas Insanas não estão qualificadas para se tornarem membros da Câmara dos Comuns. Para votar, é preciso ser um residente do Reino Unido da Grã -Bretanha e da Irlanda do Norte e um cidadão britânico,"&amp;" ou cidadão de um território britânico no exterior, da República da Irlanda, ou de um membro da Comunidade das Nações. Os cidadãos britânicos que vivem no exterior podem votar por 15 anos depois de se mudarem do Reino Unido. Nenhuma pessoa pode votar em m"&amp;"ais de um círculo eleitoral.")</f>
        <v> Um candidato a um círculo eleitoral deve enviar documentos de indicação assinados por dez eleitores registrados desse círculo eleitoral e pagar um depósito de £ 500, que será reembolsado apenas se o candidato vencer pelo menos cinco por cento dos votos. O depósito procura desencorajar candidatos frívolos. Cada distrito eleitoral retorna um membro, usando o Primeiro - o Pós -Sistema Pós -Eleitoral, sob o qual o candidato com uma pluralidade de votos vence. Menores (ou seja, qualquer pessoa com menos de 18 anos), membros da Câmara dos Lordes, Prisioneiros e Pessoas Insanas não estão qualificadas para se tornarem membros da Câmara dos Comuns. Para votar, é preciso ser um residente do Reino Unido da Grã -Bretanha e da Irlanda do Norte e um cidadão britânico, ou cidadão de um território britânico no exterior, da República da Irlanda, ou de um membro da Comunidade das Nações. Os cidadãos britânicos que vivem no exterior podem votar por 15 anos depois de se mudarem do Reino Unido. Nenhuma pessoa pode votar em mais de um círculo eleitoral.</v>
      </c>
    </row>
    <row r="877" customFormat="false" ht="15.75" hidden="false" customHeight="true" outlineLevel="0" collapsed="false">
      <c r="A877" s="3" t="n">
        <v>874</v>
      </c>
      <c r="B877" s="5" t="s">
        <v>2616</v>
      </c>
      <c r="C877" s="5" t="s">
        <v>2617</v>
      </c>
      <c r="D877" s="5" t="s">
        <v>2618</v>
      </c>
      <c r="E877" s="4" t="str">
        <f aca="false">IFERROR(__xludf.dummyfunction("GOOGLETRANSLATE(C878)"),"O que há de errado com a perna do Dr. House")</f>
        <v>O que há de errado com a perna do Dr. House</v>
      </c>
      <c r="F877" s="5" t="str">
        <f aca="false">IFERROR(__xludf.dummyfunction("GOOGLETRANSLATE(D877)"),"   Boston Celtics 2017 - 18 Boston Celtics Season Conference Divisão Leste Atlantic Fundada em 1946 História Boston Celtics 1946 - Arena Arena TD Garden Localização Boston, Massachusetts Team Colors Green, Black, Gold Presidente Rich Gotham Gerente Geral "&amp;"Danny Ainge Chefe Brad Stevens Propriedade Boston Basketball Partners ( Wyc Grousbeck , CEO and governor )     Affiliation ( s )   Maine Red Claws     Championships   17 ( 1957 , 1959 , 1960 , 1961 , 1962 , 1963 , 1964 , 1965 , 1966 , 1968 , 1969 , 1974 ,"&amp;" 1976 , 1981 , 1984 , 1986 , 2008) Títulos da conferência 21 (1957, 1958, 1959, 1960, 1961, 1962, 1963, 1964, 1965, 1966, 1968, 1969, 1974, 1976, 1981, 1984, 1985, 1986, 1987, 2008, 2010) Divisão Títulos 22 (1972, 1973, 1974, 1975, 1976, 1980, 1981, 1982,"&amp;" 1984, 1985, 1986, 1987, 1988, 1991, 1992, 2005, 2008, 2009, 2010, 2011, 2012, 2017) Números aposentados 21 (00, 1, 2, 3, 6, 10, 14, 15, 16, 17, 18, 19, 21, 22, 23, 24, 25, 31, 32, 33, 35, Loscy) site www.nba. com/Celtics uniformes em casa terceiro")</f>
        <v>   Boston Celtics 2017 - 18 Boston Celtics Season Conference Divisão Leste Atlantic Fundada em 1946 História Boston Celtics 1946 - Arena Arena TD Garden Localização Boston, Massachusetts Team Colors Green, Black, Gold Presidente Rich Gotham Gerente Geral Danny Ainge Chefe Brad Stevens Propriedade Boston Basketball Partners ( Wyc Grousbeck , CEO and governor )     Affiliation ( s )   Maine Red Claws     Championships   17 ( 1957 , 1959 , 1960 , 1961 , 1962 , 1963 , 1964 , 1965 , 1966 , 1968 , 1969 , 1974 , 1976 , 1981 , 1984 , 1986 , 2008) Títulos da conferência 21 (1957, 1958, 1959, 1960, 1961, 1962, 1963, 1964, 1965, 1966, 1968, 1969, 1974, 1976, 1981, 1984, 1985, 1986, 1987, 2008, 2010) Divisão Títulos 22 (1972, 1973, 1974, 1975, 1976, 1980, 1981, 1982, 1984, 1985, 1986, 1987, 1988, 1991, 1992, 2005, 2008, 2009, 2010, 2011, 2012, 2017) Números aposentados 21 (00, 1, 2, 3, 6, 10, 14, 15, 16, 17, 18, 19, 21, 22, 23, 24, 25, 31, 32, 33, 35, Loscy) site www.nba. com/Celtics uniformes em casa terceiro</v>
      </c>
    </row>
    <row r="878" customFormat="false" ht="15.75" hidden="false" customHeight="true" outlineLevel="0" collapsed="false">
      <c r="A878" s="3" t="n">
        <v>875</v>
      </c>
      <c r="B878" s="5" t="s">
        <v>2619</v>
      </c>
      <c r="C878" s="5" t="s">
        <v>2620</v>
      </c>
      <c r="D878" s="5" t="s">
        <v>2621</v>
      </c>
      <c r="E878" s="4" t="str">
        <f aca="false">IFERROR(__xludf.dummyfunction("GOOGLETRANSLATE(C879)"),"Qual é o cenário do querido Evan Hansen")</f>
        <v>Qual é o cenário do querido Evan Hansen</v>
      </c>
      <c r="F878" s="5" t="str">
        <f aca="false">IFERROR(__xludf.dummyfunction("GOOGLETRANSLATE(D878)")," Na série, as abordagens diagnósticas não ortodoxas do personagem, motivos terapêuticos radicais e racionalidade robusta resultaram em muito conflito entre ele e seus colegas. House também é frequentemente retratada como falta de simpatia por seus pacient"&amp;"es, uma prática que lhe gera tempo para resolver enigmas patológicos. O personagem é parcialmente inspirado por Sherlock Holmes. Uma parte do enredo do programa se concentra no uso habitual de Vicodin pela casa para administrar a dor decorrente de um infa"&amp;"rto da perna envolvendo seu músculo quadríceps alguns anos antes, uma lesão que o obriga a andar com uma bengala. Esse vício também é um dos muitos paralelos a Holmes, que era um usuário habitual de cocaína.")</f>
        <v> Na série, as abordagens diagnósticas não ortodoxas do personagem, motivos terapêuticos radicais e racionalidade robusta resultaram em muito conflito entre ele e seus colegas. House também é frequentemente retratada como falta de simpatia por seus pacientes, uma prática que lhe gera tempo para resolver enigmas patológicos. O personagem é parcialmente inspirado por Sherlock Holmes. Uma parte do enredo do programa se concentra no uso habitual de Vicodin pela casa para administrar a dor decorrente de um infarto da perna envolvendo seu músculo quadríceps alguns anos antes, uma lesão que o obriga a andar com uma bengala. Esse vício também é um dos muitos paralelos a Holmes, que era um usuário habitual de cocaína.</v>
      </c>
    </row>
    <row r="879" customFormat="false" ht="15.75" hidden="false" customHeight="true" outlineLevel="0" collapsed="false">
      <c r="A879" s="3" t="n">
        <v>876</v>
      </c>
      <c r="B879" s="5" t="s">
        <v>2622</v>
      </c>
      <c r="C879" s="5" t="s">
        <v>2623</v>
      </c>
      <c r="D879" s="5" t="s">
        <v>2624</v>
      </c>
      <c r="E879" s="4" t="str">
        <f aca="false">IFERROR(__xludf.dummyfunction("GOOGLETRANSLATE(C880)"),"Quando o Bazar de Amrit Patrika começou em Bangalore")</f>
        <v>Quando o Bazar de Amrit Patrika começou em Bangalore</v>
      </c>
      <c r="F879" s="5" t="str">
        <f aca="false">IFERROR(__xludf.dummyfunction("GOOGLETRANSLATE(D879)")," O personagem titular, Evan Hansen, é um ensino médio com uma ansiedade social grave, que inibe sua capacidade de se conectar com outras pessoas e fazer amigos. Após a morte de um de seus colegas de classe, ele fabrica uma mentira que inadvertidamente o a"&amp;"proxima da família do colega de classe, além de permitir que ele ganhasse seu próprio senso de propósito.")</f>
        <v> O personagem titular, Evan Hansen, é um ensino médio com uma ansiedade social grave, que inibe sua capacidade de se conectar com outras pessoas e fazer amigos. Após a morte de um de seus colegas de classe, ele fabrica uma mentira que inadvertidamente o aproxima da família do colega de classe, além de permitir que ele ganhasse seu próprio senso de propósito.</v>
      </c>
    </row>
    <row r="880" customFormat="false" ht="15.75" hidden="false" customHeight="true" outlineLevel="0" collapsed="false">
      <c r="A880" s="3" t="n">
        <v>877</v>
      </c>
      <c r="B880" s="5" t="s">
        <v>2625</v>
      </c>
      <c r="C880" s="5" t="s">
        <v>2626</v>
      </c>
      <c r="D880" s="5" t="s">
        <v>2627</v>
      </c>
      <c r="E880" s="4" t="str">
        <f aca="false">IFERROR(__xludf.dummyfunction("GOOGLETRANSLATE(C881)"),"quem deu o slogan swaraj é o meu direito e eu terei")</f>
        <v>quem deu o slogan swaraj é o meu direito e eu terei</v>
      </c>
      <c r="F880" s="5" t="str">
        <f aca="false">IFERROR(__xludf.dummyfunction("GOOGLETRANSLATE(D880)")," Ele estreou em 20 de fevereiro de 1868. Foi iniciado por Sisir Ghosh e Moti Lal Ghosh, filhos de Hari Naryan Ghosh, um rico comerciante de Magura, no distrito de Jessore durante a presidência de Bengala do Raj britânico (atual em Bangladesh). A família c"&amp;"onstruiu um bazar e o nomeou em homenagem a Amritamoyee, esposa de Hari Naryan Ghosh. Sisir Ghosh e Moti Lal Ghosh começaram a Amrita Bazar Patrika como primeiro semanalmente. Foi editado pela primeira vez por Motilal Ghosh, que não tinha uma educação uni"&amp;"versitária formal. Ele construiu seus leitores como rival de Bengalee, que estava sendo cuidado por Surendranath Banerjee.")</f>
        <v> Ele estreou em 20 de fevereiro de 1868. Foi iniciado por Sisir Ghosh e Moti Lal Ghosh, filhos de Hari Naryan Ghosh, um rico comerciante de Magura, no distrito de Jessore durante a presidência de Bengala do Raj britânico (atual em Bangladesh). A família construiu um bazar e o nomeou em homenagem a Amritamoyee, esposa de Hari Naryan Ghosh. Sisir Ghosh e Moti Lal Ghosh começaram a Amrita Bazar Patrika como primeiro semanalmente. Foi editado pela primeira vez por Motilal Ghosh, que não tinha uma educação universitária formal. Ele construiu seus leitores como rival de Bengalee, que estava sendo cuidado por Surendranath Banerjee.</v>
      </c>
    </row>
    <row r="881" customFormat="false" ht="15.75" hidden="false" customHeight="true" outlineLevel="0" collapsed="false">
      <c r="A881" s="3" t="n">
        <v>878</v>
      </c>
      <c r="B881" s="5" t="s">
        <v>2628</v>
      </c>
      <c r="C881" s="5" t="s">
        <v>2629</v>
      </c>
      <c r="D881" s="5" t="s">
        <v>2630</v>
      </c>
      <c r="E881" s="4" t="str">
        <f aca="false">IFERROR(__xludf.dummyfunction("GOOGLETRANSLATE(C882)"),"Quando a primeira cerimônia do Oscar ocorreu")</f>
        <v>Quando a primeira cerimônia do Oscar ocorreu</v>
      </c>
      <c r="F881" s="5" t="str">
        <f aca="false">IFERROR(__xludf.dummyfunction("GOOGLETRANSLATE(D881)")," Tilak foi um dos primeiros e mais fortes defensores de Swaraj (`` auto -regra ') e um forte radical na consciência indiana. Ele é conhecido por sua citação em Marathi: `` Swarajya é o meu direito de primogenitura e eu a terei! ''. Ele formou uma estreita"&amp;" aliança com muitos líderes do Congresso Nacional da Índia, incluindo Bipin Chandra Pal, Lala Lajpat Rai, Aurobindo Ghose, V.O. Chidambaram Pillai e Muhammad Ali Jinnah.")</f>
        <v> Tilak foi um dos primeiros e mais fortes defensores de Swaraj (`` auto -regra ') e um forte radical na consciência indiana. Ele é conhecido por sua citação em Marathi: `` Swarajya é o meu direito de primogenitura e eu a terei! ''. Ele formou uma estreita aliança com muitos líderes do Congresso Nacional da Índia, incluindo Bipin Chandra Pal, Lala Lajpat Rai, Aurobindo Ghose, V.O. Chidambaram Pillai e Muhammad Ali Jinnah.</v>
      </c>
    </row>
    <row r="882" customFormat="false" ht="15.75" hidden="false" customHeight="true" outlineLevel="0" collapsed="false">
      <c r="A882" s="3" t="n">
        <v>879</v>
      </c>
      <c r="B882" s="5" t="s">
        <v>2631</v>
      </c>
      <c r="C882" s="5" t="s">
        <v>2632</v>
      </c>
      <c r="D882" s="5" t="s">
        <v>2633</v>
      </c>
      <c r="E882" s="4" t="str">
        <f aca="false">IFERROR(__xludf.dummyfunction("GOOGLETRANSLATE(C883)"),"qual é o símbolo para aproximadamente igual a")</f>
        <v>qual é o símbolo para aproximadamente igual a</v>
      </c>
      <c r="F882" s="5" t="str">
        <f aca="false">IFERROR(__xludf.dummyfunction("GOOGLETRANSLATE(D882)")," A Cerimônia da 1ª Academia do Oscar, apresentada pela Academia de Artes e Ciências Cinematográficas (AMPAs), homenageou os melhores filmes de 1927 e 1928 e ocorreu em 16 de maio de 1929 em um jantar particular realizado no Hollywood Roosevelt Hotel em Lo"&amp;"s Angeles, Califórnia. O presidente da AMPAS, Douglas Fairbanks, organizou o show. Os ingressos custam US $ 5 (o que seria de US $ 71 em 2017, considerando a inflação), 270 pessoas participaram do evento e a cerimônia de apresentação durou 15 minutos. Os "&amp;"prêmios foram criados por Louis B. Mayer, fundador da Louis B. Mayer Pictures Corporation (atualmente mesclada no Metro - Goldwyn - Mayer). É a única cerimônia da Academia a não ser transmitida no rádio ou na televisão. A transmissão de rádio foi introduz"&amp;"ida no ano seguinte em 1930.")</f>
        <v> A Cerimônia da 1ª Academia do Oscar, apresentada pela Academia de Artes e Ciências Cinematográficas (AMPAs), homenageou os melhores filmes de 1927 e 1928 e ocorreu em 16 de maio de 1929 em um jantar particular realizado no Hollywood Roosevelt Hotel em Los Angeles, Califórnia. O presidente da AMPAS, Douglas Fairbanks, organizou o show. Os ingressos custam US $ 5 (o que seria de US $ 71 em 2017, considerando a inflação), 270 pessoas participaram do evento e a cerimônia de apresentação durou 15 minutos. Os prêmios foram criados por Louis B. Mayer, fundador da Louis B. Mayer Pictures Corporation (atualmente mesclada no Metro - Goldwyn - Mayer). É a única cerimônia da Academia a não ser transmitida no rádio ou na televisão. A transmissão de rádio foi introduzida no ano seguinte em 1930.</v>
      </c>
    </row>
    <row r="883" customFormat="false" ht="15.75" hidden="false" customHeight="true" outlineLevel="0" collapsed="false">
      <c r="A883" s="3" t="n">
        <v>880</v>
      </c>
      <c r="B883" s="5" t="s">
        <v>2634</v>
      </c>
      <c r="C883" s="5" t="s">
        <v>2635</v>
      </c>
      <c r="D883" s="5" t="s">
        <v>2636</v>
      </c>
      <c r="E883" s="4" t="str">
        <f aca="false">IFERROR(__xludf.dummyfunction("GOOGLETRANSLATE(C884)"),"Quando os Steelers ganharam pela última vez um superbowl")</f>
        <v>Quando os Steelers ganharam pela última vez um superbowl</v>
      </c>
      <c r="F883" s="5" t="str">
        <f aca="false">IFERROR(__xludf.dummyfunction("GOOGLETRANSLATE(D883)"),"  Leia como categoria = = (\ displayStyle =) A igualdade é igual a; é igual a todos os lugares x = y (\ displayStyle x = y) significa x (\ displayStyle x) e y (\ displaystyle y) representam a mesma coisa ou valor. 2 = 2 (\ displayStyle 2 = 2) 1 + 1 = 2 (\"&amp;" displaystyle 1 + 1 = 2) 36 - 5 = 31 (\ displaystyle 36 - 5 = 31) ≠ ≠ (\ displaystyle \ neq) \ ne desigualdade é não igual a; Não é igual a todos os lugares x ≠ y (\ displaystyle x \ neq y) significa que x (\ displayStyle x) e y (\ displayStyle y) não rep"&amp;"resentam a mesma coisa ou valor. (Os formulários! =, / = Ou são geralmente usados ​​em linguagens de programação em que a facilidade de digitar e usar o texto ASCII é preferida.) 2 + 2 ≠ 5 (\ DisplayStyle 2 + 2 \ neq 5) 36 - 5 ≠ 30 (\ DisplayStyle 36 - 5 "&amp;"\ neq 30) ≈ ≈ (\ displayStyle \ aprox) \ aproximadamente aproximadamente igual é aproximadamente igual a todos os lugares x ≈ y significa que x é aproximadamente igual a y. Isso também pode ser escrito ≃, ≅, ~, ♎ (símbolo de Libra) ou ≒. π ≈ 3.14159 O iso"&amp;"morfismo é isomórfico para a teoria do grupo g ≈ h significa que o grupo G é isomórfico (estruturalmente idêntico) ao grupo H. (≅ Também pode ser usado para isomórfico, conforme descrito abaixo.) Q / C ≈ V ~ ∼ (\ DisplayStyle \ SIM) \ SIM A distribuição d"&amp;"e probabilidade tem estatísticas de distribuição x ~ d, significa que a variável aleatória x tem a distribuição de probabilidade d. X ~ n (0, 1), a equivalência padrão da linha de distribuição normal é equivalente à linha à teoria da matriz A ~ B signific"&amp;"a que B pode ser gerado usando uma série de operações de linha elementar em A (1 2 2 4) ∼ (1 2 2 0 0) (\ DisplayStyle (\ Begin (BMatrix) 1 &amp; 2 \ \ 2 &amp; 4 \ \ \ end (BMatrix)) \ Sim (\ BEGIN (BMATRIX) 1 &amp; 2 \ \ 0 &amp; 0 \ \ \ end (Bmatrix))) semelhante; mal se"&amp;" aproxima; está na ordem da teoria da aproximação, significa que as quantidades M e N têm a mesma ordem de magnitude ou tamanho geral. (Observe que ~ é usado para uma aproximação que é ruim; caso contrário, use ≈.) 2 ~ 5 8 × 9 ~ 100, mas π ≈ 10 similarida"&amp;"de é semelhante à geometria △ abc △ △ def significa que o triângulo ABC é semelhante (tem o mesmo forma) triângulo def. Assintoticamente equivalente é assintoticamente equivalente à análise assintótica f ~ g significa lim n → ∞ f (n) g (n) = 1 (\ displays"&amp;"tyle \ lim _ (n \ a \ infty) (\ frac (f (n)) (g (g) (n))) = 1). x ~ x + 1 A relação de equivalência está na mesma classe de equivalência em todos os lugares a ~ b significa b ∈ (a) (\ displaystyle b \ in (a)) (e equivalentemente a ∈ (b) (\ displaystyle a "&amp;"\ in (b) )). 1 ~ 5 mod 4 = :: = ≡: ⇔ ≜ ≝ ≐ =: (\ displayStyle =:): = (\ displayStyle: =) ≡ (\ displaystyle \ equiv) \ equiv: ⇔ (\ displaystyle: \ leftrigharrow): \ LefTrighTARROW ≜ (\ displayStyle \ triângleo) \ Triangleq = d e f (\ DisplayStyle (\ Overse"&amp;"t (\ UnderSet (\ Mathrm (def)) () (=))) \ Overset (\ subsset (\ mathrm (def)) () (=)) \ )) (=) ≐ (\ displayStyle \ doteq) \ DOTEQ A definição é definida como; é igual por definição a todos os lugares x: = y, y =: x ou x ≡ y significa que x é definido como"&amp;" outro nome para y, sob certas suposições tomadas no contexto. (Alguns escritores usam ≡ para significar congruência). P ⇔ q significa que P é definido como logicamente equivalente a q. cosh ⁡ x: = e x + e - x 2 (\ displaystyle \ cosh x: = (\ frac (e ^ (x"&amp;") + e ^ ( - x)) (2))) (a, b): = a ⋅ B-B ⋅ A (\ DisplayStyle (A, B): = A \ CDOT B-B \ CDOT A) ≅ ≅ (\ DisplayStyle \ Cong) \ Cong congruência é congruente à geometria △ abc ≅ def significa tem as mesmas medidas que) Triangle def. O isomórfico é isomórfico a"&amp;" abstrato de álgebra g ≅ h significa que o grupo G é isomórfico (estruturalmente idêntico) ao grupo H. (≈ também pode ser usado para isomórfico, como descrito acima.) V ≅ C × C ≡ ≡ (\ displaystyle \ equiv) \ Relacionamento de congruência equiv ... é congr"&amp;"uente a ... módulo ... aritmética modular a ≡ b ( mod n) significa que a - b é divisível por n 5 ≡ 2 (mod 3) ⇔ ↔ ⇔ (\ displaystyle \ leftrightarrow) \ leftRightarrow ⟺ (\ displaystyle \ iff) \ iff ↔ (\ displaystyle \ leftligharrow) \ leftrightrow e soment"&amp;"e se; A lógica proposicional IFF A ⇔ B significa que A é verdadeiro se B for verdadeiro e A for falso se B for falso. x + 5 = y + 2 ⇔ x + 3 = y: = =:: = (\ displayStyle: =) =: (\ displayStyle =:) A atribuição é definida como em todos os lugares a: = b sig"&amp;"nifica que a está definido como ter o valor b. Let A: = 3, então ... F (x): = X + 3 Símbolos que apontam para a esquerda ou direita (editar) Símbolo no símbolo HTML em Tex")</f>
        <v>  Leia como categoria = = (\ displayStyle =) A igualdade é igual a; é igual a todos os lugares x = y (\ displayStyle x = y) significa x (\ displayStyle x) e y (\ displaystyle y) representam a mesma coisa ou valor. 2 = 2 (\ displayStyle 2 = 2) 1 + 1 = 2 (\ displaystyle 1 + 1 = 2) 36 - 5 = 31 (\ displaystyle 36 - 5 = 31) ≠ ≠ (\ displaystyle \ neq) \ ne desigualdade é não igual a; Não é igual a todos os lugares x ≠ y (\ displaystyle x \ neq y) significa que x (\ displayStyle x) e y (\ displayStyle y) não representam a mesma coisa ou valor. (Os formulários! =, / = Ou são geralmente usados ​​em linguagens de programação em que a facilidade de digitar e usar o texto ASCII é preferida.) 2 + 2 ≠ 5 (\ DisplayStyle 2 + 2 \ neq 5) 36 - 5 ≠ 30 (\ DisplayStyle 36 - 5 \ neq 30) ≈ ≈ (\ displayStyle \ aprox) \ aproximadamente aproximadamente igual é aproximadamente igual a todos os lugares x ≈ y significa que x é aproximadamente igual a y. Isso também pode ser escrito ≃, ≅, ~, ♎ (símbolo de Libra) ou ≒. π ≈ 3.14159 O isomorfismo é isomórfico para a teoria do grupo g ≈ h significa que o grupo G é isomórfico (estruturalmente idêntico) ao grupo H. (≅ Também pode ser usado para isomórfico, conforme descrito abaixo.) Q / C ≈ V ~ ∼ (\ DisplayStyle \ SIM) \ SIM A distribuição de probabilidade tem estatísticas de distribuição x ~ d, significa que a variável aleatória x tem a distribuição de probabilidade d. X ~ n (0, 1), a equivalência padrão da linha de distribuição normal é equivalente à linha à teoria da matriz A ~ B significa que B pode ser gerado usando uma série de operações de linha elementar em A (1 2 2 4) ∼ (1 2 2 0 0) (\ DisplayStyle (\ Begin (BMatrix) 1 &amp; 2 \ \ 2 &amp; 4 \ \ \ end (BMatrix)) \ Sim (\ BEGIN (BMATRIX) 1 &amp; 2 \ \ 0 &amp; 0 \ \ \ end (Bmatrix))) semelhante; mal se aproxima; está na ordem da teoria da aproximação, significa que as quantidades M e N têm a mesma ordem de magnitude ou tamanho geral. (Observe que ~ é usado para uma aproximação que é ruim; caso contrário, use ≈.) 2 ~ 5 8 × 9 ~ 100, mas π ≈ 10 similaridade é semelhante à geometria △ abc △ △ def significa que o triângulo ABC é semelhante (tem o mesmo forma) triângulo def. Assintoticamente equivalente é assintoticamente equivalente à análise assintótica f ~ g significa lim n → ∞ f (n) g (n) = 1 (\ displaystyle \ lim _ (n \ a \ infty) (\ frac (f (n)) (g (g) (n))) = 1). x ~ x + 1 A relação de equivalência está na mesma classe de equivalência em todos os lugares a ~ b significa b ∈ (a) (\ displaystyle b \ in (a)) (e equivalentemente a ∈ (b) (\ displaystyle a \ in (b) )). 1 ~ 5 mod 4 = :: = ≡: ⇔ ≜ ≝ ≐ =: (\ displayStyle =:): = (\ displayStyle: =) ≡ (\ displaystyle \ equiv) \ equiv: ⇔ (\ displaystyle: \ leftrigharrow): \ LefTrighTARROW ≜ (\ displayStyle \ triângleo) \ Triangleq = d e f (\ DisplayStyle (\ Overset (\ UnderSet (\ Mathrm (def)) () (=))) \ Overset (\ subsset (\ mathrm (def)) () (=)) \ )) (=) ≐ (\ displayStyle \ doteq) \ DOTEQ A definição é definida como; é igual por definição a todos os lugares x: = y, y =: x ou x ≡ y significa que x é definido como outro nome para y, sob certas suposições tomadas no contexto. (Alguns escritores usam ≡ para significar congruência). P ⇔ q significa que P é definido como logicamente equivalente a q. cosh ⁡ x: = e x + e - x 2 (\ displaystyle \ cosh x: = (\ frac (e ^ (x) + e ^ ( - x)) (2))) (a, b): = a ⋅ B-B ⋅ A (\ DisplayStyle (A, B): = A \ CDOT B-B \ CDOT A) ≅ ≅ (\ DisplayStyle \ Cong) \ Cong congruência é congruente à geometria △ abc ≅ def significa tem as mesmas medidas que) Triangle def. O isomórfico é isomórfico a abstrato de álgebra g ≅ h significa que o grupo G é isomórfico (estruturalmente idêntico) ao grupo H. (≈ também pode ser usado para isomórfico, como descrito acima.) V ≅ C × C ≡ ≡ (\ displaystyle \ equiv) \ Relacionamento de congruência equiv ... é congruente a ... módulo ... aritmética modular a ≡ b ( mod n) significa que a - b é divisível por n 5 ≡ 2 (mod 3) ⇔ ↔ ⇔ (\ displaystyle \ leftrightarrow) \ leftRightarrow ⟺ (\ displaystyle \ iff) \ iff ↔ (\ displaystyle \ leftligharrow) \ leftrightrow e somente se; A lógica proposicional IFF A ⇔ B significa que A é verdadeiro se B for verdadeiro e A for falso se B for falso. x + 5 = y + 2 ⇔ x + 3 = y: = =:: = (\ displayStyle: =) =: (\ displayStyle =:) A atribuição é definida como em todos os lugares a: = b significa que a está definido como ter o valor b. Let A: = 3, então ... F (x): = X + 3 Símbolos que apontam para a esquerda ou direita (editar) Símbolo no símbolo HTML em Tex</v>
      </c>
    </row>
    <row r="884" customFormat="false" ht="15.75" hidden="false" customHeight="true" outlineLevel="0" collapsed="false">
      <c r="A884" s="3" t="n">
        <v>881</v>
      </c>
      <c r="B884" s="5" t="s">
        <v>2637</v>
      </c>
      <c r="C884" s="5" t="s">
        <v>2638</v>
      </c>
      <c r="D884" s="5" t="s">
        <v>2639</v>
      </c>
      <c r="E884" s="4" t="str">
        <f aca="false">IFERROR(__xludf.dummyfunction("GOOGLETRANSLATE(C885)"),"Quem canta a versão havaiana de Over the Rainbow")</f>
        <v>Quem canta a versão havaiana de Over the Rainbow</v>
      </c>
      <c r="F884" s="5" t="str">
        <f aca="false">IFERROR(__xludf.dummyfunction("GOOGLETRANSLATE(D884)"),"  Super Bowl Championships (6) 1974 (ix), 1975 (x), 1978 (xiii), 1979 (xiv), 2005 (xl), 2008 (xliii)")</f>
        <v>  Super Bowl Championships (6) 1974 (ix), 1975 (x), 1978 (xiii), 1979 (xiv), 2005 (xl), 2008 (xliii)</v>
      </c>
    </row>
    <row r="885" customFormat="false" ht="15.75" hidden="false" customHeight="true" outlineLevel="0" collapsed="false">
      <c r="A885" s="3" t="n">
        <v>882</v>
      </c>
      <c r="B885" s="5" t="s">
        <v>2640</v>
      </c>
      <c r="C885" s="5" t="s">
        <v>2641</v>
      </c>
      <c r="D885" s="5" t="s">
        <v>2642</v>
      </c>
      <c r="E885" s="4" t="str">
        <f aca="false">IFERROR(__xludf.dummyfunction("GOOGLETRANSLATE(C886)"),"Faz frio na Austrália no inverno")</f>
        <v>Faz frio na Austrália no inverno</v>
      </c>
      <c r="F885" s="5" t="str">
        <f aca="false">IFERROR(__xludf.dummyfunction("GOOGLETRANSLATE(D885)")," Israel kaʻanoʻi kamakawiwoʻole (pronúncia havaiana: (kəˌmɐkəˌvivoˈʔole), tradução: `` The Fearless Eyed ''; 20 de maio de 1959 - 26 de junho de 1997), também chamado Braddah iz (irmão IZ), era um musiciano nativo de Hawaiian, Musician, Ativista da sobera"&amp;"nia havaiana.")</f>
        <v> Israel kaʻanoʻi kamakawiwoʻole (pronúncia havaiana: (kəˌmɐkəˌvivoˈʔole), tradução: `` The Fearless Eyed ''; 20 de maio de 1959 - 26 de junho de 1997), também chamado Braddah iz (irmão IZ), era um musiciano nativo de Hawaiian, Musician, Ativista da soberania havaiana.</v>
      </c>
    </row>
    <row r="886" customFormat="false" ht="15.75" hidden="false" customHeight="true" outlineLevel="0" collapsed="false">
      <c r="A886" s="3" t="n">
        <v>883</v>
      </c>
      <c r="B886" s="5" t="s">
        <v>2643</v>
      </c>
      <c r="C886" s="5" t="s">
        <v>2644</v>
      </c>
      <c r="D886" s="5" t="s">
        <v>2645</v>
      </c>
      <c r="E886" s="4" t="str">
        <f aca="false">IFERROR(__xludf.dummyfunction("GOOGLETRANSLATE(C887)"),"Qual é o filme depois dos Últimos Jedi")</f>
        <v>Qual é o filme depois dos Últimos Jedi</v>
      </c>
      <c r="F886" s="5" t="str">
        <f aca="false">IFERROR(__xludf.dummyfunction("GOOGLETRANSLATE(D886)")," A zona de savana tropical do norte da Austrália é quente a quente durante todo o ano. Os verões estão quentes na maioria do país, com temperaturas máximas médias de janeiro superior a 30 ° C na maioria das áreas do continente, exceto aquelas em altitudes"&amp;" altas. Os invernos são quentes no norte e frios no sul, com geadas noturnas comuns em áreas interiores ao sul do tropical de Capricórnio. Somente nas áreas altamente elevadas as temperaturas de inverno se aproximam das encontradas em grande parte da Euro"&amp;"pa ou América do Norte, especialmente as partes do sul.")</f>
        <v> A zona de savana tropical do norte da Austrália é quente a quente durante todo o ano. Os verões estão quentes na maioria do país, com temperaturas máximas médias de janeiro superior a 30 ° C na maioria das áreas do continente, exceto aquelas em altitudes altas. Os invernos são quentes no norte e frios no sul, com geadas noturnas comuns em áreas interiores ao sul do tropical de Capricórnio. Somente nas áreas altamente elevadas as temperaturas de inverno se aproximam das encontradas em grande parte da Europa ou América do Norte, especialmente as partes do sul.</v>
      </c>
    </row>
    <row r="887" customFormat="false" ht="15.75" hidden="false" customHeight="true" outlineLevel="0" collapsed="false">
      <c r="A887" s="3" t="n">
        <v>884</v>
      </c>
      <c r="B887" s="5" t="s">
        <v>2646</v>
      </c>
      <c r="C887" s="5" t="s">
        <v>2647</v>
      </c>
      <c r="D887" s="5" t="s">
        <v>2648</v>
      </c>
      <c r="E887" s="4" t="str">
        <f aca="false">IFERROR(__xludf.dummyfunction("GOOGLETRANSLATE(C888)"),"Quando o Bannerlord de montagem e lâmina será liberado")</f>
        <v>Quando o Bannerlord de montagem e lâmina será liberado</v>
      </c>
      <c r="F887" s="5" t="str">
        <f aca="false">IFERROR(__xludf.dummyfunction("GOOGLETRANSLATE(D887)")," O último Jedi teve sua estréia mundial em Los Angeles em 9 de dezembro de 2017 e foi lançada nos Estados Unidos em 15 de dezembro de 2017. Ele arrecadou mais de US $ 1,3 bilhão em todo o mundo, tornando -se o filme mais alto - de bilheteria de 2017, o sé"&amp;"timo - mais alto - sempre bordado no filme na América do Norte e no nono - o mais alto filme de todos os tempos durante sua corrida teatral. É também o segundo filme de maior bilheteria da franquia de Star Wars e faturou um lucro líquido de mais de US $ 4"&amp;"17 milhões. Ele recebeu críticas positivas dos críticos, que elogiaram seu elenco, efeitos visuais, pontuação musical, sequências de ação e peso emocional. O filme recebeu quatro indicações no 90º Oscar, incluindo a melhor pontuação original e os melhores"&amp;" efeitos visuais, além de duas indicações no 71º British Academy Film Awards. Uma sequência, provisoriamente intitulada Star Wars: Episódio IX, está programada para lançamento em 20 de dezembro de 2019.")</f>
        <v> O último Jedi teve sua estréia mundial em Los Angeles em 9 de dezembro de 2017 e foi lançada nos Estados Unidos em 15 de dezembro de 2017. Ele arrecadou mais de US $ 1,3 bilhão em todo o mundo, tornando -se o filme mais alto - de bilheteria de 2017, o sétimo - mais alto - sempre bordado no filme na América do Norte e no nono - o mais alto filme de todos os tempos durante sua corrida teatral. É também o segundo filme de maior bilheteria da franquia de Star Wars e faturou um lucro líquido de mais de US $ 417 milhões. Ele recebeu críticas positivas dos críticos, que elogiaram seu elenco, efeitos visuais, pontuação musical, sequências de ação e peso emocional. O filme recebeu quatro indicações no 90º Oscar, incluindo a melhor pontuação original e os melhores efeitos visuais, além de duas indicações no 71º British Academy Film Awards. Uma sequência, provisoriamente intitulada Star Wars: Episódio IX, está programada para lançamento em 20 de dezembro de 2019.</v>
      </c>
    </row>
    <row r="888" customFormat="false" ht="15.75" hidden="false" customHeight="true" outlineLevel="0" collapsed="false">
      <c r="A888" s="3" t="n">
        <v>885</v>
      </c>
      <c r="B888" s="5" t="s">
        <v>2649</v>
      </c>
      <c r="C888" s="5" t="s">
        <v>2650</v>
      </c>
      <c r="D888" s="5" t="s">
        <v>2651</v>
      </c>
      <c r="E888" s="4" t="str">
        <f aca="false">IFERROR(__xludf.dummyfunction("GOOGLETRANSLATE(C889)"),"que é creditado com a primeira lista de todos os 27 da lista atual de textos canônicos do Novo Testamento")</f>
        <v>que é creditado com a primeira lista de todos os 27 da lista atual de textos canônicos do Novo Testamento</v>
      </c>
      <c r="F888" s="5" t="str">
        <f aca="false">IFERROR(__xludf.dummyfunction("GOOGLETRANSLATE(D888)")," Mount &amp; Blade II: BannerLord é um próximo papel de ação medieval - jogando jogo desenvolvido pela Taleworlds Entertainment. O jogo foi anunciado em 2012. É um prequel para o jogo de 2010 Mount &amp; Blade: Warband. O jogo está provisoriamente programado para"&amp;" ser lançado em 2017 para o Microsoft Windows.")</f>
        <v> Mount &amp; Blade II: BannerLord é um próximo papel de ação medieval - jogando jogo desenvolvido pela Taleworlds Entertainment. O jogo foi anunciado em 2012. É um prequel para o jogo de 2010 Mount &amp; Blade: Warband. O jogo está provisoriamente programado para ser lançado em 2017 para o Microsoft Windows.</v>
      </c>
    </row>
    <row r="889" customFormat="false" ht="15.75" hidden="false" customHeight="true" outlineLevel="0" collapsed="false">
      <c r="A889" s="3" t="n">
        <v>886</v>
      </c>
      <c r="B889" s="5" t="s">
        <v>2652</v>
      </c>
      <c r="C889" s="5" t="s">
        <v>2653</v>
      </c>
      <c r="D889" s="5" t="s">
        <v>2654</v>
      </c>
      <c r="E889" s="4" t="str">
        <f aca="false">IFERROR(__xludf.dummyfunction("GOOGLETRANSLATE(C890)"),"De onde veio o termo manufatura enxuta")</f>
        <v>De onde veio o termo manufatura enxuta</v>
      </c>
      <c r="F889" s="5" t="str">
        <f aca="false">IFERROR(__xludf.dummyfunction("GOOGLETRANSLATE(D889)")," Em sua carta de Páscoa de 367, Atanásio, bispo de Alexandria, deu uma lista exatamente dos mesmos livros que o que se tornaria o 27 - livro de Canon, e ele usou a palavra `` canonizada '' (Kanonizomena) em relação a eles.")</f>
        <v> Em sua carta de Páscoa de 367, Atanásio, bispo de Alexandria, deu uma lista exatamente dos mesmos livros que o que se tornaria o 27 - livro de Canon, e ele usou a palavra `` canonizada '' (Kanonizomena) em relação a eles.</v>
      </c>
    </row>
    <row r="890" customFormat="false" ht="15.75" hidden="false" customHeight="true" outlineLevel="0" collapsed="false">
      <c r="A890" s="3" t="n">
        <v>887</v>
      </c>
      <c r="B890" s="5" t="s">
        <v>2655</v>
      </c>
      <c r="C890" s="5" t="s">
        <v>2656</v>
      </c>
      <c r="D890" s="5" t="s">
        <v>2657</v>
      </c>
      <c r="E890" s="4" t="str">
        <f aca="false">IFERROR(__xludf.dummyfunction("GOOGLETRANSLATE(C891)"),"Quando foi a última vez que a Inglaterra chegou a uma semifinal da Copa do Mundo")</f>
        <v>Quando foi a última vez que a Inglaterra chegou a uma semifinal da Copa do Mundo</v>
      </c>
      <c r="F890" s="5" t="str">
        <f aca="false">IFERROR(__xludf.dummyfunction("GOOGLETRANSLATE(D890)")," Os princípios enxutos são derivados da indústria de manufatura japonesa. O termo foi cunhado pela primeira vez por John Krafcik em seu artigo de 1988, `` Triumph of the Lean Production System '', com base na tese de seu mestre na Escola de Administração "&amp;"do MIT Sloan. A Krafcik era engenheiro de qualidade na joint venture Toyota - GM Nummi na Califórnia antes de ingressar no MIT para estudos de MBA. A pesquisa de Krafcik foi continuada pelo Programa Internacional de Veículos Motorianos (IMVP) do MIT, que "&amp;"produziu o melhor livro internacional de vendas, co -autor de James P. Womack, Daniel Jones e Daniel Roos chamou a máquina que mudou o mundo. Um relato histórico completo do IMVP e como o termo `` lean '' foi cunhado é dado por Holweg (2007).")</f>
        <v> Os princípios enxutos são derivados da indústria de manufatura japonesa. O termo foi cunhado pela primeira vez por John Krafcik em seu artigo de 1988, `` Triumph of the Lean Production System '', com base na tese de seu mestre na Escola de Administração do MIT Sloan. A Krafcik era engenheiro de qualidade na joint venture Toyota - GM Nummi na Califórnia antes de ingressar no MIT para estudos de MBA. A pesquisa de Krafcik foi continuada pelo Programa Internacional de Veículos Motorianos (IMVP) do MIT, que produziu o melhor livro internacional de vendas, co -autor de James P. Womack, Daniel Jones e Daniel Roos chamou a máquina que mudou o mundo. Um relato histórico completo do IMVP e como o termo `` lean '' foi cunhado é dado por Holweg (2007).</v>
      </c>
    </row>
    <row r="891" customFormat="false" ht="15.75" hidden="false" customHeight="true" outlineLevel="0" collapsed="false">
      <c r="A891" s="3" t="n">
        <v>888</v>
      </c>
      <c r="B891" s="5" t="s">
        <v>2658</v>
      </c>
      <c r="C891" s="5" t="s">
        <v>2659</v>
      </c>
      <c r="D891" s="5" t="s">
        <v>322</v>
      </c>
      <c r="E891" s="4" t="str">
        <f aca="false">IFERROR(__xludf.dummyfunction("GOOGLETRANSLATE(C892)"),"o que significa ho ho feliz natal")</f>
        <v>o que significa ho ho feliz natal</v>
      </c>
      <c r="F891" s="5" t="str">
        <f aca="false">IFERROR(__xludf.dummyfunction("GOOGLETRANSLATE(D891)"),"   Posição durante todo o ano GP D * GF GA GD 1930 Não é um membro da FIFA 1934 1938 1950 Etapa do grupo 8th 0 0 1954 Quarter - Finals 7th 8 8 0 1958 Etapa do grupo 11th 0 5 - 1 1962 Quarter - Final 6 5 0 11 8 1970 Quarter - Finals 8º 0 0 Não qualificou 1"&amp;"978 1982 Etapa do segundo grupo 6th 5 0 6 5 1986 Quarter - final 8º 5 7 7 1990 Semi -finais 4th 7 8 6 1994 não qualificou 1998 rodada de 16 9th 7 2002 Quarter - Finals 6th 5 6 2006 Quarter - final 7th 5 0 6 Rodada de 16 13th 5 - 2 2014 Etapa do grupo 26th"&amp;" 0 - 2 2018 Semi -finais 4º 7 12 8 2022 TBD 2026 Total 15/11 1 Título 69 29 21 19 91 91 64 27")</f>
        <v>   Posição durante todo o ano GP D * GF GA GD 1930 Não é um membro da FIFA 1934 1938 1950 Etapa do grupo 8th 0 0 1954 Quarter - Finals 7th 8 8 0 1958 Etapa do grupo 11th 0 5 - 1 1962 Quarter - Final 6 5 0 11 8 1970 Quarter - Finals 8º 0 0 Não qualificou 1978 1982 Etapa do segundo grupo 6th 5 0 6 5 1986 Quarter - final 8º 5 7 7 1990 Semi -finais 4th 7 8 6 1994 não qualificou 1998 rodada de 16 9th 7 2002 Quarter - Finals 6th 5 6 2006 Quarter - final 7th 5 0 6 Rodada de 16 13th 5 - 2 2014 Etapa do grupo 26th 0 - 2 2018 Semi -finais 4º 7 12 8 2022 TBD 2026 Total 15/11 1 Título 69 29 21 19 91 91 64 27</v>
      </c>
    </row>
    <row r="892" customFormat="false" ht="15.75" hidden="false" customHeight="true" outlineLevel="0" collapsed="false">
      <c r="A892" s="3" t="n">
        <v>889</v>
      </c>
      <c r="B892" s="5" t="s">
        <v>2660</v>
      </c>
      <c r="C892" s="5" t="s">
        <v>2661</v>
      </c>
      <c r="D892" s="5" t="s">
        <v>2662</v>
      </c>
      <c r="E892" s="4" t="str">
        <f aca="false">IFERROR(__xludf.dummyfunction("GOOGLETRANSLATE(C893)"),"Quem está abrindo para Red Hot Chili Peppers Hamilton")</f>
        <v>Quem está abrindo para Red Hot Chili Peppers Hamilton</v>
      </c>
      <c r="F892" s="5" t="str">
        <f aca="false">IFERROR(__xludf.dummyfunction("GOOGLETRANSLATE(D892)")," Ho Ho Ho é a maneira como muitos idiomas escrevem como o Papai Noel ri. `` Ho, ho, ho! Feliz Natal ! “É a versão textual de um tipo particular de risada ou risada profunda, mais associada hoje ao Papai Noel e ao Pai Natal.")</f>
        <v> Ho Ho Ho é a maneira como muitos idiomas escrevem como o Papai Noel ri. `` Ho, ho, ho! Feliz Natal ! “É a versão textual de um tipo particular de risada ou risada profunda, mais associada hoje ao Papai Noel e ao Pai Natal.</v>
      </c>
    </row>
    <row r="893" customFormat="false" ht="15.75" hidden="false" customHeight="true" outlineLevel="0" collapsed="false">
      <c r="A893" s="3" t="n">
        <v>890</v>
      </c>
      <c r="B893" s="5" t="s">
        <v>2663</v>
      </c>
      <c r="C893" s="5" t="s">
        <v>2664</v>
      </c>
      <c r="D893" s="5" t="s">
        <v>2665</v>
      </c>
      <c r="E893" s="4" t="str">
        <f aca="false">IFERROR(__xludf.dummyfunction("GOOGLETRANSLATE(C894)"),"quem eram os atores que tocaram os teletubbies")</f>
        <v>quem eram os atores que tocaram os teletubbies</v>
      </c>
      <c r="F893" s="5" t="str">
        <f aca="false">IFERROR(__xludf.dummyfunction("GOOGLETRANSLATE(D893)")," Lista de shows, data de exibição, cidade, país, local, ato de abertura, ingressos vendidos, quantidade de ingressos disponíveis e receita bruta Data da receita do país Country Local Lei Receita de participação A quente - UP SHOWS - América do Norte 5 de "&amp;"fevereiro de 2016 Los Angeles Estados Unidos Sinta o benefício da Berna N / A N / A N / A 6 de fevereiro de 2016 San Francisco Directv Super Saturday Night 13 de abril de 2016 Instituto de Los Angeles Parker para Gala de Imunoterapia para Câncer, 24 de ab"&amp;"ril de 2016 Ferrell &amp; Chad Smith Comedy de benefício quente + Music Show &amp; Quinceañera Summer Festival Tour - Europa, América do Norte e Ásia 22 de maio de 2016 Columbus Estados Unidos Rock na faixa N / A N / A N / A 26 de maio de 2016 Burbank iHeartRadio"&amp;" Teatro 29 de maio de 2016 Napa Bottlerock Napa Valley 4 de junho de 2016 MENDIG ALEMANHA ROCK AM RING 5 DE JUNHO DE 2016 FESTIVO DE FUNHERMERG ROCK IM Park de 8 de junho de 2016 Festival de Interlaken Switzerland Greenfield 10 de junho de 2016 Landgraaf "&amp;"Holanda Pinkpop 12 de junho de 2016 Nickelsdorf Austria Novarock , 2016 Paris France Le Grand Journal / RTL2 29 de junho de 2016 Roskilde Dinamarca Roskilde Festival 30 de junho de 2016 Gdynia Polndo Open'er Festival 2 de julho de 2016 Werchter Belgium Ro"&amp;"ck Werchter 6 de julho de 2016 Kiev Ukraine U-Park Festival de julho de 2016 Moscou Russia Park Live Festival 10 de julho de 2016 Perthshire Scotland T No parque 15 de julho de 2016 Ottawa Canadá Ottawa Bluesfest 16 de julho de 2016 Festival de verão da c"&amp;"idade de Quebec, 22 de julho de 2016 Ansan Coréia do Sul Jisan Valley Rock Festival 24 de julho de 2016 Yuzawa Japan Fuji Festival de Rock Festival 29 de julho de 2016 Festival de Montreal Canada OSHEAGA 30 de julho de 2016 Lollapalooza de Chicago Estados"&amp;" Tour do Leeds Leeds Festival - PERGAÇÃO Europeia I 1 de setembro de 2016 Budapeste Hungria László Papp Arena esportiva Budapest Daap Vally N / A N / A 2 de setembro de 2016 4 de setembro de 2016 Gig República Tcheca O2 Arena 6 de setembro de 2016 Berlin "&amp;"Germany Telekom Street Gig 8 de setembro de 2016 OSLO Norway Telenor Arena 10 de setembro de 2016 Estocolmo Suécia Tele2 Arena 13 de setembro de 2016 Helsinque Finlândia Hartwall Arena Battles 14 de setembro de 2016 América do Norte 18 de setembro de 2016"&amp;" Los Angeles Estados Unidos Los Angeles Rams Performance pré-jogo n / A N / A N / A N / A N / A 23 de setembro de 2016 Conservatório de Silverlake de Música BENEFENCIMENTO PARTE ENCONTRO - LENTA EUROPEIRA I 27 de setembro de 2016 Madrid Espanha Barclaycar"&amp;"d Center Badbadnotgood N / A N / A 28 de setembro de 2016 1 de outubro de 2016 Barcelona Palau Sant Jordi 2 de outubro de 2016 de outubro de 2016 5, 2016 Zürich Switzerland Hallenstadion La Femme 27.155 / 27.155 $ 2.799.690 6 de outubro de 2016 8 de outub"&amp;"ro de 2016 Bolonha Itália Unipol Arena N / A N / A 10 de outubro de 2016 ARMA ALPITOUR 11 de outubro de 2016, 15 de outubro, 15 de outubro de 2016 FRANCESSO DA FRANÇO , 18 de outubro de 2016, 2016 América do Norte 28 de outubro de 2016 Los Angeles Os Esta"&amp;"dos Unidos Kroq Balloween Ball N / A N / A N / A TOURS PARTE -SE - LENTE EUROPEIRA I 1 de novembro de 2016 Munique Alemanha Olimpiahalle Deerhoof N / A N / A No novembro de 2016 3, 2016 Berlin Mercedes - Benz Arena 6 de novembro de 2016 Antuérpia Bélgica "&amp;"Sportpaleis 21.099 / 21.230 $ 1.393.360 8 de novembro de 2016 Amsterdã Holanda Ziggo Dome N / A N / A 9 de novembro de 2016 11 de novembro, 2016 Sur - Alzette Luxette Luxette N / A N / A. 2016 Colônia Alemanha Lanxess Arena 16 de novembro de 2016 Herning "&amp;"Dinamarca Jyske Bank Boxen 17 de novembro de 2016 Hannover Alemanha Tui Arena 19 de novembro de 2016 Frankfurt Festhalle 21 de novembro de 2016 Vienna Austria Wiener Stadthalle 5 de dezembro de 2016 Inglaterra O ORA ARENA Babymetal 35,508 / 36,746 $ 20 26"&amp;" December 6 , 2016     December 8 , 2016   Glasgow   Scotland   The SSE Hydro   12,240 / 12,363   $1,052,170     December 10 , 2016   Birmingham   England   Genting Arena   N / A   N / A     December 11 , 2016     December 14 , 2016   Manchester   Manches"&amp;"ter Arena   29,936 / 32,339   $2,356,080     December 15 , 2016     December 18, 2016 London O2 Arena 17.696 / 18.371 $ 1.475.250 Tour de destaque - perna norte -americana 5 de janeiro de 2017 San Antonio Estados Unidos AT &amp; T Centro Trombony Shorty e Orl"&amp;"eans Avenue Irons 14.209 / 14.504 $ 1,090.036 JANEIRO, 2017 HOUTOTA CENTROTA CENTROTA. 8 , 2017   Dallas   American Airlines Center   13,509 / 14,373   $1,127,341     January 10 , 2017   New Orleans   Smoothie King Center   13,179 / 13,179   $1,040,134   "&amp;"  January 12 , 2017   Memphis   FedExForum   12,002 / 12,002   $1,015,832     January 14 , 2017   Tulsa   BOK Center   11,764 / 11,764   $1,058,948     January 16 , 2017   Wichita Intrust Bank Arena 9.352 / 11.036 $ 830.152 18 de janeiro de 2017 Centro de"&amp;" St. Louis Scottrade 13.836 / 13.836 $ 1.208.732 20 de janeiro de 2017 FeBrário de 2017, 2017, 2017 Pinnacle Arena 21 de janeiro, 2017 Minneapolis Center 15.5, 2017 Detroit Joe Joe Joe Lous 21 de janeiro, 2017 MinNeapical. , Assim, 2017 Toronto Canadá Cen"&amp;"tro do Canadá 15.118 / 15.118 $ 1.309.460 7 de fevereiro de 2017 Boston Estados Unidos Garden 26.145 / 26.145 $ 2,435.608 8 de fevereiro de 2017 $ 10 de fevereiro, 2017 Buffalo Keybank Center 14.668 / 14,68 $ 1,68 $ 1,68 $ 10, 2017 $ 10 de fevereiro de 20"&amp;"17 2017 Buffalo Keybank Centro 14,68.68, 2017 $ 10 de fevereiro, 10 de fevereiro de 2017, 2017 de 2017, 2017 de 2017, 2017, 2017, 2017, 2017, 2017, 2017, 2017, 2017, 2017, 2017, 2017, 2017, 2017, 2017, 2017, em 10 de fevereiro, 10 de fevereiro de 2017. 9."&amp;"697 / 30.804 $ 2.452.750 February 13 , 2017     February 15 , 2017   New York City   Madison Square Garden   45,218 / 45,218   $4,287,735     February 17 , 2017     February 18 , 2017     March 7 , 2017   Los Angeles   Staples Center   40,383 / 40,383   $"&amp;"3,553,466     March 8 , 2017     March 10 , 2017     March 12 , 2017 OAKLAND Oracle Arena 13.766 / 13.766 $ 1.273.634 15 de março de 2017 Portland Moda Center 13.446 / 13.446 $ 1.158.294 março 17, 2017 Seattle Key Arena 11.971 / 12.322 $ 980,089. 1817 14 "&amp;"de março, 2017 Vankver 11.971 / 12.322 $ 980,089. 1817, 2017, 2017 Vanker 11.971 / 12.322 $ 980,089.17 14 de março, 2017, 2017 Vanker 11.971 / 12.322 $ 980,089.17 14 de março, 2017, 2017, 2017 Vancou 11.971 / 12.322 $ 980,08.17 14 de março de 18, 2017, 20"&amp;"17, 2017 Vancou 11.971 / 12.322 $ 980,089. 0 21 de março de 2017 Vale dos Estados Unidos de San Diego Veja o Centro de Casino 10.398 / 10.398 $ 1.029.938 Europa 8 de abril de 2017 Venice Italy Arsenale Di Venezia N / A Tour de destaque - Leg North America"&amp;"n 12 de abril de 2017 Washington, D.C. Philips Arena 13.104 / 13.104 $ 1.225.612 15 de abril de 2017 Raleigh PNC Arena 17 de abril de 2017 Charlotte Spectrum Center 12.577 / 14.553 $ 869,926 19 de abril, 2017 Columbia Colonial Life arana 10,182 / 13,294 $"&amp;" 7430 $ 7430 $ 774 7.2017 ARRENA de 2017, 22 de abril de 2017, 22 de abril. 4 $ 812.574 abril 24, 2017 Jacksonville Jacksonville Veterans Memorial Arena 11.640 / 11.640 $ 1.050.900 26 de abril de 2017 Orlando Amway Center 12.557 / 12.557 $ 1,178.414 27 de"&amp;" abril de 2017 Tampa Amalie Arena 12.750 / 12.750 $ 1,777, 27 de abril de 2017 2017, Amalie Arena 12.750 / 12.750 $ 1,777, 27 de abril, 2017 2017 554 $ 1.314.362 11 de maio de 2017 Pittsburgh ppg Paints arena Irontom Jack Irons 13 de maio de 2017 Clevelan"&amp;"d Quicken Loans Arena 13.117 / 16.436 $ 1.018.146 14 de maio de 2017 Columbus Schottenstein Center 10.738 / 10.738 $ 937.745 16 de maio, 2017 Louisville Centro 11.579 / 11.579 $ 1.047.901 18 de maio de 2017 Indianapolis Bankers Life Fieldhouse 12.307 / 12"&amp;".307 $ 1.126.207 19 de maio de 2017 Cincinnati Banco dos EUA Arena 10.358 / 10.358 $ 923,784 21, 2017 Kans Kans 10.358 / 10.358 $ 923,784 21, 2017, 2017 Kans Kans 10.358 / 10.358 $ 923,784 21, 2017 Kanss 2017 , 2017 Des Moines Wells Fargo Arena 10.947 / 1"&amp;"0.947 $ 953.133 26 de maio de 2017 Winnipeg Canadá MTS Center 28 de maio de 2017 Edmonton Rogers Place 29 de maio de 2017 Calgary Scotiabank Saddledome 10 de junho de 2017 MANCHESTER IRMONS Irsão Unidos Bonnaroo n / A 20 de junho, 2017 Montreal Bell Canad"&amp;"a Center Deerhoof 14.867 $ 1.047.050 22 de junho de 2017 Hamilton Firstario Center 23 de junho de 2017 Ottawa Canadian Tire Center 25 de junho de 2017 Grand Rapids Estados Unidos Van Andel Arena 10.975 / 10.975 $ 969.700 28 de junho, 2017 Milwaukee DeLer "&amp;"Marcus AmPhitheater n / A 1 AR 969.700, 28 de junho, 2017 Milwaukee De Marcus AmPhitheater n / a um Jack Irons 27.356 / 27.356 $ 2.507.894 Tour de 1 de julho de 2017 - Definição Européia de Leg II 13 de julho de 2017 Lisbon Portugal Super Rock n / A 15 de"&amp;" julho de 2017 Benicàssim Spain Festival Festival Internacional de Benicàssim 18 de julho de 2017 2017 Nyon Switrland Paléo Paléo , 2017 Roma Itália Ippodromo CapAnelle Knower 21 de julho de 2017 Milan Ippodromo del Galoppo di San Siro 23 de julho de 2017"&amp;" Paris France Lollapalooza N / A 25 de julho de 2017 Crakow Polônia Cracovia estádio 27 de julho de 2017 Riga Riga Latvia Lucavsala Julho 29 Kaisafest n / A 31 de julho de 2017 Reykjavik Islândia Nyja Laugardalshollin America (Benefit and Festival) 9 de s"&amp;"etembro de 2017 Los Angeles Estados Unidos Conservatório de Música Silverlake N / A 15 de setembro de 2017 Del Mar Del Racetrack + Fairgrounds 17 de setembro de 2017 Flushing Citi Field Headlining Tour - Europa (shows remarcados de dezembro de 2016) 20 de"&amp;" setembro de 2017 Dublin Irlanda 3Arena Lady Leshurr 21 de setembro de 2017 Tour de destaque - América do Sul 24 de setembro de 2017 Rio de Janeiro Brasil Barra Parque Olímpico N / A North America (Inclui shows remarcados de março de 2017) 7 de outubro de"&amp;" 2017 Austin Estados Unidos Zilker Park n / A 10 de outubro de 2017 Cidade do México México Palacio de Los Deportes Louis Cole 11 de outubro de 2017 14 de outubro de 2017 Austin Estados Unidos Zilker Park n / A outubro 16, 2017 Denver Pepsi Centro Trombon"&amp;"e Shorty e Orleans Avenue Jack Irons, 18 de outubro de 2017 Tour de Glendale Gila River Arena - América do Sul 16 de março de 2018 Santiago Chile Parque O'Higgins n / A 18 de março de 2018 San Isidro Argentina Hipdromo De San San ISIDRO N / A 23 de março "&amp;"de 2018 São Paulo Brasil Autódromo José Carlos Pace N / A 25 de março de 2018 Bogotá Colômbia Parque Deportivo 222 N / A")</f>
        <v> Lista de shows, data de exibição, cidade, país, local, ato de abertura, ingressos vendidos, quantidade de ingressos disponíveis e receita bruta Data da receita do país Country Local Lei Receita de participação A quente - UP SHOWS - América do Norte 5 de fevereiro de 2016 Los Angeles Estados Unidos Sinta o benefício da Berna N / A N / A N / A 6 de fevereiro de 2016 San Francisco Directv Super Saturday Night 13 de abril de 2016 Instituto de Los Angeles Parker para Gala de Imunoterapia para Câncer, 24 de abril de 2016 Ferrell &amp; Chad Smith Comedy de benefício quente + Music Show &amp; Quinceañera Summer Festival Tour - Europa, América do Norte e Ásia 22 de maio de 2016 Columbus Estados Unidos Rock na faixa N / A N / A N / A 26 de maio de 2016 Burbank iHeartRadio Teatro 29 de maio de 2016 Napa Bottlerock Napa Valley 4 de junho de 2016 MENDIG ALEMANHA ROCK AM RING 5 DE JUNHO DE 2016 FESTIVO DE FUNHERMERG ROCK IM Park de 8 de junho de 2016 Festival de Interlaken Switzerland Greenfield 10 de junho de 2016 Landgraaf Holanda Pinkpop 12 de junho de 2016 Nickelsdorf Austria Novarock , 2016 Paris France Le Grand Journal / RTL2 29 de junho de 2016 Roskilde Dinamarca Roskilde Festival 30 de junho de 2016 Gdynia Polndo Open'er Festival 2 de julho de 2016 Werchter Belgium Rock Werchter 6 de julho de 2016 Kiev Ukraine U-Park Festival de julho de 2016 Moscou Russia Park Live Festival 10 de julho de 2016 Perthshire Scotland T No parque 15 de julho de 2016 Ottawa Canadá Ottawa Bluesfest 16 de julho de 2016 Festival de verão da cidade de Quebec, 22 de julho de 2016 Ansan Coréia do Sul Jisan Valley Rock Festival 24 de julho de 2016 Yuzawa Japan Fuji Festival de Rock Festival 29 de julho de 2016 Festival de Montreal Canada OSHEAGA 30 de julho de 2016 Lollapalooza de Chicago Estados Tour do Leeds Leeds Festival - PERGAÇÃO Europeia I 1 de setembro de 2016 Budapeste Hungria László Papp Arena esportiva Budapest Daap Vally N / A N / A 2 de setembro de 2016 4 de setembro de 2016 Gig República Tcheca O2 Arena 6 de setembro de 2016 Berlin Germany Telekom Street Gig 8 de setembro de 2016 OSLO Norway Telenor Arena 10 de setembro de 2016 Estocolmo Suécia Tele2 Arena 13 de setembro de 2016 Helsinque Finlândia Hartwall Arena Battles 14 de setembro de 2016 América do Norte 18 de setembro de 2016 Los Angeles Estados Unidos Los Angeles Rams Performance pré-jogo n / A N / A N / A N / A N / A 23 de setembro de 2016 Conservatório de Silverlake de Música BENEFENCIMENTO PARTE ENCONTRO - LENTA EUROPEIRA I 27 de setembro de 2016 Madrid Espanha Barclaycard Center Badbadnotgood N / A N / A 28 de setembro de 2016 1 de outubro de 2016 Barcelona Palau Sant Jordi 2 de outubro de 2016 de outubro de 2016 5, 2016 Zürich Switzerland Hallenstadion La Femme 27.155 / 27.155 $ 2.799.690 6 de outubro de 2016 8 de outubro de 2016 Bolonha Itália Unipol Arena N / A N / A 10 de outubro de 2016 ARMA ALPITOUR 11 de outubro de 2016, 15 de outubro, 15 de outubro de 2016 FRANCESSO DA FRANÇO , 18 de outubro de 2016, 2016 América do Norte 28 de outubro de 2016 Los Angeles Os Estados Unidos Kroq Balloween Ball N / A N / A N / A TOURS PARTE -SE - LENTE EUROPEIRA I 1 de novembro de 2016 Munique Alemanha Olimpiahalle Deerhoof N / A N / A No novembro de 2016 3, 2016 Berlin Mercedes - Benz Arena 6 de novembro de 2016 Antuérpia Bélgica Sportpaleis 21.099 / 21.230 $ 1.393.360 8 de novembro de 2016 Amsterdã Holanda Ziggo Dome N / A N / A 9 de novembro de 2016 11 de novembro, 2016 Sur - Alzette Luxette Luxette N / A N / A. 2016 Colônia Alemanha Lanxess Arena 16 de novembro de 2016 Herning Dinamarca Jyske Bank Boxen 17 de novembro de 2016 Hannover Alemanha Tui Arena 19 de novembro de 2016 Frankfurt Festhalle 21 de novembro de 2016 Vienna Austria Wiener Stadthalle 5 de dezembro de 2016 Inglaterra O ORA ARENA Babymetal 35,508 / 36,746 $ 20 26 December 6 , 2016     December 8 , 2016   Glasgow   Scotland   The SSE Hydro   12,240 / 12,363   $1,052,170     December 10 , 2016   Birmingham   England   Genting Arena   N / A   N / A     December 11 , 2016     December 14 , 2016   Manchester   Manchester Arena   29,936 / 32,339   $2,356,080     December 15 , 2016     December 18, 2016 London O2 Arena 17.696 / 18.371 $ 1.475.250 Tour de destaque - perna norte -americana 5 de janeiro de 2017 San Antonio Estados Unidos AT &amp; T Centro Trombony Shorty e Orleans Avenue Irons 14.209 / 14.504 $ 1,090.036 JANEIRO, 2017 HOUTOTA CENTROTA CENTROTA. 8 , 2017   Dallas   American Airlines Center   13,509 / 14,373   $1,127,341     January 10 , 2017   New Orleans   Smoothie King Center   13,179 / 13,179   $1,040,134     January 12 , 2017   Memphis   FedExForum   12,002 / 12,002   $1,015,832     January 14 , 2017   Tulsa   BOK Center   11,764 / 11,764   $1,058,948     January 16 , 2017   Wichita Intrust Bank Arena 9.352 / 11.036 $ 830.152 18 de janeiro de 2017 Centro de St. Louis Scottrade 13.836 / 13.836 $ 1.208.732 20 de janeiro de 2017 FeBrário de 2017, 2017, 2017 Pinnacle Arena 21 de janeiro, 2017 Minneapolis Center 15.5, 2017 Detroit Joe Joe Joe Lous 21 de janeiro, 2017 MinNeapical. , Assim, 2017 Toronto Canadá Centro do Canadá 15.118 / 15.118 $ 1.309.460 7 de fevereiro de 2017 Boston Estados Unidos Garden 26.145 / 26.145 $ 2,435.608 8 de fevereiro de 2017 $ 10 de fevereiro, 2017 Buffalo Keybank Center 14.668 / 14,68 $ 1,68 $ 1,68 $ 10, 2017 $ 10 de fevereiro de 2017 2017 Buffalo Keybank Centro 14,68.68, 2017 $ 10 de fevereiro, 10 de fevereiro de 2017, 2017 de 2017, 2017 de 2017, 2017, 2017, 2017, 2017, 2017, 2017, 2017, 2017, 2017, 2017, 2017, 2017, 2017, 2017, 2017, em 10 de fevereiro, 10 de fevereiro de 2017. 9.697 / 30.804 $ 2.452.750 February 13 , 2017     February 15 , 2017   New York City   Madison Square Garden   45,218 / 45,218   $4,287,735     February 17 , 2017     February 18 , 2017     March 7 , 2017   Los Angeles   Staples Center   40,383 / 40,383   $3,553,466     March 8 , 2017     March 10 , 2017     March 12 , 2017 OAKLAND Oracle Arena 13.766 / 13.766 $ 1.273.634 15 de março de 2017 Portland Moda Center 13.446 / 13.446 $ 1.158.294 março 17, 2017 Seattle Key Arena 11.971 / 12.322 $ 980,089. 1817 14 de março, 2017 Vankver 11.971 / 12.322 $ 980,089. 1817, 2017, 2017 Vanker 11.971 / 12.322 $ 980,089.17 14 de março, 2017, 2017 Vanker 11.971 / 12.322 $ 980,089.17 14 de março, 2017, 2017, 2017 Vancou 11.971 / 12.322 $ 980,08.17 14 de março de 18, 2017, 2017, 2017 Vancou 11.971 / 12.322 $ 980,089. 0 21 de março de 2017 Vale dos Estados Unidos de San Diego Veja o Centro de Casino 10.398 / 10.398 $ 1.029.938 Europa 8 de abril de 2017 Venice Italy Arsenale Di Venezia N / A Tour de destaque - Leg North American 12 de abril de 2017 Washington, D.C. Philips Arena 13.104 / 13.104 $ 1.225.612 15 de abril de 2017 Raleigh PNC Arena 17 de abril de 2017 Charlotte Spectrum Center 12.577 / 14.553 $ 869,926 19 de abril, 2017 Columbia Colonial Life arana 10,182 / 13,294 $ 7430 $ 7430 $ 774 7.2017 ARRENA de 2017, 22 de abril de 2017, 22 de abril. 4 $ 812.574 abril 24, 2017 Jacksonville Jacksonville Veterans Memorial Arena 11.640 / 11.640 $ 1.050.900 26 de abril de 2017 Orlando Amway Center 12.557 / 12.557 $ 1,178.414 27 de abril de 2017 Tampa Amalie Arena 12.750 / 12.750 $ 1,777, 27 de abril de 2017 2017, Amalie Arena 12.750 / 12.750 $ 1,777, 27 de abril, 2017 2017 554 $ 1.314.362 11 de maio de 2017 Pittsburgh ppg Paints arena Irontom Jack Irons 13 de maio de 2017 Cleveland Quicken Loans Arena 13.117 / 16.436 $ 1.018.146 14 de maio de 2017 Columbus Schottenstein Center 10.738 / 10.738 $ 937.745 16 de maio, 2017 Louisville Centro 11.579 / 11.579 $ 1.047.901 18 de maio de 2017 Indianapolis Bankers Life Fieldhouse 12.307 / 12.307 $ 1.126.207 19 de maio de 2017 Cincinnati Banco dos EUA Arena 10.358 / 10.358 $ 923,784 21, 2017 Kans Kans 10.358 / 10.358 $ 923,784 21, 2017, 2017 Kans Kans 10.358 / 10.358 $ 923,784 21, 2017 Kanss 2017 , 2017 Des Moines Wells Fargo Arena 10.947 / 10.947 $ 953.133 26 de maio de 2017 Winnipeg Canadá MTS Center 28 de maio de 2017 Edmonton Rogers Place 29 de maio de 2017 Calgary Scotiabank Saddledome 10 de junho de 2017 MANCHESTER IRMONS Irsão Unidos Bonnaroo n / A 20 de junho, 2017 Montreal Bell Canada Center Deerhoof 14.867 $ 1.047.050 22 de junho de 2017 Hamilton Firstario Center 23 de junho de 2017 Ottawa Canadian Tire Center 25 de junho de 2017 Grand Rapids Estados Unidos Van Andel Arena 10.975 / 10.975 $ 969.700 28 de junho, 2017 Milwaukee DeLer Marcus AmPhitheater n / A 1 AR 969.700, 28 de junho, 2017 Milwaukee De Marcus AmPhitheater n / a um Jack Irons 27.356 / 27.356 $ 2.507.894 Tour de 1 de julho de 2017 - Definição Européia de Leg II 13 de julho de 2017 Lisbon Portugal Super Rock n / A 15 de julho de 2017 Benicàssim Spain Festival Festival Internacional de Benicàssim 18 de julho de 2017 2017 Nyon Switrland Paléo Paléo , 2017 Roma Itália Ippodromo CapAnelle Knower 21 de julho de 2017 Milan Ippodromo del Galoppo di San Siro 23 de julho de 2017 Paris France Lollapalooza N / A 25 de julho de 2017 Crakow Polônia Cracovia estádio 27 de julho de 2017 Riga Riga Latvia Lucavsala Julho 29 Kaisafest n / A 31 de julho de 2017 Reykjavik Islândia Nyja Laugardalshollin America (Benefit and Festival) 9 de setembro de 2017 Los Angeles Estados Unidos Conservatório de Música Silverlake N / A 15 de setembro de 2017 Del Mar Del Racetrack + Fairgrounds 17 de setembro de 2017 Flushing Citi Field Headlining Tour - Europa (shows remarcados de dezembro de 2016) 20 de setembro de 2017 Dublin Irlanda 3Arena Lady Leshurr 21 de setembro de 2017 Tour de destaque - América do Sul 24 de setembro de 2017 Rio de Janeiro Brasil Barra Parque Olímpico N / A North America (Inclui shows remarcados de março de 2017) 7 de outubro de 2017 Austin Estados Unidos Zilker Park n / A 10 de outubro de 2017 Cidade do México México Palacio de Los Deportes Louis Cole 11 de outubro de 2017 14 de outubro de 2017 Austin Estados Unidos Zilker Park n / A outubro 16, 2017 Denver Pepsi Centro Trombone Shorty e Orleans Avenue Jack Irons, 18 de outubro de 2017 Tour de Glendale Gila River Arena - América do Sul 16 de março de 2018 Santiago Chile Parque O'Higgins n / A 18 de março de 2018 San Isidro Argentina Hipdromo De San San ISIDRO N / A 23 de março de 2018 São Paulo Brasil Autódromo José Carlos Pace N / A 25 de março de 2018 Bogotá Colômbia Parque Deportivo 222 N / A</v>
      </c>
    </row>
    <row r="894" customFormat="false" ht="15.75" hidden="false" customHeight="true" outlineLevel="0" collapsed="false">
      <c r="A894" s="3" t="n">
        <v>891</v>
      </c>
      <c r="B894" s="5" t="s">
        <v>2666</v>
      </c>
      <c r="C894" s="5" t="s">
        <v>2667</v>
      </c>
      <c r="D894" s="5" t="s">
        <v>2668</v>
      </c>
      <c r="E894" s="4" t="str">
        <f aca="false">IFERROR(__xludf.dummyfunction("GOOGLETRANSLATE(C895)"),"que interpretou Greg Heffley em Diário de Wimpy Kid")</f>
        <v>que interpretou Greg Heffley em Diário de Wimpy Kid</v>
      </c>
      <c r="F894" s="5" t="str">
        <f aca="false">IFERROR(__xludf.dummyfunction("GOOGLETRANSLATE(D894)"),"  Tinky Winky (interpretado por Dave Thompson e Simon Shelton na série original e por Jeremiah Krage na série Revival) é o primeiro teletubby, bem como o maior e o mais antigo do grupo. Ele está coberto de pano roxo e tem uma antena triangular na cabeça. "&amp;"Ele quase sempre carrega uma bolsa vermelha. DiPsy (interpretado por John Simmit na série original e por Nick Kellington na série Renvest) é o segundo teletubby. Ele é verde e nomeado após sua antena, que se assemelha a uma vareta. Dipsy é a mais teimosa "&amp;"dos teletubbies e ocasionalmente se recusa a acompanhar a opinião do grupo dos outros. Seu rosto é notavelmente mais escuro que o resto dos teletubbies, e os criadores afirmaram que ele é preto. LAA - LAA (interpretada por Nikky Smedley na série original "&amp;"e por Rebecca Hyland na série REVival) é o terceiro teletubby. Ela é amarela e tem uma antena encaracolada. LAA - A LAA é muito doce, gosta de cantar e dançar, e geralmente é mostrada cuidando dos outros teletubbies. Seu brinquedo favorito é uma bola de b"&amp;"orracha laranja. Po (interpretado por Pui Fan Lee na série original e por Rachelle Beinart na série REVival) é a quarta teletubby, bem como a mais curta e mais jovem. Ela é vermelha e tem uma antena em forma de graveto usado para soprar bolhas de sabão. P"&amp;"o normalmente fala com uma voz suave e tem sido declarado pelos criadores do programa como cantonês.")</f>
        <v>  Tinky Winky (interpretado por Dave Thompson e Simon Shelton na série original e por Jeremiah Krage na série Revival) é o primeiro teletubby, bem como o maior e o mais antigo do grupo. Ele está coberto de pano roxo e tem uma antena triangular na cabeça. Ele quase sempre carrega uma bolsa vermelha. DiPsy (interpretado por John Simmit na série original e por Nick Kellington na série Renvest) é o segundo teletubby. Ele é verde e nomeado após sua antena, que se assemelha a uma vareta. Dipsy é a mais teimosa dos teletubbies e ocasionalmente se recusa a acompanhar a opinião do grupo dos outros. Seu rosto é notavelmente mais escuro que o resto dos teletubbies, e os criadores afirmaram que ele é preto. LAA - LAA (interpretada por Nikky Smedley na série original e por Rebecca Hyland na série REVival) é o terceiro teletubby. Ela é amarela e tem uma antena encaracolada. LAA - A LAA é muito doce, gosta de cantar e dançar, e geralmente é mostrada cuidando dos outros teletubbies. Seu brinquedo favorito é uma bola de borracha laranja. Po (interpretado por Pui Fan Lee na série original e por Rachelle Beinart na série REVival) é a quarta teletubby, bem como a mais curta e mais jovem. Ela é vermelha e tem uma antena em forma de graveto usado para soprar bolhas de sabão. Po normalmente fala com uma voz suave e tem sido declarado pelos criadores do programa como cantonês.</v>
      </c>
    </row>
    <row r="895" customFormat="false" ht="15.75" hidden="false" customHeight="true" outlineLevel="0" collapsed="false">
      <c r="A895" s="3" t="n">
        <v>892</v>
      </c>
      <c r="B895" s="5" t="s">
        <v>2669</v>
      </c>
      <c r="C895" s="5" t="s">
        <v>2670</v>
      </c>
      <c r="D895" s="5" t="s">
        <v>2671</v>
      </c>
      <c r="E895" s="4" t="str">
        <f aca="false">IFERROR(__xludf.dummyfunction("GOOGLETRANSLATE(C896)"),"Onde está a ambulância aérea infantil baseada")</f>
        <v>Onde está a ambulância aérea infantil baseada</v>
      </c>
      <c r="F895" s="5" t="str">
        <f aca="false">IFERROR(__xludf.dummyfunction("GOOGLETRANSLATE(D895)")," Zachary Adam Gordon (nascido em 15 de fevereiro de 1998) é um ator americano. Começando sua carreira profissional de ator aos oito anos de idade, Gordon é um prêmio de artista jovem de três vezes melhor candidato a jovens atores, mais conhecido por inter"&amp;"pretar Greg Heffley nos três primeiros filmes do Diário de uma franquia de filmes infantis, que são baseados em A série de romances de best -sellers do New York Times, de Jeff Kinney, Diário de um garoto fraco.")</f>
        <v> Zachary Adam Gordon (nascido em 15 de fevereiro de 1998) é um ator americano. Começando sua carreira profissional de ator aos oito anos de idade, Gordon é um prêmio de artista jovem de três vezes melhor candidato a jovens atores, mais conhecido por interpretar Greg Heffley nos três primeiros filmes do Diário de uma franquia de filmes infantis, que são baseados em A série de romances de best -sellers do New York Times, de Jeff Kinney, Diário de um garoto fraco.</v>
      </c>
    </row>
    <row r="896" customFormat="false" ht="15.75" hidden="false" customHeight="true" outlineLevel="0" collapsed="false">
      <c r="A896" s="3" t="n">
        <v>893</v>
      </c>
      <c r="B896" s="5" t="s">
        <v>2672</v>
      </c>
      <c r="C896" s="5" t="s">
        <v>2673</v>
      </c>
      <c r="D896" s="5" t="s">
        <v>2674</v>
      </c>
      <c r="E896" s="4" t="str">
        <f aca="false">IFERROR(__xludf.dummyfunction("GOOGLETRANSLATE(C897)"),"quem tem a média de maior pontuação na história da NBA")</f>
        <v>quem tem a média de maior pontuação na história da NBA</v>
      </c>
      <c r="F896" s="5" t="str">
        <f aca="false">IFERROR(__xludf.dummyfunction("GOOGLETRANSLATE(D896)")," ABULÊNCIA ABULANÇA ABREVAÇÃO DE CRIANÇAS ABULÊNCIA TCAA FORMAÇÃO 2005 Status legal de caridade Registrada propósito transportando crianças gravemente doentes na localização do Reino Unido Hazell House, Burnthurst Lane, Princethorpe, CV23 Região 9QA Servi"&amp;"u Organização Padrão do Reino Unido O site de Serviço de Ambulância Aéreo")</f>
        <v> ABULÊNCIA ABULANÇA ABREVAÇÃO DE CRIANÇAS ABULÊNCIA TCAA FORMAÇÃO 2005 Status legal de caridade Registrada propósito transportando crianças gravemente doentes na localização do Reino Unido Hazell House, Burnthurst Lane, Princethorpe, CV23 Região 9QA Serviu Organização Padrão do Reino Unido O site de Serviço de Ambulância Aéreo</v>
      </c>
    </row>
    <row r="897" customFormat="false" ht="15.75" hidden="false" customHeight="true" outlineLevel="0" collapsed="false">
      <c r="A897" s="3" t="n">
        <v>894</v>
      </c>
      <c r="B897" s="5" t="s">
        <v>2675</v>
      </c>
      <c r="C897" s="5" t="s">
        <v>2676</v>
      </c>
      <c r="D897" s="5" t="s">
        <v>2677</v>
      </c>
      <c r="E897" s="4" t="str">
        <f aca="false">IFERROR(__xludf.dummyfunction("GOOGLETRANSLATE(C898)"),"Quantos atletas de remos estão nas Olimpíadas")</f>
        <v>Quantos atletas de remos estão nas Olimpíadas</v>
      </c>
      <c r="F897" s="5" t="str">
        <f aca="false">IFERROR(__xludf.dummyfunction("GOOGLETRANSLATE(D897)")," Wilt Chamberlain detém os registros de tempo All -Time para o total de pontos pontuados (4.029) e pontos por jogo (50,4) em uma temporada; Ambos os registros foram alcançados na temporada de 1961 - 62. Ele também detém os Records Rookie para pontos por j"&amp;"ogo, quando obteve uma média de 37,6 pontos na temporada de 1959 - 60. Entre os jogadores ativos, Kevin Durant tem o total de pontos mais alto (2.593) e a maior média de pontuação (32,0) em uma temporada; Ambos foram alcançados na temporada de 2013 - 14.")</f>
        <v> Wilt Chamberlain detém os registros de tempo All -Time para o total de pontos pontuados (4.029) e pontos por jogo (50,4) em uma temporada; Ambos os registros foram alcançados na temporada de 1961 - 62. Ele também detém os Records Rookie para pontos por jogo, quando obteve uma média de 37,6 pontos na temporada de 1959 - 60. Entre os jogadores ativos, Kevin Durant tem o total de pontos mais alto (2.593) e a maior média de pontuação (32,0) em uma temporada; Ambos foram alcançados na temporada de 2013 - 14.</v>
      </c>
    </row>
    <row r="898" customFormat="false" ht="15.75" hidden="false" customHeight="true" outlineLevel="0" collapsed="false">
      <c r="A898" s="3" t="n">
        <v>895</v>
      </c>
      <c r="B898" s="5" t="s">
        <v>2678</v>
      </c>
      <c r="C898" s="5" t="s">
        <v>2679</v>
      </c>
      <c r="D898" s="5" t="s">
        <v>2680</v>
      </c>
      <c r="E898" s="4" t="str">
        <f aca="false">IFERROR(__xludf.dummyfunction("GOOGLETRANSLATE(C899)"),"Malcolm no meio, qual é o sobrenome deles")</f>
        <v>Malcolm no meio, qual é o sobrenome deles</v>
      </c>
      <c r="F898" s="5" t="str">
        <f aca="false">IFERROR(__xludf.dummyfunction("GOOGLETRANSLATE(D898)"),"   Sport Men Mulheres Total de Esqui Alpino 5 Biatlo Bobsleigh 6 10 Esqui de Esqui Cross-Country 7 5 12 Curling 6 7 Patinagem 7 8 15 15 Esqui Freestyle 10 12 22 Hóquei de Gelo 25 23 48 LUGE 7 8 Salto 8 Snowboard 9 7 16 Speed ​​Skate Total 88 80 168")</f>
        <v>   Sport Men Mulheres Total de Esqui Alpino 5 Biatlo Bobsleigh 6 10 Esqui de Esqui Cross-Country 7 5 12 Curling 6 7 Patinagem 7 8 15 15 Esqui Freestyle 10 12 22 Hóquei de Gelo 25 23 48 LUGE 7 8 Salto 8 Snowboard 9 7 16 Speed ​​Skate Total 88 80 168</v>
      </c>
    </row>
    <row r="899" customFormat="false" ht="15.75" hidden="false" customHeight="true" outlineLevel="0" collapsed="false">
      <c r="A899" s="3" t="n">
        <v>896</v>
      </c>
      <c r="B899" s="5" t="s">
        <v>2681</v>
      </c>
      <c r="C899" s="5" t="s">
        <v>2682</v>
      </c>
      <c r="D899" s="5" t="s">
        <v>2683</v>
      </c>
      <c r="E899" s="4" t="str">
        <f aca="false">IFERROR(__xludf.dummyfunction("GOOGLETRANSLATE(C900)"),"onde não pode me comprar amor gravado")</f>
        <v>onde não pode me comprar amor gravado</v>
      </c>
      <c r="F899" s="5" t="str">
        <f aca="false">IFERROR(__xludf.dummyfunction("GOOGLETRANSLATE(D899)")," Situado na cidade fictícia de Star City, Califórnia, a série Malcolm no meio é sobre um garoto chamado Malcolm Wilkerson e sua família disfuncional. O show é estrelado por Frankie Muniz como Malcolm, o terceiro de quatro e mais tarde cinco meninos, seus "&amp;"irmãos e seus pais, Lois (Jane Kaczmarek) e Hal (Bryan Cranston). Seu primeiro filho, Francis (Christopher Masterson), foi enviado para a escola militar, deixando seus três irmãos mais novos em casa, Reese (Justin Berfield), Malcolm e Dewey (Erik por Sull"&amp;"ivan), com Malcolm sendo o filho do meio que ainda morando em casa . Na quarta temporada, o personagem Jamie (James e Lukas Rodriguez) foi adicionado ao show como o quinto filho de Hal &amp; Lois. As primeiras temporadas do programa se concentraram em Malcolm"&amp;" lidando com os rigores de ser um adolescente e sofrer as excentricidades de sua vida. As temporadas posteriores exploraram gradualmente os outros membros da família e seus amigos em mais profundidade, incluindo outros como Craig Feldspar, colega de traba"&amp;"lho de Lois na farmácia de Lucky Aide, o amigo de Malcolm, Stevie Kenarban, e o pai de Stevie, Abe.")</f>
        <v> Situado na cidade fictícia de Star City, Califórnia, a série Malcolm no meio é sobre um garoto chamado Malcolm Wilkerson e sua família disfuncional. O show é estrelado por Frankie Muniz como Malcolm, o terceiro de quatro e mais tarde cinco meninos, seus irmãos e seus pais, Lois (Jane Kaczmarek) e Hal (Bryan Cranston). Seu primeiro filho, Francis (Christopher Masterson), foi enviado para a escola militar, deixando seus três irmãos mais novos em casa, Reese (Justin Berfield), Malcolm e Dewey (Erik por Sullivan), com Malcolm sendo o filho do meio que ainda morando em casa . Na quarta temporada, o personagem Jamie (James e Lukas Rodriguez) foi adicionado ao show como o quinto filho de Hal &amp; Lois. As primeiras temporadas do programa se concentraram em Malcolm lidando com os rigores de ser um adolescente e sofrer as excentricidades de sua vida. As temporadas posteriores exploraram gradualmente os outros membros da família e seus amigos em mais profundidade, incluindo outros como Craig Feldspar, colega de trabalho de Lois na farmácia de Lucky Aide, o amigo de Malcolm, Stevie Kenarban, e o pai de Stevie, Abe.</v>
      </c>
    </row>
    <row r="900" customFormat="false" ht="15.75" hidden="false" customHeight="true" outlineLevel="0" collapsed="false">
      <c r="A900" s="3" t="n">
        <v>897</v>
      </c>
      <c r="B900" s="5" t="s">
        <v>2684</v>
      </c>
      <c r="C900" s="5" t="s">
        <v>2685</v>
      </c>
      <c r="D900" s="5" t="s">
        <v>2686</v>
      </c>
      <c r="E900" s="4" t="str">
        <f aca="false">IFERROR(__xludf.dummyfunction("GOOGLETRANSLATE(C901)"),"Onde Rasin ao sol acontece")</f>
        <v>Onde Rasin ao sol acontece</v>
      </c>
      <c r="F900" s="5" t="str">
        <f aca="false">IFERROR(__xludf.dummyfunction("GOOGLETRANSLATE(D900)")," Enquanto estava em Paris, os Beatles ficaram no Five Star George V Hotel e tiveram um piano na vertical se mudou para uma de suas suítes para que a escrita de músicas pudesse continuar. Foi aqui que McCartney escreveu `` CA N't Buy Me Love ''. A música f"&amp;"oi escrita sob a pressão do sucesso alcançado por `` eu quero segurar sua mão '', que acabara de chegar ao número um na América. Quando o produtor George Martin ouviu pela primeira vez `` ca e não me comprar amor '', ele sentiu que a música precisava muda"&amp;"r: `` pensei que realmente precisávamos de uma etiqueta para o final da música e uma etiqueta para o início; uma espécie de introdução. Então, peguei as duas primeiras linhas do refrão e mudei o final, e disse 'vamos ter essas linhas e, alterando a segund"&amp;"a frase, podemos voltar ao verso rapidamente. '' 'E eles disseram: `` Isso' não é uma má idéia, nós 'faremos dessa maneira' '. O verso da música é um blues de doze bar na estrutura, uma fórmula que os Beatles raramente aplicaram ao seu próprio material.")</f>
        <v> Enquanto estava em Paris, os Beatles ficaram no Five Star George V Hotel e tiveram um piano na vertical se mudou para uma de suas suítes para que a escrita de músicas pudesse continuar. Foi aqui que McCartney escreveu `` CA N't Buy Me Love ''. A música foi escrita sob a pressão do sucesso alcançado por `` eu quero segurar sua mão '', que acabara de chegar ao número um na América. Quando o produtor George Martin ouviu pela primeira vez `` ca e não me comprar amor '', ele sentiu que a música precisava mudar: `` pensei que realmente precisávamos de uma etiqueta para o final da música e uma etiqueta para o início; uma espécie de introdução. Então, peguei as duas primeiras linhas do refrão e mudei o final, e disse 'vamos ter essas linhas e, alterando a segunda frase, podemos voltar ao verso rapidamente. '' 'E eles disseram: `` Isso' não é uma má idéia, nós 'faremos dessa maneira' '. O verso da música é um blues de doze bar na estrutura, uma fórmula que os Beatles raramente aplicaram ao seu próprio material.</v>
      </c>
    </row>
    <row r="901" customFormat="false" ht="15.75" hidden="false" customHeight="true" outlineLevel="0" collapsed="false">
      <c r="A901" s="3" t="n">
        <v>898</v>
      </c>
      <c r="B901" s="5" t="s">
        <v>2687</v>
      </c>
      <c r="C901" s="5" t="s">
        <v>2688</v>
      </c>
      <c r="D901" s="5" t="s">
        <v>2689</v>
      </c>
      <c r="E901" s="4" t="str">
        <f aca="false">IFERROR(__xludf.dummyfunction("GOOGLETRANSLATE(C902)"),"Eu quero segurar seu lado B Hand B")</f>
        <v>Eu quero segurar seu lado B Hand B</v>
      </c>
      <c r="F901" s="5" t="str">
        <f aca="false">IFERROR(__xludf.dummyfunction("GOOGLETRANSLATE(D901)")," Uma passa ao sol é uma peça de Lorraine Hansberry que estreou na Broadway em 1959. O título vem do poema `` Harlem '' (também conhecido como `` um sonho diferido ''), de Langston Hughes. A história fala das experiências de uma família negra na subdivisão"&amp;" de Washington Park do bairro de Woodlawn de Chicago, enquanto tentam `` melhor '' com um pagamento de seguros após a morte do pai. O círculo dos críticos de teatro de Nova York o nomeou o melhor jogo de 1959.")</f>
        <v> Uma passa ao sol é uma peça de Lorraine Hansberry que estreou na Broadway em 1959. O título vem do poema `` Harlem '' (também conhecido como `` um sonho diferido ''), de Langston Hughes. A história fala das experiências de uma família negra na subdivisão de Washington Park do bairro de Woodlawn de Chicago, enquanto tentam `` melhor '' com um pagamento de seguros após a morte do pai. O círculo dos críticos de teatro de Nova York o nomeou o melhor jogo de 1959.</v>
      </c>
    </row>
    <row r="902" customFormat="false" ht="15.75" hidden="false" customHeight="true" outlineLevel="0" collapsed="false">
      <c r="A902" s="3" t="n">
        <v>899</v>
      </c>
      <c r="B902" s="5" t="s">
        <v>2690</v>
      </c>
      <c r="C902" s="5" t="s">
        <v>2691</v>
      </c>
      <c r="D902" s="5" t="s">
        <v>2692</v>
      </c>
      <c r="E902" s="4" t="str">
        <f aca="false">IFERROR(__xludf.dummyfunction("GOOGLETRANSLATE(C903)"),"Em que anos a equipe foi na TV")</f>
        <v>Em que anos a equipe foi na TV</v>
      </c>
      <c r="F902" s="5" t="str">
        <f aca="false">IFERROR(__xludf.dummyfunction("GOOGLETRANSLATE(D902)"),"   `` Eu quero segurar sua mão '' Single de manga de foto dos Beatles do álbum Meet the Beatles! B - Lado `` This Boy '' (Reino Unido) `` Eu a vi de pé '' (EUA) lançado em 29 de novembro de 1963 (1963 - 11 - 29) (Reino Unido) 26 de dezembro de 1963 (1963 "&amp;"- 12 - 26) (EUA ) Formato 7 '' gravado em 17 de outubro de 1963, EMI Studios, Gênero de Londres Rock and Roll Pop Pop Rock Comprimento 2: 24 Label Parlophone R 5084 (Reino Unido) Capitol 5112 (EUA) compositor (s) Lennon - McCartney Producer (s) George Mar"&amp;"tin The Beatles UK Singles Chronology `` Ela te ama '' (1963) `` Eu quero segurar sua mão '' (1963) `` CA N't Buy Me Love '' (1964) `` Ela te ama '' (1963) `` Eu quero segurar sua mão '' (1963) `` CA N't Buy Me Love '' (1964) The Beatles Us Singles Chrono"&amp;"logy `` ela te ama '' (1963) Ela te ama 1963 ` `Quero segurar sua mão '' (1963) Eu quero segurar seu Hand1963` `Twist and Shout '' (1964) Twist and Shout 1964 Cover alternativo 1992 CD AUSTRIA")</f>
        <v>   `` Eu quero segurar sua mão '' Single de manga de foto dos Beatles do álbum Meet the Beatles! B - Lado `` This Boy '' (Reino Unido) `` Eu a vi de pé '' (EUA) lançado em 29 de novembro de 1963 (1963 - 11 - 29) (Reino Unido) 26 de dezembro de 1963 (1963 - 12 - 26) (EUA ) Formato 7 '' gravado em 17 de outubro de 1963, EMI Studios, Gênero de Londres Rock and Roll Pop Pop Rock Comprimento 2: 24 Label Parlophone R 5084 (Reino Unido) Capitol 5112 (EUA) compositor (s) Lennon - McCartney Producer (s) George Martin The Beatles UK Singles Chronology `` Ela te ama '' (1963) `` Eu quero segurar sua mão '' (1963) `` CA N't Buy Me Love '' (1964) `` Ela te ama '' (1963) `` Eu quero segurar sua mão '' (1963) `` CA N't Buy Me Love '' (1964) The Beatles Us Singles Chronology `` ela te ama '' (1963) Ela te ama 1963 ` `Quero segurar sua mão '' (1963) Eu quero segurar seu Hand1963` `Twist and Shout '' (1964) Twist and Shout 1964 Cover alternativo 1992 CD AUSTRIA</v>
      </c>
    </row>
    <row r="903" customFormat="false" ht="15.75" hidden="false" customHeight="true" outlineLevel="0" collapsed="false">
      <c r="A903" s="3" t="n">
        <v>900</v>
      </c>
      <c r="B903" s="5" t="s">
        <v>2693</v>
      </c>
      <c r="C903" s="5" t="s">
        <v>2694</v>
      </c>
      <c r="D903" s="5" t="s">
        <v>2695</v>
      </c>
      <c r="E903" s="4" t="str">
        <f aca="false">IFERROR(__xludf.dummyfunction("GOOGLETRANSLATE(C904)"),"Qual é a equação para a lei de Ohm")</f>
        <v>Qual é a equação para a lei de Ohm</v>
      </c>
      <c r="F903" s="5" t="str">
        <f aca="false">IFERROR(__xludf.dummyfunction("GOOGLETRANSLATE(D903)")," O A -Team é uma série de Aventura Americana de Aventura que concorreu na NBC de 1983 a 1987 sobre ex -membros de uma unidade fictícia do Exército dos Estados Unidos. Os membros, depois de serem o tribunal - marcaram `` por um crime que não cometeram '', "&amp;"escaparam da prisão militar e, enquanto ainda estavam em fuga, trabalhavam como soldados da fortuna. A série foi criada por Stephen J. Cannell e Frank Lupo. Um longa -metragem baseado na série foi lançado pela 20th Century Fox em 2010.")</f>
        <v> O A -Team é uma série de Aventura Americana de Aventura que concorreu na NBC de 1983 a 1987 sobre ex -membros de uma unidade fictícia do Exército dos Estados Unidos. Os membros, depois de serem o tribunal - marcaram `` por um crime que não cometeram '', escaparam da prisão militar e, enquanto ainda estavam em fuga, trabalhavam como soldados da fortuna. A série foi criada por Stephen J. Cannell e Frank Lupo. Um longa -metragem baseado na série foi lançado pela 20th Century Fox em 2010.</v>
      </c>
    </row>
    <row r="904" customFormat="false" ht="15.75" hidden="false" customHeight="true" outlineLevel="0" collapsed="false">
      <c r="A904" s="3" t="n">
        <v>901</v>
      </c>
      <c r="B904" s="5" t="s">
        <v>2696</v>
      </c>
      <c r="C904" s="5" t="s">
        <v>2697</v>
      </c>
      <c r="D904" s="5" t="s">
        <v>2698</v>
      </c>
      <c r="E904" s="4" t="str">
        <f aca="false">IFERROR(__xludf.dummyfunction("GOOGLETRANSLATE(C905)"),"O termo usado para se referir à aprovação oficial da Constituição pelos Estados")</f>
        <v>O termo usado para se referir à aprovação oficial da Constituição pelos Estados</v>
      </c>
      <c r="F904" s="5" t="str">
        <f aca="false">IFERROR(__xludf.dummyfunction("GOOGLETRANSLATE(D904)")," A intercambiabilidade da equação pode ser representada por um triângulo, onde V (tensão) é colocado na seção superior, o i (corrente) é colocado na seção esquerda e o R (resistência) é colocado à direita. A linha que divide as seções esquerda e direita i"&amp;"ndica multiplicação, e o divisor entre as seções superior e inferior indica a divisão (daí a barra de divisão).")</f>
        <v> A intercambiabilidade da equação pode ser representada por um triângulo, onde V (tensão) é colocado na seção superior, o i (corrente) é colocado na seção esquerda e o R (resistência) é colocado à direita. A linha que divide as seções esquerda e direita indica multiplicação, e o divisor entre as seções superior e inferior indica a divisão (daí a barra de divisão).</v>
      </c>
    </row>
    <row r="905" customFormat="false" ht="15.75" hidden="false" customHeight="true" outlineLevel="0" collapsed="false">
      <c r="A905" s="3" t="n">
        <v>902</v>
      </c>
      <c r="B905" s="5" t="s">
        <v>2699</v>
      </c>
      <c r="C905" s="5" t="s">
        <v>2700</v>
      </c>
      <c r="D905" s="5" t="s">
        <v>2701</v>
      </c>
      <c r="E905" s="4" t="str">
        <f aca="false">IFERROR(__xludf.dummyfunction("GOOGLETRANSLATE(C906)"),"Quando a temporada final de Fairy Tail será lançada")</f>
        <v>Quando a temporada final de Fairy Tail será lançada</v>
      </c>
      <c r="F905" s="5" t="str">
        <f aca="false">IFERROR(__xludf.dummyfunction("GOOGLETRANSLATE(D905)")," A Constituição dos Estados Unidos é a lei suprema dos Estados Unidos. A Constituição, originalmente compreendendo sete artigos, delineia o estado nacional do governo. Seus três primeiros artigos incorporam a doutrina da separação de poderes, pela qual o "&amp;"governo federal é dividido em três ramos: o legislativo, composto pelo Congresso Bicameral; o executivo, composto pelo presidente; e o judicial, composto pela Suprema Corte e outros tribunais federais. Os artigos quatro, cinco e seis incorporam conceitos "&amp;"de federalismo, descrevendo os direitos e responsabilidades dos governos estaduais e dos estados em relação ao governo federal. O artigo sete estabelece o procedimento posteriormente usado pelos treze estados para ratificá -lo. É considerado a constituiçã"&amp;"o nacional mais antiga escrita e codificada em vigor.")</f>
        <v> A Constituição dos Estados Unidos é a lei suprema dos Estados Unidos. A Constituição, originalmente compreendendo sete artigos, delineia o estado nacional do governo. Seus três primeiros artigos incorporam a doutrina da separação de poderes, pela qual o governo federal é dividido em três ramos: o legislativo, composto pelo Congresso Bicameral; o executivo, composto pelo presidente; e o judicial, composto pela Suprema Corte e outros tribunais federais. Os artigos quatro, cinco e seis incorporam conceitos de federalismo, descrevendo os direitos e responsabilidades dos governos estaduais e dos estados em relação ao governo federal. O artigo sete estabelece o procedimento posteriormente usado pelos treze estados para ratificá -lo. É considerado a constituição nacional mais antiga escrita e codificada em vigor.</v>
      </c>
    </row>
    <row r="906" customFormat="false" ht="15.75" hidden="false" customHeight="true" outlineLevel="0" collapsed="false">
      <c r="A906" s="3" t="n">
        <v>903</v>
      </c>
      <c r="B906" s="5" t="s">
        <v>2702</v>
      </c>
      <c r="C906" s="5" t="s">
        <v>2703</v>
      </c>
      <c r="D906" s="5" t="s">
        <v>2704</v>
      </c>
      <c r="E906" s="4" t="str">
        <f aca="false">IFERROR(__xludf.dummyfunction("GOOGLETRANSLATE(C907)"),"O que se entende por estado fundamental e estado excitado")</f>
        <v>O que se entende por estado fundamental e estado excitado</v>
      </c>
      <c r="F906" s="5" t="str">
        <f aca="false">IFERROR(__xludf.dummyfunction("GOOGLETRANSLATE(D906)")," Fairy Tail é uma série de anime adaptada do mangá do mesmo título de Hiro Mashima. Produzido por A-1 Pictures e Satelight, e dirigido por Shinji Ishihira, foi transmitido na TV Tóquio de 12 de outubro de 2009 a 30 de março de 2013. Mais tarde, continuou "&amp;"sua corrida em 5 de abril de 2014 e terminou em 26 de março de 2016. Em 20 de julho de 2017, Mashima confirmou no Twitter que a temporada final do Fairy Tail será exibida em 2018. A série segue as aventuras de Natsu Dragneel, um membro da Guilda e Mago do"&amp;"s Wizards de Fairy Tail, que está procurando o Dragon Igneel, e faz parceria com Lucy Heartfilia, um mago celeste.")</f>
        <v> Fairy Tail é uma série de anime adaptada do mangá do mesmo título de Hiro Mashima. Produzido por A-1 Pictures e Satelight, e dirigido por Shinji Ishihira, foi transmitido na TV Tóquio de 12 de outubro de 2009 a 30 de março de 2013. Mais tarde, continuou sua corrida em 5 de abril de 2014 e terminou em 26 de março de 2016. Em 20 de julho de 2017, Mashima confirmou no Twitter que a temporada final do Fairy Tail será exibida em 2018. A série segue as aventuras de Natsu Dragneel, um membro da Guilda e Mago dos Wizards de Fairy Tail, que está procurando o Dragon Igneel, e faz parceria com Lucy Heartfilia, um mago celeste.</v>
      </c>
    </row>
    <row r="907" customFormat="false" ht="15.75" hidden="false" customHeight="true" outlineLevel="0" collapsed="false">
      <c r="A907" s="3" t="n">
        <v>904</v>
      </c>
      <c r="B907" s="5" t="s">
        <v>2705</v>
      </c>
      <c r="C907" s="5" t="s">
        <v>2706</v>
      </c>
      <c r="D907" s="5" t="s">
        <v>2707</v>
      </c>
      <c r="E907" s="4" t="str">
        <f aca="false">IFERROR(__xludf.dummyfunction("GOOGLETRANSLATE(C908)"),"De onde vem o potássio no corpo")</f>
        <v>De onde vem o potássio no corpo</v>
      </c>
      <c r="F907" s="5" t="str">
        <f aca="false">IFERROR(__xludf.dummyfunction("GOOGLETRANSLATE(D907)")," O estado fundamental de um sistema mecânico quântico é o seu estado mais baixo - energia; A energia do estado fundamental é conhecida como energia zero - ponto do sistema. Um estado excitado é qualquer estado com energia maior que o estado fundamental. N"&amp;"a teoria do campo quântico, o estado fundamental é geralmente chamado de estado de vácuo ou vácuo.")</f>
        <v> O estado fundamental de um sistema mecânico quântico é o seu estado mais baixo - energia; A energia do estado fundamental é conhecida como energia zero - ponto do sistema. Um estado excitado é qualquer estado com energia maior que o estado fundamental. Na teoria do campo quântico, o estado fundamental é geralmente chamado de estado de vácuo ou vácuo.</v>
      </c>
    </row>
    <row r="908" customFormat="false" ht="15.75" hidden="false" customHeight="true" outlineLevel="0" collapsed="false">
      <c r="A908" s="3" t="n">
        <v>905</v>
      </c>
      <c r="B908" s="5" t="s">
        <v>2708</v>
      </c>
      <c r="C908" s="5" t="s">
        <v>2709</v>
      </c>
      <c r="D908" s="5" t="s">
        <v>2710</v>
      </c>
      <c r="E908" s="4" t="str">
        <f aca="false">IFERROR(__xludf.dummyfunction("GOOGLETRANSLATE(C909)"),"verso na Bíblia sobre amor é paciente")</f>
        <v>verso na Bíblia sobre amor é paciente</v>
      </c>
      <c r="F908" s="5" t="str">
        <f aca="false">IFERROR(__xludf.dummyfunction("GOOGLETRANSLATE(D908)")," Comer uma variedade de alimentos que contêm potássio é a melhor maneira de obter uma quantidade adequada. Os alimentos com altas fontes de potássio incluem kiwifruit, suco de laranja, batatas, bananas, coco, abacates, damascos, pastinagas e nabos, embora"&amp;" muitas outras frutas, vegetais, legumes e carnes contenham potássio.")</f>
        <v> Comer uma variedade de alimentos que contêm potássio é a melhor maneira de obter uma quantidade adequada. Os alimentos com altas fontes de potássio incluem kiwifruit, suco de laranja, batatas, bananas, coco, abacates, damascos, pastinagas e nabos, embora muitas outras frutas, vegetais, legumes e carnes contenham potássio.</v>
      </c>
    </row>
    <row r="909" customFormat="false" ht="15.75" hidden="false" customHeight="true" outlineLevel="0" collapsed="false">
      <c r="A909" s="3" t="n">
        <v>906</v>
      </c>
      <c r="B909" s="5" t="s">
        <v>2711</v>
      </c>
      <c r="C909" s="5" t="s">
        <v>2712</v>
      </c>
      <c r="D909" s="5" t="s">
        <v>2713</v>
      </c>
      <c r="E909" s="4" t="str">
        <f aca="false">IFERROR(__xludf.dummyfunction("GOOGLETRANSLATE(C910)"),"quem é considerado o fundador do Theroy of Evolution")</f>
        <v>quem é considerado o fundador do Theroy of Evolution</v>
      </c>
      <c r="F909" s="5" t="str">
        <f aca="false">IFERROR(__xludf.dummyfunction("GOOGLETRANSLATE(D909)")," 1 Coríntios 13, versículos 4 - 8 e 13: `` O amor é paciente, o amor é gentil. Não inveja, não se gaba, não se orgulha. Não é rude, não é auto -buscando, não é facilmente irritado, não mantém nenhum registro de erros. O amor não se deleita com o mal, mas "&amp;"se alegra com a verdade. Sempre protege, sempre confia, sempre espera, sempre persevera. Amor nunca falha . Mas onde há profecias, eles cessarão; Onde houver línguas, elas serão acalmadas; Onde houver conhecimento, ele passará ... e agora esses três perma"&amp;"necem: fé, esperança e amor. Mas o maior deles é o amor. '' (Nova versão internacional)")</f>
        <v> 1 Coríntios 13, versículos 4 - 8 e 13: `` O amor é paciente, o amor é gentil. Não inveja, não se gaba, não se orgulha. Não é rude, não é auto -buscando, não é facilmente irritado, não mantém nenhum registro de erros. O amor não se deleita com o mal, mas se alegra com a verdade. Sempre protege, sempre confia, sempre espera, sempre persevera. Amor nunca falha . Mas onde há profecias, eles cessarão; Onde houver línguas, elas serão acalmadas; Onde houver conhecimento, ele passará ... e agora esses três permanecem: fé, esperança e amor. Mas o maior deles é o amor. '' (Nova versão internacional)</v>
      </c>
    </row>
    <row r="910" customFormat="false" ht="15.75" hidden="false" customHeight="true" outlineLevel="0" collapsed="false">
      <c r="A910" s="3" t="n">
        <v>907</v>
      </c>
      <c r="B910" s="5" t="s">
        <v>2714</v>
      </c>
      <c r="C910" s="5" t="s">
        <v>2715</v>
      </c>
      <c r="D910" s="5" t="s">
        <v>2716</v>
      </c>
      <c r="E910" s="4" t="str">
        <f aca="false">IFERROR(__xludf.dummyfunction("GOOGLETRANSLATE(C911)"),"quem lançou um rebatedor na World Series")</f>
        <v>quem lançou um rebatedor na World Series</v>
      </c>
      <c r="F910" s="5" t="str">
        <f aca="false">IFERROR(__xludf.dummyfunction("GOOGLETRANSLATE(D910)")," Em meados do século XIX, Charles Darwin formulou a teoria científica da evolução por seleção natural, publicada em seu livro sobre a origem das espécies (1859). A evolução da seleção natural é um processo demonstrado pela primeira vez pela observação de "&amp;"que muitas vezes são produzidas mais filhos do que pode sobreviver. Isto é seguido por três fatos observáveis ​​sobre organismos vivos: 1) características variam entre indivíduos em relação à morfologia, fisiologia e comportamento (variação fenotípica), 2"&amp;") diferentes características conferem diferentes taxas de sobrevivência e reprodução (aptidão diferencial) e 3) As características podem ser passadas de geração em geração (herdabilidade do condicionamento físico). Assim, nas gerações sucessivas, os membr"&amp;"os de uma população são substituídos pela progênie dos pais melhor adaptados para sobreviver e reproduzir no ambiente biofísico em que a seleção natural ocorre.")</f>
        <v> Em meados do século XIX, Charles Darwin formulou a teoria científica da evolução por seleção natural, publicada em seu livro sobre a origem das espécies (1859). A evolução da seleção natural é um processo demonstrado pela primeira vez pela observação de que muitas vezes são produzidas mais filhos do que pode sobreviver. Isto é seguido por três fatos observáveis ​​sobre organismos vivos: 1) características variam entre indivíduos em relação à morfologia, fisiologia e comportamento (variação fenotípica), 2) diferentes características conferem diferentes taxas de sobrevivência e reprodução (aptidão diferencial) e 3) As características podem ser passadas de geração em geração (herdabilidade do condicionamento físico). Assim, nas gerações sucessivas, os membros de uma população são substituídos pela progênie dos pais melhor adaptados para sobreviver e reproduzir no ambiente biofísico em que a seleção natural ocorre.</v>
      </c>
    </row>
    <row r="911" customFormat="false" ht="15.75" hidden="false" customHeight="true" outlineLevel="0" collapsed="false">
      <c r="A911" s="3" t="n">
        <v>908</v>
      </c>
      <c r="B911" s="5" t="s">
        <v>2717</v>
      </c>
      <c r="C911" s="5" t="s">
        <v>2718</v>
      </c>
      <c r="D911" s="5" t="s">
        <v>2719</v>
      </c>
      <c r="E911" s="4" t="str">
        <f aca="false">IFERROR(__xludf.dummyfunction("GOOGLETRANSLATE(C912)"),"quem é o teórico que desenvolveu teoria geral de tensão")</f>
        <v>quem é o teórico que desenvolveu teoria geral de tensão</v>
      </c>
      <c r="F911" s="5" t="str">
        <f aca="false">IFERROR(__xludf.dummyfunction("GOOGLETRANSLATE(D911)")," O arremessador que detém o recorde de mais - rebatedores é Nolan Ryan, que jogou sete em sua longa carreira. Seus dois primeiros ocorreram exatamente dois meses, enquanto ele estava no California Angels: o primeiro de 15 de maio de 1973 e o segundo em 15"&amp;" de julho. Ele teve mais dois com os Anjos em 28 de setembro de 1974 e 1 de junho de 1975. O quinto não - rebatedor de Ryan com o Houston Astros em 26 de setembro de 1981, quebrou o recorde anterior de Sandy Koufax. Seus rebatedores do sexto e sétimo não "&amp;"vieram com o Texas Rangers em 1º de junho de 1990 e 1 de maio de 1991. Quando ele jogou o número sete aos 44 anos, ele se tornou o arremessador mais antigo a jogar um rebatedor não.")</f>
        <v> O arremessador que detém o recorde de mais - rebatedores é Nolan Ryan, que jogou sete em sua longa carreira. Seus dois primeiros ocorreram exatamente dois meses, enquanto ele estava no California Angels: o primeiro de 15 de maio de 1973 e o segundo em 15 de julho. Ele teve mais dois com os Anjos em 28 de setembro de 1974 e 1 de junho de 1975. O quinto não - rebatedor de Ryan com o Houston Astros em 26 de setembro de 1981, quebrou o recorde anterior de Sandy Koufax. Seus rebatedores do sexto e sétimo não vieram com o Texas Rangers em 1º de junho de 1990 e 1 de maio de 1991. Quando ele jogou o número sete aos 44 anos, ele se tornou o arremessador mais antigo a jogar um rebatedor não.</v>
      </c>
    </row>
    <row r="912" customFormat="false" ht="15.75" hidden="false" customHeight="true" outlineLevel="0" collapsed="false">
      <c r="A912" s="3" t="n">
        <v>909</v>
      </c>
      <c r="B912" s="5" t="s">
        <v>2720</v>
      </c>
      <c r="C912" s="5" t="s">
        <v>2721</v>
      </c>
      <c r="D912" s="5" t="s">
        <v>2722</v>
      </c>
      <c r="E912" s="4" t="str">
        <f aca="false">IFERROR(__xludf.dummyfunction("GOOGLETRANSLATE(C913)"),"Nomeie os ossos que formam a perna ou o membro inferior")</f>
        <v>Nomeie os ossos que formam a perna ou o membro inferior</v>
      </c>
      <c r="F912" s="5" t="str">
        <f aca="false">IFERROR(__xludf.dummyfunction("GOOGLETRANSLATE(D912)")," Em sociologia e criminologia, a teoria da tensão afirma que as estruturas sociais dentro da sociedade podem pressionar os cidadãos a cometer crimes. Após o trabalho de Émile Durkheim, as teorias de tensão foram avançadas por Robert King Merton (1938), Al"&amp;"bert K. Cohen (1955), Richard Cloward, Lloyd Ohlin (1960), Neil Smelser (1963), Robert Agnew (1992), Steven Messner e Richard Rosenfeld (1994).")</f>
        <v> Em sociologia e criminologia, a teoria da tensão afirma que as estruturas sociais dentro da sociedade podem pressionar os cidadãos a cometer crimes. Após o trabalho de Émile Durkheim, as teorias de tensão foram avançadas por Robert King Merton (1938), Albert K. Cohen (1955), Richard Cloward, Lloyd Ohlin (1960), Neil Smelser (1963), Robert Agnew (1992), Steven Messner e Richard Rosenfeld (1994).</v>
      </c>
    </row>
    <row r="913" customFormat="false" ht="15.75" hidden="false" customHeight="true" outlineLevel="0" collapsed="false">
      <c r="A913" s="3" t="n">
        <v>910</v>
      </c>
      <c r="B913" s="5" t="s">
        <v>2723</v>
      </c>
      <c r="C913" s="5" t="s">
        <v>2724</v>
      </c>
      <c r="D913" s="5" t="s">
        <v>2725</v>
      </c>
      <c r="E913" s="4" t="str">
        <f aca="false">IFERROR(__xludf.dummyfunction("GOOGLETRANSLATE(C914)"),"Qual das opções a seguir descreve melhor um mecanismo importante que os mecanismos de pesquisa usam para classificar as páginas")</f>
        <v>Qual das opções a seguir descreve melhor um mecanismo importante que os mecanismos de pesquisa usam para classificar as páginas</v>
      </c>
      <c r="F913" s="5" t="str">
        <f aca="false">IFERROR(__xludf.dummyfunction("GOOGLETRANSLATE(D913)"),"  Fêmur - o osso na patela da coxa - a tíbia da tibia do joelho - o osso da canela, o maior dos ossos de duas pernas localizados abaixo da fíbula do joelho - o menor dos ossos das duas pernas localizadas abaixo da tampa do joelho")</f>
        <v>  Fêmur - o osso na patela da coxa - a tíbia da tibia do joelho - o osso da canela, o maior dos ossos de duas pernas localizados abaixo da fíbula do joelho - o menor dos ossos das duas pernas localizadas abaixo da tampa do joelho</v>
      </c>
    </row>
    <row r="914" customFormat="false" ht="15.75" hidden="false" customHeight="true" outlineLevel="0" collapsed="false">
      <c r="A914" s="3" t="n">
        <v>911</v>
      </c>
      <c r="B914" s="5" t="s">
        <v>2726</v>
      </c>
      <c r="C914" s="5" t="s">
        <v>2727</v>
      </c>
      <c r="D914" s="5" t="s">
        <v>2728</v>
      </c>
      <c r="E914" s="4" t="str">
        <f aca="false">IFERROR(__xludf.dummyfunction("GOOGLETRANSLATE(C915)"),"Quando são novos episódios de Better Call Saul")</f>
        <v>Quando são novos episódios de Better Call Saul</v>
      </c>
      <c r="F914" s="5" t="str">
        <f aca="false">IFERROR(__xludf.dummyfunction("GOOGLETRANSLATE(D914)")," O PageRank é um algoritmo de análise de link e atribui uma ponderação numérica a cada elemento de um conjunto de documentos hiperlinked, como a World Wide Web, com o objetivo de `` medir '' sua importância relativa dentro do conjunto. O algoritmo pode se"&amp;"r aplicado a qualquer coleção de entidades com citações e referências recíprocas. O peso numérico que atribui a qualquer elemento E é referido como o PageRank de E e indicado por P R (E). (\ displaystyle pr (e).) Outros fatores como a classificação do aut"&amp;"or podem contribuir para a importância de uma entidade.")</f>
        <v> O PageRank é um algoritmo de análise de link e atribui uma ponderação numérica a cada elemento de um conjunto de documentos hiperlinked, como a World Wide Web, com o objetivo de `` medir '' sua importância relativa dentro do conjunto. O algoritmo pode ser aplicado a qualquer coleção de entidades com citações e referências recíprocas. O peso numérico que atribui a qualquer elemento E é referido como o PageRank de E e indicado por P R (E). (\ displaystyle pr (e).) Outros fatores como a classificação do autor podem contribuir para a importância de uma entidade.</v>
      </c>
    </row>
    <row r="915" customFormat="false" ht="15.75" hidden="false" customHeight="true" outlineLevel="0" collapsed="false">
      <c r="A915" s="3" t="n">
        <v>912</v>
      </c>
      <c r="B915" s="5" t="s">
        <v>2729</v>
      </c>
      <c r="C915" s="5" t="s">
        <v>2730</v>
      </c>
      <c r="D915" s="5" t="s">
        <v>2731</v>
      </c>
      <c r="E915" s="4" t="str">
        <f aca="false">IFERROR(__xludf.dummyfunction("GOOGLETRANSLATE(C916)"),"quem é o primeiro presidente a ser assassinado")</f>
        <v>quem é o primeiro presidente a ser assassinado</v>
      </c>
      <c r="F915" s="5" t="str">
        <f aca="false">IFERROR(__xludf.dummyfunction("GOOGLETRANSLATE(D915)")," A primeira temporada, que estreou na AMC em 8 de fevereiro de 2015, consiste em 10 episódios. O episódio de 10 - episódio da segunda temporada estreou em 15 de fevereiro de 2016. A série foi renovada para uma terceira temporada de 10 - episódios, que est"&amp;"reou em 10 de abril de 2017. Em 27 de junho de 2017, a série foi renovada pela AMC para uma quarta temporada de 10 - episódio que está planejada para estrear em 2018.")</f>
        <v> A primeira temporada, que estreou na AMC em 8 de fevereiro de 2015, consiste em 10 episódios. O episódio de 10 - episódio da segunda temporada estreou em 15 de fevereiro de 2016. A série foi renovada para uma terceira temporada de 10 - episódios, que estreou em 10 de abril de 2017. Em 27 de junho de 2017, a série foi renovada pela AMC para uma quarta temporada de 10 - episódio que está planejada para estrear em 2018.</v>
      </c>
    </row>
    <row r="916" customFormat="false" ht="15.75" hidden="false" customHeight="true" outlineLevel="0" collapsed="false">
      <c r="A916" s="3" t="n">
        <v>913</v>
      </c>
      <c r="B916" s="5" t="s">
        <v>2732</v>
      </c>
      <c r="C916" s="5" t="s">
        <v>2733</v>
      </c>
      <c r="D916" s="5" t="s">
        <v>2734</v>
      </c>
      <c r="E916" s="4" t="str">
        <f aca="false">IFERROR(__xludf.dummyfunction("GOOGLETRANSLATE(C917)"),"O todo é maior que a soma de suas partes é o lema do")</f>
        <v>O todo é maior que a soma de suas partes é o lema do</v>
      </c>
      <c r="F916" s="5" t="str">
        <f aca="false">IFERROR(__xludf.dummyfunction("GOOGLETRANSLATE(D916)")," As tentativas de assassinato e as parcelas do Presidente dos Estados Unidos foram numerosos, variando do início do século XIX a 2010. Mais de 30 tentativas de matar um presidente ou ex -presidente, ou um presidente - eleito, foram feitos desde o início d"&amp;"o século XIX. Quatro presidentes em exercício foram mortos, todos por tiros: Abraham Lincoln (1865), James A. Garfield (1881), William McKinley (1901) e John F. Kennedy (1963). Além disso, dois presidentes foram feridos em tentativas de assassinatos, tamb"&amp;"ém por tiros: Theodore Roosevelt (1912; ex -presidente da época) e Ronald Reagan (1981).")</f>
        <v> As tentativas de assassinato e as parcelas do Presidente dos Estados Unidos foram numerosos, variando do início do século XIX a 2010. Mais de 30 tentativas de matar um presidente ou ex -presidente, ou um presidente - eleito, foram feitos desde o início do século XIX. Quatro presidentes em exercício foram mortos, todos por tiros: Abraham Lincoln (1865), James A. Garfield (1881), William McKinley (1901) e John F. Kennedy (1963). Além disso, dois presidentes foram feridos em tentativas de assassinatos, também por tiros: Theodore Roosevelt (1912; ex -presidente da época) e Ronald Reagan (1981).</v>
      </c>
    </row>
    <row r="917" customFormat="false" ht="15.75" hidden="false" customHeight="true" outlineLevel="0" collapsed="false">
      <c r="A917" s="3" t="n">
        <v>914</v>
      </c>
      <c r="B917" s="5" t="s">
        <v>2735</v>
      </c>
      <c r="C917" s="5" t="s">
        <v>2736</v>
      </c>
      <c r="D917" s="5" t="s">
        <v>2737</v>
      </c>
      <c r="E917" s="4" t="str">
        <f aca="false">IFERROR(__xludf.dummyfunction("GOOGLETRANSLATE(C918)"),"Quais são as línguas mais faladas na África")</f>
        <v>Quais são as línguas mais faladas na África</v>
      </c>
      <c r="F917" s="5" t="str">
        <f aca="false">IFERROR(__xludf.dummyfunction("GOOGLETRANSLATE(D917)")," Esse princípio sustenta que, quando a mente humana (sistema perceptivo) forma uma percepção ou `` gestalt '', o todo tem uma realidade própria, independente das partes. A famosa frase original do psicóloga da Gestalt Kurt Koffka, `` O todo é outra coisa "&amp;"que a soma de suas partes '' é frequentemente traduzida incorretamente como `` o todo é maior que a soma de suas partes '' e, portanto, usada ao explicar A teoria da gestalt, e ainda mais aplicada incorretamente à teoria dos sistemas. Koffka não gostou da"&amp;" tradução. Ele corrigiu firmemente os alunos que substituíram `` Outros '' por `` maior ''. `` Este não é um princípio de adição '', disse ele. O todo tem uma existência independente.")</f>
        <v> Esse princípio sustenta que, quando a mente humana (sistema perceptivo) forma uma percepção ou `` gestalt '', o todo tem uma realidade própria, independente das partes. A famosa frase original do psicóloga da Gestalt Kurt Koffka, `` O todo é outra coisa que a soma de suas partes '' é frequentemente traduzida incorretamente como `` o todo é maior que a soma de suas partes '' e, portanto, usada ao explicar A teoria da gestalt, e ainda mais aplicada incorretamente à teoria dos sistemas. Koffka não gostou da tradução. Ele corrigiu firmemente os alunos que substituíram `` Outros '' por `` maior ''. `` Este não é um princípio de adição '', disse ele. O todo tem uma existência independente.</v>
      </c>
    </row>
    <row r="918" customFormat="false" ht="15.75" hidden="false" customHeight="true" outlineLevel="0" collapsed="false">
      <c r="A918" s="3" t="n">
        <v>915</v>
      </c>
      <c r="B918" s="5" t="s">
        <v>2738</v>
      </c>
      <c r="C918" s="5" t="s">
        <v>2739</v>
      </c>
      <c r="D918" s="5" t="s">
        <v>2740</v>
      </c>
      <c r="E918" s="4" t="str">
        <f aca="false">IFERROR(__xludf.dummyfunction("GOOGLETRANSLATE(C919)"),"que desempenha o papel principal na aplicação da Lei Federal de Habitação Justo")</f>
        <v>que desempenha o papel principal na aplicação da Lei Federal de Habitação Justo</v>
      </c>
      <c r="F918" s="5" t="str">
        <f aca="false">IFERROR(__xludf.dummyfunction("GOOGLETRANSLATE(D918)"),"   Estatística oficial da Família Família (L1) Estatística oficial da África Indo - Europa 7.200.000 Namíbia, África do Sul Akan Niger - Congo 11.000.000 Nenhum Government Sponsored Language of Ghana Amharic Afroasiatic 21,800,000 Ethiopia Arabic Afroasia"&amp;"tic 150,000,000 but with Separate Mutually Unintelligible Vareties Algeria , Chad , comros , Djibouti , Eritrea , Eritrea , Libya , Mauritania Somalia , Sudan , Tunisia Berber Afroasiatic 56,000,000 ( included ) Unintelligible varieties ) Morocco , Algeri"&amp;"a CHEWA NIGER - Congo 9.700.000 Malawi, Zimbábue Inglês Indo - Europa 6.500.000 (estimado, ver lista de entstedos territoriais em inglês é um idioma oficial francês Indo - Europa) Ver lista de inentidades territoriais em que o francês é um idioma oficial "&amp;"Page niger - Congo 25.000.000 alemão alemão Indo - Língua Nacional da Europa de Nammabia Gikuyu Niger - Congo 6.600.000 Hausa Afroasiatic 34.000.000 Nigéria, Níger Igbo Niger - Congo 18.000.000 Kinwanda Niger - Congo 9,8 00.000 Rwand Kirundi Niger - Congo"&amp;" 8.800.000 Burundi Kongo Niger Niger Niger Niger - Rwanda Kirundi Niger - Congo 8,800.000 Burundi Kongo Nigno Niger Niger Niger. de Angola lenta lenta niger - Congo 5.500.000 Língua Nacional da República Democrática do Congo Luganda Niger - Congo 4.130.00"&amp;"0 Língua Nativa do Uganda Luo Nilo - Saara (provável) 4,200,0 RONESIAN 18.000 Madaguascar Mauritian Maurice Indóia -Europa 1,0 RONESIAN 18.000.000 Madaguascar Mauritian Maurice Niger -- Congo 7,600,000 recognal language in Burkina faso ndebe ndebe ndebe n"&amp;"debe ndebe niger -- statutory national language in south africa northern sotho niger -- Congo 4,600,0 ,000,000 Ethiopia Portuguese indo - Europe 13,700,000 ( Estimated ) Angola , Cape Verde , Guinea - Bissau, Guiné Equatorial, Moçambique, São Tomé e Prínc"&amp;"ipe Seniger - Congo 5.600.000 Lesoto, África do Sul, Zimbábue Shona Niger - Congo Manyika , Ndau ( 2000 -- 2006 ) Zimbabwe Somali Afroasiatic 16,600,000 Somalia Spanish Indo - Europe 4,101,590 Equatorial Guinea , Morocco 000 Official in Tanzania , Kenya ,"&amp;" Uganda , Rwanda National Language of Democratic Republic of Congo Tigrinya Afroasiatic 7,000,000 Eritrean Tshiluba Niger -- Congo 6,300,000 (1991) Língua Nacional da República Democrática do Congo Tswana Niger - Congo 5.800.000 África do Sul Gnifi Língua"&amp;" Nacional de Angola Xhosa Niger - Congo 7.600.000 África do Sul, Zimbábue Yoruba Niger - Congo 28.000.000 Nigeria, Benin Zulu Niger - Congo 10,4,4,4. África")</f>
        <v>   Estatística oficial da Família Família (L1) Estatística oficial da África Indo - Europa 7.200.000 Namíbia, África do Sul Akan Niger - Congo 11.000.000 Nenhum Government Sponsored Language of Ghana Amharic Afroasiatic 21,800,000 Ethiopia Arabic Afroasiatic 150,000,000 but with Separate Mutually Unintelligible Vareties Algeria , Chad , comros , Djibouti , Eritrea , Eritrea , Libya , Mauritania Somalia , Sudan , Tunisia Berber Afroasiatic 56,000,000 ( included ) Unintelligible varieties ) Morocco , Algeria CHEWA NIGER - Congo 9.700.000 Malawi, Zimbábue Inglês Indo - Europa 6.500.000 (estimado, ver lista de entstedos territoriais em inglês é um idioma oficial francês Indo - Europa) Ver lista de inentidades territoriais em que o francês é um idioma oficial Page niger - Congo 25.000.000 alemão alemão Indo - Língua Nacional da Europa de Nammabia Gikuyu Niger - Congo 6.600.000 Hausa Afroasiatic 34.000.000 Nigéria, Níger Igbo Niger - Congo 18.000.000 Kinwanda Niger - Congo 9,8 00.000 Rwand Kirundi Niger - Congo 8.800.000 Burundi Kongo Niger Niger Niger Niger - Rwanda Kirundi Niger - Congo 8,800.000 Burundi Kongo Nigno Niger Niger Niger. de Angola lenta lenta niger - Congo 5.500.000 Língua Nacional da República Democrática do Congo Luganda Niger - Congo 4.130.000 Língua Nativa do Uganda Luo Nilo - Saara (provável) 4,200,0 RONESIAN 18.000 Madaguascar Mauritian Maurice Indóia -Europa 1,0 RONESIAN 18.000.000 Madaguascar Mauritian Maurice Niger -- Congo 7,600,000 recognal language in Burkina faso ndebe ndebe ndebe ndebe ndebe niger -- statutory national language in south africa northern sotho niger -- Congo 4,600,0 ,000,000 Ethiopia Portuguese indo - Europe 13,700,000 ( Estimated ) Angola , Cape Verde , Guinea - Bissau, Guiné Equatorial, Moçambique, São Tomé e Príncipe Seniger - Congo 5.600.000 Lesoto, África do Sul, Zimbábue Shona Niger - Congo Manyika , Ndau ( 2000 -- 2006 ) Zimbabwe Somali Afroasiatic 16,600,000 Somalia Spanish Indo - Europe 4,101,590 Equatorial Guinea , Morocco 000 Official in Tanzania , Kenya , Uganda , Rwanda National Language of Democratic Republic of Congo Tigrinya Afroasiatic 7,000,000 Eritrean Tshiluba Niger -- Congo 6,300,000 (1991) Língua Nacional da República Democrática do Congo Tswana Niger - Congo 5.800.000 África do Sul Gnifi Língua Nacional de Angola Xhosa Niger - Congo 7.600.000 África do Sul, Zimbábue Yoruba Niger - Congo 28.000.000 Nigeria, Benin Zulu Niger - Congo 10,4,4,4. África</v>
      </c>
    </row>
    <row r="919" customFormat="false" ht="15.75" hidden="false" customHeight="true" outlineLevel="0" collapsed="false">
      <c r="A919" s="3" t="n">
        <v>916</v>
      </c>
      <c r="B919" s="5" t="s">
        <v>2741</v>
      </c>
      <c r="C919" s="5" t="s">
        <v>2742</v>
      </c>
      <c r="D919" s="5" t="s">
        <v>2743</v>
      </c>
      <c r="E919" s="4" t="str">
        <f aca="false">IFERROR(__xludf.dummyfunction("GOOGLETRANSLATE(C920)"),"Quando o Mayflower chegou à América pela primeira vez")</f>
        <v>Quando o Mayflower chegou à América pela primeira vez</v>
      </c>
      <c r="F919" s="5" t="str">
        <f aca="false">IFERROR(__xludf.dummyfunction("GOOGLETRANSLATE(D919)")," A Fair Housing Act foi promulgada como Título VIII da Lei dos Direitos Civis de 1968 e codificou em 42 U.S.C. 3601 - 3619, com penalidades por violação em 42 U.S.C. 3631. É aplicado pelo Departamento de Habitação e Desenvolvimento Urbano dos Estados Unid"&amp;"os.")</f>
        <v> A Fair Housing Act foi promulgada como Título VIII da Lei dos Direitos Civis de 1968 e codificou em 42 U.S.C. 3601 - 3619, com penalidades por violação em 42 U.S.C. 3631. É aplicado pelo Departamento de Habitação e Desenvolvimento Urbano dos Estados Unidos.</v>
      </c>
    </row>
    <row r="920" customFormat="false" ht="15.75" hidden="false" customHeight="true" outlineLevel="0" collapsed="false">
      <c r="A920" s="3" t="n">
        <v>917</v>
      </c>
      <c r="B920" s="5" t="s">
        <v>2744</v>
      </c>
      <c r="C920" s="5" t="s">
        <v>2745</v>
      </c>
      <c r="D920" s="5" t="s">
        <v>2746</v>
      </c>
      <c r="E920" s="4" t="str">
        <f aca="false">IFERROR(__xludf.dummyfunction("GOOGLETRANSLATE(C921)"),"que é a estação ferroviária mais próxima do aeroporto de Chennai")</f>
        <v>que é a estação ferroviária mais próxima do aeroporto de Chennai</v>
      </c>
      <c r="F920" s="5" t="str">
        <f aca="false">IFERROR(__xludf.dummyfunction("GOOGLETRANSLATE(D920)")," O Mayflower era um navio inglês que transportou famosamente os primeiros puritanos ingleses, hoje conhecidos como os peregrinos, de Plymouth, Inglaterra para o Novo Mundo em 1620. Havia 102 passageiros, e estima -se que a tripulação tenha sido de cerca d"&amp;"e 30, mas o número exato é desconhecido. Essa viagem se tornou uma história icônica em alguns dos primeiros anais da história americana, com sua história de morte e sobrevivência no severo ambiente de inverno da Nova Inglaterra. O culminar da viagem na as"&amp;"sinatura do Mayflower Compact foi um evento que estabeleceu uma forma rudimentar de democracia, com cada membro contribuindo para o bem -estar da comunidade. Havia um segundo navio chamado Mayflower que fez de Londres a Voyage de Plymouth, Massachusetts v"&amp;"árias vezes.")</f>
        <v> O Mayflower era um navio inglês que transportou famosamente os primeiros puritanos ingleses, hoje conhecidos como os peregrinos, de Plymouth, Inglaterra para o Novo Mundo em 1620. Havia 102 passageiros, e estima -se que a tripulação tenha sido de cerca de 30, mas o número exato é desconhecido. Essa viagem se tornou uma história icônica em alguns dos primeiros anais da história americana, com sua história de morte e sobrevivência no severo ambiente de inverno da Nova Inglaterra. O culminar da viagem na assinatura do Mayflower Compact foi um evento que estabeleceu uma forma rudimentar de democracia, com cada membro contribuindo para o bem -estar da comunidade. Havia um segundo navio chamado Mayflower que fez de Londres a Voyage de Plymouth, Massachusetts várias vezes.</v>
      </c>
    </row>
    <row r="921" customFormat="false" ht="15.75" hidden="false" customHeight="true" outlineLevel="0" collapsed="false">
      <c r="A921" s="3" t="n">
        <v>918</v>
      </c>
      <c r="B921" s="5" t="s">
        <v>2747</v>
      </c>
      <c r="C921" s="5" t="s">
        <v>2748</v>
      </c>
      <c r="D921" s="5" t="s">
        <v>2749</v>
      </c>
      <c r="E921" s="4" t="str">
        <f aca="false">IFERROR(__xludf.dummyfunction("GOOGLETRANSLATE(C922)"),"Qual é a duração da costa da Índia")</f>
        <v>Qual é a duração da costa da Índia</v>
      </c>
      <c r="F921" s="5" t="str">
        <f aca="false">IFERROR(__xludf.dummyfunction("GOOGLETRANSLATE(D921)")," A estação ferroviária de Tirusulam é uma das estações ferroviárias da praia de Chennai - seção de Chengalpattu da rede ferroviária suburbana de Chennai. Serve ao bairro de Tirusulam, um subúrbio de Chennai, onde está localizado o aeroporto da cidade. Est"&amp;"á localizado a uma distância de 21 km do terminal de Chennai Beach e está situado na estrada GST do outro lado do aeroporto, com uma elevação de 20 m acima do nível do mar.")</f>
        <v> A estação ferroviária de Tirusulam é uma das estações ferroviárias da praia de Chennai - seção de Chengalpattu da rede ferroviária suburbana de Chennai. Serve ao bairro de Tirusulam, um subúrbio de Chennai, onde está localizado o aeroporto da cidade. Está localizado a uma distância de 21 km do terminal de Chennai Beach e está situado na estrada GST do outro lado do aeroporto, com uma elevação de 20 m acima do nível do mar.</v>
      </c>
    </row>
    <row r="922" customFormat="false" ht="15.75" hidden="false" customHeight="true" outlineLevel="0" collapsed="false">
      <c r="A922" s="3" t="n">
        <v>919</v>
      </c>
      <c r="B922" s="5" t="s">
        <v>2750</v>
      </c>
      <c r="C922" s="5" t="s">
        <v>2751</v>
      </c>
      <c r="D922" s="5" t="s">
        <v>2752</v>
      </c>
      <c r="E922" s="4" t="str">
        <f aca="false">IFERROR(__xludf.dummyfunction("GOOGLETRANSLATE(C923)"),"Qual é o objetivo de usar um IDE no desenvolvimento de aplicativos")</f>
        <v>Qual é o objetivo de usar um IDE no desenvolvimento de aplicativos</v>
      </c>
      <c r="F922" s="5" t="str">
        <f aca="false">IFERROR(__xludf.dummyfunction("GOOGLETRANSLATE(D922)")," A Índia fica na placa indiana, a parte norte da placa indo -australiana, cuja crosta continental forma o subcontinente indiano. O país está situado ao norte do equador entre 8 ° 4 'e 37 ° 6' de latitude norte e 68 ° 7 'a 97 ° 25' de longitude leste. É o "&amp;"sétimo país maior do mundo, com uma área total de 3.287.469 quilômetros quadrados (1.269.299 metros quadrados). A Índia mede 3.214 km (1.997 mi) de norte a sul e 2.933 km (1.822 mi) de leste a oeste. Possui uma fronteira terrestre de 15.106,7 km (9.387 mi"&amp;") e uma costa de 7.516,6 km (4.671 mi).")</f>
        <v> A Índia fica na placa indiana, a parte norte da placa indo -australiana, cuja crosta continental forma o subcontinente indiano. O país está situado ao norte do equador entre 8 ° 4 'e 37 ° 6' de latitude norte e 68 ° 7 'a 97 ° 25' de longitude leste. É o sétimo país maior do mundo, com uma área total de 3.287.469 quilômetros quadrados (1.269.299 metros quadrados). A Índia mede 3.214 km (1.997 mi) de norte a sul e 2.933 km (1.822 mi) de leste a oeste. Possui uma fronteira terrestre de 15.106,7 km (9.387 mi) e uma costa de 7.516,6 km (4.671 mi).</v>
      </c>
    </row>
    <row r="923" customFormat="false" ht="15.75" hidden="false" customHeight="true" outlineLevel="0" collapsed="false">
      <c r="A923" s="3" t="n">
        <v>920</v>
      </c>
      <c r="B923" s="5" t="s">
        <v>2753</v>
      </c>
      <c r="C923" s="5" t="s">
        <v>2754</v>
      </c>
      <c r="D923" s="5" t="s">
        <v>2755</v>
      </c>
      <c r="E923" s="4" t="str">
        <f aca="false">IFERROR(__xludf.dummyfunction("GOOGLETRANSLATE(C924)"),"O significado de As Vesta era de Latmos Hill descendo")</f>
        <v>O significado de As Vesta era de Latmos Hill descendo</v>
      </c>
      <c r="F923" s="5" t="str">
        <f aca="false">IFERROR(__xludf.dummyfunction("GOOGLETRANSLATE(D923)")," Um ambiente de desenvolvimento integrado (IDE) é um aplicativo de software que fornece instalações abrangentes a programadores de computadores para o desenvolvimento de software. Um IDE normalmente consiste em um editor de código -fonte, ferramentas de a"&amp;"utomação de construção e um depurador. A maioria dos IDEs modernos tem conclusão inteligente de código. Alguns IDEs, como NetBeans e Eclipse, contêm um compilador, intérprete ou ambos; Outros, como SharpDevelop e Lázaro, não. O limite entre um ambiente de"&amp;" desenvolvimento integrado e outras partes do ambiente mais amplo de desenvolvimento de software não está bem - definido. Às vezes, um sistema de controle de versão, ou várias ferramentas para simplificar a construção de uma interface gráfica do usuário ("&amp;"GUI), são integradas. Muitos IDEs modernos também têm um navegador de classe, um navegador de objetos e um diagrama de hierarquia de classes, para uso no desenvolvimento de software orientado a objetos.")</f>
        <v> Um ambiente de desenvolvimento integrado (IDE) é um aplicativo de software que fornece instalações abrangentes a programadores de computadores para o desenvolvimento de software. Um IDE normalmente consiste em um editor de código -fonte, ferramentas de automação de construção e um depurador. A maioria dos IDEs modernos tem conclusão inteligente de código. Alguns IDEs, como NetBeans e Eclipse, contêm um compilador, intérprete ou ambos; Outros, como SharpDevelop e Lázaro, não. O limite entre um ambiente de desenvolvimento integrado e outras partes do ambiente mais amplo de desenvolvimento de software não está bem - definido. Às vezes, um sistema de controle de versão, ou várias ferramentas para simplificar a construção de uma interface gráfica do usuário (GUI), são integradas. Muitos IDEs modernos também têm um navegador de classe, um navegador de objetos e um diagrama de hierarquia de classes, para uso no desenvolvimento de software orientado a objetos.</v>
      </c>
    </row>
    <row r="924" customFormat="false" ht="15.75" hidden="false" customHeight="true" outlineLevel="0" collapsed="false">
      <c r="A924" s="3" t="n">
        <v>921</v>
      </c>
      <c r="B924" s="5" t="s">
        <v>2756</v>
      </c>
      <c r="C924" s="5" t="s">
        <v>2757</v>
      </c>
      <c r="D924" s="5" t="s">
        <v>2758</v>
      </c>
      <c r="E924" s="4" t="str">
        <f aca="false">IFERROR(__xludf.dummyfunction("GOOGLETRANSLATE(C925)"),"Quando começa o ano do orçamento federal e termina")</f>
        <v>Quando começa o ano do orçamento federal e termina</v>
      </c>
      <c r="F924" s="5" t="str">
        <f aca="false">IFERROR(__xludf.dummyfunction("GOOGLETRANSLATE(D924)")," MM 1 - 9: `` Latmos Hill '' - `` Hill '' é sempre definido com a nota mais alta na frase mm 8 - 9: `` descendente ' - usa escalas descendentes e saltos MM 12 - 22: `` Ascendente '' - usa escalas ascendentes MM 36 - 46: `` Running the Hill '' - usa escala"&amp;"s descendentes rapidamente em polifonia imitativa mm 48 - 49: `` dois por dois '' - duas vozes cantam mm 50 - 51: `` `três por três '' - três vozes cantam mm 51 - 52:` `` `` `` ` Fair Oriana '' - A voz baixa começa com Longa, continua com notas longas e s"&amp;"ustentadas")</f>
        <v> MM 1 - 9: `` Latmos Hill '' - `` Hill '' é sempre definido com a nota mais alta na frase mm 8 - 9: `` descendente ' - usa escalas descendentes e saltos MM 12 - 22: `` Ascendente '' - usa escalas ascendentes MM 36 - 46: `` Running the Hill '' - usa escalas descendentes rapidamente em polifonia imitativa mm 48 - 49: `` dois por dois '' - duas vozes cantam mm 50 - 51: `` `três por três '' - três vozes cantam mm 51 - 52:` `` `` `` ` Fair Oriana '' - A voz baixa começa com Longa, continua com notas longas e sustentadas</v>
      </c>
    </row>
    <row r="925" customFormat="false" ht="15.75" hidden="false" customHeight="true" outlineLevel="0" collapsed="false">
      <c r="A925" s="3" t="n">
        <v>922</v>
      </c>
      <c r="B925" s="5" t="s">
        <v>2759</v>
      </c>
      <c r="C925" s="5" t="s">
        <v>2760</v>
      </c>
      <c r="D925" s="5" t="s">
        <v>2761</v>
      </c>
      <c r="E925" s="4" t="str">
        <f aca="false">IFERROR(__xludf.dummyfunction("GOOGLETRANSLATE(C926)"),"Quem cantou meu coração bate como um tambor")</f>
        <v>Quem cantou meu coração bate como um tambor</v>
      </c>
      <c r="F925" s="5" t="str">
        <f aca="false">IFERROR(__xludf.dummyfunction("GOOGLETRANSLATE(D925)")," O documento orçamentário geralmente começa como a proposta do presidente ao Congresso dos EUA, que recomenda os níveis de financiamento para o próximo ano fiscal, a partir de 1º de outubro e terminando em 30 de setembro do ano seguinte. O ano fiscal é no"&amp;"meado para o ano em que termina. No entanto, o Congresso é o órgão exigido por lei para aprovar apropriações anualmente e enviar projetos de lei de financiamento aprovados por ambas as casas ao presidente para assinatura. As decisões do Congresso são gove"&amp;"rnadas por regras e legislação sobre o processo orçamentário federal. Os comitês de orçamento estabelecem limites de gastos para os comitês da Câmara e do Senado e para os subcomitês de apropriações, que aprovam projetos de apropriações individuais para a"&amp;"locar financiamento para vários programas federais.")</f>
        <v> O documento orçamentário geralmente começa como a proposta do presidente ao Congresso dos EUA, que recomenda os níveis de financiamento para o próximo ano fiscal, a partir de 1º de outubro e terminando em 30 de setembro do ano seguinte. O ano fiscal é nomeado para o ano em que termina. No entanto, o Congresso é o órgão exigido por lei para aprovar apropriações anualmente e enviar projetos de lei de financiamento aprovados por ambas as casas ao presidente para assinatura. As decisões do Congresso são governadas por regras e legislação sobre o processo orçamentário federal. Os comitês de orçamento estabelecem limites de gastos para os comitês da Câmara e do Senado e para os subcomitês de apropriações, que aprovam projetos de apropriações individuais para alocar financiamento para vários programas federais.</v>
      </c>
    </row>
    <row r="926" customFormat="false" ht="15.75" hidden="false" customHeight="true" outlineLevel="0" collapsed="false">
      <c r="A926" s="3" t="n">
        <v>923</v>
      </c>
      <c r="B926" s="5" t="s">
        <v>2762</v>
      </c>
      <c r="C926" s="5" t="s">
        <v>2763</v>
      </c>
      <c r="D926" s="5" t="s">
        <v>2764</v>
      </c>
      <c r="E926" s="4" t="str">
        <f aca="false">IFERROR(__xludf.dummyfunction("GOOGLETRANSLATE(C927)"),"quem escreveu a música tudo que eu preciso é o ar que eu respiro")</f>
        <v>quem escreveu a música tudo que eu preciso é o ar que eu respiro</v>
      </c>
      <c r="F926" s="5" t="str">
        <f aca="false">IFERROR(__xludf.dummyfunction("GOOGLETRANSLATE(D926)")," Meu coração bate como um tambor (Dum Dum Dum) é o segundo single do Grupo de Eurodância Alemão ATC de seu álbum de estréia, Planet Pop. Embora não seja tão bem -sucedido quanto em todo o mundo (La La La La La), ainda foi um dos 10 melhores países em vári"&amp;"os países da Europa.")</f>
        <v> Meu coração bate como um tambor (Dum Dum Dum) é o segundo single do Grupo de Eurodância Alemão ATC de seu álbum de estréia, Planet Pop. Embora não seja tão bem -sucedido quanto em todo o mundo (La La La La La), ainda foi um dos 10 melhores países em vários países da Europa.</v>
      </c>
    </row>
    <row r="927" customFormat="false" ht="15.75" hidden="false" customHeight="true" outlineLevel="0" collapsed="false">
      <c r="A927" s="3" t="n">
        <v>924</v>
      </c>
      <c r="B927" s="5" t="s">
        <v>2765</v>
      </c>
      <c r="C927" s="5" t="s">
        <v>2766</v>
      </c>
      <c r="D927" s="5" t="s">
        <v>2767</v>
      </c>
      <c r="E927" s="4" t="str">
        <f aca="false">IFERROR(__xludf.dummyfunction("GOOGLETRANSLATE(C928)"),"Na Índia, que o caso ouvido pela maior constituição de todos os tempos")</f>
        <v>Na Índia, que o caso ouvido pela maior constituição de todos os tempos</v>
      </c>
      <c r="F927" s="5" t="str">
        <f aca="false">IFERROR(__xludf.dummyfunction("GOOGLETRANSLATE(D927)")," `` O ar que eu respiro '' é uma balada escrita por Albert Hammond e Mike Hazlewood, inicialmente gravada por Albert Hammond em seu álbum de 1972, Never Rains, no sul da Califórnia.")</f>
        <v> `` O ar que eu respiro '' é uma balada escrita por Albert Hammond e Mike Hazlewood, inicialmente gravada por Albert Hammond em seu álbum de 1972, Never Rains, no sul da Califórnia.</v>
      </c>
    </row>
    <row r="928" customFormat="false" ht="15.75" hidden="false" customHeight="true" outlineLevel="0" collapsed="false">
      <c r="A928" s="3" t="n">
        <v>925</v>
      </c>
      <c r="B928" s="5" t="s">
        <v>2768</v>
      </c>
      <c r="C928" s="5" t="s">
        <v>2769</v>
      </c>
      <c r="D928" s="5" t="s">
        <v>2770</v>
      </c>
      <c r="E928" s="4" t="str">
        <f aca="false">IFERROR(__xludf.dummyfunction("GOOGLETRANSLATE(C929)"),"Quando estava no topo do lago que a menina")</f>
        <v>Quando estava no topo do lago que a menina</v>
      </c>
      <c r="F928" s="5" t="str">
        <f aca="false">IFERROR(__xludf.dummyfunction("GOOGLETRANSLATE(D928)")," A Suprema Corte revisou a decisão em Golaknath v. Estado de Punjab e considerou a validade das emendas 24, 25, 26 e 29. O caso foi ouvido pelo maior banco de constituição de 13 juízes. O banco deu onze julgamentos separados, que concordaram em alguns pon"&amp;"tos e diferiram em outros. Nanabhoy Palkhivala, assistido por Fali Nariman, apresentou o caso contra o governo em ambos os casos.")</f>
        <v> A Suprema Corte revisou a decisão em Golaknath v. Estado de Punjab e considerou a validade das emendas 24, 25, 26 e 29. O caso foi ouvido pelo maior banco de constituição de 13 juízes. O banco deu onze julgamentos separados, que concordaram em alguns pontos e diferiram em outros. Nanabhoy Palkhivala, assistido por Fali Nariman, apresentou o caso contra o governo em ambos os casos.</v>
      </c>
    </row>
    <row r="929" customFormat="false" ht="15.75" hidden="false" customHeight="true" outlineLevel="0" collapsed="false">
      <c r="A929" s="3" t="n">
        <v>926</v>
      </c>
      <c r="B929" s="5" t="s">
        <v>2771</v>
      </c>
      <c r="C929" s="5" t="s">
        <v>2772</v>
      </c>
      <c r="D929" s="5" t="s">
        <v>2773</v>
      </c>
      <c r="E929" s="4" t="str">
        <f aca="false">IFERROR(__xludf.dummyfunction("GOOGLETRANSLATE(C930)"),"quem é o ator que interpretou o doutor Strange")</f>
        <v>quem é o ator que interpretou o doutor Strange</v>
      </c>
      <c r="F929" s="5" t="str">
        <f aca="false">IFERROR(__xludf.dummyfunction("GOOGLETRANSLATE(D929)")," Top of the Lake é uma série de televisão de drama misteriosa criada e escrita por Jane Campion e Gerard Lee, e dirigida por Campion e Garth Davis. Ele foi ao ar em 2013, e a sequência, intitulada Top of the Lake: China Girl, em 2017. Ele marca o primeiro"&amp;" trabalho de Campion para a televisão desde um anjo na minha mesa em 1990.")</f>
        <v> Top of the Lake é uma série de televisão de drama misteriosa criada e escrita por Jane Campion e Gerard Lee, e dirigida por Campion e Garth Davis. Ele foi ao ar em 2013, e a sequência, intitulada Top of the Lake: China Girl, em 2017. Ele marca o primeiro trabalho de Campion para a televisão desde um anjo na minha mesa em 1990.</v>
      </c>
    </row>
    <row r="930" customFormat="false" ht="15.75" hidden="false" customHeight="true" outlineLevel="0" collapsed="false">
      <c r="A930" s="3" t="n">
        <v>927</v>
      </c>
      <c r="B930" s="5" t="s">
        <v>2774</v>
      </c>
      <c r="C930" s="5" t="s">
        <v>2775</v>
      </c>
      <c r="D930" s="5" t="s">
        <v>2776</v>
      </c>
      <c r="E930" s="4" t="str">
        <f aca="false">IFERROR(__xludf.dummyfunction("GOOGLETRANSLATE(C931)"),"Como o canal Dave costumava ser chamado")</f>
        <v>Como o canal Dave costumava ser chamado</v>
      </c>
      <c r="F930" s="5" t="str">
        <f aca="false">IFERROR(__xludf.dummyfunction("GOOGLETRANSLATE(D930)")," Doctor Strange é um filme de super -herói americano de 2016 baseado no personagem Marvel Comics de mesmo nome, produzido pela Marvel Studios e distribuído pelos filmes Walt Disney Studios. É o décimo quarto filme do universo cinematográfico da Marvel (MC"&amp;"U). The film was directed by Scott Derrickson , who wrote it with Jon Spaihts and C. Robert Cargill , and stars Benedict Cumberbatch as the titular character , along with Chiwetel Ejiofor , Rachel McAdams , Benedict Wong , Michael Stuhlbarg , Benjamin Bra"&amp;"tt , Scott Adkins , Mads Mikkelsen e Tilda Swinton. Em Doctor Strange, o cirurgião Strange aprende as artes místicas após uma carreira - terminando o acidente de carro.")</f>
        <v> Doctor Strange é um filme de super -herói americano de 2016 baseado no personagem Marvel Comics de mesmo nome, produzido pela Marvel Studios e distribuído pelos filmes Walt Disney Studios. É o décimo quarto filme do universo cinematográfico da Marvel (MCU). The film was directed by Scott Derrickson , who wrote it with Jon Spaihts and C. Robert Cargill , and stars Benedict Cumberbatch as the titular character , along with Chiwetel Ejiofor , Rachel McAdams , Benedict Wong , Michael Stuhlbarg , Benjamin Bratt , Scott Adkins , Mads Mikkelsen e Tilda Swinton. Em Doctor Strange, o cirurgião Strange aprende as artes místicas após uma carreira - terminando o acidente de carro.</v>
      </c>
    </row>
    <row r="931" customFormat="false" ht="15.75" hidden="false" customHeight="true" outlineLevel="0" collapsed="false">
      <c r="A931" s="3" t="n">
        <v>928</v>
      </c>
      <c r="B931" s="5" t="s">
        <v>2777</v>
      </c>
      <c r="C931" s="5" t="s">
        <v>2778</v>
      </c>
      <c r="D931" s="5" t="s">
        <v>2779</v>
      </c>
      <c r="E931" s="4" t="str">
        <f aca="false">IFERROR(__xludf.dummyfunction("GOOGLETRANSLATE(C932)"),"quem venceu o jogo do campeonato da SEC este ano")</f>
        <v>quem venceu o jogo do campeonato da SEC este ano</v>
      </c>
      <c r="F931" s="5" t="str">
        <f aca="false">IFERROR(__xludf.dummyfunction("GOOGLETRANSLATE(D931)"),"   Dave lançado em 2 de outubro de 1998 de propriedade da UKTV (BBC Studios / Discovery Networks Northern Europe) Formato 576i (4: 3 e 16: 9) (SDTV), 1080i (HDTV) Compartilhe 1,05 0,10 % (Dave Ja Vu) (janeiro de 2018 (2018 - 01), Barb) slogan `` The Home "&amp;"of Witty brincalhão '' Area de transmissão do Reino Unido Irlanda da Irlanda Irlanda Unida Irlanda anteriormente chamada UK Gold Classics (1998 - 1999) UK Gold 2 (1999 - 2003) UKG2 (2003 - 2004) UKTV G2 (2004- 2007) Canal (s) da irmã do Drama Alibi Eden G"&amp;"old Good Food Home Realmente, Ontem, Serviço de Timeshift Dave Ja Vu Site Dave.uktv.co.uk Disponibilidade Terrestial Freeview Channel 12 Channel 79 (JA VU) Satellite Freesat Channel 157 Sky Channel 111 (SD / HD) Channel 211 (JA VU) Channel 811 (SD) Astra "&amp;"2F 12129 V 27500 2/3 Mídia virgem de cabo (UK) Channel 127 Channel 194 (HD) Channel 211 (JA VU) Virgin Media (Irlanda) Channel 122 IPTV BT TV Channel 387 (HD) EIR Visão Channel 111 Vodafone TV Channel 121 Streaming Media TVPlayer Watch Live (Somente Reino"&amp;" Unido) Assista ao vivo (Dave Ja Vu) (Somente Reino Unido) Somente Irlanda) Virgin TV Go Watch Live (somente do Reino Unido)")</f>
        <v>   Dave lançado em 2 de outubro de 1998 de propriedade da UKTV (BBC Studios / Discovery Networks Northern Europe) Formato 576i (4: 3 e 16: 9) (SDTV), 1080i (HDTV) Compartilhe 1,05 0,10 % (Dave Ja Vu) (janeiro de 2018 (2018 - 01), Barb) slogan `` The Home of Witty brincalhão '' Area de transmissão do Reino Unido Irlanda da Irlanda Irlanda Unida Irlanda anteriormente chamada UK Gold Classics (1998 - 1999) UK Gold 2 (1999 - 2003) UKG2 (2003 - 2004) UKTV G2 (2004- 2007) Canal (s) da irmã do Drama Alibi Eden Gold Good Food Home Realmente, Ontem, Serviço de Timeshift Dave Ja Vu Site Dave.uktv.co.uk Disponibilidade Terrestial Freeview Channel 12 Channel 79 (JA VU) Satellite Freesat Channel 157 Sky Channel 111 (SD / HD) Channel 211 (JA VU) Channel 811 (SD) Astra 2F 12129 V 27500 2/3 Mídia virgem de cabo (UK) Channel 127 Channel 194 (HD) Channel 211 (JA VU) Virgin Media (Irlanda) Channel 122 IPTV BT TV Channel 387 (HD) EIR Visão Channel 111 Vodafone TV Channel 121 Streaming Media TVPlayer Watch Live (Somente Reino Unido) Assista ao vivo (Dave Ja Vu) (Somente Reino Unido) Somente Irlanda) Virgin TV Go Watch Live (somente do Reino Unido)</v>
      </c>
    </row>
    <row r="932" customFormat="false" ht="15.75" hidden="false" customHeight="true" outlineLevel="0" collapsed="false">
      <c r="A932" s="3" t="n">
        <v>929</v>
      </c>
      <c r="B932" s="5" t="s">
        <v>2780</v>
      </c>
      <c r="C932" s="5" t="s">
        <v>2781</v>
      </c>
      <c r="D932" s="5" t="s">
        <v>2782</v>
      </c>
      <c r="E932" s="4" t="str">
        <f aca="false">IFERROR(__xludf.dummyfunction("GOOGLETRANSLATE(C933)"),"O que significa o pai e o Espírito Santo")</f>
        <v>O que significa o pai e o Espírito Santo</v>
      </c>
      <c r="F932" s="5" t="str">
        <f aca="false">IFERROR(__xludf.dummyfunction("GOOGLETRANSLATE(D932)"),"   2017 JOGO DO CAMPEONHO DE SEC GEORGIA BULLDOGS AUBURN TIGERS (11 - 1) (10 - 2) 28 7 Treinador: Kirby Smart Capid Coach: Gus Malzahn AP Treinadores CFP 6 6 6 AP Coaches CFP Total Georgia 0 10 15 28 Auburn 7 0 0 0 7 Data 2 de dezembro de 2017 Temporada 2"&amp;"017 Estádio Mercedes - Benz Stadium Localização Atlanta, Georgia MVP ROQUAN SMITH Georgia Favorda Georgia por 1,5 Árbitro John McDaid Participação 76.534 Estados Unidos Cobertura de TV Network CBS, Westwood One, Sec Radio Anunciantes Brad Nessler, Gary Da"&amp;"nielson e Allie Laforce (CBS) Ryan Radtke, Derek Rackley e Olivia Harlan (Westwood One) Dave Neal, David Archer e David Crane (SEC Radio) Sec Championship Game 2018&gt;")</f>
        <v>   2017 JOGO DO CAMPEONHO DE SEC GEORGIA BULLDOGS AUBURN TIGERS (11 - 1) (10 - 2) 28 7 Treinador: Kirby Smart Capid Coach: Gus Malzahn AP Treinadores CFP 6 6 6 AP Coaches CFP Total Georgia 0 10 15 28 Auburn 7 0 0 0 7 Data 2 de dezembro de 2017 Temporada 2017 Estádio Mercedes - Benz Stadium Localização Atlanta, Georgia MVP ROQUAN SMITH Georgia Favorda Georgia por 1,5 Árbitro John McDaid Participação 76.534 Estados Unidos Cobertura de TV Network CBS, Westwood One, Sec Radio Anunciantes Brad Nessler, Gary Danielson e Allie Laforce (CBS) Ryan Radtke, Derek Rackley e Olivia Harlan (Westwood One) Dave Neal, David Archer e David Crane (SEC Radio) Sec Championship Game 2018&gt;</v>
      </c>
    </row>
    <row r="933" customFormat="false" ht="15.75" hidden="false" customHeight="true" outlineLevel="0" collapsed="false">
      <c r="A933" s="3" t="n">
        <v>930</v>
      </c>
      <c r="B933" s="5" t="s">
        <v>2783</v>
      </c>
      <c r="C933" s="5" t="s">
        <v>2784</v>
      </c>
      <c r="D933" s="5" t="s">
        <v>2785</v>
      </c>
      <c r="E933" s="4" t="str">
        <f aca="false">IFERROR(__xludf.dummyfunction("GOOGLETRANSLATE(C934)"),"quem marcou o segundo mais pontos em um jogo da NBA")</f>
        <v>quem marcou o segundo mais pontos em um jogo da NBA</v>
      </c>
      <c r="F933" s="5" t="str">
        <f aca="false">IFERROR(__xludf.dummyfunction("GOOGLETRANSLATE(D933)")," A doutrina cristã da Trindade (latim: trinitas, lit. Espírito - como `` um Deus em três pessoas divinas ''. As três pessoas são distintas, mas são uma `` substância, essência ou natureza '' (homoousios). Nesse contexto, um `` natureza '' é o que é, enqua"&amp;"nto uma `` pessoa '' é quem é. A visão oposta é chamada de não trinitarismo.")</f>
        <v> A doutrina cristã da Trindade (latim: trinitas, lit. Espírito - como `` um Deus em três pessoas divinas ''. As três pessoas são distintas, mas são uma `` substância, essência ou natureza '' (homoousios). Nesse contexto, um `` natureza '' é o que é, enquanto uma `` pessoa '' é quem é. A visão oposta é chamada de não trinitarismo.</v>
      </c>
    </row>
    <row r="934" customFormat="false" ht="15.75" hidden="false" customHeight="true" outlineLevel="0" collapsed="false">
      <c r="A934" s="3" t="n">
        <v>931</v>
      </c>
      <c r="B934" s="5" t="s">
        <v>2786</v>
      </c>
      <c r="C934" s="5" t="s">
        <v>2787</v>
      </c>
      <c r="D934" s="5" t="s">
        <v>2788</v>
      </c>
      <c r="E934" s="4" t="str">
        <f aca="false">IFERROR(__xludf.dummyfunction("GOOGLETRANSLATE(C935)"),"Qual lei na Índia regula os contratos de negócios")</f>
        <v>Qual lei na Índia regula os contratos de negócios</v>
      </c>
      <c r="F934" s="5" t="str">
        <f aca="false">IFERROR(__xludf.dummyfunction("GOOGLETRANSLATE(D934)"),"   Rank Points Data do jogador 1º 2º 3º 4º 4º Equipe Pontuação MP MP FGM FGA 3PM 3PA FTM FTA NOTAS REF. Pontuação por trimestre 100 Chamberlain, Wilt Wilt Chamberlain * 000000001962 - 03 - 02 - 0000 2 de março de 1962 23 18 28 31 31 Philadelphia Warriors "&amp;"New York Knicks 169 - 147 48 36 63 - - 28 32 81 - 01 - 22 - 0000 22 de janeiro de 2006 14 12 27 28 28 Los Angeles Lakers Toronto Raptors 122 - 104 41: 56 28 46 7 13 18 20 78 Chamberlain, Wilt Wilt Chamberlain * 000000001961 - 12 - 08 - 0000, 8 de dezembro"&amp;" de 1961, 1961 - - - - Philadelphia Warriors Los Angeles Lakers 147 - 151 63 31 62 - - 16 31 73 Chamberlain, Wilt Wilt Chamberlain * 000000001962 - 01 - 13 - 0000 13 de janeiro de 1962 - - - - - - - - - - - - Philadelphia Warriors Chicago Packers 135 - 11"&amp;"7 48 29 48 - - 15 25 73 Chamberlain, Wilt Wilt Chamberlain * 000000001962 - 11 - 16 - 0000 16 de novembro de 1962 - - - - São Francisco Warriors Nova York Knicks 127 - 111 48 29 43 - - 15 19 73 Thompson, David David Thompson * 000000001978 - 04 - 09 - 000"&amp;"0 9 de abril de 1978 32 21 9 11 Denver Nuggets Detroit Pistons 137 - 139 43 28 38 - - - - - - - - - 17 20 7 72 Chamberlain, Wilt Wilt Chamberlain * 000000001962 - 11 - 03 - 0000 3 de novembro de 1962 - - - - - San Francisco Warriors Los Angeles Lakers 115"&amp;" - 127 - 29 48 - - 14 18 18 18 8 71 Baylor, Elgin Elgin Baylor * 000000001960 - 11 - 15 - 0000 15 de novembro de 1960 - - - - - Los Angeles Lakers New York Knicks 123 - 108 45 28 48 - - 15 18 71 Robinson, David, David, David, David, David David Robinson *"&amp;" 000000001994 - 04 - 24 - 0000 24 de abril de 1994 18 6 19 28 San Antonio Spurs Los Angeles Clippers 112 - 97 44 26 41 18 25 10 70 Chamberlain, Wilt Wilt Chamberlain * 000000001963 - 03 - 10 - 00 10 de março 10 de março 10 de março, 10 de março, 10 de mar"&amp;"ço, 10 de março , 1963 - - - - São Francisco Warriors Syracuse Nationals 148 - 163 48 27 38 - - 16 22 70 Booker, Devin Devin Booker ^ 000000002017 - 03 - 24 - 0000 24 de março de 2017 10 9 28 28 28 28 28 28 28 28 28 28 28 Phoenix Suns Boston Celtics 120 -"&amp;" 130 45 21 40 11 24 26 12 69 Jordânia, Michael Michael Jordan * 000000001990 - 03 - 28 - 0000 28 de março de 1990 16 15 20 18 18 Chicago Bulls Cleveland Cavaliers 117 - 113 50 23 37 21 21 21 21 21 21 21 21 21 23 13 68 Chamberlain, Wilt Wilt Chamberlain * "&amp;"000000001967 - 12 - 16 - 0000 16 de dezembro de 1967 14 15 15 24 24 Philadelphia 76ers Chicago Bulls 143 - 123 - 30 40 - - 8 22 68 68 Maravich, Pete Maravich * 000000001977 - 02 - 25 a 00 , 1961 - - - - Philadelphia Warriors New York Knicks 135 - 126 - 27"&amp;" 37 - - 13 17 67 Chamberlain, Wilt Wilt Chamberlain * 000000001962 - 02 - 17 - 0000 17 de fevereiro de 1962 - - - - - - - - Philadelphia Warriors St. Louis Hawks 121 - 128 48 26 44 - - 15 20 67 Chamberlain, Wilt Wilt Chamberlain * 000000001962 - 02 - 25 -"&amp;" 0000 25 de fevereiro de 1962 - - - - - - - - - - - - - Philadelphia Warriors New York Knicks 135 - 149 48 25 38 - - 17 22 67 Chamberlain, Wilt Wilt Chamberlain * 000000001963 - 01 - 11 - 0000 11 de janeiro de 1963 - - - - - San Francisco Warriors Los Ang"&amp;"eles Lakers 129 - 134 - 28 47 - - 11 17 19 66 Chamberlain, Wilt Wilt Chamberlain * 000000001969 - 02 - 09 - 0000 9 de fevereiro de 1969 17 17 22 10 Los Angeles Lakers Phoenix Suns 134 - 116 48 35 35 - - - 8 18 20 65 Chamberlain, Wilt Wilt Chamberlain * 00"&amp;"0000001962 - 02 - 13 - 0000 13 de fevereiro de 1962 - - - - Philadelphia Warriors Cincinnati Royals 132 - 152 48 24 40 - 17 30 65 Chamberlain, Wilt Wilt Chamberlain * 000000001962 - 02 - 27 - 00 * 000000001966 - 02 - 07 - 00 - 0000 16 de março de 2007 19 "&amp;"9 24 Los Angeles Lakers Portland Trail Blazers 116 - 111 49: 58 23 39 8 12 11 12 24 64 Baylor, Elgin Elgin Baylor * 000000001959 - 11 - 08 - 0000 8 de novembro 1959 13 12 17 22 Minneapolis Lakers Boston Celtics 136 - 115 - 25 47 - - 14. - 120 43 30 45 - -"&amp;" 5 64 Jordânia, Michael Michael Jordan * 000000001993 - 01 - 16 - 0000 16 de janeiro de 1993 22 8 11 16 Chicago Bulls Orlando Magic 124 - 128 47 27 49 5 9 11 27 63 Fulks Fulks , Joe Joe Fulks * 000000001949 - 02 - 10 - 00 - 12 - 08 - 0000 8 de dezembro de"&amp;" 1961 - - - - - Los Angeles Lakers Philadelphia Warriors 151 - 147 - 23 55 - - 17 24 63 West, Jerry Jerry West * 000000001962 - 01 - 17 - 0000 17 de janeiro de 1962 - - - - Los Angeles Lakers New York Knicks 129 - 121 39 22 36 - - 19 22 63 Chamberlain, Wi"&amp;"lt Wilt Chamberlain * 000000001962 - 12 - 14 - 0000 14 de dezembro de 1962 - - - - São Francisco Warriors Los Angeles Lakers 118 - 120 - 24 41 - - 15 20 63 Chamberlain, Wilt Wilt Chamberlain * 000000001964 - 11 - 26 - 0000 26 de novembro de 1964 - - - - -"&amp;" - São Francisco Warriors Philadelphia 76ers 117 - 128 - 27 58 - - 9 20 63 Gervin, George George Gervin * 000000001978 - 04 - 09 - 0000 9 de abril de 1978 20 33 10 DNP San Antonio Spurs New Orleans Jazz 132 - 153 33 23 49 - - 17 20 63 Jordânia, Michael Mi"&amp;"chael Jordan * 000000001986 - 04 - 20 - 0000 20 de abril de 1986 17 6 ​​13 18 Chicago Bulls Boston Celtics 131 - 135 53 22 41 0 0 19 21 34 62 Chamberlain, Wilt Wilt Chamberlain * 000000001962 - 01 - 14 - 0000 14 de janeiro de 1962 - - - - - Philadelphia W"&amp;"arriors Boston Celtics 136 - 145 48 27 45 - - 8 10 62 Chamberlain, Wilt Wilt Chamberlain * 000000001962 - 01 - 17 - 0000 17 de janeiro de 1962 - - - - - Philadelphia Warriors St. Louis Hawks 136 - 130 53 24 48 - - 14 20 62 Chamberlain, Wilt Wilt Chamberla"&amp;"in * 000000001962 - 01 - 21 - 0000 21 de janeiro de 1962 - - - - - Philadelphia Warriors Syracuse Nationals 139 - 132 53 25 42 - - 12 17 62 Chamberlain, Wilt Wilt Chamberlain * 000000001963 - 01 - 29 - 0000 29 de janeiro, 29 1963 - - - - San Francisco War"&amp;"riors New York Knicks 123 - 103 - 27 44 - - 8 17 62 Chamberlain, Wilt Wilt Chamberlain * 000000001964 - 11 - 15 - 0000 15 de novembro de 1964 - - - - - - - São Francisco Warriors Cincinnati Royals 122 - 106 - 26 44 - - 10 21 62 Chamberlain, Wilt Wilt Cham"&amp;"berlain * 000000001966 - 03 - 03 - 0000 3 de março de 1966 - - - - - - - - - - Philadelphia 76ers São Francisco Warriors 135 - 125 - 26 39 - - 10 19 62 McGrady, Tracy Tracy McGrady * 000000002004 - 03 - 10 - 0000 10 de março de 2004 7 21 24 10 10 Orlando "&amp;"Magic Washington Wizards 108 - 99 45 45 : 50 20 37 5 14 17 26 62 Bryant, Kobe Kobe Bryant 000000002005 - 12 - 20 - 0000 20 de dezembro de 2005 15 17 30 DNP Los Angeles Lakers Dallas Maveicks 112 - 90 32: 53 18 31 10 22 62 Anthony, Carmelo Carmelo Anthony "&amp;"^ 000000002014 - 01 - 24 - 0000 24 de janeiro de 2014 20 17 19 6 New York Knicks Charlotte Bobcats 125 - 96 38: 39 23 35 6 11 10 10 43 61 Mikan, George George Mikan * 000000001952 - 01 - 20 -20 -20 0000 20 de janeiro de 1952 18 18 - - Minneapolis Lakers R"&amp;"ochester Royals 91 - 81 - 22 45 - - 17 21 61 Chamberlain, Wilt Wilt Chamberlain * 000000001961 - 12 - 09 - 0000 9 de dezembro de 1961 - - - - - - - - - - - - Philadelphia Warriors Chicago Packers 135 - 113 48 28 48 - - 5 10 61 Chamberlain, Wilt Wilt Chamb"&amp;"erlain * 000000001962 - 02 - 22 - 0000 22 de fevereiro de 1962 - - - - Philadelphia Warriors St. Louis Hawks 139 - 121 48 21 36 - - 19 34 61 Chamberlain, Wilt Wilt Chamberlain * 000000001962 - 02 - 28 - 0000 28 de fevereiro de 1962 - - - - - Philadelphia "&amp;"Warriors Chicago Packers 128 - 119 48 24 46 - - 13 17 61 Baylor, Elgin Elgin Baylor * 000000001962 - 04 - 14 - 0000 14 de abril de 1962 18 15 13 15 15 Los Angeles Lakers Boston Celtics 126 - 121 - 22 46 - - 17 19 61 Chamberlain, Wilt Wilt Chamberlain * 00"&amp;"0000001962 - 11 - 21 - 0000 21 de novembro de 1962 - - - - - São Francisco Warriors Cincinnati Royals 139 - 143 - 27 52 - 7 15 61 Chamberlain, Wilti Wilt Chamberlain * 000000001962 - 12 - 11 - 0000 11 de dezembro de 1962 - - - - - San Francisco Warriors S"&amp;"yracuse Nationals 136 - 124 - 27 57 - - 7 11 61 Chamberlain, Wilt Wilt Chamberlain * 000000001962 - 12 - 18 - 0000 18 de dezembro de 1962 - - - - - São Francisco Warriors St. Louis Hawks 130 - 110 - 26 53 - - 9 14 61 Jordan, Michael Michael Jordan * 00000"&amp;"0001987 - 03 - 04 - 0000 4 de março de 1987 14 10 7 26 Bulls de Chicago Detroit Pistons 125 - 120 43 22 39 0 0 17 18 61 Jordan, Michael Michael Jordan * 000000001987 - 04 - 16 - 0000 16 de abril de 1987 15 17 16 13 13 13 Hawks 114 - 117 41 22 38 0 17 21 6"&amp;"1 Malone, Karl Karl Malone * 000000001990 - 01 - 27 - 0000 27 de janeiro de 1990 17 13 20 11 Jazz Utah Milwaukee Bucks 144 - 96 33 21 26 0 19 23 61 O 'Neal, Shaquille Shaquille O'Neal * 000000002000 - 03 - 06 - 0000 6 de março de 2000 10 16 16 16 19 Los A"&amp;"ngeles Lakers Los Angeles Clippers 123 - 103 44: 52 24 35 0 0 13 22 61 - 02 - 02 - 0000 2 de fevereiro de 2009 18 16 12 15 15 Los Angeles Lakers New York Knicks 126 - 117 36: 48 19 31 6 20 20 61 James, LeBron LeBron James ^ 000000002014 - 03 - 03 - 0000 3"&amp;" de março de 2014 11 13 25 12 Miami Heat Charlotte Bobcats 124 - 107 41: 12 22 33 8 10 9 12 57 60 Chamberlain, Wilt Wilt Chamberlain * 000000001961 - 12 - 01 - 0000 1 de dezembro de 1961 - - - - Philadelphia Warriors Los Angeles Lakers 138 - 117 48 22 47 "&amp;"- - 16 26 60 Chamberlain, Wilt Wilt Chamberlain * 000000001961 - 12 - 29 - 0000 29 de dezembro de 1961 - - - - - Philadelphia Warriors Los Angeles Lakers 123 - 118 48 24 43 - - 12 19 60 Chamberlain, Wilt Wilt Chamberlain * 000000001969 - 01 - 26 - 0000 26"&amp;" de janeiro de 1969 18 9 10 23 23 Los Angeles Lakers Cincinnati Royals 126 - 113 - 22 36 - - 16 - 16 - 16 - 16 - 16 - 16 24 60 King, Bernard Bernard King * 000000001984 - 12 - 25 - 0000 25 de dezembro de 1984 21 19 11 9 New York Knicks New Jersey Nets 114"&amp;" - 120 41 19 30 0 - 12 - 0000 12 de março de 1985 12 11 19 18 Boston Celtics Atlanta Hawks 126 - 115 43 22 36 15 16 60 Câmaras, Tom Tom Chambers 000000001990 - 03 - 24 - 0000 24 de março, 1990 14 21 14 11 11 Phoenix Suns Seattle Supersonics 121 - 95 42 22"&amp;" 32 0 0 16 18 60 Iverson, Allen Allen Iverson * 000000002005 - 02 - 12 - 0000 12 de fevereiro de 2005 17 12 11 20 Philadelphia 76ers Orlando Magic 112 - 99 42: 01 17 36 5 24 26 Arenas, Gilbert Gilbert Arenas 000000002006 - 12 - 17 - 0000 17 de dezembro de"&amp;" 2006 12 5 12 15 Washington Wizards Los Angeles Lakers 147 - 141 49: 00 17 32 5 12 21 27 60 60 0000 22 de março de 2007 13 11 19 17 Los Angeles Lakers Memphis Grizzlies 121 - 119 45: 11 20 37 7 17 18 60 BRYANT, KOBE KOBE BRYANT 000000002010 Utah Jazz 101 "&amp;"- 96 42 22 50 6 21 10 12 60 Klay Thompson ^ 000000002016 - 12 - 05 - 0000 5 de dezembro de 2016 17 23 20 DNP Golden State Warriors Indiana Pacers 142 - 106 29 21 33 8 14 11 60 James Harden ^ 000000002018 - 01 - 30 - 0000 30 de janeiro de 2018 16 13 13 18 "&amp;"Houston Rockets Orlando Magic 114 - 107 46: 26 19 30 5 14 17 18")</f>
        <v>   Rank Points Data do jogador 1º 2º 3º 4º 4º Equipe Pontuação MP MP FGM FGA 3PM 3PA FTM FTA NOTAS REF. Pontuação por trimestre 100 Chamberlain, Wilt Wilt Chamberlain * 000000001962 - 03 - 02 - 0000 2 de março de 1962 23 18 28 31 31 Philadelphia Warriors New York Knicks 169 - 147 48 36 63 - - 28 32 81 - 01 - 22 - 0000 22 de janeiro de 2006 14 12 27 28 28 Los Angeles Lakers Toronto Raptors 122 - 104 41: 56 28 46 7 13 18 20 78 Chamberlain, Wilt Wilt Chamberlain * 000000001961 - 12 - 08 - 0000, 8 de dezembro de 1961, 1961 - - - - Philadelphia Warriors Los Angeles Lakers 147 - 151 63 31 62 - - 16 31 73 Chamberlain, Wilt Wilt Chamberlain * 000000001962 - 01 - 13 - 0000 13 de janeiro de 1962 - - - - - - - - - - - - Philadelphia Warriors Chicago Packers 135 - 117 48 29 48 - - 15 25 73 Chamberlain, Wilt Wilt Chamberlain * 000000001962 - 11 - 16 - 0000 16 de novembro de 1962 - - - - São Francisco Warriors Nova York Knicks 127 - 111 48 29 43 - - 15 19 73 Thompson, David David Thompson * 000000001978 - 04 - 09 - 0000 9 de abril de 1978 32 21 9 11 Denver Nuggets Detroit Pistons 137 - 139 43 28 38 - - - - - - - - - 17 20 7 72 Chamberlain, Wilt Wilt Chamberlain * 000000001962 - 11 - 03 - 0000 3 de novembro de 1962 - - - - - San Francisco Warriors Los Angeles Lakers 115 - 127 - 29 48 - - 14 18 18 18 8 71 Baylor, Elgin Elgin Baylor * 000000001960 - 11 - 15 - 0000 15 de novembro de 1960 - - - - - Los Angeles Lakers New York Knicks 123 - 108 45 28 48 - - 15 18 71 Robinson, David, David, David, David, David David Robinson * 000000001994 - 04 - 24 - 0000 24 de abril de 1994 18 6 19 28 San Antonio Spurs Los Angeles Clippers 112 - 97 44 26 41 18 25 10 70 Chamberlain, Wilt Wilt Chamberlain * 000000001963 - 03 - 10 - 00 10 de março 10 de março 10 de março, 10 de março, 10 de março, 10 de março , 1963 - - - - São Francisco Warriors Syracuse Nationals 148 - 163 48 27 38 - - 16 22 70 Booker, Devin Devin Booker ^ 000000002017 - 03 - 24 - 0000 24 de março de 2017 10 9 28 28 28 28 28 28 28 28 28 28 28 Phoenix Suns Boston Celtics 120 - 130 45 21 40 11 24 26 12 69 Jordânia, Michael Michael Jordan * 000000001990 - 03 - 28 - 0000 28 de março de 1990 16 15 20 18 18 Chicago Bulls Cleveland Cavaliers 117 - 113 50 23 37 21 21 21 21 21 21 21 21 21 23 13 68 Chamberlain, Wilt Wilt Chamberlain * 000000001967 - 12 - 16 - 0000 16 de dezembro de 1967 14 15 15 24 24 Philadelphia 76ers Chicago Bulls 143 - 123 - 30 40 - - 8 22 68 68 Maravich, Pete Maravich * 000000001977 - 02 - 25 a 00 , 1961 - - - - Philadelphia Warriors New York Knicks 135 - 126 - 27 37 - - 13 17 67 Chamberlain, Wilt Wilt Chamberlain * 000000001962 - 02 - 17 - 0000 17 de fevereiro de 1962 - - - - - - - - Philadelphia Warriors St. Louis Hawks 121 - 128 48 26 44 - - 15 20 67 Chamberlain, Wilt Wilt Chamberlain * 000000001962 - 02 - 25 - 0000 25 de fevereiro de 1962 - - - - - - - - - - - - - Philadelphia Warriors New York Knicks 135 - 149 48 25 38 - - 17 22 67 Chamberlain, Wilt Wilt Chamberlain * 000000001963 - 01 - 11 - 0000 11 de janeiro de 1963 - - - - - San Francisco Warriors Los Angeles Lakers 129 - 134 - 28 47 - - 11 17 19 66 Chamberlain, Wilt Wilt Chamberlain * 000000001969 - 02 - 09 - 0000 9 de fevereiro de 1969 17 17 22 10 Los Angeles Lakers Phoenix Suns 134 - 116 48 35 35 - - - 8 18 20 65 Chamberlain, Wilt Wilt Chamberlain * 000000001962 - 02 - 13 - 0000 13 de fevereiro de 1962 - - - - Philadelphia Warriors Cincinnati Royals 132 - 152 48 24 40 - 17 30 65 Chamberlain, Wilt Wilt Chamberlain * 000000001962 - 02 - 27 - 00 * 000000001966 - 02 - 07 - 00 - 0000 16 de março de 2007 19 9 24 Los Angeles Lakers Portland Trail Blazers 116 - 111 49: 58 23 39 8 12 11 12 24 64 Baylor, Elgin Elgin Baylor * 000000001959 - 11 - 08 - 0000 8 de novembro 1959 13 12 17 22 Minneapolis Lakers Boston Celtics 136 - 115 - 25 47 - - 14. - 120 43 30 45 - - 5 64 Jordânia, Michael Michael Jordan * 000000001993 - 01 - 16 - 0000 16 de janeiro de 1993 22 8 11 16 Chicago Bulls Orlando Magic 124 - 128 47 27 49 5 9 11 27 63 Fulks Fulks , Joe Joe Fulks * 000000001949 - 02 - 10 - 00 - 12 - 08 - 0000 8 de dezembro de 1961 - - - - - Los Angeles Lakers Philadelphia Warriors 151 - 147 - 23 55 - - 17 24 63 West, Jerry Jerry West * 000000001962 - 01 - 17 - 0000 17 de janeiro de 1962 - - - - Los Angeles Lakers New York Knicks 129 - 121 39 22 36 - - 19 22 63 Chamberlain, Wilt Wilt Chamberlain * 000000001962 - 12 - 14 - 0000 14 de dezembro de 1962 - - - - São Francisco Warriors Los Angeles Lakers 118 - 120 - 24 41 - - 15 20 63 Chamberlain, Wilt Wilt Chamberlain * 000000001964 - 11 - 26 - 0000 26 de novembro de 1964 - - - - - - São Francisco Warriors Philadelphia 76ers 117 - 128 - 27 58 - - 9 20 63 Gervin, George George Gervin * 000000001978 - 04 - 09 - 0000 9 de abril de 1978 20 33 10 DNP San Antonio Spurs New Orleans Jazz 132 - 153 33 23 49 - - 17 20 63 Jordânia, Michael Michael Jordan * 000000001986 - 04 - 20 - 0000 20 de abril de 1986 17 6 ​​13 18 Chicago Bulls Boston Celtics 131 - 135 53 22 41 0 0 19 21 34 62 Chamberlain, Wilt Wilt Chamberlain * 000000001962 - 01 - 14 - 0000 14 de janeiro de 1962 - - - - - Philadelphia Warriors Boston Celtics 136 - 145 48 27 45 - - 8 10 62 Chamberlain, Wilt Wilt Chamberlain * 000000001962 - 01 - 17 - 0000 17 de janeiro de 1962 - - - - - Philadelphia Warriors St. Louis Hawks 136 - 130 53 24 48 - - 14 20 62 Chamberlain, Wilt Wilt Chamberlain * 000000001962 - 01 - 21 - 0000 21 de janeiro de 1962 - - - - - Philadelphia Warriors Syracuse Nationals 139 - 132 53 25 42 - - 12 17 62 Chamberlain, Wilt Wilt Chamberlain * 000000001963 - 01 - 29 - 0000 29 de janeiro, 29 1963 - - - - San Francisco Warriors New York Knicks 123 - 103 - 27 44 - - 8 17 62 Chamberlain, Wilt Wilt Chamberlain * 000000001964 - 11 - 15 - 0000 15 de novembro de 1964 - - - - - - - São Francisco Warriors Cincinnati Royals 122 - 106 - 26 44 - - 10 21 62 Chamberlain, Wilt Wilt Chamberlain * 000000001966 - 03 - 03 - 0000 3 de março de 1966 - - - - - - - - - - Philadelphia 76ers São Francisco Warriors 135 - 125 - 26 39 - - 10 19 62 McGrady, Tracy Tracy McGrady * 000000002004 - 03 - 10 - 0000 10 de março de 2004 7 21 24 10 10 Orlando Magic Washington Wizards 108 - 99 45 45 : 50 20 37 5 14 17 26 62 Bryant, Kobe Kobe Bryant 000000002005 - 12 - 20 - 0000 20 de dezembro de 2005 15 17 30 DNP Los Angeles Lakers Dallas Maveicks 112 - 90 32: 53 18 31 10 22 62 Anthony, Carmelo Carmelo Anthony ^ 000000002014 - 01 - 24 - 0000 24 de janeiro de 2014 20 17 19 6 New York Knicks Charlotte Bobcats 125 - 96 38: 39 23 35 6 11 10 10 43 61 Mikan, George George Mikan * 000000001952 - 01 - 20 -20 -20 0000 20 de janeiro de 1952 18 18 - - Minneapolis Lakers Rochester Royals 91 - 81 - 22 45 - - 17 21 61 Chamberlain, Wilt Wilt Chamberlain * 000000001961 - 12 - 09 - 0000 9 de dezembro de 1961 - - - - - - - - - - - - Philadelphia Warriors Chicago Packers 135 - 113 48 28 48 - - 5 10 61 Chamberlain, Wilt Wilt Chamberlain * 000000001962 - 02 - 22 - 0000 22 de fevereiro de 1962 - - - - Philadelphia Warriors St. Louis Hawks 139 - 121 48 21 36 - - 19 34 61 Chamberlain, Wilt Wilt Chamberlain * 000000001962 - 02 - 28 - 0000 28 de fevereiro de 1962 - - - - - Philadelphia Warriors Chicago Packers 128 - 119 48 24 46 - - 13 17 61 Baylor, Elgin Elgin Baylor * 000000001962 - 04 - 14 - 0000 14 de abril de 1962 18 15 13 15 15 Los Angeles Lakers Boston Celtics 126 - 121 - 22 46 - - 17 19 61 Chamberlain, Wilt Wilt Chamberlain * 000000001962 - 11 - 21 - 0000 21 de novembro de 1962 - - - - - São Francisco Warriors Cincinnati Royals 139 - 143 - 27 52 - 7 15 61 Chamberlain, Wilti Wilt Chamberlain * 000000001962 - 12 - 11 - 0000 11 de dezembro de 1962 - - - - - San Francisco Warriors Syracuse Nationals 136 - 124 - 27 57 - - 7 11 61 Chamberlain, Wilt Wilt Chamberlain * 000000001962 - 12 - 18 - 0000 18 de dezembro de 1962 - - - - - São Francisco Warriors St. Louis Hawks 130 - 110 - 26 53 - - 9 14 61 Jordan, Michael Michael Jordan * 000000001987 - 03 - 04 - 0000 4 de março de 1987 14 10 7 26 Bulls de Chicago Detroit Pistons 125 - 120 43 22 39 0 0 17 18 61 Jordan, Michael Michael Jordan * 000000001987 - 04 - 16 - 0000 16 de abril de 1987 15 17 16 13 13 13 Hawks 114 - 117 41 22 38 0 17 21 61 Malone, Karl Karl Malone * 000000001990 - 01 - 27 - 0000 27 de janeiro de 1990 17 13 20 11 Jazz Utah Milwaukee Bucks 144 - 96 33 21 26 0 19 23 61 O 'Neal, Shaquille Shaquille O'Neal * 000000002000 - 03 - 06 - 0000 6 de março de 2000 10 16 16 16 19 Los Angeles Lakers Los Angeles Clippers 123 - 103 44: 52 24 35 0 0 13 22 61 - 02 - 02 - 0000 2 de fevereiro de 2009 18 16 12 15 15 Los Angeles Lakers New York Knicks 126 - 117 36: 48 19 31 6 20 20 61 James, LeBron LeBron James ^ 000000002014 - 03 - 03 - 0000 3 de março de 2014 11 13 25 12 Miami Heat Charlotte Bobcats 124 - 107 41: 12 22 33 8 10 9 12 57 60 Chamberlain, Wilt Wilt Chamberlain * 000000001961 - 12 - 01 - 0000 1 de dezembro de 1961 - - - - Philadelphia Warriors Los Angeles Lakers 138 - 117 48 22 47 - - 16 26 60 Chamberlain, Wilt Wilt Chamberlain * 000000001961 - 12 - 29 - 0000 29 de dezembro de 1961 - - - - - Philadelphia Warriors Los Angeles Lakers 123 - 118 48 24 43 - - 12 19 60 Chamberlain, Wilt Wilt Chamberlain * 000000001969 - 01 - 26 - 0000 26 de janeiro de 1969 18 9 10 23 23 Los Angeles Lakers Cincinnati Royals 126 - 113 - 22 36 - - 16 - 16 - 16 - 16 - 16 - 16 24 60 King, Bernard Bernard King * 000000001984 - 12 - 25 - 0000 25 de dezembro de 1984 21 19 11 9 New York Knicks New Jersey Nets 114 - 120 41 19 30 0 - 12 - 0000 12 de março de 1985 12 11 19 18 Boston Celtics Atlanta Hawks 126 - 115 43 22 36 15 16 60 Câmaras, Tom Tom Chambers 000000001990 - 03 - 24 - 0000 24 de março, 1990 14 21 14 11 11 Phoenix Suns Seattle Supersonics 121 - 95 42 22 32 0 0 16 18 60 Iverson, Allen Allen Iverson * 000000002005 - 02 - 12 - 0000 12 de fevereiro de 2005 17 12 11 20 Philadelphia 76ers Orlando Magic 112 - 99 42: 01 17 36 5 24 26 Arenas, Gilbert Gilbert Arenas 000000002006 - 12 - 17 - 0000 17 de dezembro de 2006 12 5 12 15 Washington Wizards Los Angeles Lakers 147 - 141 49: 00 17 32 5 12 21 27 60 60 0000 22 de março de 2007 13 11 19 17 Los Angeles Lakers Memphis Grizzlies 121 - 119 45: 11 20 37 7 17 18 60 BRYANT, KOBE KOBE BRYANT 000000002010 Utah Jazz 101 - 96 42 22 50 6 21 10 12 60 Klay Thompson ^ 000000002016 - 12 - 05 - 0000 5 de dezembro de 2016 17 23 20 DNP Golden State Warriors Indiana Pacers 142 - 106 29 21 33 8 14 11 60 James Harden ^ 000000002018 - 01 - 30 - 0000 30 de janeiro de 2018 16 13 13 18 Houston Rockets Orlando Magic 114 - 107 46: 26 19 30 5 14 17 18</v>
      </c>
    </row>
    <row r="935" customFormat="false" ht="15.75" hidden="false" customHeight="true" outlineLevel="0" collapsed="false">
      <c r="A935" s="3" t="n">
        <v>932</v>
      </c>
      <c r="B935" s="5" t="s">
        <v>2789</v>
      </c>
      <c r="C935" s="5" t="s">
        <v>2790</v>
      </c>
      <c r="D935" s="5" t="s">
        <v>2791</v>
      </c>
      <c r="E935" s="4" t="str">
        <f aca="false">IFERROR(__xludf.dummyfunction("GOOGLETRANSLATE(C936)"),"Qual é o hino nacional do Sri Lanka")</f>
        <v>Qual é o hino nacional do Sri Lanka</v>
      </c>
      <c r="F935" s="5" t="str">
        <f aca="false">IFERROR(__xludf.dummyfunction("GOOGLETRANSLATE(D935)")," A lei contratada indiana regula o direito contratado na Índia. A principal lei contratada na Índia é codificada na Lei do Contrato Indiano de 1872, que entrou em vigor em 1º de setembro de 1872 e é aplicável em todo o país. Ele governa a entrada em contr"&amp;"ato, a execução do contrato e os efeitos da quebra de contrato.")</f>
        <v> A lei contratada indiana regula o direito contratado na Índia. A principal lei contratada na Índia é codificada na Lei do Contrato Indiano de 1872, que entrou em vigor em 1º de setembro de 1872 e é aplicável em todo o país. Ele governa a entrada em contrato, a execução do contrato e os efeitos da quebra de contrato.</v>
      </c>
    </row>
    <row r="936" customFormat="false" ht="15.75" hidden="false" customHeight="true" outlineLevel="0" collapsed="false">
      <c r="A936" s="3" t="n">
        <v>933</v>
      </c>
      <c r="B936" s="5" t="s">
        <v>2792</v>
      </c>
      <c r="C936" s="5" t="s">
        <v>2793</v>
      </c>
      <c r="D936" s="5" t="s">
        <v>2794</v>
      </c>
      <c r="E936" s="4" t="str">
        <f aca="false">IFERROR(__xludf.dummyfunction("GOOGLETRANSLATE(C937)"),"ainda existem peixes no mar da Galiléia")</f>
        <v>ainda existem peixes no mar da Galiléia</v>
      </c>
      <c r="F936" s="5" t="str">
        <f aca="false">IFERROR(__xludf.dummyfunction("GOOGLETRANSLATE(D936)")," Sri Lanka Matha (cingalesa: ශකා śrī laṁkā mātā; tamil: தாயே தாயே தாயே, tradução. Srī laṅkā tajē) é o hino nacional do Sri Lanka.")</f>
        <v> Sri Lanka Matha (cingalesa: ශකා śrī laṁkā mātā; tamil: தாயே தாயே தாயே, tradução. Srī laṅkā tajē) é o hino nacional do Sri Lanka.</v>
      </c>
    </row>
    <row r="937" customFormat="false" ht="15.75" hidden="false" customHeight="true" outlineLevel="0" collapsed="false">
      <c r="A937" s="3" t="n">
        <v>934</v>
      </c>
      <c r="B937" s="5" t="s">
        <v>2795</v>
      </c>
      <c r="C937" s="5" t="s">
        <v>2796</v>
      </c>
      <c r="D937" s="5" t="s">
        <v>2797</v>
      </c>
      <c r="E937" s="4" t="str">
        <f aca="false">IFERROR(__xludf.dummyfunction("GOOGLETRANSLATE(C938)"),"O velho kamrup é dividido em quantas partes")</f>
        <v>O velho kamrup é dividido em quantas partes</v>
      </c>
      <c r="F937" s="5" t="str">
        <f aca="false">IFERROR(__xludf.dummyfunction("GOOGLETRANSLATE(D937)")," As águas quentes do mar da Galiléia apóiam várias flora e fauna, que apoiaram uma pesca comercial significativa por mais de dois milênios. A flora local inclui vários juncos na maior parte da costa e do fitoplâncton. A fauna inclui zooplâncton, benthos e"&amp;" várias espécies de peixes, como o Acanthobrama Terraesanctae. Os peixes capturados incluem comercialmente Tristramella Simonis e Sarotherodon Galilaeus, localmente chamados de `` peixe de São Pedro ''. Em 2005, 300 toneladas curtas (270 t) de tilápia for"&amp;"am capturadas pelos pescadores locais. Isso caiu para 8 toneladas curtas (7,3 t) em 2009 devido à sobrepesca.")</f>
        <v> As águas quentes do mar da Galiléia apóiam várias flora e fauna, que apoiaram uma pesca comercial significativa por mais de dois milênios. A flora local inclui vários juncos na maior parte da costa e do fitoplâncton. A fauna inclui zooplâncton, benthos e várias espécies de peixes, como o Acanthobrama Terraesanctae. Os peixes capturados incluem comercialmente Tristramella Simonis e Sarotherodon Galilaeus, localmente chamados de `` peixe de São Pedro ''. Em 2005, 300 toneladas curtas (270 t) de tilápia foram capturadas pelos pescadores locais. Isso caiu para 8 toneladas curtas (7,3 t) em 2009 devido à sobrepesca.</v>
      </c>
    </row>
    <row r="938" customFormat="false" ht="15.75" hidden="false" customHeight="true" outlineLevel="0" collapsed="false">
      <c r="A938" s="3" t="n">
        <v>935</v>
      </c>
      <c r="B938" s="5" t="s">
        <v>2798</v>
      </c>
      <c r="C938" s="5" t="s">
        <v>2799</v>
      </c>
      <c r="D938" s="5" t="s">
        <v>2800</v>
      </c>
      <c r="E938" s="4" t="str">
        <f aca="false">IFERROR(__xludf.dummyfunction("GOOGLETRANSLATE(C939)"),"Quando a lei dos três ataques entrou em vigor")</f>
        <v>Quando a lei dos três ataques entrou em vigor</v>
      </c>
      <c r="F938" s="5" t="str">
        <f aca="false">IFERROR(__xludf.dummyfunction("GOOGLETRANSLATE(D938)")," O Distrito de Kamrup não é um antigo distrito administrativo localizado no oeste de Assam, do qual foram formados distritos de Kamrup Rural (2003), Kamrup Metropolitan (2003), Barpeta (1983), Nalbari (1985) e Baksa (2004) Kamrup South (2015). Era um gran"&amp;"de distrito administrativo nos tempos coloniais que tem reduzido seu tamanho nos períodos subsequentes.")</f>
        <v> O Distrito de Kamrup não é um antigo distrito administrativo localizado no oeste de Assam, do qual foram formados distritos de Kamrup Rural (2003), Kamrup Metropolitan (2003), Barpeta (1983), Nalbari (1985) e Baksa (2004) Kamrup South (2015). Era um grande distrito administrativo nos tempos coloniais que tem reduzido seu tamanho nos períodos subsequentes.</v>
      </c>
    </row>
    <row r="939" customFormat="false" ht="15.75" hidden="false" customHeight="true" outlineLevel="0" collapsed="false">
      <c r="A939" s="3" t="n">
        <v>936</v>
      </c>
      <c r="B939" s="5" t="s">
        <v>2801</v>
      </c>
      <c r="C939" s="5" t="s">
        <v>2802</v>
      </c>
      <c r="D939" s="5" t="s">
        <v>2803</v>
      </c>
      <c r="E939" s="4" t="str">
        <f aca="false">IFERROR(__xludf.dummyfunction("GOOGLETRANSLATE(C940)"),"que inventaram as tartarugas ninjas mutantes adolescentes")</f>
        <v>que inventaram as tartarugas ninjas mutantes adolescentes</v>
      </c>
      <c r="F939" s="5" t="str">
        <f aca="false">IFERROR(__xludf.dummyfunction("GOOGLETRANSLATE(D939)")," Nos Estados Unidos, as leis de agressores habituais (comumente chamados de leis de três greves) foram implementados pela primeira vez em 7 de março de 1994 e fazem parte da estratégia anti -violência do Departamento de Justiça dos Estados Unidos. Essas l"&amp;"eis exigem uma pessoa culpada de cometer um severo crime violento e outras duas condenações anteriores para cumprir uma sentença obrigatória de prisão perpétua na prisão. O objetivo das leis é aumentar drasticamente a punição dos condenados por mais de do"&amp;"is crimes graves.")</f>
        <v> Nos Estados Unidos, as leis de agressores habituais (comumente chamados de leis de três greves) foram implementados pela primeira vez em 7 de março de 1994 e fazem parte da estratégia anti -violência do Departamento de Justiça dos Estados Unidos. Essas leis exigem uma pessoa culpada de cometer um severo crime violento e outras duas condenações anteriores para cumprir uma sentença obrigatória de prisão perpétua na prisão. O objetivo das leis é aumentar drasticamente a punição dos condenados por mais de dois crimes graves.</v>
      </c>
    </row>
    <row r="940" customFormat="false" ht="15.75" hidden="false" customHeight="true" outlineLevel="0" collapsed="false">
      <c r="A940" s="3" t="n">
        <v>937</v>
      </c>
      <c r="B940" s="5" t="s">
        <v>2804</v>
      </c>
      <c r="C940" s="5" t="s">
        <v>2805</v>
      </c>
      <c r="D940" s="5" t="s">
        <v>2806</v>
      </c>
      <c r="E940" s="4" t="str">
        <f aca="false">IFERROR(__xludf.dummyfunction("GOOGLETRANSLATE(C941)"),"Quantos gols Pelé marcaram para Santos")</f>
        <v>Quantos gols Pelé marcaram para Santos</v>
      </c>
      <c r="F940" s="5" t="str">
        <f aca="false">IFERROR(__xludf.dummyfunction("GOOGLETRANSLATE(D940)")," As tartarugas ninjas mutantes adolescentes (geralmente encurtadas para TMNT ou Ninja Turtles) são quatro tartarugas antropomórficas adolescentes fictícios, com o nome de artistas italianos renascentistas. Eles foram treinados por seu rato antropomórfico "&amp;"sensei na arte de Ninjutsu. De sua casa nos esgotos da cidade de Nova York, eles combatem criminosos mesquinhos, senhores malignos, criaturas mutadas e invasores alienígenas enquanto tentam permanecer ocultos da sociedade. Eles foram criados por Kevin Eas"&amp;"tman e Peter Laird.")</f>
        <v> As tartarugas ninjas mutantes adolescentes (geralmente encurtadas para TMNT ou Ninja Turtles) são quatro tartarugas antropomórficas adolescentes fictícios, com o nome de artistas italianos renascentistas. Eles foram treinados por seu rato antropomórfico sensei na arte de Ninjutsu. De sua casa nos esgotos da cidade de Nova York, eles combatem criminosos mesquinhos, senhores malignos, criaturas mutadas e invasores alienígenas enquanto tentam permanecer ocultos da sociedade. Eles foram criados por Kevin Eastman e Peter Laird.</v>
      </c>
    </row>
    <row r="941" customFormat="false" ht="15.75" hidden="false" customHeight="true" outlineLevel="0" collapsed="false">
      <c r="A941" s="3" t="n">
        <v>938</v>
      </c>
      <c r="B941" s="5" t="s">
        <v>2807</v>
      </c>
      <c r="C941" s="5" t="s">
        <v>2808</v>
      </c>
      <c r="D941" s="5" t="s">
        <v>2809</v>
      </c>
      <c r="E941" s="4" t="str">
        <f aca="false">IFERROR(__xludf.dummyfunction("GOOGLETRANSLATE(C942)"),"Quem fez minha pequena amizade de pônei é mágica")</f>
        <v>Quem fez minha pequena amizade de pônei é mágica</v>
      </c>
      <c r="F941" s="5" t="str">
        <f aca="false">IFERROR(__xludf.dummyfunction("GOOGLETRANSLATE(D941)"),"  Equipe de futebol nacional do Brasil: All - Time Leading Goletcorer: 77 gols (95 gols, incluindo amistosos não oficiais). SANTOS: TODOS - TEMPO PRESIMENTO DA TEMPO: 643 gols em 656 jogos competitivos. Copa Intercontinental: All - Time Leading Goletcorer"&amp;": 7 objetivos Recorde mundial de chapéu - Trucos: 92 Guinness World Records: maioria dos objetivos de carreira (futebol): 1283 gols em 1363 Jogos Guinness World Records: Medalhas dos vencedores da Copa do Mundo da FIFA: três Guinness Registros mundiais: v"&amp;"encedor mais jovem de uma Copa do Mundo da FIFA: 17 anos e 249 dias em 1958 FIFA Copa do Mundo mais jovem marcador na Copa do Mundo da FIFA: 17 anos e 239 dias (Brasil / Wales 1958) Jogador mais jovem para marcar um chapéu - truque no truque no Copa do Mu"&amp;"ndo da FIFA: 17 anos e 244 dias (Brasil / France 1958) Jogador mais jovem para jogar em uma final da Copa do Mundo da FIFA: 17 anos e 249 dias (Brasil / Suécia 1958) Goletizador mais jovem em uma final da Copa do Mundo da FIFA: 17 anos e 249 Dias (Brasil "&amp;"/ Suécia 1958)")</f>
        <v>  Equipe de futebol nacional do Brasil: All - Time Leading Goletcorer: 77 gols (95 gols, incluindo amistosos não oficiais). SANTOS: TODOS - TEMPO PRESIMENTO DA TEMPO: 643 gols em 656 jogos competitivos. Copa Intercontinental: All - Time Leading Goletcorer: 7 objetivos Recorde mundial de chapéu - Trucos: 92 Guinness World Records: maioria dos objetivos de carreira (futebol): 1283 gols em 1363 Jogos Guinness World Records: Medalhas dos vencedores da Copa do Mundo da FIFA: três Guinness Registros mundiais: vencedor mais jovem de uma Copa do Mundo da FIFA: 17 anos e 249 dias em 1958 FIFA Copa do Mundo mais jovem marcador na Copa do Mundo da FIFA: 17 anos e 239 dias (Brasil / Wales 1958) Jogador mais jovem para marcar um chapéu - truque no truque no Copa do Mundo da FIFA: 17 anos e 244 dias (Brasil / France 1958) Jogador mais jovem para jogar em uma final da Copa do Mundo da FIFA: 17 anos e 249 dias (Brasil / Suécia 1958) Goletizador mais jovem em uma final da Copa do Mundo da FIFA: 17 anos e 249 Dias (Brasil / Suécia 1958)</v>
      </c>
    </row>
    <row r="942" customFormat="false" ht="15.75" hidden="false" customHeight="true" outlineLevel="0" collapsed="false">
      <c r="A942" s="3" t="n">
        <v>939</v>
      </c>
      <c r="B942" s="5" t="s">
        <v>2810</v>
      </c>
      <c r="C942" s="5" t="s">
        <v>2811</v>
      </c>
      <c r="D942" s="5" t="s">
        <v>2812</v>
      </c>
      <c r="E942" s="4" t="str">
        <f aca="false">IFERROR(__xludf.dummyfunction("GOOGLETRANSLATE(C943)"),"com quem Rachel tem um bebê com amigos")</f>
        <v>com quem Rachel tem um bebê com amigos</v>
      </c>
      <c r="F942" s="5" t="str">
        <f aca="false">IFERROR(__xludf.dummyfunction("GOOGLETRANSLATE(D942)")," Meu pequeno pônei: a amizade é mágica é uma série de televisão de fantasia de uma criança criada por Lauren Faust para a Hasbro. A série é baseada na My Little Pony Line de brinquedos e obras animadas da Hasbro e é frequentemente referida pelos coleciona"&amp;"dores como a quarta geração (`` G4 '') da franquia. A série estreou em 10 de outubro de 2010, no canal a cabo do hub. A Hasbro selecionou a animadora Lauren Faust como diretora criativa e produtora executiva do programa. Faust procurou desafiar a natureza"&amp;" estabelecida da minha pequena linha de pônei existente, criando personagens mais profundos e ambientes aventureiros; Ela deixou a série durante a segunda temporada, para ser substituída por Meghan McCarthy como Showrunner.")</f>
        <v> Meu pequeno pônei: a amizade é mágica é uma série de televisão de fantasia de uma criança criada por Lauren Faust para a Hasbro. A série é baseada na My Little Pony Line de brinquedos e obras animadas da Hasbro e é frequentemente referida pelos colecionadores como a quarta geração (`` G4 '') da franquia. A série estreou em 10 de outubro de 2010, no canal a cabo do hub. A Hasbro selecionou a animadora Lauren Faust como diretora criativa e produtora executiva do programa. Faust procurou desafiar a natureza estabelecida da minha pequena linha de pônei existente, criando personagens mais profundos e ambientes aventureiros; Ela deixou a série durante a segunda temporada, para ser substituída por Meghan McCarthy como Showrunner.</v>
      </c>
    </row>
    <row r="943" customFormat="false" ht="15.75" hidden="false" customHeight="true" outlineLevel="0" collapsed="false">
      <c r="A943" s="3" t="n">
        <v>940</v>
      </c>
      <c r="B943" s="5" t="s">
        <v>2813</v>
      </c>
      <c r="C943" s="5" t="s">
        <v>2814</v>
      </c>
      <c r="D943" s="5" t="s">
        <v>2815</v>
      </c>
      <c r="E943" s="4" t="str">
        <f aca="false">IFERROR(__xludf.dummyfunction("GOOGLETRANSLATE(C944)"),"Quem é o nosso atual comissário eleitoral da Índia")</f>
        <v>Quem é o nosso atual comissário eleitoral da Índia</v>
      </c>
      <c r="F943" s="5" t="str">
        <f aca="false">IFERROR(__xludf.dummyfunction("GOOGLETRANSLATE(D943)"),"   Não . Nº geral no título da temporada dirigido por escrito pela data do ar original Prod. Código dos espectadores dos EUA (milhões) 171 `` aquele depois de 'eu faço' '' Kevin S. Bright David Crane e Marta Kauffman 27 de setembro de 2001 (2001 - 09 - 27"&amp;") 227401 31.70 Todo mundo acha a gravidez de Monica, mas sua negação Descobra rapidamente o foco para Phoebe, que tira o calor de Rachel - que está realmente grávida. Os sapatos de Chandler estão escorregadios, tornando suas aulas de dança inúteis. Joey t"&amp;"enta impressionar um diretor da Broadway. Ross dança com as crianças para impressionar a atraente e engraçada amiga de Monica, Mona, o que o leva a se machucar um pouco. Nota: Este episódio é dedicado a `` o povo da cidade de Nova York '' para lembrar os "&amp;"ataques de 11 de setembro. 172 `` Aquele com o suéter vermelho '' David Schwimmer Dana Klein Borkow 4 de outubro de 2001 (2001 - 10 - 04) 227402 30.04 Rachel não dirá a alguém que o pai de seu bebê é até que ela lhe diga. Joey diz a Monica e Phoebe que um"&amp;" cara dormiu com Rachel algumas semanas antes e deixou um suéter vermelho para trás. Phoebe acha que é Tag Jones e organiza uma reunião para Rachel com ele. Ross e Chandler tentam recriar as fotos do casamento, depois que Chandler perde as câmeras descart"&amp;"áveis. Monica abre todos os presentes de casamento dela e de Chandler. Monica, Joey e Phoebe descobrem que Tag não é o pai do bebê de Rachel. Eles ainda estão pensando no mistério quando o suéter vermelho é visto na frente deles e recuperado por seu dono:"&amp;" Ross. 173 `` aquele em que Rachel diz ... '' Sheldon Epps Sherry Bilsing &amp; Ellen Plummer 11 de outubro de 2001 (2001 - 10 - 11) 227403 29.20 Chandler e Monica se preparam para sair para a lua de mel enquanto Rachel se prepara para dizer ao pai de O bebê "&amp;"dela . Phoebe e Joey tentam entrar no apartamento de Monica e Chandler, dizendo ao Sr. Treeger que há um vazamento de gás. No entanto, nem tudo se planeja quando Treeger, que não conseguiu encontrar a chave de Monica e Chandler, ordena aos bombeiros que q"&amp;"uebrem a porta. Nota: Havia uma subtrama da lua de mel de Chandler e Monica que foi completamente filmada e filmada, mas que nunca foi ao ar. Envolveu Chandler brincando de brincadeira sobre bombas ao se preparar para embarcar em primeira classe. O erro d"&amp;"e segurança do aeroporto Chandler, a piada de Chandler como uma ameaça real, então leve ele e Monica para interrogar. No final do episódio, eles estão determinados a não ser uma ameaça para a aeronave, mas logo após o lançamento, Joey chama Monica e finge"&amp;" que há um vazamento de gás em seu apartamento na tentativa de cobrir a porta quebrada. Quando Joey perguntou se eles os cobrarão pelos danos de quebrar a porta, ela respondeu sarcasticamente: `` Não, eu quero que você fique lá e espere o lugar inteiro pa"&amp;"ra explodir! '', Fazendo com que as autoridades re-interrogassem o casal. Depois de 11/11, os escritores sentiram que o humor dessa subtrama estava fora da cor e a substituiu rapidamente por uma história sobre Chandler e Monica ficar com ciúmes com outro "&amp;"casal recém -casado que recebeu vantagens gratuitas chegando pouco antes de. As cenas cortadas deste episódio foram mostradas mais tarde como um recurso especial na versão do Reino Unido de 2004 dos DVDs. 174 `` Aquele com a fita de vídeo '' Kevin S. Brig"&amp;"ht Scott Silveri 18 de outubro de 2001 (2001 - 10 - 18) 227406 25.58 Ross e Rachel discordam de quem apareceu em quem quando se conectaram, com Rachel (e o grupo) Claro que Ross era o iniciador da gravidez - causando sexo e Ross, tendo certeza de que Rach"&amp;"el o atingiu primeiro. Ele quer provar isso e acidentalmente revela que ele tem o encontro em fita de vídeo. Rachel deixa de ficar com nojo de ficar intrigado, e todo mundo assiste a fita onde descobre que Ross estava certo porque Rachel usou a história p"&amp;"atenteada de Joey que leva a fazer sexo ''. Monica e Chandler conhecem outro casal em sua lua de mel. 175 5 `` aquele com a data de Rachel '' Gary Halvorson Brian Buckner e Sebastian Jones 25 de outubro de 2001 (2001 - 10 - 25) 227404 25.64 Phoebe começa "&amp;"a namorar um cara que trabalha para Monica, causando um problema quando Phoebe quer Despeje -o no mesmo dia em que Monica planeja demiti -lo. Um cara no trabalho de Chandler acha que o nome de Chandler é Toby. Rachel segue um encontro com o coar de Joey, "&amp;"apesar de estar grávida, para o aborrecimento de Ross. Nota: Este episódio é dedicado à memória de Richard Cox, Sr., pai de Courteney Cox. 176 6 `` aquele com o partido de Halloween '' Gary Halvorson Mark Kunerth 1 de novembro de 2001 (2001 - 11 - 01) 227"&amp;"405 26.96 Monica e Chandler estão dando uma festa de Halloween. No partido, Phoebe encontra o noivo de sua irmã, Eric (Sean Penn), e se vê atraído por ele enquanto se liga ao que é uma mentirosa que é a Ursula. Ross e Chandler Arm lutam ineficazmente, com"&amp;"o Ross lamenta que sua roupa pateta `` Spudnik '' o faz parecer com fezes. Rachel pergunta se ela pode ser a pessoa que distribui doces ao truque - ou - metrô, como ela diz 'desde que engravidei, tive os instintos maternos mais fortes', apenas para descob"&amp;"rir que ela não é como materna Como ela pensava. 177 7 `` aquele com a mancha '' Kevin S. Bright R. Lee Fleming Jr. 8 de novembro de 2001 (2001 - 11 - 08) 227407 24.24 Chandler contrata uma empregada para ajudar Monica, mas ela acha que a empregada está r"&amp;"oubando suas roupas. Eric terminou com Ursula e quer namorar Phoebe, mas ela o lembra muito de sua irmã. Ross tenta garantir o apartamento de uma holandesa moribunda para Rachel, enquanto Joey tenta convencer Rachel a continuar morando com ele. 178 8 `` a"&amp;"quele com a stripper '' David Schwimmer Andrew Reich, Ted Cohen, 15 de novembro de 2001 (2001 - 11 - 15) 227408 26.54 Rachel está jantando com o pai para lhe dizer que ela está grávida e Rachel é intimidado e mente sobre Ross não ser apoiado, levando Gree"&amp;"n ameaçando Ross e quase arruinar seu romance em brotamento com Mona. Enquanto isso, Monica contrata uma stripper, que acaba sendo uma prostituta, para Chandler, porque ele nunca teve uma despedida de solteiro. 179 9 `` aquele com o boato '' Gary Halvorso"&amp;"n Shana Goldberg - Meehan, 22 de novembro de 2001 (2001 - 11 - 22) 227410 24.24 Monica convida um amigo do ensino médio, Will (Brad Pitt) para seu jantar de Ação de Graças. Rachel descobre que Will (que era um perdedor como Ross no ensino médio e agora é "&amp;"um cara lindo) e Ross iniciou um boato sobre Rachel ter homens e mulheres `` peças reprodutivas '' durante o último ano do ensino médio. Joey tenta comer um peru inteiro porque 'ele é um Tribbiani'. Chandler e Phoebe evitam ajudar Monica sentando -se no s"&amp;"ofá e assistindo a um jogo. 180 10 `` aquele com as botas de Monica '' Kevin S. Bright Story Por: Robert Carlock Teleplay Por: Brian Buckner e Sebastian Jones 6 de dezembro de 2001 (2001 - 12 - 06) 227409 22.44 Monica compra botas muito caras e promessas "&amp;"Chandler para usá -los o tempo todo. Depois de um tempo, eles estão matando os pés de Monica, mas ela não ousa contar a Chandler. A irmã mais nova de Joey, Dina (Marla Sokoloff), está grávida e vem a Rachel para conselhos. Phoebe descobre que o filho de S"&amp;"ting está na aula de Ben, então ela vai ver a esposa de Sting (esposa de verdade (Trudie Styler) fingindo querer falar sobre Ben e Jack para conseguir ingressos para o show de Sting. Nota: Neste episódio, Ross diz a Phoebe Ben tem 7 anos. No entanto, este"&amp;" episódio se passa em dezembro de 2001 e, como Ben nasceu em maio de 1995, Ben teria apenas 6 na época. 181 11 `` aquele com Ross 's Avançar '' `` aquele com o cartão de férias assustador '' Gary Halvorson Robert Carlock 13 de dezembro de 2001 (2001 - 12 "&amp;"- 13) 227411 23.85 Ross enlouquece quando Mona quer enviar cartões de Natal conjuntos e quer ter `` A palestra ''. Chandler tenta sair de passar um tempo com seu chefe. Rachel tem problemas hormonais como resultado da gravidez e se torna `` eroticamente c"&amp;"arregado ''. BILSING - Graham e Ellen Plummer 10 de janeiro de 2002 (2002 - 01 - 10) 227412 25.53 Agora que Rachel não vai mais datas devido à sua gravidez, Joey decide levá -la a um encontro. Mas instantaneamente, ele começa a ter uma queda por Rachel, a"&amp;"lgo que ele está com medo. Monica e Chandler recebem um jogo de arcade da Sra. Pac - de Phoebe como um presente de casamento tardio. Depois de Phoebe Hogs o jogo, Chandler se torna um profissional jogando repetidamente e colocando palavras como suas inici"&amp;"ais, no entanto, Monica quer que elas sejam removidas, pois Ben viria para jogar. Depois que Ross começa a ministrar uma aula avançada, ele luta para chegar à aula a tempo. 183 13 `` Aquele em que Chandler toma banho '' Ben Weiss Vanessa McCarthy, 17 de j"&amp;"aneiro de 2002 (2002 - 01 - 17) 227413 29.24 Monica Sways de Chandler aver Phoebe, que acha que Joey tem uma queda por ela, fica chocado ao descobrir que Joey realmente gosta de Rachel; Ross e Rachel debatem sobre nomes em potencial para o bebê e descobre"&amp;"m o sexo do bebê. 184 14 `` aquele com o armário secreto '' Kevin S. Bright Brian Buckner e Sebastian Jones 31 de janeiro de 2002 (2002 - 01 - 31) 227414 28.64 Chandler fica obcecado em descobrir o que está por trás da porta de Monica's Secret de Monica a"&amp;"rmário . Phoebe se sente traída quando descobre que Monica está usando um massoterapeuta diferente. Ross se sente deixado de fora depois de perder o primeiro chute do bebê, especialmente quando Joey é confundido com o pai. Joey, se sentindo mal com a situ"&amp;"ação, sugere que Rachel deve morar com Ross, mesmo que ele quisesse que Rachel morasse com ele. 185 15 `` aquele com o vídeo de parto '' Kevin S. Bright Dana Klein Borkow 7 de fevereiro de 2002 (2002 - 02 - 07) 227415 28.64 Phoebe dá um vídeo de parto par"&amp;"a Rachel. Chandler, confundindo a fita pornô, assiste e fica horrorizada depois de assisti -la com Monica, que mata o clima para o dia dos Namorados. Ross luta para dizer a Mona que Rachel agora está morando com ele, e ela termina com ele por causa de sua"&amp;" desonestidade. Joey está deprimido e, em um esforço para aliviar seu humor, Phoebe lhe empresta um cachorro para animá -lo. No entanto, Joey acaba subjugando o cachorro com sua depressão e, no final, diz a Ross sobre seus sentimentos por Rachel. 186 16 `"&amp;"` aquele em que Joey diz a Rachel '' Ben Weiss Andrew Reich e Ted Cohen 28 de fevereiro de 2002 (2002 - 02 - 28) 227416 27,52 Ross, chocado com a declaração de Joey, evita -o, mas eventualmente o convence a dizer Rachel . Joey confessa seu amor por Rachel"&amp;", mas Rachel de forma educada e amorosa o rejeita. Phoebe está convencido de que um homem britânico chamado Don é a alma gêmea de Monica. 187 17 `` Aquele com as folhas de chá '' Gary Halvorson Story de: R. Lee Fleming Jr. Teplay por: Steven Rosenhaus 7 d"&amp;"e março de 2002 (2002 - 03 - 07) 227417 26.30 Phoebe determina através de folhas de chá que ela logo encontrará o homem de seus sonhos, o que a leva a uma data desastrosa e depois uma agradável reunião com um encantador Homem na limpeza a seco. Rachel inv"&amp;"enta um problema de trabalho louco para reduzir o constrangimento de sair com Joey, já que ele confessou seus sentimentos por ela. Ross tenta recuperar sua camisa de 'salmão desbotada' do apartamento de Mona. 188 18 `` aquele em Massapequa '' `` aquele co"&amp;"m o cara picante '' Gary Halvorson Story de: Peter Tibbals teleplay por: Mark Kunerth 28 de março de 2002 (2002 - 03 - 28) 227418 22.05 Monica bate uma tentativa em tentativa em Dando um discurso sincero para a festa de 35 anos de seus pais. Phoebe data P"&amp;"arker (Alec Baldwin), que está muito entusiasmado com tudo e, finalmente, irrita todo o grupo, incluindo a si mesma. Ross e Rachel precisam fingir ser casado e Ross '`` Breast Wedding' 'desperta sentimentos em Rachel. 189 19 `` aquele com a entrevista de "&amp;"Joey '' Gary Halvorson Doty Abrams 4 de abril de 2002 (2002 - 04 - 04) 227424 22.59 Joey se prepara para uma entrevista com a novela Digest, embora tenha medo de dizer algo estúpido que pode comprometer sua carreira. (Em um episódio anterior, em uma entre"&amp;"vista, ele disse que escreve muitas de suas próprias falas, o que levou a seu disparo de dias de nossas vidas.) Joey pede seus amigos para garantir que as coisas corriam bem. Este é o quarto dos seis shows de clipes dos amigos. 190 20 `` aquele com o chá "&amp;"de bebê '' Kevin S. Bright Sherry Bilsing - Graham &amp; Ellen Plummer 25 de abril de 2002 (2002 - 04 - 25) 227421 22.24 Phoebe e Monica Preparam -se para o chá de bebê de Rachel e esquecem de convidar Mãe de Rachel. Durante o chuveiro, Monica tenta desespera"&amp;"damente buscar perdão com Sandra, mas sem sucesso. Rachel percebe que não tem idéia de como cuidar do bebê após o nascimento, então sua mãe insiste em ficar com ela por oito semanas, para ela e o aborrecimento de Ross. Monica finalmente dá a Rachel a conf"&amp;"iança de ser mãe e deixa Sandra saber que ela está furiosa com sua rajeira. Joey faz o teste para um emprego como apresentador de um novo show de jogos chamado `` bamboozled ', que não faz absolutamente nenhum sentido, e Chandler e Ross o ajudam a pratica"&amp;"r. 191 21 `` aquele com a aula de culinária '' Gary Halvorson Story de: Dana Klein Borkow Teleplay por: Brian Buckner e Sebastian Jones 2 de maio de 2002 (2002 - 05 - 02) 227419 23.97 As habilidades de cozimento de Monica recebem uma má revisão no post. D"&amp;"epois de confrontar o crítico que o escreveu, ela decide participar de uma aula de culinária, com Joey a reboque. Rachel fica com ciúmes quando Ross conhece uma garota que flerta com ele na loja de departamentos para bebês. Phoebe ajuda Chandler a se prep"&amp;"arar para uma entrevista, impedindo seu instinto natural para fazer piadas imaturas. 192 22 `` aquele em que Rachel está atrasado '', Gary Halvorson Shana Goldberg - Meehan, 9 de maio de 2002 (2002 - 05 - 09) 227420 24.32 Joey convida Chandler para a estr"&amp;"éia de seu filme, mas Chandler adormece durante ele. Rachel está muito frustrada com o fato de estar oito dias atrasado e tentará qualquer coisa para induzir o trabalho, o que leva a uma aposta entre Monica e Phoebe. 193 194 23 24 `` aquele em que Rachel "&amp;"tem um bebê '' Kevin S. Bright Scott Silta Marta Kauffman e David Crane 16 de maio de 2002 (2002 - 05 - 16) 227422 227423 34.91 Ross e Rachel chegam ao hospital. Judy Geller dá a Ross anel de noivado de sua mãe para propor Rachel. Monica e Chandler decide"&amp;"m ter um bebê. Depois de quarenta - sete horas de trabalho, Rachel tem ela e Ross 'Baby, Emma como `` Rio das lágrimas' ', de Eric Clapton, toca no fundo. Joey encontra o anel de noivado de Ross. Rachel acha que está propondo e diz `` ok ''. Monica e Chan"&amp;"dler tentam um bebê no hospital.")</f>
        <v>   Não . Nº geral no título da temporada dirigido por escrito pela data do ar original Prod. Código dos espectadores dos EUA (milhões) 171 `` aquele depois de 'eu faço' '' Kevin S. Bright David Crane e Marta Kauffman 27 de setembro de 2001 (2001 - 09 - 27) 227401 31.70 Todo mundo acha a gravidez de Monica, mas sua negação Descobra rapidamente o foco para Phoebe, que tira o calor de Rachel - que está realmente grávida. Os sapatos de Chandler estão escorregadios, tornando suas aulas de dança inúteis. Joey tenta impressionar um diretor da Broadway. Ross dança com as crianças para impressionar a atraente e engraçada amiga de Monica, Mona, o que o leva a se machucar um pouco. Nota: Este episódio é dedicado a `` o povo da cidade de Nova York '' para lembrar os ataques de 11 de setembro. 172 `` Aquele com o suéter vermelho '' David Schwimmer Dana Klein Borkow 4 de outubro de 2001 (2001 - 10 - 04) 227402 30.04 Rachel não dirá a alguém que o pai de seu bebê é até que ela lhe diga. Joey diz a Monica e Phoebe que um cara dormiu com Rachel algumas semanas antes e deixou um suéter vermelho para trás. Phoebe acha que é Tag Jones e organiza uma reunião para Rachel com ele. Ross e Chandler tentam recriar as fotos do casamento, depois que Chandler perde as câmeras descartáveis. Monica abre todos os presentes de casamento dela e de Chandler. Monica, Joey e Phoebe descobrem que Tag não é o pai do bebê de Rachel. Eles ainda estão pensando no mistério quando o suéter vermelho é visto na frente deles e recuperado por seu dono: Ross. 173 `` aquele em que Rachel diz ... '' Sheldon Epps Sherry Bilsing &amp; Ellen Plummer 11 de outubro de 2001 (2001 - 10 - 11) 227403 29.20 Chandler e Monica se preparam para sair para a lua de mel enquanto Rachel se prepara para dizer ao pai de O bebê dela . Phoebe e Joey tentam entrar no apartamento de Monica e Chandler, dizendo ao Sr. Treeger que há um vazamento de gás. No entanto, nem tudo se planeja quando Treeger, que não conseguiu encontrar a chave de Monica e Chandler, ordena aos bombeiros que quebrem a porta. Nota: Havia uma subtrama da lua de mel de Chandler e Monica que foi completamente filmada e filmada, mas que nunca foi ao ar. Envolveu Chandler brincando de brincadeira sobre bombas ao se preparar para embarcar em primeira classe. O erro de segurança do aeroporto Chandler, a piada de Chandler como uma ameaça real, então leve ele e Monica para interrogar. No final do episódio, eles estão determinados a não ser uma ameaça para a aeronave, mas logo após o lançamento, Joey chama Monica e finge que há um vazamento de gás em seu apartamento na tentativa de cobrir a porta quebrada. Quando Joey perguntou se eles os cobrarão pelos danos de quebrar a porta, ela respondeu sarcasticamente: `` Não, eu quero que você fique lá e espere o lugar inteiro para explodir! '', Fazendo com que as autoridades re-interrogassem o casal. Depois de 11/11, os escritores sentiram que o humor dessa subtrama estava fora da cor e a substituiu rapidamente por uma história sobre Chandler e Monica ficar com ciúmes com outro casal recém -casado que recebeu vantagens gratuitas chegando pouco antes de. As cenas cortadas deste episódio foram mostradas mais tarde como um recurso especial na versão do Reino Unido de 2004 dos DVDs. 174 `` Aquele com a fita de vídeo '' Kevin S. Bright Scott Silveri 18 de outubro de 2001 (2001 - 10 - 18) 227406 25.58 Ross e Rachel discordam de quem apareceu em quem quando se conectaram, com Rachel (e o grupo) Claro que Ross era o iniciador da gravidez - causando sexo e Ross, tendo certeza de que Rachel o atingiu primeiro. Ele quer provar isso e acidentalmente revela que ele tem o encontro em fita de vídeo. Rachel deixa de ficar com nojo de ficar intrigado, e todo mundo assiste a fita onde descobre que Ross estava certo porque Rachel usou a história patenteada de Joey que leva a fazer sexo ''. Monica e Chandler conhecem outro casal em sua lua de mel. 175 5 `` aquele com a data de Rachel '' Gary Halvorson Brian Buckner e Sebastian Jones 25 de outubro de 2001 (2001 - 10 - 25) 227404 25.64 Phoebe começa a namorar um cara que trabalha para Monica, causando um problema quando Phoebe quer Despeje -o no mesmo dia em que Monica planeja demiti -lo. Um cara no trabalho de Chandler acha que o nome de Chandler é Toby. Rachel segue um encontro com o coar de Joey, apesar de estar grávida, para o aborrecimento de Ross. Nota: Este episódio é dedicado à memória de Richard Cox, Sr., pai de Courteney Cox. 176 6 `` aquele com o partido de Halloween '' Gary Halvorson Mark Kunerth 1 de novembro de 2001 (2001 - 11 - 01) 227405 26.96 Monica e Chandler estão dando uma festa de Halloween. No partido, Phoebe encontra o noivo de sua irmã, Eric (Sean Penn), e se vê atraído por ele enquanto se liga ao que é uma mentirosa que é a Ursula. Ross e Chandler Arm lutam ineficazmente, como Ross lamenta que sua roupa pateta `` Spudnik '' o faz parecer com fezes. Rachel pergunta se ela pode ser a pessoa que distribui doces ao truque - ou - metrô, como ela diz 'desde que engravidei, tive os instintos maternos mais fortes', apenas para descobrir que ela não é como materna Como ela pensava. 177 7 `` aquele com a mancha '' Kevin S. Bright R. Lee Fleming Jr. 8 de novembro de 2001 (2001 - 11 - 08) 227407 24.24 Chandler contrata uma empregada para ajudar Monica, mas ela acha que a empregada está roubando suas roupas. Eric terminou com Ursula e quer namorar Phoebe, mas ela o lembra muito de sua irmã. Ross tenta garantir o apartamento de uma holandesa moribunda para Rachel, enquanto Joey tenta convencer Rachel a continuar morando com ele. 178 8 `` aquele com a stripper '' David Schwimmer Andrew Reich, Ted Cohen, 15 de novembro de 2001 (2001 - 11 - 15) 227408 26.54 Rachel está jantando com o pai para lhe dizer que ela está grávida e Rachel é intimidado e mente sobre Ross não ser apoiado, levando Green ameaçando Ross e quase arruinar seu romance em brotamento com Mona. Enquanto isso, Monica contrata uma stripper, que acaba sendo uma prostituta, para Chandler, porque ele nunca teve uma despedida de solteiro. 179 9 `` aquele com o boato '' Gary Halvorson Shana Goldberg - Meehan, 22 de novembro de 2001 (2001 - 11 - 22) 227410 24.24 Monica convida um amigo do ensino médio, Will (Brad Pitt) para seu jantar de Ação de Graças. Rachel descobre que Will (que era um perdedor como Ross no ensino médio e agora é um cara lindo) e Ross iniciou um boato sobre Rachel ter homens e mulheres `` peças reprodutivas '' durante o último ano do ensino médio. Joey tenta comer um peru inteiro porque 'ele é um Tribbiani'. Chandler e Phoebe evitam ajudar Monica sentando -se no sofá e assistindo a um jogo. 180 10 `` aquele com as botas de Monica '' Kevin S. Bright Story Por: Robert Carlock Teleplay Por: Brian Buckner e Sebastian Jones 6 de dezembro de 2001 (2001 - 12 - 06) 227409 22.44 Monica compra botas muito caras e promessas Chandler para usá -los o tempo todo. Depois de um tempo, eles estão matando os pés de Monica, mas ela não ousa contar a Chandler. A irmã mais nova de Joey, Dina (Marla Sokoloff), está grávida e vem a Rachel para conselhos. Phoebe descobre que o filho de Sting está na aula de Ben, então ela vai ver a esposa de Sting (esposa de verdade (Trudie Styler) fingindo querer falar sobre Ben e Jack para conseguir ingressos para o show de Sting. Nota: Neste episódio, Ross diz a Phoebe Ben tem 7 anos. No entanto, este episódio se passa em dezembro de 2001 e, como Ben nasceu em maio de 1995, Ben teria apenas 6 na época. 181 11 `` aquele com Ross 's Avançar '' `` aquele com o cartão de férias assustador '' Gary Halvorson Robert Carlock 13 de dezembro de 2001 (2001 - 12 - 13) 227411 23.85 Ross enlouquece quando Mona quer enviar cartões de Natal conjuntos e quer ter `` A palestra ''. Chandler tenta sair de passar um tempo com seu chefe. Rachel tem problemas hormonais como resultado da gravidez e se torna `` eroticamente carregado ''. BILSING - Graham e Ellen Plummer 10 de janeiro de 2002 (2002 - 01 - 10) 227412 25.53 Agora que Rachel não vai mais datas devido à sua gravidez, Joey decide levá -la a um encontro. Mas instantaneamente, ele começa a ter uma queda por Rachel, algo que ele está com medo. Monica e Chandler recebem um jogo de arcade da Sra. Pac - de Phoebe como um presente de casamento tardio. Depois de Phoebe Hogs o jogo, Chandler se torna um profissional jogando repetidamente e colocando palavras como suas iniciais, no entanto, Monica quer que elas sejam removidas, pois Ben viria para jogar. Depois que Ross começa a ministrar uma aula avançada, ele luta para chegar à aula a tempo. 183 13 `` Aquele em que Chandler toma banho '' Ben Weiss Vanessa McCarthy, 17 de janeiro de 2002 (2002 - 01 - 17) 227413 29.24 Monica Sways de Chandler aver Phoebe, que acha que Joey tem uma queda por ela, fica chocado ao descobrir que Joey realmente gosta de Rachel; Ross e Rachel debatem sobre nomes em potencial para o bebê e descobrem o sexo do bebê. 184 14 `` aquele com o armário secreto '' Kevin S. Bright Brian Buckner e Sebastian Jones 31 de janeiro de 2002 (2002 - 01 - 31) 227414 28.64 Chandler fica obcecado em descobrir o que está por trás da porta de Monica's Secret de Monica armário . Phoebe se sente traída quando descobre que Monica está usando um massoterapeuta diferente. Ross se sente deixado de fora depois de perder o primeiro chute do bebê, especialmente quando Joey é confundido com o pai. Joey, se sentindo mal com a situação, sugere que Rachel deve morar com Ross, mesmo que ele quisesse que Rachel morasse com ele. 185 15 `` aquele com o vídeo de parto '' Kevin S. Bright Dana Klein Borkow 7 de fevereiro de 2002 (2002 - 02 - 07) 227415 28.64 Phoebe dá um vídeo de parto para Rachel. Chandler, confundindo a fita pornô, assiste e fica horrorizada depois de assisti -la com Monica, que mata o clima para o dia dos Namorados. Ross luta para dizer a Mona que Rachel agora está morando com ele, e ela termina com ele por causa de sua desonestidade. Joey está deprimido e, em um esforço para aliviar seu humor, Phoebe lhe empresta um cachorro para animá -lo. No entanto, Joey acaba subjugando o cachorro com sua depressão e, no final, diz a Ross sobre seus sentimentos por Rachel. 186 16 `` aquele em que Joey diz a Rachel '' Ben Weiss Andrew Reich e Ted Cohen 28 de fevereiro de 2002 (2002 - 02 - 28) 227416 27,52 Ross, chocado com a declaração de Joey, evita -o, mas eventualmente o convence a dizer Rachel . Joey confessa seu amor por Rachel, mas Rachel de forma educada e amorosa o rejeita. Phoebe está convencido de que um homem britânico chamado Don é a alma gêmea de Monica. 187 17 `` Aquele com as folhas de chá '' Gary Halvorson Story de: R. Lee Fleming Jr. Teplay por: Steven Rosenhaus 7 de março de 2002 (2002 - 03 - 07) 227417 26.30 Phoebe determina através de folhas de chá que ela logo encontrará o homem de seus sonhos, o que a leva a uma data desastrosa e depois uma agradável reunião com um encantador Homem na limpeza a seco. Rachel inventa um problema de trabalho louco para reduzir o constrangimento de sair com Joey, já que ele confessou seus sentimentos por ela. Ross tenta recuperar sua camisa de 'salmão desbotada' do apartamento de Mona. 188 18 `` aquele em Massapequa '' `` aquele com o cara picante '' Gary Halvorson Story de: Peter Tibbals teleplay por: Mark Kunerth 28 de março de 2002 (2002 - 03 - 28) 227418 22.05 Monica bate uma tentativa em tentativa em Dando um discurso sincero para a festa de 35 anos de seus pais. Phoebe data Parker (Alec Baldwin), que está muito entusiasmado com tudo e, finalmente, irrita todo o grupo, incluindo a si mesma. Ross e Rachel precisam fingir ser casado e Ross '`` Breast Wedding' 'desperta sentimentos em Rachel. 189 19 `` aquele com a entrevista de Joey '' Gary Halvorson Doty Abrams 4 de abril de 2002 (2002 - 04 - 04) 227424 22.59 Joey se prepara para uma entrevista com a novela Digest, embora tenha medo de dizer algo estúpido que pode comprometer sua carreira. (Em um episódio anterior, em uma entrevista, ele disse que escreve muitas de suas próprias falas, o que levou a seu disparo de dias de nossas vidas.) Joey pede seus amigos para garantir que as coisas corriam bem. Este é o quarto dos seis shows de clipes dos amigos. 190 20 `` aquele com o chá de bebê '' Kevin S. Bright Sherry Bilsing - Graham &amp; Ellen Plummer 25 de abril de 2002 (2002 - 04 - 25) 227421 22.24 Phoebe e Monica Preparam -se para o chá de bebê de Rachel e esquecem de convidar Mãe de Rachel. Durante o chuveiro, Monica tenta desesperadamente buscar perdão com Sandra, mas sem sucesso. Rachel percebe que não tem idéia de como cuidar do bebê após o nascimento, então sua mãe insiste em ficar com ela por oito semanas, para ela e o aborrecimento de Ross. Monica finalmente dá a Rachel a confiança de ser mãe e deixa Sandra saber que ela está furiosa com sua rajeira. Joey faz o teste para um emprego como apresentador de um novo show de jogos chamado `` bamboozled ', que não faz absolutamente nenhum sentido, e Chandler e Ross o ajudam a praticar. 191 21 `` aquele com a aula de culinária '' Gary Halvorson Story de: Dana Klein Borkow Teleplay por: Brian Buckner e Sebastian Jones 2 de maio de 2002 (2002 - 05 - 02) 227419 23.97 As habilidades de cozimento de Monica recebem uma má revisão no post. Depois de confrontar o crítico que o escreveu, ela decide participar de uma aula de culinária, com Joey a reboque. Rachel fica com ciúmes quando Ross conhece uma garota que flerta com ele na loja de departamentos para bebês. Phoebe ajuda Chandler a se preparar para uma entrevista, impedindo seu instinto natural para fazer piadas imaturas. 192 22 `` aquele em que Rachel está atrasado '', Gary Halvorson Shana Goldberg - Meehan, 9 de maio de 2002 (2002 - 05 - 09) 227420 24.32 Joey convida Chandler para a estréia de seu filme, mas Chandler adormece durante ele. Rachel está muito frustrada com o fato de estar oito dias atrasado e tentará qualquer coisa para induzir o trabalho, o que leva a uma aposta entre Monica e Phoebe. 193 194 23 24 `` aquele em que Rachel tem um bebê '' Kevin S. Bright Scott Silta Marta Kauffman e David Crane 16 de maio de 2002 (2002 - 05 - 16) 227422 227423 34.91 Ross e Rachel chegam ao hospital. Judy Geller dá a Ross anel de noivado de sua mãe para propor Rachel. Monica e Chandler decidem ter um bebê. Depois de quarenta - sete horas de trabalho, Rachel tem ela e Ross 'Baby, Emma como `` Rio das lágrimas' ', de Eric Clapton, toca no fundo. Joey encontra o anel de noivado de Ross. Rachel acha que está propondo e diz `` ok ''. Monica e Chandler tentam um bebê no hospital.</v>
      </c>
    </row>
    <row r="944" customFormat="false" ht="15.75" hidden="false" customHeight="true" outlineLevel="0" collapsed="false">
      <c r="A944" s="3" t="n">
        <v>941</v>
      </c>
      <c r="B944" s="5" t="s">
        <v>2816</v>
      </c>
      <c r="C944" s="5" t="s">
        <v>2817</v>
      </c>
      <c r="D944" s="5" t="s">
        <v>2818</v>
      </c>
      <c r="E944" s="4" t="str">
        <f aca="false">IFERROR(__xludf.dummyfunction("GOOGLETRANSLATE(C945)"),"Onde está a rainha Mary ancorada na Califórnia")</f>
        <v>Onde está a rainha Mary ancorada na Califórnia</v>
      </c>
      <c r="F944" s="5" t="str">
        <f aca="false">IFERROR(__xludf.dummyfunction("GOOGLETRANSLATE(D944)"),"   Comissário Chefe de Eleição da Índia OM PRAKASH RAWAT desde 23 de janeiro de 2018 Comissão Eleitoral da Índia Nominador do Governo da Índia Presidente da Índia Presidente do Termo de 6 anos ou até 65 anos de idade (o que for anterior) Vice -Comissários"&amp;" Eleitorais da Índia Vice -Comissários Eleitorais de Comissários de Eleição de Salário da Índia ₹ 250.000 (US $ 3.700) por mês Comissão eleitoral da Índia")</f>
        <v>   Comissário Chefe de Eleição da Índia OM PRAKASH RAWAT desde 23 de janeiro de 2018 Comissão Eleitoral da Índia Nominador do Governo da Índia Presidente da Índia Presidente do Termo de 6 anos ou até 65 anos de idade (o que for anterior) Vice -Comissários Eleitorais da Índia Vice -Comissários Eleitorais de Comissários de Eleição de Salário da Índia ₹ 250.000 (US $ 3.700) por mês Comissão eleitoral da Índia</v>
      </c>
    </row>
    <row r="945" customFormat="false" ht="15.75" hidden="false" customHeight="true" outlineLevel="0" collapsed="false">
      <c r="A945" s="3" t="n">
        <v>942</v>
      </c>
      <c r="B945" s="5" t="s">
        <v>2819</v>
      </c>
      <c r="C945" s="5" t="s">
        <v>2820</v>
      </c>
      <c r="D945" s="5" t="s">
        <v>2821</v>
      </c>
      <c r="E945" s="4" t="str">
        <f aca="false">IFERROR(__xludf.dummyfunction("GOOGLETRANSLATE(C946)"),"Quem faz Lou acaba com o coração")</f>
        <v>Quem faz Lou acaba com o coração</v>
      </c>
      <c r="F945" s="5" t="str">
        <f aca="false">IFERROR(__xludf.dummyfunction("GOOGLETRANSLATE(D945)")," Em 25 - 30 de julho de 1943, a Queen Mary carregou 15.740 soldados e 943 equipes (total de 16.683), um recorde permanente para o maior número de passageiros já transportados em um navio. Durante esta viagem, enquanto 700 milhas (1.100 km) da Escócia dura"&amp;"nte um vendaval, ela foi subitamente atingida por uma onda desonesta que pode ter atingido uma altura de 28 metros (92 pés). Um relato dessa travessia pode ser encontrado no livro de Carter. Conforme citado no livro, o pai de Carter, Dr. Norval Carter, pa"&amp;"rte do 110º Hospital da Estação a bordo da época, escreveu em uma carta que, a certa altura, a rainha Mary `` condenada perto de Capsized ... um momento no topo Deck estava em sua altura habitual e, em seguida, Swoom! Para baixo, e para frente, ela arreme"&amp;"ssava. '' Foi calculado mais tarde que o navio rolou 52 graus e teria capacitado se ela rolasse mais 3 graus. O incidente inspirou Paul Gallico a escrever seu romance, The Poseidon Adventure (1969) e levar o incidente a um extremo fictício. Isso foi adapt"&amp;"ado como um filme de 1972 com o mesmo nome, no qual o SS Poseidon é virado de cabeça para baixo - e os passageiros presos tentam escapar. Partes do filme foram filmadas na verdadeira rainha Mary, convenientemente ancoradas em Long Beach.")</f>
        <v> Em 25 - 30 de julho de 1943, a Queen Mary carregou 15.740 soldados e 943 equipes (total de 16.683), um recorde permanente para o maior número de passageiros já transportados em um navio. Durante esta viagem, enquanto 700 milhas (1.100 km) da Escócia durante um vendaval, ela foi subitamente atingida por uma onda desonesta que pode ter atingido uma altura de 28 metros (92 pés). Um relato dessa travessia pode ser encontrado no livro de Carter. Conforme citado no livro, o pai de Carter, Dr. Norval Carter, parte do 110º Hospital da Estação a bordo da época, escreveu em uma carta que, a certa altura, a rainha Mary `` condenada perto de Capsized ... um momento no topo Deck estava em sua altura habitual e, em seguida, Swoom! Para baixo, e para frente, ela arremessava. '' Foi calculado mais tarde que o navio rolou 52 graus e teria capacitado se ela rolasse mais 3 graus. O incidente inspirou Paul Gallico a escrever seu romance, The Poseidon Adventure (1969) e levar o incidente a um extremo fictício. Isso foi adaptado como um filme de 1972 com o mesmo nome, no qual o SS Poseidon é virado de cabeça para baixo - e os passageiros presos tentam escapar. Partes do filme foram filmadas na verdadeira rainha Mary, convenientemente ancoradas em Long Beach.</v>
      </c>
    </row>
    <row r="946" customFormat="false" ht="15.75" hidden="false" customHeight="true" outlineLevel="0" collapsed="false">
      <c r="A946" s="3" t="n">
        <v>943</v>
      </c>
      <c r="B946" s="5" t="s">
        <v>2822</v>
      </c>
      <c r="C946" s="5" t="s">
        <v>2823</v>
      </c>
      <c r="D946" s="5" t="s">
        <v>2824</v>
      </c>
      <c r="E946" s="4" t="str">
        <f aca="false">IFERROR(__xludf.dummyfunction("GOOGLETRANSLATE(C947)"),"que interpretou Rafe Bodine no norte e sul")</f>
        <v>que interpretou Rafe Bodine no norte e sul</v>
      </c>
      <c r="F946" s="5" t="str">
        <f aca="false">IFERROR(__xludf.dummyfunction("GOOGLETRANSLATE(D946)")," No início da série, Lou se muda de volta para casa de seu trabalho na cidade de Nova York para ajudar a administrar o Heartland. Ela está inicialmente relutante em permanecer em Hudson porque tem um namorado longo e um trabalho lucrativo em Nova York. Ao"&amp;" descobrir a baixa situação econômica de Heartland, ela cria um plano financeiro para tirar o rancho da dívida e torná -lo bem -sucedido. No entanto, ela é informada por um consultor financeiro do banco que sua presença no rancho é essencial para garantir"&amp;" o empréstimo necessário para implementar seu plano. Depois que Lou decide ficar, ela dirige o fim dos negócios do Heartland, cuidando de compromissos e estabelecendo taxas para os cavalos de paciente. Mais tarde, ela decidiu iniciar um novo empreendiment"&amp;"o comercial: a conexão equestre do Heartland. Essa ideia é recebida com muita resistência, especialmente de Jack. Os membros da família se referem ironicamente ao negócio como o `` rancho do cara '', e o nome gruda, embora não esteja mais com sua conotaçã"&amp;"o negativa. Ao longo do caminho, Lou termina com o namorado de Nova York e tenta refazer um romance com o veterinário local, Scott Cardinal. Na segunda temporada, o relacionamento de Lou com Scott se dissolve. Ela conhece seu futuro marido, Peter, graças "&amp;"a uma configuração da namorada de Jack, Lisa, e inicia um relacionamento secreto com ele devido ao trabalho de Peter na indústria do petróleo. Lou já havia reunido os fazendeiros locais contra a companhia petrolífera de Peter e espera que Jack não aprove "&amp;"sua escolha de namorado. Mais tarde, o relacionamento de Lou com Peter é mais público e eles se casam no final da terceira temporada. Eles se mudam para Dubai, mas ela logo se sente muito sozinha em um país tão estrangeiro e cresce para sentir falta de He"&amp;"artland e sua família. Quando eles voltam para casa, Lou descobre que ela está grávida. Mais tarde, ela dá à luz uma garota chamada Catherine Marion Minnie Fleming - Morris (muitas vezes chamada de Katie). Depois de várias tentativas fracassadas de compra"&amp;"r um lugar próprio e até construir uma casa em algum lugar na propriedade de 600 acres em Heartland, Lou e Peter compram o rancho de Hanley da Sra. Bell e planejam se mudar para ele e reformá -lo . No entanto, a fiação defeituosa na estrutura causa um inc"&amp;"êndio, e os edifícios e os estábulos queimam, deixando -os nenhuma escolha a não ser permanecer no Heartland. Lou tem um relacionamento positivo com sua irmã Amy, fornecendo um ouvido auditivo e conselhos oportunos quando ela precisar, e Amy geralmente de"&amp;"sempenha o mesmo papel para Lou. Lou também está perto de seu pai, Tim, e ela é a primeira a se reconectar com ele após a morte de Marion. Na 6ª temporada, Lou e Peter decidem adotar um órfão chamado Georgina Crawley, que Jack estava promovendo depois de "&amp;"descobrir que ela se escondeu no loft. Na 8ª temporada, Lou e Peter começam a ter problemas de relacionamento, já que Peter está constantemente em Vancouver para seu trabalho. Seguindo o conselho de Amy, Lou vai a Vancouver para falar sobre ele, mas eles "&amp;"decidem se separar. Peter retorna a Hudson para tentar convencer Lou de que eles podem resolver as coisas, mas ela não está interessada, já que nada mudou. Lou mais tarde tenta namoro online e parece estar se apaixonando pela nova mão estável, Mitch. Pete"&amp;"r visita regularmente suas filhas e interfere no romance de Lou e Mitch sempre que ele está no Heartland. Na 7ª temporada, Lou compra de Maggie depois que Maggie se move para estar com Soraya em Londres, Inglaterra. Ela o administra com Tim, que atua como"&amp;" seu parceiro de negócios. Lou finalmente trabalha para trazer Maggie para a cidade de Nova York e passa grande parte do tempo voando de um lado para o outro, com o resto de sua família cuidando de Georgie e Katie.")</f>
        <v> No início da série, Lou se muda de volta para casa de seu trabalho na cidade de Nova York para ajudar a administrar o Heartland. Ela está inicialmente relutante em permanecer em Hudson porque tem um namorado longo e um trabalho lucrativo em Nova York. Ao descobrir a baixa situação econômica de Heartland, ela cria um plano financeiro para tirar o rancho da dívida e torná -lo bem -sucedido. No entanto, ela é informada por um consultor financeiro do banco que sua presença no rancho é essencial para garantir o empréstimo necessário para implementar seu plano. Depois que Lou decide ficar, ela dirige o fim dos negócios do Heartland, cuidando de compromissos e estabelecendo taxas para os cavalos de paciente. Mais tarde, ela decidiu iniciar um novo empreendimento comercial: a conexão equestre do Heartland. Essa ideia é recebida com muita resistência, especialmente de Jack. Os membros da família se referem ironicamente ao negócio como o `` rancho do cara '', e o nome gruda, embora não esteja mais com sua conotação negativa. Ao longo do caminho, Lou termina com o namorado de Nova York e tenta refazer um romance com o veterinário local, Scott Cardinal. Na segunda temporada, o relacionamento de Lou com Scott se dissolve. Ela conhece seu futuro marido, Peter, graças a uma configuração da namorada de Jack, Lisa, e inicia um relacionamento secreto com ele devido ao trabalho de Peter na indústria do petróleo. Lou já havia reunido os fazendeiros locais contra a companhia petrolífera de Peter e espera que Jack não aprove sua escolha de namorado. Mais tarde, o relacionamento de Lou com Peter é mais público e eles se casam no final da terceira temporada. Eles se mudam para Dubai, mas ela logo se sente muito sozinha em um país tão estrangeiro e cresce para sentir falta de Heartland e sua família. Quando eles voltam para casa, Lou descobre que ela está grávida. Mais tarde, ela dá à luz uma garota chamada Catherine Marion Minnie Fleming - Morris (muitas vezes chamada de Katie). Depois de várias tentativas fracassadas de comprar um lugar próprio e até construir uma casa em algum lugar na propriedade de 600 acres em Heartland, Lou e Peter compram o rancho de Hanley da Sra. Bell e planejam se mudar para ele e reformá -lo . No entanto, a fiação defeituosa na estrutura causa um incêndio, e os edifícios e os estábulos queimam, deixando -os nenhuma escolha a não ser permanecer no Heartland. Lou tem um relacionamento positivo com sua irmã Amy, fornecendo um ouvido auditivo e conselhos oportunos quando ela precisar, e Amy geralmente desempenha o mesmo papel para Lou. Lou também está perto de seu pai, Tim, e ela é a primeira a se reconectar com ele após a morte de Marion. Na 6ª temporada, Lou e Peter decidem adotar um órfão chamado Georgina Crawley, que Jack estava promovendo depois de descobrir que ela se escondeu no loft. Na 8ª temporada, Lou e Peter começam a ter problemas de relacionamento, já que Peter está constantemente em Vancouver para seu trabalho. Seguindo o conselho de Amy, Lou vai a Vancouver para falar sobre ele, mas eles decidem se separar. Peter retorna a Hudson para tentar convencer Lou de que eles podem resolver as coisas, mas ela não está interessada, já que nada mudou. Lou mais tarde tenta namoro online e parece estar se apaixonando pela nova mão estável, Mitch. Peter visita regularmente suas filhas e interfere no romance de Lou e Mitch sempre que ele está no Heartland. Na 7ª temporada, Lou compra de Maggie depois que Maggie se move para estar com Soraya em Londres, Inglaterra. Ela o administra com Tim, que atua como seu parceiro de negócios. Lou finalmente trabalha para trazer Maggie para a cidade de Nova York e passa grande parte do tempo voando de um lado para o outro, com o resto de sua família cuidando de Georgie e Katie.</v>
      </c>
    </row>
    <row r="947" customFormat="false" ht="15.75" hidden="false" customHeight="true" outlineLevel="0" collapsed="false">
      <c r="A947" s="3" t="n">
        <v>944</v>
      </c>
      <c r="B947" s="5" t="s">
        <v>2825</v>
      </c>
      <c r="C947" s="5" t="s">
        <v>2826</v>
      </c>
      <c r="D947" s="5" t="s">
        <v>2827</v>
      </c>
      <c r="E947" s="4" t="str">
        <f aca="false">IFERROR(__xludf.dummyfunction("GOOGLETRANSLATE(C948)"),"que pagou pelo Monte Rushmore para ser construído")</f>
        <v>que pagou pelo Monte Rushmore para ser construído</v>
      </c>
      <c r="F947" s="5" t="str">
        <f aca="false">IFERROR(__xludf.dummyfunction("GOOGLETRANSLATE(D947)"),"   Personagem Norte e Sul 1985 Norte e Sul: Livro II 1986 Céu e Inferno: Livro Norte e Sul III 1994 Orry Main Patrick Swayze Patrick Swayze (Arquivo / Uncreditado) George Hazard James leu Madeline Fabray Lesley - Anne Down Constance Flynn Wendy Kilbourne "&amp;"Virgilia Hazard Hazard Kirstie Alley - Ashton Main Young Ashton Young Ashton Terri Garber Temi Epstein (Ep. 1) Stephanie Jolluck (Ep. 2) Terri Garber Terri Garber Brett Main Young Brett Brett Genie Francis Nikki Creswell (Ep. 1) Melissa Manley (Ep. 2 )   "&amp;"Genie Francis   Genie Francis     Elkanah Bent   Philip Casnoff     Charles Main   Lewis Smith   Kyle Chandler     Billy Hazard Young Billy   John Stockwell Cary Guffey ( Ep. 1 )   Parker Stevenson       Stanley Hazard   Jonathan Frakes     Isabel Truscot"&amp;"t Hazard   Wendy Fulton   Mary Crosby   Deborah Rush     Justin LaMotte   David Carradine   --     Clarissa Gault Main Jean Simmons - Maude Hazard Inga Swenson - Burdetta Halloran Morgan Fairchild - Congressista Sam Greene David Ogden Stiers - James Hunto"&amp;"on Jim Metzler - Salem Jones Tony Frank - Priam David Harris - Semiramis Erica Gimpel - Cuffey Floresta Whitaker - Ned Fisk Andrew Stahl - Maum Sally Olivia Cole Madam Conti Elizabeth Taylor Garrison GRADY Georg Stanford Brown Tillet Main Mitchell Ryan Wi"&amp;"lliam Hazard John Anderson Ironworker Ray Miles Horrell Hadã Neal Olivia de Havilland Rose Sinclair Linda Evans Capitão Thomas Turner Wayne Newton Ezra Beau Billingslea Tenente Rudy Bodford Michael Dudikoff Tenente Stephen Kent Whip Hobley Hope Hishard Pe"&amp;"terrcredited Jennifer e Michele Steffin WilliAbeth McCae Samey Samey Samelt Petercredited Orliur e Michele Steffin WilliAl McCae Samey Samey Samey Mariette hartley adolphus rip rasgou o cooper robert robert wagner judith stafford main cathy lee crosby wil"&amp;"l fenway tom noonan gus main main não creditado cameron finley scar gregory zaragoza figuras wolf ted thin elk gettys lamotte cliff jack quinlan woody woody woods shilon shilon shlower shlows shillings shrotty shlows shlottys jane jaws jaws jane jaws jaws"&amp;" jane shlottys lamotte cliff jack quinlan woody woody watson isaac stan stan Livro I 1985 Livro II 1986 Livro III 1994 Abraham Lincoln Hal Holbrook Mary Todd Lincoln Rachel Jakes (não creditado) Ulysses S. Grant Mark Moses Anthony Zerbe Rutherford Cravens"&amp;" Frederick Gegrot Roberilume Johnny JOHNNY Cash George B. Hampton Thomas `` Stonewall '' Jackson William Preston Daly Hiram Berdan Kurtwood Smith Jefferson Davis Lloyd Bridges Robert E. Lee William Schallert Dorothea Dix Nancy Marchand Francis Cardozo Bil"&amp;"ly Dee Williams Major Anderson Anderson Rebhorn")</f>
        <v>   Personagem Norte e Sul 1985 Norte e Sul: Livro II 1986 Céu e Inferno: Livro Norte e Sul III 1994 Orry Main Patrick Swayze Patrick Swayze (Arquivo / Uncreditado) George Hazard James leu Madeline Fabray Lesley - Anne Down Constance Flynn Wendy Kilbourne Virgilia Hazard Hazard Kirstie Alley - Ashton Main Young Ashton Young Ashton Terri Garber Temi Epstein (Ep. 1) Stephanie Jolluck (Ep. 2) Terri Garber Terri Garber Brett Main Young Brett Brett Genie Francis Nikki Creswell (Ep. 1) Melissa Manley (Ep. 2 )   Genie Francis   Genie Francis     Elkanah Bent   Philip Casnoff     Charles Main   Lewis Smith   Kyle Chandler     Billy Hazard Young Billy   John Stockwell Cary Guffey ( Ep. 1 )   Parker Stevenson       Stanley Hazard   Jonathan Frakes     Isabel Truscott Hazard   Wendy Fulton   Mary Crosby   Deborah Rush     Justin LaMotte   David Carradine   --     Clarissa Gault Main Jean Simmons - Maude Hazard Inga Swenson - Burdetta Halloran Morgan Fairchild - Congressista Sam Greene David Ogden Stiers - James Huntoon Jim Metzler - Salem Jones Tony Frank - Priam David Harris - Semiramis Erica Gimpel - Cuffey Floresta Whitaker - Ned Fisk Andrew Stahl - Maum Sally Olivia Cole Madam Conti Elizabeth Taylor Garrison GRADY Georg Stanford Brown Tillet Main Mitchell Ryan William Hazard John Anderson Ironworker Ray Miles Horrell Hadã Neal Olivia de Havilland Rose Sinclair Linda Evans Capitão Thomas Turner Wayne Newton Ezra Beau Billingslea Tenente Rudy Bodford Michael Dudikoff Tenente Stephen Kent Whip Hobley Hope Hishard Peterrcredited Jennifer e Michele Steffin WilliAbeth McCae Samey Samey Samelt Petercredited Orliur e Michele Steffin WilliAl McCae Samey Samey Samey Mariette hartley adolphus rip rasgou o cooper robert robert wagner judith stafford main cathy lee crosby will fenway tom noonan gus main main não creditado cameron finley scar gregory zaragoza figuras wolf ted thin elk gettys lamotte cliff jack quinlan woody woody woods shilon shilon shlower shlows shillings shrotty shlows shlottys jane jaws jaws jane jaws jaws jane shlottys lamotte cliff jack quinlan woody woody watson isaac stan stan Livro I 1985 Livro II 1986 Livro III 1994 Abraham Lincoln Hal Holbrook Mary Todd Lincoln Rachel Jakes (não creditado) Ulysses S. Grant Mark Moses Anthony Zerbe Rutherford Cravens Frederick Gegrot Roberilume Johnny JOHNNY Cash George B. Hampton Thomas `` Stonewall '' Jackson William Preston Daly Hiram Berdan Kurtwood Smith Jefferson Davis Lloyd Bridges Robert E. Lee William Schallert Dorothea Dix Nancy Marchand Francis Cardozo Billy Dee Williams Major Anderson Anderson Rebhorn</v>
      </c>
    </row>
    <row r="948" customFormat="false" ht="15.75" hidden="false" customHeight="true" outlineLevel="0" collapsed="false">
      <c r="A948" s="3" t="n">
        <v>945</v>
      </c>
      <c r="B948" s="5" t="s">
        <v>2828</v>
      </c>
      <c r="C948" s="5" t="s">
        <v>2829</v>
      </c>
      <c r="D948" s="5" t="s">
        <v>2830</v>
      </c>
      <c r="E948" s="4" t="str">
        <f aca="false">IFERROR(__xludf.dummyfunction("GOOGLETRANSLATE(C949)"),"onde está a nova série de TV Yellowstone filmada")</f>
        <v>onde está a nova série de TV Yellowstone filmada</v>
      </c>
      <c r="F948" s="5" t="str">
        <f aca="false">IFERROR(__xludf.dummyfunction("GOOGLETRANSLATE(D948)")," Depois de garantir o financiamento federal através do entusiasmado patrocínio do grande patrono político de Mount Rushmore "", o senador dos EUA Peter Norbeck, a construção do memorial começou em 1927, e os rostos dos presidentes foram concluídos entre 1"&amp;"934 e 1939. Após a morte de Gutzon Borglum em março de 1941, seu filho Lincoln Borglum assumiu o cargo de líder do projeto de construção. Cada presidente era originalmente representado da cabeça à cintura. A falta de financiamento forçou a construção para"&amp;" terminar em 31 de outubro de 1941.")</f>
        <v> Depois de garantir o financiamento federal através do entusiasmado patrocínio do grande patrono político de Mount Rushmore ", o senador dos EUA Peter Norbeck, a construção do memorial começou em 1927, e os rostos dos presidentes foram concluídos entre 1934 e 1939. Após a morte de Gutzon Borglum em março de 1941, seu filho Lincoln Borglum assumiu o cargo de líder do projeto de construção. Cada presidente era originalmente representado da cabeça à cintura. A falta de financiamento forçou a construção para terminar em 31 de outubro de 1941.</v>
      </c>
    </row>
    <row r="949" customFormat="false" ht="15.75" hidden="false" customHeight="true" outlineLevel="0" collapsed="false">
      <c r="A949" s="3" t="n">
        <v>946</v>
      </c>
      <c r="B949" s="5" t="s">
        <v>2831</v>
      </c>
      <c r="C949" s="5" t="s">
        <v>2832</v>
      </c>
      <c r="D949" s="5" t="s">
        <v>2833</v>
      </c>
      <c r="E949" s="4" t="str">
        <f aca="false">IFERROR(__xludf.dummyfunction("GOOGLETRANSLATE(C950)"),"quanto tempo leva para que o cabelo cresça")</f>
        <v>quanto tempo leva para que o cabelo cresça</v>
      </c>
      <c r="F949" s="5" t="str">
        <f aca="false">IFERROR(__xludf.dummyfunction("GOOGLETRANSLATE(D949)")," A fotografia principal da série começou em agosto de 2017 no chefe Joseph Ranch em Darby, Montana, que se destaca como o lar de John Dutton. As filmagens também ocorreram naquele mês perto de Park City, Utah. A produção usou todos os três palcos sonoros "&amp;"no Utah Film Studio em Park City, que é um total de 45.000 pés quadrados. O edifício também abriga escritórios, edição, um enorme departamento de guarda -roupa e lojas de construção. Em novembro de 2017, a série havia filmado em mais de vinte locais em Ut"&amp;"ah, incluindo o Salt Flats e o Spanish Fork. Além disso, as filmagens também ocorreram em vários locais em Montana. A produção foi definida para durar até dezembro de 2017.")</f>
        <v> A fotografia principal da série começou em agosto de 2017 no chefe Joseph Ranch em Darby, Montana, que se destaca como o lar de John Dutton. As filmagens também ocorreram naquele mês perto de Park City, Utah. A produção usou todos os três palcos sonoros no Utah Film Studio em Park City, que é um total de 45.000 pés quadrados. O edifício também abriga escritórios, edição, um enorme departamento de guarda -roupa e lojas de construção. Em novembro de 2017, a série havia filmado em mais de vinte locais em Utah, incluindo o Salt Flats e o Spanish Fork. Além disso, as filmagens também ocorreram em vários locais em Montana. A produção foi definida para durar até dezembro de 2017.</v>
      </c>
    </row>
    <row r="950" customFormat="false" ht="15.75" hidden="false" customHeight="true" outlineLevel="0" collapsed="false">
      <c r="A950" s="3" t="n">
        <v>947</v>
      </c>
      <c r="B950" s="5" t="s">
        <v>2834</v>
      </c>
      <c r="C950" s="5" t="s">
        <v>2835</v>
      </c>
      <c r="D950" s="5" t="s">
        <v>2836</v>
      </c>
      <c r="E950" s="4" t="str">
        <f aca="false">IFERROR(__xludf.dummyfunction("GOOGLETRANSLATE(C951)"),"que é o maior lago de água doce do nordeste da Índia")</f>
        <v>que é o maior lago de água doce do nordeste da Índia</v>
      </c>
      <c r="F950" s="5" t="str">
        <f aca="false">IFERROR(__xludf.dummyfunction("GOOGLETRANSLATE(D950)")," Os três estágios do crescimento capilar são as fases anágenas, catágicas e telógenas. Cada fio de cabelo no corpo humano está em seu próprio estágio de desenvolvimento. Uma vez concluído o ciclo, ele reinicia e um novo fio de cabelo começa a se formar. A"&amp;" taxa ou velocidade do crescimento do cabelo é de cerca de 1,25 centímetros ou 0,5 polegadas por mês, ou cerca de 15 centímetros ou 6 polegadas por ano.")</f>
        <v> Os três estágios do crescimento capilar são as fases anágenas, catágicas e telógenas. Cada fio de cabelo no corpo humano está em seu próprio estágio de desenvolvimento. Uma vez concluído o ciclo, ele reinicia e um novo fio de cabelo começa a se formar. A taxa ou velocidade do crescimento do cabelo é de cerca de 1,25 centímetros ou 0,5 polegadas por mês, ou cerca de 15 centímetros ou 6 polegadas por ano.</v>
      </c>
    </row>
    <row r="951" customFormat="false" ht="15.75" hidden="false" customHeight="true" outlineLevel="0" collapsed="false">
      <c r="A951" s="3" t="n">
        <v>948</v>
      </c>
      <c r="B951" s="5" t="s">
        <v>2837</v>
      </c>
      <c r="C951" s="5" t="s">
        <v>2838</v>
      </c>
      <c r="D951" s="5" t="s">
        <v>2839</v>
      </c>
      <c r="E951" s="4" t="str">
        <f aca="false">IFERROR(__xludf.dummyfunction("GOOGLETRANSLATE(C952)"),"Qual é a ação crescente em um conto")</f>
        <v>Qual é a ação crescente em um conto</v>
      </c>
      <c r="F951" s="5" t="str">
        <f aca="false">IFERROR(__xludf.dummyfunction("GOOGLETRANSLATE(D951)")," O lago Loktak é o maior lago de água doce do nordeste da Índia e é famosa pelo Phumdis (massa heterogênea de vegetação, solo e matéria orgânica em vários estágios de decomposição) flutuando sobre ele. O lago está localizado perto de Moirang, no estado de"&amp;" Manipur, na Índia. A etimologia de Loktak é Lok = `` Stream '' e Tak = `` The End ''. O maior de todos os Phumdis cobre uma área de 40 km (m -m2) e está situado na costa sudeste do lago. Localizado neste Phumdi, o Parque Nacional Keibul Lamjao é o único "&amp;"parque nacional flutuante no mundo. O parque é o último refúgio natural do Sangai em extinção (animal do estado), Rucervus Eldii Eldii ou Manipur Brown - Deer complicado (Cervus Eldi Eldi), uma das três subespécies do veado do Eld.")</f>
        <v> O lago Loktak é o maior lago de água doce do nordeste da Índia e é famosa pelo Phumdis (massa heterogênea de vegetação, solo e matéria orgânica em vários estágios de decomposição) flutuando sobre ele. O lago está localizado perto de Moirang, no estado de Manipur, na Índia. A etimologia de Loktak é Lok = `` Stream '' e Tak = `` The End ''. O maior de todos os Phumdis cobre uma área de 40 km (m -m2) e está situado na costa sudeste do lago. Localizado neste Phumdi, o Parque Nacional Keibul Lamjao é o único parque nacional flutuante no mundo. O parque é o último refúgio natural do Sangai em extinção (animal do estado), Rucervus Eldii Eldii ou Manipur Brown - Deer complicado (Cervus Eldi Eldi), uma das três subespécies do veado do Eld.</v>
      </c>
    </row>
    <row r="952" customFormat="false" ht="15.75" hidden="false" customHeight="true" outlineLevel="0" collapsed="false">
      <c r="A952" s="3" t="n">
        <v>949</v>
      </c>
      <c r="B952" s="5" t="s">
        <v>2840</v>
      </c>
      <c r="C952" s="5" t="s">
        <v>2841</v>
      </c>
      <c r="D952" s="5" t="s">
        <v>2842</v>
      </c>
      <c r="E952" s="4" t="str">
        <f aca="false">IFERROR(__xludf.dummyfunction("GOOGLETRANSLATE(C953)"),"Quando a bandeira dos EUA tinha 50 estrelas")</f>
        <v>Quando a bandeira dos EUA tinha 50 estrelas</v>
      </c>
      <c r="F952" s="5" t="str">
        <f aca="false">IFERROR(__xludf.dummyfunction("GOOGLETRANSLATE(D952)")," Na ação crescente, uma série de eventos se baseia em direção ao ponto de maior interesse. A ação crescente de uma história é a série de eventos que começam imediatamente após a exposição (introdução) da história e aumenta o clímax. Esses eventos são gera"&amp;"lmente as partes mais importantes da história, uma vez que todo o enredo depende deles para estabelecer o clímax e, finalmente, a resolução satisfatória da própria história.")</f>
        <v> Na ação crescente, uma série de eventos se baseia em direção ao ponto de maior interesse. A ação crescente de uma história é a série de eventos que começam imediatamente após a exposição (introdução) da história e aumenta o clímax. Esses eventos são geralmente as partes mais importantes da história, uma vez que todo o enredo depende deles para estabelecer o clímax e, finalmente, a resolução satisfatória da própria história.</v>
      </c>
    </row>
    <row r="953" customFormat="false" ht="15.75" hidden="false" customHeight="true" outlineLevel="0" collapsed="false">
      <c r="A953" s="3" t="n">
        <v>950</v>
      </c>
      <c r="B953" s="5" t="s">
        <v>2843</v>
      </c>
      <c r="C953" s="5" t="s">
        <v>2844</v>
      </c>
      <c r="D953" s="5" t="s">
        <v>2845</v>
      </c>
      <c r="E953" s="4" t="str">
        <f aca="false">IFERROR(__xludf.dummyfunction("GOOGLETRANSLATE(C954)"),"que jogou Nova no planeta dos macacos")</f>
        <v>que jogou Nova no planeta dos macacos</v>
      </c>
      <c r="F953" s="5" t="str">
        <f aca="false">IFERROR(__xludf.dummyfunction("GOOGLETRANSLATE(D953)")," Os Estados Unidos da América nomeiam a bandeira americana, as estrelas e as listras; Vermelho, branco e azul ; Velha glória ; A Star - Banner Spangled usa a bandeira nacional e a alferes Proporção 10: 19 adotada em 14 de junho de 1777 (versão original 13"&amp;" - Star Version) 4 de julho de 1960 (Current 50 - Star Version) Design Treze listras horizontais alternadas vermelhas e brancas; No cantão, 50 estrelas brancas de números alternados de seis e cinco por linha horizontal em um campo azul")</f>
        <v> Os Estados Unidos da América nomeiam a bandeira americana, as estrelas e as listras; Vermelho, branco e azul ; Velha glória ; A Star - Banner Spangled usa a bandeira nacional e a alferes Proporção 10: 19 adotada em 14 de junho de 1777 (versão original 13 - Star Version) 4 de julho de 1960 (Current 50 - Star Version) Design Treze listras horizontais alternadas vermelhas e brancas; No cantão, 50 estrelas brancas de números alternados de seis e cinco por linha horizontal em um campo azul</v>
      </c>
    </row>
    <row r="954" customFormat="false" ht="15.75" hidden="false" customHeight="true" outlineLevel="0" collapsed="false">
      <c r="A954" s="3" t="n">
        <v>951</v>
      </c>
      <c r="B954" s="5" t="s">
        <v>2846</v>
      </c>
      <c r="C954" s="5" t="s">
        <v>2847</v>
      </c>
      <c r="D954" s="5" t="s">
        <v>2848</v>
      </c>
      <c r="E954" s="4" t="str">
        <f aca="false">IFERROR(__xludf.dummyfunction("GOOGLETRANSLATE(C955)"),"qual é o principal objetivo de uma declaração de visão")</f>
        <v>qual é o principal objetivo de uma declaração de visão</v>
      </c>
      <c r="F954" s="5" t="str">
        <f aca="false">IFERROR(__xludf.dummyfunction("GOOGLETRANSLATE(D954)")," Linda Melson Harrison (nascida em 26 de julho de 1945) é uma atriz de televisão e cinema americana e diretora e produtora, que é conhecida internacionalmente por seu papel como Nova, Mudate de Charlton Heston no Planeta de Filmes de Ficção Científica dos"&amp;" Apes (1968 ) e a primeira sequência, abaixo do planeta dos macacos; Ela também teve uma participação especial no remake do original de Tim Burton. Ela era membro regular do elenco da série de televisão de 1969 - 70 NBC Bracken's World. Ela era a segunda "&amp;"esposa do produtor de cinema Richard D. Zanuck (Jaws, Cocoon, dirigindo Miss Daisy, Charlie e a fábrica de chocolate); Seu filho mais novo é o produtor Dean Zanuck (estrada para a Perdição, Charlie e a fábrica de chocolate).")</f>
        <v> Linda Melson Harrison (nascida em 26 de julho de 1945) é uma atriz de televisão e cinema americana e diretora e produtora, que é conhecida internacionalmente por seu papel como Nova, Mudate de Charlton Heston no Planeta de Filmes de Ficção Científica dos Apes (1968 ) e a primeira sequência, abaixo do planeta dos macacos; Ela também teve uma participação especial no remake do original de Tim Burton. Ela era membro regular do elenco da série de televisão de 1969 - 70 NBC Bracken's World. Ela era a segunda esposa do produtor de cinema Richard D. Zanuck (Jaws, Cocoon, dirigindo Miss Daisy, Charlie e a fábrica de chocolate); Seu filho mais novo é o produtor Dean Zanuck (estrada para a Perdição, Charlie e a fábrica de chocolate).</v>
      </c>
    </row>
    <row r="955" customFormat="false" ht="15.75" hidden="false" customHeight="true" outlineLevel="0" collapsed="false">
      <c r="A955" s="3" t="n">
        <v>952</v>
      </c>
      <c r="B955" s="5" t="s">
        <v>2849</v>
      </c>
      <c r="C955" s="5" t="s">
        <v>2850</v>
      </c>
      <c r="D955" s="5" t="s">
        <v>2851</v>
      </c>
      <c r="E955" s="4" t="str">
        <f aca="false">IFERROR(__xludf.dummyfunction("GOOGLETRANSLATE(C956)"),"Maria da alma ela navegou em um dia")</f>
        <v>Maria da alma ela navegou em um dia</v>
      </c>
      <c r="F955" s="5" t="str">
        <f aca="false">IFERROR(__xludf.dummyfunction("GOOGLETRANSLATE(D955)")," É importante que uma declaração de missão não seja confundida com uma declaração de visão. Como discutido anteriormente, o principal objetivo de uma declaração de missão é atravessar as ambições de uma organização de uma maneira curta e simples, não é ne"&amp;"cessário entrar em detalhes para a declaração de missão, que é evidente nos exemplos dados. A razão pela qual é importante que uma declaração de missão e uma declaração de visão não estejam confusas é porque ambos servem a propósitos diferentes. As declar"&amp;"ações de visão tendem a estar mais relacionadas ao planejamento estratégico e se apoiarem mais para discutir onde uma empresa pretende estar no futuro.")</f>
        <v> É importante que uma declaração de missão não seja confundida com uma declaração de visão. Como discutido anteriormente, o principal objetivo de uma declaração de missão é atravessar as ambições de uma organização de uma maneira curta e simples, não é necessário entrar em detalhes para a declaração de missão, que é evidente nos exemplos dados. A razão pela qual é importante que uma declaração de missão e uma declaração de visão não estejam confusas é porque ambos servem a propósitos diferentes. As declarações de visão tendem a estar mais relacionadas ao planejamento estratégico e se apoiarem mais para discutir onde uma empresa pretende estar no futuro.</v>
      </c>
    </row>
    <row r="956" customFormat="false" ht="15.75" hidden="false" customHeight="true" outlineLevel="0" collapsed="false">
      <c r="A956" s="3" t="n">
        <v>953</v>
      </c>
      <c r="B956" s="5" t="s">
        <v>2852</v>
      </c>
      <c r="C956" s="5" t="s">
        <v>2853</v>
      </c>
      <c r="D956" s="5" t="s">
        <v>2854</v>
      </c>
      <c r="E956" s="4" t="str">
        <f aca="false">IFERROR(__xludf.dummyfunction("GOOGLETRANSLATE(C957)"),"onde está o deserto de gobi localizado em um mapa mundial")</f>
        <v>onde está o deserto de gobi localizado em um mapa mundial</v>
      </c>
      <c r="F956" s="5" t="str">
        <f aca="false">IFERROR(__xludf.dummyfunction("GOOGLETRANSLATE(D956)")," `` The Skye Boat Song '' é uma música folclórica escocesa, que pode ser tocada como uma valsa, lembrando a fuga do príncipe Charles Edward Stuart (Bonnie Prince Charlie) de Uist para a Ilha de Skye após sua derrota na batalha de Culloden em 1746.")</f>
        <v> `` The Skye Boat Song '' é uma música folclórica escocesa, que pode ser tocada como uma valsa, lembrando a fuga do príncipe Charles Edward Stuart (Bonnie Prince Charlie) de Uist para a Ilha de Skye após sua derrota na batalha de Culloden em 1746.</v>
      </c>
    </row>
    <row r="957" customFormat="false" ht="15.75" hidden="false" customHeight="true" outlineLevel="0" collapsed="false">
      <c r="A957" s="3" t="n">
        <v>954</v>
      </c>
      <c r="B957" s="5" t="s">
        <v>2855</v>
      </c>
      <c r="C957" s="5" t="s">
        <v>2856</v>
      </c>
      <c r="D957" s="5" t="s">
        <v>2857</v>
      </c>
      <c r="E957" s="4" t="str">
        <f aca="false">IFERROR(__xludf.dummyfunction("GOOGLETRANSLATE(C958)"),"Quando o conceito de desenvolvimento sustentável surgiu")</f>
        <v>Quando o conceito de desenvolvimento sustentável surgiu</v>
      </c>
      <c r="F957" s="5" t="str">
        <f aca="false">IFERROR(__xludf.dummyfunction("GOOGLETRANSLATE(D957)")," O deserto de Gobi ( / ˈˈ. é uma grande região do deserto na Ásia. Abrange partes do norte e do noroeste da China e do sul da Mongólia. As bacias do deserto dos Gobi são delimitadas pelas montanhas Altai e pelas pastagens e estepes da Mongólia ao norte, p"&amp;"elo deserto de Taklamakan, a oeste, pelo corredor Hexi e pelo platô tibetano a sudoeste e pela planície do norte da China para o Sudeste. O Gobi é notável na história como parte do grande Império Mongol e como a localização de várias cidades importantes a"&amp;"o longo da Rota da Seda.")</f>
        <v> O deserto de Gobi ( / ˈˈ. é uma grande região do deserto na Ásia. Abrange partes do norte e do noroeste da China e do sul da Mongólia. As bacias do deserto dos Gobi são delimitadas pelas montanhas Altai e pelas pastagens e estepes da Mongólia ao norte, pelo deserto de Taklamakan, a oeste, pelo corredor Hexi e pelo platô tibetano a sudoeste e pela planície do norte da China para o Sudeste. O Gobi é notável na história como parte do grande Império Mongol e como a localização de várias cidades importantes ao longo da Rota da Seda.</v>
      </c>
    </row>
    <row r="958" customFormat="false" ht="15.75" hidden="false" customHeight="true" outlineLevel="0" collapsed="false">
      <c r="A958" s="3" t="n">
        <v>955</v>
      </c>
      <c r="B958" s="5" t="s">
        <v>2858</v>
      </c>
      <c r="C958" s="5" t="s">
        <v>2859</v>
      </c>
      <c r="D958" s="5" t="s">
        <v>2860</v>
      </c>
      <c r="E958" s="4" t="str">
        <f aca="false">IFERROR(__xludf.dummyfunction("GOOGLETRANSLATE(C959)"),"Quem é o artista mais vendido de todos os tempos")</f>
        <v>Quem é o artista mais vendido de todos os tempos</v>
      </c>
      <c r="F958" s="5" t="str">
        <f aca="false">IFERROR(__xludf.dummyfunction("GOOGLETRANSLATE(D958)")," Embora o conceito moderno de desenvolvimento sustentável seja derivado principalmente do relatório de Brundtland de 1987, ele também está enraizado em idéias anteriores sobre o manejo florestal sustentável e as preocupações ambientais do século XX. À med"&amp;"ida que o conceito se desenvolveu, mudou para se concentrar mais no desenvolvimento econômico, desenvolvimento social e proteção ambiental para as gerações futuras. Foi sugerido que `` o termo 'sustentabilidade' deve ser visto como o objetivo alvo da huma"&amp;"nidade do equilíbrio humano - ecossistema (homeostase), enquanto o 'desenvolvimento sustentável' se refere à abordagem holística e processos temporais que nos levam ao ponto final de sustentabilidade ''. As economias modernas estão se esforçando para reco"&amp;"nciliar o desenvolvimento econômico ambicioso e as obrigações de preservar os recursos naturais e o ecossistema, os dois são tradicionalmente vistos como de natureza conflitante. Em vez de manter os compromissos das mudanças climáticas e outras medidas de"&amp;" sustentabilidade como um medicamento para o desenvolvimento econômico, transformando -os e alavancá -los em oportunidades de mercado farão um bem maior. O desenvolvimento econômico trazido por esses princípios e práticas organizados em uma economia é cha"&amp;"mado de Desenvolvimento Sustentável Gerenciado (MSD).")</f>
        <v> Embora o conceito moderno de desenvolvimento sustentável seja derivado principalmente do relatório de Brundtland de 1987, ele também está enraizado em idéias anteriores sobre o manejo florestal sustentável e as preocupações ambientais do século XX. À medida que o conceito se desenvolveu, mudou para se concentrar mais no desenvolvimento econômico, desenvolvimento social e proteção ambiental para as gerações futuras. Foi sugerido que `` o termo 'sustentabilidade' deve ser visto como o objetivo alvo da humanidade do equilíbrio humano - ecossistema (homeostase), enquanto o 'desenvolvimento sustentável' se refere à abordagem holística e processos temporais que nos levam ao ponto final de sustentabilidade ''. As economias modernas estão se esforçando para reconciliar o desenvolvimento econômico ambicioso e as obrigações de preservar os recursos naturais e o ecossistema, os dois são tradicionalmente vistos como de natureza conflitante. Em vez de manter os compromissos das mudanças climáticas e outras medidas de sustentabilidade como um medicamento para o desenvolvimento econômico, transformando -os e alavancá -los em oportunidades de mercado farão um bem maior. O desenvolvimento econômico trazido por esses princípios e práticas organizados em uma economia é chamado de Desenvolvimento Sustentável Gerenciado (MSD).</v>
      </c>
    </row>
    <row r="959" customFormat="false" ht="15.75" hidden="false" customHeight="true" outlineLevel="0" collapsed="false">
      <c r="A959" s="3" t="n">
        <v>956</v>
      </c>
      <c r="B959" s="5" t="s">
        <v>2861</v>
      </c>
      <c r="C959" s="5" t="s">
        <v>2862</v>
      </c>
      <c r="D959" s="5" t="s">
        <v>2863</v>
      </c>
      <c r="E959" s="4" t="str">
        <f aca="false">IFERROR(__xludf.dummyfunction("GOOGLETRANSLATE(C960)"),"para onde posso viajar com um passaporte mexicano")</f>
        <v>para onde posso viajar com um passaporte mexicano</v>
      </c>
      <c r="F959" s="5" t="str">
        <f aca="false">IFERROR(__xludf.dummyfunction("GOOGLETRANSLATE(D959)")," Esta lista inclui artistas musicais com reivindicações de 75 milhões ou mais vendas recordes. Os artistas nas tabelas a seguir estão listados com o número de vendas reivindicado, juntamente com o total de unidades certificadas e são classificadas em orde"&amp;"m decrescente, com o artista com a maior quantidade de vendas reivindicadas no topo. Se dois ou mais artistas tiverem as mesmas vendas reivindicadas, elas são classificadas por unidades certificadas. O número de vendas reivindicado e o total de unidades c"&amp;"ertificadas (para cada país) dentro das fontes fornecidas incluem vendas de álbuns, singles, compilação - álbuns, videoclipes, além de downloads de singles e álbuns completos. Os números de vendas, como os do SoundScan, que às vezes são publicados pela Bi"&amp;"llboard Magazine, não foram incluídos na coluna Certified Units. A partir de 2017, com base nas reivindicações de vendas e nas unidades certificadas, os Beatles são considerados a banda de venda mais alta. Elvis Presley é considerado o artista individual "&amp;"mais alto - vendendo com base em reivindicações de vendas e Rihanna é o artista individual mais alto - vendendo com base em unidades certificadas.")</f>
        <v> Esta lista inclui artistas musicais com reivindicações de 75 milhões ou mais vendas recordes. Os artistas nas tabelas a seguir estão listados com o número de vendas reivindicado, juntamente com o total de unidades certificadas e são classificadas em ordem decrescente, com o artista com a maior quantidade de vendas reivindicadas no topo. Se dois ou mais artistas tiverem as mesmas vendas reivindicadas, elas são classificadas por unidades certificadas. O número de vendas reivindicado e o total de unidades certificadas (para cada país) dentro das fontes fornecidas incluem vendas de álbuns, singles, compilação - álbuns, videoclipes, além de downloads de singles e álbuns completos. Os números de vendas, como os do SoundScan, que às vezes são publicados pela Billboard Magazine, não foram incluídos na coluna Certified Units. A partir de 2017, com base nas reivindicações de vendas e nas unidades certificadas, os Beatles são considerados a banda de venda mais alta. Elvis Presley é considerado o artista individual mais alto - vendendo com base em reivindicações de vendas e Rihanna é o artista individual mais alto - vendendo com base em unidades certificadas.</v>
      </c>
    </row>
    <row r="960" customFormat="false" ht="15.75" hidden="false" customHeight="true" outlineLevel="0" collapsed="false">
      <c r="A960" s="3" t="n">
        <v>957</v>
      </c>
      <c r="B960" s="5" t="s">
        <v>2864</v>
      </c>
      <c r="C960" s="5" t="s">
        <v>2865</v>
      </c>
      <c r="D960" s="5" t="s">
        <v>2866</v>
      </c>
      <c r="E960" s="4" t="str">
        <f aca="false">IFERROR(__xludf.dummyfunction("GOOGLETRANSLATE(C961)"),"Quantas escolas secundárias estão em Keller Texas")</f>
        <v>Quantas escolas secundárias estão em Keller Texas</v>
      </c>
      <c r="F960" s="5" t="str">
        <f aca="false">IFERROR(__xludf.dummyfunction("GOOGLETRANSLATE(D960)"),"   Requisito do visto no país permitido notas de permanência (excluindo taxas de partida) O visto do Afeganistão exigia visto da Albânia que não exigisse 90 dias de visto de argélia exigido pelo visto Andorra não exigido 90 dias de visto de angola exigia "&amp;"visto de antiga e barbuda não exigido 1 mês de argentina visto não exigido 90 dias de armenia evisa / visto Na chegada, 120 dias a Austrália visto exigido pode se inscrever on -line (visto de visitante on -line E600). Taxa 135 AUD. O visto de trânsito não"&amp;" é necessário. Visto da Áustria não exigiu 90 dias 90 dias em qualquer período de 180 dias na área de Schengen Azerbaijão EVISA 30 dias Taxa 23 USD. Bahamas visto não exigido 3 meses Bahrain Evisa / Visa na chegada 14 dias O visto também pode ser obtido o"&amp;"nline. Taxa 77 USD. O visto de Bangladesh exigia o visto na chegada disponível aos viajantes de negócios se eles estiverem realizando uma carta de convite emitida por uma organização credenciada em Bangladesh que notificou as autoridades de imigração ante"&amp;"s da chegada. O visto de Barbados não é necessário 6 meses de visto da Bielorrússia não é necessário 30 dias deve chegar e partir do Aeroporto Internacional de Minsk. O visto da Bélgica não é necessário 90 dias 90 dias em qualquer período de 180 dias no v"&amp;"isto de Belize da área de Schengen, não é necessário 1 mês Benin Evisa / Visa na chegada 30 dias / 8 dias deve ter um certificado de vacinação internacional. O visto de visto do Butão exigia visto Bolívia não exigido 90 dias Bósnia e visto de Herzegovina "&amp;"não exigiam 90 dias 90 dias em qualquer período de 6 meses Botswana visto não exigia 90 dias de visto Brasil que não exigis período de dia Burkina faso visto exigia o visto Burundi exigido pelo Camboja Evisa / visto na chegada 30 dias o visto também pode "&amp;"ser obtido online. Taxa 37 USD. O visto de Camarões exigia o visto do Canadá não exigido 6 meses necessário, se chegasse ao ar. Taxa 7 CAD. O visto de Cape Verde na chegada visto da República da África Central exigia o visto de Chad exigia visto de chile "&amp;"não exigia 90 dias de visto de China exigia uma visita de 72 horas sem visto quando estiver em trânsito em Changsha, Chengdu, Chongqing, Guangzhou, Guilin, Harbin, Kunming, Qingdao, Wuhan , Xi'an e Xiamen. 144 - Horas Visite sem visto quando estiver em tr"&amp;"ânsito através do Aeroporto Internacional da Capital de Pequim, Dalian, Hangzhou, Shijiazhuang Zhengding Aeroporto Internacional em Hebei, Nanjing, Shanghai Hongqiao International Aeroporto e Aeroporto Internacional de Shanghai Pudong, estação ferroviária"&amp;" de Shanghai e o porto de Shanghai); O Aeroporto Internacional de Shenyang e Tianjin Binhai, Hong Kong, Macau, e Taiwan, contam como países terceiros sob o visto de 72 e 144 - Horas - Política de Visita Grátis. Visto de colômbia não exigido 180 dias 90 di"&amp;"as - prolongado até 180 - Os dias permanecem dentro de um período de um ano com o visto de Comoros na República da chegada do visto do Congo exigia a República Democrática do visto de Congo exigia visto de Costa Rica não exigido 90 dias Taxa 70 EUR. Croác"&amp;"ia visto não é necessário 90 dias 90 dias em qualquer período de 180 dias CARTA CUBA CARTA DE CUBA exigia 30 dias 30 dias Comprando o visto de Chipre do cartão turístico que não é necessário 90 dias 90 dias em qualquer período de 180 dias na República da "&amp;"Tcheca visto não exigido 90 dias 90 dias dentro de 180 dias Período na área de Schengen, o visto da Dinamarca não exigiu 90 dias 90 dias dentro de qualquer período de 180 dias no Djibuti Evisa de Schengen Evisa 31 dias Dominica visto não exigia 21 dias de"&amp;" visto de república dominicana não exigiu 90 dias de visto de ecuador Ecuador não exigiu 90 dias de visto de Egito no Arrival no Arrival 30 Dias de dia salvador visto não requerido 3 meses 10 cartão turístico USD devem ser adquiridos na chegada) o visto d"&amp;"a Guiné Equatorial exigia o visto da Eritreia exigia o visto da Estônia não exigido 90 dias 90 dias dentro de qualquer período de 180 dias na área de Schengen Etiópia evisa / visto na chegada fiji visa Não é necessário 4 meses de visto da Finlândia não é "&amp;"necessário 90 dias 90 dias dentro de qualquer período de 180 dias no visto da França da área de Schengen, não é necessário 90 dias 90 dias dentro de qualquer período de 180 dias na área de Schengen Gabão Evisa / Visa nos vistos eletrônicos de chegada deve"&amp;" chegar via via via via via viagem via Aeroporto Internacional de Libreville. O visto da Gâmbia não é necessário que uma liberação de entrada deve ser obtida da imigração da Gâmbia antes da viagem. Visto da Geórgia não é necessário 1 ano de visto na Alema"&amp;"nha não requerido 90 dias 90 dias em qualquer período de 180 dias no visto de Gana da área de Schengen exigia visto Grécia não exigia 90 dias 90 dias em qualquer período de 180 dias na área de Schengen Granada visto não exigido 90 dias de guatemala Visto "&amp;"não exigido 90 dias Visto da Guiné exigiu a Guiné - Bissau Evisa / Visa na chegada 90 dias Visto da Guiana exigia o visto Haiti não exigia 3 meses de visto Honduras não exigiu 3 meses de visto Hungria não exigiu 90 dias 90 dias em qualquer período de 180 "&amp;"dias na área de Schengen O visto da Islândia não é necessário 90 dias 90 dias em qualquer período de 180 dias na área de Schengen, na Índia e-visa 60 dias, os titulares de visa eletrônica devem chegar por 25 aeroportos designados ou 3 portos marítimos des"&amp;"ignados. Um visto de turista eletrônico indiano só pode ser obtido duas vezes em um ano civil. Visto na Indonésia não exigido 30 dias Irã visto na chegada 30 dias O visto do Iraque exigia visto da Irlanda não exigido 90 dias de visto de Israel não requeri"&amp;"do 3 meses visto Itália não é necessário 90 dias 90 dias dentro de qualquer período de 180 dias na área de Schengen Jamaica não exigiu 6 meses 90 dias (negócios), 6 meses (turista) O visto do Japão não é necessário 180 dias 90 dias, extensível até 180 dia"&amp;"s Jordan Visa em condições de chegada Aplicar visto Cazaquistão não exigido 30 dias Kenya Evisa / Visa na chegada 3 meses Taxa 51 USD. O visto de Kiribati exigia que o visto da Coréia do Norte exigisse visto da Coréia do Sul que não fosse necessário, 3 me"&amp;"ses, o visto do Kuwait exigia o quirguistão Evisa / visto na chegada 1 mês disponível no Aeroporto Internacional de Manas. O visto do Laos na chegada de 30 dias se aplica. Disponível nos aeroportos internacionais Luangphabang, Pakse, Savannakhet e Vientia"&amp;"ne, e na 4 Borders Land Borders Bridge, e em 13 cruzamentos de fronteira, bem como na estação de trem de Tanalaeng em Vientiane, que se conecta à estação de trem em Nongkai, Tailândia. Pontos de entrada Lalai, Lantui, Mom Meuang, Pakxan e Phoudou estão ab"&amp;"ertos apenas para os titulares de vistos. Extensível até 60 dias. O visto da Letônia não é necessário 90 dias 90 dias em qualquer período de 180 dias no visto do Líbano da área de Schengen na chegada 1 mês extensível por 2 meses adicionais; Concedido grat"&amp;"uitamente no Aeroporto Internacional de Beirute ou em qualquer outro porto de entrada, se não houver visto ou selo israelense, mantendo um número de telefone, um endereço no Líbano e um bilhete de viagem de retorno ou círculo não reembolsável. O visto de "&amp;"visto da Líbia Líbia exigia que o visto de visto da Líbia exigisse o visto de líbia que não exigisse 90 dias 90 dias dentro de qualquer período de 180 dias no visto da Lituânia da área de Schengen, não exigiu 90 dias de 90 dias em qualquer período de 180 "&amp;"dias na área de Schengen Luxembourg visa exigido 90 dias 90 dias Dentro de qualquer período de 180 dias no visto da Macedônia da área de Schengen, não exigia um visto de Madagascar de 90 dias na chegada 30 dias, taxa 28 USD. Visto do Malawi no visto de ch"&amp;"egada da Malásia não exigia 30 dias de visto das Maldivas na chegada 30 dias visto de Mali exigia o visto de Malta não exigia 90 dias 90 dias dentro de qualquer período de 180 dias no visto de Schengen Area Islands NÃO Necessário 90 dias Visto Micronesia "&amp;"não é necessário 30 dias visto Moldávia não é necessário 90 dias 90 dias em qualquer período de 180 dias visto de monaco não requerido 90 dias visto de mongolia exigia visto montenegro não exigido 90 dias visto marrocos não exigido 3 meses de 3 meses vist"&amp;"o de moçambique na chegada 30 dias Aplique Mianmar Evisa 28 dias Evisa Os titulares devem chegar através dos aeroportos Yangon, Nay Pyi Taw ou Mandalay. 50 USD. Namíbia O visto exigia o visto Nauru exigia o visto do Nepal na chegada de 90 dias, o visto da"&amp;" Holanda não é necessário 90 dias 90 dias em qualquer período de 180 dias no visto de Schengen Area New Zealand, que não exigia um visto de visto de 90 dias Nigaria. Não é necessário 90 dias 90 dias dentro de qualquer período de 180 dias no visto de Omã d"&amp;"a área de Schengen, é necessário elegível para o EVISA se mantiver um visto de Schengen válido, ou um visto válido ou licença de residência da Austrália, Canadá, Reino Unido ou EUA. O visto do Paquistão exigia visto na chegada ao viajar de negócios válido"&amp;"s por 30 dias. As condições se aplicam . Visto de Palau na chegada 30 dias visto no Panamá não exigiu 180 dias Papua Nova Guiné visto na chegada 60 dias Visto Paraguai não exigiu 90 dias o visto do Peru não exigiu 183 dias de visto das Filipinas não exigi"&amp;"u 30 dias de visto da Polônia não exigidos 90 dias 90 dias dentro de 180 dias Período no visto Portugal da área de Schengen, não requer 90 dias 90 dias em qualquer período de 180 dias na área de Schengen, Catar Evisa / Visa na chegada 30 dias disponíveis "&amp;"no Aeroporto Internacional de Hamad. O visto da Romênia não exigiu 90 dias 90 dias em qualquer período de 180 dias, o visto da Rússia exigia EVISA por até 8 dias para as regiões de Primorye, Kamchatka e Sakhalin do Extremo Oriente Russo para propósitos tu"&amp;"rísticos, negócios e humanitários. Não disponível em todos os pontos de entrada. From 1st September 2018 e-visa will be avilable at Blagoveshchensk Airport ( Amur Oblast ) , Khabarovsk Airport ( Khabarovsk Krai ) , Petropavlovsk - Kamchatsky Airport ( Kam"&amp;"chatka Krai ) , Ugolny Airport ( Chukotka Autonomous Okrug ) , Yuzhno - Sakhalinsk Airport ( Sakhalin Oblast ) . Ruanda Evisa / Visto na chegada 30 dias Saint Kitts e Nevis Visa não exigiam 3 meses Saint Lucia visto não exigiu 6 semanas de Saint Vincent e"&amp;" o visto de granadinas não é necessário 1 mês de samoa licença de entrada na prisão 60 dias San Visto não exigido 90 dias São tomé e o visto príncipe evisa é obtido online. O visto da Arábia Saudita exigia o visto senegal exigia o visto da Sérvia não exig"&amp;"isse 90 dias de permissão do visitante de Seychelles na chegada, 3 meses, visto de Serra Leoa exigia o visto de Cingapura não exigia 30 dias de visto de eslováquia não exigidos 90 dias 90 dias dentro de qualquer período de 180 dias na área de Schengen na "&amp;"área de Schengen, Visto não requerido 90 dias 90 dias dentro de qualquer período de 180 dias na permissão do visitante do Visitante da Área de Schengen Solomon na chegada 3 meses visto da Somália na chegada 30 dias disponíveis no aeroporto de Bosaso, no a"&amp;"eroporto de Galcaio e no aeroporto de Mogadishu. O visto da África do Sul exigia o visto do Sudão do Sul exigia o visto de Espanha não exigia 90 dias 90 dias dentro de qualquer período de 180 dias na área de Schengen Sri Lanka Evisa / Visa na chegada 30 d"&amp;"ias Taxa 35 USD. O visto do Sudão exigiu o cartão turístico do Suriname na chegada 90 dias disponíveis no visto da Suazilândia do Aeroporto Internacional de Johan Adolf Pengel exigia o visto da Suécia que não fosse necessário 90 dias 90 dias em qualquer p"&amp;"eríodo de 180 dias no período da área de Schengen, na área de Schengen, não é necessário 90 dias 90 dias em qualquer período de 180 dias Na área de Schengen, a Síria visto exigia que o Tajiquistão EVISA 45 dias taxa 50 USD. Visto da Tanzânia na chegada To"&amp;"mar Timor exigido da Tailâ. O visto do Turquemenistão exigia o visto de Tuvalu na chegada 1 mês Uganda Evisa / Visa na chegada pode ser aplicado on -line. Taxa 50 USD. Ucrânia EVISA / Visa no visto de chegada na chegada para fins de negócios ou turismo es"&amp;"tá disponível no Aeroporto Kyiv Boryspil, no Aeroporto Internacional de Kyiv (Zhuliany) e no Aeroporto Internacional de Odessa. O visto dos Emirados Árabes Unidos exigiu um visto de trânsito de 96 horas pode ser obtido na chegada a Dubai (DXB), desde que "&amp;"o tempo de trânsito seja de pelo menos 8 horas; e realizar ingressos para um país terceiro; e manter um passaporte válido por pelo menos 6 meses a partir da data da chegada. Taxa de visto de 170 AED. Os vistos são emitidos apenas como parte de um pacote d"&amp;"e trânsito, juntamente com acomodações para hotéis e transferência de aeroporto. O visto do Reino Unido não exigiu 6 meses de visto dos Estados Unidos exigia o visto do Uruguai que não exigisse 3 meses de visto de Uzbequistão exigia um trânsito livre de v"&amp;"isto de 5 dias quando estiver em trânsito nos aeroportos internacionais sob condição de manter um bilhete confirmado para um voo para um país terceiro. Visto de vanuatu não é necessário 30 dias vistos da cidade do Vaticano não exigiam visto de venezuela n"&amp;"ão exigido 90 dias o visto do Vietnã exigia visto pré -distribuído obtido on -line através de agências de viagem disponíveis nos aeroportos de Hanói, Ho Chi Minh ou Da Nang. Isenção de visto Phú quốc por até 30 dias. O visto do Iêmen exigiu Zâmbia Evisa /"&amp;" Visa na chegada 90 dias Zimbabwe Evisa / Visa na chegada 3 meses 30 dias para visitas a negócios, 3 meses para turistas")</f>
        <v>   Requisito do visto no país permitido notas de permanência (excluindo taxas de partida) O visto do Afeganistão exigia visto da Albânia que não exigisse 90 dias de visto de argélia exigido pelo visto Andorra não exigido 90 dias de visto de angola exigia visto de antiga e barbuda não exigido 1 mês de argentina visto não exigido 90 dias de armenia evisa / visto Na chegada, 120 dias a Austrália visto exigido pode se inscrever on -line (visto de visitante on -line E600). Taxa 135 AUD. O visto de trânsito não é necessário. Visto da Áustria não exigiu 90 dias 90 dias em qualquer período de 180 dias na área de Schengen Azerbaijão EVISA 30 dias Taxa 23 USD. Bahamas visto não exigido 3 meses Bahrain Evisa / Visa na chegada 14 dias O visto também pode ser obtido online. Taxa 77 USD. O visto de Bangladesh exigia o visto na chegada disponível aos viajantes de negócios se eles estiverem realizando uma carta de convite emitida por uma organização credenciada em Bangladesh que notificou as autoridades de imigração antes da chegada. O visto de Barbados não é necessário 6 meses de visto da Bielorrússia não é necessário 30 dias deve chegar e partir do Aeroporto Internacional de Minsk. O visto da Bélgica não é necessário 90 dias 90 dias em qualquer período de 180 dias no visto de Belize da área de Schengen, não é necessário 1 mês Benin Evisa / Visa na chegada 30 dias / 8 dias deve ter um certificado de vacinação internacional. O visto de visto do Butão exigia visto Bolívia não exigido 90 dias Bósnia e visto de Herzegovina não exigiam 90 dias 90 dias em qualquer período de 6 meses Botswana visto não exigia 90 dias de visto Brasil que não exigis período de dia Burkina faso visto exigia o visto Burundi exigido pelo Camboja Evisa / visto na chegada 30 dias o visto também pode ser obtido online. Taxa 37 USD. O visto de Camarões exigia o visto do Canadá não exigido 6 meses necessário, se chegasse ao ar. Taxa 7 CAD. O visto de Cape Verde na chegada visto da República da África Central exigia o visto de Chad exigia visto de chile não exigia 90 dias de visto de China exigia uma visita de 72 horas sem visto quando estiver em trânsito em Changsha, Chengdu, Chongqing, Guangzhou, Guilin, Harbin, Kunming, Qingdao, Wuhan , Xi'an e Xiamen. 144 - Horas Visite sem visto quando estiver em trânsito através do Aeroporto Internacional da Capital de Pequim, Dalian, Hangzhou, Shijiazhuang Zhengding Aeroporto Internacional em Hebei, Nanjing, Shanghai Hongqiao International Aeroporto e Aeroporto Internacional de Shanghai Pudong, estação ferroviária de Shanghai e o porto de Shanghai); O Aeroporto Internacional de Shenyang e Tianjin Binhai, Hong Kong, Macau, e Taiwan, contam como países terceiros sob o visto de 72 e 144 - Horas - Política de Visita Grátis. Visto de colômbia não exigido 180 dias 90 dias - prolongado até 180 - Os dias permanecem dentro de um período de um ano com o visto de Comoros na República da chegada do visto do Congo exigia a República Democrática do visto de Congo exigia visto de Costa Rica não exigido 90 dias Taxa 70 EUR. Croácia visto não é necessário 90 dias 90 dias em qualquer período de 180 dias CARTA CUBA CARTA DE CUBA exigia 30 dias 30 dias Comprando o visto de Chipre do cartão turístico que não é necessário 90 dias 90 dias em qualquer período de 180 dias na República da Tcheca visto não exigido 90 dias 90 dias dentro de 180 dias Período na área de Schengen, o visto da Dinamarca não exigiu 90 dias 90 dias dentro de qualquer período de 180 dias no Djibuti Evisa de Schengen Evisa 31 dias Dominica visto não exigia 21 dias de visto de república dominicana não exigiu 90 dias de visto de ecuador Ecuador não exigiu 90 dias de visto de Egito no Arrival no Arrival 30 Dias de dia salvador visto não requerido 3 meses 10 cartão turístico USD devem ser adquiridos na chegada) o visto da Guiné Equatorial exigia o visto da Eritreia exigia o visto da Estônia não exigido 90 dias 90 dias dentro de qualquer período de 180 dias na área de Schengen Etiópia evisa / visto na chegada fiji visa Não é necessário 4 meses de visto da Finlândia não é necessário 90 dias 90 dias dentro de qualquer período de 180 dias no visto da França da área de Schengen, não é necessário 90 dias 90 dias dentro de qualquer período de 180 dias na área de Schengen Gabão Evisa / Visa nos vistos eletrônicos de chegada deve chegar via via via via via viagem via Aeroporto Internacional de Libreville. O visto da Gâmbia não é necessário que uma liberação de entrada deve ser obtida da imigração da Gâmbia antes da viagem. Visto da Geórgia não é necessário 1 ano de visto na Alemanha não requerido 90 dias 90 dias em qualquer período de 180 dias no visto de Gana da área de Schengen exigia visto Grécia não exigia 90 dias 90 dias em qualquer período de 180 dias na área de Schengen Granada visto não exigido 90 dias de guatemala Visto não exigido 90 dias Visto da Guiné exigiu a Guiné - Bissau Evisa / Visa na chegada 90 dias Visto da Guiana exigia o visto Haiti não exigia 3 meses de visto Honduras não exigiu 3 meses de visto Hungria não exigiu 90 dias 90 dias em qualquer período de 180 dias na área de Schengen O visto da Islândia não é necessário 90 dias 90 dias em qualquer período de 180 dias na área de Schengen, na Índia e-visa 60 dias, os titulares de visa eletrônica devem chegar por 25 aeroportos designados ou 3 portos marítimos designados. Um visto de turista eletrônico indiano só pode ser obtido duas vezes em um ano civil. Visto na Indonésia não exigido 30 dias Irã visto na chegada 30 dias O visto do Iraque exigia visto da Irlanda não exigido 90 dias de visto de Israel não requerido 3 meses visto Itália não é necessário 90 dias 90 dias dentro de qualquer período de 180 dias na área de Schengen Jamaica não exigiu 6 meses 90 dias (negócios), 6 meses (turista) O visto do Japão não é necessário 180 dias 90 dias, extensível até 180 dias Jordan Visa em condições de chegada Aplicar visto Cazaquistão não exigido 30 dias Kenya Evisa / Visa na chegada 3 meses Taxa 51 USD. O visto de Kiribati exigia que o visto da Coréia do Norte exigisse visto da Coréia do Sul que não fosse necessário, 3 meses, o visto do Kuwait exigia o quirguistão Evisa / visto na chegada 1 mês disponível no Aeroporto Internacional de Manas. O visto do Laos na chegada de 30 dias se aplica. Disponível nos aeroportos internacionais Luangphabang, Pakse, Savannakhet e Vientiane, e na 4 Borders Land Borders Bridge, e em 13 cruzamentos de fronteira, bem como na estação de trem de Tanalaeng em Vientiane, que se conecta à estação de trem em Nongkai, Tailândia. Pontos de entrada Lalai, Lantui, Mom Meuang, Pakxan e Phoudou estão abertos apenas para os titulares de vistos. Extensível até 60 dias. O visto da Letônia não é necessário 90 dias 90 dias em qualquer período de 180 dias no visto do Líbano da área de Schengen na chegada 1 mês extensível por 2 meses adicionais; Concedido gratuitamente no Aeroporto Internacional de Beirute ou em qualquer outro porto de entrada, se não houver visto ou selo israelense, mantendo um número de telefone, um endereço no Líbano e um bilhete de viagem de retorno ou círculo não reembolsável. O visto de visto da Líbia Líbia exigia que o visto de visto da Líbia exigisse o visto de líbia que não exigisse 90 dias 90 dias dentro de qualquer período de 180 dias no visto da Lituânia da área de Schengen, não exigiu 90 dias de 90 dias em qualquer período de 180 dias na área de Schengen Luxembourg visa exigido 90 dias 90 dias Dentro de qualquer período de 180 dias no visto da Macedônia da área de Schengen, não exigia um visto de Madagascar de 90 dias na chegada 30 dias, taxa 28 USD. Visto do Malawi no visto de chegada da Malásia não exigia 30 dias de visto das Maldivas na chegada 30 dias visto de Mali exigia o visto de Malta não exigia 90 dias 90 dias dentro de qualquer período de 180 dias no visto de Schengen Area Islands NÃO Necessário 90 dias Visto Micronesia não é necessário 30 dias visto Moldávia não é necessário 90 dias 90 dias em qualquer período de 180 dias visto de monaco não requerido 90 dias visto de mongolia exigia visto montenegro não exigido 90 dias visto marrocos não exigido 3 meses de 3 meses visto de moçambique na chegada 30 dias Aplique Mianmar Evisa 28 dias Evisa Os titulares devem chegar através dos aeroportos Yangon, Nay Pyi Taw ou Mandalay. 50 USD. Namíbia O visto exigia o visto Nauru exigia o visto do Nepal na chegada de 90 dias, o visto da Holanda não é necessário 90 dias 90 dias em qualquer período de 180 dias no visto de Schengen Area New Zealand, que não exigia um visto de visto de 90 dias Nigaria. Não é necessário 90 dias 90 dias dentro de qualquer período de 180 dias no visto de Omã da área de Schengen, é necessário elegível para o EVISA se mantiver um visto de Schengen válido, ou um visto válido ou licença de residência da Austrália, Canadá, Reino Unido ou EUA. O visto do Paquistão exigia visto na chegada ao viajar de negócios válidos por 30 dias. As condições se aplicam . Visto de Palau na chegada 30 dias visto no Panamá não exigiu 180 dias Papua Nova Guiné visto na chegada 60 dias Visto Paraguai não exigiu 90 dias o visto do Peru não exigiu 183 dias de visto das Filipinas não exigiu 30 dias de visto da Polônia não exigidos 90 dias 90 dias dentro de 180 dias Período no visto Portugal da área de Schengen, não requer 90 dias 90 dias em qualquer período de 180 dias na área de Schengen, Catar Evisa / Visa na chegada 30 dias disponíveis no Aeroporto Internacional de Hamad. O visto da Romênia não exigiu 90 dias 90 dias em qualquer período de 180 dias, o visto da Rússia exigia EVISA por até 8 dias para as regiões de Primorye, Kamchatka e Sakhalin do Extremo Oriente Russo para propósitos turísticos, negócios e humanitários. Não disponível em todos os pontos de entrada. From 1st September 2018 e-visa will be avilable at Blagoveshchensk Airport ( Amur Oblast ) , Khabarovsk Airport ( Khabarovsk Krai ) , Petropavlovsk - Kamchatsky Airport ( Kamchatka Krai ) , Ugolny Airport ( Chukotka Autonomous Okrug ) , Yuzhno - Sakhalinsk Airport ( Sakhalin Oblast ) . Ruanda Evisa / Visto na chegada 30 dias Saint Kitts e Nevis Visa não exigiam 3 meses Saint Lucia visto não exigiu 6 semanas de Saint Vincent e o visto de granadinas não é necessário 1 mês de samoa licença de entrada na prisão 60 dias San Visto não exigido 90 dias São tomé e o visto príncipe evisa é obtido online. O visto da Arábia Saudita exigia o visto senegal exigia o visto da Sérvia não exigisse 90 dias de permissão do visitante de Seychelles na chegada, 3 meses, visto de Serra Leoa exigia o visto de Cingapura não exigia 30 dias de visto de eslováquia não exigidos 90 dias 90 dias dentro de qualquer período de 180 dias na área de Schengen na área de Schengen, Visto não requerido 90 dias 90 dias dentro de qualquer período de 180 dias na permissão do visitante do Visitante da Área de Schengen Solomon na chegada 3 meses visto da Somália na chegada 30 dias disponíveis no aeroporto de Bosaso, no aeroporto de Galcaio e no aeroporto de Mogadishu. O visto da África do Sul exigia o visto do Sudão do Sul exigia o visto de Espanha não exigia 90 dias 90 dias dentro de qualquer período de 180 dias na área de Schengen Sri Lanka Evisa / Visa na chegada 30 dias Taxa 35 USD. O visto do Sudão exigiu o cartão turístico do Suriname na chegada 90 dias disponíveis no visto da Suazilândia do Aeroporto Internacional de Johan Adolf Pengel exigia o visto da Suécia que não fosse necessário 90 dias 90 dias em qualquer período de 180 dias no período da área de Schengen, na área de Schengen, não é necessário 90 dias 90 dias em qualquer período de 180 dias Na área de Schengen, a Síria visto exigia que o Tajiquistão EVISA 45 dias taxa 50 USD. Visto da Tanzânia na chegada Tomar Timor exigido da Tailâ. O visto do Turquemenistão exigia o visto de Tuvalu na chegada 1 mês Uganda Evisa / Visa na chegada pode ser aplicado on -line. Taxa 50 USD. Ucrânia EVISA / Visa no visto de chegada na chegada para fins de negócios ou turismo está disponível no Aeroporto Kyiv Boryspil, no Aeroporto Internacional de Kyiv (Zhuliany) e no Aeroporto Internacional de Odessa. O visto dos Emirados Árabes Unidos exigiu um visto de trânsito de 96 horas pode ser obtido na chegada a Dubai (DXB), desde que o tempo de trânsito seja de pelo menos 8 horas; e realizar ingressos para um país terceiro; e manter um passaporte válido por pelo menos 6 meses a partir da data da chegada. Taxa de visto de 170 AED. Os vistos são emitidos apenas como parte de um pacote de trânsito, juntamente com acomodações para hotéis e transferência de aeroporto. O visto do Reino Unido não exigiu 6 meses de visto dos Estados Unidos exigia o visto do Uruguai que não exigisse 3 meses de visto de Uzbequistão exigia um trânsito livre de visto de 5 dias quando estiver em trânsito nos aeroportos internacionais sob condição de manter um bilhete confirmado para um voo para um país terceiro. Visto de vanuatu não é necessário 30 dias vistos da cidade do Vaticano não exigiam visto de venezuela não exigido 90 dias o visto do Vietnã exigia visto pré -distribuído obtido on -line através de agências de viagem disponíveis nos aeroportos de Hanói, Ho Chi Minh ou Da Nang. Isenção de visto Phú quốc por até 30 dias. O visto do Iêmen exigiu Zâmbia Evisa / Visa na chegada 90 dias Zimbabwe Evisa / Visa na chegada 3 meses 30 dias para visitas a negócios, 3 meses para turistas</v>
      </c>
    </row>
    <row r="961" customFormat="false" ht="15.75" hidden="false" customHeight="true" outlineLevel="0" collapsed="false">
      <c r="A961" s="3" t="n">
        <v>958</v>
      </c>
      <c r="B961" s="5" t="s">
        <v>2867</v>
      </c>
      <c r="C961" s="5" t="s">
        <v>2868</v>
      </c>
      <c r="D961" s="5" t="s">
        <v>2869</v>
      </c>
      <c r="E961" s="4" t="str">
        <f aca="false">IFERROR(__xludf.dummyfunction("GOOGLETRANSLATE(C962)"),"dez maiores cidades do Canadá pela população")</f>
        <v>dez maiores cidades do Canadá pela população</v>
      </c>
      <c r="F961" s="5" t="str">
        <f aca="false">IFERROR(__xludf.dummyfunction("GOOGLETRANSLATE(D961)"),"  Central High School, Fort Worth (Est. 2003) Fossil Ridge High School, Fort Worth (estabelecido 1994) (dedicado em 1995) (expansão em 1997 a 2001) Keller High School, Keller 1999 - 2000 National Blue Ribbon School Timber Creek School , Fort Worth (Est. 2"&amp;"009) Keller Learning Center, Keller Keller Center for Advanced Learning (Est. 2016) New Direon")</f>
        <v>  Central High School, Fort Worth (Est. 2003) Fossil Ridge High School, Fort Worth (estabelecido 1994) (dedicado em 1995) (expansão em 1997 a 2001) Keller High School, Keller 1999 - 2000 National Blue Ribbon School Timber Creek School , Fort Worth (Est. 2009) Keller Learning Center, Keller Keller Center for Advanced Learning (Est. 2016) New Direon</v>
      </c>
    </row>
    <row r="962" customFormat="false" ht="15.75" hidden="false" customHeight="true" outlineLevel="0" collapsed="false">
      <c r="A962" s="3" t="n">
        <v>959</v>
      </c>
      <c r="B962" s="5" t="s">
        <v>2870</v>
      </c>
      <c r="C962" s="5" t="s">
        <v>2871</v>
      </c>
      <c r="D962" s="5" t="s">
        <v>2872</v>
      </c>
      <c r="E962" s="4" t="str">
        <f aca="false">IFERROR(__xludf.dummyfunction("GOOGLETRANSLATE(C963)"),"Distância de Las Vegas à floresta de madeira vermelha")</f>
        <v>Distância de Las Vegas à floresta de madeira vermelha</v>
      </c>
      <c r="F962" s="5" t="str">
        <f aca="false">IFERROR(__xludf.dummyfunction("GOOGLETRANSLATE(D962)"),"   Rank   Population centre   Population in 2016   Population in 2011   Class       Toronto , Ontario   5,429,524   5,144,412   Large urban       Montreal , Quebec   3,519,595   3,387,653   Large urban       Vancouver , British Columbia   2,264,823   2,12"&amp;"4,443   Large urban       Calgary , Alberta   1,237,656   1,094,379   Large urban     5   Edmonton , Alberta   1,062,643   935,361   Large urban     6   Ottawa - - Gatineau, Ontário / Quebec 989.657 945.592 Urbano grande 7 Winnipeg, Manitoba 711.925 670.0"&amp;"25 Urbano grande 8 quebec8, Quebec 705,103 681.804 Grande Urban 9 Hamilton, Ontário 693,103 681.804 Large 9,20, 604, 681.804 Urban grande 9 Hamilton, Ontário 693,103, 681.804 Large 9,20, 604, 681.804 Urban grande 9 Hamilton, Ontário 693,103, 681.804, gran"&amp;"de 4,804, 604, 604, 673.104 4, Urban, quebec8, quebec 705,103, 681.804 grande Urban 9. Hamilton. 15 446.295 Grande Urbano 11 Londres, Ontário 383.437 365.715 grande urban     12   Victoria , British Columbia   335,696   314,596   Large urban     13   Hali"&amp;"fax , Nova Scotia   316,701   304,979   Large urban     14   Oshawa , Ontario   308,875   290,704   Large urban     15   Windsor , Ontario   287,069   277,970   Large urban     16   Saskatoon , Saskatchewan   245,181   220,546   Large urban     17   St. C"&amp;"atharines -- Niagara , Ontario   229,246   220,616   Large urban     18   Regina , Saskatchewan   214,631   192,079   Large urban     19   St. John 's , Newfoundland and Labrador   178,427   172,312   Large urban     21   Kelowna , British Columbia   151,"&amp;"957   140,131   Large urban     22   Barrie , Ontario   145,614   140,383   Large urban     23   Sherbrooke , Quebec   139,565 133.673 Urbano grande 24 Guelph, Ontário 132.397 122.457 Grande Urbano 25 Abbotsford, Colúmbia Britânica 121.279 115.011 Grande "&amp;"Urban 20 Kingston, Ontário 117.660 114.928 Grande 26 Kanata, OnTario 11777.928 Urban 26 Kanata, OnTario 11777.928 , 203 112.626 grande urbano 28 Moncton, novo Brunswick 108.620 103.926 Urbano grande 29 Chicoutimi - Jonquière, Quebec 104.222 104.589 Urban "&amp;"Large 30 Milton, Ontário 101.715 75.880 Urban 31 Red Deer, Alberta 99,718.8.715 Medium 32 32, alberta 99.71.8.715 Médio 32, 310, alberta 99.71.8.715 Medium 32, 31, alberta 99.71.8.715 Medium 32, 310, alberta 99.71.8.715 Medium 32, 310, alberta 99.71.8.715"&amp;", mídia 32. Ontário 93.952 95.251 Médio 34 White Rock, Colúmbia britânica 93.729 85.062 Média 35 Nanaimo, Colúmbia Britânica 92.004 85.357 Médio 36 Sudbury, Ontário 88.054 87.950 Médio 37 Lethbridge, Alberta 87,572 79.364 Média 38, Jean -Jean -Surta -Surt"&amp;"a -Surta -Surta 87.572 79.364 Média 38, Jean -Jean -Sur -Sur -Sur -Sur -Sur -Sur -Sur -Surta. Tario 82.094 79.863 Médio 40 Kamloops, British Columbia   78,026   72,755   Medium     41   Saint - Jérôme , Quebec   77,146   69,598   Medium     42   Chilliwac"&amp;"k , British Columbia   73,161   67,374   Medium     43   Sarnia , Ontario   72,125   73,044   Medium     44   Châteauguay , Quebec   71,164   66,445   Medium     45   Drummondville , Quebec   68,601   65,341   Medium     46   Belleville , Ontario   67,666"&amp;"   66,331   Medium 47 Fort McMurray, Alberta 66.573 60.555 Médio 48 Sault Ste. Marie , Ontario   66,313   68,143   Medium     49   Prince George , British Columbia   65,510   62,623   Medium     50   Medicine Hat , Alberta   62,935   59,624   Medium     5"&amp;"1   Welland - Pelham , Ontario   62,388   60,540   Medium     52   Grande Prairie , Alberta   62,320   55,236   Medium     53   Airdrie , Alberta   61,082   42,844   Medium     54   Granby , Quebec 59.691 57.351 Médio 55 Fredericton, New Brunswick 59.405 "&amp;"56.663 Médio 56 Saint John, New Brunswick 58.341 60.459 Média 57 Beloeil, Quebec 50.845 48,6888. Médio 58 North 57 On On On On, on. 50.032 47.289 Médio 60 Brandon, Manitoba 48.324 45.624 Médio 61 Vernon, Colúmbia Britânica 48.073 46.125 Média 62 Cornwall,"&amp;" Ontário 45.723 45.508 Médio 63 Joliette, Quebec 45.508 42.850 Médio 64, Columbia britânica 45,018 43,4444444460 Médio 64, Columbia britânica 45,018 43,44444444646 Médio 64, British Columbia 45,018 43, 66 Victoriaville, Quebec 44.735 41.925 Médio 67 Chath"&amp;"am , Ontário 43.550 44.676 Média 68 Georgetown, Ontário 42.123 40.185 Médio 69 St. Thomas, Ontário 41.813 40.973 Medium 70 Woodstock, Ontário 40,04 37.443 Média 71. , Quebec 39.048 38.323 Médio 73 Shawinigan , Quebec   38,211   39,427   Medium     74   Ri"&amp;"mouski , Quebec   36,942   35,437   Medium     75   Spruce Grove , Alberta   36,135   27,970   Medium     76   Sorel - Tracy , Quebec   36,088   35,770   Medium     77   Campbell River , British Columbia   35,138   33,448   Medium     78   Prince Albert ,"&amp;" Saskatchewan   35,102   34,057   Medium     79   Penticton , British Columbia 33.617 32.823 Média 80 Missão, Colúmbia Britânica 33.261 31.109 Média 81 Leamington, Ontário 32.991 32.520 Médio 82 Moose Jaw, Saskatchewan 32.724 32.546 Médio 83 Stufville, On"&amp;"tario 32.724 32.546 Média 83 Stufville, Ontario 32,724 32.546 83 Stufville, Ontario 32.724 Um 31.400 27.769 médio 85 Orillia, Ontário 31.128 30.546 Médio 86 Stratford, Ontário 31.053 30.516 Médio 87 Orangeville, Ontário 30.734 29.007 Médio 88 Cape Breton "&amp;"- Sydney, Nova Scotia 29.904 30.175 Small 89, Ontário 29,862 23,024 Small 90 90 90 90 Leduc 89, Ontário 29.862 23.024 Small 90 90 90 90 90 90 Leduc 89, Ontário 29,862 23,024 Small 90 90 90 90 90, all também 23.862 23.02 424. 9.331 30.485 Small 92 Okotoks,"&amp;" Alberta 28,833   24,470   Small     93   Saint - Georges , Quebec   26,921   24,940   Small     94   Keswick - Elmhurst Beach , Ontario   26,757   26,002   Small     95   Bolton , Ontario   26,378   27,108   Small     96   Val - d'Or , Quebec   25,541   "&amp;"25,023   Small     97   Cochrane , Alberta   25,289   17,433   Small     98   Quispamsis - Rothesay, New Brunswick 24.445 23.862 Small 99 Midland, Ontário 24.353 23.791 Small 100 Innisfil, Ontário 23.992 20.365")</f>
        <v>   Rank   Population centre   Population in 2016   Population in 2011   Class       Toronto , Ontario   5,429,524   5,144,412   Large urban       Montreal , Quebec   3,519,595   3,387,653   Large urban       Vancouver , British Columbia   2,264,823   2,124,443   Large urban       Calgary , Alberta   1,237,656   1,094,379   Large urban     5   Edmonton , Alberta   1,062,643   935,361   Large urban     6   Ottawa - - Gatineau, Ontário / Quebec 989.657 945.592 Urbano grande 7 Winnipeg, Manitoba 711.925 670.025 Urbano grande 8 quebec8, Quebec 705,103 681.804 Grande Urban 9 Hamilton, Ontário 693,103 681.804 Large 9,20, 604, 681.804 Urban grande 9 Hamilton, Ontário 693,103, 681.804 Large 9,20, 604, 681.804 Urban grande 9 Hamilton, Ontário 693,103, 681.804, grande 4,804, 604, 604, 673.104 4, Urban, quebec8, quebec 705,103, 681.804 grande Urban 9. Hamilton. 15 446.295 Grande Urbano 11 Londres, Ontário 383.437 365.715 grande urban     12   Victoria , British Columbia   335,696   314,596   Large urban     13   Halifax , Nova Scotia   316,701   304,979   Large urban     14   Oshawa , Ontario   308,875   290,704   Large urban     15   Windsor , Ontario   287,069   277,970   Large urban     16   Saskatoon , Saskatchewan   245,181   220,546   Large urban     17   St. Catharines -- Niagara , Ontario   229,246   220,616   Large urban     18   Regina , Saskatchewan   214,631   192,079   Large urban     19   St. John 's , Newfoundland and Labrador   178,427   172,312   Large urban     21   Kelowna , British Columbia   151,957   140,131   Large urban     22   Barrie , Ontario   145,614   140,383   Large urban     23   Sherbrooke , Quebec   139,565 133.673 Urbano grande 24 Guelph, Ontário 132.397 122.457 Grande Urbano 25 Abbotsford, Colúmbia Britânica 121.279 115.011 Grande Urban 20 Kingston, Ontário 117.660 114.928 Grande 26 Kanata, OnTario 11777.928 Urban 26 Kanata, OnTario 11777.928 , 203 112.626 grande urbano 28 Moncton, novo Brunswick 108.620 103.926 Urbano grande 29 Chicoutimi - Jonquière, Quebec 104.222 104.589 Urban Large 30 Milton, Ontário 101.715 75.880 Urban 31 Red Deer, Alberta 99,718.8.715 Medium 32 32, alberta 99.71.8.715 Médio 32, 310, alberta 99.71.8.715 Medium 32, 31, alberta 99.71.8.715 Medium 32, 310, alberta 99.71.8.715 Medium 32, 310, alberta 99.71.8.715, mídia 32. Ontário 93.952 95.251 Médio 34 White Rock, Colúmbia britânica 93.729 85.062 Média 35 Nanaimo, Colúmbia Britânica 92.004 85.357 Médio 36 Sudbury, Ontário 88.054 87.950 Médio 37 Lethbridge, Alberta 87,572 79.364 Média 38, Jean -Jean -Surta -Surta -Surta -Surta 87.572 79.364 Média 38, Jean -Jean -Sur -Sur -Sur -Sur -Sur -Sur -Sur -Surta. Tario 82.094 79.863 Médio 40 Kamloops, British Columbia   78,026   72,755   Medium     41   Saint - Jérôme , Quebec   77,146   69,598   Medium     42   Chilliwack , British Columbia   73,161   67,374   Medium     43   Sarnia , Ontario   72,125   73,044   Medium     44   Châteauguay , Quebec   71,164   66,445   Medium     45   Drummondville , Quebec   68,601   65,341   Medium     46   Belleville , Ontario   67,666   66,331   Medium 47 Fort McMurray, Alberta 66.573 60.555 Médio 48 Sault Ste. Marie , Ontario   66,313   68,143   Medium     49   Prince George , British Columbia   65,510   62,623   Medium     50   Medicine Hat , Alberta   62,935   59,624   Medium     51   Welland - Pelham , Ontario   62,388   60,540   Medium     52   Grande Prairie , Alberta   62,320   55,236   Medium     53   Airdrie , Alberta   61,082   42,844   Medium     54   Granby , Quebec 59.691 57.351 Médio 55 Fredericton, New Brunswick 59.405 56.663 Médio 56 Saint John, New Brunswick 58.341 60.459 Média 57 Beloeil, Quebec 50.845 48,6888. Médio 58 North 57 On On On On, on. 50.032 47.289 Médio 60 Brandon, Manitoba 48.324 45.624 Médio 61 Vernon, Colúmbia Britânica 48.073 46.125 Média 62 Cornwall, Ontário 45.723 45.508 Médio 63 Joliette, Quebec 45.508 42.850 Médio 64, Columbia britânica 45,018 43,4444444460 Médio 64, Columbia britânica 45,018 43,44444444646 Médio 64, British Columbia 45,018 43, 66 Victoriaville, Quebec 44.735 41.925 Médio 67 Chatham , Ontário 43.550 44.676 Média 68 Georgetown, Ontário 42.123 40.185 Médio 69 St. Thomas, Ontário 41.813 40.973 Medium 70 Woodstock, Ontário 40,04 37.443 Média 71. , Quebec 39.048 38.323 Médio 73 Shawinigan , Quebec   38,211   39,427   Medium     74   Rimouski , Quebec   36,942   35,437   Medium     75   Spruce Grove , Alberta   36,135   27,970   Medium     76   Sorel - Tracy , Quebec   36,088   35,770   Medium     77   Campbell River , British Columbia   35,138   33,448   Medium     78   Prince Albert , Saskatchewan   35,102   34,057   Medium     79   Penticton , British Columbia 33.617 32.823 Média 80 Missão, Colúmbia Britânica 33.261 31.109 Média 81 Leamington, Ontário 32.991 32.520 Médio 82 Moose Jaw, Saskatchewan 32.724 32.546 Médio 83 Stufville, Ontario 32.724 32.546 Média 83 Stufville, Ontario 32,724 32.546 83 Stufville, Ontario 32.724 Um 31.400 27.769 médio 85 Orillia, Ontário 31.128 30.546 Médio 86 Stratford, Ontário 31.053 30.516 Médio 87 Orangeville, Ontário 30.734 29.007 Médio 88 Cape Breton - Sydney, Nova Scotia 29.904 30.175 Small 89, Ontário 29,862 23,024 Small 90 90 90 90 Leduc 89, Ontário 29.862 23.024 Small 90 90 90 90 90 90 Leduc 89, Ontário 29,862 23,024 Small 90 90 90 90 90, all também 23.862 23.02 424. 9.331 30.485 Small 92 Okotoks, Alberta 28,833   24,470   Small     93   Saint - Georges , Quebec   26,921   24,940   Small     94   Keswick - Elmhurst Beach , Ontario   26,757   26,002   Small     95   Bolton , Ontario   26,378   27,108   Small     96   Val - d'Or , Quebec   25,541   25,023   Small     97   Cochrane , Alberta   25,289   17,433   Small     98   Quispamsis - Rothesay, New Brunswick 24.445 23.862 Small 99 Midland, Ontário 24.353 23.791 Small 100 Innisfil, Ontário 23.992 20.365</v>
      </c>
    </row>
    <row r="963" customFormat="false" ht="15.75" hidden="false" customHeight="true" outlineLevel="0" collapsed="false">
      <c r="A963" s="3" t="n">
        <v>960</v>
      </c>
      <c r="B963" s="5" t="s">
        <v>2873</v>
      </c>
      <c r="C963" s="5" t="s">
        <v>2874</v>
      </c>
      <c r="D963" s="5" t="s">
        <v>2875</v>
      </c>
      <c r="E963" s="4" t="str">
        <f aca="false">IFERROR(__xludf.dummyfunction("GOOGLETRANSLATE(C964)"),"quem canta a música de abertura do futebol da noite de segunda -feira")</f>
        <v>quem canta a música de abertura do futebol da noite de segunda -feira</v>
      </c>
      <c r="F963" s="5" t="str">
        <f aca="false">IFERROR(__xludf.dummyfunction("GOOGLETRANSLATE(D963)")," A Área Nacional de Conservação Red Rock Canyon em Nevada é uma área gerenciada pelo Bureau of Land Management como parte de seu sistema nacional de conservação de paisagem e protegida como uma área de conservação nacional. Está localizado a cerca de 24 k"&amp;"m a oeste de Las Vegas e é facilmente visto na faixa de Las Vegas. A área é visitada por mais de dois milhões de pessoas a cada ano.")</f>
        <v> A Área Nacional de Conservação Red Rock Canyon em Nevada é uma área gerenciada pelo Bureau of Land Management como parte de seu sistema nacional de conservação de paisagem e protegida como uma área de conservação nacional. Está localizado a cerca de 24 km a oeste de Las Vegas e é facilmente visto na faixa de Las Vegas. A área é visitada por mais de dois milhões de pessoas a cada ano.</v>
      </c>
    </row>
    <row r="964" customFormat="false" ht="15.75" hidden="false" customHeight="true" outlineLevel="0" collapsed="false">
      <c r="A964" s="3" t="n">
        <v>961</v>
      </c>
      <c r="B964" s="5" t="s">
        <v>2876</v>
      </c>
      <c r="C964" s="5" t="s">
        <v>2877</v>
      </c>
      <c r="D964" s="5" t="s">
        <v>2878</v>
      </c>
      <c r="E964" s="4" t="str">
        <f aca="false">IFERROR(__xludf.dummyfunction("GOOGLETRANSLATE(C965)"),"A verdadeira história do livro da família Von Trapp")</f>
        <v>A verdadeira história do livro da família Von Trapp</v>
      </c>
      <c r="F964" s="5" t="str">
        <f aca="false">IFERROR(__xludf.dummyfunction("GOOGLETRANSLATE(D964)"),"   Espn Monday Night Football Gênero NFL Game transmites criados por Roone Arledge, dirigido por Chet Forte (1970 - 1986) Larry Kamm (1987) Craig Janoff (1988 - 1999) Drew Esocoff (2000 - 2005) Chip Dean (2006 - presente ) Apresentado pelos comentaristas:"&amp;" Sean McDonough Lisa Salters Studio Hosts: Suzy Kolber Steve Young Randy Moss Matt Hasselbeck Charles Woodson tema de abertura `` `` `` ` Night '', de Hank Williams, Jr. (1989 - 2011; 2017 - presente) `` Ação pesada '' de Johnny Pearson (1976 - 1988; 2011"&amp;" - 2016) (usado como tema secundário de 1989 a 2011 e Novamente a partir de 2017 - presente) Country of Origin Language (s) dos Estados Unidos Número (s) de inglês 47 (NFL Seasons) No. dos episódios 718 (jogos) Produtor executivo de produção (s) Norby Wil"&amp;"liamson (2006 - presente) Produtor (S) Roger Lewin Jay Rothman Suzy Kolber (não creditado; 2006 - presente) Localização (s) Vários estádios da NFL (transmissão de jogos) ESPN Center, Bristol, Connecticut (segmentos de estúdio) Configuração da câmera Multi"&amp;" -Camera Tempo de corrida 3 - 4 horas Companhia (s) da Liga Nacional de Futebol ABC (1970 - - 2005) ESPN (2006 - presente) Libere a rede original ABC (1970 - 2005) ESPN (2006 - presente) Formato de imagem 480i (SDTV) (1970 - 2010), 480i (16: 9 SDTV) (2011"&amp;" - - Presente), 720p (HDTV) (2011 - presente) Lançamento original 21 de setembro de 1970 (1970 - 09 - 21) - Presentes shows relacionados à cronologia Relacionados")</f>
        <v>   Espn Monday Night Football Gênero NFL Game transmites criados por Roone Arledge, dirigido por Chet Forte (1970 - 1986) Larry Kamm (1987) Craig Janoff (1988 - 1999) Drew Esocoff (2000 - 2005) Chip Dean (2006 - presente ) Apresentado pelos comentaristas: Sean McDonough Lisa Salters Studio Hosts: Suzy Kolber Steve Young Randy Moss Matt Hasselbeck Charles Woodson tema de abertura `` `` `` ` Night '', de Hank Williams, Jr. (1989 - 2011; 2017 - presente) `` Ação pesada '' de Johnny Pearson (1976 - 1988; 2011 - 2016) (usado como tema secundário de 1989 a 2011 e Novamente a partir de 2017 - presente) Country of Origin Language (s) dos Estados Unidos Número (s) de inglês 47 (NFL Seasons) No. dos episódios 718 (jogos) Produtor executivo de produção (s) Norby Williamson (2006 - presente) Produtor (S) Roger Lewin Jay Rothman Suzy Kolber (não creditado; 2006 - presente) Localização (s) Vários estádios da NFL (transmissão de jogos) ESPN Center, Bristol, Connecticut (segmentos de estúdio) Configuração da câmera Multi -Camera Tempo de corrida 3 - 4 horas Companhia (s) da Liga Nacional de Futebol ABC (1970 - - 2005) ESPN (2006 - presente) Libere a rede original ABC (1970 - 2005) ESPN (2006 - presente) Formato de imagem 480i (SDTV) (1970 - 2010), 480i (16: 9 SDTV) (2011 - - Presente), 720p (HDTV) (2011 - presente) Lançamento original 21 de setembro de 1970 (1970 - 09 - 21) - Presentes shows relacionados à cronologia Relacionados</v>
      </c>
    </row>
    <row r="965" customFormat="false" ht="15.75" hidden="false" customHeight="true" outlineLevel="0" collapsed="false">
      <c r="A965" s="3" t="n">
        <v>962</v>
      </c>
      <c r="B965" s="5" t="s">
        <v>2879</v>
      </c>
      <c r="C965" s="5" t="s">
        <v>2880</v>
      </c>
      <c r="D965" s="5" t="s">
        <v>2881</v>
      </c>
      <c r="E965" s="4" t="str">
        <f aca="false">IFERROR(__xludf.dummyfunction("GOOGLETRANSLATE(C966)"),"Qual foi a última equipe da NFL a ficar invicta")</f>
        <v>Qual foi a última equipe da NFL a ficar invicta</v>
      </c>
      <c r="F965" s="5" t="str">
        <f aca="false">IFERROR(__xludf.dummyfunction("GOOGLETRANSLATE(D965)")," Maria Augusta von Trapp (née Kutschera; 26 de janeiro de 1905 - 28 de março de 1987), também conhecida como Baronesa von Trapp, era a madrasta e a matriarca dos cantores da família Trapp. Ela escreveu a história dos cantores da família Trapp, publicada e"&amp;"m 1949. A história serviu de inspiração para o filme da Alemanha Ocidental de 1956, The Trapp Family, que por sua vez inspirou o musical da Broadway The Sound of Music (1959) e o filme de 1965 com o mesmo nome.")</f>
        <v> Maria Augusta von Trapp (née Kutschera; 26 de janeiro de 1905 - 28 de março de 1987), também conhecida como Baronesa von Trapp, era a madrasta e a matriarca dos cantores da família Trapp. Ela escreveu a história dos cantores da família Trapp, publicada em 1949. A história serviu de inspiração para o filme da Alemanha Ocidental de 1956, The Trapp Family, que por sua vez inspirou o musical da Broadway The Sound of Music (1959) e o filme de 1965 com o mesmo nome.</v>
      </c>
    </row>
    <row r="966" customFormat="false" ht="15.75" hidden="false" customHeight="true" outlineLevel="0" collapsed="false">
      <c r="A966" s="3" t="n">
        <v>963</v>
      </c>
      <c r="B966" s="5" t="s">
        <v>2882</v>
      </c>
      <c r="C966" s="5" t="s">
        <v>2883</v>
      </c>
      <c r="D966" s="5" t="s">
        <v>2884</v>
      </c>
      <c r="E966" s="4" t="str">
        <f aca="false">IFERROR(__xludf.dummyfunction("GOOGLETRANSLATE(C967)"),"Qual é o salário mínimo horário na França")</f>
        <v>Qual é o salário mínimo horário na França</v>
      </c>
      <c r="F966" s="5" t="str">
        <f aca="false">IFERROR(__xludf.dummyfunction("GOOGLETRANSLATE(D966)"),"   Team ganha derrotas Resultados do playoff Resultado final 1934 Chicago Bears Temporada 13 0 Perdeu o jogo do campeonato da NFL contra o New York Giants 13 - 1 1942 Chicago Bears Temporada 11 0 Lost NFL Championship Game contra Washington Redskins 11 - "&amp;"1 1972 Jogos de playoff, incluindo o Super Bowl VII 17 - 0 2007 New England Patriots temporada 16 0 ganhou dois jogos de playoff antes de perder no Super Bowl XLII contra o New York Giants 18 - 1")</f>
        <v>   Team ganha derrotas Resultados do playoff Resultado final 1934 Chicago Bears Temporada 13 0 Perdeu o jogo do campeonato da NFL contra o New York Giants 13 - 1 1942 Chicago Bears Temporada 11 0 Lost NFL Championship Game contra Washington Redskins 11 - 1 1972 Jogos de playoff, incluindo o Super Bowl VII 17 - 0 2007 New England Patriots temporada 16 0 ganhou dois jogos de playoff antes de perder no Super Bowl XLII contra o New York Giants 18 - 1</v>
      </c>
    </row>
    <row r="967" customFormat="false" ht="15.75" hidden="false" customHeight="true" outlineLevel="0" collapsed="false">
      <c r="A967" s="3" t="n">
        <v>964</v>
      </c>
      <c r="B967" s="5" t="s">
        <v>2885</v>
      </c>
      <c r="C967" s="5" t="s">
        <v>2886</v>
      </c>
      <c r="D967" s="5" t="s">
        <v>2887</v>
      </c>
      <c r="E967" s="4" t="str">
        <f aca="false">IFERROR(__xludf.dummyfunction("GOOGLETRANSLATE(C968)"),"Quando a águia voa nos jogos de Auburn")</f>
        <v>Quando a águia voa nos jogos de Auburn</v>
      </c>
      <c r="F967" s="5" t="str">
        <f aca="false">IFERROR(__xludf.dummyfunction("GOOGLETRANSLATE(D967)"),"   Salário mínimo do país na semana de trabalho anual (horas) por cento por hora do PIB per capita efetivo por nominal (US $) ppp (int $) nominal (US $) ppp (int $) Afeganistão 5.500 Afeghani (US $ 95) por mês para setor privado não permanente . O salário"&amp;" mínimo para trabalhadores do governo permanente era de 6.000 afegãos (US $ 103) por mês. Não havia salário mínimo para trabalhadores permanentes no setor privado. 7003104700000000000 ♠ 1.047 70033272000000000 ♠ 3,272 40 6999500000000000000 ♠ 0,5 70001570"&amp;"00000000000 cost 1,57 7002168300000000 ♠ ♠ 1570000000000 cosania 24.000 (LABRANIAT (3200000000000 ♠ 168000000000 cult 22150000 ♠ 15700000000 cult. US $ 330) por mês no setor público. A lei estabelece uma semana de trabalho de 40 horas, mas a semana de tra"&amp;"balho real é normalmente definida por um acordo individual ou coletivo - de negociação. 7003241800000000000 ♠ 2.418 7003521800000000000 ♠ 5.218 40 7000116000000099999 ♠ 1.16 7000250990000099999 ♠ 2.51 700142000000000000 undo 45.2 % 5. 7003194600000000000 "&amp;"♠ 1,946    7003562200000000000 ♠ 5,622    40   6999940000000000000 ♠ 0.94    7000270000000000000 ♠ 2.7    7001374000000000000 ♠ 37.4 %   1 January 2012     Andorra   € 1017.47 ( $1177 ) per month , € 5.87 ( $6 ) per hour . 7004137960000000000 ♠ 13.796 700"&amp;"4106740000000000 ♠ 10.674 40 7000663000000000000 ♠ 6.63 7000513000000000000 cos. pago treze vezes por ano. 7003117600000000000 ♠ 1.176 7003147400000000000 ♠ 1.474 44 6999510000000000000 cos 0,51 6999640000000000 cos. 7003631700000000000 ♠ 6.317 7003778880"&amp;"00000000 ♠ 7.788 40 7000304000000000000 ♠ 3.04 7000374000000000000 cos argentina 3,74 7001344000000000000 separe 3400000 cos argentina 40013444000000000000 separe 34.4 % 1 de novembro 2014 Aggent pago treze vezes por ano. 7003785000000000000 ♠ 7.850 70041"&amp;"395100000000 cos 13.951 48 7000315000000000000 ♠ 3.15 7000559000000000000 cossnia 5.59 70017000000000000IR (7000000000000000 cosen 5.59 700170000000000IR (7018). 7003136700000000000 ♠ 1.367 7003334900000000000 ♠ 3,349 40 699966600000000000 ♠ 0,66 70001610"&amp;"00000000000 cossy 1,61 70013790000000000 ANVERENDO AUMENDOUSTULATIONIATIONIATIONIATIONIATIONIONIONIONIONIONIONIONIONIONIONIONIONIONIONIONIONIONIONIONIONIONIONIONIONIONIONIONIONIONIONIONIONIONE. Para os funcionários 21 + não cobertos por um prêmio ou contr"&amp;"ato, o salário mínimo é de US $ 18,93 (US $ 13) por hora, ou US $ 719,20 (US $ 524) por semana; definido federalmente pela Fair Work Commission. Os números indicados excluem contribuições obrigatórias de aposentadoria de pelo menos 9,5 % do salário anual "&amp;"total do funcionário e quaisquer cargas extras recebidas (por exemplo, muitos funcionários têm direito a 17,5 % de sua renda diária em dias em que tiram férias anuais, penalidade As taxas de trabalho realizadas nos fins de semana e feriados de até 200 % d"&amp;"e sua taxa básica e o direito de que funcionários não permanentes sejam pagos pelo menos 15 % mais alta que a taxa básica de pagamento). Trabalhadores com menos de 21 anos, aprendizes e estagiários não cobertos por um prêmio, cada um tem um nível de salár"&amp;"io mínimo definido nacionalmente abaixo do mínimo oficial. O salário mínimo para trabalhadores abaixo de 16 é 36,8 % do salário mínimo de 21 + em US $ 6,97 (US $ 5) por hora. 7004287680000000000 ♠ 28.768 7004233740000000000 ♠ 23.374 38 7001145600000000000"&amp;" ♠ 14.56 70011183000000000 cos. Os acordos nacionais de negociação coletiva estabelecem salários mínimos por classificação de trabalho para cada setor e fornecem um salário mínimo de 1.200 € (US $ 1.289) por mês. Os salários em que não existem acordos col"&amp;"etivos, como trabalhadores domésticos, funcionários de zeladoria e au pair, são regulamentados por legislação relevante e geralmente são inferiores aos cobertos pela negociação coletiva. A legislação nacional de salário mínimo exalou, embora ainda esteja "&amp;"em vigor por convenção. 40 2017 Azerbaijão 130 Azerbaijão Manat (US $ 76) por mês. 7002907000000000000 ♠ 907    7003445700000000000 ♠ 4,457    40   6999440000000000000 ♠ 0.44    7000214000000000000 ♠ 2.14    7001258000000000000 ♠ 25.8 %   1 January 2018  "&amp;"     The Bahamas   B $ 5.25 ( $5.25 ) per hour , B $42 ( $42 ) per day , and B $210 ( $210 ) per week . 7004109200000000000 ♠ 10.920 7003957900000000000 ♠ 9.579 40 70005250000000000 ♠ 5.25 700046100000000000000 ♠ 4.61 7001425000000000000 ♠ 42,5 % 15 agost"&amp;"o de 2015 Bahrain NONVERENHO; 300 BHD (US $ 800) para os trabalhadores do setor público (se aplica apenas aos nacionais do Bahrein). 48 2017 Bangladesh 1.500 Taka (US $ 19) por mês para todos os setores econômicos não cobertos por salários específicos da "&amp;"indústria; Na indústria de roupas, o salário mínimo é de 5.300 taka (US $ 68) por mês. O salário mínimo é estabelecido nacionalmente a cada cinco anos pelo Conselho Mínimo de Salários Nacionais em uma indústria de fórum tripartite pela indústria. 70022224"&amp;"0000000000 ♠ 224 7002564000000000000 ♠ 564 48 6998900000000000000 ♠ 0,09 699923000000000000 cos) 0,230000000000000 cos) para shop (shond shop (show O Ministério do Trabalho recomenda que todos os outros setores o usem como o salário mínimo de fato. 700365"&amp;"0000000000000 ♠ 6.500 7003528500000000000 ♠ 5.285 40 7000313000000000000 ♠ 3,13 7000254000000000000 ♠ 2,54 70012930000000000 cos 39.3) Bedarus 2,54 700129300000000 cos 39.3) Bedarus 2,54 700129300000000 (29.3 % de março de 2012. 7003189600000000000 ♠ 1.89"&amp;"6 7003746900000000000 cos 7.469 40 6999910000000000000 ♠ 0,91 70003590000000000 cos de 3,59 (70099999999001000000000 cos. .49 (US $ 11,09) por hora para trabalhadores com 21 anos de idade ou mais; € 1.604,06 (US $ 1.874) por mês para trabalhadores 21 anos"&amp;" e meio de idade, com seis meses de serviço; € 1.622,48 (US $ 1.896) por mês para trabalhadores de 22 anos de idade, com 12 meses de serviço; juntamente com extensos benefícios sociais. 70042114100000000 ♠ 21.141 7004213090000000000 ♠ 21.309 38 7001107009"&amp;"999900000 ♠ 10.7 7001107800000000 cos de 10.78 700143000000000000000 visão de 45000000 cosz 10.78 700143000000000000000 visão de 45. 7003386100000000000 ♠ 3.861 7003677400000000000 ♠ 6.774 45 7000165000000000000 ♠ 1,65 7000289000000000000 cos MOMO 4010109"&amp;"9999999900 (80.1000000000 cos May20109999999999999999999999000000000000 26 % 2,89 40180999999900 undo 80.1 % 26 % 2,89 700180999999900 undo 80.1 % 26 % 2,89 400180999999900 undo (80.1 % 40.1 20.1201010101010109999999999000000000000 26 % 2,89. O governo es"&amp;"tabeleceu escalas salariais mínimas para várias ocupações. 70028250000000000 ♠ 825 70032149000000000 ♠ 2,149 40 6999400000000000000 ♠ 0,4 7000103000000000000 ♠ 1,03 70019910000000000 separe 1 de abril de 2014 Bhutan 3,770. 70026910000000000 ♠ 691 70032020"&amp;"000000000 cos 2,020 40 69993300000000000 ♠ 0,33 699997000000000000 cos) 0,97 700122700000000. Além de um bônus de Natal obrigatório igual ao pagamento de um mês, proporcionou a quantidade de tempo que o trabalhador trabalhou em sua posição atual. Além dis"&amp;"so, um segundo bônus de Natal se o governo diminuir a economia cresceu o suficiente, além de um mês extra pago em maio se a empresa obtiver lucro para o ano anterior. 7003376300000000000 ♠ 3.763 7003755800000000000 ♠ 7.558 48 7000151000000000000 ♠ 1,51 70"&amp;"003029900000000 cost 3.03 700210400000000000 culk 104.5 % 1 MATHO 2017 BOSNIA 2017 7003220700000000000 ♠ 2.207 7003474100000000000 ♠ 4.741 40 7000106000000000000 ♠ 1,06 7000227990000099999 costana 2,28 70013000000000000000 (3.999998) ector; 3,03 ($ 29) Bo"&amp;"tswana Pula por hora para trabalhadores domésticos ou aproximadamente 24,24 Pula (US $ 2,28) por dia; 620 Botsuana Pula (US $ 60) por mês para trabalhadores no setor agrícola. 7002719000000000000 ♠ 719 7003140600000000000 ♠ 1,406 48 6999289990000000000 co"&amp;"s 0,29 6999560000000000 culo 0,56 700083000000000000 (3300000000000 (31999560000000000.000 Brasilian 95. Brasilian 95. Brasilian 950s. O salário mínimo brasileiro é ajustado anualmente pelo governo federal. Cada estado brasileiro tem seu próprio salário m"&amp;"ínimo, que não pode ser menor que o salário mínimo federal. O Rio Grande do Sul tem o salário mínimo mais alto em todo o país, R $ 1.103,66 (US $ 273). 70033888800000000000 ♠ 3.888 7003566300000000000 ♠ 5.663 44 7000170000000000000 ♠ 1.7 70002480000000000"&amp;"00 cos de BURNO (NOMENTIOM 40013740000000000000000 separe 3718 Rune 4001374000000000000000 firsia. US $ 1,8) por hora. 70033670000000000 ♠ 3.670 7003851400000000000 ♠ 8,514 40 70001760000000000 ♠ 1.76 70004090000000000 cosas 400146s. 7002715000000000000 ♠"&amp;" 715 7003190500000000000 ♠ 1,905 40 69993400000000000 ♠ 0,34 6999920000000000000 cos. No passado, o governo estabeleceu o salário mínimo, mas durante o ano o salário mínimo foi estabelecido pelas forças do mercado. 40 2017 Camboja US $ 170 por mês, para a"&amp;" indústria de roupas e calçados. 48 1 de janeiro de 2018 Camarões 36.270 CFA Francs (US $ 75) por mês. 7002748000000000000 ♠ 748 7003181900000000000 ♠ 1,819 40 69993600000000000 ♠ 0,36 699987000000000000 cos; varia de C $ 10,96 a C $ 14 (US $ 8 - US $ 10 "&amp;"USD) por hora. 70041753600000000 ♠ 17.536 7004167620000000000 cos. 7003159500000000000 ♠ 1.595 7003341400000000000 ♠ 3,414 44 6999700000000000000 ♠ 0,7 70001490000000000 cost 1,49 70015200000000000000S0000 coss00000000000000.49 7001510000000000000000 52.1"&amp;" % 1 de janeiro 2018 REPUTHURANDROMENTO 1,49 7001520000000000000 52.1 % REPRESSO REPRESSO REPRESSIMENTO AFRER AFRER AFRER AFRER AFRER AFRER AFRER AFRER AFRER AFRER AFRER AFRER AFRESIDO por hora. 7002782000000000000 ♠ 782 70031392000000000 ♠ 1,392 40 69993"&amp;"800000000000 cos 0,38 699967000000000000 cost 0,67 7002199300000000 Este 995,3000000000 cost1000000000s 31000000000001000000019500000000010101995s. 0,6) por hora. 7003123700000000000 ♠ 1,237    7003348400000000000 ♠ 3,484    39   6999610000000000000 ♠ 0.6"&amp;"1    7000172000000000000 ♠ 1.72    7002175000000000000 ♠ 175 %   18 October 2011       Chile   276,000 Chilean pesos ( $416 ) per month for workers aged 18 -- 65 ; ou 206.041 pesos (US $ 276) por mês para trabalhadores com menos de 18 anos ou mais de 65 a"&amp;"nos; e 178.037 pesos (US $ 268) por mês para fins ""não remunerativos"". 7003510500000000000 ♠ 5.105 7003727800000000000 ♠ 7.278 45 7000218000000000000 ♠ 2.18 700031100000000000000 ♠ 3,11 7001314000000000000 ♠ 31.4 % 1 de janeiro de 2018 China China varia"&amp;" de RMB1, 000 (US $ 146) por mês, ou RMB9. 50 (US $ 1,39) por hora em Guangxi; para RMB2, 190 (US $ 321) por mês, ou RMB19. 00 (US $ 2,78) por hora em Xangai. 7003177500000000000 ♠ 1,775    7003311700000000000 ♠ 3,117    40   6999850000000000000 ♠ 0.85   "&amp;" 7000150000000000000 ♠ 1.5    7001201000000000000 ♠ 20.1 %   12 November 2016       Colombia   781,242 Colombian pesos ( $277 ) per month   7003317700000000000 ♠ 3,177    7003683500000000000 ♠ 6,835    48   7000127000000000000 ♠ 1.27    700027400000000000"&amp;"0 ♠ 2.74    7001483000000000000 ♠ 48.3 %   24 January 2018       Comoros 55.000 Francs Comóricos (US $ 129) por mês. 7003151200000000000 ♠ 1.512 7003303700000000000 ♠ 3.037 40 69997300000000000 ♠ 0,73 7000146000000000000 coslic 1.46 700219500000000000 ♠.5"&amp;" %7 democlic RESPUNCULCO 70022298000000000000 ♠ 298 7002741000000000000 cos 741 45 69991300000000000 ♠ 0,13 6999320000000000 cost. 7003185500000000000 ♠ 1.855 70036958000000000 ♠ 6.958 40 6999890000000000000 ♠ 0,89 7000335000000000000 cos. Dia de trabalho"&amp;" para todos os trabalhadores ₡ 13.141,39 (US $ 23) por dia para trabalhadores especializados . Todas as outras ocupações não cobertas explicitamente se enquadram em escala genérica, que varia de ₡ 300.255,79 (US $ 528) por mês para trabalhadores não quali"&amp;"ficados a ₡ 644.689,30 (US $ 1134) por mês para licenciados. 7003460900000000000 ♠ 4.609 7003700800000000000 ♠ 7.008 48 7000185000000000000 ♠ 1,85 7000281000000000000 coste 2,81 7001422000000000000 cos de 42,2 % de 2,81 7001422000000000000 US $ 72) por mê"&amp;"s para o setor industrial; Uma taxa de salário mínimo um pouco maior é aplicada para trabalhadores da construção civil. 70027550000000000 ♠ 755 7003186800000000000 ♠ 1,868 40 69993600000000000 ♠ 0,36 69999900000000000000 cos Croats. 7003623500000000000 ♠ "&amp;"6.235 7004103190000000000 ♠ 10.319 40 7000300000000000000 ♠ 3 700049600000000000000 ♠ 4.96 70014410000000000 separe 44.1 % 1 de janeiro de 2018 22565 Cuban PES PES PES PES 225 (Observe que os dados da taxa de câmbio e os dados internacionais de conversão "&amp;"de dólares para esta linha são para 2012, pois mais dados atuais não estavam disponíveis no momento da entrada de dados) Cada cidadão também recebe alimentos gratuitos para complementar o salário. 70021470000000000 ♠ 147 181 40 6998500000000000000 ♠ 0,05 "&amp;"6998800000000000000 ♠ 0,08 699940000000000000000 ♠ 0,4 % 1 maio de 2005 cypre nenhum; € 870 (US $ 1006) por mês para assistentes de loja, assistentes de enfermagem, balconistas, cabeleireiros e assistentes de viveiro; Aumenta para € 924 (US $ 1069) após s"&amp;"eis meses de emprego. Para os requerentes de asilo que trabalham como trabalhadores não qualificados no setor agrícola, o salário mensal mínimo foi de 425 euros (US $ 570) com acomodação e alimentos fornecidos. Para trabalhadores qualificados no setor agr"&amp;"ícola, o salário mínimo foi de 767 euros (US $ 1040) sem acomodação e comida. 48 2017 República Tcheca 12.200,00 Tcheca Koruna (US $ 568) por mês, ou 73,20 Koruna (US $ 3,4) por hora. 7003651200000000 cos 6.512 7004106620000000000 ♠ 10.662 40 700031300000"&amp;"0000000 ♠ 3.13 7000513000000000000 cos. Em vez disso, negociado entre sindicatos e associações de empregadores; O salário mínimo médio para todos os acordos de negociação coletiva do setor público e privado foi de aproximadamente DKK 110 (nominalmente US "&amp;"$ 16) por hora, excluindo benefícios de pensão. 37.5 2017 Djibuti Nenhum; Cancelado pelo Código do Trabalho de 2006 para categorias ocupacionais, estabelecendo que os salários sejam estabelecidos após um acordo comum entre empregadores e funcionários. Par"&amp;"a trabalhadores do setor público, o salário mínimo era de 35.000 DFJ (US $ 198) por mês. 48 2017 Dominica EC $ 4,00 (US $ 1,50) por hora. 7003308100000000000 ♠ 3.081 7003422300000000000 ♠ 4.223 40 70001480000000000 ♠ 1.48 70002029999999999999 ♠ 2,03 70013"&amp;"8600000000000000 ♠ 38.6.6. nas FTZs e entre 9.412 pesos (US $ 188) e 15.448 pesos (US $ 309) fora dos FTZs, dependendo do tamanho da empresa; 5.884 pesos (US $ 117) por mês para o setor público; 320 pesos (US $ 6) por dia para trabalhadores agrícolas cobe"&amp;"rtos por regulamentos de salário mínimo com base em um dia de 10 horas, com exceção dos trabalhadores da cana -de -açúcar que receberam 146 pesos com base em um dia de trabalho de oito horas. 7002878000000000000 ♠ 878 70031872000000000 ♠ 1,872 44 69993800"&amp;"000000000 ♠ 0,38 6999820009999900000 ♠ 0,82 700000000000000 MEMAS 12.3999900000 culo 0,82 7000000000000 % 12.3 %7 2.3 2.310101010101010101010101010101010101010101010101010101010101010101010101010101010101010101010101010101010101010101010101010101010101010"&amp;"10101010101010101010101010101010101010.311. O salário mínimo foi estabelecido pelo governo em US $ 386 por mês para o ano de 2018, mas um trabalhador também recebe um 13º e 14º salário. 7003541200000000000 ♠ 5,412    7003887200000000000 ♠ 8,872    40   70"&amp;"00260000000000000 ♠ 2.6    7000426999999999999 ♠ 4.27    7001789000000000000 ♠ 78.9 %   1 January 2018     Egypt   None ; Para o setor público, o salário mínimo é de 1.200 (US $ 68) por mês. 48 2017 El Salvador O salário mínimo foi estabelecido pelo gover"&amp;"no em US $ 304,17 mensalmente em 2018. 7003365000000000000 ♠ 3.650 70037019000000000 ♠ 7.019 44 70001600000000000 ♠ 1.6 7000307000000000000 ♠ 3,07 7001815000000000000 cos (51.518 (320000000000000000000 ♠ 3,07 7001815000000000000 ♠.5 % 1 janeiro 2018 70032"&amp;"6660000000000 ♠ 2.660 7003447900000000000 ♠ 4.479 48 7000107000000000000 ♠ 1.07 7000179000000000000 cos; 360 nakfa da Eritreia (US $ 23,3) por mês no setor público. 44.5 2017 Estônia € 500 (US $ 581) por mês, ou 2,97 € (US $ 3) por hora. 70036519000000000"&amp;"00 ♠ 6.519 7003947900000000000 ♠ 9.479 40 7000313000000000000 ♠ 3,13 7000455990000099999 ♠ 4.56 700190000000000000000 ♠ 31.9 % 1 janeiro 2018 Algumas instituições governamentais e empresas públicas estabelecem seus próprios salários mínimos: os funcionári"&amp;"os do setor público, o maior grupo de assalariados, ganharam um salário mínimo mensal de 420 Birr etíope (US $ 21); Os funcionários do setor bancário e de seguros tinham um salário mensal mínimo de 336 BIRR (US $ 18). 48 2017 Estados federados da Micronés"&amp;"ia Nenhum; US $ 2,65 por hora para emprego no governo nacional; Todos os estados têm um salário horário mínimo para os trabalhadores do governo: US $ 2,00 em Pohnpei, US $ 1,25 em Chuuk, US $ 1,42 em Kosrae e US $ 1,60 em YAP; US $ 1,75 para trabalhadores"&amp;" do setor privado em Pohnpei. 40 2015 fiji fj $ 2,68 por hora. 7003323200000000000 ♠ 3.232 7003522600000000000 ♠ 5.226 48 7000129000000000000 ♠ 1.29 70002090099999900000 ♠ 2.09 700157400000000000000 ♠ 57.4 % 30 Sett. No entanto, a lei exige que todos os e"&amp;"mpregadores, incluindo os não sindicalizados, pagem salários mínimos acordados nos acordos de negociação coletiva; Quase todos os trabalhadores são cobertos por tais acordos. 40 2017 França € 1.498,47 (US $ 1734) por mês, € ​​9,88 (US $ 11) por hora. 7004"&amp;"202720000000000 ♠ 20.272 7004206690000000000 ♠ 20.669 35 7001111400000000000 ♠ 11.14 7001113600000000000 cos 11.36 700150000000000SSS000000 visão de 50 % de janeiro 2018 GABON 15.36 7001500000000SSSSSSS000000 visão de 50 % 1 de janeiro 2018 Gabon 151.36 7"&amp;"001500000000sss. Os trabalhadores do governo receberam um subsídio mensal adicional de 20.000 francos CFA (US $ 34) por criança; Os trabalhadores do governo também receberam transporte, moradia e benefícios familiares; A lei não exige benefícios familiare"&amp;"s ou familiares para os trabalhadores do setor privado. 7003309200000000000 ♠ 3.092 7003486500000000000 ♠ 4.865 40 70001490000000000 ♠ 1,49 7000234000000000000 ♠ 2.34 7001269900000000 undo 26.9 % 1 fevereiro de 2010 2010 2010s the Gia 501269900000000s. 70"&amp;"02317000000000000 3 317 7002958000000000000 cos 958 48 69991300000000000 ♠ 0,13 699938000000000000 cosats Sentrofs. 0s; 115 Lari (US $ 48) por mês para funcionários públicos. 7001960000000000000 ♠ 96 7002282000000000000 ♠ 282 40 699850000000000000000 ♠ 0,"&amp;"05 6999140000000000000 ♠ 0,14 700028000000999999917. Um salário mínimo mais alto é frequentemente estabelecido por acordos de negociação coletiva e aplicável por lei. 7004209890000000000 ♠ 20.989 7004224300000000000 ♠ 22.430 40,5 7000997000000000000 ♠ 9.9"&amp;"7 7001106500000000 culkan 40014. (Ghanan 4000000000000 (4000000001106500000000.000 ice 10.65 7001490000000000 (45.9 % 450000 cost. 7002579000000000000 ♠ 579 7003176000000000000 ♠ 1,760 40 6999280000000000000 ♠ 0,28 699985000000000000 ♠ 0,85 70014100000000"&amp;"00 000TS (US $ 69998500000000 cos) 0,201010101010. 53) por mês em 14 pagamentos, ou 4,23 € (US $ 4,8) por hora . 7003925000000000000 ♠ 9.250 7004120660000000000 ♠ 12.066 40 70004450000000000 ♠ 4.45 7000580000000000000 cos; Por exemplo, o salário mínimo pa"&amp;"ra os trabalhadores domésticos, por exemplo, era de US $ 4,50 por hora, enquanto o de um segurança era de US $ 8,00 por hora. 40 2017 Guatemala 81,87 Quetzales guatemaltecos (US $ 10,9) por dia para obras agrícolas e não agrícolas e 74,89 Quetzales (US $ "&amp;"10,0) por dia para trabalho em fábricas de regime de exportação. Os assalariados mínimos também são devidos por um bônus mensal obrigatório de 250 quetzales (US $ 33), e os trabalhadores assalariados recebem dois bônus anuais obrigatórios (o Bono 14 e o b"&amp;"ônus de Natal), cada um equivalente ao salário de um mês. 7003412700000000000 ♠ 4.127 7003697400000000000 ♠ 6.974 48 7000165000000000000 ♠ 1.65 7000279000000000000 cos 2,79 700187800000000000000 HOROMENTE 8. 87.8 % 2016 49) Para aqueles de 17 - 18 anos. 1"&amp;" de janeiro de 2017 Guiné O Código do Trabalho permite que o governo defina um salário mínimo por hora; No entanto, o governo não exerceu esta disposição, exceto para estabelecer o salário mínimo para os trabalhadores domésticos em 440.000 GNF (US $ 62) p"&amp;"or mês. 48 2017 Guiné - Bissau 19.030 Francos CFA (US $ 30) por mês mais um saco de arroz 7002392000000000000 ♠ 392 7002935000000000000001010000000000000000000000000000000000000000000000000000000000000000000000000000000000000000000000000000000000000000000"&amp;"00000000000000000000000000000000000000000000000000000000000000000000000000000000000000000000000000000000000000000000000000000000000001 Guiana G $ 35.000 (US $ 168 USD) por mês, ou G $ 1.616 (US $ 7 USD) por dia, ou g $ 202 (US $ 1 USD) por hora. 700320350"&amp;"0000000000 ♠ 2,035    7003320400000000000 ♠ 3,204    40   6999980000000000000 ♠ 0.98    7000154000000000000 ♠ 1.54    7001409000000000000 ♠ 40.9 %   1 July 2013       Haiti   290 Haitian gourdes per day for servants for an eight - hour workday ; 400 gourd"&amp;"es haitianos por dia para segmentos A Indústrias; 350 Gourdes haitianos por dia para as indústrias do segmento B; 290 Gourdes haitianos por dia para as indústrias do segmento C; 350 Gourdes haitianos por dia para empresas com trabalho de peça que reexport"&amp;"a; e 350 Gourdes haitianos por dia para empresas com trabalho que exporta. 7003142900000000000 ♠ 1.429 7003319400000000000 ♠ 3,194 48 6999569999999900000 ♠ 0,57 70001280000000000 ice 1,217On. Onduran Lempiras por mês, 25,41 Lempiras por hora, para 10.698,"&amp;"30 Lempiras por mês, 44,58 Lempiras por hora. 7003247500000000000 ♠ 2.475 7003494800000000000 ♠ 4.948 44 7000108000000000000 ♠ 1,08 7000216000000000000 cost 2.16 700210450000000000001605016 $ 100000 ÚSTRO (US $ 4000000000000000016016016016 (Us). 700392450"&amp;"0000000000 ♠ 9.245 7004111260000000000 cos 11.126 40 70004444000000000000 ♠ 4.44 7000535000000099999 cos. 95) por mês para mão de obra qualificada. 7003603400000000000 ♠ 6.034 7004110850000000000 ♠ 11.085 40 70002900000000000 ♠ 2.9 700053300000000000000 s"&amp;"exlain 5.33 7001415000000000000 titunto 41.5 % 1 de janeiro 2018 Icland não; Os salários mínimos são negociados em vários acordos coletivamente negociados e aplicados automaticamente a todos os funcionários nessas ocupações, independentemente da participa"&amp;"ção no sindicato; Embora os acordos possam ser da indústria - ou setor - de largura e, em alguns casos, específicos, os níveis mínimos de salário são específicos de ocupação. 40 2017 A Índia variou de 160 rúpias (US $ 2,40) por dia em Bihar a 750 rúpias ("&amp;"US $ 11,31) por dia em Kerala. Os governos estaduais estabeleceram um salário mínimo separado para os trabalhadores agrícolas. Os salários mínimos são estabelecidos de acordo com a Lei Mínima dos Salários, 1948. 70027670000000000 ♠ 767 70032498000000000 ♠"&amp;" 2,498 48 69993100000000000 ♠ 0,31 700010000000000000000 cost e distrito e distrito e distrito de um distrito e distrito de um distrito de Indonesia. O salário mínimo mais baixo está na província de Yogyakarta em Rupiah 1.454.154 (US $ 98) por mês e o mai"&amp;"s alto está em Jacarta em Rupiah 3.648.035 (US $ 248) por mês. 7003130400000000000 ♠ 1.304 70033500000000000 ♠ 3.500 40 69996300000000000 ♠ 0,63 7000168000000000000 ♠ 1,68 70013010000000000 `1,1111111101301300000001691111111111111 que 1,111311611611691616"&amp;"1616161616161611611161116111111111111111111111iasgsodingares. 6) por mês a partir do ano novo persa de 2017; definido anualmente para cada setor industrial e região. A semana de trabalho padrão é de 44 horas e qualquer trabalho mais de 48 autoriza o traba"&amp;"lhador à prorrogação. 7003401300000000000 ♠ 4.013 7004110830000000000 ♠ 11.083 44 7000175000000000000 ♠ 1.75 7000484000000000000 culk 4001500000000000000 culo 2100000000000 IRAIA 4015000000000000 (55.6 % 2180000000 culo 400156000000000000 (55.6 % 218 % id"&amp;"ose idosa 4000000000000000000 21000000000 fira 40015000000000000 (55.6 % 218 % idosa 4000000000000000000 21000000000 culo 400150000000000 (55.6 % 218 ÍRRA2. 7003253400000000000 ♠ 2.534 7003522200000000000 cos. mínimo) e para aqueles com mais de 18 anos no"&amp;" primeiro ano de emprego (80 %), no segundo ano de emprego (90 %) e em certos tipos de treinamento (75 % a 90 %). 7004218350000000000 ♠ 21,835    7004193670000000000 ♠ 19,367    39   7001107700000000000 ♠ 10.77    7000955000000000000 ♠ 9.55    70012710000"&amp;"00000000 ♠ 27.1 %   1 January 2018     Isle of Man   £ 7.50 per hour ( $9.15 ) for those aged 21 + £ 6.85 per hour ( $8.36 ) for those aged 18 -- 20 . 1 de abril de 2017 Israel ₪ 5.300 israelense novo Shekel (US $ 1.472) por mês; ou ₪ 29.12 Israelense New"&amp;" Shekel (US $ 8,09) por hora. 7004176670000000000 ♠ 17.667 7004143890000000000 ♠ 14.389 42 7000809000000000000 ♠ 8.09 7000659000000000000 cos. Em vez disso, definido através de acordos de negociação coletiva em um setor - por - setor. 40 2017 Jamaica J $ "&amp;"6.200 (US $ 49 USD) por semana. 70032520000000000 ♠ 2.520 7003404300000000000 ♠ 4.043 40 70001210000000000 ♠ 1,21 7000194000000000000 cos. definido em uma base prefeitiva e na indústria. 700413666600000000 ♠ 13.666 7004143070000000000 ♠ 14.307 40 70006570"&amp;"000000000 ♠ 6.57 7000688000000000000 cos. 7003371800000000000 ♠ 3.718 7003800000000000000 ♠ 8.000 48 70001490000000000 ♠ 1.49 7000321000000000000 ♠ 3,21 70018840000000000 cost. 7003104100000000000 ♠ 1.041 70032987000000000 cos 2,987 40 6999500000000000000"&amp;" ♠ 0,5 700014400000000000000 ♠ 1.44 70011180000000000 ° e 11.8 % 1 de janeiro de 2018 Keny O menor salário mínimo agrícola para funcionários não qualificados era de 6.415,55 xelins quenianos por mês, 269,40 por dia, excluindo o subsídio de moradia. 700274"&amp;"5000000000000 ♠ 745 70031656000000000 cos 1,656 52 6999280000000000000 ♠ 0,28 6999610000000000 coss 0.61 70015Is 1999610000000000 coss 0.61 700151000000000000000000000 teve 1,510 culks, por meio de um pouco de 1,5, por meio de um pouco de 1,69999280000000"&amp;"000 ♠ 0,28 69996100000000. O ED Projects é AUD $ 3,00 por hora 7003208000000000000 ♠ 2.080 7003238900000000000 2.389 40 7000100000000000000 ♠ 1 7000115000000099999 ♠ 1.15 7002113300000000000 ♠ 113,3 % 1 de novembro de 2016 Coréia do Norte com média de 5.0"&amp;"00 - 10.000 Won Coreano Norte (US $ 5,5 - 11,1,1) por dia. 2014 Coréia do Sul 7.530 Won (US $ 6) por hora, embora o salário mínimo comparável eficaz seja maior em 9.200 won (US $ 8) por hora devido a um feriado semanal obrigatório para pessoas que trabalh"&amp;"am mais de 15 horas por semana, uma lei que está ausente em outros países desenvolvidos. A lei se aplica igualmente a trabalhadores estrangeiros, temporários ou jovens cobrindo todas as indústrias e regiões em todo o país e está programado para aumentar p"&amp;"ara 8.350 won (US $ 7) por hora, ou 10.020 won (US $ 9) por hora, se forem incluídas feriadas semanais. Em 1 de janeiro de 2019. 7004138550000000000 ♠ 13.855 7004156040000000000 ♠ 15.604 40 7000666000000000000 ♠ 6.66 700075000000000000 culo 70014270000000"&amp;"000000000 cosa 42.7 % 1 de janeiro 2018 KOSOR Koso € 130 (US $ 150) para trabalhadores com menos de 35 anos de idade. 7003230000000000000 ♠ 2.300 7003622000000000000 cos 6.220 40 7000111000000000000 ♠ 1.11 7000299000000000000 ♠ 2.99 7001618180000000000 61"&amp;".8 % 17 de agosto de 2011. 7003240000000000000 ♠ 2.400 70033600000000000 cos 3,600 48 69999600000000000 ♠ 0,96 7000144000000000000 costg. usado para fins administrativos. 700219990000000000 ♠ 199 70026610000000000 ♠ 661 40 6999100000000000000 cos 0,1 6999"&amp;"320000000000000 ♠ 0,32 7001186000000000000 cos; Além disso, os empregadores foram obrigados a pagar um subsídio de refeição de 30.000 - KIP (US $ 3,74) por dia. O salário mínimo para funcionários públicos e funcionários da Enterprise estadual aumentou pel"&amp;"a última vez para 1.400.000 kip (US $ 170) por mês. 7003201200000000000 ♠ 2,012    7003518000000000000 ♠ 5,180    48   6999810000000000000 ♠ 0.81    7000208000000000000 ♠ 2.08    7001791009999900000 ♠ 79.1 %   2014       Latvia   € 430 ( $513 ) per month "&amp;". 7003581700000000000 ♠ 5,817    7003905300000000000 ♠ 9,053    40   7000280000000099999 ♠ 2.8    7000435000000099999 ♠ 4.35    7001354000000000000 ♠ 35.4 %   1 January 2018       Lebanon   675,000 pounds ( $446 ) per month , or 30,000 pounds ( $19 ) per "&amp;"day . 7003537300000000000 ♠ 5,373    7003894700000000000 ♠ 8,947    48   7000215000000000000 ♠ 2.15    7000358000000000000 ♠ 3.58    7001625000000000000 ♠ 62.5 %   1 February 2012       Lesotho   1,178 maloti ( $102 ) per month to 1,285 maloti ( $112 ) pe"&amp;"r month ; variado pelo setor. 7003106000000000000 ♠ 1.060 70033027000000000 ♠ 3,027 45 6999450000000000000 ♠ 0,45 7000129000000000000 cost. trabalhadores; 5.600 LD (US $ 114) por mês para funcionários públicos. 7002332000000000000 ♠ 332 700247400000000000"&amp;"0 ♠ 474 48 69991300000000000 ♠ 0,13 699919000000000000 cos; O governo subsidia fortemente o aluguel e os serviços públicos. 70033388500000000000 ♠ 3.885 7003777000000000000 cos 7.770 40 7000187000000000000 ♠ 1,87 7000374000000000000 cos de 3,74 9000000000"&amp;"000000000 € 133.9 % 1 março 2011 2011 2,45 (US $ 2,8) por hora. 7003574500000000000 ♠ 5.745 7003999200000000000 ♠ 9.992 40 700027599000009999 ♠ 2.76")</f>
        <v>   Salário mínimo do país na semana de trabalho anual (horas) por cento por hora do PIB per capita efetivo por nominal (US $) ppp (int $) nominal (US $) ppp (int $) Afeganistão 5.500 Afeghani (US $ 95) por mês para setor privado não permanente . O salário mínimo para trabalhadores do governo permanente era de 6.000 afegãos (US $ 103) por mês. Não havia salário mínimo para trabalhadores permanentes no setor privado. 7003104700000000000 ♠ 1.047 70033272000000000 ♠ 3,272 40 6999500000000000000 ♠ 0,5 7000157000000000000 cost 1,57 7002168300000000 ♠ ♠ 1570000000000 cosania 24.000 (LABRANIAT (3200000000000 ♠ 168000000000 cult 22150000 ♠ 15700000000 cult. US $ 330) por mês no setor público. A lei estabelece uma semana de trabalho de 40 horas, mas a semana de trabalho real é normalmente definida por um acordo individual ou coletivo - de negociação. 7003241800000000000 ♠ 2.418 7003521800000000000 ♠ 5.218 40 7000116000000099999 ♠ 1.16 7000250990000099999 ♠ 2.51 700142000000000000 undo 45.2 % 5. 7003194600000000000 ♠ 1,946    7003562200000000000 ♠ 5,622    40   6999940000000000000 ♠ 0.94    7000270000000000000 ♠ 2.7    7001374000000000000 ♠ 37.4 %   1 January 2012     Andorra   € 1017.47 ( $1177 ) per month , € 5.87 ( $6 ) per hour . 7004137960000000000 ♠ 13.796 7004106740000000000 ♠ 10.674 40 7000663000000000000 ♠ 6.63 7000513000000000000 cos. pago treze vezes por ano. 7003117600000000000 ♠ 1.176 7003147400000000000 ♠ 1.474 44 6999510000000000000 cos 0,51 6999640000000000 cos. 7003631700000000000 ♠ 6.317 700377888000000000 ♠ 7.788 40 7000304000000000000 ♠ 3.04 7000374000000000000 cos argentina 3,74 7001344000000000000 separe 3400000 cos argentina 40013444000000000000 separe 34.4 % 1 de novembro 2014 Aggent pago treze vezes por ano. 7003785000000000000 ♠ 7.850 70041395100000000 cos 13.951 48 7000315000000000000 ♠ 3.15 7000559000000000000 cossnia 5.59 70017000000000000IR (7000000000000000 cosen 5.59 700170000000000IR (7018). 7003136700000000000 ♠ 1.367 7003334900000000000 ♠ 3,349 40 699966600000000000 ♠ 0,66 7000161000000000000 cossy 1,61 70013790000000000 ANVERENDO AUMENDOUSTULATIONIATIONIATIONIATIONIATIONIONIONIONIONIONIONIONIONIONIONIONIONIONIONIONIONIONIONIONIONIONIONIONIONIONIONIONIONIONIONIONIONIONE. Para os funcionários 21 + não cobertos por um prêmio ou contrato, o salário mínimo é de US $ 18,93 (US $ 13) por hora, ou US $ 719,20 (US $ 524) por semana; definido federalmente pela Fair Work Commission. Os números indicados excluem contribuições obrigatórias de aposentadoria de pelo menos 9,5 % do salário anual total do funcionário e quaisquer cargas extras recebidas (por exemplo, muitos funcionários têm direito a 17,5 % de sua renda diária em dias em que tiram férias anuais, penalidade As taxas de trabalho realizadas nos fins de semana e feriados de até 200 % de sua taxa básica e o direito de que funcionários não permanentes sejam pagos pelo menos 15 % mais alta que a taxa básica de pagamento). Trabalhadores com menos de 21 anos, aprendizes e estagiários não cobertos por um prêmio, cada um tem um nível de salário mínimo definido nacionalmente abaixo do mínimo oficial. O salário mínimo para trabalhadores abaixo de 16 é 36,8 % do salário mínimo de 21 + em US $ 6,97 (US $ 5) por hora. 7004287680000000000 ♠ 28.768 7004233740000000000 ♠ 23.374 38 7001145600000000000 ♠ 14.56 70011183000000000 cos. Os acordos nacionais de negociação coletiva estabelecem salários mínimos por classificação de trabalho para cada setor e fornecem um salário mínimo de 1.200 € (US $ 1.289) por mês. Os salários em que não existem acordos coletivos, como trabalhadores domésticos, funcionários de zeladoria e au pair, são regulamentados por legislação relevante e geralmente são inferiores aos cobertos pela negociação coletiva. A legislação nacional de salário mínimo exalou, embora ainda esteja em vigor por convenção. 40 2017 Azerbaijão 130 Azerbaijão Manat (US $ 76) por mês. 7002907000000000000 ♠ 907    7003445700000000000 ♠ 4,457    40   6999440000000000000 ♠ 0.44    7000214000000000000 ♠ 2.14    7001258000000000000 ♠ 25.8 %   1 January 2018       The Bahamas   B $ 5.25 ( $5.25 ) per hour , B $42 ( $42 ) per day , and B $210 ( $210 ) per week . 7004109200000000000 ♠ 10.920 7003957900000000000 ♠ 9.579 40 70005250000000000 ♠ 5.25 700046100000000000000 ♠ 4.61 7001425000000000000 ♠ 42,5 % 15 agosto de 2015 Bahrain NONVERENHO; 300 BHD (US $ 800) para os trabalhadores do setor público (se aplica apenas aos nacionais do Bahrein). 48 2017 Bangladesh 1.500 Taka (US $ 19) por mês para todos os setores econômicos não cobertos por salários específicos da indústria; Na indústria de roupas, o salário mínimo é de 5.300 taka (US $ 68) por mês. O salário mínimo é estabelecido nacionalmente a cada cinco anos pelo Conselho Mínimo de Salários Nacionais em uma indústria de fórum tripartite pela indústria. 700222240000000000 ♠ 224 7002564000000000000 ♠ 564 48 6998900000000000000 ♠ 0,09 699923000000000000 cos) 0,230000000000000 cos) para shop (shond shop (show O Ministério do Trabalho recomenda que todos os outros setores o usem como o salário mínimo de fato. 7003650000000000000 ♠ 6.500 7003528500000000000 ♠ 5.285 40 7000313000000000000 ♠ 3,13 7000254000000000000 ♠ 2,54 70012930000000000 cos 39.3) Bedarus 2,54 700129300000000 cos 39.3) Bedarus 2,54 700129300000000 (29.3 % de março de 2012. 7003189600000000000 ♠ 1.896 7003746900000000000 cos 7.469 40 6999910000000000000 ♠ 0,91 70003590000000000 cos de 3,59 (70099999999001000000000 cos. .49 (US $ 11,09) por hora para trabalhadores com 21 anos de idade ou mais; € 1.604,06 (US $ 1.874) por mês para trabalhadores 21 anos e meio de idade, com seis meses de serviço; € 1.622,48 (US $ 1.896) por mês para trabalhadores de 22 anos de idade, com 12 meses de serviço; juntamente com extensos benefícios sociais. 70042114100000000 ♠ 21.141 7004213090000000000 ♠ 21.309 38 7001107009999900000 ♠ 10.7 7001107800000000 cos de 10.78 700143000000000000000 visão de 45000000 cosz 10.78 700143000000000000000 visão de 45. 7003386100000000000 ♠ 3.861 7003677400000000000 ♠ 6.774 45 7000165000000000000 ♠ 1,65 7000289000000000000 cos MOMO 40101099999999900 (80.1000000000 cos May20109999999999999999999999000000000000 26 % 2,89 40180999999900 undo 80.1 % 26 % 2,89 700180999999900 undo 80.1 % 26 % 2,89 400180999999900 undo (80.1 % 40.1 20.1201010101010109999999999000000000000 26 % 2,89. O governo estabeleceu escalas salariais mínimas para várias ocupações. 70028250000000000 ♠ 825 70032149000000000 ♠ 2,149 40 6999400000000000000 ♠ 0,4 7000103000000000000 ♠ 1,03 70019910000000000 separe 1 de abril de 2014 Bhutan 3,770. 70026910000000000 ♠ 691 70032020000000000 cos 2,020 40 69993300000000000 ♠ 0,33 699997000000000000 cos) 0,97 700122700000000. Além de um bônus de Natal obrigatório igual ao pagamento de um mês, proporcionou a quantidade de tempo que o trabalhador trabalhou em sua posição atual. Além disso, um segundo bônus de Natal se o governo diminuir a economia cresceu o suficiente, além de um mês extra pago em maio se a empresa obtiver lucro para o ano anterior. 7003376300000000000 ♠ 3.763 7003755800000000000 ♠ 7.558 48 7000151000000000000 ♠ 1,51 70003029900000000 cost 3.03 700210400000000000 culk 104.5 % 1 MATHO 2017 BOSNIA 2017 7003220700000000000 ♠ 2.207 7003474100000000000 ♠ 4.741 40 7000106000000000000 ♠ 1,06 7000227990000099999 costana 2,28 70013000000000000000 (3.999998) ector; 3,03 ($ 29) Botswana Pula por hora para trabalhadores domésticos ou aproximadamente 24,24 Pula (US $ 2,28) por dia; 620 Botsuana Pula (US $ 60) por mês para trabalhadores no setor agrícola. 7002719000000000000 ♠ 719 7003140600000000000 ♠ 1,406 48 6999289990000000000 cos 0,29 6999560000000000 culo 0,56 700083000000000000 (3300000000000 (31999560000000000.000 Brasilian 95. Brasilian 95. Brasilian 950s. O salário mínimo brasileiro é ajustado anualmente pelo governo federal. Cada estado brasileiro tem seu próprio salário mínimo, que não pode ser menor que o salário mínimo federal. O Rio Grande do Sul tem o salário mínimo mais alto em todo o país, R $ 1.103,66 (US $ 273). 70033888800000000000 ♠ 3.888 7003566300000000000 ♠ 5.663 44 7000170000000000000 ♠ 1.7 7000248000000000000 cos de BURNO (NOMENTIOM 40013740000000000000000 separe 3718 Rune 4001374000000000000000 firsia. US $ 1,8) por hora. 70033670000000000 ♠ 3.670 7003851400000000000 ♠ 8,514 40 70001760000000000 ♠ 1.76 70004090000000000 cosas 400146s. 7002715000000000000 ♠ 715 7003190500000000000 ♠ 1,905 40 69993400000000000 ♠ 0,34 6999920000000000000 cos. No passado, o governo estabeleceu o salário mínimo, mas durante o ano o salário mínimo foi estabelecido pelas forças do mercado. 40 2017 Camboja US $ 170 por mês, para a indústria de roupas e calçados. 48 1 de janeiro de 2018 Camarões 36.270 CFA Francs (US $ 75) por mês. 7002748000000000000 ♠ 748 7003181900000000000 ♠ 1,819 40 69993600000000000 ♠ 0,36 699987000000000000 cos; varia de C $ 10,96 a C $ 14 (US $ 8 - US $ 10 USD) por hora. 70041753600000000 ♠ 17.536 7004167620000000000 cos. 7003159500000000000 ♠ 1.595 7003341400000000000 ♠ 3,414 44 6999700000000000000 ♠ 0,7 70001490000000000 cost 1,49 70015200000000000000S0000 coss00000000000000.49 7001510000000000000000 52.1 % 1 de janeiro 2018 REPUTHURANDROMENTO 1,49 7001520000000000000 52.1 % REPRESSO REPRESSO REPRESSIMENTO AFRER AFRER AFRER AFRER AFRER AFRER AFRER AFRER AFRER AFRER AFRER AFRER AFRESIDO por hora. 7002782000000000000 ♠ 782 70031392000000000 ♠ 1,392 40 69993800000000000 cos 0,38 699967000000000000 cost 0,67 7002199300000000 Este 995,3000000000 cost1000000000s 31000000000001000000019500000000010101995s. 0,6) por hora. 7003123700000000000 ♠ 1,237    7003348400000000000 ♠ 3,484    39   6999610000000000000 ♠ 0.61    7000172000000000000 ♠ 1.72    7002175000000000000 ♠ 175 %   18 October 2011       Chile   276,000 Chilean pesos ( $416 ) per month for workers aged 18 -- 65 ; ou 206.041 pesos (US $ 276) por mês para trabalhadores com menos de 18 anos ou mais de 65 anos; e 178.037 pesos (US $ 268) por mês para fins "não remunerativos". 7003510500000000000 ♠ 5.105 7003727800000000000 ♠ 7.278 45 7000218000000000000 ♠ 2.18 700031100000000000000 ♠ 3,11 7001314000000000000 ♠ 31.4 % 1 de janeiro de 2018 China China varia de RMB1, 000 (US $ 146) por mês, ou RMB9. 50 (US $ 1,39) por hora em Guangxi; para RMB2, 190 (US $ 321) por mês, ou RMB19. 00 (US $ 2,78) por hora em Xangai. 7003177500000000000 ♠ 1,775    7003311700000000000 ♠ 3,117    40   6999850000000000000 ♠ 0.85    7000150000000000000 ♠ 1.5    7001201000000000000 ♠ 20.1 %   12 November 2016       Colombia   781,242 Colombian pesos ( $277 ) per month   7003317700000000000 ♠ 3,177    7003683500000000000 ♠ 6,835    48   7000127000000000000 ♠ 1.27    7000274000000000000 ♠ 2.74    7001483000000000000 ♠ 48.3 %   24 January 2018       Comoros 55.000 Francs Comóricos (US $ 129) por mês. 7003151200000000000 ♠ 1.512 7003303700000000000 ♠ 3.037 40 69997300000000000 ♠ 0,73 7000146000000000000 coslic 1.46 700219500000000000 ♠.5 %7 democlic RESPUNCULCO 70022298000000000000 ♠ 298 7002741000000000000 cos 741 45 69991300000000000 ♠ 0,13 6999320000000000 cost. 7003185500000000000 ♠ 1.855 70036958000000000 ♠ 6.958 40 6999890000000000000 ♠ 0,89 7000335000000000000 cos. Dia de trabalho para todos os trabalhadores ₡ 13.141,39 (US $ 23) por dia para trabalhadores especializados . Todas as outras ocupações não cobertas explicitamente se enquadram em escala genérica, que varia de ₡ 300.255,79 (US $ 528) por mês para trabalhadores não qualificados a ₡ 644.689,30 (US $ 1134) por mês para licenciados. 7003460900000000000 ♠ 4.609 7003700800000000000 ♠ 7.008 48 7000185000000000000 ♠ 1,85 7000281000000000000 coste 2,81 7001422000000000000 cos de 42,2 % de 2,81 7001422000000000000 US $ 72) por mês para o setor industrial; Uma taxa de salário mínimo um pouco maior é aplicada para trabalhadores da construção civil. 70027550000000000 ♠ 755 7003186800000000000 ♠ 1,868 40 69993600000000000 ♠ 0,36 69999900000000000000 cos Croats. 7003623500000000000 ♠ 6.235 7004103190000000000 ♠ 10.319 40 7000300000000000000 ♠ 3 700049600000000000000 ♠ 4.96 70014410000000000 separe 44.1 % 1 de janeiro de 2018 22565 Cuban PES PES PES PES 225 (Observe que os dados da taxa de câmbio e os dados internacionais de conversão de dólares para esta linha são para 2012, pois mais dados atuais não estavam disponíveis no momento da entrada de dados) Cada cidadão também recebe alimentos gratuitos para complementar o salário. 70021470000000000 ♠ 147 181 40 6998500000000000000 ♠ 0,05 6998800000000000000 ♠ 0,08 699940000000000000000 ♠ 0,4 % 1 maio de 2005 cypre nenhum; € 870 (US $ 1006) por mês para assistentes de loja, assistentes de enfermagem, balconistas, cabeleireiros e assistentes de viveiro; Aumenta para € 924 (US $ 1069) após seis meses de emprego. Para os requerentes de asilo que trabalham como trabalhadores não qualificados no setor agrícola, o salário mensal mínimo foi de 425 euros (US $ 570) com acomodação e alimentos fornecidos. Para trabalhadores qualificados no setor agrícola, o salário mínimo foi de 767 euros (US $ 1040) sem acomodação e comida. 48 2017 República Tcheca 12.200,00 Tcheca Koruna (US $ 568) por mês, ou 73,20 Koruna (US $ 3,4) por hora. 7003651200000000 cos 6.512 7004106620000000000 ♠ 10.662 40 7000313000000000000 ♠ 3.13 7000513000000000000 cos. Em vez disso, negociado entre sindicatos e associações de empregadores; O salário mínimo médio para todos os acordos de negociação coletiva do setor público e privado foi de aproximadamente DKK 110 (nominalmente US $ 16) por hora, excluindo benefícios de pensão. 37.5 2017 Djibuti Nenhum; Cancelado pelo Código do Trabalho de 2006 para categorias ocupacionais, estabelecendo que os salários sejam estabelecidos após um acordo comum entre empregadores e funcionários. Para trabalhadores do setor público, o salário mínimo era de 35.000 DFJ (US $ 198) por mês. 48 2017 Dominica EC $ 4,00 (US $ 1,50) por hora. 7003308100000000000 ♠ 3.081 7003422300000000000 ♠ 4.223 40 70001480000000000 ♠ 1.48 70002029999999999999 ♠ 2,03 700138600000000000000 ♠ 38.6.6. nas FTZs e entre 9.412 pesos (US $ 188) e 15.448 pesos (US $ 309) fora dos FTZs, dependendo do tamanho da empresa; 5.884 pesos (US $ 117) por mês para o setor público; 320 pesos (US $ 6) por dia para trabalhadores agrícolas cobertos por regulamentos de salário mínimo com base em um dia de 10 horas, com exceção dos trabalhadores da cana -de -açúcar que receberam 146 pesos com base em um dia de trabalho de oito horas. 7002878000000000000 ♠ 878 70031872000000000 ♠ 1,872 44 69993800000000000 ♠ 0,38 6999820009999900000 ♠ 0,82 700000000000000 MEMAS 12.3999900000 culo 0,82 7000000000000 % 12.3 %7 2.3 2.31010101010101010101010101010101010101010101010101010101010101010101010101010101010101010101010101010101010101010101010101010101010101010101010101010101010101010101010101010.311. O salário mínimo foi estabelecido pelo governo em US $ 386 por mês para o ano de 2018, mas um trabalhador também recebe um 13º e 14º salário. 7003541200000000000 ♠ 5,412    7003887200000000000 ♠ 8,872    40   7000260000000000000 ♠ 2.6    7000426999999999999 ♠ 4.27    7001789000000000000 ♠ 78.9 %   1 January 2018     Egypt   None ; Para o setor público, o salário mínimo é de 1.200 (US $ 68) por mês. 48 2017 El Salvador O salário mínimo foi estabelecido pelo governo em US $ 304,17 mensalmente em 2018. 7003365000000000000 ♠ 3.650 70037019000000000 ♠ 7.019 44 70001600000000000 ♠ 1.6 7000307000000000000 ♠ 3,07 7001815000000000000 cos (51.518 (320000000000000000000 ♠ 3,07 7001815000000000000 ♠.5 % 1 janeiro 2018 700326660000000000 ♠ 2.660 7003447900000000000 ♠ 4.479 48 7000107000000000000 ♠ 1.07 7000179000000000000 cos; 360 nakfa da Eritreia (US $ 23,3) por mês no setor público. 44.5 2017 Estônia € 500 (US $ 581) por mês, ou 2,97 € (US $ 3) por hora. 7003651900000000000 ♠ 6.519 7003947900000000000 ♠ 9.479 40 7000313000000000000 ♠ 3,13 7000455990000099999 ♠ 4.56 700190000000000000000 ♠ 31.9 % 1 janeiro 2018 Algumas instituições governamentais e empresas públicas estabelecem seus próprios salários mínimos: os funcionários do setor público, o maior grupo de assalariados, ganharam um salário mínimo mensal de 420 Birr etíope (US $ 21); Os funcionários do setor bancário e de seguros tinham um salário mensal mínimo de 336 BIRR (US $ 18). 48 2017 Estados federados da Micronésia Nenhum; US $ 2,65 por hora para emprego no governo nacional; Todos os estados têm um salário horário mínimo para os trabalhadores do governo: US $ 2,00 em Pohnpei, US $ 1,25 em Chuuk, US $ 1,42 em Kosrae e US $ 1,60 em YAP; US $ 1,75 para trabalhadores do setor privado em Pohnpei. 40 2015 fiji fj $ 2,68 por hora. 7003323200000000000 ♠ 3.232 7003522600000000000 ♠ 5.226 48 7000129000000000000 ♠ 1.29 70002090099999900000 ♠ 2.09 700157400000000000000 ♠ 57.4 % 30 Sett. No entanto, a lei exige que todos os empregadores, incluindo os não sindicalizados, pagem salários mínimos acordados nos acordos de negociação coletiva; Quase todos os trabalhadores são cobertos por tais acordos. 40 2017 França € 1.498,47 (US $ 1734) por mês, € ​​9,88 (US $ 11) por hora. 7004202720000000000 ♠ 20.272 7004206690000000000 ♠ 20.669 35 7001111400000000000 ♠ 11.14 7001113600000000000 cos 11.36 700150000000000SSS000000 visão de 50 % de janeiro 2018 GABON 15.36 7001500000000SSSSSSS000000 visão de 50 % 1 de janeiro 2018 Gabon 151.36 7001500000000sss. Os trabalhadores do governo receberam um subsídio mensal adicional de 20.000 francos CFA (US $ 34) por criança; Os trabalhadores do governo também receberam transporte, moradia e benefícios familiares; A lei não exige benefícios familiares ou familiares para os trabalhadores do setor privado. 7003309200000000000 ♠ 3.092 7003486500000000000 ♠ 4.865 40 70001490000000000 ♠ 1,49 7000234000000000000 ♠ 2.34 7001269900000000 undo 26.9 % 1 fevereiro de 2010 2010 2010s the Gia 501269900000000s. 7002317000000000000 3 317 7002958000000000000 cos 958 48 69991300000000000 ♠ 0,13 699938000000000000 cosats Sentrofs. 0s; 115 Lari (US $ 48) por mês para funcionários públicos. 7001960000000000000 ♠ 96 7002282000000000000 ♠ 282 40 699850000000000000000 ♠ 0,05 6999140000000000000 ♠ 0,14 700028000000999999917. Um salário mínimo mais alto é frequentemente estabelecido por acordos de negociação coletiva e aplicável por lei. 7004209890000000000 ♠ 20.989 7004224300000000000 ♠ 22.430 40,5 7000997000000000000 ♠ 9.97 7001106500000000 culkan 40014. (Ghanan 4000000000000 (4000000001106500000000.000 ice 10.65 7001490000000000 (45.9 % 450000 cost. 7002579000000000000 ♠ 579 7003176000000000000 ♠ 1,760 40 6999280000000000000 ♠ 0,28 699985000000000000 ♠ 0,85 7001410000000000 000TS (US $ 69998500000000 cos) 0,201010101010. 53) por mês em 14 pagamentos, ou 4,23 € (US $ 4,8) por hora . 7003925000000000000 ♠ 9.250 7004120660000000000 ♠ 12.066 40 70004450000000000 ♠ 4.45 7000580000000000000 cos; Por exemplo, o salário mínimo para os trabalhadores domésticos, por exemplo, era de US $ 4,50 por hora, enquanto o de um segurança era de US $ 8,00 por hora. 40 2017 Guatemala 81,87 Quetzales guatemaltecos (US $ 10,9) por dia para obras agrícolas e não agrícolas e 74,89 Quetzales (US $ 10,0) por dia para trabalho em fábricas de regime de exportação. Os assalariados mínimos também são devidos por um bônus mensal obrigatório de 250 quetzales (US $ 33), e os trabalhadores assalariados recebem dois bônus anuais obrigatórios (o Bono 14 e o bônus de Natal), cada um equivalente ao salário de um mês. 7003412700000000000 ♠ 4.127 7003697400000000000 ♠ 6.974 48 7000165000000000000 ♠ 1.65 7000279000000000000 cos 2,79 700187800000000000000 HOROMENTE 8. 87.8 % 2016 49) Para aqueles de 17 - 18 anos. 1 de janeiro de 2017 Guiné O Código do Trabalho permite que o governo defina um salário mínimo por hora; No entanto, o governo não exerceu esta disposição, exceto para estabelecer o salário mínimo para os trabalhadores domésticos em 440.000 GNF (US $ 62) por mês. 48 2017 Guiné - Bissau 19.030 Francos CFA (US $ 30) por mês mais um saco de arroz 7002392000000000000 ♠ 392 700293500000000000000101000000000000000000000000000000000000000000000000000000000000000000000000000000000000000000000000000000000000000000000000000000000000000000000000000000000000000000000000000000000000000000000000000000000000000000000000000000000000000000000000000000001 Guiana G $ 35.000 (US $ 168 USD) por mês, ou G $ 1.616 (US $ 7 USD) por dia, ou g $ 202 (US $ 1 USD) por hora. 7003203500000000000 ♠ 2,035    7003320400000000000 ♠ 3,204    40   6999980000000000000 ♠ 0.98    7000154000000000000 ♠ 1.54    7001409000000000000 ♠ 40.9 %   1 July 2013       Haiti   290 Haitian gourdes per day for servants for an eight - hour workday ; 400 gourdes haitianos por dia para segmentos A Indústrias; 350 Gourdes haitianos por dia para as indústrias do segmento B; 290 Gourdes haitianos por dia para as indústrias do segmento C; 350 Gourdes haitianos por dia para empresas com trabalho de peça que reexporta; e 350 Gourdes haitianos por dia para empresas com trabalho que exporta. 7003142900000000000 ♠ 1.429 7003319400000000000 ♠ 3,194 48 6999569999999900000 ♠ 0,57 70001280000000000 ice 1,217On. Onduran Lempiras por mês, 25,41 Lempiras por hora, para 10.698,30 Lempiras por mês, 44,58 Lempiras por hora. 7003247500000000000 ♠ 2.475 7003494800000000000 ♠ 4.948 44 7000108000000000000 ♠ 1,08 7000216000000000000 cost 2.16 700210450000000000001605016 $ 100000 ÚSTRO (US $ 4000000000000000016016016016 (Us). 7003924500000000000 ♠ 9.245 7004111260000000000 cos 11.126 40 70004444000000000000 ♠ 4.44 7000535000000099999 cos. 95) por mês para mão de obra qualificada. 7003603400000000000 ♠ 6.034 7004110850000000000 ♠ 11.085 40 70002900000000000 ♠ 2.9 700053300000000000000 sexlain 5.33 7001415000000000000 titunto 41.5 % 1 de janeiro 2018 Icland não; Os salários mínimos são negociados em vários acordos coletivamente negociados e aplicados automaticamente a todos os funcionários nessas ocupações, independentemente da participação no sindicato; Embora os acordos possam ser da indústria - ou setor - de largura e, em alguns casos, específicos, os níveis mínimos de salário são específicos de ocupação. 40 2017 A Índia variou de 160 rúpias (US $ 2,40) por dia em Bihar a 750 rúpias (US $ 11,31) por dia em Kerala. Os governos estaduais estabeleceram um salário mínimo separado para os trabalhadores agrícolas. Os salários mínimos são estabelecidos de acordo com a Lei Mínima dos Salários, 1948. 70027670000000000 ♠ 767 70032498000000000 ♠ 2,498 48 69993100000000000 ♠ 0,31 700010000000000000000 cost e distrito e distrito e distrito de um distrito e distrito de um distrito de Indonesia. O salário mínimo mais baixo está na província de Yogyakarta em Rupiah 1.454.154 (US $ 98) por mês e o mais alto está em Jacarta em Rupiah 3.648.035 (US $ 248) por mês. 7003130400000000000 ♠ 1.304 70033500000000000 ♠ 3.500 40 69996300000000000 ♠ 0,63 7000168000000000000 ♠ 1,68 70013010000000000 `1,1111111101301300000001691111111111111 que 1,1113116116116916161616161616161611611161116111111111111111111111iasgsodingares. 6) por mês a partir do ano novo persa de 2017; definido anualmente para cada setor industrial e região. A semana de trabalho padrão é de 44 horas e qualquer trabalho mais de 48 autoriza o trabalhador à prorrogação. 7003401300000000000 ♠ 4.013 7004110830000000000 ♠ 11.083 44 7000175000000000000 ♠ 1.75 7000484000000000000 culk 4001500000000000000 culo 2100000000000 IRAIA 4015000000000000 (55.6 % 2180000000 culo 400156000000000000 (55.6 % 218 % idose idosa 4000000000000000000 21000000000 fira 40015000000000000 (55.6 % 218 % idosa 4000000000000000000 21000000000 culo 400150000000000 (55.6 % 218 ÍRRA2. 7003253400000000000 ♠ 2.534 7003522200000000000 cos. mínimo) e para aqueles com mais de 18 anos no primeiro ano de emprego (80 %), no segundo ano de emprego (90 %) e em certos tipos de treinamento (75 % a 90 %). 7004218350000000000 ♠ 21,835    7004193670000000000 ♠ 19,367    39   7001107700000000000 ♠ 10.77    7000955000000000000 ♠ 9.55    7001271000000000000 ♠ 27.1 %   1 January 2018     Isle of Man   £ 7.50 per hour ( $9.15 ) for those aged 21 + £ 6.85 per hour ( $8.36 ) for those aged 18 -- 20 . 1 de abril de 2017 Israel ₪ 5.300 israelense novo Shekel (US $ 1.472) por mês; ou ₪ 29.12 Israelense New Shekel (US $ 8,09) por hora. 7004176670000000000 ♠ 17.667 7004143890000000000 ♠ 14.389 42 7000809000000000000 ♠ 8.09 7000659000000000000 cos. Em vez disso, definido através de acordos de negociação coletiva em um setor - por - setor. 40 2017 Jamaica J $ 6.200 (US $ 49 USD) por semana. 70032520000000000 ♠ 2.520 7003404300000000000 ♠ 4.043 40 70001210000000000 ♠ 1,21 7000194000000000000 cos. definido em uma base prefeitiva e na indústria. 700413666600000000 ♠ 13.666 7004143070000000000 ♠ 14.307 40 70006570000000000 ♠ 6.57 7000688000000000000 cos. 7003371800000000000 ♠ 3.718 7003800000000000000 ♠ 8.000 48 70001490000000000 ♠ 1.49 7000321000000000000 ♠ 3,21 70018840000000000 cost. 7003104100000000000 ♠ 1.041 70032987000000000 cos 2,987 40 6999500000000000000 ♠ 0,5 700014400000000000000 ♠ 1.44 70011180000000000 ° e 11.8 % 1 de janeiro de 2018 Keny O menor salário mínimo agrícola para funcionários não qualificados era de 6.415,55 xelins quenianos por mês, 269,40 por dia, excluindo o subsídio de moradia. 7002745000000000000 ♠ 745 70031656000000000 cos 1,656 52 6999280000000000000 ♠ 0,28 6999610000000000 coss 0.61 70015Is 1999610000000000 coss 0.61 700151000000000000000000000 teve 1,510 culks, por meio de um pouco de 1,5, por meio de um pouco de 1,69999280000000000 ♠ 0,28 69996100000000. O ED Projects é AUD $ 3,00 por hora 7003208000000000000 ♠ 2.080 7003238900000000000 2.389 40 7000100000000000000 ♠ 1 7000115000000099999 ♠ 1.15 7002113300000000000 ♠ 113,3 % 1 de novembro de 2016 Coréia do Norte com média de 5.000 - 10.000 Won Coreano Norte (US $ 5,5 - 11,1,1) por dia. 2014 Coréia do Sul 7.530 Won (US $ 6) por hora, embora o salário mínimo comparável eficaz seja maior em 9.200 won (US $ 8) por hora devido a um feriado semanal obrigatório para pessoas que trabalham mais de 15 horas por semana, uma lei que está ausente em outros países desenvolvidos. A lei se aplica igualmente a trabalhadores estrangeiros, temporários ou jovens cobrindo todas as indústrias e regiões em todo o país e está programado para aumentar para 8.350 won (US $ 7) por hora, ou 10.020 won (US $ 9) por hora, se forem incluídas feriadas semanais. Em 1 de janeiro de 2019. 7004138550000000000 ♠ 13.855 7004156040000000000 ♠ 15.604 40 7000666000000000000 ♠ 6.66 700075000000000000 culo 70014270000000000000000 cosa 42.7 % 1 de janeiro 2018 KOSOR Koso € 130 (US $ 150) para trabalhadores com menos de 35 anos de idade. 7003230000000000000 ♠ 2.300 7003622000000000000 cos 6.220 40 7000111000000000000 ♠ 1.11 7000299000000000000 ♠ 2.99 7001618180000000000 61.8 % 17 de agosto de 2011. 7003240000000000000 ♠ 2.400 70033600000000000 cos 3,600 48 69999600000000000 ♠ 0,96 7000144000000000000 costg. usado para fins administrativos. 700219990000000000 ♠ 199 70026610000000000 ♠ 661 40 6999100000000000000 cos 0,1 6999320000000000000 ♠ 0,32 7001186000000000000 cos; Além disso, os empregadores foram obrigados a pagar um subsídio de refeição de 30.000 - KIP (US $ 3,74) por dia. O salário mínimo para funcionários públicos e funcionários da Enterprise estadual aumentou pela última vez para 1.400.000 kip (US $ 170) por mês. 7003201200000000000 ♠ 2,012    7003518000000000000 ♠ 5,180    48   6999810000000000000 ♠ 0.81    7000208000000000000 ♠ 2.08    7001791009999900000 ♠ 79.1 %   2014       Latvia   € 430 ( $513 ) per month . 7003581700000000000 ♠ 5,817    7003905300000000000 ♠ 9,053    40   7000280000000099999 ♠ 2.8    7000435000000099999 ♠ 4.35    7001354000000000000 ♠ 35.4 %   1 January 2018       Lebanon   675,000 pounds ( $446 ) per month , or 30,000 pounds ( $19 ) per day . 7003537300000000000 ♠ 5,373    7003894700000000000 ♠ 8,947    48   7000215000000000000 ♠ 2.15    7000358000000000000 ♠ 3.58    7001625000000000000 ♠ 62.5 %   1 February 2012       Lesotho   1,178 maloti ( $102 ) per month to 1,285 maloti ( $112 ) per month ; variado pelo setor. 7003106000000000000 ♠ 1.060 70033027000000000 ♠ 3,027 45 6999450000000000000 ♠ 0,45 7000129000000000000 cost. trabalhadores; 5.600 LD (US $ 114) por mês para funcionários públicos. 7002332000000000000 ♠ 332 7002474000000000000 ♠ 474 48 69991300000000000 ♠ 0,13 699919000000000000 cos; O governo subsidia fortemente o aluguel e os serviços públicos. 70033388500000000000 ♠ 3.885 7003777000000000000 cos 7.770 40 7000187000000000000 ♠ 1,87 7000374000000000000 cos de 3,74 9000000000000000000 € 133.9 % 1 março 2011 2011 2,45 (US $ 2,8) por hora. 7003574500000000000 ♠ 5.745 7003999200000000000 ♠ 9.992 40 700027599000009999 ♠ 2.76</v>
      </c>
    </row>
    <row r="968" customFormat="false" ht="15.75" hidden="false" customHeight="true" outlineLevel="0" collapsed="false">
      <c r="A968" s="3" t="n">
        <v>965</v>
      </c>
      <c r="B968" s="5" t="s">
        <v>2888</v>
      </c>
      <c r="C968" s="5" t="s">
        <v>2889</v>
      </c>
      <c r="D968" s="5" t="s">
        <v>2890</v>
      </c>
      <c r="E968" s="4" t="str">
        <f aca="false">IFERROR(__xludf.dummyfunction("GOOGLETRANSLATE(C969)"),"Quanto tempo demorou para filmar todos os filmes de Harry Potter")</f>
        <v>Quanto tempo demorou para filmar todos os filmes de Harry Potter</v>
      </c>
      <c r="F968" s="5" t="str">
        <f aca="false">IFERROR(__xludf.dummyfunction("GOOGLETRANSLATE(D968)")," Desde 1930 e continuamente desde 1960, Auburn mantém uma águia dourada ao vivo no campus. Desde 2001, Auburn apresentou uma águia sem fim para voar sobre a Jordânia - Hare Stadium antes do início dos jogos de futebol. War Eagle VII, uma águia dourada cha"&amp;"mada Nova, junto com Spirit, uma águia careca, realiza o vôo da águia de guerra antes de todos os jogos em casa de Auburn na Jordânia - Hare Stadium.")</f>
        <v> Desde 1930 e continuamente desde 1960, Auburn mantém uma águia dourada ao vivo no campus. Desde 2001, Auburn apresentou uma águia sem fim para voar sobre a Jordânia - Hare Stadium antes do início dos jogos de futebol. War Eagle VII, uma águia dourada chamada Nova, junto com Spirit, uma águia careca, realiza o vôo da águia de guerra antes de todos os jogos em casa de Auburn na Jordânia - Hare Stadium.</v>
      </c>
    </row>
    <row r="969" customFormat="false" ht="15.75" hidden="false" customHeight="true" outlineLevel="0" collapsed="false">
      <c r="A969" s="3" t="n">
        <v>966</v>
      </c>
      <c r="B969" s="5" t="s">
        <v>2891</v>
      </c>
      <c r="C969" s="5" t="s">
        <v>2892</v>
      </c>
      <c r="D969" s="5" t="s">
        <v>2893</v>
      </c>
      <c r="E969" s="4" t="str">
        <f aca="false">IFERROR(__xludf.dummyfunction("GOOGLETRANSLATE(C970)"),"Haverá outra temporada de ataque ao Titan")</f>
        <v>Haverá outra temporada de ataque ao Titan</v>
      </c>
      <c r="F969" s="5" t="str">
        <f aca="false">IFERROR(__xludf.dummyfunction("GOOGLETRANSLATE(D969)")," As filmagens da série começaram no Leavedden Studios, Hertfordshire, Inglaterra, em setembro de 2000 e terminou em dezembro de 2010, com pós-produção no filme final com duração até o verão de 2011. A Fafestden Studios foi a principal base para filmar Har"&amp;"ry Potter, e abriu ao público como uma turnê de estúdio em 2012 (renomeada como Warner Bros. Studios, Leavesden).")</f>
        <v> As filmagens da série começaram no Leavedden Studios, Hertfordshire, Inglaterra, em setembro de 2000 e terminou em dezembro de 2010, com pós-produção no filme final com duração até o verão de 2011. A Fafestden Studios foi a principal base para filmar Harry Potter, e abriu ao público como uma turnê de estúdio em 2012 (renomeada como Warner Bros. Studios, Leavesden).</v>
      </c>
    </row>
    <row r="970" customFormat="false" ht="15.75" hidden="false" customHeight="true" outlineLevel="0" collapsed="false">
      <c r="A970" s="3" t="n">
        <v>967</v>
      </c>
      <c r="B970" s="5" t="s">
        <v>2894</v>
      </c>
      <c r="C970" s="5" t="s">
        <v>2895</v>
      </c>
      <c r="D970" s="5" t="s">
        <v>2896</v>
      </c>
      <c r="E970" s="4" t="str">
        <f aca="false">IFERROR(__xludf.dummyfunction("GOOGLETRANSLATE(C971)"),"O que é imposto sobre vendas e serviços na Malásia")</f>
        <v>O que é imposto sobre vendas e serviços na Malásia</v>
      </c>
      <c r="F970" s="5" t="str">
        <f aca="false">IFERROR(__xludf.dummyfunction("GOOGLETRANSLATE(D970)")," A série Spin - Off Light Novel antes do outono começou em dezembro de 2011 e recebeu uma adaptação de mangá. Duas séries de romances leves adicionais e quatro séries de mangá adicionais também foram criadas. Uma adaptação para televisão de anime está sen"&amp;"do produzida pelo WIT Studio e pela produção I.G, exibindo no Japão na MBS. A primeira temporada foi exibida entre abril e setembro de 2013, a segunda temporada foi exibida entre abril e junho de 2017, e uma terceira temporada está programada para ser lan"&amp;"çada em julho de 2018. Quatro adaptações de videogames desenvolvidas pelos funcionários da Nitroplus em colaboração com a produção I.G foram anunciados para serem lançados como conteúdo de bônus para o terceiro e o sexto volumes do lançamento do Blu -Ray "&amp;"Disc, com outro jogo desenvolvido por Spike Chunsoft para o Nintendo 3DS. Uma adaptação cinematográfica de duas partes ao vivo, Atant On Titan e Atant on Titan: Fim of the World, e uma série de ações ao vivo - foram lançadas em 2015. Uma adaptação de anim"&amp;"e do júnior High Spin - Off Manga, produzida pela produção I.G, começou a ser exibida em outubro de 2015. Ataque ao Titan e todos os cinco mangá Spin - Off são publicados na América do Norte pela Kodansha Comics USA, enquanto as três séries de romances sã"&amp;"o publicadas pela Vertical. O anime foi licenciado pela Funimation for North America, pela Manga Entertainment for the UK e pela Madman Entertainment for Australasia.")</f>
        <v> A série Spin - Off Light Novel antes do outono começou em dezembro de 2011 e recebeu uma adaptação de mangá. Duas séries de romances leves adicionais e quatro séries de mangá adicionais também foram criadas. Uma adaptação para televisão de anime está sendo produzida pelo WIT Studio e pela produção I.G, exibindo no Japão na MBS. A primeira temporada foi exibida entre abril e setembro de 2013, a segunda temporada foi exibida entre abril e junho de 2017, e uma terceira temporada está programada para ser lançada em julho de 2018. Quatro adaptações de videogames desenvolvidas pelos funcionários da Nitroplus em colaboração com a produção I.G foram anunciados para serem lançados como conteúdo de bônus para o terceiro e o sexto volumes do lançamento do Blu -Ray Disc, com outro jogo desenvolvido por Spike Chunsoft para o Nintendo 3DS. Uma adaptação cinematográfica de duas partes ao vivo, Atant On Titan e Atant on Titan: Fim of the World, e uma série de ações ao vivo - foram lançadas em 2015. Uma adaptação de anime do júnior High Spin - Off Manga, produzida pela produção I.G, começou a ser exibida em outubro de 2015. Ataque ao Titan e todos os cinco mangá Spin - Off são publicados na América do Norte pela Kodansha Comics USA, enquanto as três séries de romances são publicadas pela Vertical. O anime foi licenciado pela Funimation for North America, pela Manga Entertainment for the UK e pela Madman Entertainment for Australasia.</v>
      </c>
    </row>
    <row r="971" customFormat="false" ht="15.75" hidden="false" customHeight="true" outlineLevel="0" collapsed="false">
      <c r="A971" s="3" t="n">
        <v>968</v>
      </c>
      <c r="B971" s="5" t="s">
        <v>2897</v>
      </c>
      <c r="C971" s="5" t="s">
        <v>2898</v>
      </c>
      <c r="D971" s="5" t="s">
        <v>2899</v>
      </c>
      <c r="E971" s="4" t="str">
        <f aca="false">IFERROR(__xludf.dummyfunction("GOOGLETRANSLATE(C972)"),"Que poção Harry Potter levou para obter as memórias de Slughorn")</f>
        <v>Que poção Harry Potter levou para obter as memórias de Slughorn</v>
      </c>
      <c r="F971" s="5" t="str">
        <f aca="false">IFERROR(__xludf.dummyfunction("GOOGLETRANSLATE(D971)")," O imposto sobre bens e serviços (GST) é um imposto sobre valor agregado na Malásia. O GST é cobrado na maioria das transações no processo de produção, mas é reembolsado com exceção do imposto de entrada bloqueado, a todas as partes na cadeia de produção "&amp;"que não seja o consumidor final.")</f>
        <v> O imposto sobre bens e serviços (GST) é um imposto sobre valor agregado na Malásia. O GST é cobrado na maioria das transações no processo de produção, mas é reembolsado com exceção do imposto de entrada bloqueado, a todas as partes na cadeia de produção que não seja o consumidor final.</v>
      </c>
    </row>
    <row r="972" customFormat="false" ht="15.75" hidden="false" customHeight="true" outlineLevel="0" collapsed="false">
      <c r="A972" s="3" t="n">
        <v>969</v>
      </c>
      <c r="B972" s="5" t="s">
        <v>2900</v>
      </c>
      <c r="C972" s="5" t="s">
        <v>2901</v>
      </c>
      <c r="D972" s="5" t="s">
        <v>2902</v>
      </c>
      <c r="E972" s="4" t="str">
        <f aca="false">IFERROR(__xludf.dummyfunction("GOOGLETRANSLATE(C973)"),"velocidade que um foguete deve ser acelerado para lançar um satélite em órbita da terra")</f>
        <v>velocidade que um foguete deve ser acelerado para lançar um satélite em órbita da terra</v>
      </c>
      <c r="F972" s="5" t="str">
        <f aca="false">IFERROR(__xludf.dummyfunction("GOOGLETRANSLATE(D972)")," Felix Felicis, mais conhecido como sorte líquida, concede a quem bebe incomumente boa sorte. O período de tempo dessa sorte depende do valor absorvido. A sorte líquida é uma das poções mais difíceis de fazer, como observado por Horace Slughorn; `` Tem qu"&amp;"e ser cozido por 6 meses em uma fórmula extremamente complicada e, se você cometer um menor erro, as consequências serão graves ''. Por causa de suas propriedades, é proibido em todos os eventos esportivos, competições e exames. Na narrativa original de R"&amp;"owling, a poção parece semelhante ao ouro líquido. No entanto, na adaptação cinematográfica, é claro e água - como. Slughorn também observou que o consumo excessivo resulta em efeitos colaterais que incluem vertigem e excessivamente zeloso, entre outros e"&amp;"feitos relacionados à excesso de confiança. Ao meio - Blood Prince, Harry finge dar alguns a Ron, para que ele se sai bem no Quidditch. A sorte de Ron gira para melhor, com a confiança funcionando como placebo. Harry usa a maior parte mais tarde no mesmo "&amp;"romance para extrair a verdadeira memória sobre Tom Riddle e Horcruxes de Slughorn (embora também tenha o agradável efeito colateral de causar Dean Thomas e Ginny Weasley a acabar com seu relacionamento), e o resto é compartilhado entre Ron, Hermione, Nev"&amp;"ille Longbottom e Ginny The Night Death Comauters invadindo Hogwarts.")</f>
        <v> Felix Felicis, mais conhecido como sorte líquida, concede a quem bebe incomumente boa sorte. O período de tempo dessa sorte depende do valor absorvido. A sorte líquida é uma das poções mais difíceis de fazer, como observado por Horace Slughorn; `` Tem que ser cozido por 6 meses em uma fórmula extremamente complicada e, se você cometer um menor erro, as consequências serão graves ''. Por causa de suas propriedades, é proibido em todos os eventos esportivos, competições e exames. Na narrativa original de Rowling, a poção parece semelhante ao ouro líquido. No entanto, na adaptação cinematográfica, é claro e água - como. Slughorn também observou que o consumo excessivo resulta em efeitos colaterais que incluem vertigem e excessivamente zeloso, entre outros efeitos relacionados à excesso de confiança. Ao meio - Blood Prince, Harry finge dar alguns a Ron, para que ele se sai bem no Quidditch. A sorte de Ron gira para melhor, com a confiança funcionando como placebo. Harry usa a maior parte mais tarde no mesmo romance para extrair a verdadeira memória sobre Tom Riddle e Horcruxes de Slughorn (embora também tenha o agradável efeito colateral de causar Dean Thomas e Ginny Weasley a acabar com seu relacionamento), e o resto é compartilhado entre Ron, Hermione, Neville Longbottom e Ginny The Night Death Comauters invadindo Hogwarts.</v>
      </c>
    </row>
    <row r="973" customFormat="false" ht="15.75" hidden="false" customHeight="true" outlineLevel="0" collapsed="false">
      <c r="A973" s="3" t="n">
        <v>970</v>
      </c>
      <c r="B973" s="5" t="s">
        <v>2903</v>
      </c>
      <c r="C973" s="5" t="s">
        <v>2904</v>
      </c>
      <c r="D973" s="5" t="s">
        <v>2905</v>
      </c>
      <c r="E973" s="4" t="str">
        <f aca="false">IFERROR(__xludf.dummyfunction("GOOGLETRANSLATE(C974)"),"Que episódio de Gray's Anatomy faz George O'Malley morre")</f>
        <v>Que episódio de Gray's Anatomy faz George O'Malley morre</v>
      </c>
      <c r="F973" s="5" t="str">
        <f aca="false">IFERROR(__xludf.dummyfunction("GOOGLETRANSLATE(D973)")," O voo espacial orbital da Terra só foi alcançado por veículos de lançamento que usam motores de foguetes para propulsão. Para alcançar a órbita, o foguete deve transmitir à carga útil um delta - V de cerca de 9,3 - 10 km / s. Este número é principalmente"&amp;" (~ 7,8 km / s) para a aceleração horizontal necessária para atingir a velocidade orbital, mas permite arrasto atmosférico (aproximadamente 300 m / s com o coeficiente balístico de um veículo denso de 20 m densidade), perdas de gravidade (dependendo de de"&amp;"pendendo de Tempo de queima e detalhes do veículo de trajetória e lançamento) e ganhando altitude.")</f>
        <v> O voo espacial orbital da Terra só foi alcançado por veículos de lançamento que usam motores de foguetes para propulsão. Para alcançar a órbita, o foguete deve transmitir à carga útil um delta - V de cerca de 9,3 - 10 km / s. Este número é principalmente (~ 7,8 km / s) para a aceleração horizontal necessária para atingir a velocidade orbital, mas permite arrasto atmosférico (aproximadamente 300 m / s com o coeficiente balístico de um veículo denso de 20 m densidade), perdas de gravidade (dependendo de dependendo de Tempo de queima e detalhes do veículo de trajetória e lançamento) e ganhando altitude.</v>
      </c>
    </row>
    <row r="974" customFormat="false" ht="15.75" hidden="false" customHeight="true" outlineLevel="0" collapsed="false">
      <c r="A974" s="3" t="n">
        <v>971</v>
      </c>
      <c r="B974" s="5" t="s">
        <v>2906</v>
      </c>
      <c r="C974" s="5" t="s">
        <v>2907</v>
      </c>
      <c r="D974" s="5" t="s">
        <v>2908</v>
      </c>
      <c r="E974" s="4" t="str">
        <f aca="false">IFERROR(__xludf.dummyfunction("GOOGLETRANSLATE(C975)"),"Qual é o nome dos tigres de Aladdin")</f>
        <v>Qual é o nome dos tigres de Aladdin</v>
      </c>
      <c r="F974" s="5" t="str">
        <f aca="false">IFERROR(__xludf.dummyfunction("GOOGLETRANSLATE(D974)")," O'Malley se muda com o novo estagiário Lexie Gray (Chyler Leigh), a meia -irmã de Meredith. Lexie e O'Malley descobrem que ele só falhou em um único ponto, levando -o a confrontar Richard Webber (James Pickens, Jr.), o chefe de cirurgia, a pedir uma chan"&amp;"ce de retomar o exame. Ele passa a segunda tentativa e começa a se distanciar de Lexie, que se apaixonou por ele. O'Malley apóia Stevens quando descobre que tem melanoma e a caminha pelo corredor enquanto se casa com Karev. O'Malley começa a exibir um tal"&amp;"ento para a cirurgia de trauma e é informado pelo chefe de cirurgia de trauma Owen Hunt (Kevin McKidd) que é definitivamente sua especialidade. Ele então decide abruptamente e inexplicavelmente se juntar ao Exército dos EUA. Enquanto seus amigos no hospit"&amp;"al preparam uma intervenção para convencer O'Malley a ficar, todos eles trabalham em um John Doe, severamente desfigurado, trazido após um horrível acidente de ônibus, no qual ele empurrou uma mulher para fora do caminho e salvou sua vida. Quando Meredith"&amp;" vai verificar John Doe, ele parece reconhecê -la e não solta a mão dela. Após várias tentativas de tentar, ele consegue rastrear `` 007 '' na mão de Meredith. Chocada, ela percebe que `` John Doe '' é de fato O'Malley. Ela informa os outros cirurgiões e "&amp;"eles o apressam para a cirurgia. No entanto, ele está linear e é finalmente declarado Braindead. Seus órgãos são doados depois que Stevens confirma que é o que O'Malley gostaria, e ele está enterrado uma semana depois.")</f>
        <v> O'Malley se muda com o novo estagiário Lexie Gray (Chyler Leigh), a meia -irmã de Meredith. Lexie e O'Malley descobrem que ele só falhou em um único ponto, levando -o a confrontar Richard Webber (James Pickens, Jr.), o chefe de cirurgia, a pedir uma chance de retomar o exame. Ele passa a segunda tentativa e começa a se distanciar de Lexie, que se apaixonou por ele. O'Malley apóia Stevens quando descobre que tem melanoma e a caminha pelo corredor enquanto se casa com Karev. O'Malley começa a exibir um talento para a cirurgia de trauma e é informado pelo chefe de cirurgia de trauma Owen Hunt (Kevin McKidd) que é definitivamente sua especialidade. Ele então decide abruptamente e inexplicavelmente se juntar ao Exército dos EUA. Enquanto seus amigos no hospital preparam uma intervenção para convencer O'Malley a ficar, todos eles trabalham em um John Doe, severamente desfigurado, trazido após um horrível acidente de ônibus, no qual ele empurrou uma mulher para fora do caminho e salvou sua vida. Quando Meredith vai verificar John Doe, ele parece reconhecê -la e não solta a mão dela. Após várias tentativas de tentar, ele consegue rastrear `` 007 '' na mão de Meredith. Chocada, ela percebe que `` John Doe '' é de fato O'Malley. Ela informa os outros cirurgiões e eles o apressam para a cirurgia. No entanto, ele está linear e é finalmente declarado Braindead. Seus órgãos são doados depois que Stevens confirma que é o que O'Malley gostaria, e ele está enterrado uma semana depois.</v>
      </c>
    </row>
    <row r="975" customFormat="false" ht="15.75" hidden="false" customHeight="true" outlineLevel="0" collapsed="false">
      <c r="A975" s="3" t="n">
        <v>972</v>
      </c>
      <c r="B975" s="5" t="s">
        <v>2909</v>
      </c>
      <c r="C975" s="5" t="s">
        <v>2910</v>
      </c>
      <c r="D975" s="5" t="s">
        <v>2911</v>
      </c>
      <c r="E975" s="4" t="str">
        <f aca="false">IFERROR(__xludf.dummyfunction("GOOGLETRANSLATE(C976)"),"que idade você pode se casar na Itália")</f>
        <v>que idade você pode se casar na Itália</v>
      </c>
      <c r="F975" s="5" t="str">
        <f aca="false">IFERROR(__xludf.dummyfunction("GOOGLETRANSLATE(D975)")," Rajah (dublado por Frank Welker) é o tigre de animais de estimação da princesa Jasmine, que exibe cachorro e gato - como comportamento ... ao contrário de Abu, ele não é antropomorfizado, mas ainda é capaz de entender a linguagem e as emoções humanas, co"&amp;"mo visto quando se surpreende Pela revelação da princesa Jasmine, que ela nunca teve um verdadeiro amigo (exceto o próprio Rajah), ou quando ele a ajuda em sua fuga do palácio. No primeiro filme, Rajah é desconfiado em relação a Aladdin a princípio, mas d"&amp;"epois se aquece com ele. Ele também participa da batalha contra Jafar, mas é transformado em filhote e preso em uma gaiola de pássaros. Ele voltou à sua forma original no final do filme depois que Aladdin finalmente derrota Jafar.")</f>
        <v> Rajah (dublado por Frank Welker) é o tigre de animais de estimação da princesa Jasmine, que exibe cachorro e gato - como comportamento ... ao contrário de Abu, ele não é antropomorfizado, mas ainda é capaz de entender a linguagem e as emoções humanas, como visto quando se surpreende Pela revelação da princesa Jasmine, que ela nunca teve um verdadeiro amigo (exceto o próprio Rajah), ou quando ele a ajuda em sua fuga do palácio. No primeiro filme, Rajah é desconfiado em relação a Aladdin a princípio, mas depois se aquece com ele. Ele também participa da batalha contra Jafar, mas é transformado em filhote e preso em uma gaiola de pássaros. Ele voltou à sua forma original no final do filme depois que Aladdin finalmente derrota Jafar.</v>
      </c>
    </row>
    <row r="976" customFormat="false" ht="15.75" hidden="false" customHeight="true" outlineLevel="0" collapsed="false">
      <c r="A976" s="3" t="n">
        <v>973</v>
      </c>
      <c r="B976" s="5" t="s">
        <v>2912</v>
      </c>
      <c r="C976" s="5" t="s">
        <v>2913</v>
      </c>
      <c r="D976" s="5" t="s">
        <v>2914</v>
      </c>
      <c r="E976" s="4" t="str">
        <f aca="false">IFERROR(__xludf.dummyfunction("GOOGLETRANSLATE(C977)"),"onde está localizado o marcapasso natural do coração")</f>
        <v>onde está localizado o marcapasso natural do coração</v>
      </c>
      <c r="F976" s="5" t="str">
        <f aca="false">IFERROR(__xludf.dummyfunction("GOOGLETRANSLATE(D976)"),"   O consentimento masculino do país Notas de consentimento feminino Albânia 18 Andorra 16 14 Com a autoridade judicial Armênia 18 A idade foi definida em 18 para ambos os sexos em 2012, antes dessa data, era de 17 para mulheres e 18 para os homens. No en"&amp;"tanto, o casamento aos 17 anos é permitido com o consentimento dos pais e, aos 16 anos, com consentimento dos pais e a condição de que o outro cônjuge pretende ter pelo menos 18 anos. Áustria 18 16 com consentimento dos pais, mas o outro parceiro deve ter"&amp;" 18 anos ou mais. Azerbaijão 18 17 em casos especiais com autorização judicial. (Artigo 10 do Código da Família). A idade casada para as mulheres foi levantada em 2011 para 18, empatando -a com a dos homens; Antes dessa data, eram 17. Bielorrússia 18 Bélg"&amp;"ica 18 mais jovem com consentimento judicial (sem idade mínima estrita). Com o consentimento dos pais, são necessárias razões graves para um menor se casar; Sem o consentimento dos pais, a falta de vontade dos pais precisa constituir um abuso. Bulgária 18"&amp;" O novo Código da Família de 2009 corrige a idade de 18 anos, mas permite uma exceção para os 16 anos, afirmando que `` sob exceção, caso, caso as razões importantes impõem isso, o matrimônio pode ser concluído por uma pessoa aos 16 anos de idade com perm"&amp;"issão do juiz regional ''. Além disso, afirma que ambas as pessoas que desejam se casar, assim como os pais / responsáveis ​​pelo menor, devem ser consultados pelo juiz. (Capítulo 2, Artigo 6) Croácia 18 16 com permissão do tribunal. Chipre 18 16 com cons"&amp;"entimento dos pais, se houver sérias razões para o casamento. República Tcheca 18 Artigo 672 da Lei nº 89/2012 Coll. O Código Civil (que entrou em vigor em 2014) afirma que o Tribunal pode, em casos excepcionais, permitir um casamento de 16 anos, se houve"&amp;"r sérias razões para isso. Além disso, um menor pode se casar se tiver recebido capacidade total por uma decisão judicial, conforme dado pelo artigo 37 do Código Civil. Dinamarca 18 Desde 2017, o casamento não é mais permitido com menos de 18 anos. Estôni"&amp;"a 18 15 com permissão do tribunal. Finlândia 18 menores de 18 anos com o consentimento do Ministério da Justiça em circunstâncias extraordinárias; nesse caso, os pais ou outro responsável devem ser ouvidos, mas o consentimento dos pais real não é necessár"&amp;"io. França 18 menores de 18 anos de permissão de um tribunal e de ambos os pais. Georgia 18 16 com consentimento dos pais. Alemanha 18 A idade mínima foi explicitamente definida como 18 em 22 de julho de 2017. (Antes deste dia, um tribunal de família pode"&amp;"ria emitir uma exceção para 16 a 18 anos - se uma parte tivesse mais de 18 anos.) O casamento com um cônjuge com menos de 16 anos é legalmente nulo. Para um cônjuge de 16 a 17 anos, o casamento é revogado. Gibraltar 18 Grécia 18 menores de 18 anos Requer "&amp;"permissão do tribunal, que pode ser dada se houver razões sérias para tal casamento Hungria 18 16 com autorização da Autoridade de Guardião Islândia 18 menores de 18 anos com consentimento e permissão dos pais do Ministério do Interior. Irlanda 18 menores"&amp;" de 18 anos com a permissão do Tribunal da Família do Circuito ou do Supremo Tribunal. Em dezembro de 2015, o governo anunciou sua intenção de remover essa exceção. Itália 18 16 com consentimento do tribunal. Letônia 18 16 com o tribunal ou permissão dos "&amp;"pais. Liechtenstein 18 exigiu uma decisão judicial de se casar com pessoas com menos de 18 anos. Lituânia 18 15 Com permissão do tribunal, os menores só podem se casar abaixo de 15 se estiverem fêmeas grávidas com permissão do tribunal. Luxemburgo 18 nova"&amp;"s leis de 2014 fixaram o casamento aos 18 anos para ambos os sexos; Antes desses regulamentos, a idade era de 16 anos para mulheres e 18 para homens. As novas leis ainda permitem que ambos os sexos obtenham consentimento judicial para se casar com menos d"&amp;"e 18 anos. Macedônia 18 Possível com 16 anos e aprovação do tribunal para homens e mulheres, seu consentimento e seus pais são necessários Malta 18 16 com consentimento dos pais, especificamente para `` uma pessoa que está sujeita a autoridade paterna ou "&amp;"a tutela ''. (No entanto, se isso for inatingível, o Tribunal poderá fornecer o consentimento.) Holanda 18 menores de 18 anos com permissão do Ministro da Justiça; 16 com consentimento dos pais em caso de gravidez. Noruega 18 16 com consentimento dos pais"&amp;" (Guardião) e permissão do governador do condado. O governador do condado só pode dar permissão quando houver ""razões especiais para contrair um casamento"". Polônia 18 16 para mulheres com aprovação judicial. Portugal 18 16 com consentimento dos pais (o"&amp;"u se isso for inatingível, o Tribunal pode fornecer o consentimento). Romênia 18 16 com permissão do Conselho Administrativo do Distrito. Rússia 18 16 em circunstâncias especiais, mas regras diferentes se aplicam em algumas regiões. Sérvia 18 16 com conse"&amp;"ntimento do tribunal. Eslováquia 18 16 com consentimento do tribunal, com um motivo sério, como a gravidez. A Eslovênia 18 menores de 18 anos pode ser aprovada pelo Centro de Serviço Social se houver `` razões bem fundamentadas '', decorrentes da investig"&amp;"ação da situação do menor. (Art 23, 24 da lei sobre casamento e relações familiares). Espanha 18 16 com consentimento do tribunal, Suécia 18 não é possível se casar com menos de 18 anos desde 1º de julho de 2014. Suíça 18 Turquia 18 17 com consentimento d"&amp;"os pais, 16 em circunstâncias especiais com aprovação do tribunal. A Ucrânia 18 anos foi equalizada aos 18 anos para ambos os sexos em 2012, mas os tribunais ainda podem conceder permissão a partir dos 16 anos se houver razões especiais. Reino Unido 18 (1"&amp;"6 na Escócia) Inglaterra e País de Gales: 16 com consentimento dos pais ou a permissão do tribunal. Escócia: 16 Irlanda do Norte: 16 com consentimento dos pais (com o tribunal capaz de dar consentimento em alguns casos).")</f>
        <v>   O consentimento masculino do país Notas de consentimento feminino Albânia 18 Andorra 16 14 Com a autoridade judicial Armênia 18 A idade foi definida em 18 para ambos os sexos em 2012, antes dessa data, era de 17 para mulheres e 18 para os homens. No entanto, o casamento aos 17 anos é permitido com o consentimento dos pais e, aos 16 anos, com consentimento dos pais e a condição de que o outro cônjuge pretende ter pelo menos 18 anos. Áustria 18 16 com consentimento dos pais, mas o outro parceiro deve ter 18 anos ou mais. Azerbaijão 18 17 em casos especiais com autorização judicial. (Artigo 10 do Código da Família). A idade casada para as mulheres foi levantada em 2011 para 18, empatando -a com a dos homens; Antes dessa data, eram 17. Bielorrússia 18 Bélgica 18 mais jovem com consentimento judicial (sem idade mínima estrita). Com o consentimento dos pais, são necessárias razões graves para um menor se casar; Sem o consentimento dos pais, a falta de vontade dos pais precisa constituir um abuso. Bulgária 18 O novo Código da Família de 2009 corrige a idade de 18 anos, mas permite uma exceção para os 16 anos, afirmando que `` sob exceção, caso, caso as razões importantes impõem isso, o matrimônio pode ser concluído por uma pessoa aos 16 anos de idade com permissão do juiz regional ''. Além disso, afirma que ambas as pessoas que desejam se casar, assim como os pais / responsáveis ​​pelo menor, devem ser consultados pelo juiz. (Capítulo 2, Artigo 6) Croácia 18 16 com permissão do tribunal. Chipre 18 16 com consentimento dos pais, se houver sérias razões para o casamento. República Tcheca 18 Artigo 672 da Lei nº 89/2012 Coll. O Código Civil (que entrou em vigor em 2014) afirma que o Tribunal pode, em casos excepcionais, permitir um casamento de 16 anos, se houver sérias razões para isso. Além disso, um menor pode se casar se tiver recebido capacidade total por uma decisão judicial, conforme dado pelo artigo 37 do Código Civil. Dinamarca 18 Desde 2017, o casamento não é mais permitido com menos de 18 anos. Estônia 18 15 com permissão do tribunal. Finlândia 18 menores de 18 anos com o consentimento do Ministério da Justiça em circunstâncias extraordinárias; nesse caso, os pais ou outro responsável devem ser ouvidos, mas o consentimento dos pais real não é necessário. França 18 menores de 18 anos de permissão de um tribunal e de ambos os pais. Georgia 18 16 com consentimento dos pais. Alemanha 18 A idade mínima foi explicitamente definida como 18 em 22 de julho de 2017. (Antes deste dia, um tribunal de família poderia emitir uma exceção para 16 a 18 anos - se uma parte tivesse mais de 18 anos.) O casamento com um cônjuge com menos de 16 anos é legalmente nulo. Para um cônjuge de 16 a 17 anos, o casamento é revogado. Gibraltar 18 Grécia 18 menores de 18 anos Requer permissão do tribunal, que pode ser dada se houver razões sérias para tal casamento Hungria 18 16 com autorização da Autoridade de Guardião Islândia 18 menores de 18 anos com consentimento e permissão dos pais do Ministério do Interior. Irlanda 18 menores de 18 anos com a permissão do Tribunal da Família do Circuito ou do Supremo Tribunal. Em dezembro de 2015, o governo anunciou sua intenção de remover essa exceção. Itália 18 16 com consentimento do tribunal. Letônia 18 16 com o tribunal ou permissão dos pais. Liechtenstein 18 exigiu uma decisão judicial de se casar com pessoas com menos de 18 anos. Lituânia 18 15 Com permissão do tribunal, os menores só podem se casar abaixo de 15 se estiverem fêmeas grávidas com permissão do tribunal. Luxemburgo 18 novas leis de 2014 fixaram o casamento aos 18 anos para ambos os sexos; Antes desses regulamentos, a idade era de 16 anos para mulheres e 18 para homens. As novas leis ainda permitem que ambos os sexos obtenham consentimento judicial para se casar com menos de 18 anos. Macedônia 18 Possível com 16 anos e aprovação do tribunal para homens e mulheres, seu consentimento e seus pais são necessários Malta 18 16 com consentimento dos pais, especificamente para `` uma pessoa que está sujeita a autoridade paterna ou a tutela ''. (No entanto, se isso for inatingível, o Tribunal poderá fornecer o consentimento.) Holanda 18 menores de 18 anos com permissão do Ministro da Justiça; 16 com consentimento dos pais em caso de gravidez. Noruega 18 16 com consentimento dos pais (Guardião) e permissão do governador do condado. O governador do condado só pode dar permissão quando houver "razões especiais para contrair um casamento". Polônia 18 16 para mulheres com aprovação judicial. Portugal 18 16 com consentimento dos pais (ou se isso for inatingível, o Tribunal pode fornecer o consentimento). Romênia 18 16 com permissão do Conselho Administrativo do Distrito. Rússia 18 16 em circunstâncias especiais, mas regras diferentes se aplicam em algumas regiões. Sérvia 18 16 com consentimento do tribunal. Eslováquia 18 16 com consentimento do tribunal, com um motivo sério, como a gravidez. A Eslovênia 18 menores de 18 anos pode ser aprovada pelo Centro de Serviço Social se houver `` razões bem fundamentadas '', decorrentes da investigação da situação do menor. (Art 23, 24 da lei sobre casamento e relações familiares). Espanha 18 16 com consentimento do tribunal, Suécia 18 não é possível se casar com menos de 18 anos desde 1º de julho de 2014. Suíça 18 Turquia 18 17 com consentimento dos pais, 16 em circunstâncias especiais com aprovação do tribunal. A Ucrânia 18 anos foi equalizada aos 18 anos para ambos os sexos em 2012, mas os tribunais ainda podem conceder permissão a partir dos 16 anos se houver razões especiais. Reino Unido 18 (16 na Escócia) Inglaterra e País de Gales: 16 com consentimento dos pais ou a permissão do tribunal. Escócia: 16 Irlanda do Norte: 16 com consentimento dos pais (com o tribunal capaz de dar consentimento em alguns casos).</v>
      </c>
    </row>
    <row r="977" customFormat="false" ht="15.75" hidden="false" customHeight="true" outlineLevel="0" collapsed="false">
      <c r="A977" s="3" t="n">
        <v>974</v>
      </c>
      <c r="B977" s="5" t="s">
        <v>2915</v>
      </c>
      <c r="C977" s="5" t="s">
        <v>2916</v>
      </c>
      <c r="D977" s="5" t="s">
        <v>2917</v>
      </c>
      <c r="E977" s="4" t="str">
        <f aca="false">IFERROR(__xludf.dummyfunction("GOOGLETRANSLATE(C978)"),"Quantos episódios estão na sexta temporada de Arrow")</f>
        <v>Quantos episódios estão na sexta temporada de Arrow</v>
      </c>
      <c r="F977" s="5" t="str">
        <f aca="false">IFERROR(__xludf.dummyfunction("GOOGLETRANSLATE(D977)")," A contração do músculo cardíaco (músculo cardíaco) em todos os animais é iniciado por impulsos elétricos conhecidos como potenciais de ação. A taxa na qual esses impulsos controla a taxa de contração cardíaca, ou seja, a freqüência cardíaca. As células q"&amp;"ue criam esses impulsos rítmicos, definindo o ritmo do bombeamento de sangue, são chamados de células de marcapasso e controlam diretamente a freqüência cardíaca. Eles compõem o marcapasso cardíaco, ou seja, o marcapasso natural do coração. Na maioria dos"&amp;" seres humanos, a concentração de células de marcapasso no nó Sinoatrial (SA) é o marcapasso natural, e o ritmo resultante é um ritmo sinusal.")</f>
        <v> A contração do músculo cardíaco (músculo cardíaco) em todos os animais é iniciado por impulsos elétricos conhecidos como potenciais de ação. A taxa na qual esses impulsos controla a taxa de contração cardíaca, ou seja, a freqüência cardíaca. As células que criam esses impulsos rítmicos, definindo o ritmo do bombeamento de sangue, são chamados de células de marcapasso e controlam diretamente a freqüência cardíaca. Eles compõem o marcapasso cardíaco, ou seja, o marcapasso natural do coração. Na maioria dos seres humanos, a concentração de células de marcapasso no nó Sinoatrial (SA) é o marcapasso natural, e o ritmo resultante é um ritmo sinusal.</v>
      </c>
    </row>
    <row r="978" customFormat="false" ht="15.75" hidden="false" customHeight="true" outlineLevel="0" collapsed="false">
      <c r="A978" s="3" t="n">
        <v>975</v>
      </c>
      <c r="B978" s="5" t="s">
        <v>2918</v>
      </c>
      <c r="C978" s="5" t="s">
        <v>2919</v>
      </c>
      <c r="D978" s="5" t="s">
        <v>2920</v>
      </c>
      <c r="E978" s="4" t="str">
        <f aca="false">IFERROR(__xludf.dummyfunction("GOOGLETRANSLATE(C979)"),"Quando foi a última vez que o Monte Rainier entrou em erupção")</f>
        <v>Quando foi a última vez que o Monte Rainier entrou em erupção</v>
      </c>
      <c r="F978" s="5" t="str">
        <f aca="false">IFERROR(__xludf.dummyfunction("GOOGLETRANSLATE(D978)"),"   Os episódios da temporada foram exibidos originalmente no Nielsen Ratings pela primeira vez ao ar os espectadores médios ao ar (em milhões) 23 de outubro de 2012 (2012 - 10 - 10) 15 de maio de 2013 (2013 - 05 - 15) 130 3,68 23 23 de outubro de 2013 (20"&amp;"13 - 2013 - 10 - 09) 14 de maio de 2014 (2014 - 05 - 14) 128 3,28 23 23 de outubro de 2014 (2014 - 10 - 08) 13 de maio de 2015 (2015 - 05 - 13) 135 3,52 23 de outubro 7 de outubro de 2015 (2015 - 2015 - 10 - 07) 25 de maio de 2016 (2016 - 05 - 25) 145 2,9"&amp;"0 5 23 23 de outubro de 2016 (2016 - 10 - 05) 24 de maio de 2017 (2017 - 05 - 24) 147 2.21 6 23 de outubro 12 de 2017 ( 2017 - 10 - 12) 17 de maio de 2018 (2018 - 05 - 17) 181 1.76")</f>
        <v>   Os episódios da temporada foram exibidos originalmente no Nielsen Ratings pela primeira vez ao ar os espectadores médios ao ar (em milhões) 23 de outubro de 2012 (2012 - 10 - 10) 15 de maio de 2013 (2013 - 05 - 15) 130 3,68 23 23 de outubro de 2013 (2013 - 2013 - 10 - 09) 14 de maio de 2014 (2014 - 05 - 14) 128 3,28 23 23 de outubro de 2014 (2014 - 10 - 08) 13 de maio de 2015 (2015 - 05 - 13) 135 3,52 23 de outubro 7 de outubro de 2015 (2015 - 2015 - 10 - 07) 25 de maio de 2016 (2016 - 05 - 25) 145 2,90 5 23 23 de outubro de 2016 (2016 - 10 - 05) 24 de maio de 2017 (2017 - 05 - 24) 147 2.21 6 23 de outubro 12 de 2017 ( 2017 - 10 - 12) 17 de maio de 2018 (2018 - 05 - 17) 181 1.76</v>
      </c>
    </row>
    <row r="979" customFormat="false" ht="15.75" hidden="false" customHeight="true" outlineLevel="0" collapsed="false">
      <c r="A979" s="3" t="n">
        <v>976</v>
      </c>
      <c r="B979" s="5" t="s">
        <v>2921</v>
      </c>
      <c r="C979" s="5" t="s">
        <v>2922</v>
      </c>
      <c r="D979" s="5" t="s">
        <v>2923</v>
      </c>
      <c r="E979" s="4" t="str">
        <f aca="false">IFERROR(__xludf.dummyfunction("GOOGLETRANSLATE(C980)"),"Quem faz Lex Luthor criado em Batman vs Superman")</f>
        <v>Quem faz Lex Luthor criado em Batman vs Superman</v>
      </c>
      <c r="F979" s="5" t="str">
        <f aca="false">IFERROR(__xludf.dummyfunction("GOOGLETRANSLATE(D979)"),"   Mount Rainier Monte Tacoma (Lushootseed) Mount Rainier, visto do nordeste. Elevação de ponto mais alto 14.411 pés (4.392 m) NAVD88 Proteção de 4.026 m (431 mi (1.176 km) Listando o mundo dos picos mais proeminentes do mundo 21º picos de destaque na Amé"&amp;"rica do Norte 4º picos de destaque na América do Norte 4º picos de picos mais altos dos EUA. Decada coordenadas do vulcão 46 ° 51 ′ 10 '' N 121 ° 45 ′ 37 '' W / 46.85288857 ° N 121.7603744 ° W / 46.8528857; - 121.7603744 Coordenadas: 46 ° 51 ′ 10 '' N 121"&amp;" ° 45 ′ 37 '' W / 46.8528857 ° N 121.7603744 ° W / 46.8528857; - 121.7603744 Geografia Mount Rainier Mount Rainier Parque Nacional, Pierce County, Washington, Faixa dos pais dos EUA Cascade Range Topo mapa Usgs Mount Rainier Geologia Ocidental Age do rock"&amp;" 500.000 anos Tipo de montanha Stratovolcano Arco vulcânico arco vulcade ARC Last Erupção de novembro a dezembro 1894 Calada Primeira ascensão 187 Por Hazard Stevens e P.B. Van Trump Route mais fácil de rochas / gelo escalada por meio de decepção Cleaver")</f>
        <v>   Mount Rainier Monte Tacoma (Lushootseed) Mount Rainier, visto do nordeste. Elevação de ponto mais alto 14.411 pés (4.392 m) NAVD88 Proteção de 4.026 m (431 mi (1.176 km) Listando o mundo dos picos mais proeminentes do mundo 21º picos de destaque na América do Norte 4º picos de destaque na América do Norte 4º picos de picos mais altos dos EUA. Decada coordenadas do vulcão 46 ° 51 ′ 10 '' N 121 ° 45 ′ 37 '' W / 46.85288857 ° N 121.7603744 ° W / 46.8528857; - 121.7603744 Coordenadas: 46 ° 51 ′ 10 '' N 121 ° 45 ′ 37 '' W / 46.8528857 ° N 121.7603744 ° W / 46.8528857; - 121.7603744 Geografia Mount Rainier Mount Rainier Parque Nacional, Pierce County, Washington, Faixa dos pais dos EUA Cascade Range Topo mapa Usgs Mount Rainier Geologia Ocidental Age do rock 500.000 anos Tipo de montanha Stratovolcano Arco vulcânico arco vulcade ARC Last Erupção de novembro a dezembro 1894 Calada Primeira ascensão 187 Por Hazard Stevens e P.B. Van Trump Route mais fácil de rochas / gelo escalada por meio de decepção Cleaver</v>
      </c>
    </row>
    <row r="980" customFormat="false" ht="15.75" hidden="false" customHeight="true" outlineLevel="0" collapsed="false">
      <c r="A980" s="3" t="n">
        <v>977</v>
      </c>
      <c r="B980" s="5" t="s">
        <v>2924</v>
      </c>
      <c r="C980" s="5" t="s">
        <v>2925</v>
      </c>
      <c r="D980" s="5" t="s">
        <v>2926</v>
      </c>
      <c r="E980" s="4" t="str">
        <f aca="false">IFERROR(__xludf.dummyfunction("GOOGLETRANSLATE(C981)"),"Quando a idade de beber mudou para 21 em Connecticut")</f>
        <v>Quando a idade de beber mudou para 21 em Connecticut</v>
      </c>
      <c r="F980" s="5" t="str">
        <f aca="false">IFERROR(__xludf.dummyfunction("GOOGLETRANSLATE(D980)")," Luthor executa seu plano de backup, desencadeando um monstro geneticamente projetado com DNA do corpo de Zod e seu próprio sangue. Diana Prince chega inesperadamente; Revelando sua natureza metahumana, ela une forças com Batman e Superman para eliminar a"&amp;" criatura. Quando todos são superados, Superman percebe sua vulnerabilidade à criptonita e recupera a lança para matá -la. Nos últimos momentos da criatura, mata Superman.")</f>
        <v> Luthor executa seu plano de backup, desencadeando um monstro geneticamente projetado com DNA do corpo de Zod e seu próprio sangue. Diana Prince chega inesperadamente; Revelando sua natureza metahumana, ela une forças com Batman e Superman para eliminar a criatura. Quando todos são superados, Superman percebe sua vulnerabilidade à criptonita e recupera a lança para matá -la. Nos últimos momentos da criatura, mata Superman.</v>
      </c>
    </row>
    <row r="981" customFormat="false" ht="15.75" hidden="false" customHeight="true" outlineLevel="0" collapsed="false">
      <c r="A981" s="3" t="n">
        <v>978</v>
      </c>
      <c r="B981" s="5" t="s">
        <v>2927</v>
      </c>
      <c r="C981" s="5" t="s">
        <v>2928</v>
      </c>
      <c r="D981" s="5" t="s">
        <v>2929</v>
      </c>
      <c r="E981" s="4" t="str">
        <f aca="false">IFERROR(__xludf.dummyfunction("GOOGLETRANSLATE(C982)"),"quem vai estar no campeonato da faculdade")</f>
        <v>quem vai estar no campeonato da faculdade</v>
      </c>
      <c r="F981" s="5" t="str">
        <f aca="false">IFERROR(__xludf.dummyfunction("GOOGLETRANSLATE(D981)"),"   A pré-proibição do estado (antes de 1919) pós-proibição (após 1933), 1970 / 26ª emenda (adotada em 1971) 1980 / Lei da idade do consumo de bebida de 1984 do século XXI Alabama antes de 1881: nenhum 1881: 21 (nenhum com consentimento do pai) 21 21 21 19"&amp;"75: Abaixado para 19 1986: aumentado para 21 21 (ninguém é permitido de consumo seção 28 - 1) Alasca? 21 1970: Abaixado para 19 1984: Criado para 21 com a cláusula do avô (se nascida antes de 1º de janeiro de 1965) 21 Arizona? 21 1972: reduzido para 19 19"&amp;"85: aumentado para 21 21 Arkansas antes de 1925: Nenhum 1925: 21 21 21 21 21 Califórnia antes de 1891: regulamentado pelo município / condado (idade comum foi 16) 1891: 18 (em todo o estado) 1933: 21 21 21 21 21 21 21 21 21 21 21 21 21 (exceto pequenas qu"&amp;"antidades para cerimônias religiosas) Colorado Nenhum 1945: 18: Para cerveja 21: para vinho e licor 18 aumentados para 21 em 1987 21 Connecticut? 21 1972: reduzido para 18 1982: Criado para 19 1983: aumentado para 20 1985: aumentado para 21 21 (isenções: "&amp;"(1) uma pessoa com mais de dezoito anos que é funcionário ou detentor da seção 30 - 90A e que possui licor alcoólico No decorrer do emprego ou nos negócios de tal pessoa, (2) um menor que possui licor alcoólico na ordem de um médico praticante, ou (3) um "&amp;"menor que possui licor alcoólico enquanto acompanha um pai, guardião ou cônjuge do Menor, que atingiu os vinte e vinte anos. Nada nesta subseção deve ser interpretado para sobrecarregar o exercício de religião de uma pessoa sob a seção 3 do artigo primeir"&amp;"o da Constituição do Estado em violação da subseção (a) da seção 52 - 571b. Delaware? 21 1972: Abaixado para 20 1984: Criado para 21 21 Distrito de Columbia? 18: Para cerveja e vinho 21: para licor 18: para cerveja e vinho 21: para licor 1986: Romed para "&amp;"21 com cláusula de avô. 21 Florida? 18 1980: 19 1985: aumentou para 21 com a cláusula do avô 21 Georgia? 21 1972: reduzido para 18 1984: Criado para 19 1985: Criado para 20 1986: Criado para 21 21 Havaí? 21 1972: Abaixado para 18 1986: Criado para 21 21 I"&amp;"daho? 20: Para a cerveja 21: para vinho e licor 1972: reduzido para 19 (todos) 1987: aumentado para 21 em 1987 (11 de abril) com a cláusula do avô 21 Illinois 1872: Age da maioria (nenhum com consentimento por escrito do pai) antes de 1961: Age da maioria"&amp;" 1961: Criado para 21 1973: reduzido para 19: para cerveja e vinho 21: para licor 1980: aumentado para 21 21 Indiana? Pós-1934: 21 21 21 21 Iowa? 21 1972: reduzido para 19 em 1972 (1º de julho de 1973: reduzido para 18 em 1973 (1 de julho) 1978: Criado pa"&amp;"ra 19 em 1978 (1º de julho de 1986: aumentado para 21 em 1986 (1 de julho) com a cláusula do avô. 21 Kansas? 1949: 18: Para cerveja e vinho com menos de 4 % ABV 21: para licor 18: para cerveja e vinho com menos de 4 % ABV 21: para cerveja e vinho com 4 % "&amp;"ABV ou mais 21: para licor 1985: Criado para 21 21 (No entanto, qualquer pessoa com menos de 21 anos pode consumir bebidas de malte de cereais com supervisão dos pais em sua própria propriedade) Kentucky? 1938: 21 21 21 21 Louisiana? A partir de 1948: 18 "&amp;"18 1987: aumentado para 21 de Jure em 1987, mas a idade de fato ainda tinha 18 anos até 1995 devido a uma brecha de venda. 1995: A idade de fato aumentou para 21 em 1995, quando a brecha foi fechada. 1996: Em 1996, abaixou brevemente pela Suprema Corte da"&amp;" Louisiana para 18 até reverter sua decisão, aumentando para 21 três meses depois. Outras exceções ainda permanecem. 21 (Exceções à lei estadual incluem: para um propósito religioso estabelecido; quando uma pessoa com menos de vinte anos de idade é acompa"&amp;"nhada por um pai, cônjuge ou guardião legal vinte e um ano de idade ou mais; para fins médicos quando comprado como um medicamento exagerado, ou quando prescrito ou administrado por um médico licenciado, farmacêutico, dentista, enfermeiro, hospital ou ins"&amp;"tituição médica; em uma residência particular, que deve incluir uma habitação residencial e até vinte acres contíguos, nos quais a habitação está localizado, de propriedade da mesma pessoa que possui a habitação; a venda, manuseio, transporte ou serviço n"&amp;"a distribuição de qualquer bebida alcoólica de acordo com a propriedade legal de um estabelecimento ou para o emprego legal de uma pessoa com menos de vinte anos de idade por um ano de idade por um fabricante, atacadista ou varejista de álcool de bebidas."&amp;") Maine? 21 1969: reduzido para 20 1972: reduzido para 18 1977: Criado para 20 1985: aumentado para 21 21 Maryland? 21 1974: Abaixado para 18: para cerveja e vinho 21: para licor 1982: aumentou para 21 com cláusula de avô para aqueles nascidos em 30 de ju"&amp;"nho de 1964 ou mais de 21 anos (no entanto, qualquer um pode beber quando pais, cônjuges, professores estão presentes) Massachusetts? 21 1973: reduzido para 18 1979: Criado para 20 em 1979 (16 de abril) aumentado para 21 em 1985 21 Michigan? 21 1972: redu"&amp;"zido para 18 em 1972 (1 de janeiro de 1978: aumentado para 19 em 1978 (3 de dezembro) 1978: aumentado para 21 em 1978 (21 de dezembro), 18 dias depois. Primeiro estado a aumentar a idade para 21, pois foi reduzido 21 Minnesota? 21 1973: reduzido para 18 ("&amp;"1 de junho) 1976: aumentado para 19 (1º de setembro) Primeiro estado para aumentar a idade após a redução. 1986: Criado para 21 21 Mississippi? 1966: 18: para cerveja e vinho 21: para licor (álcool não legalizado até 1966) 18 aumentado para 21 em 1986 21 "&amp;"Missouri? 1945: 21 21 21 21 Montana? 21 1971: reduzido para 19 1973: reduzido para 18 1979: Criado para 19 1987: aumentado para 21 21 Nebraska? 21 1969: reduzido para 20 1972: reduzido para 19 1980: Criado para 20 1985: aumentado para 21 21 Nevada? 1933: "&amp;"21 21 21 21 New Hampshire? 21 1973: reduzido para 18 1979: Criado para 20 1985: aumentado para 21 21 em Nova Jersey antes de 1880: nenhum pós-1880: 18 (penalidades apenas contra empresas) 21 1973: reduzido para 18 1980: levantado para 19 1983: aumentado p"&amp;"ara 21 21 Novo México? 1934: 21 21 21 21 Nova York 21 18 18 1982: Criado para 19 em 1982 (dez) 1985: aumentado para 21 em 1985 (dez) 21 Carolina do Norte? 18 18: para cerveja e vinho 21: para licor 1983: 19: para cerveja e vinho 21: para licor 1986: aumen"&amp;"tado para 21 em 1986 (1º de setembro) 21 Dakota do Norte? 1936: 21 21 21 21 Ohio? 1935: 18: para 3,2 % ABW Beer 21: para cerveja mais forte que 3,2 % ABW, vinho e licor 18: para 3,2 % de cerveja ABW 21: para cerveja mais forte que 3,2 % ABW, vinho e licor"&amp;" 1982: 19: para 3,2 % ABW Cerveja 21: Para cerveja mais forte que 3,2 % ABW, Wine and Liquor 1982: 19: Beer 21: Wine and Licor 1988: 21 21 (No entanto, qualquer um pode beber com pais ou cônjuge legal - Age) Oklahoma? Homens: 21 Mulheres: 18: 3,2 % ABW Be"&amp;"er 21: Para cerveja mais forte que 3,2 % ABW, vinho e licor 1976: reduzido para 18 (por 3,2 % de cerveja ABW) para ambos os sexos em 1976 (dez) Último estado para diminuir o consumo de bebida idade . 1983: Criado para 21 21 Oregon? 1933: 21 21 21 21 Pensi"&amp;"lvânia? 1935: 21 21 21 21 Rhode Island? 21 1970: reduzido para 18 1980: Criado para 19 1981: Criado para 20 1984: Criado para 21 21 21 Carolina do Sul 21 1935: 18: Para cerveja e vinho 21: para licor 18: para cerveja e vinho 21: para licor 1984: 19 : para"&amp;" cerveja e vinho 21: para licor 1986: aumentado para 21 21 Dakota do Sul? 1934: 21 (All) 1939: Abaixado para 18: para 3,2 % de cerveja aumentada para 19: para 3,2 % cerveja 1972: 18: para cerveja e vinho 21: para licor 1984: 19: para cerveja e vinho 21: p"&amp;"ara licor 1988: Criado para 21 21 21 Tennessee antes de 1881: Nenhum 1881: 21 21 1964: reduzido para 18 1979: Criado para 19 1984: levantado para 21 21 21 Texas antes de 1909: 21 Nenhum (com permissão por escrito de pai ou responsável) após 1909: 21 21 21"&amp;" 21 1973 : Abaixado para 18 1981: Criado para 19 1986: aumentado para 21 em 1986 (1º de setembro) 21 Utah? 1935: 21 21 21 21 Vermont? 21 1971: abaixado para 18 1986: Criado para 21 21 Virginia? 21 1974: reduzido para 18: para cerveja e vinho (21: para lic"&amp;"or restante) 1981: Criado para 19 para Off - Consumo de instalações 1983: Criado para 19 (All Beer) 1985: aumentado para 21 21 Washington Age of Maientity desde 1877 21 21 21 21 Virgínia Ocidental? 18: Para cerveja e vinho 21: para licor 1972: reduzido pa"&amp;"ra 18 (todos) 1983: Criado para 19 (e 21 para não residentes) 1986: Criado para 21 21 Wisconsin 1839-1866: 18: Para vinho e licor, nenhum : para a cerveja pós-1866: 21 (All) 18: Para a cerveja 21: para vinho e bebidas espirituosas 1957: 21: Para os morado"&amp;"res de estados fronteiriços com o limite de idade 21. 1963: Criado para 21 (Off - As vendas de cerveja de instalações permaneceram 18 para instalações). 1972: reduzido para 18 (todos) em 1972 (março) 1977: a restrição do estado de fronteira foi levantada."&amp;" 1984: Criado para 19 1986: Criado para 21 (1 de setembro de 1986) 21 (No entanto, alguém pode beber quando pais, cônjuges, professores estão presentes) Wyoming? 21 1973: reduzido para 19 1988: aumentado para 21 em 1988 (1º de julho) Último estado para au"&amp;"mentar a idade de Jure Bebnting para 21 21 samoa americana? ? ? 21? 21 Ilhas Marianas do Norte - -? 21? 21 Porto Rico? 18 18 Mantido aos 18 anos, apesar da penalidade de financiamento das rodovias sob a Lei da Era do Bebido. 18 Ilhas Virgens? ? ? 18 18 Gu"&amp;"am? 21? 18 18 aumentado para 21 em 2010")</f>
        <v>   A pré-proibição do estado (antes de 1919) pós-proibição (após 1933), 1970 / 26ª emenda (adotada em 1971) 1980 / Lei da idade do consumo de bebida de 1984 do século XXI Alabama antes de 1881: nenhum 1881: 21 (nenhum com consentimento do pai) 21 21 21 1975: Abaixado para 19 1986: aumentado para 21 21 (ninguém é permitido de consumo seção 28 - 1) Alasca? 21 1970: Abaixado para 19 1984: Criado para 21 com a cláusula do avô (se nascida antes de 1º de janeiro de 1965) 21 Arizona? 21 1972: reduzido para 19 1985: aumentado para 21 21 Arkansas antes de 1925: Nenhum 1925: 21 21 21 21 21 Califórnia antes de 1891: regulamentado pelo município / condado (idade comum foi 16) 1891: 18 (em todo o estado) 1933: 21 21 21 21 21 21 21 21 21 21 21 21 21 (exceto pequenas quantidades para cerimônias religiosas) Colorado Nenhum 1945: 18: Para cerveja 21: para vinho e licor 18 aumentados para 21 em 1987 21 Connecticut? 21 1972: reduzido para 18 1982: Criado para 19 1983: aumentado para 20 1985: aumentado para 21 21 (isenções: (1) uma pessoa com mais de dezoito anos que é funcionário ou detentor da seção 30 - 90A e que possui licor alcoólico No decorrer do emprego ou nos negócios de tal pessoa, (2) um menor que possui licor alcoólico na ordem de um médico praticante, ou (3) um menor que possui licor alcoólico enquanto acompanha um pai, guardião ou cônjuge do Menor, que atingiu os vinte e vinte anos. Nada nesta subseção deve ser interpretado para sobrecarregar o exercício de religião de uma pessoa sob a seção 3 do artigo primeiro da Constituição do Estado em violação da subseção (a) da seção 52 - 571b. Delaware? 21 1972: Abaixado para 20 1984: Criado para 21 21 Distrito de Columbia? 18: Para cerveja e vinho 21: para licor 18: para cerveja e vinho 21: para licor 1986: Romed para 21 com cláusula de avô. 21 Florida? 18 1980: 19 1985: aumentou para 21 com a cláusula do avô 21 Georgia? 21 1972: reduzido para 18 1984: Criado para 19 1985: Criado para 20 1986: Criado para 21 21 Havaí? 21 1972: Abaixado para 18 1986: Criado para 21 21 Idaho? 20: Para a cerveja 21: para vinho e licor 1972: reduzido para 19 (todos) 1987: aumentado para 21 em 1987 (11 de abril) com a cláusula do avô 21 Illinois 1872: Age da maioria (nenhum com consentimento por escrito do pai) antes de 1961: Age da maioria 1961: Criado para 21 1973: reduzido para 19: para cerveja e vinho 21: para licor 1980: aumentado para 21 21 Indiana? Pós-1934: 21 21 21 21 Iowa? 21 1972: reduzido para 19 em 1972 (1º de julho de 1973: reduzido para 18 em 1973 (1 de julho) 1978: Criado para 19 em 1978 (1º de julho de 1986: aumentado para 21 em 1986 (1 de julho) com a cláusula do avô. 21 Kansas? 1949: 18: Para cerveja e vinho com menos de 4 % ABV 21: para licor 18: para cerveja e vinho com menos de 4 % ABV 21: para cerveja e vinho com 4 % ABV ou mais 21: para licor 1985: Criado para 21 21 (No entanto, qualquer pessoa com menos de 21 anos pode consumir bebidas de malte de cereais com supervisão dos pais em sua própria propriedade) Kentucky? 1938: 21 21 21 21 Louisiana? A partir de 1948: 18 18 1987: aumentado para 21 de Jure em 1987, mas a idade de fato ainda tinha 18 anos até 1995 devido a uma brecha de venda. 1995: A idade de fato aumentou para 21 em 1995, quando a brecha foi fechada. 1996: Em 1996, abaixou brevemente pela Suprema Corte da Louisiana para 18 até reverter sua decisão, aumentando para 21 três meses depois. Outras exceções ainda permanecem. 21 (Exceções à lei estadual incluem: para um propósito religioso estabelecido; quando uma pessoa com menos de vinte anos de idade é acompanhada por um pai, cônjuge ou guardião legal vinte e um ano de idade ou mais; para fins médicos quando comprado como um medicamento exagerado, ou quando prescrito ou administrado por um médico licenciado, farmacêutico, dentista, enfermeiro, hospital ou instituição médica; em uma residência particular, que deve incluir uma habitação residencial e até vinte acres contíguos, nos quais a habitação está localizado, de propriedade da mesma pessoa que possui a habitação; a venda, manuseio, transporte ou serviço na distribuição de qualquer bebida alcoólica de acordo com a propriedade legal de um estabelecimento ou para o emprego legal de uma pessoa com menos de vinte anos de idade por um ano de idade por um fabricante, atacadista ou varejista de álcool de bebidas.) Maine? 21 1969: reduzido para 20 1972: reduzido para 18 1977: Criado para 20 1985: aumentado para 21 21 Maryland? 21 1974: Abaixado para 18: para cerveja e vinho 21: para licor 1982: aumentou para 21 com cláusula de avô para aqueles nascidos em 30 de junho de 1964 ou mais de 21 anos (no entanto, qualquer um pode beber quando pais, cônjuges, professores estão presentes) Massachusetts? 21 1973: reduzido para 18 1979: Criado para 20 em 1979 (16 de abril) aumentado para 21 em 1985 21 Michigan? 21 1972: reduzido para 18 em 1972 (1 de janeiro de 1978: aumentado para 19 em 1978 (3 de dezembro) 1978: aumentado para 21 em 1978 (21 de dezembro), 18 dias depois. Primeiro estado a aumentar a idade para 21, pois foi reduzido 21 Minnesota? 21 1973: reduzido para 18 (1 de junho) 1976: aumentado para 19 (1º de setembro) Primeiro estado para aumentar a idade após a redução. 1986: Criado para 21 21 Mississippi? 1966: 18: para cerveja e vinho 21: para licor (álcool não legalizado até 1966) 18 aumentado para 21 em 1986 21 Missouri? 1945: 21 21 21 21 Montana? 21 1971: reduzido para 19 1973: reduzido para 18 1979: Criado para 19 1987: aumentado para 21 21 Nebraska? 21 1969: reduzido para 20 1972: reduzido para 19 1980: Criado para 20 1985: aumentado para 21 21 Nevada? 1933: 21 21 21 21 New Hampshire? 21 1973: reduzido para 18 1979: Criado para 20 1985: aumentado para 21 21 em Nova Jersey antes de 1880: nenhum pós-1880: 18 (penalidades apenas contra empresas) 21 1973: reduzido para 18 1980: levantado para 19 1983: aumentado para 21 21 Novo México? 1934: 21 21 21 21 Nova York 21 18 18 1982: Criado para 19 em 1982 (dez) 1985: aumentado para 21 em 1985 (dez) 21 Carolina do Norte? 18 18: para cerveja e vinho 21: para licor 1983: 19: para cerveja e vinho 21: para licor 1986: aumentado para 21 em 1986 (1º de setembro) 21 Dakota do Norte? 1936: 21 21 21 21 Ohio? 1935: 18: para 3,2 % ABW Beer 21: para cerveja mais forte que 3,2 % ABW, vinho e licor 18: para 3,2 % de cerveja ABW 21: para cerveja mais forte que 3,2 % ABW, vinho e licor 1982: 19: para 3,2 % ABW Cerveja 21: Para cerveja mais forte que 3,2 % ABW, Wine and Liquor 1982: 19: Beer 21: Wine and Licor 1988: 21 21 (No entanto, qualquer um pode beber com pais ou cônjuge legal - Age) Oklahoma? Homens: 21 Mulheres: 18: 3,2 % ABW Beer 21: Para cerveja mais forte que 3,2 % ABW, vinho e licor 1976: reduzido para 18 (por 3,2 % de cerveja ABW) para ambos os sexos em 1976 (dez) Último estado para diminuir o consumo de bebida idade . 1983: Criado para 21 21 Oregon? 1933: 21 21 21 21 Pensilvânia? 1935: 21 21 21 21 Rhode Island? 21 1970: reduzido para 18 1980: Criado para 19 1981: Criado para 20 1984: Criado para 21 21 21 Carolina do Sul 21 1935: 18: Para cerveja e vinho 21: para licor 18: para cerveja e vinho 21: para licor 1984: 19 : para cerveja e vinho 21: para licor 1986: aumentado para 21 21 Dakota do Sul? 1934: 21 (All) 1939: Abaixado para 18: para 3,2 % de cerveja aumentada para 19: para 3,2 % cerveja 1972: 18: para cerveja e vinho 21: para licor 1984: 19: para cerveja e vinho 21: para licor 1988: Criado para 21 21 21 Tennessee antes de 1881: Nenhum 1881: 21 21 1964: reduzido para 18 1979: Criado para 19 1984: levantado para 21 21 21 Texas antes de 1909: 21 Nenhum (com permissão por escrito de pai ou responsável) após 1909: 21 21 21 21 1973 : Abaixado para 18 1981: Criado para 19 1986: aumentado para 21 em 1986 (1º de setembro) 21 Utah? 1935: 21 21 21 21 Vermont? 21 1971: abaixado para 18 1986: Criado para 21 21 Virginia? 21 1974: reduzido para 18: para cerveja e vinho (21: para licor restante) 1981: Criado para 19 para Off - Consumo de instalações 1983: Criado para 19 (All Beer) 1985: aumentado para 21 21 Washington Age of Maientity desde 1877 21 21 21 21 Virgínia Ocidental? 18: Para cerveja e vinho 21: para licor 1972: reduzido para 18 (todos) 1983: Criado para 19 (e 21 para não residentes) 1986: Criado para 21 21 Wisconsin 1839-1866: 18: Para vinho e licor, nenhum : para a cerveja pós-1866: 21 (All) 18: Para a cerveja 21: para vinho e bebidas espirituosas 1957: 21: Para os moradores de estados fronteiriços com o limite de idade 21. 1963: Criado para 21 (Off - As vendas de cerveja de instalações permaneceram 18 para instalações). 1972: reduzido para 18 (todos) em 1972 (março) 1977: a restrição do estado de fronteira foi levantada. 1984: Criado para 19 1986: Criado para 21 (1 de setembro de 1986) 21 (No entanto, alguém pode beber quando pais, cônjuges, professores estão presentes) Wyoming? 21 1973: reduzido para 19 1988: aumentado para 21 em 1988 (1º de julho) Último estado para aumentar a idade de Jure Bebnting para 21 21 samoa americana? ? ? 21? 21 Ilhas Marianas do Norte - -? 21? 21 Porto Rico? 18 18 Mantido aos 18 anos, apesar da penalidade de financiamento das rodovias sob a Lei da Era do Bebido. 18 Ilhas Virgens? ? ? 18 18 Guam? 21? 18 18 aumentado para 21 em 2010</v>
      </c>
    </row>
    <row r="982" customFormat="false" ht="15.75" hidden="false" customHeight="true" outlineLevel="0" collapsed="false">
      <c r="A982" s="3" t="n">
        <v>979</v>
      </c>
      <c r="B982" s="5" t="s">
        <v>2930</v>
      </c>
      <c r="C982" s="5" t="s">
        <v>2931</v>
      </c>
      <c r="D982" s="5" t="s">
        <v>2932</v>
      </c>
      <c r="E982" s="4" t="str">
        <f aca="false">IFERROR(__xludf.dummyfunction("GOOGLETRANSLATE(C983)"),"Que posse espanhola os Estados Unidos compraram sob o Tratado de Paris")</f>
        <v>Que posse espanhola os Estados Unidos compraram sob o Tratado de Paris</v>
      </c>
      <c r="F982" s="5" t="str">
        <f aca="false">IFERROR(__xludf.dummyfunction("GOOGLETRANSLATE(D982)"),"O Campeonato Nacional de Playoff de Futebol College de 2018 foi um jogo do College Football Bowl que determinou o campeão nacional na subdivisão da NCAA Division I Football Bowl para a temporada de 2017. O Alabama Crimson Tide derrotou o Georgia Bulldogs "&amp;"26 - 23 na prorrogação. O Alabama superou um déficit de 13 - 0 no intervalo. Tua Tagovailoa e Da'ron Payne foram nomeados, respectivamente, os jogadores ofensivos e defensivos do jogo. O")</f>
        <v>O Campeonato Nacional de Playoff de Futebol College de 2018 foi um jogo do College Football Bowl que determinou o campeão nacional na subdivisão da NCAA Division I Football Bowl para a temporada de 2017. O Alabama Crimson Tide derrotou o Georgia Bulldogs 26 - 23 na prorrogação. O Alabama superou um déficit de 13 - 0 no intervalo. Tua Tagovailoa e Da'ron Payne foram nomeados, respectivamente, os jogadores ofensivos e defensivos do jogo. O</v>
      </c>
    </row>
    <row r="983" customFormat="false" ht="15.75" hidden="false" customHeight="true" outlineLevel="0" collapsed="false">
      <c r="A983" s="3" t="n">
        <v>980</v>
      </c>
      <c r="B983" s="5" t="s">
        <v>2933</v>
      </c>
      <c r="C983" s="5" t="s">
        <v>2934</v>
      </c>
      <c r="D983" s="5" t="s">
        <v>2935</v>
      </c>
      <c r="E983" s="4" t="str">
        <f aca="false">IFERROR(__xludf.dummyfunction("GOOGLETRANSLATE(C984)"),"que jogou Hal em Malcolm no meio")</f>
        <v>que jogou Hal em Malcolm no meio</v>
      </c>
      <c r="F983" s="5" t="str">
        <f aca="false">IFERROR(__xludf.dummyfunction("GOOGLETRANSLATE(D983)")," O Tratado de Paris de 1898 foi um acordo feito em 1898 que envolveu a Espanha que renunciando a quase todo o império espanhol restante, especialmente Cuba, e ceder Porto Rico, Guam e Filipinas aos Estados Unidos. A cessão das Filipinas envolveu um pagame"&amp;"nto de US $ 20 milhões dos Estados Unidos para a Espanha. O tratado foi assinado em 10 de dezembro de 1898 e encerrou a Guerra Americana Espanhola. O Tratado de Paris entrou em vigor em 11 de abril de 1899, quando os documentos de ratificação foram trocad"&amp;"os.")</f>
        <v> O Tratado de Paris de 1898 foi um acordo feito em 1898 que envolveu a Espanha que renunciando a quase todo o império espanhol restante, especialmente Cuba, e ceder Porto Rico, Guam e Filipinas aos Estados Unidos. A cessão das Filipinas envolveu um pagamento de US $ 20 milhões dos Estados Unidos para a Espanha. O tratado foi assinado em 10 de dezembro de 1898 e encerrou a Guerra Americana Espanhola. O Tratado de Paris entrou em vigor em 11 de abril de 1899, quando os documentos de ratificação foram trocados.</v>
      </c>
    </row>
    <row r="984" customFormat="false" ht="15.75" hidden="false" customHeight="true" outlineLevel="0" collapsed="false">
      <c r="A984" s="3" t="n">
        <v>981</v>
      </c>
      <c r="B984" s="5" t="s">
        <v>2936</v>
      </c>
      <c r="C984" s="5" t="s">
        <v>2937</v>
      </c>
      <c r="D984" s="5" t="s">
        <v>2938</v>
      </c>
      <c r="E984" s="4" t="str">
        <f aca="false">IFERROR(__xludf.dummyfunction("GOOGLETRANSLATE(C985)"),"quem era a criança que brincou Little Ricky em I Love Lucy")</f>
        <v>quem era a criança que brincou Little Ricky em I Love Lucy</v>
      </c>
      <c r="F984" s="5" t="str">
        <f aca="false">IFERROR(__xludf.dummyfunction("GOOGLETRANSLATE(D984)")," Bryan Lee Cranston (nascido em 7 de março de 1956) é um ator, dublador, produtor, diretor e roteirista americano. Ele é mais conhecido por retratar Walter White na série de drama criminal da AMC Breaking Bad, Hal on the Fox Comedy Series Malcolm no meio "&amp;"e Dr. Tim Whatley na série de comédia da NBC Seinfeld.")</f>
        <v> Bryan Lee Cranston (nascido em 7 de março de 1956) é um ator, dublador, produtor, diretor e roteirista americano. Ele é mais conhecido por retratar Walter White na série de drama criminal da AMC Breaking Bad, Hal on the Fox Comedy Series Malcolm no meio e Dr. Tim Whatley na série de comédia da NBC Seinfeld.</v>
      </c>
    </row>
    <row r="985" customFormat="false" ht="15.75" hidden="false" customHeight="true" outlineLevel="0" collapsed="false">
      <c r="A985" s="3" t="n">
        <v>982</v>
      </c>
      <c r="B985" s="5" t="s">
        <v>2939</v>
      </c>
      <c r="C985" s="5" t="s">
        <v>2940</v>
      </c>
      <c r="D985" s="5" t="s">
        <v>2941</v>
      </c>
      <c r="E985" s="4" t="str">
        <f aca="false">IFERROR(__xludf.dummyfunction("GOOGLETRANSLATE(C986)"),"Quando a Segunda Guerra Mundial começou na Ásia")</f>
        <v>Quando a Segunda Guerra Mundial começou na Ásia</v>
      </c>
      <c r="F985" s="5" t="str">
        <f aca="false">IFERROR(__xludf.dummyfunction("GOOGLETRANSLATE(D985)")," Keith Thibodeaux (nascido em 1º de dezembro de 1950) é um ex -ator infantil americano de televisão e cinema e músico, mais conhecido por interpretar Little Ricky na comédia da televisão, I Love Lucy e The Lucy - Desi Comedy Hour, seu sobrenome `` Thibode"&amp;"aux '', que era o francês de Cajun, foi alterado pela co-estrela Desi Arnaz, para `` Keith '' porque seu sobrenome era mais difícil de pronunciar. Ele é o último membro do elenco de aparências regulares da Living Regular")</f>
        <v> Keith Thibodeaux (nascido em 1º de dezembro de 1950) é um ex -ator infantil americano de televisão e cinema e músico, mais conhecido por interpretar Little Ricky na comédia da televisão, I Love Lucy e The Lucy - Desi Comedy Hour, seu sobrenome `` Thibodeaux '', que era o francês de Cajun, foi alterado pela co-estrela Desi Arnaz, para `` Keith '' porque seu sobrenome era mais difícil de pronunciar. Ele é o último membro do elenco de aparências regulares da Living Regular</v>
      </c>
    </row>
    <row r="986" customFormat="false" ht="15.75" hidden="false" customHeight="true" outlineLevel="0" collapsed="false">
      <c r="A986" s="3" t="n">
        <v>983</v>
      </c>
      <c r="B986" s="5" t="s">
        <v>2942</v>
      </c>
      <c r="C986" s="5" t="s">
        <v>2943</v>
      </c>
      <c r="D986" s="5" t="s">
        <v>2944</v>
      </c>
      <c r="E986" s="4" t="str">
        <f aca="false">IFERROR(__xludf.dummyfunction("GOOGLETRANSLATE(C987)"),"Quais são os nomes dos membros dos Beatles")</f>
        <v>Quais são os nomes dos membros dos Beatles</v>
      </c>
      <c r="F986" s="5" t="str">
        <f aca="false">IFERROR(__xludf.dummyfunction("GOOGLETRANSLATE(D986)")," O Império do Japão pretendia dominar a Ásia e o Pacífico e já estava em guerra com a República da China em 1937, mas geralmente se diz que a Guerra Mundial começou em 1 de setembro de 1939 com a invasão da Polônia pela Alemanha nazista e subsequentes dec"&amp;"larações de Guerra à Alemanha pela França e pelo Reino Unido. Fornecido pela União Soviética, do final de 1939 ao início de 1941, em uma série de campanhas e tratados, a Alemanha conquistou ou controlou grande parte da Europa continental e formou a alianç"&amp;"a Axis com a Itália e o Japão. Sob o Pacto Molotov - Ribbentrop de agosto de 1939, a Alemanha e a União Soviética participaram e anexaram territórios de seus vizinhos europeus, Polônia, Finlândia, Romênia e Estados Bálticos. A guerra continuou principalme"&amp;"nte entre os poderes do eixo europeu e a coalizão do Reino Unido e da Commonwealth britânica, com campanhas como as campanhas do norte da África e da África Oriental, a Batalha Aérea da Grã -Bretanha, a campanha de bombardeio de Blitz, a campanha dos Balc"&amp;"ãs, bem como o Long - Batalha do Atlântico. Em 22 de junho de 1941, o Eixo Europeu Powers lançou uma invasão da União Soviética, abrindo o maior teatro terrestre de guerra da história, que prendeu a maior parte das forças militares do Axis em uma guerra d"&amp;"e atrito. Em dezembro de 1941, o Japão atacou os Estados Unidos e colônias européias no Oceano Pacífico e rapidamente conquistou grande parte do Pacífico Ocidental.")</f>
        <v> O Império do Japão pretendia dominar a Ásia e o Pacífico e já estava em guerra com a República da China em 1937, mas geralmente se diz que a Guerra Mundial começou em 1 de setembro de 1939 com a invasão da Polônia pela Alemanha nazista e subsequentes declarações de Guerra à Alemanha pela França e pelo Reino Unido. Fornecido pela União Soviética, do final de 1939 ao início de 1941, em uma série de campanhas e tratados, a Alemanha conquistou ou controlou grande parte da Europa continental e formou a aliança Axis com a Itália e o Japão. Sob o Pacto Molotov - Ribbentrop de agosto de 1939, a Alemanha e a União Soviética participaram e anexaram territórios de seus vizinhos europeus, Polônia, Finlândia, Romênia e Estados Bálticos. A guerra continuou principalmente entre os poderes do eixo europeu e a coalizão do Reino Unido e da Commonwealth britânica, com campanhas como as campanhas do norte da África e da África Oriental, a Batalha Aérea da Grã -Bretanha, a campanha de bombardeio de Blitz, a campanha dos Balcãs, bem como o Long - Batalha do Atlântico. Em 22 de junho de 1941, o Eixo Europeu Powers lançou uma invasão da União Soviética, abrindo o maior teatro terrestre de guerra da história, que prendeu a maior parte das forças militares do Axis em uma guerra de atrito. Em dezembro de 1941, o Japão atacou os Estados Unidos e colônias européias no Oceano Pacífico e rapidamente conquistou grande parte do Pacífico Ocidental.</v>
      </c>
    </row>
    <row r="987" customFormat="false" ht="15.75" hidden="false" customHeight="true" outlineLevel="0" collapsed="false">
      <c r="A987" s="3" t="n">
        <v>984</v>
      </c>
      <c r="B987" s="5" t="s">
        <v>2945</v>
      </c>
      <c r="C987" s="5" t="s">
        <v>2946</v>
      </c>
      <c r="D987" s="5" t="s">
        <v>2947</v>
      </c>
      <c r="E987" s="4" t="str">
        <f aca="false">IFERROR(__xludf.dummyfunction("GOOGLETRANSLATE(C988)"),"Quem faz o espírito da música no céu")</f>
        <v>Quem faz o espírito da música no céu</v>
      </c>
      <c r="F987" s="5" t="str">
        <f aca="false">IFERROR(__xludf.dummyfunction("GOOGLETRANSLATE(D987)")," Os Beatles eram uma banda de rock inglês formada em Liverpool em 1960. Com os membros John Lennon, Paul McCartney, George Harrison e Ringo Starr, eles se tornaram amplamente considerados como o principal e mais influente ato da era do rock. Enraizada em "&amp;"Skiffle, Beat e Rock and Roll dos anos 50, os Beatles mais tarde experimentaram vários estilos musicais, desde baladas pop e música indiana a psicodelia e hard rock, geralmente incorporando elementos clássicos e técnicas de gravação não convencionais de m"&amp;"aneiras inovadoras. Em 1963, sua enorme popularidade emergiu pela primeira vez como `` beatlemania ''; À medida que a música do grupo crescia em sofisticação, liderada pelos compositores primários Lennon e McCartney, a banda foi parte integrante do desenv"&amp;"olvimento da música pop em uma forma de arte e passou a ser percebida como uma personificação dos ideais compartilhados pela contracultura da década de 1960 .")</f>
        <v> Os Beatles eram uma banda de rock inglês formada em Liverpool em 1960. Com os membros John Lennon, Paul McCartney, George Harrison e Ringo Starr, eles se tornaram amplamente considerados como o principal e mais influente ato da era do rock. Enraizada em Skiffle, Beat e Rock and Roll dos anos 50, os Beatles mais tarde experimentaram vários estilos musicais, desde baladas pop e música indiana a psicodelia e hard rock, geralmente incorporando elementos clássicos e técnicas de gravação não convencionais de maneiras inovadoras. Em 1963, sua enorme popularidade emergiu pela primeira vez como `` beatlemania ''; À medida que a música do grupo crescia em sofisticação, liderada pelos compositores primários Lennon e McCartney, a banda foi parte integrante do desenvolvimento da música pop em uma forma de arte e passou a ser percebida como uma personificação dos ideais compartilhados pela contracultura da década de 1960 .</v>
      </c>
    </row>
    <row r="988" customFormat="false" ht="15.75" hidden="false" customHeight="true" outlineLevel="0" collapsed="false">
      <c r="A988" s="3" t="n">
        <v>985</v>
      </c>
      <c r="B988" s="5" t="s">
        <v>2948</v>
      </c>
      <c r="C988" s="5" t="s">
        <v>2949</v>
      </c>
      <c r="D988" s="5" t="s">
        <v>2950</v>
      </c>
      <c r="E988" s="4" t="str">
        <f aca="false">IFERROR(__xludf.dummyfunction("GOOGLETRANSLATE(C989)"),"quem é designado para levar Hamlet para a Inglaterra")</f>
        <v>quem é designado para levar Hamlet para a Inglaterra</v>
      </c>
      <c r="F988" s="5" t="str">
        <f aca="false">IFERROR(__xludf.dummyfunction("GOOGLETRANSLATE(D988)")," `` Spirit in the Sky '' é uma música escrita e originalmente gravada por Norman Greenbaum e lançada no final de 1969. O single se tornou um recorde de ouro, vendendo dois milhões de cópias de 1969 a 1970 e alcançou o número três na parada da Billboard Ho"&amp;"t 100 (18 de abril de 1970), onde durou 15 semanas entre os 100 melhores. A Billboard classificou o registro da música nº 22 de 1970. Ele também subiu para o número um nas paradas do Reino Unido, Australiano e Canadense em 1970. A Rolling Stone classifico"&amp;"u o `` espírito no céu '' nº 333 em sua lista das 500 melhores músicas de todos os tempos. A música foi apresentada no álbum de 1969 de mesmo nome. As versões de capa de Doctor e os médicos e Gareth Gates também fizeram o número 1 no Reino Unido.")</f>
        <v> `` Spirit in the Sky '' é uma música escrita e originalmente gravada por Norman Greenbaum e lançada no final de 1969. O single se tornou um recorde de ouro, vendendo dois milhões de cópias de 1969 a 1970 e alcançou o número três na parada da Billboard Hot 100 (18 de abril de 1970), onde durou 15 semanas entre os 100 melhores. A Billboard classificou o registro da música nº 22 de 1970. Ele também subiu para o número um nas paradas do Reino Unido, Australiano e Canadense em 1970. A Rolling Stone classificou o `` espírito no céu '' nº 333 em sua lista das 500 melhores músicas de todos os tempos. A música foi apresentada no álbum de 1969 de mesmo nome. As versões de capa de Doctor e os médicos e Gareth Gates também fizeram o número 1 no Reino Unido.</v>
      </c>
    </row>
    <row r="989" customFormat="false" ht="15.75" hidden="false" customHeight="true" outlineLevel="0" collapsed="false">
      <c r="A989" s="3" t="n">
        <v>986</v>
      </c>
      <c r="B989" s="5" t="s">
        <v>2951</v>
      </c>
      <c r="C989" s="5" t="s">
        <v>2952</v>
      </c>
      <c r="D989" s="5" t="s">
        <v>2953</v>
      </c>
      <c r="E989" s="4" t="str">
        <f aca="false">IFERROR(__xludf.dummyfunction("GOOGLETRANSLATE(C990)"),"Que tipo de animal é botas de Dora")</f>
        <v>Que tipo de animal é botas de Dora</v>
      </c>
      <c r="F989" s="5" t="str">
        <f aca="false">IFERROR(__xludf.dummyfunction("GOOGLETRANSLATE(D989)")," Hamlet brinca com Claudius sobre onde ele escondeu o corpo de Polonius e o rei, temendo por sua vida, envia Rosencrantz e Guildenstern para acompanhar Hamlet à Inglaterra com uma carta selada ao rei inglês solicitando que Hamlet fosse executado imediatam"&amp;"ente.")</f>
        <v> Hamlet brinca com Claudius sobre onde ele escondeu o corpo de Polonius e o rei, temendo por sua vida, envia Rosencrantz e Guildenstern para acompanhar Hamlet à Inglaterra com uma carta selada ao rei inglês solicitando que Hamlet fosse executado imediatamente.</v>
      </c>
    </row>
    <row r="990" customFormat="false" ht="15.75" hidden="false" customHeight="true" outlineLevel="0" collapsed="false">
      <c r="A990" s="3" t="n">
        <v>987</v>
      </c>
      <c r="B990" s="5" t="s">
        <v>2954</v>
      </c>
      <c r="C990" s="5" t="s">
        <v>2955</v>
      </c>
      <c r="D990" s="5" t="s">
        <v>2956</v>
      </c>
      <c r="E990" s="4" t="str">
        <f aca="false">IFERROR(__xludf.dummyfunction("GOOGLETRANSLATE(C991)"),"Quando foi a última vez que os Leões Detroit perderam no Dia de Ação de Graças")</f>
        <v>Quando foi a última vez que os Leões Detroit perderam no Dia de Ação de Graças</v>
      </c>
      <c r="F990" s="5" t="str">
        <f aca="false">IFERROR(__xludf.dummyfunction("GOOGLETRANSLATE(D990)")," A série gira em torno de Dora, uma garota americana de 7 (mais tarde de 8) anos de herança mexicana indígena, com o amor por embarcar em missões relacionadas a uma atividade que ela deseja participar ou um lugar que ela deseja ir, acompanhada por Sua moc"&amp;"hila roxa falando e companheira de macaco antropomórfica nomeou Boots (nomeado por seu amado par de botas vermelhas). Cada episódio é baseado em uma série de eventos cíclicos que ocorrem ao longo do caminho durante as viagens de Dora, juntamente com obstá"&amp;"culos que ela e botas são forçadas a superar ou quebra -cabeças que eles precisam resolver (com `` assistência '' do público de visualização ) relacionados a enigmas, língua espanhola ou contagem. Os rituais comuns podem envolver os encontros de Dora com "&amp;"Swiper, um ladrão mascarado bípede e antropomórfico, com roubo, cujo roubo dos bens de outros deve ser impedido pela quarta parede - quebrando a interação com o espectador. Para parar de Swiper, Dora deve dizer `` Swiper no Swiping '' três vezes. No entan"&amp;"to, em ocasiões em que o Swiper rouba os pertences de outras pessoas, o espectador recebe o desafio de ajudar as botas e Dora a localizar os itens roubados. Outro obstáculo envolve encontros com outro dos antagonistas do programa; O `` troll antigo e rabu"&amp;"gento '' reside sob uma ponte que Dora e botas devem atravessar, que os desafia com um enigma antes de permitir que eles sejam o passado que precisa ser resolvido com a ajuda do espectador. Conhecida pela quebra constante da quarta parede retratada em tod"&amp;"os os episódios, o público geralmente é apresentado a dois pontos de referência primários que devem ser aprovados antes que Dora possa chegar a seu destino, normalmente sendo desafiado com jogos ou quebra -cabeças ao longo do caminho. O episódio sempre te"&amp;"rmina com Dora atingindo com sucesso a localidade, cantando o `` fizemos! Song com botas em triunfo.")</f>
        <v> A série gira em torno de Dora, uma garota americana de 7 (mais tarde de 8) anos de herança mexicana indígena, com o amor por embarcar em missões relacionadas a uma atividade que ela deseja participar ou um lugar que ela deseja ir, acompanhada por Sua mochila roxa falando e companheira de macaco antropomórfica nomeou Boots (nomeado por seu amado par de botas vermelhas). Cada episódio é baseado em uma série de eventos cíclicos que ocorrem ao longo do caminho durante as viagens de Dora, juntamente com obstáculos que ela e botas são forçadas a superar ou quebra -cabeças que eles precisam resolver (com `` assistência '' do público de visualização ) relacionados a enigmas, língua espanhola ou contagem. Os rituais comuns podem envolver os encontros de Dora com Swiper, um ladrão mascarado bípede e antropomórfico, com roubo, cujo roubo dos bens de outros deve ser impedido pela quarta parede - quebrando a interação com o espectador. Para parar de Swiper, Dora deve dizer `` Swiper no Swiping '' três vezes. No entanto, em ocasiões em que o Swiper rouba os pertences de outras pessoas, o espectador recebe o desafio de ajudar as botas e Dora a localizar os itens roubados. Outro obstáculo envolve encontros com outro dos antagonistas do programa; O `` troll antigo e rabugento '' reside sob uma ponte que Dora e botas devem atravessar, que os desafia com um enigma antes de permitir que eles sejam o passado que precisa ser resolvido com a ajuda do espectador. Conhecida pela quebra constante da quarta parede retratada em todos os episódios, o público geralmente é apresentado a dois pontos de referência primários que devem ser aprovados antes que Dora possa chegar a seu destino, normalmente sendo desafiado com jogos ou quebra -cabeças ao longo do caminho. O episódio sempre termina com Dora atingindo com sucesso a localidade, cantando o `` fizemos! Song com botas em triunfo.</v>
      </c>
    </row>
    <row r="991" customFormat="false" ht="15.75" hidden="false" customHeight="true" outlineLevel="0" collapsed="false">
      <c r="A991" s="3" t="n">
        <v>988</v>
      </c>
      <c r="B991" s="5" t="s">
        <v>2957</v>
      </c>
      <c r="C991" s="5" t="s">
        <v>2958</v>
      </c>
      <c r="D991" s="5" t="s">
        <v>2959</v>
      </c>
      <c r="E991" s="4" t="str">
        <f aca="false">IFERROR(__xludf.dummyfunction("GOOGLETRANSLATE(C992)"),"Onde está o dia da República da Índia comemorada")</f>
        <v>Onde está o dia da República da Índia comemorada</v>
      </c>
      <c r="F991" s="5" t="str">
        <f aca="false">IFERROR(__xludf.dummyfunction("GOOGLETRANSLATE(D991)"),"   Temporada Visitando a equipe da equipe da equipe da casa SCORA OT OT 23 de novembro de 2006 Miami Dolphins 27 Detroit Lions 10 Tampa Bay Buccaneers 10 Dallas Cowboys 38 Denver Broncos 10 Kansas City Chiefs 19 de novembro de 22 de novembro de 2007 Green"&amp;" Bay Packers 37 Detroit Lions 26 York Jets Dallasboys 34 Indianapolis Colts 31 Atlanta Falcons 13 de novembro 27 de 2008 Tennessee Titãs 47 Detroit Lions 10 Seattle Seahawks 9 Dallas Cowboys 34 Arizona Cardinals 20 Philadelphia Eagles 48 26 de novembro de"&amp;" 2009 Pacurchos de Bay Green 34 Lions 12 Oakland Raiders 7 Dallas 78, 26 de novembro de 2009 Green Bay Packers 34 Lions 12 Oakland Raiders 7 GIANTS 6 Denver Broncos 26 de novembro de 2010 New England Patriots 45 Detroit Lions 24 New Orleans Saints 30 Dall"&amp;"as Cowboys 27 Cincinnati Bengals 10 Jets de Nova York 26 de novembro, 24 de novembro de 2011 Bay Packers 27 Leões de Detroit 15 Miami Dolphins 19 Dallas. Francisco 49ers 6 Baltimore Ravens 16 de novembro 22, 2012 Houston Texans 34 Detroit Lions 31 (OT) Wa"&amp;"shington Redskins 38 Dallas Cowboys 31 New England Patriots 49 Jets de Nova York 19 Nov. 28, 2013 Green Bay Packers 10 Detroit Lions 40 Oakland Raiders 24 Dallas Cowboys 31 Pittsburgh Steelers 20 Baltimore Ravens 22 de novembro 27 de novembro de 2014 Chic"&amp;"ago Bears 17 Detroit Lions 34 Philadelphia Eagles 33 Dallas Cowboys 10 Seattle Seahawks 19 San Francisco 49ers 26 de novembro de 2015 2015 Philadelphia Eagles 14 Detroit Lions 45 Carolina Pannther 17 Green Bay Packers 13 de novembro 24, 2016 Minnesota Vik"&amp;"ings 13 Detroit Lions 16 Washington Redskins 26 Dallas Cowboys 31 Pittsburgh Steelers 28 Indianapolis Colts 7 de novembro 23 de 2017 Minnesota Vikings 30 Lions de Detroit 23 Los Angeles Chargers 28 Dallasboys 6 Washington Redskins 20")</f>
        <v>   Temporada Visitando a equipe da equipe da equipe da casa SCORA OT OT 23 de novembro de 2006 Miami Dolphins 27 Detroit Lions 10 Tampa Bay Buccaneers 10 Dallas Cowboys 38 Denver Broncos 10 Kansas City Chiefs 19 de novembro de 22 de novembro de 2007 Green Bay Packers 37 Detroit Lions 26 York Jets Dallasboys 34 Indianapolis Colts 31 Atlanta Falcons 13 de novembro 27 de 2008 Tennessee Titãs 47 Detroit Lions 10 Seattle Seahawks 9 Dallas Cowboys 34 Arizona Cardinals 20 Philadelphia Eagles 48 26 de novembro de 2009 Pacurchos de Bay Green 34 Lions 12 Oakland Raiders 7 Dallas 78, 26 de novembro de 2009 Green Bay Packers 34 Lions 12 Oakland Raiders 7 GIANTS 6 Denver Broncos 26 de novembro de 2010 New England Patriots 45 Detroit Lions 24 New Orleans Saints 30 Dallas Cowboys 27 Cincinnati Bengals 10 Jets de Nova York 26 de novembro, 24 de novembro de 2011 Bay Packers 27 Leões de Detroit 15 Miami Dolphins 19 Dallas. Francisco 49ers 6 Baltimore Ravens 16 de novembro 22, 2012 Houston Texans 34 Detroit Lions 31 (OT) Washington Redskins 38 Dallas Cowboys 31 New England Patriots 49 Jets de Nova York 19 Nov. 28, 2013 Green Bay Packers 10 Detroit Lions 40 Oakland Raiders 24 Dallas Cowboys 31 Pittsburgh Steelers 20 Baltimore Ravens 22 de novembro 27 de novembro de 2014 Chicago Bears 17 Detroit Lions 34 Philadelphia Eagles 33 Dallas Cowboys 10 Seattle Seahawks 19 San Francisco 49ers 26 de novembro de 2015 2015 Philadelphia Eagles 14 Detroit Lions 45 Carolina Pannther 17 Green Bay Packers 13 de novembro 24, 2016 Minnesota Vikings 13 Detroit Lions 16 Washington Redskins 26 Dallas Cowboys 31 Pittsburgh Steelers 28 Indianapolis Colts 7 de novembro 23 de 2017 Minnesota Vikings 30 Lions de Detroit 23 Los Angeles Chargers 28 Dallasboys 6 Washington Redskins 20</v>
      </c>
    </row>
    <row r="992" customFormat="false" ht="15.75" hidden="false" customHeight="true" outlineLevel="0" collapsed="false">
      <c r="A992" s="3" t="n">
        <v>989</v>
      </c>
      <c r="B992" s="5" t="s">
        <v>2960</v>
      </c>
      <c r="C992" s="5" t="s">
        <v>2961</v>
      </c>
      <c r="D992" s="5" t="s">
        <v>2962</v>
      </c>
      <c r="E992" s="4" t="str">
        <f aca="false">IFERROR(__xludf.dummyfunction("GOOGLETRANSLATE(C993)"),"Quanto tempo dura o jogo Legend of Korra")</f>
        <v>Quanto tempo dura o jogo Legend of Korra</v>
      </c>
      <c r="F992" s="5" t="str">
        <f aca="false">IFERROR(__xludf.dummyfunction("GOOGLETRANSLATE(D992)")," A principal celebração do Dia da República é realizada na capital nacional, Nova Délhi, no Rajpath perante o Presidente da Índia. Neste dia, desfiles cerimoniosos ocorrem no Rajpath, que são realizados como uma homenagem à Índia; sua unidade na diversida"&amp;"de e rica herança cultural.")</f>
        <v> A principal celebração do Dia da República é realizada na capital nacional, Nova Délhi, no Rajpath perante o Presidente da Índia. Neste dia, desfiles cerimoniosos ocorrem no Rajpath, que são realizados como uma homenagem à Índia; sua unidade na diversidade e rica herança cultural.</v>
      </c>
    </row>
    <row r="993" customFormat="false" ht="15.75" hidden="false" customHeight="true" outlineLevel="0" collapsed="false">
      <c r="A993" s="3" t="n">
        <v>990</v>
      </c>
      <c r="B993" s="5" t="s">
        <v>2963</v>
      </c>
      <c r="C993" s="5" t="s">
        <v>2964</v>
      </c>
      <c r="D993" s="5" t="s">
        <v>2965</v>
      </c>
      <c r="E993" s="4" t="str">
        <f aca="false">IFERROR(__xludf.dummyfunction("GOOGLETRANSLATE(C994)"),"Qual seção do rim o glomérulo pertence a")</f>
        <v>Qual seção do rim o glomérulo pertence a</v>
      </c>
      <c r="F993" s="5" t="str">
        <f aca="false">IFERROR(__xludf.dummyfunction("GOOGLETRANSLATE(D993)")," O jogo leva cerca de quatro a seis horas para jogar, mas contém `` um novo jogo+ de espécie ''. Isso inclui um corredor interminável com Naga e partidas pró-BENDERS, onde equipes de três tentam se curvar de uma arena. Esse modo, que implementa as regras "&amp;"pró-BENDER mostradas na série, está disponível após concluir o jogo, com o jogador controlando a equipe `` Fire Ferrets '', composta por Korra e seus amigos Mako e Bolin.")</f>
        <v> O jogo leva cerca de quatro a seis horas para jogar, mas contém `` um novo jogo+ de espécie ''. Isso inclui um corredor interminável com Naga e partidas pró-BENDERS, onde equipes de três tentam se curvar de uma arena. Esse modo, que implementa as regras pró-BENDER mostradas na série, está disponível após concluir o jogo, com o jogador controlando a equipe `` Fire Ferrets '', composta por Korra e seus amigos Mako e Bolin.</v>
      </c>
    </row>
    <row r="994" customFormat="false" ht="15.75" hidden="false" customHeight="true" outlineLevel="0" collapsed="false">
      <c r="A994" s="3" t="n">
        <v>991</v>
      </c>
      <c r="B994" s="5" t="s">
        <v>2966</v>
      </c>
      <c r="C994" s="5" t="s">
        <v>2967</v>
      </c>
      <c r="D994" s="5" t="s">
        <v>2968</v>
      </c>
      <c r="E994" s="4" t="str">
        <f aca="false">IFERROR(__xludf.dummyfunction("GOOGLETRANSLATE(C995)"),"que interpreta o bandido em Elmo em Grouchland")</f>
        <v>que interpreta o bandido em Elmo em Grouchland</v>
      </c>
      <c r="F994" s="5" t="str">
        <f aca="false">IFERROR(__xludf.dummyfunction("GOOGLETRANSLATE(D994)")," O glomérulo ( / ɡləˈmɛr (j) əl əs, ɡloʊ - /), glomeruli plural, é uma rede de capilares conhecidos como tufos, localizados no início de um nefron no rim. O tufo é estruturalmente suportado por células mesangiais intraglomerulares. O sangue é filtrado nas"&amp;" paredes capilares deste tufo através da barreira de filtração glomerular, que produz seu filtrado de água e substâncias solúveis a um copo - como o saco conhecido como cápsula de Bowman. O filtrado entra no túbulo renal, do néfron.")</f>
        <v> O glomérulo ( / ɡləˈmɛr (j) əl əs, ɡloʊ - /), glomeruli plural, é uma rede de capilares conhecidos como tufos, localizados no início de um nefron no rim. O tufo é estruturalmente suportado por células mesangiais intraglomerulares. O sangue é filtrado nas paredes capilares deste tufo através da barreira de filtração glomerular, que produz seu filtrado de água e substâncias solúveis a um copo - como o saco conhecido como cápsula de Bowman. O filtrado entra no túbulo renal, do néfron.</v>
      </c>
    </row>
    <row r="995" customFormat="false" ht="15.75" hidden="false" customHeight="true" outlineLevel="0" collapsed="false">
      <c r="A995" s="3" t="n">
        <v>992</v>
      </c>
      <c r="B995" s="5" t="s">
        <v>2969</v>
      </c>
      <c r="C995" s="5" t="s">
        <v>2970</v>
      </c>
      <c r="D995" s="5" t="s">
        <v>2971</v>
      </c>
      <c r="E995" s="4" t="str">
        <f aca="false">IFERROR(__xludf.dummyfunction("GOOGLETRANSLATE(C996)"),"onde está ocorrendo crescimento longitudinal em ossos longos")</f>
        <v>onde está ocorrendo crescimento longitudinal em ossos longos</v>
      </c>
      <c r="F995" s="5" t="str">
        <f aca="false">IFERROR(__xludf.dummyfunction("GOOGLETRANSLATE(D995)")," Mandy gostou como Huxley")</f>
        <v> Mandy gostou como Huxley</v>
      </c>
    </row>
    <row r="996" customFormat="false" ht="15.75" hidden="false" customHeight="true" outlineLevel="0" collapsed="false">
      <c r="A996" s="3" t="n">
        <v>993</v>
      </c>
      <c r="B996" s="5" t="s">
        <v>2972</v>
      </c>
      <c r="C996" s="5" t="s">
        <v>2973</v>
      </c>
      <c r="D996" s="5" t="s">
        <v>2974</v>
      </c>
      <c r="E996" s="4" t="str">
        <f aca="false">IFERROR(__xludf.dummyfunction("GOOGLETRANSLATE(C997)"),"June Lockhart tocou em A Christmas Carol")</f>
        <v>June Lockhart tocou em A Christmas Carol</v>
      </c>
      <c r="F996" s="5" t="str">
        <f aca="false">IFERROR(__xludf.dummyfunction("GOOGLETRANSLATE(D996)")," A ossificação endocondral é responsável pelo desenvolvimento inicial ósseo da cartilagem no útero e dos bebês e pelo crescimento longitudinal de ossos longos na placa epifisária. Os condrócitos da placa estão sob divisão constante por mitose. Essas célul"&amp;"as filhas se empilham de frente para a epífise, enquanto as células mais antigas são empurradas em direção à diafise. À medida que os condrócitos mais antigos degeneram, os osteoblastos ossificam os restos mortais para formar um novo osso. Na puberdade, o"&amp;"s níveis crescentes de estrogênio, tanto fêmeas quanto homens, levam ao aumento da apoptose de condrócitos na placa epifisária. A depleção de condrócitos devido à apoptose leva a menos ossificação e crescimento diminuem e depois para quando toda a cartila"&amp;"gem foi substituída pelo osso, deixando apenas uma fina cicatriz epifisária que mais tarde desaparece.")</f>
        <v> A ossificação endocondral é responsável pelo desenvolvimento inicial ósseo da cartilagem no útero e dos bebês e pelo crescimento longitudinal de ossos longos na placa epifisária. Os condrócitos da placa estão sob divisão constante por mitose. Essas células filhas se empilham de frente para a epífise, enquanto as células mais antigas são empurradas em direção à diafise. À medida que os condrócitos mais antigos degeneram, os osteoblastos ossificam os restos mortais para formar um novo osso. Na puberdade, os níveis crescentes de estrogênio, tanto fêmeas quanto homens, levam ao aumento da apoptose de condrócitos na placa epifisária. A depleção de condrócitos devido à apoptose leva a menos ossificação e crescimento diminuem e depois para quando toda a cartilagem foi substituída pelo osso, deixando apenas uma fina cicatriz epifisária que mais tarde desaparece.</v>
      </c>
    </row>
    <row r="997" customFormat="false" ht="15.75" hidden="false" customHeight="true" outlineLevel="0" collapsed="false">
      <c r="A997" s="3" t="n">
        <v>994</v>
      </c>
      <c r="B997" s="5" t="s">
        <v>2975</v>
      </c>
      <c r="C997" s="5" t="s">
        <v>2976</v>
      </c>
      <c r="D997" s="5" t="s">
        <v>2977</v>
      </c>
      <c r="E997" s="4" t="str">
        <f aca="false">IFERROR(__xludf.dummyfunction("GOOGLETRANSLATE(C998)"),"Quando o novo filme do Predator será lançado")</f>
        <v>Quando o novo filme do Predator será lançado</v>
      </c>
      <c r="F997" s="5" t="str">
        <f aca="false">IFERROR(__xludf.dummyfunction("GOOGLETRANSLATE(D997)")," Junho Lockhart como Belinda Cratchit (sem créditos)")</f>
        <v> Junho Lockhart como Belinda Cratchit (sem créditos)</v>
      </c>
    </row>
    <row r="998" customFormat="false" ht="15.75" hidden="false" customHeight="true" outlineLevel="0" collapsed="false">
      <c r="A998" s="3" t="n">
        <v>995</v>
      </c>
      <c r="B998" s="5" t="s">
        <v>2978</v>
      </c>
      <c r="C998" s="5" t="s">
        <v>2979</v>
      </c>
      <c r="D998" s="5" t="s">
        <v>2980</v>
      </c>
      <c r="E998" s="4" t="str">
        <f aca="false">IFERROR(__xludf.dummyfunction("GOOGLETRANSLATE(C999)"),"Quem é o ator que interpreta Jesus em Walking Dead")</f>
        <v>Quem é o ator que interpreta Jesus em Walking Dead</v>
      </c>
      <c r="F998" s="5" t="str">
        <f aca="false">IFERROR(__xludf.dummyfunction("GOOGLETRANSLATE(D998)")," O filme é estrelado por Boyd Holbrook, Olivia Munn, Trevante Rhodes, Keegan - Michael Key, Sterling K. Brown, Jacob Tremblay, Yvonne Strahovski, Alfie Allen e Thomas Jane. Concluiu as filmagens em junho de 2017 e deve ser lançado em 14 de setembro de 201"&amp;"8, até a 20th Century Fox em IMAX, 3D, além de formatos padrão.")</f>
        <v> O filme é estrelado por Boyd Holbrook, Olivia Munn, Trevante Rhodes, Keegan - Michael Key, Sterling K. Brown, Jacob Tremblay, Yvonne Strahovski, Alfie Allen e Thomas Jane. Concluiu as filmagens em junho de 2017 e deve ser lançado em 14 de setembro de 2018, até a 20th Century Fox em IMAX, 3D, além de formatos padrão.</v>
      </c>
    </row>
    <row r="999" customFormat="false" ht="15.75" hidden="false" customHeight="true" outlineLevel="0" collapsed="false">
      <c r="A999" s="3" t="n">
        <v>996</v>
      </c>
      <c r="B999" s="5" t="s">
        <v>2981</v>
      </c>
      <c r="C999" s="5" t="s">
        <v>2982</v>
      </c>
      <c r="D999" s="5" t="s">
        <v>2983</v>
      </c>
      <c r="E999" s="4" t="str">
        <f aca="false">IFERROR(__xludf.dummyfunction("GOOGLETRANSLATE(C1000)"),"Quando foi a última vez que Collingwood jogou finais")</f>
        <v>Quando foi a última vez que Collingwood jogou finais</v>
      </c>
      <c r="F999" s="5" t="str">
        <f aca="false">IFERROR(__xludf.dummyfunction("GOOGLETRANSLATE(D999)")," Thomas Payne (nascido em 21 de dezembro de 1982) é um ator inglês. Ele é mais conhecido por aparecer no AMC, The Walking Dead como Paul `` Jesus '' 'Rovia.")</f>
        <v> Thomas Payne (nascido em 21 de dezembro de 1982) é um ator inglês. Ele é mais conhecido por aparecer no AMC, The Walking Dead como Paul `` Jesus '' 'Rovia.</v>
      </c>
    </row>
    <row r="1000" customFormat="false" ht="15.75" hidden="false" customHeight="true" outlineLevel="0" collapsed="false">
      <c r="A1000" s="3" t="n">
        <v>997</v>
      </c>
      <c r="B1000" s="5" t="s">
        <v>2984</v>
      </c>
      <c r="C1000" s="5" t="s">
        <v>2985</v>
      </c>
      <c r="D1000" s="5" t="s">
        <v>2986</v>
      </c>
      <c r="E1000" s="4" t="str">
        <f aca="false">IFERROR(__xludf.dummyfunction("GOOGLETRANSLATE(C1001)"),"quem é o pai de Mulder nos arquivos X")</f>
        <v>quem é o pai de Mulder nos arquivos X</v>
      </c>
      <c r="F1000" s="5" t="str">
        <f aca="false">IFERROR(__xludf.dummyfunction("GOOGLETRANSLATE(D1000)")," Em 2018, Collingwood chegou às finais pela primeira vez desde 2013, terminando em terceiro lugar atrás da costa oeste e Richmond. Perdendo a segunda final de qualificação para a costa oeste, eles venceram o GWS e os estreantes Richmond para chegar à Gran"&amp;"de Final de 2018, onde foram derrotados por 79 - 74 pelo West Coast Eagles.")</f>
        <v> Em 2018, Collingwood chegou às finais pela primeira vez desde 2013, terminando em terceiro lugar atrás da costa oeste e Richmond. Perdendo a segunda final de qualificação para a costa oeste, eles venceram o GWS e os estreantes Richmond para chegar à Grande Final de 2018, onde foram derrotados por 79 - 74 pelo West Coast Eagles.</v>
      </c>
    </row>
    <row r="1001" customFormat="false" ht="15.75" hidden="false" customHeight="true" outlineLevel="0" collapsed="false">
      <c r="A1001" s="3" t="n">
        <v>998</v>
      </c>
      <c r="B1001" s="5" t="s">
        <v>2987</v>
      </c>
      <c r="C1001" s="5" t="s">
        <v>2988</v>
      </c>
      <c r="D1001" s="5" t="s">
        <v>2989</v>
      </c>
      <c r="E1001" s="4" t="str">
        <f aca="false">IFERROR(__xludf.dummyfunction("GOOGLETRANSLATE(C1002)"),"De onde veio o nome Whoopie Pie")</f>
        <v>De onde veio o nome Whoopie Pie</v>
      </c>
      <c r="F1001" s="5" t="str">
        <f aca="false">IFERROR(__xludf.dummyfunction("GOOGLETRANSLATE(D1001)"),"   FOX MULDER O personagem de arquivos X Primeira aparição `` Pilot '' (10 de setembro de 1993) retratada por David Duchovny City Washington, DC Ocupação de informações do FBI Família de Agente Especial O homem do fumante (pai biológico) Teena Mulder (Mãe"&amp;") Bill Mulder (Legal Pai) Jeffrey Spender (metade paterna - irmão) Samantha Mulder (meia -irmã materna) William Scully (filho) Parceiros infantis da infância Dana Scully Affiliações John Doggett Monica Reyes Walter Skinner A duração solitária de armários "&amp;"1993 - 2002, 2008, 2018, 2018 - - -Temporadas 1 2 3 4 5 6 7 8 9 10 11 Filmes The X-Files, The X-Files: Eu quero acreditar")</f>
        <v>   FOX MULDER O personagem de arquivos X Primeira aparição `` Pilot '' (10 de setembro de 1993) retratada por David Duchovny City Washington, DC Ocupação de informações do FBI Família de Agente Especial O homem do fumante (pai biológico) Teena Mulder (Mãe) Bill Mulder (Legal Pai) Jeffrey Spender (metade paterna - irmão) Samantha Mulder (meia -irmã materna) William Scully (filho) Parceiros infantis da infância Dana Scully Affiliações John Doggett Monica Reyes Walter Skinner A duração solitária de armários 1993 - 2002, 2008, 2018, 2018 - - -Temporadas 1 2 3 4 5 6 7 8 9 10 11 Filmes The X-Files, The X-Files: Eu quero acreditar</v>
      </c>
    </row>
    <row r="1002" customFormat="false" ht="15.75" hidden="false" customHeight="true" outlineLevel="0" collapsed="false">
      <c r="A1002" s="3" t="n">
        <v>999</v>
      </c>
      <c r="B1002" s="5" t="s">
        <v>2990</v>
      </c>
      <c r="C1002" s="5" t="s">
        <v>2991</v>
      </c>
      <c r="D1002" s="5" t="s">
        <v>2992</v>
      </c>
      <c r="E1002" s="4" t="str">
        <f aca="false">IFERROR(__xludf.dummyfunction("GOOGLETRANSLATE(C1003)"),"que venceu a Liga dos Campeões de volta")</f>
        <v>que venceu a Liga dos Campeões de volta</v>
      </c>
      <c r="F1002" s="5" t="str">
        <f aca="false">IFERROR(__xludf.dummyfunction("GOOGLETRANSLATE(D1002)")," Pensilvânia, Maine, Massachusetts, Virgínia e New Hampshire afirmam ser o local de nascimento da torta de whoopie. O Departamento de Convenções e Visitantes da Convenção e Visitantes da Pensilvânia observa que a receita da Pie Whoopie vem da cultura alem"&amp;"ã Amish e da Pensilvânia da região - origens que dificilmente deixarão uma trilha oficial de papel - e foram transmitidas por gerações. A padaria de Labadie em Lewiston, Maine, faz a confecção desde 1925. A empresa de bolo de Roxbury, de Rowwick, de manei"&amp;"ra extinta, vendendo `` tortas de whoopee '' já na década de 1920, mas oficialmente classificou a torta de whoopee em 1928 com grande sucesso. Várias reivindicações sugerem que a torta de whoopie se originou em Massachusetts e espalhou o norte e o sul, ou"&amp;" que os imigrantes alemães na Pensilvânia trouxeram o antecessor da torta de gritos para comunidades em todo o nordeste. Uma pista de como a sobremesa possivelmente Amish ficou tão popular na Nova Inglaterra pode ser encontrada em um livro de receitas da "&amp;"década de 1930 chamado Yummy Book da Durkee Mower Company, fabricante de Marshmallow Fluff. Neste livro de receitas da Nova Inglaterra, uma receita para `` Amish Whoopie Pie '' foi apresentada usando o Marshmallow Fluff no recheio.")</f>
        <v> Pensilvânia, Maine, Massachusetts, Virgínia e New Hampshire afirmam ser o local de nascimento da torta de whoopie. O Departamento de Convenções e Visitantes da Convenção e Visitantes da Pensilvânia observa que a receita da Pie Whoopie vem da cultura alemã Amish e da Pensilvânia da região - origens que dificilmente deixarão uma trilha oficial de papel - e foram transmitidas por gerações. A padaria de Labadie em Lewiston, Maine, faz a confecção desde 1925. A empresa de bolo de Roxbury, de Rowwick, de maneira extinta, vendendo `` tortas de whoopee '' já na década de 1920, mas oficialmente classificou a torta de whoopee em 1928 com grande sucesso. Várias reivindicações sugerem que a torta de whoopie se originou em Massachusetts e espalhou o norte e o sul, ou que os imigrantes alemães na Pensilvânia trouxeram o antecessor da torta de gritos para comunidades em todo o nordeste. Uma pista de como a sobremesa possivelmente Amish ficou tão popular na Nova Inglaterra pode ser encontrada em um livro de receitas da década de 1930 chamado Yummy Book da Durkee Mower Company, fabricante de Marshmallow Fluff. Neste livro de receitas da Nova Inglaterra, uma receita para `` Amish Whoopie Pie '' foi apresentada usando o Marshmallow Fluff no recheio.</v>
      </c>
    </row>
    <row r="1003" customFormat="false" ht="15.75" hidden="false" customHeight="true" outlineLevel="0" collapsed="false">
      <c r="A1003" s="3" t="n">
        <v>1000</v>
      </c>
      <c r="B1003" s="5" t="s">
        <v>2993</v>
      </c>
      <c r="C1003" s="5" t="s">
        <v>2994</v>
      </c>
      <c r="D1003" s="5" t="s">
        <v>2995</v>
      </c>
      <c r="E1003" s="4" t="str">
        <f aca="false">IFERROR(__xludf.dummyfunction("GOOGLETRANSLATE(C1004)"),"Quantas saídas no I 95 North na Virgínia")</f>
        <v>Quantas saídas no I 95 North na Virgínia</v>
      </c>
      <c r="F1003" s="5" t="str">
        <f aca="false">IFERROR(__xludf.dummyfunction("GOOGLETRANSLATE(D1003)")," Lista de finais da Copa da Europa e da UEFA Finals da Liga dos Campeões # vencedores da temporada de vencedores do país - UP Local da Nação ATT. 1955 - 56 Espanha Real Madrid 4 - 3 Reims France Parc des Princes, Paris 38.239 1956 - 57 Espanha Real Madrid"&amp;" 2 - 0 Fiorentina Itália Santiago Bernabéu Estádio, Madri 124.000 1957 - 58 Espanha Real Madrid 3 - 2 milan Italy   Heysel Stadium , Brussels   67,000       1958 -- 59   Spain   Real Madrid   2 -- 0   Reims   France   Neckarstadion , Stuttgart   72,000   "&amp;"  5   1959 -- 60   Spain   Real Madrid   7 -- 3   Eintracht Frankfurt   West Germany   Hampden Park , Glasgow   127,621     6   1960 -- 61   Portugal Benfica   3 -- 2   Barcelona   Spain   Wankdorf Stadium , Bern   26,732     7   1961 -- 62   Portugal   B"&amp;"enfica   5 -- 3   Real Madrid   Spain   Olympisch Stadion , Amsterdam   61,257     8   1962 -- 63   Italy   Milan   2 -- 1   Benfica   Portugal   Wembley Stadium , London   45,715     9 1963 - 64 Itália Internazionale 3 - 1 Real Madrid Spain Prater Stadiu"&amp;"m, Viena 71.333 10 1964 - 65 Itália Internazionale 1 - 0 Benfica Portugal San Siro, Milan 89.000 11 1965 - 66 Espanha Real Madrid 2 - 1 Partizan Yugoslavia Heysel Stadium, Bruxelas 46.745 12 1966 - 67 Scotland Celtic 2 - 1 Internazionale Italy Estádo Naci"&amp;"onal, Lisboa 45.000 13 1967 - 68 Inglaterra Manchester United 4 - 1 Benfica Portugal Wembley Stadium, Londres 92.225 14 1968 - 69 - 1 Ajax Holanda Santiago Bernabéu Estádio, Madri 31.782 15 1969 - 70 Holanda Feyenoord 2 - 1 Celtic Scotland San Siro, Milan"&amp;" 53.187 16 1970 - 71 Holanda Ajax 2 - 0 Panathinaikos Greece Wembley Wembley - 72 Holanda Ajax 2 - 0 Internazionale Italy de Kuip, Roterdã 61.354 18 1972 - 73 Holanda Ajax 1 - 0 Juventus Itália Red Star Stadium, Belgrado 89.484 19 1973 - 74 Alemanha Ocide"&amp;"ntal Bayern Munich 4 - 0 ATLÉTICO Heysel Stadium, Bruxelas 72.047 20 1974 - 75 Alemanha Ocidental Bayern Munique 2 - 0 Leeds United Inglaterra Parc des Princes, Paris 48.374 21 1975 - 76 Alemanha Ocidental Bayern Munique 1 - 0 Saint - Étienne France Hampd"&amp;"en Park, Glasgow 54,84 22 22 22 22 22 22 22 22 22 22 22 22 22 22 22 22 22 22 22 22 22 22 22 22 1976 - 77 Inglaterra Liverpool 3 - 1 Borussia Mönchengladbach Alemanha Ocidental Estadio Olimpico, Roma 57.000 23 1977 - 78 Inglaterra Liverpool 1 - 0 Clube Bru"&amp;"gge Belgium Stadium Wembley Malmö FF Suécia Olympiastadion, Munique 57.500 25 1979 - 80 Inglaterra Nottingham Forest 1 - 0 Hamburgo Alemanha Ocidental Santiago Bernabéu Estádio, Madri 51.000 26 1980 - 81 Inglaterra Liverpool 1 - 0 Real Madrid Spain Spain "&amp;"Des Princes, paris - 82 Inglaterra Aston Villa 1- 0 Alemanha Ocidental de Munique de Munique, Roterdã 46.000 28 1982- 83 Alemanha Ocidental Hamburgo 1- 0 Juventus Itália Estádio Olímpico, Atenas 73.500 29 1983- 84 Inglaterra Liverpool 1- 1 * Roma Itália S"&amp;"tadio Olimpico, Roma 69.693 30 1984 - 85 Itália Juventus 1 - 0 Liverpool Inglaterra estádio Heysel, Bruxelas 58.000 31 1985 - 86 Romênia Steaua -București 0 - 0 * Barcelona Espanha Estadio Ramón Sánchez Pizjuá - 87 Portugal Porto 2 - 1 Bayern Munique Alem"&amp;"anha Ocidental Pratater Stadium, Viena 57.500 33 1987 - 88 Holanda PSV Eindhoven 0 - 0 * Benfica Portugal Neckarstadion, Stuttgart 68.000 34 1988 - 89 Itália Milan 4 - 0 STTUCUREIșTROMANA ROMANOUMA ROMANA ș ROMANA Camp Nou, Barcelona 97.000 35 1989 - 90 I"&amp;"tália Milão 1 - 0 Benfica Portugal Prater Stadium, Viena 57.558 36 1990 - 91 Estrela da Iugoslávia Belgrado 0 - 0 * Marselha France Stadio San Nicola, Bari 56.000 37 1991 - 92 - 92 Spain   Barcelona   1 -- 0   Sampdoria   Italy   Wembley Stadium , London "&amp;"  70,827     38   1992 -- 93   France   Marseille   1 -- 0   Milan   Italy   Olympiastadion , Munich   64,400     39   1993 -- 94   Italy   Milan   4 -- 0   Barcelona   Spain   Olympic Stadium , Athens   70,000     40   1994 - 95 Holanda Ajax 1 - 0 Milão "&amp;"Itália Ernst - Happel - Stadion, Viena 49.730 41 1995 - 96 Itália Juventus 1 - 1 * Ajax Holanda Stadio Olimpico, Roma 70.000 42 1996 - 97 Germany Borussia Dortmund 3 - 1 Juventus Itália Olympiastadion, Munique 59.000 43 1997 - 98 Espanha Real Madrid 1 - 0"&amp;" Juventus Itália Amsterdam Arena, Amsterdã 48.500 44 1998 - 99 Inglaterra Manchester United 2 - 1 Bayern Munich Germany Camp Nou, Barcelona 90,245 45 1999 - 00 - 00 - 00 Bayern Alemanha Camp Nou, Barcelona 90,245 45 1999 Espanha Real Madrid 3 - 0 Valencia"&amp;" Espanha Stade de France, Saint - Denis 80.000 46 2000 - 01 Alemanha Bayern de Munique 1 - 1 * Valencia Espanha San Siro, Milão 71.500 47 2001 - 02 Espanha Real Madrid 2 - 1 Bayer Leverkusen Alemanha Hampden Park, Glasgow 50.499 48 2002 - 03 Itália Milão "&amp;"0 - 0 * Juventus Itália Old Trafford, Manchester 62.315 49 2003 - 04 Porto Porto 3 - 0 Monaco France Arena Aufschalke, Gelsenkirchen 53,053.0 30 30 32010. Liverpool 3 - 3 * Milão Itália Atatürk Estádio Olímpico, Istambul 69.000 51 2005 - 06 Espanha Barcel"&amp;"ona 2 - 1 Arsenal Inglaterra Stade de France, Saint - Denis 79.610 52 2006 - 07 Itália Milan 2 - 1 Liverpool Inglaterra Stadium , Atenas 63.000 53 2007 - 08 Inglaterra Manchester United 1 - 1 * Chelsea Inglaterra Luzhniki Estádio, Moscou 67.310 54 2008 - "&amp;"09 Espanha Barcelona 2 - 0 Manchester United Inglaterra Stadio Olimpico, Roma 62.467 55 2009 - 10 Italy Intália 20 - 0 Bayern de Munique Alemanha Santiago Bernabéu Estádio, Madri 73.490 56 2010- 11 Espanha Barcelona 3- 1 Manchester United Inglaterra estád"&amp;"io de Wembley, Londres 87.695 57 2011- 12 Inglaterra Chelsea 1- 1 * Bayern Munich Allianz Arena, Munich 62.500 58 2012 - 13 Alemanha Bayern de Munique 2 - 1 Borussia Dortmund Alemanha estádio de Wembley, Londres 86.298 59 2013 - 14 Espanha Real Madrid 4 -"&amp;" 1 Atlético Madrid Espanha BARCELO - 1 Juventus Itália Olympiastadion, Berlim 70.442 61 2015- 16 Espanha Real Madrid 1- 1 * Atlético Madrid Espanha San Siro, Milão 71.942 62 2016- 17 Espanha Real Madrid 4- 1 Juventus Italy Millennium Stadium, Cardiff 65,8"&amp;"2.2 2017 - 18 Espanha Real Madrid 3 - 1 Liverpool Inglaterra NSC OLIMPIYSKIY Estádio, Kiev 61.561 Finals # Finalista da temporada Nação Match Nation Local 64 2018 - 19 Wanda Metropolitano, Madrid 65 2019 - 20 Atatürk Olympica Stadium, ISTERBL")</f>
        <v> Lista de finais da Copa da Europa e da UEFA Finals da Liga dos Campeões # vencedores da temporada de vencedores do país - UP Local da Nação ATT. 1955 - 56 Espanha Real Madrid 4 - 3 Reims France Parc des Princes, Paris 38.239 1956 - 57 Espanha Real Madrid 2 - 0 Fiorentina Itália Santiago Bernabéu Estádio, Madri 124.000 1957 - 58 Espanha Real Madrid 3 - 2 milan Italy   Heysel Stadium , Brussels   67,000       1958 -- 59   Spain   Real Madrid   2 -- 0   Reims   France   Neckarstadion , Stuttgart   72,000     5   1959 -- 60   Spain   Real Madrid   7 -- 3   Eintracht Frankfurt   West Germany   Hampden Park , Glasgow   127,621     6   1960 -- 61   Portugal Benfica   3 -- 2   Barcelona   Spain   Wankdorf Stadium , Bern   26,732     7   1961 -- 62   Portugal   Benfica   5 -- 3   Real Madrid   Spain   Olympisch Stadion , Amsterdam   61,257     8   1962 -- 63   Italy   Milan   2 -- 1   Benfica   Portugal   Wembley Stadium , London   45,715     9 1963 - 64 Itália Internazionale 3 - 1 Real Madrid Spain Prater Stadium, Viena 71.333 10 1964 - 65 Itália Internazionale 1 - 0 Benfica Portugal San Siro, Milan 89.000 11 1965 - 66 Espanha Real Madrid 2 - 1 Partizan Yugoslavia Heysel Stadium, Bruxelas 46.745 12 1966 - 67 Scotland Celtic 2 - 1 Internazionale Italy Estádo Nacional, Lisboa 45.000 13 1967 - 68 Inglaterra Manchester United 4 - 1 Benfica Portugal Wembley Stadium, Londres 92.225 14 1968 - 69 - 1 Ajax Holanda Santiago Bernabéu Estádio, Madri 31.782 15 1969 - 70 Holanda Feyenoord 2 - 1 Celtic Scotland San Siro, Milan 53.187 16 1970 - 71 Holanda Ajax 2 - 0 Panathinaikos Greece Wembley Wembley - 72 Holanda Ajax 2 - 0 Internazionale Italy de Kuip, Roterdã 61.354 18 1972 - 73 Holanda Ajax 1 - 0 Juventus Itália Red Star Stadium, Belgrado 89.484 19 1973 - 74 Alemanha Ocidental Bayern Munich 4 - 0 ATLÉTICO Heysel Stadium, Bruxelas 72.047 20 1974 - 75 Alemanha Ocidental Bayern Munique 2 - 0 Leeds United Inglaterra Parc des Princes, Paris 48.374 21 1975 - 76 Alemanha Ocidental Bayern Munique 1 - 0 Saint - Étienne France Hampden Park, Glasgow 54,84 22 22 22 22 22 22 22 22 22 22 22 22 22 22 22 22 22 22 22 22 22 22 22 22 1976 - 77 Inglaterra Liverpool 3 - 1 Borussia Mönchengladbach Alemanha Ocidental Estadio Olimpico, Roma 57.000 23 1977 - 78 Inglaterra Liverpool 1 - 0 Clube Brugge Belgium Stadium Wembley Malmö FF Suécia Olympiastadion, Munique 57.500 25 1979 - 80 Inglaterra Nottingham Forest 1 - 0 Hamburgo Alemanha Ocidental Santiago Bernabéu Estádio, Madri 51.000 26 1980 - 81 Inglaterra Liverpool 1 - 0 Real Madrid Spain Spain Des Princes, paris - 82 Inglaterra Aston Villa 1- 0 Alemanha Ocidental de Munique de Munique, Roterdã 46.000 28 1982- 83 Alemanha Ocidental Hamburgo 1- 0 Juventus Itália Estádio Olímpico, Atenas 73.500 29 1983- 84 Inglaterra Liverpool 1- 1 * Roma Itália Stadio Olimpico, Roma 69.693 30 1984 - 85 Itália Juventus 1 - 0 Liverpool Inglaterra estádio Heysel, Bruxelas 58.000 31 1985 - 86 Romênia Steaua -București 0 - 0 * Barcelona Espanha Estadio Ramón Sánchez Pizjuá - 87 Portugal Porto 2 - 1 Bayern Munique Alemanha Ocidental Pratater Stadium, Viena 57.500 33 1987 - 88 Holanda PSV Eindhoven 0 - 0 * Benfica Portugal Neckarstadion, Stuttgart 68.000 34 1988 - 89 Itália Milan 4 - 0 STTUCUREIșTROMANA ROMANOUMA ROMANA ș ROMANA Camp Nou, Barcelona 97.000 35 1989 - 90 Itália Milão 1 - 0 Benfica Portugal Prater Stadium, Viena 57.558 36 1990 - 91 Estrela da Iugoslávia Belgrado 0 - 0 * Marselha France Stadio San Nicola, Bari 56.000 37 1991 - 92 - 92 Spain   Barcelona   1 -- 0   Sampdoria   Italy   Wembley Stadium , London   70,827     38   1992 -- 93   France   Marseille   1 -- 0   Milan   Italy   Olympiastadion , Munich   64,400     39   1993 -- 94   Italy   Milan   4 -- 0   Barcelona   Spain   Olympic Stadium , Athens   70,000     40   1994 - 95 Holanda Ajax 1 - 0 Milão Itália Ernst - Happel - Stadion, Viena 49.730 41 1995 - 96 Itália Juventus 1 - 1 * Ajax Holanda Stadio Olimpico, Roma 70.000 42 1996 - 97 Germany Borussia Dortmund 3 - 1 Juventus Itália Olympiastadion, Munique 59.000 43 1997 - 98 Espanha Real Madrid 1 - 0 Juventus Itália Amsterdam Arena, Amsterdã 48.500 44 1998 - 99 Inglaterra Manchester United 2 - 1 Bayern Munich Germany Camp Nou, Barcelona 90,245 45 1999 - 00 - 00 - 00 Bayern Alemanha Camp Nou, Barcelona 90,245 45 1999 Espanha Real Madrid 3 - 0 Valencia Espanha Stade de France, Saint - Denis 80.000 46 2000 - 01 Alemanha Bayern de Munique 1 - 1 * Valencia Espanha San Siro, Milão 71.500 47 2001 - 02 Espanha Real Madrid 2 - 1 Bayer Leverkusen Alemanha Hampden Park, Glasgow 50.499 48 2002 - 03 Itália Milão 0 - 0 * Juventus Itália Old Trafford, Manchester 62.315 49 2003 - 04 Porto Porto 3 - 0 Monaco France Arena Aufschalke, Gelsenkirchen 53,053.0 30 30 32010. Liverpool 3 - 3 * Milão Itália Atatürk Estádio Olímpico, Istambul 69.000 51 2005 - 06 Espanha Barcelona 2 - 1 Arsenal Inglaterra Stade de France, Saint - Denis 79.610 52 2006 - 07 Itália Milan 2 - 1 Liverpool Inglaterra Stadium , Atenas 63.000 53 2007 - 08 Inglaterra Manchester United 1 - 1 * Chelsea Inglaterra Luzhniki Estádio, Moscou 67.310 54 2008 - 09 Espanha Barcelona 2 - 0 Manchester United Inglaterra Stadio Olimpico, Roma 62.467 55 2009 - 10 Italy Intália 20 - 0 Bayern de Munique Alemanha Santiago Bernabéu Estádio, Madri 73.490 56 2010- 11 Espanha Barcelona 3- 1 Manchester United Inglaterra estádio de Wembley, Londres 87.695 57 2011- 12 Inglaterra Chelsea 1- 1 * Bayern Munich Allianz Arena, Munich 62.500 58 2012 - 13 Alemanha Bayern de Munique 2 - 1 Borussia Dortmund Alemanha estádio de Wembley, Londres 86.298 59 2013 - 14 Espanha Real Madrid 4 - 1 Atlético Madrid Espanha BARCELO - 1 Juventus Itália Olympiastadion, Berlim 70.442 61 2015- 16 Espanha Real Madrid 1- 1 * Atlético Madrid Espanha San Siro, Milão 71.942 62 2016- 17 Espanha Real Madrid 4- 1 Juventus Italy Millennium Stadium, Cardiff 65,82.2 2017 - 18 Espanha Real Madrid 3 - 1 Liverpool Inglaterra NSC OLIMPIYSKIY Estádio, Kiev 61.561 Finals # Finalista da temporada Nação Match Nation Local 64 2018 - 19 Wanda Metropolitano, Madrid 65 2019 - 20 Atatürk Olympica Stadium, ISTERBL</v>
      </c>
    </row>
    <row r="1004" customFormat="false" ht="15.75" hidden="false" customHeight="true" outlineLevel="0" collapsed="false">
      <c r="A1004" s="3" t="n">
        <v>1001</v>
      </c>
      <c r="B1004" s="5" t="s">
        <v>2996</v>
      </c>
      <c r="C1004" s="5" t="s">
        <v>2997</v>
      </c>
      <c r="D1004" s="5" t="s">
        <v>2998</v>
      </c>
      <c r="E1004" s="4" t="str">
        <f aca="false">IFERROR(__xludf.dummyfunction("GOOGLETRANSLATE(C1005)"),"Quando foi liderado proibido em gasolina nos EUA")</f>
        <v>Quando foi liderado proibido em gasolina nos EUA</v>
      </c>
      <c r="F1004" s="5" t="str">
        <f aca="false">IFERROR(__xludf.dummyfunction("GOOGLETRANSLATE(D1004)"),"   Localização do Condado Mi Km de destinos de saída Notas Greensville 0,00 0,00 I - 95 Sul - Continuação de montagem rochosa para Skippers da Carolina do Norte 4.13 6,65 SR 629 - Skippers 8.25 13.28 8 US 301 - Emporia Cidade de Emporia 11,00 17,70 11 EUA"&amp;" 58 - South Hill, Emporia, Norfolk assinou como saídas 11a (oeste) e 11b (leste) Greensville 12,99 20,91 12 Us 301 Exit North North apenas 13,51 21,74 13 SR 614 - Emporia Sussex 17.30 27,84 17 US 301 20.25 32.59 20 20 631 - Jarratt ex -SR 137; Para SR 139"&amp;" Owens 24,29 39.09 24 SR 645 Stony Creek 30.92 49,76 31 SR 40 - Stony Creek, Waverly 33,37 53.70 33 SR 602 Prince George Carson 37.15 59.79 37 SR 623 - Carson 41 West 141 West. SR 35 / SR 156 - Courtland Kingwood 45.42 73.10 45 US 301 46,53 74.88 46 I - 2"&amp;"95 Norte para I - 64 - Washington, Aeroporto Internacional de Richmond I - 295 a 95 Exit North 1 Cidade de Petersburgo 47,74 76,83 47 Sr 629 ( Rives Road) 48,89 78,68 48 Wagner Road (US 460 leste) assinada como saídas 48a (leste) e 48b (oeste); Extremito "&amp;"sul de 460 sobreposição; Serve Southside Regional Medical Center 50 80 50 US 460 BUS. Leste (County Drive) para SR 109 / US 301 (Crater Road) / Wythe Street / Washington Street - Fort Lee, histórica Old Towne Petersburg Northbound assinada como `` US 460 "&amp;"East to Sr 109 / US 301 / Wythe St. / Washington St. ''; Southbound assinou como `` `barramento 301 / US 460. '' apenas ; Assinado como saídas 50a (EUA 460), 50b - c (US 301) e 50d (Wythe St. / Washington st.) Norte 51,71 83.22 51 I - 85 South / US 460 We"&amp;"st - Durham, Atlanta, Blackstone, South Hill, Hill Northern Fim do US 460 Concorrência; Northern terminus of I - 85     52   84   52   Bank Street   Northbound exit only     52.15   83.93   Washington Street / Wythe Street -- Petersburg National Battlefie"&amp;"ld       Appomattox River   52.79   84.96   Appomattox River Bridge     City of Colonial Heights   53.00   85.30   53   Southpark Boulevard       53.98   86.87   54   SR 144 ( Temple Avenue ) para SR 36 Chesterfield 57,91 93.20 58 SR 620 (Woods Edge Road)"&amp;" / SR 746 (Ruffin Mill Road) assinou como saídas 58a (oeste) e 58b (leste) Chester 60,81 97,86 61 Sr 10 a I - 295 - Chester 60,81 97,86 61 SR 10 a I - 295 - Chester 60,81 , Hopewell assinou como saídas 61a (leste) e 61b (oeste) 62.62 100,78 62 SR 288 NORT"&amp;"E PARA I - 64 / SR 76 / POWHITE Parkway (SR 76) - Chesterfield 64.66 104.06 64 SR 613 (Willis) Bensley 67.43 108,52 67 SR 150 Norte (Chippenham Parkway) para SR 895 East a US 60 West / US 360 West / I - 295 - Aeroporto Internacional de Richmond assinou co"&amp;"mo saídas 67A (leste) e 67B (norte) Northbound; Sem acesso de I - 95 ao sul a SR 895 Cidade Leste de Richmond 69.35 111.61 69 SR 161 (Bells Road) 73.16 117,74 73 Rua Maury / Commerce Road 73.61 118.46 James River Bridge 74.01 119.19A 74A SR 195 Toll (Down"&amp;"town Expressway) para I -I -I -I -I -I -I -1919. North / Powhite Parkway (SR 76 Sul) 74.3 119,6 74B Franklin Street Saia Southbound Somente 74,63 120.11 74c US 250 (Broad Street) para nós 33 Não acessar o I - 95 South a US 250 East 75.55 121.59 75 I - 64 "&amp;"Rua Leste / 7 - Williamsburg, Norfolk, Virginia Beach, Aeroporto Internacional de Richmond End em I - 64 Concorrência; I - 64 Exit 190 75.85 122.07 76a Avenida Chamberlayne (US 1 / US 301 Norte) Exit Northbound e entrada sul 76.09 122,45 76B US 1 / US 301"&amp;" Sul (Belvidere Street) sem saída norte 78.06 125.63 78. I - 64 West / I - 195 Sul / para Powhite Parkway (SR 76 Sul) - Charlottesville Northern End da I - 64 Concorrência; I - 64 Exit 187 79.91 128.60 80 SR 161 (Hermitage Road / Lakeside Avenue) Exit Nor"&amp;"thbound e entrada sul Henrico Brook Hill 80.82 130.07 81 US 1 (Brook Road) Exit Northbound e Sul. Avenue) Ex -Terminus do Norte de Richmond - Petersburg Turnpike Yellow Tavern 82.94 133.48 83 SR 73 West (Parham Road) assinou como saídas 83A (leste) e 83b "&amp;"(oeste) 84.41 135.84 84 I - 295 a I - 64 - Charlottesville, Norfolk, Rocky Mount, NC, Aeroporto Internacional de Richmond assinou como saídas 84a (sul) e 84b (norte); I - 295 Exit 43 Hanover Ashland 87,30 140,50 86 SR 656 - Atlee, Elmont assinou como saíd"&amp;"as 86a (leste) e 86b (oeste) Lewistown 89.09 143.38 89 SR 802 (Lewistown), Ashland, 91.74 147.64 92 92 92. Assinado como saídas 92a (leste) e 92b (oeste) Northbound 97.75 157.31 98 SR 30 - Doswell, West Point, Kings Dominion Caroline Carmel Church 104.18 "&amp;"167.66 104 SR 207 para nós 301 - Carmel Church, Browling Green Ladysmith 110.30 177.30.5. SR 639 - Ladysmith para o ex -SR 229 West Spotsylvania Thornburg 118.26 190.32 118 SR 606 - Thornburg 125,84 202.52 126 EUA 1 / US 17 South - Spotsylvania, Frederick"&amp;"sburg Southern End of Us 17 Concorrente; Assinado como saídas 126a (norte) e 126b (sul) na cidade de Fredericksburg 129.54 208,47 130 SR 3 - Culpeper, Fredericksburg assinou como saída 130a (leste) e 130b (oeste) Rappahannock 131.83 21 212.116 RappAhnAnn."&amp;" US 17 NORTH / US 17 BUS. Sul - Warrenton, Falmouth, Fredericksburg Northern End of Us 17 Concurrency; Assinado como EXITS 133A (Sul) e 133b (norte) I -95 Express North South End da proposta de extensão I - 95 Express Lanes for Construction para começar e"&amp;"m 2019 135.61 218.24 136 SR 8900 (Centreport Parkway) para nós 1 - A saída do aeroporto de Stafford foi inaugurada em 22 de dezembro de 2005 139.83 225.03 140 SR 630 - Stafford para o ex -Aquial SR 212 East I - 95 Express North Current South de I - 95 Exp"&amp;"ress Lanes Aquia 142.73 229.70 143A SR 610 East / US 1 - Aquia Assinado como nós 1 Northbound e SR 610 para o sul; antigo SR 213 143B SR 610 WEST - Garrisonville ex -SR 213 145.3 233.8 I - 95 Express Northbound Exit e entrada sul do príncipe William 147.6"&amp;"5 237.62 148 Marine Corps Base Quantico Triangle 149.97 241.35 150 SR 619 - Triângulo O Forest Park assinou como saídas 150A (leste) e 150b (oeste) para o sul; Veículos comerciais para a Base do Corpo de Marinha Quantico devem usar a saída 148 I - 95 Expr"&amp;"ess Northbound Exit e a entrada sul Dumfries 152.36 245.20 152 SR 234 a I - 66 Oeste - Manassas, Dumfries assinadas como Saídas 152a (sul) e 152b (norte) Dale City 155.91 250,91 156 SR 784 - Dale City, Rippon Landing desde 2012, assinou como saídas 156a ("&amp;"leste) e 156b (oeste); A entrada para o norte inclui rampa de entrada direta do Opitz Boulevard e rampa direta de saída para I -95 Express Ranes I - 95 Express Não Exit Northbound 158.13 254.49 158 SR 294 (Prince William Parkway) - Woodbridge, Mansassas a"&amp;"ssinadas como Exits 158a ( leste) e 158b (oeste) 158.13 254.49 - SR 294 (Prince William Parkway) - Manassas, saída de Woodbridge na direção sul e entrada para o norte para as faixas I -95 Express; A saída inclui a rampa de saída direta para o estacionamen"&amp;"to de Horner Road Woodbridge 160.05 257,58 160 SR 123 - Occocan, Lake Ridge, Woodbridge assinado como saídas 160A (sul) e 160b (norte) em direção ao norte; Sem acesso de I - 95 ao sul a SR 123 South 160.05 257.58 - SR 123 - Occocan, Lake Ridge Saída para "&amp;"o sul e entrada para o norte para I - 95 Express Lanes Fairfax Lorton 161.17 259.38 161 Us 1 Norte - Fort Belvoir, Mount Vernon EXITEIRA NORTE E INTERVAÇÃO SOUTIVA EM SUL SUL - SUL - EXITEIRA SUL WOODBRIDGE E CONTRAÇÃO NORTE EM NORTE PARA I - 95 EXPRESSA "&amp;"US 1 SUL - SUBTILHO DE ESQUERDA E SOUTEIRA DE WOODBRIDGE E NORTE ENTRADA NORTE 163.66 263.39 163 SR 642 - Lorton Newington 165.56 266.44 I - 95 Somente a saída para o norte da Alban Road / Boudinot Drive em direção ao sul apenas para as faixas I - 95 Expr"&amp;"ess 166,8 268.4 166 SR 286 (Fairfax County Parkway) / Backlick Road (SR 617) / Fullerton Road / Heller Road - Newington, Fort Belvoir assinado como ajustes 166a (sul) e 166b (norte); Heller Rd. não assinado para o norte; Backlick Rd. / Fullerton Rd. Não a"&amp;"ssinado na direção sul I - 95 Express Southbound Exit e Northbound Entrance 167 SR 617 South (Backlick Road) / Fullerton Road Saia para o sul apenas Springfield 169.05 272.06 169a - B Sr 644 - Franconia, Springfield sem saída sul; Assinado como saídas 169"&amp;"a (leste) e 169b (oeste) - SR 289 (Franconia - Springfield Parkway) I - 95 Express Lane Interchange I - 95 Express Northbound Exit e entrada para o sul - SR 644 West - Springfield, saída sul e encadernação norte Entrada para I - 95 Express Ranes 169.05 - "&amp;"171.01 272.06 - 275.21 170A - B I - 395 Norte (Henry G. Shirley Memorial Highway) / I - 495 NORTH (Capital Beltway) - Washington, Tysons canto da parte da intercâmbio de Springfield; saída para o norte e entrada para o sul; assinado como saídas 170A (I - "&amp;"395) e 170B (I - 495); I - 395 Exits 1a - B - I - 395 Express North I - 95 Express Lane Interclange; parte do intercâmbio de Springfield - I - 495 North - Tysons Corner I - 95 Express Lane Interchange; parte do intercâmbio de Springfield I - 95 Express So"&amp;"uth Part of Springfield Interchange; North End of I - 95 Express Lanes 170A I - 495 Norte (Capital Beltway) - Tysons Corner Southern End da I - 495 Concorrência; parte do intercâmbio de Springfield; A entrada sul e a entrada de Northbound Franconia 171.97"&amp;" 276.76 173 SR 613 (Van Dorn Street) - Franconia 173.51 279.24 174 Eisenhower Avenue Connector - Alexandria 174.31 280.52 - I - 95 North / i - 495 Leste - Baltime South End Of Thru da Thru do Thru. Lanes Huntington 175.06 281.73 176a - B SR 241 / SR 611 S"&amp;"ul (Telegraph Road / North Kings Highway) / para Eisenhower Avenue - Alexandria assinou como saídas 176a (South) e 176b (norte) 176 283.68 - EisenHower Avenuend Avenuend Avenuend And e 176b (North) 176 283.68 - EisenHower Avenuend Avenuend e Freendbound e"&amp;" 176b (North) 176 283.68 - EisenHower Avenuend Avenção entrada para as faixas apenas a cidade de Alexandria 176.57 284.16 177a - B US 1 - Alexandria, Fort Belvoir assinou como saídas 177a (sul) e 177b (norte); As entradas incluem rampas de entrada direta "&amp;"nas faixas; Não há acesso a nortos através de faixas de US 1 North 177C Mount Vernon Sair Southbound Somente Potomac River 177.64 285.88 Woodrow Wilson Bridge VA - DC e DC - MD Linhas I - 95 North / I - 495 East (Capital Beltway) - Continuação de Baltimor"&amp;"e) - Baltimore além da Virgínia 1.000 mi = 1,609 km; 1.000 km = 0,621 mi de concorrência terminal etc. acesso incompleto")</f>
        <v>   Localização do Condado Mi Km de destinos de saída Notas Greensville 0,00 0,00 I - 95 Sul - Continuação de montagem rochosa para Skippers da Carolina do Norte 4.13 6,65 SR 629 - Skippers 8.25 13.28 8 US 301 - Emporia Cidade de Emporia 11,00 17,70 11 EUA 58 - South Hill, Emporia, Norfolk assinou como saídas 11a (oeste) e 11b (leste) Greensville 12,99 20,91 12 Us 301 Exit North North apenas 13,51 21,74 13 SR 614 - Emporia Sussex 17.30 27,84 17 US 301 20.25 32.59 20 20 631 - Jarratt ex -SR 137; Para SR 139 Owens 24,29 39.09 24 SR 645 Stony Creek 30.92 49,76 31 SR 40 - Stony Creek, Waverly 33,37 53.70 33 SR 602 Prince George Carson 37.15 59.79 37 SR 623 - Carson 41 West 141 West. SR 35 / SR 156 - Courtland Kingwood 45.42 73.10 45 US 301 46,53 74.88 46 I - 295 Norte para I - 64 - Washington, Aeroporto Internacional de Richmond I - 295 a 95 Exit North 1 Cidade de Petersburgo 47,74 76,83 47 Sr 629 ( Rives Road) 48,89 78,68 48 Wagner Road (US 460 leste) assinada como saídas 48a (leste) e 48b (oeste); Extremito sul de 460 sobreposição; Serve Southside Regional Medical Center 50 80 50 US 460 BUS. Leste (County Drive) para SR 109 / US 301 (Crater Road) / Wythe Street / Washington Street - Fort Lee, histórica Old Towne Petersburg Northbound assinada como `` US 460 East to Sr 109 / US 301 / Wythe St. / Washington St. ''; Southbound assinou como `` `barramento 301 / US 460. '' apenas ; Assinado como saídas 50a (EUA 460), 50b - c (US 301) e 50d (Wythe St. / Washington st.) Norte 51,71 83.22 51 I - 85 South / US 460 West - Durham, Atlanta, Blackstone, South Hill, Hill Northern Fim do US 460 Concorrência; Northern terminus of I - 85     52   84   52   Bank Street   Northbound exit only     52.15   83.93   Washington Street / Wythe Street -- Petersburg National Battlefield       Appomattox River   52.79   84.96   Appomattox River Bridge     City of Colonial Heights   53.00   85.30   53   Southpark Boulevard       53.98   86.87   54   SR 144 ( Temple Avenue ) para SR 36 Chesterfield 57,91 93.20 58 SR 620 (Woods Edge Road) / SR 746 (Ruffin Mill Road) assinou como saídas 58a (oeste) e 58b (leste) Chester 60,81 97,86 61 Sr 10 a I - 295 - Chester 60,81 97,86 61 SR 10 a I - 295 - Chester 60,81 , Hopewell assinou como saídas 61a (leste) e 61b (oeste) 62.62 100,78 62 SR 288 NORTE PARA I - 64 / SR 76 / POWHITE Parkway (SR 76) - Chesterfield 64.66 104.06 64 SR 613 (Willis) Bensley 67.43 108,52 67 SR 150 Norte (Chippenham Parkway) para SR 895 East a US 60 West / US 360 West / I - 295 - Aeroporto Internacional de Richmond assinou como saídas 67A (leste) e 67B (norte) Northbound; Sem acesso de I - 95 ao sul a SR 895 Cidade Leste de Richmond 69.35 111.61 69 SR 161 (Bells Road) 73.16 117,74 73 Rua Maury / Commerce Road 73.61 118.46 James River Bridge 74.01 119.19A 74A SR 195 Toll (Downtown Expressway) para I -I -I -I -I -I -I -1919. North / Powhite Parkway (SR 76 Sul) 74.3 119,6 74B Franklin Street Saia Southbound Somente 74,63 120.11 74c US 250 (Broad Street) para nós 33 Não acessar o I - 95 South a US 250 East 75.55 121.59 75 I - 64 Rua Leste / 7 - Williamsburg, Norfolk, Virginia Beach, Aeroporto Internacional de Richmond End em I - 64 Concorrência; I - 64 Exit 190 75.85 122.07 76a Avenida Chamberlayne (US 1 / US 301 Norte) Exit Northbound e entrada sul 76.09 122,45 76B US 1 / US 301 Sul (Belvidere Street) sem saída norte 78.06 125.63 78. I - 64 West / I - 195 Sul / para Powhite Parkway (SR 76 Sul) - Charlottesville Northern End da I - 64 Concorrência; I - 64 Exit 187 79.91 128.60 80 SR 161 (Hermitage Road / Lakeside Avenue) Exit Northbound e entrada sul Henrico Brook Hill 80.82 130.07 81 US 1 (Brook Road) Exit Northbound e Sul. Avenue) Ex -Terminus do Norte de Richmond - Petersburg Turnpike Yellow Tavern 82.94 133.48 83 SR 73 West (Parham Road) assinou como saídas 83A (leste) e 83b (oeste) 84.41 135.84 84 I - 295 a I - 64 - Charlottesville, Norfolk, Rocky Mount, NC, Aeroporto Internacional de Richmond assinou como saídas 84a (sul) e 84b (norte); I - 295 Exit 43 Hanover Ashland 87,30 140,50 86 SR 656 - Atlee, Elmont assinou como saídas 86a (leste) e 86b (oeste) Lewistown 89.09 143.38 89 SR 802 (Lewistown), Ashland, 91.74 147.64 92 92 92. Assinado como saídas 92a (leste) e 92b (oeste) Northbound 97.75 157.31 98 SR 30 - Doswell, West Point, Kings Dominion Caroline Carmel Church 104.18 167.66 104 SR 207 para nós 301 - Carmel Church, Browling Green Ladysmith 110.30 177.30.5. SR 639 - Ladysmith para o ex -SR 229 West Spotsylvania Thornburg 118.26 190.32 118 SR 606 - Thornburg 125,84 202.52 126 EUA 1 / US 17 South - Spotsylvania, Fredericksburg Southern End of Us 17 Concorrente; Assinado como saídas 126a (norte) e 126b (sul) na cidade de Fredericksburg 129.54 208,47 130 SR 3 - Culpeper, Fredericksburg assinou como saída 130a (leste) e 130b (oeste) Rappahannock 131.83 21 212.116 RappAhnAnn. US 17 NORTH / US 17 BUS. Sul - Warrenton, Falmouth, Fredericksburg Northern End of Us 17 Concurrency; Assinado como EXITS 133A (Sul) e 133b (norte) I -95 Express North South End da proposta de extensão I - 95 Express Lanes for Construction para começar em 2019 135.61 218.24 136 SR 8900 (Centreport Parkway) para nós 1 - A saída do aeroporto de Stafford foi inaugurada em 22 de dezembro de 2005 139.83 225.03 140 SR 630 - Stafford para o ex -Aquial SR 212 East I - 95 Express North Current South de I - 95 Express Lanes Aquia 142.73 229.70 143A SR 610 East / US 1 - Aquia Assinado como nós 1 Northbound e SR 610 para o sul; antigo SR 213 143B SR 610 WEST - Garrisonville ex -SR 213 145.3 233.8 I - 95 Express Northbound Exit e entrada sul do príncipe William 147.65 237.62 148 Marine Corps Base Quantico Triangle 149.97 241.35 150 SR 619 - Triângulo O Forest Park assinou como saídas 150A (leste) e 150b (oeste) para o sul; Veículos comerciais para a Base do Corpo de Marinha Quantico devem usar a saída 148 I - 95 Express Northbound Exit e a entrada sul Dumfries 152.36 245.20 152 SR 234 a I - 66 Oeste - Manassas, Dumfries assinadas como Saídas 152a (sul) e 152b (norte) Dale City 155.91 250,91 156 SR 784 - Dale City, Rippon Landing desde 2012, assinou como saídas 156a (leste) e 156b (oeste); A entrada para o norte inclui rampa de entrada direta do Opitz Boulevard e rampa direta de saída para I -95 Express Ranes I - 95 Express Não Exit Northbound 158.13 254.49 158 SR 294 (Prince William Parkway) - Woodbridge, Mansassas assinadas como Exits 158a ( leste) e 158b (oeste) 158.13 254.49 - SR 294 (Prince William Parkway) - Manassas, saída de Woodbridge na direção sul e entrada para o norte para as faixas I -95 Express; A saída inclui a rampa de saída direta para o estacionamento de Horner Road Woodbridge 160.05 257,58 160 SR 123 - Occocan, Lake Ridge, Woodbridge assinado como saídas 160A (sul) e 160b (norte) em direção ao norte; Sem acesso de I - 95 ao sul a SR 123 South 160.05 257.58 - SR 123 - Occocan, Lake Ridge Saída para o sul e entrada para o norte para I - 95 Express Lanes Fairfax Lorton 161.17 259.38 161 Us 1 Norte - Fort Belvoir, Mount Vernon EXITEIRA NORTE E INTERVAÇÃO SOUTIVA EM SUL SUL - SUL - EXITEIRA SUL WOODBRIDGE E CONTRAÇÃO NORTE EM NORTE PARA I - 95 EXPRESSA US 1 SUL - SUBTILHO DE ESQUERDA E SOUTEIRA DE WOODBRIDGE E NORTE ENTRADA NORTE 163.66 263.39 163 SR 642 - Lorton Newington 165.56 266.44 I - 95 Somente a saída para o norte da Alban Road / Boudinot Drive em direção ao sul apenas para as faixas I - 95 Express 166,8 268.4 166 SR 286 (Fairfax County Parkway) / Backlick Road (SR 617) / Fullerton Road / Heller Road - Newington, Fort Belvoir assinado como ajustes 166a (sul) e 166b (norte); Heller Rd. não assinado para o norte; Backlick Rd. / Fullerton Rd. Não assinado na direção sul I - 95 Express Southbound Exit e Northbound Entrance 167 SR 617 South (Backlick Road) / Fullerton Road Saia para o sul apenas Springfield 169.05 272.06 169a - B Sr 644 - Franconia, Springfield sem saída sul; Assinado como saídas 169a (leste) e 169b (oeste) - SR 289 (Franconia - Springfield Parkway) I - 95 Express Lane Interchange I - 95 Express Northbound Exit e entrada para o sul - SR 644 West - Springfield, saída sul e encadernação norte Entrada para I - 95 Express Ranes 169.05 - 171.01 272.06 - 275.21 170A - B I - 395 Norte (Henry G. Shirley Memorial Highway) / I - 495 NORTH (Capital Beltway) - Washington, Tysons canto da parte da intercâmbio de Springfield; saída para o norte e entrada para o sul; assinado como saídas 170A (I - 395) e 170B (I - 495); I - 395 Exits 1a - B - I - 395 Express North I - 95 Express Lane Interclange; parte do intercâmbio de Springfield - I - 495 North - Tysons Corner I - 95 Express Lane Interchange; parte do intercâmbio de Springfield I - 95 Express South Part of Springfield Interchange; North End of I - 95 Express Lanes 170A I - 495 Norte (Capital Beltway) - Tysons Corner Southern End da I - 495 Concorrência; parte do intercâmbio de Springfield; A entrada sul e a entrada de Northbound Franconia 171.97 276.76 173 SR 613 (Van Dorn Street) - Franconia 173.51 279.24 174 Eisenhower Avenue Connector - Alexandria 174.31 280.52 - I - 95 North / i - 495 Leste - Baltime South End Of Thru da Thru do Thru. Lanes Huntington 175.06 281.73 176a - B SR 241 / SR 611 Sul (Telegraph Road / North Kings Highway) / para Eisenhower Avenue - Alexandria assinou como saídas 176a (South) e 176b (norte) 176 283.68 - EisenHower Avenuend Avenuend Avenuend And e 176b (North) 176 283.68 - EisenHower Avenuend Avenuend e Freendbound e 176b (North) 176 283.68 - EisenHower Avenuend Avenção entrada para as faixas apenas a cidade de Alexandria 176.57 284.16 177a - B US 1 - Alexandria, Fort Belvoir assinou como saídas 177a (sul) e 177b (norte); As entradas incluem rampas de entrada direta nas faixas; Não há acesso a nortos através de faixas de US 1 North 177C Mount Vernon Sair Southbound Somente Potomac River 177.64 285.88 Woodrow Wilson Bridge VA - DC e DC - MD Linhas I - 95 North / I - 495 East (Capital Beltway) - Continuação de Baltimore) - Baltimore além da Virgínia 1.000 mi = 1,609 km; 1.000 km = 0,621 mi de concorrência terminal etc. acesso incompleto</v>
      </c>
    </row>
    <row r="1005" customFormat="false" ht="15.75" hidden="false" customHeight="true" outlineLevel="0" collapsed="false">
      <c r="A1005" s="3" t="n">
        <v>1002</v>
      </c>
      <c r="B1005" s="5" t="s">
        <v>2999</v>
      </c>
      <c r="C1005" s="5" t="s">
        <v>3000</v>
      </c>
      <c r="D1005" s="5" t="s">
        <v>3001</v>
      </c>
      <c r="E1005" s="4" t="str">
        <f aca="false">IFERROR(__xludf.dummyfunction("GOOGLETRANSLATE(C1006)"),"Para onde vai o trilho leve em Seattle")</f>
        <v>Para onde vai o trilho leve em Seattle</v>
      </c>
      <c r="F1005" s="5" t="str">
        <f aca="false">IFERROR(__xludf.dummyfunction("GOOGLETRANSLATE(D1005)")," Na maioria dos países industrializados, uma eliminação de combustíveis de veículos da TEL da TEL foi concluída no início dos anos 2000 devido a preocupações com os níveis de chumbo aéreo e do solo e a neurotoxicidade acumulativa do chumbo. O uso de conve"&amp;"rsores catalíticos, mandatados nos EUA para 1975 e carros modelo mais recente para atender aos regulamentos de emissões mais rígidos, iniciou uma fase gradual - fora da gasolina com chumbo nos EUA. A necessidade de Tel foi reduzida por vários avanços na e"&amp;"ngenharia automotiva e química do petróleo. Métodos mais seguros para tornar os estoques de mistura de octanas mais altos, como reforma e iso - octano, reduziram a necessidade de confiar na TEL, assim como outros aditivos anti -altos de toxicidade variáve"&amp;"l, incluindo compostos metálicos como metilciclopentadienil manganês tricarbonil (mmT), bem como oxigenatos, incluindo o ticarbonial de oxigenato, como oxigentado, o oxigenteno térmico - Éter butílico (MTBE), étão de terc -amílico (TAME) e éter de butílic"&amp;"o etílico - éter (ETBE).")</f>
        <v> Na maioria dos países industrializados, uma eliminação de combustíveis de veículos da TEL da TEL foi concluída no início dos anos 2000 devido a preocupações com os níveis de chumbo aéreo e do solo e a neurotoxicidade acumulativa do chumbo. O uso de conversores catalíticos, mandatados nos EUA para 1975 e carros modelo mais recente para atender aos regulamentos de emissões mais rígidos, iniciou uma fase gradual - fora da gasolina com chumbo nos EUA. A necessidade de Tel foi reduzida por vários avanços na engenharia automotiva e química do petróleo. Métodos mais seguros para tornar os estoques de mistura de octanas mais altos, como reforma e iso - octano, reduziram a necessidade de confiar na TEL, assim como outros aditivos anti -altos de toxicidade variável, incluindo compostos metálicos como metilciclopentadienil manganês tricarbonil (mmT), bem como oxigenatos, incluindo o ticarbonial de oxigenato, como oxigentado, o oxigenteno térmico - Éter butílico (MTBE), étão de terc -amílico (TAME) e éter de butílico etílico - éter (ETBE).</v>
      </c>
    </row>
    <row r="1006" customFormat="false" ht="15.75" hidden="false" customHeight="true" outlineLevel="0" collapsed="false">
      <c r="A1006" s="3" t="n">
        <v>1003</v>
      </c>
      <c r="B1006" s="5" t="s">
        <v>3002</v>
      </c>
      <c r="C1006" s="5" t="s">
        <v>3003</v>
      </c>
      <c r="D1006" s="5" t="s">
        <v>3004</v>
      </c>
      <c r="E1006" s="4" t="str">
        <f aca="false">IFERROR(__xludf.dummyfunction("GOOGLETRANSLATE(C1007)"),"Quando as armas automáticas se tornaram legais na América")</f>
        <v>Quando as armas automáticas se tornaram legais na América</v>
      </c>
      <c r="F1006" s="5" t="str">
        <f aca="false">IFERROR(__xludf.dummyfunction("GOOGLETRANSLATE(D1006)")," Atualmente, o sistema consiste em duas linhas separadas: Central Link e Tacoma Link. O Central Link é uma linha ferroviária leve que opera entre a Universidade de Washington em Seattle e a estação de Angle Lake em Seatac, Washington. Tacoma Link é uma li"&amp;"nha de bonde que opera no centro de Tacoma. Extensões estão sendo planejadas ou construídas que trarão a Central Link para o norte a Lynnwood e Everett, leste para Redmond e South para Kent, Des Moines, Federal Way e o Tacoma Dome. Linhas adicionais estão"&amp;" planejadas para atender Ballard, West Seattle, Issaquah e Kirkland do Sul.")</f>
        <v> Atualmente, o sistema consiste em duas linhas separadas: Central Link e Tacoma Link. O Central Link é uma linha ferroviária leve que opera entre a Universidade de Washington em Seattle e a estação de Angle Lake em Seatac, Washington. Tacoma Link é uma linha de bonde que opera no centro de Tacoma. Extensões estão sendo planejadas ou construídas que trarão a Central Link para o norte a Lynnwood e Everett, leste para Redmond e South para Kent, Des Moines, Federal Way e o Tacoma Dome. Linhas adicionais estão planejadas para atender Ballard, West Seattle, Issaquah e Kirkland do Sul.</v>
      </c>
    </row>
    <row r="1007" customFormat="false" ht="15.75" hidden="false" customHeight="true" outlineLevel="0" collapsed="false">
      <c r="A1007" s="3" t="n">
        <v>1004</v>
      </c>
      <c r="B1007" s="5" t="s">
        <v>3005</v>
      </c>
      <c r="C1007" s="5" t="s">
        <v>3006</v>
      </c>
      <c r="D1007" s="5" t="s">
        <v>3007</v>
      </c>
      <c r="E1007" s="4" t="str">
        <f aca="false">IFERROR(__xludf.dummyfunction("GOOGLETRANSLATE(C1008)"),"Qual país foi convidado para as Olimpíadas de Londres 1948, mas não compareceu")</f>
        <v>Qual país foi convidado para as Olimpíadas de Londres 1948, mas não compareceu</v>
      </c>
      <c r="F1007" s="5" t="str">
        <f aca="false">IFERROR(__xludf.dummyfunction("GOOGLETRANSLATE(D1007)")," A Lei de Segurança Pública e Armas de Recreação foi promulgada como parte da violenta Lei de Controle de Crimes e Aplicação da Lei de 1994. As proibições expiraram em 13 de setembro de 2004.")</f>
        <v> A Lei de Segurança Pública e Armas de Recreação foi promulgada como parte da violenta Lei de Controle de Crimes e Aplicação da Lei de 1994. As proibições expiraram em 13 de setembro de 2004.</v>
      </c>
    </row>
    <row r="1008" customFormat="false" ht="15.75" hidden="false" customHeight="true" outlineLevel="0" collapsed="false">
      <c r="A1008" s="3" t="n">
        <v>1005</v>
      </c>
      <c r="B1008" s="5" t="s">
        <v>3008</v>
      </c>
      <c r="C1008" s="5" t="s">
        <v>3009</v>
      </c>
      <c r="D1008" s="5" t="s">
        <v>3010</v>
      </c>
      <c r="E1008" s="4" t="str">
        <f aca="false">IFERROR(__xludf.dummyfunction("GOOGLETRANSLATE(C1009)"),"onde estava a final da FA Cup antes de Wembley")</f>
        <v>onde estava a final da FA Cup antes de Wembley</v>
      </c>
      <c r="F1008" s="5" t="str">
        <f aca="false">IFERROR(__xludf.dummyfunction("GOOGLETRANSLATE(D1008)"),"como jogos de austeridade, devido ao difícil clima econômico e racionamento imposto após a Segunda Guerra Mundial. Nenhum novo local foi construído para os jogos (com eventos que ocorreram principalmente no Wembley Stadium e na piscina do Empire em Wemble"&amp;"y Park), e os atletas foram alojados em acomodações existentes na área de Wembley em vez de uma vila olímpica, assim como os Jogos Olímpicos de Berlim de 1936 e os jogos subsequentes de 1952. Um recorde de 59 nações foram representadas por 4.104 atletas, "&amp;"3.714 homens e 390 mulheres, em 19 disciplinas esportivas. A Alemanha e o Japão não foram convidados a participar dos jogos; No entanto, a União Soviética foi convidada, mas optou por não enviar atletas. A equipe dos Estados Unidos conquistou o máximo de "&amp;"medalhas no total, 84, e a maior parte das medalhas de ouro, 38. A nação anfitriã conquistou 23 medalhas, três delas de ouro. Um dos artistas estrela em")</f>
        <v>como jogos de austeridade, devido ao difícil clima econômico e racionamento imposto após a Segunda Guerra Mundial. Nenhum novo local foi construído para os jogos (com eventos que ocorreram principalmente no Wembley Stadium e na piscina do Empire em Wembley Park), e os atletas foram alojados em acomodações existentes na área de Wembley em vez de uma vila olímpica, assim como os Jogos Olímpicos de Berlim de 1936 e os jogos subsequentes de 1952. Um recorde de 59 nações foram representadas por 4.104 atletas, 3.714 homens e 390 mulheres, em 19 disciplinas esportivas. A Alemanha e o Japão não foram convidados a participar dos jogos; No entanto, a União Soviética foi convidada, mas optou por não enviar atletas. A equipe dos Estados Unidos conquistou o máximo de medalhas no total, 84, e a maior parte das medalhas de ouro, 38. A nação anfitriã conquistou 23 medalhas, três delas de ouro. Um dos artistas estrela em</v>
      </c>
    </row>
    <row r="1009" customFormat="false" ht="15.75" hidden="false" customHeight="true" outlineLevel="0" collapsed="false">
      <c r="A1009" s="3" t="n">
        <v>1006</v>
      </c>
      <c r="B1009" s="5" t="s">
        <v>3011</v>
      </c>
      <c r="C1009" s="5" t="s">
        <v>3012</v>
      </c>
      <c r="D1009" s="5" t="s">
        <v>3013</v>
      </c>
      <c r="E1009" s="4" t="str">
        <f aca="false">IFERROR(__xludf.dummyfunction("GOOGLETRANSLATE(C1010)"),"Onde a Constituição diz que a separação da igreja e do estado")</f>
        <v>Onde a Constituição diz que a separação da igreja e do estado</v>
      </c>
      <c r="F1009" s="5" t="str">
        <f aca="false">IFERROR(__xludf.dummyfunction("GOOGLETRANSLATE(D1009)")," Após a final de 1873, foi realizada em Lillie Bridge, o evento foi realizado no Oval até 1892. As finais de 1893 e 1894 foram realizadas respectivamente no Fallowfield Stadium, em Manchester e Goodison Park, em Liverpool, antes do evento retornar a Londr"&amp;"es em 1895, sendo realizado no Crystal Palace até o início da Primeira Guerra Mundial, após a guerra, o evento foi realizado em Stamford Bridge, antes da abertura do Estádio Wembley em 1923. A primeira final em Wembley, na qual Bolton Wanderers venceu o W"&amp;"est Ham United 2 - 0, teve uma participação oficial de 126.047, embora se acredita que o número real seja de até 300.000.")</f>
        <v> Após a final de 1873, foi realizada em Lillie Bridge, o evento foi realizado no Oval até 1892. As finais de 1893 e 1894 foram realizadas respectivamente no Fallowfield Stadium, em Manchester e Goodison Park, em Liverpool, antes do evento retornar a Londres em 1895, sendo realizado no Crystal Palace até o início da Primeira Guerra Mundial, após a guerra, o evento foi realizado em Stamford Bridge, antes da abertura do Estádio Wembley em 1923. A primeira final em Wembley, na qual Bolton Wanderers venceu o West Ham United 2 - 0, teve uma participação oficial de 126.047, embora se acredita que o número real seja de até 300.000.</v>
      </c>
    </row>
    <row r="1010" customFormat="false" ht="15.75" hidden="false" customHeight="true" outlineLevel="0" collapsed="false">
      <c r="A1010" s="3" t="n">
        <v>1007</v>
      </c>
      <c r="B1010" s="5" t="s">
        <v>3014</v>
      </c>
      <c r="C1010" s="5" t="s">
        <v>3015</v>
      </c>
      <c r="D1010" s="5" t="s">
        <v>3016</v>
      </c>
      <c r="E1010" s="4" t="str">
        <f aca="false">IFERROR(__xludf.dummyfunction("GOOGLETRANSLATE(C1011)"),"onde termina a corrida Tour de France")</f>
        <v>onde termina a corrida Tour de France</v>
      </c>
      <c r="F1010" s="5" t="str">
        <f aca="false">IFERROR(__xludf.dummyfunction("GOOGLETRANSLATE(D1010)")," `` A separação da igreja e do estado '' é parafraseada de Thomas Jefferson e usada por outras pessoas para expressar uma compreensão da intenção e função da cláusula de estabelecimento e cláusula de livre exercício da Primeira Emenda à Constituição dos E"&amp;"stados Unidos que lê: `` `O Congresso não fará a lei respeitar um estabelecimento de religião ou proibir o livre exercício do mesmo ... ''")</f>
        <v> `` A separação da igreja e do estado '' é parafraseada de Thomas Jefferson e usada por outras pessoas para expressar uma compreensão da intenção e função da cláusula de estabelecimento e cláusula de livre exercício da Primeira Emenda à Constituição dos Estados Unidos que lê: `` `O Congresso não fará a lei respeitar um estabelecimento de religião ou proibir o livre exercício do mesmo ... ''</v>
      </c>
    </row>
    <row r="1011" customFormat="false" ht="15.75" hidden="false" customHeight="true" outlineLevel="0" collapsed="false">
      <c r="A1011" s="3" t="n">
        <v>1008</v>
      </c>
      <c r="B1011" s="5" t="s">
        <v>3017</v>
      </c>
      <c r="C1011" s="5" t="s">
        <v>3018</v>
      </c>
      <c r="D1011" s="5" t="s">
        <v>3019</v>
      </c>
      <c r="E1011" s="4" t="str">
        <f aca="false">IFERROR(__xludf.dummyfunction("GOOGLETRANSLATE(C1012)"),"onde o show de charme do sul ocorre")</f>
        <v>onde o show de charme do sul ocorre</v>
      </c>
      <c r="F1011" s="5" t="str">
        <f aca="false">IFERROR(__xludf.dummyfunction("GOOGLETRANSLATE(D1011)")," Tradicionalmente, a corrida é realizada principalmente no mês de julho. Enquanto a rota muda a cada ano, o formato da raça permanece o mesmo com o aparecimento de contra -relógios, a passagem pelas correntes das montanhas dos Pirineus e dos Alpes e o aca"&amp;"bamento nos campeões - Élysées em Paris. As edições modernas do Tour de France consistem em 21 dias - segmentos longos (etapas) durante um período de 23 dias e cobrem cerca de 3.500 quilômetros (2.200 milhas). A corrida alterna entre os circuitos da Franç"&amp;"a no sentido horário e no sentido anti -horário.")</f>
        <v> Tradicionalmente, a corrida é realizada principalmente no mês de julho. Enquanto a rota muda a cada ano, o formato da raça permanece o mesmo com o aparecimento de contra -relógios, a passagem pelas correntes das montanhas dos Pirineus e dos Alpes e o acabamento nos campeões - Élysées em Paris. As edições modernas do Tour de France consistem em 21 dias - segmentos longos (etapas) durante um período de 23 dias e cobrem cerca de 3.500 quilômetros (2.200 milhas). A corrida alterna entre os circuitos da França no sentido horário e no sentido anti -horário.</v>
      </c>
    </row>
    <row r="1012" customFormat="false" ht="15.75" hidden="false" customHeight="true" outlineLevel="0" collapsed="false">
      <c r="A1012" s="3" t="n">
        <v>1009</v>
      </c>
      <c r="B1012" s="5" t="s">
        <v>3020</v>
      </c>
      <c r="C1012" s="5" t="s">
        <v>3021</v>
      </c>
      <c r="D1012" s="5" t="s">
        <v>3022</v>
      </c>
      <c r="E1012" s="4" t="str">
        <f aca="false">IFERROR(__xludf.dummyfunction("GOOGLETRANSLATE(C1013)"),"que interpretou Willie Lopez no filme fantasma")</f>
        <v>que interpretou Willie Lopez no filme fantasma</v>
      </c>
      <c r="F1012" s="5" t="str">
        <f aca="false">IFERROR(__xludf.dummyfunction("GOOGLETRANSLATE(D1012)")," Southern Charm é uma série de televisão de realidade americana que fez sua primeira estréia em 3 de março de 2014 no Bravo. A série narra a vida pessoal e profissional de sete socialites que residem em Charleston, Carolina do Sul. O programa se concentra"&amp;" na cultura e na história política do sul da área, e contou com lugares históricos locais como Lewisfield Plantation e Mikell House.")</f>
        <v> Southern Charm é uma série de televisão de realidade americana que fez sua primeira estréia em 3 de março de 2014 no Bravo. A série narra a vida pessoal e profissional de sete socialites que residem em Charleston, Carolina do Sul. O programa se concentra na cultura e na história política do sul da área, e contou com lugares históricos locais como Lewisfield Plantation e Mikell House.</v>
      </c>
    </row>
    <row r="1013" customFormat="false" ht="15.75" hidden="false" customHeight="true" outlineLevel="0" collapsed="false">
      <c r="A1013" s="3" t="n">
        <v>1010</v>
      </c>
      <c r="B1013" s="5" t="s">
        <v>3023</v>
      </c>
      <c r="C1013" s="5" t="s">
        <v>3024</v>
      </c>
      <c r="D1013" s="5" t="s">
        <v>3025</v>
      </c>
      <c r="E1013" s="4" t="str">
        <f aca="false">IFERROR(__xludf.dummyfunction("GOOGLETRANSLATE(C1014)"),"era Dwight, o pai do bebê de Angela")</f>
        <v>era Dwight, o pai do bebê de Angela</v>
      </c>
      <c r="F1013" s="5" t="str">
        <f aca="false">IFERROR(__xludf.dummyfunction("GOOGLETRANSLATE(D1013)")," Rick Aviles (14 de outubro de 1952 - 17 de março de 1995) foi um stand americano - comediante e ator de ascendência porto -riquenha, mais lembrada por retratar o vilão Willie Lopez no filme Ghost.")</f>
        <v> Rick Aviles (14 de outubro de 1952 - 17 de março de 1995) foi um stand americano - comediante e ator de ascendência porto -riquenha, mais lembrada por retratar o vilão Willie Lopez no filme Ghost.</v>
      </c>
    </row>
    <row r="1014" customFormat="false" ht="15.75" hidden="false" customHeight="true" outlineLevel="0" collapsed="false">
      <c r="A1014" s="3" t="n">
        <v>1011</v>
      </c>
      <c r="B1014" s="5" t="s">
        <v>3026</v>
      </c>
      <c r="C1014" s="5" t="s">
        <v>3027</v>
      </c>
      <c r="D1014" s="5" t="s">
        <v>3028</v>
      </c>
      <c r="E1014" s="4" t="str">
        <f aca="false">IFERROR(__xludf.dummyfunction("GOOGLETRANSLATE(C1015)"),"onde foi publicado o fardo do homem branco")</f>
        <v>onde foi publicado o fardo do homem branco</v>
      </c>
      <c r="F1014" s="5" t="str">
        <f aca="false">IFERROR(__xludf.dummyfunction("GOOGLETRANSLATE(D1014)")," Dwight é a única pessoa que Angela gosta no escritório. É mostrado em `` vigilância por e-mail '' que Dwight e Angela começaram um relacionamento romântico. Embora ela tenha dito que ama Dwight e se importa com ele, ela se recusa a contar a alguém sobre "&amp;"o relacionamento deles e geralmente fica desconfortável pela paixão de Dwight por ela. O relacionamento deles está aparentemente resumido em `` A.A.R.M. '': Quando Dwight diz a ela que gritar através de um megafone expressa `` como eu te amo em voz alta '"&amp;"', Angela mansamente sussurra `` É muito alto. '' Em ​​`` vendedor ambulante '' Angela esquece de enviar uma pasta contábil para a empresa, então Dwight dirige para Nova York e lhes dá a pasta. Depois que Dwight é informado de que ele seria demitido se nã"&amp;"o contasse a Michael por que ele foi para Nova York, ele mantém o relacionamento deles em segredo por respeito a Angela. Angela mais tarde diz a Michael o que aconteceu, mas ainda não revela o relacionamento deles. Em `` Fun Run '', Angela pede a Dwight p"&amp;"ara alimentar seus sprinkles de gatos, que está se sentindo doente, mas Dwight mata, o que faz com que Angela termine com ele. Depois que Angela começa um relacionamento com Andy na quarta temporada, ela para de namorar Dwight, mas no final de `` adeus To"&amp;"by '' Phyllis vê Angela traindo Andy com Dwight. Dwight termina o caso deles em `` The Duel '', depois de saber que ela está tendo relações sexuais com Andy. Em `` The Delivery '', Dwight, que quer melhorar suas vendas ao ter um filho, pede a Angela para "&amp;"ter seu bebê. Os dois escrevem um contrato e planejam ter um bebê juntos, mas em `` happy hour '', Dwight se conecta com o amigo de Pam, Isabel, e diz a Angela que ele não quer que ela tenha seu bebê. Em `` The Chump '', os dois chamam um advogado, e Ange"&amp;"la se recusa a libertá -lo do contrato, a menos que ele concorde em fazer sexo com ela cinco vezes. Mais tarde, ela anula o contrato depois de encontrar o senador Robert Lipton. Depois que ela dá à luz (dever do júri), Dwight percebe que o bebê foi conceb"&amp;"ido antes de seu casamento com Robert e assume que ele, não Robert, é o pai. Angela e Dwight passam por um teste de paternidade e, em `` novos '', é revelado que Dwight não é o pai de Philip. Em `` A.A.R.M. '' Dwight propõe a Angela, e ela aceita. Ela ent"&amp;"ão diz a Dwight que mentiu antes e Dwight é o pai de Philip. Angela diz a ele que queria ter certeza de que Dwight queria se casar com ela por nenhuma outra razão senão por amor.")</f>
        <v> Dwight é a única pessoa que Angela gosta no escritório. É mostrado em `` vigilância por e-mail '' que Dwight e Angela começaram um relacionamento romântico. Embora ela tenha dito que ama Dwight e se importa com ele, ela se recusa a contar a alguém sobre o relacionamento deles e geralmente fica desconfortável pela paixão de Dwight por ela. O relacionamento deles está aparentemente resumido em `` A.A.R.M. '': Quando Dwight diz a ela que gritar através de um megafone expressa `` como eu te amo em voz alta '', Angela mansamente sussurra `` É muito alto. '' Em ​​`` vendedor ambulante '' Angela esquece de enviar uma pasta contábil para a empresa, então Dwight dirige para Nova York e lhes dá a pasta. Depois que Dwight é informado de que ele seria demitido se não contasse a Michael por que ele foi para Nova York, ele mantém o relacionamento deles em segredo por respeito a Angela. Angela mais tarde diz a Michael o que aconteceu, mas ainda não revela o relacionamento deles. Em `` Fun Run '', Angela pede a Dwight para alimentar seus sprinkles de gatos, que está se sentindo doente, mas Dwight mata, o que faz com que Angela termine com ele. Depois que Angela começa um relacionamento com Andy na quarta temporada, ela para de namorar Dwight, mas no final de `` adeus Toby '' Phyllis vê Angela traindo Andy com Dwight. Dwight termina o caso deles em `` The Duel '', depois de saber que ela está tendo relações sexuais com Andy. Em `` The Delivery '', Dwight, que quer melhorar suas vendas ao ter um filho, pede a Angela para ter seu bebê. Os dois escrevem um contrato e planejam ter um bebê juntos, mas em `` happy hour '', Dwight se conecta com o amigo de Pam, Isabel, e diz a Angela que ele não quer que ela tenha seu bebê. Em `` The Chump '', os dois chamam um advogado, e Angela se recusa a libertá -lo do contrato, a menos que ele concorde em fazer sexo com ela cinco vezes. Mais tarde, ela anula o contrato depois de encontrar o senador Robert Lipton. Depois que ela dá à luz (dever do júri), Dwight percebe que o bebê foi concebido antes de seu casamento com Robert e assume que ele, não Robert, é o pai. Angela e Dwight passam por um teste de paternidade e, em `` novos '', é revelado que Dwight não é o pai de Philip. Em `` A.A.R.M. '' Dwight propõe a Angela, e ela aceita. Ela então diz a Dwight que mentiu antes e Dwight é o pai de Philip. Angela diz a ele que queria ter certeza de que Dwight queria se casar com ela por nenhuma outra razão senão por amor.</v>
      </c>
    </row>
    <row r="1015" customFormat="false" ht="15.75" hidden="false" customHeight="true" outlineLevel="0" collapsed="false">
      <c r="A1015" s="3" t="n">
        <v>1012</v>
      </c>
      <c r="B1015" s="5" t="s">
        <v>3029</v>
      </c>
      <c r="C1015" s="5" t="s">
        <v>3030</v>
      </c>
      <c r="D1015" s="5" t="s">
        <v>3031</v>
      </c>
      <c r="E1015" s="4" t="str">
        <f aca="false">IFERROR(__xludf.dummyfunction("GOOGLETRANSLATE(C1016)"),"Quando o Everton venceu o Liverpool pela última vez em Goodison")</f>
        <v>Quando o Everton venceu o Liverpool pela última vez em Goodison</v>
      </c>
      <c r="F1015" s="5" t="str">
        <f aca="false">IFERROR(__xludf.dummyfunction("GOOGLETRANSLATE(D1015)")," `` O fardo do homem branco: os Estados Unidos e as Ilhas Filipinas '' é um poema de 1899 de Rudyard Kipling sobre as Filipinas - Guerra Americana (1899 - 1902), que convida os Estados Unidos a assumir o controle colonial daquele país . O poema foi public"&amp;"ado no The New York Sun em 10 de fevereiro de 1899.")</f>
        <v> `` O fardo do homem branco: os Estados Unidos e as Ilhas Filipinas '' é um poema de 1899 de Rudyard Kipling sobre as Filipinas - Guerra Americana (1899 - 1902), que convida os Estados Unidos a assumir o controle colonial daquele país . O poema foi publicado no The New York Sun em 10 de fevereiro de 1899.</v>
      </c>
    </row>
    <row r="1016" customFormat="false" ht="15.75" hidden="false" customHeight="true" outlineLevel="0" collapsed="false">
      <c r="A1016" s="3" t="n">
        <v>1013</v>
      </c>
      <c r="B1016" s="5" t="s">
        <v>3032</v>
      </c>
      <c r="C1016" s="5" t="s">
        <v>3033</v>
      </c>
      <c r="D1016" s="5" t="s">
        <v>3034</v>
      </c>
      <c r="E1016" s="4" t="str">
        <f aca="false">IFERROR(__xludf.dummyfunction("GOOGLETRANSLATE(C1017)"),"Qual episódio ichigo recupera seus poderes pela primeira vez")</f>
        <v>Qual episódio ichigo recupera seus poderes pela primeira vez</v>
      </c>
      <c r="F1016" s="5" t="str">
        <f aca="false">IFERROR(__xludf.dummyfunction("GOOGLETRANSLATE(D1016)")," Merseyside Derby Merseyside Derby, 25 de março de 2006 Outros nomes The Friendly Derby Locale Liverpool Equipes Everton Liverpool Primeira reunião 13 de outubro de 1894 1894 - 95 Primeira divisão Everton 3 - 0 Liverpool Reunião Última Reunião 7 de abril "&amp;"de 2018 Premier League 0 - 0 Liverpool Stadiums Anfield (Liverpool) Goodison Park (Everton) As reuniões de estatísticas totalizam 231i a maioria das vitórias Liverpool (92) A maioria das aparições de jogadores Neville Southall (41) o artilheiro Ian Rush ("&amp;"25) All - Série temporal Everton: 66 desenhado: 73 Liverpool: 92 maior vitória Liverpool 6 - 0 Everton (1935)")</f>
        <v> Merseyside Derby Merseyside Derby, 25 de março de 2006 Outros nomes The Friendly Derby Locale Liverpool Equipes Everton Liverpool Primeira reunião 13 de outubro de 1894 1894 - 95 Primeira divisão Everton 3 - 0 Liverpool Reunião Última Reunião 7 de abril de 2018 Premier League 0 - 0 Liverpool Stadiums Anfield (Liverpool) Goodison Park (Everton) As reuniões de estatísticas totalizam 231i a maioria das vitórias Liverpool (92) A maioria das aparições de jogadores Neville Southall (41) o artilheiro Ian Rush (25) All - Série temporal Everton: 66 desenhado: 73 Liverpool: 92 maior vitória Liverpool 6 - 0 Everton (1935)</v>
      </c>
    </row>
    <row r="1017" customFormat="false" ht="15.75" hidden="false" customHeight="true" outlineLevel="0" collapsed="false">
      <c r="A1017" s="3" t="n">
        <v>1014</v>
      </c>
      <c r="B1017" s="5" t="s">
        <v>3035</v>
      </c>
      <c r="C1017" s="5" t="s">
        <v>3036</v>
      </c>
      <c r="D1017" s="5" t="s">
        <v>3037</v>
      </c>
      <c r="E1017" s="4" t="str">
        <f aca="false">IFERROR(__xludf.dummyfunction("GOOGLETRANSLATE(C1018)"),"4. O que C significa em caso de algoritmos de agendamento de disco")</f>
        <v>4. O que C significa em caso de algoritmos de agendamento de disco</v>
      </c>
      <c r="F1017" s="5" t="str">
        <f aca="false">IFERROR(__xludf.dummyfunction("GOOGLETRANSLATE(D1017)"),"   Não . Título original Airdate Inglês Airdate 317 `` Incidente incomum em Sireitei? ! Gotei 13 Arco do exército invasor! '' `` Seireitei ni ihen? ! GOTEI Jūsantai Shingun Hen! '' (瀞 霊 廷 に 異変?! Entre no Dangai para voltar para casa, mas é confrontado por"&amp;" algo ao longo do caminho. Seus capitães, que perderam contato com eles, estão preocupados com seus desaparecimentos até que repentinamente voltem um dia depois. Rangiku e Nanao se foram apenas algumas horas e voltaram diretamente, o que conclui que o tem"&amp;"po no Dangai está fora de sincronia com a Sociedade da Alma. Mayuri Kurotsuchi realiza uma pesquisa da área com Kenpachi Zaraki ajudando como uma escolta de segurança. Enquanto isso, enquanto Ichigo Kurosaki e Rukia Kuchiki partem para lidar com cavidades"&amp;", Kon folhas para investigar um distúrbio espiritual e encontra uma garota verde - de cabelos deitada dormindo e coberta de trapos. Ichigo volta para casa e fica furioso com Kon, que trouxe de volta a garota verde - de cabelos. Enquanto a pesquisa está em"&amp;" andamento, Mayuri e Kenpachi são confrontados por uma luz intensa emergindo das paredes dos Dangai. Enquanto Ichigo e Rukia retornam através do Dangai para a Sociedade da Alma, eles são perseguidos pelo supostamente revivido Kōtotsu. Para se salvar, Ichi"&amp;"go usa seu Bankai e carrega Rukia até a Sociedade da Alma, mas cai no chão devido à perda gradual de seus poderes. Ichigo então encontra Tōshirō Hitsugaya e Byakuya Kuchiki, que o colocam sob confinamento. Um cientista misterioso em um laboratório aborda "&amp;"o que parece ser duplas corporais de Izuru Kira e Nanao. 318 `` Renji vs. Rukia? ! Batalha com camaradas! '' `` Renji Tai Rukia? ! Nakama para nenhum Tatakai! '' (恋 次 次 vs ルキア?! 仲間 と の 戦い!) 19 de abril de 2011 12 de outubro de 2013 Enquanto Kon tenta mant"&amp;"er a garota verde - de cabelos, cujo nome é Nozomi Kujō, um segredo da família de Ichigo. Rukia se infiltra na cela de Ichigo e o libera. Jūshirō Ukitake e Shunsui Kyōraku discutem sobre o possível envolvimento de Ichigo com os desaparecimentos, já que se"&amp;"u distintivo substituto foi encontrado por Byakuya dentro do Dangai. Enquanto Rukia explica a Ichigo, há uma lacuna de tempo entre o mundo humano e a Sociedade da Alma, eles são então confrontados por Renji Abarai e Ikkaku Madarame, que exibem comportamen"&amp;"tos implacáveis ​​ao contrário de si. Yoruichi Shihōin chega e sela Renji e Ikkaku antes de escapar com Ichigo e Rukia em seu esconderijo. Ela explica a eles que Renji e Ikkaku foram secretamente substituídos por Reigai, corpos artificiais que permitem qu"&amp;"e almas modificadas mantenham uma forma física na sociedade da alma. Os Reigai, que imitam de perto as características de um Reaper Soul, estão sendo usados ​​para testar os doces da alma, o que significa que alguém da décima segunda divisão está envolvid"&amp;"o. Ichigo e Rukia mais tarde entram no laboratório e descobrem que Nozomi é um fugitivo da Sociedade da Alma. O cientista misterioso, juntamente com Kira e Nanao, Reigai chega ao mundo humano para apreender Nozomi, que evita a captura. Kon a segue e ambos"&amp;" acabam encurralados pelo cientista. No entanto, Uryū Ishida chega para ajudar os dois. 319 `` `Ichigo 's Capture Net! Fuja da Soul Society! '' `` Ichigo hobakumō! Sōru Sosaeti O DASSHUTSU SE Yo! '' (一 護 捕縛 網! O Senkaimon, a porta de entrada para o Dangai"&amp;". Uryū é derrotado pelo Shikai do cientista de seu Zanpakutō, Raikū. Yoruichi luta contra os Reigai para deixar Ichigo e Rukia escapar. Kon é incapaz de responder, e um Nozomi inconsciente é capturado por Reigai de Kira e Nanao. Enquanto aparece e tentand"&amp;"o salvar Uryū, Yasutora `` chad '' Sado é derrotado ao tentar ganhar tempo para que Orihime inoue cure uryū. Ichigo e Rukia chegam para impedir o cientista, revelaram -se Kagerōza Inaba, que facilmente lida com Ichigo em seu estado de enfraquecimento. Ass"&amp;"im como ele está prestes a matar Ichigo e Rukia, os outros capitães e tenentes envolvidos no incidente chegam, recuperando Nozomi e forçando Inaba e Reigai a recuar. Admitindo que está por trás do incidente de Reigai, Inaba afirma que, uma vez que ele tem"&amp;" Nozomi, ele poderá conquistar a Sociedade da Alma e o mundo dos vivos. Inaba escapa para a Soul Society e se encontra com os Reigai. Ele os encarrega de recuperar Nozomi e eliminar os originais, enquanto os considera o exército invasor. 320 `` Gotei 13, "&amp;"reunindo -se no mundo real! '' `` GOTEI Jūsantai, Gense Ni Shūketsu! '' (護 廷 十 三 隊 、 、 現世 に!) 3 de maio de 2011 26 de outubro de 2013 Ichigo, Kon, Orihime, Uryū e Chad estão todos na loja de Kisuke Urahara, cuidando de Nozomi. Rukia aparece e diz a Ichigo"&amp;" para se juntar às costas da alma em seu quarto para formular uma estratégia na proteção de Nozomi. Orihime organiza um churrasco para animar Nozomi e fazê -la se abrir para os outros, mas ela foge. Kon, Orihime, Uryū e Chad tentam encontrá -la. Um Kon mu"&amp;"ito preocupado a encontra, mais tarde deixando -a sob os cuidados de Rangiku, mas não percebe que Rangiku é o impostor tentando capturar Nozomi. Depois que ele percebe que Nozomi foi capturado por Rangiku, ele tenta salvá -la, mas não pode derrotar Rangik"&amp;"u, Reigai, e depois que ele próprio é derrotado, Ichigo, Rukia, Renji e Rangiku chegam para salvar Nozomi e Rangiku de Reigai escapa. Durante o churrasco, Nozomi começa a comer depois que Kon oferece a ela um pouco da comida de churrasco. 321 `` Showdown "&amp;"of Mutual Self, Ikkaku vs. Ikkaku! '' `` Jibun dōshi no taiketsu, ikkaku tai ikkaku! '' (自分 同士 の 対決 、 一 角 vs 一 角!) 10 de maio de 2011 2 de novembro de 2013 Ukitake e Kyōraku, suspeitando de algum tipo de jogo sujo na Soul Society, lembre concorda que Ichi"&amp;"go adulterou seu trabalho no Dangai, e foi decidido por Genryūsai Shigekuni Yamamoto que Ichigo será colocado sob suspeita. Sem o conhecimento de Ukitake e Kyōraku, Mayuri e Kenpachi eram na verdade os impostores. Enquanto isso, na cidade de Karakura, Ich"&amp;"igo encontra Kon amarrado em seu armário, o que significa que Nozomi escapou novamente. Ichigo e seus amigos passam a procurá -la. Kon consegue encontrá -la em uma floresta, embora esteja relutante em voltar e foge novamente. Em outros lugares da floresta"&amp;", Ikkaku, Yumichika Ayasegawa, Shūhei Hisagi e Marechiyo ōmaeda são confrontados por seus respectivos Reigai. Ōmaeda fica surpreso quando seu Reigai parece ser mais atraente que ele. Enquanto Hisagi e ōmaeda enganam seus impostores e os derrotam, as coisa"&amp;"s não vão bem para Ikkaku e Yumichika. Felizmente, o Reigai deles está transferido depois que Uryū chega para se juntar à briga. O retiro de Reigai de Ikkaku e Yumichika, com seus respectivos originais gravemente feridos e inconscientes. Reigai de Kira se"&amp;" aproxima de Rangiku, Rukia encontra seu próprio Reigai, e Suì - Fēng detém Kyōraku, que foi enquadrado por Inaba. 322 `` Clash! Rukia vs. Rukia! '' `` Gekitotsu! Rukia Tai Rukia! '' (激突! ルキア vs ルキア!) 17 de maio de 2011 9 de novembro de 2013 Kon continua "&amp;"a seguir Nozomi, que afirma ter algum tipo de destino incerto para encontrar. Ichigo, Orihime e Chad são vistos em busca de Nozomi, enquanto Uryū é visto cuidando das feridas de Ikkaku, Yumikchika, Hisagi e ōmaeda. Rangiku, bloqueando os ataques de Reigai"&amp;" de Kira, fica surpreso quando seu Zanpakutō cai no chão, já que seu novo e aprimorado Zanpakutō pode aumentar o peso do que ele atinge até dez vezes a quantidade. No entanto, Rangiku, agora moderado, bloqueia inteligentemente seu Zanpakutō com um pesado "&amp;"poste de aço, prendendo -o no chão, permitindo que ela o derrotasse e o faça se desintegrar. Ukitake, implorando ao Central 46 para libertar Kyōraku, é negado seu pedido, e ele mais tarde se encontra com Retsu Unohana, que o alerta para ter cuidado. Reiga"&amp;"i, de Rukia, logo se junta a Reigai, de Nemu Kurotsuchi, para brigar contra Rukia, mas Nemu chega e mata seu Reigai, que se desintegra e deixa para trás uma pedra vermelha, assumindo que essa seja a verdadeira forma do Reigai. Em outros lugares, Nozomi di"&amp;"z a Kon que ela deve encontrar um lugar com uma fileira de portões do santuário, e Kon concorda em levá -la ao primeiro lugar que ele se lembra. Rukia, que aparentemente derrota seu Reigai, se junta a Nemu e Rangiku para procurar Nozomi, mas Rukia é revel"&amp;"ada como realmente a falsa Rukia, que então joga Nemu e Rangiku no rio com a verdadeira Rukia. Ukitake é cortado por Kyōraku ao libertá -lo da prisão, revelando esse Kyōraku para também ser um Reigai. O falso ukitake se encontra com o falso Kyōraku, enqua"&amp;"nto eles se preparam para fugir. 323 `` Protect Ichigo! A determinação de Nozomi '' `` Mamore Ichigo! Nozomi no Ketsui '' (護れ 一 護 護! 望実 の 決意 決意) 24 de maio de 2011 16 de novembro de 2013 Orihime e Chad Encontrar Rukia, Nemu e Rangiku caíram na costa do ri"&amp;"o. Como Orihime vai curá -los, Chad é atacado por Reigai de Renji. Na Soul Society, Reigai, de Ukitake e Kyōraku, enfrenta Yamamoto, que afirma que conheceu o tempo todo sobre sua intenção de matá -lo. Unohana se reúne com Isane Kotetsu e explica a ela qu"&amp;"e passou por arquivos secretos da Sociedade da Alma e determinou Inaba como o agressor. Inaba então se revela e demonstra o poder de seu zanpakutō como isano o ataca. Unohana infere que ele usou sua pesquisa para formar um Zanpakutō que pode se mover pelo"&amp;" espaço e pelo tempo. Inaba confirma isso e depois se retira. Como Chad está enfrentando o falso Renji, o verdadeiro Renji aparece e ataca seu impostor, ambos derrotando o Reigai. Enquanto isso, Nozomi explica a Kon que o mundo humano tem vários Senkaimon"&amp;" natural, alguns levando a vazios vazios. Seu plano é entrar em um e desaparecer, tornando Inaba incapaz de capturá -la. Os Reigai de Rukia, Rangiku, Ikkaku, Yumichika, Hisagi e ōmaeda parecem apreciá -la, mas são confrontados por Ichigo, que desencadeia "&amp;"um poderoso getshō, destruindo todos eles. 324 `` Recaptine Setireitei! Os capitães se movem! '' `` Seireitei Dakkan E! Taichō - Tachi, Ugoku! '(瀞 霊 廷 奪 還 へ! para retornar à Sociedade da Alma. Eles caem na armadilha de Inaba no Dangai, onde Komamura fica "&amp;"para trás para combater o kōryū, a corrente restritiva que passa pelo Dangai. Quando os outros três chegam, eles seguem caminhos separados. Kenpachi encontra seu falso colega e se envolve em combate feroz. A princípio, sendo derrotado, ele recupera a vant"&amp;"agem e destrói seu Reigai após o incentivo de Yachiru. Enquanto isso, o Reigai de Ukitake e Kyōraku continua sua batalha com Yamamoto, alegando que eles não perderam o orgulho, apesar de serem Reigai. Além disso, Unohana e Isane enfrentam Inaba em sua sed"&amp;"e, onde ele explica como criou esses Reigai. Isane repentinamente se volta para Unohana, revelando -se para ser um impostor. Reigai, de Unohana, chega e se encontra com seu original. 325 `` Pelo bem dos crentes! Byakuya vs. Hitsugaya! '' `` Shinzuru mono "&amp;"sem manso ni! Byakuya Tai Hitsugaya! '' (信ずる ものの 為 に! 白 哉 哉 vs 日 番 谷!) 7 de junho de 2011 30 de novembro de 2013 Unohana e seu impostor se envolvem em conflitos usando ataques de Kido, com Unohana escapando. Reigai, de Ukitake e Kyōraku, não conseguem der"&amp;"rotar Yamamoto, que critica sua alegação de que mantêm seu orgulho. Reigai de Unohana chega e cura suas feridas, revelando sua estratégia para esgotar Yamamoto. Em outros lugares do Seireitei, Byakuya é interrompido pela Reigai de Hitsugaya, e os dois des"&amp;"encadearam seu Bankai em uma breve batalha. Byakuya pergunta por que alguém lutaria por Inaba, e Reigai, de Histugaya, afirma que ele quer proteger alguém, a quem o original não tem o poder de fazê -lo. Byakuya critica seus motivos e eventualmente consegu"&amp;"e derrotá -lo, embora escapando por pouco de Hitsugaya Hyōten Hyakkasō. De volta ao mundo vivo, Ichigo pede a Urahara que o envie para a Sociedade da Alma. Ele é aconselhado a não ir devido à sua energia espiritual em declínio. No entanto, Nozomi se aprox"&amp;"ima e revela um tipo de cura que restaura algumas das perdidas energia espiritual de Ichigo. Ele então continua indo para a Soul Society, onde Inaba se reúne com a figura que não responde que se assemelha a Nozomi, alegando que Nozomi retornará. 326 `` Os"&amp;" dois Hinamori, a resolução de Hitsugaya '' '`` Ftari no Hinamori, Hitsugaya no Kakugo' '(ふたり の 雛 森 、 、 日 番 谷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覚"&amp;"悟 覚悟 覚悟 覚悟 覚悟) 14 de junho de 2011 4 de janeiro, 2014 ichigo , chega à Soul Society, onde mais tarde encontra Inaba. Depois que Byakuya mata o Fake Hitsugaya, ele avança, onde encontra seu próprio Reigai. Enquanto em uma floresta de bambu, Kenpachi é atac"&amp;"ado por Reigai de Suì -Fēng, mas ele facilmente derrota os membros do esquadrão. Hitsugaya é confrontado com o falso Momo Hinamori, mas ele não pode ser ele mesmo para matá -la, apesar de saber que ela é um impostor. O verdadeiro Momo parece aparecer e at"&amp;"aca seu reigai, mas ambos são revelados como Reigai, depois de enganá -lo a salvar um deles, e eles o cortaram. Yoruichi então aparece e derrota os dois de Reigai, salvando hitsugaya. Enquanto isso, Reigai de Suì - Fēng ataca Kenpachi, mas Komamura interr"&amp;"ompe e a desafia. Inaba, enquanto atacava Ichigo, explica que sua falta de pureza o torna uma anomalia apagável. Inaba então usa seu Zanpakutō para prender Ichigo no Dangai. 327 `` Pride da família Kuchiki! Byakuya vs. Byakuya! '' `` Kuchiki - ke no hokor"&amp;"i! Byakuya Tai Byakuya! '' (朽木 家 の 誇り 誇り! 白 哉 哉 vs 白 白!) 21 de junho de 2011 11 de janeiro de 2014 Byakuya confronta seu falso colega, originalmente lutando até que ele lança seu Bankai. Enquanto isso, Komamura está tendo dificuldade em lidar com o Reigai"&amp;" de Suì -Fēng, cuja velocidade e habilidades parecem superar a dele. Em uma tentativa final desesperada, os dois se chocam com seu Bankai, e a batalha termina em empatar. Em outros lugares, um Yamamato frustrado libera um poderoso muro de fogo, aparenteme"&amp;"nte envolvendo os impostores que o estavam desafiando. No mundo dos vivos, os amigos de Ichigo expressam preocupação quando Urahara diz a eles que não pode detectar a pressão espiritual de Ichigo. 328 `` derrota Kageroza! Shinigami, tudo - fora da guerra!"&amp;" '' `` Kagerōza o Taose! Shinigami, Sōryokusen! '' (影 狼 佐 を 倒せ 倒せ! 死神 、 総力 戦!) 28 de junho de 2011 18 de janeiro de 2014 Hitsugaya e Kenpachi chegam à base de operações da Inaba. Eles o envolvem em combate, e Inaba revela que seu Zanpakutō pode gravar ata"&amp;"ques no Dangai e dispará -los de volta ao oponente. À medida que Inaba ganha vantagem, Yoruichi e os capitães chegam, além de Komamura, Unahana, Yamamoto e Mayuri. Em outros lugares, Ichigo é resgatado no Dangai por uma figura misteriosa. Inaba convoca o "&amp;"restante Reigai, e uma briga entre os originais e as falsificações se segue. A princípio, Yoruichi e os capitães são capazes de dominar Inaba e suas forças. No entanto, quando perdem a vantagem, um Mayuri aparentemente falso corta Inaba, revelando que tro"&amp;"cou de lugar com o impostor. 329 `` A pesquisa proibida ... segredo oculto de Nozomi! '' `` Kindan no kenkyū ... Nozomi ni kakusareta himitsu! '' (禁断 の 研究 研究 望実 望実 に 隠 さ れ た 秘密!) 5 de julho de 2011 25 de janeiro de 2014 Ichigo desperta na loja de Urahara,"&amp;" confusa de como ele foi resgatado. Urahara diz a ele que existem várias maneiras de escapar do kōryū, mas nenhum para escapar do kōtotsu, por isso não se sabe como Ichigo escapou. Em outros lugares, Mayuri usa seu Zanpakutō para drogar Inaba, o que dimin"&amp;"ui sua capacidade de pensar. No entanto, Isane convoca Reigai de Isane e a ataca. Na loja de Urahara, Rukia explica o Project Spearhead para o resto do grupo em que foram usadas almas modificadas. Inaba então pega o doce da alma do Reigai e a engole, resu"&amp;"ltando em Inaba sendo rejeitado de seu corpo e o Reigai tomando os efeitos da droga. Inaba, revelando sua história de fundo como aquela que criou almas modificadas, depois resulte a maior parte dos Reigai derrotados, desencadeando sua verdadeira força. No"&amp;"zomi admite que ela foi a primeira alma modificada. 330 `` Eu quero viver ...! Zanpakutō '' '`` ikitai ...! Nozomi no zanpakutō '' (生き たい たい ...!! 望実 の 斬 魄 刀 刀 刀 刀 刀 刀 刀 刀 刀 刀 刀 刀 刀 刀 刀 刀 刀 刀 刀 刀 刀 刀 刀 刀 刀 刀 刀 刀 刀 刀 刀 刀 刀 刀 刀 刀 刀 刀 刀 刀 刀 刀 刀 刀 刀 刀) 12 de "&amp;"julho de 2011 1 de fevereiro de 2014 Renji se reporta a Yamamoto e informa que os capitães envolvidos na briga com a Inaba não foram ouvidos. Yamamoto então afirma que apenas Ichigo, Rukia, Renji, Ikkaku e Yumichika estão preparados para a batalha. Yamamo"&amp;"to então especula várias cavidades pode ter se reunido devido à perturbação espiritual. Nozomi fica na casa de Ichigo por enquanto, e Kon tem se sentido realmente deprimido recentemente por causa do que Nozomi admitiu. Ichigo e Rukia lidam com muitas cavi"&amp;"dades durante isso, enquanto seus amigos compartilham sua preocupação com a Kon e mantêm a empresa Nozomi. Naquela noite, enquanto Ichigo está dormindo, Nozomi sai de casa e dá um passeio. No entanto, ela é atacada por um buraco, e um Kon confiante chega "&amp;"para defendê -la. Depois que o Hollow lida facilmente com os dois, a frustração de Nozomi libera um ataque de pressão espiritual, e ela recupera suas habilidades de Ceifador de Alma, derrotando o Hollow. 331 `` Por uma questão de lutar! O Nozomi despertad"&amp;"o! '' `` Tatakau Tame Ni! Mezame yo nozomi! '' (戦う ため に に! 目覚め よ 望実 望実!) 19 de julho de 2011 8 de fevereiro de 2014 Depois de recuperar as habilidades de Reaper Soul, Nozomi decide que ela quer ajudar a derrotar Inaba, mas ainda não se lembrava do nome e "&amp;"do poder de seu zanpakutō. Ichigo, Rukia, Uryū e Chad decidem ajudar Nozomi a despertar seus poderes adormecidos pelo mesmo treinamento rigoroso que Ichigo passou por despertar o dele. Enquanto isso, Inaba ordena as falsificações de Byakuya, Hitsugaya, Ke"&amp;"npachi e Komamura para se infiltrar no mundo humano, mas os quatro se enquadram em uma armadilha estabelecida por Urahara, que os separa durante suas viagens pelo Dangai. Quando as quatro falsificações chegam em várias áreas, Ikkaku luta contra Reigai de "&amp;"Kenpachi, enquanto alguns dos tenentes lidam com o resto, tudo para comprar mais tempo para Nozomi. Seguindo o conselho de Yumichika para não se segurar em seu treinamento, Ichigo lança um getsuga tenshō em Nozomi, permitindo que ela finalmente se lembre "&amp;"do nome de sua transferência de Zanpakutō, arazome, que aparentemente engole a pressão espiritual de Ichigo. Ikkaku parece que está prestes a receber o golpe final de Reigai de Kenpachi, mas Nozomi chega e aparentemente oblitera Reigai de Kenpachi com seu"&amp;" Zanpakutō. 332 `` O mais malvado Reigai, aparecendo no mundo real! '' `` SAIKYO NO REIGAI, GENSE NI ARAWARU! '' (最 凶 の 霊 骸 、 現世 に 現 る る!) 26 de julho de 2011 15 de fevereiro de 2014 Hisagi e Kira enfrentam o reigai de Hitsugaya, enquanto Rangiku e Tetsuz"&amp;"aemon iba combatem o Reigai de Komamura. Renji e Rukia enfrentam Reigai, de Byakuya, cobrindo ōmaeda depois de aparentemente ser derrotado. Quando Reigai, de Kenpachi, reaparece para lutar contra Nozomi, Yumichika o enfrenta para vingar seu camarada caído"&amp;", enquanto Ichigo e Nozomi tendem a ferir as feridas de Ikkaku. Um Nozomi insatisfeito quer ajudar nas batalhas em andamento, mas todos os tenentes dizem para ela sair do caminho e ir à segurança. Os tenentes logo são cortados ou estão em seus limites con"&amp;"tra os quatro falsos capitães. Kenpachi desafia Ichigo a uma partida, mas quando Hitsugaya se junta ansiosamente e ataca Nozomi, ela então causa uma quantidade considerável de danos a ele de uma só vez. Reigai, de Byakuya, percebendo o poder de seu Zanpak"&amp;"utō, tenta ligá -la para impedi -la de usá -lo, mas Uryū consegue salvá -la. Depois de testemunhar Nozomi absorve um ataque de seu arco, Ginrei Kojaku, Uryū deduz que seu Zanpakutō pode absorver qualquer coisa com pressão espiritual. Não tendo outra escol"&amp;"ha a não ser confiar nela, Ichigo, Uryū, Chade e os tenentes restantes direcionam sua pressão espiritual para Nozomi, que ela redireciona para os quatro falsos capitães. Reigai, de Byakuya, sobrevive ao ataque, mas Yamamoto aparece de repente e o derrota."&amp;" 333 `` Destroy Nozomi! ? A decisão de Genryusai! '' `` Nozomi o Kesu! ? Genryūsai No Ketsudan! '' (望実 を 消す 消す!? 元 柳 斎 の の!) 2 de agosto de 2011 22 de fevereiro de 2014 Yamamoto acredita que Nozomi não é importante para ele, devido ao fato de ela ser uma "&amp;"alma modificada. Ichigo diz a Uryū e Chade para levar os tenentes feridos a Orihime para serem curados. Reigai de Ukitake e Kyōraku aparece de repente no mundo vivo e está de volta para uma revanche com Yamamoto, mas Ichigo e Nozomi assumem o comando por "&amp;"enquanto e Spar com os dois. Ichigo mais tarde tem que cobrir para Nozomi quando ela é derrotada, mas mesmo assim ele mal evita os ataques de Ukitake e Reigai de Kyōraku. Yamamoto, distraído nisso, logo é imobilizado por Reigai, do Unohara, mas como o Uno"&amp;"hara original a impede, ele é capaz de quebrar o selo com sua pressão espiritual. Quando Yamamoto está prestes a ser atacado pelos três Reigai, Inaba chega e os ordena a parar, pois ele quer ser o único a lutar contra Yamamoto. Nozomi se oferece um chamar"&amp;"iz para impedir que a Inaba copie as técnicas de Yamamoto. Inaba evita atravessar espadas com Nozomi, conhecendo muito bem suas habilidades, mas Nozomi puxa um ataque surpresa, já tendo absorvido a pressão espiritual de Yamamoto. Yamamoto ataca Inaba com "&amp;"suas chamas, pois essa foi uma diversão para Ichigo usar seu getsuga tenshō em Inaba. No entanto, Ichigo entra em colapso e Nozomi vai pegá -lo. Inaba, revelado ainda estar vivo, conseguiu copiar as habilidades de Nozomi, absorvendo os ataques de Yamamoto"&amp;" e Ichigo. Como Inaba usa isso para terminar o Yamamoto, Nozomi aparece antes da explosão, na tentativa de absorver o ataque. 334 `` The Depleting Reiatsu! Ichigo, luta da morte da alma! '' `` Ushinawareru reiatsu! Ichigo, tamashii não shitō! '' (失 われる 霊 "&amp;"圧! Ichigo e Kon tentam salvar Nozomi de serem retirados, mas Inaba revela que ele e Nozomi foram criados pelas mesmas partículas espirituais de outro Ceifador de Soul. Ele derrota Ichigo, Rukia e Renji, enquanto Nozomi consegue fugir com Kon a reboque. In"&amp;"felizmente, Nozomi liga Kon a uma pedra, fugindo sem ele. Ichigo é visto ainda consciente e lutando para recuperar o atraso com Nozomi. Quando Inaba encontra Nozomi, ele cai devido a uma pedra solta em uma ladeira. Ichigo finalmente alcança e derrota Inab"&amp;"a com um getsuga tenshō, apenas para descobrir que foi um clone que Inaba criou. Inaba derruba Ichigo em um golpe, passa por Nozomi e passa a deixar o mundo da vida com ela. Kon, ainda ligado a uma rocha, tenta segui -los, mas ele é tarde demais. Ele é vi"&amp;"sto chorando por Nozomi, enquanto o uniforme de Ichigo fica branco como resultado de sua energia espiritual esgotada. 335 `` escondido no Dangai? Outro Ichigo? ! '' `` Dangai ni senpuku? Mō Hitori no Ichigo! ? '' (断 界 に 潜伏?? Ainda determinado a salvar Noz"&amp;"omi, Ichigo e seus amigos se reúnem na loja de Urahara para criar um plano de resgate. Urahara cria um plano arriscado que envolve Ichigo em Dangai e sendo engolido pelo Kōtotsu para recuperar uma amostra de seus poderes de Reaper Soul, já que ele foi eng"&amp;"olido antes. O plano funciona e Ichigo sai do Kōtotsu. Quando ele se encontra com todos, ele afirma que viu outro de si mesmo quando estava dentro do Kōtotsu, levando Urahara a concluir que Ichigo se salvou quando foi engolido pela primeira vez, já que nã"&amp;"o há tempo no Kōtotsu. 336 `` perseguir Kageroza! Departamento de Desenvolvimento Tecnológico, Infiltração! '' `` Kagerōza o oe! Gijutsu Kaihatsukyoku, Sennyū! '' (影 狼 佐 を 追え! no Sireitei. Enquanto procuram o laboratório de Inaba, Urahara tenta restaurar "&amp;"os poderes perdidos de Ichigo criando um doce de alma, mas é descoberto por Reigai de Nanao e Nemu. No último minuto antes de uma explosão, Ichigo quebra o vidro que contém o doce da alma e o consome. No entanto, como afirmado por Urahara, o doce estava i"&amp;"ncompleto, tornando desequilibradas tanto o seu Ceifador de Alma quanto os poderes vazios. Enquanto escapam, os três são emboscados pelos falsos capitães, mas são salvos quando Yoruichi e os originais aparecem, prontos para lutar. 337   `` The Developer o"&amp;"f the Modified Souls '' `` Kaizō Konpaku no Kaihatsusha '' ( 改造 魂魄 の 開発 者 )   August 30 , 2011   March 22 , 2014     The captains , thought to have fallen in battle , return to fight the reigai . Enquanto isso, os poderes de Ichigo continuam a ficar instá"&amp;"veis, forçando -o a descansar por enquanto, enquanto Urahara e Kon continuam sua investigação sobre a Inaba. Urahara e Kon mais tarde descobrem ōko yushima, o Ceifador de Soul que extraía todas as suas partículas espirituais e as separando em duas almas m"&amp;"odificadas, sendo eles nozomi e inaba. Ao visitar a célula de Yushima no ninho de larvas, eles são atacados por Suì -fēng e ōmaeda, Reigai, mas são mais tarde derrotados por Urahara. Os dois visitam a célula de Yushima, apenas para encontrá -lo sem respos"&amp;"ta, levando Urahara a concluir que Yushima nunca ganhará consciência. Enquanto isso, a forma oca de Ichigo finalmente assume e escapa do prédio em que ele estava. 338 `` Kon '' S, pensamentos de Nozomi '' '`` kon no omoi, nozomi no omoi' '(コン の 想い 想い 、 の "&amp;"想い 想い) 6 de setembro de 2011 29 de março de 2014 Urahara e Kon Cabe O outro laboratório de Inaba pode ser, apenas para ser interrompido por Reigai de Urahara. Enquanto Urahara luta contra sua contraparte, Kon desce para o laboratório, onde ele prontamente"&amp;" tenta despertar Nozomi dentro de sua cápsula. Ela acorda e insiste que Kon escape a princípio, mas depois de ver sua persistência e sua devoção de tentar salvá -la, sendo ligada pela amizade, ela tenta ajudar Kon a restaurar a energia espiritual de Ichig"&amp;"o. Antes que os doces da alma de Ichigo possam ser criados, Reigai de Nemu aparece e interrompe a transferência. Imediatamente depois, o processo de fusão entre Nozomi e Inaba é concluído. A forma oca de Ichigo derrota os membros da Oitava Divisão, mas qu"&amp;"ando ele está prestes a destruir Reigai de Nanao, o fundido Yushima aparece diante dele. 339 `` Protect Ichigo! Os laços dos amigos! '' `` Ichigo o mamore! Nakama - Tachi no Kizuna! '' (一 護 を 護れ 護れ! 仲間 たち の 絆!) 13 de setembro de 2011 5 de abril de 2014 Yu"&amp;"shima, não mostrando interesse em combater a forma oco de Ichigo, tenta se afastar, mas a criatura vazia continua a persegui -lo, Liderando os dois a se chocou com a colina de Sōkyoku. Os capitães e seus colegas de Reigai finalmente se juntam por seus ten"&amp;"entes, que os ajudam na batalha. Rukia, Renji, Orihime, Uryū e Chad chegam em Sōkyoku Hill e todos tentam parar Yushima, mas os poderes combinados de Nozomi e Inaba provam ser demais para eles. Yushima revela a verdadeira natureza de seu Zanpakutō, Sumits"&amp;"ukigasa, e derrota todos, mas antes que ele possa acabar com eles, Ichigo pula na frente de Rukia para levar um ataque para ela. 340 `` Reigai vs. Original, o feroz lutando pelo orgulho do jogo! '' `` Reigai Tai Genshu, Hokori o Kaketa Gekitō! '' (霊 骸 vs "&amp;"原 種 、 誇り を かけ た 激闘!) 20 de setembro de 2011 12 de abril de 2014 Quando Yushima esfaqueia Ichigo com seu Zanpakutō, Ichigo entra na consciência de Yushima e vê uma imagem de Nozomi, que chama para ele , fazendo com que seu formulário grosso se separasse e "&amp;"perdendo todos os seus poderes novamente. Ichigo é deixado para assistir enquanto seus amigos tentam dominar Yushima, mas Yushima encontra uma maneira de romper o que quer que tentem atacá -lo. Yushima tem que Reigai de Nemu lhe traz mais estabilizador de"&amp;" fusão, mas quando ela chega, ela inesperadamente o chuta para trás. É revelado que Kon foi ajudado por Urahara e Mayuri, colocando seu doce de alma no Reigai de Nemu. Kon dá a Ichigo um doce de alma completo, que restaura seus poderes. Ele se prepara par"&amp;"a libertar seu Bankai contra Yushima. Enquanto isso, Byakuya deduziu que os Reigai não se sacrificaram para atacar os originais quando estão todos juntos, como vai contra o que acredita. Os originais se juntam às forças contra o Reigai para proteger a Soc"&amp;"iedade da Alma. 341 `` invasor do exército, conclusão final! '' `` Shingun Hen, Saishū Kettaku! '' (侵 軍 篇 篇 最終 最終 決 着!) 27 de setembro de 2011 19 de abril de 2014 Ichigo libera seu Bankai e luta contra Yushima, enquanto os capitães e tenentes lutam contra"&amp;" os Reigai. Com a assistência de seus amigos, Ichigo é capaz de disparar um getshō Holffied Tenshō, que Yushima é incapaz de absorver devido à sua incapacidade de absorver a pressão espiritual oca. Ichigo terá que atacar o Saketsu de Yushima, sua cadeia d"&amp;"e alma encadernada, para destruir seu Hakusui, a fonte de seus poderes. Enquanto Yushima atinge Ichigo, ele pega seu Zanpakutō e dispara um enorme getshō Hollowfied Tenshō, o que causa grandes danos a Yushima e à área. A consciência de Nozomi aparece por "&amp;"um momento e pede para ser morta, mas Yushima assume o controle total e libera uma estrutura gigante que absorve as partículas espirituais da Sociedade da Alma. Estando cercado por sua estrutura e Ichigo fora do caminho, Nozomi recupera o controle e cria "&amp;"uma espada para cortar o saketsu de Yushima. O Reigai reage chocante ao ataque de Yushima e revela que seu motivo era proteger a Sociedade da Alma à sua maneira. Os Reigai passam a atacar a estrutura ao custo de suas próprias vidas, causando uma enorme ex"&amp;"plosão. Ichigo desativa seu Bankai e tem um último confronto com um Yushima enfurecido antes de quebrar a fusão. Nozomi e Inaba reaparecem mais uma vez, e Inaba começa a questionar seus pensamentos para Nozomi antes de desaparecer. Nozomi reuinita com Kon"&amp;" e o resto de seus amigos, mas ela começa a desaparecer. Nozomi diz um adeus emocionante a Kon e desaparece. 342 `` obrigado '' `` Arigatō '' (ありがとう) 4 de outubro de 2011 26 de abril de 2014 Ichigo tem lutado contra Hollows, devido a perder gradualmente s"&amp;"eus poderes restaurados temporariamente, mas é salvo por Rukia e Uryū, que dizem a ele para descansar de lidar com cavidades. É mostrado que o Ukitake entrou em contato com Rukia para impedir que Ichigo lute contra Hollows. No dia seguinte, Ichigo leva Ru"&amp;"kia a uma pista de patinação no gelo com seus amigos. À noite, fogos de artifício de um parque de diversões nas proximidades começam a atirar no céu, terminando o dia com uma nota feliz. Um oco enorme é sentido nas proximidades quando Ichigo e Rukia estão"&amp;" voltando para casa, mas Rukia tenta salvar Ichigo de enfrentá -lo, dizendo a ela que ela lutaria em seu lugar, se necessário, vendo -o como uma boa amiga. Rukia congela as pernas do Hollow e Ichigo dispara seu último Getsuga Tenshō e a destrói. Um Ichigo"&amp;" exausto estava ciente de que Rukia foi instruído a impedir que Ichigo lute contra Hollows e a descansar, mas ele sabe que permanecerá da mesma maneira que antes. Ichigo acorda em seu quarto, cercado por seus amigos. Ele sai e toma nota de seus poderes qu"&amp;"e desaparecem, incapazes de sentir espíritos. Ele diz adeus quando a presença de Rukia começa a desaparecer, e ele agradece a ela depois que ela desaparece completamente.")</f>
        <v>   Não . Título original Airdate Inglês Airdate 317 `` Incidente incomum em Sireitei? ! Gotei 13 Arco do exército invasor! '' `` Seireitei ni ihen? ! GOTEI Jūsantai Shingun Hen! '' (瀞 霊 廷 に 異変?! Entre no Dangai para voltar para casa, mas é confrontado por algo ao longo do caminho. Seus capitães, que perderam contato com eles, estão preocupados com seus desaparecimentos até que repentinamente voltem um dia depois. Rangiku e Nanao se foram apenas algumas horas e voltaram diretamente, o que conclui que o tempo no Dangai está fora de sincronia com a Sociedade da Alma. Mayuri Kurotsuchi realiza uma pesquisa da área com Kenpachi Zaraki ajudando como uma escolta de segurança. Enquanto isso, enquanto Ichigo Kurosaki e Rukia Kuchiki partem para lidar com cavidades, Kon folhas para investigar um distúrbio espiritual e encontra uma garota verde - de cabelos deitada dormindo e coberta de trapos. Ichigo volta para casa e fica furioso com Kon, que trouxe de volta a garota verde - de cabelos. Enquanto a pesquisa está em andamento, Mayuri e Kenpachi são confrontados por uma luz intensa emergindo das paredes dos Dangai. Enquanto Ichigo e Rukia retornam através do Dangai para a Sociedade da Alma, eles são perseguidos pelo supostamente revivido Kōtotsu. Para se salvar, Ichigo usa seu Bankai e carrega Rukia até a Sociedade da Alma, mas cai no chão devido à perda gradual de seus poderes. Ichigo então encontra Tōshirō Hitsugaya e Byakuya Kuchiki, que o colocam sob confinamento. Um cientista misterioso em um laboratório aborda o que parece ser duplas corporais de Izuru Kira e Nanao. 318 `` Renji vs. Rukia? ! Batalha com camaradas! '' `` Renji Tai Rukia? ! Nakama para nenhum Tatakai! '' (恋 次 次 vs ルキア?! 仲間 と の 戦い!) 19 de abril de 2011 12 de outubro de 2013 Enquanto Kon tenta manter a garota verde - de cabelos, cujo nome é Nozomi Kujō, um segredo da família de Ichigo. Rukia se infiltra na cela de Ichigo e o libera. Jūshirō Ukitake e Shunsui Kyōraku discutem sobre o possível envolvimento de Ichigo com os desaparecimentos, já que seu distintivo substituto foi encontrado por Byakuya dentro do Dangai. Enquanto Rukia explica a Ichigo, há uma lacuna de tempo entre o mundo humano e a Sociedade da Alma, eles são então confrontados por Renji Abarai e Ikkaku Madarame, que exibem comportamentos implacáveis ​​ao contrário de si. Yoruichi Shihōin chega e sela Renji e Ikkaku antes de escapar com Ichigo e Rukia em seu esconderijo. Ela explica a eles que Renji e Ikkaku foram secretamente substituídos por Reigai, corpos artificiais que permitem que almas modificadas mantenham uma forma física na sociedade da alma. Os Reigai, que imitam de perto as características de um Reaper Soul, estão sendo usados ​​para testar os doces da alma, o que significa que alguém da décima segunda divisão está envolvido. Ichigo e Rukia mais tarde entram no laboratório e descobrem que Nozomi é um fugitivo da Sociedade da Alma. O cientista misterioso, juntamente com Kira e Nanao, Reigai chega ao mundo humano para apreender Nozomi, que evita a captura. Kon a segue e ambos acabam encurralados pelo cientista. No entanto, Uryū Ishida chega para ajudar os dois. 319 `` `Ichigo 's Capture Net! Fuja da Soul Society! '' `` Ichigo hobakumō! Sōru Sosaeti O DASSHUTSU SE Yo! '' (一 護 捕縛 網! O Senkaimon, a porta de entrada para o Dangai. Uryū é derrotado pelo Shikai do cientista de seu Zanpakutō, Raikū. Yoruichi luta contra os Reigai para deixar Ichigo e Rukia escapar. Kon é incapaz de responder, e um Nozomi inconsciente é capturado por Reigai de Kira e Nanao. Enquanto aparece e tentando salvar Uryū, Yasutora `` chad '' Sado é derrotado ao tentar ganhar tempo para que Orihime inoue cure uryū. Ichigo e Rukia chegam para impedir o cientista, revelaram -se Kagerōza Inaba, que facilmente lida com Ichigo em seu estado de enfraquecimento. Assim como ele está prestes a matar Ichigo e Rukia, os outros capitães e tenentes envolvidos no incidente chegam, recuperando Nozomi e forçando Inaba e Reigai a recuar. Admitindo que está por trás do incidente de Reigai, Inaba afirma que, uma vez que ele tem Nozomi, ele poderá conquistar a Sociedade da Alma e o mundo dos vivos. Inaba escapa para a Soul Society e se encontra com os Reigai. Ele os encarrega de recuperar Nozomi e eliminar os originais, enquanto os considera o exército invasor. 320 `` Gotei 13, reunindo -se no mundo real! '' `` GOTEI Jūsantai, Gense Ni Shūketsu! '' (護 廷 十 三 隊 、 、 現世 に!) 3 de maio de 2011 26 de outubro de 2013 Ichigo, Kon, Orihime, Uryū e Chad estão todos na loja de Kisuke Urahara, cuidando de Nozomi. Rukia aparece e diz a Ichigo para se juntar às costas da alma em seu quarto para formular uma estratégia na proteção de Nozomi. Orihime organiza um churrasco para animar Nozomi e fazê -la se abrir para os outros, mas ela foge. Kon, Orihime, Uryū e Chad tentam encontrá -la. Um Kon muito preocupado a encontra, mais tarde deixando -a sob os cuidados de Rangiku, mas não percebe que Rangiku é o impostor tentando capturar Nozomi. Depois que ele percebe que Nozomi foi capturado por Rangiku, ele tenta salvá -la, mas não pode derrotar Rangiku, Reigai, e depois que ele próprio é derrotado, Ichigo, Rukia, Renji e Rangiku chegam para salvar Nozomi e Rangiku de Reigai escapa. Durante o churrasco, Nozomi começa a comer depois que Kon oferece a ela um pouco da comida de churrasco. 321 `` Showdown of Mutual Self, Ikkaku vs. Ikkaku! '' `` Jibun dōshi no taiketsu, ikkaku tai ikkaku! '' (自分 同士 の 対決 、 一 角 vs 一 角!) 10 de maio de 2011 2 de novembro de 2013 Ukitake e Kyōraku, suspeitando de algum tipo de jogo sujo na Soul Society, lembre concorda que Ichigo adulterou seu trabalho no Dangai, e foi decidido por Genryūsai Shigekuni Yamamoto que Ichigo será colocado sob suspeita. Sem o conhecimento de Ukitake e Kyōraku, Mayuri e Kenpachi eram na verdade os impostores. Enquanto isso, na cidade de Karakura, Ichigo encontra Kon amarrado em seu armário, o que significa que Nozomi escapou novamente. Ichigo e seus amigos passam a procurá -la. Kon consegue encontrá -la em uma floresta, embora esteja relutante em voltar e foge novamente. Em outros lugares da floresta, Ikkaku, Yumichika Ayasegawa, Shūhei Hisagi e Marechiyo ōmaeda são confrontados por seus respectivos Reigai. Ōmaeda fica surpreso quando seu Reigai parece ser mais atraente que ele. Enquanto Hisagi e ōmaeda enganam seus impostores e os derrotam, as coisas não vão bem para Ikkaku e Yumichika. Felizmente, o Reigai deles está transferido depois que Uryū chega para se juntar à briga. O retiro de Reigai de Ikkaku e Yumichika, com seus respectivos originais gravemente feridos e inconscientes. Reigai de Kira se aproxima de Rangiku, Rukia encontra seu próprio Reigai, e Suì - Fēng detém Kyōraku, que foi enquadrado por Inaba. 322 `` Clash! Rukia vs. Rukia! '' `` Gekitotsu! Rukia Tai Rukia! '' (激突! ルキア vs ルキア!) 17 de maio de 2011 9 de novembro de 2013 Kon continua a seguir Nozomi, que afirma ter algum tipo de destino incerto para encontrar. Ichigo, Orihime e Chad são vistos em busca de Nozomi, enquanto Uryū é visto cuidando das feridas de Ikkaku, Yumikchika, Hisagi e ōmaeda. Rangiku, bloqueando os ataques de Reigai de Kira, fica surpreso quando seu Zanpakutō cai no chão, já que seu novo e aprimorado Zanpakutō pode aumentar o peso do que ele atinge até dez vezes a quantidade. No entanto, Rangiku, agora moderado, bloqueia inteligentemente seu Zanpakutō com um pesado poste de aço, prendendo -o no chão, permitindo que ela o derrotasse e o faça se desintegrar. Ukitake, implorando ao Central 46 para libertar Kyōraku, é negado seu pedido, e ele mais tarde se encontra com Retsu Unohana, que o alerta para ter cuidado. Reigai, de Rukia, logo se junta a Reigai, de Nemu Kurotsuchi, para brigar contra Rukia, mas Nemu chega e mata seu Reigai, que se desintegra e deixa para trás uma pedra vermelha, assumindo que essa seja a verdadeira forma do Reigai. Em outros lugares, Nozomi diz a Kon que ela deve encontrar um lugar com uma fileira de portões do santuário, e Kon concorda em levá -la ao primeiro lugar que ele se lembra. Rukia, que aparentemente derrota seu Reigai, se junta a Nemu e Rangiku para procurar Nozomi, mas Rukia é revelada como realmente a falsa Rukia, que então joga Nemu e Rangiku no rio com a verdadeira Rukia. Ukitake é cortado por Kyōraku ao libertá -lo da prisão, revelando esse Kyōraku para também ser um Reigai. O falso ukitake se encontra com o falso Kyōraku, enquanto eles se preparam para fugir. 323 `` Protect Ichigo! A determinação de Nozomi '' `` Mamore Ichigo! Nozomi no Ketsui '' (護れ 一 護 護! 望実 の 決意 決意) 24 de maio de 2011 16 de novembro de 2013 Orihime e Chad Encontrar Rukia, Nemu e Rangiku caíram na costa do rio. Como Orihime vai curá -los, Chad é atacado por Reigai de Renji. Na Soul Society, Reigai, de Ukitake e Kyōraku, enfrenta Yamamoto, que afirma que conheceu o tempo todo sobre sua intenção de matá -lo. Unohana se reúne com Isane Kotetsu e explica a ela que passou por arquivos secretos da Sociedade da Alma e determinou Inaba como o agressor. Inaba então se revela e demonstra o poder de seu zanpakutō como isano o ataca. Unohana infere que ele usou sua pesquisa para formar um Zanpakutō que pode se mover pelo espaço e pelo tempo. Inaba confirma isso e depois se retira. Como Chad está enfrentando o falso Renji, o verdadeiro Renji aparece e ataca seu impostor, ambos derrotando o Reigai. Enquanto isso, Nozomi explica a Kon que o mundo humano tem vários Senkaimon natural, alguns levando a vazios vazios. Seu plano é entrar em um e desaparecer, tornando Inaba incapaz de capturá -la. Os Reigai de Rukia, Rangiku, Ikkaku, Yumichika, Hisagi e ōmaeda parecem apreciá -la, mas são confrontados por Ichigo, que desencadeia um poderoso getshō, destruindo todos eles. 324 `` Recaptine Setireitei! Os capitães se movem! '' `` Seireitei Dakkan E! Taichō - Tachi, Ugoku! '(瀞 霊 廷 奪 還 へ! para retornar à Sociedade da Alma. Eles caem na armadilha de Inaba no Dangai, onde Komamura fica para trás para combater o kōryū, a corrente restritiva que passa pelo Dangai. Quando os outros três chegam, eles seguem caminhos separados. Kenpachi encontra seu falso colega e se envolve em combate feroz. A princípio, sendo derrotado, ele recupera a vantagem e destrói seu Reigai após o incentivo de Yachiru. Enquanto isso, o Reigai de Ukitake e Kyōraku continua sua batalha com Yamamoto, alegando que eles não perderam o orgulho, apesar de serem Reigai. Além disso, Unohana e Isane enfrentam Inaba em sua sede, onde ele explica como criou esses Reigai. Isane repentinamente se volta para Unohana, revelando -se para ser um impostor. Reigai, de Unohana, chega e se encontra com seu original. 325 `` Pelo bem dos crentes! Byakuya vs. Hitsugaya! '' `` Shinzuru mono sem manso ni! Byakuya Tai Hitsugaya! '' (信ずる ものの 為 に! 白 哉 哉 vs 日 番 谷!) 7 de junho de 2011 30 de novembro de 2013 Unohana e seu impostor se envolvem em conflitos usando ataques de Kido, com Unohana escapando. Reigai, de Ukitake e Kyōraku, não conseguem derrotar Yamamoto, que critica sua alegação de que mantêm seu orgulho. Reigai de Unohana chega e cura suas feridas, revelando sua estratégia para esgotar Yamamoto. Em outros lugares do Seireitei, Byakuya é interrompido pela Reigai de Hitsugaya, e os dois desencadearam seu Bankai em uma breve batalha. Byakuya pergunta por que alguém lutaria por Inaba, e Reigai, de Histugaya, afirma que ele quer proteger alguém, a quem o original não tem o poder de fazê -lo. Byakuya critica seus motivos e eventualmente consegue derrotá -lo, embora escapando por pouco de Hitsugaya Hyōten Hyakkasō. De volta ao mundo vivo, Ichigo pede a Urahara que o envie para a Sociedade da Alma. Ele é aconselhado a não ir devido à sua energia espiritual em declínio. No entanto, Nozomi se aproxima e revela um tipo de cura que restaura algumas das perdidas energia espiritual de Ichigo. Ele então continua indo para a Soul Society, onde Inaba se reúne com a figura que não responde que se assemelha a Nozomi, alegando que Nozomi retornará. 326 `` Os dois Hinamori, a resolução de Hitsugaya '' '`` Ftari no Hinamori, Hitsugaya no Kakugo' '(ふたり の 雛 森 、 、 日 番 谷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14 de junho de 2011 4 de janeiro, 2014 ichigo , chega à Soul Society, onde mais tarde encontra Inaba. Depois que Byakuya mata o Fake Hitsugaya, ele avança, onde encontra seu próprio Reigai. Enquanto em uma floresta de bambu, Kenpachi é atacado por Reigai de Suì -Fēng, mas ele facilmente derrota os membros do esquadrão. Hitsugaya é confrontado com o falso Momo Hinamori, mas ele não pode ser ele mesmo para matá -la, apesar de saber que ela é um impostor. O verdadeiro Momo parece aparecer e ataca seu reigai, mas ambos são revelados como Reigai, depois de enganá -lo a salvar um deles, e eles o cortaram. Yoruichi então aparece e derrota os dois de Reigai, salvando hitsugaya. Enquanto isso, Reigai de Suì - Fēng ataca Kenpachi, mas Komamura interrompe e a desafia. Inaba, enquanto atacava Ichigo, explica que sua falta de pureza o torna uma anomalia apagável. Inaba então usa seu Zanpakutō para prender Ichigo no Dangai. 327 `` Pride da família Kuchiki! Byakuya vs. Byakuya! '' `` Kuchiki - ke no hokori! Byakuya Tai Byakuya! '' (朽木 家 の 誇り 誇り! 白 哉 哉 vs 白 白!) 21 de junho de 2011 11 de janeiro de 2014 Byakuya confronta seu falso colega, originalmente lutando até que ele lança seu Bankai. Enquanto isso, Komamura está tendo dificuldade em lidar com o Reigai de Suì -Fēng, cuja velocidade e habilidades parecem superar a dele. Em uma tentativa final desesperada, os dois se chocam com seu Bankai, e a batalha termina em empatar. Em outros lugares, um Yamamato frustrado libera um poderoso muro de fogo, aparentemente envolvendo os impostores que o estavam desafiando. No mundo dos vivos, os amigos de Ichigo expressam preocupação quando Urahara diz a eles que não pode detectar a pressão espiritual de Ichigo. 328 `` derrota Kageroza! Shinigami, tudo - fora da guerra! '' `` Kagerōza o Taose! Shinigami, Sōryokusen! '' (影 狼 佐 を 倒せ 倒せ! 死神 、 総力 戦!) 28 de junho de 2011 18 de janeiro de 2014 Hitsugaya e Kenpachi chegam à base de operações da Inaba. Eles o envolvem em combate, e Inaba revela que seu Zanpakutō pode gravar ataques no Dangai e dispará -los de volta ao oponente. À medida que Inaba ganha vantagem, Yoruichi e os capitães chegam, além de Komamura, Unahana, Yamamoto e Mayuri. Em outros lugares, Ichigo é resgatado no Dangai por uma figura misteriosa. Inaba convoca o restante Reigai, e uma briga entre os originais e as falsificações se segue. A princípio, Yoruichi e os capitães são capazes de dominar Inaba e suas forças. No entanto, quando perdem a vantagem, um Mayuri aparentemente falso corta Inaba, revelando que trocou de lugar com o impostor. 329 `` A pesquisa proibida ... segredo oculto de Nozomi! '' `` Kindan no kenkyū ... Nozomi ni kakusareta himitsu! '' (禁断 の 研究 研究 望実 望実 に 隠 さ れ た 秘密!) 5 de julho de 2011 25 de janeiro de 2014 Ichigo desperta na loja de Urahara, confusa de como ele foi resgatado. Urahara diz a ele que existem várias maneiras de escapar do kōryū, mas nenhum para escapar do kōtotsu, por isso não se sabe como Ichigo escapou. Em outros lugares, Mayuri usa seu Zanpakutō para drogar Inaba, o que diminui sua capacidade de pensar. No entanto, Isane convoca Reigai de Isane e a ataca. Na loja de Urahara, Rukia explica o Project Spearhead para o resto do grupo em que foram usadas almas modificadas. Inaba então pega o doce da alma do Reigai e a engole, resultando em Inaba sendo rejeitado de seu corpo e o Reigai tomando os efeitos da droga. Inaba, revelando sua história de fundo como aquela que criou almas modificadas, depois resulte a maior parte dos Reigai derrotados, desencadeando sua verdadeira força. Nozomi admite que ela foi a primeira alma modificada. 330 `` Eu quero viver ...! Zanpakutō '' '`` ikitai ...! Nozomi no zanpakutō '' (生き たい たい ...!! 望実 の 斬 魄 刀 刀 刀 刀 刀 刀 刀 刀 刀 刀 刀 刀 刀 刀 刀 刀 刀 刀 刀 刀 刀 刀 刀 刀 刀 刀 刀 刀 刀 刀 刀 刀 刀 刀 刀 刀 刀 刀 刀 刀 刀 刀 刀 刀 刀 刀) 12 de julho de 2011 1 de fevereiro de 2014 Renji se reporta a Yamamoto e informa que os capitães envolvidos na briga com a Inaba não foram ouvidos. Yamamoto então afirma que apenas Ichigo, Rukia, Renji, Ikkaku e Yumichika estão preparados para a batalha. Yamamoto então especula várias cavidades pode ter se reunido devido à perturbação espiritual. Nozomi fica na casa de Ichigo por enquanto, e Kon tem se sentido realmente deprimido recentemente por causa do que Nozomi admitiu. Ichigo e Rukia lidam com muitas cavidades durante isso, enquanto seus amigos compartilham sua preocupação com a Kon e mantêm a empresa Nozomi. Naquela noite, enquanto Ichigo está dormindo, Nozomi sai de casa e dá um passeio. No entanto, ela é atacada por um buraco, e um Kon confiante chega para defendê -la. Depois que o Hollow lida facilmente com os dois, a frustração de Nozomi libera um ataque de pressão espiritual, e ela recupera suas habilidades de Ceifador de Alma, derrotando o Hollow. 331 `` Por uma questão de lutar! O Nozomi despertado! '' `` Tatakau Tame Ni! Mezame yo nozomi! '' (戦う ため に に! 目覚め よ 望実 望実!) 19 de julho de 2011 8 de fevereiro de 2014 Depois de recuperar as habilidades de Reaper Soul, Nozomi decide que ela quer ajudar a derrotar Inaba, mas ainda não se lembrava do nome e do poder de seu zanpakutō. Ichigo, Rukia, Uryū e Chad decidem ajudar Nozomi a despertar seus poderes adormecidos pelo mesmo treinamento rigoroso que Ichigo passou por despertar o dele. Enquanto isso, Inaba ordena as falsificações de Byakuya, Hitsugaya, Kenpachi e Komamura para se infiltrar no mundo humano, mas os quatro se enquadram em uma armadilha estabelecida por Urahara, que os separa durante suas viagens pelo Dangai. Quando as quatro falsificações chegam em várias áreas, Ikkaku luta contra Reigai de Kenpachi, enquanto alguns dos tenentes lidam com o resto, tudo para comprar mais tempo para Nozomi. Seguindo o conselho de Yumichika para não se segurar em seu treinamento, Ichigo lança um getsuga tenshō em Nozomi, permitindo que ela finalmente se lembre do nome de sua transferência de Zanpakutō, arazome, que aparentemente engole a pressão espiritual de Ichigo. Ikkaku parece que está prestes a receber o golpe final de Reigai de Kenpachi, mas Nozomi chega e aparentemente oblitera Reigai de Kenpachi com seu Zanpakutō. 332 `` O mais malvado Reigai, aparecendo no mundo real! '' `` SAIKYO NO REIGAI, GENSE NI ARAWARU! '' (最 凶 の 霊 骸 、 現世 に 現 る る!) 26 de julho de 2011 15 de fevereiro de 2014 Hisagi e Kira enfrentam o reigai de Hitsugaya, enquanto Rangiku e Tetsuzaemon iba combatem o Reigai de Komamura. Renji e Rukia enfrentam Reigai, de Byakuya, cobrindo ōmaeda depois de aparentemente ser derrotado. Quando Reigai, de Kenpachi, reaparece para lutar contra Nozomi, Yumichika o enfrenta para vingar seu camarada caído, enquanto Ichigo e Nozomi tendem a ferir as feridas de Ikkaku. Um Nozomi insatisfeito quer ajudar nas batalhas em andamento, mas todos os tenentes dizem para ela sair do caminho e ir à segurança. Os tenentes logo são cortados ou estão em seus limites contra os quatro falsos capitães. Kenpachi desafia Ichigo a uma partida, mas quando Hitsugaya se junta ansiosamente e ataca Nozomi, ela então causa uma quantidade considerável de danos a ele de uma só vez. Reigai, de Byakuya, percebendo o poder de seu Zanpakutō, tenta ligá -la para impedi -la de usá -lo, mas Uryū consegue salvá -la. Depois de testemunhar Nozomi absorve um ataque de seu arco, Ginrei Kojaku, Uryū deduz que seu Zanpakutō pode absorver qualquer coisa com pressão espiritual. Não tendo outra escolha a não ser confiar nela, Ichigo, Uryū, Chade e os tenentes restantes direcionam sua pressão espiritual para Nozomi, que ela redireciona para os quatro falsos capitães. Reigai, de Byakuya, sobrevive ao ataque, mas Yamamoto aparece de repente e o derrota. 333 `` Destroy Nozomi! ? A decisão de Genryusai! '' `` Nozomi o Kesu! ? Genryūsai No Ketsudan! '' (望実 を 消す 消す!? 元 柳 斎 の の!) 2 de agosto de 2011 22 de fevereiro de 2014 Yamamoto acredita que Nozomi não é importante para ele, devido ao fato de ela ser uma alma modificada. Ichigo diz a Uryū e Chade para levar os tenentes feridos a Orihime para serem curados. Reigai de Ukitake e Kyōraku aparece de repente no mundo vivo e está de volta para uma revanche com Yamamoto, mas Ichigo e Nozomi assumem o comando por enquanto e Spar com os dois. Ichigo mais tarde tem que cobrir para Nozomi quando ela é derrotada, mas mesmo assim ele mal evita os ataques de Ukitake e Reigai de Kyōraku. Yamamoto, distraído nisso, logo é imobilizado por Reigai, do Unohara, mas como o Unohara original a impede, ele é capaz de quebrar o selo com sua pressão espiritual. Quando Yamamoto está prestes a ser atacado pelos três Reigai, Inaba chega e os ordena a parar, pois ele quer ser o único a lutar contra Yamamoto. Nozomi se oferece um chamariz para impedir que a Inaba copie as técnicas de Yamamoto. Inaba evita atravessar espadas com Nozomi, conhecendo muito bem suas habilidades, mas Nozomi puxa um ataque surpresa, já tendo absorvido a pressão espiritual de Yamamoto. Yamamoto ataca Inaba com suas chamas, pois essa foi uma diversão para Ichigo usar seu getsuga tenshō em Inaba. No entanto, Ichigo entra em colapso e Nozomi vai pegá -lo. Inaba, revelado ainda estar vivo, conseguiu copiar as habilidades de Nozomi, absorvendo os ataques de Yamamoto e Ichigo. Como Inaba usa isso para terminar o Yamamoto, Nozomi aparece antes da explosão, na tentativa de absorver o ataque. 334 `` The Depleting Reiatsu! Ichigo, luta da morte da alma! '' `` Ushinawareru reiatsu! Ichigo, tamashii não shitō! '' (失 われる 霊 圧! Ichigo e Kon tentam salvar Nozomi de serem retirados, mas Inaba revela que ele e Nozomi foram criados pelas mesmas partículas espirituais de outro Ceifador de Soul. Ele derrota Ichigo, Rukia e Renji, enquanto Nozomi consegue fugir com Kon a reboque. Infelizmente, Nozomi liga Kon a uma pedra, fugindo sem ele. Ichigo é visto ainda consciente e lutando para recuperar o atraso com Nozomi. Quando Inaba encontra Nozomi, ele cai devido a uma pedra solta em uma ladeira. Ichigo finalmente alcança e derrota Inaba com um getsuga tenshō, apenas para descobrir que foi um clone que Inaba criou. Inaba derruba Ichigo em um golpe, passa por Nozomi e passa a deixar o mundo da vida com ela. Kon, ainda ligado a uma rocha, tenta segui -los, mas ele é tarde demais. Ele é visto chorando por Nozomi, enquanto o uniforme de Ichigo fica branco como resultado de sua energia espiritual esgotada. 335 `` escondido no Dangai? Outro Ichigo? ! '' `` Dangai ni senpuku? Mō Hitori no Ichigo! ? '' (断 界 に 潜伏?? Ainda determinado a salvar Nozomi, Ichigo e seus amigos se reúnem na loja de Urahara para criar um plano de resgate. Urahara cria um plano arriscado que envolve Ichigo em Dangai e sendo engolido pelo Kōtotsu para recuperar uma amostra de seus poderes de Reaper Soul, já que ele foi engolido antes. O plano funciona e Ichigo sai do Kōtotsu. Quando ele se encontra com todos, ele afirma que viu outro de si mesmo quando estava dentro do Kōtotsu, levando Urahara a concluir que Ichigo se salvou quando foi engolido pela primeira vez, já que não há tempo no Kōtotsu. 336 `` perseguir Kageroza! Departamento de Desenvolvimento Tecnológico, Infiltração! '' `` Kagerōza o oe! Gijutsu Kaihatsukyoku, Sennyū! '' (影 狼 佐 を 追え! no Sireitei. Enquanto procuram o laboratório de Inaba, Urahara tenta restaurar os poderes perdidos de Ichigo criando um doce de alma, mas é descoberto por Reigai de Nanao e Nemu. No último minuto antes de uma explosão, Ichigo quebra o vidro que contém o doce da alma e o consome. No entanto, como afirmado por Urahara, o doce estava incompleto, tornando desequilibradas tanto o seu Ceifador de Alma quanto os poderes vazios. Enquanto escapam, os três são emboscados pelos falsos capitães, mas são salvos quando Yoruichi e os originais aparecem, prontos para lutar. 337   `` The Developer of the Modified Souls '' `` Kaizō Konpaku no Kaihatsusha '' ( 改造 魂魄 の 開発 者 )   August 30 , 2011   March 22 , 2014     The captains , thought to have fallen in battle , return to fight the reigai . Enquanto isso, os poderes de Ichigo continuam a ficar instáveis, forçando -o a descansar por enquanto, enquanto Urahara e Kon continuam sua investigação sobre a Inaba. Urahara e Kon mais tarde descobrem ōko yushima, o Ceifador de Soul que extraía todas as suas partículas espirituais e as separando em duas almas modificadas, sendo eles nozomi e inaba. Ao visitar a célula de Yushima no ninho de larvas, eles são atacados por Suì -fēng e ōmaeda, Reigai, mas são mais tarde derrotados por Urahara. Os dois visitam a célula de Yushima, apenas para encontrá -lo sem resposta, levando Urahara a concluir que Yushima nunca ganhará consciência. Enquanto isso, a forma oca de Ichigo finalmente assume e escapa do prédio em que ele estava. 338 `` Kon '' S, pensamentos de Nozomi '' '`` kon no omoi, nozomi no omoi' '(コン の 想い 想い 、 の 想い 想い) 6 de setembro de 2011 29 de março de 2014 Urahara e Kon Cabe O outro laboratório de Inaba pode ser, apenas para ser interrompido por Reigai de Urahara. Enquanto Urahara luta contra sua contraparte, Kon desce para o laboratório, onde ele prontamente tenta despertar Nozomi dentro de sua cápsula. Ela acorda e insiste que Kon escape a princípio, mas depois de ver sua persistência e sua devoção de tentar salvá -la, sendo ligada pela amizade, ela tenta ajudar Kon a restaurar a energia espiritual de Ichigo. Antes que os doces da alma de Ichigo possam ser criados, Reigai de Nemu aparece e interrompe a transferência. Imediatamente depois, o processo de fusão entre Nozomi e Inaba é concluído. A forma oca de Ichigo derrota os membros da Oitava Divisão, mas quando ele está prestes a destruir Reigai de Nanao, o fundido Yushima aparece diante dele. 339 `` Protect Ichigo! Os laços dos amigos! '' `` Ichigo o mamore! Nakama - Tachi no Kizuna! '' (一 護 を 護れ 護れ! 仲間 たち の 絆!) 13 de setembro de 2011 5 de abril de 2014 Yushima, não mostrando interesse em combater a forma oco de Ichigo, tenta se afastar, mas a criatura vazia continua a persegui -lo, Liderando os dois a se chocou com a colina de Sōkyoku. Os capitães e seus colegas de Reigai finalmente se juntam por seus tenentes, que os ajudam na batalha. Rukia, Renji, Orihime, Uryū e Chad chegam em Sōkyoku Hill e todos tentam parar Yushima, mas os poderes combinados de Nozomi e Inaba provam ser demais para eles. Yushima revela a verdadeira natureza de seu Zanpakutō, Sumitsukigasa, e derrota todos, mas antes que ele possa acabar com eles, Ichigo pula na frente de Rukia para levar um ataque para ela. 340 `` Reigai vs. Original, o feroz lutando pelo orgulho do jogo! '' `` Reigai Tai Genshu, Hokori o Kaketa Gekitō! '' (霊 骸 vs 原 種 、 誇り を かけ た 激闘!) 20 de setembro de 2011 12 de abril de 2014 Quando Yushima esfaqueia Ichigo com seu Zanpakutō, Ichigo entra na consciência de Yushima e vê uma imagem de Nozomi, que chama para ele , fazendo com que seu formulário grosso se separasse e perdendo todos os seus poderes novamente. Ichigo é deixado para assistir enquanto seus amigos tentam dominar Yushima, mas Yushima encontra uma maneira de romper o que quer que tentem atacá -lo. Yushima tem que Reigai de Nemu lhe traz mais estabilizador de fusão, mas quando ela chega, ela inesperadamente o chuta para trás. É revelado que Kon foi ajudado por Urahara e Mayuri, colocando seu doce de alma no Reigai de Nemu. Kon dá a Ichigo um doce de alma completo, que restaura seus poderes. Ele se prepara para libertar seu Bankai contra Yushima. Enquanto isso, Byakuya deduziu que os Reigai não se sacrificaram para atacar os originais quando estão todos juntos, como vai contra o que acredita. Os originais se juntam às forças contra o Reigai para proteger a Sociedade da Alma. 341 `` invasor do exército, conclusão final! '' `` Shingun Hen, Saishū Kettaku! '' (侵 軍 篇 篇 最終 最終 決 着!) 27 de setembro de 2011 19 de abril de 2014 Ichigo libera seu Bankai e luta contra Yushima, enquanto os capitães e tenentes lutam contra os Reigai. Com a assistência de seus amigos, Ichigo é capaz de disparar um getshō Holffied Tenshō, que Yushima é incapaz de absorver devido à sua incapacidade de absorver a pressão espiritual oca. Ichigo terá que atacar o Saketsu de Yushima, sua cadeia de alma encadernada, para destruir seu Hakusui, a fonte de seus poderes. Enquanto Yushima atinge Ichigo, ele pega seu Zanpakutō e dispara um enorme getshō Hollowfied Tenshō, o que causa grandes danos a Yushima e à área. A consciência de Nozomi aparece por um momento e pede para ser morta, mas Yushima assume o controle total e libera uma estrutura gigante que absorve as partículas espirituais da Sociedade da Alma. Estando cercado por sua estrutura e Ichigo fora do caminho, Nozomi recupera o controle e cria uma espada para cortar o saketsu de Yushima. O Reigai reage chocante ao ataque de Yushima e revela que seu motivo era proteger a Sociedade da Alma à sua maneira. Os Reigai passam a atacar a estrutura ao custo de suas próprias vidas, causando uma enorme explosão. Ichigo desativa seu Bankai e tem um último confronto com um Yushima enfurecido antes de quebrar a fusão. Nozomi e Inaba reaparecem mais uma vez, e Inaba começa a questionar seus pensamentos para Nozomi antes de desaparecer. Nozomi reuinita com Kon e o resto de seus amigos, mas ela começa a desaparecer. Nozomi diz um adeus emocionante a Kon e desaparece. 342 `` obrigado '' `` Arigatō '' (ありがとう) 4 de outubro de 2011 26 de abril de 2014 Ichigo tem lutado contra Hollows, devido a perder gradualmente seus poderes restaurados temporariamente, mas é salvo por Rukia e Uryū, que dizem a ele para descansar de lidar com cavidades. É mostrado que o Ukitake entrou em contato com Rukia para impedir que Ichigo lute contra Hollows. No dia seguinte, Ichigo leva Rukia a uma pista de patinação no gelo com seus amigos. À noite, fogos de artifício de um parque de diversões nas proximidades começam a atirar no céu, terminando o dia com uma nota feliz. Um oco enorme é sentido nas proximidades quando Ichigo e Rukia estão voltando para casa, mas Rukia tenta salvar Ichigo de enfrentá -lo, dizendo a ela que ela lutaria em seu lugar, se necessário, vendo -o como uma boa amiga. Rukia congela as pernas do Hollow e Ichigo dispara seu último Getsuga Tenshō e a destrói. Um Ichigo exausto estava ciente de que Rukia foi instruído a impedir que Ichigo lute contra Hollows e a descansar, mas ele sabe que permanecerá da mesma maneira que antes. Ichigo acorda em seu quarto, cercado por seus amigos. Ele sai e toma nota de seus poderes que desaparecem, incapazes de sentir espíritos. Ele diz adeus quando a presença de Rukia começa a desaparecer, e ele agradece a ela depois que ela desaparece completamente.</v>
      </c>
    </row>
    <row r="1018" customFormat="false" ht="15.75" hidden="false" customHeight="true" outlineLevel="0" collapsed="false">
      <c r="A1018" s="3" t="n">
        <v>1015</v>
      </c>
      <c r="B1018" s="5" t="s">
        <v>3038</v>
      </c>
      <c r="C1018" s="5" t="s">
        <v>3039</v>
      </c>
      <c r="D1018" s="5" t="s">
        <v>3040</v>
      </c>
      <c r="E1018" s="4" t="str">
        <f aca="false">IFERROR(__xludf.dummyfunction("GOOGLETRANSLATE(C1019)"),"Quando o programa de TV disse a verdade")</f>
        <v>Quando o programa de TV disse a verdade</v>
      </c>
      <c r="F1018" s="5" t="str">
        <f aca="false">IFERROR(__xludf.dummyfunction("GOOGLETRANSLATE(D1018)")," Uma variação desse método garante que todas as solicitações sejam atendidas em apenas uma direção, ou seja, uma vez que a cabeça chega à borda externa do disco, ele retorna ao início e atende as novas solicitações nesta direção apenas (ou vice -versa ). "&amp;"Isso é conhecido como `` algoritmo de elevador circular '' ou C - Scan. Embora o tempo da busca de retorno seja desperdiçado, isso resulta em um desempenho mais igual para todas as posições da cabeça, pois a distância esperada da cabeça é sempre metade da"&amp;" distância máxima, diferentemente do algoritmo de elevador padrão, onde os cilindros no meio serão reparados como como Tanto quanto as duas vezes mais, os cilindros mais íntimos ou mais externos.")</f>
        <v> Uma variação desse método garante que todas as solicitações sejam atendidas em apenas uma direção, ou seja, uma vez que a cabeça chega à borda externa do disco, ele retorna ao início e atende as novas solicitações nesta direção apenas (ou vice -versa ). Isso é conhecido como `` algoritmo de elevador circular '' ou C - Scan. Embora o tempo da busca de retorno seja desperdiçado, isso resulta em um desempenho mais igual para todas as posições da cabeça, pois a distância esperada da cabeça é sempre metade da distância máxima, diferentemente do algoritmo de elevador padrão, onde os cilindros no meio serão reparados como como Tanto quanto as duas vezes mais, os cilindros mais íntimos ou mais externos.</v>
      </c>
    </row>
    <row r="1019" customFormat="false" ht="15.75" hidden="false" customHeight="true" outlineLevel="0" collapsed="false">
      <c r="A1019" s="3" t="n">
        <v>1016</v>
      </c>
      <c r="B1019" s="5" t="s">
        <v>3041</v>
      </c>
      <c r="C1019" s="5" t="s">
        <v>3042</v>
      </c>
      <c r="D1019" s="5" t="s">
        <v>3043</v>
      </c>
      <c r="E1019" s="4" t="str">
        <f aca="false">IFERROR(__xludf.dummyfunction("GOOGLETRANSLATE(C1020)"),"O que o filme de Harry Potter é depois do prisioneiro de Azkaban")</f>
        <v>O que o filme de Harry Potter é depois do prisioneiro de Azkaban</v>
      </c>
      <c r="F1019" s="5" t="str">
        <f aca="false">IFERROR(__xludf.dummyfunction("GOOGLETRANSLATE(D1019)"),"   Para dizer o logotipo da verdade para To Tell The Truth (2016 - versão) Gênero Gênero Gênero Criado por Bob Stewart Apresentado por Bud Collyer (1956 - 1968) Garry Moore (1969 - 1977) Joe Garagiola (1977 - 1978) Robin Ward (1980 -1981) Gordon Elliott ("&amp;"1990) Lynn Swann (1990 -1991) Alex Trebek (1991) John O'Hurley (2000 -2002) Anthony Anderson (2016 -) narrado por Bern Bennett (1956 - 1960) Johnny Olson (1960 - 1972) Bill Wendell (1972 - 1977) Alan Kalter (1977 - 1981) Burton Richardson (1990 - 2002) Da"&amp;"vid Scott (2016 -) Música da Score produtions Gary Stockdale Country of Origin Linguagem (s) original (s) dos Estados Unidos No. de temporadas 12 (1956 - 1968) 9 (1969 - 1978) 1 (1980 - 1981) 1 (1990 - 1991) 2 (2000 - 2002) 3 (2016 -) Tempo de corrida de "&amp;"produção 22 - 26 minutos (1956 - 2002) 42 - 46 minutos (2016 -) Companhia (s) de produção (s) Goodson - Todman Productions (1956 - 1981) Mark Goodson Productions (1990 - 2002 ) Pearson Television (2000 - 2002) Gaspin Media / Fremantle (2016 -) Distribuido"&amp;"r Firestone Film Syndication, Ltd. (1969 - 1978) Viacom Productions (1980 - 1981) Pearson Television (2000 - 2001) Tribune Entertainment (2001) - 2002) Lançamento de rede original CBS (1956 - 1968) NBC (1990 - 1991) Sonndicated (1969 - 1978, 1980 - 1981, "&amp;"2000 - 2002) ABC (2016 -) Lançamento original 18 de dezembro de 1956 ( 1956 - 12 - 18) - Atualmente, a cronologia relacionada mostra que você mente como um cachorro")</f>
        <v>   Para dizer o logotipo da verdade para To Tell The Truth (2016 - versão) Gênero Gênero Gênero Criado por Bob Stewart Apresentado por Bud Collyer (1956 - 1968) Garry Moore (1969 - 1977) Joe Garagiola (1977 - 1978) Robin Ward (1980 -1981) Gordon Elliott (1990) Lynn Swann (1990 -1991) Alex Trebek (1991) John O'Hurley (2000 -2002) Anthony Anderson (2016 -) narrado por Bern Bennett (1956 - 1960) Johnny Olson (1960 - 1972) Bill Wendell (1972 - 1977) Alan Kalter (1977 - 1981) Burton Richardson (1990 - 2002) David Scott (2016 -) Música da Score produtions Gary Stockdale Country of Origin Linguagem (s) original (s) dos Estados Unidos No. de temporadas 12 (1956 - 1968) 9 (1969 - 1978) 1 (1980 - 1981) 1 (1990 - 1991) 2 (2000 - 2002) 3 (2016 -) Tempo de corrida de produção 22 - 26 minutos (1956 - 2002) 42 - 46 minutos (2016 -) Companhia (s) de produção (s) Goodson - Todman Productions (1956 - 1981) Mark Goodson Productions (1990 - 2002 ) Pearson Television (2000 - 2002) Gaspin Media / Fremantle (2016 -) Distribuidor Firestone Film Syndication, Ltd. (1969 - 1978) Viacom Productions (1980 - 1981) Pearson Television (2000 - 2001) Tribune Entertainment (2001) - 2002) Lançamento de rede original CBS (1956 - 1968) NBC (1990 - 1991) Sonndicated (1969 - 1978, 1980 - 1981, 2000 - 2002) ABC (2016 -) Lançamento original 18 de dezembro de 1956 ( 1956 - 12 - 18) - Atualmente, a cronologia relacionada mostra que você mente como um cachorro</v>
      </c>
    </row>
    <row r="1020" customFormat="false" ht="15.75" hidden="false" customHeight="true" outlineLevel="0" collapsed="false">
      <c r="A1020" s="3" t="n">
        <v>1017</v>
      </c>
      <c r="B1020" s="5" t="s">
        <v>3044</v>
      </c>
      <c r="C1020" s="5" t="s">
        <v>3045</v>
      </c>
      <c r="D1020" s="5" t="s">
        <v>3046</v>
      </c>
      <c r="E1020" s="4" t="str">
        <f aca="false">IFERROR(__xludf.dummyfunction("GOOGLETRANSLATE(C1021)"),"que é o Windows XP mais antigo ou o Windows 7")</f>
        <v>que é o Windows XP mais antigo ou o Windows 7</v>
      </c>
      <c r="F1020" s="5" t="str">
        <f aca="false">IFERROR(__xludf.dummyfunction("GOOGLETRANSLATE(D1020)")," O filme é estrelado por Daniel Radcliffe como Harry Potter, ao lado de Rupert Grint e Emma Watson como os melhores amigos de Harry, Ron Weasley e Hermione Granger. Ele também apresenta atores conhecidos em papéis de apoio, incluindo Gary Oldman como Siri"&amp;"us Black, David Thewlis como Remus Lupin, Michael Gambon (em sua estréia no papel de Albus Dumbledore), Emma Thompson como Sybill Trelawney e Timothy Spall como Peter Pettigrew. É a sequência de Harry Potter e a Câmara de Segredos e é seguida por Harry Po"&amp;"tter e o Cálice de Fogo.")</f>
        <v> O filme é estrelado por Daniel Radcliffe como Harry Potter, ao lado de Rupert Grint e Emma Watson como os melhores amigos de Harry, Ron Weasley e Hermione Granger. Ele também apresenta atores conhecidos em papéis de apoio, incluindo Gary Oldman como Sirius Black, David Thewlis como Remus Lupin, Michael Gambon (em sua estréia no papel de Albus Dumbledore), Emma Thompson como Sybill Trelawney e Timothy Spall como Peter Pettigrew. É a sequência de Harry Potter e a Câmara de Segredos e é seguida por Harry Potter e o Cálice de Fogo.</v>
      </c>
    </row>
    <row r="1021" customFormat="false" ht="15.75" hidden="false" customHeight="true" outlineLevel="0" collapsed="false">
      <c r="A1021" s="3" t="n">
        <v>1018</v>
      </c>
      <c r="B1021" s="5" t="s">
        <v>3047</v>
      </c>
      <c r="C1021" s="5" t="s">
        <v>3048</v>
      </c>
      <c r="D1021" s="5" t="s">
        <v>3049</v>
      </c>
      <c r="E1021" s="4" t="str">
        <f aca="false">IFERROR(__xludf.dummyfunction("GOOGLETRANSLATE(C1022)"),"Primeiro indiano a ser nomeado membro da Royal Society of London")</f>
        <v>Primeiro indiano a ser nomeado membro da Royal Society of London</v>
      </c>
      <c r="F1021" s="5" t="str">
        <f aca="false">IFERROR(__xludf.dummyfunction("GOOGLETRANSLATE(D1021)"),"   Data de lançamento Título Arquiteturas com base em 20 de novembro de 1985 Windows 1.0 x86 - 16 - Bit MS - DOS 9 de dezembro de 1987 Windows 2.0 x86 - 16 - Bit MS - DOS 27 de maio de 1988 Windows 2.10 x86 - 16 - bits MS - DOS 13 de março 1989 Windows 2."&amp;"11 x86 - 16 - bits MS - DOS 22 de maio de 1990 Windows 3.0 x86 - 16 - bits MS - DOS 20 de outubro de 1991 Windows 3.0 com extensões multimídia x86 - 16 - bits MS - DOS 6 de abril de 1992 Windows 3.1 x86 - - 16 - BIT MS - DOS 27 de outubro de 1992 Windows "&amp;"para grupos de trabalho 3.1 x86 - 16 - bits MS - DOS 27 de julho de 1993 Windows NT 3.1 ia - 32, DEC Alpha, MIPS Windows 8 de novembro de 1993 Windows para grupos de trabalho 3.11 x86 - 16 - 16 - Bit MS - DOS 21 de setembro de 1994 Windows NT 3.5 IA - 32,"&amp;" DEC Alpha, MIPS Windows NT 30 de maio de 1995 Windows NT 3.51 IA - 32, DEC Alpha, MIPS, Powerpc Windows NT 24 de agosto de 1995 Windows 95 ia - 32 ms - DOS 24 de agosto de 1996 Windows NT 4.0 IA - 32, DEC Alpha, MIPS, Powerpc Windows NT 25 de junho de 19"&amp;"98 Windows 98 ia - 32 ms - Dos 5 de maio de 1999 Windows 98 SE IA - 32 ms - DOS 17 de fevereiro 2000 Windows 2000 Ia - 32 Windows NT 14 de setembro de 2000 Windows Me ia - 32 ms - DOS 25 de outubro de 2001 Windows XP IA - 32 Windows NT 25 de outubro de 20"&amp;"01 Windows XP 64 - Edição de bits (v2002) Itanium Windows NT 31 de outubro de 2002 Windows XP Media Center Edition ia - 32 Windows NT 28 de março de 2003 Windows XP 64 - Edição de Bit (V2003) Itanium Windows NT 24 de abril de 2003 Windows Server 2003 IA -"&amp;" 32, x64, Itanium Windows NT 30 de setembro de 2003 Windows XP Media Center Edition 2004 ia - 32 Windows 12 de outubro de 2004 Windows XP Mídia Center Edition 2005 IA - 32 Windows NT 25 de abril de 2005 Windows XP Professional X64 Edição x64 Windows NT 6 "&amp;"de dezembro de 2005 Windows Server 2003 R2 ia - 32, x64, Itanium Windows NT 8 de julho de 2006 Fundamentos do Windows para PCs legados ia - 32 Windows 30 de novembro 2006 Windows Vista para uso comercial IA - 32, x64 Windows NT 30 de janeiro de 2007 Windo"&amp;"ws Vista para uso doméstico; Lançado em cinquenta países ia - 32, x64 Windows NT 7 de novembro de 2007 Windows Home Server IA - 32, x64 Windows NT 27 de fevereiro de 2008 Windows Server 2008 IA - 32, x64 Windows NT 22 de outubro de 2009 Windows 7 ia - 32,"&amp;" x64 Windows NT 22 Outubro de 2009 Windows Server 2008 R2 X64 Windows NT 6 de abril 2011 Windows Home Server 2011 X64 Windows NT 1 de julho de 2011 Windows Thin PC IA - 32 Windows NT 4 de setembro de 2012 Windows Server 2012 x64 Windows NT 26 de outubro 2"&amp;"012 Windows 8 ia - 32, x64 Windows NT 26 de outubro de 2012 Windows RT Arm Windows NT 18 de outubro de 2013 Windows 8.1 ia - 32, x64 Windows NT 18 de outubro de 2013 Windows RT 8.1 ARM Windows NT 18 de outubro de 2013 Windows Server 2012 R2 x64 Windows NT"&amp;" 29 de julho de 2015 Windows 10 ia - 32, x64 , ARM Windows NT 27 de setembro de 2016 Windows Server 2016 x64 Windows NT")</f>
        <v>   Data de lançamento Título Arquiteturas com base em 20 de novembro de 1985 Windows 1.0 x86 - 16 - Bit MS - DOS 9 de dezembro de 1987 Windows 2.0 x86 - 16 - Bit MS - DOS 27 de maio de 1988 Windows 2.10 x86 - 16 - bits MS - DOS 13 de março 1989 Windows 2.11 x86 - 16 - bits MS - DOS 22 de maio de 1990 Windows 3.0 x86 - 16 - bits MS - DOS 20 de outubro de 1991 Windows 3.0 com extensões multimídia x86 - 16 - bits MS - DOS 6 de abril de 1992 Windows 3.1 x86 - - 16 - BIT MS - DOS 27 de outubro de 1992 Windows para grupos de trabalho 3.1 x86 - 16 - bits MS - DOS 27 de julho de 1993 Windows NT 3.1 ia - 32, DEC Alpha, MIPS Windows 8 de novembro de 1993 Windows para grupos de trabalho 3.11 x86 - 16 - 16 - Bit MS - DOS 21 de setembro de 1994 Windows NT 3.5 IA - 32, DEC Alpha, MIPS Windows NT 30 de maio de 1995 Windows NT 3.51 IA - 32, DEC Alpha, MIPS, Powerpc Windows NT 24 de agosto de 1995 Windows 95 ia - 32 ms - DOS 24 de agosto de 1996 Windows NT 4.0 IA - 32, DEC Alpha, MIPS, Powerpc Windows NT 25 de junho de 1998 Windows 98 ia - 32 ms - Dos 5 de maio de 1999 Windows 98 SE IA - 32 ms - DOS 17 de fevereiro 2000 Windows 2000 Ia - 32 Windows NT 14 de setembro de 2000 Windows Me ia - 32 ms - DOS 25 de outubro de 2001 Windows XP IA - 32 Windows NT 25 de outubro de 2001 Windows XP 64 - Edição de bits (v2002) Itanium Windows NT 31 de outubro de 2002 Windows XP Media Center Edition ia - 32 Windows NT 28 de março de 2003 Windows XP 64 - Edição de Bit (V2003) Itanium Windows NT 24 de abril de 2003 Windows Server 2003 IA - 32, x64, Itanium Windows NT 30 de setembro de 2003 Windows XP Media Center Edition 2004 ia - 32 Windows 12 de outubro de 2004 Windows XP Mídia Center Edition 2005 IA - 32 Windows NT 25 de abril de 2005 Windows XP Professional X64 Edição x64 Windows NT 6 de dezembro de 2005 Windows Server 2003 R2 ia - 32, x64, Itanium Windows NT 8 de julho de 2006 Fundamentos do Windows para PCs legados ia - 32 Windows 30 de novembro 2006 Windows Vista para uso comercial IA - 32, x64 Windows NT 30 de janeiro de 2007 Windows Vista para uso doméstico; Lançado em cinquenta países ia - 32, x64 Windows NT 7 de novembro de 2007 Windows Home Server IA - 32, x64 Windows NT 27 de fevereiro de 2008 Windows Server 2008 IA - 32, x64 Windows NT 22 de outubro de 2009 Windows 7 ia - 32, x64 Windows NT 22 Outubro de 2009 Windows Server 2008 R2 X64 Windows NT 6 de abril 2011 Windows Home Server 2011 X64 Windows NT 1 de julho de 2011 Windows Thin PC IA - 32 Windows NT 4 de setembro de 2012 Windows Server 2012 x64 Windows NT 26 de outubro 2012 Windows 8 ia - 32, x64 Windows NT 26 de outubro de 2012 Windows RT Arm Windows NT 18 de outubro de 2013 Windows 8.1 ia - 32, x64 Windows NT 18 de outubro de 2013 Windows RT 8.1 ARM Windows NT 18 de outubro de 2013 Windows Server 2012 R2 x64 Windows NT 29 de julho de 2015 Windows 10 ia - 32, x64 , ARM Windows NT 27 de setembro de 2016 Windows Server 2016 x64 Windows NT</v>
      </c>
    </row>
    <row r="1022" customFormat="false" ht="15.75" hidden="false" customHeight="true" outlineLevel="0" collapsed="false">
      <c r="A1022" s="3" t="n">
        <v>1019</v>
      </c>
      <c r="B1022" s="5" t="s">
        <v>3050</v>
      </c>
      <c r="C1022" s="5" t="s">
        <v>3051</v>
      </c>
      <c r="D1022" s="5" t="s">
        <v>3052</v>
      </c>
      <c r="E1022" s="4" t="str">
        <f aca="false">IFERROR(__xludf.dummyfunction("GOOGLETRANSLATE(C1023)"),"é um diploma de nível 7 equivalente a um grau")</f>
        <v>é um diploma de nível 7 equivalente a um grau</v>
      </c>
      <c r="F1022" s="5" t="str">
        <f aca="false">IFERROR(__xludf.dummyfunction("GOOGLETRANSLATE(D1022)")," Ele é conhecido por ter sido o primeiro indiano a ser eleito membro da Sociedade Real. Ele também é registrado como tendo introduzido várias (na época) novas tecnologias na cidade de Bombaim (agora Mumbai), incluindo iluminação a gás, máquina de costura,"&amp;" irrigação acionada por bomba de vapor e electro.")</f>
        <v> Ele é conhecido por ter sido o primeiro indiano a ser eleito membro da Sociedade Real. Ele também é registrado como tendo introduzido várias (na época) novas tecnologias na cidade de Bombaim (agora Mumbai), incluindo iluminação a gás, máquina de costura, irrigação acionada por bomba de vapor e electro.</v>
      </c>
    </row>
    <row r="1023" customFormat="false" ht="15.75" hidden="false" customHeight="true" outlineLevel="0" collapsed="false">
      <c r="A1023" s="3" t="n">
        <v>1020</v>
      </c>
      <c r="B1023" s="5" t="s">
        <v>3053</v>
      </c>
      <c r="C1023" s="5" t="s">
        <v>3054</v>
      </c>
      <c r="D1023" s="5" t="s">
        <v>3055</v>
      </c>
      <c r="E1023" s="4" t="str">
        <f aca="false">IFERROR(__xludf.dummyfunction("GOOGLETRANSLATE(C1024)"),"Quando Roger Federer venceu o Aberto da França")</f>
        <v>Quando Roger Federer venceu o Aberto da França</v>
      </c>
      <c r="F1023" s="5" t="str">
        <f aca="false">IFERROR(__xludf.dummyfunction("GOOGLETRANSLATE(D1023)")," Cursos de curta duração no nível 7 / SCQF do FHEQ (nível de mestrado), levando a certificados de pós -graduação e diplomas de pós -graduação, que são ensinados qualificações;")</f>
        <v> Cursos de curta duração no nível 7 / SCQF do FHEQ (nível de mestrado), levando a certificados de pós -graduação e diplomas de pós -graduação, que são ensinados qualificações;</v>
      </c>
    </row>
    <row r="1024" customFormat="false" ht="15.75" hidden="false" customHeight="true" outlineLevel="0" collapsed="false">
      <c r="A1024" s="3" t="n">
        <v>1021</v>
      </c>
      <c r="B1024" s="5" t="s">
        <v>3056</v>
      </c>
      <c r="C1024" s="5" t="s">
        <v>3057</v>
      </c>
      <c r="D1024" s="5" t="s">
        <v>3058</v>
      </c>
      <c r="E1024" s="4" t="str">
        <f aca="false">IFERROR(__xludf.dummyfunction("GOOGLETRANSLATE(C1025)"),"quem canta a música de futebol da NFL na noite de quinta -feira")</f>
        <v>quem canta a música de futebol da NFL na noite de quinta -feira</v>
      </c>
      <c r="F1024" s="5" t="str">
        <f aca="false">IFERROR(__xludf.dummyfunction("GOOGLETRANSLATE(D1024)")," Roger Federer Federer em Wimbledon em 2009 Country (Sports) Switzerland Residence Bottmingen, Suíça (1981 - 08 - 08) 8 de agosto de 1981 (36 anos) Basileia, Suíça Altura 1,85 m (6 ft 1 in) Girou Pro 1998 peças à direita (à mão em mão (à mão (à mão. One -"&amp;" entrega de backhand) em dinheiro US $ 111.885.682 Líder de tempo em que o site oficial do site Rogerfederer.com Singles Record 1132 - 250 (81,91 %) títulos de carreira 95 (2ª na era aberta) Alto ranking número 1 (2 de fevereiro 2004) Ranking atual nº 2 ("&amp;"11 de setembro de 2017) Grand Slam Singles Results Australian Open W (2004, 2006, 2007, 2010, 2017) French Open W (2009) Wimbledon W (2003, 2004, 2005, 2006, 2007, 2009 , 2012, 2017) US Open W (2004, 2005, 2006, 2007, 2008) Outros torneios Tour Finals W ("&amp;"2003, 2004, 2006, 2007, 2010, 2011) Jogos Olímpicos F (2012) dobra o recorde de carreira 129 - 89 (59,17 %) títulos de carreira 8 mais alto ranking nº 24 (9 de junho de 2003) Grand Slam Double Results Australian Open 3R (2003) French Open 1R (2000) Wimble"&amp;"don QF (2000) US Open 3R (2002) Outros torneios de duplas Jogos Olímpicos W (2008) Competições de equipes Davis Cup W (2014) Hopman Cup W (2001) Recorde de medalhas olímpicas (HEDE) 2008 PEQUIM DUBLES 2012 Singles de Londres em Londres, atualizados pela ú"&amp;"ltima vez em: 11 de dezembro de 2017.")</f>
        <v> Roger Federer Federer em Wimbledon em 2009 Country (Sports) Switzerland Residence Bottmingen, Suíça (1981 - 08 - 08) 8 de agosto de 1981 (36 anos) Basileia, Suíça Altura 1,85 m (6 ft 1 in) Girou Pro 1998 peças à direita (à mão em mão (à mão (à mão. One - entrega de backhand) em dinheiro US $ 111.885.682 Líder de tempo em que o site oficial do site Rogerfederer.com Singles Record 1132 - 250 (81,91 %) títulos de carreira 95 (2ª na era aberta) Alto ranking número 1 (2 de fevereiro 2004) Ranking atual nº 2 (11 de setembro de 2017) Grand Slam Singles Results Australian Open W (2004, 2006, 2007, 2010, 2017) French Open W (2009) Wimbledon W (2003, 2004, 2005, 2006, 2007, 2009 , 2012, 2017) US Open W (2004, 2005, 2006, 2007, 2008) Outros torneios Tour Finals W (2003, 2004, 2006, 2007, 2010, 2011) Jogos Olímpicos F (2012) dobra o recorde de carreira 129 - 89 (59,17 %) títulos de carreira 8 mais alto ranking nº 24 (9 de junho de 2003) Grand Slam Double Results Australian Open 3R (2003) French Open 1R (2000) Wimbledon QF (2000) US Open 3R (2002) Outros torneios de duplas Jogos Olímpicos W (2008) Competições de equipes Davis Cup W (2014) Hopman Cup W (2001) Recorde de medalhas olímpicas (HEDE) 2008 PEQUIM DUBLES 2012 Singles de Londres em Londres, atualizados pela última vez em: 11 de dezembro de 2017.</v>
      </c>
    </row>
    <row r="1025" customFormat="false" ht="15.75" hidden="false" customHeight="true" outlineLevel="0" collapsed="false">
      <c r="A1025" s="3" t="n">
        <v>1022</v>
      </c>
      <c r="B1025" s="5" t="s">
        <v>3059</v>
      </c>
      <c r="C1025" s="5" t="s">
        <v>3060</v>
      </c>
      <c r="D1025" s="5" t="s">
        <v>3061</v>
      </c>
      <c r="E1025" s="4" t="str">
        <f aca="false">IFERROR(__xludf.dummyfunction("GOOGLETRANSLATE(C1026)"),"Quando foi o último Super Bowl Dallas Cowboys")</f>
        <v>Quando foi o último Super Bowl Dallas Cowboys</v>
      </c>
      <c r="F1025" s="5" t="str">
        <f aca="false">IFERROR(__xludf.dummyfunction("GOOGLETRANSLATE(D1025)")," O primeiro jogo produzido pela NBC Sports foi transmitido exclusivamente na NFL Network em 3 de novembro de 2016, enquanto o primeiro jogo simulcast nacionalmente na NBC foi ao ar em 17 de novembro. Um grupo Cappella Pentatonix gravou uma versão reformul"&amp;"ada de sua música `` Sing '' (`` fim de semana Go '') para servir como a música tema de abertura das transmissões de futebol da noite de quinta -feira da NBC; A NBC também encomendou a nova música do tema instrumental de Jimmy Greco, `` CA N't Held Us Dow"&amp;"n '', que foi realizado por membros da orquestra do musical da Broadway Hamilton. Ambos foram mantidos nos jogos da NBC em 2017.")</f>
        <v> O primeiro jogo produzido pela NBC Sports foi transmitido exclusivamente na NFL Network em 3 de novembro de 2016, enquanto o primeiro jogo simulcast nacionalmente na NBC foi ao ar em 17 de novembro. Um grupo Cappella Pentatonix gravou uma versão reformulada de sua música `` Sing '' (`` fim de semana Go '') para servir como a música tema de abertura das transmissões de futebol da noite de quinta -feira da NBC; A NBC também encomendou a nova música do tema instrumental de Jimmy Greco, `` CA N't Held Us Down '', que foi realizado por membros da orquestra do musical da Broadway Hamilton. Ambos foram mantidos nos jogos da NBC em 2017.</v>
      </c>
    </row>
    <row r="1026" customFormat="false" ht="15.75" hidden="false" customHeight="true" outlineLevel="0" collapsed="false">
      <c r="A1026" s="3" t="n">
        <v>1023</v>
      </c>
      <c r="B1026" s="5" t="s">
        <v>3062</v>
      </c>
      <c r="C1026" s="5" t="s">
        <v>3063</v>
      </c>
      <c r="D1026" s="5" t="s">
        <v>3064</v>
      </c>
      <c r="E1026" s="4" t="str">
        <f aca="false">IFERROR(__xludf.dummyfunction("GOOGLETRANSLATE(C1027)"),"Quando eles jogam Sweet Caroline nos jogos do Red Sox")</f>
        <v>Quando eles jogam Sweet Caroline nos jogos do Red Sox</v>
      </c>
      <c r="F1026" s="5" t="str">
        <f aca="false">IFERROR(__xludf.dummyfunction("GOOGLETRANSLATE(D1026)"),"  Super Bowl Championships (5) 1971 (vi), 1977 (xii), 1992 (xxvii), 1993 (xxviii), 1995 (xxx)")</f>
        <v>  Super Bowl Championships (5) 1971 (vi), 1977 (xii), 1992 (xxvii), 1993 (xxviii), 1995 (xxx)</v>
      </c>
    </row>
    <row r="1027" customFormat="false" ht="15.75" hidden="false" customHeight="true" outlineLevel="0" collapsed="false">
      <c r="A1027" s="3" t="n">
        <v>1024</v>
      </c>
      <c r="B1027" s="5" t="s">
        <v>3065</v>
      </c>
      <c r="C1027" s="5" t="s">
        <v>3066</v>
      </c>
      <c r="D1027" s="5" t="s">
        <v>3067</v>
      </c>
      <c r="E1027" s="4" t="str">
        <f aca="false">IFERROR(__xludf.dummyfunction("GOOGLETRANSLATE(C1028)"),"Qual é o fuso horário para os EUA")</f>
        <v>Qual é o fuso horário para os EUA</v>
      </c>
      <c r="F1027" s="5" t="str">
        <f aca="false">IFERROR(__xludf.dummyfunction("GOOGLETRANSLATE(D1027)")," A música foi tocada em Fenway Park, casa do Boston Red Sox, da Major League Baseball, desde pelo menos 1997, e no meio do oitavo turno em todos os jogos desde 2002. Na noite de abertura da temporada de 2010 no Fenway Park, a música foi tocada pelo própri"&amp;"o Diamond. `` Sweet Caroline '' foi disputado nos jogos de futebol de Penn State Nittany Lions no Beaver Stadium até agosto de 2012, interrompendo após o escândalo de abuso sexual de crianças da Penn State. As performances no Beaver Stadium foram retomada"&amp;"s em setembro de 2013, no entanto. A música é tocada no início do quarto trimestre dos jogos de futebol de Pittsburgh Panthers no Heinz Field. Em resposta, os estudantes da West Virginia University, por sua vez, gritarão `` Eat S * * * Pitt '' durante o r"&amp;"efrão se ouvidos tocados. É também uma música não oficial da Universidade da Carolina do Norte em Chapel Hill, sendo tocada em eventos atléticos e comícios Pep.")</f>
        <v> A música foi tocada em Fenway Park, casa do Boston Red Sox, da Major League Baseball, desde pelo menos 1997, e no meio do oitavo turno em todos os jogos desde 2002. Na noite de abertura da temporada de 2010 no Fenway Park, a música foi tocada pelo próprio Diamond. `` Sweet Caroline '' foi disputado nos jogos de futebol de Penn State Nittany Lions no Beaver Stadium até agosto de 2012, interrompendo após o escândalo de abuso sexual de crianças da Penn State. As performances no Beaver Stadium foram retomadas em setembro de 2013, no entanto. A música é tocada no início do quarto trimestre dos jogos de futebol de Pittsburgh Panthers no Heinz Field. Em resposta, os estudantes da West Virginia University, por sua vez, gritarão `` Eat S * * * Pitt '' durante o refrão se ouvidos tocados. É também uma música não oficial da Universidade da Carolina do Norte em Chapel Hill, sendo tocada em eventos atléticos e comícios Pep.</v>
      </c>
    </row>
    <row r="1028" customFormat="false" ht="15.75" hidden="false" customHeight="true" outlineLevel="0" collapsed="false">
      <c r="A1028" s="3" t="n">
        <v>1025</v>
      </c>
      <c r="B1028" s="5" t="s">
        <v>3068</v>
      </c>
      <c r="C1028" s="5" t="s">
        <v>3069</v>
      </c>
      <c r="D1028" s="5" t="s">
        <v>3070</v>
      </c>
      <c r="E1028" s="4" t="str">
        <f aca="false">IFERROR(__xludf.dummyfunction("GOOGLETRANSLATE(C1029)"),"que interpretou Barry em encontros próximos do terceiro tipo")</f>
        <v>que interpretou Barry em encontros próximos do terceiro tipo</v>
      </c>
      <c r="F1028" s="5" t="str">
        <f aca="false">IFERROR(__xludf.dummyfunction("GOOGLETRANSLATE(D1028)"),"  Fuso horário padrão do Atlântico, fuso horário padrão do leste, fuso horário padrão central do fuso horário padrão da montanha, fuso horário padrão do Pacífico, fuso horário padrão do Alasca, Hawaii - fuso horário padrão da Aleutian, o fuso horário padr"&amp;"ão da samoa, o fuso horário padrão de Chamorro")</f>
        <v>  Fuso horário padrão do Atlântico, fuso horário padrão do leste, fuso horário padrão central do fuso horário padrão da montanha, fuso horário padrão do Pacífico, fuso horário padrão do Alasca, Hawaii - fuso horário padrão da Aleutian, o fuso horário padrão da samoa, o fuso horário padrão de Chamorro</v>
      </c>
    </row>
    <row r="1029" customFormat="false" ht="15.75" hidden="false" customHeight="true" outlineLevel="0" collapsed="false">
      <c r="A1029" s="3" t="n">
        <v>1026</v>
      </c>
      <c r="B1029" s="5" t="s">
        <v>3071</v>
      </c>
      <c r="C1029" s="5" t="s">
        <v>3072</v>
      </c>
      <c r="D1029" s="5" t="s">
        <v>3073</v>
      </c>
      <c r="E1029" s="4" t="str">
        <f aca="false">IFERROR(__xludf.dummyfunction("GOOGLETRANSLATE(C1030)"),"Onde moram o búfalo de água nos Estados Unidos")</f>
        <v>Onde moram o búfalo de água nos Estados Unidos</v>
      </c>
      <c r="F1029" s="5" t="str">
        <f aca="false">IFERROR(__xludf.dummyfunction("GOOGLETRANSLATE(D1029)")," Cary Guffey (nascido em 10 de maio de 1972) é um ex -ator infantil americano. Ele é mais lembrado por sua estréia no papel de Barry Guiler no filme Close Encounters of the Third Kind (1977).")</f>
        <v> Cary Guffey (nascido em 10 de maio de 1972) é um ex -ator infantil americano. Ele é mais lembrado por sua estréia no papel de Barry Guiler no filme Close Encounters of the Third Kind (1977).</v>
      </c>
    </row>
    <row r="1030" customFormat="false" ht="15.75" hidden="false" customHeight="true" outlineLevel="0" collapsed="false">
      <c r="A1030" s="3" t="n">
        <v>1027</v>
      </c>
      <c r="B1030" s="5" t="s">
        <v>3074</v>
      </c>
      <c r="C1030" s="5" t="s">
        <v>3075</v>
      </c>
      <c r="D1030" s="5" t="s">
        <v>3076</v>
      </c>
      <c r="E1030" s="4" t="str">
        <f aca="false">IFERROR(__xludf.dummyfunction("GOOGLETRANSLATE(C1031)"),"Quem foi o vencedor do American Got Talent")</f>
        <v>Quem foi o vencedor do American Got Talent</v>
      </c>
      <c r="F1030" s="5" t="str">
        <f aca="false">IFERROR(__xludf.dummyfunction("GOOGLETRANSLATE(D1030)")," Em 1974, quatro búfalos de água foram importados para os Estados Unidos de Guam para serem estudados na Universidade da Flórida. Em fevereiro de 1978, o primeiro rebanho chegou para a agricultura comercial. Até 2002, apenas um criador comercial estava no"&amp;"s Estados Unidos. A carne de búfalo de água é importada da Austrália. Até 2011, o búfalo de água era criado em Gainesville, Flórida, de Young obtidos do zoológico. Eles eram usados ​​principalmente para produção de carne, frequentemente vendidos como hamb"&amp;"úrguer. Outros fazendeiros dos EUA os usam para a produção de queijo mussarela de alta qualidade.")</f>
        <v> Em 1974, quatro búfalos de água foram importados para os Estados Unidos de Guam para serem estudados na Universidade da Flórida. Em fevereiro de 1978, o primeiro rebanho chegou para a agricultura comercial. Até 2002, apenas um criador comercial estava nos Estados Unidos. A carne de búfalo de água é importada da Austrália. Até 2011, o búfalo de água era criado em Gainesville, Flórida, de Young obtidos do zoológico. Eles eram usados ​​principalmente para produção de carne, frequentemente vendidos como hambúrguer. Outros fazendeiros dos EUA os usam para a produção de queijo mussarela de alta qualidade.</v>
      </c>
    </row>
    <row r="1031" customFormat="false" ht="15.75" hidden="false" customHeight="true" outlineLevel="0" collapsed="false">
      <c r="A1031" s="3" t="n">
        <v>1028</v>
      </c>
      <c r="B1031" s="5" t="s">
        <v>3077</v>
      </c>
      <c r="C1031" s="5" t="s">
        <v>3078</v>
      </c>
      <c r="D1031" s="5" t="s">
        <v>3079</v>
      </c>
      <c r="E1031" s="4" t="str">
        <f aca="false">IFERROR(__xludf.dummyfunction("GOOGLETRANSLATE(C1032)"),"Quem é o governador de Dadra e Nagar Haveli")</f>
        <v>Quem é o governador de Dadra e Nagar Haveli</v>
      </c>
      <c r="F1031" s="5" t="str">
        <f aca="false">IFERROR(__xludf.dummyfunction("GOOGLETRANSLATE(D1031)"),"   Finalistas de prêmios do vencedor da duração da temporada Apresentador de prêmios Premiere Finale Winner Runner - UP Terceiro Lugar 21 de junho de 2006 17 de agosto de 2006 $ 1.000.000 Bianca Ryan Tudo o que Millers Regis Philbin David Hasselhoff Piers"&amp;" Morgan Brandy Norwood N / A 5 de junho de 2007 21, 2007 Terry Fator Cas Haley Butterscotch Jerry Springer Sharon Osbourne 17 de junho de 2008 1 de outubro de 2008 Neal E. Boyd Eli Mattson Nuttin 'Mas Stringz 23 de junho de 2009 16 de setembro de 2009 Kev"&amp;"in Skinner Bárbara Padilla PERCUSSION Nick Cannon 5 de junho de 1, 1 de junho 1, 2010 15 de setembro de 2010 Michael Grimm Jackie Evancho Fighting Gravity Howie Mandel 6 de maio de 31 de maio de 2011 14 de setembro de 2011 Landau Eugene Murphy, Jr. Equipe"&amp;" de silhuetas Iluminate 7 de maio de 14 de maio de 2012 13 de setembro de 2012 Dogs Olate Tom Cotter William Close Howard Stern 8 de junho de 2013 18 de setembro de 2013 Kenichi Ebina Taylor Williamson Jimmy Rose Mel B Heidi Klum 9 de maio de 2014 2014 17"&amp;" de setembro de 2014 Mat Franco Emily West Acroarmy 10 de maio 26 de 2015 16 de setembro de 2015 Paul Zerdin Drew Lynch Oz Pearlman 11 de maio de 2016, 14 de setembro de 2016 Grace Vanderwaal Os Clairvoyantes Jon Dorenbos Simon Cowell 12 de maio de 2017 2"&amp;"0 de setembro de 2017 Darci Lynne Farmer Angelica Hale Light. Balance Tyra Banks")</f>
        <v>   Finalistas de prêmios do vencedor da duração da temporada Apresentador de prêmios Premiere Finale Winner Runner - UP Terceiro Lugar 21 de junho de 2006 17 de agosto de 2006 $ 1.000.000 Bianca Ryan Tudo o que Millers Regis Philbin David Hasselhoff Piers Morgan Brandy Norwood N / A 5 de junho de 2007 21, 2007 Terry Fator Cas Haley Butterscotch Jerry Springer Sharon Osbourne 17 de junho de 2008 1 de outubro de 2008 Neal E. Boyd Eli Mattson Nuttin 'Mas Stringz 23 de junho de 2009 16 de setembro de 2009 Kevin Skinner Bárbara Padilla PERCUSSION Nick Cannon 5 de junho de 1, 1 de junho 1, 2010 15 de setembro de 2010 Michael Grimm Jackie Evancho Fighting Gravity Howie Mandel 6 de maio de 31 de maio de 2011 14 de setembro de 2011 Landau Eugene Murphy, Jr. Equipe de silhuetas Iluminate 7 de maio de 14 de maio de 2012 13 de setembro de 2012 Dogs Olate Tom Cotter William Close Howard Stern 8 de junho de 2013 18 de setembro de 2013 Kenichi Ebina Taylor Williamson Jimmy Rose Mel B Heidi Klum 9 de maio de 2014 2014 17 de setembro de 2014 Mat Franco Emily West Acroarmy 10 de maio 26 de 2015 16 de setembro de 2015 Paul Zerdin Drew Lynch Oz Pearlman 11 de maio de 2016, 14 de setembro de 2016 Grace Vanderwaal Os Clairvoyantes Jon Dorenbos Simon Cowell 12 de maio de 2017 20 de setembro de 2017 Darci Lynne Farmer Angelica Hale Light. Balance Tyra Banks</v>
      </c>
    </row>
    <row r="1032" customFormat="false" ht="15.75" hidden="false" customHeight="true" outlineLevel="0" collapsed="false">
      <c r="A1032" s="3" t="n">
        <v>1029</v>
      </c>
      <c r="B1032" s="5" t="s">
        <v>3080</v>
      </c>
      <c r="C1032" s="5" t="s">
        <v>3081</v>
      </c>
      <c r="D1032" s="5" t="s">
        <v>3082</v>
      </c>
      <c r="E1032" s="4" t="str">
        <f aca="false">IFERROR(__xludf.dummyfunction("GOOGLETRANSLATE(C1033)"),"quem recebeu o primeiro Prêmio Nobel em Economia da Índia")</f>
        <v>quem recebeu o primeiro Prêmio Nobel em Economia da Índia</v>
      </c>
      <c r="F1032" s="5" t="str">
        <f aca="false">IFERROR(__xludf.dummyfunction("GOOGLETRANSLATE(D1032)"),"   Nomes de escritórios e território da União (Nome dos funcionários do passado) O retrato assumiu o cargo (comprimento da posse) Ref tenente Governador das Ilhas Andaman e Nicobar (Lista) Devendra Kumar Joshi 8 de outubro de 2017 (309 dias) Administrador"&amp;" de Chandigarh (Lista) V.P. Singh Badnore 22 de agosto de 2016 (1 ano, 356 dias) Administrador de Dadra e Nagar Haveli (Lista) Praful Khoda Patel (cobrança adicional) 30 de dezembro de 2016 (1 ano, 226 dias) Administrador de Daman e DIU (Lista) Praful Kho"&amp;"da Patel 29 Agosto de 2016 (1 ano, 349 dias) Tenente Governador de Delhi (Lista) Anil Baijal 31 de dezembro de 2016 (1 ano, 225 dias) Administrador de Lakshadweep (Lista) Farooq Khan 6 de setembro de 2016 (1 ano, 341 dias) Governador de Puducherry em Pudu"&amp;"cherry (1 ano, 341 dias) (Lista) Kiran Bedi 29 de maio de 2016 (2 anos, 76 dias)")</f>
        <v>   Nomes de escritórios e território da União (Nome dos funcionários do passado) O retrato assumiu o cargo (comprimento da posse) Ref tenente Governador das Ilhas Andaman e Nicobar (Lista) Devendra Kumar Joshi 8 de outubro de 2017 (309 dias) Administrador de Chandigarh (Lista) V.P. Singh Badnore 22 de agosto de 2016 (1 ano, 356 dias) Administrador de Dadra e Nagar Haveli (Lista) Praful Khoda Patel (cobrança adicional) 30 de dezembro de 2016 (1 ano, 226 dias) Administrador de Daman e DIU (Lista) Praful Khoda Patel 29 Agosto de 2016 (1 ano, 349 dias) Tenente Governador de Delhi (Lista) Anil Baijal 31 de dezembro de 2016 (1 ano, 225 dias) Administrador de Lakshadweep (Lista) Farooq Khan 6 de setembro de 2016 (1 ano, 341 dias) Governador de Puducherry em Puducherry (1 ano, 341 dias) (Lista) Kiran Bedi 29 de maio de 2016 (2 anos, 76 dias)</v>
      </c>
    </row>
    <row r="1033" customFormat="false" ht="15.75" hidden="false" customHeight="true" outlineLevel="0" collapsed="false">
      <c r="A1033" s="3" t="n">
        <v>1030</v>
      </c>
      <c r="B1033" s="5" t="s">
        <v>3083</v>
      </c>
      <c r="C1033" s="5" t="s">
        <v>3084</v>
      </c>
      <c r="D1033" s="5" t="s">
        <v>3085</v>
      </c>
      <c r="E1033" s="4" t="str">
        <f aca="false">IFERROR(__xludf.dummyfunction("GOOGLETRANSLATE(C1034)"),"que interpreta o pai em beleza e a besta 2017")</f>
        <v>que interpreta o pai em beleza e a besta 2017</v>
      </c>
      <c r="F1033" s="5" t="str">
        <f aca="false">IFERROR(__xludf.dummyfunction("GOOGLETRANSLATE(D1033)"),"   Ano Livinidade do sujeito de Laureate 1913 A literatura de Rabindranath Tagore concedeu `` por causa de seu verso profundamente sensível, fresco e bonito, pelo qual, com habilidade consumada, ele fez seu pensamento poético, expresso em suas próprias pa"&amp;"lavras em inglês, uma parte da literatura do The the Oeste. 1930 C.V. Raman Physics `` por seu trabalho sobre a dispersão da luz e pela descoberta do efeito em homenagem a ele. 1979 Madre Teresa (nascida em Skopje, Império Otomano) Paz `` Pelo trabalho re"&amp;"alizado na luta para superar a pobreza e o sofrimento, que também constitui uma ameaça à paz. '' 1998 Amartya Sen Economic Studies `` Por suas contribuições à economia do bem -estar. '' 2014 Kailash Satyarthi Paz concedida em conjunto a Kailash Satyarthi "&amp;"e Malala Yousafzai - `` pela luta contra a supressão de crianças e jovens e pelo direito de todas as crianças à educação. ''")</f>
        <v>   Ano Livinidade do sujeito de Laureate 1913 A literatura de Rabindranath Tagore concedeu `` por causa de seu verso profundamente sensível, fresco e bonito, pelo qual, com habilidade consumada, ele fez seu pensamento poético, expresso em suas próprias palavras em inglês, uma parte da literatura do The the Oeste. 1930 C.V. Raman Physics `` por seu trabalho sobre a dispersão da luz e pela descoberta do efeito em homenagem a ele. 1979 Madre Teresa (nascida em Skopje, Império Otomano) Paz `` Pelo trabalho realizado na luta para superar a pobreza e o sofrimento, que também constitui uma ameaça à paz. '' 1998 Amartya Sen Economic Studies `` Por suas contribuições à economia do bem -estar. '' 2014 Kailash Satyarthi Paz concedida em conjunto a Kailash Satyarthi e Malala Yousafzai - `` pela luta contra a supressão de crianças e jovens e pelo direito de todas as crianças à educação. ''</v>
      </c>
    </row>
    <row r="1034" customFormat="false" ht="15.75" hidden="false" customHeight="true" outlineLevel="0" collapsed="false">
      <c r="A1034" s="3" t="n">
        <v>1031</v>
      </c>
      <c r="B1034" s="5" t="s">
        <v>3086</v>
      </c>
      <c r="C1034" s="5" t="s">
        <v>3087</v>
      </c>
      <c r="D1034" s="5" t="s">
        <v>3088</v>
      </c>
      <c r="E1034" s="4" t="str">
        <f aca="false">IFERROR(__xludf.dummyfunction("GOOGLETRANSLATE(C1035)"),"Quem toca a música para Game of Thrones")</f>
        <v>Quem toca a música para Game of Thrones</v>
      </c>
      <c r="F1034" s="5" t="str">
        <f aca="false">IFERROR(__xludf.dummyfunction("GOOGLETRANSLATE(D1034)")," Kevin Kline como Maurice, pai viúvo protetor de Belle. Jolyon Coy retrata o jovem Maurice.")</f>
        <v> Kevin Kline como Maurice, pai viúvo protetor de Belle. Jolyon Coy retrata o jovem Maurice.</v>
      </c>
    </row>
    <row r="1035" customFormat="false" ht="15.75" hidden="false" customHeight="true" outlineLevel="0" collapsed="false">
      <c r="A1035" s="3" t="n">
        <v>1032</v>
      </c>
      <c r="B1035" s="5" t="s">
        <v>3089</v>
      </c>
      <c r="C1035" s="5" t="s">
        <v>3090</v>
      </c>
      <c r="D1035" s="5" t="s">
        <v>3091</v>
      </c>
      <c r="E1035" s="4" t="str">
        <f aca="false">IFERROR(__xludf.dummyfunction("GOOGLETRANSLATE(C1036)"),"Qual é o objetivo dos sites de compras on -line")</f>
        <v>Qual é o objetivo dos sites de compras on -line</v>
      </c>
      <c r="F1035" s="5" t="str">
        <f aca="false">IFERROR(__xludf.dummyfunction("GOOGLETRANSLATE(D1035)")," A música da série de TV de fantasia Game of Thrones é composta por Ramin Djawadi. A música é principalmente instrumental com as performances vocais ocasionais e é criada para apoiar musicalmente os personagens e tramas do show. Possui vários temas, sendo"&amp;" o mais proeminente o principal título que acompanha a sequência do título da série. Em toda temporada, um álbum de trilha sonora seria lançada.")</f>
        <v> A música da série de TV de fantasia Game of Thrones é composta por Ramin Djawadi. A música é principalmente instrumental com as performances vocais ocasionais e é criada para apoiar musicalmente os personagens e tramas do show. Possui vários temas, sendo o mais proeminente o principal título que acompanha a sequência do título da série. Em toda temporada, um álbum de trilha sonora seria lançada.</v>
      </c>
    </row>
    <row r="1036" customFormat="false" ht="15.75" hidden="false" customHeight="true" outlineLevel="0" collapsed="false">
      <c r="A1036" s="3" t="n">
        <v>1033</v>
      </c>
      <c r="B1036" s="5" t="s">
        <v>3092</v>
      </c>
      <c r="C1036" s="5" t="s">
        <v>3093</v>
      </c>
      <c r="D1036" s="5" t="s">
        <v>3094</v>
      </c>
      <c r="E1036" s="4" t="str">
        <f aca="false">IFERROR(__xludf.dummyfunction("GOOGLETRANSLATE(C1037)"),"Quando os Yankees se tornaram um time de beisebol")</f>
        <v>Quando os Yankees se tornaram um time de beisebol</v>
      </c>
      <c r="F1036" s="5" t="str">
        <f aca="false">IFERROR(__xludf.dummyfunction("GOOGLETRANSLATE(D1036)")," As compras on -line são uma forma de comércio eletrônico que permite que os consumidores comprem diretamente bens ou serviços de um vendedor pela Internet usando um navegador da Web. Os consumidores encontram um produto de interesse visitando o site do v"&amp;"arejista diretamente ou pesquisando entre fornecedores alternativos usando um mecanismo de pesquisa de compras, que exibe a disponibilidade e o preço do mesmo produto em diferentes retailers eletrônicos. A partir de 2016, os clientes podem comprar on -lin"&amp;"e usando uma variedade de diferentes computadores e dispositivos, incluindo computadores, laptops, computadores e smartphones.")</f>
        <v> As compras on -line são uma forma de comércio eletrônico que permite que os consumidores comprem diretamente bens ou serviços de um vendedor pela Internet usando um navegador da Web. Os consumidores encontram um produto de interesse visitando o site do varejista diretamente ou pesquisando entre fornecedores alternativos usando um mecanismo de pesquisa de compras, que exibe a disponibilidade e o preço do mesmo produto em diferentes retailers eletrônicos. A partir de 2016, os clientes podem comprar on -line usando uma variedade de diferentes computadores e dispositivos, incluindo computadores, laptops, computadores e smartphones.</v>
      </c>
    </row>
    <row r="1037" customFormat="false" ht="15.75" hidden="false" customHeight="true" outlineLevel="0" collapsed="false">
      <c r="A1037" s="3" t="n">
        <v>1034</v>
      </c>
      <c r="B1037" s="5" t="s">
        <v>3095</v>
      </c>
      <c r="C1037" s="5" t="s">
        <v>3096</v>
      </c>
      <c r="D1037" s="5" t="s">
        <v>3097</v>
      </c>
      <c r="E1037" s="4" t="str">
        <f aca="false">IFERROR(__xludf.dummyfunction("GOOGLETRANSLATE(C1038)"),"Quanto tempo dura cada episódio de graça e Frankie")</f>
        <v>Quanto tempo dura cada episódio de graça e Frankie</v>
      </c>
      <c r="F1037" s="5" t="str">
        <f aca="false">IFERROR(__xludf.dummyfunction("GOOGLETRANSLATE(D1037)")," A história da equipe do New York Yankees Major League Baseball (MLB) abrange mais de um século. Frank J. Farrell e William Stephen Devery compraram os direitos de um clube da Liga Americana (AL) na cidade de Nova York após a temporada de 1902. A equipe, "&amp;"que ficou conhecida como The Yankees em 1913, raramente argumentou para o campeonato da AL antes da aquisição do outfielder Babe Ruth após a temporada de 1919. Com Ruth na programação, os Yankees conquistaram seu primeiro título de AL em 1921, seguidos pe"&amp;"lo primeiro campeonato da World Series em 1923. Ruth e a primeira base Lou Gehrig fizeram parte da programação de assassinos da equipe, que levou os Yankees a um recorde de 110 vitórias e um campeonato da série em 1927 sob Miller Huggins. Eles repetiram c"&amp;"omo vencedores da World Series em 1928, e seu próximo título foi o gerente Joe McCarthy em 1932.")</f>
        <v> A história da equipe do New York Yankees Major League Baseball (MLB) abrange mais de um século. Frank J. Farrell e William Stephen Devery compraram os direitos de um clube da Liga Americana (AL) na cidade de Nova York após a temporada de 1902. A equipe, que ficou conhecida como The Yankees em 1913, raramente argumentou para o campeonato da AL antes da aquisição do outfielder Babe Ruth após a temporada de 1919. Com Ruth na programação, os Yankees conquistaram seu primeiro título de AL em 1921, seguidos pelo primeiro campeonato da World Series em 1923. Ruth e a primeira base Lou Gehrig fizeram parte da programação de assassinos da equipe, que levou os Yankees a um recorde de 110 vitórias e um campeonato da série em 1927 sob Miller Huggins. Eles repetiram como vencedores da World Series em 1928, e seu próximo título foi o gerente Joe McCarthy em 1932.</v>
      </c>
    </row>
    <row r="1038" customFormat="false" ht="15.75" hidden="false" customHeight="true" outlineLevel="0" collapsed="false">
      <c r="A1038" s="3" t="n">
        <v>1035</v>
      </c>
      <c r="B1038" s="5" t="s">
        <v>3098</v>
      </c>
      <c r="C1038" s="5" t="s">
        <v>3099</v>
      </c>
      <c r="D1038" s="5" t="s">
        <v>3100</v>
      </c>
      <c r="E1038" s="4" t="str">
        <f aca="false">IFERROR(__xludf.dummyfunction("GOOGLETRANSLATE(C1039)"),"Após a oxidação completa de uma molécula de glicose, quantos número de moléculas ATP são formados")</f>
        <v>Após a oxidação completa de uma molécula de glicose, quantos número de moléculas ATP são formados</v>
      </c>
      <c r="F1038" s="5" t="str">
        <f aca="false">IFERROR(__xludf.dummyfunction("GOOGLETRANSLATE(D1038)"),"   Grace e Frankie Gênero Comédia criada por Marta Kauffman Howard J. Morris, estrelado por Jane Fonda Lily Tomlin Sam Waterston Martin Sheen Brooklyn Decker Ethan Embry June Diane Raphael Baron Vaughn tema de abertura `` Stuck in the Middle With You '' R"&amp;"eformado por Grower Composer (S S (s ) Sam KS Michael Skloff Country of Origin Language (s) Original (s) dos Estados Unidos Número de estações No. dos episódios 52 (Lista de episódios) Produtor executivo de produção (s) Marta Kauffman Howard J. Morris Jan"&amp;"e Fonda Lily Tomlin Tate Taylor (Pilot ) Paula Weinstein Dana Goldberg David Ellison Marcy Ross Alexa Junge Local (s) Los Angeles, California Cinematography Gale Tattersall Editor (s) Lisa Zeno Churgin Michael Jablow Sarah Configuração da câmera Lucky Sin"&amp;"gle - Câmera Tempo de execução 25 - 35 minutos de produção (S ) Ok Goodnight Skydance Distribuidor de televisão Netflix Lançamento original Netflix Formato de imagem 4K (Ultra HD) Lançamento original 8 de maio de 2015 (2015 - 05 - 08) - Presente (presente"&amp;") Links externos Site oficial")</f>
        <v>   Grace e Frankie Gênero Comédia criada por Marta Kauffman Howard J. Morris, estrelado por Jane Fonda Lily Tomlin Sam Waterston Martin Sheen Brooklyn Decker Ethan Embry June Diane Raphael Baron Vaughn tema de abertura `` Stuck in the Middle With You '' Reformado por Grower Composer (S S (s ) Sam KS Michael Skloff Country of Origin Language (s) Original (s) dos Estados Unidos Número de estações No. dos episódios 52 (Lista de episódios) Produtor executivo de produção (s) Marta Kauffman Howard J. Morris Jane Fonda Lily Tomlin Tate Taylor (Pilot ) Paula Weinstein Dana Goldberg David Ellison Marcy Ross Alexa Junge Local (s) Los Angeles, California Cinematography Gale Tattersall Editor (s) Lisa Zeno Churgin Michael Jablow Sarah Configuração da câmera Lucky Single - Câmera Tempo de execução 25 - 35 minutos de produção (S ) Ok Goodnight Skydance Distribuidor de televisão Netflix Lançamento original Netflix Formato de imagem 4K (Ultra HD) Lançamento original 8 de maio de 2015 (2015 - 05 - 08) - Presente (presente) Links externos Site oficial</v>
      </c>
    </row>
    <row r="1039" customFormat="false" ht="15.75" hidden="false" customHeight="true" outlineLevel="0" collapsed="false">
      <c r="A1039" s="3" t="n">
        <v>1036</v>
      </c>
      <c r="B1039" s="5" t="s">
        <v>3101</v>
      </c>
      <c r="C1039" s="5" t="s">
        <v>3102</v>
      </c>
      <c r="D1039" s="5" t="s">
        <v>3103</v>
      </c>
      <c r="E1039" s="4" t="str">
        <f aca="false">IFERROR(__xludf.dummyfunction("GOOGLETRANSLATE(C1040)"),"Qual é o nome do camaleão em emaranhado")</f>
        <v>Qual é o nome do camaleão em emaranhado</v>
      </c>
      <c r="F1039" s="5" t="str">
        <f aca="false">IFERROR(__xludf.dummyfunction("GOOGLETRANSLATE(D1039)")," O metabolismo aeróbico é até 15 vezes mais eficiente que o metabolismo anaeróbico (que produz 2 moléculas ATP por 1 molécula de glicose). No entanto, alguns organismos anaeróbicos, como os metanógenos, são capazes de continuar com respiração anaeróbica, "&amp;"produzindo mais ATP usando outras moléculas inorgânicas (não oxigênio) como aceitadores finais de elétrons na cadeia de transporte de elétrons. Eles compartilham a via inicial da glicólise, mas o metabolismo aeróbico continua com o ciclo Krebs e a fosfori"&amp;"lação oxidativa. As reações pós-glicolíticas ocorrem nas mitocôndrias em células eucarióticas e no citoplasma em células procarióticas.")</f>
        <v> O metabolismo aeróbico é até 15 vezes mais eficiente que o metabolismo anaeróbico (que produz 2 moléculas ATP por 1 molécula de glicose). No entanto, alguns organismos anaeróbicos, como os metanógenos, são capazes de continuar com respiração anaeróbica, produzindo mais ATP usando outras moléculas inorgânicas (não oxigênio) como aceitadores finais de elétrons na cadeia de transporte de elétrons. Eles compartilham a via inicial da glicólise, mas o metabolismo aeróbico continua com o ciclo Krebs e a fosforilação oxidativa. As reações pós-glicolíticas ocorrem nas mitocôndrias em células eucarióticas e no citoplasma em células procarióticas.</v>
      </c>
    </row>
    <row r="1040" customFormat="false" ht="15.75" hidden="false" customHeight="true" outlineLevel="0" collapsed="false">
      <c r="A1040" s="3" t="n">
        <v>1037</v>
      </c>
      <c r="B1040" s="5" t="s">
        <v>3104</v>
      </c>
      <c r="C1040" s="5" t="s">
        <v>3105</v>
      </c>
      <c r="D1040" s="5" t="s">
        <v>3106</v>
      </c>
      <c r="F1040" s="5" t="str">
        <f aca="false">IFERROR(__xludf.dummyfunction("GOOGLETRANSLATE(D1040)")," Pascal e Maximus aparecem pela primeira vez em Tangled (2010). Introduzido como o animal de estimação e melhor amigo de Rapunzel, Pascal é um camaleão que vive com Rapunzel na torre isolada de Madre Gothel. Embora Rapunzel finge estar feliz vivendo isola"&amp;"damente sob a paternidade rigorosa de Gothel, Pascal se recusa a esconder seu descontentamento. Enquanto isso, Maximus e Thief Flynn Rider compartilham uma animosidade amarga; Como cavalo da polícia, Maximus está determinado a prender Flynn Rider por roub"&amp;"ar uma coroa. Buscando refúgio de Maximus, Flynn se esconde na torre de Gothel, onde ele é rapidamente incapacitado por Rapunzel, e ele e Pascal adotam imediatamente um relacionamento de amor - ódio. Determinado a ver as misteriosas `` luzes flutuantes ''"&amp;" a tempo de seu décimo oitavo aniversário, Rapunzel concorda em devolver a coroa de Flynn apenas depois que ele a escolta para o reino com segurança. Enquanto isso, Maximus, que continua sua busca por Flynn, inadvertidamente derruba Gothel que Rapunzel, e"&amp;"m cujos cabelos mágicos que ela confia para permanecer viva, deixou a torre acompanhada por Flynn. Com sua vida em perigo, ela os persegue desesperadamente.")</f>
        <v> Pascal e Maximus aparecem pela primeira vez em Tangled (2010). Introduzido como o animal de estimação e melhor amigo de Rapunzel, Pascal é um camaleão que vive com Rapunzel na torre isolada de Madre Gothel. Embora Rapunzel finge estar feliz vivendo isoladamente sob a paternidade rigorosa de Gothel, Pascal se recusa a esconder seu descontentamento. Enquanto isso, Maximus e Thief Flynn Rider compartilham uma animosidade amarga; Como cavalo da polícia, Maximus está determinado a prender Flynn Rider por roubar uma coroa. Buscando refúgio de Maximus, Flynn se esconde na torre de Gothel, onde ele é rapidamente incapacitado por Rapunzel, e ele e Pascal adotam imediatamente um relacionamento de amor - ódio. Determinado a ver as misteriosas `` luzes flutuantes '' a tempo de seu décimo oitavo aniversário, Rapunzel concorda em devolver a coroa de Flynn apenas depois que ele a escolta para o reino com segurança. Enquanto isso, Maximus, que continua sua busca por Flynn, inadvertidamente derruba Gothel que Rapunzel, em cujos cabelos mágicos que ela confia para permanecer viva, deixou a torre acompanhada por Flynn. Com sua vida em perigo, ela os persegue desesperadamente.</v>
      </c>
    </row>
  </sheetData>
  <printOptions headings="false" gridLines="false" gridLinesSet="true" horizontalCentered="false" verticalCentered="false"/>
  <pageMargins left="0.75" right="0.75" top="1" bottom="1" header="0.511811023622047" footer="0.511811023622047"/>
  <pageSetup paperSize="1" scale="100" fitToWidth="1" fitToHeight="1" pageOrder="downThenOver" orientation="landscape" blackAndWhite="false" draft="false" cellComments="none" horizontalDpi="300" verticalDpi="300" copies="1"/>
  <headerFooter differentFirst="false" differentOddEven="false">
    <oddHeader/>
    <oddFooter/>
  </headerFooter>
</worksheet>
</file>

<file path=docProps/app.xml><?xml version="1.0" encoding="utf-8"?>
<Properties xmlns="http://schemas.openxmlformats.org/officeDocument/2006/extended-properties" xmlns:vt="http://schemas.openxmlformats.org/officeDocument/2006/docPropsVTypes">
  <Template/>
  <TotalTime>15</TotalTime>
  <Application>LibreOffice/7.3.7.2$Linux_X86_64 LibreOffice_project/30$Build-2</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dc:description/>
  <dc:language>pt-BR</dc:language>
  <cp:lastModifiedBy/>
  <dcterms:modified xsi:type="dcterms:W3CDTF">2023-11-29T11:19:48Z</dcterms:modified>
  <cp:revision>4</cp:revision>
  <dc:subject/>
  <dc:title/>
</cp:coreProperties>
</file>